
<file path=[Content_Types].xml><?xml version="1.0" encoding="utf-8"?>
<Types xmlns="http://schemas.openxmlformats.org/package/2006/content-types">
  <Default Extension="bin" ContentType="application/vnd.openxmlformats-officedocument.spreadsheetml.printerSettings"/>
  <Default Extension="emf" ContentType="image/x-emf"/>
  <Default Extension="gif" ContentType="image/gif"/>
  <Default Extension="jpeg" ContentType="image/jpeg"/>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ctrlProps/ctrlProp1.xml" ContentType="application/vnd.ms-excel.controlproperties+xml"/>
  <Override PartName="/xl/ctrlProps/ctrlProp2.xml" ContentType="application/vnd.ms-excel.controlproperties+xml"/>
  <Override PartName="/xl/drawings/drawing3.xml" ContentType="application/vnd.openxmlformats-officedocument.drawing+xml"/>
  <Override PartName="/xl/ctrlProps/ctrlProp3.xml" ContentType="application/vnd.ms-excel.controlproperties+xml"/>
  <Override PartName="/xl/ctrlProps/ctrlProp4.xml" ContentType="application/vnd.ms-excel.controlproperties+xml"/>
  <Override PartName="/xl/ctrlProps/ctrlProp5.xml" ContentType="application/vnd.ms-excel.controlproperties+xml"/>
  <Override PartName="/xl/ctrlProps/ctrlProp6.xml" ContentType="application/vnd.ms-excel.controlproperties+xml"/>
  <Override PartName="/xl/ctrlProps/ctrlProp7.xml" ContentType="application/vnd.ms-excel.controlproperties+xml"/>
  <Override PartName="/xl/ctrlProps/ctrlProp8.xml" ContentType="application/vnd.ms-excel.controlproperties+xml"/>
  <Override PartName="/xl/ctrlProps/ctrlProp9.xml" ContentType="application/vnd.ms-excel.controlproperties+xml"/>
  <Override PartName="/xl/ctrlProps/ctrlProp10.xml" ContentType="application/vnd.ms-excel.controlproperties+xml"/>
  <Override PartName="/xl/ctrlProps/ctrlProp11.xml" ContentType="application/vnd.ms-excel.controlproperties+xml"/>
  <Override PartName="/xl/ctrlProps/ctrlProp12.xml" ContentType="application/vnd.ms-excel.controlproperties+xml"/>
  <Override PartName="/xl/ctrlProps/ctrlProp13.xml" ContentType="application/vnd.ms-excel.controlproperties+xml"/>
  <Override PartName="/xl/ctrlProps/ctrlProp14.xml" ContentType="application/vnd.ms-excel.controlproperties+xml"/>
  <Override PartName="/xl/ctrlProps/ctrlProp15.xml" ContentType="application/vnd.ms-excel.controlproperties+xml"/>
  <Override PartName="/xl/ctrlProps/ctrlProp16.xml" ContentType="application/vnd.ms-excel.controlproperties+xml"/>
  <Override PartName="/xl/ctrlProps/ctrlProp17.xml" ContentType="application/vnd.ms-excel.controlproperties+xml"/>
  <Override PartName="/xl/ctrlProps/ctrlProp18.xml" ContentType="application/vnd.ms-excel.controlproperties+xml"/>
  <Override PartName="/xl/ctrlProps/ctrlProp19.xml" ContentType="application/vnd.ms-excel.controlproperties+xml"/>
  <Override PartName="/xl/ctrlProps/ctrlProp20.xml" ContentType="application/vnd.ms-excel.controlproperties+xml"/>
  <Override PartName="/xl/ctrlProps/ctrlProp21.xml" ContentType="application/vnd.ms-excel.controlproperties+xml"/>
  <Override PartName="/xl/ctrlProps/ctrlProp22.xml" ContentType="application/vnd.ms-excel.controlproperties+xml"/>
  <Override PartName="/xl/ctrlProps/ctrlProp23.xml" ContentType="application/vnd.ms-excel.controlproperties+xml"/>
  <Override PartName="/xl/ctrlProps/ctrlProp24.xml" ContentType="application/vnd.ms-excel.controlproperties+xml"/>
  <Override PartName="/xl/ctrlProps/ctrlProp25.xml" ContentType="application/vnd.ms-excel.controlproperties+xml"/>
  <Override PartName="/xl/ctrlProps/ctrlProp26.xml" ContentType="application/vnd.ms-excel.controlproperties+xml"/>
  <Override PartName="/xl/ctrlProps/ctrlProp27.xml" ContentType="application/vnd.ms-excel.controlproperties+xml"/>
  <Override PartName="/xl/ctrlProps/ctrlProp28.xml" ContentType="application/vnd.ms-excel.controlproperties+xml"/>
  <Override PartName="/xl/ctrlProps/ctrlProp29.xml" ContentType="application/vnd.ms-excel.controlproperties+xml"/>
  <Override PartName="/xl/ctrlProps/ctrlProp30.xml" ContentType="application/vnd.ms-excel.controlproperties+xml"/>
  <Override PartName="/xl/ctrlProps/ctrlProp31.xml" ContentType="application/vnd.ms-excel.controlproperties+xml"/>
  <Override PartName="/xl/ctrlProps/ctrlProp32.xml" ContentType="application/vnd.ms-excel.controlproperties+xml"/>
  <Override PartName="/xl/ctrlProps/ctrlProp33.xml" ContentType="application/vnd.ms-excel.controlproperties+xml"/>
  <Override PartName="/xl/ctrlProps/ctrlProp34.xml" ContentType="application/vnd.ms-excel.controlproperties+xml"/>
  <Override PartName="/xl/ctrlProps/ctrlProp35.xml" ContentType="application/vnd.ms-excel.controlproperties+xml"/>
  <Override PartName="/xl/ctrlProps/ctrlProp36.xml" ContentType="application/vnd.ms-excel.controlproperties+xml"/>
  <Override PartName="/xl/ctrlProps/ctrlProp37.xml" ContentType="application/vnd.ms-excel.controlproperties+xml"/>
  <Override PartName="/xl/ctrlProps/ctrlProp38.xml" ContentType="application/vnd.ms-excel.controlproperties+xml"/>
  <Override PartName="/xl/ctrlProps/ctrlProp39.xml" ContentType="application/vnd.ms-excel.controlproperties+xml"/>
  <Override PartName="/xl/ctrlProps/ctrlProp40.xml" ContentType="application/vnd.ms-excel.controlproperties+xml"/>
  <Override PartName="/xl/ctrlProps/ctrlProp41.xml" ContentType="application/vnd.ms-excel.controlproperties+xml"/>
  <Override PartName="/xl/ctrlProps/ctrlProp42.xml" ContentType="application/vnd.ms-excel.controlproperties+xml"/>
  <Override PartName="/xl/ctrlProps/ctrlProp43.xml" ContentType="application/vnd.ms-excel.controlproperties+xml"/>
  <Override PartName="/xl/ctrlProps/ctrlProp44.xml" ContentType="application/vnd.ms-excel.controlproperties+xml"/>
  <Override PartName="/xl/ctrlProps/ctrlProp45.xml" ContentType="application/vnd.ms-excel.controlproperties+xml"/>
  <Override PartName="/xl/ctrlProps/ctrlProp46.xml" ContentType="application/vnd.ms-excel.controlproperties+xml"/>
  <Override PartName="/xl/ctrlProps/ctrlProp47.xml" ContentType="application/vnd.ms-excel.controlproperties+xml"/>
  <Override PartName="/xl/ctrlProps/ctrlProp48.xml" ContentType="application/vnd.ms-excel.controlproperties+xml"/>
  <Override PartName="/xl/ctrlProps/ctrlProp49.xml" ContentType="application/vnd.ms-excel.controlproperties+xml"/>
  <Override PartName="/xl/ctrlProps/ctrlProp50.xml" ContentType="application/vnd.ms-excel.controlproperties+xml"/>
  <Override PartName="/xl/ctrlProps/ctrlProp51.xml" ContentType="application/vnd.ms-excel.controlproperties+xml"/>
  <Override PartName="/xl/ctrlProps/ctrlProp52.xml" ContentType="application/vnd.ms-excel.controlproperties+xml"/>
  <Override PartName="/xl/ctrlProps/ctrlProp53.xml" ContentType="application/vnd.ms-excel.controlproperties+xml"/>
  <Override PartName="/xl/ctrlProps/ctrlProp54.xml" ContentType="application/vnd.ms-excel.controlproperties+xml"/>
  <Override PartName="/xl/ctrlProps/ctrlProp55.xml" ContentType="application/vnd.ms-excel.controlproperties+xml"/>
  <Override PartName="/xl/ctrlProps/ctrlProp56.xml" ContentType="application/vnd.ms-excel.controlproperties+xml"/>
  <Override PartName="/xl/ctrlProps/ctrlProp57.xml" ContentType="application/vnd.ms-excel.controlproperties+xml"/>
  <Override PartName="/xl/ctrlProps/ctrlProp58.xml" ContentType="application/vnd.ms-excel.controlproperties+xml"/>
  <Override PartName="/xl/ctrlProps/ctrlProp59.xml" ContentType="application/vnd.ms-excel.controlproperties+xml"/>
  <Override PartName="/xl/ctrlProps/ctrlProp60.xml" ContentType="application/vnd.ms-excel.controlproperties+xml"/>
  <Override PartName="/xl/ctrlProps/ctrlProp61.xml" ContentType="application/vnd.ms-excel.controlproperties+xml"/>
  <Override PartName="/xl/ctrlProps/ctrlProp62.xml" ContentType="application/vnd.ms-excel.controlproperties+xml"/>
  <Override PartName="/xl/ctrlProps/ctrlProp63.xml" ContentType="application/vnd.ms-excel.controlproperties+xml"/>
  <Override PartName="/xl/ctrlProps/ctrlProp64.xml" ContentType="application/vnd.ms-excel.controlproperties+xml"/>
  <Override PartName="/xl/ctrlProps/ctrlProp65.xml" ContentType="application/vnd.ms-excel.controlproperties+xml"/>
  <Override PartName="/xl/ctrlProps/ctrlProp66.xml" ContentType="application/vnd.ms-excel.controlproperties+xml"/>
  <Override PartName="/xl/ctrlProps/ctrlProp67.xml" ContentType="application/vnd.ms-excel.controlproperties+xml"/>
  <Override PartName="/xl/ctrlProps/ctrlProp68.xml" ContentType="application/vnd.ms-excel.controlproperties+xml"/>
  <Override PartName="/xl/ctrlProps/ctrlProp69.xml" ContentType="application/vnd.ms-excel.controlproperties+xml"/>
  <Override PartName="/xl/ctrlProps/ctrlProp70.xml" ContentType="application/vnd.ms-excel.controlproperties+xml"/>
  <Override PartName="/xl/ctrlProps/ctrlProp71.xml" ContentType="application/vnd.ms-excel.controlproperties+xml"/>
  <Override PartName="/xl/ctrlProps/ctrlProp72.xml" ContentType="application/vnd.ms-excel.controlproperties+xml"/>
  <Override PartName="/xl/ctrlProps/ctrlProp73.xml" ContentType="application/vnd.ms-excel.controlproperties+xml"/>
  <Override PartName="/xl/ctrlProps/ctrlProp74.xml" ContentType="application/vnd.ms-excel.controlproperties+xml"/>
  <Override PartName="/xl/ctrlProps/ctrlProp75.xml" ContentType="application/vnd.ms-excel.controlproperties+xml"/>
  <Override PartName="/xl/ctrlProps/ctrlProp76.xml" ContentType="application/vnd.ms-excel.controlproperties+xml"/>
  <Override PartName="/xl/ctrlProps/ctrlProp77.xml" ContentType="application/vnd.ms-excel.controlproperties+xml"/>
  <Override PartName="/xl/ctrlProps/ctrlProp78.xml" ContentType="application/vnd.ms-excel.controlproperties+xml"/>
  <Override PartName="/xl/ctrlProps/ctrlProp79.xml" ContentType="application/vnd.ms-excel.controlproperties+xml"/>
  <Override PartName="/xl/ctrlProps/ctrlProp80.xml" ContentType="application/vnd.ms-excel.controlproperties+xml"/>
  <Override PartName="/xl/ctrlProps/ctrlProp81.xml" ContentType="application/vnd.ms-excel.controlproperties+xml"/>
  <Override PartName="/xl/ctrlProps/ctrlProp82.xml" ContentType="application/vnd.ms-excel.controlproperties+xml"/>
  <Override PartName="/xl/ctrlProps/ctrlProp83.xml" ContentType="application/vnd.ms-excel.controlproperties+xml"/>
  <Override PartName="/xl/ctrlProps/ctrlProp84.xml" ContentType="application/vnd.ms-excel.controlproperties+xml"/>
  <Override PartName="/xl/drawings/drawing4.xml" ContentType="application/vnd.openxmlformats-officedocument.drawing+xml"/>
  <Override PartName="/xl/ctrlProps/ctrlProp85.xml" ContentType="application/vnd.ms-excel.controlproperties+xml"/>
  <Override PartName="/xl/ctrlProps/ctrlProp86.xml" ContentType="application/vnd.ms-excel.controlproperties+xml"/>
  <Override PartName="/xl/ctrlProps/ctrlProp87.xml" ContentType="application/vnd.ms-excel.controlproperties+xml"/>
  <Override PartName="/xl/ctrlProps/ctrlProp88.xml" ContentType="application/vnd.ms-excel.controlproperties+xml"/>
  <Override PartName="/xl/ctrlProps/ctrlProp89.xml" ContentType="application/vnd.ms-excel.controlproperties+xml"/>
  <Override PartName="/xl/ctrlProps/ctrlProp90.xml" ContentType="application/vnd.ms-excel.controlproperties+xml"/>
  <Override PartName="/xl/ctrlProps/ctrlProp91.xml" ContentType="application/vnd.ms-excel.controlproperties+xml"/>
  <Override PartName="/xl/ctrlProps/ctrlProp92.xml" ContentType="application/vnd.ms-excel.controlproperties+xml"/>
  <Override PartName="/xl/ctrlProps/ctrlProp93.xml" ContentType="application/vnd.ms-excel.controlproperties+xml"/>
  <Override PartName="/xl/ctrlProps/ctrlProp94.xml" ContentType="application/vnd.ms-excel.controlproperties+xml"/>
  <Override PartName="/xl/ctrlProps/ctrlProp95.xml" ContentType="application/vnd.ms-excel.controlproperties+xml"/>
  <Override PartName="/xl/ctrlProps/ctrlProp96.xml" ContentType="application/vnd.ms-excel.controlproperties+xml"/>
  <Override PartName="/xl/ctrlProps/ctrlProp97.xml" ContentType="application/vnd.ms-excel.controlproperties+xml"/>
  <Override PartName="/xl/ctrlProps/ctrlProp98.xml" ContentType="application/vnd.ms-excel.controlproperties+xml"/>
  <Override PartName="/xl/ctrlProps/ctrlProp99.xml" ContentType="application/vnd.ms-excel.controlproperties+xml"/>
  <Override PartName="/xl/ctrlProps/ctrlProp100.xml" ContentType="application/vnd.ms-excel.controlproperties+xml"/>
  <Override PartName="/xl/ctrlProps/ctrlProp101.xml" ContentType="application/vnd.ms-excel.controlproperties+xml"/>
  <Override PartName="/xl/ctrlProps/ctrlProp102.xml" ContentType="application/vnd.ms-excel.controlproperties+xml"/>
  <Override PartName="/xl/ctrlProps/ctrlProp103.xml" ContentType="application/vnd.ms-excel.controlproperties+xml"/>
  <Override PartName="/xl/ctrlProps/ctrlProp104.xml" ContentType="application/vnd.ms-excel.controlproperties+xml"/>
  <Override PartName="/xl/ctrlProps/ctrlProp105.xml" ContentType="application/vnd.ms-excel.controlproperties+xml"/>
  <Override PartName="/xl/ctrlProps/ctrlProp106.xml" ContentType="application/vnd.ms-excel.controlproperties+xml"/>
  <Override PartName="/xl/ctrlProps/ctrlProp107.xml" ContentType="application/vnd.ms-excel.controlproperties+xml"/>
  <Override PartName="/xl/ctrlProps/ctrlProp108.xml" ContentType="application/vnd.ms-excel.controlproperties+xml"/>
  <Override PartName="/xl/ctrlProps/ctrlProp109.xml" ContentType="application/vnd.ms-excel.controlproperties+xml"/>
  <Override PartName="/xl/ctrlProps/ctrlProp110.xml" ContentType="application/vnd.ms-excel.controlproperties+xml"/>
  <Override PartName="/xl/ctrlProps/ctrlProp111.xml" ContentType="application/vnd.ms-excel.controlproperties+xml"/>
  <Override PartName="/xl/ctrlProps/ctrlProp112.xml" ContentType="application/vnd.ms-excel.controlproperties+xml"/>
  <Override PartName="/xl/ctrlProps/ctrlProp113.xml" ContentType="application/vnd.ms-excel.controlproperties+xml"/>
  <Override PartName="/xl/ctrlProps/ctrlProp114.xml" ContentType="application/vnd.ms-excel.controlproperties+xml"/>
  <Override PartName="/xl/ctrlProps/ctrlProp115.xml" ContentType="application/vnd.ms-excel.controlproperties+xml"/>
  <Override PartName="/xl/ctrlProps/ctrlProp116.xml" ContentType="application/vnd.ms-excel.controlproperties+xml"/>
  <Override PartName="/xl/ctrlProps/ctrlProp117.xml" ContentType="application/vnd.ms-excel.controlproperties+xml"/>
  <Override PartName="/xl/ctrlProps/ctrlProp118.xml" ContentType="application/vnd.ms-excel.controlproperties+xml"/>
  <Override PartName="/xl/ctrlProps/ctrlProp119.xml" ContentType="application/vnd.ms-excel.controlproperties+xml"/>
  <Override PartName="/xl/ctrlProps/ctrlProp120.xml" ContentType="application/vnd.ms-excel.controlproperties+xml"/>
  <Override PartName="/xl/ctrlProps/ctrlProp121.xml" ContentType="application/vnd.ms-excel.controlproperties+xml"/>
  <Override PartName="/xl/ctrlProps/ctrlProp122.xml" ContentType="application/vnd.ms-excel.controlproperties+xml"/>
  <Override PartName="/xl/ctrlProps/ctrlProp123.xml" ContentType="application/vnd.ms-excel.controlproperties+xml"/>
  <Override PartName="/xl/ctrlProps/ctrlProp124.xml" ContentType="application/vnd.ms-excel.controlproperties+xml"/>
  <Override PartName="/xl/ctrlProps/ctrlProp125.xml" ContentType="application/vnd.ms-excel.controlproperties+xml"/>
  <Override PartName="/xl/ctrlProps/ctrlProp126.xml" ContentType="application/vnd.ms-excel.controlproperties+xml"/>
  <Override PartName="/xl/ctrlProps/ctrlProp127.xml" ContentType="application/vnd.ms-excel.controlproperties+xml"/>
  <Override PartName="/xl/ctrlProps/ctrlProp128.xml" ContentType="application/vnd.ms-excel.controlproperties+xml"/>
  <Override PartName="/xl/ctrlProps/ctrlProp129.xml" ContentType="application/vnd.ms-excel.controlproperties+xml"/>
  <Override PartName="/xl/ctrlProps/ctrlProp130.xml" ContentType="application/vnd.ms-excel.controlproperties+xml"/>
  <Override PartName="/xl/ctrlProps/ctrlProp131.xml" ContentType="application/vnd.ms-excel.controlproperties+xml"/>
  <Override PartName="/xl/ctrlProps/ctrlProp132.xml" ContentType="application/vnd.ms-excel.controlproperties+xml"/>
  <Override PartName="/xl/ctrlProps/ctrlProp133.xml" ContentType="application/vnd.ms-excel.controlproperties+xml"/>
  <Override PartName="/xl/ctrlProps/ctrlProp134.xml" ContentType="application/vnd.ms-excel.controlproperties+xml"/>
  <Override PartName="/xl/ctrlProps/ctrlProp135.xml" ContentType="application/vnd.ms-excel.controlproperties+xml"/>
  <Override PartName="/xl/ctrlProps/ctrlProp136.xml" ContentType="application/vnd.ms-excel.controlproperties+xml"/>
  <Override PartName="/xl/ctrlProps/ctrlProp137.xml" ContentType="application/vnd.ms-excel.controlproperties+xml"/>
  <Override PartName="/xl/ctrlProps/ctrlProp138.xml" ContentType="application/vnd.ms-excel.controlproperties+xml"/>
  <Override PartName="/xl/ctrlProps/ctrlProp139.xml" ContentType="application/vnd.ms-excel.controlproperties+xml"/>
  <Override PartName="/xl/ctrlProps/ctrlProp140.xml" ContentType="application/vnd.ms-excel.controlproperties+xml"/>
  <Override PartName="/xl/ctrlProps/ctrlProp141.xml" ContentType="application/vnd.ms-excel.controlproperties+xml"/>
  <Override PartName="/xl/ctrlProps/ctrlProp142.xml" ContentType="application/vnd.ms-excel.controlproperties+xml"/>
  <Override PartName="/xl/ctrlProps/ctrlProp143.xml" ContentType="application/vnd.ms-excel.controlproperties+xml"/>
  <Override PartName="/xl/ctrlProps/ctrlProp144.xml" ContentType="application/vnd.ms-excel.controlproperties+xml"/>
  <Override PartName="/xl/ctrlProps/ctrlProp145.xml" ContentType="application/vnd.ms-excel.controlproperties+xml"/>
  <Override PartName="/xl/ctrlProps/ctrlProp146.xml" ContentType="application/vnd.ms-excel.controlproperties+xml"/>
  <Override PartName="/xl/ctrlProps/ctrlProp147.xml" ContentType="application/vnd.ms-excel.controlproperties+xml"/>
  <Override PartName="/xl/ctrlProps/ctrlProp148.xml" ContentType="application/vnd.ms-excel.controlproperties+xml"/>
  <Override PartName="/xl/ctrlProps/ctrlProp149.xml" ContentType="application/vnd.ms-excel.controlproperties+xml"/>
  <Override PartName="/xl/ctrlProps/ctrlProp150.xml" ContentType="application/vnd.ms-excel.controlproperties+xml"/>
  <Override PartName="/xl/ctrlProps/ctrlProp151.xml" ContentType="application/vnd.ms-excel.controlproperties+xml"/>
  <Override PartName="/xl/ctrlProps/ctrlProp152.xml" ContentType="application/vnd.ms-excel.controlproperties+xml"/>
  <Override PartName="/xl/ctrlProps/ctrlProp153.xml" ContentType="application/vnd.ms-excel.controlproperties+xml"/>
  <Override PartName="/xl/ctrlProps/ctrlProp154.xml" ContentType="application/vnd.ms-excel.controlproperties+xml"/>
  <Override PartName="/xl/ctrlProps/ctrlProp155.xml" ContentType="application/vnd.ms-excel.controlproperties+xml"/>
  <Override PartName="/xl/ctrlProps/ctrlProp156.xml" ContentType="application/vnd.ms-excel.controlproperties+xml"/>
  <Override PartName="/xl/ctrlProps/ctrlProp157.xml" ContentType="application/vnd.ms-excel.controlproperties+xml"/>
  <Override PartName="/xl/ctrlProps/ctrlProp158.xml" ContentType="application/vnd.ms-excel.controlproperties+xml"/>
  <Override PartName="/xl/ctrlProps/ctrlProp159.xml" ContentType="application/vnd.ms-excel.controlproperties+xml"/>
  <Override PartName="/xl/ctrlProps/ctrlProp160.xml" ContentType="application/vnd.ms-excel.controlproperties+xml"/>
  <Override PartName="/xl/ctrlProps/ctrlProp161.xml" ContentType="application/vnd.ms-excel.controlproperties+xml"/>
  <Override PartName="/xl/ctrlProps/ctrlProp162.xml" ContentType="application/vnd.ms-excel.controlproperties+xml"/>
  <Override PartName="/xl/ctrlProps/ctrlProp163.xml" ContentType="application/vnd.ms-excel.controlproperties+xml"/>
  <Override PartName="/xl/drawings/drawing5.xml" ContentType="application/vnd.openxmlformats-officedocument.drawing+xml"/>
  <Override PartName="/xl/ctrlProps/ctrlProp164.xml" ContentType="application/vnd.ms-excel.controlproperties+xml"/>
  <Override PartName="/xl/ctrlProps/ctrlProp165.xml" ContentType="application/vnd.ms-excel.controlproperties+xml"/>
  <Override PartName="/xl/ctrlProps/ctrlProp166.xml" ContentType="application/vnd.ms-excel.controlproperties+xml"/>
  <Override PartName="/xl/ctrlProps/ctrlProp167.xml" ContentType="application/vnd.ms-excel.controlproperties+xml"/>
  <Override PartName="/xl/ctrlProps/ctrlProp168.xml" ContentType="application/vnd.ms-excel.controlproperties+xml"/>
  <Override PartName="/xl/ctrlProps/ctrlProp169.xml" ContentType="application/vnd.ms-excel.controlproperties+xml"/>
  <Override PartName="/xl/ctrlProps/ctrlProp170.xml" ContentType="application/vnd.ms-excel.controlproperties+xml"/>
  <Override PartName="/xl/ctrlProps/ctrlProp171.xml" ContentType="application/vnd.ms-excel.controlproperties+xml"/>
  <Override PartName="/xl/ctrlProps/ctrlProp172.xml" ContentType="application/vnd.ms-excel.controlproperties+xml"/>
  <Override PartName="/xl/ctrlProps/ctrlProp173.xml" ContentType="application/vnd.ms-excel.controlproperties+xml"/>
  <Override PartName="/xl/ctrlProps/ctrlProp174.xml" ContentType="application/vnd.ms-excel.controlproperties+xml"/>
  <Override PartName="/xl/ctrlProps/ctrlProp175.xml" ContentType="application/vnd.ms-excel.controlproperties+xml"/>
  <Override PartName="/xl/ctrlProps/ctrlProp176.xml" ContentType="application/vnd.ms-excel.controlproperties+xml"/>
  <Override PartName="/xl/ctrlProps/ctrlProp177.xml" ContentType="application/vnd.ms-excel.controlproperties+xml"/>
  <Override PartName="/xl/ctrlProps/ctrlProp178.xml" ContentType="application/vnd.ms-excel.controlproperties+xml"/>
  <Override PartName="/xl/ctrlProps/ctrlProp179.xml" ContentType="application/vnd.ms-excel.controlproperties+xml"/>
  <Override PartName="/xl/ctrlProps/ctrlProp180.xml" ContentType="application/vnd.ms-excel.controlproperties+xml"/>
  <Override PartName="/xl/ctrlProps/ctrlProp181.xml" ContentType="application/vnd.ms-excel.controlproperties+xml"/>
  <Override PartName="/xl/ctrlProps/ctrlProp182.xml" ContentType="application/vnd.ms-excel.controlproperties+xml"/>
  <Override PartName="/xl/ctrlProps/ctrlProp183.xml" ContentType="application/vnd.ms-excel.controlproperties+xml"/>
  <Override PartName="/xl/ctrlProps/ctrlProp184.xml" ContentType="application/vnd.ms-excel.controlproperties+xml"/>
  <Override PartName="/xl/ctrlProps/ctrlProp185.xml" ContentType="application/vnd.ms-excel.controlproperties+xml"/>
  <Override PartName="/xl/ctrlProps/ctrlProp186.xml" ContentType="application/vnd.ms-excel.controlproperties+xml"/>
  <Override PartName="/xl/ctrlProps/ctrlProp187.xml" ContentType="application/vnd.ms-excel.controlproperties+xml"/>
  <Override PartName="/xl/ctrlProps/ctrlProp188.xml" ContentType="application/vnd.ms-excel.controlproperties+xml"/>
  <Override PartName="/xl/ctrlProps/ctrlProp189.xml" ContentType="application/vnd.ms-excel.controlproperties+xml"/>
  <Override PartName="/xl/ctrlProps/ctrlProp190.xml" ContentType="application/vnd.ms-excel.controlproperties+xml"/>
  <Override PartName="/xl/ctrlProps/ctrlProp191.xml" ContentType="application/vnd.ms-excel.controlproperties+xml"/>
  <Override PartName="/xl/ctrlProps/ctrlProp192.xml" ContentType="application/vnd.ms-excel.controlproperties+xml"/>
  <Override PartName="/xl/ctrlProps/ctrlProp193.xml" ContentType="application/vnd.ms-excel.controlproperties+xml"/>
  <Override PartName="/xl/ctrlProps/ctrlProp194.xml" ContentType="application/vnd.ms-excel.controlproperties+xml"/>
  <Override PartName="/xl/ctrlProps/ctrlProp195.xml" ContentType="application/vnd.ms-excel.controlproperties+xml"/>
  <Override PartName="/xl/ctrlProps/ctrlProp196.xml" ContentType="application/vnd.ms-excel.controlproperties+xml"/>
  <Override PartName="/xl/ctrlProps/ctrlProp197.xml" ContentType="application/vnd.ms-excel.controlproperties+xml"/>
  <Override PartName="/xl/ctrlProps/ctrlProp198.xml" ContentType="application/vnd.ms-excel.controlproperties+xml"/>
  <Override PartName="/xl/ctrlProps/ctrlProp199.xml" ContentType="application/vnd.ms-excel.controlproperties+xml"/>
  <Override PartName="/xl/ctrlProps/ctrlProp200.xml" ContentType="application/vnd.ms-excel.controlproperties+xml"/>
  <Override PartName="/xl/ctrlProps/ctrlProp201.xml" ContentType="application/vnd.ms-excel.controlproperties+xml"/>
  <Override PartName="/xl/ctrlProps/ctrlProp202.xml" ContentType="application/vnd.ms-excel.controlproperties+xml"/>
  <Override PartName="/xl/ctrlProps/ctrlProp203.xml" ContentType="application/vnd.ms-excel.controlproperties+xml"/>
  <Override PartName="/xl/ctrlProps/ctrlProp204.xml" ContentType="application/vnd.ms-excel.controlproperties+xml"/>
  <Override PartName="/xl/ctrlProps/ctrlProp205.xml" ContentType="application/vnd.ms-excel.controlproperties+xml"/>
  <Override PartName="/xl/ctrlProps/ctrlProp206.xml" ContentType="application/vnd.ms-excel.controlproperties+xml"/>
  <Override PartName="/xl/ctrlProps/ctrlProp207.xml" ContentType="application/vnd.ms-excel.controlproperties+xml"/>
  <Override PartName="/xl/ctrlProps/ctrlProp208.xml" ContentType="application/vnd.ms-excel.controlproperties+xml"/>
  <Override PartName="/xl/ctrlProps/ctrlProp209.xml" ContentType="application/vnd.ms-excel.controlproperties+xml"/>
  <Override PartName="/xl/ctrlProps/ctrlProp210.xml" ContentType="application/vnd.ms-excel.controlproperties+xml"/>
  <Override PartName="/xl/ctrlProps/ctrlProp211.xml" ContentType="application/vnd.ms-excel.controlproperties+xml"/>
  <Override PartName="/xl/ctrlProps/ctrlProp212.xml" ContentType="application/vnd.ms-excel.controlproperties+xml"/>
  <Override PartName="/xl/ctrlProps/ctrlProp213.xml" ContentType="application/vnd.ms-excel.controlproperties+xml"/>
  <Override PartName="/xl/ctrlProps/ctrlProp214.xml" ContentType="application/vnd.ms-excel.controlproperties+xml"/>
  <Override PartName="/xl/ctrlProps/ctrlProp215.xml" ContentType="application/vnd.ms-excel.controlproperties+xml"/>
  <Override PartName="/xl/ctrlProps/ctrlProp216.xml" ContentType="application/vnd.ms-excel.controlproperties+xml"/>
  <Override PartName="/xl/ctrlProps/ctrlProp217.xml" ContentType="application/vnd.ms-excel.controlproperties+xml"/>
  <Override PartName="/xl/ctrlProps/ctrlProp218.xml" ContentType="application/vnd.ms-excel.controlproperties+xml"/>
  <Override PartName="/xl/ctrlProps/ctrlProp219.xml" ContentType="application/vnd.ms-excel.controlproperties+xml"/>
  <Override PartName="/xl/ctrlProps/ctrlProp220.xml" ContentType="application/vnd.ms-excel.controlproperties+xml"/>
  <Override PartName="/xl/ctrlProps/ctrlProp221.xml" ContentType="application/vnd.ms-excel.controlproperties+xml"/>
  <Override PartName="/xl/ctrlProps/ctrlProp222.xml" ContentType="application/vnd.ms-excel.controlproperties+xml"/>
  <Override PartName="/xl/ctrlProps/ctrlProp223.xml" ContentType="application/vnd.ms-excel.controlproperties+xml"/>
  <Override PartName="/xl/ctrlProps/ctrlProp224.xml" ContentType="application/vnd.ms-excel.controlproperties+xml"/>
  <Override PartName="/xl/ctrlProps/ctrlProp225.xml" ContentType="application/vnd.ms-excel.controlproperties+xml"/>
  <Override PartName="/xl/ctrlProps/ctrlProp226.xml" ContentType="application/vnd.ms-excel.controlproperties+xml"/>
  <Override PartName="/xl/ctrlProps/ctrlProp227.xml" ContentType="application/vnd.ms-excel.controlproperties+xml"/>
  <Override PartName="/xl/ctrlProps/ctrlProp228.xml" ContentType="application/vnd.ms-excel.controlproperties+xml"/>
  <Override PartName="/xl/ctrlProps/ctrlProp229.xml" ContentType="application/vnd.ms-excel.controlproperties+xml"/>
  <Override PartName="/xl/ctrlProps/ctrlProp230.xml" ContentType="application/vnd.ms-excel.controlproperties+xml"/>
  <Override PartName="/xl/ctrlProps/ctrlProp231.xml" ContentType="application/vnd.ms-excel.controlproperties+xml"/>
  <Override PartName="/xl/ctrlProps/ctrlProp232.xml" ContentType="application/vnd.ms-excel.controlproperties+xml"/>
  <Override PartName="/xl/ctrlProps/ctrlProp233.xml" ContentType="application/vnd.ms-excel.controlproperties+xml"/>
  <Override PartName="/xl/ctrlProps/ctrlProp234.xml" ContentType="application/vnd.ms-excel.controlproperties+xml"/>
  <Override PartName="/xl/ctrlProps/ctrlProp235.xml" ContentType="application/vnd.ms-excel.controlproperties+xml"/>
  <Override PartName="/xl/ctrlProps/ctrlProp236.xml" ContentType="application/vnd.ms-excel.controlproperties+xml"/>
  <Override PartName="/xl/ctrlProps/ctrlProp237.xml" ContentType="application/vnd.ms-excel.controlproperties+xml"/>
  <Override PartName="/xl/ctrlProps/ctrlProp238.xml" ContentType="application/vnd.ms-excel.controlproperties+xml"/>
  <Override PartName="/xl/ctrlProps/ctrlProp239.xml" ContentType="application/vnd.ms-excel.controlproperties+xml"/>
  <Override PartName="/xl/ctrlProps/ctrlProp240.xml" ContentType="application/vnd.ms-excel.controlproperties+xml"/>
  <Override PartName="/xl/ctrlProps/ctrlProp241.xml" ContentType="application/vnd.ms-excel.controlproperties+xml"/>
  <Override PartName="/xl/ctrlProps/ctrlProp242.xml" ContentType="application/vnd.ms-excel.controlproperties+xml"/>
  <Override PartName="/xl/ctrlProps/ctrlProp243.xml" ContentType="application/vnd.ms-excel.controlproperties+xml"/>
  <Override PartName="/xl/ctrlProps/ctrlProp244.xml" ContentType="application/vnd.ms-excel.controlproperties+xml"/>
  <Override PartName="/xl/ctrlProps/ctrlProp245.xml" ContentType="application/vnd.ms-excel.controlproperties+xml"/>
  <Override PartName="/xl/ctrlProps/ctrlProp246.xml" ContentType="application/vnd.ms-excel.controlproperties+xml"/>
  <Override PartName="/xl/ctrlProps/ctrlProp247.xml" ContentType="application/vnd.ms-excel.controlproperties+xml"/>
  <Override PartName="/xl/ctrlProps/ctrlProp248.xml" ContentType="application/vnd.ms-excel.controlproperties+xml"/>
  <Override PartName="/xl/ctrlProps/ctrlProp249.xml" ContentType="application/vnd.ms-excel.controlproperties+xml"/>
  <Override PartName="/xl/ctrlProps/ctrlProp250.xml" ContentType="application/vnd.ms-excel.controlproperties+xml"/>
  <Override PartName="/xl/ctrlProps/ctrlProp251.xml" ContentType="application/vnd.ms-excel.controlproperties+xml"/>
  <Override PartName="/xl/ctrlProps/ctrlProp252.xml" ContentType="application/vnd.ms-excel.controlproperties+xml"/>
  <Override PartName="/xl/ctrlProps/ctrlProp253.xml" ContentType="application/vnd.ms-excel.controlproperties+xml"/>
  <Override PartName="/xl/ctrlProps/ctrlProp254.xml" ContentType="application/vnd.ms-excel.controlproperties+xml"/>
  <Override PartName="/xl/ctrlProps/ctrlProp255.xml" ContentType="application/vnd.ms-excel.controlproperties+xml"/>
  <Override PartName="/xl/ctrlProps/ctrlProp256.xml" ContentType="application/vnd.ms-excel.controlproperties+xml"/>
  <Override PartName="/xl/drawings/drawing6.xml" ContentType="application/vnd.openxmlformats-officedocument.drawing+xml"/>
  <Override PartName="/xl/ctrlProps/ctrlProp257.xml" ContentType="application/vnd.ms-excel.controlproperties+xml"/>
  <Override PartName="/xl/ctrlProps/ctrlProp258.xml" ContentType="application/vnd.ms-excel.controlproperties+xml"/>
  <Override PartName="/xl/ctrlProps/ctrlProp259.xml" ContentType="application/vnd.ms-excel.controlproperties+xml"/>
  <Override PartName="/xl/ctrlProps/ctrlProp260.xml" ContentType="application/vnd.ms-excel.controlproperties+xml"/>
  <Override PartName="/xl/ctrlProps/ctrlProp261.xml" ContentType="application/vnd.ms-excel.controlproperties+xml"/>
  <Override PartName="/xl/ctrlProps/ctrlProp262.xml" ContentType="application/vnd.ms-excel.controlproperties+xml"/>
  <Override PartName="/xl/ctrlProps/ctrlProp263.xml" ContentType="application/vnd.ms-excel.controlproperties+xml"/>
  <Override PartName="/xl/ctrlProps/ctrlProp264.xml" ContentType="application/vnd.ms-excel.controlproperties+xml"/>
  <Override PartName="/xl/ctrlProps/ctrlProp265.xml" ContentType="application/vnd.ms-excel.controlproperties+xml"/>
  <Override PartName="/xl/ctrlProps/ctrlProp266.xml" ContentType="application/vnd.ms-excel.controlproperties+xml"/>
  <Override PartName="/xl/ctrlProps/ctrlProp267.xml" ContentType="application/vnd.ms-excel.controlproperties+xml"/>
  <Override PartName="/xl/ctrlProps/ctrlProp268.xml" ContentType="application/vnd.ms-excel.controlproperties+xml"/>
  <Override PartName="/xl/ctrlProps/ctrlProp269.xml" ContentType="application/vnd.ms-excel.controlproperties+xml"/>
  <Override PartName="/xl/ctrlProps/ctrlProp270.xml" ContentType="application/vnd.ms-excel.controlproperties+xml"/>
  <Override PartName="/xl/ctrlProps/ctrlProp271.xml" ContentType="application/vnd.ms-excel.controlproperties+xml"/>
  <Override PartName="/xl/ctrlProps/ctrlProp272.xml" ContentType="application/vnd.ms-excel.controlproperties+xml"/>
  <Override PartName="/xl/ctrlProps/ctrlProp273.xml" ContentType="application/vnd.ms-excel.controlproperties+xml"/>
  <Override PartName="/xl/ctrlProps/ctrlProp274.xml" ContentType="application/vnd.ms-excel.controlproperties+xml"/>
  <Override PartName="/xl/ctrlProps/ctrlProp275.xml" ContentType="application/vnd.ms-excel.controlproperties+xml"/>
  <Override PartName="/xl/ctrlProps/ctrlProp276.xml" ContentType="application/vnd.ms-excel.controlproperties+xml"/>
  <Override PartName="/xl/ctrlProps/ctrlProp277.xml" ContentType="application/vnd.ms-excel.controlproperties+xml"/>
  <Override PartName="/xl/ctrlProps/ctrlProp278.xml" ContentType="application/vnd.ms-excel.controlproperties+xml"/>
  <Override PartName="/xl/ctrlProps/ctrlProp279.xml" ContentType="application/vnd.ms-excel.controlproperties+xml"/>
  <Override PartName="/xl/drawings/drawing7.xml" ContentType="application/vnd.openxmlformats-officedocument.drawing+xml"/>
  <Override PartName="/xl/ctrlProps/ctrlProp280.xml" ContentType="application/vnd.ms-excel.controlproperties+xml"/>
  <Override PartName="/xl/ctrlProps/ctrlProp281.xml" ContentType="application/vnd.ms-excel.controlproperties+xml"/>
  <Override PartName="/xl/ctrlProps/ctrlProp282.xml" ContentType="application/vnd.ms-excel.controlproperties+xml"/>
  <Override PartName="/xl/ctrlProps/ctrlProp283.xml" ContentType="application/vnd.ms-excel.controlproperties+xml"/>
  <Override PartName="/xl/ctrlProps/ctrlProp284.xml" ContentType="application/vnd.ms-excel.controlproperties+xml"/>
  <Override PartName="/xl/ctrlProps/ctrlProp285.xml" ContentType="application/vnd.ms-excel.controlproperties+xml"/>
  <Override PartName="/xl/ctrlProps/ctrlProp286.xml" ContentType="application/vnd.ms-excel.controlproperties+xml"/>
  <Override PartName="/xl/ctrlProps/ctrlProp287.xml" ContentType="application/vnd.ms-excel.controlproperties+xml"/>
  <Override PartName="/xl/ctrlProps/ctrlProp288.xml" ContentType="application/vnd.ms-excel.controlproperties+xml"/>
  <Override PartName="/xl/ctrlProps/ctrlProp289.xml" ContentType="application/vnd.ms-excel.controlproperties+xml"/>
  <Override PartName="/xl/ctrlProps/ctrlProp290.xml" ContentType="application/vnd.ms-excel.controlproperties+xml"/>
  <Override PartName="/xl/ctrlProps/ctrlProp291.xml" ContentType="application/vnd.ms-excel.controlproperties+xml"/>
  <Override PartName="/xl/ctrlProps/ctrlProp292.xml" ContentType="application/vnd.ms-excel.controlproperties+xml"/>
  <Override PartName="/xl/ctrlProps/ctrlProp293.xml" ContentType="application/vnd.ms-excel.controlproperties+xml"/>
  <Override PartName="/xl/ctrlProps/ctrlProp294.xml" ContentType="application/vnd.ms-excel.controlproperties+xml"/>
  <Override PartName="/xl/ctrlProps/ctrlProp295.xml" ContentType="application/vnd.ms-excel.controlproperties+xml"/>
  <Override PartName="/xl/ctrlProps/ctrlProp296.xml" ContentType="application/vnd.ms-excel.controlproperties+xml"/>
  <Override PartName="/xl/ctrlProps/ctrlProp297.xml" ContentType="application/vnd.ms-excel.controlproperties+xml"/>
  <Override PartName="/xl/ctrlProps/ctrlProp298.xml" ContentType="application/vnd.ms-excel.controlproperties+xml"/>
  <Override PartName="/xl/ctrlProps/ctrlProp299.xml" ContentType="application/vnd.ms-excel.controlproperties+xml"/>
  <Override PartName="/xl/ctrlProps/ctrlProp300.xml" ContentType="application/vnd.ms-excel.controlproperties+xml"/>
  <Override PartName="/xl/ctrlProps/ctrlProp301.xml" ContentType="application/vnd.ms-excel.controlproperties+xml"/>
  <Override PartName="/xl/ctrlProps/ctrlProp302.xml" ContentType="application/vnd.ms-excel.controlproperties+xml"/>
  <Override PartName="/xl/ctrlProps/ctrlProp303.xml" ContentType="application/vnd.ms-excel.controlproperties+xml"/>
  <Override PartName="/xl/ctrlProps/ctrlProp304.xml" ContentType="application/vnd.ms-excel.controlproperties+xml"/>
  <Override PartName="/xl/ctrlProps/ctrlProp305.xml" ContentType="application/vnd.ms-excel.controlproperties+xml"/>
  <Override PartName="/xl/ctrlProps/ctrlProp306.xml" ContentType="application/vnd.ms-excel.controlproperties+xml"/>
  <Override PartName="/xl/ctrlProps/ctrlProp307.xml" ContentType="application/vnd.ms-excel.controlproperties+xml"/>
  <Override PartName="/xl/ctrlProps/ctrlProp308.xml" ContentType="application/vnd.ms-excel.controlproperties+xml"/>
  <Override PartName="/xl/ctrlProps/ctrlProp309.xml" ContentType="application/vnd.ms-excel.controlproperties+xml"/>
  <Override PartName="/xl/ctrlProps/ctrlProp310.xml" ContentType="application/vnd.ms-excel.controlproperties+xml"/>
  <Override PartName="/xl/ctrlProps/ctrlProp311.xml" ContentType="application/vnd.ms-excel.controlproperties+xml"/>
  <Override PartName="/xl/ctrlProps/ctrlProp312.xml" ContentType="application/vnd.ms-excel.controlproperties+xml"/>
  <Override PartName="/xl/ctrlProps/ctrlProp313.xml" ContentType="application/vnd.ms-excel.controlproperties+xml"/>
  <Override PartName="/xl/ctrlProps/ctrlProp314.xml" ContentType="application/vnd.ms-excel.controlproperties+xml"/>
  <Override PartName="/xl/ctrlProps/ctrlProp315.xml" ContentType="application/vnd.ms-excel.controlproperties+xml"/>
  <Override PartName="/xl/ctrlProps/ctrlProp316.xml" ContentType="application/vnd.ms-excel.controlproperties+xml"/>
  <Override PartName="/xl/ctrlProps/ctrlProp317.xml" ContentType="application/vnd.ms-excel.controlproperties+xml"/>
  <Override PartName="/xl/ctrlProps/ctrlProp318.xml" ContentType="application/vnd.ms-excel.controlproperties+xml"/>
  <Override PartName="/xl/ctrlProps/ctrlProp319.xml" ContentType="application/vnd.ms-excel.controlproperties+xml"/>
  <Override PartName="/xl/ctrlProps/ctrlProp320.xml" ContentType="application/vnd.ms-excel.controlproperties+xml"/>
  <Override PartName="/xl/ctrlProps/ctrlProp321.xml" ContentType="application/vnd.ms-excel.controlproperties+xml"/>
  <Override PartName="/xl/ctrlProps/ctrlProp322.xml" ContentType="application/vnd.ms-excel.controlproperties+xml"/>
  <Override PartName="/xl/ctrlProps/ctrlProp323.xml" ContentType="application/vnd.ms-excel.controlproperties+xml"/>
  <Override PartName="/xl/ctrlProps/ctrlProp324.xml" ContentType="application/vnd.ms-excel.controlproperties+xml"/>
  <Override PartName="/xl/ctrlProps/ctrlProp325.xml" ContentType="application/vnd.ms-excel.controlproperties+xml"/>
  <Override PartName="/xl/ctrlProps/ctrlProp326.xml" ContentType="application/vnd.ms-excel.controlproperties+xml"/>
  <Override PartName="/xl/ctrlProps/ctrlProp327.xml" ContentType="application/vnd.ms-excel.controlproperties+xml"/>
  <Override PartName="/xl/ctrlProps/ctrlProp328.xml" ContentType="application/vnd.ms-excel.controlproperties+xml"/>
  <Override PartName="/xl/ctrlProps/ctrlProp329.xml" ContentType="application/vnd.ms-excel.controlproperties+xml"/>
  <Override PartName="/xl/ctrlProps/ctrlProp330.xml" ContentType="application/vnd.ms-excel.controlproperties+xml"/>
  <Override PartName="/xl/ctrlProps/ctrlProp331.xml" ContentType="application/vnd.ms-excel.controlproperties+xml"/>
  <Override PartName="/xl/ctrlProps/ctrlProp332.xml" ContentType="application/vnd.ms-excel.controlproperties+xml"/>
  <Override PartName="/xl/ctrlProps/ctrlProp333.xml" ContentType="application/vnd.ms-excel.controlproperties+xml"/>
  <Override PartName="/xl/ctrlProps/ctrlProp334.xml" ContentType="application/vnd.ms-excel.controlproperties+xml"/>
  <Override PartName="/xl/ctrlProps/ctrlProp335.xml" ContentType="application/vnd.ms-excel.controlproperties+xml"/>
  <Override PartName="/xl/ctrlProps/ctrlProp336.xml" ContentType="application/vnd.ms-excel.controlproperties+xml"/>
  <Override PartName="/xl/drawings/drawing8.xml" ContentType="application/vnd.openxmlformats-officedocument.drawing+xml"/>
  <Override PartName="/xl/ctrlProps/ctrlProp337.xml" ContentType="application/vnd.ms-excel.controlproperties+xml"/>
  <Override PartName="/xl/ctrlProps/ctrlProp338.xml" ContentType="application/vnd.ms-excel.controlproperties+xml"/>
  <Override PartName="/xl/ctrlProps/ctrlProp339.xml" ContentType="application/vnd.ms-excel.controlproperties+xml"/>
  <Override PartName="/xl/ctrlProps/ctrlProp340.xml" ContentType="application/vnd.ms-excel.controlproperties+xml"/>
  <Override PartName="/xl/ctrlProps/ctrlProp341.xml" ContentType="application/vnd.ms-excel.controlproperties+xml"/>
  <Override PartName="/xl/ctrlProps/ctrlProp342.xml" ContentType="application/vnd.ms-excel.controlproperties+xml"/>
  <Override PartName="/xl/ctrlProps/ctrlProp343.xml" ContentType="application/vnd.ms-excel.controlproperties+xml"/>
  <Override PartName="/xl/ctrlProps/ctrlProp344.xml" ContentType="application/vnd.ms-excel.controlproperties+xml"/>
  <Override PartName="/xl/ctrlProps/ctrlProp345.xml" ContentType="application/vnd.ms-excel.controlproperties+xml"/>
  <Override PartName="/xl/ctrlProps/ctrlProp346.xml" ContentType="application/vnd.ms-excel.controlproperties+xml"/>
  <Override PartName="/xl/ctrlProps/ctrlProp347.xml" ContentType="application/vnd.ms-excel.controlproperties+xml"/>
  <Override PartName="/xl/ctrlProps/ctrlProp348.xml" ContentType="application/vnd.ms-excel.controlproperties+xml"/>
  <Override PartName="/xl/ctrlProps/ctrlProp349.xml" ContentType="application/vnd.ms-excel.controlproperties+xml"/>
  <Override PartName="/xl/ctrlProps/ctrlProp350.xml" ContentType="application/vnd.ms-excel.controlproperties+xml"/>
  <Override PartName="/xl/ctrlProps/ctrlProp351.xml" ContentType="application/vnd.ms-excel.controlproperties+xml"/>
  <Override PartName="/xl/ctrlProps/ctrlProp352.xml" ContentType="application/vnd.ms-excel.controlproperties+xml"/>
  <Override PartName="/xl/ctrlProps/ctrlProp353.xml" ContentType="application/vnd.ms-excel.controlproperties+xml"/>
  <Override PartName="/xl/ctrlProps/ctrlProp354.xml" ContentType="application/vnd.ms-excel.controlproperties+xml"/>
  <Override PartName="/xl/ctrlProps/ctrlProp355.xml" ContentType="application/vnd.ms-excel.controlproperties+xml"/>
  <Override PartName="/xl/ctrlProps/ctrlProp356.xml" ContentType="application/vnd.ms-excel.controlproperties+xml"/>
  <Override PartName="/xl/ctrlProps/ctrlProp357.xml" ContentType="application/vnd.ms-excel.controlproperties+xml"/>
  <Override PartName="/xl/ctrlProps/ctrlProp358.xml" ContentType="application/vnd.ms-excel.controlproperties+xml"/>
  <Override PartName="/xl/ctrlProps/ctrlProp359.xml" ContentType="application/vnd.ms-excel.controlproperties+xml"/>
  <Override PartName="/xl/ctrlProps/ctrlProp360.xml" ContentType="application/vnd.ms-excel.controlproperties+xml"/>
  <Override PartName="/xl/ctrlProps/ctrlProp361.xml" ContentType="application/vnd.ms-excel.controlproperties+xml"/>
  <Override PartName="/xl/ctrlProps/ctrlProp362.xml" ContentType="application/vnd.ms-excel.controlproperties+xml"/>
  <Override PartName="/xl/ctrlProps/ctrlProp363.xml" ContentType="application/vnd.ms-excel.controlproperties+xml"/>
  <Override PartName="/xl/ctrlProps/ctrlProp364.xml" ContentType="application/vnd.ms-excel.controlproperties+xml"/>
  <Override PartName="/xl/ctrlProps/ctrlProp365.xml" ContentType="application/vnd.ms-excel.controlproperties+xml"/>
  <Override PartName="/xl/ctrlProps/ctrlProp366.xml" ContentType="application/vnd.ms-excel.controlproperties+xml"/>
  <Override PartName="/xl/ctrlProps/ctrlProp367.xml" ContentType="application/vnd.ms-excel.controlproperties+xml"/>
  <Override PartName="/xl/ctrlProps/ctrlProp368.xml" ContentType="application/vnd.ms-excel.controlproperties+xml"/>
  <Override PartName="/xl/ctrlProps/ctrlProp369.xml" ContentType="application/vnd.ms-excel.controlproperties+xml"/>
  <Override PartName="/xl/ctrlProps/ctrlProp370.xml" ContentType="application/vnd.ms-excel.controlproperties+xml"/>
  <Override PartName="/xl/ctrlProps/ctrlProp371.xml" ContentType="application/vnd.ms-excel.controlproperties+xml"/>
  <Override PartName="/xl/ctrlProps/ctrlProp372.xml" ContentType="application/vnd.ms-excel.controlproperties+xml"/>
  <Override PartName="/xl/ctrlProps/ctrlProp373.xml" ContentType="application/vnd.ms-excel.controlproperties+xml"/>
  <Override PartName="/xl/ctrlProps/ctrlProp374.xml" ContentType="application/vnd.ms-excel.controlproperties+xml"/>
  <Override PartName="/xl/ctrlProps/ctrlProp375.xml" ContentType="application/vnd.ms-excel.controlproperties+xml"/>
  <Override PartName="/xl/ctrlProps/ctrlProp376.xml" ContentType="application/vnd.ms-excel.controlproperties+xml"/>
  <Override PartName="/xl/ctrlProps/ctrlProp377.xml" ContentType="application/vnd.ms-excel.controlproperties+xml"/>
  <Override PartName="/xl/ctrlProps/ctrlProp378.xml" ContentType="application/vnd.ms-excel.controlproperties+xml"/>
  <Override PartName="/xl/ctrlProps/ctrlProp379.xml" ContentType="application/vnd.ms-excel.controlproperties+xml"/>
  <Override PartName="/xl/ctrlProps/ctrlProp380.xml" ContentType="application/vnd.ms-excel.controlproperties+xml"/>
  <Override PartName="/xl/ctrlProps/ctrlProp381.xml" ContentType="application/vnd.ms-excel.controlproperties+xml"/>
  <Override PartName="/xl/ctrlProps/ctrlProp382.xml" ContentType="application/vnd.ms-excel.controlproperties+xml"/>
  <Override PartName="/xl/ctrlProps/ctrlProp383.xml" ContentType="application/vnd.ms-excel.controlproperties+xml"/>
  <Override PartName="/xl/ctrlProps/ctrlProp384.xml" ContentType="application/vnd.ms-excel.controlproperties+xml"/>
  <Override PartName="/xl/ctrlProps/ctrlProp385.xml" ContentType="application/vnd.ms-excel.controlproperties+xml"/>
  <Override PartName="/xl/ctrlProps/ctrlProp386.xml" ContentType="application/vnd.ms-excel.controlproperties+xml"/>
  <Override PartName="/xl/ctrlProps/ctrlProp387.xml" ContentType="application/vnd.ms-excel.controlproperties+xml"/>
  <Override PartName="/xl/ctrlProps/ctrlProp388.xml" ContentType="application/vnd.ms-excel.controlproperties+xml"/>
  <Override PartName="/xl/ctrlProps/ctrlProp389.xml" ContentType="application/vnd.ms-excel.controlproperties+xml"/>
  <Override PartName="/xl/ctrlProps/ctrlProp390.xml" ContentType="application/vnd.ms-excel.controlproperties+xml"/>
  <Override PartName="/xl/ctrlProps/ctrlProp391.xml" ContentType="application/vnd.ms-excel.controlproperties+xml"/>
  <Override PartName="/xl/ctrlProps/ctrlProp392.xml" ContentType="application/vnd.ms-excel.controlproperties+xml"/>
  <Override PartName="/xl/ctrlProps/ctrlProp393.xml" ContentType="application/vnd.ms-excel.controlproperties+xml"/>
  <Override PartName="/xl/ctrlProps/ctrlProp394.xml" ContentType="application/vnd.ms-excel.controlproperties+xml"/>
  <Override PartName="/xl/ctrlProps/ctrlProp395.xml" ContentType="application/vnd.ms-excel.controlproperties+xml"/>
  <Override PartName="/xl/ctrlProps/ctrlProp396.xml" ContentType="application/vnd.ms-excel.controlproperties+xml"/>
  <Override PartName="/xl/ctrlProps/ctrlProp397.xml" ContentType="application/vnd.ms-excel.controlproperties+xml"/>
  <Override PartName="/xl/ctrlProps/ctrlProp398.xml" ContentType="application/vnd.ms-excel.controlproperties+xml"/>
  <Override PartName="/xl/ctrlProps/ctrlProp399.xml" ContentType="application/vnd.ms-excel.controlproperties+xml"/>
  <Override PartName="/xl/ctrlProps/ctrlProp400.xml" ContentType="application/vnd.ms-excel.controlproperties+xml"/>
  <Override PartName="/xl/ctrlProps/ctrlProp401.xml" ContentType="application/vnd.ms-excel.controlproperties+xml"/>
  <Override PartName="/xl/ctrlProps/ctrlProp402.xml" ContentType="application/vnd.ms-excel.controlproperties+xml"/>
  <Override PartName="/xl/ctrlProps/ctrlProp403.xml" ContentType="application/vnd.ms-excel.controlproperties+xml"/>
  <Override PartName="/xl/ctrlProps/ctrlProp404.xml" ContentType="application/vnd.ms-excel.controlproperties+xml"/>
  <Override PartName="/xl/ctrlProps/ctrlProp405.xml" ContentType="application/vnd.ms-excel.controlproperties+xml"/>
  <Override PartName="/xl/ctrlProps/ctrlProp406.xml" ContentType="application/vnd.ms-excel.controlproperties+xml"/>
  <Override PartName="/xl/ctrlProps/ctrlProp407.xml" ContentType="application/vnd.ms-excel.controlproperties+xml"/>
  <Override PartName="/xl/ctrlProps/ctrlProp408.xml" ContentType="application/vnd.ms-excel.controlproperties+xml"/>
  <Override PartName="/xl/ctrlProps/ctrlProp409.xml" ContentType="application/vnd.ms-excel.controlproperties+xml"/>
  <Override PartName="/xl/ctrlProps/ctrlProp410.xml" ContentType="application/vnd.ms-excel.controlproperties+xml"/>
  <Override PartName="/xl/ctrlProps/ctrlProp411.xml" ContentType="application/vnd.ms-excel.controlproperties+xml"/>
  <Override PartName="/xl/ctrlProps/ctrlProp412.xml" ContentType="application/vnd.ms-excel.controlproperties+xml"/>
  <Override PartName="/xl/ctrlProps/ctrlProp413.xml" ContentType="application/vnd.ms-excel.controlproperties+xml"/>
  <Override PartName="/xl/ctrlProps/ctrlProp414.xml" ContentType="application/vnd.ms-excel.controlproperties+xml"/>
  <Override PartName="/xl/drawings/drawing9.xml" ContentType="application/vnd.openxmlformats-officedocument.drawing+xml"/>
  <Override PartName="/xl/drawings/drawing10.xml" ContentType="application/vnd.openxmlformats-officedocument.drawing+xml"/>
  <Override PartName="/xl/ctrlProps/ctrlProp415.xml" ContentType="application/vnd.ms-excel.controlproperties+xml"/>
  <Override PartName="/xl/ctrlProps/ctrlProp416.xml" ContentType="application/vnd.ms-excel.controlproperties+xml"/>
  <Override PartName="/xl/ctrlProps/ctrlProp417.xml" ContentType="application/vnd.ms-excel.controlproperties+xml"/>
  <Override PartName="/xl/ctrlProps/ctrlProp418.xml" ContentType="application/vnd.ms-excel.controlproperties+xml"/>
  <Override PartName="/xl/ctrlProps/ctrlProp419.xml" ContentType="application/vnd.ms-excel.controlproperties+xml"/>
  <Override PartName="/xl/ctrlProps/ctrlProp420.xml" ContentType="application/vnd.ms-excel.controlproperties+xml"/>
  <Override PartName="/xl/ctrlProps/ctrlProp421.xml" ContentType="application/vnd.ms-excel.controlproperties+xml"/>
  <Override PartName="/xl/ctrlProps/ctrlProp422.xml" ContentType="application/vnd.ms-excel.controlproperties+xml"/>
  <Override PartName="/xl/ctrlProps/ctrlProp423.xml" ContentType="application/vnd.ms-excel.controlproperties+xml"/>
  <Override PartName="/xl/ctrlProps/ctrlProp424.xml" ContentType="application/vnd.ms-excel.controlproperties+xml"/>
  <Override PartName="/xl/ctrlProps/ctrlProp425.xml" ContentType="application/vnd.ms-excel.controlproperties+xml"/>
  <Override PartName="/xl/ctrlProps/ctrlProp426.xml" ContentType="application/vnd.ms-excel.controlproperties+xml"/>
  <Override PartName="/xl/ctrlProps/ctrlProp427.xml" ContentType="application/vnd.ms-excel.controlproperties+xml"/>
  <Override PartName="/xl/ctrlProps/ctrlProp428.xml" ContentType="application/vnd.ms-excel.controlproperties+xml"/>
  <Override PartName="/xl/ctrlProps/ctrlProp429.xml" ContentType="application/vnd.ms-excel.controlproperties+xml"/>
  <Override PartName="/xl/ctrlProps/ctrlProp430.xml" ContentType="application/vnd.ms-excel.controlproperties+xml"/>
  <Override PartName="/xl/ctrlProps/ctrlProp431.xml" ContentType="application/vnd.ms-excel.controlproperties+xml"/>
  <Override PartName="/xl/ctrlProps/ctrlProp432.xml" ContentType="application/vnd.ms-excel.controlproperties+xml"/>
  <Override PartName="/xl/ctrlProps/ctrlProp433.xml" ContentType="application/vnd.ms-excel.controlproperties+xml"/>
  <Override PartName="/xl/ctrlProps/ctrlProp434.xml" ContentType="application/vnd.ms-excel.controlproperties+xml"/>
  <Override PartName="/xl/ctrlProps/ctrlProp435.xml" ContentType="application/vnd.ms-excel.controlproperties+xml"/>
  <Override PartName="/xl/ctrlProps/ctrlProp436.xml" ContentType="application/vnd.ms-excel.controlproperties+xml"/>
  <Override PartName="/xl/ctrlProps/ctrlProp437.xml" ContentType="application/vnd.ms-excel.controlproperties+xml"/>
  <Override PartName="/xl/ctrlProps/ctrlProp438.xml" ContentType="application/vnd.ms-excel.controlproperties+xml"/>
  <Override PartName="/xl/ctrlProps/ctrlProp439.xml" ContentType="application/vnd.ms-excel.controlproperties+xml"/>
  <Override PartName="/xl/ctrlProps/ctrlProp440.xml" ContentType="application/vnd.ms-excel.controlproperties+xml"/>
  <Override PartName="/xl/ctrlProps/ctrlProp441.xml" ContentType="application/vnd.ms-excel.controlproperties+xml"/>
  <Override PartName="/xl/ctrlProps/ctrlProp442.xml" ContentType="application/vnd.ms-excel.controlproperties+xml"/>
  <Override PartName="/xl/ctrlProps/ctrlProp443.xml" ContentType="application/vnd.ms-excel.controlproperties+xml"/>
  <Override PartName="/xl/ctrlProps/ctrlProp444.xml" ContentType="application/vnd.ms-excel.controlproperties+xml"/>
  <Override PartName="/xl/ctrlProps/ctrlProp445.xml" ContentType="application/vnd.ms-excel.controlproperties+xml"/>
  <Override PartName="/xl/ctrlProps/ctrlProp446.xml" ContentType="application/vnd.ms-excel.controlproperties+xml"/>
  <Override PartName="/xl/ctrlProps/ctrlProp447.xml" ContentType="application/vnd.ms-excel.controlproperties+xml"/>
  <Override PartName="/xl/ctrlProps/ctrlProp448.xml" ContentType="application/vnd.ms-excel.controlproperties+xml"/>
  <Override PartName="/xl/ctrlProps/ctrlProp449.xml" ContentType="application/vnd.ms-excel.controlproperties+xml"/>
  <Override PartName="/xl/ctrlProps/ctrlProp450.xml" ContentType="application/vnd.ms-excel.controlproperties+xml"/>
  <Override PartName="/xl/ctrlProps/ctrlProp451.xml" ContentType="application/vnd.ms-excel.controlproperties+xml"/>
  <Override PartName="/xl/ctrlProps/ctrlProp452.xml" ContentType="application/vnd.ms-excel.controlproperties+xml"/>
  <Override PartName="/xl/ctrlProps/ctrlProp453.xml" ContentType="application/vnd.ms-excel.controlproperties+xml"/>
  <Override PartName="/xl/ctrlProps/ctrlProp454.xml" ContentType="application/vnd.ms-excel.controlproperties+xml"/>
  <Override PartName="/xl/ctrlProps/ctrlProp455.xml" ContentType="application/vnd.ms-excel.controlproperties+xml"/>
  <Override PartName="/xl/ctrlProps/ctrlProp456.xml" ContentType="application/vnd.ms-excel.controlproperties+xml"/>
  <Override PartName="/xl/ctrlProps/ctrlProp457.xml" ContentType="application/vnd.ms-excel.controlproperties+xml"/>
  <Override PartName="/xl/ctrlProps/ctrlProp458.xml" ContentType="application/vnd.ms-excel.controlproperties+xml"/>
  <Override PartName="/xl/ctrlProps/ctrlProp459.xml" ContentType="application/vnd.ms-excel.controlproperties+xml"/>
  <Override PartName="/xl/ctrlProps/ctrlProp460.xml" ContentType="application/vnd.ms-excel.controlproperties+xml"/>
  <Override PartName="/xl/drawings/drawing11.xml" ContentType="application/vnd.openxmlformats-officedocument.drawing+xml"/>
  <Override PartName="/xl/ctrlProps/ctrlProp461.xml" ContentType="application/vnd.ms-excel.controlproperties+xml"/>
  <Override PartName="/xl/ctrlProps/ctrlProp462.xml" ContentType="application/vnd.ms-excel.controlproperties+xml"/>
  <Override PartName="/xl/ctrlProps/ctrlProp463.xml" ContentType="application/vnd.ms-excel.controlproperties+xml"/>
  <Override PartName="/xl/ctrlProps/ctrlProp464.xml" ContentType="application/vnd.ms-excel.controlproperties+xml"/>
  <Override PartName="/xl/ctrlProps/ctrlProp465.xml" ContentType="application/vnd.ms-excel.controlproperties+xml"/>
  <Override PartName="/xl/ctrlProps/ctrlProp466.xml" ContentType="application/vnd.ms-excel.controlproperties+xml"/>
  <Override PartName="/xl/ctrlProps/ctrlProp467.xml" ContentType="application/vnd.ms-excel.controlproperties+xml"/>
  <Override PartName="/xl/ctrlProps/ctrlProp468.xml" ContentType="application/vnd.ms-excel.controlproperties+xml"/>
  <Override PartName="/xl/ctrlProps/ctrlProp469.xml" ContentType="application/vnd.ms-excel.controlproperties+xml"/>
  <Override PartName="/xl/ctrlProps/ctrlProp470.xml" ContentType="application/vnd.ms-excel.controlproperties+xml"/>
  <Override PartName="/xl/ctrlProps/ctrlProp471.xml" ContentType="application/vnd.ms-excel.controlproperties+xml"/>
  <Override PartName="/xl/ctrlProps/ctrlProp472.xml" ContentType="application/vnd.ms-excel.controlproperties+xml"/>
  <Override PartName="/xl/ctrlProps/ctrlProp473.xml" ContentType="application/vnd.ms-excel.controlproperties+xml"/>
  <Override PartName="/xl/ctrlProps/ctrlProp474.xml" ContentType="application/vnd.ms-excel.controlproperties+xml"/>
  <Override PartName="/xl/ctrlProps/ctrlProp475.xml" ContentType="application/vnd.ms-excel.controlproperties+xml"/>
  <Override PartName="/xl/ctrlProps/ctrlProp476.xml" ContentType="application/vnd.ms-excel.controlproperties+xml"/>
  <Override PartName="/xl/ctrlProps/ctrlProp477.xml" ContentType="application/vnd.ms-excel.controlproperties+xml"/>
  <Override PartName="/xl/ctrlProps/ctrlProp478.xml" ContentType="application/vnd.ms-excel.controlproperties+xml"/>
  <Override PartName="/xl/ctrlProps/ctrlProp479.xml" ContentType="application/vnd.ms-excel.controlproperties+xml"/>
  <Override PartName="/xl/ctrlProps/ctrlProp480.xml" ContentType="application/vnd.ms-excel.controlproperties+xml"/>
  <Override PartName="/xl/ctrlProps/ctrlProp481.xml" ContentType="application/vnd.ms-excel.controlproperties+xml"/>
  <Override PartName="/xl/ctrlProps/ctrlProp482.xml" ContentType="application/vnd.ms-excel.controlproperties+xml"/>
  <Override PartName="/xl/ctrlProps/ctrlProp483.xml" ContentType="application/vnd.ms-excel.controlproperties+xml"/>
  <Override PartName="/xl/ctrlProps/ctrlProp484.xml" ContentType="application/vnd.ms-excel.controlproperties+xml"/>
  <Override PartName="/xl/ctrlProps/ctrlProp485.xml" ContentType="application/vnd.ms-excel.controlproperties+xml"/>
  <Override PartName="/xl/ctrlProps/ctrlProp486.xml" ContentType="application/vnd.ms-excel.controlproperties+xml"/>
  <Override PartName="/xl/ctrlProps/ctrlProp487.xml" ContentType="application/vnd.ms-excel.controlproperties+xml"/>
  <Override PartName="/xl/ctrlProps/ctrlProp488.xml" ContentType="application/vnd.ms-excel.controlproperties+xml"/>
  <Override PartName="/xl/ctrlProps/ctrlProp489.xml" ContentType="application/vnd.ms-excel.controlproperties+xml"/>
  <Override PartName="/xl/ctrlProps/ctrlProp490.xml" ContentType="application/vnd.ms-excel.controlproperties+xml"/>
  <Override PartName="/xl/ctrlProps/ctrlProp491.xml" ContentType="application/vnd.ms-excel.controlproperties+xml"/>
  <Override PartName="/xl/ctrlProps/ctrlProp492.xml" ContentType="application/vnd.ms-excel.controlproperties+xml"/>
  <Override PartName="/xl/ctrlProps/ctrlProp493.xml" ContentType="application/vnd.ms-excel.controlproperties+xml"/>
  <Override PartName="/xl/ctrlProps/ctrlProp494.xml" ContentType="application/vnd.ms-excel.controlproperties+xml"/>
  <Override PartName="/xl/ctrlProps/ctrlProp495.xml" ContentType="application/vnd.ms-excel.controlproperties+xml"/>
  <Override PartName="/xl/ctrlProps/ctrlProp496.xml" ContentType="application/vnd.ms-excel.controlproperties+xml"/>
  <Override PartName="/xl/ctrlProps/ctrlProp497.xml" ContentType="application/vnd.ms-excel.controlproperties+xml"/>
  <Override PartName="/xl/ctrlProps/ctrlProp498.xml" ContentType="application/vnd.ms-excel.controlproperties+xml"/>
  <Override PartName="/xl/ctrlProps/ctrlProp499.xml" ContentType="application/vnd.ms-excel.controlproperties+xml"/>
  <Override PartName="/xl/ctrlProps/ctrlProp500.xml" ContentType="application/vnd.ms-excel.controlproperties+xml"/>
  <Override PartName="/xl/ctrlProps/ctrlProp501.xml" ContentType="application/vnd.ms-excel.controlproperties+xml"/>
  <Override PartName="/xl/ctrlProps/ctrlProp502.xml" ContentType="application/vnd.ms-excel.controlproperties+xml"/>
  <Override PartName="/xl/ctrlProps/ctrlProp503.xml" ContentType="application/vnd.ms-excel.controlproperties+xml"/>
  <Override PartName="/xl/ctrlProps/ctrlProp504.xml" ContentType="application/vnd.ms-excel.controlproperties+xml"/>
  <Override PartName="/xl/ctrlProps/ctrlProp505.xml" ContentType="application/vnd.ms-excel.controlproperties+xml"/>
  <Override PartName="/xl/ctrlProps/ctrlProp506.xml" ContentType="application/vnd.ms-excel.controlproperties+xml"/>
  <Override PartName="/xl/ctrlProps/ctrlProp507.xml" ContentType="application/vnd.ms-excel.controlproperties+xml"/>
  <Override PartName="/xl/ctrlProps/ctrlProp508.xml" ContentType="application/vnd.ms-excel.controlproperties+xml"/>
  <Override PartName="/xl/ctrlProps/ctrlProp509.xml" ContentType="application/vnd.ms-excel.controlproperties+xml"/>
  <Override PartName="/xl/ctrlProps/ctrlProp510.xml" ContentType="application/vnd.ms-excel.controlproperties+xml"/>
  <Override PartName="/xl/ctrlProps/ctrlProp511.xml" ContentType="application/vnd.ms-excel.controlproperties+xml"/>
  <Override PartName="/xl/ctrlProps/ctrlProp512.xml" ContentType="application/vnd.ms-excel.controlproperties+xml"/>
  <Override PartName="/xl/ctrlProps/ctrlProp513.xml" ContentType="application/vnd.ms-excel.controlproperties+xml"/>
  <Override PartName="/xl/ctrlProps/ctrlProp514.xml" ContentType="application/vnd.ms-excel.controlproperties+xml"/>
  <Override PartName="/xl/ctrlProps/ctrlProp515.xml" ContentType="application/vnd.ms-excel.controlproperties+xml"/>
  <Override PartName="/xl/ctrlProps/ctrlProp516.xml" ContentType="application/vnd.ms-excel.controlproperties+xml"/>
  <Override PartName="/xl/ctrlProps/ctrlProp517.xml" ContentType="application/vnd.ms-excel.controlproperties+xml"/>
  <Override PartName="/xl/ctrlProps/ctrlProp518.xml" ContentType="application/vnd.ms-excel.controlproperties+xml"/>
  <Override PartName="/xl/ctrlProps/ctrlProp519.xml" ContentType="application/vnd.ms-excel.controlproperties+xml"/>
  <Override PartName="/xl/ctrlProps/ctrlProp520.xml" ContentType="application/vnd.ms-excel.controlproperties+xml"/>
  <Override PartName="/xl/ctrlProps/ctrlProp521.xml" ContentType="application/vnd.ms-excel.controlproperties+xml"/>
  <Override PartName="/xl/ctrlProps/ctrlProp522.xml" ContentType="application/vnd.ms-excel.controlproperties+xml"/>
  <Override PartName="/xl/ctrlProps/ctrlProp523.xml" ContentType="application/vnd.ms-excel.controlproperties+xml"/>
  <Override PartName="/xl/ctrlProps/ctrlProp524.xml" ContentType="application/vnd.ms-excel.controlproperties+xml"/>
  <Override PartName="/xl/ctrlProps/ctrlProp525.xml" ContentType="application/vnd.ms-excel.controlproperties+xml"/>
  <Override PartName="/xl/ctrlProps/ctrlProp526.xml" ContentType="application/vnd.ms-excel.controlproperties+xml"/>
  <Override PartName="/xl/ctrlProps/ctrlProp527.xml" ContentType="application/vnd.ms-excel.controlproperties+xml"/>
  <Override PartName="/xl/ctrlProps/ctrlProp528.xml" ContentType="application/vnd.ms-excel.controlproperties+xml"/>
  <Override PartName="/xl/ctrlProps/ctrlProp529.xml" ContentType="application/vnd.ms-excel.controlproperties+xml"/>
  <Override PartName="/xl/ctrlProps/ctrlProp530.xml" ContentType="application/vnd.ms-excel.controlproperties+xml"/>
  <Override PartName="/xl/ctrlProps/ctrlProp531.xml" ContentType="application/vnd.ms-excel.controlproperties+xml"/>
  <Override PartName="/xl/ctrlProps/ctrlProp532.xml" ContentType="application/vnd.ms-excel.controlproperties+xml"/>
  <Override PartName="/xl/ctrlProps/ctrlProp533.xml" ContentType="application/vnd.ms-excel.controlproperties+xml"/>
  <Override PartName="/xl/ctrlProps/ctrlProp534.xml" ContentType="application/vnd.ms-excel.controlproperties+xml"/>
  <Override PartName="/xl/ctrlProps/ctrlProp535.xml" ContentType="application/vnd.ms-excel.controlproperties+xml"/>
  <Override PartName="/xl/ctrlProps/ctrlProp536.xml" ContentType="application/vnd.ms-excel.controlproperties+xml"/>
  <Override PartName="/xl/ctrlProps/ctrlProp537.xml" ContentType="application/vnd.ms-excel.controlproperties+xml"/>
  <Override PartName="/xl/ctrlProps/ctrlProp538.xml" ContentType="application/vnd.ms-excel.controlproperties+xml"/>
  <Override PartName="/xl/ctrlProps/ctrlProp539.xml" ContentType="application/vnd.ms-excel.controlproperties+xml"/>
  <Override PartName="/xl/ctrlProps/ctrlProp540.xml" ContentType="application/vnd.ms-excel.controlproperties+xml"/>
  <Override PartName="/xl/ctrlProps/ctrlProp541.xml" ContentType="application/vnd.ms-excel.controlproperties+xml"/>
  <Override PartName="/xl/ctrlProps/ctrlProp542.xml" ContentType="application/vnd.ms-excel.controlproperties+xml"/>
  <Override PartName="/xl/ctrlProps/ctrlProp543.xml" ContentType="application/vnd.ms-excel.controlproperties+xml"/>
  <Override PartName="/xl/ctrlProps/ctrlProp544.xml" ContentType="application/vnd.ms-excel.controlproperties+xml"/>
  <Override PartName="/xl/ctrlProps/ctrlProp545.xml" ContentType="application/vnd.ms-excel.controlproperties+xml"/>
  <Override PartName="/xl/ctrlProps/ctrlProp546.xml" ContentType="application/vnd.ms-excel.controlproperties+xml"/>
  <Override PartName="/xl/ctrlProps/ctrlProp547.xml" ContentType="application/vnd.ms-excel.controlproperties+xml"/>
  <Override PartName="/xl/ctrlProps/ctrlProp548.xml" ContentType="application/vnd.ms-excel.controlproperties+xml"/>
  <Override PartName="/xl/ctrlProps/ctrlProp549.xml" ContentType="application/vnd.ms-excel.controlproperties+xml"/>
  <Override PartName="/xl/ctrlProps/ctrlProp550.xml" ContentType="application/vnd.ms-excel.controlproperties+xml"/>
  <Override PartName="/xl/ctrlProps/ctrlProp551.xml" ContentType="application/vnd.ms-excel.controlproperties+xml"/>
  <Override PartName="/xl/ctrlProps/ctrlProp552.xml" ContentType="application/vnd.ms-excel.controlproperties+xml"/>
  <Override PartName="/xl/ctrlProps/ctrlProp553.xml" ContentType="application/vnd.ms-excel.controlproperties+xml"/>
  <Override PartName="/xl/ctrlProps/ctrlProp554.xml" ContentType="application/vnd.ms-excel.controlproperties+xml"/>
  <Override PartName="/xl/ctrlProps/ctrlProp555.xml" ContentType="application/vnd.ms-excel.controlproperties+xml"/>
  <Override PartName="/xl/ctrlProps/ctrlProp556.xml" ContentType="application/vnd.ms-excel.controlproperties+xml"/>
  <Override PartName="/xl/ctrlProps/ctrlProp557.xml" ContentType="application/vnd.ms-excel.controlproperties+xml"/>
  <Override PartName="/xl/ctrlProps/ctrlProp558.xml" ContentType="application/vnd.ms-excel.controlproperties+xml"/>
  <Override PartName="/xl/ctrlProps/ctrlProp559.xml" ContentType="application/vnd.ms-excel.controlproperties+xml"/>
  <Override PartName="/xl/ctrlProps/ctrlProp560.xml" ContentType="application/vnd.ms-excel.controlproperties+xml"/>
  <Override PartName="/xl/ctrlProps/ctrlProp561.xml" ContentType="application/vnd.ms-excel.controlproperties+xml"/>
  <Override PartName="/xl/ctrlProps/ctrlProp562.xml" ContentType="application/vnd.ms-excel.controlproperties+xml"/>
  <Override PartName="/xl/ctrlProps/ctrlProp563.xml" ContentType="application/vnd.ms-excel.controlproperties+xml"/>
  <Override PartName="/xl/ctrlProps/ctrlProp564.xml" ContentType="application/vnd.ms-excel.controlproperties+xml"/>
  <Override PartName="/xl/ctrlProps/ctrlProp565.xml" ContentType="application/vnd.ms-excel.controlproperties+xml"/>
  <Override PartName="/xl/ctrlProps/ctrlProp566.xml" ContentType="application/vnd.ms-excel.controlproperties+xml"/>
  <Override PartName="/xl/ctrlProps/ctrlProp567.xml" ContentType="application/vnd.ms-excel.controlproperties+xml"/>
  <Override PartName="/xl/ctrlProps/ctrlProp568.xml" ContentType="application/vnd.ms-excel.controlproperties+xml"/>
  <Override PartName="/xl/ctrlProps/ctrlProp569.xml" ContentType="application/vnd.ms-excel.controlproperties+xml"/>
  <Override PartName="/xl/ctrlProps/ctrlProp570.xml" ContentType="application/vnd.ms-excel.controlproperties+xml"/>
  <Override PartName="/xl/ctrlProps/ctrlProp571.xml" ContentType="application/vnd.ms-excel.controlproperties+xml"/>
  <Override PartName="/xl/ctrlProps/ctrlProp572.xml" ContentType="application/vnd.ms-excel.controlproperties+xml"/>
  <Override PartName="/xl/ctrlProps/ctrlProp573.xml" ContentType="application/vnd.ms-excel.controlproperties+xml"/>
  <Override PartName="/xl/ctrlProps/ctrlProp574.xml" ContentType="application/vnd.ms-excel.controlproperties+xml"/>
  <Override PartName="/xl/ctrlProps/ctrlProp575.xml" ContentType="application/vnd.ms-excel.controlproperties+xml"/>
  <Override PartName="/xl/ctrlProps/ctrlProp576.xml" ContentType="application/vnd.ms-excel.controlproperties+xml"/>
  <Override PartName="/xl/ctrlProps/ctrlProp577.xml" ContentType="application/vnd.ms-excel.controlproperties+xml"/>
  <Override PartName="/xl/ctrlProps/ctrlProp578.xml" ContentType="application/vnd.ms-excel.controlproperties+xml"/>
  <Override PartName="/xl/ctrlProps/ctrlProp579.xml" ContentType="application/vnd.ms-excel.controlproperties+xml"/>
  <Override PartName="/xl/ctrlProps/ctrlProp580.xml" ContentType="application/vnd.ms-excel.controlproperties+xml"/>
  <Override PartName="/xl/ctrlProps/ctrlProp581.xml" ContentType="application/vnd.ms-excel.controlproperties+xml"/>
  <Override PartName="/xl/ctrlProps/ctrlProp582.xml" ContentType="application/vnd.ms-excel.controlproperties+xml"/>
  <Override PartName="/xl/ctrlProps/ctrlProp583.xml" ContentType="application/vnd.ms-excel.controlproperties+xml"/>
  <Override PartName="/xl/ctrlProps/ctrlProp584.xml" ContentType="application/vnd.ms-excel.controlproperties+xml"/>
  <Override PartName="/xl/ctrlProps/ctrlProp585.xml" ContentType="application/vnd.ms-excel.controlproperties+xml"/>
  <Override PartName="/xl/ctrlProps/ctrlProp586.xml" ContentType="application/vnd.ms-excel.controlproperties+xml"/>
  <Override PartName="/xl/ctrlProps/ctrlProp587.xml" ContentType="application/vnd.ms-excel.controlproperties+xml"/>
  <Override PartName="/xl/ctrlProps/ctrlProp588.xml" ContentType="application/vnd.ms-excel.controlproperties+xml"/>
  <Override PartName="/xl/ctrlProps/ctrlProp589.xml" ContentType="application/vnd.ms-excel.controlproperties+xml"/>
  <Override PartName="/xl/ctrlProps/ctrlProp590.xml" ContentType="application/vnd.ms-excel.controlproperties+xml"/>
  <Override PartName="/xl/ctrlProps/ctrlProp591.xml" ContentType="application/vnd.ms-excel.controlproperties+xml"/>
  <Override PartName="/xl/ctrlProps/ctrlProp592.xml" ContentType="application/vnd.ms-excel.controlproperties+xml"/>
  <Override PartName="/xl/ctrlProps/ctrlProp593.xml" ContentType="application/vnd.ms-excel.controlproperties+xml"/>
  <Override PartName="/xl/ctrlProps/ctrlProp594.xml" ContentType="application/vnd.ms-excel.controlproperties+xml"/>
  <Override PartName="/xl/ctrlProps/ctrlProp595.xml" ContentType="application/vnd.ms-excel.controlproperties+xml"/>
  <Override PartName="/xl/ctrlProps/ctrlProp596.xml" ContentType="application/vnd.ms-excel.controlproperties+xml"/>
  <Override PartName="/xl/ctrlProps/ctrlProp597.xml" ContentType="application/vnd.ms-excel.controlproperties+xml"/>
  <Override PartName="/xl/ctrlProps/ctrlProp598.xml" ContentType="application/vnd.ms-excel.controlproperties+xml"/>
  <Override PartName="/xl/ctrlProps/ctrlProp599.xml" ContentType="application/vnd.ms-excel.controlproperties+xml"/>
  <Override PartName="/xl/ctrlProps/ctrlProp600.xml" ContentType="application/vnd.ms-excel.controlproperties+xml"/>
  <Override PartName="/xl/ctrlProps/ctrlProp601.xml" ContentType="application/vnd.ms-excel.controlproperties+xml"/>
  <Override PartName="/xl/ctrlProps/ctrlProp602.xml" ContentType="application/vnd.ms-excel.controlproperties+xml"/>
  <Override PartName="/xl/ctrlProps/ctrlProp603.xml" ContentType="application/vnd.ms-excel.controlproperties+xml"/>
  <Override PartName="/xl/ctrlProps/ctrlProp604.xml" ContentType="application/vnd.ms-excel.controlproperties+xml"/>
  <Override PartName="/xl/ctrlProps/ctrlProp605.xml" ContentType="application/vnd.ms-excel.controlproperties+xml"/>
  <Override PartName="/xl/ctrlProps/ctrlProp606.xml" ContentType="application/vnd.ms-excel.controlproperties+xml"/>
  <Override PartName="/xl/ctrlProps/ctrlProp607.xml" ContentType="application/vnd.ms-excel.controlproperties+xml"/>
  <Override PartName="/xl/ctrlProps/ctrlProp608.xml" ContentType="application/vnd.ms-excel.controlproperties+xml"/>
  <Override PartName="/xl/ctrlProps/ctrlProp609.xml" ContentType="application/vnd.ms-excel.controlproperties+xml"/>
  <Override PartName="/xl/ctrlProps/ctrlProp610.xml" ContentType="application/vnd.ms-excel.controlproperties+xml"/>
  <Override PartName="/xl/ctrlProps/ctrlProp611.xml" ContentType="application/vnd.ms-excel.controlproperties+xml"/>
  <Override PartName="/xl/ctrlProps/ctrlProp612.xml" ContentType="application/vnd.ms-excel.controlproperties+xml"/>
  <Override PartName="/xl/ctrlProps/ctrlProp613.xml" ContentType="application/vnd.ms-excel.controlproperties+xml"/>
  <Override PartName="/xl/ctrlProps/ctrlProp614.xml" ContentType="application/vnd.ms-excel.controlproperties+xml"/>
  <Override PartName="/xl/ctrlProps/ctrlProp615.xml" ContentType="application/vnd.ms-excel.controlproperties+xml"/>
  <Override PartName="/xl/ctrlProps/ctrlProp616.xml" ContentType="application/vnd.ms-excel.controlproperties+xml"/>
  <Override PartName="/xl/ctrlProps/ctrlProp617.xml" ContentType="application/vnd.ms-excel.controlproperties+xml"/>
  <Override PartName="/xl/ctrlProps/ctrlProp618.xml" ContentType="application/vnd.ms-excel.controlproperties+xml"/>
  <Override PartName="/xl/ctrlProps/ctrlProp619.xml" ContentType="application/vnd.ms-excel.controlproperties+xml"/>
  <Override PartName="/xl/ctrlProps/ctrlProp620.xml" ContentType="application/vnd.ms-excel.controlproperties+xml"/>
  <Override PartName="/xl/ctrlProps/ctrlProp621.xml" ContentType="application/vnd.ms-excel.controlproperties+xml"/>
  <Override PartName="/xl/ctrlProps/ctrlProp622.xml" ContentType="application/vnd.ms-excel.controlproperties+xml"/>
  <Override PartName="/xl/ctrlProps/ctrlProp623.xml" ContentType="application/vnd.ms-excel.controlproperties+xml"/>
  <Override PartName="/xl/ctrlProps/ctrlProp624.xml" ContentType="application/vnd.ms-excel.controlproperties+xml"/>
  <Override PartName="/xl/ctrlProps/ctrlProp625.xml" ContentType="application/vnd.ms-excel.controlproperties+xml"/>
  <Override PartName="/xl/ctrlProps/ctrlProp626.xml" ContentType="application/vnd.ms-excel.controlproperties+xml"/>
  <Override PartName="/xl/ctrlProps/ctrlProp627.xml" ContentType="application/vnd.ms-excel.controlproperties+xml"/>
  <Override PartName="/xl/ctrlProps/ctrlProp628.xml" ContentType="application/vnd.ms-excel.controlproperties+xml"/>
  <Override PartName="/xl/ctrlProps/ctrlProp629.xml" ContentType="application/vnd.ms-excel.controlproperties+xml"/>
  <Override PartName="/xl/ctrlProps/ctrlProp630.xml" ContentType="application/vnd.ms-excel.controlproperties+xml"/>
  <Override PartName="/xl/ctrlProps/ctrlProp631.xml" ContentType="application/vnd.ms-excel.controlproperties+xml"/>
  <Override PartName="/xl/ctrlProps/ctrlProp632.xml" ContentType="application/vnd.ms-excel.controlproperties+xml"/>
  <Override PartName="/xl/ctrlProps/ctrlProp633.xml" ContentType="application/vnd.ms-excel.controlproperties+xml"/>
  <Override PartName="/xl/ctrlProps/ctrlProp634.xml" ContentType="application/vnd.ms-excel.controlproperties+xml"/>
  <Override PartName="/xl/ctrlProps/ctrlProp635.xml" ContentType="application/vnd.ms-excel.controlproperties+xml"/>
  <Override PartName="/xl/ctrlProps/ctrlProp636.xml" ContentType="application/vnd.ms-excel.controlproperties+xml"/>
  <Override PartName="/xl/ctrlProps/ctrlProp637.xml" ContentType="application/vnd.ms-excel.controlproperties+xml"/>
  <Override PartName="/xl/ctrlProps/ctrlProp638.xml" ContentType="application/vnd.ms-excel.controlproperties+xml"/>
  <Override PartName="/xl/ctrlProps/ctrlProp639.xml" ContentType="application/vnd.ms-excel.controlproperties+xml"/>
  <Override PartName="/xl/ctrlProps/ctrlProp640.xml" ContentType="application/vnd.ms-excel.controlproperties+xml"/>
  <Override PartName="/xl/ctrlProps/ctrlProp641.xml" ContentType="application/vnd.ms-excel.controlproperties+xml"/>
  <Override PartName="/xl/ctrlProps/ctrlProp642.xml" ContentType="application/vnd.ms-excel.controlproperties+xml"/>
  <Override PartName="/xl/ctrlProps/ctrlProp643.xml" ContentType="application/vnd.ms-excel.controlproperties+xml"/>
  <Override PartName="/xl/ctrlProps/ctrlProp644.xml" ContentType="application/vnd.ms-excel.controlproperties+xml"/>
  <Override PartName="/xl/ctrlProps/ctrlProp645.xml" ContentType="application/vnd.ms-excel.controlproperties+xml"/>
  <Override PartName="/xl/ctrlProps/ctrlProp646.xml" ContentType="application/vnd.ms-excel.controlproperties+xml"/>
  <Override PartName="/xl/ctrlProps/ctrlProp647.xml" ContentType="application/vnd.ms-excel.controlproperties+xml"/>
  <Override PartName="/xl/ctrlProps/ctrlProp648.xml" ContentType="application/vnd.ms-excel.controlproperties+xml"/>
  <Override PartName="/xl/ctrlProps/ctrlProp649.xml" ContentType="application/vnd.ms-excel.controlproperties+xml"/>
  <Override PartName="/xl/ctrlProps/ctrlProp650.xml" ContentType="application/vnd.ms-excel.controlproperties+xml"/>
  <Override PartName="/xl/ctrlProps/ctrlProp651.xml" ContentType="application/vnd.ms-excel.controlproperties+xml"/>
  <Override PartName="/xl/ctrlProps/ctrlProp652.xml" ContentType="application/vnd.ms-excel.controlproperties+xml"/>
  <Override PartName="/xl/ctrlProps/ctrlProp653.xml" ContentType="application/vnd.ms-excel.controlproperties+xml"/>
  <Override PartName="/xl/ctrlProps/ctrlProp654.xml" ContentType="application/vnd.ms-excel.controlproperties+xml"/>
  <Override PartName="/xl/ctrlProps/ctrlProp655.xml" ContentType="application/vnd.ms-excel.controlproperties+xml"/>
  <Override PartName="/xl/ctrlProps/ctrlProp656.xml" ContentType="application/vnd.ms-excel.controlproperties+xml"/>
  <Override PartName="/xl/ctrlProps/ctrlProp657.xml" ContentType="application/vnd.ms-excel.controlproperties+xml"/>
  <Override PartName="/xl/ctrlProps/ctrlProp658.xml" ContentType="application/vnd.ms-excel.controlproperties+xml"/>
  <Override PartName="/xl/ctrlProps/ctrlProp659.xml" ContentType="application/vnd.ms-excel.controlproperties+xml"/>
  <Override PartName="/xl/ctrlProps/ctrlProp660.xml" ContentType="application/vnd.ms-excel.controlproperties+xml"/>
  <Override PartName="/xl/ctrlProps/ctrlProp661.xml" ContentType="application/vnd.ms-excel.controlproperties+xml"/>
  <Override PartName="/xl/ctrlProps/ctrlProp662.xml" ContentType="application/vnd.ms-excel.controlproperties+xml"/>
  <Override PartName="/xl/ctrlProps/ctrlProp663.xml" ContentType="application/vnd.ms-excel.controlproperties+xml"/>
  <Override PartName="/xl/ctrlProps/ctrlProp664.xml" ContentType="application/vnd.ms-excel.controlproperties+xml"/>
  <Override PartName="/xl/ctrlProps/ctrlProp665.xml" ContentType="application/vnd.ms-excel.controlproperties+xml"/>
  <Override PartName="/xl/ctrlProps/ctrlProp666.xml" ContentType="application/vnd.ms-excel.controlproperties+xml"/>
  <Override PartName="/xl/ctrlProps/ctrlProp667.xml" ContentType="application/vnd.ms-excel.controlproperties+xml"/>
  <Override PartName="/xl/ctrlProps/ctrlProp668.xml" ContentType="application/vnd.ms-excel.controlproperties+xml"/>
  <Override PartName="/xl/ctrlProps/ctrlProp669.xml" ContentType="application/vnd.ms-excel.controlproperties+xml"/>
  <Override PartName="/xl/ctrlProps/ctrlProp670.xml" ContentType="application/vnd.ms-excel.controlproperties+xml"/>
  <Override PartName="/xl/ctrlProps/ctrlProp671.xml" ContentType="application/vnd.ms-excel.controlproperties+xml"/>
  <Override PartName="/xl/ctrlProps/ctrlProp672.xml" ContentType="application/vnd.ms-excel.controlproperties+xml"/>
  <Override PartName="/xl/ctrlProps/ctrlProp673.xml" ContentType="application/vnd.ms-excel.controlproperties+xml"/>
  <Override PartName="/xl/ctrlProps/ctrlProp674.xml" ContentType="application/vnd.ms-excel.controlproperties+xml"/>
  <Override PartName="/xl/ctrlProps/ctrlProp675.xml" ContentType="application/vnd.ms-excel.controlproperties+xml"/>
  <Override PartName="/xl/ctrlProps/ctrlProp676.xml" ContentType="application/vnd.ms-excel.controlproperties+xml"/>
  <Override PartName="/xl/ctrlProps/ctrlProp677.xml" ContentType="application/vnd.ms-excel.controlproperties+xml"/>
  <Override PartName="/xl/ctrlProps/ctrlProp678.xml" ContentType="application/vnd.ms-excel.controlproperties+xml"/>
  <Override PartName="/xl/ctrlProps/ctrlProp679.xml" ContentType="application/vnd.ms-excel.controlproperties+xml"/>
  <Override PartName="/xl/ctrlProps/ctrlProp680.xml" ContentType="application/vnd.ms-excel.controlproperties+xml"/>
  <Override PartName="/xl/ctrlProps/ctrlProp681.xml" ContentType="application/vnd.ms-excel.controlproperties+xml"/>
  <Override PartName="/xl/ctrlProps/ctrlProp682.xml" ContentType="application/vnd.ms-excel.controlproperties+xml"/>
  <Override PartName="/xl/ctrlProps/ctrlProp683.xml" ContentType="application/vnd.ms-excel.controlproperties+xml"/>
  <Override PartName="/xl/ctrlProps/ctrlProp684.xml" ContentType="application/vnd.ms-excel.controlproperties+xml"/>
  <Override PartName="/xl/ctrlProps/ctrlProp685.xml" ContentType="application/vnd.ms-excel.controlproperties+xml"/>
  <Override PartName="/xl/ctrlProps/ctrlProp686.xml" ContentType="application/vnd.ms-excel.controlproperties+xml"/>
  <Override PartName="/xl/ctrlProps/ctrlProp687.xml" ContentType="application/vnd.ms-excel.controlproperties+xml"/>
  <Override PartName="/xl/ctrlProps/ctrlProp688.xml" ContentType="application/vnd.ms-excel.controlproperties+xml"/>
  <Override PartName="/xl/ctrlProps/ctrlProp689.xml" ContentType="application/vnd.ms-excel.controlproperties+xml"/>
  <Override PartName="/xl/ctrlProps/ctrlProp690.xml" ContentType="application/vnd.ms-excel.controlproperties+xml"/>
  <Override PartName="/xl/ctrlProps/ctrlProp691.xml" ContentType="application/vnd.ms-excel.controlproperties+xml"/>
  <Override PartName="/xl/ctrlProps/ctrlProp692.xml" ContentType="application/vnd.ms-excel.controlproperties+xml"/>
  <Override PartName="/xl/ctrlProps/ctrlProp693.xml" ContentType="application/vnd.ms-excel.controlproperties+xml"/>
  <Override PartName="/xl/ctrlProps/ctrlProp694.xml" ContentType="application/vnd.ms-excel.controlproperties+xml"/>
  <Override PartName="/xl/ctrlProps/ctrlProp695.xml" ContentType="application/vnd.ms-excel.controlproperties+xml"/>
  <Override PartName="/xl/ctrlProps/ctrlProp696.xml" ContentType="application/vnd.ms-excel.controlproperties+xml"/>
  <Override PartName="/xl/ctrlProps/ctrlProp697.xml" ContentType="application/vnd.ms-excel.controlproperties+xml"/>
  <Override PartName="/xl/ctrlProps/ctrlProp698.xml" ContentType="application/vnd.ms-excel.controlproperties+xml"/>
  <Override PartName="/xl/ctrlProps/ctrlProp699.xml" ContentType="application/vnd.ms-excel.controlproperties+xml"/>
  <Override PartName="/xl/ctrlProps/ctrlProp700.xml" ContentType="application/vnd.ms-excel.controlproperties+xml"/>
  <Override PartName="/xl/ctrlProps/ctrlProp701.xml" ContentType="application/vnd.ms-excel.controlproperties+xml"/>
  <Override PartName="/xl/ctrlProps/ctrlProp702.xml" ContentType="application/vnd.ms-excel.controlproperties+xml"/>
  <Override PartName="/xl/ctrlProps/ctrlProp703.xml" ContentType="application/vnd.ms-excel.controlproperties+xml"/>
  <Override PartName="/xl/ctrlProps/ctrlProp704.xml" ContentType="application/vnd.ms-excel.controlproperties+xml"/>
  <Override PartName="/xl/ctrlProps/ctrlProp705.xml" ContentType="application/vnd.ms-excel.controlproperties+xml"/>
  <Override PartName="/xl/ctrlProps/ctrlProp706.xml" ContentType="application/vnd.ms-excel.controlproperties+xml"/>
  <Override PartName="/xl/ctrlProps/ctrlProp707.xml" ContentType="application/vnd.ms-excel.controlproperties+xml"/>
  <Override PartName="/xl/ctrlProps/ctrlProp708.xml" ContentType="application/vnd.ms-excel.controlproperties+xml"/>
  <Override PartName="/xl/ctrlProps/ctrlProp709.xml" ContentType="application/vnd.ms-excel.controlproperties+xml"/>
  <Override PartName="/xl/ctrlProps/ctrlProp710.xml" ContentType="application/vnd.ms-excel.controlproperties+xml"/>
  <Override PartName="/xl/ctrlProps/ctrlProp711.xml" ContentType="application/vnd.ms-excel.controlproperties+xml"/>
  <Override PartName="/xl/ctrlProps/ctrlProp712.xml" ContentType="application/vnd.ms-excel.controlproperties+xml"/>
  <Override PartName="/xl/ctrlProps/ctrlProp713.xml" ContentType="application/vnd.ms-excel.controlproperties+xml"/>
  <Override PartName="/xl/ctrlProps/ctrlProp714.xml" ContentType="application/vnd.ms-excel.controlproperties+xml"/>
  <Override PartName="/xl/ctrlProps/ctrlProp715.xml" ContentType="application/vnd.ms-excel.controlproperties+xml"/>
  <Override PartName="/xl/ctrlProps/ctrlProp716.xml" ContentType="application/vnd.ms-excel.controlproperties+xml"/>
  <Override PartName="/xl/ctrlProps/ctrlProp717.xml" ContentType="application/vnd.ms-excel.controlproperties+xml"/>
  <Override PartName="/xl/ctrlProps/ctrlProp718.xml" ContentType="application/vnd.ms-excel.controlproperties+xml"/>
  <Override PartName="/xl/ctrlProps/ctrlProp719.xml" ContentType="application/vnd.ms-excel.controlproperties+xml"/>
  <Override PartName="/xl/ctrlProps/ctrlProp720.xml" ContentType="application/vnd.ms-excel.controlproperties+xml"/>
  <Override PartName="/xl/ctrlProps/ctrlProp721.xml" ContentType="application/vnd.ms-excel.controlproperties+xml"/>
  <Override PartName="/xl/ctrlProps/ctrlProp722.xml" ContentType="application/vnd.ms-excel.controlproperties+xml"/>
  <Override PartName="/xl/ctrlProps/ctrlProp723.xml" ContentType="application/vnd.ms-excel.controlproperties+xml"/>
  <Override PartName="/xl/ctrlProps/ctrlProp724.xml" ContentType="application/vnd.ms-excel.controlproperties+xml"/>
  <Override PartName="/xl/ctrlProps/ctrlProp725.xml" ContentType="application/vnd.ms-excel.controlproperties+xml"/>
  <Override PartName="/xl/ctrlProps/ctrlProp726.xml" ContentType="application/vnd.ms-excel.controlproperties+xml"/>
  <Override PartName="/xl/ctrlProps/ctrlProp727.xml" ContentType="application/vnd.ms-excel.controlproperties+xml"/>
  <Override PartName="/xl/ctrlProps/ctrlProp728.xml" ContentType="application/vnd.ms-excel.controlproperties+xml"/>
  <Override PartName="/xl/ctrlProps/ctrlProp729.xml" ContentType="application/vnd.ms-excel.controlproperties+xml"/>
  <Override PartName="/xl/ctrlProps/ctrlProp730.xml" ContentType="application/vnd.ms-excel.controlproperties+xml"/>
  <Override PartName="/xl/ctrlProps/ctrlProp731.xml" ContentType="application/vnd.ms-excel.controlproperties+xml"/>
  <Override PartName="/xl/ctrlProps/ctrlProp732.xml" ContentType="application/vnd.ms-excel.controlproperties+xml"/>
  <Override PartName="/xl/ctrlProps/ctrlProp733.xml" ContentType="application/vnd.ms-excel.controlproperties+xml"/>
  <Override PartName="/xl/ctrlProps/ctrlProp734.xml" ContentType="application/vnd.ms-excel.controlproperties+xml"/>
  <Override PartName="/xl/ctrlProps/ctrlProp735.xml" ContentType="application/vnd.ms-excel.controlproperties+xml"/>
  <Override PartName="/xl/ctrlProps/ctrlProp736.xml" ContentType="application/vnd.ms-excel.controlproperties+xml"/>
  <Override PartName="/xl/ctrlProps/ctrlProp737.xml" ContentType="application/vnd.ms-excel.controlproperties+xml"/>
  <Override PartName="/xl/ctrlProps/ctrlProp738.xml" ContentType="application/vnd.ms-excel.controlproperties+xml"/>
  <Override PartName="/xl/ctrlProps/ctrlProp739.xml" ContentType="application/vnd.ms-excel.controlproperties+xml"/>
  <Override PartName="/xl/ctrlProps/ctrlProp740.xml" ContentType="application/vnd.ms-excel.controlproperties+xml"/>
  <Override PartName="/xl/ctrlProps/ctrlProp741.xml" ContentType="application/vnd.ms-excel.controlproperties+xml"/>
  <Override PartName="/xl/ctrlProps/ctrlProp742.xml" ContentType="application/vnd.ms-excel.controlproperties+xml"/>
  <Override PartName="/xl/ctrlProps/ctrlProp743.xml" ContentType="application/vnd.ms-excel.controlproperties+xml"/>
  <Override PartName="/xl/ctrlProps/ctrlProp744.xml" ContentType="application/vnd.ms-excel.controlproperties+xml"/>
  <Override PartName="/xl/ctrlProps/ctrlProp745.xml" ContentType="application/vnd.ms-excel.controlproperties+xml"/>
  <Override PartName="/xl/ctrlProps/ctrlProp746.xml" ContentType="application/vnd.ms-excel.controlproperties+xml"/>
  <Override PartName="/xl/ctrlProps/ctrlProp747.xml" ContentType="application/vnd.ms-excel.controlproperties+xml"/>
  <Override PartName="/xl/ctrlProps/ctrlProp748.xml" ContentType="application/vnd.ms-excel.controlproperties+xml"/>
  <Override PartName="/xl/ctrlProps/ctrlProp749.xml" ContentType="application/vnd.ms-excel.controlproperties+xml"/>
  <Override PartName="/xl/ctrlProps/ctrlProp750.xml" ContentType="application/vnd.ms-excel.controlproperties+xml"/>
  <Override PartName="/xl/ctrlProps/ctrlProp751.xml" ContentType="application/vnd.ms-excel.controlproperties+xml"/>
  <Override PartName="/xl/ctrlProps/ctrlProp752.xml" ContentType="application/vnd.ms-excel.controlproperties+xml"/>
  <Override PartName="/xl/ctrlProps/ctrlProp753.xml" ContentType="application/vnd.ms-excel.controlproperties+xml"/>
  <Override PartName="/xl/ctrlProps/ctrlProp754.xml" ContentType="application/vnd.ms-excel.controlproperties+xml"/>
  <Override PartName="/xl/ctrlProps/ctrlProp755.xml" ContentType="application/vnd.ms-excel.controlproperties+xml"/>
  <Override PartName="/xl/ctrlProps/ctrlProp756.xml" ContentType="application/vnd.ms-excel.controlproperties+xml"/>
  <Override PartName="/xl/ctrlProps/ctrlProp757.xml" ContentType="application/vnd.ms-excel.controlproperties+xml"/>
  <Override PartName="/xl/ctrlProps/ctrlProp758.xml" ContentType="application/vnd.ms-excel.controlproperties+xml"/>
  <Override PartName="/xl/ctrlProps/ctrlProp759.xml" ContentType="application/vnd.ms-excel.controlproperties+xml"/>
  <Override PartName="/xl/ctrlProps/ctrlProp760.xml" ContentType="application/vnd.ms-excel.controlproperties+xml"/>
  <Override PartName="/xl/ctrlProps/ctrlProp761.xml" ContentType="application/vnd.ms-excel.controlproperties+xml"/>
  <Override PartName="/xl/ctrlProps/ctrlProp762.xml" ContentType="application/vnd.ms-excel.controlproperties+xml"/>
  <Override PartName="/xl/ctrlProps/ctrlProp763.xml" ContentType="application/vnd.ms-excel.controlproperties+xml"/>
  <Override PartName="/xl/ctrlProps/ctrlProp764.xml" ContentType="application/vnd.ms-excel.controlproperties+xml"/>
  <Override PartName="/xl/ctrlProps/ctrlProp765.xml" ContentType="application/vnd.ms-excel.controlproperties+xml"/>
  <Override PartName="/xl/ctrlProps/ctrlProp766.xml" ContentType="application/vnd.ms-excel.controlproperties+xml"/>
  <Override PartName="/xl/ctrlProps/ctrlProp767.xml" ContentType="application/vnd.ms-excel.controlproperties+xml"/>
  <Override PartName="/xl/ctrlProps/ctrlProp768.xml" ContentType="application/vnd.ms-excel.controlproperties+xml"/>
  <Override PartName="/xl/ctrlProps/ctrlProp769.xml" ContentType="application/vnd.ms-excel.controlproperties+xml"/>
  <Override PartName="/xl/ctrlProps/ctrlProp770.xml" ContentType="application/vnd.ms-excel.controlproperties+xml"/>
  <Override PartName="/xl/ctrlProps/ctrlProp771.xml" ContentType="application/vnd.ms-excel.controlproperties+xml"/>
  <Override PartName="/xl/ctrlProps/ctrlProp772.xml" ContentType="application/vnd.ms-excel.controlproperties+xml"/>
  <Override PartName="/xl/ctrlProps/ctrlProp773.xml" ContentType="application/vnd.ms-excel.controlproperties+xml"/>
  <Override PartName="/xl/ctrlProps/ctrlProp774.xml" ContentType="application/vnd.ms-excel.controlproperties+xml"/>
  <Override PartName="/xl/ctrlProps/ctrlProp775.xml" ContentType="application/vnd.ms-excel.controlproperties+xml"/>
  <Override PartName="/xl/ctrlProps/ctrlProp776.xml" ContentType="application/vnd.ms-excel.controlproperties+xml"/>
  <Override PartName="/xl/ctrlProps/ctrlProp777.xml" ContentType="application/vnd.ms-excel.controlproperties+xml"/>
  <Override PartName="/xl/ctrlProps/ctrlProp778.xml" ContentType="application/vnd.ms-excel.controlproperties+xml"/>
  <Override PartName="/xl/ctrlProps/ctrlProp779.xml" ContentType="application/vnd.ms-excel.controlproperties+xml"/>
  <Override PartName="/xl/ctrlProps/ctrlProp780.xml" ContentType="application/vnd.ms-excel.controlproperties+xml"/>
  <Override PartName="/xl/ctrlProps/ctrlProp781.xml" ContentType="application/vnd.ms-excel.controlproperties+xml"/>
  <Override PartName="/xl/ctrlProps/ctrlProp782.xml" ContentType="application/vnd.ms-excel.controlproperties+xml"/>
  <Override PartName="/xl/ctrlProps/ctrlProp783.xml" ContentType="application/vnd.ms-excel.controlproperties+xml"/>
  <Override PartName="/xl/ctrlProps/ctrlProp784.xml" ContentType="application/vnd.ms-excel.controlproperties+xml"/>
  <Override PartName="/xl/ctrlProps/ctrlProp785.xml" ContentType="application/vnd.ms-excel.controlproperties+xml"/>
  <Override PartName="/xl/ctrlProps/ctrlProp786.xml" ContentType="application/vnd.ms-excel.controlproperties+xml"/>
  <Override PartName="/xl/ctrlProps/ctrlProp787.xml" ContentType="application/vnd.ms-excel.controlproperties+xml"/>
  <Override PartName="/xl/ctrlProps/ctrlProp788.xml" ContentType="application/vnd.ms-excel.controlproperties+xml"/>
  <Override PartName="/xl/ctrlProps/ctrlProp789.xml" ContentType="application/vnd.ms-excel.controlproperties+xml"/>
  <Override PartName="/xl/ctrlProps/ctrlProp790.xml" ContentType="application/vnd.ms-excel.controlproperties+xml"/>
  <Override PartName="/xl/ctrlProps/ctrlProp791.xml" ContentType="application/vnd.ms-excel.controlproperties+xml"/>
  <Override PartName="/xl/ctrlProps/ctrlProp792.xml" ContentType="application/vnd.ms-excel.controlproperties+xml"/>
  <Override PartName="/xl/ctrlProps/ctrlProp793.xml" ContentType="application/vnd.ms-excel.controlproperties+xml"/>
  <Override PartName="/xl/ctrlProps/ctrlProp794.xml" ContentType="application/vnd.ms-excel.controlproperties+xml"/>
  <Override PartName="/xl/ctrlProps/ctrlProp795.xml" ContentType="application/vnd.ms-excel.controlproperties+xml"/>
  <Override PartName="/xl/ctrlProps/ctrlProp796.xml" ContentType="application/vnd.ms-excel.controlproperties+xml"/>
  <Override PartName="/xl/ctrlProps/ctrlProp797.xml" ContentType="application/vnd.ms-excel.controlproperties+xml"/>
  <Override PartName="/xl/ctrlProps/ctrlProp798.xml" ContentType="application/vnd.ms-excel.controlproperties+xml"/>
  <Override PartName="/xl/ctrlProps/ctrlProp799.xml" ContentType="application/vnd.ms-excel.controlproperties+xml"/>
  <Override PartName="/xl/ctrlProps/ctrlProp800.xml" ContentType="application/vnd.ms-excel.controlproperties+xml"/>
  <Override PartName="/xl/ctrlProps/ctrlProp801.xml" ContentType="application/vnd.ms-excel.controlproperties+xml"/>
  <Override PartName="/xl/ctrlProps/ctrlProp802.xml" ContentType="application/vnd.ms-excel.controlproperties+xml"/>
  <Override PartName="/xl/ctrlProps/ctrlProp803.xml" ContentType="application/vnd.ms-excel.controlproperties+xml"/>
  <Override PartName="/xl/ctrlProps/ctrlProp804.xml" ContentType="application/vnd.ms-excel.controlproperties+xml"/>
  <Override PartName="/xl/ctrlProps/ctrlProp805.xml" ContentType="application/vnd.ms-excel.controlproperties+xml"/>
  <Override PartName="/xl/ctrlProps/ctrlProp806.xml" ContentType="application/vnd.ms-excel.controlproperties+xml"/>
  <Override PartName="/xl/ctrlProps/ctrlProp807.xml" ContentType="application/vnd.ms-excel.controlproperties+xml"/>
  <Override PartName="/xl/ctrlProps/ctrlProp808.xml" ContentType="application/vnd.ms-excel.controlproperties+xml"/>
  <Override PartName="/xl/ctrlProps/ctrlProp809.xml" ContentType="application/vnd.ms-excel.controlproperties+xml"/>
  <Override PartName="/xl/ctrlProps/ctrlProp810.xml" ContentType="application/vnd.ms-excel.controlproperties+xml"/>
  <Override PartName="/xl/ctrlProps/ctrlProp811.xml" ContentType="application/vnd.ms-excel.controlproperties+xml"/>
  <Override PartName="/xl/ctrlProps/ctrlProp812.xml" ContentType="application/vnd.ms-excel.controlproperties+xml"/>
  <Override PartName="/xl/ctrlProps/ctrlProp813.xml" ContentType="application/vnd.ms-excel.controlproperties+xml"/>
  <Override PartName="/xl/ctrlProps/ctrlProp814.xml" ContentType="application/vnd.ms-excel.controlproperties+xml"/>
  <Override PartName="/xl/ctrlProps/ctrlProp815.xml" ContentType="application/vnd.ms-excel.controlproperties+xml"/>
  <Override PartName="/xl/ctrlProps/ctrlProp816.xml" ContentType="application/vnd.ms-excel.controlproperties+xml"/>
  <Override PartName="/xl/ctrlProps/ctrlProp817.xml" ContentType="application/vnd.ms-excel.controlproperties+xml"/>
  <Override PartName="/xl/ctrlProps/ctrlProp818.xml" ContentType="application/vnd.ms-excel.controlproperties+xml"/>
  <Override PartName="/xl/ctrlProps/ctrlProp819.xml" ContentType="application/vnd.ms-excel.controlproperties+xml"/>
  <Override PartName="/xl/ctrlProps/ctrlProp820.xml" ContentType="application/vnd.ms-excel.controlproperties+xml"/>
  <Override PartName="/xl/ctrlProps/ctrlProp821.xml" ContentType="application/vnd.ms-excel.controlproperties+xml"/>
  <Override PartName="/xl/ctrlProps/ctrlProp822.xml" ContentType="application/vnd.ms-excel.controlproperties+xml"/>
  <Override PartName="/xl/ctrlProps/ctrlProp823.xml" ContentType="application/vnd.ms-excel.controlproperties+xml"/>
  <Override PartName="/xl/ctrlProps/ctrlProp824.xml" ContentType="application/vnd.ms-excel.controlproperties+xml"/>
  <Override PartName="/xl/ctrlProps/ctrlProp825.xml" ContentType="application/vnd.ms-excel.controlproperties+xml"/>
  <Override PartName="/xl/ctrlProps/ctrlProp826.xml" ContentType="application/vnd.ms-excel.controlproperties+xml"/>
  <Override PartName="/xl/ctrlProps/ctrlProp827.xml" ContentType="application/vnd.ms-excel.controlproperties+xml"/>
  <Override PartName="/xl/ctrlProps/ctrlProp828.xml" ContentType="application/vnd.ms-excel.controlproperties+xml"/>
  <Override PartName="/xl/ctrlProps/ctrlProp829.xml" ContentType="application/vnd.ms-excel.controlproperties+xml"/>
  <Override PartName="/xl/ctrlProps/ctrlProp830.xml" ContentType="application/vnd.ms-excel.controlproperties+xml"/>
  <Override PartName="/xl/ctrlProps/ctrlProp831.xml" ContentType="application/vnd.ms-excel.controlproperties+xml"/>
  <Override PartName="/xl/ctrlProps/ctrlProp832.xml" ContentType="application/vnd.ms-excel.controlproperties+xml"/>
  <Override PartName="/xl/ctrlProps/ctrlProp833.xml" ContentType="application/vnd.ms-excel.controlproperties+xml"/>
  <Override PartName="/xl/ctrlProps/ctrlProp834.xml" ContentType="application/vnd.ms-excel.controlproperties+xml"/>
  <Override PartName="/xl/ctrlProps/ctrlProp835.xml" ContentType="application/vnd.ms-excel.controlproperties+xml"/>
  <Override PartName="/xl/ctrlProps/ctrlProp836.xml" ContentType="application/vnd.ms-excel.controlproperties+xml"/>
  <Override PartName="/xl/ctrlProps/ctrlProp837.xml" ContentType="application/vnd.ms-excel.controlproperties+xml"/>
  <Override PartName="/xl/ctrlProps/ctrlProp838.xml" ContentType="application/vnd.ms-excel.controlproperties+xml"/>
  <Override PartName="/xl/ctrlProps/ctrlProp839.xml" ContentType="application/vnd.ms-excel.controlproperties+xml"/>
  <Override PartName="/xl/ctrlProps/ctrlProp840.xml" ContentType="application/vnd.ms-excel.controlproperties+xml"/>
  <Override PartName="/xl/ctrlProps/ctrlProp841.xml" ContentType="application/vnd.ms-excel.controlproperties+xml"/>
  <Override PartName="/xl/ctrlProps/ctrlProp842.xml" ContentType="application/vnd.ms-excel.controlproperties+xml"/>
  <Override PartName="/xl/ctrlProps/ctrlProp843.xml" ContentType="application/vnd.ms-excel.controlproperties+xml"/>
  <Override PartName="/xl/ctrlProps/ctrlProp844.xml" ContentType="application/vnd.ms-excel.controlproperties+xml"/>
  <Override PartName="/xl/ctrlProps/ctrlProp845.xml" ContentType="application/vnd.ms-excel.controlproperties+xml"/>
  <Override PartName="/xl/ctrlProps/ctrlProp846.xml" ContentType="application/vnd.ms-excel.controlproperties+xml"/>
  <Override PartName="/xl/ctrlProps/ctrlProp847.xml" ContentType="application/vnd.ms-excel.controlproperties+xml"/>
  <Override PartName="/xl/ctrlProps/ctrlProp848.xml" ContentType="application/vnd.ms-excel.controlproperties+xml"/>
  <Override PartName="/xl/ctrlProps/ctrlProp849.xml" ContentType="application/vnd.ms-excel.controlproperties+xml"/>
  <Override PartName="/xl/ctrlProps/ctrlProp850.xml" ContentType="application/vnd.ms-excel.controlproperties+xml"/>
  <Override PartName="/xl/ctrlProps/ctrlProp851.xml" ContentType="application/vnd.ms-excel.controlproperties+xml"/>
  <Override PartName="/xl/ctrlProps/ctrlProp852.xml" ContentType="application/vnd.ms-excel.controlproperties+xml"/>
  <Override PartName="/xl/ctrlProps/ctrlProp853.xml" ContentType="application/vnd.ms-excel.controlproperties+xml"/>
  <Override PartName="/xl/ctrlProps/ctrlProp854.xml" ContentType="application/vnd.ms-excel.controlproperties+xml"/>
  <Override PartName="/xl/ctrlProps/ctrlProp855.xml" ContentType="application/vnd.ms-excel.controlproperties+xml"/>
  <Override PartName="/xl/ctrlProps/ctrlProp856.xml" ContentType="application/vnd.ms-excel.controlproperties+xml"/>
  <Override PartName="/xl/ctrlProps/ctrlProp857.xml" ContentType="application/vnd.ms-excel.controlproperties+xml"/>
  <Override PartName="/xl/ctrlProps/ctrlProp858.xml" ContentType="application/vnd.ms-excel.controlproperties+xml"/>
  <Override PartName="/xl/ctrlProps/ctrlProp859.xml" ContentType="application/vnd.ms-excel.controlproperties+xml"/>
  <Override PartName="/xl/ctrlProps/ctrlProp860.xml" ContentType="application/vnd.ms-excel.controlproperties+xml"/>
  <Override PartName="/xl/ctrlProps/ctrlProp861.xml" ContentType="application/vnd.ms-excel.controlproperties+xml"/>
  <Override PartName="/xl/ctrlProps/ctrlProp862.xml" ContentType="application/vnd.ms-excel.controlproperties+xml"/>
  <Override PartName="/xl/ctrlProps/ctrlProp863.xml" ContentType="application/vnd.ms-excel.controlproperties+xml"/>
  <Override PartName="/xl/ctrlProps/ctrlProp864.xml" ContentType="application/vnd.ms-excel.controlproperties+xml"/>
  <Override PartName="/xl/ctrlProps/ctrlProp865.xml" ContentType="application/vnd.ms-excel.controlproperties+xml"/>
  <Override PartName="/xl/ctrlProps/ctrlProp866.xml" ContentType="application/vnd.ms-excel.controlproperties+xml"/>
  <Override PartName="/xl/ctrlProps/ctrlProp867.xml" ContentType="application/vnd.ms-excel.controlproperties+xml"/>
  <Override PartName="/xl/ctrlProps/ctrlProp868.xml" ContentType="application/vnd.ms-excel.controlproperties+xml"/>
  <Override PartName="/xl/ctrlProps/ctrlProp869.xml" ContentType="application/vnd.ms-excel.controlproperties+xml"/>
  <Override PartName="/xl/ctrlProps/ctrlProp870.xml" ContentType="application/vnd.ms-excel.controlproperties+xml"/>
  <Override PartName="/xl/ctrlProps/ctrlProp871.xml" ContentType="application/vnd.ms-excel.controlproperties+xml"/>
  <Override PartName="/xl/ctrlProps/ctrlProp872.xml" ContentType="application/vnd.ms-excel.controlproperties+xml"/>
  <Override PartName="/xl/drawings/drawing12.xml" ContentType="application/vnd.openxmlformats-officedocument.drawing+xml"/>
  <Override PartName="/xl/ctrlProps/ctrlProp873.xml" ContentType="application/vnd.ms-excel.controlproperties+xml"/>
  <Override PartName="/xl/ctrlProps/ctrlProp874.xml" ContentType="application/vnd.ms-excel.controlproperties+xml"/>
  <Override PartName="/xl/ctrlProps/ctrlProp875.xml" ContentType="application/vnd.ms-excel.controlproperties+xml"/>
  <Override PartName="/xl/ctrlProps/ctrlProp876.xml" ContentType="application/vnd.ms-excel.controlproperties+xml"/>
  <Override PartName="/xl/ctrlProps/ctrlProp877.xml" ContentType="application/vnd.ms-excel.controlproperties+xml"/>
  <Override PartName="/xl/ctrlProps/ctrlProp878.xml" ContentType="application/vnd.ms-excel.controlproperties+xml"/>
  <Override PartName="/xl/ctrlProps/ctrlProp879.xml" ContentType="application/vnd.ms-excel.controlproperties+xml"/>
  <Override PartName="/xl/ctrlProps/ctrlProp880.xml" ContentType="application/vnd.ms-excel.controlproperties+xml"/>
  <Override PartName="/xl/ctrlProps/ctrlProp881.xml" ContentType="application/vnd.ms-excel.controlproperties+xml"/>
  <Override PartName="/xl/ctrlProps/ctrlProp882.xml" ContentType="application/vnd.ms-excel.controlproperties+xml"/>
  <Override PartName="/xl/ctrlProps/ctrlProp883.xml" ContentType="application/vnd.ms-excel.controlproperties+xml"/>
  <Override PartName="/xl/ctrlProps/ctrlProp884.xml" ContentType="application/vnd.ms-excel.controlproperties+xml"/>
  <Override PartName="/xl/ctrlProps/ctrlProp885.xml" ContentType="application/vnd.ms-excel.controlproperties+xml"/>
  <Override PartName="/xl/ctrlProps/ctrlProp886.xml" ContentType="application/vnd.ms-excel.controlproperties+xml"/>
  <Override PartName="/xl/ctrlProps/ctrlProp887.xml" ContentType="application/vnd.ms-excel.controlproperties+xml"/>
  <Override PartName="/xl/ctrlProps/ctrlProp888.xml" ContentType="application/vnd.ms-excel.controlproperties+xml"/>
  <Override PartName="/xl/ctrlProps/ctrlProp889.xml" ContentType="application/vnd.ms-excel.controlproperties+xml"/>
  <Override PartName="/xl/ctrlProps/ctrlProp890.xml" ContentType="application/vnd.ms-excel.controlproperties+xml"/>
  <Override PartName="/xl/ctrlProps/ctrlProp891.xml" ContentType="application/vnd.ms-excel.controlproperties+xml"/>
  <Override PartName="/xl/ctrlProps/ctrlProp892.xml" ContentType="application/vnd.ms-excel.controlproperties+xml"/>
  <Override PartName="/xl/ctrlProps/ctrlProp893.xml" ContentType="application/vnd.ms-excel.controlproperties+xml"/>
  <Override PartName="/xl/ctrlProps/ctrlProp894.xml" ContentType="application/vnd.ms-excel.controlproperties+xml"/>
  <Override PartName="/xl/ctrlProps/ctrlProp895.xml" ContentType="application/vnd.ms-excel.controlproperties+xml"/>
  <Override PartName="/xl/ctrlProps/ctrlProp896.xml" ContentType="application/vnd.ms-excel.controlproperties+xml"/>
  <Override PartName="/xl/ctrlProps/ctrlProp897.xml" ContentType="application/vnd.ms-excel.controlproperties+xml"/>
  <Override PartName="/xl/ctrlProps/ctrlProp898.xml" ContentType="application/vnd.ms-excel.controlproperties+xml"/>
  <Override PartName="/xl/ctrlProps/ctrlProp899.xml" ContentType="application/vnd.ms-excel.controlproperties+xml"/>
  <Override PartName="/xl/ctrlProps/ctrlProp900.xml" ContentType="application/vnd.ms-excel.controlproperties+xml"/>
  <Override PartName="/xl/ctrlProps/ctrlProp901.xml" ContentType="application/vnd.ms-excel.controlproperties+xml"/>
  <Override PartName="/xl/ctrlProps/ctrlProp902.xml" ContentType="application/vnd.ms-excel.controlproperties+xml"/>
  <Override PartName="/xl/ctrlProps/ctrlProp903.xml" ContentType="application/vnd.ms-excel.controlproperties+xml"/>
  <Override PartName="/xl/ctrlProps/ctrlProp904.xml" ContentType="application/vnd.ms-excel.controlproperties+xml"/>
  <Override PartName="/xl/ctrlProps/ctrlProp905.xml" ContentType="application/vnd.ms-excel.controlproperties+xml"/>
  <Override PartName="/xl/ctrlProps/ctrlProp906.xml" ContentType="application/vnd.ms-excel.controlproperties+xml"/>
  <Override PartName="/xl/ctrlProps/ctrlProp907.xml" ContentType="application/vnd.ms-excel.controlproperties+xml"/>
  <Override PartName="/xl/ctrlProps/ctrlProp908.xml" ContentType="application/vnd.ms-excel.controlproperties+xml"/>
  <Override PartName="/xl/ctrlProps/ctrlProp909.xml" ContentType="application/vnd.ms-excel.controlproperties+xml"/>
  <Override PartName="/xl/ctrlProps/ctrlProp910.xml" ContentType="application/vnd.ms-excel.controlproperties+xml"/>
  <Override PartName="/xl/ctrlProps/ctrlProp911.xml" ContentType="application/vnd.ms-excel.controlproperties+xml"/>
  <Override PartName="/xl/ctrlProps/ctrlProp912.xml" ContentType="application/vnd.ms-excel.controlproperties+xml"/>
  <Override PartName="/xl/ctrlProps/ctrlProp913.xml" ContentType="application/vnd.ms-excel.controlproperties+xml"/>
  <Override PartName="/xl/ctrlProps/ctrlProp914.xml" ContentType="application/vnd.ms-excel.controlproperties+xml"/>
  <Override PartName="/xl/ctrlProps/ctrlProp915.xml" ContentType="application/vnd.ms-excel.controlproperties+xml"/>
  <Override PartName="/xl/ctrlProps/ctrlProp916.xml" ContentType="application/vnd.ms-excel.controlproperties+xml"/>
  <Override PartName="/xl/ctrlProps/ctrlProp917.xml" ContentType="application/vnd.ms-excel.controlproperties+xml"/>
  <Override PartName="/xl/ctrlProps/ctrlProp918.xml" ContentType="application/vnd.ms-excel.controlproperties+xml"/>
  <Override PartName="/xl/ctrlProps/ctrlProp919.xml" ContentType="application/vnd.ms-excel.controlproperties+xml"/>
  <Override PartName="/xl/ctrlProps/ctrlProp920.xml" ContentType="application/vnd.ms-excel.controlproperties+xml"/>
  <Override PartName="/xl/ctrlProps/ctrlProp921.xml" ContentType="application/vnd.ms-excel.controlproperties+xml"/>
  <Override PartName="/xl/ctrlProps/ctrlProp922.xml" ContentType="application/vnd.ms-excel.controlproperties+xml"/>
  <Override PartName="/xl/ctrlProps/ctrlProp923.xml" ContentType="application/vnd.ms-excel.controlproperties+xml"/>
  <Override PartName="/xl/ctrlProps/ctrlProp924.xml" ContentType="application/vnd.ms-excel.controlproperties+xml"/>
  <Override PartName="/xl/ctrlProps/ctrlProp925.xml" ContentType="application/vnd.ms-excel.controlproperties+xml"/>
  <Override PartName="/xl/ctrlProps/ctrlProp926.xml" ContentType="application/vnd.ms-excel.controlproperties+xml"/>
  <Override PartName="/xl/ctrlProps/ctrlProp927.xml" ContentType="application/vnd.ms-excel.controlproperties+xml"/>
  <Override PartName="/xl/ctrlProps/ctrlProp928.xml" ContentType="application/vnd.ms-excel.controlproperties+xml"/>
  <Override PartName="/xl/drawings/drawing13.xml" ContentType="application/vnd.openxmlformats-officedocument.drawing+xml"/>
  <Override PartName="/xl/ctrlProps/ctrlProp929.xml" ContentType="application/vnd.ms-excel.controlproperties+xml"/>
  <Override PartName="/xl/drawings/drawing14.xml" ContentType="application/vnd.openxmlformats-officedocument.drawing+xml"/>
  <Override PartName="/xl/ctrlProps/ctrlProp930.xml" ContentType="application/vnd.ms-excel.controlproperties+xml"/>
  <Override PartName="/xl/drawings/drawing15.xml" ContentType="application/vnd.openxmlformats-officedocument.drawing+xml"/>
  <Override PartName="/xl/ctrlProps/ctrlProp931.xml" ContentType="application/vnd.ms-excel.controlproperties+xml"/>
  <Override PartName="/xl/ctrlProps/ctrlProp932.xml" ContentType="application/vnd.ms-excel.controlproperties+xml"/>
  <Override PartName="/xl/ctrlProps/ctrlProp933.xml" ContentType="application/vnd.ms-excel.controlproperties+xml"/>
  <Override PartName="/xl/ctrlProps/ctrlProp934.xml" ContentType="application/vnd.ms-excel.controlproperties+xml"/>
  <Override PartName="/xl/ctrlProps/ctrlProp935.xml" ContentType="application/vnd.ms-excel.controlproperties+xml"/>
  <Override PartName="/xl/ctrlProps/ctrlProp936.xml" ContentType="application/vnd.ms-excel.controlproperties+xml"/>
  <Override PartName="/xl/ctrlProps/ctrlProp937.xml" ContentType="application/vnd.ms-excel.controlproperties+xml"/>
  <Override PartName="/xl/ctrlProps/ctrlProp938.xml" ContentType="application/vnd.ms-excel.controlproperties+xml"/>
  <Override PartName="/xl/ctrlProps/ctrlProp939.xml" ContentType="application/vnd.ms-excel.controlproperties+xml"/>
  <Override PartName="/xl/ctrlProps/ctrlProp940.xml" ContentType="application/vnd.ms-excel.controlproperties+xml"/>
  <Override PartName="/xl/ctrlProps/ctrlProp941.xml" ContentType="application/vnd.ms-excel.controlproperties+xml"/>
  <Override PartName="/xl/ctrlProps/ctrlProp942.xml" ContentType="application/vnd.ms-excel.controlproperties+xml"/>
  <Override PartName="/xl/ctrlProps/ctrlProp943.xml" ContentType="application/vnd.ms-excel.controlproperties+xml"/>
  <Override PartName="/xl/ctrlProps/ctrlProp944.xml" ContentType="application/vnd.ms-excel.controlproperties+xml"/>
  <Override PartName="/xl/ctrlProps/ctrlProp945.xml" ContentType="application/vnd.ms-excel.controlproperties+xml"/>
  <Override PartName="/xl/ctrlProps/ctrlProp946.xml" ContentType="application/vnd.ms-excel.controlproperties+xml"/>
  <Override PartName="/xl/ctrlProps/ctrlProp947.xml" ContentType="application/vnd.ms-excel.controlproperties+xml"/>
  <Override PartName="/xl/ctrlProps/ctrlProp948.xml" ContentType="application/vnd.ms-excel.controlproperties+xml"/>
  <Override PartName="/xl/ctrlProps/ctrlProp949.xml" ContentType="application/vnd.ms-excel.controlproperties+xml"/>
  <Override PartName="/xl/ctrlProps/ctrlProp950.xml" ContentType="application/vnd.ms-excel.controlproperties+xml"/>
  <Override PartName="/xl/ctrlProps/ctrlProp951.xml" ContentType="application/vnd.ms-excel.controlproperties+xml"/>
  <Override PartName="/xl/ctrlProps/ctrlProp952.xml" ContentType="application/vnd.ms-excel.controlproperties+xml"/>
  <Override PartName="/xl/ctrlProps/ctrlProp953.xml" ContentType="application/vnd.ms-excel.controlproperties+xml"/>
  <Override PartName="/xl/ctrlProps/ctrlProp954.xml" ContentType="application/vnd.ms-excel.controlproperties+xml"/>
  <Override PartName="/xl/ctrlProps/ctrlProp955.xml" ContentType="application/vnd.ms-excel.controlproperties+xml"/>
  <Override PartName="/xl/ctrlProps/ctrlProp956.xml" ContentType="application/vnd.ms-excel.controlproperties+xml"/>
  <Override PartName="/xl/ctrlProps/ctrlProp957.xml" ContentType="application/vnd.ms-excel.controlproperties+xml"/>
  <Override PartName="/xl/ctrlProps/ctrlProp958.xml" ContentType="application/vnd.ms-excel.controlproperties+xml"/>
  <Override PartName="/xl/ctrlProps/ctrlProp959.xml" ContentType="application/vnd.ms-excel.controlproperties+xml"/>
  <Override PartName="/xl/ctrlProps/ctrlProp960.xml" ContentType="application/vnd.ms-excel.controlproperties+xml"/>
  <Override PartName="/xl/ctrlProps/ctrlProp961.xml" ContentType="application/vnd.ms-excel.controlproperties+xml"/>
  <Override PartName="/xl/drawings/drawing16.xml" ContentType="application/vnd.openxmlformats-officedocument.drawing+xml"/>
  <Override PartName="/xl/ctrlProps/ctrlProp962.xml" ContentType="application/vnd.ms-excel.controlproperties+xml"/>
  <Override PartName="/xl/drawings/drawing17.xml" ContentType="application/vnd.openxmlformats-officedocument.drawing+xml"/>
  <Override PartName="/xl/drawings/drawing18.xml" ContentType="application/vnd.openxmlformats-officedocument.drawing+xml"/>
  <Override PartName="/xl/drawings/drawing19.xml" ContentType="application/vnd.openxmlformats-officedocument.drawing+xml"/>
  <Override PartName="/xl/drawings/drawing20.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913"/>
  <workbookPr updateLinks="never" codeName="ThisWorkbook"/>
  <mc:AlternateContent xmlns:mc="http://schemas.openxmlformats.org/markup-compatibility/2006">
    <mc:Choice Requires="x15">
      <x15ac:absPath xmlns:x15ac="http://schemas.microsoft.com/office/spreadsheetml/2010/11/ac" url="/Users/artemhruzd/Development/Pivotal/axis/axis/customer_hirl/sources/tests/"/>
    </mc:Choice>
  </mc:AlternateContent>
  <xr:revisionPtr revIDLastSave="0" documentId="13_ncr:1_{77C2C6EA-DF01-734A-8D12-ED1D8AFD7E64}" xr6:coauthVersionLast="45" xr6:coauthVersionMax="47" xr10:uidLastSave="{00000000-0000-0000-0000-000000000000}"/>
  <workbookProtection workbookAlgorithmName="SHA-512" workbookHashValue="WkXdOvRokDLBxZ+oXfiGGhM03NaNdvcQnudsddBuDToN3nR1fK9JppEowhYRy7xCQTh3/+EGIh3OaC7wiDcYAw==" workbookSaltValue="vmCXz5BriLi3lN8mjoKjTA==" workbookSpinCount="100000" lockStructure="1"/>
  <bookViews>
    <workbookView xWindow="5900" yWindow="3940" windowWidth="28800" windowHeight="18000" tabRatio="851" firstSheet="5" activeTab="17" xr2:uid="{00000000-000D-0000-FFFF-FFFF00000000}"/>
  </bookViews>
  <sheets>
    <sheet name="Info &amp; Intro" sheetId="6" r:id="rId1"/>
    <sheet name="Overview (Design)" sheetId="7" r:id="rId2"/>
    <sheet name="Geography" sheetId="4" state="veryHidden" r:id="rId3"/>
    <sheet name="11.500" sheetId="8" r:id="rId4"/>
    <sheet name="11.600" sheetId="24" r:id="rId5"/>
    <sheet name="11.700" sheetId="25" r:id="rId6"/>
    <sheet name="11.800" sheetId="82" r:id="rId7"/>
    <sheet name="11.900" sheetId="28" r:id="rId8"/>
    <sheet name="11.1000" sheetId="29" r:id="rId9"/>
    <sheet name="Req. Doc." sheetId="66" r:id="rId10"/>
    <sheet name="Dropdowns" sheetId="2" state="veryHidden" r:id="rId11"/>
    <sheet name="Points" sheetId="3" state="veryHidden" r:id="rId12"/>
    <sheet name="Formulas" sheetId="81" state="veryHidden" r:id="rId13"/>
    <sheet name="Overview (Verification)" sheetId="23" r:id="rId14"/>
    <sheet name="Verification Report" sheetId="16" r:id="rId15"/>
    <sheet name="Ver. Rpt. (Commercial)" sheetId="92" r:id="rId16"/>
    <sheet name="Photo Review" sheetId="76" state="veryHidden" r:id="rId17"/>
    <sheet name="Rough Sig." sheetId="17" r:id="rId18"/>
    <sheet name="Rough Comm. Sig." sheetId="93" r:id="rId19"/>
    <sheet name="Final Sig." sheetId="18" r:id="rId20"/>
    <sheet name="Final Comm. Sig." sheetId="94" r:id="rId21"/>
    <sheet name="Appendix A" sheetId="73" r:id="rId22"/>
    <sheet name="Appendix B" sheetId="74" r:id="rId23"/>
    <sheet name="Appendix D" sheetId="75" r:id="rId24"/>
    <sheet name="Table 305.2.5.1" sheetId="77" r:id="rId25"/>
    <sheet name="Table 305.2.6.1" sheetId="78" r:id="rId26"/>
    <sheet name="Table 11.602.1.12" sheetId="30" r:id="rId27"/>
    <sheet name="Table 11.604.1" sheetId="31" r:id="rId28"/>
    <sheet name="Table 11.610.1.2.1" sheetId="32" r:id="rId29"/>
    <sheet name="Table 11.610.1.2.2" sheetId="33" r:id="rId30"/>
    <sheet name="Figure 6(2)" sheetId="34" r:id="rId31"/>
    <sheet name="Figure 6(3)" sheetId="37" r:id="rId32"/>
    <sheet name="Table 11.701.4.3.2(2)" sheetId="39" r:id="rId33"/>
    <sheet name="Table 11.703.2.1(a)" sheetId="84" r:id="rId34"/>
    <sheet name="Table 11.703.2.1(b)" sheetId="85" r:id="rId35"/>
    <sheet name="Table 11.703.2.2" sheetId="86" r:id="rId36"/>
    <sheet name="Table 11.703.2.4" sheetId="87" r:id="rId37"/>
    <sheet name="Table 11.703.2.5.1" sheetId="88" r:id="rId38"/>
    <sheet name="Table 11.703.2.5.2(a),(b)&amp;(c)" sheetId="89" r:id="rId39"/>
    <sheet name="Table 11.703.7.1(7)" sheetId="83" r:id="rId40"/>
    <sheet name="Table 11.802.1(1)" sheetId="90" r:id="rId41"/>
    <sheet name="Table 11.802.1(2)" sheetId="91" r:id="rId42"/>
    <sheet name="Table 11.901.9.1" sheetId="69" r:id="rId43"/>
    <sheet name="Table 11.901.9.2" sheetId="70" r:id="rId44"/>
    <sheet name="Table 11.901.10(3)" sheetId="71" r:id="rId45"/>
    <sheet name="Errata" sheetId="21" r:id="rId46"/>
  </sheets>
  <externalReferences>
    <externalReference r:id="rId47"/>
  </externalReferences>
  <definedNames>
    <definedName name="_xlnm._FilterDatabase" localSheetId="2" hidden="1">Geography!$A$1:$G$3146</definedName>
    <definedName name="_xlnm._FilterDatabase" localSheetId="16" hidden="1">'Photo Review'!$G$7:$G$2468</definedName>
    <definedName name="_xlnm._FilterDatabase" localSheetId="9" hidden="1">'Req. Doc.'!$A$6:$C$3115</definedName>
    <definedName name="_xlnm._FilterDatabase" localSheetId="15" hidden="1">'Ver. Rpt. (Commercial)'!$A$7:$H$655</definedName>
    <definedName name="_xlnm._FilterDatabase" localSheetId="14" hidden="1">'Verification Report'!$A$7:$H$2468</definedName>
    <definedName name="Ch10AddGoal">Points!$P$24</definedName>
    <definedName name="Ch10GLevFinal">Points!$AA$20</definedName>
    <definedName name="Ch10Level">Points!$K$24</definedName>
    <definedName name="Ch10Points">Points!$H$24</definedName>
    <definedName name="Ch10PointsFinal">Points!$N$24</definedName>
    <definedName name="Ch5AddGoal">Points!$P$15</definedName>
    <definedName name="Ch5Error">'11.500'!$AI$3</definedName>
    <definedName name="Ch5GLevFinal">Points!$AA$15</definedName>
    <definedName name="Ch5Level" localSheetId="11">Points!$K$15</definedName>
    <definedName name="Ch5MandError">'11.500'!$AG$3</definedName>
    <definedName name="Ch5Points" localSheetId="11">Points!$H$15</definedName>
    <definedName name="Ch5PointsFinal">Points!$N$15</definedName>
    <definedName name="Ch6AddGoal">Points!$P$16</definedName>
    <definedName name="Ch6GLevFinal">Points!$AA$16</definedName>
    <definedName name="Ch6Level">Points!$K$16</definedName>
    <definedName name="Ch6NLev">Points!$P$16</definedName>
    <definedName name="Ch6Points">Points!$H$16</definedName>
    <definedName name="Ch6PointsFinal">Points!$N$16</definedName>
    <definedName name="Ch7AddGoal">Points!$X$17</definedName>
    <definedName name="Ch7GLevFinal">Points!$AA$17</definedName>
    <definedName name="Ch7Level">Points!$K$19</definedName>
    <definedName name="Ch7LevelFinal">Points!$Q$19</definedName>
    <definedName name="Ch7Max">Points!$I$10</definedName>
    <definedName name="Ch7Path">Points!$N$9</definedName>
    <definedName name="Ch7Points">Points!$I$18</definedName>
    <definedName name="Ch7PointsFinal">Points!$N$17</definedName>
    <definedName name="Ch8AddGoal">Points!$X$18</definedName>
    <definedName name="Ch8GLevFinal">Points!$AA$18</definedName>
    <definedName name="Ch8Level">Points!$K$22</definedName>
    <definedName name="Ch8LevelFinal">Points!$Q$22</definedName>
    <definedName name="Ch8Max">Points!$I$11</definedName>
    <definedName name="Ch8Points">Points!$I$20</definedName>
    <definedName name="Ch8PointsFinal">Points!$N$21</definedName>
    <definedName name="Ch9AddGoal">Points!$P$23</definedName>
    <definedName name="Ch9GLevFinal">Points!$AA$19</definedName>
    <definedName name="Ch9Level">Points!$K$23</definedName>
    <definedName name="Ch9Points">Points!$H$23</definedName>
    <definedName name="Ch9PointsFinal">Points!$N$23</definedName>
    <definedName name="dbState">Geography!$A$1:$H$3146</definedName>
    <definedName name="dch1001_1_1">'11.1000'!$AQ$15</definedName>
    <definedName name="dch1001_1_10">'11.1000'!$AQ$30</definedName>
    <definedName name="dch1001_1_11">'11.1000'!$AQ$31</definedName>
    <definedName name="dch1001_1_12">'11.1000'!$AQ$32</definedName>
    <definedName name="dch1001_1_13">'11.1000'!$AQ$38</definedName>
    <definedName name="dch1001_1_14">'11.1000'!$AQ$42</definedName>
    <definedName name="dch1001_1_15">'11.1000'!$AQ$44</definedName>
    <definedName name="dch1001_1_16">'11.1000'!$AQ$46</definedName>
    <definedName name="dch1001_1_17">'11.1000'!$AQ$47</definedName>
    <definedName name="dch1001_1_18">'11.1000'!$AQ$49</definedName>
    <definedName name="dch1001_1_19">'11.1000'!$AQ$51</definedName>
    <definedName name="dch1001_1_2">'11.1000'!$AQ$16</definedName>
    <definedName name="dch1001_1_20">'11.1000'!$AQ$52</definedName>
    <definedName name="dch1001_1_21">'11.1000'!$AQ$54</definedName>
    <definedName name="dch1001_1_22">'11.1000'!$AQ$56</definedName>
    <definedName name="dch1001_1_23">'11.1000'!$AQ$58</definedName>
    <definedName name="dch1001_1_24">'11.1000'!$AQ$60</definedName>
    <definedName name="dch1001_1_25">'11.1000'!$AQ$61</definedName>
    <definedName name="dch1001_1_3">'11.1000'!$AQ$17</definedName>
    <definedName name="dch1001_1_4">'11.1000'!$AQ$21</definedName>
    <definedName name="dch1001_1_5">'11.1000'!$AQ$22</definedName>
    <definedName name="dch1001_1_6">'11.1000'!$AQ$23</definedName>
    <definedName name="dch1001_1_7">'11.1000'!$AQ$25</definedName>
    <definedName name="dch1001_1_8">'11.1000'!$AQ$27</definedName>
    <definedName name="dch1001_1_9">'11.1000'!$AQ$28</definedName>
    <definedName name="dch1001_2">'11.1000'!$AQ$62</definedName>
    <definedName name="dch1002_1_1">'11.1000'!$AQ$84</definedName>
    <definedName name="dch1002_1_2">'11.1000'!$AQ$87</definedName>
    <definedName name="dch1002_1_3">'11.1000'!$AQ$90</definedName>
    <definedName name="dch1002_1_4">'11.1000'!$AQ$92</definedName>
    <definedName name="dch1002_1_5">'11.1000'!$AQ$93</definedName>
    <definedName name="dch1002_1_6">'11.1000'!$AQ$95</definedName>
    <definedName name="dch1002_1_7">'11.1000'!$AQ$96</definedName>
    <definedName name="dch1002_1_8">'11.1000'!$AQ$97</definedName>
    <definedName name="dch1002_2_1">'11.1000'!$AQ$103</definedName>
    <definedName name="dch1002_2_10">'11.1000'!$AQ$121</definedName>
    <definedName name="dch1002_2_11">'11.1000'!$AQ$124</definedName>
    <definedName name="dch1002_2_2">'11.1000'!$AQ$105</definedName>
    <definedName name="dch1002_2_3">'11.1000'!$AQ$108</definedName>
    <definedName name="dch1002_2_4">'11.1000'!$AQ$110</definedName>
    <definedName name="dch1002_2_5">'11.1000'!$AQ$113</definedName>
    <definedName name="dch1002_2_6">'11.1000'!$AQ$115</definedName>
    <definedName name="dch1002_2_7">'11.1000'!$AQ$116</definedName>
    <definedName name="dch1002_2_8">'11.1000'!$AQ$118</definedName>
    <definedName name="dch1002_2_9">'11.1000'!$AQ$120</definedName>
    <definedName name="dch1002_3_1">'11.1000'!$AQ$130</definedName>
    <definedName name="dch1002_3_10">'11.1000'!$AQ$151</definedName>
    <definedName name="dch1002_3_11">'11.1000'!$AQ$152</definedName>
    <definedName name="dch1002_3_2">'11.1000'!$AQ$132</definedName>
    <definedName name="dch1002_3_3">'11.1000'!$AQ$136</definedName>
    <definedName name="dch1002_3_4">'11.1000'!$AQ$143</definedName>
    <definedName name="dch1002_3_5">'11.1000'!$AQ$145</definedName>
    <definedName name="dch1002_3_6">'11.1000'!$AQ$146</definedName>
    <definedName name="dch1002_3_7">'11.1000'!$AQ$148</definedName>
    <definedName name="dch1002_3_8">'11.1000'!$AQ$149</definedName>
    <definedName name="dch1002_3_9">'11.1000'!$AQ$150</definedName>
    <definedName name="dch1002_4">'11.1000'!$AQ$154</definedName>
    <definedName name="dch1002_5_1">'11.1000'!$AQ$169</definedName>
    <definedName name="dch1002_5_2">'11.1000'!$AQ$170</definedName>
    <definedName name="dch1002_5_3">'11.1000'!$AQ$171</definedName>
    <definedName name="dch1002_5_4">'11.1000'!$AQ$173</definedName>
    <definedName name="dch1002_5_5">'11.1000'!$AQ$174</definedName>
    <definedName name="dch1002_5_6">'11.1000'!$AQ$175</definedName>
    <definedName name="dch1002_5_7">'11.1000'!$AQ$176</definedName>
    <definedName name="dch1002_5_8">'11.1000'!$AQ$177</definedName>
    <definedName name="dch1002_5_9">'11.1000'!$AQ$178</definedName>
    <definedName name="dch1002_6_1">'11.1000'!$AQ$183</definedName>
    <definedName name="dch1002_6_2">'11.1000'!$AQ$184</definedName>
    <definedName name="dch1002_6_3">'11.1000'!$AQ$185</definedName>
    <definedName name="dch1002_6_4">'11.1000'!$AQ$186</definedName>
    <definedName name="dch1002_6_5">'11.1000'!$AQ$187</definedName>
    <definedName name="dch1002_6_6">'11.1000'!$AQ$188</definedName>
    <definedName name="dch1002_6_7">'11.1000'!$AQ$189</definedName>
    <definedName name="dch1003_1_1">'11.1000'!$AQ$195</definedName>
    <definedName name="dch1003_1_2">'11.1000'!$AQ$197</definedName>
    <definedName name="dch1003_1_3">'11.1000'!$AQ$200</definedName>
    <definedName name="dch1005_1_1">'11.1000'!$AQ$205</definedName>
    <definedName name="dch1005_1_2">'11.1000'!$AQ$208</definedName>
    <definedName name="dch305_2_5_1">'11.700'!$AQ$146</definedName>
    <definedName name="dch305_2_6_1">'11.800'!$AQ$27</definedName>
    <definedName name="dch501_2_1">'11.500'!$AQ$16</definedName>
    <definedName name="dch501_2_2">'11.500'!$AQ$18</definedName>
    <definedName name="dch501_2_3">'11.500'!$AQ$20</definedName>
    <definedName name="dch501_2_3_">'11.500'!$AQ$30</definedName>
    <definedName name="dch501_2_4">'11.500'!$AQ$35</definedName>
    <definedName name="dch501_2_5">'11.500'!$AQ$38</definedName>
    <definedName name="dch501_2_5_d">'11.500'!$AQ$43</definedName>
    <definedName name="dch501_2_6">'11.500'!$AQ$45</definedName>
    <definedName name="dch501_2_7">'11.500'!$AQ$48</definedName>
    <definedName name="dch502_1">'11.500'!$AQ$52</definedName>
    <definedName name="dch503_1_1">'11.500'!$AQ$64</definedName>
    <definedName name="dch503_1_2">'11.500'!$AQ$65</definedName>
    <definedName name="dch503_1_3">'11.500'!$AQ$67</definedName>
    <definedName name="dch503_1_4">'11.500'!$AQ$69</definedName>
    <definedName name="dch503_1_5">'11.500'!$AQ$71</definedName>
    <definedName name="dch503_1_6">'11.500'!$AQ$72</definedName>
    <definedName name="dch503_1_7">'11.500'!$AQ$74</definedName>
    <definedName name="dch503_1_8">'11.500'!$AQ$76</definedName>
    <definedName name="dch503_2">'11.500'!$AQ$82</definedName>
    <definedName name="dch503_2_1">'11.500'!$AQ$83</definedName>
    <definedName name="dch503_2_2">'11.500'!$AQ$84</definedName>
    <definedName name="dch503_2_3">'11.500'!$AQ$86</definedName>
    <definedName name="dch503_2_4">'11.500'!$AQ$91</definedName>
    <definedName name="dch503_2_5">'11.500'!$AQ$93</definedName>
    <definedName name="dch503_3_1">'11.500'!$AQ$97</definedName>
    <definedName name="dch503_3_2_a">'11.500'!$AQ$100</definedName>
    <definedName name="dch503_3_2_b">'11.500'!$AQ$101</definedName>
    <definedName name="dch503_3_2_c">'11.500'!$AQ$103</definedName>
    <definedName name="dch503_3_2_d">'11.500'!$AQ$104</definedName>
    <definedName name="dch503_3_3">'11.500'!$AQ$105</definedName>
    <definedName name="dch503_4_1">'11.500'!$AQ$113</definedName>
    <definedName name="dch503_4_2">'11.500'!$AQ$116</definedName>
    <definedName name="dch503_4_3">'11.500'!$AQ$123</definedName>
    <definedName name="dch503_4_3_">'11.500'!$AQ$128</definedName>
    <definedName name="dch503_4_4">'11.500'!$AQ$130</definedName>
    <definedName name="dch503_5">'11.500'!$AQ$135</definedName>
    <definedName name="dch503_5_1">'11.500'!$AQ$137</definedName>
    <definedName name="dch503_5_10">'11.500'!$AQ$165</definedName>
    <definedName name="dch503_5_11">'11.500'!$AQ$168</definedName>
    <definedName name="dch503_5_12">'11.500'!$AQ$170</definedName>
    <definedName name="dch503_5_13">'11.500'!$AQ$172</definedName>
    <definedName name="dch503_5_2">'11.500'!$AQ$143</definedName>
    <definedName name="dch503_5_3">'11.500'!$AQ$145</definedName>
    <definedName name="dch503_5_4">'11.500'!$AQ$148</definedName>
    <definedName name="dch503_5_5">'11.500'!$AQ$150</definedName>
    <definedName name="dch503_5_6">'11.500'!$AQ$152</definedName>
    <definedName name="dch503_5_7">'11.500'!$AQ$157</definedName>
    <definedName name="dch503_5_8">'11.500'!$AQ$158</definedName>
    <definedName name="dch503_5_9">'11.500'!$AQ$163</definedName>
    <definedName name="dch503_6_1">'11.500'!$AQ$176</definedName>
    <definedName name="dch503_6_2">'11.500'!$AQ$177</definedName>
    <definedName name="dch503_6_3">'11.500'!$AQ$178</definedName>
    <definedName name="dch503_6_4">'11.500'!$AQ$180</definedName>
    <definedName name="dch503_7_1">'11.500'!$AQ$183</definedName>
    <definedName name="dch503_7_2">'11.500'!$AQ$185</definedName>
    <definedName name="dch504_1">'11.500'!$AQ$190</definedName>
    <definedName name="dch504_2_1">'11.500'!$AQ$197</definedName>
    <definedName name="dch504_2_2">'11.500'!$AQ$198</definedName>
    <definedName name="dch504_2_3">'11.500'!$AQ$200</definedName>
    <definedName name="dch504_3_1">'11.500'!$AQ$205</definedName>
    <definedName name="dch504_3_2">'11.500'!$AQ$207</definedName>
    <definedName name="dch504_3_3">'11.500'!$AQ$208</definedName>
    <definedName name="dch504_3_4">'11.500'!$AQ$210</definedName>
    <definedName name="dch504_3_5">'11.500'!$AQ$212</definedName>
    <definedName name="dch504_3_6">'11.500'!$AQ$216</definedName>
    <definedName name="dch504_3_7">'11.500'!$AQ$219</definedName>
    <definedName name="dch504_3_8a">'11.500'!$AQ$221</definedName>
    <definedName name="dch504_3_8b">'11.500'!$AQ$222</definedName>
    <definedName name="dch504_3_8c">'11.500'!$AQ$223</definedName>
    <definedName name="dch504_3_8d">'11.500'!$AQ$224</definedName>
    <definedName name="dch504_3_8e">'11.500'!$AQ$225</definedName>
    <definedName name="dch504_3_8f">'11.500'!$AQ$226</definedName>
    <definedName name="dch505_1_1">'11.500'!$AQ$234</definedName>
    <definedName name="dch505_1_2">'11.500'!$AQ$236</definedName>
    <definedName name="dch505_1_3">'11.500'!$AQ$237</definedName>
    <definedName name="dch505_10_a">'11.500'!$AQ$299</definedName>
    <definedName name="dch505_10_b">'11.500'!$AQ$301</definedName>
    <definedName name="dch505_10_c">'11.500'!$AQ$303</definedName>
    <definedName name="dch505_11">'11.500'!$AQ$305</definedName>
    <definedName name="dch505_2_1_a">'11.500'!$AQ$244</definedName>
    <definedName name="dch505_2_1_b">'11.500'!$AQ$247</definedName>
    <definedName name="dch505_2_1_c">'11.500'!$AQ$251</definedName>
    <definedName name="dch505_2_2">'11.500'!$AQ$252</definedName>
    <definedName name="dch505_3">'11.500'!$AQ$255</definedName>
    <definedName name="dch505_4_1">'11.500'!$AQ$262</definedName>
    <definedName name="dch505_5_a">'11.500'!$AQ$265</definedName>
    <definedName name="dch505_5_b">'11.500'!$AQ$267</definedName>
    <definedName name="dch505_5_c">'11.500'!$AQ$270</definedName>
    <definedName name="dch505_5_d">'11.500'!$AQ$271</definedName>
    <definedName name="dch505_6">'11.500'!$AQ$273</definedName>
    <definedName name="dch505_7">'11.500'!$AQ$283</definedName>
    <definedName name="dch505_8">'11.500'!$AQ$287</definedName>
    <definedName name="dch505_9_a">'11.500'!$AQ$290</definedName>
    <definedName name="dch505_9_b">'11.500'!$AQ$293</definedName>
    <definedName name="dch505_9_c">'11.500'!$AQ$294</definedName>
    <definedName name="dch601_2_1">'11.600'!$AQ$32</definedName>
    <definedName name="dch601_2_2">'11.600'!$AQ$35</definedName>
    <definedName name="dch601_2_3">'11.600'!$AQ$38</definedName>
    <definedName name="dch601_3_1">'11.600'!$AQ$44</definedName>
    <definedName name="dch601_3_2">'11.600'!$AQ$45</definedName>
    <definedName name="dch601_3_3">'11.600'!$AQ$46</definedName>
    <definedName name="dch601_3_4">'11.600'!$AQ$47</definedName>
    <definedName name="dch601_3_5">'11.600'!$AQ$48</definedName>
    <definedName name="dch601_4">'11.600'!$AQ$49</definedName>
    <definedName name="dch601_5_1">'11.600'!$AQ$57</definedName>
    <definedName name="dch601_5_2">'11.600'!$AQ$58</definedName>
    <definedName name="dch601_5_3">'11.600'!$AQ$59</definedName>
    <definedName name="dch601_5_4">'11.600'!$AQ$60</definedName>
    <definedName name="dch601_6">'11.600'!$AQ$62</definedName>
    <definedName name="dch601_7_a">'11.600'!$AQ$69</definedName>
    <definedName name="dch601_7_b">'11.600'!$AQ$70</definedName>
    <definedName name="dch601_7_c">'11.600'!$AQ$71</definedName>
    <definedName name="dch601_7_d">'11.600'!$AQ$75</definedName>
    <definedName name="dch601_7_e">'11.600'!$AQ$77</definedName>
    <definedName name="dch601_8">'11.600'!$AQ$85</definedName>
    <definedName name="dch602_1_1_1">'11.600'!$AQ$98</definedName>
    <definedName name="dch602_1_1_2">'11.600'!$AQ$102</definedName>
    <definedName name="dch602_1_10">'11.600'!$AQ$215</definedName>
    <definedName name="dch602_1_11">'11.600'!$AQ$227</definedName>
    <definedName name="dch602_1_12">'11.600'!$AQ$231</definedName>
    <definedName name="dch602_1_13">'11.600'!$AQ$234</definedName>
    <definedName name="dch602_1_14_1">'11.600'!$AQ$240</definedName>
    <definedName name="dch602_1_14_2">'11.600'!$AQ$242</definedName>
    <definedName name="dch602_1_14_3">'11.600'!$AQ$243</definedName>
    <definedName name="dch602_1_15">'11.600'!$AQ$244</definedName>
    <definedName name="dch602_1_2__1">'11.600'!$AQ$108</definedName>
    <definedName name="dch602_1_2__2">'11.600'!$AQ$109</definedName>
    <definedName name="dch602_1_3_1">'11.600'!$AQ$111</definedName>
    <definedName name="dch602_1_3_2">'11.600'!$AQ$114</definedName>
    <definedName name="dch602_1_4_1_1">'11.600'!$AQ$122</definedName>
    <definedName name="dch602_1_4_1_2">'11.600'!$AQ$124</definedName>
    <definedName name="dch602_1_4_2_1">'11.600'!$AQ$131</definedName>
    <definedName name="dch602_1_4_2_2">'11.600'!$AQ$133</definedName>
    <definedName name="dch602_1_5">'11.600'!$AQ$138</definedName>
    <definedName name="dch602_1_5_1">'11.600'!$AQ$139</definedName>
    <definedName name="dch602_1_5_2">'11.600'!$AQ$141</definedName>
    <definedName name="dch602_1_6_1">'11.600'!$AQ$147</definedName>
    <definedName name="dch602_1_6_2">'11.600'!$AQ$151</definedName>
    <definedName name="dch602_1_6_3">'11.600'!$AQ$155</definedName>
    <definedName name="dch602_1_7_1_1">'11.600'!$AQ$160</definedName>
    <definedName name="dch602_1_7_1_2">'11.600'!$AQ$162</definedName>
    <definedName name="dch602_1_7_1_3">'11.600'!$AQ$165</definedName>
    <definedName name="dch602_1_7_2">'11.600'!$AQ$167</definedName>
    <definedName name="dch602_1_7_3">'11.600'!$AQ$169</definedName>
    <definedName name="dch602_1_8">'11.600'!$AQ$173</definedName>
    <definedName name="dch602_1_9_1">'11.600'!$AQ$185</definedName>
    <definedName name="dch602_1_9_2">'11.600'!$AQ$197</definedName>
    <definedName name="dch602_1_9_3">'11.600'!$AQ$200</definedName>
    <definedName name="dch602_1_9_4">'11.600'!$AQ$201</definedName>
    <definedName name="dch602_1_9_5">'11.600'!$AQ$205</definedName>
    <definedName name="dch602_1_9_6">'11.600'!$AQ$211</definedName>
    <definedName name="dch602_1_9_7">'11.600'!$AQ$213</definedName>
    <definedName name="dch602_2_1">'11.600'!$AQ$251</definedName>
    <definedName name="dch602_2_2">'11.600'!$AQ$253</definedName>
    <definedName name="dch602_2_3">'11.600'!$AQ$254</definedName>
    <definedName name="dch602_3">'11.600'!$AQ$257</definedName>
    <definedName name="dch602_4_1">'11.600'!$AQ$261</definedName>
    <definedName name="dch602_4_2">'11.600'!$AQ$266</definedName>
    <definedName name="dch602_4_3">'11.600'!$AQ$268</definedName>
    <definedName name="dch603_1">'11.600'!$AQ$273</definedName>
    <definedName name="dch603_2">'11.600'!$AQ$279</definedName>
    <definedName name="dch603_3">'11.600'!$AQ$286</definedName>
    <definedName name="dch604_1a">'11.600'!$AQ$291</definedName>
    <definedName name="dch604_1b">'11.600'!$AQ$293</definedName>
    <definedName name="dch604_1c">'11.600'!$AQ$295</definedName>
    <definedName name="dch604_1d">'11.600'!$AQ$297</definedName>
    <definedName name="dch605_1">'11.600'!$AQ$300</definedName>
    <definedName name="dch605_2">'11.600'!$AQ$303</definedName>
    <definedName name="dch605_2_2">'11.600'!$AQ$316</definedName>
    <definedName name="dch605_3">'11.600'!$AQ$318</definedName>
    <definedName name="dch605_4_2_a">'11.600'!$AQ$331</definedName>
    <definedName name="dch605_4_2_b">'11.600'!$AQ$332</definedName>
    <definedName name="dch605_4_2_c">'11.600'!$AQ$333</definedName>
    <definedName name="dch605_4_2_d">'11.600'!$AQ$334</definedName>
    <definedName name="dch605_4_2_e">'11.600'!$AQ$335</definedName>
    <definedName name="dch605_4_2_f">'11.600'!$AQ$336</definedName>
    <definedName name="dch605_4_2_g">'11.600'!$AQ$337</definedName>
    <definedName name="dch605_4_2_h">'11.600'!$AQ$338</definedName>
    <definedName name="dch605_4_2_i">'11.600'!$AQ$339</definedName>
    <definedName name="dch606_1_a">'11.600'!$AQ$344</definedName>
    <definedName name="dch606_1_b">'11.600'!$AQ$345</definedName>
    <definedName name="dch606_1_c">'11.600'!$AQ$346</definedName>
    <definedName name="dch606_1_d">'11.600'!$AQ$347</definedName>
    <definedName name="dch606_1_e">'11.600'!$AQ$348</definedName>
    <definedName name="dch606_1_f">'11.600'!$AQ$349</definedName>
    <definedName name="dch606_1_g">'11.600'!$AQ$350</definedName>
    <definedName name="dch606_1_h">'11.600'!$AQ$351</definedName>
    <definedName name="dch606_2_1a">'11.600'!$AQ$375</definedName>
    <definedName name="dch606_2_1b">'11.600'!$AQ$376</definedName>
    <definedName name="dch606_2_2a">'11.600'!$AQ$378</definedName>
    <definedName name="dch606_2_2b">'11.600'!$AQ$379</definedName>
    <definedName name="dch606_3">'11.600'!$AQ$381</definedName>
    <definedName name="dch607_1_1">'11.600'!$AQ$390</definedName>
    <definedName name="dch607_1_2">'11.600'!$AQ$395</definedName>
    <definedName name="dch607_2">'11.600'!$AQ$401</definedName>
    <definedName name="dch608_1">'11.600'!$AQ$404</definedName>
    <definedName name="dch609_1_1">'11.600'!$AQ$416</definedName>
    <definedName name="dch609_1_2">'11.600'!$AQ$418</definedName>
    <definedName name="dch610_1_1_1">'11.600'!$AQ$435</definedName>
    <definedName name="dch610_1_1_2">'11.600'!$AQ$444</definedName>
    <definedName name="dch610_1_1_3">'11.600'!$AQ$451</definedName>
    <definedName name="dch610_1_2_1a">'11.600'!$AQ$459</definedName>
    <definedName name="dch610_1_2_1b">'11.600'!$AQ$466</definedName>
    <definedName name="dch610_1_2_2_f">'11.600'!$AQ$490</definedName>
    <definedName name="dch610_1_2_2a">'11.600'!$AQ$472</definedName>
    <definedName name="dch610_1_2_2b">'11.600'!$AQ$478</definedName>
    <definedName name="dch610_1_2_2c">'11.600'!$AQ$484</definedName>
    <definedName name="dch611_1_1">'11.600'!$AQ$502</definedName>
    <definedName name="dch611_1_2">'11.600'!$AQ$513</definedName>
    <definedName name="dch612_1">'11.600'!$AQ$519</definedName>
    <definedName name="dch612_2_1">'11.600'!$AQ$530</definedName>
    <definedName name="dch612_2_2">'11.600'!$AQ$531</definedName>
    <definedName name="dch612_2_3">'11.600'!$AQ$533</definedName>
    <definedName name="dch612_2_4">'11.600'!$AQ$535</definedName>
    <definedName name="dch612_2_5">'11.600'!$AQ$537</definedName>
    <definedName name="dch612_2_6">'11.600'!$AQ$539</definedName>
    <definedName name="dch612_2_7">'11.600'!$AQ$541</definedName>
    <definedName name="dch612_3_1">'11.600'!$AQ$545</definedName>
    <definedName name="dch612_3_2">'11.600'!$AQ$550</definedName>
    <definedName name="dch612_3_3">'11.600'!$AQ$554</definedName>
    <definedName name="dch612_3_4">'11.600'!$AQ$556</definedName>
    <definedName name="dch612_3_5">'11.600'!$AQ$558</definedName>
    <definedName name="dch612_3_6">'11.600'!$AQ$559</definedName>
    <definedName name="dch612_3_7">'11.600'!$AQ$560</definedName>
    <definedName name="dch612_3_8">'11.600'!$AQ$564</definedName>
    <definedName name="dch612_3_9">'11.600'!$AQ$566</definedName>
    <definedName name="dch613_1">'11.600'!$AQ$570</definedName>
    <definedName name="dch701_4_0">'11.700'!$AQ$12</definedName>
    <definedName name="dch701_4_1_1">'11.700'!$AQ$19</definedName>
    <definedName name="dch701_4_1_2">'11.700'!$AQ$22</definedName>
    <definedName name="dch701_4_2_1">'11.700'!$AQ$28</definedName>
    <definedName name="dch701_4_2_2">'11.700'!$AQ$31</definedName>
    <definedName name="dch701_4_2_3">'11.700'!$AQ$34</definedName>
    <definedName name="dch701_4_3_1_1">'11.700'!$AQ$38</definedName>
    <definedName name="dch701_4_3_1_a">'11.700'!$AQ$42</definedName>
    <definedName name="dch701_4_3_1_b">'11.700'!$AQ$43</definedName>
    <definedName name="dch701_4_3_1_c">'11.700'!$AQ$44</definedName>
    <definedName name="dch701_4_3_1_d">'11.700'!$AQ$45</definedName>
    <definedName name="dch701_4_3_1_e">'11.700'!$AQ$46</definedName>
    <definedName name="dch701_4_3_1_f">'11.700'!$AQ$47</definedName>
    <definedName name="dch701_4_3_1_g">'11.700'!$AQ$48</definedName>
    <definedName name="dch701_4_3_1_h">'11.700'!$AQ$49</definedName>
    <definedName name="dch701_4_3_1_i">'11.700'!$AQ$50</definedName>
    <definedName name="dch701_4_3_1_j">'11.700'!$AQ$51</definedName>
    <definedName name="dch701_4_3_1_k">'11.700'!$AQ$52</definedName>
    <definedName name="dch701_4_3_1_l">'11.700'!$AQ$53</definedName>
    <definedName name="dch701_4_3_1_m">'11.700'!$AQ$54</definedName>
    <definedName name="dch701_4_3_2">'11.700'!$AQ$56</definedName>
    <definedName name="dch701_4_3_2_1">'11.700'!$AQ$81</definedName>
    <definedName name="dch701_4_3_2_1_">'11.700'!$AQ$59</definedName>
    <definedName name="dch701_4_3_2_2">'11.700'!$AQ$78</definedName>
    <definedName name="dch701_4_3_2e">'11.700'!$AQ$62</definedName>
    <definedName name="dch701_4_3_4">'11.700'!$AQ$107</definedName>
    <definedName name="dch701_4_3_5">'11.700'!$AQ$117</definedName>
    <definedName name="dch701_4_4">'11.700'!$AQ$124</definedName>
    <definedName name="dch701_4_5">'11.700'!$AQ$126</definedName>
    <definedName name="dch701_4_6">'11.700'!$AQ$129</definedName>
    <definedName name="dch701_4_7">'11.700'!$AQ$133</definedName>
    <definedName name="dch703_1_1">'11.700'!$AQ$160</definedName>
    <definedName name="dch703_1_2">'11.700'!$AQ$172</definedName>
    <definedName name="dch703_1_3">'11.700'!$AQ$175</definedName>
    <definedName name="dch703_2_1">'11.700'!$AQ$178</definedName>
    <definedName name="dch703_2_1_1">'11.700'!$AQ$180</definedName>
    <definedName name="dch703_2_2">'11.700'!$AQ$186</definedName>
    <definedName name="dch703_2_3">'11.700'!$AQ$187</definedName>
    <definedName name="dch703_2_5_1">'11.700'!$AQ$196</definedName>
    <definedName name="dch703_2_5_1_1">'11.700'!$AQ$203</definedName>
    <definedName name="dch703_2_5_2">'11.700'!$AQ$212</definedName>
    <definedName name="dch703_2_5_2_1">'11.700'!$AQ$222</definedName>
    <definedName name="dch703_3_0_1">'11.700'!$AQ$233</definedName>
    <definedName name="dch703_3_0_2">'11.700'!$AQ$239</definedName>
    <definedName name="dch703_3_1">'11.700'!$AQ$245</definedName>
    <definedName name="dch703_3_2_1_1">'11.700'!$AQ$252</definedName>
    <definedName name="dch703_3_2_2_1">'11.700'!$AQ$258</definedName>
    <definedName name="dch703_3_2_3_1">'11.700'!$AQ$261</definedName>
    <definedName name="dch703_3_2_4_1">'11.700'!$AQ$266</definedName>
    <definedName name="dch703_3_3_1_1">'11.700'!$AQ$272</definedName>
    <definedName name="dch703_3_3_2">'11.700'!$AQ$277</definedName>
    <definedName name="dch703_3_3_3">'11.700'!$AQ$279</definedName>
    <definedName name="dch703_3_4_1_1">'11.700'!$AQ$284</definedName>
    <definedName name="dch703_3_4_1_6">'11.700'!$AQ$289</definedName>
    <definedName name="dch703_3_4_2">'11.700'!$AQ$291</definedName>
    <definedName name="dch703_3_5">'11.700'!$AQ$292</definedName>
    <definedName name="dch703_3_6">'11.700'!$AQ$296</definedName>
    <definedName name="dch703_3_7">'11.700'!$AQ$302</definedName>
    <definedName name="dch703_3_7_1">'11.700'!$AQ$304</definedName>
    <definedName name="dch703_3_8">'11.700'!$AQ$309</definedName>
    <definedName name="dch703_4_1">'11.700'!$AQ$314</definedName>
    <definedName name="dch703_4_2">'11.700'!$AQ$315</definedName>
    <definedName name="dch703_4_3_1">'11.700'!$AQ$317</definedName>
    <definedName name="dch703_4_3_2">'11.700'!$AQ$318</definedName>
    <definedName name="dch703_4_3_3">'11.700'!$AQ$320</definedName>
    <definedName name="dch703_4_4">'11.700'!$AQ$321</definedName>
    <definedName name="dch703_4_4_1">'11.700'!$AQ$323</definedName>
    <definedName name="dch703_4_4_2">'11.700'!$AQ$325</definedName>
    <definedName name="dch703_5_1">'11.700'!$AQ$332</definedName>
    <definedName name="dch703_5_1_1">'11.700'!$AQ$334</definedName>
    <definedName name="dch703_5_2">'11.700'!$AQ$380</definedName>
    <definedName name="dch703_5_3">'11.700'!$AQ$382</definedName>
    <definedName name="dch703_5_4">'11.700'!$AQ$384</definedName>
    <definedName name="dch703_5_5">'11.700'!$AQ$386</definedName>
    <definedName name="dch703_5_5_1">'11.700'!$AQ$388</definedName>
    <definedName name="dch703_6_1_1">'11.700'!$AQ$407</definedName>
    <definedName name="dch703_6_1_2">'11.700'!$AQ$409</definedName>
    <definedName name="dch703_6_1_3">'11.700'!$AQ$411</definedName>
    <definedName name="dch703_6_2_1">'11.700'!$AQ$414</definedName>
    <definedName name="dch703_6_2_2">'11.700'!$AQ$415</definedName>
    <definedName name="dch703_6_2_3">'11.700'!$AQ$416</definedName>
    <definedName name="dch703_7_1">'11.700'!$AQ$419</definedName>
    <definedName name="dch703_7_2">'11.700'!$AQ$447</definedName>
    <definedName name="dch703_7_3_1_a">'11.700'!$AQ$455</definedName>
    <definedName name="dch703_7_3_1_b">'11.700'!$AQ$457</definedName>
    <definedName name="dch703_7_3_1_c">'11.700'!$AQ$458</definedName>
    <definedName name="dch703_7_3_1_d">'11.700'!$AQ$459</definedName>
    <definedName name="dch703_7_3_2">'11.700'!$AQ$461</definedName>
    <definedName name="dch703_7_3_3">'11.700'!$AQ$463</definedName>
    <definedName name="dch703_7_3_4">'11.700'!$AQ$465</definedName>
    <definedName name="dch703_7_3_5_a">'11.700'!$AQ$470</definedName>
    <definedName name="dch703_7_3_5_b">'11.700'!$AQ$472</definedName>
    <definedName name="dch703_7_3_6">'11.700'!$AQ$474</definedName>
    <definedName name="dch703_7_4">'11.700'!$AQ$476</definedName>
    <definedName name="dch705_2_1_1">'11.700'!$AQ$505</definedName>
    <definedName name="dch705_2_1_2">'11.700'!$AQ$509</definedName>
    <definedName name="dch705_2_1_3_1">'11.700'!$AQ$513</definedName>
    <definedName name="dch705_2_1_3_2">'11.700'!$AQ$517</definedName>
    <definedName name="dch705_2_1_4">'11.700'!$AQ$522</definedName>
    <definedName name="dch705_2_2">'11.700'!$AQ$527</definedName>
    <definedName name="dch705_2_3">'11.700'!$AQ$530</definedName>
    <definedName name="dch705_2_4">'11.700'!$AQ$533</definedName>
    <definedName name="dch705_3">'11.700'!$AQ$535</definedName>
    <definedName name="dch705_4">'11.700'!$AQ$536</definedName>
    <definedName name="dch705_5_1_1">'11.700'!$AQ$541</definedName>
    <definedName name="dch705_5_1_2">'11.700'!$AQ$544</definedName>
    <definedName name="dch705_5_2">'11.700'!$AQ$546</definedName>
    <definedName name="dch705_5_3_1">'11.700'!$AQ$555</definedName>
    <definedName name="dch705_5_3_2">'11.700'!$AQ$557</definedName>
    <definedName name="dch705_6_2_1_1">'11.700'!$AQ$576</definedName>
    <definedName name="dch705_6_2_1_1_1">'11.700'!$AQ$578</definedName>
    <definedName name="dch705_6_2_1_2">'11.700'!$AQ$579</definedName>
    <definedName name="dch705_6_2_2_1">'11.700'!$AQ$585</definedName>
    <definedName name="dch705_6_2_2_2">'11.700'!$AQ$587</definedName>
    <definedName name="dch705_6_2_3">'11.700'!$AQ$590</definedName>
    <definedName name="dch705_6_3">'11.700'!$AQ$596</definedName>
    <definedName name="dch705_6_3_1">'11.700'!$AQ$598</definedName>
    <definedName name="dch705_6_4_1">'11.700'!$AQ$608</definedName>
    <definedName name="dch705_6_4_2">'11.700'!$AQ$610</definedName>
    <definedName name="dch705_7">'11.700'!$AQ$612</definedName>
    <definedName name="dch706_1_1">'11.700'!$AQ$619</definedName>
    <definedName name="dch706_1_2">'11.700'!$AQ$620</definedName>
    <definedName name="dch706_1_3">'11.700'!$AQ$621</definedName>
    <definedName name="dch706_1_4">'11.700'!$AQ$622</definedName>
    <definedName name="dch706_1_5">'11.700'!$AQ$624</definedName>
    <definedName name="dch706_10">'11.700'!$AQ$694</definedName>
    <definedName name="dch706_11">'11.700'!$AQ$699</definedName>
    <definedName name="dch706_12">'11.700'!$AQ$701</definedName>
    <definedName name="dch706_13">'11.700'!$AQ$705</definedName>
    <definedName name="dch706_14_1">'11.700'!$AQ$710</definedName>
    <definedName name="dch706_14_2">'11.700'!$AQ$714</definedName>
    <definedName name="dch706_15_1">'11.700'!$AQ$719</definedName>
    <definedName name="dch706_15_2">'11.700'!$AQ$720</definedName>
    <definedName name="dch706_2_1">'11.700'!$AQ$627</definedName>
    <definedName name="dch706_2_2">'11.700'!$AQ$632</definedName>
    <definedName name="dch706_3_1">'11.700'!$AQ$643</definedName>
    <definedName name="dch706_3_2">'11.700'!$AQ$644</definedName>
    <definedName name="dch706_3_3">'11.700'!$AQ$645</definedName>
    <definedName name="dch706_3_4">'11.700'!$AQ$646</definedName>
    <definedName name="dch706_3_5">'11.700'!$AQ$647</definedName>
    <definedName name="dch706_3_6">'11.700'!$AQ$648</definedName>
    <definedName name="dch706_3_7">'11.700'!$AQ$649</definedName>
    <definedName name="dch706_3_8">'11.700'!$AQ$650</definedName>
    <definedName name="dch706_4_1_1">'11.700'!$AQ$657</definedName>
    <definedName name="dch706_4_1_2">'11.700'!$AQ$659</definedName>
    <definedName name="dch706_4_2">'11.700'!$AQ$661</definedName>
    <definedName name="dch706_5_1">'11.700'!$AQ$664</definedName>
    <definedName name="dch706_5_2">'11.700'!$AQ$666</definedName>
    <definedName name="dch706_5_3">'11.700'!$AQ$668</definedName>
    <definedName name="dch706_6">'11.700'!$AQ$678</definedName>
    <definedName name="dch706_7_1">'11.700'!$AQ$684</definedName>
    <definedName name="dch706_7_2">'11.700'!$AQ$685</definedName>
    <definedName name="dch706_8">'11.700'!$AQ$686</definedName>
    <definedName name="dch706_9">'11.700'!$AQ$689</definedName>
    <definedName name="dch802_1">'11.800'!$AQ$41</definedName>
    <definedName name="dch802_1_6">'11.800'!$AQ$67</definedName>
    <definedName name="dch802_10_1">'11.800'!$AQ$242</definedName>
    <definedName name="dch802_10_1_1">'11.800'!$AQ$245</definedName>
    <definedName name="dch802_2_1">'11.800'!$AQ$72</definedName>
    <definedName name="dch802_2_2">'11.800'!$AQ$73</definedName>
    <definedName name="dch802_3_1_a">'11.800'!$AQ$79</definedName>
    <definedName name="dch802_3_1_b">'11.800'!$AQ$81</definedName>
    <definedName name="dch802_3_2_a">'11.800'!$AQ$88</definedName>
    <definedName name="dch802_3_2_b">'11.800'!$AQ$90</definedName>
    <definedName name="dch802_4_1">'11.800'!$AQ$95</definedName>
    <definedName name="dch802_4_2">'11.800'!$AQ$106</definedName>
    <definedName name="dch802_4_3">'11.800'!$AQ$111</definedName>
    <definedName name="dch802_5_1">'11.800'!$AQ$115</definedName>
    <definedName name="dch802_5_1_1">'11.800'!$AQ$117</definedName>
    <definedName name="dch802_5_2">'11.800'!$AQ$127</definedName>
    <definedName name="dch802_5_3">'11.800'!$AQ$132</definedName>
    <definedName name="dch802_5_4_2">'11.800'!$AQ$138</definedName>
    <definedName name="dch802_5_4_3">'11.800'!$AQ$145</definedName>
    <definedName name="dch802_5_4_4_a">'11.800'!$AQ$148</definedName>
    <definedName name="dch802_5_4_4_b">'11.800'!$AQ$152</definedName>
    <definedName name="dch802_5_4_4_c">'11.800'!$AQ$154</definedName>
    <definedName name="dch802_6_1">'11.800'!$AQ$157</definedName>
    <definedName name="dch802_6_2">'11.800'!$AQ$159</definedName>
    <definedName name="dch802_6_3_1">'11.800'!$AQ$163</definedName>
    <definedName name="dch802_6_3_2">'11.800'!$AQ$164</definedName>
    <definedName name="dch802_6_3_3">'11.800'!$AQ$165</definedName>
    <definedName name="dch802_6_4_1">'11.800'!$AQ$169</definedName>
    <definedName name="dch802_6_4_2">'11.800'!$AQ$171</definedName>
    <definedName name="dch802_6_5_1">'11.800'!$AQ$175</definedName>
    <definedName name="dch802_6_5_2">'11.800'!$AQ$177</definedName>
    <definedName name="dch802_6_5_3">'11.800'!$AQ$179</definedName>
    <definedName name="dch802_6_5_4">'11.800'!$AQ$180</definedName>
    <definedName name="dch802_6_5_5">'11.800'!$AQ$182</definedName>
    <definedName name="dch802_7_1">'11.800'!$AQ$186</definedName>
    <definedName name="dch802_7_2_1">'11.800'!$AQ$200</definedName>
    <definedName name="dch802_7_2_2">'11.800'!$AQ$202</definedName>
    <definedName name="dch802_8">'11.800'!$AQ$225</definedName>
    <definedName name="dch802_9_1">'11.800'!$AQ$228</definedName>
    <definedName name="dch802_9_2">'11.800'!$AQ$236</definedName>
    <definedName name="dch803_1_1">'11.800'!$AQ$251</definedName>
    <definedName name="dch803_1_2">'11.800'!$AQ$253</definedName>
    <definedName name="dch803_2">'11.800'!$AQ$255</definedName>
    <definedName name="dch803_3">'11.800'!$AQ$257</definedName>
    <definedName name="dch803_4">'11.800'!$AQ$262</definedName>
    <definedName name="dch803_5">'11.800'!$AQ$265</definedName>
    <definedName name="dch803_6">'11.800'!$AQ$267</definedName>
    <definedName name="dch901_1_1">'11.900'!$AQ$12</definedName>
    <definedName name="dch901_1_2">'11.900'!$AQ$18</definedName>
    <definedName name="dch901_1_3_1">'11.900'!$AQ$23</definedName>
    <definedName name="dch901_1_3_2">'11.900'!$AQ$26</definedName>
    <definedName name="dch901_1_4">'11.900'!$AQ$29</definedName>
    <definedName name="dch901_1_5">'11.900'!$AQ$34</definedName>
    <definedName name="dch901_1_6">'11.900'!$AQ$37</definedName>
    <definedName name="dch901_10_1">'11.900'!$AQ$156</definedName>
    <definedName name="dch901_10_2">'11.900'!$AQ$161</definedName>
    <definedName name="dch901_10_3">'11.900'!$AQ$162</definedName>
    <definedName name="dch901_11">'11.900'!$AQ$166</definedName>
    <definedName name="dch901_12">'11.900'!$AQ$171</definedName>
    <definedName name="dch901_13">'11.900'!$AQ$177</definedName>
    <definedName name="dch901_14_1">'11.900'!$AQ$181</definedName>
    <definedName name="dch901_14_2">'11.900'!$AQ$182</definedName>
    <definedName name="dch901_15_1">'11.900'!$AQ$185</definedName>
    <definedName name="dch901_15_2">'11.900'!$AQ$187</definedName>
    <definedName name="dch901_16">'11.900'!$AQ$189</definedName>
    <definedName name="dch901_2_1_1">'11.900'!$AQ$43</definedName>
    <definedName name="dch901_2_1_2">'11.900'!$AQ$46</definedName>
    <definedName name="dch901_2_1_3">'11.900'!$AQ$48</definedName>
    <definedName name="dch901_2_1_4">'11.900'!$AQ$51</definedName>
    <definedName name="dch901_2_1_5">'11.900'!$AQ$53</definedName>
    <definedName name="dch901_2_2">'11.900'!$AQ$55</definedName>
    <definedName name="dch901_3_1_a">'11.900'!$AQ$58</definedName>
    <definedName name="dch901_3_1_b">'11.900'!$AQ$60</definedName>
    <definedName name="dch901_3_1_c">'11.900'!$AQ$62</definedName>
    <definedName name="dch901_3_2">'11.900'!$AQ$68</definedName>
    <definedName name="dch901_4_1">'11.900'!$AQ$73</definedName>
    <definedName name="dch901_4_a">'11.900'!$AQ$78</definedName>
    <definedName name="dch901_4_b">'11.900'!$AQ$79</definedName>
    <definedName name="dch901_4_c">'11.900'!$AQ$80</definedName>
    <definedName name="dch901_4_d">'11.900'!$AQ$81</definedName>
    <definedName name="dch901_5_1">'11.900'!$AQ$92</definedName>
    <definedName name="dch901_5_2">'11.900'!$AQ$94</definedName>
    <definedName name="dch901_6">'11.900'!$AQ$97</definedName>
    <definedName name="dch901_7_1">'11.900'!$AQ$106</definedName>
    <definedName name="dch901_7_2">'11.900'!$AQ$117</definedName>
    <definedName name="dch901_7_3">'11.900'!$AQ$118</definedName>
    <definedName name="dch901_8">'11.900'!$AQ$121</definedName>
    <definedName name="dch901_9_1_1">'11.900'!$AQ$133</definedName>
    <definedName name="dch901_9_1_2">'11.900'!$AQ$135</definedName>
    <definedName name="dch901_9_1_3">'11.900'!$AQ$136</definedName>
    <definedName name="dch901_9_2">'11.900'!$AQ$138</definedName>
    <definedName name="dch901_9_3">'11.900'!$AQ$143</definedName>
    <definedName name="dch901_9_4">'11.900'!$AQ$149</definedName>
    <definedName name="dch902_1_1_1">'11.900'!$AQ$195</definedName>
    <definedName name="dch902_1_1_1_a">'11.900'!$AQ$197</definedName>
    <definedName name="dch902_1_1_2">'11.900'!$AQ$199</definedName>
    <definedName name="dch902_1_1_3">'11.900'!$AQ$201</definedName>
    <definedName name="dch902_1_2">'11.900'!$AQ$205</definedName>
    <definedName name="dch902_1_2_2">'11.900'!$AQ$207</definedName>
    <definedName name="dch902_1_3">'11.900'!$AQ$208</definedName>
    <definedName name="dch902_1_4_1">'11.900'!$AQ$214</definedName>
    <definedName name="dch902_1_4_2">'11.900'!$AQ$216</definedName>
    <definedName name="dch902_1_5_1">'11.900'!$AQ$219</definedName>
    <definedName name="dch902_1_5_2">'11.900'!$AQ$221</definedName>
    <definedName name="dch902_1_5_3">'11.900'!$AQ$223</definedName>
    <definedName name="dch902_1_6">'11.900'!$AQ$226</definedName>
    <definedName name="dch902_2_1">'11.900'!$AQ$230</definedName>
    <definedName name="dch902_2_2">'11.900'!$AQ$241</definedName>
    <definedName name="dch902_2_3">'11.900'!$AQ$243</definedName>
    <definedName name="dch902_2_4">'11.900'!$AQ$246</definedName>
    <definedName name="dch902_2_5">'11.900'!$AQ$249</definedName>
    <definedName name="dch902_3">'11.900'!$AQ$251</definedName>
    <definedName name="dch902_3_2">'11.900'!$AQ$300</definedName>
    <definedName name="dch902_3_2_1">'11.900'!$AQ$302</definedName>
    <definedName name="dch902_3_2_2">'11.900'!$AQ$325</definedName>
    <definedName name="dch902_4_1">'11.900'!$AQ$329</definedName>
    <definedName name="dch902_4_2">'11.900'!$AQ$331</definedName>
    <definedName name="dch902_4_3">'11.900'!$AQ$334</definedName>
    <definedName name="dch902_5">'11.900'!$AQ$337</definedName>
    <definedName name="dch902_6">'11.900'!$AQ$339</definedName>
    <definedName name="dch903_1">'11.900'!$AQ$343</definedName>
    <definedName name="dch903_2">'11.900'!$AQ$347</definedName>
    <definedName name="dch903_3_1">'11.900'!$AQ$353</definedName>
    <definedName name="dch903_3_2">'11.900'!$AQ$354</definedName>
    <definedName name="dch904_1">'11.900'!$AQ$359</definedName>
    <definedName name="dch904_2">'11.900'!$AQ$364</definedName>
    <definedName name="dch904_3_1">'11.900'!$AQ$369</definedName>
    <definedName name="dch904_3_2">'11.900'!$AQ$376</definedName>
    <definedName name="dch905_1">'11.900'!$AQ$380</definedName>
    <definedName name="dch905_2">'11.900'!$AQ$385</definedName>
    <definedName name="dch905_3_1">'11.900'!$AQ$388</definedName>
    <definedName name="dch905_3_2">'11.900'!$AQ$389</definedName>
    <definedName name="dch905_4">'11.900'!$AQ$391</definedName>
    <definedName name="dch905_5">'11.900'!$AQ$396</definedName>
    <definedName name="dch905_6">'11.900'!$AQ$400</definedName>
    <definedName name="dd13_102_1">Dropdowns!$FL$5:$FL$6</definedName>
    <definedName name="dd13_104_1_1">Dropdowns!$FM$5:$FM$7</definedName>
    <definedName name="dd13_104_1_2">Dropdowns!$FN$5:$FN$7</definedName>
    <definedName name="dd13_104_1_3">Dropdowns!$FO$5:$FO$7</definedName>
    <definedName name="dd13_104_1_4">Dropdowns!$FP$5:$FP$7</definedName>
    <definedName name="dd13_104_1_5_1">Dropdowns!$FQ$5:$FQ$7</definedName>
    <definedName name="dd13_104_1_5_10">Dropdowns!$FZ$5:$FZ$7</definedName>
    <definedName name="dd13_104_1_5_11">Dropdowns!$GA$5:$GA$7</definedName>
    <definedName name="dd13_104_1_5_12">Dropdowns!$GB$5:$GB$7</definedName>
    <definedName name="dd13_104_1_5_2">Dropdowns!$FR$5:$FR$7</definedName>
    <definedName name="dd13_104_1_5_3">Dropdowns!$FS$5:$FS$7</definedName>
    <definedName name="dd13_104_1_5_4">Dropdowns!$FT$5:$FT$7</definedName>
    <definedName name="dd13_104_1_5_5">Dropdowns!$FU$5:$FU$7</definedName>
    <definedName name="dd13_104_1_5_6">Dropdowns!$FV$5:$FV$7</definedName>
    <definedName name="dd13_104_1_5_7">Dropdowns!$FW$5:$FW$7</definedName>
    <definedName name="dd13_104_1_5_8">Dropdowns!$FX$5:$FX$7</definedName>
    <definedName name="dd13_104_1_5_9">Dropdowns!$FY$5:$FY$7</definedName>
    <definedName name="dd13_104_1_6">Dropdowns!$GC$5:$GC$7</definedName>
    <definedName name="dd13_104_1_7">Dropdowns!$GD$5:$GD$7</definedName>
    <definedName name="dd13_105_10">Dropdowns!$GR$5:$GR$7</definedName>
    <definedName name="dd13_105_11">Dropdowns!$GS$5:$GS$7</definedName>
    <definedName name="dd13_105_11_1">Dropdowns!$GT$5:$GT$7</definedName>
    <definedName name="dd13_105_11_2">Dropdowns!$GU$5:$GU$7</definedName>
    <definedName name="dd13_105_11_3">Dropdowns!$GV$5:$GV$7</definedName>
    <definedName name="dd13_105_12">Dropdowns!$GW$5:$GW$7</definedName>
    <definedName name="dd13_105_3_1">Dropdowns!$GE$5:$GE$7</definedName>
    <definedName name="dd13_105_3_10">Dropdowns!$GN$5:$GN$7</definedName>
    <definedName name="dd13_105_3_11">Dropdowns!$GO$5:$GO$7</definedName>
    <definedName name="dd13_105_3_12">Dropdowns!$GP$5:$GP$7</definedName>
    <definedName name="dd13_105_3_2">Dropdowns!$GF$5:$GF$7</definedName>
    <definedName name="dd13_105_3_3">Dropdowns!$GG$5:$GG$7</definedName>
    <definedName name="dd13_105_3_4">Dropdowns!$GH$5:$GH$7</definedName>
    <definedName name="dd13_105_3_5">Dropdowns!$GI$5:$GI$7</definedName>
    <definedName name="dd13_105_3_6">Dropdowns!$GJ$5:$GJ$7</definedName>
    <definedName name="dd13_105_3_7">Dropdowns!$GK$5:$GK$7</definedName>
    <definedName name="dd13_105_3_8">Dropdowns!$GL$5:$GL$7</definedName>
    <definedName name="dd13_105_3_9">Dropdowns!$GM$5:$GM$7</definedName>
    <definedName name="dd13_105_4">Dropdowns!$GQ$5:$GQ$7</definedName>
    <definedName name="dd13_106_3_1">Dropdowns!$GX$5:$GX$7</definedName>
    <definedName name="dd13_106_3_2">Dropdowns!$GY$5:$GY$7</definedName>
    <definedName name="dd13_106_3_3">Dropdowns!$GZ$5:$GZ$7</definedName>
    <definedName name="dd13_106_3_4">Dropdowns!$HA$5:$HA$7</definedName>
    <definedName name="dd13_106_4_1">Dropdowns!$HB$5:$HB$7</definedName>
    <definedName name="dd13_106_4_2">Dropdowns!$HC$5:$HC$7</definedName>
    <definedName name="dd13_106_4_3">Dropdowns!$HD$5:$HD$7</definedName>
    <definedName name="dd13_106_4_4">Dropdowns!$HE$5:$HE$7</definedName>
    <definedName name="dd13_106_5_1">Dropdowns!$HF$5:$HF$7</definedName>
    <definedName name="dd13_106_5_2">Dropdowns!$HG$5:$HG$7</definedName>
    <definedName name="dd13_106_5_3">Dropdowns!$HH$5:$HH$7</definedName>
    <definedName name="dd13_106_6">Dropdowns!$HI$5:$HI$7</definedName>
    <definedName name="dd13_107_1_1">Dropdowns!$HJ$5:$HJ$6</definedName>
    <definedName name="dd13_107_4">Dropdowns!$HK$5:$HK$7</definedName>
    <definedName name="dd13_107_4_1">Dropdowns!$HL$5:$HL$7</definedName>
    <definedName name="dd13_107_4_2">Dropdowns!$HM$5:$HM$7</definedName>
    <definedName name="dd13_107_4_2_1">Dropdowns!$HN$5:$HN$7</definedName>
    <definedName name="dd13_107_4_2_2">Dropdowns!$HO$5:$HO$7</definedName>
    <definedName name="dd13_107_4_2_3">Dropdowns!$HP$5:$HP$7</definedName>
    <definedName name="dd13_107_4_3">Dropdowns!$HQ$5:$HQ$7</definedName>
    <definedName name="dd13_107_4_4">Dropdowns!$HR$5:$HR$7</definedName>
    <definedName name="dd13_107_6_1">Dropdowns!$HS$5:$HS$7</definedName>
    <definedName name="dd13_107_6_2">Dropdowns!$HT$5:$HT$7</definedName>
    <definedName name="dd305_2_5">Dropdowns!$CH$5:$CH$6</definedName>
    <definedName name="dd501_2_3_">Dropdowns!$AE$5:$AE$6</definedName>
    <definedName name="dd501_2_5">Dropdowns!$AF$5:$AF$7</definedName>
    <definedName name="dd503_2_3">Dropdowns!$AG$5:$AG$7</definedName>
    <definedName name="dd503_4_2">Dropdowns!$AH$5:$AH$7</definedName>
    <definedName name="dd503_4_3">Dropdowns!$AI$5:$AI$7</definedName>
    <definedName name="dd503_5">Dropdowns!$AJ$5:$AJ$7</definedName>
    <definedName name="dd503_5_1">Dropdowns!$AK$5:$AK$8</definedName>
    <definedName name="dd503_5_6">Dropdowns!$AL$5:$AL$8</definedName>
    <definedName name="dd505_1_3">Dropdowns!$AM$5:$AM$7</definedName>
    <definedName name="dd505_3">Dropdowns!$AN$5:$AN$9</definedName>
    <definedName name="dd601_6">Dropdowns!$AO$5:$AO$7</definedName>
    <definedName name="dd601_7_a">Dropdowns!$AP$5:$AP$7</definedName>
    <definedName name="dd601_7_b">Dropdowns!$AQ$5:$AQ$7</definedName>
    <definedName name="dd601_7_c">Dropdowns!$AR$5:$AR$7</definedName>
    <definedName name="dd601_7_d">Dropdowns!$AS$5:$AS$7</definedName>
    <definedName name="dd601_7_e">Dropdowns!$AT$5:$AT$7</definedName>
    <definedName name="dd602_1_1_1">Dropdowns!$AU$5:$AU$7</definedName>
    <definedName name="dd602_1_10">Dropdowns!$BD$5:$BD$7</definedName>
    <definedName name="dd602_1_11">Dropdowns!$BE$5:$BE$7</definedName>
    <definedName name="dd602_1_13">Dropdowns!$BF$5:$BF$7</definedName>
    <definedName name="dd602_1_14_1">Dropdowns!$BG$5:$BG$7</definedName>
    <definedName name="dd602_1_3_1">Dropdowns!$AV$5:$AV$7</definedName>
    <definedName name="dd602_1_4_1_2">Dropdowns!$AW$5:$AW$7</definedName>
    <definedName name="dd602_1_4_2_2">Dropdowns!$AX$5:$AX$7</definedName>
    <definedName name="dd602_1_5">Dropdowns!$AY$5:$AY$8</definedName>
    <definedName name="dd602_1_7_1_2">Dropdowns!$AZ$5:$AZ$7</definedName>
    <definedName name="dd602_1_8">Dropdowns!$BA$5:$BA$7</definedName>
    <definedName name="dd602_1_9_1">Dropdowns!$BB$5:$BB$7</definedName>
    <definedName name="dd602_1_9_5">Dropdowns!$BC$5:$BC$6</definedName>
    <definedName name="dd602_4_1">Dropdowns!$BH$5:$BH$7</definedName>
    <definedName name="dd606_1_a">Dropdowns!$BI$5:$BI$6</definedName>
    <definedName name="dd606_1_b">Dropdowns!$BJ$5:$BJ$6</definedName>
    <definedName name="dd606_1_c">Dropdowns!$BK$5:$BK$6</definedName>
    <definedName name="dd606_1_d">Dropdowns!$BL$5:$BL$6</definedName>
    <definedName name="dd606_1_e">Dropdowns!$BM$5:$BM$6</definedName>
    <definedName name="dd606_1_f">Dropdowns!$BN$5:$BN$6</definedName>
    <definedName name="dd606_1_g">Dropdowns!$BO$5:$BO$6</definedName>
    <definedName name="dd606_1_h">Dropdowns!$BP$5:$BP$6</definedName>
    <definedName name="dd606_2_1a">Dropdowns!$BQ$5:$BQ$12</definedName>
    <definedName name="dd606_2_1b">Dropdowns!$BR$5:$BR$12</definedName>
    <definedName name="dd606_2_2a">Dropdowns!$BS$5:$BS$12</definedName>
    <definedName name="dd606_2_2b">Dropdowns!$BT$5:$BT$12</definedName>
    <definedName name="dd606_3">Dropdowns!$BU$5:$BU$7</definedName>
    <definedName name="dd608_1">Dropdowns!$BV$5:$BV$7</definedName>
    <definedName name="dd609_1_1">Dropdowns!$BW$5:$BW$9</definedName>
    <definedName name="dd609_1_2">Dropdowns!$BX$5:$BX$14</definedName>
    <definedName name="dd610_1_2_1a">Dropdowns!$BY$5:$BY$9</definedName>
    <definedName name="dd610_1_2_1b">Dropdowns!$BZ$5:$BZ$9</definedName>
    <definedName name="dd610_1_2_2_f">Dropdowns!$CD$5:$CD$6</definedName>
    <definedName name="dd610_1_2_2a">Dropdowns!$CA$5:$CA$6</definedName>
    <definedName name="dd610_1_2_2b">Dropdowns!$CB$5:$CB$6</definedName>
    <definedName name="dd610_1_2_2c">Dropdowns!$CC$5:$CC$6</definedName>
    <definedName name="dd612_1">Dropdowns!$CE$5:$CE$14</definedName>
    <definedName name="dd612_3_9">Dropdowns!$CF$5:$CF$9</definedName>
    <definedName name="dd613_1">Dropdowns!$CG$5:$CG$10</definedName>
    <definedName name="dd701_4_1_2">Dropdowns!$CI$5:$CI$8</definedName>
    <definedName name="dd701_4_3_1_a">Dropdowns!$CJ$5:$CJ$7</definedName>
    <definedName name="dd701_4_3_1_b">Dropdowns!$CK$5:$CK$7</definedName>
    <definedName name="dd701_4_3_1_c">Dropdowns!$CL$5:$CL$7</definedName>
    <definedName name="dd701_4_3_1_d">Dropdowns!$CM$5:$CM$7</definedName>
    <definedName name="dd701_4_3_1_e">Dropdowns!$CN$5:$CN$7</definedName>
    <definedName name="dd701_4_3_1_f">Dropdowns!$CO$5:$CO$7</definedName>
    <definedName name="dd701_4_3_1_g">Dropdowns!$CP$5:$CP$7</definedName>
    <definedName name="dd701_4_3_1_h">Dropdowns!$CQ$5:$CQ$7</definedName>
    <definedName name="dd701_4_3_1_i">Dropdowns!$CR$5:$CR$7</definedName>
    <definedName name="dd701_4_3_1_j">Dropdowns!$CS$5:$CS$7</definedName>
    <definedName name="dd701_4_3_1_k">Dropdowns!$CT$5:$CT$7</definedName>
    <definedName name="dd701_4_3_1_l">Dropdowns!$CU$5:$CU$7</definedName>
    <definedName name="dd701_4_3_1_m">Dropdowns!$CV$5:$CV$7</definedName>
    <definedName name="dd701_4_3_4">Dropdowns!$CW$5:$CW$7</definedName>
    <definedName name="dd701_4_3_5">Dropdowns!$CX$5:$CX$7</definedName>
    <definedName name="dd701_4_6">Dropdowns!$CY$5:$CY$7</definedName>
    <definedName name="dd701_4_7">Dropdowns!$CZ$5:$CZ$7</definedName>
    <definedName name="dd703_1_1">Dropdowns!$DA$5:$DA$7</definedName>
    <definedName name="dd703_1_2">Dropdowns!$DB$5:$DB$7</definedName>
    <definedName name="dd703_1_3">Dropdowns!$DC$5:$DC$7</definedName>
    <definedName name="dd703_2_5_1">Dropdowns!$DD$5:$DD$7</definedName>
    <definedName name="dd703_2_5_1_1">Dropdowns!$DE$5:$DE$7</definedName>
    <definedName name="dd703_2_5_2">Dropdowns!$DF$5:$DF$7</definedName>
    <definedName name="dd703_2_5_2_1">Dropdowns!$DG$5:$DG$7</definedName>
    <definedName name="dd703_3_0_1">Dropdowns!$DH$5:$DH$6</definedName>
    <definedName name="dd703_3_0_2">Dropdowns!$DI$5:$DI$6</definedName>
    <definedName name="dd703_4_4">Dropdowns!$DJ$5:$DJ$8</definedName>
    <definedName name="dd703_5_1">Dropdowns!$DK$5:$DK$15</definedName>
    <definedName name="dd703_5_5">Dropdowns!$DL$5:$DL$6</definedName>
    <definedName name="dd705_2_1_1">Dropdowns!$DM$5:$DM$6</definedName>
    <definedName name="dd705_2_1_3_1">Dropdowns!$DN$5:$DN$6</definedName>
    <definedName name="dd705_2_1_3_2">Dropdowns!$DO$5:$DO$6</definedName>
    <definedName name="dd705_2_1_4">Dropdowns!$DP$5:$DP$6</definedName>
    <definedName name="dd705_6_2_3">Dropdowns!$DQ$5:$DQ$6</definedName>
    <definedName name="dd706_13">Dropdowns!$DS$5:$DS$6</definedName>
    <definedName name="dd706_2_2">Dropdowns!$DR$5:$DR$6</definedName>
    <definedName name="dd801_1">Dropdowns!$DT$5:$DT$6</definedName>
    <definedName name="dd802_1">Dropdowns!$DU$5:$DU$10</definedName>
    <definedName name="dd802_10_1">Dropdowns!$EK$5:$EK$7</definedName>
    <definedName name="dd802_2_2">Dropdowns!$DV$5:$DV$6</definedName>
    <definedName name="dd802_4_1">Dropdowns!$DW$5:$DW$8</definedName>
    <definedName name="dd802_4_2">Dropdowns!$DX$5:$DX$6</definedName>
    <definedName name="dd802_4_3">Dropdowns!$DY$5:$DY$7</definedName>
    <definedName name="dd802_5_1">Dropdowns!$DZ$5:$DZ$7</definedName>
    <definedName name="dd802_5_1_1">Dropdowns!$EA$5:$EA$9</definedName>
    <definedName name="dd802_5_2">Dropdowns!$EB$5:$EB$6</definedName>
    <definedName name="dd802_5_3">Dropdowns!$EC$5:$EC$7</definedName>
    <definedName name="dd802_5_4_2">Dropdowns!$ED$5:$ED$7</definedName>
    <definedName name="dd802_5_4_4_a">Dropdowns!$EE$5:$EE$7</definedName>
    <definedName name="dd802_6_1">Dropdowns!$EF$5:$EF$7</definedName>
    <definedName name="dd802_7_1">Dropdowns!$EG$5:$EG$9</definedName>
    <definedName name="dd802_7_2_1">Dropdowns!$EH$5:$EH$7</definedName>
    <definedName name="dd802_9_1">Dropdowns!$EI$5:$EI$6</definedName>
    <definedName name="dd802_9_2">Dropdowns!$EJ$5:$EJ$6</definedName>
    <definedName name="dd803_1_1">Dropdowns!$EL$5:$EL$8</definedName>
    <definedName name="dd803_3">Dropdowns!$EM$5:$EM$6</definedName>
    <definedName name="dd901_1_3_1">Dropdowns!$EN$5:$EN$6</definedName>
    <definedName name="dd901_1_3_2">Dropdowns!$EO$5:$EO$6</definedName>
    <definedName name="dd901_1_4">Dropdowns!$EP$5:$EP$7</definedName>
    <definedName name="dd901_1_6">Dropdowns!$EQ$5:$EQ$6</definedName>
    <definedName name="dd901_13">Dropdowns!$FE$5:$FE$7</definedName>
    <definedName name="dd901_2_1_1_m">Dropdowns!$ER$5:$ER$7</definedName>
    <definedName name="dd901_2_1_2_m">Dropdowns!$ES$5:$ES$7</definedName>
    <definedName name="dd901_2_1_3_m">Dropdowns!$ET$5:$ET$7</definedName>
    <definedName name="dd901_2_1_4_m">Dropdowns!$EU$5:$EU$7</definedName>
    <definedName name="dd901_2_1_5_m">Dropdowns!$EV$5:$EV$7</definedName>
    <definedName name="dd901_3_1_a_m">Dropdowns!$EW$5:$EW$7</definedName>
    <definedName name="dd901_3_1_b_m">Dropdowns!$EX$5:$EX$7</definedName>
    <definedName name="dd901_4_1">Dropdowns!$EY$5:$EY$7</definedName>
    <definedName name="dd901_4_a">Dropdowns!$EZ$5:$EZ$9</definedName>
    <definedName name="dd901_4_b">Dropdowns!$FA$5:$FA$9</definedName>
    <definedName name="dd901_4_c">Dropdowns!$FB$5:$FB$9</definedName>
    <definedName name="dd901_4_d">Dropdowns!$FC$5:$FC$9</definedName>
    <definedName name="dd901_9_4">Dropdowns!$FD$5:$FD$7</definedName>
    <definedName name="dd902_1_1_2">Dropdowns!$FF$5:$FF$7</definedName>
    <definedName name="dd902_2_1">Dropdowns!$FG$5:$FG$9</definedName>
    <definedName name="dd902_3">Dropdowns!$FH$5:$FH$9</definedName>
    <definedName name="dd903_1">Dropdowns!$FI$5:$FI$6</definedName>
    <definedName name="dd903_2">Dropdowns!$FJ$5:$FJ$6</definedName>
    <definedName name="dd905_6">Dropdowns!$FK$5:$FK$7</definedName>
    <definedName name="ddAttachedGarage">Dropdowns!$U$5:$U$6</definedName>
    <definedName name="ddAttic">Dropdowns!$T$5:$T$8</definedName>
    <definedName name="ddBuildingCode">Dropdowns!$AC$5:$AC$10</definedName>
    <definedName name="ddBuildingCodeMF">Dropdowns!$AD$5:$AD$14</definedName>
    <definedName name="ddCDucts">Dropdowns!$Q$5:$Q$7</definedName>
    <definedName name="ddCommercial">Dropdowns!$E$5:$E$6</definedName>
    <definedName name="ddCool1">Dropdowns!$N$5:$N$10</definedName>
    <definedName name="ddCool2">Dropdowns!$O$5:$O$10</definedName>
    <definedName name="ddCool3">Dropdowns!$P$5:$P$10</definedName>
    <definedName name="ddCToilet">Dropdowns!$AA$5:$AA$6</definedName>
    <definedName name="ddEnergyCode">Dropdowns!$AB$5:$AB$10</definedName>
    <definedName name="ddEnergyPath">Dropdowns!$F$5:$F$6</definedName>
    <definedName name="ddFoundation">Dropdowns!$H$5:$H$12</definedName>
    <definedName name="ddFuel">Dropdowns!$L$5:$L$10</definedName>
    <definedName name="ddHDucts">Dropdowns!$M$5:$M$7</definedName>
    <definedName name="ddHeat1">Dropdowns!$I$5:$I$12</definedName>
    <definedName name="ddHeat2">Dropdowns!$J$5:$J$12</definedName>
    <definedName name="ddHeat3">Dropdowns!$K$5:$K$12</definedName>
    <definedName name="ddMassWalls">Dropdowns!$X$5:$X$6</definedName>
    <definedName name="ddPassiveSolar">Dropdowns!$W$5:$W$6</definedName>
    <definedName name="ddRadiantHydronic">Dropdowns!$Y$5:$Y$6</definedName>
    <definedName name="ddRecessedLighting">Dropdowns!$V$5:$V$6</definedName>
    <definedName name="ddRenewable">Dropdowns!$R$5:$R$10</definedName>
    <definedName name="ddSingleOrMulti">Dropdowns!$D$5:$D$6</definedName>
    <definedName name="ddTEInsulation">Dropdowns!$S$5:$S$13</definedName>
    <definedName name="ddTLWH">Dropdowns!$Z$5:$Z$6</definedName>
    <definedName name="ddWaterPath">Dropdowns!$G$5:$G$6</definedName>
    <definedName name="desGoalLevel">Points!$H$10</definedName>
    <definedName name="Dlevel">Points!$H$26</definedName>
    <definedName name="DNext">Points!$H$27</definedName>
    <definedName name="dnt1001_1_1">'11.1000'!$AS$15</definedName>
    <definedName name="dnt1001_1_10">'11.1000'!$AS$30</definedName>
    <definedName name="dnt1001_1_11">'11.1000'!$AS$31</definedName>
    <definedName name="dnt1001_1_12">'11.1000'!$AS$32</definedName>
    <definedName name="dnt1001_1_13">'11.1000'!$AS$38</definedName>
    <definedName name="dnt1001_1_14">'11.1000'!$AS$42</definedName>
    <definedName name="dnt1001_1_15">'11.1000'!$AS$44</definedName>
    <definedName name="dnt1001_1_16">'11.1000'!$AS$46</definedName>
    <definedName name="dnt1001_1_17">'11.1000'!$AS$47</definedName>
    <definedName name="dnt1001_1_18">'11.1000'!$AS$49</definedName>
    <definedName name="dnt1001_1_19">'11.1000'!$AS$51</definedName>
    <definedName name="dnt1001_1_2">'11.1000'!$AS$16</definedName>
    <definedName name="dnt1001_1_20">'11.1000'!$AS$52</definedName>
    <definedName name="dnt1001_1_21">'11.1000'!$AS$54</definedName>
    <definedName name="dnt1001_1_22">'11.1000'!$AS$56</definedName>
    <definedName name="dnt1001_1_23">'11.1000'!$AS$58</definedName>
    <definedName name="dnt1001_1_24">'11.1000'!$AS$60</definedName>
    <definedName name="dnt1001_1_25">'11.1000'!$AS$61</definedName>
    <definedName name="dnt1001_1_3">'11.1000'!$AS$17</definedName>
    <definedName name="dnt1001_1_4">'11.1000'!$AS$21</definedName>
    <definedName name="dnt1001_1_5">'11.1000'!$AS$22</definedName>
    <definedName name="dnt1001_1_6">'11.1000'!$AS$23</definedName>
    <definedName name="dnt1001_1_7">'11.1000'!$AS$25</definedName>
    <definedName name="dnt1001_1_8">'11.1000'!$AS$27</definedName>
    <definedName name="dnt1001_1_9">'11.1000'!$AS$28</definedName>
    <definedName name="dnt1001_2">'11.1000'!$AS$62</definedName>
    <definedName name="dnt1002_1_1">'11.1000'!$AS$84</definedName>
    <definedName name="dnt1002_1_2">'11.1000'!$AS$87</definedName>
    <definedName name="dnt1002_1_3">'11.1000'!$AS$90</definedName>
    <definedName name="dnt1002_1_4">'11.1000'!$AS$92</definedName>
    <definedName name="dnt1002_1_5">'11.1000'!$AS$93</definedName>
    <definedName name="dnt1002_1_6">'11.1000'!$AS$95</definedName>
    <definedName name="dnt1002_1_7">'11.1000'!$AS$96</definedName>
    <definedName name="dnt1002_1_8">'11.1000'!$AS$97</definedName>
    <definedName name="dnt1002_2_1">'11.1000'!$AS$103</definedName>
    <definedName name="dnt1002_2_10">'11.1000'!$AS$121</definedName>
    <definedName name="dnt1002_2_11">'11.1000'!$AS$124</definedName>
    <definedName name="dnt1002_2_2">'11.1000'!$AS$105</definedName>
    <definedName name="dnt1002_2_3">'11.1000'!$AS$108</definedName>
    <definedName name="dnt1002_2_4">'11.1000'!$AS$110</definedName>
    <definedName name="dnt1002_2_5">'11.1000'!$AS$113</definedName>
    <definedName name="dnt1002_2_6">'11.1000'!$AS$115</definedName>
    <definedName name="dnt1002_2_7">'11.1000'!$AS$116</definedName>
    <definedName name="dnt1002_2_8">'11.1000'!$AS$118</definedName>
    <definedName name="dnt1002_2_9">'11.1000'!$AS$120</definedName>
    <definedName name="dnt1002_3_1">'11.1000'!$AS$130</definedName>
    <definedName name="dnt1002_3_10">'11.1000'!$AS$151</definedName>
    <definedName name="dnt1002_3_11">'11.1000'!$AS$152</definedName>
    <definedName name="dnt1002_3_2">'11.1000'!$AS$132</definedName>
    <definedName name="dnt1002_3_3">'11.1000'!$AS$136</definedName>
    <definedName name="dnt1002_3_4">'11.1000'!$AS$143</definedName>
    <definedName name="dnt1002_3_5">'11.1000'!$AS$145</definedName>
    <definedName name="dnt1002_3_6">'11.1000'!$AS$146</definedName>
    <definedName name="dnt1002_3_7">'11.1000'!$AS$148</definedName>
    <definedName name="dnt1002_3_8">'11.1000'!$AS$149</definedName>
    <definedName name="dnt1002_3_9">'11.1000'!$AS$150</definedName>
    <definedName name="dnt1002_4">'11.1000'!$AS$154</definedName>
    <definedName name="dnt1002_5_1">'11.1000'!$AS$169</definedName>
    <definedName name="dnt1002_5_2">'11.1000'!$AS$170</definedName>
    <definedName name="dnt1002_5_3">'11.1000'!$AS$171</definedName>
    <definedName name="dnt1002_5_4">'11.1000'!$AS$173</definedName>
    <definedName name="dnt1002_5_5">'11.1000'!$AS$174</definedName>
    <definedName name="dnt1002_5_6">'11.1000'!$AS$175</definedName>
    <definedName name="dnt1002_5_7">'11.1000'!$AS$176</definedName>
    <definedName name="dnt1002_5_8">'11.1000'!$AS$177</definedName>
    <definedName name="dnt1002_5_9">'11.1000'!$AS$178</definedName>
    <definedName name="dnt1002_6_1">'11.1000'!$AS$183</definedName>
    <definedName name="dnt1002_6_2">'11.1000'!$AS$184</definedName>
    <definedName name="dnt1002_6_3">'11.1000'!$AS$185</definedName>
    <definedName name="dnt1002_6_4">'11.1000'!$AS$186</definedName>
    <definedName name="dnt1002_6_5">'11.1000'!$AS$187</definedName>
    <definedName name="dnt1002_6_6">'11.1000'!$AS$188</definedName>
    <definedName name="dnt1002_6_7">'11.1000'!$AS$189</definedName>
    <definedName name="dnt1003_1_1">'11.1000'!$AS$195</definedName>
    <definedName name="dnt1003_1_2">'11.1000'!$AS$197</definedName>
    <definedName name="dnt1003_1_3">'11.1000'!$AS$200</definedName>
    <definedName name="dnt1005_1_1">'11.1000'!$AS$205</definedName>
    <definedName name="dnt1005_1_2">'11.1000'!$AS$208</definedName>
    <definedName name="dnt305_2_5">'11.700'!$AS$10</definedName>
    <definedName name="dnt305_2_5_1">'11.700'!$AS$141</definedName>
    <definedName name="dnt305_2_6_1">'11.800'!$AS$23</definedName>
    <definedName name="dnt501_2">'11.500'!$AS$14</definedName>
    <definedName name="dnt501_2_1">'11.500'!$AS$16</definedName>
    <definedName name="dnt501_2_2">'11.500'!$AS$18</definedName>
    <definedName name="dnt501_2_3">'11.500'!$AS$20</definedName>
    <definedName name="dnt501_2_3_">'11.500'!$AS$29</definedName>
    <definedName name="dnt501_2_4">'11.500'!$AS$35</definedName>
    <definedName name="dnt501_2_5">'11.500'!$AS$38</definedName>
    <definedName name="dnt501_2_5_d">'11.500'!$AS$43</definedName>
    <definedName name="dnt501_2_6">'11.500'!$AS$45</definedName>
    <definedName name="dnt501_2_7">'11.500'!$AS$48</definedName>
    <definedName name="dnt502_1">'11.500'!$AS$52</definedName>
    <definedName name="dnt503_0">'11.500'!$AS$57</definedName>
    <definedName name="dnt503_1">'11.500'!$AS$62</definedName>
    <definedName name="dnt503_2">'11.500'!$AS$81</definedName>
    <definedName name="dnt503_3">'11.500'!$AS$94</definedName>
    <definedName name="dnt503_4">'11.500'!$AS$106</definedName>
    <definedName name="dnt503_4_1">'11.500'!$AS$113</definedName>
    <definedName name="dnt503_4_2">'11.500'!$AS$116</definedName>
    <definedName name="dnt503_4_3">'11.500'!$AS$123</definedName>
    <definedName name="dnt503_4_3_">'11.500'!$AS$128</definedName>
    <definedName name="dnt503_4_4">'11.500'!$AS$130</definedName>
    <definedName name="dnt503_5">'11.500'!$AS$133</definedName>
    <definedName name="dnt503_5_1">'11.500'!$AS$137</definedName>
    <definedName name="dnt503_5_10">'11.500'!$AS$165</definedName>
    <definedName name="dnt503_5_11">'11.500'!$AS$168</definedName>
    <definedName name="dnt503_5_12">'11.500'!$AS$170</definedName>
    <definedName name="dnt503_5_13">'11.500'!$AS$172</definedName>
    <definedName name="dnt503_5_2">'11.500'!$AS$143</definedName>
    <definedName name="dnt503_5_3">'11.500'!$AS$145</definedName>
    <definedName name="dnt503_5_4">'11.500'!$AS$148</definedName>
    <definedName name="dnt503_5_5">'11.500'!$AS$150</definedName>
    <definedName name="dnt503_5_6">'11.500'!$AS$152</definedName>
    <definedName name="dnt503_5_7">'11.500'!$AS$157</definedName>
    <definedName name="dnt503_5_8">'11.500'!$AS$158</definedName>
    <definedName name="dnt503_5_9">'11.500'!$AS$163</definedName>
    <definedName name="dnt503_6">'11.500'!$AS$174</definedName>
    <definedName name="dnt503_7">'11.500'!$AS$181</definedName>
    <definedName name="dnt504_1">'11.500'!$AS$190</definedName>
    <definedName name="dnt504_2">'11.500'!$AS$195</definedName>
    <definedName name="dnt504_3">'11.500'!$AS$202</definedName>
    <definedName name="dnt504_3_1">'11.500'!$AS$205</definedName>
    <definedName name="dnt504_3_2">'11.500'!$AS$207</definedName>
    <definedName name="dnt504_3_3">'11.500'!$AS$208</definedName>
    <definedName name="dnt504_3_4">'11.500'!$AS$210</definedName>
    <definedName name="dnt504_3_5">'11.500'!$AS$212</definedName>
    <definedName name="dnt504_3_6">'11.500'!$AS$216</definedName>
    <definedName name="dnt504_3_7">'11.500'!$AS$219</definedName>
    <definedName name="dnt504_3_8">'11.500'!$AS$220</definedName>
    <definedName name="dnt505_1_1">'11.500'!$AS$234</definedName>
    <definedName name="dnt505_1_2">'11.500'!$AS$236</definedName>
    <definedName name="dnt505_1_3">'11.500'!$AS$237</definedName>
    <definedName name="dnt505_10_a">'11.500'!$AS$299</definedName>
    <definedName name="dnt505_10_b">'11.500'!$AS$301</definedName>
    <definedName name="dnt505_10_c">'11.500'!$AS$303</definedName>
    <definedName name="dnt505_11">'11.500'!$AS$305</definedName>
    <definedName name="dnt505_2_1">'11.500'!$AS$242</definedName>
    <definedName name="dnt505_2_2">'11.500'!$AS$252</definedName>
    <definedName name="dnt505_3">'11.500'!$AS$255</definedName>
    <definedName name="dnt505_4_1">'11.500'!$AS$262</definedName>
    <definedName name="dnt505_5_a">'11.500'!$AS$265</definedName>
    <definedName name="dnt505_5_b">'11.500'!$AS$267</definedName>
    <definedName name="dnt505_5_c">'11.500'!$AS$270</definedName>
    <definedName name="dnt505_5_d">'11.500'!$AS$271</definedName>
    <definedName name="dnt505_6">'11.500'!$AS$272</definedName>
    <definedName name="dnt505_7">'11.500'!$AS$283</definedName>
    <definedName name="dnt505_8">'11.500'!$AS$287</definedName>
    <definedName name="dnt505_9_a">'11.500'!$AS$290</definedName>
    <definedName name="dnt505_9_b">'11.500'!$AS$293</definedName>
    <definedName name="dnt505_9_c">'11.500'!$AS$294</definedName>
    <definedName name="dnt601_1">'11.600'!$AS$14</definedName>
    <definedName name="dnt601_2_1">'11.600'!$AS$32</definedName>
    <definedName name="dnt601_2_2">'11.600'!$AS$35</definedName>
    <definedName name="dnt601_2_3">'11.600'!$AS$38</definedName>
    <definedName name="dnt601_3_1">'11.600'!$AS$44</definedName>
    <definedName name="dnt601_3_2">'11.600'!$AS$45</definedName>
    <definedName name="dnt601_3_3">'11.600'!$AS$46</definedName>
    <definedName name="dnt601_3_4">'11.600'!$AS$47</definedName>
    <definedName name="dnt601_3_5">'11.600'!$AS$48</definedName>
    <definedName name="dnt601_4">'11.600'!$AS$49</definedName>
    <definedName name="dnt601_5_1">'11.600'!$AS$57</definedName>
    <definedName name="dnt601_5_2">'11.600'!$AS$58</definedName>
    <definedName name="dnt601_5_3">'11.600'!$AS$59</definedName>
    <definedName name="dnt601_5_4">'11.600'!$AS$60</definedName>
    <definedName name="dnt601_6">'11.600'!$AS$61</definedName>
    <definedName name="dnt601_7">'11.600'!$AS$66</definedName>
    <definedName name="dnt601_8">'11.600'!$AS$85</definedName>
    <definedName name="dnt602_1_1_1">'11.600'!$AS$98</definedName>
    <definedName name="dnt602_1_1_2">'11.600'!$AS$102</definedName>
    <definedName name="dnt602_1_10">'11.600'!$AS$215</definedName>
    <definedName name="dnt602_1_11">'11.600'!$AS$227</definedName>
    <definedName name="dnt602_1_12">'11.600'!$AS$231</definedName>
    <definedName name="dnt602_1_13">'11.600'!$AS$234</definedName>
    <definedName name="dnt602_1_14_1">'11.600'!$AS$240</definedName>
    <definedName name="dnt602_1_14_2">'11.600'!$AS$242</definedName>
    <definedName name="dnt602_1_14_3">'11.600'!$AS$243</definedName>
    <definedName name="dnt602_1_15">'11.600'!$AS$244</definedName>
    <definedName name="dnt602_1_2">'11.600'!$AS$105</definedName>
    <definedName name="dnt602_1_3_1">'11.600'!$AS$111</definedName>
    <definedName name="dnt602_1_3_2">'11.600'!$AS$114</definedName>
    <definedName name="dnt602_1_4_1_1">'11.600'!$AS$122</definedName>
    <definedName name="dnt602_1_4_1_2">'11.600'!$AS$124</definedName>
    <definedName name="dnt602_1_4_2_1">'11.600'!$AS$131</definedName>
    <definedName name="dnt602_1_4_2_2">'11.600'!$AS$133</definedName>
    <definedName name="dnt602_1_5">'11.600'!$AS$138</definedName>
    <definedName name="dnt602_1_6_1">'11.600'!$AS$147</definedName>
    <definedName name="dnt602_1_7_1_1">'11.600'!$AS$160</definedName>
    <definedName name="dnt602_1_7_1_2">'11.600'!$AS$162</definedName>
    <definedName name="dnt602_1_7_1_3">'11.600'!$AS$165</definedName>
    <definedName name="dnt602_1_7_2">'11.600'!$AS$167</definedName>
    <definedName name="dnt602_1_7_3">'11.600'!$AS$169</definedName>
    <definedName name="dnt602_1_8">'11.600'!$AS$173</definedName>
    <definedName name="dnt602_1_9_1">'11.600'!$AS$185</definedName>
    <definedName name="dnt602_1_9_2">'11.600'!$AS$197</definedName>
    <definedName name="dnt602_1_9_3">'11.600'!$AS$200</definedName>
    <definedName name="dnt602_1_9_4">'11.600'!$AS$201</definedName>
    <definedName name="dnt602_1_9_5">'11.600'!$AS$205</definedName>
    <definedName name="dnt602_1_9_6">'11.600'!$AS$211</definedName>
    <definedName name="dnt602_1_9_7">'11.600'!$AS$213</definedName>
    <definedName name="dnt602_2_1">'11.600'!$AS$251</definedName>
    <definedName name="dnt602_2_2">'11.600'!$AS$253</definedName>
    <definedName name="dnt602_2_3">'11.600'!$AS$254</definedName>
    <definedName name="dnt602_3">'11.600'!$AS$257</definedName>
    <definedName name="dnt602_4_1">'11.600'!$AS$261</definedName>
    <definedName name="dnt602_4_2">'11.600'!$AS$266</definedName>
    <definedName name="dnt602_4_3">'11.600'!$AS$268</definedName>
    <definedName name="dnt603_1">'11.600'!$AS$273</definedName>
    <definedName name="dnt603_2">'11.600'!$AS$279</definedName>
    <definedName name="dnt603_3">'11.600'!$AS$286</definedName>
    <definedName name="dnt604_1a">'11.600'!$AS$290</definedName>
    <definedName name="dnt604_1b">'11.600'!$AS$292</definedName>
    <definedName name="dnt604_1c">'11.600'!$AS$294</definedName>
    <definedName name="dnt604_1d">'11.600'!$AS$296</definedName>
    <definedName name="dnt605_1">'11.600'!$AS$300</definedName>
    <definedName name="dnt605_2">'11.600'!$AS$303</definedName>
    <definedName name="dnt605_3">'11.600'!$AS$318</definedName>
    <definedName name="dnt605_4_2_a">'11.600'!$AS$331</definedName>
    <definedName name="dnt605_4_2_h">'11.600'!$AS$338</definedName>
    <definedName name="dnt605_4_2_i">'11.600'!$AS$339</definedName>
    <definedName name="dnt606_1_a">'11.600'!$AS$344</definedName>
    <definedName name="dnt606_2_1a">'11.600'!$AS$375</definedName>
    <definedName name="dnt606_2_1b">'11.600'!$AS$376</definedName>
    <definedName name="dnt606_2_2a">'11.600'!$AS$378</definedName>
    <definedName name="dnt606_2_2b">'11.600'!$AS$379</definedName>
    <definedName name="dnt606_3">'11.600'!$AS$381</definedName>
    <definedName name="dnt607_1_1">'11.600'!$AS$390</definedName>
    <definedName name="dnt607_1_2">'11.600'!$AS$395</definedName>
    <definedName name="dnt607_2">'11.600'!$AS$401</definedName>
    <definedName name="dnt608_1">'11.600'!$AS$404</definedName>
    <definedName name="dnt609_1_1">'11.600'!$AS$416</definedName>
    <definedName name="dnt609_1_2">'11.600'!$AS$418</definedName>
    <definedName name="dnt610_1">'11.600'!$AS$426</definedName>
    <definedName name="dnt610_1_1_1">'11.600'!$AS$435</definedName>
    <definedName name="dnt610_1_1_2">'11.600'!$AS$444</definedName>
    <definedName name="dnt610_1_1_3">'11.600'!$AS$451</definedName>
    <definedName name="dnt610_1_2_1">'11.600'!$AS$457</definedName>
    <definedName name="dnt610_1_2_1_e">'11.600'!$AS$464</definedName>
    <definedName name="dnt610_1_2_2_e">'11.600'!$AS$489</definedName>
    <definedName name="dnt610_1_2_2a">'11.600'!$AS$471</definedName>
    <definedName name="dnt610_1_2_2b">'11.600'!$AS$477</definedName>
    <definedName name="dnt610_1_2_2c">'11.600'!$AS$483</definedName>
    <definedName name="dnt611_1_1">'11.600'!$AS$501</definedName>
    <definedName name="dnt611_1_2">'11.600'!$AS$511</definedName>
    <definedName name="dnt612_1">'11.600'!$AS$519</definedName>
    <definedName name="dnt612_2_1">'11.600'!$AS$530</definedName>
    <definedName name="dnt612_2_2">'11.600'!$AS$531</definedName>
    <definedName name="dnt612_2_3">'11.600'!$AS$533</definedName>
    <definedName name="dnt612_2_4">'11.600'!$AS$535</definedName>
    <definedName name="dnt612_2_5">'11.600'!$AS$537</definedName>
    <definedName name="dnt612_2_6">'11.600'!$AS$539</definedName>
    <definedName name="dnt612_2_7">'11.600'!$AS$541</definedName>
    <definedName name="dnt612_3_1">'11.600'!$AS$545</definedName>
    <definedName name="dnt612_3_2">'11.600'!$AS$550</definedName>
    <definedName name="dnt612_3_3">'11.600'!$AS$554</definedName>
    <definedName name="dnt612_3_4">'11.600'!$AS$556</definedName>
    <definedName name="dnt612_3_5">'11.600'!$AS$558</definedName>
    <definedName name="dnt612_3_6">'11.600'!$AS$559</definedName>
    <definedName name="dnt612_3_7">'11.600'!$AS$560</definedName>
    <definedName name="dnt612_3_8">'11.600'!$AS$564</definedName>
    <definedName name="dnt612_3_9">'11.600'!$AS$566</definedName>
    <definedName name="dnt613_1">'11.600'!$AS$570</definedName>
    <definedName name="dnt701_4_0">'11.700'!$AS$12</definedName>
    <definedName name="dnt701_4_1_1">'11.700'!$AS$19</definedName>
    <definedName name="dnt701_4_1_2">'11.700'!$AS$22</definedName>
    <definedName name="dnt701_4_2_1">'11.700'!$AS$28</definedName>
    <definedName name="dnt701_4_2_2">'11.700'!$AS$31</definedName>
    <definedName name="dnt701_4_2_3">'11.700'!$AS$34</definedName>
    <definedName name="dnt701_4_3_1">'11.700'!$AS$37</definedName>
    <definedName name="dnt701_4_3_1_a">'11.700'!$AS$42</definedName>
    <definedName name="dnt701_4_3_1_b">'11.700'!$AS$43</definedName>
    <definedName name="dnt701_4_3_1_c">'11.700'!$AS$44</definedName>
    <definedName name="dnt701_4_3_1_d">'11.700'!$AS$45</definedName>
    <definedName name="dnt701_4_3_1_e">'11.700'!$AS$46</definedName>
    <definedName name="dnt701_4_3_1_f">'11.700'!$AS$47</definedName>
    <definedName name="dnt701_4_3_1_g">'11.700'!$AS$48</definedName>
    <definedName name="dnt701_4_3_1_h">'11.700'!$AS$49</definedName>
    <definedName name="dnt701_4_3_1_i">'11.700'!$AS$50</definedName>
    <definedName name="dnt701_4_3_1_j">'11.700'!$AS$51</definedName>
    <definedName name="dnt701_4_3_1_k">'11.700'!$AS$52</definedName>
    <definedName name="dnt701_4_3_1_l">'11.700'!$AS$53</definedName>
    <definedName name="dnt701_4_3_1_m">'11.700'!$AS$54</definedName>
    <definedName name="dnt701_4_3_2_1">'11.700'!$AS$81</definedName>
    <definedName name="dnt701_4_3_2_1_">'11.700'!$AS$59</definedName>
    <definedName name="dnt701_4_3_2_1_1">'11.700'!$AS$85</definedName>
    <definedName name="dnt701_4_3_2_1_2">'11.700'!$AS$86</definedName>
    <definedName name="dnt701_4_3_2_1_3">'11.700'!$AS$90</definedName>
    <definedName name="dnt701_4_3_2_1_4">'11.700'!$AS$92</definedName>
    <definedName name="dnt701_4_3_2_1_5">'11.700'!$AS$95</definedName>
    <definedName name="dnt701_4_3_2_1_6">'11.700'!$AS$97</definedName>
    <definedName name="dnt701_4_3_2_1_7">'11.700'!$AS$98</definedName>
    <definedName name="dnt701_4_3_2_1_8">'11.700'!$AS$99</definedName>
    <definedName name="dnt701_4_3_2_1_9">'11.700'!$AS$102</definedName>
    <definedName name="dnt701_4_3_2_1_a">'11.700'!$AS$67</definedName>
    <definedName name="dnt701_4_3_2_1_b">'11.700'!$AS$68</definedName>
    <definedName name="dnt701_4_3_2_1_c">'11.700'!$AS$70</definedName>
    <definedName name="dnt701_4_3_2_1_d">'11.700'!$AS$71</definedName>
    <definedName name="dnt701_4_3_2_1_e">'11.700'!$AS$73</definedName>
    <definedName name="dnt701_4_3_2_1_f">'11.700'!$AS$74</definedName>
    <definedName name="dnt701_4_3_2_1_g">'11.700'!$AS$75</definedName>
    <definedName name="dnt701_4_3_2_1_h">'11.700'!$AS$76</definedName>
    <definedName name="dnt701_4_3_2_2">'11.700'!$AS$78</definedName>
    <definedName name="dnt701_4_3_2e">'11.700'!$AS$62</definedName>
    <definedName name="dnt701_4_3_3">'11.700'!$AS$104</definedName>
    <definedName name="dnt701_4_3_4">'11.700'!$AS$107</definedName>
    <definedName name="dnt701_4_3_5">'11.700'!$AS$117</definedName>
    <definedName name="dnt701_4_4">'11.700'!$AS$124</definedName>
    <definedName name="dnt701_4_5">'11.700'!$AS$126</definedName>
    <definedName name="dnt701_4_6">'11.700'!$AS$129</definedName>
    <definedName name="dnt701_4_7">'11.700'!$AS$133</definedName>
    <definedName name="dnt703_1_1">'11.700'!$AS$160</definedName>
    <definedName name="dnt703_1_2">'11.700'!$AS$172</definedName>
    <definedName name="dnt703_1_3">'11.700'!$AS$175</definedName>
    <definedName name="dnt703_2_1">'11.700'!$AS$178</definedName>
    <definedName name="dnt703_2_2">'11.700'!$AS$185</definedName>
    <definedName name="dnt703_2_3">'11.700'!$AS$187</definedName>
    <definedName name="dnt703_2_4">'11.700'!$AS$191</definedName>
    <definedName name="dnt703_2_5_1">'11.700'!$AS$196</definedName>
    <definedName name="dnt703_2_5_1_1">'11.700'!$AS$203</definedName>
    <definedName name="dnt703_2_5_2">'11.700'!$AS$212</definedName>
    <definedName name="dnt703_2_5_2_1">'11.700'!$AS$222</definedName>
    <definedName name="dnt703_3_0_1">'11.700'!$AS$232</definedName>
    <definedName name="dnt703_3_0_2">'11.700'!$AS$238</definedName>
    <definedName name="dnt703_3_1">'11.700'!$AS$245</definedName>
    <definedName name="dnt703_3_2_1">'11.700'!$AS$251</definedName>
    <definedName name="dnt703_3_2_2">'11.700'!$AS$257</definedName>
    <definedName name="dnt703_3_2_3">'11.700'!$AS$260</definedName>
    <definedName name="dnt703_3_2_4">'11.700'!$AS$265</definedName>
    <definedName name="dnt703_3_3_1">'11.700'!$AS$271</definedName>
    <definedName name="dnt703_3_3_2">'11.700'!$AS$277</definedName>
    <definedName name="dnt703_3_3_3">'11.700'!$AS$279</definedName>
    <definedName name="dnt703_3_4_1">'11.700'!$AS$283</definedName>
    <definedName name="dnt703_3_4_1_6">'11.700'!$AS$289</definedName>
    <definedName name="dnt703_3_4_2">'11.700'!$AS$291</definedName>
    <definedName name="dnt703_3_5">'11.700'!$AS$292</definedName>
    <definedName name="dnt703_3_6">'11.700'!$AS$295</definedName>
    <definedName name="dnt703_3_7">'11.700'!$AS$302</definedName>
    <definedName name="dnt703_3_8">'11.700'!$AS$309</definedName>
    <definedName name="dnt703_4_1">'11.700'!$AS$314</definedName>
    <definedName name="dnt703_4_2">'11.700'!$AS$315</definedName>
    <definedName name="dnt703_4_3_1">'11.700'!$AS$317</definedName>
    <definedName name="dnt703_4_3_2">'11.700'!$AS$318</definedName>
    <definedName name="dnt703_4_3_3">'11.700'!$AS$320</definedName>
    <definedName name="dnt703_4_4">'11.700'!$AS$321</definedName>
    <definedName name="dnt703_5_1">'11.700'!$AS$331</definedName>
    <definedName name="dnt703_5_2">'11.700'!$AS$380</definedName>
    <definedName name="dnt703_5_3">'11.700'!$AS$382</definedName>
    <definedName name="dnt703_5_4">'11.700'!$AS$384</definedName>
    <definedName name="dnt703_5_5">'11.700'!$AS$386</definedName>
    <definedName name="dnt703_6_1_1">'11.700'!$AS$407</definedName>
    <definedName name="dnt703_6_1_2">'11.700'!$AS$409</definedName>
    <definedName name="dnt703_6_1_3">'11.700'!$AS$411</definedName>
    <definedName name="dnt703_6_2_1">'11.700'!$AS$414</definedName>
    <definedName name="dnt703_6_2_2">'11.700'!$AS$415</definedName>
    <definedName name="dnt703_6_2_3">'11.700'!$AS$416</definedName>
    <definedName name="dnt703_7_1_1">'11.700'!$AS$421</definedName>
    <definedName name="dnt703_7_1_2">'11.700'!$AS$423</definedName>
    <definedName name="dnt703_7_1_3">'11.700'!$AS$426</definedName>
    <definedName name="dnt703_7_1_4">'11.700'!$AS$428</definedName>
    <definedName name="dnt703_7_1_5">'11.700'!$AS$430</definedName>
    <definedName name="dnt703_7_1_6_a">'11.700'!$AS$433</definedName>
    <definedName name="dnt703_7_1_6_b">'11.700'!$AS$434</definedName>
    <definedName name="dnt703_7_1_6_c">'11.700'!$AS$435</definedName>
    <definedName name="dnt703_7_1_7">'11.700'!$AS$437</definedName>
    <definedName name="dnt703_7_1_8">'11.700'!$AS$439</definedName>
    <definedName name="dnt703_7_1_9">'11.700'!$AS$440</definedName>
    <definedName name="dnt703_7_2">'11.700'!$AS$447</definedName>
    <definedName name="dnt703_7_3_1_a">'11.700'!$AS$455</definedName>
    <definedName name="dnt703_7_3_1_b">'11.700'!$AS$457</definedName>
    <definedName name="dnt703_7_3_1_c">'11.700'!$AS$458</definedName>
    <definedName name="dnt703_7_3_1_d">'11.700'!$AS$459</definedName>
    <definedName name="dnt703_7_3_2">'11.700'!$AS$461</definedName>
    <definedName name="dnt703_7_3_3">'11.700'!$AS$463</definedName>
    <definedName name="dnt703_7_3_4">'11.700'!$AS$465</definedName>
    <definedName name="dnt703_7_3_5_a">'11.700'!$AS$470</definedName>
    <definedName name="dnt703_7_3_5_b">'11.700'!$AS$472</definedName>
    <definedName name="dnt703_7_3_6">'11.700'!$AS$474</definedName>
    <definedName name="dnt703_7_4_1">'11.700'!$AS$479</definedName>
    <definedName name="dnt703_7_4_2_a">'11.700'!$AS$483</definedName>
    <definedName name="dnt703_7_4_2_b">'11.700'!$AS$486</definedName>
    <definedName name="dnt703_7_4_2_c">'11.700'!$AS$494</definedName>
    <definedName name="dnt703_7_4_3">'11.700'!$AS$497</definedName>
    <definedName name="dnt705_2_1_1">'11.700'!$AS$505</definedName>
    <definedName name="dnt705_2_1_2">'11.700'!$AS$509</definedName>
    <definedName name="dnt705_2_1_3_1">'11.700'!$AS$513</definedName>
    <definedName name="dnt705_2_1_3_2">'11.700'!$AS$517</definedName>
    <definedName name="dnt705_2_1_4">'11.700'!$AS$522</definedName>
    <definedName name="dnt705_2_2">'11.700'!$AS$527</definedName>
    <definedName name="dnt705_2_3">'11.700'!$AS$530</definedName>
    <definedName name="dnt705_2_4">'11.700'!$AS$532</definedName>
    <definedName name="dnt705_3">'11.700'!$AS$535</definedName>
    <definedName name="dnt705_4">'11.700'!$AS$536</definedName>
    <definedName name="dnt705_5_1_1">'11.700'!$AS$541</definedName>
    <definedName name="dnt705_5_1_2">'11.700'!$AS$544</definedName>
    <definedName name="dnt705_5_2">'11.700'!$AS$546</definedName>
    <definedName name="dnt705_5_2_1">'11.700'!$AS$548</definedName>
    <definedName name="dnt705_5_2_2">'11.700'!$AS$549</definedName>
    <definedName name="dnt705_5_2_3">'11.700'!$AS$550</definedName>
    <definedName name="dnt705_5_2_4">'11.700'!$AS$551</definedName>
    <definedName name="dnt705_5_2_5">'11.700'!$AS$552</definedName>
    <definedName name="dnt705_5_2_6">'11.700'!$AS$553</definedName>
    <definedName name="dnt705_5_3_1">'11.700'!$AS$555</definedName>
    <definedName name="dnt705_6_1">'11.700'!$AS$559</definedName>
    <definedName name="dnt705_6_2_1_1">'11.700'!$AS$576</definedName>
    <definedName name="dnt705_6_2_1_2">'11.700'!$AS$579</definedName>
    <definedName name="dnt705_6_2_2_1">'11.700'!$AS$585</definedName>
    <definedName name="dnt705_6_2_2_2">'11.700'!$AS$587</definedName>
    <definedName name="dnt705_6_2_3">'11.700'!$AS$590</definedName>
    <definedName name="dnt705_6_3_a">'11.700'!$AS$599</definedName>
    <definedName name="dnt705_6_3_b">'11.700'!$AS$600</definedName>
    <definedName name="dnt705_6_3_c">'11.700'!$AS$601</definedName>
    <definedName name="dnt705_6_3_d">'11.700'!$AS$602</definedName>
    <definedName name="dnt705_6_3_e">'11.700'!$AS$603</definedName>
    <definedName name="dnt705_6_3_f">'11.700'!$AS$604</definedName>
    <definedName name="dnt705_6_3_g">'11.700'!$AS$605</definedName>
    <definedName name="dnt705_6_4_1">'11.700'!$AS$608</definedName>
    <definedName name="dnt705_6_4_2">'11.700'!$AS$610</definedName>
    <definedName name="dnt705_7">'11.700'!$AS$612</definedName>
    <definedName name="dnt706_1_1">'11.700'!$AS$619</definedName>
    <definedName name="dnt706_1_2">'11.700'!$AS$620</definedName>
    <definedName name="dnt706_1_3">'11.700'!$AS$621</definedName>
    <definedName name="dnt706_1_4">'11.700'!$AS$622</definedName>
    <definedName name="dnt706_1_5">'11.700'!$AS$624</definedName>
    <definedName name="dnt706_10">'11.700'!$AS$694</definedName>
    <definedName name="dnt706_11">'11.700'!$AS$699</definedName>
    <definedName name="dnt706_12">'11.700'!$AS$701</definedName>
    <definedName name="dnt706_13">'11.700'!$AS$705</definedName>
    <definedName name="dnt706_14_1">'11.700'!$AS$710</definedName>
    <definedName name="dnt706_14_2">'11.700'!$AS$714</definedName>
    <definedName name="dnt706_15_1">'11.700'!$AS$719</definedName>
    <definedName name="dnt706_15_2">'11.700'!$AS$720</definedName>
    <definedName name="dnt706_2_1">'11.700'!$AS$627</definedName>
    <definedName name="dnt706_2_2">'11.700'!$AS$632</definedName>
    <definedName name="dnt706_3">'11.700'!$AS$639</definedName>
    <definedName name="dnt706_3_1">'11.700'!$AS$643</definedName>
    <definedName name="dnt706_3_2">'11.700'!$AS$644</definedName>
    <definedName name="dnt706_3_3">'11.700'!$AS$645</definedName>
    <definedName name="dnt706_3_4">'11.700'!$AS$646</definedName>
    <definedName name="dnt706_3_5">'11.700'!$AS$647</definedName>
    <definedName name="dnt706_3_6">'11.700'!$AS$648</definedName>
    <definedName name="dnt706_3_7">'11.700'!$AS$649</definedName>
    <definedName name="dnt706_3_8">'11.700'!$AS$650</definedName>
    <definedName name="dnt706_4_1_1">'11.700'!$AS$657</definedName>
    <definedName name="dnt706_4_1_2">'11.700'!$AS$659</definedName>
    <definedName name="dnt706_4_2">'11.700'!$AS$661</definedName>
    <definedName name="dnt706_5_1">'11.700'!$AS$664</definedName>
    <definedName name="dnt706_6">'11.700'!$AS$678</definedName>
    <definedName name="dnt706_7_1">'11.700'!$AS$684</definedName>
    <definedName name="dnt706_7_2">'11.700'!$AS$685</definedName>
    <definedName name="dnt706_8">'11.700'!$AS$686</definedName>
    <definedName name="dnt706_9">'11.700'!$AS$689</definedName>
    <definedName name="dnt802_1_1">'11.800'!$AS$51</definedName>
    <definedName name="dnt802_1_5">'11.800'!$AS$62</definedName>
    <definedName name="dnt802_1_6">'11.800'!$AS$67</definedName>
    <definedName name="dnt802_10_1">'11.800'!$AS$242</definedName>
    <definedName name="dnt802_10_1_1">'11.800'!$AS$245</definedName>
    <definedName name="dnt802_2_1">'11.800'!$AS$72</definedName>
    <definedName name="dnt802_2_2">'11.800'!$AS$73</definedName>
    <definedName name="dnt802_3_1_a">'11.800'!$AS$79</definedName>
    <definedName name="dnt802_3_1_b">'11.800'!$AS$81</definedName>
    <definedName name="dnt802_3_2_a">'11.800'!$AS$88</definedName>
    <definedName name="dnt802_3_2_b">'11.800'!$AS$90</definedName>
    <definedName name="dnt802_4_1">'11.800'!$AS$95</definedName>
    <definedName name="dnt802_4_2">'11.800'!$AS$106</definedName>
    <definedName name="dnt802_4_3">'11.800'!$AS$111</definedName>
    <definedName name="dnt802_5_1">'11.800'!$AS$115</definedName>
    <definedName name="dnt802_5_2">'11.800'!$AS$127</definedName>
    <definedName name="dnt802_5_3">'11.800'!$AS$132</definedName>
    <definedName name="dnt802_5_4_1">'11.800'!$AS$136</definedName>
    <definedName name="dnt802_5_4_2">'11.800'!$AS$138</definedName>
    <definedName name="dnt802_5_4_3">'11.800'!$AS$145</definedName>
    <definedName name="dnt802_5_4_4_a">'11.800'!$AS$148</definedName>
    <definedName name="dnt802_5_4_4_b">'11.800'!$AS$152</definedName>
    <definedName name="dnt802_5_4_4_c">'11.800'!$AS$154</definedName>
    <definedName name="dnt802_6_1">'11.800'!$AS$157</definedName>
    <definedName name="dnt802_6_2">'11.800'!$AS$159</definedName>
    <definedName name="dnt802_6_3_1">'11.800'!$AS$163</definedName>
    <definedName name="dnt802_6_3_2">'11.800'!$AS$164</definedName>
    <definedName name="dnt802_6_3_3">'11.800'!$AS$165</definedName>
    <definedName name="dnt802_6_4_1">'11.800'!$AS$169</definedName>
    <definedName name="dnt802_6_4_2">'11.800'!$AS$171</definedName>
    <definedName name="dnt802_6_5_1">'11.800'!$AS$175</definedName>
    <definedName name="dnt802_6_5_2">'11.800'!$AS$177</definedName>
    <definedName name="dnt802_6_5_3">'11.800'!$AS$179</definedName>
    <definedName name="dnt802_6_5_4">'11.800'!$AS$180</definedName>
    <definedName name="dnt802_6_5_5">'11.800'!$AS$182</definedName>
    <definedName name="dnt802_7_1">'11.800'!$AS$186</definedName>
    <definedName name="dnt802_7_2_1">'11.800'!$AS$200</definedName>
    <definedName name="dnt802_7_2_2">'11.800'!$AS$202</definedName>
    <definedName name="dnt802_8">'11.800'!$AS$225</definedName>
    <definedName name="dnt802_9_1">'11.800'!$AS$228</definedName>
    <definedName name="dnt802_9_2">'11.800'!$AS$236</definedName>
    <definedName name="dnt803_1_1">'11.800'!$AS$251</definedName>
    <definedName name="dnt803_1_2">'11.800'!$AS$253</definedName>
    <definedName name="dnt803_2">'11.800'!$AS$254</definedName>
    <definedName name="dnt803_3">'11.800'!$AS$257</definedName>
    <definedName name="dnt803_4">'11.800'!$AS$262</definedName>
    <definedName name="dnt803_5">'11.800'!$AS$265</definedName>
    <definedName name="dnt803_6">'11.800'!$AS$267</definedName>
    <definedName name="dnt901_1_1">'11.900'!$AS$12</definedName>
    <definedName name="dnt901_1_2">'11.900'!$AS$18</definedName>
    <definedName name="dnt901_1_3_1">'11.900'!$AS$23</definedName>
    <definedName name="dnt901_1_3_2">'11.900'!$AS$26</definedName>
    <definedName name="dnt901_1_4">'11.900'!$AS$29</definedName>
    <definedName name="dnt901_1_5">'11.900'!$AS$34</definedName>
    <definedName name="dnt901_1_6">'11.900'!$AS$37</definedName>
    <definedName name="dnt901_10_1">'11.900'!$AS$156</definedName>
    <definedName name="dnt901_10_2">'11.900'!$AS$161</definedName>
    <definedName name="dnt901_10_3">'11.900'!$AS$162</definedName>
    <definedName name="dnt901_11">'11.900'!$AS$166</definedName>
    <definedName name="dnt901_12">'11.900'!$AS$171</definedName>
    <definedName name="dnt901_13">'11.900'!$AS$177</definedName>
    <definedName name="dnt901_14">'11.900'!$AS$179</definedName>
    <definedName name="dnt901_15_1">'11.900'!$AS$185</definedName>
    <definedName name="dnt901_15_2">'11.900'!$AS$187</definedName>
    <definedName name="dnt901_16">'11.900'!$AS$189</definedName>
    <definedName name="dnt901_2_1_1">'11.900'!$AS$43</definedName>
    <definedName name="dnt901_2_1_2">'11.900'!$AS$46</definedName>
    <definedName name="dnt901_2_1_3">'11.900'!$AS$48</definedName>
    <definedName name="dnt901_2_1_4">'11.900'!$AS$51</definedName>
    <definedName name="dnt901_2_1_5">'11.900'!$AS$53</definedName>
    <definedName name="dnt901_2_2">'11.900'!$AS$55</definedName>
    <definedName name="dnt901_3_1_a">'11.900'!$AS$58</definedName>
    <definedName name="dnt901_3_1_b">'11.900'!$AS$60</definedName>
    <definedName name="dnt901_3_1_c">'11.900'!$AS$62</definedName>
    <definedName name="dnt901_3_2">'11.900'!$AS$68</definedName>
    <definedName name="dnt901_4_1">'11.900'!$AS$73</definedName>
    <definedName name="dnt901_4_a">'11.900'!$AS$78</definedName>
    <definedName name="dnt901_5_1">'11.900'!$AS$92</definedName>
    <definedName name="dnt901_5_2">'11.900'!$AS$94</definedName>
    <definedName name="dnt901_6">'11.900'!$AS$97</definedName>
    <definedName name="dnt901_7_1">'11.900'!$AS$106</definedName>
    <definedName name="dnt901_7_2">'11.900'!$AS$117</definedName>
    <definedName name="dnt901_8">'11.900'!$AS$121</definedName>
    <definedName name="dnt901_9">'11.900'!$AS$127</definedName>
    <definedName name="dnt901_9_1_1">'11.900'!$AS$133</definedName>
    <definedName name="dnt901_9_1_2">'11.900'!$AS$135</definedName>
    <definedName name="dnt901_9_1_3">'11.900'!$AS$136</definedName>
    <definedName name="dnt901_9_2">'11.900'!$AS$138</definedName>
    <definedName name="dnt901_9_3">'11.900'!$AS$143</definedName>
    <definedName name="dnt901_9_4">'11.900'!$AS$149</definedName>
    <definedName name="dnt902_1_1_1">'11.900'!$AS$195</definedName>
    <definedName name="dnt902_1_1_1_a">'11.900'!$AS$197</definedName>
    <definedName name="dnt902_1_1_2">'11.900'!$AS$199</definedName>
    <definedName name="dnt902_1_1_3">'11.900'!$AS$201</definedName>
    <definedName name="dnt902_1_2">'11.900'!$AS$204</definedName>
    <definedName name="dnt902_1_3">'11.900'!$AS$208</definedName>
    <definedName name="dnt902_1_4">'11.900'!$AS$212</definedName>
    <definedName name="dnt902_1_5_1">'11.900'!$AS$219</definedName>
    <definedName name="dnt902_1_5_2">'11.900'!$AS$221</definedName>
    <definedName name="dnt902_1_5_3">'11.900'!$AS$223</definedName>
    <definedName name="dnt902_1_6">'11.900'!$AS$226</definedName>
    <definedName name="dnt902_2_1">'11.900'!$AS$230</definedName>
    <definedName name="dnt902_2_2">'11.900'!$AS$241</definedName>
    <definedName name="dnt902_2_3">'11.900'!$AS$243</definedName>
    <definedName name="dnt902_2_4">'11.900'!$AS$246</definedName>
    <definedName name="dnt902_2_5">'11.900'!$AS$249</definedName>
    <definedName name="dnt902_3">'11.900'!$AS$251</definedName>
    <definedName name="dnt902_3_1">'11.900'!$AS$256</definedName>
    <definedName name="dnt902_3_1_1">'11.900'!$AS$262</definedName>
    <definedName name="dnt902_3_2_1">'11.900'!$AS$302</definedName>
    <definedName name="dnt902_3_2_2">'11.900'!$AS$325</definedName>
    <definedName name="dnt902_4_1">'11.900'!$AS$329</definedName>
    <definedName name="dnt902_4_2">'11.900'!$AS$331</definedName>
    <definedName name="dnt902_4_3">'11.900'!$AS$334</definedName>
    <definedName name="dnt902_5">'11.900'!$AS$337</definedName>
    <definedName name="dnt902_6">'11.900'!$AS$339</definedName>
    <definedName name="dnt903_1">'11.900'!$AS$343</definedName>
    <definedName name="dnt903_2">'11.900'!$AS$347</definedName>
    <definedName name="dnt903_3">'11.900'!$AS$351</definedName>
    <definedName name="dnt904_1">'11.900'!$AS$359</definedName>
    <definedName name="dnt904_2">'11.900'!$AS$364</definedName>
    <definedName name="dnt904_3_1">'11.900'!$AS$369</definedName>
    <definedName name="dnt904_3_2">'11.900'!$AS$376</definedName>
    <definedName name="dnt905_1">'11.900'!$AS$380</definedName>
    <definedName name="dnt905_2">'11.900'!$AS$385</definedName>
    <definedName name="dnt905_3_1">'11.900'!$AS$388</definedName>
    <definedName name="dnt905_3_2">'11.900'!$AS$389</definedName>
    <definedName name="dnt905_4">'11.900'!$AS$391</definedName>
    <definedName name="dnt905_5">'11.900'!$AS$396</definedName>
    <definedName name="dnt905_6">'11.900'!$AS$400</definedName>
    <definedName name="dpa1001_1">'11.1000'!$AM$12</definedName>
    <definedName name="dpa1001_1_1">'11.1000'!$AM$15</definedName>
    <definedName name="dpa1001_1_2">'11.1000'!$AM$16</definedName>
    <definedName name="dpa1001_1_3">'11.1000'!$AM$17</definedName>
    <definedName name="dpa1001_1_9">'11.1000'!$AM$28</definedName>
    <definedName name="dpa1001_2">'11.1000'!$AM$64</definedName>
    <definedName name="dpa1001_2_m">'11.1000'!$AM$62</definedName>
    <definedName name="dpa1002_1">'11.1000'!$AM$81</definedName>
    <definedName name="dpa1002_1_1">'11.1000'!$AM$84</definedName>
    <definedName name="dpa1002_1_2">'11.1000'!$AM$87</definedName>
    <definedName name="dpa1002_1_3">'11.1000'!$AM$90</definedName>
    <definedName name="dpa1002_2">'11.1000'!$AM$99</definedName>
    <definedName name="dpa1002_2_1">'11.1000'!$AM$103</definedName>
    <definedName name="dpa1002_2_11">'11.1000'!$AM$124</definedName>
    <definedName name="dpa1002_2_2">'11.1000'!$AM$105</definedName>
    <definedName name="dpa1002_3">'11.1000'!$AM$126</definedName>
    <definedName name="dpa1002_3_1">'11.1000'!$AM$130</definedName>
    <definedName name="dpa1002_4">'11.1000'!$AM$156</definedName>
    <definedName name="dpa1002_4_m">'11.1000'!$AM$154</definedName>
    <definedName name="dpa1002_5">'11.1000'!$AM$167</definedName>
    <definedName name="dpa1002_5_1">'11.1000'!$AM$169</definedName>
    <definedName name="dpa1002_5_2">'11.1000'!$AM$170</definedName>
    <definedName name="dpa1002_5_3">'11.1000'!$AM$171</definedName>
    <definedName name="dpa1002_6">'11.1000'!$AM$179</definedName>
    <definedName name="dpa1003_1">'11.1000'!$AM$194</definedName>
    <definedName name="dpa1003_1_1">'11.1000'!$AM$195</definedName>
    <definedName name="dpa1003_1_2">'11.1000'!$AM$197</definedName>
    <definedName name="dpa1003_1_3">'11.1000'!$AM$200</definedName>
    <definedName name="dpa1005_1_1">'11.1000'!$AM$205</definedName>
    <definedName name="dpa1005_1_2">'11.1000'!$AM$208</definedName>
    <definedName name="dpa1005_1_3">'11.1000'!$AM$212</definedName>
    <definedName name="dpa305_2_5">'11.700'!$AM$10</definedName>
    <definedName name="dpa501_2_1">'11.500'!$AM$16</definedName>
    <definedName name="dpa501_2_2">'11.500'!$AM$18</definedName>
    <definedName name="dpa501_2_3">'11.500'!$AM$20</definedName>
    <definedName name="dpa501_2_3_a">'11.500'!$AM$33</definedName>
    <definedName name="dpa501_2_3_b">'11.500'!$AM$34</definedName>
    <definedName name="dpa501_2_4">'11.500'!$AM$35</definedName>
    <definedName name="dpa501_2_5_a">'11.500'!$AM$40</definedName>
    <definedName name="dpa501_2_5_b">'11.500'!$AM$41</definedName>
    <definedName name="dpa501_2_5_c">'11.500'!$AM$42</definedName>
    <definedName name="dpa501_2_5_d">'11.500'!$AM$43</definedName>
    <definedName name="dpa501_2_6">'11.500'!$AM$45</definedName>
    <definedName name="dpa501_2_7">'11.500'!$AM$48</definedName>
    <definedName name="dpa502_1">'11.500'!$AM$52</definedName>
    <definedName name="dpa503_1_1">'11.500'!$AM$64</definedName>
    <definedName name="dpa503_1_2">'11.500'!$AM$65</definedName>
    <definedName name="dpa503_1_3">'11.500'!$AM$67</definedName>
    <definedName name="dpa503_1_4">'11.500'!$AM$69</definedName>
    <definedName name="dpa503_1_5">'11.500'!$AM$71</definedName>
    <definedName name="dpa503_1_6">'11.500'!$AM$72</definedName>
    <definedName name="dpa503_1_7">'11.500'!$AM$74</definedName>
    <definedName name="dpa503_1_8">'11.500'!$AM$76</definedName>
    <definedName name="dpa503_2_1">'11.500'!$AM$83</definedName>
    <definedName name="dpa503_2_2">'11.500'!$AM$84</definedName>
    <definedName name="dpa503_2_3_a">'11.500'!$AM$88</definedName>
    <definedName name="dpa503_2_3_b">'11.500'!$AM$89</definedName>
    <definedName name="dpa503_2_3_c">'11.500'!$AM$90</definedName>
    <definedName name="dpa503_2_4">'11.500'!$AM$91</definedName>
    <definedName name="dpa503_2_5">'11.500'!$AM$93</definedName>
    <definedName name="dpa503_3_1">'11.500'!$AM$97</definedName>
    <definedName name="dpa503_3_2">'11.500'!$AM$99</definedName>
    <definedName name="dpa503_3_3">'11.500'!$AM$105</definedName>
    <definedName name="dpa503_4_1">'11.500'!$AM$113</definedName>
    <definedName name="dpa503_4_2_a">'11.500'!$AM$120</definedName>
    <definedName name="dpa503_4_2_b">'11.500'!$AM$121</definedName>
    <definedName name="dpa503_4_2_c">'11.500'!$AM$122</definedName>
    <definedName name="dpa503_4_3_">'11.500'!$AM$128</definedName>
    <definedName name="dpa503_4_3_a">'11.500'!$AM$125</definedName>
    <definedName name="dpa503_4_3_b">'11.500'!$AM$126</definedName>
    <definedName name="dpa503_4_3_c">'11.500'!$AM$127</definedName>
    <definedName name="dpa503_4_4">'11.500'!$AM$130</definedName>
    <definedName name="dpa503_5_1_a">'11.500'!$AM$139</definedName>
    <definedName name="dpa503_5_1_b">'11.500'!$AM$140</definedName>
    <definedName name="dpa503_5_1_c">'11.500'!$AM$141</definedName>
    <definedName name="dpa503_5_1_d">'11.500'!$AM$142</definedName>
    <definedName name="dpa503_5_10">'11.500'!$AM$165</definedName>
    <definedName name="dpa503_5_11">'11.500'!$AM$168</definedName>
    <definedName name="dpa503_5_12">'11.500'!$AM$170</definedName>
    <definedName name="dpa503_5_13">'11.500'!$AM$172</definedName>
    <definedName name="dpa503_5_2">'11.500'!$AM$143</definedName>
    <definedName name="dpa503_5_3">'11.500'!$AM$145</definedName>
    <definedName name="dpa503_5_4">'11.500'!$AM$148</definedName>
    <definedName name="dpa503_5_5">'11.500'!$AM$150</definedName>
    <definedName name="dpa503_5_6_a">'11.500'!$AM$153</definedName>
    <definedName name="dpa503_5_6_b">'11.500'!$AM$154</definedName>
    <definedName name="dpa503_5_6_c">'11.500'!$AM$155</definedName>
    <definedName name="dpa503_5_6_d">'11.500'!$AM$156</definedName>
    <definedName name="dpa503_5_7">'11.500'!$AM$157</definedName>
    <definedName name="dpa503_5_8">'11.500'!$AM$158</definedName>
    <definedName name="dpa503_5_9">'11.500'!$AM$163</definedName>
    <definedName name="dpa503_6_1">'11.500'!$AM$176</definedName>
    <definedName name="dpa503_6_2">'11.500'!$AM$177</definedName>
    <definedName name="dpa503_6_3">'11.500'!$AM$178</definedName>
    <definedName name="dpa503_6_4">'11.500'!$AM$180</definedName>
    <definedName name="dpa503_7_1">'11.500'!$AM$183</definedName>
    <definedName name="dpa503_7_2">'11.500'!$AM$185</definedName>
    <definedName name="dpa504_1">'11.500'!$AM$190</definedName>
    <definedName name="dpa504_2_1">'11.500'!$AM$197</definedName>
    <definedName name="dpa504_2_2">'11.500'!$AM$198</definedName>
    <definedName name="dpa504_2_3">'11.500'!$AM$200</definedName>
    <definedName name="dpa504_3_1">'11.500'!$AM$205</definedName>
    <definedName name="dpa504_3_2">'11.500'!$AM$207</definedName>
    <definedName name="dpa504_3_3">'11.500'!$AM$208</definedName>
    <definedName name="dpa504_3_4">'11.500'!$AM$210</definedName>
    <definedName name="dpa504_3_5">'11.500'!$AM$212</definedName>
    <definedName name="dpa504_3_6">'11.500'!$AM$216</definedName>
    <definedName name="dpa504_3_7">'11.500'!$AM$219</definedName>
    <definedName name="dpa504_3_8">'11.500'!$AM$220</definedName>
    <definedName name="dpa505_1_1">'11.500'!$AM$234</definedName>
    <definedName name="dpa505_1_2">'11.500'!$AM$236</definedName>
    <definedName name="dpa505_1_3_a">'11.500'!$AM$238</definedName>
    <definedName name="dpa505_1_3_b">'11.500'!$AM$239</definedName>
    <definedName name="dpa505_1_3_c">'11.500'!$AM$240</definedName>
    <definedName name="dpa505_10_a">'11.500'!$AM$299</definedName>
    <definedName name="dpa505_10_b">'11.500'!$AM$301</definedName>
    <definedName name="dpa505_10_c">'11.500'!$AM$303</definedName>
    <definedName name="dpa505_11">'11.500'!$AM$305</definedName>
    <definedName name="dpa505_2_1">'11.500'!$AM$242</definedName>
    <definedName name="dpa505_2_2">'11.500'!$AM$252</definedName>
    <definedName name="dpa505_3_1">'11.500'!$AM$256</definedName>
    <definedName name="dpa505_3_2">'11.500'!$AM$257</definedName>
    <definedName name="dpa505_3_3">'11.500'!$AM$258</definedName>
    <definedName name="dpa505_3_4">'11.500'!$AM$259</definedName>
    <definedName name="dpa505_3_5">'11.500'!$AM$260</definedName>
    <definedName name="dpa505_4_1">'11.500'!$AM$262</definedName>
    <definedName name="dpa505_5_a">'11.500'!$AM$265</definedName>
    <definedName name="dpa505_5_b">'11.500'!$AM$267</definedName>
    <definedName name="dpa505_5_c">'11.500'!$AM$270</definedName>
    <definedName name="dpa505_5_d">'11.500'!$AM$271</definedName>
    <definedName name="dpa505_6">'11.500'!$AM$272</definedName>
    <definedName name="dpa505_7">'11.500'!$AM$283</definedName>
    <definedName name="dpa505_8">'11.500'!$AM$287</definedName>
    <definedName name="dpa505_9_a">'11.500'!$AM$290</definedName>
    <definedName name="dpa505_9_b">'11.500'!$AM$293</definedName>
    <definedName name="dpa505_9_c">'11.500'!$AM$294</definedName>
    <definedName name="dpa601_1_1">'11.600'!$AM$18</definedName>
    <definedName name="dpa601_1_2">'11.600'!$AM$19</definedName>
    <definedName name="dpa601_1_3">'11.600'!$AM$20</definedName>
    <definedName name="dpa601_1_4">'11.600'!$AM$21</definedName>
    <definedName name="dpa601_1_5">'11.600'!$AM$22</definedName>
    <definedName name="dpa601_1_6">'11.600'!$AM$23</definedName>
    <definedName name="dpa601_2_1">'11.600'!$AM$32</definedName>
    <definedName name="dpa601_2_2">'11.600'!$AM$35</definedName>
    <definedName name="dpa601_2_3">'11.600'!$AM$38</definedName>
    <definedName name="dpa601_3_1">'11.600'!$AM$44</definedName>
    <definedName name="dpa601_3_2">'11.600'!$AM$45</definedName>
    <definedName name="dpa601_3_3">'11.600'!$AM$46</definedName>
    <definedName name="dpa601_3_4">'11.600'!$AM$47</definedName>
    <definedName name="dpa601_3_5">'11.600'!$AM$48</definedName>
    <definedName name="dpa601_4">'11.600'!$AM$49</definedName>
    <definedName name="dpa601_5">'11.600'!$AM$52</definedName>
    <definedName name="dpa601_5_1">'11.600'!$AM$57</definedName>
    <definedName name="dpa601_5_2">'11.600'!$AM$58</definedName>
    <definedName name="dpa601_5_3">'11.600'!$AM$59</definedName>
    <definedName name="dpa601_5_4">'11.600'!$AM$60</definedName>
    <definedName name="dpa601_6">'11.600'!$AM$61</definedName>
    <definedName name="dpa601_6_1">'11.600'!$AM$64</definedName>
    <definedName name="dpa601_6_2">'11.600'!$AM$65</definedName>
    <definedName name="dpa601_7">'11.600'!$AM$66</definedName>
    <definedName name="dpa601_7_1">'11.600'!$AM$79</definedName>
    <definedName name="dpa601_7_2">'11.600'!$AM$81</definedName>
    <definedName name="dpa601_7_3">'11.600'!$AM$83</definedName>
    <definedName name="dpa601_8">'11.600'!$AM$85</definedName>
    <definedName name="dpa602_1_1_1">'11.600'!$AM$98</definedName>
    <definedName name="dpa602_1_1_2">'11.600'!$AM$102</definedName>
    <definedName name="dpa602_1_10">'11.600'!$AM$214</definedName>
    <definedName name="dpa602_1_11">'11.600'!$AM$227</definedName>
    <definedName name="dpa602_1_12">'11.600'!$AM$231</definedName>
    <definedName name="dpa602_1_13">'11.600'!$AM$234</definedName>
    <definedName name="dpa602_1_14_1">'11.600'!$AM$240</definedName>
    <definedName name="dpa602_1_14_2">'11.600'!$AM$242</definedName>
    <definedName name="dpa602_1_14_3">'11.600'!$AM$243</definedName>
    <definedName name="dpa602_1_15">'11.600'!$AM$244</definedName>
    <definedName name="dpa602_1_2">'11.600'!$AM$105</definedName>
    <definedName name="dpa602_1_3_1">'11.600'!$AM$111</definedName>
    <definedName name="dpa602_1_3_2">'11.600'!$AM$114</definedName>
    <definedName name="dpa602_1_4_1_1">'11.600'!$AM$122</definedName>
    <definedName name="dpa602_1_4_1_2">'11.600'!$AM$124</definedName>
    <definedName name="dpa602_1_4_2_1">'11.600'!$AM$131</definedName>
    <definedName name="dpa602_1_4_2_2">'11.600'!$AM$133</definedName>
    <definedName name="dpa602_1_5_1">'11.600'!$AM$139</definedName>
    <definedName name="dpa602_1_5_2">'11.600'!$AM$141</definedName>
    <definedName name="dpa602_1_6_1">'11.600'!$AM$147</definedName>
    <definedName name="dpa602_1_6_2">'11.600'!$AM$151</definedName>
    <definedName name="dpa602_1_6_3">'11.600'!$AM$155</definedName>
    <definedName name="dpa602_1_7_1_1">'11.600'!$AM$160</definedName>
    <definedName name="dpa602_1_7_1_2">'11.600'!$AM$162</definedName>
    <definedName name="dpa602_1_7_1_3">'11.600'!$AM$165</definedName>
    <definedName name="dpa602_1_7_2">'11.600'!$AM$167</definedName>
    <definedName name="dpa602_1_7_3">'11.600'!$AM$169</definedName>
    <definedName name="dpa602_1_8">'11.600'!$AM$173</definedName>
    <definedName name="dpa602_1_9_1">'11.600'!$AM$185</definedName>
    <definedName name="dpa602_1_9_2">'11.600'!$AM$197</definedName>
    <definedName name="dpa602_1_9_3">'11.600'!$AM$200</definedName>
    <definedName name="dpa602_1_9_4">'11.600'!$AM$201</definedName>
    <definedName name="dpa602_1_9_5_a">'11.600'!$AM$206</definedName>
    <definedName name="dpa602_1_9_5_b">'11.600'!$AM$209</definedName>
    <definedName name="dpa602_1_9_6">'11.600'!$AM$211</definedName>
    <definedName name="dpa602_1_9_7">'11.600'!$AM$213</definedName>
    <definedName name="dpa602_2">'11.600'!$AM$247</definedName>
    <definedName name="dpa602_3">'11.600'!$AM$257</definedName>
    <definedName name="dpa602_4_1">'11.600'!$AM$261</definedName>
    <definedName name="dpa602_4_2">'11.600'!$AM$266</definedName>
    <definedName name="dpa602_4_3">'11.600'!$AM$268</definedName>
    <definedName name="dpa603_1">'11.600'!$AM$273</definedName>
    <definedName name="dpa603_2">'11.600'!$AM$279</definedName>
    <definedName name="dpa603_3">'11.600'!$AM$286</definedName>
    <definedName name="dpa604_1a">'11.600'!$AM$290</definedName>
    <definedName name="dpa605_1">'11.600'!$AM$300</definedName>
    <definedName name="dpa605_2">'11.600'!$AM$303</definedName>
    <definedName name="dpa605_3">'11.600'!$AM$318</definedName>
    <definedName name="dpa605_4">'11.600'!$AM$327</definedName>
    <definedName name="dpa605_4_1">'11.600'!$AM$329</definedName>
    <definedName name="dpa605_4_2">'11.600'!$AM$330</definedName>
    <definedName name="dpa606_1_1">'11.600'!$AM$354</definedName>
    <definedName name="dpa606_1_2">'11.600'!$AM$356</definedName>
    <definedName name="dpa606_1_3">'11.600'!$AM$358</definedName>
    <definedName name="dpa606_2_1a">'11.600'!$AM$375</definedName>
    <definedName name="dpa606_2_2a">'11.600'!$AM$378</definedName>
    <definedName name="dpa606_3">'11.600'!$AM$381</definedName>
    <definedName name="dpa607_1_1">'11.600'!$AM$390</definedName>
    <definedName name="dpa607_1_2">'11.600'!$AM$395</definedName>
    <definedName name="dpa607_2">'11.600'!$AM$401</definedName>
    <definedName name="dpa608_1">'11.600'!$AM$404</definedName>
    <definedName name="dpa609_1">'11.600'!$AM$414</definedName>
    <definedName name="dpa609_1_1">'11.600'!$AM$416</definedName>
    <definedName name="dpa609_1_2">'11.600'!$AM$418</definedName>
    <definedName name="dpa610_1_1_1">'11.600'!$AM$435</definedName>
    <definedName name="dpa610_1_1_2">'11.600'!$AM$444</definedName>
    <definedName name="dpa610_1_1_3">'11.600'!$AM$451</definedName>
    <definedName name="dpa610_1_2">'11.600'!$AM$453</definedName>
    <definedName name="dpa610_1_2_1">'11.600'!$AM$457</definedName>
    <definedName name="dpa610_1_2_2a">'11.600'!$AM$471</definedName>
    <definedName name="dpa611_1">'11.600'!$AM$496</definedName>
    <definedName name="dpa612_1">'11.600'!$AM$519</definedName>
    <definedName name="dpa612_2">'11.600'!$AM$527</definedName>
    <definedName name="dpa612_2_1">'11.600'!$AM$530</definedName>
    <definedName name="dpa612_2_2">'11.600'!$AM$531</definedName>
    <definedName name="dpa612_2_3">'11.600'!$AM$533</definedName>
    <definedName name="dpa612_2_4">'11.600'!$AM$535</definedName>
    <definedName name="dpa612_2_5">'11.600'!$AM$537</definedName>
    <definedName name="dpa612_2_6">'11.600'!$AM$539</definedName>
    <definedName name="dpa612_2_7">'11.600'!$AM$541</definedName>
    <definedName name="dpa612_3">'11.600'!$AM$543</definedName>
    <definedName name="dpa612_3_1">'11.600'!$AM$545</definedName>
    <definedName name="dpa612_3_2">'11.600'!$AM$550</definedName>
    <definedName name="dpa612_3_3">'11.600'!$AM$554</definedName>
    <definedName name="dpa612_3_4">'11.600'!$AM$556</definedName>
    <definedName name="dpa612_3_5">'11.600'!$AM$558</definedName>
    <definedName name="dpa612_3_6">'11.600'!$AM$559</definedName>
    <definedName name="dpa612_3_7">'11.600'!$AM$560</definedName>
    <definedName name="dpa612_3_8">'11.600'!$AM$564</definedName>
    <definedName name="dpa612_3_9">'11.600'!$AM$566</definedName>
    <definedName name="dpa613_1_a">'11.600'!$AM$575</definedName>
    <definedName name="dpa613_1_b">'11.600'!$AM$577</definedName>
    <definedName name="dpa613_1_c">'11.600'!$AM$581</definedName>
    <definedName name="dpa613_1_d">'11.600'!$AM$582</definedName>
    <definedName name="dpa613_1_e">'11.600'!$AM$583</definedName>
    <definedName name="dpa613_1_f">'11.600'!$AM$584</definedName>
    <definedName name="dpa701_4_0">'11.700'!$AM$12</definedName>
    <definedName name="dpa701_4_1_1">'11.700'!$AM$19</definedName>
    <definedName name="dpa701_4_1_2">'11.700'!$AM$22</definedName>
    <definedName name="dpa701_4_2_1">'11.700'!$AM$28</definedName>
    <definedName name="dpa701_4_2_2">'11.700'!$AM$31</definedName>
    <definedName name="dpa701_4_2_3">'11.700'!$AM$34</definedName>
    <definedName name="dpa701_4_3_1">'11.700'!$AM$37</definedName>
    <definedName name="dpa701_4_3_2">'11.700'!$AM$55</definedName>
    <definedName name="dpa701_4_3_2_1">'11.700'!$AM$81</definedName>
    <definedName name="dpa701_4_3_4">'11.700'!$AM$107</definedName>
    <definedName name="dpa701_4_3_5">'11.700'!$AM$117</definedName>
    <definedName name="dpa701_4_4">'11.700'!$AM$124</definedName>
    <definedName name="dpa701_4_5">'11.700'!$AM$126</definedName>
    <definedName name="dpa701_4_6">'11.700'!$AM$129</definedName>
    <definedName name="dpa701_4_7">'11.700'!$AM$133</definedName>
    <definedName name="dpa703_1">'11.700'!$AM$159</definedName>
    <definedName name="dpa703_1_1">'11.700'!$AM$160</definedName>
    <definedName name="dpa703_1_2">'11.700'!$AM$172</definedName>
    <definedName name="dpa703_1_3">'11.700'!$AM$175</definedName>
    <definedName name="dpa703_2_1">'11.700'!$AM$178</definedName>
    <definedName name="dpa703_2_2">'11.700'!$AM$185</definedName>
    <definedName name="dpa703_2_3">'11.700'!$AM$187</definedName>
    <definedName name="dpa703_2_4">'11.700'!$AM$191</definedName>
    <definedName name="dpa703_2_5_1">'11.700'!$AM$196</definedName>
    <definedName name="dpa703_2_5_2">'11.700'!$AM$212</definedName>
    <definedName name="dpa703_2_5_2_a">'11.700'!$AM$217</definedName>
    <definedName name="dpa703_2_5_2_b">'11.700'!$AM$218</definedName>
    <definedName name="dpa703_2_5_2_c">'11.700'!$AM$219</definedName>
    <definedName name="dpa703_3_1">'11.700'!$AM$245</definedName>
    <definedName name="dpa703_3_2_1_1">'11.700'!$AM$252</definedName>
    <definedName name="dpa703_3_2_1_2">'11.700'!$AM$253</definedName>
    <definedName name="dpa703_3_2_1_3">'11.700'!$AM$254</definedName>
    <definedName name="dpa703_3_2_1_4">'11.700'!$AM$255</definedName>
    <definedName name="dpa703_3_2_1_5">'11.700'!$AM$256</definedName>
    <definedName name="dpa703_3_2_2_1">'11.700'!$AM$258</definedName>
    <definedName name="dpa703_3_2_2_2">'11.700'!$AM$259</definedName>
    <definedName name="dpa703_3_2_3_1">'11.700'!$AM$261</definedName>
    <definedName name="dpa703_3_2_3_2">'11.700'!$AM$262</definedName>
    <definedName name="dpa703_3_2_3_3">'11.700'!$AM$263</definedName>
    <definedName name="dpa703_3_2_3_4">'11.700'!$AM$264</definedName>
    <definedName name="dpa703_3_2_4_1">'11.700'!$AM$266</definedName>
    <definedName name="dpa703_3_2_4_2">'11.700'!$AM$267</definedName>
    <definedName name="dpa703_3_3_1_1">'11.700'!$AM$272</definedName>
    <definedName name="dpa703_3_3_1_2">'11.700'!$AM$273</definedName>
    <definedName name="dpa703_3_3_1_3">'11.700'!$AM$274</definedName>
    <definedName name="dpa703_3_3_1_4">'11.700'!$AM$275</definedName>
    <definedName name="dpa703_3_3_1_5">'11.700'!$AM$276</definedName>
    <definedName name="dpa703_3_3_2">'11.700'!$AM$277</definedName>
    <definedName name="dpa703_3_3_3">'11.700'!$AM$279</definedName>
    <definedName name="dpa703_3_4_1_1">'11.700'!$AM$284</definedName>
    <definedName name="dpa703_3_4_1_2">'11.700'!$AM$285</definedName>
    <definedName name="dpa703_3_4_1_3">'11.700'!$AM$286</definedName>
    <definedName name="dpa703_3_4_1_4">'11.700'!$AM$287</definedName>
    <definedName name="dpa703_3_4_1_5">'11.700'!$AM$288</definedName>
    <definedName name="dpa703_3_4_1_6">'11.700'!$AM$289</definedName>
    <definedName name="dpa703_3_4_2">'11.700'!$AM$291</definedName>
    <definedName name="dpa703_3_5">'11.700'!$AM$292</definedName>
    <definedName name="dpa703_3_6_1">'11.700'!$AM$299</definedName>
    <definedName name="dpa703_3_6_2">'11.700'!$AM$300</definedName>
    <definedName name="dpa703_3_6_3">'11.700'!$AM$301</definedName>
    <definedName name="dpa703_3_7">'11.700'!$AM$302</definedName>
    <definedName name="dpa703_3_8">'11.700'!$AM$309</definedName>
    <definedName name="dpa703_4_1">'11.700'!$AM$314</definedName>
    <definedName name="dpa703_4_2">'11.700'!$AM$315</definedName>
    <definedName name="dpa703_4_3">'11.700'!$AM$316</definedName>
    <definedName name="dpa703_4_4">'11.700'!$AM$322</definedName>
    <definedName name="dpa703_4_4_1">'11.700'!$AM$327</definedName>
    <definedName name="dpa703_4_4_2">'11.700'!$AM$328</definedName>
    <definedName name="dpa703_4_4_3">'11.700'!$AM$329</definedName>
    <definedName name="dpa703_5_1_1_a_1">'11.700'!$AM$341</definedName>
    <definedName name="dpa703_5_1_1_a_2">'11.700'!$AM$342</definedName>
    <definedName name="dpa703_5_1_1_b">'11.700'!$AM$343</definedName>
    <definedName name="dpa703_5_1_1_c_1">'11.700'!$AM$346</definedName>
    <definedName name="dpa703_5_1_1_c_2">'11.700'!$AM$347</definedName>
    <definedName name="dpa703_5_1_1_d_1">'11.700'!$AM$351</definedName>
    <definedName name="dpa703_5_1_1_d_2">'11.700'!$AM$352</definedName>
    <definedName name="dpa703_5_1_1_e_1">'11.700'!$AM$355</definedName>
    <definedName name="dpa703_5_1_1_e_2">'11.700'!$AM$356</definedName>
    <definedName name="dpa703_5_1_2_a_1">'11.700'!$AM$360</definedName>
    <definedName name="dpa703_5_1_2_a_2">'11.700'!$AM$361</definedName>
    <definedName name="dpa703_5_1_2_a_3">'11.700'!$AM$362</definedName>
    <definedName name="dpa703_5_1_2_a_4">'11.700'!$AM$363</definedName>
    <definedName name="dpa703_5_1_2_a_5">'11.700'!$AM$364</definedName>
    <definedName name="dpa703_5_1_2_a_6">'11.700'!$AM$365</definedName>
    <definedName name="dpa703_5_1_2_a_7">'11.700'!$AM$366</definedName>
    <definedName name="dpa703_5_1_2_b_1">'11.700'!$AM$369</definedName>
    <definedName name="dpa703_5_1_2_b_2">'11.700'!$AM$370</definedName>
    <definedName name="dpa703_5_1_2_b_3">'11.700'!$AM$371</definedName>
    <definedName name="dpa703_5_1_2_b_4">'11.700'!$AM$372</definedName>
    <definedName name="dpa703_5_1_2_c">'11.700'!$AM$373</definedName>
    <definedName name="dpa703_5_1_2_d">'11.700'!$AM$375</definedName>
    <definedName name="dpa703_5_1_2_e">'11.700'!$AM$377</definedName>
    <definedName name="dpa703_5_1_3">'11.700'!$AM$379</definedName>
    <definedName name="dpa703_5_2">'11.700'!$AM$380</definedName>
    <definedName name="dpa703_5_3">'11.700'!$AM$382</definedName>
    <definedName name="dpa703_5_4">'11.700'!$AM$384</definedName>
    <definedName name="dpa703_5_5_a_1">'11.700'!$AM$392</definedName>
    <definedName name="dpa703_5_5_a_2">'11.700'!$AM$393</definedName>
    <definedName name="dpa703_5_5_a_3">'11.700'!$AM$394</definedName>
    <definedName name="dpa703_5_5_a_4">'11.700'!$AM$395</definedName>
    <definedName name="dpa703_5_5_a_5">'11.700'!$AM$396</definedName>
    <definedName name="dpa703_5_5_b_1">'11.700'!$AM$399</definedName>
    <definedName name="dpa703_5_5_b_2">'11.700'!$AM$400</definedName>
    <definedName name="dpa703_5_5_b_3">'11.700'!$AM$401</definedName>
    <definedName name="dpa703_5_5_b_4">'11.700'!$AM$402</definedName>
    <definedName name="dpa703_5_5_b_5">'11.700'!$AM$403</definedName>
    <definedName name="dpa703_6_1_1">'11.700'!$AM$407</definedName>
    <definedName name="dpa703_6_1_2">'11.700'!$AM$409</definedName>
    <definedName name="dpa703_6_1_3">'11.700'!$AM$411</definedName>
    <definedName name="dpa703_6_2_1">'11.700'!$AM$414</definedName>
    <definedName name="dpa703_6_2_2">'11.700'!$AM$415</definedName>
    <definedName name="dpa703_6_2_3">'11.700'!$AM$416</definedName>
    <definedName name="dpa703_7_1">'11.700'!$AM$419</definedName>
    <definedName name="dpa703_7_2">'11.700'!$AM$447</definedName>
    <definedName name="dpa703_7_3_1">'11.700'!$AM$451</definedName>
    <definedName name="dpa703_7_3_2">'11.700'!$AM$452</definedName>
    <definedName name="dpa703_7_4">'11.700'!$AM$476</definedName>
    <definedName name="dpa705_2_1_1_1">'11.700'!$AM$507</definedName>
    <definedName name="dpa705_2_1_1_2">'11.700'!$AM$508</definedName>
    <definedName name="dpa705_2_1_2">'11.700'!$AM$509</definedName>
    <definedName name="dpa705_2_1_3_1_a">'11.700'!$AM$515</definedName>
    <definedName name="dpa705_2_1_3_1_b">'11.700'!$AM$516</definedName>
    <definedName name="dpa705_2_1_3_2_a">'11.700'!$AM$520</definedName>
    <definedName name="dpa705_2_1_3_2_b">'11.700'!$AM$521</definedName>
    <definedName name="dpa705_2_1_4_1">'11.700'!$AM$525</definedName>
    <definedName name="dpa705_2_1_4_2">'11.700'!$AM$526</definedName>
    <definedName name="dpa705_2_2">'11.700'!$AM$527</definedName>
    <definedName name="dpa705_2_3">'11.700'!$AM$530</definedName>
    <definedName name="dpa705_2_4">'11.700'!$AM$532</definedName>
    <definedName name="dpa705_3">'11.700'!$AM$535</definedName>
    <definedName name="dpa705_4">'11.700'!$AM$536</definedName>
    <definedName name="dpa705_5_1_1">'11.700'!$AM$541</definedName>
    <definedName name="dpa705_5_1_2">'11.700'!$AM$544</definedName>
    <definedName name="dpa705_5_2">'11.700'!$AM$546</definedName>
    <definedName name="dpa705_5_3_1">'11.700'!$AM$555</definedName>
    <definedName name="dpa705_5_3_2">'11.700'!$AM$557</definedName>
    <definedName name="dpa705_6_1">'11.700'!$AM$559</definedName>
    <definedName name="dpa705_6_2_1_1">'11.700'!$AM$576</definedName>
    <definedName name="dpa705_6_2_1_2">'11.700'!$AM$579</definedName>
    <definedName name="dpa705_6_2_2_1">'11.700'!$AM$585</definedName>
    <definedName name="dpa705_6_2_2_2">'11.700'!$AM$587</definedName>
    <definedName name="dpa705_6_2_3_1">'11.700'!$AM$593</definedName>
    <definedName name="dpa705_6_2_3_2">'11.700'!$AM$594</definedName>
    <definedName name="dpa705_6_3">'11.700'!$AM$596</definedName>
    <definedName name="dpa705_6_4_1">'11.700'!$AM$608</definedName>
    <definedName name="dpa705_6_4_2">'11.700'!$AM$610</definedName>
    <definedName name="dpa705_7">'11.700'!$AM$612</definedName>
    <definedName name="dpa706_1">'11.700'!$AM$617</definedName>
    <definedName name="dpa706_1_1">'11.700'!$AM$619</definedName>
    <definedName name="dpa706_1_2">'11.700'!$AM$620</definedName>
    <definedName name="dpa706_1_3">'11.700'!$AM$621</definedName>
    <definedName name="dpa706_1_4">'11.700'!$AM$622</definedName>
    <definedName name="dpa706_1_5">'11.700'!$AM$624</definedName>
    <definedName name="dpa706_10">'11.700'!$AM$694</definedName>
    <definedName name="dpa706_11">'11.700'!$AM$699</definedName>
    <definedName name="dpa706_12">'11.700'!$AM$701</definedName>
    <definedName name="dpa706_13_1">'11.700'!$AM$707</definedName>
    <definedName name="dpa706_13_2">'11.700'!$AM$708</definedName>
    <definedName name="dpa706_14_1">'11.700'!$AM$710</definedName>
    <definedName name="dpa706_14_2">'11.700'!$AM$714</definedName>
    <definedName name="dpa706_15_1">'11.700'!$AM$719</definedName>
    <definedName name="dpa706_15_2">'11.700'!$AM$720</definedName>
    <definedName name="dpa706_2_1">'11.700'!$AM$627</definedName>
    <definedName name="dpa706_2_2_a">'11.700'!$AM$635</definedName>
    <definedName name="dpa706_2_2_b">'11.700'!$AM$637</definedName>
    <definedName name="dpa706_3_1">'11.700'!$AM$641</definedName>
    <definedName name="dpa706_3_2">'11.700'!$AM$642</definedName>
    <definedName name="dpa706_4_1_1">'11.700'!$AM$657</definedName>
    <definedName name="dpa706_4_1_2">'11.700'!$AM$659</definedName>
    <definedName name="dpa706_4_2">'11.700'!$AM$661</definedName>
    <definedName name="dpa706_5_1">'11.700'!$AM$664</definedName>
    <definedName name="dpa706_5_2">'11.700'!$AM$666</definedName>
    <definedName name="dpa706_5_3">'11.700'!$AM$668</definedName>
    <definedName name="dpa706_6">'11.700'!$AM$678</definedName>
    <definedName name="dpa706_7_1">'11.700'!$AM$684</definedName>
    <definedName name="dpa706_7_2">'11.700'!$AM$685</definedName>
    <definedName name="dpa706_8">'11.700'!$AM$686</definedName>
    <definedName name="dpa706_9">'11.700'!$AM$689</definedName>
    <definedName name="dpa802_1_1">'11.800'!$AM$51</definedName>
    <definedName name="dpa802_1_2">'11.800'!$AM$53</definedName>
    <definedName name="dpa802_1_3">'11.800'!$AM$55</definedName>
    <definedName name="dpa802_1_4">'11.800'!$AM$57</definedName>
    <definedName name="dpa802_1_4_a">'11.800'!$AM$60</definedName>
    <definedName name="dpa802_1_5">'11.800'!$AM$62</definedName>
    <definedName name="dpa802_1_6">'11.800'!$AM$67</definedName>
    <definedName name="dpa802_10_1">'11.800'!$AM$242</definedName>
    <definedName name="dpa802_10_1_1">'11.800'!$AM$245</definedName>
    <definedName name="dpa802_2_1">'11.800'!$AM$72</definedName>
    <definedName name="dpa802_2_2">'11.800'!$AM$73</definedName>
    <definedName name="dpa802_2_3">'11.800'!$AM$74</definedName>
    <definedName name="dpa802_3_1_a">'11.800'!$AM$79</definedName>
    <definedName name="dpa802_3_1_b">'11.800'!$AM$81</definedName>
    <definedName name="dpa802_3_2">'11.800'!$AM$86</definedName>
    <definedName name="dpa802_3_2_a">'11.800'!$AM$88</definedName>
    <definedName name="dpa802_3_2_b">'11.800'!$AM$90</definedName>
    <definedName name="dpa802_4_1">'11.800'!$AM$95</definedName>
    <definedName name="dpa802_4_1_1">'11.800'!$AM$97</definedName>
    <definedName name="dpa802_4_1_2">'11.800'!$AM$103</definedName>
    <definedName name="dpa802_4_2_a">'11.800'!$AM$109</definedName>
    <definedName name="dpa802_4_2_b">'11.800'!$AM$110</definedName>
    <definedName name="dpa802_4_3">'11.800'!$AM$111</definedName>
    <definedName name="dpa802_5_1_1">'11.800'!$AM$118</definedName>
    <definedName name="dpa802_5_1_2">'11.800'!$AM$122</definedName>
    <definedName name="dpa802_5_1_3">'11.800'!$AM$123</definedName>
    <definedName name="dpa802_5_1_4">'11.800'!$AM$124</definedName>
    <definedName name="dpa802_5_1_5">'11.800'!$AM$126</definedName>
    <definedName name="dpa802_5_2_1">'11.800'!$AM$130</definedName>
    <definedName name="dpa802_5_2_2">'11.800'!$AM$131</definedName>
    <definedName name="dpa802_5_3">'11.800'!$AM$132</definedName>
    <definedName name="dpa802_5_4_1">'11.800'!$AM$136</definedName>
    <definedName name="dpa802_5_4_2">'11.800'!$AM$138</definedName>
    <definedName name="dpa802_5_4_3">'11.800'!$AM$145</definedName>
    <definedName name="dpa802_5_4_4_a">'11.800'!$AM$148</definedName>
    <definedName name="dpa802_5_4_4_b">'11.800'!$AM$152</definedName>
    <definedName name="dpa802_5_4_4_c">'11.800'!$AM$154</definedName>
    <definedName name="dpa802_6_1">'11.800'!$AM$157</definedName>
    <definedName name="dpa802_6_2">'11.800'!$AM$159</definedName>
    <definedName name="dpa802_6_3_1">'11.800'!$AM$163</definedName>
    <definedName name="dpa802_6_3_2">'11.800'!$AM$164</definedName>
    <definedName name="dpa802_6_3_3">'11.800'!$AM$165</definedName>
    <definedName name="dpa802_6_4_1">'11.800'!$AM$169</definedName>
    <definedName name="dpa802_6_4_2">'11.800'!$AM$171</definedName>
    <definedName name="dpa802_6_5_1">'11.800'!$AM$175</definedName>
    <definedName name="dpa802_6_5_2">'11.800'!$AM$177</definedName>
    <definedName name="dpa802_6_5_3">'11.800'!$AM$179</definedName>
    <definedName name="dpa802_6_5_4">'11.800'!$AM$180</definedName>
    <definedName name="dpa802_6_5_5">'11.800'!$AM$182</definedName>
    <definedName name="dpa802_7_1_1">'11.800'!$AM$187</definedName>
    <definedName name="dpa802_7_1_2_a">'11.800'!$AM$190</definedName>
    <definedName name="dpa802_7_1_2_b">'11.800'!$AM$191</definedName>
    <definedName name="dpa802_7_1_2_c">'11.800'!$AM$192</definedName>
    <definedName name="dpa802_7_1_2_d">'11.800'!$AM$194</definedName>
    <definedName name="dpa802_7_2_1">'11.800'!$AM$200</definedName>
    <definedName name="dpa802_7_2_2">'11.800'!$AM$202</definedName>
    <definedName name="dpa802_8">'11.800'!$AM$225</definedName>
    <definedName name="dpa802_9_1_1">'11.800'!$AM$234</definedName>
    <definedName name="dpa802_9_1_2">'11.800'!$AM$235</definedName>
    <definedName name="dpa802_9_2_1">'11.800'!$AM$239</definedName>
    <definedName name="dpa802_9_2_2">'11.800'!$AM$240</definedName>
    <definedName name="dpa803_1_1">'11.800'!$AM$251</definedName>
    <definedName name="dpa803_1_2">'11.800'!$AM$253</definedName>
    <definedName name="dpa803_2">'11.800'!$AM$254</definedName>
    <definedName name="dpa803_3">'11.800'!$AM$257</definedName>
    <definedName name="dpa803_4">'11.800'!$AM$262</definedName>
    <definedName name="dpa803_5">'11.800'!$AM$265</definedName>
    <definedName name="dpa803_6">'11.800'!$AM$267</definedName>
    <definedName name="dpa901_1_1">'11.900'!$AM$12</definedName>
    <definedName name="dpa901_1_2">'11.900'!$AM$18</definedName>
    <definedName name="dpa901_1_3_1_a">'11.900'!$AM$24</definedName>
    <definedName name="dpa901_1_3_1_b">'11.900'!$AM$25</definedName>
    <definedName name="dpa901_1_3_2_a">'11.900'!$AM$27</definedName>
    <definedName name="dpa901_1_3_2_b">'11.900'!$AM$28</definedName>
    <definedName name="dpa901_1_4">'11.900'!$AM$29</definedName>
    <definedName name="dpa901_1_5">'11.900'!$AM$34</definedName>
    <definedName name="dpa901_1_6_1">'11.900'!$AM$38</definedName>
    <definedName name="dpa901_1_6_2">'11.900'!$AM$39</definedName>
    <definedName name="dpa901_10_1">'11.900'!$AM$156</definedName>
    <definedName name="dpa901_10_2">'11.900'!$AM$161</definedName>
    <definedName name="dpa901_10_3">'11.900'!$AM$162</definedName>
    <definedName name="dpa901_11">'11.900'!$AM$166</definedName>
    <definedName name="dpa901_12">'11.900'!$AM$171</definedName>
    <definedName name="dpa901_13">'11.900'!$AM$177</definedName>
    <definedName name="dpa901_14_1">'11.900'!$AM$181</definedName>
    <definedName name="dpa901_14_2">'11.900'!$AM$182</definedName>
    <definedName name="dpa901_15_1">'11.900'!$AM$185</definedName>
    <definedName name="dpa901_15_2">'11.900'!$AM$187</definedName>
    <definedName name="dpa901_16">'11.900'!$AM$189</definedName>
    <definedName name="dpa901_2_1_1">'11.900'!$AM$44</definedName>
    <definedName name="dpa901_2_1_1_m">'11.900'!$AM$43</definedName>
    <definedName name="dpa901_2_1_2">'11.900'!$AM$47</definedName>
    <definedName name="dpa901_2_1_2_m">'11.900'!$AM$46</definedName>
    <definedName name="dpa901_2_1_3">'11.900'!$AM$49</definedName>
    <definedName name="dpa901_2_1_3_m">'11.900'!$AM$48</definedName>
    <definedName name="dpa901_2_1_4">'11.900'!$AM$52</definedName>
    <definedName name="dpa901_2_1_4_m">'11.900'!$AM$51</definedName>
    <definedName name="dpa901_2_1_5">'11.900'!$AM$54</definedName>
    <definedName name="dpa901_2_1_5_m">'11.900'!$AM$53</definedName>
    <definedName name="dpa901_2_2">'11.900'!$AM$55</definedName>
    <definedName name="dpa901_3_1_a">'11.900'!$AM$59</definedName>
    <definedName name="dpa901_3_1_a_m">'11.900'!$AM$58</definedName>
    <definedName name="dpa901_3_1_b">'11.900'!$AM$61</definedName>
    <definedName name="dpa901_3_1_b_m">'11.900'!$AM$60</definedName>
    <definedName name="dpa901_3_1_c">'11.900'!$AM$62</definedName>
    <definedName name="dpa901_3_2">'11.900'!$AM$68</definedName>
    <definedName name="dpa901_4">'11.900'!$AM$69</definedName>
    <definedName name="dpa901_4_1">'11.900'!$AM$73</definedName>
    <definedName name="dpa901_4_2">'11.900'!$AM$82</definedName>
    <definedName name="dpa901_4_3">'11.900'!$AM$84</definedName>
    <definedName name="dpa901_4_4">'11.900'!$AM$85</definedName>
    <definedName name="dpa901_4_5">'11.900'!$AM$86</definedName>
    <definedName name="dpa901_4_6">'11.900'!$AM$88</definedName>
    <definedName name="dpa901_5_1">'11.900'!$AM$92</definedName>
    <definedName name="dpa901_5_2">'11.900'!$AM$94</definedName>
    <definedName name="dpa901_6">'11.900'!$AM$97</definedName>
    <definedName name="dpa901_7">'11.900'!$AM$99</definedName>
    <definedName name="dpa901_8">'11.900'!$AM$121</definedName>
    <definedName name="dpa901_9_1">'11.900'!$AM$131</definedName>
    <definedName name="dpa901_9_2">'11.900'!$AM$138</definedName>
    <definedName name="dpa901_9_3">'11.900'!$AM$143</definedName>
    <definedName name="dpa901_9_4">'11.900'!$AM$149</definedName>
    <definedName name="dpa902_1_1_1">'11.900'!$AM$195</definedName>
    <definedName name="dpa902_1_1_1_a">'11.900'!$AM$197</definedName>
    <definedName name="dpa902_1_1_2">'11.900'!$AM$199</definedName>
    <definedName name="dpa902_1_1_3">'11.900'!$AM$201</definedName>
    <definedName name="dpa902_1_2">'11.900'!$AM$204</definedName>
    <definedName name="dpa902_1_2_1">'11.900'!$AM$206</definedName>
    <definedName name="dpa902_1_2_2">'11.900'!$AM$207</definedName>
    <definedName name="dpa902_1_3">'11.900'!$AM$208</definedName>
    <definedName name="dpa902_1_4">'11.900'!$AM$212</definedName>
    <definedName name="dpa902_1_4_1">'11.900'!$AM$213</definedName>
    <definedName name="dpa902_1_4_2">'11.900'!$AM$215</definedName>
    <definedName name="dpa902_1_5">'11.900'!$AM$217</definedName>
    <definedName name="dpa902_1_6">'11.900'!$AM$226</definedName>
    <definedName name="dpa902_2_1">'11.900'!$AM$230</definedName>
    <definedName name="dpa902_2_1_1">'11.900'!$AM$234</definedName>
    <definedName name="dpa902_2_1_2">'11.900'!$AM$236</definedName>
    <definedName name="dpa902_2_1_3">'11.900'!$AM$238</definedName>
    <definedName name="dpa902_2_1_4">'11.900'!$AM$239</definedName>
    <definedName name="dpa902_2_1_5">'11.900'!$AM$240</definedName>
    <definedName name="dpa902_2_2">'11.900'!$AM$241</definedName>
    <definedName name="dpa902_2_3">'11.900'!$AM$243</definedName>
    <definedName name="dpa902_2_4">'11.900'!$AM$246</definedName>
    <definedName name="dpa902_2_5">'11.900'!$AM$249</definedName>
    <definedName name="dpa902_3">'11.900'!$AM$251</definedName>
    <definedName name="dpa902_3_1_a">'11.900'!$AM$257</definedName>
    <definedName name="dpa902_3_1_b">'11.900'!$AM$258</definedName>
    <definedName name="dpa902_3_2_1">'11.900'!$AM$302</definedName>
    <definedName name="dpa902_3_2_2">'11.900'!$AM$325</definedName>
    <definedName name="dpa902_3_2_a">'11.900'!$AM$260</definedName>
    <definedName name="dpa902_3_2_b">'11.900'!$AM$261</definedName>
    <definedName name="dpa902_4">'11.900'!$AM$327</definedName>
    <definedName name="dpa902_5">'11.900'!$AM$337</definedName>
    <definedName name="dpa902_6">'11.900'!$AM$339</definedName>
    <definedName name="dpa903_1_1">'11.900'!$AM$344</definedName>
    <definedName name="dpa903_1_2">'11.900'!$AM$346</definedName>
    <definedName name="dpa903_2_1">'11.900'!$AM$348</definedName>
    <definedName name="dpa903_2_2">'11.900'!$AM$349</definedName>
    <definedName name="dpa903_3">'11.900'!$AM$351</definedName>
    <definedName name="dpa904_1">'11.900'!$AM$359</definedName>
    <definedName name="dpa904_2">'11.900'!$AM$364</definedName>
    <definedName name="dpa904_3_1">'11.900'!$AM$369</definedName>
    <definedName name="dpa904_3_2">'11.900'!$AM$376</definedName>
    <definedName name="dpa905_1">'11.900'!$AM$380</definedName>
    <definedName name="dpa905_2">'11.900'!$AM$385</definedName>
    <definedName name="dpa905_3">'11.900'!$AM$387</definedName>
    <definedName name="dpa905_4">'11.900'!$AM$391</definedName>
    <definedName name="dpa905_5">'11.900'!$AM$396</definedName>
    <definedName name="dpa905_6">'11.900'!$AM$400</definedName>
    <definedName name="dpa905_6_1">'11.900'!$AM$402</definedName>
    <definedName name="dpa905_6_2">'11.900'!$AM$404</definedName>
    <definedName name="dpa905_6_3">'11.900'!$AM$407</definedName>
    <definedName name="dpc1001_1">'11.1000'!$AO$12</definedName>
    <definedName name="dpc1001_2">'11.1000'!$AO$62</definedName>
    <definedName name="dpc1002_1">'11.1000'!$AO$81</definedName>
    <definedName name="dpc1002_2">'11.1000'!$AO$99</definedName>
    <definedName name="dpc1002_3">'11.1000'!$AO$126</definedName>
    <definedName name="dpc1002_4">'11.1000'!$AO$154</definedName>
    <definedName name="dpc1002_5">'11.1000'!$AO$167</definedName>
    <definedName name="dpc1002_6">'11.1000'!$AO$179</definedName>
    <definedName name="dpc1003_1">'11.1000'!$AO$194</definedName>
    <definedName name="dpc1005_1_1">'11.1000'!$AO$205</definedName>
    <definedName name="dpc1005_1_2">'11.1000'!$AO$208</definedName>
    <definedName name="dpc1005_1_3">'11.1000'!$AO$212</definedName>
    <definedName name="dpc501_2_1">'11.500'!$AO$16</definedName>
    <definedName name="dpc501_2_2">'11.500'!$AO$18</definedName>
    <definedName name="dpc501_2_3">'11.500'!$AO$20</definedName>
    <definedName name="dpc501_2_3_">'11.500'!$AO$30</definedName>
    <definedName name="dpc501_2_4">'11.500'!$AO$35</definedName>
    <definedName name="dpc501_2_5">'11.500'!$AO$38</definedName>
    <definedName name="dpc501_2_6">'11.500'!$AO$45</definedName>
    <definedName name="dpc501_2_7">'11.500'!$AO$48</definedName>
    <definedName name="dpc502_1">'11.500'!$AO$52</definedName>
    <definedName name="dpc503_1_1">'11.500'!$AO$64</definedName>
    <definedName name="dpc503_1_2">'11.500'!$AO$65</definedName>
    <definedName name="dpc503_1_3">'11.500'!$AO$67</definedName>
    <definedName name="dpc503_1_4">'11.500'!$AO$69</definedName>
    <definedName name="dpc503_1_5">'11.500'!$AO$71</definedName>
    <definedName name="dpc503_1_6">'11.500'!$AO$72</definedName>
    <definedName name="dpc503_1_7">'11.500'!$AO$74</definedName>
    <definedName name="dpc503_1_8">'11.500'!$AO$76</definedName>
    <definedName name="dpc503_2_1">'11.500'!$AO$83</definedName>
    <definedName name="dpc503_2_2">'11.500'!$AO$84</definedName>
    <definedName name="dpc503_2_3">'11.500'!$AO$86</definedName>
    <definedName name="dpc503_2_4">'11.500'!$AO$91</definedName>
    <definedName name="dpc503_2_5">'11.500'!$AO$93</definedName>
    <definedName name="dpc503_3_1">'11.500'!$AO$97</definedName>
    <definedName name="dpc503_3_2">'11.500'!$AO$99</definedName>
    <definedName name="dpc503_3_3">'11.500'!$AO$105</definedName>
    <definedName name="dpc503_4_1">'11.500'!$AO$113</definedName>
    <definedName name="dpc503_4_2">'11.500'!$AO$116</definedName>
    <definedName name="dpc503_4_3">'11.500'!$AO$123</definedName>
    <definedName name="dpc503_4_3_">'11.500'!$AO$128</definedName>
    <definedName name="dpc503_4_4">'11.500'!$AO$130</definedName>
    <definedName name="dpc503_5_1">'11.500'!$AO$137</definedName>
    <definedName name="dpc503_5_10">'11.500'!$AO$165</definedName>
    <definedName name="dpc503_5_11">'11.500'!$AO$168</definedName>
    <definedName name="dpc503_5_12">'11.500'!$AO$170</definedName>
    <definedName name="dpc503_5_13">'11.500'!$AO$172</definedName>
    <definedName name="dpc503_5_2">'11.500'!$AO$143</definedName>
    <definedName name="dpc503_5_3">'11.500'!$AO$145</definedName>
    <definedName name="dpc503_5_4">'11.500'!$AO$148</definedName>
    <definedName name="dpc503_5_5">'11.500'!$AO$150</definedName>
    <definedName name="dpc503_5_6">'11.500'!$AO$152</definedName>
    <definedName name="dpc503_5_7">'11.500'!$AO$157</definedName>
    <definedName name="dpc503_5_8">'11.500'!$AO$158</definedName>
    <definedName name="dpc503_5_9">'11.500'!$AO$163</definedName>
    <definedName name="dpc503_6">'11.500'!$AO$174</definedName>
    <definedName name="dpc503_7_1">'11.500'!$AO$183</definedName>
    <definedName name="dpc503_7_2">'11.500'!$AO$185</definedName>
    <definedName name="dpc504_1">'11.500'!$AO$190</definedName>
    <definedName name="dpc504_2_1">'11.500'!$AO$197</definedName>
    <definedName name="dpc504_2_2">'11.500'!$AO$198</definedName>
    <definedName name="dpc504_2_3">'11.500'!$AO$200</definedName>
    <definedName name="dpc504_3_1">'11.500'!$AO$205</definedName>
    <definedName name="dpc504_3_2">'11.500'!$AO$207</definedName>
    <definedName name="dpc504_3_3">'11.500'!$AO$208</definedName>
    <definedName name="dpc504_3_4">'11.500'!$AO$210</definedName>
    <definedName name="dpc504_3_5">'11.500'!$AO$212</definedName>
    <definedName name="dpc504_3_6">'11.500'!$AO$216</definedName>
    <definedName name="dpc504_3_7">'11.500'!$AO$219</definedName>
    <definedName name="dpc504_3_8">'11.500'!$AO$220</definedName>
    <definedName name="dpc505_1_1">'11.500'!$AO$234</definedName>
    <definedName name="dpc505_1_2">'11.500'!$AO$236</definedName>
    <definedName name="dpc505_1_3">'11.500'!$AO$237</definedName>
    <definedName name="dpc505_10_a">'11.500'!$AO$299</definedName>
    <definedName name="dpc505_10_b">'11.500'!$AO$301</definedName>
    <definedName name="dpc505_10_c">'11.500'!$AO$303</definedName>
    <definedName name="dpc505_11">'11.500'!$AO$305</definedName>
    <definedName name="dpc505_2_1">'11.500'!$AO$242</definedName>
    <definedName name="dpc505_2_2">'11.500'!$AO$252</definedName>
    <definedName name="dpc505_3">'11.500'!$AO$255</definedName>
    <definedName name="dpc505_4_1">'11.500'!$AO$262</definedName>
    <definedName name="dpc505_5_a">'11.500'!$AO$265</definedName>
    <definedName name="dpc505_5_b">'11.500'!$AO$267</definedName>
    <definedName name="dpc505_5_c">'11.500'!$AO$270</definedName>
    <definedName name="dpc505_5_d">'11.500'!$AO$271</definedName>
    <definedName name="dpc505_6">'11.500'!$AO$273</definedName>
    <definedName name="dpc505_7">'11.500'!$AO$283</definedName>
    <definedName name="dpc505_8">'11.500'!$AO$287</definedName>
    <definedName name="dpc505_9_a">'11.500'!$AO$290</definedName>
    <definedName name="dpc505_9_b">'11.500'!$AO$293</definedName>
    <definedName name="dpc505_9_c">'11.500'!$AO$294</definedName>
    <definedName name="dpc601_1">'11.600'!$AO$14</definedName>
    <definedName name="dpc601_2_1">'11.600'!$AO$32</definedName>
    <definedName name="dpc601_2_2">'11.600'!$AO$35</definedName>
    <definedName name="dpc601_2_3">'11.600'!$AO$38</definedName>
    <definedName name="dpc601_3_1">'11.600'!$AO$44</definedName>
    <definedName name="dpc601_3_2">'11.600'!$AO$45</definedName>
    <definedName name="dpc601_3_3">'11.600'!$AO$46</definedName>
    <definedName name="dpc601_3_4">'11.600'!$AO$47</definedName>
    <definedName name="dpc601_3_5">'11.600'!$AO$48</definedName>
    <definedName name="dpc601_4">'11.600'!$AO$49</definedName>
    <definedName name="dpc601_5_1">'11.600'!$AO$57</definedName>
    <definedName name="dpc601_5_2">'11.600'!$AO$58</definedName>
    <definedName name="dpc601_5_3">'11.600'!$AO$59</definedName>
    <definedName name="dpc601_5_4">'11.600'!$AO$60</definedName>
    <definedName name="dpc601_6">'11.600'!$AO$61</definedName>
    <definedName name="dpc601_7">'11.600'!$AO$66</definedName>
    <definedName name="dpc601_8">'11.600'!$AO$85</definedName>
    <definedName name="dpc602_1_1_2">'11.600'!$AO$102</definedName>
    <definedName name="dpc602_1_10">'11.600'!$AO$214</definedName>
    <definedName name="dpc602_1_12">'11.600'!$AO$231</definedName>
    <definedName name="dpc602_1_14_1">'11.600'!$AO$240</definedName>
    <definedName name="dpc602_1_14_2">'11.600'!$AO$242</definedName>
    <definedName name="dpc602_1_14_3">'11.600'!$AO$243</definedName>
    <definedName name="dpc602_1_15">'11.600'!$AO$244</definedName>
    <definedName name="dpc602_1_2">'11.600'!$AO$105</definedName>
    <definedName name="dpc602_1_3_2">'11.600'!$AO$114</definedName>
    <definedName name="dpc602_1_4_1_1">'11.600'!$AO$122</definedName>
    <definedName name="dpc602_1_4_2_1">'11.600'!$AO$131</definedName>
    <definedName name="dpc602_1_5_1">'11.600'!$AO$139</definedName>
    <definedName name="dpc602_1_5_2">'11.600'!$AO$141</definedName>
    <definedName name="dpc602_1_6_1">'11.600'!$AO$147</definedName>
    <definedName name="dpc602_1_6_2">'11.600'!$AO$151</definedName>
    <definedName name="dpc602_1_6_3">'11.600'!$AO$155</definedName>
    <definedName name="dpc602_1_7_1_1">'11.600'!$AO$160</definedName>
    <definedName name="dpc602_1_7_1_2">'11.600'!$AO$162</definedName>
    <definedName name="dpc602_1_7_1_3">'11.600'!$AO$165</definedName>
    <definedName name="dpc602_1_7_2">'11.600'!$AO$167</definedName>
    <definedName name="dpc602_1_7_3">'11.600'!$AO$169</definedName>
    <definedName name="dpc602_1_9_2">'11.600'!$AO$197</definedName>
    <definedName name="dpc602_1_9_3">'11.600'!$AO$200</definedName>
    <definedName name="dpc602_1_9_4">'11.600'!$AO$201</definedName>
    <definedName name="dpc602_1_9_5">'11.600'!$AO$205</definedName>
    <definedName name="dpc602_1_9_6">'11.600'!$AO$211</definedName>
    <definedName name="dpc602_1_9_7">'11.600'!$AO$213</definedName>
    <definedName name="dpc602_2">'11.600'!$AO$247</definedName>
    <definedName name="dpc602_3">'11.600'!$AO$257</definedName>
    <definedName name="dpc602_4_2">'11.600'!$AO$266</definedName>
    <definedName name="dpc602_4_3">'11.600'!$AO$268</definedName>
    <definedName name="dpc603_1">'11.600'!$AO$273</definedName>
    <definedName name="dpc603_2">'11.600'!$AO$279</definedName>
    <definedName name="dpc603_3">'11.600'!$AO$286</definedName>
    <definedName name="dpc604_1a">'11.600'!$AO$290</definedName>
    <definedName name="dpc605_2">'11.600'!$AO$303</definedName>
    <definedName name="dpc605_3">'11.600'!$AO$318</definedName>
    <definedName name="dpc605_4">'11.600'!$AO$327</definedName>
    <definedName name="dpc606_1">'11.600'!$AO$343</definedName>
    <definedName name="dpc606_2_1a">'11.600'!$AO$375</definedName>
    <definedName name="dpc606_2_2a">'11.600'!$AO$378</definedName>
    <definedName name="dpc606_3">'11.600'!$AO$381</definedName>
    <definedName name="dpc607_1_1">'11.600'!$AO$390</definedName>
    <definedName name="dpc607_1_2">'11.600'!$AO$395</definedName>
    <definedName name="dpc607_2">'11.600'!$AO$401</definedName>
    <definedName name="dpc608_1">'11.600'!$AO$404</definedName>
    <definedName name="dpc609_1">'11.600'!$AO$414</definedName>
    <definedName name="dpc610_1_1_1">'11.600'!$AO$435</definedName>
    <definedName name="dpc610_1_1_2">'11.600'!$AO$444</definedName>
    <definedName name="dpc610_1_1_3">'11.600'!$AO$451</definedName>
    <definedName name="dpc610_1_2">'11.600'!$AO$453</definedName>
    <definedName name="dpc611_1">'11.600'!$AO$496</definedName>
    <definedName name="dpc612_1">'11.600'!$AO$519</definedName>
    <definedName name="dpc612_2">'11.600'!$AO$527</definedName>
    <definedName name="dpc612_3">'11.600'!$AO$543</definedName>
    <definedName name="dpc613_1">'11.600'!$AO$570</definedName>
    <definedName name="dpc703_1">'11.700'!$AO$159</definedName>
    <definedName name="dpc703_2_1">'11.700'!$AO$178</definedName>
    <definedName name="dpc703_2_2">'11.700'!$AO$185</definedName>
    <definedName name="dpc703_2_3">'11.700'!$AO$187</definedName>
    <definedName name="dpc703_2_4">'11.700'!$AO$191</definedName>
    <definedName name="dpc703_2_5_2">'11.700'!$AO$212</definedName>
    <definedName name="dpc703_3_1">'11.700'!$AO$245</definedName>
    <definedName name="dpc703_3_2_1">'11.700'!$AO$251</definedName>
    <definedName name="dpc703_3_2_2">'11.700'!$AO$257</definedName>
    <definedName name="dpc703_3_2_3">'11.700'!$AO$260</definedName>
    <definedName name="dpc703_3_2_4">'11.700'!$AO$265</definedName>
    <definedName name="dpc703_3_3_1">'11.700'!$AO$271</definedName>
    <definedName name="dpc703_3_3_2">'11.700'!$AO$277</definedName>
    <definedName name="dpc703_3_3_3">'11.700'!$AO$279</definedName>
    <definedName name="dpc703_3_4_1">'11.700'!$AO$283</definedName>
    <definedName name="dpc703_3_4_1_6">'11.700'!$AO$289</definedName>
    <definedName name="dpc703_3_4_2">'11.700'!$AO$291</definedName>
    <definedName name="dpc703_3_5">'11.700'!$AO$292</definedName>
    <definedName name="dpc703_3_6">'11.700'!$AO$295</definedName>
    <definedName name="dpc703_3_7">'11.700'!$AO$302</definedName>
    <definedName name="dpc703_3_8">'11.700'!$AO$309</definedName>
    <definedName name="dpc703_4_1">'11.700'!$AO$314</definedName>
    <definedName name="dpc703_4_2">'11.700'!$AO$315</definedName>
    <definedName name="dpc703_4_3">'11.700'!$AO$316</definedName>
    <definedName name="dpc703_4_4">'11.700'!$AO$321</definedName>
    <definedName name="dpc703_5_1_1_a">'11.700'!$AO$340</definedName>
    <definedName name="dpc703_5_1_1_b">'11.700'!$AO$343</definedName>
    <definedName name="dpc703_5_1_1_c">'11.700'!$AO$345</definedName>
    <definedName name="dpc703_5_1_1_d">'11.700'!$AO$348</definedName>
    <definedName name="dpc703_5_1_1_e">'11.700'!$AO$353</definedName>
    <definedName name="dpc703_5_1_2_a">'11.700'!$AO$358</definedName>
    <definedName name="dpc703_5_1_2_b">'11.700'!$AO$367</definedName>
    <definedName name="dpc703_5_1_2_c">'11.700'!$AO$373</definedName>
    <definedName name="dpc703_5_1_2_d">'11.700'!$AO$375</definedName>
    <definedName name="dpc703_5_1_2_e">'11.700'!$AO$377</definedName>
    <definedName name="dpc703_5_1_3">'11.700'!$AO$379</definedName>
    <definedName name="dpc703_5_2">'11.700'!$AO$380</definedName>
    <definedName name="dpc703_5_3">'11.700'!$AO$382</definedName>
    <definedName name="dpc703_5_4">'11.700'!$AO$384</definedName>
    <definedName name="dpc703_5_5_a">'11.700'!$AO$390</definedName>
    <definedName name="dpc703_5_5_b">'11.700'!$AO$397</definedName>
    <definedName name="dpc703_6_1_1">'11.700'!$AO$407</definedName>
    <definedName name="dpc703_6_1_2">'11.700'!$AO$409</definedName>
    <definedName name="dpc703_6_1_3">'11.700'!$AO$411</definedName>
    <definedName name="dpc703_6_2_1">'11.700'!$AO$414</definedName>
    <definedName name="dpc703_6_2_2">'11.700'!$AO$415</definedName>
    <definedName name="dpc703_6_2_3">'11.700'!$AO$416</definedName>
    <definedName name="dpc703_7_1">'11.700'!$AO$419</definedName>
    <definedName name="dpc703_7_2">'11.700'!$AO$447</definedName>
    <definedName name="dpc703_7_3">'11.700'!$AO$449</definedName>
    <definedName name="dpc703_7_4">'11.700'!$AO$476</definedName>
    <definedName name="dpc705_2_1_1">'11.700'!$AO$505</definedName>
    <definedName name="dpc705_2_1_2">'11.700'!$AO$509</definedName>
    <definedName name="dpc705_2_1_3_1">'11.700'!$AO$513</definedName>
    <definedName name="dpc705_2_1_3_2">'11.700'!$AO$517</definedName>
    <definedName name="dpc705_2_1_4">'11.700'!$AO$522</definedName>
    <definedName name="dpc705_2_2">'11.700'!$AO$527</definedName>
    <definedName name="dpc705_2_3">'11.700'!$AO$530</definedName>
    <definedName name="dpc705_2_4">'11.700'!$AO$532</definedName>
    <definedName name="dpc705_3">'11.700'!$AO$535</definedName>
    <definedName name="dpc705_4">'11.700'!$AO$536</definedName>
    <definedName name="dpc705_5_1_1">'11.700'!$AO$541</definedName>
    <definedName name="dpc705_5_1_2">'11.700'!$AO$544</definedName>
    <definedName name="dpc705_5_2">'11.700'!$AO$546</definedName>
    <definedName name="dpc705_5_3_1">'11.700'!$AO$555</definedName>
    <definedName name="dpc705_5_3_2">'11.700'!$AO$557</definedName>
    <definedName name="dpc705_6_1">'11.700'!$AO$559</definedName>
    <definedName name="dpc705_6_2_1_1">'11.700'!$AO$576</definedName>
    <definedName name="dpc705_6_2_1_2">'11.700'!$AO$579</definedName>
    <definedName name="dpc705_6_2_2_1">'11.700'!$AO$585</definedName>
    <definedName name="dpc705_6_2_2_2">'11.700'!$AO$587</definedName>
    <definedName name="dpc705_6_2_3">'11.700'!$AO$590</definedName>
    <definedName name="dpc705_6_3">'11.700'!$AO$596</definedName>
    <definedName name="dpc705_6_4_1">'11.700'!$AO$608</definedName>
    <definedName name="dpc705_6_4_2">'11.700'!$AO$610</definedName>
    <definedName name="dpc705_7">'11.700'!$AO$612</definedName>
    <definedName name="dpc706_1">'11.700'!$AO$617</definedName>
    <definedName name="dpc706_10">'11.700'!$AO$694</definedName>
    <definedName name="dpc706_11">'11.700'!$AO$699</definedName>
    <definedName name="dpc706_12">'11.700'!$AO$701</definedName>
    <definedName name="dpc706_13">'11.700'!$AO$705</definedName>
    <definedName name="dpc706_14_1">'11.700'!$AO$710</definedName>
    <definedName name="dpc706_14_2">'11.700'!$AO$714</definedName>
    <definedName name="dpc706_15_1">'11.700'!$AO$719</definedName>
    <definedName name="dpc706_15_2">'11.700'!$AO$720</definedName>
    <definedName name="dpc706_2_1">'11.700'!$AO$627</definedName>
    <definedName name="dpc706_2_2">'11.700'!$AO$632</definedName>
    <definedName name="dpc706_3">'11.700'!$AO$639</definedName>
    <definedName name="dpc706_4_1_1">'11.700'!$AO$657</definedName>
    <definedName name="dpc706_4_1_2">'11.700'!$AO$659</definedName>
    <definedName name="dpc706_4_2">'11.700'!$AO$661</definedName>
    <definedName name="dpc706_5_1">'11.700'!$AO$664</definedName>
    <definedName name="dpc706_5_2">'11.700'!$AO$666</definedName>
    <definedName name="dpc706_5_3">'11.700'!$AO$668</definedName>
    <definedName name="dpc706_6">'11.700'!$AO$678</definedName>
    <definedName name="dpc706_7_1">'11.700'!$AO$684</definedName>
    <definedName name="dpc706_7_2">'11.700'!$AO$685</definedName>
    <definedName name="dpc706_8">'11.700'!$AO$686</definedName>
    <definedName name="dpc706_9">'11.700'!$AO$689</definedName>
    <definedName name="dpc802_1">'11.800'!$AO$40</definedName>
    <definedName name="dpc802_1_6">'11.800'!$AO$67</definedName>
    <definedName name="dpc802_10_1_1">'11.800'!$AO$245</definedName>
    <definedName name="dpc802_2_1">'11.800'!$AO$72</definedName>
    <definedName name="dpc802_2_2">'11.800'!$AO$73</definedName>
    <definedName name="dpc802_3_1_a">'11.800'!$AO$79</definedName>
    <definedName name="dpc802_3_1_b">'11.800'!$AO$81</definedName>
    <definedName name="dpc802_3_2_a">'11.800'!$AO$88</definedName>
    <definedName name="dpc802_3_2_b">'11.800'!$AO$90</definedName>
    <definedName name="dpc802_4_1">'11.800'!$AO$95</definedName>
    <definedName name="dpc802_4_2">'11.800'!$AO$106</definedName>
    <definedName name="dpc802_4_3">'11.800'!$AO$111</definedName>
    <definedName name="dpc802_5_1">'11.800'!$AO$115</definedName>
    <definedName name="dpc802_5_2">'11.800'!$AO$127</definedName>
    <definedName name="dpc802_5_3">'11.800'!$AO$132</definedName>
    <definedName name="dpc802_5_4_2">'11.800'!$AO$138</definedName>
    <definedName name="dpc802_5_4_3">'11.800'!$AO$145</definedName>
    <definedName name="dpc802_5_4_4_a">'11.800'!$AO$148</definedName>
    <definedName name="dpc802_5_4_4_b">'11.800'!$AO$152</definedName>
    <definedName name="dpc802_5_4_4_c">'11.800'!$AO$154</definedName>
    <definedName name="dpc802_6_2">'11.800'!$AO$159</definedName>
    <definedName name="dpc802_6_3_1">'11.800'!$AO$163</definedName>
    <definedName name="dpc802_6_3_2">'11.800'!$AO$164</definedName>
    <definedName name="dpc802_6_3_3">'11.800'!$AO$165</definedName>
    <definedName name="dpc802_6_4_1">'11.800'!$AO$169</definedName>
    <definedName name="dpc802_6_4_2">'11.800'!$AO$171</definedName>
    <definedName name="dpc802_6_5_1">'11.800'!$AO$175</definedName>
    <definedName name="dpc802_6_5_2">'11.800'!$AO$177</definedName>
    <definedName name="dpc802_6_5_3">'11.800'!$AO$179</definedName>
    <definedName name="dpc802_6_5_4">'11.800'!$AO$180</definedName>
    <definedName name="dpc802_6_5_5">'11.800'!$AO$182</definedName>
    <definedName name="dpc802_7_1">'11.800'!$AO$186</definedName>
    <definedName name="dpc802_7_2">'11.800'!$AO$197</definedName>
    <definedName name="dpc802_8">'11.800'!$AO$225</definedName>
    <definedName name="dpc802_9_1">'11.800'!$AO$228</definedName>
    <definedName name="dpc802_9_2">'11.800'!$AO$236</definedName>
    <definedName name="dpc803_1">'11.800'!$AO$247</definedName>
    <definedName name="dpc803_2">'11.800'!$AO$254</definedName>
    <definedName name="dpc803_3">'11.800'!$AO$257</definedName>
    <definedName name="dpc803_4">'11.800'!$AO$262</definedName>
    <definedName name="dpc803_5">'11.800'!$AO$265</definedName>
    <definedName name="dpc803_6">'11.800'!$AO$267</definedName>
    <definedName name="dpc901_1_1">'11.900'!$AO$12</definedName>
    <definedName name="dpc901_1_2">'11.900'!$AO$18</definedName>
    <definedName name="dpc901_1_3_1">'11.900'!$AO$23</definedName>
    <definedName name="dpc901_1_3_2">'11.900'!$AO$26</definedName>
    <definedName name="dpc901_1_5">'11.900'!$AO$34</definedName>
    <definedName name="dpc901_1_6">'11.900'!$AO$37</definedName>
    <definedName name="dpc901_10">'11.900'!$AO$152</definedName>
    <definedName name="dpc901_11">'11.900'!$AO$166</definedName>
    <definedName name="dpc901_12">'11.900'!$AO$171</definedName>
    <definedName name="dpc901_14">'11.900'!$AO$179</definedName>
    <definedName name="dpc901_15_1">'11.900'!$AO$185</definedName>
    <definedName name="dpc901_15_2">'11.900'!$AO$187</definedName>
    <definedName name="dpc901_2_1_1">'11.900'!$AO$43</definedName>
    <definedName name="dpc901_2_1_2">'11.900'!$AO$46</definedName>
    <definedName name="dpc901_2_1_3">'11.900'!$AO$48</definedName>
    <definedName name="dpc901_2_1_4">'11.900'!$AO$51</definedName>
    <definedName name="dpc901_2_1_5">'11.900'!$AO$53</definedName>
    <definedName name="dpc901_2_2">'11.900'!$AO$55</definedName>
    <definedName name="dpc901_3_1_a">'11.900'!$AO$58</definedName>
    <definedName name="dpc901_3_1_b">'11.900'!$AO$60</definedName>
    <definedName name="dpc901_3_1_c">'11.900'!$AO$62</definedName>
    <definedName name="dpc901_3_2">'11.900'!$AO$68</definedName>
    <definedName name="dpc901_4">'11.900'!$AO$69</definedName>
    <definedName name="dpc901_5_1">'11.900'!$AO$92</definedName>
    <definedName name="dpc901_5_2">'11.900'!$AO$94</definedName>
    <definedName name="dpc901_7">'11.900'!$AO$99</definedName>
    <definedName name="dpc901_8">'11.900'!$AO$121</definedName>
    <definedName name="dpc901_9_1">'11.900'!$AO$131</definedName>
    <definedName name="dpc901_9_2">'11.900'!$AO$138</definedName>
    <definedName name="dpc901_9_3">'11.900'!$AO$143</definedName>
    <definedName name="dpc902_1_1_1_a">'11.900'!$AO$197</definedName>
    <definedName name="dpc902_1_1_3">'11.900'!$AO$201</definedName>
    <definedName name="dpc902_1_2">'11.900'!$AO$204</definedName>
    <definedName name="dpc902_1_3">'11.900'!$AO$208</definedName>
    <definedName name="dpc902_1_4">'11.900'!$AO$212</definedName>
    <definedName name="dpc902_1_5">'11.900'!$AO$217</definedName>
    <definedName name="dpc902_1_6">'11.900'!$AO$226</definedName>
    <definedName name="dpc902_2_1">'11.900'!$AO$230</definedName>
    <definedName name="dpc902_2_2">'11.900'!$AO$241</definedName>
    <definedName name="dpc902_2_3">'11.900'!$AO$243</definedName>
    <definedName name="dpc902_2_4">'11.900'!$AO$246</definedName>
    <definedName name="dpc902_2_5">'11.900'!$AO$249</definedName>
    <definedName name="dpc902_3_1">'11.900'!$AO$256</definedName>
    <definedName name="dpc902_3_2">'11.900'!$AO$259</definedName>
    <definedName name="dpc902_3_2_1">'11.900'!$AO$302</definedName>
    <definedName name="dpc902_3_2_2">'11.900'!$AO$325</definedName>
    <definedName name="dpc902_4">'11.900'!$AO$327</definedName>
    <definedName name="dpc902_5">'11.900'!$AO$337</definedName>
    <definedName name="dpc903_1">'11.900'!$AO$343</definedName>
    <definedName name="dpc903_2">'11.900'!$AO$347</definedName>
    <definedName name="dpc903_3">'11.900'!$AO$351</definedName>
    <definedName name="dpc904_1">'11.900'!$AO$359</definedName>
    <definedName name="dpc904_2">'11.900'!$AO$364</definedName>
    <definedName name="dpc905_1">'11.900'!$AO$380</definedName>
    <definedName name="dpc905_2">'11.900'!$AO$385</definedName>
    <definedName name="dpc905_3">'11.900'!$AO$387</definedName>
    <definedName name="dpc905_4">'11.900'!$AO$391</definedName>
    <definedName name="dpc905_5">'11.900'!$AO$396</definedName>
    <definedName name="dpc905_6">'11.900'!$AO$400</definedName>
    <definedName name="Dpoints">Points!$H$25</definedName>
    <definedName name="dstAGFloorArea">'Overview (Design)'!$G$25</definedName>
    <definedName name="dstAttachedGarage">'Overview (Design)'!$G$55</definedName>
    <definedName name="dstAttic">'Overview (Design)'!$G$54</definedName>
    <definedName name="dstBatch">'Overview (Design)'!$G$8</definedName>
    <definedName name="dstBuilderName">'Overview (Design)'!$G$10</definedName>
    <definedName name="dstBuildingCode">'Overview (Design)'!$G$66</definedName>
    <definedName name="dstCDucts">'Overview (Design)'!$G$46</definedName>
    <definedName name="dstCity">'Overview (Design)'!$G$13</definedName>
    <definedName name="dstCommercial">'Overview (Design)'!$G$20</definedName>
    <definedName name="dstCool1">'Overview (Design)'!$G$43</definedName>
    <definedName name="dstCool2">'Overview (Design)'!$G$44</definedName>
    <definedName name="dstCool3">'Overview (Design)'!$G$45</definedName>
    <definedName name="dstCounty">'Overview (Design)'!$G$15</definedName>
    <definedName name="dstCToilet">'Overview (Design)'!$G$63</definedName>
    <definedName name="dstDesigner">'Overview (Design)'!$G$68</definedName>
    <definedName name="dstEnergyBLYear">'Overview (Design)'!$G$30</definedName>
    <definedName name="dstEnergyCode">'Overview (Design)'!$G$65</definedName>
    <definedName name="dstEnergyPath">'Overview (Design)'!$G$34</definedName>
    <definedName name="dstFloors">'Overview (Design)'!$G$27</definedName>
    <definedName name="dstFoundation">'Overview (Design)'!$G$36</definedName>
    <definedName name="dstFuel">'Overview (Design)'!$G$41</definedName>
    <definedName name="dstHDucts">'Overview (Design)'!$G$42</definedName>
    <definedName name="dstHeat1">'Overview (Design)'!$G$38</definedName>
    <definedName name="dstHeat2">'Overview (Design)'!$G$39</definedName>
    <definedName name="dstHeat3">'Overview (Design)'!$G$40</definedName>
    <definedName name="dstHomeAddress">'Overview (Design)'!$G$11</definedName>
    <definedName name="dstLot">'Overview (Design)'!$G$12</definedName>
    <definedName name="dstMassWalls">'Overview (Design)'!$G$60</definedName>
    <definedName name="dstPassiveSolar">'Overview (Design)'!$G$59</definedName>
    <definedName name="dstProjectDesc">'Overview (Design)'!$G$32</definedName>
    <definedName name="dstProjectName">'Overview (Design)'!$G$23</definedName>
    <definedName name="dstRadiantHydronic">'Overview (Design)'!$G$61</definedName>
    <definedName name="dstRecessedLighting">'Overview (Design)'!$G$56</definedName>
    <definedName name="dstRenewable">'Overview (Design)'!$G$52</definedName>
    <definedName name="dstSingleOrMulti">'Overview (Design)'!$G$18</definedName>
    <definedName name="dstsSHGC">'Overview (Design)'!$G$49</definedName>
    <definedName name="dstState">'Overview (Design)'!$G$14</definedName>
    <definedName name="dstsUV">'Overview (Design)'!$G$51</definedName>
    <definedName name="dstTCFloorArea">'Overview (Design)'!$G$26</definedName>
    <definedName name="dstTEInsulation">'Overview (Design)'!$G$53</definedName>
    <definedName name="dstTLWH">'Overview (Design)'!$G$62</definedName>
    <definedName name="dstUnits">'Overview (Design)'!$G$19</definedName>
    <definedName name="dstWaterBLYear">'Overview (Design)'!$G$31</definedName>
    <definedName name="dstWaterPath">'Overview (Design)'!$G$35</definedName>
    <definedName name="dstwdSHGC">'Overview (Design)'!$G$48</definedName>
    <definedName name="dstwdUV">'Overview (Design)'!$G$50</definedName>
    <definedName name="dstYearBuilt">'Overview (Design)'!$G$29</definedName>
    <definedName name="dstZIP">'Overview (Design)'!$G$16</definedName>
    <definedName name="fcsBatchID">'Final Comm. Sig.'!$E$101</definedName>
    <definedName name="fcsBuilderCertificateDeliveryMethod">'Final Comm. Sig.'!$G$48</definedName>
    <definedName name="fcsBuilderCertificateSendToEntity">'Final Comm. Sig.'!$G$52</definedName>
    <definedName name="fcsBuilderComments">'Final Comm. Sig.'!$C$42</definedName>
    <definedName name="fcsBuilderDate">'Final Comm. Sig.'!$C$52</definedName>
    <definedName name="fcsBuilderEmail">'Final Comm. Sig.'!$C$48</definedName>
    <definedName name="fcsBuilderName">'Final Comm. Sig.'!$C$46</definedName>
    <definedName name="fcsBuilderPhone">'Final Comm. Sig.'!$C$50</definedName>
    <definedName name="fcsBuilderRepSignature">'Final Comm. Sig.'!$C$39</definedName>
    <definedName name="fcsBuilderSignatureRelease">'Final Comm. Sig.'!$G$39</definedName>
    <definedName name="fcsTeamVerifierElementsVerified1">'Final Comm. Sig.'!$E$93</definedName>
    <definedName name="fcsTeamVerifierElementsVerified2">'Final Comm. Sig.'!$E$94</definedName>
    <definedName name="fcsTeamVerifierElementsVerified3">'Final Comm. Sig.'!$E$95</definedName>
    <definedName name="fcsTeamVerifierElementsVerified4">'Final Comm. Sig.'!$E$96</definedName>
    <definedName name="fcsTeamVerifierElementsVerified5">'Final Comm. Sig.'!$E$97</definedName>
    <definedName name="fcsTeamVerifierInspectionDate1">'Final Comm. Sig.'!$G$93</definedName>
    <definedName name="fcsTeamVerifierInspectionDate2">'Final Comm. Sig.'!$G$94</definedName>
    <definedName name="fcsTeamVerifierInspectionDate3">'Final Comm. Sig.'!$G$95</definedName>
    <definedName name="fcsTeamVerifierInspectionDate4">'Final Comm. Sig.'!$G$96</definedName>
    <definedName name="fcsTeamVerifierInspectionDate5">'Final Comm. Sig.'!$G$97</definedName>
    <definedName name="fcsTeamVerifierName1">'Final Comm. Sig.'!$C$93</definedName>
    <definedName name="fcsTeamVerifierName2">'Final Comm. Sig.'!$C$94</definedName>
    <definedName name="fcsTeamVerifierName3">'Final Comm. Sig.'!$C$95</definedName>
    <definedName name="fcsTeamVerifierName4">'Final Comm. Sig.'!$C$96</definedName>
    <definedName name="fcsTeamVerifierName5">'Final Comm. Sig.'!$C$97</definedName>
    <definedName name="fcsTeamVerifierRole1">'Final Comm. Sig.'!$D$93</definedName>
    <definedName name="fcsTeamVerifierRole2">'Final Comm. Sig.'!$D$94</definedName>
    <definedName name="fcsTeamVerifierRole3">'Final Comm. Sig.'!$D$95</definedName>
    <definedName name="fcsTeamVerifierRole4">'Final Comm. Sig.'!$D$96</definedName>
    <definedName name="fcsTeamVerifierRole5">'Final Comm. Sig.'!$D$97</definedName>
    <definedName name="fcsVerifierComments">'Final Comm. Sig.'!$C$70</definedName>
    <definedName name="fcsVerifierDate">'Final Comm. Sig.'!$C$84</definedName>
    <definedName name="fcsVerifierEmail">'Final Comm. Sig.'!$C$76</definedName>
    <definedName name="fcsVerifierEndTime">'Final Comm. Sig.'!$C$82</definedName>
    <definedName name="fcsVerifierExpectedCertificationsLevel">'Final Comm. Sig.'!$C$64</definedName>
    <definedName name="fcsVerifierName">'Final Comm. Sig.'!$C$74</definedName>
    <definedName name="fcsVerifierPhone">'Final Comm. Sig.'!$C$78</definedName>
    <definedName name="fcsVerifierServiceDisclosure">'Final Comm. Sig.'!$C$61</definedName>
    <definedName name="fcsVerifierServiceDisclosureOtherDesc">'Final Comm. Sig.'!$F$60</definedName>
    <definedName name="fcsVerifierSign">'Final Comm. Sig.'!$C$67</definedName>
    <definedName name="fcsVerifierStartTime">'Final Comm. Sig.'!$C$80</definedName>
    <definedName name="fsgBatchID">'Final Sig.'!$E$101</definedName>
    <definedName name="fsgBuilderCertificateDeliveryMethod">'Final Sig.'!$G$48</definedName>
    <definedName name="fsgBuilderCertificateSendToEntity">'Final Sig.'!$G$52</definedName>
    <definedName name="fsgBuilderComments">'Final Sig.'!$C$42</definedName>
    <definedName name="fsgBuilderDate">'Final Sig.'!$C$52</definedName>
    <definedName name="fsgBuilderEmail">'Final Sig.'!$C$48</definedName>
    <definedName name="fsgBuilderName">'Final Sig.'!$C$46</definedName>
    <definedName name="fsgBuilderPhone">'Final Sig.'!$C$50</definedName>
    <definedName name="fsgBuilderRepSignature">'Final Sig.'!$C$39</definedName>
    <definedName name="fsgBuilderSignatureRelease">'Final Sig.'!$G$39</definedName>
    <definedName name="fsgRemoveBatchAddress1">'Final Sig.'!$M$105</definedName>
    <definedName name="fsgRemoveBatchAddress10">'Final Sig.'!$M$114</definedName>
    <definedName name="fsgRemoveBatchAddress11">'Final Sig.'!$M$115</definedName>
    <definedName name="fsgRemoveBatchAddress12">'Final Sig.'!$M$116</definedName>
    <definedName name="fsgRemoveBatchAddress13">'Final Sig.'!$M$117</definedName>
    <definedName name="fsgRemoveBatchAddress14">'Final Sig.'!$M$118</definedName>
    <definedName name="fsgRemoveBatchAddress15">'Final Sig.'!$M$119</definedName>
    <definedName name="fsgRemoveBatchAddress16">'Final Sig.'!$M$120</definedName>
    <definedName name="fsgRemoveBatchAddress17">'Final Sig.'!$M$121</definedName>
    <definedName name="fsgRemoveBatchAddress18">'Final Sig.'!$M$122</definedName>
    <definedName name="fsgRemoveBatchAddress19">'Final Sig.'!$M$123</definedName>
    <definedName name="fsgRemoveBatchAddress2">'Final Sig.'!$M$106</definedName>
    <definedName name="fsgRemoveBatchAddress20">'Final Sig.'!$M$124</definedName>
    <definedName name="fsgRemoveBatchAddress3">'Final Sig.'!$M$107</definedName>
    <definedName name="fsgRemoveBatchAddress4">'Final Sig.'!$M$108</definedName>
    <definedName name="fsgRemoveBatchAddress5">'Final Sig.'!$M$109</definedName>
    <definedName name="fsgRemoveBatchAddress6">'Final Sig.'!$M$110</definedName>
    <definedName name="fsgRemoveBatchAddress7">'Final Sig.'!$M$111</definedName>
    <definedName name="fsgRemoveBatchAddress8">'Final Sig.'!$M$112</definedName>
    <definedName name="fsgRemoveBatchAddress9">'Final Sig.'!$M$113</definedName>
    <definedName name="fsgTeamVerifierElementsVerified1">'Final Sig.'!$E$93</definedName>
    <definedName name="fsgTeamVerifierElementsVerified2">'Final Sig.'!$E$94</definedName>
    <definedName name="fsgTeamVerifierElementsVerified3">'Final Sig.'!$E$95</definedName>
    <definedName name="fsgTeamVerifierElementsVerified4">'Final Sig.'!$E$96</definedName>
    <definedName name="fsgTeamVerifierElementsVerified5">'Final Sig.'!$E$97</definedName>
    <definedName name="fsgTeamVerifierInspectionDate1">'Final Sig.'!$G$93</definedName>
    <definedName name="fsgTeamVerifierInspectionDate2">'Final Sig.'!$G$94</definedName>
    <definedName name="fsgTeamVerifierInspectionDate3">'Final Sig.'!$G$95</definedName>
    <definedName name="fsgTeamVerifierInspectionDate4">'Final Sig.'!$G$96</definedName>
    <definedName name="fsgTeamVerifierInspectionDate5">'Final Sig.'!$G$97</definedName>
    <definedName name="fsgTeamVerifierName1">'Final Sig.'!$C$93</definedName>
    <definedName name="fsgTeamVerifierName2">'Final Sig.'!$C$94</definedName>
    <definedName name="fsgTeamVerifierName3">'Final Sig.'!$C$95</definedName>
    <definedName name="fsgTeamVerifierName4">'Final Sig.'!$C$96</definedName>
    <definedName name="fsgTeamVerifierName5">'Final Sig.'!$C$97</definedName>
    <definedName name="fsgTeamVerifierRole1">'Final Sig.'!$D$93</definedName>
    <definedName name="fsgTeamVerifierRole2">'Final Sig.'!$D$94</definedName>
    <definedName name="fsgTeamVerifierRole3">'Final Sig.'!$D$95</definedName>
    <definedName name="fsgTeamVerifierRole4">'Final Sig.'!$D$96</definedName>
    <definedName name="fsgTeamVerifierRole5">'Final Sig.'!$D$97</definedName>
    <definedName name="fsgVerifierComments">'Final Sig.'!$C$70</definedName>
    <definedName name="fsgVerifierDate">'Final Sig.'!$C$84</definedName>
    <definedName name="fsgVerifierEmail">'Final Sig.'!$C$76</definedName>
    <definedName name="fsgVerifierEndTime">'Final Sig.'!$C$82</definedName>
    <definedName name="fsgVerifierExpectedCertificationsLevel">'Final Sig.'!$C$64</definedName>
    <definedName name="fsgVerifierName">'Final Sig.'!$C$74</definedName>
    <definedName name="fsgVerifierPhone">'Final Sig.'!$C$78</definedName>
    <definedName name="fsgVerifierServiceDisclosure">'Final Sig.'!$C$61</definedName>
    <definedName name="fsgVerifierServiceDisclosureOtherDesc">'Final Sig.'!$F$60</definedName>
    <definedName name="fsgVerifierSign">'Final Sig.'!$C$67</definedName>
    <definedName name="fsgVerifierStartTime">'Final Sig.'!$C$80</definedName>
    <definedName name="GoalLevel">'Verification Report'!$L$1</definedName>
    <definedName name="hidFSMandatoryMsg" localSheetId="20">'Final Comm. Sig.'!$F$18</definedName>
    <definedName name="hidFSOverviewMsg" localSheetId="20">'Final Comm. Sig.'!$C$18</definedName>
    <definedName name="hidRSMandatoryMsg" localSheetId="18">'Rough Comm. Sig.'!$F$18</definedName>
    <definedName name="hidRSOverviewMsg" localSheetId="18">'Rough Comm. Sig.'!$C$18</definedName>
    <definedName name="hidVRCErrorsMsg">'Ver. Rpt. (Commercial)'!$X$3</definedName>
    <definedName name="hidVRCMandatoryMsg">'Ver. Rpt. (Commercial)'!$X$2</definedName>
    <definedName name="hidVRCOverviewMsg">'Ver. Rpt. (Commercial)'!$X$1</definedName>
    <definedName name="hyptarg1">'11.600'!$W$138</definedName>
    <definedName name="hyptarg2">'11.600'!$W$147</definedName>
    <definedName name="hyptarg3">'11.600'!$W$231</definedName>
    <definedName name="hyptarg3.1">'11.700'!$L$140</definedName>
    <definedName name="hyptarg4">'11.600'!$W$291</definedName>
    <definedName name="hyptarg5">'11.600'!$W$459</definedName>
    <definedName name="hyptarg6">'11.600'!$W$472</definedName>
    <definedName name="hyptarg7.1">'11.700'!$W$78</definedName>
    <definedName name="hyptarg7.2">'11.700'!$W$178</definedName>
    <definedName name="hyptarg7.3">'11.700'!$W$186</definedName>
    <definedName name="hyptarg7.4">'11.700'!$W$212</definedName>
    <definedName name="hyptarg7.5">'11.700'!$W$203</definedName>
    <definedName name="hyptarg7.6">'11.700'!$W$419</definedName>
    <definedName name="hyptarg8.1">'11.800'!$W$13</definedName>
    <definedName name="hyptarg8.2">'11.800'!$W$41</definedName>
    <definedName name="hyptarg9.1">'11.900'!$W$136</definedName>
    <definedName name="hyptarg9.2">'11.900'!$W$138</definedName>
    <definedName name="hyptarg9.3">'11.900'!$W$162</definedName>
    <definedName name="MFIntro">Formulas!$X$12</definedName>
    <definedName name="_xlnm.Print_Area" localSheetId="8">'11.1000'!$I$1:$X$222</definedName>
    <definedName name="_xlnm.Print_Area" localSheetId="3">'11.500'!$I$1:$X$308</definedName>
    <definedName name="_xlnm.Print_Area" localSheetId="4">'11.600'!$I$1:$X$585</definedName>
    <definedName name="_xlnm.Print_Area" localSheetId="20">'Final Comm. Sig.'!$A$1:$I$126</definedName>
    <definedName name="_xlnm.Print_Area" localSheetId="19">'Final Sig.'!$A$1:$I$99</definedName>
    <definedName name="_xlnm.Print_Area" localSheetId="1">'Overview (Design)'!$A$1:$U$70</definedName>
    <definedName name="_xlnm.Print_Area" localSheetId="13">'Overview (Verification)'!$A$1:$Y$68</definedName>
    <definedName name="_xlnm.Print_Area" localSheetId="9">'Req. Doc.'!$B$1:$J$6</definedName>
    <definedName name="_xlnm.Print_Area" localSheetId="18">'Rough Comm. Sig.'!$A$1:$I$148</definedName>
    <definedName name="_xlnm.Print_Area" localSheetId="17">'Rough Sig.'!$A$1:$I$100</definedName>
    <definedName name="_xlnm.Print_Area" localSheetId="15">'Ver. Rpt. (Commercial)'!$I:$W</definedName>
    <definedName name="_xlnm.Print_Area" localSheetId="14">'Verification Report'!$I:$W</definedName>
    <definedName name="rcsBuilderComments">'Rough Comm. Sig.'!$C$42</definedName>
    <definedName name="rcsBuilderDate">'Rough Comm. Sig.'!$C$52</definedName>
    <definedName name="rcsBuilderEmail">'Rough Comm. Sig.'!$C$48</definedName>
    <definedName name="rcsBuilderName">'Rough Comm. Sig.'!$C$46</definedName>
    <definedName name="rcsBuilderPhone">'Rough Comm. Sig.'!$C$50</definedName>
    <definedName name="rcsBuilderRepSignature">'Rough Comm. Sig.'!$C$39</definedName>
    <definedName name="rcsBuilderSignatureRelease">'Rough Comm. Sig.'!$G$39</definedName>
    <definedName name="rcsTeamVerifierElementsVerified1">'Rough Comm. Sig.'!$E$93</definedName>
    <definedName name="rcsTeamVerifierElementsVerified2">'Rough Comm. Sig.'!$E$94</definedName>
    <definedName name="rcsTeamVerifierElementsVerified3">'Rough Comm. Sig.'!$E$95</definedName>
    <definedName name="rcsTeamVerifierElementsVerified4">'Rough Comm. Sig.'!$E$96</definedName>
    <definedName name="rcsTeamVerifierElementsVerified5">'Rough Comm. Sig.'!$E$97</definedName>
    <definedName name="rcsTeamVerifierInspectionDate1">'Rough Comm. Sig.'!$G$93</definedName>
    <definedName name="rcsTeamVerifierInspectionDate2">'Rough Comm. Sig.'!$G$94</definedName>
    <definedName name="rcsTeamVerifierInspectionDate3">'Rough Comm. Sig.'!$G$95</definedName>
    <definedName name="rcsTeamVerifierInspectionDate4">'Rough Comm. Sig.'!$G$96</definedName>
    <definedName name="rcsTeamVerifierInspectionDate5">'Rough Comm. Sig.'!$G$97</definedName>
    <definedName name="rcsTeamVerifierName1">'Rough Comm. Sig.'!$C$93</definedName>
    <definedName name="rcsTeamVerifierName2">'Rough Comm. Sig.'!$C$94</definedName>
    <definedName name="rcsTeamVerifierName3">'Rough Comm. Sig.'!$C$95</definedName>
    <definedName name="rcsTeamVerifierName4">'Rough Comm. Sig.'!$C$96</definedName>
    <definedName name="rcsTeamVerifierName5">'Rough Comm. Sig.'!$C$97</definedName>
    <definedName name="rcsTeamVerifierRole1">'Rough Comm. Sig.'!$D$93</definedName>
    <definedName name="rcsTeamVerifierRole2">'Rough Comm. Sig.'!$D$94</definedName>
    <definedName name="rcsTeamVerifierRole3">'Rough Comm. Sig.'!$D$95</definedName>
    <definedName name="rcsTeamVerifierRole4">'Rough Comm. Sig.'!$D$96</definedName>
    <definedName name="rcsTeamVerifierRole5">'Rough Comm. Sig.'!$D$97</definedName>
    <definedName name="rcsVerifierComments">'Rough Comm. Sig.'!$C$70</definedName>
    <definedName name="rcsVerifierDate">'Rough Comm. Sig.'!$C$84</definedName>
    <definedName name="rcsVerifierEmail">'Rough Comm. Sig.'!$C$76</definedName>
    <definedName name="rcsVerifierEndTime">'Rough Comm. Sig.'!$C$82</definedName>
    <definedName name="rcsVerifierName">'Rough Comm. Sig.'!$C$74</definedName>
    <definedName name="rcsVerifierPhone">'Rough Comm. Sig.'!$C$78</definedName>
    <definedName name="rcsVerifierSign">'Rough Comm. Sig.'!$C$67</definedName>
    <definedName name="rcsVerifierStartTime">'Rough Comm. Sig.'!$C$80</definedName>
    <definedName name="ReportType" localSheetId="15">'Ver. Rpt. (Commercial)'!$L$5</definedName>
    <definedName name="ReportType" localSheetId="14">'Verification Report'!$L$5</definedName>
    <definedName name="ReportTypeComm">'Ver. Rpt. (Commercial)'!$L$5</definedName>
    <definedName name="ReportTypeRes">'Verification Report'!$L$5</definedName>
    <definedName name="rsgBatchSubmissiongInspectionDate1">'Rough Sig.'!$H$105</definedName>
    <definedName name="rsgBatchSubmissiongInspectionDate10">'Rough Sig.'!$H$114</definedName>
    <definedName name="rsgBatchSubmissiongInspectionDate11">'Rough Sig.'!$H$115</definedName>
    <definedName name="rsgBatchSubmissiongInspectionDate12">'Rough Sig.'!$H$116</definedName>
    <definedName name="rsgBatchSubmissiongInspectionDate13">'Rough Sig.'!$H$117</definedName>
    <definedName name="rsgBatchSubmissiongInspectionDate14">'Rough Sig.'!$H$118</definedName>
    <definedName name="rsgBatchSubmissiongInspectionDate15">'Rough Sig.'!$H$119</definedName>
    <definedName name="rsgBatchSubmissiongInspectionDate16">'Rough Sig.'!$H$120</definedName>
    <definedName name="rsgBatchSubmissiongInspectionDate17">'Rough Sig.'!$H$121</definedName>
    <definedName name="rsgBatchSubmissiongInspectionDate18">'Rough Sig.'!$H$122</definedName>
    <definedName name="rsgBatchSubmissiongInspectionDate19">'Rough Sig.'!$H$123</definedName>
    <definedName name="rsgBatchSubmissiongInspectionDate2">'Rough Sig.'!$H$106</definedName>
    <definedName name="rsgBatchSubmissiongInspectionDate20">'Rough Sig.'!$H$124</definedName>
    <definedName name="rsgBatchSubmissiongInspectionDate3">'Rough Sig.'!$H$107</definedName>
    <definedName name="rsgBatchSubmissiongInspectionDate4">'Rough Sig.'!$H$108</definedName>
    <definedName name="rsgBatchSubmissiongInspectionDate5">'Rough Sig.'!$H$109</definedName>
    <definedName name="rsgBatchSubmissiongInspectionDate6">'Rough Sig.'!$H$110</definedName>
    <definedName name="rsgBatchSubmissiongInspectionDate7">'Rough Sig.'!$H$111</definedName>
    <definedName name="rsgBatchSubmissiongInspectionDate8">'Rough Sig.'!$H$112</definedName>
    <definedName name="rsgBatchSubmissiongInspectionDate9">'Rough Sig.'!$H$113</definedName>
    <definedName name="rsgBatchSubmissiongProjectID1">'Rough Sig.'!$G$105</definedName>
    <definedName name="rsgBatchSubmissiongProjectID10">'Rough Sig.'!$G$114</definedName>
    <definedName name="rsgBatchSubmissiongProjectID11">'Rough Sig.'!$G$115</definedName>
    <definedName name="rsgBatchSubmissiongProjectID12">'Rough Sig.'!$G$116</definedName>
    <definedName name="rsgBatchSubmissiongProjectID13">'Rough Sig.'!$G$117</definedName>
    <definedName name="rsgBatchSubmissiongProjectID14">'Rough Sig.'!$G$118</definedName>
    <definedName name="rsgBatchSubmissiongProjectID15">'Rough Sig.'!$G$119</definedName>
    <definedName name="rsgBatchSubmissiongProjectID16">'Rough Sig.'!$G$120</definedName>
    <definedName name="rsgBatchSubmissiongProjectID17">'Rough Sig.'!$G$121</definedName>
    <definedName name="rsgBatchSubmissiongProjectID18">'Rough Sig.'!$G$122</definedName>
    <definedName name="rsgBatchSubmissiongProjectID19">'Rough Sig.'!$G$123</definedName>
    <definedName name="rsgBatchSubmissiongProjectID2">'Rough Sig.'!$G$106</definedName>
    <definedName name="rsgBatchSubmissiongProjectID20">'Rough Sig.'!$G$124</definedName>
    <definedName name="rsgBatchSubmissiongProjectID3">'Rough Sig.'!$G$107</definedName>
    <definedName name="rsgBatchSubmissiongProjectID4">'Rough Sig.'!$G$108</definedName>
    <definedName name="rsgBatchSubmissiongProjectID5">'Rough Sig.'!$G$109</definedName>
    <definedName name="rsgBatchSubmissiongProjectID6">'Rough Sig.'!$G$110</definedName>
    <definedName name="rsgBatchSubmissiongProjectID7">'Rough Sig.'!$G$111</definedName>
    <definedName name="rsgBatchSubmissiongProjectID8">'Rough Sig.'!$G$112</definedName>
    <definedName name="rsgBatchSubmissiongProjectID9">'Rough Sig.'!$G$113</definedName>
    <definedName name="rsgBatchSubmissiongRoughAddress1">'Rough Sig.'!$C$105</definedName>
    <definedName name="rsgBatchSubmissiongRoughAddress10">'Rough Sig.'!$C$114</definedName>
    <definedName name="rsgBatchSubmissiongRoughAddress11">'Rough Sig.'!$C$115</definedName>
    <definedName name="rsgBatchSubmissiongRoughAddress12">'Rough Sig.'!$C$116</definedName>
    <definedName name="rsgBatchSubmissiongRoughAddress13">'Rough Sig.'!$C$117</definedName>
    <definedName name="rsgBatchSubmissiongRoughAddress14">'Rough Sig.'!$C$118</definedName>
    <definedName name="rsgBatchSubmissiongRoughAddress15">'Rough Sig.'!$C$119</definedName>
    <definedName name="rsgBatchSubmissiongRoughAddress16">'Rough Sig.'!$C$120</definedName>
    <definedName name="rsgBatchSubmissiongRoughAddress17">'Rough Sig.'!$C$121</definedName>
    <definedName name="rsgBatchSubmissiongRoughAddress18">'Rough Sig.'!$C$122</definedName>
    <definedName name="rsgBatchSubmissiongRoughAddress19">'Rough Sig.'!$C$123</definedName>
    <definedName name="rsgBatchSubmissiongRoughAddress2">'Rough Sig.'!$C$106</definedName>
    <definedName name="rsgBatchSubmissiongRoughAddress20">'Rough Sig.'!$C$124</definedName>
    <definedName name="rsgBatchSubmissiongRoughAddress3">'Rough Sig.'!$C$107</definedName>
    <definedName name="rsgBatchSubmissiongRoughAddress4">'Rough Sig.'!$C$108</definedName>
    <definedName name="rsgBatchSubmissiongRoughAddress5">'Rough Sig.'!$C$109</definedName>
    <definedName name="rsgBatchSubmissiongRoughAddress6">'Rough Sig.'!$C$110</definedName>
    <definedName name="rsgBatchSubmissiongRoughAddress7">'Rough Sig.'!$C$111</definedName>
    <definedName name="rsgBatchSubmissiongRoughAddress8">'Rough Sig.'!$C$112</definedName>
    <definedName name="rsgBatchSubmissiongRoughAddress9">'Rough Sig.'!$C$113</definedName>
    <definedName name="rsgBuilderComments">'Rough Sig.'!$C$42</definedName>
    <definedName name="rsgBuilderDate">'Rough Sig.'!$C$52</definedName>
    <definedName name="rsgBuilderEmail">'Rough Sig.'!$C$48</definedName>
    <definedName name="rsgBuilderName">'Rough Sig.'!$C$46</definedName>
    <definedName name="rsgBuilderPhone">'Rough Sig.'!$C$50</definedName>
    <definedName name="rsgBuilderRepSignature">'Rough Sig.'!$C$39</definedName>
    <definedName name="rsgBuilderSignatureRelease">'Rough Sig.'!$G$39</definedName>
    <definedName name="rsgTeamVerifierElementsVerified1">'Rough Sig.'!$E$93</definedName>
    <definedName name="rsgTeamVerifierElementsVerified2">'Rough Sig.'!$E$94</definedName>
    <definedName name="rsgTeamVerifierElementsVerified3">'Rough Sig.'!$E$95</definedName>
    <definedName name="rsgTeamVerifierElementsVerified4">'Rough Sig.'!$E$96</definedName>
    <definedName name="rsgTeamVerifierElementsVerified5">'Rough Sig.'!$E$97</definedName>
    <definedName name="rsgTeamVerifierInspectionDate1">'Rough Sig.'!$G$93</definedName>
    <definedName name="rsgTeamVerifierInspectionDate2">'Rough Sig.'!$G$94</definedName>
    <definedName name="rsgTeamVerifierInspectionDate3">'Rough Sig.'!$G$95</definedName>
    <definedName name="rsgTeamVerifierInspectionDate4">'Rough Sig.'!$G$96</definedName>
    <definedName name="rsgTeamVerifierInspectionDate5">'Rough Sig.'!$G$97</definedName>
    <definedName name="rsgTeamVerifierName1">'Rough Sig.'!$C$93</definedName>
    <definedName name="rsgTeamVerifierName2">'Rough Sig.'!$C$94</definedName>
    <definedName name="rsgTeamVerifierName3">'Rough Sig.'!$C$95</definedName>
    <definedName name="rsgTeamVerifierName4">'Rough Sig.'!$C$96</definedName>
    <definedName name="rsgTeamVerifierName5">'Rough Sig.'!$C$97</definedName>
    <definedName name="rsgTeamVerifierRole1">'Rough Sig.'!$D$93</definedName>
    <definedName name="rsgTeamVerifierRole2">'Rough Sig.'!$D$94</definedName>
    <definedName name="rsgTeamVerifierRole3">'Rough Sig.'!$D$95</definedName>
    <definedName name="rsgTeamVerifierRole4">'Rough Sig.'!$D$96</definedName>
    <definedName name="rsgTeamVerifierRole5">'Rough Sig.'!$D$97</definedName>
    <definedName name="rsgVerifierComments">'Rough Sig.'!$C$70</definedName>
    <definedName name="rsgVerifierDate">'Rough Sig.'!$C$84</definedName>
    <definedName name="rsgVerifierEmail">'Rough Sig.'!$C$76</definedName>
    <definedName name="rsgVerifierEndTime">'Rough Sig.'!$C$82</definedName>
    <definedName name="rsgVerifierName">'Rough Sig.'!$C$74</definedName>
    <definedName name="rsgVerifierPhone">'Rough Sig.'!$C$78</definedName>
    <definedName name="rsgVerifierSign">'Rough Sig.'!$C$67</definedName>
    <definedName name="rsgVerifierStartTime">'Rough Sig.'!$C$80</definedName>
    <definedName name="SFIntro">Formulas!$X$6</definedName>
    <definedName name="startError">Points!$B$3</definedName>
    <definedName name="TorF">Dropdowns!$B$5:$B$6</definedName>
    <definedName name="vcc13_102_1">'Ver. Rpt. (Commercial)'!$AQ$13</definedName>
    <definedName name="vcc13_103_1_1">'Ver. Rpt. (Commercial)'!$AQ$28</definedName>
    <definedName name="vcc13_103_1_1_1">'Ver. Rpt. (Commercial)'!$AQ$31</definedName>
    <definedName name="vcc13_103_1_1_2">'Ver. Rpt. (Commercial)'!$AQ$33</definedName>
    <definedName name="vcc13_103_1_1_3">'Ver. Rpt. (Commercial)'!$AQ$35</definedName>
    <definedName name="vcc13_103_1_2">'Ver. Rpt. (Commercial)'!$AQ$38</definedName>
    <definedName name="vcc13_104_1_1">'Ver. Rpt. (Commercial)'!$AQ$43</definedName>
    <definedName name="vcc13_104_1_2">'Ver. Rpt. (Commercial)'!$AQ$46</definedName>
    <definedName name="vcc13_104_1_3">'Ver. Rpt. (Commercial)'!$AQ$48</definedName>
    <definedName name="vcc13_104_1_4">'Ver. Rpt. (Commercial)'!$AQ$50</definedName>
    <definedName name="vcc13_104_1_5_1">'Ver. Rpt. (Commercial)'!$AQ$59</definedName>
    <definedName name="vcc13_104_1_5_10">'Ver. Rpt. (Commercial)'!$AQ$69</definedName>
    <definedName name="vcc13_104_1_5_11">'Ver. Rpt. (Commercial)'!$AQ$70</definedName>
    <definedName name="vcc13_104_1_5_12">'Ver. Rpt. (Commercial)'!$AQ$72</definedName>
    <definedName name="vcc13_104_1_5_2">'Ver. Rpt. (Commercial)'!$AQ$60</definedName>
    <definedName name="vcc13_104_1_5_3">'Ver. Rpt. (Commercial)'!$AQ$61</definedName>
    <definedName name="vcc13_104_1_5_4">'Ver. Rpt. (Commercial)'!$AQ$62</definedName>
    <definedName name="vcc13_104_1_5_5">'Ver. Rpt. (Commercial)'!$AQ$64</definedName>
    <definedName name="vcc13_104_1_5_6">'Ver. Rpt. (Commercial)'!$AQ$65</definedName>
    <definedName name="vcc13_104_1_5_7">'Ver. Rpt. (Commercial)'!$AQ$66</definedName>
    <definedName name="vcc13_104_1_5_8">'Ver. Rpt. (Commercial)'!$AQ$67</definedName>
    <definedName name="vcc13_104_1_5_9">'Ver. Rpt. (Commercial)'!$AQ$68</definedName>
    <definedName name="vcc13_104_1_6">'Ver. Rpt. (Commercial)'!$AQ$73</definedName>
    <definedName name="vcc13_104_1_7">'Ver. Rpt. (Commercial)'!$AQ$76</definedName>
    <definedName name="vcc13_104_1_8_1">'Ver. Rpt. (Commercial)'!$AQ$82</definedName>
    <definedName name="vcc13_104_1_8_2">'Ver. Rpt. (Commercial)'!$AQ$84</definedName>
    <definedName name="vcc13_104_1_8_3">'Ver. Rpt. (Commercial)'!$AQ$86</definedName>
    <definedName name="vcc13_104_1_9_1">'Ver. Rpt. (Commercial)'!$AQ$89</definedName>
    <definedName name="vcc13_104_1_9_2">'Ver. Rpt. (Commercial)'!$AQ$91</definedName>
    <definedName name="vcc13_104_2">'Ver. Rpt. (Commercial)'!$AQ$93</definedName>
    <definedName name="vcc13_104_3">'Ver. Rpt. (Commercial)'!$AQ$95</definedName>
    <definedName name="vcc13_104_4">'Ver. Rpt. (Commercial)'!$AQ$260</definedName>
    <definedName name="vcc13_105_1">'Ver. Rpt. (Commercial)'!$AQ$264</definedName>
    <definedName name="vcc13_105_1_1">'Ver. Rpt. (Commercial)'!$AQ$274</definedName>
    <definedName name="vcc13_105_10">'Ver. Rpt. (Commercial)'!$AQ$324</definedName>
    <definedName name="vcc13_105_11">'Ver. Rpt. (Commercial)'!$AQ$326</definedName>
    <definedName name="vcc13_105_11_1">'Ver. Rpt. (Commercial)'!$AQ$332</definedName>
    <definedName name="vcc13_105_11_2">'Ver. Rpt. (Commercial)'!$AQ$339</definedName>
    <definedName name="vcc13_105_11_3">'Ver. Rpt. (Commercial)'!$AQ$344</definedName>
    <definedName name="vcc13_105_12">'Ver. Rpt. (Commercial)'!$AQ$347</definedName>
    <definedName name="vcc13_105_2">'Ver. Rpt. (Commercial)'!$AQ$278</definedName>
    <definedName name="vcc13_105_3_1">'Ver. Rpt. (Commercial)'!$AQ$286</definedName>
    <definedName name="vcc13_105_3_1_">'Ver. Rpt. (Commercial)'!$AQ$298</definedName>
    <definedName name="vcc13_105_3_10">'Ver. Rpt. (Commercial)'!$AQ$295</definedName>
    <definedName name="vcc13_105_3_11">'Ver. Rpt. (Commercial)'!$AQ$296</definedName>
    <definedName name="vcc13_105_3_12">'Ver. Rpt. (Commercial)'!$AQ$297</definedName>
    <definedName name="vcc13_105_3_2">'Ver. Rpt. (Commercial)'!$AQ$287</definedName>
    <definedName name="vcc13_105_3_3">'Ver. Rpt. (Commercial)'!$AQ$288</definedName>
    <definedName name="vcc13_105_3_4">'Ver. Rpt. (Commercial)'!$AQ$289</definedName>
    <definedName name="vcc13_105_3_5">'Ver. Rpt. (Commercial)'!$AQ$290</definedName>
    <definedName name="vcc13_105_3_6">'Ver. Rpt. (Commercial)'!$AQ$291</definedName>
    <definedName name="vcc13_105_3_7">'Ver. Rpt. (Commercial)'!$AQ$292</definedName>
    <definedName name="vcc13_105_3_8">'Ver. Rpt. (Commercial)'!$AQ$293</definedName>
    <definedName name="vcc13_105_3_9">'Ver. Rpt. (Commercial)'!$AQ$294</definedName>
    <definedName name="vcc13_105_4">'Ver. Rpt. (Commercial)'!$AQ$301</definedName>
    <definedName name="vcc13_105_5">'Ver. Rpt. (Commercial)'!$AQ$304</definedName>
    <definedName name="vcc13_105_6">'Ver. Rpt. (Commercial)'!$AQ$308</definedName>
    <definedName name="vcc13_105_7">'Ver. Rpt. (Commercial)'!$AQ$311</definedName>
    <definedName name="vcc13_105_8_1">'Ver. Rpt. (Commercial)'!$AQ$315</definedName>
    <definedName name="vcc13_105_9">'Ver. Rpt. (Commercial)'!$AQ$317</definedName>
    <definedName name="vcc13_106_1">'Ver. Rpt. (Commercial)'!$AQ$357</definedName>
    <definedName name="vcc13_106_2">'Ver. Rpt. (Commercial)'!$AQ$366</definedName>
    <definedName name="vcc13_106_3_1">'Ver. Rpt. (Commercial)'!$AQ$371</definedName>
    <definedName name="vcc13_106_3_2">'Ver. Rpt. (Commercial)'!$AQ$373</definedName>
    <definedName name="vcc13_106_3_3">'Ver. Rpt. (Commercial)'!$AQ$375</definedName>
    <definedName name="vcc13_106_3_4">'Ver. Rpt. (Commercial)'!$AQ$377</definedName>
    <definedName name="vcc13_106_4_1">'Ver. Rpt. (Commercial)'!$AQ$380</definedName>
    <definedName name="vcc13_106_4_2">'Ver. Rpt. (Commercial)'!$AQ$384</definedName>
    <definedName name="vcc13_106_4_3">'Ver. Rpt. (Commercial)'!$AQ$391</definedName>
    <definedName name="vcc13_106_4_4">'Ver. Rpt. (Commercial)'!$AQ$394</definedName>
    <definedName name="vcc13_106_5_1">'Ver. Rpt. (Commercial)'!$AQ$398</definedName>
    <definedName name="vcc13_106_5_2">'Ver. Rpt. (Commercial)'!$AQ$402</definedName>
    <definedName name="vcc13_106_5_3">'Ver. Rpt. (Commercial)'!$AQ$405</definedName>
    <definedName name="vcc13_106_6">'Ver. Rpt. (Commercial)'!$AQ$408</definedName>
    <definedName name="vcc13_107_1">'Ver. Rpt. (Commercial)'!$AQ$412</definedName>
    <definedName name="vcc13_107_1_1">'Ver. Rpt. (Commercial)'!$AQ$414</definedName>
    <definedName name="vcc13_107_2_1">'Ver. Rpt. (Commercial)'!$AQ$419</definedName>
    <definedName name="vcc13_107_2_2">'Ver. Rpt. (Commercial)'!$AQ$420</definedName>
    <definedName name="vcc13_107_4">'Ver. Rpt. (Commercial)'!$AQ$516</definedName>
    <definedName name="vcc13_107_4_1">'Ver. Rpt. (Commercial)'!$AQ$520</definedName>
    <definedName name="vcc13_107_4_2">'Ver. Rpt. (Commercial)'!$AQ$525</definedName>
    <definedName name="vcc13_107_4_2_1">'Ver. Rpt. (Commercial)'!$AQ$528</definedName>
    <definedName name="vcc13_107_4_2_2">'Ver. Rpt. (Commercial)'!$AQ$531</definedName>
    <definedName name="vcc13_107_4_2_3">'Ver. Rpt. (Commercial)'!$AQ$533</definedName>
    <definedName name="vcc13_107_4_3">'Ver. Rpt. (Commercial)'!$AQ$535</definedName>
    <definedName name="vcc13_107_4_4">'Ver. Rpt. (Commercial)'!$AQ$539</definedName>
    <definedName name="vcc13_107_4_5">'Ver. Rpt. (Commercial)'!$AQ$543</definedName>
    <definedName name="vcc13_107_5">'Ver. Rpt. (Commercial)'!$AQ$545</definedName>
    <definedName name="vcc13_107_6_1">'Ver. Rpt. (Commercial)'!$AQ$548</definedName>
    <definedName name="vcc13_107_6_2">'Ver. Rpt. (Commercial)'!$AQ$550</definedName>
    <definedName name="vcc13_107_7">'Ver. Rpt. (Commercial)'!$AQ$552</definedName>
    <definedName name="vcc13_107_8_1">'Ver. Rpt. (Commercial)'!$AQ$555</definedName>
    <definedName name="vcc13_107_8_2">'Ver. Rpt. (Commercial)'!$AQ$557</definedName>
    <definedName name="vcc13_108_1">'Ver. Rpt. (Commercial)'!$AQ$630</definedName>
    <definedName name="vcc13_108_2">'Ver. Rpt. (Commercial)'!$AQ$643</definedName>
    <definedName name="vcc603_2">'Ver. Rpt. (Commercial)'!$AQ$224</definedName>
    <definedName name="vcc604_1a">'Ver. Rpt. (Commercial)'!$AQ$253</definedName>
    <definedName name="vcc604_1b">'Ver. Rpt. (Commercial)'!$AQ$255</definedName>
    <definedName name="vcc604_1c">'Ver. Rpt. (Commercial)'!$AQ$257</definedName>
    <definedName name="vcc604_1d">'Ver. Rpt. (Commercial)'!$AQ$259</definedName>
    <definedName name="vcc606_1_a">'Ver. Rpt. (Commercial)'!$AQ$100</definedName>
    <definedName name="vcc606_1_b">'Ver. Rpt. (Commercial)'!$AQ$101</definedName>
    <definedName name="vcc606_1_c">'Ver. Rpt. (Commercial)'!$AQ$102</definedName>
    <definedName name="vcc606_1_d">'Ver. Rpt. (Commercial)'!$AQ$103</definedName>
    <definedName name="vcc606_1_e">'Ver. Rpt. (Commercial)'!$AQ$104</definedName>
    <definedName name="vcc606_1_f">'Ver. Rpt. (Commercial)'!$AQ$105</definedName>
    <definedName name="vcc606_1_g">'Ver. Rpt. (Commercial)'!$AQ$106</definedName>
    <definedName name="vcc606_1_h">'Ver. Rpt. (Commercial)'!$AQ$107</definedName>
    <definedName name="vcc606_2_1a">'Ver. Rpt. (Commercial)'!$AQ$131</definedName>
    <definedName name="vcc606_2_1b">'Ver. Rpt. (Commercial)'!$AQ$132</definedName>
    <definedName name="vcc606_2_2a">'Ver. Rpt. (Commercial)'!$AQ$134</definedName>
    <definedName name="vcc606_2_2b">'Ver. Rpt. (Commercial)'!$AQ$135</definedName>
    <definedName name="vcc606_3">'Ver. Rpt. (Commercial)'!$AQ$137</definedName>
    <definedName name="vcc608_1">'Ver. Rpt. (Commercial)'!$AQ$143</definedName>
    <definedName name="vcc609_1a">'Ver. Rpt. (Commercial)'!$AQ$152</definedName>
    <definedName name="vcc609_1b">'Ver. Rpt. (Commercial)'!$AQ$155</definedName>
    <definedName name="vcc610_1_2_1a">'Ver. Rpt. (Commercial)'!$AQ$164</definedName>
    <definedName name="vcc610_1_2_1b">'Ver. Rpt. (Commercial)'!$AQ$171</definedName>
    <definedName name="vcc610_1_2_2_f">'Ver. Rpt. (Commercial)'!$AQ$195</definedName>
    <definedName name="vcc610_1_2_2a">'Ver. Rpt. (Commercial)'!$AQ$177</definedName>
    <definedName name="vcc610_1_2_2b">'Ver. Rpt. (Commercial)'!$AQ$183</definedName>
    <definedName name="vcc610_1_2_2c">'Ver. Rpt. (Commercial)'!$AQ$189</definedName>
    <definedName name="vcc611_1_1">'Ver. Rpt. (Commercial)'!$AQ$237</definedName>
    <definedName name="vcc611_1_2">'Ver. Rpt. (Commercial)'!$AQ$247</definedName>
    <definedName name="vcc612_1">'Ver. Rpt. (Commercial)'!$AQ$200</definedName>
    <definedName name="vcc612_2_1">'Ver. Rpt. (Commercial)'!$AQ$211</definedName>
    <definedName name="vcc612_2_2">'Ver. Rpt. (Commercial)'!$AQ$212</definedName>
    <definedName name="vcc612_2_3">'Ver. Rpt. (Commercial)'!$AQ$214</definedName>
    <definedName name="vcc612_2_4">'Ver. Rpt. (Commercial)'!$AQ$216</definedName>
    <definedName name="vcc612_2_5">'Ver. Rpt. (Commercial)'!$AQ$218</definedName>
    <definedName name="vcc612_2_6">'Ver. Rpt. (Commercial)'!$AQ$220</definedName>
    <definedName name="vcc612_2_7">'Ver. Rpt. (Commercial)'!$AQ$222</definedName>
    <definedName name="vcc901_10_1">'Ver. Rpt. (Commercial)'!$AQ$501</definedName>
    <definedName name="vcc901_10_2">'Ver. Rpt. (Commercial)'!$AQ$506</definedName>
    <definedName name="vcc901_10_3">'Ver. Rpt. (Commercial)'!$AQ$507</definedName>
    <definedName name="vcc901_11">'Ver. Rpt. (Commercial)'!$AQ$511</definedName>
    <definedName name="vcc901_4_1">'Ver. Rpt. (Commercial)'!$AQ$426</definedName>
    <definedName name="vcc901_4_a">'Ver. Rpt. (Commercial)'!$AQ$431</definedName>
    <definedName name="vcc901_4_b">'Ver. Rpt. (Commercial)'!$AQ$432</definedName>
    <definedName name="vcc901_4_c">'Ver. Rpt. (Commercial)'!$AQ$433</definedName>
    <definedName name="vcc901_4_d">'Ver. Rpt. (Commercial)'!$AQ$434</definedName>
    <definedName name="vcc901_5_1">'Ver. Rpt. (Commercial)'!$AQ$445</definedName>
    <definedName name="vcc901_5_2">'Ver. Rpt. (Commercial)'!$AQ$447</definedName>
    <definedName name="vcc901_7_1">'Ver. Rpt. (Commercial)'!$AQ$457</definedName>
    <definedName name="vcc901_7_2">'Ver. Rpt. (Commercial)'!$AQ$467</definedName>
    <definedName name="vcc901_7_3">'Ver. Rpt. (Commercial)'!$AQ$468</definedName>
    <definedName name="vcc901_8">'Ver. Rpt. (Commercial)'!$AQ$471</definedName>
    <definedName name="vcc901_9_1_1">'Ver. Rpt. (Commercial)'!$AQ$482</definedName>
    <definedName name="vcc901_9_1_2">'Ver. Rpt. (Commercial)'!$AQ$484</definedName>
    <definedName name="vcc901_9_1_3">'Ver. Rpt. (Commercial)'!$AQ$485</definedName>
    <definedName name="vcc901_9_2">'Ver. Rpt. (Commercial)'!$AQ$487</definedName>
    <definedName name="vcc901_9_3">'Ver. Rpt. (Commercial)'!$AQ$492</definedName>
    <definedName name="vcc902_3">'Ver. Rpt. (Commercial)'!$AQ$561</definedName>
    <definedName name="vcc902_3_1">'Ver. Rpt. (Commercial)'!$AQ$564</definedName>
    <definedName name="vcc902_3_1_">'Ver. Rpt. (Commercial)'!$AQ$567</definedName>
    <definedName name="vcc902_3_2">'Ver. Rpt. (Commercial)'!$AQ$605</definedName>
    <definedName name="vcc902_3_2_1">'Ver. Rpt. (Commercial)'!$AQ$607</definedName>
    <definedName name="vch1001_1_1">'Verification Report'!$AQ$2262</definedName>
    <definedName name="vch1001_1_10">'Verification Report'!$AQ$2277</definedName>
    <definedName name="vch1001_1_11">'Verification Report'!$AQ$2278</definedName>
    <definedName name="vch1001_1_12">'Verification Report'!$AQ$2279</definedName>
    <definedName name="vch1001_1_13">'Verification Report'!$AQ$2285</definedName>
    <definedName name="vch1001_1_14">'Verification Report'!$AQ$2289</definedName>
    <definedName name="vch1001_1_15">'Verification Report'!$AQ$2291</definedName>
    <definedName name="vch1001_1_16">'Verification Report'!$AQ$2293</definedName>
    <definedName name="vch1001_1_17">'Verification Report'!$AQ$2294</definedName>
    <definedName name="vch1001_1_18">'Verification Report'!$AQ$2296</definedName>
    <definedName name="vch1001_1_19">'Verification Report'!$AQ$2298</definedName>
    <definedName name="vch1001_1_2">'Verification Report'!$AQ$2263</definedName>
    <definedName name="vch1001_1_20">'Verification Report'!$AQ$2299</definedName>
    <definedName name="vch1001_1_21">'Verification Report'!$AQ$2301</definedName>
    <definedName name="vch1001_1_22">'Verification Report'!$AQ$2303</definedName>
    <definedName name="vch1001_1_23">'Verification Report'!$AQ$2305</definedName>
    <definedName name="vch1001_1_24">'Verification Report'!$AQ$2307</definedName>
    <definedName name="vch1001_1_25">'Verification Report'!$AQ$2308</definedName>
    <definedName name="vch1001_1_3">'Verification Report'!$AQ$2264</definedName>
    <definedName name="vch1001_1_4">'Verification Report'!$AQ$2268</definedName>
    <definedName name="vch1001_1_5">'Verification Report'!$AQ$2269</definedName>
    <definedName name="vch1001_1_6">'Verification Report'!$AQ$2270</definedName>
    <definedName name="vch1001_1_7">'Verification Report'!$AQ$2272</definedName>
    <definedName name="vch1001_1_8">'Verification Report'!$AQ$2274</definedName>
    <definedName name="vch1001_1_9">'Verification Report'!$AQ$2275</definedName>
    <definedName name="vch1001_2">'Verification Report'!$AQ$2309</definedName>
    <definedName name="vch1002_1_1">'Verification Report'!$AQ$2331</definedName>
    <definedName name="vch1002_1_2">'Verification Report'!$AQ$2334</definedName>
    <definedName name="vch1002_1_3">'Verification Report'!$AQ$2337</definedName>
    <definedName name="vch1002_1_4">'Verification Report'!$AQ$2339</definedName>
    <definedName name="vch1002_1_5">'Verification Report'!$AQ$2340</definedName>
    <definedName name="vch1002_1_6">'Verification Report'!$AQ$2342</definedName>
    <definedName name="vch1002_1_7">'Verification Report'!$AQ$2343</definedName>
    <definedName name="vch1002_1_8">'Verification Report'!$AQ$2344</definedName>
    <definedName name="vch1002_2_1">'Verification Report'!$AQ$2350</definedName>
    <definedName name="vch1002_2_10">'Verification Report'!$AQ$2368</definedName>
    <definedName name="vch1002_2_11">'Verification Report'!$AQ$2371</definedName>
    <definedName name="vch1002_2_2">'Verification Report'!$AQ$2352</definedName>
    <definedName name="vch1002_2_3">'Verification Report'!$AQ$2355</definedName>
    <definedName name="vch1002_2_4">'Verification Report'!$AQ$2357</definedName>
    <definedName name="vch1002_2_5">'Verification Report'!$AQ$2360</definedName>
    <definedName name="vch1002_2_6">'Verification Report'!$AQ$2362</definedName>
    <definedName name="vch1002_2_7">'Verification Report'!$AQ$2363</definedName>
    <definedName name="vch1002_2_8">'Verification Report'!$AQ$2365</definedName>
    <definedName name="vch1002_2_9">'Verification Report'!$AQ$2367</definedName>
    <definedName name="vch1002_3_1">'Verification Report'!$AQ$2377</definedName>
    <definedName name="vch1002_3_10">'Verification Report'!$AQ$2398</definedName>
    <definedName name="vch1002_3_11">'Verification Report'!$AQ$2399</definedName>
    <definedName name="vch1002_3_2">'Verification Report'!$AQ$2379</definedName>
    <definedName name="vch1002_3_3">'Verification Report'!$AQ$2383</definedName>
    <definedName name="vch1002_3_4">'Verification Report'!$AQ$2390</definedName>
    <definedName name="vch1002_3_5">'Verification Report'!$AQ$2392</definedName>
    <definedName name="vch1002_3_6">'Verification Report'!$AQ$2393</definedName>
    <definedName name="vch1002_3_7">'Verification Report'!$AQ$2395</definedName>
    <definedName name="vch1002_3_8">'Verification Report'!$AQ$2396</definedName>
    <definedName name="vch1002_3_9">'Verification Report'!$AQ$2397</definedName>
    <definedName name="vch1002_4">'Verification Report'!$AQ$2401</definedName>
    <definedName name="vch1002_5_1">'Verification Report'!$AQ$2416</definedName>
    <definedName name="vch1002_5_2">'Verification Report'!$AQ$2417</definedName>
    <definedName name="vch1002_5_3">'Verification Report'!$AQ$2418</definedName>
    <definedName name="vch1002_5_4">'Verification Report'!$AQ$2420</definedName>
    <definedName name="vch1002_5_5">'Verification Report'!$AQ$2421</definedName>
    <definedName name="vch1002_5_6">'Verification Report'!$AQ$2422</definedName>
    <definedName name="vch1002_5_7">'Verification Report'!$AQ$2423</definedName>
    <definedName name="vch1002_5_8">'Verification Report'!$AQ$2424</definedName>
    <definedName name="vch1002_5_9">'Verification Report'!$AQ$2425</definedName>
    <definedName name="vch1002_6_1">'Verification Report'!$AQ$2430</definedName>
    <definedName name="vch1002_6_2">'Verification Report'!$AQ$2431</definedName>
    <definedName name="vch1002_6_3">'Verification Report'!$AQ$2432</definedName>
    <definedName name="vch1002_6_4">'Verification Report'!$AQ$2433</definedName>
    <definedName name="vch1002_6_5">'Verification Report'!$AQ$2434</definedName>
    <definedName name="vch1002_6_6">'Verification Report'!$AQ$2435</definedName>
    <definedName name="vch1002_6_7">'Verification Report'!$AQ$2436</definedName>
    <definedName name="vch1003_1_1">'Verification Report'!$AQ$2442</definedName>
    <definedName name="vch1003_1_2">'Verification Report'!$AQ$2444</definedName>
    <definedName name="vch1003_1_3">'Verification Report'!$AQ$2447</definedName>
    <definedName name="vch1005_1_1">'Verification Report'!$AQ$2452</definedName>
    <definedName name="vch1005_1_2">'Verification Report'!$AQ$2455</definedName>
    <definedName name="vch305_2_5_1">'Verification Report'!$AQ$1020</definedName>
    <definedName name="vch305_2_6_1">'Verification Report'!$AQ$1613</definedName>
    <definedName name="vch501_2_1">'Verification Report'!$AQ$15</definedName>
    <definedName name="vch501_2_2">'Verification Report'!$AQ$17</definedName>
    <definedName name="vch501_2_3">'Verification Report'!$AQ$19</definedName>
    <definedName name="vch501_2_3_">'Verification Report'!$AQ$29</definedName>
    <definedName name="vch501_2_4">'Verification Report'!$AQ$34</definedName>
    <definedName name="vch501_2_5">'Verification Report'!$AQ$37</definedName>
    <definedName name="vch501_2_5_d">'Verification Report'!$AQ$42</definedName>
    <definedName name="vch501_2_6">'Verification Report'!$AQ$44</definedName>
    <definedName name="vch501_2_7">'Verification Report'!$AQ$47</definedName>
    <definedName name="vch502_1">'Verification Report'!$AQ$51</definedName>
    <definedName name="vch503_1_1">'Verification Report'!$AQ$63</definedName>
    <definedName name="vch503_1_2">'Verification Report'!$AQ$64</definedName>
    <definedName name="vch503_1_3">'Verification Report'!$AQ$66</definedName>
    <definedName name="vch503_1_4">'Verification Report'!$AQ$68</definedName>
    <definedName name="vch503_1_5">'Verification Report'!$AQ$70</definedName>
    <definedName name="vch503_1_6">'Verification Report'!$AQ$71</definedName>
    <definedName name="vch503_1_7">'Verification Report'!$AQ$73</definedName>
    <definedName name="vch503_1_8">'Verification Report'!$AQ$75</definedName>
    <definedName name="vch503_2">'Verification Report'!$AQ$81</definedName>
    <definedName name="vch503_2_1">'Verification Report'!$AQ$82</definedName>
    <definedName name="vch503_2_2">'Verification Report'!$AQ$83</definedName>
    <definedName name="vch503_2_3">'Verification Report'!$AQ$85</definedName>
    <definedName name="vch503_2_4">'Verification Report'!$AQ$90</definedName>
    <definedName name="vch503_2_5">'Verification Report'!$AQ$92</definedName>
    <definedName name="vch503_3_1">'Verification Report'!$AQ$96</definedName>
    <definedName name="vch503_3_2_a">'Verification Report'!$AQ$99</definedName>
    <definedName name="vch503_3_2_b">'Verification Report'!$AQ$100</definedName>
    <definedName name="vch503_3_2_c">'Verification Report'!$AQ$102</definedName>
    <definedName name="vch503_3_2_d">'Verification Report'!$AQ$103</definedName>
    <definedName name="vch503_3_3">'Verification Report'!$AQ$104</definedName>
    <definedName name="vch503_4_1">'Verification Report'!$AQ$112</definedName>
    <definedName name="vch503_4_2">'Verification Report'!$AQ$115</definedName>
    <definedName name="vch503_4_3">'Verification Report'!$AQ$122</definedName>
    <definedName name="vch503_4_3_">'Verification Report'!$AQ$127</definedName>
    <definedName name="vch503_4_4">'Verification Report'!$AQ$129</definedName>
    <definedName name="vch503_5">'Verification Report'!$AQ$134</definedName>
    <definedName name="vch503_5_1">'Verification Report'!$AQ$136</definedName>
    <definedName name="vch503_5_10">'Verification Report'!$AQ$164</definedName>
    <definedName name="vch503_5_11">'Verification Report'!$AQ$167</definedName>
    <definedName name="vch503_5_12">'Verification Report'!$AQ$169</definedName>
    <definedName name="vch503_5_13">'Verification Report'!$AQ$171</definedName>
    <definedName name="vch503_5_2">'Verification Report'!$AQ$142</definedName>
    <definedName name="vch503_5_3">'Verification Report'!$AQ$144</definedName>
    <definedName name="vch503_5_4">'Verification Report'!$AQ$147</definedName>
    <definedName name="vch503_5_5">'Verification Report'!$AQ$149</definedName>
    <definedName name="vch503_5_6">'Verification Report'!$AQ$151</definedName>
    <definedName name="vch503_5_7">'Verification Report'!$AQ$156</definedName>
    <definedName name="vch503_5_8">'Verification Report'!$AQ$157</definedName>
    <definedName name="vch503_5_9">'Verification Report'!$AQ$162</definedName>
    <definedName name="vch503_6_1">'Verification Report'!$AQ$175</definedName>
    <definedName name="vch503_6_2">'Verification Report'!$AQ$176</definedName>
    <definedName name="vch503_6_3">'Verification Report'!$AQ$177</definedName>
    <definedName name="vch503_6_4">'Verification Report'!$AQ$179</definedName>
    <definedName name="vch503_7_1">'Verification Report'!$AQ$182</definedName>
    <definedName name="vch503_7_2">'Verification Report'!$AQ$184</definedName>
    <definedName name="vch504_1">'Verification Report'!$AQ$189</definedName>
    <definedName name="vch504_2_1">'Verification Report'!$AQ$196</definedName>
    <definedName name="vch504_2_2">'Verification Report'!$AQ$197</definedName>
    <definedName name="vch504_2_3">'Verification Report'!$AQ$199</definedName>
    <definedName name="vch504_3_1">'Verification Report'!$AQ$204</definedName>
    <definedName name="vch504_3_2">'Verification Report'!$AQ$206</definedName>
    <definedName name="vch504_3_3">'Verification Report'!$AQ$207</definedName>
    <definedName name="vch504_3_4">'Verification Report'!$AQ$209</definedName>
    <definedName name="vch504_3_5">'Verification Report'!$AQ$211</definedName>
    <definedName name="vch504_3_6">'Verification Report'!$AQ$215</definedName>
    <definedName name="vch504_3_7">'Verification Report'!$AQ$218</definedName>
    <definedName name="vch504_3_8a">'Verification Report'!$AQ$220</definedName>
    <definedName name="vch504_3_8b">'Verification Report'!$AQ$221</definedName>
    <definedName name="vch504_3_8c">'Verification Report'!$AQ$222</definedName>
    <definedName name="vch504_3_8d">'Verification Report'!$AQ$223</definedName>
    <definedName name="vch504_3_8e">'Verification Report'!$AQ$224</definedName>
    <definedName name="vch504_3_8f">'Verification Report'!$AQ$225</definedName>
    <definedName name="vch505_1_1">'Verification Report'!$AQ$233</definedName>
    <definedName name="vch505_1_2">'Verification Report'!$AQ$235</definedName>
    <definedName name="vch505_1_3">'Verification Report'!$AQ$236</definedName>
    <definedName name="vch505_10_a">'Verification Report'!$AQ$298</definedName>
    <definedName name="vch505_10_b">'Verification Report'!$AQ$300</definedName>
    <definedName name="vch505_10_c">'Verification Report'!$AQ$302</definedName>
    <definedName name="vch505_11">'Verification Report'!$AQ$304</definedName>
    <definedName name="vch505_2_1_a">'Verification Report'!$AQ$243</definedName>
    <definedName name="vch505_2_1_b">'Verification Report'!$AQ$246</definedName>
    <definedName name="vch505_2_1_c">'Verification Report'!$AQ$250</definedName>
    <definedName name="vch505_2_2">'Verification Report'!$AQ$251</definedName>
    <definedName name="vch505_3">'Verification Report'!$AQ$254</definedName>
    <definedName name="vch505_4_1">'Verification Report'!$AQ$261</definedName>
    <definedName name="vch505_5_a">'Verification Report'!$AQ$264</definedName>
    <definedName name="vch505_5_b">'Verification Report'!$AQ$266</definedName>
    <definedName name="vch505_5_c">'Verification Report'!$AQ$269</definedName>
    <definedName name="vch505_5_d">'Verification Report'!$AQ$270</definedName>
    <definedName name="vch505_6">'Verification Report'!$AQ$272</definedName>
    <definedName name="vch505_7">'Verification Report'!$AQ$282</definedName>
    <definedName name="vch505_8">'Verification Report'!$AQ$286</definedName>
    <definedName name="vch505_9_a">'Verification Report'!$AQ$289</definedName>
    <definedName name="vch505_9_b">'Verification Report'!$AQ$292</definedName>
    <definedName name="vch505_9_c">'Verification Report'!$AQ$293</definedName>
    <definedName name="vch601_2_1">'Verification Report'!$AQ$330</definedName>
    <definedName name="vch601_2_2">'Verification Report'!$AQ$333</definedName>
    <definedName name="vch601_2_3">'Verification Report'!$AQ$336</definedName>
    <definedName name="vch601_3_1">'Verification Report'!$AQ$342</definedName>
    <definedName name="vch601_3_2">'Verification Report'!$AQ$343</definedName>
    <definedName name="vch601_3_3">'Verification Report'!$AQ$344</definedName>
    <definedName name="vch601_3_4">'Verification Report'!$AQ$345</definedName>
    <definedName name="vch601_3_5">'Verification Report'!$AQ$346</definedName>
    <definedName name="vch601_4">'Verification Report'!$AQ$347</definedName>
    <definedName name="vch601_5_1">'Verification Report'!$AQ$355</definedName>
    <definedName name="vch601_5_2">'Verification Report'!$AQ$356</definedName>
    <definedName name="vch601_5_3">'Verification Report'!$AQ$357</definedName>
    <definedName name="vch601_5_4">'Verification Report'!$AQ$358</definedName>
    <definedName name="vch601_6">'Verification Report'!$AQ$360</definedName>
    <definedName name="vch601_7_a">'Verification Report'!$AQ$367</definedName>
    <definedName name="vch601_7_b">'Verification Report'!$AQ$368</definedName>
    <definedName name="vch601_7_c">'Verification Report'!$AQ$369</definedName>
    <definedName name="vch601_7_d">'Verification Report'!$AQ$373</definedName>
    <definedName name="vch601_7_e">'Verification Report'!$AQ$375</definedName>
    <definedName name="vch601_8">'Verification Report'!$AQ$383</definedName>
    <definedName name="vch602_1_1_1">'Verification Report'!$AQ$396</definedName>
    <definedName name="vch602_1_1_2">'Verification Report'!$AQ$400</definedName>
    <definedName name="vch602_1_10">'Verification Report'!$AQ$513</definedName>
    <definedName name="vch602_1_11">'Verification Report'!$AQ$525</definedName>
    <definedName name="vch602_1_12">'Verification Report'!$AQ$529</definedName>
    <definedName name="vch602_1_13">'Verification Report'!$AQ$532</definedName>
    <definedName name="vch602_1_14_1">'Verification Report'!$AQ$538</definedName>
    <definedName name="vch602_1_14_2">'Verification Report'!$AQ$540</definedName>
    <definedName name="vch602_1_14_3">'Verification Report'!$AQ$541</definedName>
    <definedName name="vch602_1_15">'Verification Report'!$AQ$542</definedName>
    <definedName name="vch602_1_2__1">'Verification Report'!$AQ$406</definedName>
    <definedName name="vch602_1_2__2">'Verification Report'!$AQ$407</definedName>
    <definedName name="vch602_1_3_1">'Verification Report'!$AQ$409</definedName>
    <definedName name="vch602_1_3_2">'Verification Report'!$AQ$412</definedName>
    <definedName name="vch602_1_4_1_1">'Verification Report'!$AQ$420</definedName>
    <definedName name="vch602_1_4_1_2">'Verification Report'!$AQ$422</definedName>
    <definedName name="vch602_1_4_2_1">'Verification Report'!$AQ$429</definedName>
    <definedName name="vch602_1_4_2_2">'Verification Report'!$AQ$431</definedName>
    <definedName name="vch602_1_5">'Verification Report'!$AQ$436</definedName>
    <definedName name="vch602_1_5_1">'Verification Report'!$AQ$437</definedName>
    <definedName name="vch602_1_5_2">'Verification Report'!$AQ$439</definedName>
    <definedName name="vch602_1_6_1">'Verification Report'!$AQ$445</definedName>
    <definedName name="vch602_1_6_2">'Verification Report'!$AQ$449</definedName>
    <definedName name="vch602_1_6_3">'Verification Report'!$AQ$453</definedName>
    <definedName name="vch602_1_7_1_1">'Verification Report'!$AQ$458</definedName>
    <definedName name="vch602_1_7_1_2">'Verification Report'!$AQ$460</definedName>
    <definedName name="vch602_1_7_1_3">'Verification Report'!$AQ$463</definedName>
    <definedName name="vch602_1_7_2">'Verification Report'!$AQ$465</definedName>
    <definedName name="vch602_1_7_3">'Verification Report'!$AQ$467</definedName>
    <definedName name="vch602_1_8">'Verification Report'!$AQ$471</definedName>
    <definedName name="vch602_1_9_1">'Verification Report'!$AQ$483</definedName>
    <definedName name="vch602_1_9_2">'Verification Report'!$AQ$495</definedName>
    <definedName name="vch602_1_9_3">'Verification Report'!$AQ$498</definedName>
    <definedName name="vch602_1_9_4">'Verification Report'!$AQ$499</definedName>
    <definedName name="vch602_1_9_5">'Verification Report'!$AQ$503</definedName>
    <definedName name="vch602_1_9_6">'Verification Report'!$AQ$509</definedName>
    <definedName name="vch602_1_9_7">'Verification Report'!$AQ$511</definedName>
    <definedName name="vch602_2_1">'Verification Report'!$AQ$549</definedName>
    <definedName name="vch602_2_2">'Verification Report'!$AQ$551</definedName>
    <definedName name="vch602_2_3">'Verification Report'!$AQ$552</definedName>
    <definedName name="vch602_3">'Verification Report'!$AQ$555</definedName>
    <definedName name="vch602_4_1">'Verification Report'!$AQ$559</definedName>
    <definedName name="vch602_4_2">'Verification Report'!$AQ$564</definedName>
    <definedName name="vch602_4_3">'Verification Report'!$AQ$566</definedName>
    <definedName name="vch603_1">'Verification Report'!$AQ$571</definedName>
    <definedName name="vch603_2">'Verification Report'!$AQ$577</definedName>
    <definedName name="vch603_3">'Verification Report'!$AQ$584</definedName>
    <definedName name="vch604_1a">'Verification Report'!$AQ$589</definedName>
    <definedName name="vch604_1b">'Verification Report'!$AQ$591</definedName>
    <definedName name="vch604_1c">'Verification Report'!$AQ$593</definedName>
    <definedName name="vch604_1d">'Verification Report'!$AQ$595</definedName>
    <definedName name="vch605_1">'Verification Report'!$AQ$598</definedName>
    <definedName name="vch605_2">'Verification Report'!$AQ$601</definedName>
    <definedName name="vch605_2_2">'Verification Report'!$AQ$614</definedName>
    <definedName name="vch605_3">'Verification Report'!$AQ$616</definedName>
    <definedName name="vch605_4_2_a">'Verification Report'!$AQ$629</definedName>
    <definedName name="vch605_4_2_b">'Verification Report'!$AQ$630</definedName>
    <definedName name="vch605_4_2_c">'Verification Report'!$AQ$631</definedName>
    <definedName name="vch605_4_2_d">'Verification Report'!$AQ$632</definedName>
    <definedName name="vch605_4_2_e">'Verification Report'!$AQ$633</definedName>
    <definedName name="vch605_4_2_f">'Verification Report'!$AQ$634</definedName>
    <definedName name="vch605_4_2_g">'Verification Report'!$AQ$635</definedName>
    <definedName name="vch605_4_2_h">'Verification Report'!$AQ$636</definedName>
    <definedName name="vch605_4_2_i">'Verification Report'!$AQ$637</definedName>
    <definedName name="vch606_1_a">'Verification Report'!$AQ$642</definedName>
    <definedName name="vch606_1_b">'Verification Report'!$AQ$643</definedName>
    <definedName name="vch606_1_c">'Verification Report'!$AQ$644</definedName>
    <definedName name="vch606_1_d">'Verification Report'!$AQ$645</definedName>
    <definedName name="vch606_1_e">'Verification Report'!$AQ$646</definedName>
    <definedName name="vch606_1_f">'Verification Report'!$AQ$647</definedName>
    <definedName name="vch606_1_g">'Verification Report'!$AQ$648</definedName>
    <definedName name="vch606_1_h">'Verification Report'!$AQ$649</definedName>
    <definedName name="vch606_2_1a">'Verification Report'!$AQ$673</definedName>
    <definedName name="vch606_2_1b">'Verification Report'!$AQ$674</definedName>
    <definedName name="vch606_2_2a">'Verification Report'!$AQ$676</definedName>
    <definedName name="vch606_2_2b">'Verification Report'!$AQ$677</definedName>
    <definedName name="vch606_3">'Verification Report'!$AQ$679</definedName>
    <definedName name="vch607_1_1">'Verification Report'!$AQ$688</definedName>
    <definedName name="vch607_1_2">'Verification Report'!$AQ$693</definedName>
    <definedName name="vch607_2">'Verification Report'!$AQ$699</definedName>
    <definedName name="vch608_1">'Verification Report'!$AQ$702</definedName>
    <definedName name="vch609_1_1">'Verification Report'!$AQ$714</definedName>
    <definedName name="vch609_1_2">'Verification Report'!$AQ$716</definedName>
    <definedName name="vch610_1_1_1">'Verification Report'!$AQ$733</definedName>
    <definedName name="vch610_1_1_2">'Verification Report'!$AQ$742</definedName>
    <definedName name="vch610_1_1_3">'Verification Report'!$AQ$749</definedName>
    <definedName name="vch610_1_2_1a">'Verification Report'!$AQ$757</definedName>
    <definedName name="vch610_1_2_1b">'Verification Report'!$AQ$764</definedName>
    <definedName name="vch610_1_2_2_f">'Verification Report'!$AQ$788</definedName>
    <definedName name="vch610_1_2_2a">'Verification Report'!$AQ$770</definedName>
    <definedName name="vch610_1_2_2b">'Verification Report'!$AQ$776</definedName>
    <definedName name="vch610_1_2_2c">'Verification Report'!$AQ$782</definedName>
    <definedName name="vch611_1_1">'Verification Report'!$AQ$800</definedName>
    <definedName name="vch611_1_2">'Verification Report'!$AQ$811</definedName>
    <definedName name="vch612_1">'Verification Report'!$AQ$817</definedName>
    <definedName name="vch612_2_1">'Verification Report'!$AQ$828</definedName>
    <definedName name="vch612_2_2">'Verification Report'!$AQ$829</definedName>
    <definedName name="vch612_2_3">'Verification Report'!$AQ$831</definedName>
    <definedName name="vch612_2_4">'Verification Report'!$AQ$833</definedName>
    <definedName name="vch612_2_5">'Verification Report'!$AQ$835</definedName>
    <definedName name="vch612_2_6">'Verification Report'!$AQ$837</definedName>
    <definedName name="vch612_2_7">'Verification Report'!$AQ$839</definedName>
    <definedName name="vch612_3_1">'Verification Report'!$AQ$843</definedName>
    <definedName name="vch612_3_2">'Verification Report'!$AQ$848</definedName>
    <definedName name="vch612_3_3">'Verification Report'!$AQ$852</definedName>
    <definedName name="vch612_3_4">'Verification Report'!$AQ$854</definedName>
    <definedName name="vch612_3_5">'Verification Report'!$AQ$856</definedName>
    <definedName name="vch612_3_6">'Verification Report'!$AQ$857</definedName>
    <definedName name="vch612_3_7">'Verification Report'!$AQ$858</definedName>
    <definedName name="vch612_3_8">'Verification Report'!$AQ$862</definedName>
    <definedName name="vch612_3_9">'Verification Report'!$AQ$864</definedName>
    <definedName name="vch613_1">'Verification Report'!$AQ$868</definedName>
    <definedName name="vch701_4_0">'Verification Report'!$AQ$886</definedName>
    <definedName name="vch701_4_1_1">'Verification Report'!$AQ$893</definedName>
    <definedName name="vch701_4_1_2">'Verification Report'!$AQ$896</definedName>
    <definedName name="vch701_4_2_1">'Verification Report'!$AQ$902</definedName>
    <definedName name="vch701_4_2_2">'Verification Report'!$AQ$905</definedName>
    <definedName name="vch701_4_2_3">'Verification Report'!$AQ$908</definedName>
    <definedName name="vch701_4_3_1_1">'Verification Report'!$AQ$912</definedName>
    <definedName name="vch701_4_3_1_a">'Verification Report'!$AQ$916</definedName>
    <definedName name="vch701_4_3_1_b">'Verification Report'!$AQ$917</definedName>
    <definedName name="vch701_4_3_1_c">'Verification Report'!$AQ$918</definedName>
    <definedName name="vch701_4_3_1_d">'Verification Report'!$AQ$919</definedName>
    <definedName name="vch701_4_3_1_e">'Verification Report'!$AQ$920</definedName>
    <definedName name="vch701_4_3_1_f">'Verification Report'!$AQ$921</definedName>
    <definedName name="vch701_4_3_1_g">'Verification Report'!$AQ$922</definedName>
    <definedName name="vch701_4_3_1_h">'Verification Report'!$AQ$923</definedName>
    <definedName name="vch701_4_3_1_i">'Verification Report'!$AQ$924</definedName>
    <definedName name="vch701_4_3_1_j">'Verification Report'!$AQ$925</definedName>
    <definedName name="vch701_4_3_1_k">'Verification Report'!$AQ$926</definedName>
    <definedName name="vch701_4_3_1_l">'Verification Report'!$AQ$927</definedName>
    <definedName name="vch701_4_3_1_m">'Verification Report'!$AQ$928</definedName>
    <definedName name="vch701_4_3_2">'Verification Report'!$AQ$930</definedName>
    <definedName name="vch701_4_3_2_1">'Verification Report'!$AQ$955</definedName>
    <definedName name="vch701_4_3_2_1_">'Verification Report'!$AQ$933</definedName>
    <definedName name="vch701_4_3_2_2">'Verification Report'!$AQ$952</definedName>
    <definedName name="vch701_4_3_2e">'Verification Report'!$AQ$936</definedName>
    <definedName name="vch701_4_3_4">'Verification Report'!$AQ$981</definedName>
    <definedName name="vch701_4_3_5">'Verification Report'!$AQ$991</definedName>
    <definedName name="vch701_4_4">'Verification Report'!$AQ$998</definedName>
    <definedName name="vch701_4_5">'Verification Report'!$AQ$1000</definedName>
    <definedName name="vch701_4_6">'Verification Report'!$AQ$1003</definedName>
    <definedName name="vch701_4_7">'Verification Report'!$AQ$1007</definedName>
    <definedName name="vch703_1_1">'Verification Report'!$AQ$1034</definedName>
    <definedName name="vch703_1_2">'Verification Report'!$AQ$1046</definedName>
    <definedName name="vch703_1_3">'Verification Report'!$AQ$1049</definedName>
    <definedName name="vch703_2_1">'Verification Report'!$AQ$1052</definedName>
    <definedName name="vch703_2_1_1">'Verification Report'!$AQ$1054</definedName>
    <definedName name="vch703_2_2">'Verification Report'!$AQ$1060</definedName>
    <definedName name="vch703_2_3">'Verification Report'!$AQ$1061</definedName>
    <definedName name="vch703_2_5_1">'Verification Report'!$AQ$1070</definedName>
    <definedName name="vch703_2_5_1_1">'Verification Report'!$AQ$1077</definedName>
    <definedName name="vch703_2_5_2">'Verification Report'!$AQ$1086</definedName>
    <definedName name="vch703_2_5_2_1">'Verification Report'!$AQ$1096</definedName>
    <definedName name="vch703_3_0_1">'Verification Report'!$AQ$1107</definedName>
    <definedName name="vch703_3_0_2">'Verification Report'!$AQ$1113</definedName>
    <definedName name="vch703_3_1">'Verification Report'!$AQ$1119</definedName>
    <definedName name="vch703_3_2_1_1">'Verification Report'!$AQ$1126</definedName>
    <definedName name="vch703_3_2_2_1">'Verification Report'!$AQ$1132</definedName>
    <definedName name="vch703_3_2_3_1">'Verification Report'!$AQ$1135</definedName>
    <definedName name="vch703_3_2_4_1">'Verification Report'!$AQ$1140</definedName>
    <definedName name="vch703_3_3_1_1">'Verification Report'!$AQ$1146</definedName>
    <definedName name="vch703_3_3_2">'Verification Report'!$AQ$1151</definedName>
    <definedName name="vch703_3_3_3">'Verification Report'!$AQ$1153</definedName>
    <definedName name="vch703_3_4_1_1">'Verification Report'!$AQ$1158</definedName>
    <definedName name="vch703_3_4_1_6">'Verification Report'!$AQ$1163</definedName>
    <definedName name="vch703_3_4_2">'Verification Report'!$AQ$1165</definedName>
    <definedName name="vch703_3_5">'Verification Report'!$AQ$1166</definedName>
    <definedName name="vch703_3_6">'Verification Report'!$AQ$1170</definedName>
    <definedName name="vch703_3_7">'Verification Report'!$AQ$1176</definedName>
    <definedName name="vch703_3_7_1">'Verification Report'!$AQ$1178</definedName>
    <definedName name="vch703_3_8">'Verification Report'!$AQ$1183</definedName>
    <definedName name="vch703_4_1">'Verification Report'!$AQ$1188</definedName>
    <definedName name="vch703_4_2">'Verification Report'!$AQ$1189</definedName>
    <definedName name="vch703_4_3_1">'Verification Report'!$AQ$1191</definedName>
    <definedName name="vch703_4_3_2">'Verification Report'!$AQ$1192</definedName>
    <definedName name="vch703_4_3_3">'Verification Report'!$AQ$1194</definedName>
    <definedName name="vch703_4_4">'Verification Report'!$AQ$1195</definedName>
    <definedName name="vch703_4_4_1">'Verification Report'!$AQ$1197</definedName>
    <definedName name="vch703_4_4_2">'Verification Report'!$AQ$1199</definedName>
    <definedName name="vch703_5_1">'Verification Report'!$AQ$1206</definedName>
    <definedName name="vch703_5_1_1">'Verification Report'!$AQ$1208</definedName>
    <definedName name="vch703_5_2">'Verification Report'!$AQ$1254</definedName>
    <definedName name="vch703_5_3">'Verification Report'!$AQ$1256</definedName>
    <definedName name="vch703_5_4">'Verification Report'!$AQ$1258</definedName>
    <definedName name="vch703_5_5">'Verification Report'!$AQ$1260</definedName>
    <definedName name="vch703_5_5_1">'Verification Report'!$AQ$1262</definedName>
    <definedName name="vch703_6_1_1">'Verification Report'!$AQ$1281</definedName>
    <definedName name="vch703_6_1_2">'Verification Report'!$AQ$1283</definedName>
    <definedName name="vch703_6_1_3">'Verification Report'!$AQ$1285</definedName>
    <definedName name="vch703_6_2_1">'Verification Report'!$AQ$1288</definedName>
    <definedName name="vch703_6_2_2">'Verification Report'!$AQ$1289</definedName>
    <definedName name="vch703_6_2_3">'Verification Report'!$AQ$1290</definedName>
    <definedName name="vch703_7_1">'Verification Report'!$AQ$1293</definedName>
    <definedName name="vch703_7_2">'Verification Report'!$AQ$1321</definedName>
    <definedName name="vch703_7_3_1_a">'Verification Report'!$AQ$1329</definedName>
    <definedName name="vch703_7_3_1_b">'Verification Report'!$AQ$1331</definedName>
    <definedName name="vch703_7_3_1_c">'Verification Report'!$AQ$1332</definedName>
    <definedName name="vch703_7_3_1_d">'Verification Report'!$AQ$1333</definedName>
    <definedName name="vch703_7_3_2">'Verification Report'!$AQ$1335</definedName>
    <definedName name="vch703_7_3_3">'Verification Report'!$AQ$1337</definedName>
    <definedName name="vch703_7_3_4">'Verification Report'!$AQ$1339</definedName>
    <definedName name="vch703_7_3_5_a">'Verification Report'!$AQ$1344</definedName>
    <definedName name="vch703_7_3_5_b">'Verification Report'!$AQ$1346</definedName>
    <definedName name="vch703_7_3_6">'Verification Report'!$AQ$1348</definedName>
    <definedName name="vch703_7_4">'Verification Report'!$AQ$1350</definedName>
    <definedName name="vch705_2_1_1">'Verification Report'!$AQ$1379</definedName>
    <definedName name="vch705_2_1_2">'Verification Report'!$AQ$1383</definedName>
    <definedName name="vch705_2_1_3_1">'Verification Report'!$AQ$1387</definedName>
    <definedName name="vch705_2_1_3_2">'Verification Report'!$AQ$1391</definedName>
    <definedName name="vch705_2_1_4">'Verification Report'!$AQ$1396</definedName>
    <definedName name="vch705_2_2">'Verification Report'!$AQ$1401</definedName>
    <definedName name="vch705_2_3">'Verification Report'!$AQ$1404</definedName>
    <definedName name="vch705_2_4">'Verification Report'!$AQ$1407</definedName>
    <definedName name="vch705_3">'Verification Report'!$AQ$1409</definedName>
    <definedName name="vch705_4">'Verification Report'!$AQ$1410</definedName>
    <definedName name="vch705_5_1_1">'Verification Report'!$AQ$1415</definedName>
    <definedName name="vch705_5_1_2">'Verification Report'!$AQ$1418</definedName>
    <definedName name="vch705_5_2">'Verification Report'!$AQ$1420</definedName>
    <definedName name="vch705_5_3_1">'Verification Report'!$AQ$1429</definedName>
    <definedName name="vch705_5_3_2">'Verification Report'!$AQ$1431</definedName>
    <definedName name="vch705_6_2_1_1">'Verification Report'!$AQ$1450</definedName>
    <definedName name="vch705_6_2_1_1_1">'Verification Report'!$AQ$1452</definedName>
    <definedName name="vch705_6_2_1_2">'Verification Report'!$AQ$1453</definedName>
    <definedName name="vch705_6_2_2_1">'Verification Report'!$AQ$1459</definedName>
    <definedName name="vch705_6_2_2_2">'Verification Report'!$AQ$1461</definedName>
    <definedName name="vch705_6_2_3">'Verification Report'!$AQ$1464</definedName>
    <definedName name="vch705_6_3">'Verification Report'!$AQ$1470</definedName>
    <definedName name="vch705_6_3_1">'Verification Report'!$AQ$1472</definedName>
    <definedName name="vch705_6_4_1">'Verification Report'!$AQ$1482</definedName>
    <definedName name="vch705_6_4_2">'Verification Report'!$AQ$1484</definedName>
    <definedName name="vch705_7">'Verification Report'!$AQ$1486</definedName>
    <definedName name="vch706_1_1">'Verification Report'!$AQ$1493</definedName>
    <definedName name="vch706_1_2">'Verification Report'!$AQ$1494</definedName>
    <definedName name="vch706_1_3">'Verification Report'!$AQ$1495</definedName>
    <definedName name="vch706_1_4">'Verification Report'!$AQ$1496</definedName>
    <definedName name="vch706_1_5">'Verification Report'!$AQ$1498</definedName>
    <definedName name="vch706_10">'Verification Report'!$AQ$1568</definedName>
    <definedName name="vch706_11">'Verification Report'!$AQ$1573</definedName>
    <definedName name="vch706_12">'Verification Report'!$AQ$1575</definedName>
    <definedName name="vch706_13">'Verification Report'!$AQ$1579</definedName>
    <definedName name="vch706_14_1">'Verification Report'!$AQ$1584</definedName>
    <definedName name="vch706_14_2">'Verification Report'!$AQ$1588</definedName>
    <definedName name="vch706_15_1">'Verification Report'!$AQ$1593</definedName>
    <definedName name="vch706_15_2">'Verification Report'!$AQ$1594</definedName>
    <definedName name="vch706_2_1">'Verification Report'!$AQ$1501</definedName>
    <definedName name="vch706_2_2">'Verification Report'!$AQ$1506</definedName>
    <definedName name="vch706_3_1">'Verification Report'!$AQ$1517</definedName>
    <definedName name="vch706_3_2">'Verification Report'!$AQ$1518</definedName>
    <definedName name="vch706_3_3">'Verification Report'!$AQ$1519</definedName>
    <definedName name="vch706_3_4">'Verification Report'!$AQ$1520</definedName>
    <definedName name="vch706_3_5">'Verification Report'!$AQ$1521</definedName>
    <definedName name="vch706_3_6">'Verification Report'!$AQ$1522</definedName>
    <definedName name="vch706_3_7">'Verification Report'!$AQ$1523</definedName>
    <definedName name="vch706_3_8">'Verification Report'!$AQ$1524</definedName>
    <definedName name="vch706_4_1_1">'Verification Report'!$AQ$1531</definedName>
    <definedName name="vch706_4_1_2">'Verification Report'!$AQ$1533</definedName>
    <definedName name="vch706_4_2">'Verification Report'!$AQ$1535</definedName>
    <definedName name="vch706_5_1">'Verification Report'!$AQ$1538</definedName>
    <definedName name="vch706_5_2">'Verification Report'!$AQ$1540</definedName>
    <definedName name="vch706_5_3">'Verification Report'!$AQ$1542</definedName>
    <definedName name="vch706_6">'Verification Report'!$AQ$1552</definedName>
    <definedName name="vch706_7_1">'Verification Report'!$AQ$1558</definedName>
    <definedName name="vch706_7_2">'Verification Report'!$AQ$1559</definedName>
    <definedName name="vch706_8">'Verification Report'!$AQ$1560</definedName>
    <definedName name="vch706_9">'Verification Report'!$AQ$1563</definedName>
    <definedName name="vch802_1">'Verification Report'!$AQ$1627</definedName>
    <definedName name="vch802_1_6">'Verification Report'!$AQ$1653</definedName>
    <definedName name="vch802_10_1">'Verification Report'!$AQ$1828</definedName>
    <definedName name="vch802_10_1_1">'Verification Report'!$AQ$1831</definedName>
    <definedName name="vch802_2_1">'Verification Report'!$AQ$1658</definedName>
    <definedName name="vch802_2_2">'Verification Report'!$AQ$1659</definedName>
    <definedName name="vch802_3_1_a">'Verification Report'!$AQ$1665</definedName>
    <definedName name="vch802_3_1_b">'Verification Report'!$AQ$1667</definedName>
    <definedName name="vch802_3_2_a">'Verification Report'!$AQ$1674</definedName>
    <definedName name="vch802_3_2_b">'Verification Report'!$AQ$1676</definedName>
    <definedName name="vch802_4_1">'Verification Report'!$AQ$1681</definedName>
    <definedName name="vch802_4_2">'Verification Report'!$AQ$1692</definedName>
    <definedName name="vch802_4_3">'Verification Report'!$AQ$1697</definedName>
    <definedName name="vch802_5_1">'Verification Report'!$AQ$1701</definedName>
    <definedName name="vch802_5_1_1">'Verification Report'!$AQ$1703</definedName>
    <definedName name="vch802_5_2">'Verification Report'!$AQ$1713</definedName>
    <definedName name="vch802_5_3">'Verification Report'!$AQ$1718</definedName>
    <definedName name="vch802_5_4_2">'Verification Report'!$AQ$1724</definedName>
    <definedName name="vch802_5_4_3">'Verification Report'!$AQ$1731</definedName>
    <definedName name="vch802_5_4_4_a">'Verification Report'!$AQ$1734</definedName>
    <definedName name="vch802_5_4_4_b">'Verification Report'!$AQ$1738</definedName>
    <definedName name="vch802_5_4_4_c">'Verification Report'!$AQ$1740</definedName>
    <definedName name="vch802_6_1">'Verification Report'!$AQ$1743</definedName>
    <definedName name="vch802_6_2">'Verification Report'!$AQ$1745</definedName>
    <definedName name="vch802_6_3_1">'Verification Report'!$AQ$1749</definedName>
    <definedName name="vch802_6_3_2">'Verification Report'!$AQ$1750</definedName>
    <definedName name="vch802_6_3_3">'Verification Report'!$AQ$1751</definedName>
    <definedName name="vch802_6_4_1">'Verification Report'!$AQ$1755</definedName>
    <definedName name="vch802_6_4_2">'Verification Report'!$AQ$1757</definedName>
    <definedName name="vch802_6_5_1">'Verification Report'!$AQ$1761</definedName>
    <definedName name="vch802_6_5_2">'Verification Report'!$AQ$1763</definedName>
    <definedName name="vch802_6_5_3">'Verification Report'!$AQ$1765</definedName>
    <definedName name="vch802_6_5_4">'Verification Report'!$AQ$1766</definedName>
    <definedName name="vch802_6_5_5">'Verification Report'!$AQ$1768</definedName>
    <definedName name="vch802_7_1">'Verification Report'!$AQ$1772</definedName>
    <definedName name="vch802_7_2_1">'Verification Report'!$AQ$1786</definedName>
    <definedName name="vch802_7_2_2">'Verification Report'!$AQ$1788</definedName>
    <definedName name="vch802_8">'Verification Report'!$AQ$1811</definedName>
    <definedName name="vch802_9_1">'Verification Report'!$AQ$1814</definedName>
    <definedName name="vch802_9_2">'Verification Report'!$AQ$1822</definedName>
    <definedName name="vch803_1_1">'Verification Report'!$AQ$1837</definedName>
    <definedName name="vch803_1_2">'Verification Report'!$AQ$1839</definedName>
    <definedName name="vch803_2">'Verification Report'!$AQ$1841</definedName>
    <definedName name="vch803_3">'Verification Report'!$AQ$1843</definedName>
    <definedName name="vch803_4">'Verification Report'!$AQ$1848</definedName>
    <definedName name="vch803_5">'Verification Report'!$AQ$1851</definedName>
    <definedName name="vch803_6">'Verification Report'!$AQ$1853</definedName>
    <definedName name="vch901_1_1">'Verification Report'!$AQ$1859</definedName>
    <definedName name="vch901_1_2">'Verification Report'!$AQ$1865</definedName>
    <definedName name="vch901_1_3_1">'Verification Report'!$AQ$1870</definedName>
    <definedName name="vch901_1_3_2">'Verification Report'!$AQ$1873</definedName>
    <definedName name="vch901_1_4">'Verification Report'!$AQ$1876</definedName>
    <definedName name="vch901_1_5">'Verification Report'!$AQ$1881</definedName>
    <definedName name="vch901_1_6">'Verification Report'!$AQ$1884</definedName>
    <definedName name="vch901_10_1">'Verification Report'!$AQ$2003</definedName>
    <definedName name="vch901_10_2">'Verification Report'!$AQ$2008</definedName>
    <definedName name="vch901_10_3">'Verification Report'!$AQ$2009</definedName>
    <definedName name="vch901_11">'Verification Report'!$AQ$2013</definedName>
    <definedName name="vch901_12">'Verification Report'!$AQ$2018</definedName>
    <definedName name="vch901_13">'Verification Report'!$AQ$2024</definedName>
    <definedName name="vch901_14_1">'Verification Report'!$AQ$2028</definedName>
    <definedName name="vch901_14_2">'Verification Report'!$AQ$2029</definedName>
    <definedName name="vch901_15_1">'Verification Report'!$AQ$2032</definedName>
    <definedName name="vch901_15_2">'Verification Report'!$AQ$2034</definedName>
    <definedName name="vch901_16">'Verification Report'!$AQ$2036</definedName>
    <definedName name="vch901_2_1_1">'Verification Report'!$AQ$1890</definedName>
    <definedName name="vch901_2_1_2">'Verification Report'!$AQ$1893</definedName>
    <definedName name="vch901_2_1_3">'Verification Report'!$AQ$1895</definedName>
    <definedName name="vch901_2_1_4">'Verification Report'!$AQ$1898</definedName>
    <definedName name="vch901_2_1_5">'Verification Report'!$AQ$1900</definedName>
    <definedName name="vch901_2_2">'Verification Report'!$AQ$1902</definedName>
    <definedName name="vch901_3_1_a">'Verification Report'!$AQ$1905</definedName>
    <definedName name="vch901_3_1_b">'Verification Report'!$AQ$1907</definedName>
    <definedName name="vch901_3_1_c">'Verification Report'!$AQ$1909</definedName>
    <definedName name="vch901_3_2">'Verification Report'!$AQ$1915</definedName>
    <definedName name="vch901_4_1">'Verification Report'!$AQ$1920</definedName>
    <definedName name="vch901_4_a">'Verification Report'!$AQ$1925</definedName>
    <definedName name="vch901_4_b">'Verification Report'!$AQ$1926</definedName>
    <definedName name="vch901_4_c">'Verification Report'!$AQ$1927</definedName>
    <definedName name="vch901_4_d">'Verification Report'!$AQ$1928</definedName>
    <definedName name="vch901_5_1">'Verification Report'!$AQ$1939</definedName>
    <definedName name="vch901_5_2">'Verification Report'!$AQ$1941</definedName>
    <definedName name="vch901_6">'Verification Report'!$AQ$1944</definedName>
    <definedName name="vch901_7_1">'Verification Report'!$AQ$1953</definedName>
    <definedName name="vch901_7_2">'Verification Report'!$AQ$1964</definedName>
    <definedName name="vch901_7_3">'Verification Report'!$AQ$1965</definedName>
    <definedName name="vch901_8">'Verification Report'!$AQ$1968</definedName>
    <definedName name="vch901_9_1_1">'Verification Report'!$AQ$1980</definedName>
    <definedName name="vch901_9_1_2">'Verification Report'!$AQ$1982</definedName>
    <definedName name="vch901_9_1_3">'Verification Report'!$AQ$1983</definedName>
    <definedName name="vch901_9_2">'Verification Report'!$AQ$1985</definedName>
    <definedName name="vch901_9_3">'Verification Report'!$AQ$1990</definedName>
    <definedName name="vch901_9_4">'Verification Report'!$AQ$1996</definedName>
    <definedName name="vch902_1_1_1">'Verification Report'!$AQ$2042</definedName>
    <definedName name="vch902_1_1_1_a">'Verification Report'!$AQ$2044</definedName>
    <definedName name="vch902_1_1_2">'Verification Report'!$AQ$2046</definedName>
    <definedName name="vch902_1_1_3">'Verification Report'!$AQ$2048</definedName>
    <definedName name="vch902_1_2">'Verification Report'!$AQ$2052</definedName>
    <definedName name="vch902_1_2_2">'Verification Report'!$AQ$2054</definedName>
    <definedName name="vch902_1_3">'Verification Report'!$AQ$2055</definedName>
    <definedName name="vch902_1_4_1">'Verification Report'!$AQ$2061</definedName>
    <definedName name="vch902_1_4_2">'Verification Report'!$AQ$2063</definedName>
    <definedName name="vch902_1_5_1">'Verification Report'!$AQ$2066</definedName>
    <definedName name="vch902_1_5_2">'Verification Report'!$AQ$2068</definedName>
    <definedName name="vch902_1_5_3">'Verification Report'!$AQ$2070</definedName>
    <definedName name="vch902_1_6">'Verification Report'!$AQ$2073</definedName>
    <definedName name="vch902_2_1">'Verification Report'!$AQ$2077</definedName>
    <definedName name="vch902_2_2">'Verification Report'!$AQ$2088</definedName>
    <definedName name="vch902_2_3">'Verification Report'!$AQ$2090</definedName>
    <definedName name="vch902_2_4">'Verification Report'!$AQ$2093</definedName>
    <definedName name="vch902_2_5">'Verification Report'!$AQ$2096</definedName>
    <definedName name="vch902_3">'Verification Report'!$AQ$2098</definedName>
    <definedName name="vch902_3_2">'Verification Report'!$AQ$2147</definedName>
    <definedName name="vch902_3_2_1">'Verification Report'!$AQ$2149</definedName>
    <definedName name="vch902_3_2_2">'Verification Report'!$AQ$2172</definedName>
    <definedName name="vch902_4_1">'Verification Report'!$AQ$2176</definedName>
    <definedName name="vch902_4_2">'Verification Report'!$AQ$2178</definedName>
    <definedName name="vch902_4_3">'Verification Report'!$AQ$2181</definedName>
    <definedName name="vch902_5">'Verification Report'!$AQ$2184</definedName>
    <definedName name="vch902_6">'Verification Report'!$AQ$2186</definedName>
    <definedName name="vch903_1">'Verification Report'!$AQ$2190</definedName>
    <definedName name="vch903_2">'Verification Report'!$AQ$2194</definedName>
    <definedName name="vch903_3_1">'Verification Report'!$AQ$2200</definedName>
    <definedName name="vch903_3_2">'Verification Report'!$AQ$2201</definedName>
    <definedName name="vch904_1">'Verification Report'!$AQ$2206</definedName>
    <definedName name="vch904_2">'Verification Report'!$AQ$2211</definedName>
    <definedName name="vch904_3_1">'Verification Report'!$AQ$2216</definedName>
    <definedName name="vch904_3_2">'Verification Report'!$AQ$2223</definedName>
    <definedName name="vch905_1">'Verification Report'!$AQ$2227</definedName>
    <definedName name="vch905_2">'Verification Report'!$AQ$2232</definedName>
    <definedName name="vch905_3_1">'Verification Report'!$AQ$2235</definedName>
    <definedName name="vch905_3_2">'Verification Report'!$AQ$2236</definedName>
    <definedName name="vch905_4">'Verification Report'!$AQ$2238</definedName>
    <definedName name="vch905_5">'Verification Report'!$AQ$2243</definedName>
    <definedName name="vch905_6">'Verification Report'!$AQ$2247</definedName>
    <definedName name="vcn13_103_1_1">'Ver. Rpt. (Commercial)'!$AS$28</definedName>
    <definedName name="vcn13_103_1_1_1">'Ver. Rpt. (Commercial)'!$AS$31</definedName>
    <definedName name="vcn13_103_1_1_2">'Ver. Rpt. (Commercial)'!$AS$33</definedName>
    <definedName name="vcn13_103_1_1_3">'Ver. Rpt. (Commercial)'!$AS$35</definedName>
    <definedName name="vcn13_103_1_2">'Ver. Rpt. (Commercial)'!$AS$38</definedName>
    <definedName name="vcn13_104_1_1">'Ver. Rpt. (Commercial)'!$AS$43</definedName>
    <definedName name="vcn13_104_1_2">'Ver. Rpt. (Commercial)'!$AS$46</definedName>
    <definedName name="vcn13_104_1_3">'Ver. Rpt. (Commercial)'!$AS$48</definedName>
    <definedName name="vcn13_104_1_4">'Ver. Rpt. (Commercial)'!$AS$50</definedName>
    <definedName name="vcn13_104_1_5_1">'Ver. Rpt. (Commercial)'!$AS$59</definedName>
    <definedName name="vcn13_104_1_5_10">'Ver. Rpt. (Commercial)'!$AS$69</definedName>
    <definedName name="vcn13_104_1_5_11">'Ver. Rpt. (Commercial)'!$AS$70</definedName>
    <definedName name="vcn13_104_1_5_12">'Ver. Rpt. (Commercial)'!$AS$72</definedName>
    <definedName name="vcn13_104_1_5_2">'Ver. Rpt. (Commercial)'!$AS$60</definedName>
    <definedName name="vcn13_104_1_5_3">'Ver. Rpt. (Commercial)'!$AS$61</definedName>
    <definedName name="vcn13_104_1_5_4">'Ver. Rpt. (Commercial)'!$AS$62</definedName>
    <definedName name="vcn13_104_1_5_5">'Ver. Rpt. (Commercial)'!$AS$64</definedName>
    <definedName name="vcn13_104_1_5_6">'Ver. Rpt. (Commercial)'!$AS$65</definedName>
    <definedName name="vcn13_104_1_5_7">'Ver. Rpt. (Commercial)'!$AS$66</definedName>
    <definedName name="vcn13_104_1_5_8">'Ver. Rpt. (Commercial)'!$AS$67</definedName>
    <definedName name="vcn13_104_1_5_9">'Ver. Rpt. (Commercial)'!$AS$68</definedName>
    <definedName name="vcn13_104_1_6">'Ver. Rpt. (Commercial)'!$AS$73</definedName>
    <definedName name="vcn13_104_1_7">'Ver. Rpt. (Commercial)'!$AS$76</definedName>
    <definedName name="vcn13_104_1_8_1">'Ver. Rpt. (Commercial)'!$AS$82</definedName>
    <definedName name="vcn13_104_1_8_2">'Ver. Rpt. (Commercial)'!$AS$84</definedName>
    <definedName name="vcn13_104_1_8_3">'Ver. Rpt. (Commercial)'!$AS$86</definedName>
    <definedName name="vcn13_104_1_9_1">'Ver. Rpt. (Commercial)'!$AS$89</definedName>
    <definedName name="vcn13_104_1_9_2">'Ver. Rpt. (Commercial)'!$AS$91</definedName>
    <definedName name="vcn13_104_2">'Ver. Rpt. (Commercial)'!$AS$93</definedName>
    <definedName name="vcn13_104_3">'Ver. Rpt. (Commercial)'!$AS$95</definedName>
    <definedName name="vcn13_104_4">'Ver. Rpt. (Commercial)'!$AS$260</definedName>
    <definedName name="vcn13_105_1">'Ver. Rpt. (Commercial)'!$AS$264</definedName>
    <definedName name="vcn13_105_1_1">'Ver. Rpt. (Commercial)'!$AS$274</definedName>
    <definedName name="vcn13_105_10">'Ver. Rpt. (Commercial)'!$AS$324</definedName>
    <definedName name="vcn13_105_11">'Ver. Rpt. (Commercial)'!$AS$326</definedName>
    <definedName name="vcn13_105_11_1">'Ver. Rpt. (Commercial)'!$AS$332</definedName>
    <definedName name="vcn13_105_11_2">'Ver. Rpt. (Commercial)'!$AS$339</definedName>
    <definedName name="vcn13_105_11_3">'Ver. Rpt. (Commercial)'!$AS$344</definedName>
    <definedName name="vcn13_105_12">'Ver. Rpt. (Commercial)'!$AS$347</definedName>
    <definedName name="vcn13_105_12_3">'Ver. Rpt. (Commercial)'!$AS$353</definedName>
    <definedName name="vcn13_105_2">'Ver. Rpt. (Commercial)'!$AS$278</definedName>
    <definedName name="vcn13_105_3_1">'Ver. Rpt. (Commercial)'!$AS$286</definedName>
    <definedName name="vcn13_105_3_1_">'Ver. Rpt. (Commercial)'!$AS$298</definedName>
    <definedName name="vcn13_105_3_10">'Ver. Rpt. (Commercial)'!$AS$295</definedName>
    <definedName name="vcn13_105_3_11">'Ver. Rpt. (Commercial)'!$AS$296</definedName>
    <definedName name="vcn13_105_3_12">'Ver. Rpt. (Commercial)'!$AS$297</definedName>
    <definedName name="vcn13_105_3_2">'Ver. Rpt. (Commercial)'!$AS$287</definedName>
    <definedName name="vcn13_105_3_3">'Ver. Rpt. (Commercial)'!$AS$288</definedName>
    <definedName name="vcn13_105_3_4">'Ver. Rpt. (Commercial)'!$AS$289</definedName>
    <definedName name="vcn13_105_3_5">'Ver. Rpt. (Commercial)'!$AS$290</definedName>
    <definedName name="vcn13_105_3_6">'Ver. Rpt. (Commercial)'!$AS$291</definedName>
    <definedName name="vcn13_105_3_7">'Ver. Rpt. (Commercial)'!$AS$292</definedName>
    <definedName name="vcn13_105_3_8">'Ver. Rpt. (Commercial)'!$AS$293</definedName>
    <definedName name="vcn13_105_3_9">'Ver. Rpt. (Commercial)'!$AS$294</definedName>
    <definedName name="vcn13_105_4">'Ver. Rpt. (Commercial)'!$AS$301</definedName>
    <definedName name="vcn13_105_5">'Ver. Rpt. (Commercial)'!$AS$304</definedName>
    <definedName name="vcn13_105_6">'Ver. Rpt. (Commercial)'!$AS$308</definedName>
    <definedName name="vcn13_105_7">'Ver. Rpt. (Commercial)'!$AS$311</definedName>
    <definedName name="vcn13_105_8_1">'Ver. Rpt. (Commercial)'!$AS$315</definedName>
    <definedName name="vcn13_105_9">'Ver. Rpt. (Commercial)'!$AS$317</definedName>
    <definedName name="vcn13_106_1">'Ver. Rpt. (Commercial)'!$AS$357</definedName>
    <definedName name="vcn13_106_2">'Ver. Rpt. (Commercial)'!$AS$366</definedName>
    <definedName name="vcn13_106_3_1">'Ver. Rpt. (Commercial)'!$AS$371</definedName>
    <definedName name="vcn13_106_3_2">'Ver. Rpt. (Commercial)'!$AS$373</definedName>
    <definedName name="vcn13_106_3_3">'Ver. Rpt. (Commercial)'!$AS$375</definedName>
    <definedName name="vcn13_106_3_4">'Ver. Rpt. (Commercial)'!$AS$377</definedName>
    <definedName name="vcn13_106_4_1">'Ver. Rpt. (Commercial)'!$AS$380</definedName>
    <definedName name="vcn13_106_4_2">'Ver. Rpt. (Commercial)'!$AS$384</definedName>
    <definedName name="vcn13_106_4_3">'Ver. Rpt. (Commercial)'!$AS$391</definedName>
    <definedName name="vcn13_106_4_4">'Ver. Rpt. (Commercial)'!$AS$394</definedName>
    <definedName name="vcn13_106_5_1">'Ver. Rpt. (Commercial)'!$AS$398</definedName>
    <definedName name="vcn13_106_5_2">'Ver. Rpt. (Commercial)'!$AS$402</definedName>
    <definedName name="vcn13_106_5_3">'Ver. Rpt. (Commercial)'!$AS$405</definedName>
    <definedName name="vcn13_106_6">'Ver. Rpt. (Commercial)'!$AS$408</definedName>
    <definedName name="vcn13_107_1">'Ver. Rpt. (Commercial)'!$AS$412</definedName>
    <definedName name="vcn13_107_1_1">'Ver. Rpt. (Commercial)'!$AS$414</definedName>
    <definedName name="vcn13_107_2_1">'Ver. Rpt. (Commercial)'!$AS$419</definedName>
    <definedName name="vcn13_107_2_2">'Ver. Rpt. (Commercial)'!$AS$420</definedName>
    <definedName name="vcn13_107_4">'Ver. Rpt. (Commercial)'!$AS$516</definedName>
    <definedName name="vcn13_107_4_1">'Ver. Rpt. (Commercial)'!$AS$520</definedName>
    <definedName name="vcn13_107_4_2">'Ver. Rpt. (Commercial)'!$AS$525</definedName>
    <definedName name="vcn13_107_4_2_1">'Ver. Rpt. (Commercial)'!$AS$528</definedName>
    <definedName name="vcn13_107_4_2_2">'Ver. Rpt. (Commercial)'!$AS$531</definedName>
    <definedName name="vcn13_107_4_2_3">'Ver. Rpt. (Commercial)'!$AS$533</definedName>
    <definedName name="vcn13_107_4_3">'Ver. Rpt. (Commercial)'!$AS$535</definedName>
    <definedName name="vcn13_107_4_4">'Ver. Rpt. (Commercial)'!$AS$539</definedName>
    <definedName name="vcn13_107_4_5">'Ver. Rpt. (Commercial)'!$AS$543</definedName>
    <definedName name="vcn13_107_5">'Ver. Rpt. (Commercial)'!$AS$545</definedName>
    <definedName name="vcn13_107_6_1">'Ver. Rpt. (Commercial)'!$AS$548</definedName>
    <definedName name="vcn13_107_6_2">'Ver. Rpt. (Commercial)'!$AS$550</definedName>
    <definedName name="vcn13_107_7">'Ver. Rpt. (Commercial)'!$AS$552</definedName>
    <definedName name="vcn13_107_8_1">'Ver. Rpt. (Commercial)'!$AS$555</definedName>
    <definedName name="vcn13_107_8_2">'Ver. Rpt. (Commercial)'!$AS$557</definedName>
    <definedName name="vcn13_108_1">'Ver. Rpt. (Commercial)'!$AS$630</definedName>
    <definedName name="vcn13_108_2">'Ver. Rpt. (Commercial)'!$AS$643</definedName>
    <definedName name="vcn603_2">'Ver. Rpt. (Commercial)'!$AS$224</definedName>
    <definedName name="vcn604_1a">'Ver. Rpt. (Commercial)'!$AS$252</definedName>
    <definedName name="vcn604_1b">'Ver. Rpt. (Commercial)'!$AS$254</definedName>
    <definedName name="vcn604_1c">'Ver. Rpt. (Commercial)'!$AS$256</definedName>
    <definedName name="vcn604_1d">'Ver. Rpt. (Commercial)'!$AS$258</definedName>
    <definedName name="vcn606_1_a">'Ver. Rpt. (Commercial)'!$AS$100</definedName>
    <definedName name="vcn606_2_1a">'Ver. Rpt. (Commercial)'!$AS$131</definedName>
    <definedName name="vcn606_2_1b">'Ver. Rpt. (Commercial)'!$AS$132</definedName>
    <definedName name="vcn606_2_2a">'Ver. Rpt. (Commercial)'!$AS$134</definedName>
    <definedName name="vcn606_2_2b">'Ver. Rpt. (Commercial)'!$AS$135</definedName>
    <definedName name="vcn606_3">'Ver. Rpt. (Commercial)'!$AS$137</definedName>
    <definedName name="vcn608_1">'Ver. Rpt. (Commercial)'!$AS$143</definedName>
    <definedName name="vcn609_1a">'Ver. Rpt. (Commercial)'!$AS$151</definedName>
    <definedName name="vcn609_1b">'Ver. Rpt. (Commercial)'!$AS$154</definedName>
    <definedName name="vcn610_1_2_1">'Ver. Rpt. (Commercial)'!$AS$162</definedName>
    <definedName name="vcn610_1_2_1_e">'Ver. Rpt. (Commercial)'!$AS$169</definedName>
    <definedName name="vcn610_1_2_2_e">'Ver. Rpt. (Commercial)'!$AS$194</definedName>
    <definedName name="vcn610_1_2_2a">'Ver. Rpt. (Commercial)'!$AS$176</definedName>
    <definedName name="vcn610_1_2_2b">'Ver. Rpt. (Commercial)'!$AS$182</definedName>
    <definedName name="vcn610_1_2_2c">'Ver. Rpt. (Commercial)'!$AS$188</definedName>
    <definedName name="vcn611_1_1">'Ver. Rpt. (Commercial)'!$AS$236</definedName>
    <definedName name="vcn611_1_2">'Ver. Rpt. (Commercial)'!$AS$245</definedName>
    <definedName name="vcn612_1">'Ver. Rpt. (Commercial)'!$AS$200</definedName>
    <definedName name="vcn612_2_1">'Ver. Rpt. (Commercial)'!$AS$211</definedName>
    <definedName name="vcn612_2_2">'Ver. Rpt. (Commercial)'!$AS$212</definedName>
    <definedName name="vcn612_2_3">'Ver. Rpt. (Commercial)'!$AS$214</definedName>
    <definedName name="vcn612_2_4">'Ver. Rpt. (Commercial)'!$AS$216</definedName>
    <definedName name="vcn612_2_5">'Ver. Rpt. (Commercial)'!$AS$218</definedName>
    <definedName name="vcn612_2_6">'Ver. Rpt. (Commercial)'!$AS$220</definedName>
    <definedName name="vcn612_2_7">'Ver. Rpt. (Commercial)'!$AS$222</definedName>
    <definedName name="vcn901_10_1">'Ver. Rpt. (Commercial)'!$AS$501</definedName>
    <definedName name="vcn901_10_2">'Ver. Rpt. (Commercial)'!$AS$506</definedName>
    <definedName name="vcn901_10_3">'Ver. Rpt. (Commercial)'!$AS$507</definedName>
    <definedName name="vcn901_11">'Ver. Rpt. (Commercial)'!$AS$511</definedName>
    <definedName name="vcn901_4_1">'Ver. Rpt. (Commercial)'!$AS$426</definedName>
    <definedName name="vcn901_4_a">'Ver. Rpt. (Commercial)'!$AS$431</definedName>
    <definedName name="vcn901_5_1">'Ver. Rpt. (Commercial)'!$AS$445</definedName>
    <definedName name="vcn901_5_2">'Ver. Rpt. (Commercial)'!$AS$447</definedName>
    <definedName name="vcn901_7_1">'Ver. Rpt. (Commercial)'!$AS$457</definedName>
    <definedName name="vcn901_7_2">'Ver. Rpt. (Commercial)'!$AS$467</definedName>
    <definedName name="vcn901_8">'Ver. Rpt. (Commercial)'!$AS$471</definedName>
    <definedName name="vcn901_9">'Ver. Rpt. (Commercial)'!$AS$477</definedName>
    <definedName name="vcn901_9_1_1">'Ver. Rpt. (Commercial)'!$AS$482</definedName>
    <definedName name="vcn901_9_1_2">'Ver. Rpt. (Commercial)'!$AS$484</definedName>
    <definedName name="vcn901_9_1_3">'Ver. Rpt. (Commercial)'!$AS$485</definedName>
    <definedName name="vcn901_9_2">'Ver. Rpt. (Commercial)'!$AS$487</definedName>
    <definedName name="vcn901_9_3">'Ver. Rpt. (Commercial)'!$AS$492</definedName>
    <definedName name="vcn902_3">'Ver. Rpt. (Commercial)'!$AS$561</definedName>
    <definedName name="vcn902_3_1_">'Ver. Rpt. (Commercial)'!$AS$567</definedName>
    <definedName name="vcn902_3_2_1">'Ver. Rpt. (Commercial)'!$AS$607</definedName>
    <definedName name="verAGFloorArea">'Overview (Verification)'!$P$25</definedName>
    <definedName name="verAttachedGarage">'Overview (Verification)'!$P$55</definedName>
    <definedName name="verAttic">'Overview (Verification)'!$P$54</definedName>
    <definedName name="verAtticOther">'Overview (Verification)'!$T$54</definedName>
    <definedName name="verBuilderName">'Overview (Verification)'!$P$10</definedName>
    <definedName name="verBuildingCode">'Overview (Verification)'!$P$66</definedName>
    <definedName name="verBuildingCodeOther">'Overview (Verification)'!$T$66</definedName>
    <definedName name="verCDucts">'Overview (Verification)'!$P$46</definedName>
    <definedName name="verCity">'Overview (Verification)'!$P$13</definedName>
    <definedName name="verCommercial">'Overview (Verification)'!$P$20</definedName>
    <definedName name="verCool1">'Overview (Verification)'!$P$43</definedName>
    <definedName name="verCool1Other">'Overview (Verification)'!$T$43</definedName>
    <definedName name="verCool2">'Overview (Verification)'!$P$44</definedName>
    <definedName name="verCool2Other">'Overview (Verification)'!$T$44</definedName>
    <definedName name="verCool3">'Overview (Verification)'!$P$45</definedName>
    <definedName name="verCool3Other">'Overview (Verification)'!$T$45</definedName>
    <definedName name="verCounty">'Overview (Verification)'!$P$15</definedName>
    <definedName name="verCToilet">'Overview (Verification)'!$P$63</definedName>
    <definedName name="verEnergyBLYear">'Overview (Verification)'!$P$30</definedName>
    <definedName name="verEnergyCode">'Overview (Verification)'!$P$65</definedName>
    <definedName name="verEnergyCodeOther">'Overview (Verification)'!$T$65</definedName>
    <definedName name="verEnergyPath">'Overview (Verification)'!$P$34</definedName>
    <definedName name="verError">'Verification Report'!$AI$3</definedName>
    <definedName name="verFloors">'Overview (Verification)'!$P$27</definedName>
    <definedName name="verFoundation">'Overview (Verification)'!$P$36</definedName>
    <definedName name="verFuel">'Overview (Verification)'!$P$41</definedName>
    <definedName name="verFuelOther">'Overview (Verification)'!$T$41</definedName>
    <definedName name="verGoalLevel">Points!$N$10</definedName>
    <definedName name="verHDucts">'Overview (Verification)'!$P$42</definedName>
    <definedName name="verHomeAddress">'Overview (Verification)'!$P$11</definedName>
    <definedName name="verHVAC1">'Overview (Verification)'!$P$38</definedName>
    <definedName name="verHVAC1Other">'Overview (Verification)'!$T$38</definedName>
    <definedName name="verHVAC2">'Overview (Verification)'!$P$39</definedName>
    <definedName name="verHVAC2Other">'Overview (Verification)'!$T$39</definedName>
    <definedName name="verHVAC3">'Overview (Verification)'!$P$40</definedName>
    <definedName name="verHVAC3Other">'Overview (Verification)'!$T$40</definedName>
    <definedName name="verLot">'Overview (Verification)'!$P$12</definedName>
    <definedName name="verMandError">'Verification Report'!$AG$3</definedName>
    <definedName name="verMassWalls">'Overview (Verification)'!$P$60</definedName>
    <definedName name="verPassiveSolar">'Overview (Verification)'!$P$59</definedName>
    <definedName name="verProjectDesc">'Overview (Verification)'!$P$32</definedName>
    <definedName name="verProjectID">'Overview (Verification)'!$P$8</definedName>
    <definedName name="verProjectName">'Overview (Verification)'!$P$23</definedName>
    <definedName name="verRadiantHydronic">'Overview (Verification)'!$P$61</definedName>
    <definedName name="verRecessedLighting">'Overview (Verification)'!$P$56</definedName>
    <definedName name="verRenewable">'Overview (Verification)'!$P$52</definedName>
    <definedName name="verRenewableOther">'Overview (Verification)'!$T$52</definedName>
    <definedName name="verSingleOrMulti">'Overview (Verification)'!$P$18</definedName>
    <definedName name="VersionDate">'Info &amp; Intro'!$E$7</definedName>
    <definedName name="VersionNum">'Info &amp; Intro'!$B$7</definedName>
    <definedName name="versSHGC">'Overview (Verification)'!$P$49</definedName>
    <definedName name="verStartError">Points!$B$4</definedName>
    <definedName name="verState">'Overview (Verification)'!$P$14</definedName>
    <definedName name="versUV">'Overview (Verification)'!$P$51</definedName>
    <definedName name="verTCFloorArea">'Overview (Verification)'!$P$26</definedName>
    <definedName name="verTEInsulation">'Overview (Verification)'!$P$53</definedName>
    <definedName name="verTEInsulationOther">'Overview (Verification)'!$T$53</definedName>
    <definedName name="verTLWH">'Overview (Verification)'!$P$62</definedName>
    <definedName name="verUnits">'Overview (Verification)'!$P$19</definedName>
    <definedName name="verWaterBLYear">'Overview (Verification)'!$P$31</definedName>
    <definedName name="verWaterPath">'Overview (Verification)'!$P$35</definedName>
    <definedName name="verwdSHGC">'Overview (Verification)'!$P$48</definedName>
    <definedName name="verwdUV">'Overview (Verification)'!$P$50</definedName>
    <definedName name="verYearBuilt">'Overview (Verification)'!$P$29</definedName>
    <definedName name="verZIP">'Overview (Verification)'!$P$16</definedName>
    <definedName name="Vlevel">Points!$N$26</definedName>
    <definedName name="VNext">Points!$N$27</definedName>
    <definedName name="vnt1001_1_1">'Verification Report'!$AS$2262</definedName>
    <definedName name="vnt1001_1_10">'Verification Report'!$AS$2277</definedName>
    <definedName name="vnt1001_1_11">'Verification Report'!$AS$2278</definedName>
    <definedName name="vnt1001_1_12">'Verification Report'!$AS$2279</definedName>
    <definedName name="vnt1001_1_13">'Verification Report'!$AS$2285</definedName>
    <definedName name="vnt1001_1_14">'Verification Report'!$AS$2289</definedName>
    <definedName name="vnt1001_1_15">'Verification Report'!$AS$2291</definedName>
    <definedName name="vnt1001_1_16">'Verification Report'!$AS$2293</definedName>
    <definedName name="vnt1001_1_17">'Verification Report'!$AS$2294</definedName>
    <definedName name="vnt1001_1_18">'Verification Report'!$AS$2296</definedName>
    <definedName name="vnt1001_1_19">'Verification Report'!$AS$2298</definedName>
    <definedName name="vnt1001_1_2">'Verification Report'!$AS$2263</definedName>
    <definedName name="vnt1001_1_20">'Verification Report'!$AS$2299</definedName>
    <definedName name="vnt1001_1_21">'Verification Report'!$AS$2301</definedName>
    <definedName name="vnt1001_1_22">'Verification Report'!$AS$2303</definedName>
    <definedName name="vnt1001_1_23">'Verification Report'!$AS$2305</definedName>
    <definedName name="vnt1001_1_24">'Verification Report'!$AS$2307</definedName>
    <definedName name="vnt1001_1_25">'Verification Report'!$AS$2308</definedName>
    <definedName name="vnt1001_1_3">'Verification Report'!$AS$2264</definedName>
    <definedName name="vnt1001_1_4">'Verification Report'!$AS$2268</definedName>
    <definedName name="vnt1001_1_5">'Verification Report'!$AS$2269</definedName>
    <definedName name="vnt1001_1_6">'Verification Report'!$AS$2270</definedName>
    <definedName name="vnt1001_1_7">'Verification Report'!$AS$2272</definedName>
    <definedName name="vnt1001_1_8">'Verification Report'!$AS$2274</definedName>
    <definedName name="vnt1001_1_9">'Verification Report'!$AS$2275</definedName>
    <definedName name="vnt1001_2">'Verification Report'!$AS$2309</definedName>
    <definedName name="vnt1002_1_1">'Verification Report'!$AS$2331</definedName>
    <definedName name="vnt1002_1_2">'Verification Report'!$AS$2334</definedName>
    <definedName name="vnt1002_1_3">'Verification Report'!$AS$2337</definedName>
    <definedName name="vnt1002_1_4">'Verification Report'!$AS$2339</definedName>
    <definedName name="vnt1002_1_5">'Verification Report'!$AS$2340</definedName>
    <definedName name="vnt1002_1_6">'Verification Report'!$AS$2342</definedName>
    <definedName name="vnt1002_1_7">'Verification Report'!$AS$2343</definedName>
    <definedName name="vnt1002_1_8">'Verification Report'!$AS$2344</definedName>
    <definedName name="vnt1002_2_1">'Verification Report'!$AS$2350</definedName>
    <definedName name="vnt1002_2_10">'Verification Report'!$AS$2368</definedName>
    <definedName name="vnt1002_2_11">'Verification Report'!$AS$2371</definedName>
    <definedName name="vnt1002_2_2">'Verification Report'!$AS$2352</definedName>
    <definedName name="vnt1002_2_3">'Verification Report'!$AS$2355</definedName>
    <definedName name="vnt1002_2_4">'Verification Report'!$AS$2357</definedName>
    <definedName name="vnt1002_2_5">'Verification Report'!$AS$2360</definedName>
    <definedName name="vnt1002_2_6">'Verification Report'!$AS$2362</definedName>
    <definedName name="vnt1002_2_7">'Verification Report'!$AS$2363</definedName>
    <definedName name="vnt1002_2_8">'Verification Report'!$AS$2365</definedName>
    <definedName name="vnt1002_2_9">'Verification Report'!$AS$2367</definedName>
    <definedName name="vnt1002_3_1">'Verification Report'!$AS$2377</definedName>
    <definedName name="vnt1002_3_10">'Verification Report'!$AS$2398</definedName>
    <definedName name="vnt1002_3_11">'Verification Report'!$AS$2399</definedName>
    <definedName name="vnt1002_3_2">'Verification Report'!$AS$2379</definedName>
    <definedName name="vnt1002_3_3">'Verification Report'!$AS$2383</definedName>
    <definedName name="vnt1002_3_4">'Verification Report'!$AS$2390</definedName>
    <definedName name="vnt1002_3_5">'Verification Report'!$AS$2392</definedName>
    <definedName name="vnt1002_3_6">'Verification Report'!$AS$2393</definedName>
    <definedName name="vnt1002_3_7">'Verification Report'!$AS$2395</definedName>
    <definedName name="vnt1002_3_8">'Verification Report'!$AS$2396</definedName>
    <definedName name="vnt1002_3_9">'Verification Report'!$AS$2397</definedName>
    <definedName name="vnt1002_4">'Verification Report'!$AS$2401</definedName>
    <definedName name="vnt1002_5_1">'Verification Report'!$AS$2416</definedName>
    <definedName name="vnt1002_5_2">'Verification Report'!$AS$2417</definedName>
    <definedName name="vnt1002_5_3">'Verification Report'!$AS$2418</definedName>
    <definedName name="vnt1002_5_4">'Verification Report'!$AS$2420</definedName>
    <definedName name="vnt1002_5_5">'Verification Report'!$AS$2421</definedName>
    <definedName name="vnt1002_5_6">'Verification Report'!$AS$2422</definedName>
    <definedName name="vnt1002_5_7">'Verification Report'!$AS$2423</definedName>
    <definedName name="vnt1002_5_8">'Verification Report'!$AS$2424</definedName>
    <definedName name="vnt1002_5_9">'Verification Report'!$AS$2425</definedName>
    <definedName name="vnt1002_6_1">'Verification Report'!$AS$2430</definedName>
    <definedName name="vnt1002_6_2">'Verification Report'!$AS$2431</definedName>
    <definedName name="vnt1002_6_3">'Verification Report'!$AS$2432</definedName>
    <definedName name="vnt1002_6_4">'Verification Report'!$AS$2433</definedName>
    <definedName name="vnt1002_6_5">'Verification Report'!$AS$2434</definedName>
    <definedName name="vnt1002_6_6">'Verification Report'!$AS$2435</definedName>
    <definedName name="vnt1002_6_7">'Verification Report'!$AS$2436</definedName>
    <definedName name="vnt1003_1_1">'Verification Report'!$AS$2442</definedName>
    <definedName name="vnt1003_1_2">'Verification Report'!$AS$2444</definedName>
    <definedName name="vnt1003_1_3">'Verification Report'!$AS$2447</definedName>
    <definedName name="vnt1005_1_1">'Verification Report'!$AS$2452</definedName>
    <definedName name="vnt1005_1_2">'Verification Report'!$AS$2455</definedName>
    <definedName name="vnt305_2_5">'Verification Report'!$AS$884</definedName>
    <definedName name="vnt305_2_5_1">'Verification Report'!$AS$1015</definedName>
    <definedName name="vnt305_2_6_1">'Verification Report'!$AS$1609</definedName>
    <definedName name="vnt501_2">'Verification Report'!$AS$13</definedName>
    <definedName name="vnt501_2_1">'Verification Report'!$AS$15</definedName>
    <definedName name="vnt501_2_2">'Verification Report'!$AS$17</definedName>
    <definedName name="vnt501_2_3">'Verification Report'!$AS$19</definedName>
    <definedName name="vnt501_2_3_">'Verification Report'!$AS$28</definedName>
    <definedName name="vnt501_2_4">'Verification Report'!$AS$34</definedName>
    <definedName name="vnt501_2_5">'Verification Report'!$AS$37</definedName>
    <definedName name="vnt501_2_5_d">'Verification Report'!$AS$42</definedName>
    <definedName name="vnt501_2_6">'Verification Report'!$AS$44</definedName>
    <definedName name="vnt501_2_7">'Verification Report'!$AS$47</definedName>
    <definedName name="vnt502_1">'Verification Report'!$AS$51</definedName>
    <definedName name="vnt503_0">'Verification Report'!$AS$56</definedName>
    <definedName name="vnt503_1">'Verification Report'!$AS$61</definedName>
    <definedName name="vnt503_2">'Verification Report'!$AS$80</definedName>
    <definedName name="vnt503_3">'Verification Report'!$AS$93</definedName>
    <definedName name="vnt503_4">'Verification Report'!$AS$105</definedName>
    <definedName name="vnt503_4_1">'Verification Report'!$AS$112</definedName>
    <definedName name="vnt503_4_2">'Verification Report'!$AS$115</definedName>
    <definedName name="vnt503_4_3">'Verification Report'!$AS$122</definedName>
    <definedName name="vnt503_4_3_">'Verification Report'!$AS$127</definedName>
    <definedName name="vnt503_4_4">'Verification Report'!$AS$129</definedName>
    <definedName name="vnt503_5">'Verification Report'!$AS$132</definedName>
    <definedName name="vnt503_5_1">'Verification Report'!$AS$136</definedName>
    <definedName name="vnt503_5_10">'Verification Report'!$AS$164</definedName>
    <definedName name="vnt503_5_11">'Verification Report'!$AS$167</definedName>
    <definedName name="vnt503_5_12">'Verification Report'!$AS$169</definedName>
    <definedName name="vnt503_5_13">'Verification Report'!$AS$171</definedName>
    <definedName name="vnt503_5_2">'Verification Report'!$AS$142</definedName>
    <definedName name="vnt503_5_3">'Verification Report'!$AS$144</definedName>
    <definedName name="vnt503_5_4">'Verification Report'!$AS$147</definedName>
    <definedName name="vnt503_5_5">'Verification Report'!$AS$149</definedName>
    <definedName name="vnt503_5_6">'Verification Report'!$AS$151</definedName>
    <definedName name="vnt503_5_7">'Verification Report'!$AS$156</definedName>
    <definedName name="vnt503_5_8">'Verification Report'!$AS$157</definedName>
    <definedName name="vnt503_5_9">'Verification Report'!$AS$162</definedName>
    <definedName name="vnt503_6">'Verification Report'!$AS$173</definedName>
    <definedName name="vnt503_7">'Verification Report'!$AS$180</definedName>
    <definedName name="vnt504_1">'Verification Report'!$AS$189</definedName>
    <definedName name="vnt504_2">'Verification Report'!$AS$194</definedName>
    <definedName name="vnt504_3">'Verification Report'!$AS$201</definedName>
    <definedName name="vnt504_3_1">'Verification Report'!$AS$204</definedName>
    <definedName name="vnt504_3_2">'Verification Report'!$AS$206</definedName>
    <definedName name="vnt504_3_3">'Verification Report'!$AS$207</definedName>
    <definedName name="vnt504_3_4">'Verification Report'!$AS$209</definedName>
    <definedName name="vnt504_3_5">'Verification Report'!$AS$211</definedName>
    <definedName name="vnt504_3_6">'Verification Report'!$AS$215</definedName>
    <definedName name="vnt504_3_7">'Verification Report'!$AS$218</definedName>
    <definedName name="vnt504_3_8">'Verification Report'!$AS$219</definedName>
    <definedName name="vnt505_1_1">'Verification Report'!$AS$233</definedName>
    <definedName name="vnt505_1_2">'Verification Report'!$AS$235</definedName>
    <definedName name="vnt505_1_3">'Verification Report'!$AS$236</definedName>
    <definedName name="vnt505_10_a">'Verification Report'!$AS$298</definedName>
    <definedName name="vnt505_10_b">'Verification Report'!$AS$300</definedName>
    <definedName name="vnt505_10_c">'Verification Report'!$AS$302</definedName>
    <definedName name="vnt505_11">'Verification Report'!$AS$304</definedName>
    <definedName name="vnt505_2_1">'Verification Report'!$AS$241</definedName>
    <definedName name="vnt505_2_2">'Verification Report'!$AS$251</definedName>
    <definedName name="vnt505_3">'Verification Report'!$AS$254</definedName>
    <definedName name="vnt505_4_1">'Verification Report'!$AS$261</definedName>
    <definedName name="vnt505_5_a">'Verification Report'!$AS$264</definedName>
    <definedName name="vnt505_5_b">'Verification Report'!$AS$266</definedName>
    <definedName name="vnt505_5_c">'Verification Report'!$AS$269</definedName>
    <definedName name="vnt505_5_d">'Verification Report'!$AS$270</definedName>
    <definedName name="vnt505_6">'Verification Report'!$AS$271</definedName>
    <definedName name="vnt505_7">'Verification Report'!$AS$282</definedName>
    <definedName name="vnt505_8">'Verification Report'!$AS$286</definedName>
    <definedName name="vnt505_9_a">'Verification Report'!$AS$289</definedName>
    <definedName name="vnt505_9_b">'Verification Report'!$AS$292</definedName>
    <definedName name="vnt505_9_c">'Verification Report'!$AS$293</definedName>
    <definedName name="vnt601_1">'Verification Report'!$AS$312</definedName>
    <definedName name="vnt601_2_1">'Verification Report'!$AS$330</definedName>
    <definedName name="vnt601_2_2">'Verification Report'!$AS$333</definedName>
    <definedName name="vnt601_2_3">'Verification Report'!$AS$336</definedName>
    <definedName name="vnt601_3_1">'Verification Report'!$AS$342</definedName>
    <definedName name="vnt601_3_2">'Verification Report'!$AS$343</definedName>
    <definedName name="vnt601_3_3">'Verification Report'!$AS$344</definedName>
    <definedName name="vnt601_3_4">'Verification Report'!$AS$345</definedName>
    <definedName name="vnt601_3_5">'Verification Report'!$AS$346</definedName>
    <definedName name="vnt601_4">'Verification Report'!$AS$347</definedName>
    <definedName name="vnt601_5_1">'Verification Report'!$AS$355</definedName>
    <definedName name="vnt601_5_2">'Verification Report'!$AS$356</definedName>
    <definedName name="vnt601_5_3">'Verification Report'!$AS$357</definedName>
    <definedName name="vnt601_5_4">'Verification Report'!$AS$358</definedName>
    <definedName name="vnt601_6">'Verification Report'!$AS$359</definedName>
    <definedName name="vnt601_7">'Verification Report'!$AS$364</definedName>
    <definedName name="vnt601_8">'Verification Report'!$AS$383</definedName>
    <definedName name="vnt602_1_1_1">'Verification Report'!$AS$396</definedName>
    <definedName name="vnt602_1_1_2">'Verification Report'!$AS$400</definedName>
    <definedName name="vnt602_1_10">'Verification Report'!$AS$513</definedName>
    <definedName name="vnt602_1_11">'Verification Report'!$AS$525</definedName>
    <definedName name="vnt602_1_12">'Verification Report'!$AS$529</definedName>
    <definedName name="vnt602_1_13">'Verification Report'!$AS$532</definedName>
    <definedName name="vnt602_1_14_1">'Verification Report'!$AS$538</definedName>
    <definedName name="vnt602_1_14_2">'Verification Report'!$AS$540</definedName>
    <definedName name="vnt602_1_14_3">'Verification Report'!$AS$541</definedName>
    <definedName name="vnt602_1_15">'Verification Report'!$AS$542</definedName>
    <definedName name="vnt602_1_2">'Verification Report'!$AS$403</definedName>
    <definedName name="vnt602_1_3_1">'Verification Report'!$AS$409</definedName>
    <definedName name="vnt602_1_3_2">'Verification Report'!$AS$412</definedName>
    <definedName name="vnt602_1_4_1_1">'Verification Report'!$AS$420</definedName>
    <definedName name="vnt602_1_4_1_2">'Verification Report'!$AS$422</definedName>
    <definedName name="vnt602_1_4_2_1">'Verification Report'!$AS$429</definedName>
    <definedName name="vnt602_1_4_2_2">'Verification Report'!$AS$431</definedName>
    <definedName name="vnt602_1_5">'Verification Report'!$AS$436</definedName>
    <definedName name="vnt602_1_6_1">'Verification Report'!$AS$445</definedName>
    <definedName name="vnt602_1_7_1_1">'Verification Report'!$AS$458</definedName>
    <definedName name="vnt602_1_7_1_2">'Verification Report'!$AS$460</definedName>
    <definedName name="vnt602_1_7_1_3">'Verification Report'!$AS$463</definedName>
    <definedName name="vnt602_1_7_2">'Verification Report'!$AS$465</definedName>
    <definedName name="vnt602_1_7_3">'Verification Report'!$AS$467</definedName>
    <definedName name="vnt602_1_8">'Verification Report'!$AS$471</definedName>
    <definedName name="vnt602_1_9_1">'Verification Report'!$AS$483</definedName>
    <definedName name="vnt602_1_9_2">'Verification Report'!$AS$495</definedName>
    <definedName name="vnt602_1_9_3">'Verification Report'!$AS$498</definedName>
    <definedName name="vnt602_1_9_4">'Verification Report'!$AS$499</definedName>
    <definedName name="vnt602_1_9_5">'Verification Report'!$AS$503</definedName>
    <definedName name="vnt602_1_9_6">'Verification Report'!$AS$509</definedName>
    <definedName name="vnt602_1_9_7">'Verification Report'!$AS$511</definedName>
    <definedName name="vnt602_2_1">'Verification Report'!$AS$549</definedName>
    <definedName name="vnt602_2_2">'Verification Report'!$AS$551</definedName>
    <definedName name="vnt602_2_3">'Verification Report'!$AS$552</definedName>
    <definedName name="vnt602_3">'Verification Report'!$AS$555</definedName>
    <definedName name="vnt602_4_1">'Verification Report'!$AS$559</definedName>
    <definedName name="vnt602_4_2">'Verification Report'!$AS$564</definedName>
    <definedName name="vnt602_4_3">'Verification Report'!$AS$566</definedName>
    <definedName name="vnt603_1">'Verification Report'!$AS$571</definedName>
    <definedName name="vnt603_2">'Verification Report'!$AS$577</definedName>
    <definedName name="vnt603_3">'Verification Report'!$AS$584</definedName>
    <definedName name="vnt604_1a">'Verification Report'!$AS$588</definedName>
    <definedName name="vnt604_1b">'Verification Report'!$AS$590</definedName>
    <definedName name="vnt604_1c">'Verification Report'!$AS$592</definedName>
    <definedName name="vnt604_1d">'Verification Report'!$AS$594</definedName>
    <definedName name="vnt605_1">'Verification Report'!$AS$598</definedName>
    <definedName name="vnt605_2">'Verification Report'!$AS$601</definedName>
    <definedName name="vnt605_3">'Verification Report'!$AS$616</definedName>
    <definedName name="vnt605_4_2_a">'Verification Report'!$AS$629</definedName>
    <definedName name="vnt605_4_2_h">'Verification Report'!$AS$636</definedName>
    <definedName name="vnt605_4_2_i">'Verification Report'!$AS$637</definedName>
    <definedName name="vnt606_1_a">'Verification Report'!$AS$642</definedName>
    <definedName name="vnt606_2_1a">'Verification Report'!$AS$673</definedName>
    <definedName name="vnt606_2_1b">'Verification Report'!$AS$674</definedName>
    <definedName name="vnt606_2_2a">'Verification Report'!$AS$676</definedName>
    <definedName name="vnt606_2_2b">'Verification Report'!$AS$677</definedName>
    <definedName name="vnt606_3">'Verification Report'!$AS$679</definedName>
    <definedName name="vnt607_1_1">'Verification Report'!$AS$688</definedName>
    <definedName name="vnt607_1_2">'Verification Report'!$AS$693</definedName>
    <definedName name="vnt607_2">'Verification Report'!$AS$699</definedName>
    <definedName name="vnt608_1">'Verification Report'!$AS$702</definedName>
    <definedName name="vnt609_1_1">'Verification Report'!$AS$714</definedName>
    <definedName name="vnt609_1_2">'Verification Report'!$AS$716</definedName>
    <definedName name="vnt610_1">'Verification Report'!$AS$724</definedName>
    <definedName name="vnt610_1_1_1">'Verification Report'!$AS$733</definedName>
    <definedName name="vnt610_1_1_2">'Verification Report'!$AS$742</definedName>
    <definedName name="vnt610_1_1_3">'Verification Report'!$AS$749</definedName>
    <definedName name="vnt610_1_2_1">'Verification Report'!$AS$755</definedName>
    <definedName name="vnt610_1_2_1_e">'Verification Report'!$AS$762</definedName>
    <definedName name="vnt610_1_2_2_e">'Verification Report'!$AS$787</definedName>
    <definedName name="vnt610_1_2_2a">'Verification Report'!$AS$769</definedName>
    <definedName name="vnt610_1_2_2b">'Verification Report'!$AS$775</definedName>
    <definedName name="vnt610_1_2_2c">'Verification Report'!$AS$781</definedName>
    <definedName name="vnt611_1_1">'Verification Report'!$AS$799</definedName>
    <definedName name="vnt611_1_2">'Verification Report'!$AS$809</definedName>
    <definedName name="vnt612_1">'Verification Report'!$AS$817</definedName>
    <definedName name="vnt612_2_1">'Verification Report'!$AS$828</definedName>
    <definedName name="vnt612_2_2">'Verification Report'!$AS$829</definedName>
    <definedName name="vnt612_2_3">'Verification Report'!$AS$831</definedName>
    <definedName name="vnt612_2_4">'Verification Report'!$AS$833</definedName>
    <definedName name="vnt612_2_5">'Verification Report'!$AS$835</definedName>
    <definedName name="vnt612_2_6">'Verification Report'!$AS$837</definedName>
    <definedName name="vnt612_2_7">'Verification Report'!$AS$839</definedName>
    <definedName name="vnt612_3_1">'Verification Report'!$AS$843</definedName>
    <definedName name="vnt612_3_2">'Verification Report'!$AS$848</definedName>
    <definedName name="vnt612_3_3">'Verification Report'!$AS$852</definedName>
    <definedName name="vnt612_3_4">'Verification Report'!$AS$854</definedName>
    <definedName name="vnt612_3_5">'Verification Report'!$AS$856</definedName>
    <definedName name="vnt612_3_6">'Verification Report'!$AS$857</definedName>
    <definedName name="vnt612_3_7">'Verification Report'!$AS$858</definedName>
    <definedName name="vnt612_3_8">'Verification Report'!$AS$862</definedName>
    <definedName name="vnt612_3_9">'Verification Report'!$AS$864</definedName>
    <definedName name="vnt613_1">'Verification Report'!$AS$868</definedName>
    <definedName name="vnt701_4_0">'Verification Report'!$AS$886</definedName>
    <definedName name="vnt701_4_1_1">'Verification Report'!$AS$893</definedName>
    <definedName name="vnt701_4_1_2">'Verification Report'!$AS$896</definedName>
    <definedName name="vnt701_4_2_1">'Verification Report'!$AS$902</definedName>
    <definedName name="vnt701_4_2_2">'Verification Report'!$AS$905</definedName>
    <definedName name="vnt701_4_2_3">'Verification Report'!$AS$908</definedName>
    <definedName name="vnt701_4_3_1">'Verification Report'!$AS$911</definedName>
    <definedName name="vnt701_4_3_1_a">'Verification Report'!$AS$916</definedName>
    <definedName name="vnt701_4_3_1_b">'Verification Report'!$AS$917</definedName>
    <definedName name="vnt701_4_3_1_c">'Verification Report'!$AS$918</definedName>
    <definedName name="vnt701_4_3_1_d">'Verification Report'!$AS$919</definedName>
    <definedName name="vnt701_4_3_1_e">'Verification Report'!$AS$920</definedName>
    <definedName name="vnt701_4_3_1_f">'Verification Report'!$AS$921</definedName>
    <definedName name="vnt701_4_3_1_g">'Verification Report'!$AS$922</definedName>
    <definedName name="vnt701_4_3_1_h">'Verification Report'!$AS$923</definedName>
    <definedName name="vnt701_4_3_1_i">'Verification Report'!$AS$924</definedName>
    <definedName name="vnt701_4_3_1_j">'Verification Report'!$AS$925</definedName>
    <definedName name="vnt701_4_3_1_k">'Verification Report'!$AS$926</definedName>
    <definedName name="vnt701_4_3_1_l">'Verification Report'!$AS$927</definedName>
    <definedName name="vnt701_4_3_1_m">'Verification Report'!$AS$928</definedName>
    <definedName name="vnt701_4_3_2_1">'Verification Report'!$AS$955</definedName>
    <definedName name="vnt701_4_3_2_1_">'Verification Report'!$AS$933</definedName>
    <definedName name="vnt701_4_3_2_1_1">'Verification Report'!$AS$959</definedName>
    <definedName name="vnt701_4_3_2_1_2">'Verification Report'!$AS$960</definedName>
    <definedName name="vnt701_4_3_2_1_3">'Verification Report'!$AS$964</definedName>
    <definedName name="vnt701_4_3_2_1_4">'Verification Report'!$AS$966</definedName>
    <definedName name="vnt701_4_3_2_1_5">'Verification Report'!$AS$969</definedName>
    <definedName name="vnt701_4_3_2_1_6">'Verification Report'!$AS$971</definedName>
    <definedName name="vnt701_4_3_2_1_7">'Verification Report'!$AS$972</definedName>
    <definedName name="vnt701_4_3_2_1_8">'Verification Report'!$AS$973</definedName>
    <definedName name="vnt701_4_3_2_1_9">'Verification Report'!$AS$976</definedName>
    <definedName name="vnt701_4_3_2_1_a">'Verification Report'!$AS$941</definedName>
    <definedName name="vnt701_4_3_2_1_b">'Verification Report'!$AS$942</definedName>
    <definedName name="vnt701_4_3_2_1_c">'Verification Report'!$AS$944</definedName>
    <definedName name="vnt701_4_3_2_1_d">'Verification Report'!$AS$945</definedName>
    <definedName name="vnt701_4_3_2_1_e">'Verification Report'!$AS$947</definedName>
    <definedName name="vnt701_4_3_2_1_f">'Verification Report'!$AS$948</definedName>
    <definedName name="vnt701_4_3_2_1_g">'Verification Report'!$AS$949</definedName>
    <definedName name="vnt701_4_3_2_1_h">'Verification Report'!$AS$950</definedName>
    <definedName name="vnt701_4_3_2_2">'Verification Report'!$AS$952</definedName>
    <definedName name="vnt701_4_3_2e">'Verification Report'!$AS$936</definedName>
    <definedName name="vnt701_4_3_3">'Verification Report'!$AS$978</definedName>
    <definedName name="vnt701_4_3_4">'Verification Report'!$AS$981</definedName>
    <definedName name="vnt701_4_3_5">'Verification Report'!$AS$991</definedName>
    <definedName name="vnt701_4_4">'Verification Report'!$AS$998</definedName>
    <definedName name="vnt701_4_5">'Verification Report'!$AS$1000</definedName>
    <definedName name="vnt701_4_6">'Verification Report'!$AS$1003</definedName>
    <definedName name="vnt701_4_7">'Verification Report'!$AS$1007</definedName>
    <definedName name="vnt703_1_1">'Verification Report'!$AS$1034</definedName>
    <definedName name="vnt703_1_2">'Verification Report'!$AS$1046</definedName>
    <definedName name="vnt703_1_3">'Verification Report'!$AS$1049</definedName>
    <definedName name="vnt703_2_1">'Verification Report'!$AS$1052</definedName>
    <definedName name="vnt703_2_2">'Verification Report'!$AS$1059</definedName>
    <definedName name="vnt703_2_3">'Verification Report'!$AS$1061</definedName>
    <definedName name="vnt703_2_4">'Verification Report'!$AS$1065</definedName>
    <definedName name="vnt703_2_5_1">'Verification Report'!$AS$1070</definedName>
    <definedName name="vnt703_2_5_1_1">'Verification Report'!$AS$1077</definedName>
    <definedName name="vnt703_2_5_2">'Verification Report'!$AS$1086</definedName>
    <definedName name="vnt703_2_5_2_1">'Verification Report'!$AS$1096</definedName>
    <definedName name="vnt703_3_0_1">'Verification Report'!$AS$1106</definedName>
    <definedName name="vnt703_3_0_2">'Verification Report'!$AS$1112</definedName>
    <definedName name="vnt703_3_1">'Verification Report'!$AS$1119</definedName>
    <definedName name="vnt703_3_2_1">'Verification Report'!$AS$1125</definedName>
    <definedName name="vnt703_3_2_2">'Verification Report'!$AS$1131</definedName>
    <definedName name="vnt703_3_2_3">'Verification Report'!$AS$1134</definedName>
    <definedName name="vnt703_3_2_4">'Verification Report'!$AS$1139</definedName>
    <definedName name="vnt703_3_3_1">'Verification Report'!$AS$1145</definedName>
    <definedName name="vnt703_3_3_2">'Verification Report'!$AS$1151</definedName>
    <definedName name="vnt703_3_3_3">'Verification Report'!$AS$1153</definedName>
    <definedName name="vnt703_3_4_1">'Verification Report'!$AS$1157</definedName>
    <definedName name="vnt703_3_4_1_6">'Verification Report'!$AS$1163</definedName>
    <definedName name="vnt703_3_4_2">'Verification Report'!$AS$1165</definedName>
    <definedName name="vnt703_3_5">'Verification Report'!$AS$1166</definedName>
    <definedName name="vnt703_3_6">'Verification Report'!$AS$1169</definedName>
    <definedName name="vnt703_3_7">'Verification Report'!$AS$1176</definedName>
    <definedName name="vnt703_3_8">'Verification Report'!$AS$1183</definedName>
    <definedName name="vnt703_4_1">'Verification Report'!$AS$1188</definedName>
    <definedName name="vnt703_4_2">'Verification Report'!$AS$1189</definedName>
    <definedName name="vnt703_4_3_1">'Verification Report'!$AS$1191</definedName>
    <definedName name="vnt703_4_3_2">'Verification Report'!$AS$1192</definedName>
    <definedName name="vnt703_4_3_3">'Verification Report'!$AS$1194</definedName>
    <definedName name="vnt703_4_4">'Verification Report'!$AS$1195</definedName>
    <definedName name="vnt703_5_1">'Verification Report'!$AS$1205</definedName>
    <definedName name="vnt703_5_2">'Verification Report'!$AS$1254</definedName>
    <definedName name="vnt703_5_3">'Verification Report'!$AS$1256</definedName>
    <definedName name="vnt703_5_4">'Verification Report'!$AS$1258</definedName>
    <definedName name="vnt703_5_5">'Verification Report'!$AS$1260</definedName>
    <definedName name="vnt703_6_1_1">'Verification Report'!$AS$1281</definedName>
    <definedName name="vnt703_6_1_2">'Verification Report'!$AS$1283</definedName>
    <definedName name="vnt703_6_1_3">'Verification Report'!$AS$1285</definedName>
    <definedName name="vnt703_6_2_1">'Verification Report'!$AS$1288</definedName>
    <definedName name="vnt703_6_2_2">'Verification Report'!$AS$1289</definedName>
    <definedName name="vnt703_6_2_3">'Verification Report'!$AS$1290</definedName>
    <definedName name="vnt703_7_1_1">'Verification Report'!$AS$1295</definedName>
    <definedName name="vnt703_7_1_2">'Verification Report'!$AS$1297</definedName>
    <definedName name="vnt703_7_1_3">'Verification Report'!$AS$1300</definedName>
    <definedName name="vnt703_7_1_4">'Verification Report'!$AS$1302</definedName>
    <definedName name="vnt703_7_1_5">'Verification Report'!$AS$1304</definedName>
    <definedName name="vnt703_7_1_6_a">'Verification Report'!$AS$1307</definedName>
    <definedName name="vnt703_7_1_6_b">'Verification Report'!$AS$1308</definedName>
    <definedName name="vnt703_7_1_6_c">'Verification Report'!$AS$1309</definedName>
    <definedName name="vnt703_7_1_7">'Verification Report'!$AS$1311</definedName>
    <definedName name="vnt703_7_1_8">'Verification Report'!$AS$1313</definedName>
    <definedName name="vnt703_7_1_9">'Verification Report'!$AS$1314</definedName>
    <definedName name="vnt703_7_2">'Verification Report'!$AS$1321</definedName>
    <definedName name="vnt703_7_3_1_a">'Verification Report'!$AS$1329</definedName>
    <definedName name="vnt703_7_3_1_b">'Verification Report'!$AS$1331</definedName>
    <definedName name="vnt703_7_3_1_c">'Verification Report'!$AS$1332</definedName>
    <definedName name="vnt703_7_3_1_d">'Verification Report'!$AS$1333</definedName>
    <definedName name="vnt703_7_3_2">'Verification Report'!$AS$1335</definedName>
    <definedName name="vnt703_7_3_3">'Verification Report'!$AS$1337</definedName>
    <definedName name="vnt703_7_3_4">'Verification Report'!$AS$1339</definedName>
    <definedName name="vnt703_7_3_5_a">'Verification Report'!$AS$1344</definedName>
    <definedName name="vnt703_7_3_5_b">'Verification Report'!$AS$1346</definedName>
    <definedName name="vnt703_7_3_6">'Verification Report'!$AS$1348</definedName>
    <definedName name="vnt703_7_4_1">'Verification Report'!$AS$1353</definedName>
    <definedName name="vnt703_7_4_2_a">'Verification Report'!$AS$1357</definedName>
    <definedName name="vnt703_7_4_2_b">'Verification Report'!$AS$1360</definedName>
    <definedName name="vnt703_7_4_2_c">'Verification Report'!$AS$1368</definedName>
    <definedName name="vnt703_7_4_3">'Verification Report'!$AS$1371</definedName>
    <definedName name="vnt705_2_1_1">'Verification Report'!$AS$1379</definedName>
    <definedName name="vnt705_2_1_2">'Verification Report'!$AS$1383</definedName>
    <definedName name="vnt705_2_1_3_1">'Verification Report'!$AS$1387</definedName>
    <definedName name="vnt705_2_1_3_2">'Verification Report'!$AS$1391</definedName>
    <definedName name="vnt705_2_1_4">'Verification Report'!$AS$1396</definedName>
    <definedName name="vnt705_2_2">'Verification Report'!$AS$1401</definedName>
    <definedName name="vnt705_2_3">'Verification Report'!$AS$1404</definedName>
    <definedName name="vnt705_2_4">'Verification Report'!$AS$1406</definedName>
    <definedName name="vnt705_3">'Verification Report'!$AS$1409</definedName>
    <definedName name="vnt705_4">'Verification Report'!$AS$1410</definedName>
    <definedName name="vnt705_5_1_1">'Verification Report'!$AS$1415</definedName>
    <definedName name="vnt705_5_1_2">'Verification Report'!$AS$1418</definedName>
    <definedName name="vnt705_5_2">'Verification Report'!$AS$1420</definedName>
    <definedName name="vnt705_5_2_1">'Verification Report'!$AS$1422</definedName>
    <definedName name="vnt705_5_2_2">'Verification Report'!$AS$1423</definedName>
    <definedName name="vnt705_5_2_3">'Verification Report'!$AS$1424</definedName>
    <definedName name="vnt705_5_2_4">'Verification Report'!$AS$1425</definedName>
    <definedName name="vnt705_5_2_5">'Verification Report'!$AS$1426</definedName>
    <definedName name="vnt705_5_2_6">'Verification Report'!$AS$1427</definedName>
    <definedName name="vnt705_5_3_1">'Verification Report'!$AS$1429</definedName>
    <definedName name="vnt705_6_1">'Verification Report'!$AS$1433</definedName>
    <definedName name="vnt705_6_2_1_1">'Verification Report'!$AS$1450</definedName>
    <definedName name="vnt705_6_2_1_2">'Verification Report'!$AS$1453</definedName>
    <definedName name="vnt705_6_2_2_1">'Verification Report'!$AS$1459</definedName>
    <definedName name="vnt705_6_2_2_2">'Verification Report'!$AS$1461</definedName>
    <definedName name="vnt705_6_2_3">'Verification Report'!$AS$1464</definedName>
    <definedName name="vnt705_6_3_a">'Verification Report'!$AS$1473</definedName>
    <definedName name="vnt705_6_3_b">'Verification Report'!$AS$1474</definedName>
    <definedName name="vnt705_6_3_c">'Verification Report'!$AS$1475</definedName>
    <definedName name="vnt705_6_3_d">'Verification Report'!$AS$1476</definedName>
    <definedName name="vnt705_6_3_e">'Verification Report'!$AS$1477</definedName>
    <definedName name="vnt705_6_3_f">'Verification Report'!$AS$1478</definedName>
    <definedName name="vnt705_6_3_g">'Verification Report'!$AS$1479</definedName>
    <definedName name="vnt705_6_4_1">'Verification Report'!$AS$1482</definedName>
    <definedName name="vnt705_6_4_2">'Verification Report'!$AS$1484</definedName>
    <definedName name="vnt705_7">'Verification Report'!$AS$1486</definedName>
    <definedName name="vnt706_1_1">'Verification Report'!$AS$1493</definedName>
    <definedName name="vnt706_1_2">'Verification Report'!$AS$1494</definedName>
    <definedName name="vnt706_1_3">'Verification Report'!$AS$1495</definedName>
    <definedName name="vnt706_1_4">'Verification Report'!$AS$1496</definedName>
    <definedName name="vnt706_1_5">'Verification Report'!$AS$1498</definedName>
    <definedName name="vnt706_10">'Verification Report'!$AS$1568</definedName>
    <definedName name="vnt706_11">'Verification Report'!$AS$1573</definedName>
    <definedName name="vnt706_12">'Verification Report'!$AS$1575</definedName>
    <definedName name="vnt706_13">'Verification Report'!$AS$1579</definedName>
    <definedName name="vnt706_14_1">'Verification Report'!$AS$1584</definedName>
    <definedName name="vnt706_14_2">'Verification Report'!$AS$1588</definedName>
    <definedName name="vnt706_15_1">'Verification Report'!$AS$1593</definedName>
    <definedName name="vnt706_15_2">'Verification Report'!$AS$1594</definedName>
    <definedName name="vnt706_2_1">'Verification Report'!$AS$1501</definedName>
    <definedName name="vnt706_2_2">'Verification Report'!$AS$1506</definedName>
    <definedName name="vnt706_3">'Verification Report'!$AS$1513</definedName>
    <definedName name="vnt706_3_1">'Verification Report'!$AS$1517</definedName>
    <definedName name="vnt706_3_2">'Verification Report'!$AS$1518</definedName>
    <definedName name="vnt706_3_3">'Verification Report'!$AS$1519</definedName>
    <definedName name="vnt706_3_4">'Verification Report'!$AS$1520</definedName>
    <definedName name="vnt706_3_5">'Verification Report'!$AS$1521</definedName>
    <definedName name="vnt706_3_6">'Verification Report'!$AS$1522</definedName>
    <definedName name="vnt706_3_7">'Verification Report'!$AS$1523</definedName>
    <definedName name="vnt706_3_8">'Verification Report'!$AS$1524</definedName>
    <definedName name="vnt706_4_1_1">'Verification Report'!$AS$1531</definedName>
    <definedName name="vnt706_4_1_2">'Verification Report'!$AS$1533</definedName>
    <definedName name="vnt706_4_2">'Verification Report'!$AS$1535</definedName>
    <definedName name="vnt706_5_1">'Verification Report'!$AS$1538</definedName>
    <definedName name="vnt706_6">'Verification Report'!$AS$1552</definedName>
    <definedName name="vnt706_7_1">'Verification Report'!$AS$1558</definedName>
    <definedName name="vnt706_7_2">'Verification Report'!$AS$1559</definedName>
    <definedName name="vnt706_8">'Verification Report'!$AS$1560</definedName>
    <definedName name="vnt706_9">'Verification Report'!$AS$1563</definedName>
    <definedName name="vnt802_1_1">'Verification Report'!$AS$1637</definedName>
    <definedName name="vnt802_1_5">'Verification Report'!$AS$1648</definedName>
    <definedName name="vnt802_1_6">'Verification Report'!$AS$1653</definedName>
    <definedName name="vnt802_10_1">'Verification Report'!$AS$1828</definedName>
    <definedName name="vnt802_10_1_1">'Verification Report'!$AS$1831</definedName>
    <definedName name="vnt802_2_1">'Verification Report'!$AS$1658</definedName>
    <definedName name="vnt802_2_2">'Verification Report'!$AS$1659</definedName>
    <definedName name="vnt802_3_1_a">'Verification Report'!$AS$1665</definedName>
    <definedName name="vnt802_3_1_b">'Verification Report'!$AS$1667</definedName>
    <definedName name="vnt802_3_2_a">'Verification Report'!$AS$1674</definedName>
    <definedName name="vnt802_3_2_b">'Verification Report'!$AS$1676</definedName>
    <definedName name="vnt802_4_1">'Verification Report'!$AS$1681</definedName>
    <definedName name="vnt802_4_2">'Verification Report'!$AS$1692</definedName>
    <definedName name="vnt802_4_3">'Verification Report'!$AS$1697</definedName>
    <definedName name="vnt802_5_1">'Verification Report'!$AS$1701</definedName>
    <definedName name="vnt802_5_2">'Verification Report'!$AS$1713</definedName>
    <definedName name="vnt802_5_3">'Verification Report'!$AS$1718</definedName>
    <definedName name="vnt802_5_4_1">'Verification Report'!$AS$1722</definedName>
    <definedName name="vnt802_5_4_2">'Verification Report'!$AS$1724</definedName>
    <definedName name="vnt802_5_4_3">'Verification Report'!$AS$1731</definedName>
    <definedName name="vnt802_5_4_4_a">'Verification Report'!$AS$1734</definedName>
    <definedName name="vnt802_5_4_4_b">'Verification Report'!$AS$1738</definedName>
    <definedName name="vnt802_5_4_4_c">'Verification Report'!$AS$1740</definedName>
    <definedName name="vnt802_6_1">'Verification Report'!$AS$1743</definedName>
    <definedName name="vnt802_6_2">'Verification Report'!$AS$1745</definedName>
    <definedName name="vnt802_6_3_1">'Verification Report'!$AS$1749</definedName>
    <definedName name="vnt802_6_3_2">'Verification Report'!$AS$1750</definedName>
    <definedName name="vnt802_6_3_3">'Verification Report'!$AS$1751</definedName>
    <definedName name="vnt802_6_4_1">'Verification Report'!$AS$1755</definedName>
    <definedName name="vnt802_6_4_2">'Verification Report'!$AS$1757</definedName>
    <definedName name="vnt802_6_5_1">'Verification Report'!$AS$1761</definedName>
    <definedName name="vnt802_6_5_2">'Verification Report'!$AS$1763</definedName>
    <definedName name="vnt802_6_5_3">'Verification Report'!$AS$1765</definedName>
    <definedName name="vnt802_6_5_4">'Verification Report'!$AS$1766</definedName>
    <definedName name="vnt802_6_5_5">'Verification Report'!$AS$1768</definedName>
    <definedName name="vnt802_7_1">'Verification Report'!$AS$1772</definedName>
    <definedName name="vnt802_7_2_1">'Verification Report'!$AS$1786</definedName>
    <definedName name="vnt802_7_2_2">'Verification Report'!$AS$1788</definedName>
    <definedName name="vnt802_8">'Verification Report'!$AS$1811</definedName>
    <definedName name="vnt802_9_1">'Verification Report'!$AS$1814</definedName>
    <definedName name="vnt802_9_2">'Verification Report'!$AS$1822</definedName>
    <definedName name="vnt803_1_1">'Verification Report'!$AS$1837</definedName>
    <definedName name="vnt803_1_2">'Verification Report'!$AS$1839</definedName>
    <definedName name="vnt803_2">'Verification Report'!$AS$1840</definedName>
    <definedName name="vnt803_3">'Verification Report'!$AS$1843</definedName>
    <definedName name="vnt803_4">'Verification Report'!$AS$1848</definedName>
    <definedName name="vnt803_5">'Verification Report'!$AS$1851</definedName>
    <definedName name="vnt803_6">'Verification Report'!$AS$1853</definedName>
    <definedName name="vnt901_1_1">'Verification Report'!$AS$1859</definedName>
    <definedName name="vnt901_1_2">'Verification Report'!$AS$1865</definedName>
    <definedName name="vnt901_1_3_1">'Verification Report'!$AS$1870</definedName>
    <definedName name="vnt901_1_3_2">'Verification Report'!$AS$1873</definedName>
    <definedName name="vnt901_1_4">'Verification Report'!$AS$1876</definedName>
    <definedName name="vnt901_1_5">'Verification Report'!$AS$1881</definedName>
    <definedName name="vnt901_1_6">'Verification Report'!$AS$1884</definedName>
    <definedName name="vnt901_10_1">'Verification Report'!$AS$2003</definedName>
    <definedName name="vnt901_10_2">'Verification Report'!$AS$2008</definedName>
    <definedName name="vnt901_10_3">'Verification Report'!$AS$2009</definedName>
    <definedName name="vnt901_11">'Verification Report'!$AS$2013</definedName>
    <definedName name="vnt901_12">'Verification Report'!$AS$2018</definedName>
    <definedName name="vnt901_13">'Verification Report'!$AS$2024</definedName>
    <definedName name="vnt901_14">'Verification Report'!$AS$2026</definedName>
    <definedName name="vnt901_15_1">'Verification Report'!$AS$2032</definedName>
    <definedName name="vnt901_15_2">'Verification Report'!$AS$2034</definedName>
    <definedName name="vnt901_16">'Verification Report'!$AS$2036</definedName>
    <definedName name="vnt901_2_1_1">'Verification Report'!$AS$1890</definedName>
    <definedName name="vnt901_2_1_2">'Verification Report'!$AS$1893</definedName>
    <definedName name="vnt901_2_1_3">'Verification Report'!$AS$1895</definedName>
    <definedName name="vnt901_2_1_4">'Verification Report'!$AS$1898</definedName>
    <definedName name="vnt901_2_1_5">'Verification Report'!$AS$1900</definedName>
    <definedName name="vnt901_2_2">'Verification Report'!$AS$1902</definedName>
    <definedName name="vnt901_3_1_a">'Verification Report'!$AS$1905</definedName>
    <definedName name="vnt901_3_1_b">'Verification Report'!$AS$1907</definedName>
    <definedName name="vnt901_3_1_c">'Verification Report'!$AS$1909</definedName>
    <definedName name="vnt901_3_2">'Verification Report'!$AS$1915</definedName>
    <definedName name="vnt901_4_1">'Verification Report'!$AS$1920</definedName>
    <definedName name="vnt901_4_a">'Verification Report'!$AS$1925</definedName>
    <definedName name="vnt901_5_1">'Verification Report'!$AS$1939</definedName>
    <definedName name="vnt901_5_2">'Verification Report'!$AS$1941</definedName>
    <definedName name="vnt901_6">'Verification Report'!$AS$1944</definedName>
    <definedName name="vnt901_7_1">'Verification Report'!$AS$1953</definedName>
    <definedName name="vnt901_7_2">'Verification Report'!$AS$1964</definedName>
    <definedName name="vnt901_8">'Verification Report'!$AS$1968</definedName>
    <definedName name="vnt901_9">'Verification Report'!$AS$1974</definedName>
    <definedName name="vnt901_9_1_1">'Verification Report'!$AS$1980</definedName>
    <definedName name="vnt901_9_1_2">'Verification Report'!$AS$1982</definedName>
    <definedName name="vnt901_9_1_3">'Verification Report'!$AS$1983</definedName>
    <definedName name="vnt901_9_2">'Verification Report'!$AS$1985</definedName>
    <definedName name="vnt901_9_3">'Verification Report'!$AS$1990</definedName>
    <definedName name="vnt901_9_4">'Verification Report'!$AS$1996</definedName>
    <definedName name="vnt902_1_1_1">'Verification Report'!$AS$2042</definedName>
    <definedName name="vnt902_1_1_1_a">'Verification Report'!$AS$2044</definedName>
    <definedName name="vnt902_1_1_2">'Verification Report'!$AS$2046</definedName>
    <definedName name="vnt902_1_1_3">'Verification Report'!$AS$2048</definedName>
    <definedName name="vnt902_1_2">'Verification Report'!$AS$2051</definedName>
    <definedName name="vnt902_1_3">'Verification Report'!$AS$2055</definedName>
    <definedName name="vnt902_1_4">'Verification Report'!$AS$2059</definedName>
    <definedName name="vnt902_1_5_1">'Verification Report'!$AS$2066</definedName>
    <definedName name="vnt902_1_5_2">'Verification Report'!$AS$2068</definedName>
    <definedName name="vnt902_1_5_3">'Verification Report'!$AS$2070</definedName>
    <definedName name="vnt902_1_6">'Verification Report'!$AS$2073</definedName>
    <definedName name="vnt902_2_1">'Verification Report'!$AS$2077</definedName>
    <definedName name="vnt902_2_2">'Verification Report'!$AS$2088</definedName>
    <definedName name="vnt902_2_3">'Verification Report'!$AS$2090</definedName>
    <definedName name="vnt902_2_4">'Verification Report'!$AS$2093</definedName>
    <definedName name="vnt902_2_5">'Verification Report'!$AS$2096</definedName>
    <definedName name="vnt902_3">'Verification Report'!$AS$2098</definedName>
    <definedName name="vnt902_3_1">'Verification Report'!$AS$2103</definedName>
    <definedName name="vnt902_3_1_1">'Verification Report'!$AS$2109</definedName>
    <definedName name="vnt902_3_2_1">'Verification Report'!$AS$2149</definedName>
    <definedName name="vnt902_3_2_2">'Verification Report'!$AS$2172</definedName>
    <definedName name="vnt902_4_1">'Verification Report'!$AS$2176</definedName>
    <definedName name="vnt902_4_2">'Verification Report'!$AS$2178</definedName>
    <definedName name="vnt902_4_3">'Verification Report'!$AS$2181</definedName>
    <definedName name="vnt902_5">'Verification Report'!$AS$2184</definedName>
    <definedName name="vnt902_6">'Verification Report'!$AS$2186</definedName>
    <definedName name="vnt903_1">'Verification Report'!$AS$2190</definedName>
    <definedName name="vnt903_2">'Verification Report'!$AS$2194</definedName>
    <definedName name="vnt903_3">'Verification Report'!$AS$2198</definedName>
    <definedName name="vnt904_1">'Verification Report'!$AS$2206</definedName>
    <definedName name="vnt904_2">'Verification Report'!$AS$2211</definedName>
    <definedName name="vnt904_3_1">'Verification Report'!$AS$2216</definedName>
    <definedName name="vnt904_3_2">'Verification Report'!$AS$2223</definedName>
    <definedName name="vnt905_1">'Verification Report'!$AS$2227</definedName>
    <definedName name="vnt905_2">'Verification Report'!$AS$2232</definedName>
    <definedName name="vnt905_3_1">'Verification Report'!$AS$2235</definedName>
    <definedName name="vnt905_3_2">'Verification Report'!$AS$2236</definedName>
    <definedName name="vnt905_4">'Verification Report'!$AS$2238</definedName>
    <definedName name="vnt905_5">'Verification Report'!$AS$2243</definedName>
    <definedName name="vnt905_6">'Verification Report'!$AS$2247</definedName>
    <definedName name="vpa1001_1">'Verification Report'!$AM$2259</definedName>
    <definedName name="vpa1001_1_1">'Verification Report'!$AM$2262</definedName>
    <definedName name="vpa1001_1_2">'Verification Report'!$AM$2263</definedName>
    <definedName name="vpa1001_1_3">'Verification Report'!$AM$2264</definedName>
    <definedName name="vpa1001_1_9">'Verification Report'!$AM$2275</definedName>
    <definedName name="vpa1001_2">'Verification Report'!$AM$2311</definedName>
    <definedName name="vpa1001_2_m">'Verification Report'!$AM$2309</definedName>
    <definedName name="vpa1002_1">'Verification Report'!$AM$2328</definedName>
    <definedName name="vpa1002_1_1">'Verification Report'!$AM$2331</definedName>
    <definedName name="vpa1002_1_2">'Verification Report'!$AM$2334</definedName>
    <definedName name="vpa1002_1_3">'Verification Report'!$AM$2337</definedName>
    <definedName name="vpa1002_2">'Verification Report'!$AM$2346</definedName>
    <definedName name="vpa1002_2_1">'Verification Report'!$AM$2350</definedName>
    <definedName name="vpa1002_2_11">'Verification Report'!$AM$2371</definedName>
    <definedName name="vpa1002_2_2">'Verification Report'!$AM$2352</definedName>
    <definedName name="vpa1002_3">'Verification Report'!$AM$2373</definedName>
    <definedName name="vpa1002_3_1">'Verification Report'!$AM$2377</definedName>
    <definedName name="vpa1002_4">'Verification Report'!$AM$2403</definedName>
    <definedName name="vpa1002_4_m">'Verification Report'!$AM$2401</definedName>
    <definedName name="vpa1002_5">'Verification Report'!$AM$2414</definedName>
    <definedName name="vpa1002_5_1">'Verification Report'!$AM$2416</definedName>
    <definedName name="vpa1002_5_2">'Verification Report'!$AM$2417</definedName>
    <definedName name="vpa1002_5_3">'Verification Report'!$AM$2418</definedName>
    <definedName name="vpa1002_6">'Verification Report'!$AM$2426</definedName>
    <definedName name="vpa1003_1">'Verification Report'!$AM$2441</definedName>
    <definedName name="vpa1003_1_1">'Verification Report'!$AM$2442</definedName>
    <definedName name="vpa1003_1_2">'Verification Report'!$AM$2444</definedName>
    <definedName name="vpa1003_1_3">'Verification Report'!$AM$2447</definedName>
    <definedName name="vpa1005_1_1">'Verification Report'!$AM$2452</definedName>
    <definedName name="vpa1005_1_2">'Verification Report'!$AM$2455</definedName>
    <definedName name="vpa1005_1_3">'Verification Report'!$AM$2459</definedName>
    <definedName name="vpa305_2_5">'Verification Report'!$AM$884</definedName>
    <definedName name="vpa501_2_1">'Verification Report'!$AM$15</definedName>
    <definedName name="vpa501_2_2">'Verification Report'!$AM$17</definedName>
    <definedName name="vpa501_2_3">'Verification Report'!$AM$19</definedName>
    <definedName name="vpa501_2_3_a">'Verification Report'!$AM$32</definedName>
    <definedName name="vpa501_2_3_b">'Verification Report'!$AM$33</definedName>
    <definedName name="vpa501_2_4">'Verification Report'!$AM$34</definedName>
    <definedName name="vpa501_2_5_a">'Verification Report'!$AM$39</definedName>
    <definedName name="vpa501_2_5_b">'Verification Report'!$AM$40</definedName>
    <definedName name="vpa501_2_5_c">'Verification Report'!$AM$41</definedName>
    <definedName name="vpa501_2_5_d">'Verification Report'!$AM$42</definedName>
    <definedName name="vpa501_2_6">'Verification Report'!$AM$44</definedName>
    <definedName name="vpa501_2_7">'Verification Report'!$AM$47</definedName>
    <definedName name="vpa502_1">'Verification Report'!$AM$51</definedName>
    <definedName name="vpa503_1_1">'Verification Report'!$AM$63</definedName>
    <definedName name="vpa503_1_2">'Verification Report'!$AM$64</definedName>
    <definedName name="vpa503_1_3">'Verification Report'!$AM$66</definedName>
    <definedName name="vpa503_1_4">'Verification Report'!$AM$68</definedName>
    <definedName name="vpa503_1_5">'Verification Report'!$AM$70</definedName>
    <definedName name="vpa503_1_6">'Verification Report'!$AM$71</definedName>
    <definedName name="vpa503_1_7">'Verification Report'!$AM$73</definedName>
    <definedName name="vpa503_1_8">'Verification Report'!$AM$75</definedName>
    <definedName name="vpa503_2_1">'Verification Report'!$AM$82</definedName>
    <definedName name="vpa503_2_2">'Verification Report'!$AM$83</definedName>
    <definedName name="vpa503_2_3_a">'Verification Report'!$AM$87</definedName>
    <definedName name="vpa503_2_3_b">'Verification Report'!$AM$88</definedName>
    <definedName name="vpa503_2_3_c">'Verification Report'!$AM$89</definedName>
    <definedName name="vpa503_2_4">'Verification Report'!$AM$90</definedName>
    <definedName name="vpa503_2_5">'Verification Report'!$AM$92</definedName>
    <definedName name="vpa503_3_1">'Verification Report'!$AM$96</definedName>
    <definedName name="vpa503_3_2">'Verification Report'!$AM$98</definedName>
    <definedName name="vpa503_3_3">'Verification Report'!$AM$104</definedName>
    <definedName name="vpa503_4_1">'Verification Report'!$AM$112</definedName>
    <definedName name="vpa503_4_2_a">'Verification Report'!$AM$119</definedName>
    <definedName name="vpa503_4_2_b">'Verification Report'!$AM$120</definedName>
    <definedName name="vpa503_4_2_c">'Verification Report'!$AM$121</definedName>
    <definedName name="vpa503_4_3_">'Verification Report'!$AM$127</definedName>
    <definedName name="vpa503_4_3_a">'Verification Report'!$AM$124</definedName>
    <definedName name="vpa503_4_3_b">'Verification Report'!$AM$125</definedName>
    <definedName name="vpa503_4_3_c">'Verification Report'!$AM$126</definedName>
    <definedName name="vpa503_4_4">'Verification Report'!$AM$129</definedName>
    <definedName name="vpa503_5_1_a">'Verification Report'!$AM$138</definedName>
    <definedName name="vpa503_5_1_b">'Verification Report'!$AM$139</definedName>
    <definedName name="vpa503_5_1_c">'Verification Report'!$AM$140</definedName>
    <definedName name="vpa503_5_1_d">'Verification Report'!$AM$141</definedName>
    <definedName name="vpa503_5_10">'Verification Report'!$AM$164</definedName>
    <definedName name="vpa503_5_11">'Verification Report'!$AM$167</definedName>
    <definedName name="vpa503_5_12">'Verification Report'!$AM$169</definedName>
    <definedName name="vpa503_5_13">'Verification Report'!$AM$171</definedName>
    <definedName name="vpa503_5_2">'Verification Report'!$AM$142</definedName>
    <definedName name="vpa503_5_3">'Verification Report'!$AM$144</definedName>
    <definedName name="vpa503_5_4">'Verification Report'!$AM$147</definedName>
    <definedName name="vpa503_5_5">'Verification Report'!$AM$149</definedName>
    <definedName name="vpa503_5_6_a">'Verification Report'!$AM$152</definedName>
    <definedName name="vpa503_5_6_b">'Verification Report'!$AM$153</definedName>
    <definedName name="vpa503_5_6_c">'Verification Report'!$AM$154</definedName>
    <definedName name="vpa503_5_6_d">'Verification Report'!$AM$155</definedName>
    <definedName name="vpa503_5_7">'Verification Report'!$AM$156</definedName>
    <definedName name="vpa503_5_8">'Verification Report'!$AM$157</definedName>
    <definedName name="vpa503_5_9">'Verification Report'!$AM$162</definedName>
    <definedName name="vpa503_6_1">'Verification Report'!$AM$175</definedName>
    <definedName name="vpa503_6_2">'Verification Report'!$AM$176</definedName>
    <definedName name="vpa503_6_3">'Verification Report'!$AM$177</definedName>
    <definedName name="vpa503_6_4">'Verification Report'!$AM$179</definedName>
    <definedName name="vpa503_7_1">'Verification Report'!$AM$182</definedName>
    <definedName name="vpa503_7_2">'Verification Report'!$AM$184</definedName>
    <definedName name="vpa504_1">'Verification Report'!$AM$189</definedName>
    <definedName name="vpa504_2_1">'Verification Report'!$AM$196</definedName>
    <definedName name="vpa504_2_2">'Verification Report'!$AM$197</definedName>
    <definedName name="vpa504_2_3">'Verification Report'!$AM$199</definedName>
    <definedName name="vpa504_3_1">'Verification Report'!$AM$204</definedName>
    <definedName name="vpa504_3_2">'Verification Report'!$AM$206</definedName>
    <definedName name="vpa504_3_3">'Verification Report'!$AM$207</definedName>
    <definedName name="vpa504_3_4">'Verification Report'!$AM$209</definedName>
    <definedName name="vpa504_3_5">'Verification Report'!$AM$211</definedName>
    <definedName name="vpa504_3_6">'Verification Report'!$AM$215</definedName>
    <definedName name="vpa504_3_7">'Verification Report'!$AM$218</definedName>
    <definedName name="vpa504_3_8">'Verification Report'!$AM$219</definedName>
    <definedName name="vpa505_1_1">'Verification Report'!$AM$233</definedName>
    <definedName name="vpa505_1_2">'Verification Report'!$AM$235</definedName>
    <definedName name="vpa505_1_3_a">'Verification Report'!$AM$237</definedName>
    <definedName name="vpa505_1_3_b">'Verification Report'!$AM$238</definedName>
    <definedName name="vpa505_1_3_c">'Verification Report'!$AM$239</definedName>
    <definedName name="vpa505_10_a">'Verification Report'!$AM$298</definedName>
    <definedName name="vpa505_10_b">'Verification Report'!$AM$300</definedName>
    <definedName name="vpa505_10_c">'Verification Report'!$AM$302</definedName>
    <definedName name="vpa505_11">'Verification Report'!$AM$304</definedName>
    <definedName name="vpa505_2_1">'Verification Report'!$AM$241</definedName>
    <definedName name="vpa505_2_2">'Verification Report'!$AM$251</definedName>
    <definedName name="vpa505_3_1">'Verification Report'!$AM$255</definedName>
    <definedName name="vpa505_3_2">'Verification Report'!$AM$256</definedName>
    <definedName name="vpa505_3_3">'Verification Report'!$AM$257</definedName>
    <definedName name="vpa505_3_4">'Verification Report'!$AM$258</definedName>
    <definedName name="vpa505_3_5">'Verification Report'!$AM$259</definedName>
    <definedName name="vpa505_4_1">'Verification Report'!$AM$261</definedName>
    <definedName name="vpa505_5_a">'Verification Report'!$AM$264</definedName>
    <definedName name="vpa505_5_b">'Verification Report'!$AM$266</definedName>
    <definedName name="vpa505_5_c">'Verification Report'!$AM$269</definedName>
    <definedName name="vpa505_5_d">'Verification Report'!$AM$270</definedName>
    <definedName name="vpa505_6">'Verification Report'!$AM$271</definedName>
    <definedName name="vpa505_7">'Verification Report'!$AM$282</definedName>
    <definedName name="vpa505_8">'Verification Report'!$AM$286</definedName>
    <definedName name="vpa505_9_a">'Verification Report'!$AM$289</definedName>
    <definedName name="vpa505_9_b">'Verification Report'!$AM$292</definedName>
    <definedName name="vpa505_9_c">'Verification Report'!$AM$293</definedName>
    <definedName name="vpa601_1_1">'Verification Report'!$AM$316</definedName>
    <definedName name="vpa601_1_2">'Verification Report'!$AM$317</definedName>
    <definedName name="vpa601_1_3">'Verification Report'!$AM$318</definedName>
    <definedName name="vpa601_1_4">'Verification Report'!$AM$319</definedName>
    <definedName name="vpa601_1_5">'Verification Report'!$AM$320</definedName>
    <definedName name="vpa601_1_6">'Verification Report'!$AM$321</definedName>
    <definedName name="vpa601_2_1">'Verification Report'!$AM$330</definedName>
    <definedName name="vpa601_2_2">'Verification Report'!$AM$333</definedName>
    <definedName name="vpa601_2_3">'Verification Report'!$AM$336</definedName>
    <definedName name="vpa601_3_1">'Verification Report'!$AM$342</definedName>
    <definedName name="vpa601_3_2">'Verification Report'!$AM$343</definedName>
    <definedName name="vpa601_3_3">'Verification Report'!$AM$344</definedName>
    <definedName name="vpa601_3_4">'Verification Report'!$AM$345</definedName>
    <definedName name="vpa601_3_5">'Verification Report'!$AM$346</definedName>
    <definedName name="vpa601_4">'Verification Report'!$AM$347</definedName>
    <definedName name="vpa601_5">'Verification Report'!$AM$350</definedName>
    <definedName name="vpa601_5_1">'Verification Report'!$AM$355</definedName>
    <definedName name="vpa601_5_2">'Verification Report'!$AM$356</definedName>
    <definedName name="vpa601_5_3">'Verification Report'!$AM$357</definedName>
    <definedName name="vpa601_5_4">'Verification Report'!$AM$358</definedName>
    <definedName name="vpa601_6">'Verification Report'!$AM$359</definedName>
    <definedName name="vpa601_6_1">'Verification Report'!$AM$362</definedName>
    <definedName name="vpa601_6_2">'Verification Report'!$AM$363</definedName>
    <definedName name="vpa601_7">'Verification Report'!$AM$364</definedName>
    <definedName name="vpa601_7_1">'Verification Report'!$AM$377</definedName>
    <definedName name="vpa601_7_2">'Verification Report'!$AM$379</definedName>
    <definedName name="vpa601_7_3">'Verification Report'!$AM$381</definedName>
    <definedName name="vpa601_8">'Verification Report'!$AM$383</definedName>
    <definedName name="vpa602_1_1_1">'Verification Report'!$AM$396</definedName>
    <definedName name="vpa602_1_1_2">'Verification Report'!$AM$400</definedName>
    <definedName name="vpa602_1_10">'Verification Report'!$AM$512</definedName>
    <definedName name="vpa602_1_11">'Verification Report'!$AM$525</definedName>
    <definedName name="vpa602_1_12">'Verification Report'!$AM$529</definedName>
    <definedName name="vpa602_1_13">'Verification Report'!$AM$532</definedName>
    <definedName name="vpa602_1_14_1">'Verification Report'!$AM$538</definedName>
    <definedName name="vpa602_1_14_2">'Verification Report'!$AM$540</definedName>
    <definedName name="vpa602_1_14_3">'Verification Report'!$AM$541</definedName>
    <definedName name="vpa602_1_15">'Verification Report'!$AM$542</definedName>
    <definedName name="vpa602_1_2">'Verification Report'!$AM$403</definedName>
    <definedName name="vpa602_1_3_1">'Verification Report'!$AM$409</definedName>
    <definedName name="vpa602_1_3_2">'Verification Report'!$AM$412</definedName>
    <definedName name="vpa602_1_4_1_1">'Verification Report'!$AM$420</definedName>
    <definedName name="vpa602_1_4_1_2">'Verification Report'!$AM$422</definedName>
    <definedName name="vpa602_1_4_2_1">'Verification Report'!$AM$429</definedName>
    <definedName name="vpa602_1_4_2_2">'Verification Report'!$AM$431</definedName>
    <definedName name="vpa602_1_5_1">'Verification Report'!$AM$437</definedName>
    <definedName name="vpa602_1_5_2">'Verification Report'!$AM$439</definedName>
    <definedName name="vpa602_1_6_1">'Verification Report'!$AM$445</definedName>
    <definedName name="vpa602_1_6_2">'Verification Report'!$AM$449</definedName>
    <definedName name="vpa602_1_6_3">'Verification Report'!$AM$453</definedName>
    <definedName name="vpa602_1_7_1_1">'Verification Report'!$AM$458</definedName>
    <definedName name="vpa602_1_7_1_2">'Verification Report'!$AM$460</definedName>
    <definedName name="vpa602_1_7_1_3">'Verification Report'!$AM$463</definedName>
    <definedName name="vpa602_1_7_2">'Verification Report'!$AM$465</definedName>
    <definedName name="vpa602_1_7_3">'Verification Report'!$AM$467</definedName>
    <definedName name="vpa602_1_8">'Verification Report'!$AM$471</definedName>
    <definedName name="vpa602_1_9_1">'Verification Report'!$AM$483</definedName>
    <definedName name="vpa602_1_9_2">'Verification Report'!$AM$495</definedName>
    <definedName name="vpa602_1_9_3">'Verification Report'!$AM$498</definedName>
    <definedName name="vpa602_1_9_4">'Verification Report'!$AM$499</definedName>
    <definedName name="vpa602_1_9_5_a">'Verification Report'!$AM$504</definedName>
    <definedName name="vpa602_1_9_5_b">'Verification Report'!$AM$507</definedName>
    <definedName name="vpa602_1_9_6">'Verification Report'!$AM$509</definedName>
    <definedName name="vpa602_1_9_7">'Verification Report'!$AM$511</definedName>
    <definedName name="vpa602_2">'Verification Report'!$AM$545</definedName>
    <definedName name="vpa602_3">'Verification Report'!$AM$555</definedName>
    <definedName name="vpa602_4_1">'Verification Report'!$AM$559</definedName>
    <definedName name="vpa602_4_2">'Verification Report'!$AM$564</definedName>
    <definedName name="vpa602_4_3">'Verification Report'!$AM$566</definedName>
    <definedName name="vpa603_1">'Verification Report'!$AM$571</definedName>
    <definedName name="vpa603_2">'Verification Report'!$AM$577</definedName>
    <definedName name="vpa603_3">'Verification Report'!$AM$584</definedName>
    <definedName name="vpa604_1a">'Verification Report'!$AM$588</definedName>
    <definedName name="vpa605_1">'Verification Report'!$AM$598</definedName>
    <definedName name="vpa605_2">'Verification Report'!$AM$601</definedName>
    <definedName name="vpa605_3">'Verification Report'!$AM$616</definedName>
    <definedName name="vpa605_4">'Verification Report'!$AM$625</definedName>
    <definedName name="vpa605_4_1">'Verification Report'!$AM$627</definedName>
    <definedName name="vpa605_4_2">'Verification Report'!$AM$628</definedName>
    <definedName name="vpa606_1_1">'Verification Report'!$AM$652</definedName>
    <definedName name="vpa606_1_2">'Verification Report'!$AM$654</definedName>
    <definedName name="vpa606_1_3">'Verification Report'!$AM$656</definedName>
    <definedName name="vpa606_2_1a">'Verification Report'!$AM$673</definedName>
    <definedName name="vpa606_2_2a">'Verification Report'!$AM$676</definedName>
    <definedName name="vpa606_3">'Verification Report'!$AM$679</definedName>
    <definedName name="vpa607_1_1">'Verification Report'!$AM$688</definedName>
    <definedName name="vpa607_1_2">'Verification Report'!$AM$693</definedName>
    <definedName name="vpa607_2">'Verification Report'!$AM$699</definedName>
    <definedName name="vpa608_1">'Verification Report'!$AM$702</definedName>
    <definedName name="vpa609_1">'Verification Report'!$AM$712</definedName>
    <definedName name="vpa609_1_1">'Verification Report'!$AM$714</definedName>
    <definedName name="vpa609_1_2">'Verification Report'!$AM$716</definedName>
    <definedName name="vpa610_1_1_1">'Verification Report'!$AM$733</definedName>
    <definedName name="vpa610_1_1_2">'Verification Report'!$AM$742</definedName>
    <definedName name="vpa610_1_1_3">'Verification Report'!$AM$749</definedName>
    <definedName name="vpa610_1_2">'Verification Report'!$AM$751</definedName>
    <definedName name="vpa610_1_2_1">'Verification Report'!$AM$755</definedName>
    <definedName name="vpa610_1_2_2a">'Verification Report'!$AM$769</definedName>
    <definedName name="vpa611_1">'Verification Report'!$AM$794</definedName>
    <definedName name="vpa612_1">'Verification Report'!$AM$817</definedName>
    <definedName name="vpa612_2">'Verification Report'!$AM$825</definedName>
    <definedName name="vpa612_2_1">'Verification Report'!$AM$828</definedName>
    <definedName name="vpa612_2_2">'Verification Report'!$AM$829</definedName>
    <definedName name="vpa612_2_3">'Verification Report'!$AM$831</definedName>
    <definedName name="vpa612_2_4">'Verification Report'!$AM$833</definedName>
    <definedName name="vpa612_2_5">'Verification Report'!$AM$835</definedName>
    <definedName name="vpa612_2_6">'Verification Report'!$AM$837</definedName>
    <definedName name="vpa612_2_7">'Verification Report'!$AM$839</definedName>
    <definedName name="vpa612_3">'Verification Report'!$AM$841</definedName>
    <definedName name="vpa612_3_1">'Verification Report'!$AM$843</definedName>
    <definedName name="vpa612_3_2">'Verification Report'!$AM$848</definedName>
    <definedName name="vpa612_3_3">'Verification Report'!$AM$852</definedName>
    <definedName name="vpa612_3_4">'Verification Report'!$AM$854</definedName>
    <definedName name="vpa612_3_5">'Verification Report'!$AM$856</definedName>
    <definedName name="vpa612_3_6">'Verification Report'!$AM$857</definedName>
    <definedName name="vpa612_3_7">'Verification Report'!$AM$858</definedName>
    <definedName name="vpa612_3_8">'Verification Report'!$AM$862</definedName>
    <definedName name="vpa612_3_9">'Verification Report'!$AM$864</definedName>
    <definedName name="vpa613_1_a">'Verification Report'!$AM$873</definedName>
    <definedName name="vpa613_1_b">'Verification Report'!$AM$875</definedName>
    <definedName name="vpa613_1_c">'Verification Report'!$AM$879</definedName>
    <definedName name="vpa613_1_d">'Verification Report'!$AM$880</definedName>
    <definedName name="vpa613_1_e">'Verification Report'!$AM$881</definedName>
    <definedName name="vpa613_1_f">'Verification Report'!$AM$882</definedName>
    <definedName name="vpa701_4_0">'Verification Report'!$AM$886</definedName>
    <definedName name="vpa701_4_1_1">'Verification Report'!$AM$893</definedName>
    <definedName name="vpa701_4_1_2">'Verification Report'!$AM$896</definedName>
    <definedName name="vpa701_4_2_1">'Verification Report'!$AM$902</definedName>
    <definedName name="vpa701_4_2_2">'Verification Report'!$AM$905</definedName>
    <definedName name="vpa701_4_2_3">'Verification Report'!$AM$908</definedName>
    <definedName name="vpa701_4_3_1">'Verification Report'!$AM$911</definedName>
    <definedName name="vpa701_4_3_2">'Verification Report'!$AM$929</definedName>
    <definedName name="vpa701_4_3_2_1">'Verification Report'!$AM$955</definedName>
    <definedName name="vpa701_4_3_4">'Verification Report'!$AM$981</definedName>
    <definedName name="vpa701_4_3_5">'Verification Report'!$AM$991</definedName>
    <definedName name="vpa701_4_4">'Verification Report'!$AM$998</definedName>
    <definedName name="vpa701_4_5">'Verification Report'!$AM$1000</definedName>
    <definedName name="vpa701_4_6">'Verification Report'!$AM$1003</definedName>
    <definedName name="vpa701_4_7">'Verification Report'!$AM$1007</definedName>
    <definedName name="vpa703_1">'Verification Report'!$AM$1033</definedName>
    <definedName name="vpa703_1_1">'Verification Report'!$AM$1034</definedName>
    <definedName name="vpa703_1_2">'Verification Report'!$AM$1046</definedName>
    <definedName name="vpa703_1_3">'Verification Report'!$AM$1049</definedName>
    <definedName name="vpa703_2_1">'Verification Report'!$AM$1052</definedName>
    <definedName name="vpa703_2_2">'Verification Report'!$AM$1059</definedName>
    <definedName name="vpa703_2_3">'Verification Report'!$AM$1061</definedName>
    <definedName name="vpa703_2_4">'Verification Report'!$AM$1065</definedName>
    <definedName name="vpa703_2_5_1">'Verification Report'!$AM$1070</definedName>
    <definedName name="vpa703_2_5_2">'Verification Report'!$AM$1086</definedName>
    <definedName name="vpa703_2_5_2_a">'Verification Report'!$AM$1091</definedName>
    <definedName name="vpa703_2_5_2_b">'Verification Report'!$AM$1092</definedName>
    <definedName name="vpa703_2_5_2_c">'Verification Report'!$AM$1093</definedName>
    <definedName name="vpa703_3_1">'Verification Report'!$AM$1119</definedName>
    <definedName name="vpa703_3_2_1_1">'Verification Report'!$AM$1126</definedName>
    <definedName name="vpa703_3_2_1_2">'Verification Report'!$AM$1127</definedName>
    <definedName name="vpa703_3_2_1_3">'Verification Report'!$AM$1128</definedName>
    <definedName name="vpa703_3_2_1_4">'Verification Report'!$AM$1129</definedName>
    <definedName name="vpa703_3_2_1_5">'Verification Report'!$AM$1130</definedName>
    <definedName name="vpa703_3_2_2_1">'Verification Report'!$AM$1132</definedName>
    <definedName name="vpa703_3_2_2_2">'Verification Report'!$AM$1133</definedName>
    <definedName name="vpa703_3_2_3_1">'Verification Report'!$AM$1135</definedName>
    <definedName name="vpa703_3_2_3_2">'Verification Report'!$AM$1136</definedName>
    <definedName name="vpa703_3_2_3_3">'Verification Report'!$AM$1137</definedName>
    <definedName name="vpa703_3_2_3_4">'Verification Report'!$AM$1138</definedName>
    <definedName name="vpa703_3_2_4_1">'Verification Report'!$AM$1140</definedName>
    <definedName name="vpa703_3_2_4_2">'Verification Report'!$AM$1141</definedName>
    <definedName name="vpa703_3_3_1_1">'Verification Report'!$AM$1146</definedName>
    <definedName name="vpa703_3_3_1_2">'Verification Report'!$AM$1147</definedName>
    <definedName name="vpa703_3_3_1_3">'Verification Report'!$AM$1148</definedName>
    <definedName name="vpa703_3_3_1_4">'Verification Report'!$AM$1149</definedName>
    <definedName name="vpa703_3_3_1_5">'Verification Report'!$AM$1150</definedName>
    <definedName name="vpa703_3_3_2">'Verification Report'!$AM$1151</definedName>
    <definedName name="vpa703_3_3_3">'Verification Report'!$AM$1153</definedName>
    <definedName name="vpa703_3_4_1_1">'Verification Report'!$AM$1158</definedName>
    <definedName name="vpa703_3_4_1_2">'Verification Report'!$AM$1159</definedName>
    <definedName name="vpa703_3_4_1_3">'Verification Report'!$AM$1160</definedName>
    <definedName name="vpa703_3_4_1_4">'Verification Report'!$AM$1161</definedName>
    <definedName name="vpa703_3_4_1_5">'Verification Report'!$AM$1162</definedName>
    <definedName name="vpa703_3_4_1_6">'Verification Report'!$AM$1163</definedName>
    <definedName name="vpa703_3_4_2">'Verification Report'!$AM$1165</definedName>
    <definedName name="vpa703_3_5">'Verification Report'!$AM$1166</definedName>
    <definedName name="vpa703_3_6_1">'Verification Report'!$AM$1173</definedName>
    <definedName name="vpa703_3_6_2">'Verification Report'!$AM$1174</definedName>
    <definedName name="vpa703_3_6_3">'Verification Report'!$AM$1175</definedName>
    <definedName name="vpa703_3_7">'Verification Report'!$AM$1176</definedName>
    <definedName name="vpa703_3_8">'Verification Report'!$AM$1183</definedName>
    <definedName name="vpa703_4_1">'Verification Report'!$AM$1188</definedName>
    <definedName name="vpa703_4_2">'Verification Report'!$AM$1189</definedName>
    <definedName name="vpa703_4_3">'Verification Report'!$AM$1190</definedName>
    <definedName name="vpa703_4_4">'Verification Report'!$AM$1196</definedName>
    <definedName name="vpa703_4_4_1">'Verification Report'!$AM$1201</definedName>
    <definedName name="vpa703_4_4_2">'Verification Report'!$AM$1202</definedName>
    <definedName name="vpa703_4_4_3">'Verification Report'!$AM$1203</definedName>
    <definedName name="vpa703_5_1_1_a_1">'Verification Report'!$AM$1215</definedName>
    <definedName name="vpa703_5_1_1_a_2">'Verification Report'!$AM$1216</definedName>
    <definedName name="vpa703_5_1_1_b">'Verification Report'!$AM$1217</definedName>
    <definedName name="vpa703_5_1_1_c_1">'Verification Report'!$AM$1220</definedName>
    <definedName name="vpa703_5_1_1_c_2">'Verification Report'!$AM$1221</definedName>
    <definedName name="vpa703_5_1_1_d_1">'Verification Report'!$AM$1225</definedName>
    <definedName name="vpa703_5_1_1_d_2">'Verification Report'!$AM$1226</definedName>
    <definedName name="vpa703_5_1_1_e_1">'Verification Report'!$AM$1229</definedName>
    <definedName name="vpa703_5_1_1_e_2">'Verification Report'!$AM$1230</definedName>
    <definedName name="vpa703_5_1_2_a_1">'Verification Report'!$AM$1234</definedName>
    <definedName name="vpa703_5_1_2_a_2">'Verification Report'!$AM$1235</definedName>
    <definedName name="vpa703_5_1_2_a_3">'Verification Report'!$AM$1236</definedName>
    <definedName name="vpa703_5_1_2_a_4">'Verification Report'!$AM$1237</definedName>
    <definedName name="vpa703_5_1_2_a_5">'Verification Report'!$AM$1238</definedName>
    <definedName name="vpa703_5_1_2_a_6">'Verification Report'!$AM$1239</definedName>
    <definedName name="vpa703_5_1_2_a_7">'Verification Report'!$AM$1240</definedName>
    <definedName name="vpa703_5_1_2_b_1">'Verification Report'!$AM$1243</definedName>
    <definedName name="vpa703_5_1_2_b_2">'Verification Report'!$AM$1244</definedName>
    <definedName name="vpa703_5_1_2_b_3">'Verification Report'!$AM$1245</definedName>
    <definedName name="vpa703_5_1_2_b_4">'Verification Report'!$AM$1246</definedName>
    <definedName name="vpa703_5_1_2_c">'Verification Report'!$AM$1247</definedName>
    <definedName name="vpa703_5_1_2_d">'Verification Report'!$AM$1249</definedName>
    <definedName name="vpa703_5_1_2_e">'Verification Report'!$AM$1251</definedName>
    <definedName name="vpa703_5_1_3">'Verification Report'!$AM$1253</definedName>
    <definedName name="vpa703_5_2">'Verification Report'!$AM$1254</definedName>
    <definedName name="vpa703_5_3">'Verification Report'!$AM$1256</definedName>
    <definedName name="vpa703_5_4">'Verification Report'!$AM$1258</definedName>
    <definedName name="vpa703_5_5_a_1">'Verification Report'!$AM$1266</definedName>
    <definedName name="vpa703_5_5_a_2">'Verification Report'!$AM$1267</definedName>
    <definedName name="vpa703_5_5_a_3">'Verification Report'!$AM$1268</definedName>
    <definedName name="vpa703_5_5_a_4">'Verification Report'!$AM$1269</definedName>
    <definedName name="vpa703_5_5_a_5">'Verification Report'!$AM$1270</definedName>
    <definedName name="vpa703_5_5_b_1">'Verification Report'!$AM$1273</definedName>
    <definedName name="vpa703_5_5_b_2">'Verification Report'!$AM$1274</definedName>
    <definedName name="vpa703_5_5_b_3">'Verification Report'!$AM$1275</definedName>
    <definedName name="vpa703_5_5_b_4">'Verification Report'!$AM$1276</definedName>
    <definedName name="vpa703_5_5_b_5">'Verification Report'!$AM$1277</definedName>
    <definedName name="vpa703_6_1_1">'Verification Report'!$AM$1281</definedName>
    <definedName name="vpa703_6_1_2">'Verification Report'!$AM$1283</definedName>
    <definedName name="vpa703_6_1_3">'Verification Report'!$AM$1285</definedName>
    <definedName name="vpa703_6_2_1">'Verification Report'!$AM$1288</definedName>
    <definedName name="vpa703_6_2_2">'Verification Report'!$AM$1289</definedName>
    <definedName name="vpa703_6_2_3">'Verification Report'!$AM$1290</definedName>
    <definedName name="vpa703_7_1">'Verification Report'!$AM$1293</definedName>
    <definedName name="vpa703_7_2">'Verification Report'!$AM$1321</definedName>
    <definedName name="vpa703_7_3_1">'Verification Report'!$AM$1325</definedName>
    <definedName name="vpa703_7_3_2">'Verification Report'!$AM$1326</definedName>
    <definedName name="vpa703_7_4">'Verification Report'!$AM$1350</definedName>
    <definedName name="vpa705_2_1_1_1">'Verification Report'!$AM$1381</definedName>
    <definedName name="vpa705_2_1_1_2">'Verification Report'!$AM$1382</definedName>
    <definedName name="vpa705_2_1_2">'Verification Report'!$AM$1383</definedName>
    <definedName name="vpa705_2_1_3_1_a">'Verification Report'!$AM$1389</definedName>
    <definedName name="vpa705_2_1_3_1_b">'Verification Report'!$AM$1390</definedName>
    <definedName name="vpa705_2_1_3_2_a">'Verification Report'!$AM$1394</definedName>
    <definedName name="vpa705_2_1_3_2_b">'Verification Report'!$AM$1395</definedName>
    <definedName name="vpa705_2_1_4_1">'Verification Report'!$AM$1399</definedName>
    <definedName name="vpa705_2_1_4_2">'Verification Report'!$AM$1400</definedName>
    <definedName name="vpa705_2_2">'Verification Report'!$AM$1401</definedName>
    <definedName name="vpa705_2_3">'Verification Report'!$AM$1404</definedName>
    <definedName name="vpa705_2_4">'Verification Report'!$AM$1406</definedName>
    <definedName name="vpa705_3">'Verification Report'!$AM$1409</definedName>
    <definedName name="vpa705_4">'Verification Report'!$AM$1410</definedName>
    <definedName name="vpa705_5_1_1">'Verification Report'!$AM$1415</definedName>
    <definedName name="vpa705_5_1_2">'Verification Report'!$AM$1418</definedName>
    <definedName name="vpa705_5_2">'Verification Report'!$AM$1420</definedName>
    <definedName name="vpa705_5_3_1">'Verification Report'!$AM$1429</definedName>
    <definedName name="vpa705_5_3_2">'Verification Report'!$AM$1431</definedName>
    <definedName name="vpa705_6_1">'Verification Report'!$AM$1433</definedName>
    <definedName name="vpa705_6_2_1_1">'Verification Report'!$AM$1450</definedName>
    <definedName name="vpa705_6_2_1_2">'Verification Report'!$AM$1453</definedName>
    <definedName name="vpa705_6_2_2_1">'Verification Report'!$AM$1459</definedName>
    <definedName name="vpa705_6_2_2_2">'Verification Report'!$AM$1461</definedName>
    <definedName name="vpa705_6_2_3_1">'Verification Report'!$AM$1467</definedName>
    <definedName name="vpa705_6_2_3_2">'Verification Report'!$AM$1468</definedName>
    <definedName name="vpa705_6_3">'Verification Report'!$AM$1470</definedName>
    <definedName name="vpa705_6_4_1">'Verification Report'!$AM$1482</definedName>
    <definedName name="vpa705_6_4_2">'Verification Report'!$AM$1484</definedName>
    <definedName name="vpa705_7">'Verification Report'!$AM$1486</definedName>
    <definedName name="vpa706_1">'Verification Report'!$AM$1491</definedName>
    <definedName name="vpa706_1_1">'Verification Report'!$AM$1493</definedName>
    <definedName name="vpa706_1_2">'Verification Report'!$AM$1494</definedName>
    <definedName name="vpa706_1_3">'Verification Report'!$AM$1495</definedName>
    <definedName name="vpa706_1_4">'Verification Report'!$AM$1496</definedName>
    <definedName name="vpa706_1_5">'Verification Report'!$AM$1498</definedName>
    <definedName name="vpa706_10">'Verification Report'!$AM$1568</definedName>
    <definedName name="vpa706_11">'Verification Report'!$AM$1573</definedName>
    <definedName name="vpa706_12">'Verification Report'!$AM$1575</definedName>
    <definedName name="vpa706_13_1">'Verification Report'!$AM$1581</definedName>
    <definedName name="vpa706_13_2">'Verification Report'!$AM$1582</definedName>
    <definedName name="vpa706_14_1">'Verification Report'!$AM$1584</definedName>
    <definedName name="vpa706_14_2">'Verification Report'!$AM$1588</definedName>
    <definedName name="vpa706_15_1">'Verification Report'!$AM$1593</definedName>
    <definedName name="vpa706_15_2">'Verification Report'!$AM$1594</definedName>
    <definedName name="vpa706_2_1">'Verification Report'!$AM$1501</definedName>
    <definedName name="vpa706_2_2_a">'Verification Report'!$AM$1509</definedName>
    <definedName name="vpa706_2_2_b">'Verification Report'!$AM$1511</definedName>
    <definedName name="vpa706_3_1">'Verification Report'!$AM$1515</definedName>
    <definedName name="vpa706_3_2">'Verification Report'!$AM$1516</definedName>
    <definedName name="vpa706_4_1_1">'Verification Report'!$AM$1531</definedName>
    <definedName name="vpa706_4_1_2">'Verification Report'!$AM$1533</definedName>
    <definedName name="vpa706_4_2">'Verification Report'!$AM$1535</definedName>
    <definedName name="vpa706_5_1">'Verification Report'!$AM$1538</definedName>
    <definedName name="vpa706_5_2">'Verification Report'!$AM$1540</definedName>
    <definedName name="vpa706_5_3">'Verification Report'!$AM$1542</definedName>
    <definedName name="vpa706_6">'Verification Report'!$AM$1552</definedName>
    <definedName name="vpa706_7_1">'Verification Report'!$AM$1558</definedName>
    <definedName name="vpa706_7_2">'Verification Report'!$AM$1559</definedName>
    <definedName name="vpa706_8">'Verification Report'!$AM$1560</definedName>
    <definedName name="vpa706_9">'Verification Report'!$AM$1563</definedName>
    <definedName name="vpa802_1_1">'Verification Report'!$AM$1637</definedName>
    <definedName name="vpa802_1_2">'Verification Report'!$AM$1639</definedName>
    <definedName name="vpa802_1_3">'Verification Report'!$AM$1641</definedName>
    <definedName name="vpa802_1_4">'Verification Report'!$AM$1643</definedName>
    <definedName name="vpa802_1_4_a">'Verification Report'!$AM$1646</definedName>
    <definedName name="vpa802_1_5">'Verification Report'!$AM$1648</definedName>
    <definedName name="vpa802_1_6">'Verification Report'!$AM$1653</definedName>
    <definedName name="vpa802_10_1">'Verification Report'!$AM$1828</definedName>
    <definedName name="vpa802_10_1_1">'Verification Report'!$AM$1831</definedName>
    <definedName name="vpa802_2_1">'Verification Report'!$AM$1658</definedName>
    <definedName name="vpa802_2_2">'Verification Report'!$AM$1659</definedName>
    <definedName name="vpa802_2_3">'Verification Report'!$AM$1660</definedName>
    <definedName name="vpa802_3_1_a">'Verification Report'!$AM$1665</definedName>
    <definedName name="vpa802_3_1_b">'Verification Report'!$AM$1667</definedName>
    <definedName name="vpa802_3_2">'Verification Report'!$AM$1672</definedName>
    <definedName name="vpa802_3_2_a">'Verification Report'!$AM$1674</definedName>
    <definedName name="vpa802_3_2_b">'Verification Report'!$AM$1676</definedName>
    <definedName name="vpa802_4_1">'Verification Report'!$AM$1681</definedName>
    <definedName name="vpa802_4_1_1">'Verification Report'!$AM$1683</definedName>
    <definedName name="vpa802_4_1_2">'Verification Report'!$AM$1689</definedName>
    <definedName name="vpa802_4_2_a">'Verification Report'!$AM$1695</definedName>
    <definedName name="vpa802_4_2_b">'Verification Report'!$AM$1696</definedName>
    <definedName name="vpa802_4_3">'Verification Report'!$AM$1697</definedName>
    <definedName name="vpa802_5_1_1">'Verification Report'!$AM$1704</definedName>
    <definedName name="vpa802_5_1_2">'Verification Report'!$AM$1708</definedName>
    <definedName name="vpa802_5_1_3">'Verification Report'!$AM$1709</definedName>
    <definedName name="vpa802_5_1_4">'Verification Report'!$AM$1710</definedName>
    <definedName name="vpa802_5_1_5">'Verification Report'!$AM$1712</definedName>
    <definedName name="vpa802_5_2_1">'Verification Report'!$AM$1716</definedName>
    <definedName name="vpa802_5_2_2">'Verification Report'!$AM$1717</definedName>
    <definedName name="vpa802_5_3">'Verification Report'!$AM$1718</definedName>
    <definedName name="vpa802_5_4_1">'Verification Report'!$AM$1722</definedName>
    <definedName name="vpa802_5_4_2">'Verification Report'!$AM$1724</definedName>
    <definedName name="vpa802_5_4_3">'Verification Report'!$AM$1731</definedName>
    <definedName name="vpa802_5_4_4_a">'Verification Report'!$AM$1734</definedName>
    <definedName name="vpa802_5_4_4_b">'Verification Report'!$AM$1738</definedName>
    <definedName name="vpa802_5_4_4_c">'Verification Report'!$AM$1740</definedName>
    <definedName name="vpa802_6_1">'Verification Report'!$AM$1743</definedName>
    <definedName name="vpa802_6_2">'Verification Report'!$AM$1745</definedName>
    <definedName name="vpa802_6_3_1">'Verification Report'!$AM$1749</definedName>
    <definedName name="vpa802_6_3_2">'Verification Report'!$AM$1750</definedName>
    <definedName name="vpa802_6_3_3">'Verification Report'!$AM$1751</definedName>
    <definedName name="vpa802_6_4_1">'Verification Report'!$AM$1755</definedName>
    <definedName name="vpa802_6_4_2">'Verification Report'!$AM$1757</definedName>
    <definedName name="vpa802_6_5_1">'Verification Report'!$AM$1761</definedName>
    <definedName name="vpa802_6_5_2">'Verification Report'!$AM$1763</definedName>
    <definedName name="vpa802_6_5_3">'Verification Report'!$AM$1765</definedName>
    <definedName name="vpa802_6_5_4">'Verification Report'!$AM$1766</definedName>
    <definedName name="vpa802_6_5_5">'Verification Report'!$AM$1768</definedName>
    <definedName name="vpa802_7_1_1">'Verification Report'!$AM$1773</definedName>
    <definedName name="vpa802_7_1_2_a">'Verification Report'!$AM$1776</definedName>
    <definedName name="vpa802_7_1_2_b">'Verification Report'!$AM$1777</definedName>
    <definedName name="vpa802_7_1_2_c">'Verification Report'!$AM$1778</definedName>
    <definedName name="vpa802_7_1_2_d">'Verification Report'!$AM$1780</definedName>
    <definedName name="vpa802_7_2_1">'Verification Report'!$AM$1786</definedName>
    <definedName name="vpa802_7_2_2">'Verification Report'!$AM$1788</definedName>
    <definedName name="vpa802_8">'Verification Report'!$AM$1811</definedName>
    <definedName name="vpa802_9_1_1">'Verification Report'!$AM$1820</definedName>
    <definedName name="vpa802_9_1_2">'Verification Report'!$AM$1821</definedName>
    <definedName name="vpa802_9_2_1">'Verification Report'!$AM$1825</definedName>
    <definedName name="vpa802_9_2_2">'Verification Report'!$AM$1826</definedName>
    <definedName name="vpa803_1_1">'Verification Report'!$AM$1837</definedName>
    <definedName name="vpa803_1_2">'Verification Report'!$AM$1839</definedName>
    <definedName name="vpa803_2">'Verification Report'!$AM$1840</definedName>
    <definedName name="vpa803_3">'Verification Report'!$AM$1843</definedName>
    <definedName name="vpa803_4">'Verification Report'!$AM$1848</definedName>
    <definedName name="vpa803_5">'Verification Report'!$AM$1851</definedName>
    <definedName name="vpa803_6">'Verification Report'!$AM$1853</definedName>
    <definedName name="vpa901_1_1">'Verification Report'!$AM$1859</definedName>
    <definedName name="vpa901_1_2">'Verification Report'!$AM$1865</definedName>
    <definedName name="vpa901_1_3_1_a">'Verification Report'!$AM$1871</definedName>
    <definedName name="vpa901_1_3_1_b">'Verification Report'!$AM$1872</definedName>
    <definedName name="vpa901_1_3_2_a">'Verification Report'!$AM$1874</definedName>
    <definedName name="vpa901_1_3_2_b">'Verification Report'!$AM$1875</definedName>
    <definedName name="vpa901_1_4">'Verification Report'!$AM$1876</definedName>
    <definedName name="vpa901_1_5">'Verification Report'!$AM$1881</definedName>
    <definedName name="vpa901_1_6_1">'Verification Report'!$AM$1885</definedName>
    <definedName name="vpa901_1_6_2">'Verification Report'!$AM$1886</definedName>
    <definedName name="vpa901_10_1">'Verification Report'!$AM$2003</definedName>
    <definedName name="vpa901_10_2">'Verification Report'!$AM$2008</definedName>
    <definedName name="vpa901_10_3">'Verification Report'!$AM$2009</definedName>
    <definedName name="vpa901_11">'Verification Report'!$AM$2013</definedName>
    <definedName name="vpa901_12">'Verification Report'!$AM$2018</definedName>
    <definedName name="vpa901_13">'Verification Report'!$AM$2024</definedName>
    <definedName name="vpa901_14_1">'Verification Report'!$AM$2028</definedName>
    <definedName name="vpa901_14_2">'Verification Report'!$AM$2029</definedName>
    <definedName name="vpa901_15_1">'Verification Report'!$AM$2032</definedName>
    <definedName name="vpa901_15_2">'Verification Report'!$AM$2034</definedName>
    <definedName name="vpa901_16">'Verification Report'!$AM$2036</definedName>
    <definedName name="vpa901_2_1_1">'Verification Report'!$AM$1891</definedName>
    <definedName name="vpa901_2_1_1_m">'Verification Report'!$AM$1890</definedName>
    <definedName name="vpa901_2_1_2">'Verification Report'!$AM$1894</definedName>
    <definedName name="vpa901_2_1_2_m">'Verification Report'!$AM$1893</definedName>
    <definedName name="vpa901_2_1_3">'Verification Report'!$AM$1896</definedName>
    <definedName name="vpa901_2_1_3_m">'Verification Report'!$AM$1895</definedName>
    <definedName name="vpa901_2_1_4">'Verification Report'!$AM$1899</definedName>
    <definedName name="vpa901_2_1_4_m">'Verification Report'!$AM$1898</definedName>
    <definedName name="vpa901_2_1_5">'Verification Report'!$AM$1901</definedName>
    <definedName name="vpa901_2_1_5_m">'Verification Report'!$AM$1900</definedName>
    <definedName name="vpa901_2_2">'Verification Report'!$AM$1902</definedName>
    <definedName name="vpa901_3_1_a">'Verification Report'!$AM$1906</definedName>
    <definedName name="vpa901_3_1_a_m">'Verification Report'!$AM$1905</definedName>
    <definedName name="vpa901_3_1_b">'Verification Report'!$AM$1908</definedName>
    <definedName name="vpa901_3_1_b_m">'Verification Report'!$AM$1907</definedName>
    <definedName name="vpa901_3_1_c">'Verification Report'!$AM$1909</definedName>
    <definedName name="vpa901_3_2">'Verification Report'!$AM$1915</definedName>
    <definedName name="vpa901_4">'Verification Report'!$AM$1916</definedName>
    <definedName name="vpa901_4_1">'Verification Report'!$AM$1920</definedName>
    <definedName name="vpa901_4_2">'Verification Report'!$AM$1929</definedName>
    <definedName name="vpa901_4_3">'Verification Report'!$AM$1931</definedName>
    <definedName name="vpa901_4_4">'Verification Report'!$AM$1932</definedName>
    <definedName name="vpa901_4_5">'Verification Report'!$AM$1933</definedName>
    <definedName name="vpa901_4_6">'Verification Report'!$AM$1935</definedName>
    <definedName name="vpa901_5_1">'Verification Report'!$AM$1939</definedName>
    <definedName name="vpa901_5_2">'Verification Report'!$AM$1941</definedName>
    <definedName name="vpa901_6">'Verification Report'!$AM$1944</definedName>
    <definedName name="vpa901_7">'Verification Report'!$AM$1946</definedName>
    <definedName name="vpa901_8">'Verification Report'!$AM$1968</definedName>
    <definedName name="vpa901_9_1">'Verification Report'!$AM$1978</definedName>
    <definedName name="vpa901_9_2">'Verification Report'!$AM$1985</definedName>
    <definedName name="vpa901_9_3">'Verification Report'!$AM$1990</definedName>
    <definedName name="vpa901_9_4">'Verification Report'!$AM$1996</definedName>
    <definedName name="vpa902_1_1_1">'Verification Report'!$AM$2042</definedName>
    <definedName name="vpa902_1_1_1_a">'Verification Report'!$AM$2044</definedName>
    <definedName name="vpa902_1_1_2">'Verification Report'!$AM$2046</definedName>
    <definedName name="vpa902_1_1_3">'Verification Report'!$AM$2048</definedName>
    <definedName name="vpa902_1_2">'Verification Report'!$AM$2051</definedName>
    <definedName name="vpa902_1_2_1">'Verification Report'!$AM$2053</definedName>
    <definedName name="vpa902_1_2_2">'Verification Report'!$AM$2054</definedName>
    <definedName name="vpa902_1_3">'Verification Report'!$AM$2055</definedName>
    <definedName name="vpa902_1_4">'Verification Report'!$AM$2059</definedName>
    <definedName name="vpa902_1_4_1">'Verification Report'!$AM$2060</definedName>
    <definedName name="vpa902_1_4_2">'Verification Report'!$AM$2062</definedName>
    <definedName name="vpa902_1_5">'Verification Report'!$AM$2064</definedName>
    <definedName name="vpa902_1_6">'Verification Report'!$AM$2073</definedName>
    <definedName name="vpa902_2_1">'Verification Report'!$AM$2077</definedName>
    <definedName name="vpa902_2_1_1">'Verification Report'!$AM$2081</definedName>
    <definedName name="vpa902_2_1_2">'Verification Report'!$AM$2083</definedName>
    <definedName name="vpa902_2_1_3">'Verification Report'!$AM$2085</definedName>
    <definedName name="vpa902_2_1_4">'Verification Report'!$AM$2086</definedName>
    <definedName name="vpa902_2_1_5">'Verification Report'!$AM$2087</definedName>
    <definedName name="vpa902_2_2">'Verification Report'!$AM$2088</definedName>
    <definedName name="vpa902_2_3">'Verification Report'!$AM$2090</definedName>
    <definedName name="vpa902_2_4">'Verification Report'!$AM$2093</definedName>
    <definedName name="vpa902_2_5">'Verification Report'!$AM$2096</definedName>
    <definedName name="vpa902_3">'Verification Report'!$AM$2098</definedName>
    <definedName name="vpa902_3_1_a">'Verification Report'!$AM$2104</definedName>
    <definedName name="vpa902_3_1_b">'Verification Report'!$AM$2105</definedName>
    <definedName name="vpa902_3_2_1">'Verification Report'!$AM$2149</definedName>
    <definedName name="vpa902_3_2_2">'Verification Report'!$AM$2172</definedName>
    <definedName name="vpa902_3_2_a">'Verification Report'!$AM$2107</definedName>
    <definedName name="vpa902_3_2_b">'Verification Report'!$AM$2108</definedName>
    <definedName name="vpa902_4">'Verification Report'!$AM$2174</definedName>
    <definedName name="vpa902_5">'Verification Report'!$AM$2184</definedName>
    <definedName name="vpa902_6">'Verification Report'!$AM$2186</definedName>
    <definedName name="vpa903_1_1">'Verification Report'!$AM$2191</definedName>
    <definedName name="vpa903_1_2">'Verification Report'!$AM$2193</definedName>
    <definedName name="vpa903_2_1">'Verification Report'!$AM$2195</definedName>
    <definedName name="vpa903_2_2">'Verification Report'!$AM$2196</definedName>
    <definedName name="vpa903_3">'Verification Report'!$AM$2198</definedName>
    <definedName name="vpa904_1">'Verification Report'!$AM$2206</definedName>
    <definedName name="vpa904_2">'Verification Report'!$AM$2211</definedName>
    <definedName name="vpa904_3_1">'Verification Report'!$AM$2216</definedName>
    <definedName name="vpa904_3_2">'Verification Report'!$AM$2223</definedName>
    <definedName name="vpa905_1">'Verification Report'!$AM$2227</definedName>
    <definedName name="vpa905_2">'Verification Report'!$AM$2232</definedName>
    <definedName name="vpa905_3">'Verification Report'!$AM$2234</definedName>
    <definedName name="vpa905_4">'Verification Report'!$AM$2238</definedName>
    <definedName name="vpa905_5">'Verification Report'!$AM$2243</definedName>
    <definedName name="vpa905_6">'Verification Report'!$AM$2247</definedName>
    <definedName name="vpa905_6_1">'Verification Report'!$AM$2249</definedName>
    <definedName name="vpa905_6_2">'Verification Report'!$AM$2251</definedName>
    <definedName name="vpa905_6_3">'Verification Report'!$AM$2254</definedName>
    <definedName name="vpc1001_1">'Verification Report'!$AO$2259</definedName>
    <definedName name="vpc1001_2">'Verification Report'!$AO$2309</definedName>
    <definedName name="vpc1002_1">'Verification Report'!$AO$2328</definedName>
    <definedName name="vpc1002_2">'Verification Report'!$AO$2346</definedName>
    <definedName name="vpc1002_3">'Verification Report'!$AO$2373</definedName>
    <definedName name="vpc1002_4">'Verification Report'!$AO$2401</definedName>
    <definedName name="vpc1002_5">'Verification Report'!$AO$2414</definedName>
    <definedName name="vpc1002_6">'Verification Report'!$AO$2426</definedName>
    <definedName name="vpc1003_1">'Verification Report'!$AO$2441</definedName>
    <definedName name="vpc1005_1_1">'Verification Report'!$AO$2452</definedName>
    <definedName name="vpc1005_1_2">'Verification Report'!$AO$2455</definedName>
    <definedName name="vpc1005_1_3">'Verification Report'!$AO$2459</definedName>
    <definedName name="vpc501_2_1">'Verification Report'!$AO$15</definedName>
    <definedName name="vpc501_2_2">'Verification Report'!$AO$17</definedName>
    <definedName name="vpc501_2_3">'Verification Report'!$AO$19</definedName>
    <definedName name="vpc501_2_3_">'Verification Report'!$AO$29</definedName>
    <definedName name="vpc501_2_4">'Verification Report'!$AO$34</definedName>
    <definedName name="vpc501_2_5">'Verification Report'!$AO$37</definedName>
    <definedName name="vpc501_2_6">'Verification Report'!$AO$44</definedName>
    <definedName name="vpc501_2_7">'Verification Report'!$AO$47</definedName>
    <definedName name="vpc502_1">'Verification Report'!$AO$51</definedName>
    <definedName name="vpc503_1_1">'Verification Report'!$AO$63</definedName>
    <definedName name="vpc503_1_2">'Verification Report'!$AO$64</definedName>
    <definedName name="vpc503_1_3">'Verification Report'!$AO$66</definedName>
    <definedName name="vpc503_1_4">'Verification Report'!$AO$68</definedName>
    <definedName name="vpc503_1_5">'Verification Report'!$AO$70</definedName>
    <definedName name="vpc503_1_6">'Verification Report'!$AO$71</definedName>
    <definedName name="vpc503_1_7">'Verification Report'!$AO$73</definedName>
    <definedName name="vpc503_1_8">'Verification Report'!$AO$75</definedName>
    <definedName name="vpc503_2_1">'Verification Report'!$AO$82</definedName>
    <definedName name="vpc503_2_2">'Verification Report'!$AO$83</definedName>
    <definedName name="vpc503_2_3">'Verification Report'!$AO$85</definedName>
    <definedName name="vpc503_2_4">'Verification Report'!$AO$90</definedName>
    <definedName name="vpc503_2_5">'Verification Report'!$AO$92</definedName>
    <definedName name="vpc503_3_1">'Verification Report'!$AO$96</definedName>
    <definedName name="vpc503_3_2">'Verification Report'!$AO$98</definedName>
    <definedName name="vpc503_3_3">'Verification Report'!$AO$104</definedName>
    <definedName name="vpc503_4_1">'Verification Report'!$AO$112</definedName>
    <definedName name="vpc503_4_2">'Verification Report'!$AO$115</definedName>
    <definedName name="vpc503_4_3">'Verification Report'!$AO$122</definedName>
    <definedName name="vpc503_4_3_">'Verification Report'!$AO$127</definedName>
    <definedName name="vpc503_4_4">'Verification Report'!$AO$129</definedName>
    <definedName name="vpc503_5_1">'Verification Report'!$AO$136</definedName>
    <definedName name="vpc503_5_10">'Verification Report'!$AO$164</definedName>
    <definedName name="vpc503_5_11">'Verification Report'!$AO$167</definedName>
    <definedName name="vpc503_5_12">'Verification Report'!$AO$169</definedName>
    <definedName name="vpc503_5_13">'Verification Report'!$AO$171</definedName>
    <definedName name="vpc503_5_2">'Verification Report'!$AO$142</definedName>
    <definedName name="vpc503_5_3">'Verification Report'!$AO$144</definedName>
    <definedName name="vpc503_5_4">'Verification Report'!$AO$147</definedName>
    <definedName name="vpc503_5_5">'Verification Report'!$AO$149</definedName>
    <definedName name="vpc503_5_6">'Verification Report'!$AO$151</definedName>
    <definedName name="vpc503_5_7">'Verification Report'!$AO$156</definedName>
    <definedName name="vpc503_5_8">'Verification Report'!$AO$157</definedName>
    <definedName name="vpc503_5_9">'Verification Report'!$AO$162</definedName>
    <definedName name="vpc503_6">'Verification Report'!$AO$173</definedName>
    <definedName name="vpc503_7_1">'Verification Report'!$AO$182</definedName>
    <definedName name="vpc503_7_2">'Verification Report'!$AO$184</definedName>
    <definedName name="vpc504_1">'Verification Report'!$AO$189</definedName>
    <definedName name="vpc504_2_1">'Verification Report'!$AO$196</definedName>
    <definedName name="vpc504_2_2">'Verification Report'!$AO$197</definedName>
    <definedName name="vpc504_2_3">'Verification Report'!$AO$199</definedName>
    <definedName name="vpc504_3_1">'Verification Report'!$AO$204</definedName>
    <definedName name="vpc504_3_2">'Verification Report'!$AO$206</definedName>
    <definedName name="vpc504_3_3">'Verification Report'!$AO$207</definedName>
    <definedName name="vpc504_3_4">'Verification Report'!$AO$209</definedName>
    <definedName name="vpc504_3_5">'Verification Report'!$AO$211</definedName>
    <definedName name="vpc504_3_6">'Verification Report'!$AO$215</definedName>
    <definedName name="vpc504_3_7">'Verification Report'!$AO$218</definedName>
    <definedName name="vpc504_3_8">'Verification Report'!$AO$219</definedName>
    <definedName name="vpc505_1_1">'Verification Report'!$AO$233</definedName>
    <definedName name="vpc505_1_2">'Verification Report'!$AO$235</definedName>
    <definedName name="vpc505_1_3">'Verification Report'!$AO$236</definedName>
    <definedName name="vpc505_10_a">'Verification Report'!$AO$298</definedName>
    <definedName name="vpc505_10_b">'Verification Report'!$AO$300</definedName>
    <definedName name="vpc505_10_c">'Verification Report'!$AO$302</definedName>
    <definedName name="vpc505_11">'Verification Report'!$AO$304</definedName>
    <definedName name="vpc505_2_1">'Verification Report'!$AO$241</definedName>
    <definedName name="vpc505_2_2">'Verification Report'!$AO$251</definedName>
    <definedName name="vpc505_3">'Verification Report'!$AO$254</definedName>
    <definedName name="vpc505_4_1">'Verification Report'!$AO$261</definedName>
    <definedName name="vpc505_5_a">'Verification Report'!$AO$264</definedName>
    <definedName name="vpc505_5_b">'Verification Report'!$AO$266</definedName>
    <definedName name="vpc505_5_c">'Verification Report'!$AO$269</definedName>
    <definedName name="vpc505_5_d">'Verification Report'!$AO$270</definedName>
    <definedName name="vpc505_6">'Verification Report'!$AO$272</definedName>
    <definedName name="vpc505_7">'Verification Report'!$AO$282</definedName>
    <definedName name="vpc505_8">'Verification Report'!$AO$286</definedName>
    <definedName name="vpc505_9_a">'Verification Report'!$AO$289</definedName>
    <definedName name="vpc505_9_b">'Verification Report'!$AO$292</definedName>
    <definedName name="vpc505_9_c">'Verification Report'!$AO$293</definedName>
    <definedName name="vpc601_1">'Verification Report'!$AO$312</definedName>
    <definedName name="vpc601_2_1">'Verification Report'!$AO$330</definedName>
    <definedName name="vpc601_2_2">'Verification Report'!$AO$333</definedName>
    <definedName name="vpc601_2_3">'Verification Report'!$AO$336</definedName>
    <definedName name="vpc601_3_1">'Verification Report'!$AO$342</definedName>
    <definedName name="vpc601_3_2">'Verification Report'!$AO$343</definedName>
    <definedName name="vpc601_3_3">'Verification Report'!$AO$344</definedName>
    <definedName name="vpc601_3_4">'Verification Report'!$AO$345</definedName>
    <definedName name="vpc601_3_5">'Verification Report'!$AO$346</definedName>
    <definedName name="vpc601_4">'Verification Report'!$AO$347</definedName>
    <definedName name="vpc601_5_1">'Verification Report'!$AO$355</definedName>
    <definedName name="vpc601_5_2">'Verification Report'!$AO$356</definedName>
    <definedName name="vpc601_5_3">'Verification Report'!$AO$357</definedName>
    <definedName name="vpc601_5_4">'Verification Report'!$AO$358</definedName>
    <definedName name="vpc601_6">'Verification Report'!$AO$359</definedName>
    <definedName name="vpc601_7">'Verification Report'!$AO$364</definedName>
    <definedName name="vpc601_8">'Verification Report'!$AO$383</definedName>
    <definedName name="vpc602_1_1_2">'Verification Report'!$AO$400</definedName>
    <definedName name="vpc602_1_10">'Verification Report'!$AO$512</definedName>
    <definedName name="vpc602_1_12">'Verification Report'!$AO$529</definedName>
    <definedName name="vpc602_1_14_1">'Verification Report'!$AO$538</definedName>
    <definedName name="vpc602_1_14_2">'Verification Report'!$AO$540</definedName>
    <definedName name="vpc602_1_14_3">'Verification Report'!$AO$541</definedName>
    <definedName name="vpc602_1_15">'Verification Report'!$AO$542</definedName>
    <definedName name="vpc602_1_2">'Verification Report'!$AO$403</definedName>
    <definedName name="vpc602_1_3_2">'Verification Report'!$AO$412</definedName>
    <definedName name="vpc602_1_4_1_1">'Verification Report'!$AO$420</definedName>
    <definedName name="vpc602_1_4_2_1">'Verification Report'!$AO$429</definedName>
    <definedName name="vpc602_1_5_1">'Verification Report'!$AO$437</definedName>
    <definedName name="vpc602_1_5_2">'Verification Report'!$AO$439</definedName>
    <definedName name="vpc602_1_6_1">'Verification Report'!$AO$445</definedName>
    <definedName name="vpc602_1_6_2">'Verification Report'!$AO$449</definedName>
    <definedName name="vpc602_1_6_3">'Verification Report'!$AO$453</definedName>
    <definedName name="vpc602_1_7_1_1">'Verification Report'!$AO$458</definedName>
    <definedName name="vpc602_1_7_1_2">'Verification Report'!$AO$460</definedName>
    <definedName name="vpc602_1_7_1_3">'Verification Report'!$AO$463</definedName>
    <definedName name="vpc602_1_7_2">'Verification Report'!$AO$465</definedName>
    <definedName name="vpc602_1_7_3">'Verification Report'!$AO$467</definedName>
    <definedName name="vpc602_1_9_2">'Verification Report'!$AO$495</definedName>
    <definedName name="vpc602_1_9_3">'Verification Report'!$AO$498</definedName>
    <definedName name="vpc602_1_9_4">'Verification Report'!$AO$499</definedName>
    <definedName name="vpc602_1_9_5">'Verification Report'!$AO$503</definedName>
    <definedName name="vpc602_1_9_6">'Verification Report'!$AO$509</definedName>
    <definedName name="vpc602_1_9_7">'Verification Report'!$AO$511</definedName>
    <definedName name="vpc602_2">'Verification Report'!$AO$545</definedName>
    <definedName name="vpc602_3">'Verification Report'!$AO$555</definedName>
    <definedName name="vpc602_4_2">'Verification Report'!$AO$564</definedName>
    <definedName name="vpc602_4_3">'Verification Report'!$AO$566</definedName>
    <definedName name="vpc603_1">'Verification Report'!$AO$571</definedName>
    <definedName name="vpc603_2">'Verification Report'!$AO$577</definedName>
    <definedName name="vpc603_3">'Verification Report'!$AO$584</definedName>
    <definedName name="vpc604_1a">'Verification Report'!$AO$588</definedName>
    <definedName name="vpc605_2">'Verification Report'!$AO$601</definedName>
    <definedName name="vpc605_3">'Verification Report'!$AO$616</definedName>
    <definedName name="vpc605_4">'Verification Report'!$AO$625</definedName>
    <definedName name="vpc606_1">'Verification Report'!$AO$641</definedName>
    <definedName name="vpc606_2_1a">'Verification Report'!$AO$673</definedName>
    <definedName name="vpc606_2_2a">'Verification Report'!$AO$676</definedName>
    <definedName name="vpc606_3">'Verification Report'!$AO$679</definedName>
    <definedName name="vpc607_1_1">'Verification Report'!$AO$688</definedName>
    <definedName name="vpc607_1_2">'Verification Report'!$AO$693</definedName>
    <definedName name="vpc607_2">'Verification Report'!$AO$699</definedName>
    <definedName name="vpc608_1">'Verification Report'!$AO$702</definedName>
    <definedName name="vpc609_1">'Verification Report'!$AO$712</definedName>
    <definedName name="vpc610_1_1_1">'Verification Report'!$AO$733</definedName>
    <definedName name="vpc610_1_1_2">'Verification Report'!$AO$742</definedName>
    <definedName name="vpc610_1_1_3">'Verification Report'!$AO$749</definedName>
    <definedName name="vpc610_1_2">'Verification Report'!$AO$751</definedName>
    <definedName name="vpc611_1">'Verification Report'!$AO$794</definedName>
    <definedName name="vpc612_1">'Verification Report'!$AO$817</definedName>
    <definedName name="vpc612_2">'Verification Report'!$AO$825</definedName>
    <definedName name="vpc612_3">'Verification Report'!$AO$841</definedName>
    <definedName name="vpc613_1">'Verification Report'!$AO$868</definedName>
    <definedName name="vpc703_1">'Verification Report'!$AO$1033</definedName>
    <definedName name="vpc703_2_1">'Verification Report'!$AO$1052</definedName>
    <definedName name="vpc703_2_2">'Verification Report'!$AO$1059</definedName>
    <definedName name="vpc703_2_3">'Verification Report'!$AO$1061</definedName>
    <definedName name="vpc703_2_4">'Verification Report'!$AO$1065</definedName>
    <definedName name="vpc703_2_5_2">'Verification Report'!$AO$1086</definedName>
    <definedName name="vpc703_3_1">'Verification Report'!$AO$1119</definedName>
    <definedName name="vpc703_3_2_1">'Verification Report'!$AO$1125</definedName>
    <definedName name="vpc703_3_2_2">'Verification Report'!$AO$1131</definedName>
    <definedName name="vpc703_3_2_3">'Verification Report'!$AO$1134</definedName>
    <definedName name="vpc703_3_2_4">'Verification Report'!$AO$1139</definedName>
    <definedName name="vpc703_3_3_1">'Verification Report'!$AO$1145</definedName>
    <definedName name="vpc703_3_3_2">'Verification Report'!$AO$1151</definedName>
    <definedName name="vpc703_3_3_3">'Verification Report'!$AO$1153</definedName>
    <definedName name="vpc703_3_4_1">'Verification Report'!$AO$1157</definedName>
    <definedName name="vpc703_3_4_1_6">'Verification Report'!$AO$1163</definedName>
    <definedName name="vpc703_3_4_2">'Verification Report'!$AO$1165</definedName>
    <definedName name="vpc703_3_5">'Verification Report'!$AO$1166</definedName>
    <definedName name="vpc703_3_6">'Verification Report'!$AO$1169</definedName>
    <definedName name="vpc703_3_7">'Verification Report'!$AO$1176</definedName>
    <definedName name="vpc703_3_8">'Verification Report'!$AO$1183</definedName>
    <definedName name="vpc703_4_1">'Verification Report'!$AO$1188</definedName>
    <definedName name="vpc703_4_2">'Verification Report'!$AO$1189</definedName>
    <definedName name="vpc703_4_3">'Verification Report'!$AO$1190</definedName>
    <definedName name="vpc703_4_4">'Verification Report'!$AO$1195</definedName>
    <definedName name="vpc703_5_1_1_a">'Verification Report'!$AO$1214</definedName>
    <definedName name="vpc703_5_1_1_b">'Verification Report'!$AO$1217</definedName>
    <definedName name="vpc703_5_1_1_c">'Verification Report'!$AO$1219</definedName>
    <definedName name="vpc703_5_1_1_d">'Verification Report'!$AO$1222</definedName>
    <definedName name="vpc703_5_1_1_e">'Verification Report'!$AO$1227</definedName>
    <definedName name="vpc703_5_1_2_a">'Verification Report'!$AO$1232</definedName>
    <definedName name="vpc703_5_1_2_b">'Verification Report'!$AO$1241</definedName>
    <definedName name="vpc703_5_1_2_c">'Verification Report'!$AO$1247</definedName>
    <definedName name="vpc703_5_1_2_d">'Verification Report'!$AO$1249</definedName>
    <definedName name="vpc703_5_1_2_e">'Verification Report'!$AO$1251</definedName>
    <definedName name="vpc703_5_1_3">'Verification Report'!$AO$1253</definedName>
    <definedName name="vpc703_5_2">'Verification Report'!$AO$1254</definedName>
    <definedName name="vpc703_5_3">'Verification Report'!$AO$1256</definedName>
    <definedName name="vpc703_5_4">'Verification Report'!$AO$1258</definedName>
    <definedName name="vpc703_5_5_a">'Verification Report'!$AO$1264</definedName>
    <definedName name="vpc703_5_5_b">'Verification Report'!$AO$1271</definedName>
    <definedName name="vpc703_6_1_1">'Verification Report'!$AO$1281</definedName>
    <definedName name="vpc703_6_1_2">'Verification Report'!$AO$1283</definedName>
    <definedName name="vpc703_6_1_3">'Verification Report'!$AO$1285</definedName>
    <definedName name="vpc703_6_2_1">'Verification Report'!$AO$1288</definedName>
    <definedName name="vpc703_6_2_2">'Verification Report'!$AO$1289</definedName>
    <definedName name="vpc703_6_2_3">'Verification Report'!$AO$1290</definedName>
    <definedName name="vpc703_7_1">'Verification Report'!$AO$1293</definedName>
    <definedName name="vpc703_7_2">'Verification Report'!$AO$1321</definedName>
    <definedName name="vpc703_7_3">'Verification Report'!$AO$1323</definedName>
    <definedName name="vpc703_7_4">'Verification Report'!$AO$1350</definedName>
    <definedName name="vpc705_2_1_1">'Verification Report'!$AO$1379</definedName>
    <definedName name="vpc705_2_1_2">'Verification Report'!$AO$1383</definedName>
    <definedName name="vpc705_2_1_3_1">'Verification Report'!$AO$1387</definedName>
    <definedName name="vpc705_2_1_3_2">'Verification Report'!$AO$1391</definedName>
    <definedName name="vpc705_2_1_4">'Verification Report'!$AO$1396</definedName>
    <definedName name="vpc705_2_2">'Verification Report'!$AO$1401</definedName>
    <definedName name="vpc705_2_3">'Verification Report'!$AO$1404</definedName>
    <definedName name="vpc705_2_4">'Verification Report'!$AO$1406</definedName>
    <definedName name="vpc705_3">'Verification Report'!$AO$1409</definedName>
    <definedName name="vpc705_4">'Verification Report'!$AO$1410</definedName>
    <definedName name="vpc705_5_1_1">'Verification Report'!$AO$1415</definedName>
    <definedName name="vpc705_5_1_2">'Verification Report'!$AO$1418</definedName>
    <definedName name="vpc705_5_2">'Verification Report'!$AO$1420</definedName>
    <definedName name="vpc705_5_3_1">'Verification Report'!$AO$1429</definedName>
    <definedName name="vpc705_5_3_2">'Verification Report'!$AO$1431</definedName>
    <definedName name="vpc705_6_1">'Verification Report'!$AO$1433</definedName>
    <definedName name="vpc705_6_2_1_1">'Verification Report'!$AO$1450</definedName>
    <definedName name="vpc705_6_2_1_2">'Verification Report'!$AO$1453</definedName>
    <definedName name="vpc705_6_2_2_1">'Verification Report'!$AO$1459</definedName>
    <definedName name="vpc705_6_2_2_2">'Verification Report'!$AO$1461</definedName>
    <definedName name="vpc705_6_2_3">'Verification Report'!$AO$1464</definedName>
    <definedName name="vpc705_6_3">'Verification Report'!$AO$1470</definedName>
    <definedName name="vpc705_6_4_1">'Verification Report'!$AO$1482</definedName>
    <definedName name="vpc705_6_4_2">'Verification Report'!$AO$1484</definedName>
    <definedName name="vpc705_7">'Verification Report'!$AO$1486</definedName>
    <definedName name="vpc706_1">'Verification Report'!$AO$1491</definedName>
    <definedName name="vpc706_10">'Verification Report'!$AO$1568</definedName>
    <definedName name="vpc706_11">'Verification Report'!$AO$1573</definedName>
    <definedName name="vpc706_12">'Verification Report'!$AO$1575</definedName>
    <definedName name="vpc706_13">'Verification Report'!$AO$1579</definedName>
    <definedName name="vpc706_14_1">'Verification Report'!$AO$1584</definedName>
    <definedName name="vpc706_14_2">'Verification Report'!$AO$1588</definedName>
    <definedName name="vpc706_15_1">'Verification Report'!$AO$1593</definedName>
    <definedName name="vpc706_15_2">'Verification Report'!$AO$1594</definedName>
    <definedName name="vpc706_2_1">'Verification Report'!$AO$1501</definedName>
    <definedName name="vpc706_2_2">'Verification Report'!$AO$1506</definedName>
    <definedName name="vpc706_3">'Verification Report'!$AO$1513</definedName>
    <definedName name="vpc706_4_1_1">'Verification Report'!$AO$1531</definedName>
    <definedName name="vpc706_4_1_2">'Verification Report'!$AO$1533</definedName>
    <definedName name="vpc706_4_2">'Verification Report'!$AO$1535</definedName>
    <definedName name="vpc706_5_1">'Verification Report'!$AO$1538</definedName>
    <definedName name="vpc706_5_2">'Verification Report'!$AO$1540</definedName>
    <definedName name="vpc706_5_3">'Verification Report'!$AO$1542</definedName>
    <definedName name="vpc706_6">'Verification Report'!$AO$1552</definedName>
    <definedName name="vpc706_7_1">'Verification Report'!$AO$1558</definedName>
    <definedName name="vpc706_7_2">'Verification Report'!$AO$1559</definedName>
    <definedName name="vpc706_8">'Verification Report'!$AO$1560</definedName>
    <definedName name="vpc706_9">'Verification Report'!$AO$1563</definedName>
    <definedName name="vpc802_1">'Verification Report'!$AO$1626</definedName>
    <definedName name="vpc802_1_6">'Verification Report'!$AO$1653</definedName>
    <definedName name="vpc802_10_1_1">'Verification Report'!$AO$1831</definedName>
    <definedName name="vpc802_2_1">'Verification Report'!$AO$1658</definedName>
    <definedName name="vpc802_2_2">'Verification Report'!$AO$1659</definedName>
    <definedName name="vpc802_3_1_a">'Verification Report'!$AO$1665</definedName>
    <definedName name="vpc802_3_1_b">'Verification Report'!$AO$1667</definedName>
    <definedName name="vpc802_3_2_a">'Verification Report'!$AO$1674</definedName>
    <definedName name="vpc802_3_2_b">'Verification Report'!$AO$1676</definedName>
    <definedName name="vpc802_4_1">'Verification Report'!$AO$1681</definedName>
    <definedName name="vpc802_4_2">'Verification Report'!$AO$1692</definedName>
    <definedName name="vpc802_4_3">'Verification Report'!$AO$1697</definedName>
    <definedName name="vpc802_5_1">'Verification Report'!$AO$1701</definedName>
    <definedName name="vpc802_5_2">'Verification Report'!$AO$1713</definedName>
    <definedName name="vpc802_5_3">'Verification Report'!$AO$1718</definedName>
    <definedName name="vpc802_5_4_2">'Verification Report'!$AO$1724</definedName>
    <definedName name="vpc802_5_4_3">'Verification Report'!$AO$1731</definedName>
    <definedName name="vpc802_5_4_4_a">'Verification Report'!$AO$1734</definedName>
    <definedName name="vpc802_5_4_4_b">'Verification Report'!$AO$1738</definedName>
    <definedName name="vpc802_5_4_4_c">'Verification Report'!$AO$1740</definedName>
    <definedName name="vpc802_6_2">'Verification Report'!$AO$1745</definedName>
    <definedName name="vpc802_6_3_1">'Verification Report'!$AO$1749</definedName>
    <definedName name="vpc802_6_3_2">'Verification Report'!$AO$1750</definedName>
    <definedName name="vpc802_6_3_3">'Verification Report'!$AO$1751</definedName>
    <definedName name="vpc802_6_4_1">'Verification Report'!$AO$1755</definedName>
    <definedName name="vpc802_6_4_2">'Verification Report'!$AO$1757</definedName>
    <definedName name="vpc802_6_5_1">'Verification Report'!$AO$1761</definedName>
    <definedName name="vpc802_6_5_2">'Verification Report'!$AO$1763</definedName>
    <definedName name="vpc802_6_5_3">'Verification Report'!$AO$1765</definedName>
    <definedName name="vpc802_6_5_4">'Verification Report'!$AO$1766</definedName>
    <definedName name="vpc802_6_5_5">'Verification Report'!$AO$1768</definedName>
    <definedName name="vpc802_7_1">'Verification Report'!$AO$1772</definedName>
    <definedName name="vpc802_7_2">'Verification Report'!$AO$1783</definedName>
    <definedName name="vpc802_8">'Verification Report'!$AO$1811</definedName>
    <definedName name="vpc802_9_1">'Verification Report'!$AO$1814</definedName>
    <definedName name="vpc802_9_2">'Verification Report'!$AO$1822</definedName>
    <definedName name="vpc803_1">'Verification Report'!$AO$1833</definedName>
    <definedName name="vpc803_2">'Verification Report'!$AO$1840</definedName>
    <definedName name="vpc803_3">'Verification Report'!$AO$1843</definedName>
    <definedName name="vpc803_4">'Verification Report'!$AO$1848</definedName>
    <definedName name="vpc803_5">'Verification Report'!$AO$1851</definedName>
    <definedName name="vpc803_6">'Verification Report'!$AO$1853</definedName>
    <definedName name="vpc901_1_1">'Verification Report'!$AO$1859</definedName>
    <definedName name="vpc901_1_2">'Verification Report'!$AO$1865</definedName>
    <definedName name="vpc901_1_3_1">'Verification Report'!$AO$1870</definedName>
    <definedName name="vpc901_1_3_2">'Verification Report'!$AO$1873</definedName>
    <definedName name="vpc901_1_5">'Verification Report'!$AO$1881</definedName>
    <definedName name="vpc901_1_6">'Verification Report'!$AO$1884</definedName>
    <definedName name="vpc901_10">'Verification Report'!$AO$1999</definedName>
    <definedName name="vpc901_11">'Verification Report'!$AO$2013</definedName>
    <definedName name="vpc901_12">'Verification Report'!$AO$2018</definedName>
    <definedName name="vpc901_14">'Verification Report'!$AO$2026</definedName>
    <definedName name="vpc901_15_1">'Verification Report'!$AO$2032</definedName>
    <definedName name="vpc901_15_2">'Verification Report'!$AO$2034</definedName>
    <definedName name="vpc901_2_1_1">'Verification Report'!$AO$1890</definedName>
    <definedName name="vpc901_2_1_2">'Verification Report'!$AO$1893</definedName>
    <definedName name="vpc901_2_1_3">'Verification Report'!$AO$1895</definedName>
    <definedName name="vpc901_2_1_4">'Verification Report'!$AO$1898</definedName>
    <definedName name="vpc901_2_1_5">'Verification Report'!$AO$1900</definedName>
    <definedName name="vpc901_2_2">'Verification Report'!$AO$1902</definedName>
    <definedName name="vpc901_3_1_a">'Verification Report'!$AO$1905</definedName>
    <definedName name="vpc901_3_1_b">'Verification Report'!$AO$1907</definedName>
    <definedName name="vpc901_3_1_c">'Verification Report'!$AO$1909</definedName>
    <definedName name="vpc901_3_2">'Verification Report'!$AO$1915</definedName>
    <definedName name="vpc901_4">'Verification Report'!$AO$1916</definedName>
    <definedName name="vpc901_5_1">'Verification Report'!$AO$1939</definedName>
    <definedName name="vpc901_5_2">'Verification Report'!$AO$1941</definedName>
    <definedName name="vpc901_7">'Verification Report'!$AO$1946</definedName>
    <definedName name="vpc901_8">'Verification Report'!$AO$1968</definedName>
    <definedName name="vpc901_9_1">'Verification Report'!$AO$1978</definedName>
    <definedName name="vpc901_9_2">'Verification Report'!$AO$1985</definedName>
    <definedName name="vpc901_9_3">'Verification Report'!$AO$1990</definedName>
    <definedName name="vpc902_1_1_1_a">'Verification Report'!$AO$2044</definedName>
    <definedName name="vpc902_1_1_3">'Verification Report'!$AO$2048</definedName>
    <definedName name="vpc902_1_2">'Verification Report'!$AO$2051</definedName>
    <definedName name="vpc902_1_3">'Verification Report'!$AO$2055</definedName>
    <definedName name="vpc902_1_4">'Verification Report'!$AO$2059</definedName>
    <definedName name="vpc902_1_5">'Verification Report'!$AO$2064</definedName>
    <definedName name="vpc902_1_6">'Verification Report'!$AO$2073</definedName>
    <definedName name="vpc902_2_1">'Verification Report'!$AO$2077</definedName>
    <definedName name="vpc902_2_2">'Verification Report'!$AO$2088</definedName>
    <definedName name="vpc902_2_3">'Verification Report'!$AO$2090</definedName>
    <definedName name="vpc902_2_4">'Verification Report'!$AO$2093</definedName>
    <definedName name="vpc902_2_5">'Verification Report'!$AO$2096</definedName>
    <definedName name="vpc902_3_1">'Verification Report'!$AO$2103</definedName>
    <definedName name="vpc902_3_2">'Verification Report'!$AO$2106</definedName>
    <definedName name="vpc902_3_2_1">'Verification Report'!$AO$2149</definedName>
    <definedName name="vpc902_3_2_2">'Verification Report'!$AO$2172</definedName>
    <definedName name="vpc902_4">'Verification Report'!$AO$2174</definedName>
    <definedName name="vpc902_5">'Verification Report'!$AO$2184</definedName>
    <definedName name="vpc903_1">'Verification Report'!$AO$2190</definedName>
    <definedName name="vpc903_2">'Verification Report'!$AO$2194</definedName>
    <definedName name="vpc903_3">'Verification Report'!$AO$2198</definedName>
    <definedName name="vpc904_1">'Verification Report'!$AO$2206</definedName>
    <definedName name="vpc904_2">'Verification Report'!$AO$2211</definedName>
    <definedName name="vpc905_1">'Verification Report'!$AO$2227</definedName>
    <definedName name="vpc905_2">'Verification Report'!$AO$2232</definedName>
    <definedName name="vpc905_3">'Verification Report'!$AO$2234</definedName>
    <definedName name="vpc905_4">'Verification Report'!$AO$2238</definedName>
    <definedName name="vpc905_5">'Verification Report'!$AO$2243</definedName>
    <definedName name="vpc905_6">'Verification Report'!$AO$2247</definedName>
    <definedName name="Vpoints">Points!$N$25</definedName>
    <definedName name="vscAGFloorArea">'Overview (Verification)'!$I$25</definedName>
    <definedName name="vscAttachedGarage">'Overview (Verification)'!$I$55</definedName>
    <definedName name="vscAttic">'Overview (Verification)'!$I$54</definedName>
    <definedName name="vscBuilderName">'Overview (Verification)'!$I$10</definedName>
    <definedName name="vscBuildingCode">'Overview (Verification)'!$I$66</definedName>
    <definedName name="vscCDucts">'Overview (Verification)'!$I$46</definedName>
    <definedName name="vscCity">'Overview (Verification)'!$I$13</definedName>
    <definedName name="vscCommercial">'Overview (Verification)'!$I$20</definedName>
    <definedName name="vscCool1">'Overview (Verification)'!$I$43</definedName>
    <definedName name="vscCool2">'Overview (Verification)'!$I$44</definedName>
    <definedName name="vscCool3">'Overview (Verification)'!$I$45</definedName>
    <definedName name="vscCounty">'Overview (Verification)'!$I$15</definedName>
    <definedName name="vscCToilet">'Overview (Verification)'!$I$63</definedName>
    <definedName name="vscEnergyBLYear">'Overview (Verification)'!$I$30</definedName>
    <definedName name="vscEnergyCode">'Overview (Verification)'!$I$65</definedName>
    <definedName name="vscEnergyPath">'Overview (Verification)'!$I$34</definedName>
    <definedName name="vscFloors">'Overview (Verification)'!$I$27</definedName>
    <definedName name="vscFoundation">'Overview (Verification)'!$I$36</definedName>
    <definedName name="vscFuel">'Overview (Verification)'!$I$41</definedName>
    <definedName name="vscHDucts">'Overview (Verification)'!$I$42</definedName>
    <definedName name="vscHomeAddress">'Overview (Verification)'!$I$11</definedName>
    <definedName name="vscHVAC1">'Overview (Verification)'!$I$38</definedName>
    <definedName name="vscHVAC2">'Overview (Verification)'!$I$39</definedName>
    <definedName name="vscHVAC3">'Overview (Verification)'!$I$40</definedName>
    <definedName name="vscLot">'Overview (Verification)'!$I$12</definedName>
    <definedName name="vscMassWalls">'Overview (Verification)'!$I$60</definedName>
    <definedName name="vscPassiveSolar">'Overview (Verification)'!$I$59</definedName>
    <definedName name="vscProjectDesc">'Overview (Verification)'!$I$32</definedName>
    <definedName name="vscProjectName">'Overview (Verification)'!$I$23</definedName>
    <definedName name="vscRadiantHydronic">'Overview (Verification)'!$I$61</definedName>
    <definedName name="vscRecessedLighting">'Overview (Verification)'!$I$56</definedName>
    <definedName name="vscRenewable">'Overview (Verification)'!$I$52</definedName>
    <definedName name="vscSingleOrMulti">'Overview (Verification)'!$I$18</definedName>
    <definedName name="vscsSHGC">'Overview (Verification)'!$I$49</definedName>
    <definedName name="vscState">'Overview (Verification)'!$I$14</definedName>
    <definedName name="vscsUV">'Overview (Verification)'!$I$51</definedName>
    <definedName name="vscTCFloorArea">'Overview (Verification)'!$I$26</definedName>
    <definedName name="vscTEInsulation">'Overview (Verification)'!$I$53</definedName>
    <definedName name="vscTLWH">'Overview (Verification)'!$I$62</definedName>
    <definedName name="vscUnits">'Overview (Verification)'!$I$19</definedName>
    <definedName name="vscWaterBLYear">'Overview (Verification)'!$I$31</definedName>
    <definedName name="vscWaterPath">'Overview (Verification)'!$I$35</definedName>
    <definedName name="vscwdSHGC">'Overview (Verification)'!$I$48</definedName>
    <definedName name="vscwdUV">'Overview (Verification)'!$I$50</definedName>
    <definedName name="vscYearBuilt">'Overview (Verification)'!$I$29</definedName>
    <definedName name="vscZIP">'Overview (Verification)'!$I$16</definedName>
    <definedName name="vsfAGFloorArea">'Overview (Verification)'!$J$25</definedName>
    <definedName name="vsfAttachedGarage">'Overview (Verification)'!$J$55</definedName>
    <definedName name="vsfAttic">'Overview (Verification)'!$J$54</definedName>
    <definedName name="vsfBuilderName">'Overview (Verification)'!$J$10</definedName>
    <definedName name="vsfBuildingCode">'Overview (Verification)'!$J$66</definedName>
    <definedName name="vsfCDucts">'Overview (Verification)'!$J$46</definedName>
    <definedName name="vsfCity">'Overview (Verification)'!$J$13</definedName>
    <definedName name="vsfCommercial">'Overview (Verification)'!$J$20</definedName>
    <definedName name="vsfCool1">'Overview (Verification)'!$J$43</definedName>
    <definedName name="vsfCool2">'Overview (Verification)'!$J$44</definedName>
    <definedName name="vsfCool3">'Overview (Verification)'!$J$45</definedName>
    <definedName name="vsfCounty">'Overview (Verification)'!$J$15</definedName>
    <definedName name="vsfCToilet">'Overview (Verification)'!$J$63</definedName>
    <definedName name="vsfEnergyBLYear">'Overview (Verification)'!$J$30</definedName>
    <definedName name="vsfEnergyCode">'Overview (Verification)'!$J$65</definedName>
    <definedName name="vsfEnergyPath">'Overview (Verification)'!$J$34</definedName>
    <definedName name="vsfFloors">'Overview (Verification)'!$J$27</definedName>
    <definedName name="vsfFoundation">'Overview (Verification)'!$J$36</definedName>
    <definedName name="vsfFuel">'Overview (Verification)'!$J$41</definedName>
    <definedName name="vsfHDucts">'Overview (Verification)'!$J$42</definedName>
    <definedName name="vsfHomeAddress">'Overview (Verification)'!$J$11</definedName>
    <definedName name="vsfHVAC1">'Overview (Verification)'!$J$38</definedName>
    <definedName name="vsfHVAC2">'Overview (Verification)'!$J$39</definedName>
    <definedName name="vsfHVAC3">'Overview (Verification)'!$J$40</definedName>
    <definedName name="vsfLot">'Overview (Verification)'!$J$12</definedName>
    <definedName name="vsfMassWalls">'Overview (Verification)'!$J$60</definedName>
    <definedName name="vsfPassiveSolar">'Overview (Verification)'!$J$59</definedName>
    <definedName name="vsfProjectDesc">'Overview (Verification)'!$J$32</definedName>
    <definedName name="vsfProjectID">'Overview (Verification)'!$J$8</definedName>
    <definedName name="vsfProjectName">'Overview (Verification)'!$J$23</definedName>
    <definedName name="vsfRadiantHydronic">'Overview (Verification)'!$J$61</definedName>
    <definedName name="vsfRecessedLighting">'Overview (Verification)'!$J$56</definedName>
    <definedName name="vsfRenewable">'Overview (Verification)'!$J$52</definedName>
    <definedName name="vsfSingleOrMulti">'Overview (Verification)'!$J$18</definedName>
    <definedName name="vsfsSHGC">'Overview (Verification)'!$J$49</definedName>
    <definedName name="vsfState">'Overview (Verification)'!$J$14</definedName>
    <definedName name="vsfsUV">'Overview (Verification)'!$J$51</definedName>
    <definedName name="vsfTCFloorArea">'Overview (Verification)'!$J$26</definedName>
    <definedName name="vsfTEInsulation">'Overview (Verification)'!$J$53</definedName>
    <definedName name="vsfTLWH">'Overview (Verification)'!$J$62</definedName>
    <definedName name="vsfUnits">'Overview (Verification)'!$J$19</definedName>
    <definedName name="vsfWaterBLYear">'Overview (Verification)'!$J$31</definedName>
    <definedName name="vsfWaterPath">'Overview (Verification)'!$J$35</definedName>
    <definedName name="vsfwdSHGC">'Overview (Verification)'!$J$48</definedName>
    <definedName name="vsfwdUV">'Overview (Verification)'!$J$50</definedName>
    <definedName name="vsfYearBuilt">'Overview (Verification)'!$J$29</definedName>
    <definedName name="vsfZIP">'Overview (Verification)'!$J$16</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G2459" i="16" l="1"/>
  <c r="G2455" i="16"/>
  <c r="G2452" i="16"/>
  <c r="G2441" i="16"/>
  <c r="G2426" i="16"/>
  <c r="G2259" i="16"/>
  <c r="G2243" i="16"/>
  <c r="G2234" i="16"/>
  <c r="G2232" i="16"/>
  <c r="G2227" i="16"/>
  <c r="G2211" i="16"/>
  <c r="G2206" i="16"/>
  <c r="G2184" i="16"/>
  <c r="G2174" i="16"/>
  <c r="G2109" i="16"/>
  <c r="G2103" i="16"/>
  <c r="G2073" i="16"/>
  <c r="G2064" i="16"/>
  <c r="G2055" i="16"/>
  <c r="G2051" i="16"/>
  <c r="G2048" i="16"/>
  <c r="G2018" i="16"/>
  <c r="G2013" i="16"/>
  <c r="G1999" i="16"/>
  <c r="G1968" i="16"/>
  <c r="G1939" i="16"/>
  <c r="G1865" i="16"/>
  <c r="G1859" i="16"/>
  <c r="G1840" i="16"/>
  <c r="G1676" i="16"/>
  <c r="G1674" i="16"/>
  <c r="G1450" i="16"/>
  <c r="G1213" i="16"/>
  <c r="G884" i="16"/>
  <c r="G825" i="16"/>
  <c r="G794" i="16"/>
  <c r="G749" i="16"/>
  <c r="G742" i="16"/>
  <c r="G733" i="16"/>
  <c r="G699" i="16"/>
  <c r="G693" i="16"/>
  <c r="G688" i="16"/>
  <c r="G676" i="16"/>
  <c r="G673" i="16"/>
  <c r="G625" i="16"/>
  <c r="G616" i="16"/>
  <c r="G601" i="16"/>
  <c r="G588" i="16"/>
  <c r="G584" i="16"/>
  <c r="G577" i="16"/>
  <c r="G555" i="16"/>
  <c r="G545" i="16"/>
  <c r="G511" i="16"/>
  <c r="G509" i="16"/>
  <c r="G499" i="16"/>
  <c r="G467" i="16"/>
  <c r="G465" i="16"/>
  <c r="G463" i="16"/>
  <c r="G412" i="16"/>
  <c r="G400" i="16"/>
  <c r="G357" i="16"/>
  <c r="G356" i="16"/>
  <c r="G347" i="16"/>
  <c r="G346" i="16"/>
  <c r="G345" i="16"/>
  <c r="G344" i="16"/>
  <c r="G343" i="16"/>
  <c r="G342" i="16"/>
  <c r="G336" i="16"/>
  <c r="G333" i="16"/>
  <c r="G330" i="16"/>
  <c r="G304" i="16"/>
  <c r="G286" i="16"/>
  <c r="G271" i="16"/>
  <c r="G260" i="16"/>
  <c r="G251" i="16"/>
  <c r="G241" i="16"/>
  <c r="G233" i="16"/>
  <c r="G219" i="16"/>
  <c r="G218" i="16"/>
  <c r="G215" i="16"/>
  <c r="G211" i="16"/>
  <c r="G209" i="16"/>
  <c r="G207" i="16"/>
  <c r="G206" i="16"/>
  <c r="G204" i="16"/>
  <c r="G199" i="16"/>
  <c r="G197" i="16"/>
  <c r="G196" i="16"/>
  <c r="G189" i="16"/>
  <c r="G184" i="16"/>
  <c r="G179" i="16"/>
  <c r="G177" i="16"/>
  <c r="G176" i="16"/>
  <c r="G175" i="16"/>
  <c r="G171" i="16"/>
  <c r="G169" i="16"/>
  <c r="G167" i="16"/>
  <c r="G164" i="16"/>
  <c r="G129" i="16"/>
  <c r="G112" i="16"/>
  <c r="G104" i="16"/>
  <c r="G98" i="16"/>
  <c r="G96" i="16"/>
  <c r="G92" i="16"/>
  <c r="G90" i="16"/>
  <c r="G83" i="16"/>
  <c r="G82" i="16"/>
  <c r="G75" i="16"/>
  <c r="G73" i="16"/>
  <c r="G71" i="16"/>
  <c r="G70" i="16"/>
  <c r="G68" i="16"/>
  <c r="G66" i="16"/>
  <c r="G64" i="16"/>
  <c r="G63" i="16"/>
  <c r="G51" i="16"/>
  <c r="G47" i="16"/>
  <c r="G44" i="16"/>
  <c r="G34" i="16"/>
  <c r="G19" i="16"/>
  <c r="G15" i="16"/>
  <c r="A3115" i="66"/>
  <c r="A3114" i="66"/>
  <c r="A3113" i="66"/>
  <c r="A3112" i="66"/>
  <c r="A3111" i="66"/>
  <c r="A3110" i="66"/>
  <c r="A3109" i="66"/>
  <c r="A3108" i="66"/>
  <c r="A3107" i="66"/>
  <c r="A3106" i="66"/>
  <c r="A3105" i="66"/>
  <c r="A3104" i="66"/>
  <c r="A3103" i="66"/>
  <c r="A3088" i="66"/>
  <c r="A3087" i="66"/>
  <c r="A3086" i="66"/>
  <c r="A3085" i="66"/>
  <c r="A3084" i="66"/>
  <c r="A3083" i="66"/>
  <c r="A3082" i="66"/>
  <c r="A3081" i="66"/>
  <c r="A3080" i="66"/>
  <c r="A3079" i="66"/>
  <c r="A3078" i="66"/>
  <c r="A3077" i="66"/>
  <c r="A3076" i="66"/>
  <c r="A3075" i="66"/>
  <c r="A3074" i="66"/>
  <c r="A3073" i="66"/>
  <c r="A3072" i="66"/>
  <c r="A3071" i="66"/>
  <c r="A3070" i="66"/>
  <c r="A3069" i="66"/>
  <c r="A3068" i="66"/>
  <c r="A3067" i="66"/>
  <c r="A3066" i="66"/>
  <c r="A3065" i="66"/>
  <c r="A3064" i="66"/>
  <c r="A3063" i="66"/>
  <c r="A3062" i="66"/>
  <c r="A3061" i="66"/>
  <c r="A3060" i="66"/>
  <c r="A3059" i="66"/>
  <c r="A3058" i="66"/>
  <c r="A3057" i="66"/>
  <c r="A3056" i="66"/>
  <c r="A3055" i="66"/>
  <c r="A3054" i="66"/>
  <c r="A3053" i="66"/>
  <c r="A3052" i="66"/>
  <c r="A3051" i="66"/>
  <c r="A3050" i="66"/>
  <c r="A3049" i="66"/>
  <c r="A3048" i="66"/>
  <c r="A3047" i="66"/>
  <c r="A3046" i="66"/>
  <c r="A3045" i="66"/>
  <c r="A3044" i="66"/>
  <c r="A3043" i="66"/>
  <c r="A3042" i="66"/>
  <c r="A3041" i="66"/>
  <c r="A3040" i="66"/>
  <c r="A3039" i="66"/>
  <c r="A3038" i="66"/>
  <c r="A3037" i="66"/>
  <c r="A3036" i="66"/>
  <c r="A3035" i="66"/>
  <c r="A3034" i="66"/>
  <c r="A3033" i="66"/>
  <c r="A3032" i="66"/>
  <c r="A3031" i="66"/>
  <c r="A3030" i="66"/>
  <c r="A3029" i="66"/>
  <c r="A3028" i="66"/>
  <c r="A3027" i="66"/>
  <c r="A3026" i="66"/>
  <c r="A3025" i="66"/>
  <c r="A3024" i="66"/>
  <c r="A3023" i="66"/>
  <c r="A3022" i="66"/>
  <c r="A3021" i="66"/>
  <c r="A3020" i="66"/>
  <c r="A3019" i="66"/>
  <c r="A3018" i="66"/>
  <c r="A3017" i="66"/>
  <c r="A3016" i="66"/>
  <c r="A3015" i="66"/>
  <c r="A3014" i="66"/>
  <c r="A3013" i="66"/>
  <c r="A3012" i="66"/>
  <c r="A3011" i="66"/>
  <c r="A3010" i="66"/>
  <c r="A3009" i="66"/>
  <c r="A3008" i="66"/>
  <c r="A3007" i="66"/>
  <c r="A3006" i="66"/>
  <c r="A3005" i="66"/>
  <c r="A3004" i="66"/>
  <c r="A3003" i="66"/>
  <c r="A3002" i="66"/>
  <c r="A3001" i="66"/>
  <c r="A3000" i="66"/>
  <c r="A2999" i="66"/>
  <c r="A2998" i="66"/>
  <c r="A2997" i="66"/>
  <c r="A2996" i="66"/>
  <c r="A2995" i="66"/>
  <c r="A2994" i="66"/>
  <c r="A2993" i="66"/>
  <c r="A2992" i="66"/>
  <c r="A2991" i="66"/>
  <c r="A2990" i="66"/>
  <c r="A2989" i="66"/>
  <c r="A2988" i="66"/>
  <c r="A2987" i="66"/>
  <c r="A2986" i="66"/>
  <c r="A2985" i="66"/>
  <c r="A2984" i="66"/>
  <c r="A2983" i="66"/>
  <c r="A2982" i="66"/>
  <c r="A2981" i="66"/>
  <c r="A2980" i="66"/>
  <c r="A2979" i="66"/>
  <c r="A2978" i="66"/>
  <c r="A2977" i="66"/>
  <c r="A2976" i="66"/>
  <c r="A2975" i="66"/>
  <c r="A2974" i="66"/>
  <c r="A2973" i="66"/>
  <c r="A2972" i="66"/>
  <c r="A2971" i="66"/>
  <c r="A2969" i="66"/>
  <c r="A2968" i="66"/>
  <c r="A2967" i="66"/>
  <c r="A2966" i="66"/>
  <c r="A2965" i="66"/>
  <c r="A2964" i="66"/>
  <c r="A2963" i="66"/>
  <c r="A2962" i="66"/>
  <c r="A2961" i="66"/>
  <c r="A2960" i="66"/>
  <c r="A2959" i="66"/>
  <c r="A2958" i="66"/>
  <c r="A2957" i="66"/>
  <c r="A2956" i="66"/>
  <c r="A2955" i="66"/>
  <c r="A2954" i="66"/>
  <c r="A2953" i="66"/>
  <c r="A2952" i="66"/>
  <c r="A2950" i="66"/>
  <c r="A2949" i="66"/>
  <c r="A2948" i="66"/>
  <c r="A2947" i="66"/>
  <c r="A2945" i="66"/>
  <c r="A2944" i="66"/>
  <c r="A2943" i="66"/>
  <c r="A2942" i="66"/>
  <c r="A2941" i="66"/>
  <c r="A2940" i="66"/>
  <c r="A2939" i="66"/>
  <c r="A2938" i="66"/>
  <c r="A2937" i="66"/>
  <c r="A2936" i="66"/>
  <c r="A2935" i="66"/>
  <c r="A2934" i="66"/>
  <c r="A2933" i="66"/>
  <c r="A2932" i="66"/>
  <c r="A2931" i="66"/>
  <c r="A2930" i="66"/>
  <c r="A2929" i="66"/>
  <c r="A2928" i="66"/>
  <c r="A2927" i="66"/>
  <c r="A2926" i="66"/>
  <c r="A2925" i="66"/>
  <c r="A2924" i="66"/>
  <c r="A2923" i="66"/>
  <c r="A2922" i="66"/>
  <c r="A2921" i="66"/>
  <c r="A2920" i="66"/>
  <c r="A2919" i="66"/>
  <c r="A2918" i="66"/>
  <c r="A2917" i="66"/>
  <c r="A2916" i="66"/>
  <c r="A2915" i="66"/>
  <c r="A2914" i="66"/>
  <c r="A2913" i="66"/>
  <c r="A2912" i="66"/>
  <c r="A2911" i="66"/>
  <c r="A2910" i="66"/>
  <c r="A2909" i="66"/>
  <c r="A2908" i="66"/>
  <c r="A2907" i="66"/>
  <c r="A2906" i="66"/>
  <c r="A2905" i="66"/>
  <c r="A2904" i="66"/>
  <c r="A2903" i="66"/>
  <c r="A2902" i="66"/>
  <c r="A2901" i="66"/>
  <c r="A2900" i="66"/>
  <c r="A2899" i="66"/>
  <c r="A2898" i="66"/>
  <c r="A2897" i="66"/>
  <c r="A2896" i="66"/>
  <c r="A2895" i="66"/>
  <c r="A2894" i="66"/>
  <c r="A2893" i="66"/>
  <c r="A2892" i="66"/>
  <c r="A2891" i="66"/>
  <c r="A2889" i="66"/>
  <c r="A2888" i="66"/>
  <c r="A2887" i="66"/>
  <c r="A2886" i="66"/>
  <c r="A2885" i="66"/>
  <c r="A2884" i="66"/>
  <c r="A2883" i="66"/>
  <c r="A2882" i="66"/>
  <c r="A2881" i="66"/>
  <c r="A2880" i="66"/>
  <c r="A2879" i="66"/>
  <c r="A2878" i="66"/>
  <c r="A2877" i="66"/>
  <c r="A2876" i="66"/>
  <c r="A2875" i="66"/>
  <c r="A2874" i="66"/>
  <c r="A2873" i="66"/>
  <c r="A2872" i="66"/>
  <c r="A2871" i="66"/>
  <c r="A2870" i="66"/>
  <c r="A2869" i="66"/>
  <c r="A2868" i="66"/>
  <c r="A2867" i="66"/>
  <c r="A2866" i="66"/>
  <c r="A2865" i="66"/>
  <c r="A2864" i="66"/>
  <c r="A2863" i="66"/>
  <c r="A2862" i="66"/>
  <c r="A2861" i="66"/>
  <c r="A2860" i="66"/>
  <c r="A2859" i="66"/>
  <c r="A2858" i="66"/>
  <c r="A2857" i="66"/>
  <c r="A2856" i="66"/>
  <c r="A2855" i="66"/>
  <c r="A2854" i="66"/>
  <c r="A2853" i="66"/>
  <c r="A2852" i="66"/>
  <c r="A2851" i="66"/>
  <c r="A2850" i="66"/>
  <c r="A2849" i="66"/>
  <c r="A2848" i="66"/>
  <c r="A2847" i="66"/>
  <c r="A2846" i="66"/>
  <c r="A2845" i="66"/>
  <c r="A2844" i="66"/>
  <c r="A2843" i="66"/>
  <c r="A2842" i="66"/>
  <c r="A2841" i="66"/>
  <c r="A2840" i="66"/>
  <c r="A2839" i="66"/>
  <c r="A2830" i="66"/>
  <c r="A2829" i="66"/>
  <c r="A2828" i="66"/>
  <c r="A2827" i="66"/>
  <c r="A2826" i="66"/>
  <c r="A2825" i="66"/>
  <c r="A2824" i="66"/>
  <c r="A2823" i="66"/>
  <c r="A2822" i="66"/>
  <c r="A2821" i="66"/>
  <c r="A2820" i="66"/>
  <c r="A2819" i="66"/>
  <c r="A2818" i="66"/>
  <c r="A2817" i="66"/>
  <c r="A2816" i="66"/>
  <c r="A2815" i="66"/>
  <c r="A2814" i="66"/>
  <c r="A2813" i="66"/>
  <c r="A2812" i="66"/>
  <c r="A2811" i="66"/>
  <c r="A2810" i="66"/>
  <c r="A2809" i="66"/>
  <c r="A2808" i="66"/>
  <c r="A2807" i="66"/>
  <c r="A2806" i="66"/>
  <c r="A2805" i="66"/>
  <c r="A2804" i="66"/>
  <c r="A2803" i="66"/>
  <c r="A2802" i="66"/>
  <c r="A2801" i="66"/>
  <c r="A2800" i="66"/>
  <c r="A2799" i="66"/>
  <c r="A2798" i="66"/>
  <c r="A2797" i="66"/>
  <c r="A2796" i="66"/>
  <c r="A2795" i="66"/>
  <c r="A2794" i="66"/>
  <c r="A2793" i="66"/>
  <c r="A2792" i="66"/>
  <c r="A2791" i="66"/>
  <c r="A2790" i="66"/>
  <c r="A2789" i="66"/>
  <c r="A2788" i="66"/>
  <c r="A2787" i="66"/>
  <c r="A2786" i="66"/>
  <c r="A2784" i="66"/>
  <c r="A2783" i="66"/>
  <c r="A2782" i="66"/>
  <c r="A2781" i="66"/>
  <c r="A2780" i="66"/>
  <c r="A2779" i="66"/>
  <c r="A2778" i="66"/>
  <c r="A2777" i="66"/>
  <c r="A2776" i="66"/>
  <c r="A2775" i="66"/>
  <c r="A2774" i="66"/>
  <c r="A2773" i="66"/>
  <c r="A2772" i="66"/>
  <c r="A2771" i="66"/>
  <c r="A2769" i="66"/>
  <c r="A2768" i="66"/>
  <c r="A2766" i="66"/>
  <c r="A2765" i="66"/>
  <c r="A2764" i="66"/>
  <c r="A2763" i="66"/>
  <c r="A2762" i="66"/>
  <c r="A2761" i="66"/>
  <c r="A2760" i="66"/>
  <c r="A2759" i="66"/>
  <c r="A2758" i="66"/>
  <c r="A2757" i="66"/>
  <c r="A2756" i="66"/>
  <c r="A2755" i="66"/>
  <c r="A2754" i="66"/>
  <c r="A2753" i="66"/>
  <c r="A2752" i="66"/>
  <c r="A2751" i="66"/>
  <c r="A2750" i="66"/>
  <c r="A2749" i="66"/>
  <c r="A2748" i="66"/>
  <c r="A2747" i="66"/>
  <c r="A2746" i="66"/>
  <c r="A2745" i="66"/>
  <c r="A2744" i="66"/>
  <c r="A2743" i="66"/>
  <c r="A2742" i="66"/>
  <c r="A2740" i="66"/>
  <c r="A2739" i="66"/>
  <c r="A2738" i="66"/>
  <c r="A2737" i="66"/>
  <c r="A2736" i="66"/>
  <c r="A2735" i="66"/>
  <c r="A2734" i="66"/>
  <c r="A2733" i="66"/>
  <c r="A2732" i="66"/>
  <c r="A2731" i="66"/>
  <c r="A2730" i="66"/>
  <c r="A2729" i="66"/>
  <c r="A2728" i="66"/>
  <c r="A2727" i="66"/>
  <c r="A2726" i="66"/>
  <c r="A2725" i="66"/>
  <c r="A2724" i="66"/>
  <c r="A2723" i="66"/>
  <c r="A2722" i="66"/>
  <c r="A2721" i="66"/>
  <c r="A2720" i="66"/>
  <c r="A2719" i="66"/>
  <c r="A2718" i="66"/>
  <c r="A2717" i="66"/>
  <c r="A2716" i="66"/>
  <c r="A2715" i="66"/>
  <c r="A2714" i="66"/>
  <c r="A2713" i="66"/>
  <c r="A2712" i="66"/>
  <c r="A2711" i="66"/>
  <c r="A2710" i="66"/>
  <c r="A2709" i="66"/>
  <c r="A2708" i="66"/>
  <c r="A2707" i="66"/>
  <c r="A2706" i="66"/>
  <c r="A2705" i="66"/>
  <c r="A2704" i="66"/>
  <c r="A2703" i="66"/>
  <c r="A2702" i="66"/>
  <c r="A2701" i="66"/>
  <c r="A2700" i="66"/>
  <c r="A2699" i="66"/>
  <c r="A2698" i="66"/>
  <c r="A2697" i="66"/>
  <c r="A2696" i="66"/>
  <c r="A2695" i="66"/>
  <c r="A2694" i="66"/>
  <c r="A2693" i="66"/>
  <c r="A2692" i="66"/>
  <c r="A2691" i="66"/>
  <c r="A2687" i="66"/>
  <c r="A2686" i="66"/>
  <c r="A2685" i="66"/>
  <c r="A2684" i="66"/>
  <c r="A2683" i="66"/>
  <c r="A2682" i="66"/>
  <c r="A2681" i="66"/>
  <c r="A2680" i="66"/>
  <c r="A2679" i="66"/>
  <c r="A2678" i="66"/>
  <c r="A2677" i="66"/>
  <c r="A2676" i="66"/>
  <c r="A2675" i="66"/>
  <c r="A2674" i="66"/>
  <c r="A2673" i="66"/>
  <c r="A2672" i="66"/>
  <c r="A2671" i="66"/>
  <c r="A2670" i="66"/>
  <c r="A2669" i="66"/>
  <c r="A2668" i="66"/>
  <c r="A2665" i="66"/>
  <c r="A2664" i="66"/>
  <c r="A2663" i="66"/>
  <c r="A2662" i="66"/>
  <c r="A2661" i="66"/>
  <c r="A2660" i="66"/>
  <c r="A2657" i="66"/>
  <c r="A2656" i="66"/>
  <c r="A2655" i="66"/>
  <c r="A2654" i="66"/>
  <c r="A2653" i="66"/>
  <c r="A2652" i="66"/>
  <c r="A2651" i="66"/>
  <c r="A2650" i="66"/>
  <c r="A2649" i="66"/>
  <c r="A2648" i="66"/>
  <c r="A2647" i="66"/>
  <c r="A2646" i="66"/>
  <c r="A2645" i="66"/>
  <c r="A2644" i="66"/>
  <c r="A2643" i="66"/>
  <c r="A2642" i="66"/>
  <c r="A2641" i="66"/>
  <c r="A2640" i="66"/>
  <c r="A2639" i="66"/>
  <c r="A2638" i="66"/>
  <c r="A2637" i="66"/>
  <c r="A2636" i="66"/>
  <c r="A2633" i="66"/>
  <c r="A2632" i="66"/>
  <c r="A2631" i="66"/>
  <c r="A2630" i="66"/>
  <c r="A2629" i="66"/>
  <c r="A2628" i="66"/>
  <c r="A2627" i="66"/>
  <c r="A2626" i="66"/>
  <c r="A2625" i="66"/>
  <c r="A2624" i="66"/>
  <c r="A2623" i="66"/>
  <c r="A2622" i="66"/>
  <c r="A2621" i="66"/>
  <c r="A2620" i="66"/>
  <c r="A2619" i="66"/>
  <c r="A2618" i="66"/>
  <c r="A2615" i="66"/>
  <c r="A2614" i="66"/>
  <c r="A2613" i="66"/>
  <c r="A2612" i="66"/>
  <c r="A2611" i="66"/>
  <c r="A2609" i="66"/>
  <c r="A2608" i="66"/>
  <c r="A2607" i="66"/>
  <c r="A2606" i="66"/>
  <c r="A2605" i="66"/>
  <c r="A2604" i="66"/>
  <c r="A2603" i="66"/>
  <c r="A2601" i="66"/>
  <c r="A2600" i="66"/>
  <c r="A2599" i="66"/>
  <c r="A2598" i="66"/>
  <c r="A2597" i="66"/>
  <c r="A2595" i="66"/>
  <c r="A2594" i="66"/>
  <c r="A2592" i="66"/>
  <c r="A2591" i="66"/>
  <c r="A2590" i="66"/>
  <c r="A2589" i="66"/>
  <c r="A2588" i="66"/>
  <c r="A2587" i="66"/>
  <c r="A2586" i="66"/>
  <c r="A2585" i="66"/>
  <c r="A2584" i="66"/>
  <c r="A2583" i="66"/>
  <c r="A2582" i="66"/>
  <c r="A2581" i="66"/>
  <c r="A2580" i="66"/>
  <c r="A2579" i="66"/>
  <c r="A2578" i="66"/>
  <c r="A2577" i="66"/>
  <c r="A2576" i="66"/>
  <c r="A2575" i="66"/>
  <c r="A2574" i="66"/>
  <c r="A2573" i="66"/>
  <c r="A2572" i="66"/>
  <c r="A2571" i="66"/>
  <c r="A2570" i="66"/>
  <c r="A2568" i="66"/>
  <c r="A2567" i="66"/>
  <c r="A2566" i="66"/>
  <c r="A2565" i="66"/>
  <c r="A2564" i="66"/>
  <c r="A2563" i="66"/>
  <c r="A2562" i="66"/>
  <c r="A2561" i="66"/>
  <c r="A2560" i="66"/>
  <c r="A2559" i="66"/>
  <c r="A2558" i="66"/>
  <c r="A2557" i="66"/>
  <c r="A2556" i="66"/>
  <c r="A2555" i="66"/>
  <c r="A2554" i="66"/>
  <c r="A2553" i="66"/>
  <c r="A2548" i="66"/>
  <c r="A2547" i="66"/>
  <c r="A2541" i="66"/>
  <c r="A2540" i="66"/>
  <c r="A2539" i="66"/>
  <c r="A2538" i="66"/>
  <c r="A2537" i="66"/>
  <c r="A2536" i="66"/>
  <c r="A2535" i="66"/>
  <c r="A2534" i="66"/>
  <c r="A2533" i="66"/>
  <c r="A2518" i="66"/>
  <c r="A2517" i="66"/>
  <c r="A2516" i="66"/>
  <c r="A2515" i="66"/>
  <c r="A2514" i="66"/>
  <c r="A2513" i="66"/>
  <c r="A2511" i="66"/>
  <c r="A2510" i="66"/>
  <c r="A2509" i="66"/>
  <c r="A2508" i="66"/>
  <c r="A2507" i="66"/>
  <c r="A2506" i="66"/>
  <c r="A2505" i="66"/>
  <c r="A2504" i="66"/>
  <c r="A2503" i="66"/>
  <c r="A2502" i="66"/>
  <c r="A2501" i="66"/>
  <c r="A2500" i="66"/>
  <c r="A2499" i="66"/>
  <c r="A2498" i="66"/>
  <c r="A2489" i="66"/>
  <c r="A2488" i="66"/>
  <c r="A2487" i="66"/>
  <c r="A2486" i="66"/>
  <c r="A2468" i="66"/>
  <c r="A2454" i="66"/>
  <c r="A2451" i="66"/>
  <c r="A2446" i="66"/>
  <c r="A2443" i="66"/>
  <c r="A2441" i="66"/>
  <c r="A2440" i="66"/>
  <c r="A2435" i="66"/>
  <c r="A2434" i="66"/>
  <c r="A2433" i="66"/>
  <c r="A2432" i="66"/>
  <c r="A2431" i="66"/>
  <c r="A2430" i="66"/>
  <c r="A2429" i="66"/>
  <c r="A2425" i="66"/>
  <c r="A2370" i="66"/>
  <c r="A2343" i="66"/>
  <c r="A2339" i="66"/>
  <c r="A2338" i="66"/>
  <c r="A2308" i="66"/>
  <c r="A2307" i="66"/>
  <c r="A2306" i="66"/>
  <c r="A2304" i="66"/>
  <c r="A2302" i="66"/>
  <c r="A2300" i="66"/>
  <c r="A2298" i="66"/>
  <c r="A2297" i="66"/>
  <c r="A2295" i="66"/>
  <c r="A2293" i="66"/>
  <c r="A2292" i="66"/>
  <c r="A2290" i="66"/>
  <c r="A2288" i="66"/>
  <c r="A2284" i="66"/>
  <c r="A2278" i="66"/>
  <c r="A2277" i="66"/>
  <c r="A2276" i="66"/>
  <c r="A2274" i="66"/>
  <c r="A2273" i="66"/>
  <c r="A2271" i="66"/>
  <c r="A2269" i="66"/>
  <c r="A2268" i="66"/>
  <c r="A2267" i="66"/>
  <c r="A2263" i="66"/>
  <c r="A2262" i="66"/>
  <c r="A2261" i="66"/>
  <c r="A2258" i="66"/>
  <c r="A2242" i="66"/>
  <c r="A2233" i="66"/>
  <c r="A2231" i="66"/>
  <c r="A2226" i="66"/>
  <c r="A2210" i="66"/>
  <c r="A2205" i="66"/>
  <c r="A2183" i="66"/>
  <c r="A2180" i="66"/>
  <c r="A2177" i="66"/>
  <c r="A2175" i="66"/>
  <c r="A2173" i="66"/>
  <c r="A2063" i="66"/>
  <c r="A2054" i="66"/>
  <c r="A2050" i="66"/>
  <c r="A2047" i="66"/>
  <c r="A2012" i="66"/>
  <c r="A1998" i="66"/>
  <c r="A1967" i="66"/>
  <c r="A1964" i="66"/>
  <c r="A1963" i="66"/>
  <c r="A1938" i="66"/>
  <c r="A1864" i="66"/>
  <c r="A1858" i="66"/>
  <c r="A1839" i="66"/>
  <c r="A1838" i="66"/>
  <c r="A1836" i="66"/>
  <c r="A1604" i="66"/>
  <c r="A1095" i="66"/>
  <c r="A1076" i="66"/>
  <c r="A1069" i="66"/>
  <c r="A1048" i="66"/>
  <c r="A1045" i="66"/>
  <c r="A1033" i="66"/>
  <c r="A1036" i="66" s="1"/>
  <c r="A1032" i="66"/>
  <c r="A999" i="66"/>
  <c r="A954" i="66"/>
  <c r="A951" i="66"/>
  <c r="A911" i="66"/>
  <c r="A910" i="66"/>
  <c r="A824" i="66"/>
  <c r="A810" i="66"/>
  <c r="A808" i="66" s="1"/>
  <c r="A799" i="66"/>
  <c r="A798" i="66"/>
  <c r="A793" i="66"/>
  <c r="A768" i="66"/>
  <c r="A754" i="66"/>
  <c r="A730" i="66"/>
  <c r="A698" i="66"/>
  <c r="A685" i="66"/>
  <c r="A657" i="66"/>
  <c r="A624" i="66"/>
  <c r="A615" i="66"/>
  <c r="A600" i="66"/>
  <c r="A587" i="66"/>
  <c r="A583" i="66"/>
  <c r="A576" i="66"/>
  <c r="A554" i="66"/>
  <c r="A544" i="66"/>
  <c r="A466" i="66"/>
  <c r="A464" i="66"/>
  <c r="A462" i="66"/>
  <c r="A430" i="66"/>
  <c r="A415" i="66"/>
  <c r="A414" i="66"/>
  <c r="A411" i="66"/>
  <c r="A408" i="66"/>
  <c r="A399" i="66"/>
  <c r="A356" i="66"/>
  <c r="A355" i="66"/>
  <c r="A346" i="66"/>
  <c r="A336" i="66"/>
  <c r="A335" i="66"/>
  <c r="A332" i="66"/>
  <c r="A329" i="66"/>
  <c r="A325" i="66"/>
  <c r="A303" i="66"/>
  <c r="A285" i="66"/>
  <c r="A271" i="66"/>
  <c r="A270" i="66" s="1"/>
  <c r="A260" i="66"/>
  <c r="A259" i="66"/>
  <c r="A250" i="66"/>
  <c r="A240" i="66"/>
  <c r="A239" i="66"/>
  <c r="A232" i="66"/>
  <c r="A224" i="66"/>
  <c r="A223" i="66"/>
  <c r="A222" i="66"/>
  <c r="A221" i="66"/>
  <c r="A220" i="66"/>
  <c r="A219" i="66"/>
  <c r="A218" i="66"/>
  <c r="A217" i="66"/>
  <c r="A214" i="66"/>
  <c r="A210" i="66"/>
  <c r="A208" i="66"/>
  <c r="A206" i="66"/>
  <c r="A205" i="66"/>
  <c r="A203" i="66"/>
  <c r="A198" i="66"/>
  <c r="A196" i="66"/>
  <c r="A195" i="66"/>
  <c r="A188" i="66"/>
  <c r="A183" i="66"/>
  <c r="A178" i="66"/>
  <c r="A176" i="66"/>
  <c r="A175" i="66"/>
  <c r="A174" i="66"/>
  <c r="A172" i="66"/>
  <c r="A170" i="66"/>
  <c r="A168" i="66"/>
  <c r="A166" i="66"/>
  <c r="A163" i="66"/>
  <c r="A128" i="66"/>
  <c r="A111" i="66"/>
  <c r="A103" i="66"/>
  <c r="A102" i="66"/>
  <c r="A101" i="66"/>
  <c r="A99" i="66"/>
  <c r="A98" i="66"/>
  <c r="A97" i="66"/>
  <c r="A95" i="66"/>
  <c r="A91" i="66"/>
  <c r="A89" i="66"/>
  <c r="A82" i="66"/>
  <c r="A81" i="66"/>
  <c r="A74" i="66"/>
  <c r="A72" i="66"/>
  <c r="A70" i="66"/>
  <c r="A69" i="66"/>
  <c r="A67" i="66"/>
  <c r="A65" i="66"/>
  <c r="A63" i="66"/>
  <c r="A62" i="66"/>
  <c r="A50" i="66"/>
  <c r="A46" i="66"/>
  <c r="A43" i="66"/>
  <c r="A41" i="66"/>
  <c r="A33" i="66"/>
  <c r="A18" i="66"/>
  <c r="A14" i="66"/>
  <c r="G337" i="16" l="1"/>
  <c r="A1042" i="66"/>
  <c r="AS1828" i="16"/>
  <c r="AR1828" i="16"/>
  <c r="AQ1828" i="16"/>
  <c r="AP1828" i="16"/>
  <c r="AL1828" i="16"/>
  <c r="Y1828" i="16"/>
  <c r="U1828" i="16"/>
  <c r="H1827" i="66"/>
  <c r="F1828" i="76"/>
  <c r="AS242" i="82"/>
  <c r="AR242" i="82"/>
  <c r="AQ242" i="82"/>
  <c r="AP242" i="82"/>
  <c r="AL242" i="82"/>
  <c r="EK4" i="2"/>
  <c r="U242" i="82"/>
  <c r="O1033" i="16" l="1"/>
  <c r="O159" i="25"/>
  <c r="U1049" i="16"/>
  <c r="U1046" i="16"/>
  <c r="U1034" i="16"/>
  <c r="T1007" i="16"/>
  <c r="T1003" i="16"/>
  <c r="T133" i="25"/>
  <c r="T129" i="25"/>
  <c r="DA4" i="2"/>
  <c r="DB4" i="2"/>
  <c r="DC4" i="2"/>
  <c r="U175" i="25"/>
  <c r="U172" i="25"/>
  <c r="U160" i="25"/>
  <c r="F75" i="76" l="1"/>
  <c r="E20" i="23" l="1"/>
  <c r="C3115" i="66" l="1"/>
  <c r="C3114" i="66"/>
  <c r="C3113" i="66"/>
  <c r="C3112" i="66"/>
  <c r="C3111" i="66"/>
  <c r="C3110" i="66"/>
  <c r="C3109" i="66"/>
  <c r="C3108" i="66"/>
  <c r="C3107" i="66"/>
  <c r="C3106" i="66"/>
  <c r="C3105" i="66"/>
  <c r="C3104" i="66"/>
  <c r="C3103" i="66"/>
  <c r="C3102" i="66"/>
  <c r="C3101" i="66"/>
  <c r="C3100" i="66"/>
  <c r="C3099" i="66"/>
  <c r="C3098" i="66"/>
  <c r="C3097" i="66"/>
  <c r="C3096" i="66"/>
  <c r="C3095" i="66"/>
  <c r="C3094" i="66"/>
  <c r="C3093" i="66"/>
  <c r="C3092" i="66"/>
  <c r="C3091" i="66"/>
  <c r="C3090" i="66"/>
  <c r="C3089" i="66"/>
  <c r="C3088" i="66"/>
  <c r="C3087" i="66"/>
  <c r="C3086" i="66"/>
  <c r="C3085" i="66"/>
  <c r="C3084" i="66"/>
  <c r="C3083" i="66"/>
  <c r="C3082" i="66"/>
  <c r="C3081" i="66"/>
  <c r="C3080" i="66"/>
  <c r="C3079" i="66"/>
  <c r="C3078" i="66"/>
  <c r="C3077" i="66"/>
  <c r="C3076" i="66"/>
  <c r="C3075" i="66"/>
  <c r="C3074" i="66"/>
  <c r="C3073" i="66"/>
  <c r="C3072" i="66"/>
  <c r="C3071" i="66"/>
  <c r="C3070" i="66"/>
  <c r="C3069" i="66"/>
  <c r="C3068" i="66"/>
  <c r="C3067" i="66"/>
  <c r="C3066" i="66"/>
  <c r="C3065" i="66"/>
  <c r="C3064" i="66"/>
  <c r="C3063" i="66"/>
  <c r="C3062" i="66"/>
  <c r="C3061" i="66"/>
  <c r="C3060" i="66"/>
  <c r="C3059" i="66"/>
  <c r="C3058" i="66"/>
  <c r="C3057" i="66"/>
  <c r="C3056" i="66"/>
  <c r="C3055" i="66"/>
  <c r="C3054" i="66"/>
  <c r="C3053" i="66"/>
  <c r="C3052" i="66"/>
  <c r="C3051" i="66"/>
  <c r="C3050" i="66"/>
  <c r="C3049" i="66"/>
  <c r="C3048" i="66"/>
  <c r="C3047" i="66"/>
  <c r="C3046" i="66"/>
  <c r="C3045" i="66"/>
  <c r="C3044" i="66"/>
  <c r="C3043" i="66"/>
  <c r="C3042" i="66"/>
  <c r="C3041" i="66"/>
  <c r="C3040" i="66"/>
  <c r="C3039" i="66"/>
  <c r="C3038" i="66"/>
  <c r="C3037" i="66"/>
  <c r="C3036" i="66"/>
  <c r="C3035" i="66"/>
  <c r="C3034" i="66"/>
  <c r="C3033" i="66"/>
  <c r="C3032" i="66"/>
  <c r="C3031" i="66"/>
  <c r="C3030" i="66"/>
  <c r="C3029" i="66"/>
  <c r="C3028" i="66"/>
  <c r="C3027" i="66"/>
  <c r="C3026" i="66"/>
  <c r="C3025" i="66"/>
  <c r="C3024" i="66"/>
  <c r="C3023" i="66"/>
  <c r="C3022" i="66"/>
  <c r="C3021" i="66"/>
  <c r="C3020" i="66"/>
  <c r="C3019" i="66"/>
  <c r="C3018" i="66"/>
  <c r="C3017" i="66"/>
  <c r="C3016" i="66"/>
  <c r="C3015" i="66"/>
  <c r="C3014" i="66"/>
  <c r="C3013" i="66"/>
  <c r="C3012" i="66"/>
  <c r="C3011" i="66"/>
  <c r="C3010" i="66"/>
  <c r="C3009" i="66"/>
  <c r="C3008" i="66"/>
  <c r="C3007" i="66"/>
  <c r="C3006" i="66"/>
  <c r="C3005" i="66"/>
  <c r="C3004" i="66"/>
  <c r="C3003" i="66"/>
  <c r="C3002" i="66"/>
  <c r="C3001" i="66"/>
  <c r="C3000" i="66"/>
  <c r="C2999" i="66"/>
  <c r="C2998" i="66"/>
  <c r="C2997" i="66"/>
  <c r="C2996" i="66"/>
  <c r="C2995" i="66"/>
  <c r="C2994" i="66"/>
  <c r="C2993" i="66"/>
  <c r="C2992" i="66"/>
  <c r="C2991" i="66"/>
  <c r="C2990" i="66"/>
  <c r="C2989" i="66"/>
  <c r="C2988" i="66"/>
  <c r="C2987" i="66"/>
  <c r="C2986" i="66"/>
  <c r="C2985" i="66"/>
  <c r="C2984" i="66"/>
  <c r="C2983" i="66"/>
  <c r="C2982" i="66"/>
  <c r="C2981" i="66"/>
  <c r="C2980" i="66"/>
  <c r="C2979" i="66"/>
  <c r="C2978" i="66"/>
  <c r="C2977" i="66"/>
  <c r="C2976" i="66"/>
  <c r="C2975" i="66"/>
  <c r="C2974" i="66"/>
  <c r="C2973" i="66"/>
  <c r="C2972" i="66"/>
  <c r="C2971" i="66"/>
  <c r="C2970" i="66"/>
  <c r="C2969" i="66"/>
  <c r="C2968" i="66"/>
  <c r="C2967" i="66"/>
  <c r="C2966" i="66"/>
  <c r="C2965" i="66"/>
  <c r="C2964" i="66"/>
  <c r="C2963" i="66"/>
  <c r="C2962" i="66"/>
  <c r="C2961" i="66"/>
  <c r="C2960" i="66"/>
  <c r="C2959" i="66"/>
  <c r="C2958" i="66"/>
  <c r="C2957" i="66"/>
  <c r="C2956" i="66"/>
  <c r="C2955" i="66"/>
  <c r="C2954" i="66"/>
  <c r="C2953" i="66"/>
  <c r="C2952" i="66"/>
  <c r="C2951" i="66"/>
  <c r="C2950" i="66"/>
  <c r="C2949" i="66"/>
  <c r="C2948" i="66"/>
  <c r="C2947" i="66"/>
  <c r="C2946" i="66"/>
  <c r="C2945" i="66"/>
  <c r="C2944" i="66"/>
  <c r="C2943" i="66"/>
  <c r="C2942" i="66"/>
  <c r="C2941" i="66"/>
  <c r="C2940" i="66"/>
  <c r="C2939" i="66"/>
  <c r="C2938" i="66"/>
  <c r="C2937" i="66"/>
  <c r="C2936" i="66"/>
  <c r="C2935" i="66"/>
  <c r="C2934" i="66"/>
  <c r="C2933" i="66"/>
  <c r="C2932" i="66"/>
  <c r="C2931" i="66"/>
  <c r="C2930" i="66"/>
  <c r="C2929" i="66"/>
  <c r="C2928" i="66"/>
  <c r="C2927" i="66"/>
  <c r="C2926" i="66"/>
  <c r="C2925" i="66"/>
  <c r="C2924" i="66"/>
  <c r="C2923" i="66"/>
  <c r="C2922" i="66"/>
  <c r="C2921" i="66"/>
  <c r="C2920" i="66"/>
  <c r="C2919" i="66"/>
  <c r="C2918" i="66"/>
  <c r="C2917" i="66"/>
  <c r="C2916" i="66"/>
  <c r="C2915" i="66"/>
  <c r="C2914" i="66"/>
  <c r="C2913" i="66"/>
  <c r="C2912" i="66"/>
  <c r="C2911" i="66"/>
  <c r="C2910" i="66"/>
  <c r="C2909" i="66"/>
  <c r="C2908" i="66"/>
  <c r="C2907" i="66"/>
  <c r="C2906" i="66"/>
  <c r="C2905" i="66"/>
  <c r="C2904" i="66"/>
  <c r="C2903" i="66"/>
  <c r="C2902" i="66"/>
  <c r="C2901" i="66"/>
  <c r="C2900" i="66"/>
  <c r="C2899" i="66"/>
  <c r="C2898" i="66"/>
  <c r="C2897" i="66"/>
  <c r="C2896" i="66"/>
  <c r="C2895" i="66"/>
  <c r="C2894" i="66"/>
  <c r="C2893" i="66"/>
  <c r="C2892" i="66"/>
  <c r="C2891" i="66"/>
  <c r="C2890" i="66"/>
  <c r="C2889" i="66"/>
  <c r="C2888" i="66"/>
  <c r="C2887" i="66"/>
  <c r="C2886" i="66"/>
  <c r="C2885" i="66"/>
  <c r="C2884" i="66"/>
  <c r="C2883" i="66"/>
  <c r="C2882" i="66"/>
  <c r="C2881" i="66"/>
  <c r="C2880" i="66"/>
  <c r="C2879" i="66"/>
  <c r="C2878" i="66"/>
  <c r="C2877" i="66"/>
  <c r="C2876" i="66"/>
  <c r="C2875" i="66"/>
  <c r="C2874" i="66"/>
  <c r="C2873" i="66"/>
  <c r="C2872" i="66"/>
  <c r="C2871" i="66"/>
  <c r="C2870" i="66"/>
  <c r="C2869" i="66"/>
  <c r="C2868" i="66"/>
  <c r="C2867" i="66"/>
  <c r="C2866" i="66"/>
  <c r="C2865" i="66"/>
  <c r="C2864" i="66"/>
  <c r="C2863" i="66"/>
  <c r="C2862" i="66"/>
  <c r="C2861" i="66"/>
  <c r="C2860" i="66"/>
  <c r="C2859" i="66"/>
  <c r="C2858" i="66"/>
  <c r="C2857" i="66"/>
  <c r="C2856" i="66"/>
  <c r="C2855" i="66"/>
  <c r="C2854" i="66"/>
  <c r="C2853" i="66"/>
  <c r="C2852" i="66"/>
  <c r="C2851" i="66"/>
  <c r="C2850" i="66"/>
  <c r="C2849" i="66"/>
  <c r="C2848" i="66"/>
  <c r="C2847" i="66"/>
  <c r="C2846" i="66"/>
  <c r="C2845" i="66"/>
  <c r="C2844" i="66"/>
  <c r="C2843" i="66"/>
  <c r="C2842" i="66"/>
  <c r="C2841" i="66"/>
  <c r="C2840" i="66"/>
  <c r="C2839" i="66"/>
  <c r="C2838" i="66"/>
  <c r="C2837" i="66"/>
  <c r="C2836" i="66"/>
  <c r="C2835" i="66"/>
  <c r="C2834" i="66"/>
  <c r="C2833" i="66"/>
  <c r="C2832" i="66"/>
  <c r="C2831" i="66"/>
  <c r="C2830" i="66"/>
  <c r="C2829" i="66"/>
  <c r="C2828" i="66"/>
  <c r="C2827" i="66"/>
  <c r="C2826" i="66"/>
  <c r="C2825" i="66"/>
  <c r="C2824" i="66"/>
  <c r="C2823" i="66"/>
  <c r="C2822" i="66"/>
  <c r="C2821" i="66"/>
  <c r="C2820" i="66"/>
  <c r="C2819" i="66"/>
  <c r="C2818" i="66"/>
  <c r="C2817" i="66"/>
  <c r="C2816" i="66"/>
  <c r="C2815" i="66"/>
  <c r="C2814" i="66"/>
  <c r="C2813" i="66"/>
  <c r="C2812" i="66"/>
  <c r="C2811" i="66"/>
  <c r="C2810" i="66"/>
  <c r="C2809" i="66"/>
  <c r="C2808" i="66"/>
  <c r="C2807" i="66"/>
  <c r="C2806" i="66"/>
  <c r="C2805" i="66"/>
  <c r="C2804" i="66"/>
  <c r="C2803" i="66"/>
  <c r="C2802" i="66"/>
  <c r="C2801" i="66"/>
  <c r="C2800" i="66"/>
  <c r="C2799" i="66"/>
  <c r="C2798" i="66"/>
  <c r="C2797" i="66"/>
  <c r="C2796" i="66"/>
  <c r="C2795" i="66"/>
  <c r="C2794" i="66"/>
  <c r="C2793" i="66"/>
  <c r="C2792" i="66"/>
  <c r="C2791" i="66"/>
  <c r="C2790" i="66"/>
  <c r="C2789" i="66"/>
  <c r="C2788" i="66"/>
  <c r="C2787" i="66"/>
  <c r="C2786" i="66"/>
  <c r="C2785" i="66"/>
  <c r="C2784" i="66"/>
  <c r="C2783" i="66"/>
  <c r="C2782" i="66"/>
  <c r="C2781" i="66"/>
  <c r="C2780" i="66"/>
  <c r="C2779" i="66"/>
  <c r="C2778" i="66"/>
  <c r="C2777" i="66"/>
  <c r="C2776" i="66"/>
  <c r="C2775" i="66"/>
  <c r="C2774" i="66"/>
  <c r="C2773" i="66"/>
  <c r="C2772" i="66"/>
  <c r="C2771" i="66"/>
  <c r="C2770" i="66"/>
  <c r="C2769" i="66"/>
  <c r="C2768" i="66"/>
  <c r="C2767" i="66"/>
  <c r="C2766" i="66"/>
  <c r="C2765" i="66"/>
  <c r="C2764" i="66"/>
  <c r="C2763" i="66"/>
  <c r="C2762" i="66"/>
  <c r="C2761" i="66"/>
  <c r="C2760" i="66"/>
  <c r="C2759" i="66"/>
  <c r="C2758" i="66"/>
  <c r="C2757" i="66"/>
  <c r="C2756" i="66"/>
  <c r="C2755" i="66"/>
  <c r="C2754" i="66"/>
  <c r="C2753" i="66"/>
  <c r="C2752" i="66"/>
  <c r="C2751" i="66"/>
  <c r="C2750" i="66"/>
  <c r="C2749" i="66"/>
  <c r="C2748" i="66"/>
  <c r="C2747" i="66"/>
  <c r="C2746" i="66"/>
  <c r="C2745" i="66"/>
  <c r="C2744" i="66"/>
  <c r="C2743" i="66"/>
  <c r="C2742" i="66"/>
  <c r="C2741" i="66"/>
  <c r="C2740" i="66"/>
  <c r="C2739" i="66"/>
  <c r="C2738" i="66"/>
  <c r="C2737" i="66"/>
  <c r="C2736" i="66"/>
  <c r="C2735" i="66"/>
  <c r="C2734" i="66"/>
  <c r="C2733" i="66"/>
  <c r="C2732" i="66"/>
  <c r="C2731" i="66"/>
  <c r="C2730" i="66"/>
  <c r="C2729" i="66"/>
  <c r="C2728" i="66"/>
  <c r="C2727" i="66"/>
  <c r="C2726" i="66"/>
  <c r="C2725" i="66"/>
  <c r="C2724" i="66"/>
  <c r="C2723" i="66"/>
  <c r="C2722" i="66"/>
  <c r="C2721" i="66"/>
  <c r="C2720" i="66"/>
  <c r="C2719" i="66"/>
  <c r="C2718" i="66"/>
  <c r="C2717" i="66"/>
  <c r="C2716" i="66"/>
  <c r="C2715" i="66"/>
  <c r="C2714" i="66"/>
  <c r="C2713" i="66"/>
  <c r="C2712" i="66"/>
  <c r="C2711" i="66"/>
  <c r="C2710" i="66"/>
  <c r="C2709" i="66"/>
  <c r="C2708" i="66"/>
  <c r="C2707" i="66"/>
  <c r="C2706" i="66"/>
  <c r="C2705" i="66"/>
  <c r="C2704" i="66"/>
  <c r="C2703" i="66"/>
  <c r="C2702" i="66"/>
  <c r="C2701" i="66"/>
  <c r="C2700" i="66"/>
  <c r="C2699" i="66"/>
  <c r="C2698" i="66"/>
  <c r="C2697" i="66"/>
  <c r="C2696" i="66"/>
  <c r="C2695" i="66"/>
  <c r="C2694" i="66"/>
  <c r="C2693" i="66"/>
  <c r="C2692" i="66"/>
  <c r="C2691" i="66"/>
  <c r="C2690" i="66"/>
  <c r="C2689" i="66"/>
  <c r="C2688" i="66"/>
  <c r="C2687" i="66"/>
  <c r="C2686" i="66"/>
  <c r="C2685" i="66"/>
  <c r="C2684" i="66"/>
  <c r="C2683" i="66"/>
  <c r="C2682" i="66"/>
  <c r="C2681" i="66"/>
  <c r="C2680" i="66"/>
  <c r="C2679" i="66"/>
  <c r="C2678" i="66"/>
  <c r="C2677" i="66"/>
  <c r="C2676" i="66"/>
  <c r="C2675" i="66"/>
  <c r="C2674" i="66"/>
  <c r="C2673" i="66"/>
  <c r="C2672" i="66"/>
  <c r="C2671" i="66"/>
  <c r="C2670" i="66"/>
  <c r="C2669" i="66"/>
  <c r="C2668" i="66"/>
  <c r="C2667" i="66"/>
  <c r="C2666" i="66"/>
  <c r="C2665" i="66"/>
  <c r="C2664" i="66"/>
  <c r="C2663" i="66"/>
  <c r="C2662" i="66"/>
  <c r="C2661" i="66"/>
  <c r="C2660" i="66"/>
  <c r="C2659" i="66"/>
  <c r="C2658" i="66"/>
  <c r="C2657" i="66"/>
  <c r="C2656" i="66"/>
  <c r="C2655" i="66"/>
  <c r="C2654" i="66"/>
  <c r="C2653" i="66"/>
  <c r="C2652" i="66"/>
  <c r="C2651" i="66"/>
  <c r="C2650" i="66"/>
  <c r="C2649" i="66"/>
  <c r="C2648" i="66"/>
  <c r="C2647" i="66"/>
  <c r="C2646" i="66"/>
  <c r="C2645" i="66"/>
  <c r="C2644" i="66"/>
  <c r="C2643" i="66"/>
  <c r="C2642" i="66"/>
  <c r="C2641" i="66"/>
  <c r="C2640" i="66"/>
  <c r="C2639" i="66"/>
  <c r="C2638" i="66"/>
  <c r="C2637" i="66"/>
  <c r="C2636" i="66"/>
  <c r="C2635" i="66"/>
  <c r="C2634" i="66"/>
  <c r="C2633" i="66"/>
  <c r="C2632" i="66"/>
  <c r="C2631" i="66"/>
  <c r="C2630" i="66"/>
  <c r="C2629" i="66"/>
  <c r="C2628" i="66"/>
  <c r="C2627" i="66"/>
  <c r="C2626" i="66"/>
  <c r="C2625" i="66"/>
  <c r="C2624" i="66"/>
  <c r="C2623" i="66"/>
  <c r="C2622" i="66"/>
  <c r="C2621" i="66"/>
  <c r="C2620" i="66"/>
  <c r="C2619" i="66"/>
  <c r="C2618" i="66"/>
  <c r="C2617" i="66"/>
  <c r="C2616" i="66"/>
  <c r="C2615" i="66"/>
  <c r="C2614" i="66"/>
  <c r="C2613" i="66"/>
  <c r="C2612" i="66"/>
  <c r="C2611" i="66"/>
  <c r="C2610" i="66"/>
  <c r="C2609" i="66"/>
  <c r="C2608" i="66"/>
  <c r="C2607" i="66"/>
  <c r="C2606" i="66"/>
  <c r="C2605" i="66"/>
  <c r="C2604" i="66"/>
  <c r="C2603" i="66"/>
  <c r="C2602" i="66"/>
  <c r="C2601" i="66"/>
  <c r="C2600" i="66"/>
  <c r="C2599" i="66"/>
  <c r="C2598" i="66"/>
  <c r="C2597" i="66"/>
  <c r="C2596" i="66"/>
  <c r="C2595" i="66"/>
  <c r="C2594" i="66"/>
  <c r="C2593" i="66"/>
  <c r="C2592" i="66"/>
  <c r="C2591" i="66"/>
  <c r="C2590" i="66"/>
  <c r="C2589" i="66"/>
  <c r="C2588" i="66"/>
  <c r="C2587" i="66"/>
  <c r="C2586" i="66"/>
  <c r="C2585" i="66"/>
  <c r="C2584" i="66"/>
  <c r="C2583" i="66"/>
  <c r="C2582" i="66"/>
  <c r="C2581" i="66"/>
  <c r="C2580" i="66"/>
  <c r="C2579" i="66"/>
  <c r="C2578" i="66"/>
  <c r="C2577" i="66"/>
  <c r="C2576" i="66"/>
  <c r="C2575" i="66"/>
  <c r="C2574" i="66"/>
  <c r="C2573" i="66"/>
  <c r="C2572" i="66"/>
  <c r="C2571" i="66"/>
  <c r="C2570" i="66"/>
  <c r="C2569" i="66"/>
  <c r="C2568" i="66"/>
  <c r="C2567" i="66"/>
  <c r="C2566" i="66"/>
  <c r="C2565" i="66"/>
  <c r="C2564" i="66"/>
  <c r="C2563" i="66"/>
  <c r="C2562" i="66"/>
  <c r="C2561" i="66"/>
  <c r="C2560" i="66"/>
  <c r="C2559" i="66"/>
  <c r="C2558" i="66"/>
  <c r="C2557" i="66"/>
  <c r="C2556" i="66"/>
  <c r="C2555" i="66"/>
  <c r="C2554" i="66"/>
  <c r="C2553" i="66"/>
  <c r="C2552" i="66"/>
  <c r="C2551" i="66"/>
  <c r="C2550" i="66"/>
  <c r="C2549" i="66"/>
  <c r="C2548" i="66"/>
  <c r="C2547" i="66"/>
  <c r="C2546" i="66"/>
  <c r="C2545" i="66"/>
  <c r="C2544" i="66"/>
  <c r="C2543" i="66"/>
  <c r="C2542" i="66"/>
  <c r="C2541" i="66"/>
  <c r="C2540" i="66"/>
  <c r="C2539" i="66"/>
  <c r="C2538" i="66"/>
  <c r="C2537" i="66"/>
  <c r="C2536" i="66"/>
  <c r="C2535" i="66"/>
  <c r="C2534" i="66"/>
  <c r="C2533" i="66"/>
  <c r="C2532" i="66"/>
  <c r="C2531" i="66"/>
  <c r="C2530" i="66"/>
  <c r="C2529" i="66"/>
  <c r="C2528" i="66"/>
  <c r="C2527" i="66"/>
  <c r="C2526" i="66"/>
  <c r="C2525" i="66"/>
  <c r="C2524" i="66"/>
  <c r="C2523" i="66"/>
  <c r="C2522" i="66"/>
  <c r="C2521" i="66"/>
  <c r="C2520" i="66"/>
  <c r="C2519" i="66"/>
  <c r="C2518" i="66"/>
  <c r="C2517" i="66"/>
  <c r="C2516" i="66"/>
  <c r="C2515" i="66"/>
  <c r="C2514" i="66"/>
  <c r="C2513" i="66"/>
  <c r="C2512" i="66"/>
  <c r="C2511" i="66"/>
  <c r="C2510" i="66"/>
  <c r="C2509" i="66"/>
  <c r="C2508" i="66"/>
  <c r="C2507" i="66"/>
  <c r="C2506" i="66"/>
  <c r="C2505" i="66"/>
  <c r="C2504" i="66"/>
  <c r="C2503" i="66"/>
  <c r="C2502" i="66"/>
  <c r="C2501" i="66"/>
  <c r="C2500" i="66"/>
  <c r="C2499" i="66"/>
  <c r="C2498" i="66"/>
  <c r="C2497" i="66"/>
  <c r="C2496" i="66"/>
  <c r="C2495" i="66"/>
  <c r="C2494" i="66"/>
  <c r="C2493" i="66"/>
  <c r="C2492" i="66"/>
  <c r="C2491" i="66"/>
  <c r="C2490" i="66"/>
  <c r="C2489" i="66"/>
  <c r="C2488" i="66"/>
  <c r="C2487" i="66"/>
  <c r="C2486" i="66"/>
  <c r="C2485" i="66"/>
  <c r="C2484" i="66"/>
  <c r="C2483" i="66"/>
  <c r="C2482" i="66"/>
  <c r="C2481" i="66"/>
  <c r="C2480" i="66"/>
  <c r="C2479" i="66"/>
  <c r="C2478" i="66"/>
  <c r="C2477" i="66"/>
  <c r="C2476" i="66"/>
  <c r="C2475" i="66"/>
  <c r="C2474" i="66"/>
  <c r="C2473" i="66"/>
  <c r="C2472" i="66"/>
  <c r="C2471" i="66"/>
  <c r="C2470" i="66"/>
  <c r="C2469" i="66"/>
  <c r="C2468" i="66"/>
  <c r="P20" i="23" l="1"/>
  <c r="E4" i="2"/>
  <c r="M106" i="94" l="1"/>
  <c r="M107" i="94"/>
  <c r="M108" i="94"/>
  <c r="M109" i="94"/>
  <c r="L109" i="94" s="1"/>
  <c r="M110" i="94"/>
  <c r="M111" i="94"/>
  <c r="M112" i="94"/>
  <c r="M113" i="94"/>
  <c r="M114" i="94"/>
  <c r="M115" i="94"/>
  <c r="M116" i="94"/>
  <c r="M117" i="94"/>
  <c r="L117" i="94" s="1"/>
  <c r="M118" i="94"/>
  <c r="M119" i="94"/>
  <c r="M120" i="94"/>
  <c r="M121" i="94"/>
  <c r="L121" i="94" s="1"/>
  <c r="M122" i="94"/>
  <c r="M123" i="94"/>
  <c r="M124" i="94"/>
  <c r="M105" i="94"/>
  <c r="L105" i="94" s="1"/>
  <c r="J118" i="94" l="1"/>
  <c r="J110" i="94"/>
  <c r="L123" i="94"/>
  <c r="L119" i="94"/>
  <c r="L115" i="94"/>
  <c r="L111" i="94"/>
  <c r="L124" i="94"/>
  <c r="L122" i="94"/>
  <c r="L120" i="94"/>
  <c r="L118" i="94"/>
  <c r="L116" i="94"/>
  <c r="L114" i="94"/>
  <c r="L112" i="94"/>
  <c r="L110" i="94"/>
  <c r="L108" i="94"/>
  <c r="L106" i="94"/>
  <c r="L113" i="94"/>
  <c r="L107" i="94"/>
  <c r="C124" i="94"/>
  <c r="J124" i="94" s="1"/>
  <c r="C123" i="94"/>
  <c r="J123" i="94" s="1"/>
  <c r="C122" i="94"/>
  <c r="J122" i="94" s="1"/>
  <c r="C121" i="94"/>
  <c r="C120" i="94"/>
  <c r="J120" i="94" s="1"/>
  <c r="C119" i="94"/>
  <c r="C118" i="94"/>
  <c r="C117" i="94"/>
  <c r="C116" i="94"/>
  <c r="J116" i="94" s="1"/>
  <c r="C115" i="94"/>
  <c r="J115" i="94" s="1"/>
  <c r="C114" i="94"/>
  <c r="J114" i="94" s="1"/>
  <c r="C113" i="94"/>
  <c r="C112" i="94"/>
  <c r="J112" i="94" s="1"/>
  <c r="C111" i="94"/>
  <c r="C110" i="94"/>
  <c r="C109" i="94"/>
  <c r="C108" i="94"/>
  <c r="C107" i="94"/>
  <c r="C106" i="94"/>
  <c r="C105" i="94"/>
  <c r="I124" i="94"/>
  <c r="H124" i="94"/>
  <c r="D124" i="94"/>
  <c r="K124" i="94" s="1"/>
  <c r="I123" i="94"/>
  <c r="H123" i="94"/>
  <c r="D123" i="94"/>
  <c r="K123" i="94" s="1"/>
  <c r="I122" i="94"/>
  <c r="H122" i="94"/>
  <c r="D122" i="94"/>
  <c r="K122" i="94" s="1"/>
  <c r="I121" i="94"/>
  <c r="H121" i="94"/>
  <c r="D121" i="94"/>
  <c r="I120" i="94"/>
  <c r="H120" i="94"/>
  <c r="D120" i="94"/>
  <c r="K120" i="94" s="1"/>
  <c r="I119" i="94"/>
  <c r="H119" i="94"/>
  <c r="D119" i="94"/>
  <c r="I118" i="94"/>
  <c r="H118" i="94"/>
  <c r="D118" i="94"/>
  <c r="K118" i="94" s="1"/>
  <c r="I117" i="94"/>
  <c r="H117" i="94"/>
  <c r="D117" i="94"/>
  <c r="K117" i="94" s="1"/>
  <c r="J117" i="94" s="1"/>
  <c r="I116" i="94"/>
  <c r="H116" i="94"/>
  <c r="D116" i="94"/>
  <c r="K116" i="94" s="1"/>
  <c r="I115" i="94"/>
  <c r="H115" i="94"/>
  <c r="D115" i="94"/>
  <c r="K115" i="94" s="1"/>
  <c r="I114" i="94"/>
  <c r="H114" i="94"/>
  <c r="D114" i="94"/>
  <c r="K114" i="94" s="1"/>
  <c r="I113" i="94"/>
  <c r="H113" i="94"/>
  <c r="D113" i="94"/>
  <c r="I112" i="94"/>
  <c r="H112" i="94"/>
  <c r="D112" i="94"/>
  <c r="K112" i="94" s="1"/>
  <c r="I111" i="94"/>
  <c r="H111" i="94"/>
  <c r="D111" i="94"/>
  <c r="I110" i="94"/>
  <c r="H110" i="94"/>
  <c r="D110" i="94"/>
  <c r="K110" i="94" s="1"/>
  <c r="I109" i="94"/>
  <c r="H109" i="94"/>
  <c r="D109" i="94"/>
  <c r="K109" i="94" s="1"/>
  <c r="J109" i="94" s="1"/>
  <c r="I108" i="94"/>
  <c r="H108" i="94"/>
  <c r="D108" i="94"/>
  <c r="I107" i="94"/>
  <c r="H107" i="94"/>
  <c r="D107" i="94"/>
  <c r="I106" i="94"/>
  <c r="H106" i="94"/>
  <c r="D106" i="94"/>
  <c r="I105" i="94"/>
  <c r="H105" i="94"/>
  <c r="D105" i="94"/>
  <c r="H124" i="93"/>
  <c r="G124" i="93"/>
  <c r="H123" i="93"/>
  <c r="G123" i="93"/>
  <c r="H122" i="93"/>
  <c r="G122" i="93"/>
  <c r="H121" i="93"/>
  <c r="G121" i="93"/>
  <c r="H120" i="93"/>
  <c r="G120" i="93"/>
  <c r="H119" i="93"/>
  <c r="G119" i="93"/>
  <c r="H118" i="93"/>
  <c r="G118" i="93"/>
  <c r="H117" i="93"/>
  <c r="G117" i="93"/>
  <c r="H116" i="93"/>
  <c r="G116" i="93"/>
  <c r="H115" i="93"/>
  <c r="G115" i="93"/>
  <c r="H114" i="93"/>
  <c r="G114" i="93"/>
  <c r="H113" i="93"/>
  <c r="G113" i="93"/>
  <c r="H112" i="93"/>
  <c r="G112" i="93"/>
  <c r="H111" i="93"/>
  <c r="G111" i="93"/>
  <c r="H110" i="93"/>
  <c r="G110" i="93"/>
  <c r="H109" i="93"/>
  <c r="G109" i="93"/>
  <c r="H108" i="93"/>
  <c r="G108" i="93"/>
  <c r="H107" i="93"/>
  <c r="G107" i="93"/>
  <c r="H106" i="93"/>
  <c r="G106" i="93"/>
  <c r="H105" i="93"/>
  <c r="G105" i="93"/>
  <c r="C124" i="93"/>
  <c r="C123" i="93"/>
  <c r="C122" i="93"/>
  <c r="C121" i="93"/>
  <c r="C120" i="93"/>
  <c r="C119" i="93"/>
  <c r="C118" i="93"/>
  <c r="C117" i="93"/>
  <c r="C116" i="93"/>
  <c r="C115" i="93"/>
  <c r="C114" i="93"/>
  <c r="C113" i="93"/>
  <c r="C112" i="93"/>
  <c r="C111" i="93"/>
  <c r="C110" i="93"/>
  <c r="C109" i="93"/>
  <c r="C108" i="93"/>
  <c r="C107" i="93"/>
  <c r="C106" i="93"/>
  <c r="C105" i="93"/>
  <c r="S562" i="92"/>
  <c r="HT4" i="2"/>
  <c r="HS4" i="2"/>
  <c r="HR4" i="2"/>
  <c r="HQ4" i="2"/>
  <c r="HP4" i="2"/>
  <c r="HO4" i="2"/>
  <c r="HN4" i="2"/>
  <c r="HM4" i="2"/>
  <c r="HL4" i="2"/>
  <c r="HK4" i="2"/>
  <c r="HJ4" i="2"/>
  <c r="HI4" i="2"/>
  <c r="HH4" i="2"/>
  <c r="HG4" i="2"/>
  <c r="HF4" i="2"/>
  <c r="HE4" i="2"/>
  <c r="HD4" i="2"/>
  <c r="HC4" i="2"/>
  <c r="HB4" i="2"/>
  <c r="HA4" i="2"/>
  <c r="GZ4" i="2"/>
  <c r="GY4" i="2"/>
  <c r="GX4" i="2"/>
  <c r="GW4" i="2"/>
  <c r="GV4" i="2"/>
  <c r="GU4" i="2"/>
  <c r="GT4" i="2"/>
  <c r="GS4" i="2"/>
  <c r="GR4" i="2"/>
  <c r="GQ4" i="2"/>
  <c r="GP4" i="2"/>
  <c r="GO4" i="2"/>
  <c r="GN4" i="2"/>
  <c r="GM4" i="2"/>
  <c r="GL4" i="2"/>
  <c r="GK4" i="2"/>
  <c r="GJ4" i="2"/>
  <c r="GI4" i="2"/>
  <c r="GH4" i="2"/>
  <c r="GG4" i="2"/>
  <c r="GF4" i="2"/>
  <c r="GE4" i="2"/>
  <c r="GD4" i="2"/>
  <c r="GC4" i="2"/>
  <c r="GB4" i="2"/>
  <c r="GA4" i="2"/>
  <c r="FZ4" i="2"/>
  <c r="FY4" i="2"/>
  <c r="FX4" i="2"/>
  <c r="FW4" i="2"/>
  <c r="FV4" i="2"/>
  <c r="FU4" i="2"/>
  <c r="FT4" i="2"/>
  <c r="FS4" i="2"/>
  <c r="FR4" i="2"/>
  <c r="FQ4" i="2"/>
  <c r="FP4" i="2"/>
  <c r="FO4" i="2"/>
  <c r="FN4" i="2"/>
  <c r="FM4" i="2"/>
  <c r="FL4" i="2"/>
  <c r="K108" i="94" l="1"/>
  <c r="K107" i="94"/>
  <c r="J107" i="94" s="1"/>
  <c r="K106" i="94"/>
  <c r="J106" i="94" s="1"/>
  <c r="K105" i="94"/>
  <c r="J105" i="94" s="1"/>
  <c r="J108" i="94"/>
  <c r="K113" i="94"/>
  <c r="J113" i="94" s="1"/>
  <c r="K121" i="94"/>
  <c r="J121" i="94" s="1"/>
  <c r="K111" i="94"/>
  <c r="J111" i="94" s="1"/>
  <c r="K119" i="94"/>
  <c r="J119" i="94" s="1"/>
  <c r="K97" i="94"/>
  <c r="J97" i="94" s="1"/>
  <c r="K96" i="94"/>
  <c r="J96" i="94" s="1"/>
  <c r="K95" i="94"/>
  <c r="J95" i="94"/>
  <c r="K94" i="94"/>
  <c r="J94" i="94"/>
  <c r="K93" i="94"/>
  <c r="J93" i="94"/>
  <c r="J84" i="94"/>
  <c r="J82" i="94"/>
  <c r="J80" i="94"/>
  <c r="J78" i="94"/>
  <c r="J76" i="94"/>
  <c r="J74" i="94"/>
  <c r="J64" i="94"/>
  <c r="J62" i="94"/>
  <c r="J61" i="94"/>
  <c r="J54" i="94"/>
  <c r="J53" i="94"/>
  <c r="J52" i="94"/>
  <c r="J50" i="94"/>
  <c r="J48" i="94"/>
  <c r="J46" i="94"/>
  <c r="K122" i="93"/>
  <c r="K120" i="93"/>
  <c r="K118" i="93"/>
  <c r="K117" i="93"/>
  <c r="K115" i="93"/>
  <c r="J115" i="93" s="1"/>
  <c r="K114" i="93"/>
  <c r="K113" i="93"/>
  <c r="K111" i="93"/>
  <c r="J111" i="93" s="1"/>
  <c r="K110" i="93"/>
  <c r="K109" i="93"/>
  <c r="K107" i="93"/>
  <c r="J107" i="93" s="1"/>
  <c r="K106" i="93"/>
  <c r="K105" i="93"/>
  <c r="K97" i="93"/>
  <c r="J97" i="93"/>
  <c r="K96" i="93"/>
  <c r="J96" i="93"/>
  <c r="K95" i="93"/>
  <c r="J95" i="93"/>
  <c r="K94" i="93"/>
  <c r="J94" i="93" s="1"/>
  <c r="K93" i="93"/>
  <c r="J93" i="93"/>
  <c r="J84" i="93"/>
  <c r="J82" i="93"/>
  <c r="J80" i="93"/>
  <c r="J78" i="93"/>
  <c r="J76" i="93"/>
  <c r="J74" i="93"/>
  <c r="AS643" i="92"/>
  <c r="AR643" i="92"/>
  <c r="AQ643" i="92"/>
  <c r="AP643" i="92"/>
  <c r="AS630" i="92"/>
  <c r="AR630" i="92"/>
  <c r="AQ630" i="92"/>
  <c r="AP630" i="92"/>
  <c r="AS607" i="92"/>
  <c r="AR607" i="92"/>
  <c r="AQ607" i="92"/>
  <c r="AP607" i="92"/>
  <c r="AQ605" i="92"/>
  <c r="AP605" i="92"/>
  <c r="AS567" i="92"/>
  <c r="AR567" i="92"/>
  <c r="AQ567" i="92"/>
  <c r="AP567" i="92"/>
  <c r="AQ564" i="92"/>
  <c r="AP564" i="92"/>
  <c r="U564" i="92"/>
  <c r="S561" i="92"/>
  <c r="R561" i="92" s="1"/>
  <c r="AE561" i="92" s="1"/>
  <c r="AS561" i="92"/>
  <c r="AR561" i="92"/>
  <c r="AQ561" i="92"/>
  <c r="AP561" i="92"/>
  <c r="U561" i="92"/>
  <c r="AS557" i="92"/>
  <c r="AR557" i="92"/>
  <c r="AQ557" i="92"/>
  <c r="AP557" i="92"/>
  <c r="AS555" i="92"/>
  <c r="AR555" i="92"/>
  <c r="AQ555" i="92"/>
  <c r="AP555" i="92"/>
  <c r="AS552" i="92"/>
  <c r="AR552" i="92"/>
  <c r="AQ552" i="92"/>
  <c r="AP552" i="92"/>
  <c r="AS550" i="92"/>
  <c r="AR550" i="92"/>
  <c r="AQ550" i="92"/>
  <c r="AP550" i="92"/>
  <c r="AE550" i="92"/>
  <c r="AC550" i="92"/>
  <c r="U550" i="92"/>
  <c r="M550" i="92"/>
  <c r="AS548" i="92"/>
  <c r="AR548" i="92"/>
  <c r="AQ548" i="92"/>
  <c r="AP548" i="92"/>
  <c r="AE548" i="92"/>
  <c r="AC548" i="92"/>
  <c r="U548" i="92"/>
  <c r="M548" i="92"/>
  <c r="AS545" i="92"/>
  <c r="AR545" i="92"/>
  <c r="AQ545" i="92"/>
  <c r="AP545" i="92"/>
  <c r="AS543" i="92"/>
  <c r="AR543" i="92"/>
  <c r="AQ543" i="92"/>
  <c r="AP543" i="92"/>
  <c r="AS539" i="92"/>
  <c r="AR539" i="92"/>
  <c r="AQ539" i="92"/>
  <c r="AP539" i="92"/>
  <c r="U539" i="92"/>
  <c r="AS535" i="92"/>
  <c r="AR535" i="92"/>
  <c r="AQ535" i="92"/>
  <c r="AP535" i="92"/>
  <c r="U535" i="92"/>
  <c r="AS533" i="92"/>
  <c r="AR533" i="92"/>
  <c r="AQ533" i="92"/>
  <c r="AP533" i="92"/>
  <c r="U533" i="92"/>
  <c r="AS531" i="92"/>
  <c r="AR531" i="92"/>
  <c r="AQ531" i="92"/>
  <c r="AP531" i="92"/>
  <c r="U531" i="92"/>
  <c r="AS528" i="92"/>
  <c r="AR528" i="92"/>
  <c r="AQ528" i="92"/>
  <c r="AP528" i="92"/>
  <c r="U528" i="92"/>
  <c r="AS525" i="92"/>
  <c r="AR525" i="92"/>
  <c r="AQ525" i="92"/>
  <c r="AP525" i="92"/>
  <c r="U525" i="92"/>
  <c r="AS520" i="92"/>
  <c r="AR520" i="92"/>
  <c r="AQ520" i="92"/>
  <c r="AP520" i="92"/>
  <c r="U520" i="92"/>
  <c r="AS516" i="92"/>
  <c r="AR516" i="92"/>
  <c r="AQ516" i="92"/>
  <c r="AP516" i="92"/>
  <c r="U516" i="92"/>
  <c r="AS511" i="92"/>
  <c r="AR511" i="92"/>
  <c r="AQ511" i="92"/>
  <c r="AP511" i="92"/>
  <c r="AS507" i="92"/>
  <c r="AR507" i="92"/>
  <c r="AQ507" i="92"/>
  <c r="AP507" i="92"/>
  <c r="AS506" i="92"/>
  <c r="AR506" i="92"/>
  <c r="AQ506" i="92"/>
  <c r="AP506" i="92"/>
  <c r="AS501" i="92"/>
  <c r="AR501" i="92"/>
  <c r="AQ501" i="92"/>
  <c r="AP501" i="92"/>
  <c r="AS492" i="92"/>
  <c r="AR492" i="92"/>
  <c r="AQ492" i="92"/>
  <c r="AP492" i="92"/>
  <c r="AS487" i="92"/>
  <c r="AR487" i="92"/>
  <c r="AQ487" i="92"/>
  <c r="AP487" i="92"/>
  <c r="AS485" i="92"/>
  <c r="AR485" i="92"/>
  <c r="AQ485" i="92"/>
  <c r="AP485" i="92"/>
  <c r="AS484" i="92"/>
  <c r="AR484" i="92"/>
  <c r="AQ484" i="92"/>
  <c r="AP484" i="92"/>
  <c r="AS482" i="92"/>
  <c r="AR482" i="92"/>
  <c r="AQ482" i="92"/>
  <c r="AP482" i="92"/>
  <c r="AS477" i="92"/>
  <c r="AR477" i="92"/>
  <c r="AS471" i="92"/>
  <c r="AR471" i="92"/>
  <c r="AQ471" i="92"/>
  <c r="AP471" i="92"/>
  <c r="AQ468" i="92"/>
  <c r="AP468" i="92"/>
  <c r="AS467" i="92"/>
  <c r="AR467" i="92"/>
  <c r="AQ467" i="92"/>
  <c r="AP467" i="92"/>
  <c r="AS457" i="92"/>
  <c r="AR457" i="92"/>
  <c r="AQ457" i="92"/>
  <c r="AP457" i="92"/>
  <c r="N450" i="92"/>
  <c r="AS447" i="92"/>
  <c r="AR447" i="92"/>
  <c r="AQ447" i="92"/>
  <c r="AP447" i="92"/>
  <c r="AS445" i="92"/>
  <c r="AR445" i="92"/>
  <c r="AQ445" i="92"/>
  <c r="AP445" i="92"/>
  <c r="AQ434" i="92"/>
  <c r="AP434" i="92"/>
  <c r="U434" i="92"/>
  <c r="AQ433" i="92"/>
  <c r="AP433" i="92"/>
  <c r="U433" i="92"/>
  <c r="AQ432" i="92"/>
  <c r="AP432" i="92"/>
  <c r="U432" i="92"/>
  <c r="AS431" i="92"/>
  <c r="AR431" i="92"/>
  <c r="AQ431" i="92"/>
  <c r="AP431" i="92"/>
  <c r="U431" i="92"/>
  <c r="AS426" i="92"/>
  <c r="AR426" i="92"/>
  <c r="AQ426" i="92"/>
  <c r="AP426" i="92"/>
  <c r="AF426" i="92"/>
  <c r="AE426" i="92"/>
  <c r="U426" i="92"/>
  <c r="AS420" i="92"/>
  <c r="AR420" i="92"/>
  <c r="AQ420" i="92"/>
  <c r="AP420" i="92"/>
  <c r="AF420" i="92"/>
  <c r="AE420" i="92"/>
  <c r="AC420" i="92"/>
  <c r="M420" i="92"/>
  <c r="AS419" i="92"/>
  <c r="AR419" i="92"/>
  <c r="AQ419" i="92"/>
  <c r="AP419" i="92"/>
  <c r="AF419" i="92"/>
  <c r="AE419" i="92"/>
  <c r="AC419" i="92"/>
  <c r="M419" i="92"/>
  <c r="AS414" i="92"/>
  <c r="AR414" i="92"/>
  <c r="AQ414" i="92"/>
  <c r="AP414" i="92"/>
  <c r="U414" i="92"/>
  <c r="AS412" i="92"/>
  <c r="AR412" i="92"/>
  <c r="AQ412" i="92"/>
  <c r="AP412" i="92"/>
  <c r="AS408" i="92"/>
  <c r="AR408" i="92"/>
  <c r="AQ408" i="92"/>
  <c r="AP408" i="92"/>
  <c r="U408" i="92"/>
  <c r="AS405" i="92"/>
  <c r="AR405" i="92"/>
  <c r="AQ405" i="92"/>
  <c r="AP405" i="92"/>
  <c r="U405" i="92"/>
  <c r="AS402" i="92"/>
  <c r="AR402" i="92"/>
  <c r="AQ402" i="92"/>
  <c r="AP402" i="92"/>
  <c r="U402" i="92"/>
  <c r="AS398" i="92"/>
  <c r="AR398" i="92"/>
  <c r="AQ398" i="92"/>
  <c r="AP398" i="92"/>
  <c r="U398" i="92"/>
  <c r="AS394" i="92"/>
  <c r="AR394" i="92"/>
  <c r="AQ394" i="92"/>
  <c r="AP394" i="92"/>
  <c r="U394" i="92"/>
  <c r="AS391" i="92"/>
  <c r="AR391" i="92"/>
  <c r="AQ391" i="92"/>
  <c r="AP391" i="92"/>
  <c r="U391" i="92"/>
  <c r="AS384" i="92"/>
  <c r="AR384" i="92"/>
  <c r="AQ384" i="92"/>
  <c r="AP384" i="92"/>
  <c r="U384" i="92"/>
  <c r="AS380" i="92"/>
  <c r="AR380" i="92"/>
  <c r="AQ380" i="92"/>
  <c r="AP380" i="92"/>
  <c r="U380" i="92"/>
  <c r="AS377" i="92"/>
  <c r="AR377" i="92"/>
  <c r="AQ377" i="92"/>
  <c r="AP377" i="92"/>
  <c r="U377" i="92"/>
  <c r="AS375" i="92"/>
  <c r="AR375" i="92"/>
  <c r="AQ375" i="92"/>
  <c r="AP375" i="92"/>
  <c r="U375" i="92"/>
  <c r="AS373" i="92"/>
  <c r="AR373" i="92"/>
  <c r="AQ373" i="92"/>
  <c r="AP373" i="92"/>
  <c r="U373" i="92"/>
  <c r="AS371" i="92"/>
  <c r="AR371" i="92"/>
  <c r="AQ371" i="92"/>
  <c r="AP371" i="92"/>
  <c r="U371" i="92"/>
  <c r="AS366" i="92"/>
  <c r="AR366" i="92"/>
  <c r="AQ366" i="92"/>
  <c r="AP366" i="92"/>
  <c r="AS357" i="92"/>
  <c r="AR357" i="92"/>
  <c r="AQ357" i="92"/>
  <c r="AP357" i="92"/>
  <c r="AS353" i="92"/>
  <c r="AR353" i="92"/>
  <c r="AD353" i="92"/>
  <c r="AS347" i="92"/>
  <c r="AR347" i="92"/>
  <c r="AQ347" i="92"/>
  <c r="AP347" i="92"/>
  <c r="U347" i="92"/>
  <c r="AS344" i="92"/>
  <c r="AR344" i="92"/>
  <c r="AQ344" i="92"/>
  <c r="AP344" i="92"/>
  <c r="U344" i="92"/>
  <c r="AS339" i="92"/>
  <c r="AR339" i="92"/>
  <c r="AQ339" i="92"/>
  <c r="AP339" i="92"/>
  <c r="U339" i="92"/>
  <c r="AS332" i="92"/>
  <c r="AR332" i="92"/>
  <c r="AQ332" i="92"/>
  <c r="AP332" i="92"/>
  <c r="U332" i="92"/>
  <c r="AS326" i="92"/>
  <c r="AR326" i="92"/>
  <c r="AQ326" i="92"/>
  <c r="AP326" i="92"/>
  <c r="U326" i="92"/>
  <c r="AS324" i="92"/>
  <c r="AR324" i="92"/>
  <c r="AQ324" i="92"/>
  <c r="AP324" i="92"/>
  <c r="AE324" i="92"/>
  <c r="AF324" i="92" s="1"/>
  <c r="AC324" i="92"/>
  <c r="U324" i="92"/>
  <c r="M324" i="92"/>
  <c r="AS317" i="92"/>
  <c r="AR317" i="92"/>
  <c r="AQ317" i="92"/>
  <c r="AP317" i="92"/>
  <c r="AS315" i="92"/>
  <c r="AR315" i="92"/>
  <c r="AQ315" i="92"/>
  <c r="AP315" i="92"/>
  <c r="AS311" i="92"/>
  <c r="AR311" i="92"/>
  <c r="AQ311" i="92"/>
  <c r="AP311" i="92"/>
  <c r="AS308" i="92"/>
  <c r="AR308" i="92"/>
  <c r="AQ308" i="92"/>
  <c r="AP308" i="92"/>
  <c r="AD308" i="92"/>
  <c r="T308" i="92"/>
  <c r="AS304" i="92"/>
  <c r="AR304" i="92"/>
  <c r="AQ304" i="92"/>
  <c r="AP304" i="92"/>
  <c r="AD304" i="92"/>
  <c r="T304" i="92"/>
  <c r="AS301" i="92"/>
  <c r="AR301" i="92"/>
  <c r="AQ301" i="92"/>
  <c r="AP301" i="92"/>
  <c r="U301" i="92"/>
  <c r="AS298" i="92"/>
  <c r="AR298" i="92"/>
  <c r="AQ298" i="92"/>
  <c r="AP298" i="92"/>
  <c r="AF298" i="92"/>
  <c r="AE298" i="92"/>
  <c r="AC298" i="92"/>
  <c r="U298" i="92"/>
  <c r="M298" i="92"/>
  <c r="AS297" i="92"/>
  <c r="AR297" i="92"/>
  <c r="AQ297" i="92"/>
  <c r="AP297" i="92"/>
  <c r="AE297" i="92"/>
  <c r="AF297" i="92" s="1"/>
  <c r="U297" i="92"/>
  <c r="M297" i="92"/>
  <c r="AS296" i="92"/>
  <c r="AR296" i="92"/>
  <c r="AQ296" i="92"/>
  <c r="AP296" i="92"/>
  <c r="AF296" i="92"/>
  <c r="AE296" i="92"/>
  <c r="AC296" i="92" s="1"/>
  <c r="U296" i="92"/>
  <c r="M296" i="92"/>
  <c r="AS295" i="92"/>
  <c r="AR295" i="92"/>
  <c r="AQ295" i="92"/>
  <c r="AP295" i="92"/>
  <c r="AF295" i="92"/>
  <c r="AE295" i="92"/>
  <c r="AC295" i="92"/>
  <c r="U295" i="92"/>
  <c r="M295" i="92"/>
  <c r="AS294" i="92"/>
  <c r="AR294" i="92"/>
  <c r="AQ294" i="92"/>
  <c r="AP294" i="92"/>
  <c r="AE294" i="92"/>
  <c r="AF294" i="92" s="1"/>
  <c r="U294" i="92"/>
  <c r="M294" i="92"/>
  <c r="AS293" i="92"/>
  <c r="AR293" i="92"/>
  <c r="AQ293" i="92"/>
  <c r="AP293" i="92"/>
  <c r="AF293" i="92"/>
  <c r="AE293" i="92"/>
  <c r="AC293" i="92"/>
  <c r="U293" i="92"/>
  <c r="M293" i="92"/>
  <c r="AS292" i="92"/>
  <c r="AR292" i="92"/>
  <c r="AQ292" i="92"/>
  <c r="AP292" i="92"/>
  <c r="AE292" i="92"/>
  <c r="AF292" i="92" s="1"/>
  <c r="AC292" i="92"/>
  <c r="U292" i="92"/>
  <c r="M292" i="92"/>
  <c r="AS291" i="92"/>
  <c r="AR291" i="92"/>
  <c r="AQ291" i="92"/>
  <c r="AP291" i="92"/>
  <c r="AE291" i="92"/>
  <c r="U291" i="92"/>
  <c r="M291" i="92"/>
  <c r="AS290" i="92"/>
  <c r="AR290" i="92"/>
  <c r="AQ290" i="92"/>
  <c r="AP290" i="92"/>
  <c r="AF290" i="92"/>
  <c r="AE290" i="92"/>
  <c r="AC290" i="92"/>
  <c r="U290" i="92"/>
  <c r="M290" i="92"/>
  <c r="AS289" i="92"/>
  <c r="AR289" i="92"/>
  <c r="AQ289" i="92"/>
  <c r="AP289" i="92"/>
  <c r="AE289" i="92"/>
  <c r="AF289" i="92" s="1"/>
  <c r="AC289" i="92"/>
  <c r="U289" i="92"/>
  <c r="M289" i="92"/>
  <c r="AS288" i="92"/>
  <c r="AR288" i="92"/>
  <c r="AQ288" i="92"/>
  <c r="AP288" i="92"/>
  <c r="AE288" i="92"/>
  <c r="AC288" i="92" s="1"/>
  <c r="U288" i="92"/>
  <c r="M288" i="92"/>
  <c r="AS287" i="92"/>
  <c r="AR287" i="92"/>
  <c r="AQ287" i="92"/>
  <c r="AP287" i="92"/>
  <c r="AF287" i="92"/>
  <c r="AE287" i="92"/>
  <c r="AC287" i="92"/>
  <c r="U287" i="92"/>
  <c r="M287" i="92"/>
  <c r="AS286" i="92"/>
  <c r="AR286" i="92"/>
  <c r="AQ286" i="92"/>
  <c r="AP286" i="92"/>
  <c r="AE286" i="92"/>
  <c r="AF286" i="92" s="1"/>
  <c r="U286" i="92"/>
  <c r="M286" i="92"/>
  <c r="AS278" i="92"/>
  <c r="AR278" i="92"/>
  <c r="AQ278" i="92"/>
  <c r="AP278" i="92"/>
  <c r="AF278" i="92"/>
  <c r="AE278" i="92"/>
  <c r="AC278" i="92"/>
  <c r="M278" i="92"/>
  <c r="AS274" i="92"/>
  <c r="AR274" i="92"/>
  <c r="AQ274" i="92"/>
  <c r="AP274" i="92"/>
  <c r="AF274" i="92"/>
  <c r="AE274" i="92"/>
  <c r="AC274" i="92"/>
  <c r="M274" i="92"/>
  <c r="AS264" i="92"/>
  <c r="AR264" i="92"/>
  <c r="AQ264" i="92"/>
  <c r="AP264" i="92"/>
  <c r="AF264" i="92"/>
  <c r="AE264" i="92"/>
  <c r="AC264" i="92"/>
  <c r="M264" i="92"/>
  <c r="AS260" i="92"/>
  <c r="AR260" i="92"/>
  <c r="AQ260" i="92"/>
  <c r="AP260" i="92"/>
  <c r="AQ259" i="92"/>
  <c r="AP259" i="92"/>
  <c r="AE259" i="92"/>
  <c r="AD259" i="92"/>
  <c r="AC259" i="92"/>
  <c r="T259" i="92"/>
  <c r="AS258" i="92"/>
  <c r="AR258" i="92"/>
  <c r="AQ257" i="92"/>
  <c r="AP257" i="92"/>
  <c r="AE257" i="92"/>
  <c r="AD257" i="92"/>
  <c r="AC257" i="92"/>
  <c r="T257" i="92"/>
  <c r="AS256" i="92"/>
  <c r="AR256" i="92"/>
  <c r="AQ255" i="92"/>
  <c r="AP255" i="92"/>
  <c r="AE255" i="92"/>
  <c r="AD255" i="92"/>
  <c r="AC255" i="92"/>
  <c r="T255" i="92"/>
  <c r="AS254" i="92"/>
  <c r="AR254" i="92"/>
  <c r="AQ253" i="92"/>
  <c r="AP253" i="92"/>
  <c r="AE253" i="92"/>
  <c r="AD253" i="92"/>
  <c r="AC253" i="92"/>
  <c r="T253" i="92"/>
  <c r="AS252" i="92"/>
  <c r="AR252" i="92"/>
  <c r="N252" i="92"/>
  <c r="AQ247" i="92"/>
  <c r="AP247" i="92"/>
  <c r="AE247" i="92"/>
  <c r="AD247" i="92"/>
  <c r="AC247" i="92" s="1"/>
  <c r="T247" i="92"/>
  <c r="AS245" i="92"/>
  <c r="AR245" i="92"/>
  <c r="AQ237" i="92"/>
  <c r="AP237" i="92"/>
  <c r="AE237" i="92"/>
  <c r="T237" i="92"/>
  <c r="AD237" i="92" s="1"/>
  <c r="AC237" i="92" s="1"/>
  <c r="AS236" i="92"/>
  <c r="AR236" i="92"/>
  <c r="N231" i="92"/>
  <c r="AS224" i="92"/>
  <c r="AR224" i="92"/>
  <c r="AQ224" i="92"/>
  <c r="AP224" i="92"/>
  <c r="AE224" i="92"/>
  <c r="AD224" i="92"/>
  <c r="T224" i="92"/>
  <c r="N224" i="92"/>
  <c r="AS222" i="92"/>
  <c r="AR222" i="92"/>
  <c r="AQ222" i="92"/>
  <c r="AP222" i="92"/>
  <c r="AD222" i="92"/>
  <c r="AC222" i="92" s="1"/>
  <c r="T222" i="92"/>
  <c r="AS220" i="92"/>
  <c r="AR220" i="92"/>
  <c r="AQ220" i="92"/>
  <c r="AP220" i="92"/>
  <c r="AD220" i="92"/>
  <c r="AC220" i="92" s="1"/>
  <c r="T220" i="92"/>
  <c r="AS218" i="92"/>
  <c r="AR218" i="92"/>
  <c r="AQ218" i="92"/>
  <c r="AP218" i="92"/>
  <c r="T218" i="92"/>
  <c r="AD218" i="92" s="1"/>
  <c r="AC218" i="92" s="1"/>
  <c r="AS216" i="92"/>
  <c r="AR216" i="92"/>
  <c r="AQ216" i="92"/>
  <c r="AP216" i="92"/>
  <c r="T216" i="92"/>
  <c r="AD216" i="92" s="1"/>
  <c r="AC216" i="92" s="1"/>
  <c r="AS214" i="92"/>
  <c r="AR214" i="92"/>
  <c r="AQ214" i="92"/>
  <c r="AP214" i="92"/>
  <c r="AD214" i="92"/>
  <c r="AC214" i="92"/>
  <c r="T214" i="92"/>
  <c r="AS212" i="92"/>
  <c r="AR212" i="92"/>
  <c r="AQ212" i="92"/>
  <c r="AP212" i="92"/>
  <c r="T212" i="92"/>
  <c r="AD212" i="92" s="1"/>
  <c r="AC212" i="92" s="1"/>
  <c r="AS211" i="92"/>
  <c r="AR211" i="92"/>
  <c r="AQ211" i="92"/>
  <c r="AP211" i="92"/>
  <c r="AD211" i="92"/>
  <c r="AC211" i="92" s="1"/>
  <c r="T211" i="92"/>
  <c r="N208" i="92"/>
  <c r="AS200" i="92"/>
  <c r="AR200" i="92"/>
  <c r="AQ200" i="92"/>
  <c r="AP200" i="92"/>
  <c r="AE200" i="92"/>
  <c r="AC200" i="92" s="1"/>
  <c r="AD200" i="92"/>
  <c r="U200" i="92"/>
  <c r="AQ195" i="92"/>
  <c r="AP195" i="92"/>
  <c r="AE195" i="92"/>
  <c r="AF195" i="92" s="1"/>
  <c r="U195" i="92"/>
  <c r="S195" i="92"/>
  <c r="T195" i="92" s="1"/>
  <c r="AD195" i="92" s="1"/>
  <c r="AC195" i="92" s="1"/>
  <c r="AS194" i="92"/>
  <c r="AR194" i="92"/>
  <c r="AQ189" i="92"/>
  <c r="AP189" i="92"/>
  <c r="AE189" i="92"/>
  <c r="AF189" i="92" s="1"/>
  <c r="U189" i="92"/>
  <c r="S189" i="92"/>
  <c r="T189" i="92" s="1"/>
  <c r="AD189" i="92" s="1"/>
  <c r="AC189" i="92" s="1"/>
  <c r="AS188" i="92"/>
  <c r="AR188" i="92"/>
  <c r="AQ183" i="92"/>
  <c r="AP183" i="92"/>
  <c r="AF183" i="92"/>
  <c r="AE183" i="92"/>
  <c r="AD183" i="92"/>
  <c r="AC183" i="92"/>
  <c r="U183" i="92"/>
  <c r="T183" i="92"/>
  <c r="AS182" i="92"/>
  <c r="AR182" i="92"/>
  <c r="AQ177" i="92"/>
  <c r="AP177" i="92"/>
  <c r="AE177" i="92"/>
  <c r="AF177" i="92" s="1"/>
  <c r="U177" i="92"/>
  <c r="T177" i="92"/>
  <c r="AD177" i="92" s="1"/>
  <c r="AC177" i="92" s="1"/>
  <c r="AS176" i="92"/>
  <c r="AR176" i="92"/>
  <c r="AQ171" i="92"/>
  <c r="AP171" i="92"/>
  <c r="AE171" i="92"/>
  <c r="AF171" i="92" s="1"/>
  <c r="AD171" i="92"/>
  <c r="AC171" i="92"/>
  <c r="U171" i="92"/>
  <c r="T171" i="92"/>
  <c r="AS169" i="92"/>
  <c r="AR169" i="92"/>
  <c r="AQ164" i="92"/>
  <c r="AP164" i="92"/>
  <c r="AF164" i="92"/>
  <c r="AE164" i="92"/>
  <c r="AC164" i="92"/>
  <c r="U164" i="92"/>
  <c r="T164" i="92"/>
  <c r="AD164" i="92" s="1"/>
  <c r="AS162" i="92"/>
  <c r="AR162" i="92"/>
  <c r="AQ155" i="92"/>
  <c r="AP155" i="92"/>
  <c r="AE155" i="92"/>
  <c r="U155" i="92"/>
  <c r="T155" i="92"/>
  <c r="AD155" i="92" s="1"/>
  <c r="AC155" i="92" s="1"/>
  <c r="AS154" i="92"/>
  <c r="AR154" i="92"/>
  <c r="AQ152" i="92"/>
  <c r="AP152" i="92"/>
  <c r="AE152" i="92"/>
  <c r="U152" i="92"/>
  <c r="T152" i="92"/>
  <c r="AD152" i="92" s="1"/>
  <c r="AC152" i="92" s="1"/>
  <c r="AS151" i="92"/>
  <c r="AR151" i="92"/>
  <c r="AS143" i="92"/>
  <c r="AR143" i="92"/>
  <c r="AQ143" i="92"/>
  <c r="AP143" i="92"/>
  <c r="AE143" i="92"/>
  <c r="U143" i="92"/>
  <c r="T143" i="92"/>
  <c r="AD143" i="92" s="1"/>
  <c r="AC143" i="92" s="1"/>
  <c r="AS137" i="92"/>
  <c r="AR137" i="92"/>
  <c r="AQ137" i="92"/>
  <c r="AP137" i="92"/>
  <c r="AE137" i="92"/>
  <c r="U137" i="92"/>
  <c r="T137" i="92"/>
  <c r="AD137" i="92" s="1"/>
  <c r="AC137" i="92" s="1"/>
  <c r="AS135" i="92"/>
  <c r="AR135" i="92"/>
  <c r="AQ135" i="92"/>
  <c r="AP135" i="92"/>
  <c r="AE135" i="92"/>
  <c r="AD135" i="92"/>
  <c r="AC135" i="92"/>
  <c r="U135" i="92"/>
  <c r="T135" i="92"/>
  <c r="AS134" i="92"/>
  <c r="AR134" i="92"/>
  <c r="AQ134" i="92"/>
  <c r="AP134" i="92"/>
  <c r="AE134" i="92"/>
  <c r="AD134" i="92"/>
  <c r="AC134" i="92" s="1"/>
  <c r="U134" i="92"/>
  <c r="T134" i="92"/>
  <c r="O134" i="92"/>
  <c r="AS132" i="92"/>
  <c r="AR132" i="92"/>
  <c r="AQ132" i="92"/>
  <c r="AP132" i="92"/>
  <c r="AE132" i="92"/>
  <c r="AD132" i="92"/>
  <c r="AC132" i="92" s="1"/>
  <c r="U132" i="92"/>
  <c r="T132" i="92"/>
  <c r="AS131" i="92"/>
  <c r="AR131" i="92"/>
  <c r="AQ131" i="92"/>
  <c r="AP131" i="92"/>
  <c r="AE131" i="92"/>
  <c r="U131" i="92"/>
  <c r="T131" i="92"/>
  <c r="AD131" i="92" s="1"/>
  <c r="O131" i="92"/>
  <c r="N116" i="92"/>
  <c r="AQ107" i="92"/>
  <c r="AP107" i="92"/>
  <c r="AE107" i="92"/>
  <c r="U107" i="92"/>
  <c r="T107" i="92"/>
  <c r="AD107" i="92" s="1"/>
  <c r="AC107" i="92" s="1"/>
  <c r="AQ106" i="92"/>
  <c r="AP106" i="92"/>
  <c r="AC106" i="92"/>
  <c r="U106" i="92"/>
  <c r="T106" i="92"/>
  <c r="AD106" i="92" s="1"/>
  <c r="AQ105" i="92"/>
  <c r="AP105" i="92"/>
  <c r="U105" i="92"/>
  <c r="T105" i="92"/>
  <c r="AD105" i="92" s="1"/>
  <c r="AC105" i="92" s="1"/>
  <c r="AQ104" i="92"/>
  <c r="AP104" i="92"/>
  <c r="AD104" i="92"/>
  <c r="AC104" i="92" s="1"/>
  <c r="U104" i="92"/>
  <c r="T104" i="92"/>
  <c r="AQ103" i="92"/>
  <c r="AP103" i="92"/>
  <c r="AC103" i="92"/>
  <c r="U103" i="92"/>
  <c r="T103" i="92"/>
  <c r="AD103" i="92" s="1"/>
  <c r="AQ102" i="92"/>
  <c r="AP102" i="92"/>
  <c r="U102" i="92"/>
  <c r="T102" i="92"/>
  <c r="AD102" i="92" s="1"/>
  <c r="AC102" i="92" s="1"/>
  <c r="AQ101" i="92"/>
  <c r="AP101" i="92"/>
  <c r="U101" i="92"/>
  <c r="T101" i="92"/>
  <c r="AD101" i="92" s="1"/>
  <c r="AC101" i="92" s="1"/>
  <c r="AS100" i="92"/>
  <c r="AR100" i="92"/>
  <c r="AQ100" i="92"/>
  <c r="AP100" i="92"/>
  <c r="AD100" i="92"/>
  <c r="AC100" i="92" s="1"/>
  <c r="U100" i="92"/>
  <c r="T100" i="92"/>
  <c r="S100" i="92"/>
  <c r="AS95" i="92"/>
  <c r="AR95" i="92"/>
  <c r="AQ95" i="92"/>
  <c r="AP95" i="92"/>
  <c r="AE95" i="92"/>
  <c r="AF95" i="92" s="1"/>
  <c r="AD95" i="92"/>
  <c r="AC95" i="92" s="1"/>
  <c r="T95" i="92"/>
  <c r="R95" i="92"/>
  <c r="M95" i="92"/>
  <c r="AS93" i="92"/>
  <c r="AR93" i="92"/>
  <c r="AQ93" i="92"/>
  <c r="AP93" i="92"/>
  <c r="AS91" i="92"/>
  <c r="AR91" i="92"/>
  <c r="AQ91" i="92"/>
  <c r="AP91" i="92"/>
  <c r="AS89" i="92"/>
  <c r="AR89" i="92"/>
  <c r="AQ89" i="92"/>
  <c r="AP89" i="92"/>
  <c r="AS86" i="92"/>
  <c r="AR86" i="92"/>
  <c r="AQ86" i="92"/>
  <c r="AP86" i="92"/>
  <c r="AS84" i="92"/>
  <c r="AR84" i="92"/>
  <c r="AQ84" i="92"/>
  <c r="AP84" i="92"/>
  <c r="AS82" i="92"/>
  <c r="AR82" i="92"/>
  <c r="AQ82" i="92"/>
  <c r="AP82" i="92"/>
  <c r="AS76" i="92"/>
  <c r="AR76" i="92"/>
  <c r="AQ76" i="92"/>
  <c r="AP76" i="92"/>
  <c r="U76" i="92"/>
  <c r="AS73" i="92"/>
  <c r="AR73" i="92"/>
  <c r="AQ73" i="92"/>
  <c r="AP73" i="92"/>
  <c r="U73" i="92"/>
  <c r="AS72" i="92"/>
  <c r="AR72" i="92"/>
  <c r="AQ72" i="92"/>
  <c r="AP72" i="92"/>
  <c r="U72" i="92"/>
  <c r="AS70" i="92"/>
  <c r="AR70" i="92"/>
  <c r="AQ70" i="92"/>
  <c r="AP70" i="92"/>
  <c r="U70" i="92"/>
  <c r="AS69" i="92"/>
  <c r="AR69" i="92"/>
  <c r="AQ69" i="92"/>
  <c r="AP69" i="92"/>
  <c r="U69" i="92"/>
  <c r="AS68" i="92"/>
  <c r="AR68" i="92"/>
  <c r="AQ68" i="92"/>
  <c r="AP68" i="92"/>
  <c r="U68" i="92"/>
  <c r="AS67" i="92"/>
  <c r="AR67" i="92"/>
  <c r="AQ67" i="92"/>
  <c r="AP67" i="92"/>
  <c r="U67" i="92"/>
  <c r="AS66" i="92"/>
  <c r="AR66" i="92"/>
  <c r="AQ66" i="92"/>
  <c r="AP66" i="92"/>
  <c r="U66" i="92"/>
  <c r="AS65" i="92"/>
  <c r="AR65" i="92"/>
  <c r="AQ65" i="92"/>
  <c r="AP65" i="92"/>
  <c r="U65" i="92"/>
  <c r="AS64" i="92"/>
  <c r="AR64" i="92"/>
  <c r="AQ64" i="92"/>
  <c r="AP64" i="92"/>
  <c r="U64" i="92"/>
  <c r="AS62" i="92"/>
  <c r="AR62" i="92"/>
  <c r="AQ62" i="92"/>
  <c r="AP62" i="92"/>
  <c r="U62" i="92"/>
  <c r="AS61" i="92"/>
  <c r="AR61" i="92"/>
  <c r="AQ61" i="92"/>
  <c r="AP61" i="92"/>
  <c r="U61" i="92"/>
  <c r="AS60" i="92"/>
  <c r="AR60" i="92"/>
  <c r="AQ60" i="92"/>
  <c r="AP60" i="92"/>
  <c r="U60" i="92"/>
  <c r="AS59" i="92"/>
  <c r="AR59" i="92"/>
  <c r="AQ59" i="92"/>
  <c r="AP59" i="92"/>
  <c r="U59" i="92"/>
  <c r="AS50" i="92"/>
  <c r="AR50" i="92"/>
  <c r="AQ50" i="92"/>
  <c r="AP50" i="92"/>
  <c r="U50" i="92"/>
  <c r="AS48" i="92"/>
  <c r="AR48" i="92"/>
  <c r="AQ48" i="92"/>
  <c r="AP48" i="92"/>
  <c r="U48" i="92"/>
  <c r="AS46" i="92"/>
  <c r="AR46" i="92"/>
  <c r="AQ46" i="92"/>
  <c r="AP46" i="92"/>
  <c r="U46" i="92"/>
  <c r="AS43" i="92"/>
  <c r="AR43" i="92"/>
  <c r="AQ43" i="92"/>
  <c r="AP43" i="92"/>
  <c r="U43" i="92"/>
  <c r="AS38" i="92"/>
  <c r="AR38" i="92"/>
  <c r="AQ38" i="92"/>
  <c r="AP38" i="92"/>
  <c r="AS35" i="92"/>
  <c r="AR35" i="92"/>
  <c r="AQ35" i="92"/>
  <c r="AP35" i="92"/>
  <c r="AS33" i="92"/>
  <c r="AR33" i="92"/>
  <c r="AQ33" i="92"/>
  <c r="AP33" i="92"/>
  <c r="AS31" i="92"/>
  <c r="AR31" i="92"/>
  <c r="AQ31" i="92"/>
  <c r="AP31" i="92"/>
  <c r="AS28" i="92"/>
  <c r="AR28" i="92"/>
  <c r="AQ28" i="92"/>
  <c r="AP28" i="92"/>
  <c r="AQ13" i="92"/>
  <c r="AP13" i="92"/>
  <c r="AE13" i="92"/>
  <c r="AF13" i="92" s="1"/>
  <c r="AC13" i="92"/>
  <c r="U13" i="92"/>
  <c r="M13" i="92"/>
  <c r="S607" i="92"/>
  <c r="R172" i="92"/>
  <c r="R110" i="92"/>
  <c r="N143" i="92"/>
  <c r="S176" i="92"/>
  <c r="S14" i="92"/>
  <c r="N200" i="92"/>
  <c r="N137" i="92"/>
  <c r="R51" i="92"/>
  <c r="R112" i="92"/>
  <c r="S605" i="92"/>
  <c r="S564" i="92"/>
  <c r="N151" i="92"/>
  <c r="R165" i="92"/>
  <c r="G8" i="94" l="1"/>
  <c r="G8" i="93"/>
  <c r="K119" i="93"/>
  <c r="J119" i="93" s="1"/>
  <c r="K121" i="93"/>
  <c r="J121" i="93" s="1"/>
  <c r="K123" i="93"/>
  <c r="J123" i="93" s="1"/>
  <c r="M561" i="92"/>
  <c r="J106" i="93"/>
  <c r="J110" i="93"/>
  <c r="J105" i="93"/>
  <c r="K108" i="93"/>
  <c r="J108" i="93" s="1"/>
  <c r="J114" i="93"/>
  <c r="K112" i="93"/>
  <c r="J112" i="93" s="1"/>
  <c r="J118" i="93"/>
  <c r="K116" i="93"/>
  <c r="J116" i="93" s="1"/>
  <c r="J120" i="93"/>
  <c r="J122" i="93"/>
  <c r="K124" i="93"/>
  <c r="J109" i="93"/>
  <c r="J113" i="93"/>
  <c r="J117" i="93"/>
  <c r="J124" i="93"/>
  <c r="AE51" i="92"/>
  <c r="AC51" i="92" s="1"/>
  <c r="S643" i="92"/>
  <c r="S555" i="92"/>
  <c r="S528" i="92"/>
  <c r="S414" i="92"/>
  <c r="S398" i="92"/>
  <c r="S371" i="92"/>
  <c r="S332" i="92"/>
  <c r="S317" i="92"/>
  <c r="S543" i="92"/>
  <c r="S516" i="92"/>
  <c r="S384" i="92"/>
  <c r="R308" i="92"/>
  <c r="S533" i="92"/>
  <c r="S468" i="92"/>
  <c r="T468" i="92" s="1"/>
  <c r="AD468" i="92" s="1"/>
  <c r="AC468" i="92" s="1"/>
  <c r="S467" i="92"/>
  <c r="T467" i="92" s="1"/>
  <c r="AD467" i="92" s="1"/>
  <c r="AC467" i="92" s="1"/>
  <c r="S457" i="92"/>
  <c r="T457" i="92" s="1"/>
  <c r="AD457" i="92" s="1"/>
  <c r="AC457" i="92" s="1"/>
  <c r="S405" i="92"/>
  <c r="S375" i="92"/>
  <c r="S344" i="92"/>
  <c r="S76" i="92"/>
  <c r="S72" i="92"/>
  <c r="S69" i="92"/>
  <c r="S630" i="92"/>
  <c r="S552" i="92"/>
  <c r="S525" i="92"/>
  <c r="S511" i="92"/>
  <c r="S471" i="92"/>
  <c r="S447" i="92"/>
  <c r="S432" i="92"/>
  <c r="T432" i="92" s="1"/>
  <c r="AD432" i="92" s="1"/>
  <c r="AC432" i="92" s="1"/>
  <c r="S421" i="92"/>
  <c r="R421" i="92" s="1"/>
  <c r="M421" i="92" s="1"/>
  <c r="S412" i="92"/>
  <c r="S394" i="92"/>
  <c r="S366" i="92"/>
  <c r="S326" i="92"/>
  <c r="S315" i="92"/>
  <c r="R304" i="92"/>
  <c r="S557" i="92"/>
  <c r="S531" i="92"/>
  <c r="S492" i="92"/>
  <c r="S434" i="92"/>
  <c r="T434" i="92" s="1"/>
  <c r="AD434" i="92" s="1"/>
  <c r="AC434" i="92" s="1"/>
  <c r="S402" i="92"/>
  <c r="S373" i="92"/>
  <c r="S339" i="92"/>
  <c r="S301" i="92"/>
  <c r="S260" i="92"/>
  <c r="S507" i="92"/>
  <c r="T507" i="92" s="1"/>
  <c r="AD507" i="92" s="1"/>
  <c r="AC507" i="92" s="1"/>
  <c r="S426" i="92"/>
  <c r="T426" i="92" s="1"/>
  <c r="AD426" i="92" s="1"/>
  <c r="AC426" i="92" s="1"/>
  <c r="S408" i="92"/>
  <c r="M98" i="92"/>
  <c r="S31" i="92"/>
  <c r="R31" i="92" s="1"/>
  <c r="S35" i="92"/>
  <c r="R35" i="92" s="1"/>
  <c r="S380" i="92"/>
  <c r="S70" i="92"/>
  <c r="S38" i="92"/>
  <c r="S431" i="92"/>
  <c r="T431" i="92" s="1"/>
  <c r="AD431" i="92" s="1"/>
  <c r="AC431" i="92" s="1"/>
  <c r="S91" i="92"/>
  <c r="R91" i="92" s="1"/>
  <c r="S68" i="92"/>
  <c r="S539" i="92"/>
  <c r="S501" i="92"/>
  <c r="S377" i="92"/>
  <c r="S347" i="92"/>
  <c r="S86" i="92"/>
  <c r="S48" i="92"/>
  <c r="S43" i="92"/>
  <c r="S357" i="92"/>
  <c r="S487" i="92"/>
  <c r="S485" i="92"/>
  <c r="T485" i="92" s="1"/>
  <c r="AD485" i="92" s="1"/>
  <c r="AC485" i="92" s="1"/>
  <c r="S66" i="92"/>
  <c r="S59" i="92"/>
  <c r="S535" i="92"/>
  <c r="S445" i="92"/>
  <c r="S311" i="92"/>
  <c r="S84" i="92"/>
  <c r="S73" i="92"/>
  <c r="S67" i="92"/>
  <c r="S65" i="92"/>
  <c r="S62" i="92"/>
  <c r="S60" i="92"/>
  <c r="S28" i="92"/>
  <c r="S82" i="92"/>
  <c r="S50" i="92"/>
  <c r="S46" i="92"/>
  <c r="S520" i="92"/>
  <c r="S64" i="92"/>
  <c r="S482" i="92"/>
  <c r="S433" i="92"/>
  <c r="T433" i="92" s="1"/>
  <c r="AD433" i="92" s="1"/>
  <c r="AC433" i="92" s="1"/>
  <c r="S391" i="92"/>
  <c r="S545" i="92"/>
  <c r="S506" i="92"/>
  <c r="T506" i="92" s="1"/>
  <c r="AD506" i="92" s="1"/>
  <c r="AC506" i="92" s="1"/>
  <c r="S484" i="92"/>
  <c r="T484" i="92" s="1"/>
  <c r="AD484" i="92" s="1"/>
  <c r="AC484" i="92" s="1"/>
  <c r="S93" i="92"/>
  <c r="S89" i="92"/>
  <c r="R89" i="92" s="1"/>
  <c r="S61" i="92"/>
  <c r="S33" i="92"/>
  <c r="R33" i="92" s="1"/>
  <c r="N99" i="92"/>
  <c r="N162" i="92"/>
  <c r="T605" i="92"/>
  <c r="AD605" i="92" s="1"/>
  <c r="AC605" i="92" s="1"/>
  <c r="R564" i="92"/>
  <c r="T564" i="92"/>
  <c r="AD564" i="92" s="1"/>
  <c r="T607" i="92"/>
  <c r="AD607" i="92" s="1"/>
  <c r="R607" i="92"/>
  <c r="AE607" i="92" s="1"/>
  <c r="AC561" i="92"/>
  <c r="AF561" i="92"/>
  <c r="AC131" i="92"/>
  <c r="AC224" i="92"/>
  <c r="AF288" i="92"/>
  <c r="AF291" i="92"/>
  <c r="AC291" i="92"/>
  <c r="AC297" i="92"/>
  <c r="AC286" i="92"/>
  <c r="AC294" i="92"/>
  <c r="AR2455" i="16"/>
  <c r="AR2452" i="16"/>
  <c r="AR2447" i="16"/>
  <c r="AR2444" i="16"/>
  <c r="AR2442" i="16"/>
  <c r="AR2436" i="16"/>
  <c r="AR2435" i="16"/>
  <c r="AR2434" i="16"/>
  <c r="AR2433" i="16"/>
  <c r="AR2432" i="16"/>
  <c r="AR2431" i="16"/>
  <c r="AR2430" i="16"/>
  <c r="AR2425" i="16"/>
  <c r="AR2424" i="16"/>
  <c r="AR2423" i="16"/>
  <c r="AR2422" i="16"/>
  <c r="AR2421" i="16"/>
  <c r="AR2420" i="16"/>
  <c r="AR2418" i="16"/>
  <c r="AR2417" i="16"/>
  <c r="AR2416" i="16"/>
  <c r="AR2401" i="16"/>
  <c r="AR2399" i="16"/>
  <c r="AR2398" i="16"/>
  <c r="AR2397" i="16"/>
  <c r="AR2396" i="16"/>
  <c r="AR2395" i="16"/>
  <c r="AR2393" i="16"/>
  <c r="AR2392" i="16"/>
  <c r="AR2390" i="16"/>
  <c r="AR2383" i="16"/>
  <c r="AR2379" i="16"/>
  <c r="AR2377" i="16"/>
  <c r="AR2371" i="16"/>
  <c r="AR2368" i="16"/>
  <c r="AR2367" i="16"/>
  <c r="AR2365" i="16"/>
  <c r="AR2363" i="16"/>
  <c r="AR2362" i="16"/>
  <c r="AR2360" i="16"/>
  <c r="AR2357" i="16"/>
  <c r="AR2355" i="16"/>
  <c r="AR2352" i="16"/>
  <c r="AR2350" i="16"/>
  <c r="AR2344" i="16"/>
  <c r="AR2343" i="16"/>
  <c r="AR2342" i="16"/>
  <c r="AR2340" i="16"/>
  <c r="AR2339" i="16"/>
  <c r="AR2337" i="16"/>
  <c r="AR2334" i="16"/>
  <c r="AR2331" i="16"/>
  <c r="AR2309" i="16"/>
  <c r="AR2308" i="16"/>
  <c r="AR2307" i="16"/>
  <c r="AR2305" i="16"/>
  <c r="AR2303" i="16"/>
  <c r="AR2301" i="16"/>
  <c r="AR2299" i="16"/>
  <c r="AR2298" i="16"/>
  <c r="AR2296" i="16"/>
  <c r="AR2294" i="16"/>
  <c r="AR2293" i="16"/>
  <c r="AR2291" i="16"/>
  <c r="AR2289" i="16"/>
  <c r="AR2285" i="16"/>
  <c r="AR2279" i="16"/>
  <c r="AR2278" i="16"/>
  <c r="AR2277" i="16"/>
  <c r="AR2275" i="16"/>
  <c r="AR2274" i="16"/>
  <c r="AR2272" i="16"/>
  <c r="AR2270" i="16"/>
  <c r="AR2269" i="16"/>
  <c r="AR2268" i="16"/>
  <c r="AR2264" i="16"/>
  <c r="AR2263" i="16"/>
  <c r="AR2262" i="16"/>
  <c r="AR2247" i="16"/>
  <c r="AR2243" i="16"/>
  <c r="AR2238" i="16"/>
  <c r="AR2236" i="16"/>
  <c r="AR2235" i="16"/>
  <c r="AR2232" i="16"/>
  <c r="AR2227" i="16"/>
  <c r="AR2223" i="16"/>
  <c r="AR2216" i="16"/>
  <c r="AR2211" i="16"/>
  <c r="AR2206" i="16"/>
  <c r="AR2198" i="16"/>
  <c r="AR2194" i="16"/>
  <c r="AR2190" i="16"/>
  <c r="AR2186" i="16"/>
  <c r="AR2184" i="16"/>
  <c r="AR2181" i="16"/>
  <c r="AR2178" i="16"/>
  <c r="AR2176" i="16"/>
  <c r="AR2172" i="16"/>
  <c r="AR2149" i="16"/>
  <c r="AR2109" i="16"/>
  <c r="AR2103" i="16"/>
  <c r="AR2098" i="16"/>
  <c r="AR2096" i="16"/>
  <c r="AR2093" i="16"/>
  <c r="AR2090" i="16"/>
  <c r="AR2088" i="16"/>
  <c r="AR2077" i="16"/>
  <c r="AR2073" i="16"/>
  <c r="AR2070" i="16"/>
  <c r="AR2068" i="16"/>
  <c r="AR2066" i="16"/>
  <c r="AR2059" i="16"/>
  <c r="AR2055" i="16"/>
  <c r="AR2051" i="16"/>
  <c r="AR2048" i="16"/>
  <c r="AR2046" i="16"/>
  <c r="AR2044" i="16"/>
  <c r="AR2042" i="16"/>
  <c r="AR2036" i="16"/>
  <c r="AR2034" i="16"/>
  <c r="AR2032" i="16"/>
  <c r="AR2026" i="16"/>
  <c r="AR2024" i="16"/>
  <c r="AR2018" i="16"/>
  <c r="AR2013" i="16"/>
  <c r="AR2009" i="16"/>
  <c r="AR2008" i="16"/>
  <c r="AR2003" i="16"/>
  <c r="AR1996" i="16"/>
  <c r="AR1990" i="16"/>
  <c r="AR1985" i="16"/>
  <c r="AR1983" i="16"/>
  <c r="AR1982" i="16"/>
  <c r="AR1980" i="16"/>
  <c r="AR1974" i="16"/>
  <c r="AR1968" i="16"/>
  <c r="AR1964" i="16"/>
  <c r="AR1953" i="16"/>
  <c r="AR1944" i="16"/>
  <c r="AR1941" i="16"/>
  <c r="AR1939" i="16"/>
  <c r="AR1925" i="16"/>
  <c r="AR1920" i="16"/>
  <c r="AR1915" i="16"/>
  <c r="AR1909" i="16"/>
  <c r="AR1907" i="16"/>
  <c r="AR1905" i="16"/>
  <c r="AR1902" i="16"/>
  <c r="AR1900" i="16"/>
  <c r="AR1898" i="16"/>
  <c r="AR1895" i="16"/>
  <c r="AR1893" i="16"/>
  <c r="AR1890" i="16"/>
  <c r="AR1884" i="16"/>
  <c r="AR1881" i="16"/>
  <c r="AR1876" i="16"/>
  <c r="AR1873" i="16"/>
  <c r="AR1870" i="16"/>
  <c r="AR1865" i="16"/>
  <c r="AR1859" i="16"/>
  <c r="AR1853" i="16"/>
  <c r="AR1851" i="16"/>
  <c r="AR1848" i="16"/>
  <c r="AR1843" i="16"/>
  <c r="AR1840" i="16"/>
  <c r="AR1839" i="16"/>
  <c r="AR1837" i="16"/>
  <c r="AR1831" i="16"/>
  <c r="AR1822" i="16"/>
  <c r="AR1814" i="16"/>
  <c r="AR1811" i="16"/>
  <c r="AR1788" i="16"/>
  <c r="AR1786" i="16"/>
  <c r="AR1772" i="16"/>
  <c r="AR1768" i="16"/>
  <c r="AR1766" i="16"/>
  <c r="AR1765" i="16"/>
  <c r="AR1763" i="16"/>
  <c r="AR1761" i="16"/>
  <c r="AR1757" i="16"/>
  <c r="AR1755" i="16"/>
  <c r="AR1751" i="16"/>
  <c r="AR1750" i="16"/>
  <c r="AR1749" i="16"/>
  <c r="AR1745" i="16"/>
  <c r="AR1743" i="16"/>
  <c r="AR1740" i="16"/>
  <c r="AR1738" i="16"/>
  <c r="AR1734" i="16"/>
  <c r="AR1731" i="16"/>
  <c r="AR1724" i="16"/>
  <c r="AR1722" i="16"/>
  <c r="AR1718" i="16"/>
  <c r="AR1713" i="16"/>
  <c r="AR1701" i="16"/>
  <c r="AR1697" i="16"/>
  <c r="AR1692" i="16"/>
  <c r="AR1681" i="16"/>
  <c r="AR1676" i="16"/>
  <c r="AR1674" i="16"/>
  <c r="AR1667" i="16"/>
  <c r="AR1665" i="16"/>
  <c r="AR1659" i="16"/>
  <c r="AR1658" i="16"/>
  <c r="AR1653" i="16"/>
  <c r="AR1648" i="16"/>
  <c r="AR1637" i="16"/>
  <c r="AR1609" i="16"/>
  <c r="AR1594" i="16"/>
  <c r="AR1593" i="16"/>
  <c r="AR1588" i="16"/>
  <c r="AR1584" i="16"/>
  <c r="AR1579" i="16"/>
  <c r="AR1575" i="16"/>
  <c r="AR1573" i="16"/>
  <c r="AR1568" i="16"/>
  <c r="AR1563" i="16"/>
  <c r="AR1560" i="16"/>
  <c r="AR1559" i="16"/>
  <c r="AR1558" i="16"/>
  <c r="AR1552" i="16"/>
  <c r="AR1538" i="16"/>
  <c r="AR1535" i="16"/>
  <c r="AR1533" i="16"/>
  <c r="AR1531" i="16"/>
  <c r="AR1524" i="16"/>
  <c r="AR1523" i="16"/>
  <c r="AR1522" i="16"/>
  <c r="AR1521" i="16"/>
  <c r="AR1520" i="16"/>
  <c r="AR1519" i="16"/>
  <c r="AR1518" i="16"/>
  <c r="AR1517" i="16"/>
  <c r="AR1513" i="16"/>
  <c r="AR1506" i="16"/>
  <c r="AR1501" i="16"/>
  <c r="AR1498" i="16"/>
  <c r="AR1496" i="16"/>
  <c r="AR1495" i="16"/>
  <c r="AR1494" i="16"/>
  <c r="AR1493" i="16"/>
  <c r="AR1486" i="16"/>
  <c r="AR1484" i="16"/>
  <c r="AR1482" i="16"/>
  <c r="AR1479" i="16"/>
  <c r="AR1478" i="16"/>
  <c r="AR1477" i="16"/>
  <c r="AR1476" i="16"/>
  <c r="AR1475" i="16"/>
  <c r="AR1474" i="16"/>
  <c r="AR1473" i="16"/>
  <c r="AR1464" i="16"/>
  <c r="AR1461" i="16"/>
  <c r="AR1459" i="16"/>
  <c r="AR1453" i="16"/>
  <c r="AR1450" i="16"/>
  <c r="AR1433" i="16"/>
  <c r="AR1429" i="16"/>
  <c r="AR1427" i="16"/>
  <c r="AR1426" i="16"/>
  <c r="AR1425" i="16"/>
  <c r="AR1424" i="16"/>
  <c r="AR1423" i="16"/>
  <c r="AR1422" i="16"/>
  <c r="AR1420" i="16"/>
  <c r="AR1418" i="16"/>
  <c r="AR1415" i="16"/>
  <c r="AR1410" i="16"/>
  <c r="AR1409" i="16"/>
  <c r="AR1406" i="16"/>
  <c r="AR1404" i="16"/>
  <c r="AR1401" i="16"/>
  <c r="AR1396" i="16"/>
  <c r="AR1391" i="16"/>
  <c r="AR1387" i="16"/>
  <c r="AR1383" i="16"/>
  <c r="AR1379" i="16"/>
  <c r="AR1371" i="16"/>
  <c r="AR1368" i="16"/>
  <c r="AR1360" i="16"/>
  <c r="AR1357" i="16"/>
  <c r="AR1353" i="16"/>
  <c r="AR1348" i="16"/>
  <c r="AR1346" i="16"/>
  <c r="AR1344" i="16"/>
  <c r="AR1339" i="16"/>
  <c r="AR1337" i="16"/>
  <c r="AR1335" i="16"/>
  <c r="AR1333" i="16"/>
  <c r="AR1332" i="16"/>
  <c r="AR1331" i="16"/>
  <c r="AR1329" i="16"/>
  <c r="AR1321" i="16"/>
  <c r="AR1314" i="16"/>
  <c r="AR1313" i="16"/>
  <c r="AR1311" i="16"/>
  <c r="AR1309" i="16"/>
  <c r="AR1308" i="16"/>
  <c r="AR1307" i="16"/>
  <c r="AR1304" i="16"/>
  <c r="AR1302" i="16"/>
  <c r="AR1300" i="16"/>
  <c r="AR1297" i="16"/>
  <c r="AR1295" i="16"/>
  <c r="AR1290" i="16"/>
  <c r="AR1289" i="16"/>
  <c r="AR1288" i="16"/>
  <c r="AR1285" i="16"/>
  <c r="AR1283" i="16"/>
  <c r="AR1281" i="16"/>
  <c r="AR1260" i="16"/>
  <c r="AR1258" i="16"/>
  <c r="AR1256" i="16"/>
  <c r="AR1254" i="16"/>
  <c r="AR1205" i="16"/>
  <c r="AR1195" i="16"/>
  <c r="AR1194" i="16"/>
  <c r="AR1192" i="16"/>
  <c r="AR1191" i="16"/>
  <c r="AR1189" i="16"/>
  <c r="AR1188" i="16"/>
  <c r="AR1183" i="16"/>
  <c r="AR1176" i="16"/>
  <c r="AR1169" i="16"/>
  <c r="AR1166" i="16"/>
  <c r="AR1165" i="16"/>
  <c r="AR1163" i="16"/>
  <c r="AR1157" i="16"/>
  <c r="AR1153" i="16"/>
  <c r="AR1151" i="16"/>
  <c r="AR1145" i="16"/>
  <c r="AR1139" i="16"/>
  <c r="AR1134" i="16"/>
  <c r="AR1131" i="16"/>
  <c r="AR1125" i="16"/>
  <c r="AR1119" i="16"/>
  <c r="AR1112" i="16"/>
  <c r="AR1106" i="16"/>
  <c r="AR1096" i="16"/>
  <c r="AR1086" i="16"/>
  <c r="AR1077" i="16"/>
  <c r="AR1070" i="16"/>
  <c r="AR1065" i="16"/>
  <c r="AR1061" i="16"/>
  <c r="AR1059" i="16"/>
  <c r="AR1052" i="16"/>
  <c r="AR1049" i="16"/>
  <c r="AR1046" i="16"/>
  <c r="AR1034" i="16"/>
  <c r="AR1015" i="16"/>
  <c r="AR1007" i="16"/>
  <c r="AR1003" i="16"/>
  <c r="AR1000" i="16"/>
  <c r="AR998" i="16"/>
  <c r="AR991" i="16"/>
  <c r="AR981" i="16"/>
  <c r="AR978" i="16"/>
  <c r="AR976" i="16"/>
  <c r="AR973" i="16"/>
  <c r="AR972" i="16"/>
  <c r="AR971" i="16"/>
  <c r="AR969" i="16"/>
  <c r="AR966" i="16"/>
  <c r="AR964" i="16"/>
  <c r="AR960" i="16"/>
  <c r="AR959" i="16"/>
  <c r="AR955" i="16"/>
  <c r="AR952" i="16"/>
  <c r="AR950" i="16"/>
  <c r="AR949" i="16"/>
  <c r="AR948" i="16"/>
  <c r="AR947" i="16"/>
  <c r="AR945" i="16"/>
  <c r="AR944" i="16"/>
  <c r="AR942" i="16"/>
  <c r="AR941" i="16"/>
  <c r="AR936" i="16"/>
  <c r="AR933" i="16"/>
  <c r="AR928" i="16"/>
  <c r="AR927" i="16"/>
  <c r="AR926" i="16"/>
  <c r="AR925" i="16"/>
  <c r="AR924" i="16"/>
  <c r="AR923" i="16"/>
  <c r="AR922" i="16"/>
  <c r="AR921" i="16"/>
  <c r="AR920" i="16"/>
  <c r="AR919" i="16"/>
  <c r="AR918" i="16"/>
  <c r="AR917" i="16"/>
  <c r="AR916" i="16"/>
  <c r="AR911" i="16"/>
  <c r="AR908" i="16"/>
  <c r="AR905" i="16"/>
  <c r="AR902" i="16"/>
  <c r="AR896" i="16"/>
  <c r="AR893" i="16"/>
  <c r="AR886" i="16"/>
  <c r="AR884" i="16"/>
  <c r="AR868" i="16"/>
  <c r="AR864" i="16"/>
  <c r="AR862" i="16"/>
  <c r="AR858" i="16"/>
  <c r="AR857" i="16"/>
  <c r="AR856" i="16"/>
  <c r="AR854" i="16"/>
  <c r="AR852" i="16"/>
  <c r="AR848" i="16"/>
  <c r="AR843" i="16"/>
  <c r="AR839" i="16"/>
  <c r="AR837" i="16"/>
  <c r="AR835" i="16"/>
  <c r="AR833" i="16"/>
  <c r="AR831" i="16"/>
  <c r="AR829" i="16"/>
  <c r="AR828" i="16"/>
  <c r="AR817" i="16"/>
  <c r="AR809" i="16"/>
  <c r="AR799" i="16"/>
  <c r="AR787" i="16"/>
  <c r="AR781" i="16"/>
  <c r="AR775" i="16"/>
  <c r="AR769" i="16"/>
  <c r="AR762" i="16"/>
  <c r="AR755" i="16"/>
  <c r="AR749" i="16"/>
  <c r="AR742" i="16"/>
  <c r="AR733" i="16"/>
  <c r="AR724" i="16"/>
  <c r="AR716" i="16"/>
  <c r="AR714" i="16"/>
  <c r="AR702" i="16"/>
  <c r="AR699" i="16"/>
  <c r="AR693" i="16"/>
  <c r="AR688" i="16"/>
  <c r="AR679" i="16"/>
  <c r="AR677" i="16"/>
  <c r="AR676" i="16"/>
  <c r="AR674" i="16"/>
  <c r="AR673" i="16"/>
  <c r="AR642" i="16"/>
  <c r="AR637" i="16"/>
  <c r="AR636" i="16"/>
  <c r="AR629" i="16"/>
  <c r="AR616" i="16"/>
  <c r="AR601" i="16"/>
  <c r="AR598" i="16"/>
  <c r="AR594" i="16"/>
  <c r="AR592" i="16"/>
  <c r="AR590" i="16"/>
  <c r="AR588" i="16"/>
  <c r="AR584" i="16"/>
  <c r="AR577" i="16"/>
  <c r="AR571" i="16"/>
  <c r="AR566" i="16"/>
  <c r="AR564" i="16"/>
  <c r="AR559" i="16"/>
  <c r="AR555" i="16"/>
  <c r="AR552" i="16"/>
  <c r="AR551" i="16"/>
  <c r="AR549" i="16"/>
  <c r="AR542" i="16"/>
  <c r="AR541" i="16"/>
  <c r="AR540" i="16"/>
  <c r="AR538" i="16"/>
  <c r="AR532" i="16"/>
  <c r="AR529" i="16"/>
  <c r="AR525" i="16"/>
  <c r="AR513" i="16"/>
  <c r="AR511" i="16"/>
  <c r="AR509" i="16"/>
  <c r="AR503" i="16"/>
  <c r="AR499" i="16"/>
  <c r="AR498" i="16"/>
  <c r="AR495" i="16"/>
  <c r="AR483" i="16"/>
  <c r="AR471" i="16"/>
  <c r="AR467" i="16"/>
  <c r="AR465" i="16"/>
  <c r="AR463" i="16"/>
  <c r="AR460" i="16"/>
  <c r="AR458" i="16"/>
  <c r="AR445" i="16"/>
  <c r="AR436" i="16"/>
  <c r="AR431" i="16"/>
  <c r="AR429" i="16"/>
  <c r="AR422" i="16"/>
  <c r="AR420" i="16"/>
  <c r="AR412" i="16"/>
  <c r="AR409" i="16"/>
  <c r="AR403" i="16"/>
  <c r="AR400" i="16"/>
  <c r="AR396" i="16"/>
  <c r="AR383" i="16"/>
  <c r="AR364" i="16"/>
  <c r="AR359" i="16"/>
  <c r="AR358" i="16"/>
  <c r="AR357" i="16"/>
  <c r="AR356" i="16"/>
  <c r="AR355" i="16"/>
  <c r="AR347" i="16"/>
  <c r="AR346" i="16"/>
  <c r="AR345" i="16"/>
  <c r="AR344" i="16"/>
  <c r="AR343" i="16"/>
  <c r="AR342" i="16"/>
  <c r="AR336" i="16"/>
  <c r="AR333" i="16"/>
  <c r="AR330" i="16"/>
  <c r="AR312" i="16"/>
  <c r="AR304" i="16"/>
  <c r="AR302" i="16"/>
  <c r="AR300" i="16"/>
  <c r="AR298" i="16"/>
  <c r="AR293" i="16"/>
  <c r="AR292" i="16"/>
  <c r="AR289" i="16"/>
  <c r="AR286" i="16"/>
  <c r="AR282" i="16"/>
  <c r="AR271" i="16"/>
  <c r="AR270" i="16"/>
  <c r="AR269" i="16"/>
  <c r="AR266" i="16"/>
  <c r="AR264" i="16"/>
  <c r="AR261" i="16"/>
  <c r="AR254" i="16"/>
  <c r="AR251" i="16"/>
  <c r="AR241" i="16"/>
  <c r="AR236" i="16"/>
  <c r="AR235" i="16"/>
  <c r="AR233" i="16"/>
  <c r="AR219" i="16"/>
  <c r="AR218" i="16"/>
  <c r="AR215" i="16"/>
  <c r="AR211" i="16"/>
  <c r="AR209" i="16"/>
  <c r="AR207" i="16"/>
  <c r="AR206" i="16"/>
  <c r="AR204" i="16"/>
  <c r="AR201" i="16"/>
  <c r="AR194" i="16"/>
  <c r="AR189" i="16"/>
  <c r="AR180" i="16"/>
  <c r="AR173" i="16"/>
  <c r="AR171" i="16"/>
  <c r="AR169" i="16"/>
  <c r="AR167" i="16"/>
  <c r="AR164" i="16"/>
  <c r="AR162" i="16"/>
  <c r="AR157" i="16"/>
  <c r="AR156" i="16"/>
  <c r="AR151" i="16"/>
  <c r="AR149" i="16"/>
  <c r="AR147" i="16"/>
  <c r="AR144" i="16"/>
  <c r="AR142" i="16"/>
  <c r="AR136" i="16"/>
  <c r="AR132" i="16"/>
  <c r="AR129" i="16"/>
  <c r="AR127" i="16"/>
  <c r="AR122" i="16"/>
  <c r="AR115" i="16"/>
  <c r="AR112" i="16"/>
  <c r="AR105" i="16"/>
  <c r="AR93" i="16"/>
  <c r="AR80" i="16"/>
  <c r="AR61" i="16"/>
  <c r="AR56" i="16"/>
  <c r="AR51" i="16"/>
  <c r="AR47" i="16"/>
  <c r="AR44" i="16"/>
  <c r="AR42" i="16"/>
  <c r="AR37" i="16"/>
  <c r="AR34" i="16"/>
  <c r="AR28" i="16"/>
  <c r="AR19" i="16"/>
  <c r="AR17" i="16"/>
  <c r="AR15" i="16"/>
  <c r="AR13" i="16"/>
  <c r="AP2455" i="16"/>
  <c r="AP2452" i="16"/>
  <c r="AP2447" i="16"/>
  <c r="AP2444" i="16"/>
  <c r="AP2442" i="16"/>
  <c r="AP2436" i="16"/>
  <c r="AP2435" i="16"/>
  <c r="AP2434" i="16"/>
  <c r="AP2433" i="16"/>
  <c r="AP2432" i="16"/>
  <c r="AP2431" i="16"/>
  <c r="AP2430" i="16"/>
  <c r="AP2425" i="16"/>
  <c r="AP2424" i="16"/>
  <c r="AP2423" i="16"/>
  <c r="AP2422" i="16"/>
  <c r="AP2421" i="16"/>
  <c r="AP2420" i="16"/>
  <c r="AP2418" i="16"/>
  <c r="AP2417" i="16"/>
  <c r="AP2416" i="16"/>
  <c r="AP2401" i="16"/>
  <c r="AP2399" i="16"/>
  <c r="AP2398" i="16"/>
  <c r="AP2397" i="16"/>
  <c r="AP2396" i="16"/>
  <c r="AP2395" i="16"/>
  <c r="AP2393" i="16"/>
  <c r="AP2392" i="16"/>
  <c r="AP2390" i="16"/>
  <c r="AP2383" i="16"/>
  <c r="AP2379" i="16"/>
  <c r="AP2377" i="16"/>
  <c r="AP2371" i="16"/>
  <c r="AP2368" i="16"/>
  <c r="AP2367" i="16"/>
  <c r="AP2365" i="16"/>
  <c r="AP2363" i="16"/>
  <c r="AP2362" i="16"/>
  <c r="AP2360" i="16"/>
  <c r="AP2357" i="16"/>
  <c r="AP2355" i="16"/>
  <c r="AP2352" i="16"/>
  <c r="AP2350" i="16"/>
  <c r="AP2344" i="16"/>
  <c r="AP2343" i="16"/>
  <c r="AP2342" i="16"/>
  <c r="AP2340" i="16"/>
  <c r="AP2339" i="16"/>
  <c r="AP2337" i="16"/>
  <c r="AP2334" i="16"/>
  <c r="AP2331" i="16"/>
  <c r="AP2309" i="16"/>
  <c r="AP2308" i="16"/>
  <c r="AP2307" i="16"/>
  <c r="AP2305" i="16"/>
  <c r="AP2303" i="16"/>
  <c r="AP2301" i="16"/>
  <c r="AP2299" i="16"/>
  <c r="AP2298" i="16"/>
  <c r="AP2296" i="16"/>
  <c r="AP2294" i="16"/>
  <c r="AP2293" i="16"/>
  <c r="AP2291" i="16"/>
  <c r="AP2289" i="16"/>
  <c r="AP2285" i="16"/>
  <c r="AP2279" i="16"/>
  <c r="AP2278" i="16"/>
  <c r="AP2277" i="16"/>
  <c r="AP2275" i="16"/>
  <c r="AP2274" i="16"/>
  <c r="AP2272" i="16"/>
  <c r="AP2270" i="16"/>
  <c r="AP2269" i="16"/>
  <c r="AP2268" i="16"/>
  <c r="AP2264" i="16"/>
  <c r="AP2263" i="16"/>
  <c r="AP2262" i="16"/>
  <c r="AP2247" i="16"/>
  <c r="AP2243" i="16"/>
  <c r="AP2238" i="16"/>
  <c r="AP2236" i="16"/>
  <c r="AP2235" i="16"/>
  <c r="AP2232" i="16"/>
  <c r="AP2227" i="16"/>
  <c r="AP2223" i="16"/>
  <c r="AP2216" i="16"/>
  <c r="AP2211" i="16"/>
  <c r="AP2206" i="16"/>
  <c r="AP2201" i="16"/>
  <c r="AP2200" i="16"/>
  <c r="AP2194" i="16"/>
  <c r="AP2190" i="16"/>
  <c r="AP2186" i="16"/>
  <c r="AP2184" i="16"/>
  <c r="AP2181" i="16"/>
  <c r="AP2178" i="16"/>
  <c r="AP2176" i="16"/>
  <c r="AP2172" i="16"/>
  <c r="AP2149" i="16"/>
  <c r="AP2147" i="16"/>
  <c r="AP2098" i="16"/>
  <c r="AP2096" i="16"/>
  <c r="AP2093" i="16"/>
  <c r="AP2090" i="16"/>
  <c r="AP2088" i="16"/>
  <c r="AP2077" i="16"/>
  <c r="AP2073" i="16"/>
  <c r="AP2070" i="16"/>
  <c r="AP2068" i="16"/>
  <c r="AP2066" i="16"/>
  <c r="AP2063" i="16"/>
  <c r="AP2061" i="16"/>
  <c r="AP2055" i="16"/>
  <c r="AP2054" i="16"/>
  <c r="AP2052" i="16"/>
  <c r="AP2048" i="16"/>
  <c r="AP2046" i="16"/>
  <c r="AP2044" i="16"/>
  <c r="AP2042" i="16"/>
  <c r="AP2036" i="16"/>
  <c r="AP2034" i="16"/>
  <c r="AP2032" i="16"/>
  <c r="AP2029" i="16"/>
  <c r="AP2028" i="16"/>
  <c r="AP2024" i="16"/>
  <c r="AP2018" i="16"/>
  <c r="AP2013" i="16"/>
  <c r="AP2009" i="16"/>
  <c r="AP2008" i="16"/>
  <c r="AP2003" i="16"/>
  <c r="AP1996" i="16"/>
  <c r="AP1990" i="16"/>
  <c r="AP1985" i="16"/>
  <c r="AP1983" i="16"/>
  <c r="AP1982" i="16"/>
  <c r="AP1980" i="16"/>
  <c r="AP1968" i="16"/>
  <c r="AP1965" i="16"/>
  <c r="AP1964" i="16"/>
  <c r="AP1953" i="16"/>
  <c r="AP1944" i="16"/>
  <c r="AP1941" i="16"/>
  <c r="AP1939" i="16"/>
  <c r="AP1928" i="16"/>
  <c r="AP1927" i="16"/>
  <c r="AP1926" i="16"/>
  <c r="AP1925" i="16"/>
  <c r="AP1920" i="16"/>
  <c r="AP1915" i="16"/>
  <c r="AP1909" i="16"/>
  <c r="AP1907" i="16"/>
  <c r="AP1905" i="16"/>
  <c r="AP1902" i="16"/>
  <c r="AP1900" i="16"/>
  <c r="AP1898" i="16"/>
  <c r="AP1895" i="16"/>
  <c r="AP1893" i="16"/>
  <c r="AP1890" i="16"/>
  <c r="AP1884" i="16"/>
  <c r="AP1881" i="16"/>
  <c r="AP1876" i="16"/>
  <c r="AP1873" i="16"/>
  <c r="AP1870" i="16"/>
  <c r="AP1865" i="16"/>
  <c r="AP1859" i="16"/>
  <c r="AP1853" i="16"/>
  <c r="AP1851" i="16"/>
  <c r="AP1848" i="16"/>
  <c r="AP1843" i="16"/>
  <c r="AP1841" i="16"/>
  <c r="AP1839" i="16"/>
  <c r="AP1837" i="16"/>
  <c r="AP1831" i="16"/>
  <c r="AP1822" i="16"/>
  <c r="AP1814" i="16"/>
  <c r="AP1811" i="16"/>
  <c r="AP1788" i="16"/>
  <c r="AP1786" i="16"/>
  <c r="AP1772" i="16"/>
  <c r="AP1768" i="16"/>
  <c r="AP1766" i="16"/>
  <c r="AP1765" i="16"/>
  <c r="AP1763" i="16"/>
  <c r="AP1761" i="16"/>
  <c r="AP1757" i="16"/>
  <c r="AP1755" i="16"/>
  <c r="AP1751" i="16"/>
  <c r="AP1750" i="16"/>
  <c r="AP1749" i="16"/>
  <c r="AP1745" i="16"/>
  <c r="AP1743" i="16"/>
  <c r="AP1740" i="16"/>
  <c r="AP1738" i="16"/>
  <c r="AP1734" i="16"/>
  <c r="AP1731" i="16"/>
  <c r="AP1724" i="16"/>
  <c r="AP1718" i="16"/>
  <c r="AP1713" i="16"/>
  <c r="AP1703" i="16"/>
  <c r="AP1701" i="16"/>
  <c r="AP1697" i="16"/>
  <c r="AP1692" i="16"/>
  <c r="AP1681" i="16"/>
  <c r="AP1676" i="16"/>
  <c r="AP1674" i="16"/>
  <c r="AP1667" i="16"/>
  <c r="AP1665" i="16"/>
  <c r="AP1659" i="16"/>
  <c r="AP1658" i="16"/>
  <c r="AP1653" i="16"/>
  <c r="AP1627" i="16"/>
  <c r="AP1613" i="16"/>
  <c r="AP1594" i="16"/>
  <c r="AP1593" i="16"/>
  <c r="AP1588" i="16"/>
  <c r="AP1584" i="16"/>
  <c r="AP1579" i="16"/>
  <c r="AP1575" i="16"/>
  <c r="AP1573" i="16"/>
  <c r="AP1568" i="16"/>
  <c r="AP1563" i="16"/>
  <c r="AP1560" i="16"/>
  <c r="AP1559" i="16"/>
  <c r="AP1558" i="16"/>
  <c r="AP1552" i="16"/>
  <c r="AP1542" i="16"/>
  <c r="AP1540" i="16"/>
  <c r="AP1538" i="16"/>
  <c r="AP1535" i="16"/>
  <c r="AP1533" i="16"/>
  <c r="AP1531" i="16"/>
  <c r="AP1524" i="16"/>
  <c r="AP1523" i="16"/>
  <c r="AP1522" i="16"/>
  <c r="AP1521" i="16"/>
  <c r="AP1520" i="16"/>
  <c r="AP1519" i="16"/>
  <c r="AP1518" i="16"/>
  <c r="AP1517" i="16"/>
  <c r="AP1506" i="16"/>
  <c r="AP1501" i="16"/>
  <c r="AP1498" i="16"/>
  <c r="AP1496" i="16"/>
  <c r="AP1495" i="16"/>
  <c r="AP1494" i="16"/>
  <c r="AP1493" i="16"/>
  <c r="AP1486" i="16"/>
  <c r="AP1484" i="16"/>
  <c r="AP1482" i="16"/>
  <c r="AP1472" i="16"/>
  <c r="AP1470" i="16"/>
  <c r="AP1464" i="16"/>
  <c r="AP1461" i="16"/>
  <c r="AP1459" i="16"/>
  <c r="AP1453" i="16"/>
  <c r="AP1452" i="16"/>
  <c r="AP1450" i="16"/>
  <c r="AP1431" i="16"/>
  <c r="AP1429" i="16"/>
  <c r="AP1420" i="16"/>
  <c r="AP1418" i="16"/>
  <c r="AP1415" i="16"/>
  <c r="AP1410" i="16"/>
  <c r="AP1409" i="16"/>
  <c r="AP1407" i="16"/>
  <c r="AP1404" i="16"/>
  <c r="AP1401" i="16"/>
  <c r="AP1396" i="16"/>
  <c r="AP1391" i="16"/>
  <c r="AP1387" i="16"/>
  <c r="AP1383" i="16"/>
  <c r="AP1379" i="16"/>
  <c r="AP1350" i="16"/>
  <c r="AP1348" i="16"/>
  <c r="AP1346" i="16"/>
  <c r="AP1344" i="16"/>
  <c r="AP1339" i="16"/>
  <c r="AP1337" i="16"/>
  <c r="AP1335" i="16"/>
  <c r="AP1333" i="16"/>
  <c r="AP1332" i="16"/>
  <c r="AP1331" i="16"/>
  <c r="AP1329" i="16"/>
  <c r="AP1321" i="16"/>
  <c r="AP1293" i="16"/>
  <c r="AP1290" i="16"/>
  <c r="AP1289" i="16"/>
  <c r="AP1288" i="16"/>
  <c r="AP1285" i="16"/>
  <c r="AP1283" i="16"/>
  <c r="AP1281" i="16"/>
  <c r="AP1262" i="16"/>
  <c r="AP1260" i="16"/>
  <c r="AP1258" i="16"/>
  <c r="AP1256" i="16"/>
  <c r="AP1254" i="16"/>
  <c r="AP1208" i="16"/>
  <c r="AP1206" i="16"/>
  <c r="AP1199" i="16"/>
  <c r="AP1197" i="16"/>
  <c r="AP1195" i="16"/>
  <c r="AP1194" i="16"/>
  <c r="AP1192" i="16"/>
  <c r="AP1191" i="16"/>
  <c r="AP1189" i="16"/>
  <c r="AP1188" i="16"/>
  <c r="AP1183" i="16"/>
  <c r="AP1178" i="16"/>
  <c r="AP1176" i="16"/>
  <c r="AP1170" i="16"/>
  <c r="AP1166" i="16"/>
  <c r="AP1165" i="16"/>
  <c r="AP1163" i="16"/>
  <c r="AP1158" i="16"/>
  <c r="AP1153" i="16"/>
  <c r="AP1151" i="16"/>
  <c r="AP1146" i="16"/>
  <c r="AP1140" i="16"/>
  <c r="AP1135" i="16"/>
  <c r="AP1132" i="16"/>
  <c r="AP1126" i="16"/>
  <c r="AP1119" i="16"/>
  <c r="AP1113" i="16"/>
  <c r="AP1107" i="16"/>
  <c r="AP1096" i="16"/>
  <c r="AP1086" i="16"/>
  <c r="AP1077" i="16"/>
  <c r="AP1070" i="16"/>
  <c r="AP1061" i="16"/>
  <c r="AP1060" i="16"/>
  <c r="AP1054" i="16"/>
  <c r="AP1052" i="16"/>
  <c r="AP1049" i="16"/>
  <c r="AP1046" i="16"/>
  <c r="AP1034" i="16"/>
  <c r="AP1020" i="16"/>
  <c r="AP1007" i="16"/>
  <c r="AP1003" i="16"/>
  <c r="AP1000" i="16"/>
  <c r="AP998" i="16"/>
  <c r="AP991" i="16"/>
  <c r="AP981" i="16"/>
  <c r="AP955" i="16"/>
  <c r="AP952" i="16"/>
  <c r="AP936" i="16"/>
  <c r="AP933" i="16"/>
  <c r="AP930" i="16"/>
  <c r="AP928" i="16"/>
  <c r="AP927" i="16"/>
  <c r="AP926" i="16"/>
  <c r="AP925" i="16"/>
  <c r="AP924" i="16"/>
  <c r="AP923" i="16"/>
  <c r="AP922" i="16"/>
  <c r="AP921" i="16"/>
  <c r="AP920" i="16"/>
  <c r="AP919" i="16"/>
  <c r="AP918" i="16"/>
  <c r="AP917" i="16"/>
  <c r="AP916" i="16"/>
  <c r="AP912" i="16"/>
  <c r="AP908" i="16"/>
  <c r="AP905" i="16"/>
  <c r="AP902" i="16"/>
  <c r="AP896" i="16"/>
  <c r="AP893" i="16"/>
  <c r="AP886" i="16"/>
  <c r="AP868" i="16"/>
  <c r="AP864" i="16"/>
  <c r="AP862" i="16"/>
  <c r="AP858" i="16"/>
  <c r="AP857" i="16"/>
  <c r="AP856" i="16"/>
  <c r="AP854" i="16"/>
  <c r="AP852" i="16"/>
  <c r="AP848" i="16"/>
  <c r="AP843" i="16"/>
  <c r="AP839" i="16"/>
  <c r="AP837" i="16"/>
  <c r="AP835" i="16"/>
  <c r="AP833" i="16"/>
  <c r="AP831" i="16"/>
  <c r="AP829" i="16"/>
  <c r="AP828" i="16"/>
  <c r="AP817" i="16"/>
  <c r="AP811" i="16"/>
  <c r="AP800" i="16"/>
  <c r="AP788" i="16"/>
  <c r="AP782" i="16"/>
  <c r="AP776" i="16"/>
  <c r="AP770" i="16"/>
  <c r="AP764" i="16"/>
  <c r="AP757" i="16"/>
  <c r="AP749" i="16"/>
  <c r="AP742" i="16"/>
  <c r="AP733" i="16"/>
  <c r="AP716" i="16"/>
  <c r="AP714" i="16"/>
  <c r="AP702" i="16"/>
  <c r="AP699" i="16"/>
  <c r="AP693" i="16"/>
  <c r="AP688" i="16"/>
  <c r="AP679" i="16"/>
  <c r="AP677" i="16"/>
  <c r="AP676" i="16"/>
  <c r="AP674" i="16"/>
  <c r="AP673" i="16"/>
  <c r="AP649" i="16"/>
  <c r="AP648" i="16"/>
  <c r="AP647" i="16"/>
  <c r="AP646" i="16"/>
  <c r="AP645" i="16"/>
  <c r="AP644" i="16"/>
  <c r="AP643" i="16"/>
  <c r="AP642" i="16"/>
  <c r="AP637" i="16"/>
  <c r="AP636" i="16"/>
  <c r="AP635" i="16"/>
  <c r="AP634" i="16"/>
  <c r="AP633" i="16"/>
  <c r="AP632" i="16"/>
  <c r="AP631" i="16"/>
  <c r="AP630" i="16"/>
  <c r="AP629" i="16"/>
  <c r="AP616" i="16"/>
  <c r="AP614" i="16"/>
  <c r="AP601" i="16"/>
  <c r="AP598" i="16"/>
  <c r="AP595" i="16"/>
  <c r="AP593" i="16"/>
  <c r="AP591" i="16"/>
  <c r="AP589" i="16"/>
  <c r="AP584" i="16"/>
  <c r="AP577" i="16"/>
  <c r="AP571" i="16"/>
  <c r="AP566" i="16"/>
  <c r="AP564" i="16"/>
  <c r="AP559" i="16"/>
  <c r="AP555" i="16"/>
  <c r="AP552" i="16"/>
  <c r="AP551" i="16"/>
  <c r="AP549" i="16"/>
  <c r="AP542" i="16"/>
  <c r="AP541" i="16"/>
  <c r="AP540" i="16"/>
  <c r="AP538" i="16"/>
  <c r="AP532" i="16"/>
  <c r="AP529" i="16"/>
  <c r="AP525" i="16"/>
  <c r="AP513" i="16"/>
  <c r="AP511" i="16"/>
  <c r="AP509" i="16"/>
  <c r="AP503" i="16"/>
  <c r="AP499" i="16"/>
  <c r="AP498" i="16"/>
  <c r="AP495" i="16"/>
  <c r="AP483" i="16"/>
  <c r="AP471" i="16"/>
  <c r="AP467" i="16"/>
  <c r="AP465" i="16"/>
  <c r="AP463" i="16"/>
  <c r="AP460" i="16"/>
  <c r="AP458" i="16"/>
  <c r="AP453" i="16"/>
  <c r="AP449" i="16"/>
  <c r="AP445" i="16"/>
  <c r="AP439" i="16"/>
  <c r="AP437" i="16"/>
  <c r="AP436" i="16"/>
  <c r="AP431" i="16"/>
  <c r="AP429" i="16"/>
  <c r="AP422" i="16"/>
  <c r="AP420" i="16"/>
  <c r="AP412" i="16"/>
  <c r="AP409" i="16"/>
  <c r="AP407" i="16"/>
  <c r="AP406" i="16"/>
  <c r="AP400" i="16"/>
  <c r="AP396" i="16"/>
  <c r="AP383" i="16"/>
  <c r="AP375" i="16"/>
  <c r="AP373" i="16"/>
  <c r="AP369" i="16"/>
  <c r="AP368" i="16"/>
  <c r="AP367" i="16"/>
  <c r="AP360" i="16"/>
  <c r="AP358" i="16"/>
  <c r="AP357" i="16"/>
  <c r="AP356" i="16"/>
  <c r="AP355" i="16"/>
  <c r="AP347" i="16"/>
  <c r="AP346" i="16"/>
  <c r="AP345" i="16"/>
  <c r="AP344" i="16"/>
  <c r="AP343" i="16"/>
  <c r="AP342" i="16"/>
  <c r="AP336" i="16"/>
  <c r="AP333" i="16"/>
  <c r="AP330" i="16"/>
  <c r="AP304" i="16"/>
  <c r="AP302" i="16"/>
  <c r="AP300" i="16"/>
  <c r="AP298" i="16"/>
  <c r="AP293" i="16"/>
  <c r="AP292" i="16"/>
  <c r="AP289" i="16"/>
  <c r="AP286" i="16"/>
  <c r="AP282" i="16"/>
  <c r="AP272" i="16"/>
  <c r="AP270" i="16"/>
  <c r="AP269" i="16"/>
  <c r="AP266" i="16"/>
  <c r="AP264" i="16"/>
  <c r="AP261" i="16"/>
  <c r="AP254" i="16"/>
  <c r="AP251" i="16"/>
  <c r="AP250" i="16"/>
  <c r="AP246" i="16"/>
  <c r="AP243" i="16"/>
  <c r="AP236" i="16"/>
  <c r="AP235" i="16"/>
  <c r="AP233" i="16"/>
  <c r="AP225" i="16"/>
  <c r="AP224" i="16"/>
  <c r="AP223" i="16"/>
  <c r="AP222" i="16"/>
  <c r="AP221" i="16"/>
  <c r="AP220" i="16"/>
  <c r="AP218" i="16"/>
  <c r="AP215" i="16"/>
  <c r="AP211" i="16"/>
  <c r="AP209" i="16"/>
  <c r="AP207" i="16"/>
  <c r="AP206" i="16"/>
  <c r="AP204" i="16"/>
  <c r="AP199" i="16"/>
  <c r="AP197" i="16"/>
  <c r="AP196" i="16"/>
  <c r="AP189" i="16"/>
  <c r="AP184" i="16"/>
  <c r="AP182" i="16"/>
  <c r="AP179" i="16"/>
  <c r="AP177" i="16"/>
  <c r="AP176" i="16"/>
  <c r="AP175" i="16"/>
  <c r="AP171" i="16"/>
  <c r="AP169" i="16"/>
  <c r="AP167" i="16"/>
  <c r="AP164" i="16"/>
  <c r="AP162" i="16"/>
  <c r="AP157" i="16"/>
  <c r="AP156" i="16"/>
  <c r="AP151" i="16"/>
  <c r="AP149" i="16"/>
  <c r="AP147" i="16"/>
  <c r="AP144" i="16"/>
  <c r="AP142" i="16"/>
  <c r="AP136" i="16"/>
  <c r="AP134" i="16"/>
  <c r="AP129" i="16"/>
  <c r="AP127" i="16"/>
  <c r="AP122" i="16"/>
  <c r="AP115" i="16"/>
  <c r="AP112" i="16"/>
  <c r="AP104" i="16"/>
  <c r="AP103" i="16"/>
  <c r="AP102" i="16"/>
  <c r="AP100" i="16"/>
  <c r="AP99" i="16"/>
  <c r="AP96" i="16"/>
  <c r="AP92" i="16"/>
  <c r="AP90" i="16"/>
  <c r="AP85" i="16"/>
  <c r="AP83" i="16"/>
  <c r="AP82" i="16"/>
  <c r="AP81" i="16"/>
  <c r="AP75" i="16"/>
  <c r="AP73" i="16"/>
  <c r="AP71" i="16"/>
  <c r="AP70" i="16"/>
  <c r="AP68" i="16"/>
  <c r="AP66" i="16"/>
  <c r="AP64" i="16"/>
  <c r="AP63" i="16"/>
  <c r="AP51" i="16"/>
  <c r="AP47" i="16"/>
  <c r="AP44" i="16"/>
  <c r="AP42" i="16"/>
  <c r="AP37" i="16"/>
  <c r="AP34" i="16"/>
  <c r="AP29" i="16"/>
  <c r="AP19" i="16"/>
  <c r="AP17" i="16"/>
  <c r="AP15" i="16"/>
  <c r="AN2459" i="16"/>
  <c r="AN2455" i="16"/>
  <c r="AN2452" i="16"/>
  <c r="AN2441" i="16"/>
  <c r="AN2426" i="16"/>
  <c r="AN2414" i="16"/>
  <c r="AN2401" i="16"/>
  <c r="AN2373" i="16"/>
  <c r="AN2346" i="16"/>
  <c r="AN2328" i="16"/>
  <c r="AN2309" i="16"/>
  <c r="AN2259" i="16"/>
  <c r="AN2247" i="16"/>
  <c r="AN2243" i="16"/>
  <c r="AN2238" i="16"/>
  <c r="AN2234" i="16"/>
  <c r="AN2232" i="16"/>
  <c r="AN2227" i="16"/>
  <c r="AN2211" i="16"/>
  <c r="AN2206" i="16"/>
  <c r="AN2198" i="16"/>
  <c r="AN2194" i="16"/>
  <c r="AN2190" i="16"/>
  <c r="AN2184" i="16"/>
  <c r="AN2174" i="16"/>
  <c r="AN2172" i="16"/>
  <c r="AN2149" i="16"/>
  <c r="AN2106" i="16"/>
  <c r="AN2103" i="16"/>
  <c r="AN2096" i="16"/>
  <c r="AN2093" i="16"/>
  <c r="AN2090" i="16"/>
  <c r="AN2088" i="16"/>
  <c r="AN2077" i="16"/>
  <c r="AN2073" i="16"/>
  <c r="AN2064" i="16"/>
  <c r="AN2059" i="16"/>
  <c r="AN2055" i="16"/>
  <c r="AN2051" i="16"/>
  <c r="AN2048" i="16"/>
  <c r="AN2044" i="16"/>
  <c r="AN2034" i="16"/>
  <c r="AN2032" i="16"/>
  <c r="AN2026" i="16"/>
  <c r="AN2018" i="16"/>
  <c r="AN2013" i="16"/>
  <c r="AN1999" i="16"/>
  <c r="AN1990" i="16"/>
  <c r="AN1985" i="16"/>
  <c r="AN1978" i="16"/>
  <c r="AN1968" i="16"/>
  <c r="AN1946" i="16"/>
  <c r="AN1941" i="16"/>
  <c r="AN1939" i="16"/>
  <c r="AN1916" i="16"/>
  <c r="AN1915" i="16"/>
  <c r="AN1909" i="16"/>
  <c r="AN1907" i="16"/>
  <c r="AN1905" i="16"/>
  <c r="AN1902" i="16"/>
  <c r="AN1900" i="16"/>
  <c r="AN1898" i="16"/>
  <c r="AN1895" i="16"/>
  <c r="AN1893" i="16"/>
  <c r="AN1890" i="16"/>
  <c r="AN1884" i="16"/>
  <c r="AN1881" i="16"/>
  <c r="AN1873" i="16"/>
  <c r="AN1870" i="16"/>
  <c r="AN1865" i="16"/>
  <c r="AN1859" i="16"/>
  <c r="AN1853" i="16"/>
  <c r="AN1851" i="16"/>
  <c r="AN1848" i="16"/>
  <c r="AN1843" i="16"/>
  <c r="AN1840" i="16"/>
  <c r="AN1833" i="16"/>
  <c r="AN1831" i="16"/>
  <c r="AN1822" i="16"/>
  <c r="AN1814" i="16"/>
  <c r="AN1811" i="16"/>
  <c r="AN1783" i="16"/>
  <c r="AN1772" i="16"/>
  <c r="AN1768" i="16"/>
  <c r="AN1766" i="16"/>
  <c r="AN1765" i="16"/>
  <c r="AN1763" i="16"/>
  <c r="AN1761" i="16"/>
  <c r="AN1757" i="16"/>
  <c r="AN1755" i="16"/>
  <c r="AN1751" i="16"/>
  <c r="AN1750" i="16"/>
  <c r="AN1749" i="16"/>
  <c r="AN1745" i="16"/>
  <c r="AN1740" i="16"/>
  <c r="AN1738" i="16"/>
  <c r="AN1734" i="16"/>
  <c r="AN1731" i="16"/>
  <c r="AN1724" i="16"/>
  <c r="AN1718" i="16"/>
  <c r="AN1713" i="16"/>
  <c r="AN1701" i="16"/>
  <c r="AN1697" i="16"/>
  <c r="AN1692" i="16"/>
  <c r="AN1681" i="16"/>
  <c r="AN1676" i="16"/>
  <c r="AN1674" i="16"/>
  <c r="AN1667" i="16"/>
  <c r="AN1665" i="16"/>
  <c r="AN1659" i="16"/>
  <c r="AN1658" i="16"/>
  <c r="AN1653" i="16"/>
  <c r="AN1626" i="16"/>
  <c r="AN1594" i="16"/>
  <c r="AN1593" i="16"/>
  <c r="AN1588" i="16"/>
  <c r="AN1584" i="16"/>
  <c r="AN1579" i="16"/>
  <c r="AN1575" i="16"/>
  <c r="AN1573" i="16"/>
  <c r="AN1568" i="16"/>
  <c r="AN1563" i="16"/>
  <c r="AN1560" i="16"/>
  <c r="AN1559" i="16"/>
  <c r="AN1558" i="16"/>
  <c r="AN1552" i="16"/>
  <c r="AN1542" i="16"/>
  <c r="AN1540" i="16"/>
  <c r="AN1538" i="16"/>
  <c r="AN1535" i="16"/>
  <c r="AN1533" i="16"/>
  <c r="AN1531" i="16"/>
  <c r="AN1513" i="16"/>
  <c r="AN1506" i="16"/>
  <c r="AN1501" i="16"/>
  <c r="AN1491" i="16"/>
  <c r="AN1486" i="16"/>
  <c r="AN1484" i="16"/>
  <c r="AN1482" i="16"/>
  <c r="AN1470" i="16"/>
  <c r="AN1464" i="16"/>
  <c r="AN1461" i="16"/>
  <c r="AN1459" i="16"/>
  <c r="AN1453" i="16"/>
  <c r="AN1450" i="16"/>
  <c r="AN1433" i="16"/>
  <c r="AN1431" i="16"/>
  <c r="AN1429" i="16"/>
  <c r="AN1420" i="16"/>
  <c r="AN1418" i="16"/>
  <c r="AN1415" i="16"/>
  <c r="AN1410" i="16"/>
  <c r="AN1409" i="16"/>
  <c r="AN1406" i="16"/>
  <c r="AN1404" i="16"/>
  <c r="AN1401" i="16"/>
  <c r="AN1396" i="16"/>
  <c r="AN1391" i="16"/>
  <c r="AN1387" i="16"/>
  <c r="AN1383" i="16"/>
  <c r="AN1379" i="16"/>
  <c r="AN1350" i="16"/>
  <c r="AN1323" i="16"/>
  <c r="AN1321" i="16"/>
  <c r="AN1293" i="16"/>
  <c r="AN1290" i="16"/>
  <c r="AN1289" i="16"/>
  <c r="AN1288" i="16"/>
  <c r="AN1285" i="16"/>
  <c r="AN1283" i="16"/>
  <c r="AN1281" i="16"/>
  <c r="AN1271" i="16"/>
  <c r="AN1264" i="16"/>
  <c r="AN1258" i="16"/>
  <c r="AN1256" i="16"/>
  <c r="AN1254" i="16"/>
  <c r="AN1253" i="16"/>
  <c r="AN1251" i="16"/>
  <c r="AN1249" i="16"/>
  <c r="AN1247" i="16"/>
  <c r="AN1241" i="16"/>
  <c r="AN1232" i="16"/>
  <c r="AN1227" i="16"/>
  <c r="AN1222" i="16"/>
  <c r="AN1219" i="16"/>
  <c r="AN1217" i="16"/>
  <c r="AN1214" i="16"/>
  <c r="AN1195" i="16"/>
  <c r="AN1190" i="16"/>
  <c r="AN1189" i="16"/>
  <c r="AN1188" i="16"/>
  <c r="AN1183" i="16"/>
  <c r="AN1176" i="16"/>
  <c r="AN1169" i="16"/>
  <c r="AN1166" i="16"/>
  <c r="AN1165" i="16"/>
  <c r="AN1163" i="16"/>
  <c r="AN1157" i="16"/>
  <c r="AN1153" i="16"/>
  <c r="AN1151" i="16"/>
  <c r="AN1145" i="16"/>
  <c r="AN1139" i="16"/>
  <c r="AN1134" i="16"/>
  <c r="AN1131" i="16"/>
  <c r="AN1125" i="16"/>
  <c r="AN1119" i="16"/>
  <c r="AN1086" i="16"/>
  <c r="AN1065" i="16"/>
  <c r="AN1061" i="16"/>
  <c r="AN1059" i="16"/>
  <c r="AN1052" i="16"/>
  <c r="AN1033" i="16"/>
  <c r="AN868" i="16"/>
  <c r="AN841" i="16"/>
  <c r="AN825" i="16"/>
  <c r="AN817" i="16"/>
  <c r="AN794" i="16"/>
  <c r="AN751" i="16"/>
  <c r="AN749" i="16"/>
  <c r="AN742" i="16"/>
  <c r="AN733" i="16"/>
  <c r="AN712" i="16"/>
  <c r="AN702" i="16"/>
  <c r="AN699" i="16"/>
  <c r="AN693" i="16"/>
  <c r="AN688" i="16"/>
  <c r="AN679" i="16"/>
  <c r="AN676" i="16"/>
  <c r="AN673" i="16"/>
  <c r="AN641" i="16"/>
  <c r="AN625" i="16"/>
  <c r="AN616" i="16"/>
  <c r="AN601" i="16"/>
  <c r="AN588" i="16"/>
  <c r="AN584" i="16"/>
  <c r="AN577" i="16"/>
  <c r="AN571" i="16"/>
  <c r="AN566" i="16"/>
  <c r="AN564" i="16"/>
  <c r="AN555" i="16"/>
  <c r="AN545" i="16"/>
  <c r="AN542" i="16"/>
  <c r="AN541" i="16"/>
  <c r="AN540" i="16"/>
  <c r="AN538" i="16"/>
  <c r="AN529" i="16"/>
  <c r="AN512" i="16"/>
  <c r="AN511" i="16"/>
  <c r="AN509" i="16"/>
  <c r="AN503" i="16"/>
  <c r="AN499" i="16"/>
  <c r="AN498" i="16"/>
  <c r="AN495" i="16"/>
  <c r="AN467" i="16"/>
  <c r="AN465" i="16"/>
  <c r="AN463" i="16"/>
  <c r="AN460" i="16"/>
  <c r="AN458" i="16"/>
  <c r="AN453" i="16"/>
  <c r="AN449" i="16"/>
  <c r="AN445" i="16"/>
  <c r="AN439" i="16"/>
  <c r="AN437" i="16"/>
  <c r="AN429" i="16"/>
  <c r="AN420" i="16"/>
  <c r="AN412" i="16"/>
  <c r="AN403" i="16"/>
  <c r="AN400" i="16"/>
  <c r="AN383" i="16"/>
  <c r="AN364" i="16"/>
  <c r="AN359" i="16"/>
  <c r="AN358" i="16"/>
  <c r="AN357" i="16"/>
  <c r="AN356" i="16"/>
  <c r="AN355" i="16"/>
  <c r="AN347" i="16"/>
  <c r="AN346" i="16"/>
  <c r="AN345" i="16"/>
  <c r="AN344" i="16"/>
  <c r="AN343" i="16"/>
  <c r="AN342" i="16"/>
  <c r="AN336" i="16"/>
  <c r="AN333" i="16"/>
  <c r="AN330" i="16"/>
  <c r="AN312" i="16"/>
  <c r="AN304" i="16"/>
  <c r="AN302" i="16"/>
  <c r="AN300" i="16"/>
  <c r="AN298" i="16"/>
  <c r="AN293" i="16"/>
  <c r="AN292" i="16"/>
  <c r="AN289" i="16"/>
  <c r="AN286" i="16"/>
  <c r="AN282" i="16"/>
  <c r="AN272" i="16"/>
  <c r="AN270" i="16"/>
  <c r="AN269" i="16"/>
  <c r="AN266" i="16"/>
  <c r="AN264" i="16"/>
  <c r="AN261" i="16"/>
  <c r="AN254" i="16"/>
  <c r="AN251" i="16"/>
  <c r="AN241" i="16"/>
  <c r="AN236" i="16"/>
  <c r="AN235" i="16"/>
  <c r="AN233" i="16"/>
  <c r="AN219" i="16"/>
  <c r="AN218" i="16"/>
  <c r="AN215" i="16"/>
  <c r="AN211" i="16"/>
  <c r="AN209" i="16"/>
  <c r="AN207" i="16"/>
  <c r="AN206" i="16"/>
  <c r="AN204" i="16"/>
  <c r="AN199" i="16"/>
  <c r="AN197" i="16"/>
  <c r="AN196" i="16"/>
  <c r="AN189" i="16"/>
  <c r="AN184" i="16"/>
  <c r="AN182" i="16"/>
  <c r="AN173" i="16"/>
  <c r="AN171" i="16"/>
  <c r="AN169" i="16"/>
  <c r="AN167" i="16"/>
  <c r="AN164" i="16"/>
  <c r="AN162" i="16"/>
  <c r="AN157" i="16"/>
  <c r="AN156" i="16"/>
  <c r="AN151" i="16"/>
  <c r="AN149" i="16"/>
  <c r="AN147" i="16"/>
  <c r="AN144" i="16"/>
  <c r="AN142" i="16"/>
  <c r="AN136" i="16"/>
  <c r="AN129" i="16"/>
  <c r="AN127" i="16"/>
  <c r="AN122" i="16"/>
  <c r="AN115" i="16"/>
  <c r="AN112" i="16"/>
  <c r="AN104" i="16"/>
  <c r="AN98" i="16"/>
  <c r="AN96" i="16"/>
  <c r="AN92" i="16"/>
  <c r="AN90" i="16"/>
  <c r="AN85" i="16"/>
  <c r="AN83" i="16"/>
  <c r="AN82" i="16"/>
  <c r="AN75" i="16"/>
  <c r="AN73" i="16"/>
  <c r="AN71" i="16"/>
  <c r="AN70" i="16"/>
  <c r="AN68" i="16"/>
  <c r="AN66" i="16"/>
  <c r="AN64" i="16"/>
  <c r="AN63" i="16"/>
  <c r="AN51" i="16"/>
  <c r="AN47" i="16"/>
  <c r="AN44" i="16"/>
  <c r="AN37" i="16"/>
  <c r="AN34" i="16"/>
  <c r="AN29" i="16"/>
  <c r="AN19" i="16"/>
  <c r="AN17" i="16"/>
  <c r="AN15" i="16"/>
  <c r="AL2459" i="16"/>
  <c r="AL2455" i="16"/>
  <c r="AL2452" i="16"/>
  <c r="AL2447" i="16"/>
  <c r="AL2444" i="16"/>
  <c r="AL2442" i="16"/>
  <c r="AL2441" i="16"/>
  <c r="AL2426" i="16"/>
  <c r="AL2418" i="16"/>
  <c r="AL2417" i="16"/>
  <c r="AL2416" i="16"/>
  <c r="AL2414" i="16"/>
  <c r="AL2403" i="16"/>
  <c r="AL2401" i="16"/>
  <c r="AL2377" i="16"/>
  <c r="AL2373" i="16"/>
  <c r="AL2371" i="16"/>
  <c r="AL2352" i="16"/>
  <c r="AL2350" i="16"/>
  <c r="AL2346" i="16"/>
  <c r="AL2337" i="16"/>
  <c r="AL2334" i="16"/>
  <c r="AL2331" i="16"/>
  <c r="AL2328" i="16"/>
  <c r="AL2311" i="16"/>
  <c r="AL2309" i="16"/>
  <c r="AL2275" i="16"/>
  <c r="AL2264" i="16"/>
  <c r="AL2263" i="16"/>
  <c r="AL2262" i="16"/>
  <c r="AL2259" i="16"/>
  <c r="AL2254" i="16"/>
  <c r="AL2251" i="16"/>
  <c r="AL2249" i="16"/>
  <c r="AL2247" i="16"/>
  <c r="AL2243" i="16"/>
  <c r="AL2238" i="16"/>
  <c r="AL2234" i="16"/>
  <c r="AL2232" i="16"/>
  <c r="AL2227" i="16"/>
  <c r="AL2223" i="16"/>
  <c r="AL2216" i="16"/>
  <c r="AL2211" i="16"/>
  <c r="AL2206" i="16"/>
  <c r="AL2198" i="16"/>
  <c r="AL2196" i="16"/>
  <c r="AL2195" i="16"/>
  <c r="AL2193" i="16"/>
  <c r="AL2191" i="16"/>
  <c r="AL2186" i="16"/>
  <c r="AL2184" i="16"/>
  <c r="AL2174" i="16"/>
  <c r="AL2172" i="16"/>
  <c r="AL2149" i="16"/>
  <c r="AL2108" i="16"/>
  <c r="AL2107" i="16"/>
  <c r="AL2105" i="16"/>
  <c r="AL2104" i="16"/>
  <c r="AL2098" i="16"/>
  <c r="AL2096" i="16"/>
  <c r="AL2093" i="16"/>
  <c r="AL2090" i="16"/>
  <c r="AL2088" i="16"/>
  <c r="AL2087" i="16"/>
  <c r="AL2086" i="16"/>
  <c r="AL2085" i="16"/>
  <c r="AL2083" i="16"/>
  <c r="AL2081" i="16"/>
  <c r="AL2077" i="16"/>
  <c r="AL2073" i="16"/>
  <c r="AL2064" i="16"/>
  <c r="AL2062" i="16"/>
  <c r="AL2060" i="16"/>
  <c r="AL2059" i="16"/>
  <c r="AL2055" i="16"/>
  <c r="AL2054" i="16"/>
  <c r="AL2053" i="16"/>
  <c r="AL2051" i="16"/>
  <c r="AL2048" i="16"/>
  <c r="AL2046" i="16"/>
  <c r="AL2044" i="16"/>
  <c r="AL2042" i="16"/>
  <c r="AL2036" i="16"/>
  <c r="AL2034" i="16"/>
  <c r="AL2032" i="16"/>
  <c r="AL2029" i="16"/>
  <c r="AL2028" i="16"/>
  <c r="AL2024" i="16"/>
  <c r="AL2018" i="16"/>
  <c r="AL2013" i="16"/>
  <c r="AL2009" i="16"/>
  <c r="AL2008" i="16"/>
  <c r="AL2003" i="16"/>
  <c r="AL1996" i="16"/>
  <c r="AL1990" i="16"/>
  <c r="AL1985" i="16"/>
  <c r="AL1978" i="16"/>
  <c r="AL1968" i="16"/>
  <c r="AL1946" i="16"/>
  <c r="AL1944" i="16"/>
  <c r="AL1941" i="16"/>
  <c r="AL1939" i="16"/>
  <c r="AL1935" i="16"/>
  <c r="AL1933" i="16"/>
  <c r="AL1932" i="16"/>
  <c r="AL1931" i="16"/>
  <c r="AL1929" i="16"/>
  <c r="AL1920" i="16"/>
  <c r="AL1916" i="16"/>
  <c r="AL1915" i="16"/>
  <c r="AL1909" i="16"/>
  <c r="AL1908" i="16"/>
  <c r="AL1907" i="16"/>
  <c r="AL1906" i="16"/>
  <c r="AL1905" i="16"/>
  <c r="AL1902" i="16"/>
  <c r="AL1901" i="16"/>
  <c r="AL1900" i="16"/>
  <c r="AL1899" i="16"/>
  <c r="AL1898" i="16"/>
  <c r="AL1896" i="16"/>
  <c r="AL1895" i="16"/>
  <c r="AL1894" i="16"/>
  <c r="AL1893" i="16"/>
  <c r="AL1891" i="16"/>
  <c r="AL1890" i="16"/>
  <c r="AL1886" i="16"/>
  <c r="AL1885" i="16"/>
  <c r="AL1881" i="16"/>
  <c r="AL1876" i="16"/>
  <c r="AL1875" i="16"/>
  <c r="AL1874" i="16"/>
  <c r="AL1872" i="16"/>
  <c r="AL1871" i="16"/>
  <c r="AL1865" i="16"/>
  <c r="AL1859" i="16"/>
  <c r="AL1853" i="16"/>
  <c r="AL1851" i="16"/>
  <c r="AL1848" i="16"/>
  <c r="AL1843" i="16"/>
  <c r="AL1840" i="16"/>
  <c r="AL1839" i="16"/>
  <c r="AL1837" i="16"/>
  <c r="AL1831" i="16"/>
  <c r="AL1826" i="16"/>
  <c r="AL1825" i="16"/>
  <c r="AL1821" i="16"/>
  <c r="AL1820" i="16"/>
  <c r="AL1811" i="16"/>
  <c r="AL1788" i="16"/>
  <c r="AL1786" i="16"/>
  <c r="AL1780" i="16"/>
  <c r="AL1778" i="16"/>
  <c r="AL1777" i="16"/>
  <c r="AL1776" i="16"/>
  <c r="AL1773" i="16"/>
  <c r="AL1768" i="16"/>
  <c r="AL1766" i="16"/>
  <c r="AL1765" i="16"/>
  <c r="AL1763" i="16"/>
  <c r="AL1761" i="16"/>
  <c r="AL1757" i="16"/>
  <c r="AL1755" i="16"/>
  <c r="AL1751" i="16"/>
  <c r="AL1750" i="16"/>
  <c r="AL1749" i="16"/>
  <c r="AL1745" i="16"/>
  <c r="AL1743" i="16"/>
  <c r="AL1740" i="16"/>
  <c r="AL1738" i="16"/>
  <c r="AL1734" i="16"/>
  <c r="AL1731" i="16"/>
  <c r="AL1724" i="16"/>
  <c r="AL1722" i="16"/>
  <c r="AL1718" i="16"/>
  <c r="AL1717" i="16"/>
  <c r="AL1716" i="16"/>
  <c r="AL1712" i="16"/>
  <c r="AL1710" i="16"/>
  <c r="AL1709" i="16"/>
  <c r="AL1708" i="16"/>
  <c r="AL1704" i="16"/>
  <c r="AL1697" i="16"/>
  <c r="AL1696" i="16"/>
  <c r="AL1695" i="16"/>
  <c r="AL1689" i="16"/>
  <c r="AL1683" i="16"/>
  <c r="AL1681" i="16"/>
  <c r="AL1676" i="16"/>
  <c r="AL1674" i="16"/>
  <c r="AL1672" i="16"/>
  <c r="AL1667" i="16"/>
  <c r="AL1665" i="16"/>
  <c r="AL1660" i="16"/>
  <c r="AL1659" i="16"/>
  <c r="AL1658" i="16"/>
  <c r="AL1653" i="16"/>
  <c r="AL1648" i="16"/>
  <c r="AL1646" i="16"/>
  <c r="AL1643" i="16"/>
  <c r="AL1641" i="16"/>
  <c r="AL1639" i="16"/>
  <c r="AL1637" i="16"/>
  <c r="AL1594" i="16"/>
  <c r="AL1593" i="16"/>
  <c r="AL1588" i="16"/>
  <c r="AL1584" i="16"/>
  <c r="AL1582" i="16"/>
  <c r="AL1581" i="16"/>
  <c r="AL1575" i="16"/>
  <c r="AL1573" i="16"/>
  <c r="AL1568" i="16"/>
  <c r="AL1563" i="16"/>
  <c r="AL1560" i="16"/>
  <c r="AL1559" i="16"/>
  <c r="AL1558" i="16"/>
  <c r="AL1552" i="16"/>
  <c r="AL1542" i="16"/>
  <c r="AL1540" i="16"/>
  <c r="AL1538" i="16"/>
  <c r="AL1535" i="16"/>
  <c r="AL1533" i="16"/>
  <c r="AL1531" i="16"/>
  <c r="AL1516" i="16"/>
  <c r="AL1515" i="16"/>
  <c r="AL1511" i="16"/>
  <c r="AL1509" i="16"/>
  <c r="AL1501" i="16"/>
  <c r="AL1498" i="16"/>
  <c r="AL1496" i="16"/>
  <c r="AL1495" i="16"/>
  <c r="AL1494" i="16"/>
  <c r="AL1493" i="16"/>
  <c r="AL1491" i="16"/>
  <c r="AL1486" i="16"/>
  <c r="AL1484" i="16"/>
  <c r="AL1482" i="16"/>
  <c r="AL1470" i="16"/>
  <c r="AL1468" i="16"/>
  <c r="AL1467" i="16"/>
  <c r="AL1461" i="16"/>
  <c r="AL1459" i="16"/>
  <c r="AL1453" i="16"/>
  <c r="AL1450" i="16"/>
  <c r="AL1433" i="16"/>
  <c r="AL1431" i="16"/>
  <c r="AL1429" i="16"/>
  <c r="AL1420" i="16"/>
  <c r="AL1418" i="16"/>
  <c r="AL1415" i="16"/>
  <c r="AL1410" i="16"/>
  <c r="AL1409" i="16"/>
  <c r="AL1406" i="16"/>
  <c r="AL1404" i="16"/>
  <c r="AL1401" i="16"/>
  <c r="AL1400" i="16"/>
  <c r="AL1399" i="16"/>
  <c r="AL1395" i="16"/>
  <c r="AL1394" i="16"/>
  <c r="AL1390" i="16"/>
  <c r="AL1389" i="16"/>
  <c r="AL1383" i="16"/>
  <c r="AL1382" i="16"/>
  <c r="AL1381" i="16"/>
  <c r="AL1350" i="16"/>
  <c r="AL1326" i="16"/>
  <c r="AL1325" i="16"/>
  <c r="AL1321" i="16"/>
  <c r="AL1293" i="16"/>
  <c r="AL1290" i="16"/>
  <c r="AL1289" i="16"/>
  <c r="AL1288" i="16"/>
  <c r="AL1285" i="16"/>
  <c r="AL1283" i="16"/>
  <c r="AL1281" i="16"/>
  <c r="AL1277" i="16"/>
  <c r="AL1276" i="16"/>
  <c r="AL1275" i="16"/>
  <c r="AL1274" i="16"/>
  <c r="AL1273" i="16"/>
  <c r="AL1270" i="16"/>
  <c r="AL1269" i="16"/>
  <c r="AL1268" i="16"/>
  <c r="AL1267" i="16"/>
  <c r="AL1266" i="16"/>
  <c r="AL1258" i="16"/>
  <c r="AL1256" i="16"/>
  <c r="AL1254" i="16"/>
  <c r="AL1253" i="16"/>
  <c r="AL1251" i="16"/>
  <c r="AL1249" i="16"/>
  <c r="AL1247" i="16"/>
  <c r="AL1246" i="16"/>
  <c r="AL1245" i="16"/>
  <c r="AL1244" i="16"/>
  <c r="AL1243" i="16"/>
  <c r="AL1240" i="16"/>
  <c r="AL1239" i="16"/>
  <c r="AL1238" i="16"/>
  <c r="AL1237" i="16"/>
  <c r="AL1236" i="16"/>
  <c r="AL1235" i="16"/>
  <c r="AL1234" i="16"/>
  <c r="AL1230" i="16"/>
  <c r="AL1229" i="16"/>
  <c r="AL1226" i="16"/>
  <c r="AL1225" i="16"/>
  <c r="AL1221" i="16"/>
  <c r="AL1220" i="16"/>
  <c r="AL1217" i="16"/>
  <c r="AL1216" i="16"/>
  <c r="AL1215" i="16"/>
  <c r="AL1203" i="16"/>
  <c r="AL1202" i="16"/>
  <c r="AL1201" i="16"/>
  <c r="AL1196" i="16"/>
  <c r="AL1190" i="16"/>
  <c r="AL1189" i="16"/>
  <c r="AL1188" i="16"/>
  <c r="AL1183" i="16"/>
  <c r="AL1176" i="16"/>
  <c r="AL1175" i="16"/>
  <c r="AL1174" i="16"/>
  <c r="AL1173" i="16"/>
  <c r="AL1166" i="16"/>
  <c r="AL1165" i="16"/>
  <c r="AL1163" i="16"/>
  <c r="AL1162" i="16"/>
  <c r="AL1161" i="16"/>
  <c r="AL1160" i="16"/>
  <c r="AL1159" i="16"/>
  <c r="AL1158" i="16"/>
  <c r="AL1153" i="16"/>
  <c r="AL1151" i="16"/>
  <c r="AL1150" i="16"/>
  <c r="AL1149" i="16"/>
  <c r="AL1148" i="16"/>
  <c r="AL1147" i="16"/>
  <c r="AL1146" i="16"/>
  <c r="AL1141" i="16"/>
  <c r="AL1140" i="16"/>
  <c r="AL1138" i="16"/>
  <c r="AL1137" i="16"/>
  <c r="AL1136" i="16"/>
  <c r="AL1135" i="16"/>
  <c r="AL1133" i="16"/>
  <c r="AL1132" i="16"/>
  <c r="AL1130" i="16"/>
  <c r="AL1129" i="16"/>
  <c r="AL1128" i="16"/>
  <c r="AL1127" i="16"/>
  <c r="AL1126" i="16"/>
  <c r="AL1119" i="16"/>
  <c r="AL1093" i="16"/>
  <c r="AL1092" i="16"/>
  <c r="AL1091" i="16"/>
  <c r="AL1086" i="16"/>
  <c r="AL1070" i="16"/>
  <c r="AL1065" i="16"/>
  <c r="AL1061" i="16"/>
  <c r="AL1059" i="16"/>
  <c r="AL1052" i="16"/>
  <c r="AL1049" i="16"/>
  <c r="AL1046" i="16"/>
  <c r="AL1034" i="16"/>
  <c r="AL1033" i="16"/>
  <c r="AL1007" i="16"/>
  <c r="AL1003" i="16"/>
  <c r="AL1000" i="16"/>
  <c r="AL998" i="16"/>
  <c r="AL991" i="16"/>
  <c r="AL981" i="16"/>
  <c r="AL955" i="16"/>
  <c r="AL929" i="16"/>
  <c r="AL911" i="16"/>
  <c r="AL908" i="16"/>
  <c r="AL905" i="16"/>
  <c r="AL902" i="16"/>
  <c r="AL896" i="16"/>
  <c r="AL893" i="16"/>
  <c r="AL886" i="16"/>
  <c r="AL884" i="16"/>
  <c r="AL882" i="16"/>
  <c r="AL881" i="16"/>
  <c r="AL880" i="16"/>
  <c r="AL879" i="16"/>
  <c r="AL875" i="16"/>
  <c r="AL873" i="16"/>
  <c r="AL864" i="16"/>
  <c r="AL862" i="16"/>
  <c r="AL858" i="16"/>
  <c r="AL857" i="16"/>
  <c r="AL856" i="16"/>
  <c r="AL854" i="16"/>
  <c r="AL852" i="16"/>
  <c r="AL848" i="16"/>
  <c r="AL843" i="16"/>
  <c r="AL841" i="16"/>
  <c r="AL839" i="16"/>
  <c r="AL837" i="16"/>
  <c r="AL835" i="16"/>
  <c r="AL833" i="16"/>
  <c r="AL831" i="16"/>
  <c r="AL829" i="16"/>
  <c r="AL828" i="16"/>
  <c r="AL825" i="16"/>
  <c r="AL817" i="16"/>
  <c r="AL794" i="16"/>
  <c r="AL769" i="16"/>
  <c r="AL755" i="16"/>
  <c r="AL751" i="16"/>
  <c r="AL749" i="16"/>
  <c r="AL742" i="16"/>
  <c r="AL733" i="16"/>
  <c r="AL716" i="16"/>
  <c r="AL714" i="16"/>
  <c r="AL712" i="16"/>
  <c r="AL702" i="16"/>
  <c r="AL699" i="16"/>
  <c r="AL693" i="16"/>
  <c r="AL688" i="16"/>
  <c r="AL679" i="16"/>
  <c r="AL676" i="16"/>
  <c r="AL673" i="16"/>
  <c r="AL656" i="16"/>
  <c r="AL654" i="16"/>
  <c r="AL652" i="16"/>
  <c r="AL628" i="16"/>
  <c r="AL627" i="16"/>
  <c r="AL625" i="16"/>
  <c r="AL616" i="16"/>
  <c r="AL601" i="16"/>
  <c r="AL598" i="16"/>
  <c r="AL588" i="16"/>
  <c r="AL584" i="16"/>
  <c r="AL577" i="16"/>
  <c r="AL571" i="16"/>
  <c r="AL566" i="16"/>
  <c r="AL564" i="16"/>
  <c r="AL559" i="16"/>
  <c r="AL555" i="16"/>
  <c r="AL545" i="16"/>
  <c r="AL542" i="16"/>
  <c r="AL541" i="16"/>
  <c r="AL540" i="16"/>
  <c r="AL538" i="16"/>
  <c r="AL532" i="16"/>
  <c r="AL529" i="16"/>
  <c r="AL525" i="16"/>
  <c r="AL512" i="16"/>
  <c r="AL511" i="16"/>
  <c r="AL509" i="16"/>
  <c r="AL507" i="16"/>
  <c r="AL504" i="16"/>
  <c r="AL499" i="16"/>
  <c r="AL498" i="16"/>
  <c r="AL495" i="16"/>
  <c r="AL483" i="16"/>
  <c r="AL471" i="16"/>
  <c r="AL467" i="16"/>
  <c r="AL465" i="16"/>
  <c r="AL463" i="16"/>
  <c r="AL460" i="16"/>
  <c r="AL458" i="16"/>
  <c r="AL453" i="16"/>
  <c r="AL449" i="16"/>
  <c r="AL445" i="16"/>
  <c r="AL439" i="16"/>
  <c r="AL437" i="16"/>
  <c r="AL431" i="16"/>
  <c r="AL429" i="16"/>
  <c r="AL422" i="16"/>
  <c r="AL420" i="16"/>
  <c r="AL412" i="16"/>
  <c r="AL409" i="16"/>
  <c r="AL403" i="16"/>
  <c r="AL400" i="16"/>
  <c r="AL396" i="16"/>
  <c r="AL383" i="16"/>
  <c r="AL381" i="16"/>
  <c r="AL379" i="16"/>
  <c r="AL377" i="16"/>
  <c r="AL364" i="16"/>
  <c r="AL363" i="16"/>
  <c r="AL362" i="16"/>
  <c r="AL359" i="16"/>
  <c r="AL358" i="16"/>
  <c r="AL357" i="16"/>
  <c r="AL356" i="16"/>
  <c r="AL355" i="16"/>
  <c r="AL350" i="16"/>
  <c r="AL347" i="16"/>
  <c r="AL346" i="16"/>
  <c r="AL345" i="16"/>
  <c r="AL344" i="16"/>
  <c r="AL343" i="16"/>
  <c r="AL342" i="16"/>
  <c r="AL336" i="16"/>
  <c r="AL333" i="16"/>
  <c r="AL330" i="16"/>
  <c r="AL321" i="16"/>
  <c r="AL320" i="16"/>
  <c r="AL319" i="16"/>
  <c r="AL318" i="16"/>
  <c r="AL317" i="16"/>
  <c r="AL316" i="16"/>
  <c r="AL304" i="16"/>
  <c r="AL302" i="16"/>
  <c r="AL300" i="16"/>
  <c r="AL298" i="16"/>
  <c r="AL293" i="16"/>
  <c r="AL292" i="16"/>
  <c r="AL289" i="16"/>
  <c r="AL286" i="16"/>
  <c r="AL282" i="16"/>
  <c r="AL271" i="16"/>
  <c r="AL270" i="16"/>
  <c r="AL269" i="16"/>
  <c r="AL266" i="16"/>
  <c r="AL264" i="16"/>
  <c r="AL261" i="16"/>
  <c r="AL259" i="16"/>
  <c r="AL258" i="16"/>
  <c r="AL257" i="16"/>
  <c r="AL256" i="16"/>
  <c r="AL255" i="16"/>
  <c r="AL251" i="16"/>
  <c r="AL241" i="16"/>
  <c r="AL239" i="16"/>
  <c r="AL238" i="16"/>
  <c r="AL237" i="16"/>
  <c r="AL235" i="16"/>
  <c r="AL233" i="16"/>
  <c r="AL219" i="16"/>
  <c r="AL218" i="16"/>
  <c r="AL215" i="16"/>
  <c r="AL211" i="16"/>
  <c r="AL209" i="16"/>
  <c r="AL207" i="16"/>
  <c r="AL206" i="16"/>
  <c r="AL204" i="16"/>
  <c r="AL199" i="16"/>
  <c r="AL197" i="16"/>
  <c r="AL196" i="16"/>
  <c r="AL189" i="16"/>
  <c r="AL184" i="16"/>
  <c r="AL182" i="16"/>
  <c r="AL179" i="16"/>
  <c r="AL177" i="16"/>
  <c r="AL176" i="16"/>
  <c r="AL175" i="16"/>
  <c r="AL171" i="16"/>
  <c r="AL169" i="16"/>
  <c r="AL167" i="16"/>
  <c r="AL164" i="16"/>
  <c r="AL162" i="16"/>
  <c r="AL157" i="16"/>
  <c r="AL156" i="16"/>
  <c r="AL155" i="16"/>
  <c r="AL154" i="16"/>
  <c r="AL153" i="16"/>
  <c r="AL152" i="16"/>
  <c r="AL149" i="16"/>
  <c r="AL147" i="16"/>
  <c r="AL144" i="16"/>
  <c r="AL142" i="16"/>
  <c r="AL141" i="16"/>
  <c r="AL140" i="16"/>
  <c r="AL139" i="16"/>
  <c r="AL138" i="16"/>
  <c r="AL129" i="16"/>
  <c r="AL127" i="16"/>
  <c r="AL126" i="16"/>
  <c r="AL125" i="16"/>
  <c r="AL124" i="16"/>
  <c r="AL121" i="16"/>
  <c r="AL120" i="16"/>
  <c r="AL119" i="16"/>
  <c r="AL112" i="16"/>
  <c r="AL104" i="16"/>
  <c r="AL98" i="16"/>
  <c r="AL96" i="16"/>
  <c r="AL92" i="16"/>
  <c r="AL90" i="16"/>
  <c r="AL89" i="16"/>
  <c r="AL88" i="16"/>
  <c r="AL87" i="16"/>
  <c r="AL83" i="16"/>
  <c r="AL82" i="16"/>
  <c r="AL75" i="16"/>
  <c r="AL73" i="16"/>
  <c r="AL71" i="16"/>
  <c r="AL70" i="16"/>
  <c r="AL68" i="16"/>
  <c r="AL66" i="16"/>
  <c r="AL64" i="16"/>
  <c r="AL63" i="16"/>
  <c r="AL51" i="16"/>
  <c r="AL47" i="16"/>
  <c r="AL44" i="16"/>
  <c r="AL42" i="16"/>
  <c r="AL41" i="16"/>
  <c r="AL40" i="16"/>
  <c r="AL39" i="16"/>
  <c r="AL34" i="16"/>
  <c r="AL33" i="16"/>
  <c r="AL32" i="16"/>
  <c r="AL19" i="16"/>
  <c r="AL17" i="16"/>
  <c r="AL15" i="16"/>
  <c r="AM2459" i="16"/>
  <c r="AS2455" i="16"/>
  <c r="AQ2455" i="16"/>
  <c r="AM2455" i="16"/>
  <c r="AS2452" i="16"/>
  <c r="AQ2452" i="16"/>
  <c r="AM2452" i="16"/>
  <c r="AS2447" i="16"/>
  <c r="AQ2447" i="16"/>
  <c r="AM2447" i="16"/>
  <c r="AS2444" i="16"/>
  <c r="AQ2444" i="16"/>
  <c r="AM2444" i="16"/>
  <c r="AS2442" i="16"/>
  <c r="AQ2442" i="16"/>
  <c r="AM2442" i="16"/>
  <c r="AM2441" i="16"/>
  <c r="AS2436" i="16"/>
  <c r="AQ2436" i="16"/>
  <c r="AS2435" i="16"/>
  <c r="AQ2435" i="16"/>
  <c r="AS2434" i="16"/>
  <c r="AQ2434" i="16"/>
  <c r="AS2433" i="16"/>
  <c r="AQ2433" i="16"/>
  <c r="AS2432" i="16"/>
  <c r="AQ2432" i="16"/>
  <c r="AS2431" i="16"/>
  <c r="AQ2431" i="16"/>
  <c r="AS2430" i="16"/>
  <c r="AQ2430" i="16"/>
  <c r="AM2426" i="16"/>
  <c r="AS2425" i="16"/>
  <c r="AQ2425" i="16"/>
  <c r="AS2424" i="16"/>
  <c r="AQ2424" i="16"/>
  <c r="AS2423" i="16"/>
  <c r="AQ2423" i="16"/>
  <c r="AS2422" i="16"/>
  <c r="AQ2422" i="16"/>
  <c r="AS2421" i="16"/>
  <c r="AQ2421" i="16"/>
  <c r="AS2420" i="16"/>
  <c r="AQ2420" i="16"/>
  <c r="AS2418" i="16"/>
  <c r="AQ2418" i="16"/>
  <c r="AS2417" i="16"/>
  <c r="AQ2417" i="16"/>
  <c r="AS2416" i="16"/>
  <c r="AQ2416" i="16"/>
  <c r="AM2414" i="16"/>
  <c r="AM2403" i="16"/>
  <c r="AS2401" i="16"/>
  <c r="AQ2401" i="16"/>
  <c r="AS2399" i="16"/>
  <c r="AQ2399" i="16"/>
  <c r="AS2398" i="16"/>
  <c r="AQ2398" i="16"/>
  <c r="AS2397" i="16"/>
  <c r="AQ2397" i="16"/>
  <c r="AS2396" i="16"/>
  <c r="AQ2396" i="16"/>
  <c r="AS2395" i="16"/>
  <c r="AQ2395" i="16"/>
  <c r="AS2393" i="16"/>
  <c r="AQ2393" i="16"/>
  <c r="AS2392" i="16"/>
  <c r="AQ2392" i="16"/>
  <c r="AS2390" i="16"/>
  <c r="AQ2390" i="16"/>
  <c r="AS2383" i="16"/>
  <c r="AQ2383" i="16"/>
  <c r="AS2379" i="16"/>
  <c r="AQ2379" i="16"/>
  <c r="AS2377" i="16"/>
  <c r="AQ2377" i="16"/>
  <c r="AM2373" i="16"/>
  <c r="AS2371" i="16"/>
  <c r="AQ2371" i="16"/>
  <c r="AS2368" i="16"/>
  <c r="AQ2368" i="16"/>
  <c r="AS2367" i="16"/>
  <c r="AQ2367" i="16"/>
  <c r="AS2365" i="16"/>
  <c r="AQ2365" i="16"/>
  <c r="AS2363" i="16"/>
  <c r="AQ2363" i="16"/>
  <c r="AS2362" i="16"/>
  <c r="AQ2362" i="16"/>
  <c r="AS2360" i="16"/>
  <c r="AQ2360" i="16"/>
  <c r="AS2357" i="16"/>
  <c r="AQ2357" i="16"/>
  <c r="AS2355" i="16"/>
  <c r="AQ2355" i="16"/>
  <c r="AS2352" i="16"/>
  <c r="AQ2352" i="16"/>
  <c r="AS2350" i="16"/>
  <c r="AQ2350" i="16"/>
  <c r="AM2346" i="16"/>
  <c r="AS2344" i="16"/>
  <c r="AQ2344" i="16"/>
  <c r="AS2343" i="16"/>
  <c r="AQ2343" i="16"/>
  <c r="AS2342" i="16"/>
  <c r="AQ2342" i="16"/>
  <c r="AS2340" i="16"/>
  <c r="AQ2340" i="16"/>
  <c r="AS2339" i="16"/>
  <c r="AQ2339" i="16"/>
  <c r="AS2337" i="16"/>
  <c r="AQ2337" i="16"/>
  <c r="AS2334" i="16"/>
  <c r="AQ2334" i="16"/>
  <c r="AS2331" i="16"/>
  <c r="AQ2331" i="16"/>
  <c r="AM2328" i="16"/>
  <c r="AM2311" i="16"/>
  <c r="AS2309" i="16"/>
  <c r="AQ2309" i="16"/>
  <c r="AS2308" i="16"/>
  <c r="AQ2308" i="16"/>
  <c r="AS2307" i="16"/>
  <c r="AQ2307" i="16"/>
  <c r="AS2305" i="16"/>
  <c r="AQ2305" i="16"/>
  <c r="AS2303" i="16"/>
  <c r="AQ2303" i="16"/>
  <c r="AS2301" i="16"/>
  <c r="AQ2301" i="16"/>
  <c r="AS2299" i="16"/>
  <c r="AQ2299" i="16"/>
  <c r="AS2298" i="16"/>
  <c r="AQ2298" i="16"/>
  <c r="AS2296" i="16"/>
  <c r="AQ2296" i="16"/>
  <c r="AS2294" i="16"/>
  <c r="AQ2294" i="16"/>
  <c r="AS2293" i="16"/>
  <c r="AQ2293" i="16"/>
  <c r="AS2291" i="16"/>
  <c r="AQ2291" i="16"/>
  <c r="AS2289" i="16"/>
  <c r="AQ2289" i="16"/>
  <c r="AS2285" i="16"/>
  <c r="AQ2285" i="16"/>
  <c r="AS2279" i="16"/>
  <c r="AQ2279" i="16"/>
  <c r="AS2278" i="16"/>
  <c r="AQ2278" i="16"/>
  <c r="AS2277" i="16"/>
  <c r="AQ2277" i="16"/>
  <c r="AS2275" i="16"/>
  <c r="AQ2275" i="16"/>
  <c r="AS2274" i="16"/>
  <c r="AQ2274" i="16"/>
  <c r="AS2272" i="16"/>
  <c r="AQ2272" i="16"/>
  <c r="AS2270" i="16"/>
  <c r="AQ2270" i="16"/>
  <c r="AS2269" i="16"/>
  <c r="AQ2269" i="16"/>
  <c r="AS2268" i="16"/>
  <c r="AQ2268" i="16"/>
  <c r="AS2264" i="16"/>
  <c r="AQ2264" i="16"/>
  <c r="AS2263" i="16"/>
  <c r="AQ2263" i="16"/>
  <c r="AS2262" i="16"/>
  <c r="AQ2262" i="16"/>
  <c r="AM2259" i="16"/>
  <c r="AL43" i="28"/>
  <c r="AL46" i="28"/>
  <c r="AL48" i="28"/>
  <c r="AL51" i="28"/>
  <c r="AL53" i="28"/>
  <c r="AL58" i="28"/>
  <c r="AL60" i="28"/>
  <c r="AM2254" i="16"/>
  <c r="AM2251" i="16"/>
  <c r="AM2249" i="16"/>
  <c r="AS2247" i="16"/>
  <c r="AQ2247" i="16"/>
  <c r="AM2247" i="16"/>
  <c r="AS2243" i="16"/>
  <c r="AQ2243" i="16"/>
  <c r="AM2243" i="16"/>
  <c r="AS2238" i="16"/>
  <c r="AQ2238" i="16"/>
  <c r="AM2238" i="16"/>
  <c r="AS2236" i="16"/>
  <c r="AQ2236" i="16"/>
  <c r="AS2235" i="16"/>
  <c r="AQ2235" i="16"/>
  <c r="AM2234" i="16"/>
  <c r="AS2232" i="16"/>
  <c r="AQ2232" i="16"/>
  <c r="AM2232" i="16"/>
  <c r="AS2227" i="16"/>
  <c r="AQ2227" i="16"/>
  <c r="AM2227" i="16"/>
  <c r="AS2223" i="16"/>
  <c r="AQ2223" i="16"/>
  <c r="AS2216" i="16"/>
  <c r="AQ2216" i="16"/>
  <c r="AS2211" i="16"/>
  <c r="AQ2211" i="16"/>
  <c r="AM2211" i="16"/>
  <c r="AS2206" i="16"/>
  <c r="AQ2206" i="16"/>
  <c r="AM2206" i="16"/>
  <c r="AQ2201" i="16"/>
  <c r="AQ2200" i="16"/>
  <c r="AS2198" i="16"/>
  <c r="AM2198" i="16"/>
  <c r="AM2196" i="16"/>
  <c r="AM2195" i="16"/>
  <c r="AS2194" i="16"/>
  <c r="AQ2194" i="16"/>
  <c r="AM2193" i="16"/>
  <c r="AM2191" i="16"/>
  <c r="AS2190" i="16"/>
  <c r="AQ2190" i="16"/>
  <c r="AS2186" i="16"/>
  <c r="AQ2186" i="16"/>
  <c r="AS2184" i="16"/>
  <c r="AQ2184" i="16"/>
  <c r="AM2184" i="16"/>
  <c r="AS2181" i="16"/>
  <c r="AQ2181" i="16"/>
  <c r="AS2178" i="16"/>
  <c r="AQ2178" i="16"/>
  <c r="AS2176" i="16"/>
  <c r="AQ2176" i="16"/>
  <c r="AM2174" i="16"/>
  <c r="AS2172" i="16"/>
  <c r="AQ2172" i="16"/>
  <c r="AM2172" i="16"/>
  <c r="AS2149" i="16"/>
  <c r="AQ2149" i="16"/>
  <c r="AM2149" i="16"/>
  <c r="AQ2147" i="16"/>
  <c r="AS2109" i="16"/>
  <c r="AM2108" i="16"/>
  <c r="AM2107" i="16"/>
  <c r="AM2105" i="16"/>
  <c r="AS2103" i="16"/>
  <c r="AS2098" i="16"/>
  <c r="AQ2098" i="16"/>
  <c r="AS2096" i="16"/>
  <c r="AQ2096" i="16"/>
  <c r="AM2096" i="16"/>
  <c r="AS2093" i="16"/>
  <c r="AQ2093" i="16"/>
  <c r="AM2093" i="16"/>
  <c r="AS2090" i="16"/>
  <c r="AQ2090" i="16"/>
  <c r="AM2090" i="16"/>
  <c r="AS2088" i="16"/>
  <c r="AQ2088" i="16"/>
  <c r="AM2088" i="16"/>
  <c r="AM2087" i="16"/>
  <c r="AM2086" i="16"/>
  <c r="AM2085" i="16"/>
  <c r="AM2083" i="16"/>
  <c r="AM2081" i="16"/>
  <c r="AS2077" i="16"/>
  <c r="AQ2077" i="16"/>
  <c r="AS2073" i="16"/>
  <c r="AQ2073" i="16"/>
  <c r="AM2073" i="16"/>
  <c r="AS2070" i="16"/>
  <c r="AQ2070" i="16"/>
  <c r="AS2068" i="16"/>
  <c r="AQ2068" i="16"/>
  <c r="AS2066" i="16"/>
  <c r="AQ2066" i="16"/>
  <c r="AM2064" i="16"/>
  <c r="AQ2063" i="16"/>
  <c r="AM2062" i="16"/>
  <c r="AQ2061" i="16"/>
  <c r="AM2060" i="16"/>
  <c r="AS2059" i="16"/>
  <c r="AM2059" i="16"/>
  <c r="AS2055" i="16"/>
  <c r="AQ2055" i="16"/>
  <c r="AM2055" i="16"/>
  <c r="AQ2054" i="16"/>
  <c r="AM2054" i="16"/>
  <c r="AM2053" i="16"/>
  <c r="AQ2052" i="16"/>
  <c r="AS2051" i="16"/>
  <c r="AM2051" i="16"/>
  <c r="AS2048" i="16"/>
  <c r="AQ2048" i="16"/>
  <c r="AM2048" i="16"/>
  <c r="AS2046" i="16"/>
  <c r="AQ2046" i="16"/>
  <c r="AS2044" i="16"/>
  <c r="AQ2044" i="16"/>
  <c r="AM2044" i="16"/>
  <c r="AS2042" i="16"/>
  <c r="AQ2042" i="16"/>
  <c r="AS2036" i="16"/>
  <c r="AQ2036" i="16"/>
  <c r="AS2034" i="16"/>
  <c r="AQ2034" i="16"/>
  <c r="AM2034" i="16"/>
  <c r="AS2032" i="16"/>
  <c r="AQ2032" i="16"/>
  <c r="AM2032" i="16"/>
  <c r="AQ2029" i="16"/>
  <c r="AM2029" i="16"/>
  <c r="AQ2028" i="16"/>
  <c r="AM2028" i="16"/>
  <c r="AS2026" i="16"/>
  <c r="AS2024" i="16"/>
  <c r="AQ2024" i="16"/>
  <c r="AS2018" i="16"/>
  <c r="AQ2018" i="16"/>
  <c r="AM2018" i="16"/>
  <c r="AS2013" i="16"/>
  <c r="AQ2013" i="16"/>
  <c r="AM2013" i="16"/>
  <c r="AS2009" i="16"/>
  <c r="AQ2009" i="16"/>
  <c r="AM2009" i="16"/>
  <c r="AS2008" i="16"/>
  <c r="AQ2008" i="16"/>
  <c r="AM2008" i="16"/>
  <c r="AS2003" i="16"/>
  <c r="AQ2003" i="16"/>
  <c r="AM2003" i="16"/>
  <c r="AS1996" i="16"/>
  <c r="AQ1996" i="16"/>
  <c r="AS1990" i="16"/>
  <c r="AQ1990" i="16"/>
  <c r="AM1990" i="16"/>
  <c r="AS1985" i="16"/>
  <c r="AQ1985" i="16"/>
  <c r="AM1985" i="16"/>
  <c r="AS1983" i="16"/>
  <c r="AQ1983" i="16"/>
  <c r="AS1982" i="16"/>
  <c r="AQ1982" i="16"/>
  <c r="AS1980" i="16"/>
  <c r="AQ1980" i="16"/>
  <c r="AM1978" i="16"/>
  <c r="AS1974" i="16"/>
  <c r="AS1968" i="16"/>
  <c r="AQ1968" i="16"/>
  <c r="AM1968" i="16"/>
  <c r="AQ1965" i="16"/>
  <c r="AS1964" i="16"/>
  <c r="AQ1964" i="16"/>
  <c r="AS1953" i="16"/>
  <c r="AQ1953" i="16"/>
  <c r="AM1946" i="16"/>
  <c r="AS1944" i="16"/>
  <c r="AQ1944" i="16"/>
  <c r="AS1941" i="16"/>
  <c r="AQ1941" i="16"/>
  <c r="AM1941" i="16"/>
  <c r="AS1939" i="16"/>
  <c r="AQ1939" i="16"/>
  <c r="AM1939" i="16"/>
  <c r="AM1935" i="16"/>
  <c r="AM1933" i="16"/>
  <c r="AM1932" i="16"/>
  <c r="AM1931" i="16"/>
  <c r="AM1929" i="16"/>
  <c r="AQ1928" i="16"/>
  <c r="AQ1927" i="16"/>
  <c r="AQ1926" i="16"/>
  <c r="AS1925" i="16"/>
  <c r="AQ1925" i="16"/>
  <c r="AS1920" i="16"/>
  <c r="AQ1920" i="16"/>
  <c r="AM1916" i="16"/>
  <c r="AS1915" i="16"/>
  <c r="AQ1915" i="16"/>
  <c r="AM1915" i="16"/>
  <c r="AS1909" i="16"/>
  <c r="AQ1909" i="16"/>
  <c r="AM1909" i="16"/>
  <c r="AM1908" i="16"/>
  <c r="AS1907" i="16"/>
  <c r="AQ1907" i="16"/>
  <c r="AM1906" i="16"/>
  <c r="AS1905" i="16"/>
  <c r="AQ1905" i="16"/>
  <c r="AS1902" i="16"/>
  <c r="AQ1902" i="16"/>
  <c r="AM1902" i="16"/>
  <c r="AM1901" i="16"/>
  <c r="AS1900" i="16"/>
  <c r="AQ1900" i="16"/>
  <c r="AM1899" i="16"/>
  <c r="AS1898" i="16"/>
  <c r="AQ1898" i="16"/>
  <c r="AM1896" i="16"/>
  <c r="AS1895" i="16"/>
  <c r="AQ1895" i="16"/>
  <c r="AM1894" i="16"/>
  <c r="AS1893" i="16"/>
  <c r="AQ1893" i="16"/>
  <c r="AM1891" i="16"/>
  <c r="AS1890" i="16"/>
  <c r="AQ1890" i="16"/>
  <c r="AM1886" i="16"/>
  <c r="AM1885" i="16"/>
  <c r="AS1884" i="16"/>
  <c r="AQ1884" i="16"/>
  <c r="AS1881" i="16"/>
  <c r="AQ1881" i="16"/>
  <c r="AM1881" i="16"/>
  <c r="AS1876" i="16"/>
  <c r="AQ1876" i="16"/>
  <c r="AM1875" i="16"/>
  <c r="AM1874" i="16"/>
  <c r="AS1873" i="16"/>
  <c r="AQ1873" i="16"/>
  <c r="AM1872" i="16"/>
  <c r="AM1871" i="16"/>
  <c r="AS1870" i="16"/>
  <c r="AQ1870" i="16"/>
  <c r="AS1865" i="16"/>
  <c r="AQ1865" i="16"/>
  <c r="AM1865" i="16"/>
  <c r="AS1859" i="16"/>
  <c r="AQ1859" i="16"/>
  <c r="AM1859" i="16"/>
  <c r="AS1853" i="16"/>
  <c r="AQ1853" i="16"/>
  <c r="AM1853" i="16"/>
  <c r="AS1851" i="16"/>
  <c r="AQ1851" i="16"/>
  <c r="AM1851" i="16"/>
  <c r="AS1848" i="16"/>
  <c r="AQ1848" i="16"/>
  <c r="AM1848" i="16"/>
  <c r="AS1843" i="16"/>
  <c r="AQ1843" i="16"/>
  <c r="AM1843" i="16"/>
  <c r="AQ1841" i="16"/>
  <c r="AS1840" i="16"/>
  <c r="AM1840" i="16"/>
  <c r="AS1839" i="16"/>
  <c r="AQ1839" i="16"/>
  <c r="AM1839" i="16"/>
  <c r="AS1837" i="16"/>
  <c r="AQ1837" i="16"/>
  <c r="AM1837" i="16"/>
  <c r="AS1831" i="16"/>
  <c r="AQ1831" i="16"/>
  <c r="AM1831" i="16"/>
  <c r="AM1826" i="16"/>
  <c r="AM1825" i="16"/>
  <c r="AS1822" i="16"/>
  <c r="AQ1822" i="16"/>
  <c r="AM1821" i="16"/>
  <c r="AM1820" i="16"/>
  <c r="AS1814" i="16"/>
  <c r="AQ1814" i="16"/>
  <c r="AS1811" i="16"/>
  <c r="AQ1811" i="16"/>
  <c r="AM1811" i="16"/>
  <c r="AS1788" i="16"/>
  <c r="AQ1788" i="16"/>
  <c r="AM1788" i="16"/>
  <c r="AS1786" i="16"/>
  <c r="AQ1786" i="16"/>
  <c r="AM1786" i="16"/>
  <c r="AM1780" i="16"/>
  <c r="AM1778" i="16"/>
  <c r="AM1777" i="16"/>
  <c r="AM1776" i="16"/>
  <c r="AM1773" i="16"/>
  <c r="AS1772" i="16"/>
  <c r="AQ1772" i="16"/>
  <c r="AS1768" i="16"/>
  <c r="AQ1768" i="16"/>
  <c r="AM1768" i="16"/>
  <c r="AS1766" i="16"/>
  <c r="AQ1766" i="16"/>
  <c r="AM1766" i="16"/>
  <c r="AS1765" i="16"/>
  <c r="AQ1765" i="16"/>
  <c r="AM1765" i="16"/>
  <c r="AS1763" i="16"/>
  <c r="AQ1763" i="16"/>
  <c r="AM1763" i="16"/>
  <c r="AS1761" i="16"/>
  <c r="AQ1761" i="16"/>
  <c r="AM1761" i="16"/>
  <c r="AS1757" i="16"/>
  <c r="AQ1757" i="16"/>
  <c r="AM1757" i="16"/>
  <c r="AS1755" i="16"/>
  <c r="AQ1755" i="16"/>
  <c r="AM1755" i="16"/>
  <c r="AS1751" i="16"/>
  <c r="AQ1751" i="16"/>
  <c r="AM1751" i="16"/>
  <c r="AS1750" i="16"/>
  <c r="AQ1750" i="16"/>
  <c r="AM1750" i="16"/>
  <c r="AS1749" i="16"/>
  <c r="AQ1749" i="16"/>
  <c r="AM1749" i="16"/>
  <c r="AS1745" i="16"/>
  <c r="AQ1745" i="16"/>
  <c r="AM1745" i="16"/>
  <c r="AS1743" i="16"/>
  <c r="AQ1743" i="16"/>
  <c r="AS1740" i="16"/>
  <c r="AQ1740" i="16"/>
  <c r="AM1740" i="16"/>
  <c r="AS1738" i="16"/>
  <c r="AQ1738" i="16"/>
  <c r="AM1738" i="16"/>
  <c r="AS1734" i="16"/>
  <c r="AQ1734" i="16"/>
  <c r="AM1734" i="16"/>
  <c r="AS1731" i="16"/>
  <c r="AQ1731" i="16"/>
  <c r="AS1724" i="16"/>
  <c r="AQ1724" i="16"/>
  <c r="AM1724" i="16"/>
  <c r="AS1722" i="16"/>
  <c r="AS1718" i="16"/>
  <c r="AQ1718" i="16"/>
  <c r="AM1718" i="16"/>
  <c r="AM1717" i="16"/>
  <c r="AM1716" i="16"/>
  <c r="AS1713" i="16"/>
  <c r="AQ1713" i="16"/>
  <c r="AM1712" i="16"/>
  <c r="AM1710" i="16"/>
  <c r="AM1709" i="16"/>
  <c r="AM1708" i="16"/>
  <c r="AM1704" i="16"/>
  <c r="AQ1703" i="16"/>
  <c r="AS1701" i="16"/>
  <c r="AQ1701" i="16"/>
  <c r="AS1697" i="16"/>
  <c r="AQ1697" i="16"/>
  <c r="AM1697" i="16"/>
  <c r="AM1696" i="16"/>
  <c r="AM1695" i="16"/>
  <c r="AS1692" i="16"/>
  <c r="AQ1692" i="16"/>
  <c r="AM1689" i="16"/>
  <c r="AM1683" i="16"/>
  <c r="AS1681" i="16"/>
  <c r="AQ1681" i="16"/>
  <c r="AM1681" i="16"/>
  <c r="AS1676" i="16"/>
  <c r="AQ1676" i="16"/>
  <c r="AM1676" i="16"/>
  <c r="AS1674" i="16"/>
  <c r="AQ1674" i="16"/>
  <c r="AM1674" i="16"/>
  <c r="AM1672" i="16"/>
  <c r="AS1667" i="16"/>
  <c r="AQ1667" i="16"/>
  <c r="AM1667" i="16"/>
  <c r="AS1665" i="16"/>
  <c r="AQ1665" i="16"/>
  <c r="AM1665" i="16"/>
  <c r="AM1660" i="16"/>
  <c r="AS1659" i="16"/>
  <c r="AQ1659" i="16"/>
  <c r="AM1659" i="16"/>
  <c r="AS1658" i="16"/>
  <c r="AQ1658" i="16"/>
  <c r="AM1658" i="16"/>
  <c r="AS1653" i="16"/>
  <c r="AQ1653" i="16"/>
  <c r="AM1653" i="16"/>
  <c r="AS1648" i="16"/>
  <c r="AM1648" i="16"/>
  <c r="AM1646" i="16"/>
  <c r="AM1643" i="16"/>
  <c r="AM1641" i="16"/>
  <c r="AM1639" i="16"/>
  <c r="AS1637" i="16"/>
  <c r="AM1637" i="16"/>
  <c r="AQ1627" i="16"/>
  <c r="AQ1613" i="16"/>
  <c r="AS1609" i="16"/>
  <c r="AS1594" i="16"/>
  <c r="AQ1594" i="16"/>
  <c r="AM1594" i="16"/>
  <c r="AS1593" i="16"/>
  <c r="AQ1593" i="16"/>
  <c r="AM1593" i="16"/>
  <c r="AS1588" i="16"/>
  <c r="AQ1588" i="16"/>
  <c r="AM1588" i="16"/>
  <c r="AS1584" i="16"/>
  <c r="AQ1584" i="16"/>
  <c r="AM1584" i="16"/>
  <c r="AM1582" i="16"/>
  <c r="AM1581" i="16"/>
  <c r="AS1579" i="16"/>
  <c r="AQ1579" i="16"/>
  <c r="AS1575" i="16"/>
  <c r="AQ1575" i="16"/>
  <c r="AM1575" i="16"/>
  <c r="AS1573" i="16"/>
  <c r="AQ1573" i="16"/>
  <c r="AM1573" i="16"/>
  <c r="AS1568" i="16"/>
  <c r="AQ1568" i="16"/>
  <c r="AM1568" i="16"/>
  <c r="AS1563" i="16"/>
  <c r="AQ1563" i="16"/>
  <c r="AM1563" i="16"/>
  <c r="AS1560" i="16"/>
  <c r="AQ1560" i="16"/>
  <c r="AM1560" i="16"/>
  <c r="AS1559" i="16"/>
  <c r="AQ1559" i="16"/>
  <c r="AM1559" i="16"/>
  <c r="AS1558" i="16"/>
  <c r="AQ1558" i="16"/>
  <c r="AM1558" i="16"/>
  <c r="AS1552" i="16"/>
  <c r="AQ1552" i="16"/>
  <c r="AM1552" i="16"/>
  <c r="AQ1542" i="16"/>
  <c r="AM1542" i="16"/>
  <c r="AQ1540" i="16"/>
  <c r="AM1540" i="16"/>
  <c r="AS1538" i="16"/>
  <c r="AQ1538" i="16"/>
  <c r="AM1538" i="16"/>
  <c r="AS1535" i="16"/>
  <c r="AQ1535" i="16"/>
  <c r="AM1535" i="16"/>
  <c r="AS1533" i="16"/>
  <c r="AQ1533" i="16"/>
  <c r="AM1533" i="16"/>
  <c r="AS1531" i="16"/>
  <c r="AQ1531" i="16"/>
  <c r="AM1531" i="16"/>
  <c r="AS1524" i="16"/>
  <c r="AQ1524" i="16"/>
  <c r="AS1523" i="16"/>
  <c r="AQ1523" i="16"/>
  <c r="AS1522" i="16"/>
  <c r="AQ1522" i="16"/>
  <c r="AS1521" i="16"/>
  <c r="AQ1521" i="16"/>
  <c r="AS1520" i="16"/>
  <c r="AQ1520" i="16"/>
  <c r="AS1519" i="16"/>
  <c r="AQ1519" i="16"/>
  <c r="AS1518" i="16"/>
  <c r="AQ1518" i="16"/>
  <c r="AS1517" i="16"/>
  <c r="AQ1517" i="16"/>
  <c r="AM1516" i="16"/>
  <c r="AM1515" i="16"/>
  <c r="AS1513" i="16"/>
  <c r="AM1511" i="16"/>
  <c r="AM1509" i="16"/>
  <c r="AS1506" i="16"/>
  <c r="AQ1506" i="16"/>
  <c r="AS1501" i="16"/>
  <c r="AQ1501" i="16"/>
  <c r="AM1501" i="16"/>
  <c r="AS1498" i="16"/>
  <c r="AQ1498" i="16"/>
  <c r="AM1498" i="16"/>
  <c r="AS1496" i="16"/>
  <c r="AQ1496" i="16"/>
  <c r="AM1496" i="16"/>
  <c r="AS1495" i="16"/>
  <c r="AQ1495" i="16"/>
  <c r="AM1495" i="16"/>
  <c r="AS1494" i="16"/>
  <c r="AQ1494" i="16"/>
  <c r="AM1494" i="16"/>
  <c r="AS1493" i="16"/>
  <c r="AQ1493" i="16"/>
  <c r="AM1493" i="16"/>
  <c r="AM1491" i="16"/>
  <c r="AS1486" i="16"/>
  <c r="AQ1486" i="16"/>
  <c r="AM1486" i="16"/>
  <c r="AS1484" i="16"/>
  <c r="AQ1484" i="16"/>
  <c r="AM1484" i="16"/>
  <c r="AS1482" i="16"/>
  <c r="AQ1482" i="16"/>
  <c r="AM1482" i="16"/>
  <c r="AS1479" i="16"/>
  <c r="AS1478" i="16"/>
  <c r="AS1477" i="16"/>
  <c r="AS1476" i="16"/>
  <c r="AS1475" i="16"/>
  <c r="AS1474" i="16"/>
  <c r="AS1473" i="16"/>
  <c r="AQ1472" i="16"/>
  <c r="AQ1470" i="16"/>
  <c r="AM1470" i="16"/>
  <c r="AM1468" i="16"/>
  <c r="AM1467" i="16"/>
  <c r="AS1464" i="16"/>
  <c r="AQ1464" i="16"/>
  <c r="AS1461" i="16"/>
  <c r="AQ1461" i="16"/>
  <c r="AM1461" i="16"/>
  <c r="AS1459" i="16"/>
  <c r="AQ1459" i="16"/>
  <c r="AM1459" i="16"/>
  <c r="AS1453" i="16"/>
  <c r="AQ1453" i="16"/>
  <c r="AM1453" i="16"/>
  <c r="AQ1452" i="16"/>
  <c r="AS1450" i="16"/>
  <c r="AQ1450" i="16"/>
  <c r="AM1450" i="16"/>
  <c r="AS1433" i="16"/>
  <c r="AM1433" i="16"/>
  <c r="AQ1431" i="16"/>
  <c r="AM1431" i="16"/>
  <c r="AS1429" i="16"/>
  <c r="AQ1429" i="16"/>
  <c r="AM1429" i="16"/>
  <c r="AS1427" i="16"/>
  <c r="AS1426" i="16"/>
  <c r="AS1425" i="16"/>
  <c r="AS1424" i="16"/>
  <c r="AS1423" i="16"/>
  <c r="AS1422" i="16"/>
  <c r="AS1420" i="16"/>
  <c r="AQ1420" i="16"/>
  <c r="AM1420" i="16"/>
  <c r="AS1418" i="16"/>
  <c r="AQ1418" i="16"/>
  <c r="AM1418" i="16"/>
  <c r="AS1415" i="16"/>
  <c r="AQ1415" i="16"/>
  <c r="AM1415" i="16"/>
  <c r="AS1410" i="16"/>
  <c r="AQ1410" i="16"/>
  <c r="AM1410" i="16"/>
  <c r="AS1409" i="16"/>
  <c r="AQ1409" i="16"/>
  <c r="AM1409" i="16"/>
  <c r="AQ1407" i="16"/>
  <c r="AS1406" i="16"/>
  <c r="AM1406" i="16"/>
  <c r="AS1404" i="16"/>
  <c r="AQ1404" i="16"/>
  <c r="AM1404" i="16"/>
  <c r="AS1401" i="16"/>
  <c r="AQ1401" i="16"/>
  <c r="AM1401" i="16"/>
  <c r="AM1400" i="16"/>
  <c r="AM1399" i="16"/>
  <c r="AS1396" i="16"/>
  <c r="AQ1396" i="16"/>
  <c r="AM1395" i="16"/>
  <c r="AM1394" i="16"/>
  <c r="AS1391" i="16"/>
  <c r="AQ1391" i="16"/>
  <c r="AM1390" i="16"/>
  <c r="AM1389" i="16"/>
  <c r="AS1387" i="16"/>
  <c r="AQ1387" i="16"/>
  <c r="AS1383" i="16"/>
  <c r="AQ1383" i="16"/>
  <c r="AM1383" i="16"/>
  <c r="AM1382" i="16"/>
  <c r="AM1381" i="16"/>
  <c r="AS1379" i="16"/>
  <c r="AQ1379" i="16"/>
  <c r="AS1371" i="16"/>
  <c r="AS1368" i="16"/>
  <c r="AS1360" i="16"/>
  <c r="AS1357" i="16"/>
  <c r="AS1353" i="16"/>
  <c r="AQ1350" i="16"/>
  <c r="AM1350" i="16"/>
  <c r="AS1348" i="16"/>
  <c r="AQ1348" i="16"/>
  <c r="AS1346" i="16"/>
  <c r="AQ1346" i="16"/>
  <c r="AS1344" i="16"/>
  <c r="AQ1344" i="16"/>
  <c r="AS1339" i="16"/>
  <c r="AQ1339" i="16"/>
  <c r="AS1337" i="16"/>
  <c r="AQ1337" i="16"/>
  <c r="AS1335" i="16"/>
  <c r="AQ1335" i="16"/>
  <c r="AS1333" i="16"/>
  <c r="AQ1333" i="16"/>
  <c r="AS1332" i="16"/>
  <c r="AQ1332" i="16"/>
  <c r="AS1331" i="16"/>
  <c r="AQ1331" i="16"/>
  <c r="AS1329" i="16"/>
  <c r="AQ1329" i="16"/>
  <c r="AM1326" i="16"/>
  <c r="AM1325" i="16"/>
  <c r="AS1321" i="16"/>
  <c r="AQ1321" i="16"/>
  <c r="AM1321" i="16"/>
  <c r="AS1314" i="16"/>
  <c r="AS1313" i="16"/>
  <c r="AS1311" i="16"/>
  <c r="AS1309" i="16"/>
  <c r="AS1308" i="16"/>
  <c r="AS1307" i="16"/>
  <c r="AS1304" i="16"/>
  <c r="AS1302" i="16"/>
  <c r="AS1300" i="16"/>
  <c r="AS1297" i="16"/>
  <c r="AS1295" i="16"/>
  <c r="AQ1293" i="16"/>
  <c r="AM1293" i="16"/>
  <c r="AS1290" i="16"/>
  <c r="AQ1290" i="16"/>
  <c r="AM1290" i="16"/>
  <c r="AS1289" i="16"/>
  <c r="AQ1289" i="16"/>
  <c r="AM1289" i="16"/>
  <c r="AS1288" i="16"/>
  <c r="AQ1288" i="16"/>
  <c r="AM1288" i="16"/>
  <c r="AS1285" i="16"/>
  <c r="AQ1285" i="16"/>
  <c r="AM1285" i="16"/>
  <c r="AS1283" i="16"/>
  <c r="AQ1283" i="16"/>
  <c r="AM1283" i="16"/>
  <c r="AS1281" i="16"/>
  <c r="AQ1281" i="16"/>
  <c r="AQ1262" i="16"/>
  <c r="AS1260" i="16"/>
  <c r="AQ1260" i="16"/>
  <c r="AS1258" i="16"/>
  <c r="AQ1258" i="16"/>
  <c r="AM1258" i="16"/>
  <c r="AS1256" i="16"/>
  <c r="AQ1256" i="16"/>
  <c r="AM1256" i="16"/>
  <c r="AS1254" i="16"/>
  <c r="AQ1254" i="16"/>
  <c r="AM1253" i="16"/>
  <c r="AM1251" i="16"/>
  <c r="AM1249" i="16"/>
  <c r="AM1247" i="16"/>
  <c r="AM1234" i="16"/>
  <c r="AM1225" i="16"/>
  <c r="AM1217" i="16"/>
  <c r="AQ1208" i="16"/>
  <c r="AQ1206" i="16"/>
  <c r="AS1205" i="16"/>
  <c r="AQ1199" i="16"/>
  <c r="AQ1197" i="16"/>
  <c r="AM1196" i="16"/>
  <c r="AS1195" i="16"/>
  <c r="AQ1195" i="16"/>
  <c r="AS1194" i="16"/>
  <c r="AQ1194" i="16"/>
  <c r="AS1192" i="16"/>
  <c r="AQ1192" i="16"/>
  <c r="AS1191" i="16"/>
  <c r="AQ1191" i="16"/>
  <c r="AS1189" i="16"/>
  <c r="AQ1189" i="16"/>
  <c r="AS1188" i="16"/>
  <c r="AQ1188" i="16"/>
  <c r="AS1183" i="16"/>
  <c r="AQ1183" i="16"/>
  <c r="AQ1178" i="16"/>
  <c r="AS1176" i="16"/>
  <c r="AQ1176" i="16"/>
  <c r="AM1176" i="16"/>
  <c r="AQ1170" i="16"/>
  <c r="AS1169" i="16"/>
  <c r="AS1166" i="16"/>
  <c r="AQ1166" i="16"/>
  <c r="AS1165" i="16"/>
  <c r="AQ1165" i="16"/>
  <c r="AS1163" i="16"/>
  <c r="AQ1163" i="16"/>
  <c r="AM1163" i="16"/>
  <c r="AQ1158" i="16"/>
  <c r="AS1157" i="16"/>
  <c r="AS1153" i="16"/>
  <c r="AQ1153" i="16"/>
  <c r="AS1151" i="16"/>
  <c r="AQ1151" i="16"/>
  <c r="AQ1146" i="16"/>
  <c r="AS1145" i="16"/>
  <c r="AQ1140" i="16"/>
  <c r="AS1139" i="16"/>
  <c r="AQ1135" i="16"/>
  <c r="AS1134" i="16"/>
  <c r="AQ1132" i="16"/>
  <c r="AS1131" i="16"/>
  <c r="AQ1126" i="16"/>
  <c r="AS1125" i="16"/>
  <c r="AS1119" i="16"/>
  <c r="AQ1119" i="16"/>
  <c r="AM1119" i="16"/>
  <c r="AQ1113" i="16"/>
  <c r="AS1112" i="16"/>
  <c r="AQ1107" i="16"/>
  <c r="AS1106" i="16"/>
  <c r="AS1096" i="16"/>
  <c r="AQ1096" i="16"/>
  <c r="AS1086" i="16"/>
  <c r="AQ1086" i="16"/>
  <c r="AM1086" i="16"/>
  <c r="AS1077" i="16"/>
  <c r="AQ1077" i="16"/>
  <c r="AS1070" i="16"/>
  <c r="AQ1070" i="16"/>
  <c r="AS1065" i="16"/>
  <c r="AM1065" i="16"/>
  <c r="AS1061" i="16"/>
  <c r="AQ1061" i="16"/>
  <c r="AQ1060" i="16"/>
  <c r="AS1059" i="16"/>
  <c r="AM1059" i="16"/>
  <c r="AQ1054" i="16"/>
  <c r="AS1052" i="16"/>
  <c r="AQ1052" i="16"/>
  <c r="AM1052" i="16"/>
  <c r="AS1049" i="16"/>
  <c r="AQ1049" i="16"/>
  <c r="AS1046" i="16"/>
  <c r="AQ1046" i="16"/>
  <c r="AS1034" i="16"/>
  <c r="AQ1034" i="16"/>
  <c r="AM1033" i="16"/>
  <c r="AQ1020" i="16"/>
  <c r="AS1015" i="16"/>
  <c r="AS1007" i="16"/>
  <c r="AQ1007" i="16"/>
  <c r="AS1003" i="16"/>
  <c r="AQ1003" i="16"/>
  <c r="AS1000" i="16"/>
  <c r="AQ1000" i="16"/>
  <c r="AS998" i="16"/>
  <c r="AQ998" i="16"/>
  <c r="AS991" i="16"/>
  <c r="AQ991" i="16"/>
  <c r="AS981" i="16"/>
  <c r="AQ981" i="16"/>
  <c r="AS978" i="16"/>
  <c r="AS976" i="16"/>
  <c r="AS973" i="16"/>
  <c r="AS972" i="16"/>
  <c r="AS971" i="16"/>
  <c r="AS969" i="16"/>
  <c r="AS966" i="16"/>
  <c r="AS964" i="16"/>
  <c r="AS960" i="16"/>
  <c r="AS959" i="16"/>
  <c r="AS955" i="16"/>
  <c r="AQ955" i="16"/>
  <c r="AS952" i="16"/>
  <c r="AQ952" i="16"/>
  <c r="AS950" i="16"/>
  <c r="AS949" i="16"/>
  <c r="AS948" i="16"/>
  <c r="AS947" i="16"/>
  <c r="AS945" i="16"/>
  <c r="AS944" i="16"/>
  <c r="AS942" i="16"/>
  <c r="AS941" i="16"/>
  <c r="AS936" i="16"/>
  <c r="AQ936" i="16"/>
  <c r="AS933" i="16"/>
  <c r="AQ933" i="16"/>
  <c r="AQ930" i="16"/>
  <c r="AS928" i="16"/>
  <c r="AQ928" i="16"/>
  <c r="AS927" i="16"/>
  <c r="AQ927" i="16"/>
  <c r="AS926" i="16"/>
  <c r="AQ926" i="16"/>
  <c r="AS925" i="16"/>
  <c r="AQ925" i="16"/>
  <c r="AS924" i="16"/>
  <c r="AQ924" i="16"/>
  <c r="AS923" i="16"/>
  <c r="AQ923" i="16"/>
  <c r="AS922" i="16"/>
  <c r="AQ922" i="16"/>
  <c r="AS921" i="16"/>
  <c r="AQ921" i="16"/>
  <c r="AS920" i="16"/>
  <c r="AQ920" i="16"/>
  <c r="AS919" i="16"/>
  <c r="AQ919" i="16"/>
  <c r="AS918" i="16"/>
  <c r="AQ918" i="16"/>
  <c r="AS917" i="16"/>
  <c r="AQ917" i="16"/>
  <c r="AS916" i="16"/>
  <c r="AQ916" i="16"/>
  <c r="AQ912" i="16"/>
  <c r="AS911" i="16"/>
  <c r="AS908" i="16"/>
  <c r="AQ908" i="16"/>
  <c r="AS905" i="16"/>
  <c r="AQ905" i="16"/>
  <c r="AS902" i="16"/>
  <c r="AQ902" i="16"/>
  <c r="AS896" i="16"/>
  <c r="AQ896" i="16"/>
  <c r="AS893" i="16"/>
  <c r="AQ893" i="16"/>
  <c r="AS886" i="16"/>
  <c r="AQ886" i="16"/>
  <c r="AS884" i="16"/>
  <c r="AM884" i="16"/>
  <c r="AM882" i="16"/>
  <c r="AM881" i="16"/>
  <c r="AM880" i="16"/>
  <c r="AM879" i="16"/>
  <c r="AM875" i="16"/>
  <c r="AM873" i="16"/>
  <c r="AS868" i="16"/>
  <c r="AQ868" i="16"/>
  <c r="AS864" i="16"/>
  <c r="AQ864" i="16"/>
  <c r="AM864" i="16"/>
  <c r="AS862" i="16"/>
  <c r="AQ862" i="16"/>
  <c r="AM862" i="16"/>
  <c r="AS858" i="16"/>
  <c r="AQ858" i="16"/>
  <c r="AM858" i="16"/>
  <c r="AS857" i="16"/>
  <c r="AQ857" i="16"/>
  <c r="AM857" i="16"/>
  <c r="AS856" i="16"/>
  <c r="AQ856" i="16"/>
  <c r="AM856" i="16"/>
  <c r="AS854" i="16"/>
  <c r="AQ854" i="16"/>
  <c r="AM854" i="16"/>
  <c r="AS852" i="16"/>
  <c r="AQ852" i="16"/>
  <c r="AM852" i="16"/>
  <c r="AS848" i="16"/>
  <c r="AQ848" i="16"/>
  <c r="AM848" i="16"/>
  <c r="AS843" i="16"/>
  <c r="AQ843" i="16"/>
  <c r="AM843" i="16"/>
  <c r="AM841" i="16"/>
  <c r="AS839" i="16"/>
  <c r="AQ839" i="16"/>
  <c r="AM839" i="16"/>
  <c r="AS837" i="16"/>
  <c r="AQ837" i="16"/>
  <c r="AM837" i="16"/>
  <c r="AS835" i="16"/>
  <c r="AQ835" i="16"/>
  <c r="AM835" i="16"/>
  <c r="AS833" i="16"/>
  <c r="AQ833" i="16"/>
  <c r="AM833" i="16"/>
  <c r="AS831" i="16"/>
  <c r="AQ831" i="16"/>
  <c r="AM831" i="16"/>
  <c r="AS829" i="16"/>
  <c r="AQ829" i="16"/>
  <c r="AM829" i="16"/>
  <c r="AS828" i="16"/>
  <c r="AQ828" i="16"/>
  <c r="AM828" i="16"/>
  <c r="AM825" i="16"/>
  <c r="AS817" i="16"/>
  <c r="AQ817" i="16"/>
  <c r="AM817" i="16"/>
  <c r="AQ811" i="16"/>
  <c r="AS809" i="16"/>
  <c r="AQ800" i="16"/>
  <c r="AS799" i="16"/>
  <c r="AM794" i="16"/>
  <c r="AQ788" i="16"/>
  <c r="AS787" i="16"/>
  <c r="AQ782" i="16"/>
  <c r="AS781" i="16"/>
  <c r="AQ776" i="16"/>
  <c r="AS775" i="16"/>
  <c r="AQ770" i="16"/>
  <c r="AS769" i="16"/>
  <c r="AM769" i="16"/>
  <c r="AQ764" i="16"/>
  <c r="AS762" i="16"/>
  <c r="AQ757" i="16"/>
  <c r="AS755" i="16"/>
  <c r="AM755" i="16"/>
  <c r="AM751" i="16"/>
  <c r="AS749" i="16"/>
  <c r="AQ749" i="16"/>
  <c r="AM749" i="16"/>
  <c r="AS742" i="16"/>
  <c r="AQ742" i="16"/>
  <c r="AM742" i="16"/>
  <c r="AS733" i="16"/>
  <c r="AQ733" i="16"/>
  <c r="AM733" i="16"/>
  <c r="AS724" i="16"/>
  <c r="AS716" i="16"/>
  <c r="AQ716" i="16"/>
  <c r="AM716" i="16"/>
  <c r="AS714" i="16"/>
  <c r="AQ714" i="16"/>
  <c r="AM714" i="16"/>
  <c r="AM712" i="16"/>
  <c r="AS702" i="16"/>
  <c r="AQ702" i="16"/>
  <c r="AM702" i="16"/>
  <c r="AS699" i="16"/>
  <c r="AQ699" i="16"/>
  <c r="AM699" i="16"/>
  <c r="AS693" i="16"/>
  <c r="AQ693" i="16"/>
  <c r="AM693" i="16"/>
  <c r="AS688" i="16"/>
  <c r="AQ688" i="16"/>
  <c r="AM688" i="16"/>
  <c r="AS679" i="16"/>
  <c r="AQ679" i="16"/>
  <c r="AM679" i="16"/>
  <c r="AS677" i="16"/>
  <c r="AQ677" i="16"/>
  <c r="AS676" i="16"/>
  <c r="AQ676" i="16"/>
  <c r="AM676" i="16"/>
  <c r="AS674" i="16"/>
  <c r="AQ674" i="16"/>
  <c r="AS673" i="16"/>
  <c r="AQ673" i="16"/>
  <c r="AM673" i="16"/>
  <c r="AM656" i="16"/>
  <c r="AM654" i="16"/>
  <c r="AM652" i="16"/>
  <c r="AQ649" i="16"/>
  <c r="AQ648" i="16"/>
  <c r="AQ647" i="16"/>
  <c r="AQ646" i="16"/>
  <c r="AQ645" i="16"/>
  <c r="AQ644" i="16"/>
  <c r="AQ643" i="16"/>
  <c r="AS642" i="16"/>
  <c r="AQ642" i="16"/>
  <c r="AS637" i="16"/>
  <c r="AQ637" i="16"/>
  <c r="AS636" i="16"/>
  <c r="AQ636" i="16"/>
  <c r="AQ635" i="16"/>
  <c r="AQ634" i="16"/>
  <c r="AQ633" i="16"/>
  <c r="AQ632" i="16"/>
  <c r="AQ631" i="16"/>
  <c r="AQ630" i="16"/>
  <c r="AS629" i="16"/>
  <c r="AQ629" i="16"/>
  <c r="AM628" i="16"/>
  <c r="AM627" i="16"/>
  <c r="AM625" i="16"/>
  <c r="AS616" i="16"/>
  <c r="AQ616" i="16"/>
  <c r="AM616" i="16"/>
  <c r="AQ614" i="16"/>
  <c r="AS601" i="16"/>
  <c r="AQ601" i="16"/>
  <c r="AM601" i="16"/>
  <c r="AS598" i="16"/>
  <c r="AQ598" i="16"/>
  <c r="AQ595" i="16"/>
  <c r="AS594" i="16"/>
  <c r="AQ593" i="16"/>
  <c r="AS592" i="16"/>
  <c r="AQ591" i="16"/>
  <c r="AS590" i="16"/>
  <c r="AQ589" i="16"/>
  <c r="AS588" i="16"/>
  <c r="AM588" i="16"/>
  <c r="AS584" i="16"/>
  <c r="AQ584" i="16"/>
  <c r="AM584" i="16"/>
  <c r="AS577" i="16"/>
  <c r="AQ577" i="16"/>
  <c r="AM577" i="16"/>
  <c r="AS571" i="16"/>
  <c r="AQ571" i="16"/>
  <c r="AM571" i="16"/>
  <c r="AS566" i="16"/>
  <c r="AQ566" i="16"/>
  <c r="AM566" i="16"/>
  <c r="AS564" i="16"/>
  <c r="AQ564" i="16"/>
  <c r="AM564" i="16"/>
  <c r="AS559" i="16"/>
  <c r="AQ559" i="16"/>
  <c r="AS555" i="16"/>
  <c r="AQ555" i="16"/>
  <c r="AM555" i="16"/>
  <c r="AS552" i="16"/>
  <c r="AQ552" i="16"/>
  <c r="AS551" i="16"/>
  <c r="AQ551" i="16"/>
  <c r="AS549" i="16"/>
  <c r="AQ549" i="16"/>
  <c r="AM545" i="16"/>
  <c r="AS542" i="16"/>
  <c r="AQ542" i="16"/>
  <c r="AM542" i="16"/>
  <c r="AS541" i="16"/>
  <c r="AQ541" i="16"/>
  <c r="AM541" i="16"/>
  <c r="AS540" i="16"/>
  <c r="AQ540" i="16"/>
  <c r="AM540" i="16"/>
  <c r="AS538" i="16"/>
  <c r="AQ538" i="16"/>
  <c r="AS532" i="16"/>
  <c r="AQ532" i="16"/>
  <c r="AS529" i="16"/>
  <c r="AQ529" i="16"/>
  <c r="AM529" i="16"/>
  <c r="AS525" i="16"/>
  <c r="AQ525" i="16"/>
  <c r="AS513" i="16"/>
  <c r="AQ513" i="16"/>
  <c r="AM512" i="16"/>
  <c r="AS511" i="16"/>
  <c r="AQ511" i="16"/>
  <c r="AM511" i="16"/>
  <c r="AS509" i="16"/>
  <c r="AQ509" i="16"/>
  <c r="AM509" i="16"/>
  <c r="AM507" i="16"/>
  <c r="AM504" i="16"/>
  <c r="AS503" i="16"/>
  <c r="AQ503" i="16"/>
  <c r="AS499" i="16"/>
  <c r="AQ499" i="16"/>
  <c r="AM499" i="16"/>
  <c r="AS498" i="16"/>
  <c r="AQ498" i="16"/>
  <c r="AM498" i="16"/>
  <c r="AS495" i="16"/>
  <c r="AQ495" i="16"/>
  <c r="AM495" i="16"/>
  <c r="AS483" i="16"/>
  <c r="AQ483" i="16"/>
  <c r="AS471" i="16"/>
  <c r="AQ471" i="16"/>
  <c r="AS467" i="16"/>
  <c r="AQ467" i="16"/>
  <c r="AM467" i="16"/>
  <c r="AS465" i="16"/>
  <c r="AQ465" i="16"/>
  <c r="AM465" i="16"/>
  <c r="AS463" i="16"/>
  <c r="AQ463" i="16"/>
  <c r="AM463" i="16"/>
  <c r="AS460" i="16"/>
  <c r="AQ460" i="16"/>
  <c r="AS458" i="16"/>
  <c r="AQ458" i="16"/>
  <c r="AM458" i="16"/>
  <c r="AQ453" i="16"/>
  <c r="AM453" i="16"/>
  <c r="AQ449" i="16"/>
  <c r="AM449" i="16"/>
  <c r="AS445" i="16"/>
  <c r="AQ445" i="16"/>
  <c r="AM445" i="16"/>
  <c r="AQ439" i="16"/>
  <c r="AM439" i="16"/>
  <c r="AQ437" i="16"/>
  <c r="AM437" i="16"/>
  <c r="AS436" i="16"/>
  <c r="AQ436" i="16"/>
  <c r="AS431" i="16"/>
  <c r="AQ431" i="16"/>
  <c r="AS429" i="16"/>
  <c r="AQ429" i="16"/>
  <c r="AM429" i="16"/>
  <c r="AS422" i="16"/>
  <c r="AQ422" i="16"/>
  <c r="AS420" i="16"/>
  <c r="AQ420" i="16"/>
  <c r="AM420" i="16"/>
  <c r="AS412" i="16"/>
  <c r="AQ412" i="16"/>
  <c r="AM412" i="16"/>
  <c r="AS409" i="16"/>
  <c r="AQ409" i="16"/>
  <c r="AQ407" i="16"/>
  <c r="AQ406" i="16"/>
  <c r="AS403" i="16"/>
  <c r="AM403" i="16"/>
  <c r="AS400" i="16"/>
  <c r="AQ400" i="16"/>
  <c r="AM400" i="16"/>
  <c r="AS396" i="16"/>
  <c r="AQ396" i="16"/>
  <c r="AS383" i="16"/>
  <c r="AQ383" i="16"/>
  <c r="AM383" i="16"/>
  <c r="AM381" i="16"/>
  <c r="AM379" i="16"/>
  <c r="AM377" i="16"/>
  <c r="AQ375" i="16"/>
  <c r="AQ373" i="16"/>
  <c r="AQ369" i="16"/>
  <c r="AQ368" i="16"/>
  <c r="AQ367" i="16"/>
  <c r="AS364" i="16"/>
  <c r="AM364" i="16"/>
  <c r="AM363" i="16"/>
  <c r="AM362" i="16"/>
  <c r="AS359" i="16"/>
  <c r="AM359" i="16"/>
  <c r="AS358" i="16"/>
  <c r="AQ358" i="16"/>
  <c r="AM358" i="16"/>
  <c r="AS357" i="16"/>
  <c r="AQ357" i="16"/>
  <c r="AM357" i="16"/>
  <c r="AS356" i="16"/>
  <c r="AQ356" i="16"/>
  <c r="AM356" i="16"/>
  <c r="AS355" i="16"/>
  <c r="AQ355" i="16"/>
  <c r="AM355" i="16"/>
  <c r="AM350" i="16"/>
  <c r="AS347" i="16"/>
  <c r="AQ347" i="16"/>
  <c r="AM347" i="16"/>
  <c r="AS346" i="16"/>
  <c r="AQ346" i="16"/>
  <c r="AM346" i="16"/>
  <c r="AS345" i="16"/>
  <c r="AQ345" i="16"/>
  <c r="AM345" i="16"/>
  <c r="AS344" i="16"/>
  <c r="AQ344" i="16"/>
  <c r="AM344" i="16"/>
  <c r="AS343" i="16"/>
  <c r="AQ343" i="16"/>
  <c r="AM343" i="16"/>
  <c r="AS342" i="16"/>
  <c r="AQ342" i="16"/>
  <c r="AM342" i="16"/>
  <c r="AS336" i="16"/>
  <c r="AQ336" i="16"/>
  <c r="AM336" i="16"/>
  <c r="AS333" i="16"/>
  <c r="AQ333" i="16"/>
  <c r="AM333" i="16"/>
  <c r="AS330" i="16"/>
  <c r="AQ330" i="16"/>
  <c r="AM330" i="16"/>
  <c r="AM320" i="16"/>
  <c r="AM319" i="16"/>
  <c r="AM318" i="16"/>
  <c r="AM317" i="16"/>
  <c r="AM316" i="16"/>
  <c r="AS312" i="16"/>
  <c r="AS304" i="16"/>
  <c r="AQ304" i="16"/>
  <c r="AM304" i="16"/>
  <c r="AS302" i="16"/>
  <c r="AQ302" i="16"/>
  <c r="AM302" i="16"/>
  <c r="AS300" i="16"/>
  <c r="AQ300" i="16"/>
  <c r="AM300" i="16"/>
  <c r="AS298" i="16"/>
  <c r="AQ298" i="16"/>
  <c r="AM298" i="16"/>
  <c r="AS293" i="16"/>
  <c r="AQ293" i="16"/>
  <c r="AM293" i="16"/>
  <c r="AS292" i="16"/>
  <c r="AQ292" i="16"/>
  <c r="AM292" i="16"/>
  <c r="AS289" i="16"/>
  <c r="AQ289" i="16"/>
  <c r="AM289" i="16"/>
  <c r="AS286" i="16"/>
  <c r="AQ286" i="16"/>
  <c r="AM286" i="16"/>
  <c r="AS282" i="16"/>
  <c r="AQ282" i="16"/>
  <c r="AM282" i="16"/>
  <c r="AQ272" i="16"/>
  <c r="AS271" i="16"/>
  <c r="AM271" i="16"/>
  <c r="AS270" i="16"/>
  <c r="AQ270" i="16"/>
  <c r="AM270" i="16"/>
  <c r="AS269" i="16"/>
  <c r="AQ269" i="16"/>
  <c r="AM269" i="16"/>
  <c r="AS266" i="16"/>
  <c r="AQ266" i="16"/>
  <c r="AM266" i="16"/>
  <c r="AS264" i="16"/>
  <c r="AQ264" i="16"/>
  <c r="AM264" i="16"/>
  <c r="AS261" i="16"/>
  <c r="AQ261" i="16"/>
  <c r="AM261" i="16"/>
  <c r="AM259" i="16"/>
  <c r="AM258" i="16"/>
  <c r="AM257" i="16"/>
  <c r="AM256" i="16"/>
  <c r="AM255" i="16"/>
  <c r="AS254" i="16"/>
  <c r="AQ254" i="16"/>
  <c r="AS251" i="16"/>
  <c r="AQ251" i="16"/>
  <c r="AM251" i="16"/>
  <c r="AQ250" i="16"/>
  <c r="AQ246" i="16"/>
  <c r="AQ243" i="16"/>
  <c r="AS241" i="16"/>
  <c r="AM241" i="16"/>
  <c r="AM239" i="16"/>
  <c r="AM238" i="16"/>
  <c r="AM237" i="16"/>
  <c r="AS236" i="16"/>
  <c r="AQ236" i="16"/>
  <c r="AS235" i="16"/>
  <c r="AQ235" i="16"/>
  <c r="AM235" i="16"/>
  <c r="AS233" i="16"/>
  <c r="AQ233" i="16"/>
  <c r="AM233" i="16"/>
  <c r="AQ225" i="16"/>
  <c r="AQ224" i="16"/>
  <c r="AQ223" i="16"/>
  <c r="AQ222" i="16"/>
  <c r="AQ221" i="16"/>
  <c r="AQ220" i="16"/>
  <c r="AS219" i="16"/>
  <c r="AM219" i="16"/>
  <c r="AS218" i="16"/>
  <c r="AQ218" i="16"/>
  <c r="AM218" i="16"/>
  <c r="AS215" i="16"/>
  <c r="AQ215" i="16"/>
  <c r="AM215" i="16"/>
  <c r="AS211" i="16"/>
  <c r="AQ211" i="16"/>
  <c r="AM211" i="16"/>
  <c r="AS209" i="16"/>
  <c r="AQ209" i="16"/>
  <c r="AM209" i="16"/>
  <c r="AS207" i="16"/>
  <c r="AQ207" i="16"/>
  <c r="AM207" i="16"/>
  <c r="AS206" i="16"/>
  <c r="AQ206" i="16"/>
  <c r="AM206" i="16"/>
  <c r="AS204" i="16"/>
  <c r="AQ204" i="16"/>
  <c r="AM204" i="16"/>
  <c r="AS201" i="16"/>
  <c r="AQ199" i="16"/>
  <c r="AM199" i="16"/>
  <c r="AQ197" i="16"/>
  <c r="AM197" i="16"/>
  <c r="AQ196" i="16"/>
  <c r="AM196" i="16"/>
  <c r="AS194" i="16"/>
  <c r="AS189" i="16"/>
  <c r="AQ189" i="16"/>
  <c r="AM189" i="16"/>
  <c r="AQ184" i="16"/>
  <c r="AM184" i="16"/>
  <c r="AQ182" i="16"/>
  <c r="AM182" i="16"/>
  <c r="AS180" i="16"/>
  <c r="AQ179" i="16"/>
  <c r="AM179" i="16"/>
  <c r="AQ177" i="16"/>
  <c r="AM177" i="16"/>
  <c r="AQ176" i="16"/>
  <c r="AM176" i="16"/>
  <c r="AQ175" i="16"/>
  <c r="AM175" i="16"/>
  <c r="AS173" i="16"/>
  <c r="AS171" i="16"/>
  <c r="AQ171" i="16"/>
  <c r="AM171" i="16"/>
  <c r="AS169" i="16"/>
  <c r="AQ169" i="16"/>
  <c r="AM169" i="16"/>
  <c r="AS167" i="16"/>
  <c r="AQ167" i="16"/>
  <c r="AM167" i="16"/>
  <c r="AS164" i="16"/>
  <c r="AQ164" i="16"/>
  <c r="AM164" i="16"/>
  <c r="AS162" i="16"/>
  <c r="AQ162" i="16"/>
  <c r="AS157" i="16"/>
  <c r="AQ157" i="16"/>
  <c r="AS156" i="16"/>
  <c r="AQ156" i="16"/>
  <c r="AS151" i="16"/>
  <c r="AQ151" i="16"/>
  <c r="AS149" i="16"/>
  <c r="AQ149" i="16"/>
  <c r="AS147" i="16"/>
  <c r="AQ147" i="16"/>
  <c r="AS144" i="16"/>
  <c r="AQ144" i="16"/>
  <c r="AS142" i="16"/>
  <c r="AQ142" i="16"/>
  <c r="AS136" i="16"/>
  <c r="AQ136" i="16"/>
  <c r="AQ134" i="16"/>
  <c r="AS132" i="16"/>
  <c r="AS129" i="16"/>
  <c r="AQ129" i="16"/>
  <c r="AM129" i="16"/>
  <c r="AS127" i="16"/>
  <c r="AQ127" i="16"/>
  <c r="AM126" i="16"/>
  <c r="AM125" i="16"/>
  <c r="AM124" i="16"/>
  <c r="AS122" i="16"/>
  <c r="AQ122" i="16"/>
  <c r="AM121" i="16"/>
  <c r="AM120" i="16"/>
  <c r="AM119" i="16"/>
  <c r="AS115" i="16"/>
  <c r="AQ115" i="16"/>
  <c r="AS112" i="16"/>
  <c r="AQ112" i="16"/>
  <c r="AM112" i="16"/>
  <c r="AS105" i="16"/>
  <c r="AQ104" i="16"/>
  <c r="AM104" i="16"/>
  <c r="AQ102" i="16"/>
  <c r="AQ100" i="16"/>
  <c r="AQ99" i="16"/>
  <c r="AM98" i="16"/>
  <c r="AQ96" i="16"/>
  <c r="AM96" i="16"/>
  <c r="AS93" i="16"/>
  <c r="AQ92" i="16"/>
  <c r="AM92" i="16"/>
  <c r="AQ90" i="16"/>
  <c r="AM90" i="16"/>
  <c r="AM89" i="16"/>
  <c r="AM88" i="16"/>
  <c r="AM87" i="16"/>
  <c r="AQ85" i="16"/>
  <c r="AQ83" i="16"/>
  <c r="AM83" i="16"/>
  <c r="AQ82" i="16"/>
  <c r="AM82" i="16"/>
  <c r="AQ81" i="16"/>
  <c r="AS80" i="16"/>
  <c r="AQ75" i="16"/>
  <c r="AM75" i="16"/>
  <c r="AQ73" i="16"/>
  <c r="AM73" i="16"/>
  <c r="AQ71" i="16"/>
  <c r="AM71" i="16"/>
  <c r="AQ70" i="16"/>
  <c r="AM70" i="16"/>
  <c r="AQ68" i="16"/>
  <c r="AM68" i="16"/>
  <c r="AQ66" i="16"/>
  <c r="AM66" i="16"/>
  <c r="AQ64" i="16"/>
  <c r="AM64" i="16"/>
  <c r="AQ63" i="16"/>
  <c r="AM63" i="16"/>
  <c r="AS61" i="16"/>
  <c r="AS56" i="16"/>
  <c r="AS51" i="16"/>
  <c r="AQ51" i="16"/>
  <c r="AM51" i="16"/>
  <c r="AS47" i="16"/>
  <c r="AQ47" i="16"/>
  <c r="AM47" i="16"/>
  <c r="AS44" i="16"/>
  <c r="AQ44" i="16"/>
  <c r="AM44" i="16"/>
  <c r="AS42" i="16"/>
  <c r="AQ42" i="16"/>
  <c r="AM42" i="16"/>
  <c r="AM41" i="16"/>
  <c r="AM40" i="16"/>
  <c r="AM39" i="16"/>
  <c r="AS37" i="16"/>
  <c r="AQ37" i="16"/>
  <c r="AS34" i="16"/>
  <c r="AQ34" i="16"/>
  <c r="AM34" i="16"/>
  <c r="AM33" i="16"/>
  <c r="AM32" i="16"/>
  <c r="AQ29" i="16"/>
  <c r="AS28" i="16"/>
  <c r="AS19" i="16"/>
  <c r="AQ19" i="16"/>
  <c r="AM19" i="16"/>
  <c r="AS17" i="16"/>
  <c r="AQ17" i="16"/>
  <c r="AM17" i="16"/>
  <c r="AS15" i="16"/>
  <c r="AQ15" i="16"/>
  <c r="AM15" i="16"/>
  <c r="AS13" i="16"/>
  <c r="AR208" i="29"/>
  <c r="AR205" i="29"/>
  <c r="AR200" i="29"/>
  <c r="AR197" i="29"/>
  <c r="AR195" i="29"/>
  <c r="AR189" i="29"/>
  <c r="AR188" i="29"/>
  <c r="AR187" i="29"/>
  <c r="AR186" i="29"/>
  <c r="AR185" i="29"/>
  <c r="AR184" i="29"/>
  <c r="AR183" i="29"/>
  <c r="AR178" i="29"/>
  <c r="AR177" i="29"/>
  <c r="AR176" i="29"/>
  <c r="AR175" i="29"/>
  <c r="AR174" i="29"/>
  <c r="AR173" i="29"/>
  <c r="AR170" i="29"/>
  <c r="AR171" i="29"/>
  <c r="AR169" i="29"/>
  <c r="AR154" i="29"/>
  <c r="AR152" i="29"/>
  <c r="AR151" i="29"/>
  <c r="AR150" i="29"/>
  <c r="AR149" i="29"/>
  <c r="AR148" i="29"/>
  <c r="AR146" i="29"/>
  <c r="AR145" i="29"/>
  <c r="AR143" i="29"/>
  <c r="AR136" i="29"/>
  <c r="AR132" i="29"/>
  <c r="AR130" i="29"/>
  <c r="AR124" i="29"/>
  <c r="AR121" i="29"/>
  <c r="AR120" i="29"/>
  <c r="AR118" i="29"/>
  <c r="AR116" i="29"/>
  <c r="AR115" i="29"/>
  <c r="AR113" i="29"/>
  <c r="AR110" i="29"/>
  <c r="AR108" i="29"/>
  <c r="AR105" i="29"/>
  <c r="AR103" i="29"/>
  <c r="AR96" i="29"/>
  <c r="AR97" i="29"/>
  <c r="AR95" i="29"/>
  <c r="AR93" i="29"/>
  <c r="AR92" i="29"/>
  <c r="AR90" i="29"/>
  <c r="AR87" i="29"/>
  <c r="AR84" i="29"/>
  <c r="AR61" i="29"/>
  <c r="AR62" i="29"/>
  <c r="AR60" i="29"/>
  <c r="AR58" i="29"/>
  <c r="AR56" i="29"/>
  <c r="AR54" i="29"/>
  <c r="AR52" i="29"/>
  <c r="AR51" i="29"/>
  <c r="AR49" i="29"/>
  <c r="AR47" i="29"/>
  <c r="AR46" i="29"/>
  <c r="AR44" i="29"/>
  <c r="AR42" i="29"/>
  <c r="AR38" i="29"/>
  <c r="AR32" i="29"/>
  <c r="AR31" i="29"/>
  <c r="AR30" i="29"/>
  <c r="AR28" i="29"/>
  <c r="AR27" i="29"/>
  <c r="AR25" i="29"/>
  <c r="AR23" i="29"/>
  <c r="AR22" i="29"/>
  <c r="AR21" i="29"/>
  <c r="AR17" i="29"/>
  <c r="AR16" i="29"/>
  <c r="AR15" i="29"/>
  <c r="AP16" i="29"/>
  <c r="AP15" i="29"/>
  <c r="AP17" i="29"/>
  <c r="AP22" i="29"/>
  <c r="AP21" i="29"/>
  <c r="AP23" i="29"/>
  <c r="AP25" i="29"/>
  <c r="AP27" i="29"/>
  <c r="AP28" i="29"/>
  <c r="AP31" i="29"/>
  <c r="AP30" i="29"/>
  <c r="AP32" i="29"/>
  <c r="AP38" i="29"/>
  <c r="AP42" i="29"/>
  <c r="AP44" i="29"/>
  <c r="AP46" i="29"/>
  <c r="AP47" i="29"/>
  <c r="AP49" i="29"/>
  <c r="AP51" i="29"/>
  <c r="AP52" i="29"/>
  <c r="AP54" i="29"/>
  <c r="AP56" i="29"/>
  <c r="AP58" i="29"/>
  <c r="AP61" i="29"/>
  <c r="AP60" i="29"/>
  <c r="AP62" i="29"/>
  <c r="AP84" i="29"/>
  <c r="AP87" i="29"/>
  <c r="AP90" i="29"/>
  <c r="AP92" i="29"/>
  <c r="AP93" i="29"/>
  <c r="AP96" i="29"/>
  <c r="AP95" i="29"/>
  <c r="AP97" i="29"/>
  <c r="AP103" i="29"/>
  <c r="AP105" i="29"/>
  <c r="AP108" i="29"/>
  <c r="AP110" i="29"/>
  <c r="AP113" i="29"/>
  <c r="AP115" i="29"/>
  <c r="AP116" i="29"/>
  <c r="AP118" i="29"/>
  <c r="AP120" i="29"/>
  <c r="AP121" i="29"/>
  <c r="AP124" i="29"/>
  <c r="AP130" i="29"/>
  <c r="AP132" i="29"/>
  <c r="AP136" i="29"/>
  <c r="AP143" i="29"/>
  <c r="AP146" i="29"/>
  <c r="AP145" i="29"/>
  <c r="AP152" i="29"/>
  <c r="AP151" i="29"/>
  <c r="AP150" i="29"/>
  <c r="AP149" i="29"/>
  <c r="AP148" i="29"/>
  <c r="AP154" i="29"/>
  <c r="AP171" i="29"/>
  <c r="AP170" i="29"/>
  <c r="AP169" i="29"/>
  <c r="AP178" i="29"/>
  <c r="AP177" i="29"/>
  <c r="AP176" i="29"/>
  <c r="AP175" i="29"/>
  <c r="AP174" i="29"/>
  <c r="AP173" i="29"/>
  <c r="AP189" i="29"/>
  <c r="AP188" i="29"/>
  <c r="AP187" i="29"/>
  <c r="AP186" i="29"/>
  <c r="AP185" i="29"/>
  <c r="AP184" i="29"/>
  <c r="AP183" i="29"/>
  <c r="AP195" i="29"/>
  <c r="AP197" i="29"/>
  <c r="AP200" i="29"/>
  <c r="AP205" i="29"/>
  <c r="AP208" i="29"/>
  <c r="AN212" i="29"/>
  <c r="AN208" i="29"/>
  <c r="AN205" i="29"/>
  <c r="AN194" i="29"/>
  <c r="AN179" i="29"/>
  <c r="AN167" i="29"/>
  <c r="AN154" i="29"/>
  <c r="AN126" i="29"/>
  <c r="AN99" i="29"/>
  <c r="AN81" i="29"/>
  <c r="AN62" i="29"/>
  <c r="AN12" i="29"/>
  <c r="AL212" i="29"/>
  <c r="AL208" i="29"/>
  <c r="AL205" i="29"/>
  <c r="AL200" i="29"/>
  <c r="AL197" i="29"/>
  <c r="AL195" i="29"/>
  <c r="AL194" i="29"/>
  <c r="AL179" i="29"/>
  <c r="AL170" i="29"/>
  <c r="AL171" i="29"/>
  <c r="AL169" i="29"/>
  <c r="AL167" i="29"/>
  <c r="AL154" i="29"/>
  <c r="AL156" i="29"/>
  <c r="AL130" i="29"/>
  <c r="AL126" i="29"/>
  <c r="AL124" i="29"/>
  <c r="AL105" i="29"/>
  <c r="AL103" i="29"/>
  <c r="AL99" i="29"/>
  <c r="AL90" i="29"/>
  <c r="AL87" i="29"/>
  <c r="AL84" i="29"/>
  <c r="AL81" i="29"/>
  <c r="AL62" i="29"/>
  <c r="AL64" i="29"/>
  <c r="AL28" i="29"/>
  <c r="AL17" i="29"/>
  <c r="AL16" i="29"/>
  <c r="AL15" i="29"/>
  <c r="AL12" i="29"/>
  <c r="AR12" i="28"/>
  <c r="AR18" i="28"/>
  <c r="AR23" i="28"/>
  <c r="AR26" i="28"/>
  <c r="AR29" i="28"/>
  <c r="AR34" i="28"/>
  <c r="AR37" i="28"/>
  <c r="AR43" i="28"/>
  <c r="AR46" i="28"/>
  <c r="AR48" i="28"/>
  <c r="AR51" i="28"/>
  <c r="AR53" i="28"/>
  <c r="AR55" i="28"/>
  <c r="AR58" i="28"/>
  <c r="AR60" i="28"/>
  <c r="AR62" i="28"/>
  <c r="AR68" i="28"/>
  <c r="AR73" i="28"/>
  <c r="AR78" i="28"/>
  <c r="AR92" i="28"/>
  <c r="AR94" i="28"/>
  <c r="AR97" i="28"/>
  <c r="AR106" i="28"/>
  <c r="AR117" i="28"/>
  <c r="AR121" i="28"/>
  <c r="AR127" i="28"/>
  <c r="AR133" i="28"/>
  <c r="AR135" i="28"/>
  <c r="AR136" i="28"/>
  <c r="AR138" i="28"/>
  <c r="AR143" i="28"/>
  <c r="AR149" i="28"/>
  <c r="AR156" i="28"/>
  <c r="AR161" i="28"/>
  <c r="AR162" i="28"/>
  <c r="AR166" i="28"/>
  <c r="AR171" i="28"/>
  <c r="AR177" i="28"/>
  <c r="AR179" i="28"/>
  <c r="AR185" i="28"/>
  <c r="AR187" i="28"/>
  <c r="AR189" i="28"/>
  <c r="AR195" i="28"/>
  <c r="AR197" i="28"/>
  <c r="AR199" i="28"/>
  <c r="AR201" i="28"/>
  <c r="AR204" i="28"/>
  <c r="AR208" i="28"/>
  <c r="AR212" i="28"/>
  <c r="AR219" i="28"/>
  <c r="AR221" i="28"/>
  <c r="AR223" i="28"/>
  <c r="AR226" i="28"/>
  <c r="AR230" i="28"/>
  <c r="AR241" i="28"/>
  <c r="AR243" i="28"/>
  <c r="AR246" i="28"/>
  <c r="AR249" i="28"/>
  <c r="AR251" i="28"/>
  <c r="AR256" i="28"/>
  <c r="AR262" i="28"/>
  <c r="AR302" i="28"/>
  <c r="AR325" i="28"/>
  <c r="AR329" i="28"/>
  <c r="AR331" i="28"/>
  <c r="AR334" i="28"/>
  <c r="AR337" i="28"/>
  <c r="AR339" i="28"/>
  <c r="AR343" i="28"/>
  <c r="AR347" i="28"/>
  <c r="AR351" i="28"/>
  <c r="AR359" i="28"/>
  <c r="AR364" i="28"/>
  <c r="AR369" i="28"/>
  <c r="AR376" i="28"/>
  <c r="AR380" i="28"/>
  <c r="AR385" i="28"/>
  <c r="AR388" i="28"/>
  <c r="AR389" i="28"/>
  <c r="AR391" i="28"/>
  <c r="AR396" i="28"/>
  <c r="AR400" i="28"/>
  <c r="AP400" i="28"/>
  <c r="AP396" i="28"/>
  <c r="AP391" i="28"/>
  <c r="AP389" i="28"/>
  <c r="AP388" i="28"/>
  <c r="AP385" i="28"/>
  <c r="AP380" i="28"/>
  <c r="AP376" i="28"/>
  <c r="AP369" i="28"/>
  <c r="AP364" i="28"/>
  <c r="AP359" i="28"/>
  <c r="AP354" i="28"/>
  <c r="AP353" i="28"/>
  <c r="AP347" i="28"/>
  <c r="AP343" i="28"/>
  <c r="AP339" i="28"/>
  <c r="AP337" i="28"/>
  <c r="AP334" i="28"/>
  <c r="AP331" i="28"/>
  <c r="AP329" i="28"/>
  <c r="AP325" i="28"/>
  <c r="AP302" i="28"/>
  <c r="AP300" i="28"/>
  <c r="AP251" i="28"/>
  <c r="AP249" i="28"/>
  <c r="AP246" i="28"/>
  <c r="AP243" i="28"/>
  <c r="AP241" i="28"/>
  <c r="AP230" i="28"/>
  <c r="AP226" i="28"/>
  <c r="AP223" i="28"/>
  <c r="AP221" i="28"/>
  <c r="AP219" i="28"/>
  <c r="AP216" i="28"/>
  <c r="AP214" i="28"/>
  <c r="AP208" i="28"/>
  <c r="AP207" i="28"/>
  <c r="AP205" i="28"/>
  <c r="AP201" i="28"/>
  <c r="AP199" i="28"/>
  <c r="AP197" i="28"/>
  <c r="AP195" i="28"/>
  <c r="AP189" i="28"/>
  <c r="AP187" i="28"/>
  <c r="AP185" i="28"/>
  <c r="AP182" i="28"/>
  <c r="AP181" i="28"/>
  <c r="AP177" i="28"/>
  <c r="AP171" i="28"/>
  <c r="AP166" i="28"/>
  <c r="AP162" i="28"/>
  <c r="AP161" i="28"/>
  <c r="AP156" i="28"/>
  <c r="AP149" i="28"/>
  <c r="AP143" i="28"/>
  <c r="AP138" i="28"/>
  <c r="AP136" i="28"/>
  <c r="AP135" i="28"/>
  <c r="AP133" i="28"/>
  <c r="AP121" i="28"/>
  <c r="AP118" i="28"/>
  <c r="AP117" i="28"/>
  <c r="AP106" i="28"/>
  <c r="AP97" i="28"/>
  <c r="AP94" i="28"/>
  <c r="AP92" i="28"/>
  <c r="AP79" i="28"/>
  <c r="AP80" i="28"/>
  <c r="AP81" i="28"/>
  <c r="AP78" i="28"/>
  <c r="AP73" i="28"/>
  <c r="AP68" i="28"/>
  <c r="AP62" i="28"/>
  <c r="AP60" i="28"/>
  <c r="AP58" i="28"/>
  <c r="AP55" i="28"/>
  <c r="AP53" i="28"/>
  <c r="AP51" i="28"/>
  <c r="AP48" i="28"/>
  <c r="AP46" i="28"/>
  <c r="AP43" i="28"/>
  <c r="AP37" i="28"/>
  <c r="AP34" i="28"/>
  <c r="AP29" i="28"/>
  <c r="AP26" i="28"/>
  <c r="AP23" i="28"/>
  <c r="AP18" i="28"/>
  <c r="AP12" i="28"/>
  <c r="AN12" i="28"/>
  <c r="AN18" i="28"/>
  <c r="AN23" i="28"/>
  <c r="AN26" i="28"/>
  <c r="AN34" i="28"/>
  <c r="AN37" i="28"/>
  <c r="AN43" i="28"/>
  <c r="AN46" i="28"/>
  <c r="AN48" i="28"/>
  <c r="AN51" i="28"/>
  <c r="AN53" i="28"/>
  <c r="AN55" i="28"/>
  <c r="AN58" i="28"/>
  <c r="AN60" i="28"/>
  <c r="AN62" i="28"/>
  <c r="AN68" i="28"/>
  <c r="AN69" i="28"/>
  <c r="AN92" i="28"/>
  <c r="AN94" i="28"/>
  <c r="AN99" i="28"/>
  <c r="AN121" i="28"/>
  <c r="AN131" i="28"/>
  <c r="AN138" i="28"/>
  <c r="AN143" i="28"/>
  <c r="AN152" i="28"/>
  <c r="AN166" i="28"/>
  <c r="AN171" i="28"/>
  <c r="AN179" i="28"/>
  <c r="AN185" i="28"/>
  <c r="AN187" i="28"/>
  <c r="AN197" i="28"/>
  <c r="AN201" i="28"/>
  <c r="AN204" i="28"/>
  <c r="AN208" i="28"/>
  <c r="AN212" i="28"/>
  <c r="AN217" i="28"/>
  <c r="AN226" i="28"/>
  <c r="AN230" i="28"/>
  <c r="AN241" i="28"/>
  <c r="AN243" i="28"/>
  <c r="AN246" i="28"/>
  <c r="AN249" i="28"/>
  <c r="AN256" i="28"/>
  <c r="AN259" i="28"/>
  <c r="AN302" i="28"/>
  <c r="AN325" i="28"/>
  <c r="AN327" i="28"/>
  <c r="AN337" i="28"/>
  <c r="AN343" i="28"/>
  <c r="AN347" i="28"/>
  <c r="AN351" i="28"/>
  <c r="AN359" i="28"/>
  <c r="AN364" i="28"/>
  <c r="AN380" i="28"/>
  <c r="AN385" i="28"/>
  <c r="AN387" i="28"/>
  <c r="AN391" i="28"/>
  <c r="AN396" i="28"/>
  <c r="AN400" i="28"/>
  <c r="AL407" i="28"/>
  <c r="AL404" i="28"/>
  <c r="AL402" i="28"/>
  <c r="AL400" i="28"/>
  <c r="AL396" i="28"/>
  <c r="AL391" i="28"/>
  <c r="AL387" i="28"/>
  <c r="AL385" i="28"/>
  <c r="AL380" i="28"/>
  <c r="AL376" i="28"/>
  <c r="AL369" i="28"/>
  <c r="AL364" i="28"/>
  <c r="AL359" i="28"/>
  <c r="AL351" i="28"/>
  <c r="AL349" i="28"/>
  <c r="AL348" i="28"/>
  <c r="AL346" i="28"/>
  <c r="AL344" i="28"/>
  <c r="AL339" i="28"/>
  <c r="AL337" i="28"/>
  <c r="AL327" i="28"/>
  <c r="AL325" i="28"/>
  <c r="AL302" i="28"/>
  <c r="AL261" i="28"/>
  <c r="AL260" i="28"/>
  <c r="AL258" i="28"/>
  <c r="AL257" i="28"/>
  <c r="AL251" i="28"/>
  <c r="AL249" i="28"/>
  <c r="AL246" i="28"/>
  <c r="AL243" i="28"/>
  <c r="AL240" i="28"/>
  <c r="AL239" i="28"/>
  <c r="AL241" i="28"/>
  <c r="AL238" i="28"/>
  <c r="AL236" i="28"/>
  <c r="AL234" i="28"/>
  <c r="AL230" i="28"/>
  <c r="AL226" i="28"/>
  <c r="AL217" i="28"/>
  <c r="AL215" i="28"/>
  <c r="AL213" i="28"/>
  <c r="AL212" i="28"/>
  <c r="AL207" i="28"/>
  <c r="AL208" i="28"/>
  <c r="AL206" i="28"/>
  <c r="AL204" i="28"/>
  <c r="AL201" i="28"/>
  <c r="AL199" i="28"/>
  <c r="AL197" i="28"/>
  <c r="AL195" i="28"/>
  <c r="AL189" i="28"/>
  <c r="AL187" i="28"/>
  <c r="AL185" i="28"/>
  <c r="AL182" i="28"/>
  <c r="AL181" i="28"/>
  <c r="AL177" i="28"/>
  <c r="AL171" i="28"/>
  <c r="AL166" i="28"/>
  <c r="AL162" i="28"/>
  <c r="AL161" i="28"/>
  <c r="AL156" i="28"/>
  <c r="AL149" i="28"/>
  <c r="AL143" i="28"/>
  <c r="AL138" i="28"/>
  <c r="AL131" i="28"/>
  <c r="AL121" i="28"/>
  <c r="AL99" i="28"/>
  <c r="AL97" i="28"/>
  <c r="AL94" i="28"/>
  <c r="AL92" i="28"/>
  <c r="AL88" i="28"/>
  <c r="AL85" i="28"/>
  <c r="AL86" i="28"/>
  <c r="AL84" i="28"/>
  <c r="AL82" i="28"/>
  <c r="AL73" i="28"/>
  <c r="AL69" i="28"/>
  <c r="AL68" i="28"/>
  <c r="AL62" i="28"/>
  <c r="AL61" i="28"/>
  <c r="AL59" i="28"/>
  <c r="AL55" i="28"/>
  <c r="AL54" i="28"/>
  <c r="AL52" i="28"/>
  <c r="AL49" i="28"/>
  <c r="AL47" i="28"/>
  <c r="AL44" i="28"/>
  <c r="AL39" i="28"/>
  <c r="AL38" i="28"/>
  <c r="AL34" i="28"/>
  <c r="AL28" i="28"/>
  <c r="AL29" i="28"/>
  <c r="AL27" i="28"/>
  <c r="AL25" i="28"/>
  <c r="AL24" i="28"/>
  <c r="AL18" i="28"/>
  <c r="AL12" i="28"/>
  <c r="AM156" i="29"/>
  <c r="AS208" i="29"/>
  <c r="AS205" i="29"/>
  <c r="AS200" i="29"/>
  <c r="AS197" i="29"/>
  <c r="AS195" i="29"/>
  <c r="AS189" i="29"/>
  <c r="AS188" i="29"/>
  <c r="AS187" i="29"/>
  <c r="AS186" i="29"/>
  <c r="AS185" i="29"/>
  <c r="AS184" i="29"/>
  <c r="AS183" i="29"/>
  <c r="AS178" i="29"/>
  <c r="AS177" i="29"/>
  <c r="AS176" i="29"/>
  <c r="AS175" i="29"/>
  <c r="AS174" i="29"/>
  <c r="AS173" i="29"/>
  <c r="AS171" i="29"/>
  <c r="AS170" i="29"/>
  <c r="AS169" i="29"/>
  <c r="AS154" i="29"/>
  <c r="AS152" i="29"/>
  <c r="AS151" i="29"/>
  <c r="AS150" i="29"/>
  <c r="AS149" i="29"/>
  <c r="AS148" i="29"/>
  <c r="AS146" i="29"/>
  <c r="AS145" i="29"/>
  <c r="AS143" i="29"/>
  <c r="AS136" i="29"/>
  <c r="AS132" i="29"/>
  <c r="AS130" i="29"/>
  <c r="AS124" i="29"/>
  <c r="AS121" i="29"/>
  <c r="AS120" i="29"/>
  <c r="AS118" i="29"/>
  <c r="AS116" i="29"/>
  <c r="AS115" i="29"/>
  <c r="AS113" i="29"/>
  <c r="AS110" i="29"/>
  <c r="AS108" i="29"/>
  <c r="AS105" i="29"/>
  <c r="AS103" i="29"/>
  <c r="AS97" i="29"/>
  <c r="AS96" i="29"/>
  <c r="AS95" i="29"/>
  <c r="AS93" i="29"/>
  <c r="AS92" i="29"/>
  <c r="AS90" i="29"/>
  <c r="AS87" i="29"/>
  <c r="AS84" i="29"/>
  <c r="AS62" i="29"/>
  <c r="AS61" i="29"/>
  <c r="AS60" i="29"/>
  <c r="AS58" i="29"/>
  <c r="AS56" i="29"/>
  <c r="AS54" i="29"/>
  <c r="AS52" i="29"/>
  <c r="AS51" i="29"/>
  <c r="AS49" i="29"/>
  <c r="AS47" i="29"/>
  <c r="AS46" i="29"/>
  <c r="AS44" i="29"/>
  <c r="AS42" i="29"/>
  <c r="AS38" i="29"/>
  <c r="AS32" i="29"/>
  <c r="AS31" i="29"/>
  <c r="AS30" i="29"/>
  <c r="AS28" i="29"/>
  <c r="AS27" i="29"/>
  <c r="AS25" i="29"/>
  <c r="AS23" i="29"/>
  <c r="AS22" i="29"/>
  <c r="AS21" i="29"/>
  <c r="AS17" i="29"/>
  <c r="AS16" i="29"/>
  <c r="AS15" i="29"/>
  <c r="AQ208" i="29"/>
  <c r="AQ205" i="29"/>
  <c r="AQ200" i="29"/>
  <c r="AQ197" i="29"/>
  <c r="AQ195" i="29"/>
  <c r="AQ189" i="29"/>
  <c r="AQ188" i="29"/>
  <c r="AQ187" i="29"/>
  <c r="AQ186" i="29"/>
  <c r="AQ185" i="29"/>
  <c r="AQ184" i="29"/>
  <c r="AQ183" i="29"/>
  <c r="AQ178" i="29"/>
  <c r="AQ177" i="29"/>
  <c r="AQ176" i="29"/>
  <c r="AQ175" i="29"/>
  <c r="AQ174" i="29"/>
  <c r="AQ173" i="29"/>
  <c r="AQ171" i="29"/>
  <c r="AQ170" i="29"/>
  <c r="AQ169" i="29"/>
  <c r="AQ154" i="29"/>
  <c r="AQ152" i="29"/>
  <c r="AQ151" i="29"/>
  <c r="AQ150" i="29"/>
  <c r="AQ149" i="29"/>
  <c r="AQ148" i="29"/>
  <c r="AQ146" i="29"/>
  <c r="AQ145" i="29"/>
  <c r="AQ143" i="29"/>
  <c r="AQ136" i="29"/>
  <c r="AQ132" i="29"/>
  <c r="AQ130" i="29"/>
  <c r="AQ124" i="29"/>
  <c r="AQ121" i="29"/>
  <c r="AQ120" i="29"/>
  <c r="AQ118" i="29"/>
  <c r="AQ116" i="29"/>
  <c r="AQ115" i="29"/>
  <c r="AQ113" i="29"/>
  <c r="AQ110" i="29"/>
  <c r="AQ108" i="29"/>
  <c r="AQ105" i="29"/>
  <c r="AQ103" i="29"/>
  <c r="AQ97" i="29"/>
  <c r="AQ96" i="29"/>
  <c r="AQ95" i="29"/>
  <c r="AQ93" i="29"/>
  <c r="AQ92" i="29"/>
  <c r="AQ90" i="29"/>
  <c r="AQ87" i="29"/>
  <c r="AQ84" i="29"/>
  <c r="AQ62" i="29"/>
  <c r="AQ61" i="29"/>
  <c r="AQ60" i="29"/>
  <c r="AQ58" i="29"/>
  <c r="AQ56" i="29"/>
  <c r="AQ54" i="29"/>
  <c r="AQ52" i="29"/>
  <c r="AQ51" i="29"/>
  <c r="AQ49" i="29"/>
  <c r="AQ47" i="29"/>
  <c r="AQ46" i="29"/>
  <c r="AQ44" i="29"/>
  <c r="AQ42" i="29"/>
  <c r="AQ38" i="29"/>
  <c r="AQ32" i="29"/>
  <c r="AQ31" i="29"/>
  <c r="AQ30" i="29"/>
  <c r="AQ28" i="29"/>
  <c r="AQ27" i="29"/>
  <c r="AQ25" i="29"/>
  <c r="AQ23" i="29"/>
  <c r="AQ22" i="29"/>
  <c r="AQ21" i="29"/>
  <c r="AQ17" i="29"/>
  <c r="AQ16" i="29"/>
  <c r="AQ15" i="29"/>
  <c r="AO179" i="29"/>
  <c r="AO194" i="29"/>
  <c r="AO205" i="29"/>
  <c r="AO208" i="29"/>
  <c r="AO212" i="29"/>
  <c r="AM212" i="29"/>
  <c r="AM208" i="29"/>
  <c r="AM205" i="29"/>
  <c r="AM200" i="29"/>
  <c r="AM197" i="29"/>
  <c r="AM195" i="29"/>
  <c r="AM194" i="29"/>
  <c r="AM179" i="29"/>
  <c r="AM167" i="29"/>
  <c r="AM126" i="29"/>
  <c r="AM99" i="29"/>
  <c r="AM81" i="29"/>
  <c r="AM64" i="29"/>
  <c r="AM12" i="29"/>
  <c r="AS400" i="28"/>
  <c r="AS396" i="28"/>
  <c r="AS391" i="28"/>
  <c r="AS389" i="28"/>
  <c r="AS388" i="28"/>
  <c r="AS385" i="28"/>
  <c r="AS380" i="28"/>
  <c r="AS376" i="28"/>
  <c r="AS369" i="28"/>
  <c r="AS364" i="28"/>
  <c r="AS359" i="28"/>
  <c r="AS351" i="28"/>
  <c r="AS347" i="28"/>
  <c r="AS343" i="28"/>
  <c r="AS339" i="28"/>
  <c r="AS337" i="28"/>
  <c r="AS334" i="28"/>
  <c r="AS331" i="28"/>
  <c r="AS329" i="28"/>
  <c r="AS325" i="28"/>
  <c r="AS302" i="28"/>
  <c r="AS262" i="28"/>
  <c r="AS256" i="28"/>
  <c r="AS251" i="28"/>
  <c r="AS249" i="28"/>
  <c r="AS246" i="28"/>
  <c r="AS243" i="28"/>
  <c r="AS241" i="28"/>
  <c r="AS230" i="28"/>
  <c r="AS226" i="28"/>
  <c r="AS223" i="28"/>
  <c r="AS221" i="28"/>
  <c r="AS219" i="28"/>
  <c r="AS212" i="28"/>
  <c r="AS208" i="28"/>
  <c r="AS204" i="28"/>
  <c r="AS201" i="28"/>
  <c r="AS199" i="28"/>
  <c r="AS197" i="28"/>
  <c r="AS195" i="28"/>
  <c r="AS189" i="28"/>
  <c r="AS187" i="28"/>
  <c r="AS185" i="28"/>
  <c r="AS179" i="28"/>
  <c r="AS177" i="28"/>
  <c r="AS171" i="28"/>
  <c r="AS166" i="28"/>
  <c r="AS162" i="28"/>
  <c r="AS161" i="28"/>
  <c r="AS156" i="28"/>
  <c r="AS149" i="28"/>
  <c r="AS143" i="28"/>
  <c r="AS138" i="28"/>
  <c r="AS136" i="28"/>
  <c r="AS135" i="28"/>
  <c r="AS133" i="28"/>
  <c r="AS127" i="28"/>
  <c r="AS121" i="28"/>
  <c r="AS117" i="28"/>
  <c r="AS106" i="28"/>
  <c r="AS97" i="28"/>
  <c r="AS94" i="28"/>
  <c r="AS92" i="28"/>
  <c r="AS78" i="28"/>
  <c r="AS73" i="28"/>
  <c r="AS68" i="28"/>
  <c r="AS62" i="28"/>
  <c r="AS60" i="28"/>
  <c r="AS58" i="28"/>
  <c r="AS55" i="28"/>
  <c r="AS53" i="28"/>
  <c r="AS51" i="28"/>
  <c r="AS48" i="28"/>
  <c r="AS46" i="28"/>
  <c r="AS43" i="28"/>
  <c r="AS37" i="28"/>
  <c r="AS34" i="28"/>
  <c r="AS29" i="28"/>
  <c r="AS26" i="28"/>
  <c r="AS23" i="28"/>
  <c r="AS18" i="28"/>
  <c r="AS12" i="28"/>
  <c r="AQ400" i="28"/>
  <c r="AQ396" i="28"/>
  <c r="AQ391" i="28"/>
  <c r="AQ389" i="28"/>
  <c r="AQ388" i="28"/>
  <c r="AQ385" i="28"/>
  <c r="AQ380" i="28"/>
  <c r="AQ376" i="28"/>
  <c r="AQ369" i="28"/>
  <c r="AQ364" i="28"/>
  <c r="AQ359" i="28"/>
  <c r="AQ354" i="28"/>
  <c r="AQ353" i="28"/>
  <c r="AQ347" i="28"/>
  <c r="AQ343" i="28"/>
  <c r="AQ339" i="28"/>
  <c r="AQ337" i="28"/>
  <c r="AQ334" i="28"/>
  <c r="AQ331" i="28"/>
  <c r="AQ329" i="28"/>
  <c r="AQ325" i="28"/>
  <c r="AQ302" i="28"/>
  <c r="AQ300" i="28"/>
  <c r="AQ251" i="28"/>
  <c r="AQ249" i="28"/>
  <c r="AQ246" i="28"/>
  <c r="AQ243" i="28"/>
  <c r="AQ241" i="28"/>
  <c r="AQ230" i="28"/>
  <c r="AQ226" i="28"/>
  <c r="AQ223" i="28"/>
  <c r="AQ221" i="28"/>
  <c r="AQ219" i="28"/>
  <c r="AQ216" i="28"/>
  <c r="AQ214" i="28"/>
  <c r="AQ208" i="28"/>
  <c r="AQ207" i="28"/>
  <c r="AQ205" i="28"/>
  <c r="AQ201" i="28"/>
  <c r="AQ199" i="28"/>
  <c r="AQ197" i="28"/>
  <c r="AQ195" i="28"/>
  <c r="AQ189" i="28"/>
  <c r="AQ187" i="28"/>
  <c r="AQ185" i="28"/>
  <c r="AQ182" i="28"/>
  <c r="AQ181" i="28"/>
  <c r="AQ177" i="28"/>
  <c r="AQ171" i="28"/>
  <c r="AQ166" i="28"/>
  <c r="AQ162" i="28"/>
  <c r="AQ161" i="28"/>
  <c r="AQ156" i="28"/>
  <c r="AQ149" i="28"/>
  <c r="AQ143" i="28"/>
  <c r="AQ138" i="28"/>
  <c r="AQ136" i="28"/>
  <c r="AQ135" i="28"/>
  <c r="AQ133" i="28"/>
  <c r="AQ121" i="28"/>
  <c r="AQ118" i="28"/>
  <c r="AQ117" i="28"/>
  <c r="AQ106" i="28"/>
  <c r="AQ97" i="28"/>
  <c r="AQ94" i="28"/>
  <c r="AQ92" i="28"/>
  <c r="AQ81" i="28"/>
  <c r="AQ80" i="28"/>
  <c r="AQ79" i="28"/>
  <c r="AQ78" i="28"/>
  <c r="AQ73" i="28"/>
  <c r="AQ68" i="28"/>
  <c r="AQ62" i="28"/>
  <c r="AQ60" i="28"/>
  <c r="AQ58" i="28"/>
  <c r="AQ55" i="28"/>
  <c r="AQ53" i="28"/>
  <c r="AQ51" i="28"/>
  <c r="AQ48" i="28"/>
  <c r="AQ46" i="28"/>
  <c r="AQ43" i="28"/>
  <c r="AQ37" i="28"/>
  <c r="AQ34" i="28"/>
  <c r="AQ29" i="28"/>
  <c r="AQ26" i="28"/>
  <c r="AQ23" i="28"/>
  <c r="AQ18" i="28"/>
  <c r="AQ12" i="28"/>
  <c r="AM407" i="28"/>
  <c r="AM404" i="28"/>
  <c r="AM402" i="28"/>
  <c r="AM400" i="28"/>
  <c r="AM396" i="28"/>
  <c r="AM391" i="28"/>
  <c r="AM387" i="28"/>
  <c r="AM385" i="28"/>
  <c r="AM380" i="28"/>
  <c r="AM364" i="28"/>
  <c r="AM359" i="28"/>
  <c r="AM351" i="28"/>
  <c r="AM349" i="28"/>
  <c r="AM348" i="28"/>
  <c r="AM346" i="28"/>
  <c r="AM344" i="28"/>
  <c r="AM337" i="28"/>
  <c r="AM327" i="28"/>
  <c r="AM325" i="28"/>
  <c r="AM302" i="28"/>
  <c r="AM261" i="28"/>
  <c r="AM260" i="28"/>
  <c r="AM258" i="28"/>
  <c r="AM249" i="28"/>
  <c r="AM246" i="28"/>
  <c r="AM243" i="28"/>
  <c r="AM239" i="28"/>
  <c r="AM240" i="28"/>
  <c r="AM241" i="28"/>
  <c r="AM238" i="28"/>
  <c r="AM236" i="28"/>
  <c r="AM234" i="28"/>
  <c r="AM226" i="28"/>
  <c r="AM217" i="28"/>
  <c r="AM215" i="28"/>
  <c r="AM213" i="28"/>
  <c r="AM212" i="28"/>
  <c r="AM207" i="28"/>
  <c r="AM208" i="28"/>
  <c r="AM206" i="28"/>
  <c r="AM204" i="28"/>
  <c r="AM201" i="28"/>
  <c r="AM197" i="28"/>
  <c r="AM187" i="28"/>
  <c r="AM185" i="28"/>
  <c r="AM182" i="28"/>
  <c r="AM181" i="28"/>
  <c r="AM171" i="28"/>
  <c r="AM166" i="28"/>
  <c r="AM162" i="28"/>
  <c r="AM161" i="28"/>
  <c r="AM156" i="28"/>
  <c r="AM143" i="28"/>
  <c r="AM138" i="28"/>
  <c r="AM131" i="28"/>
  <c r="AM121" i="28"/>
  <c r="AM99" i="28"/>
  <c r="AM94" i="28"/>
  <c r="AM92" i="28"/>
  <c r="AM88" i="28"/>
  <c r="AM85" i="28"/>
  <c r="AM86" i="28"/>
  <c r="AM84" i="28"/>
  <c r="AM82" i="28"/>
  <c r="AM69" i="28"/>
  <c r="AM68" i="28"/>
  <c r="AM59" i="28"/>
  <c r="AM61" i="28"/>
  <c r="AM62" i="28"/>
  <c r="AM52" i="28"/>
  <c r="AM54" i="28"/>
  <c r="AM55" i="28"/>
  <c r="AM47" i="28"/>
  <c r="AM49" i="28"/>
  <c r="AM44" i="28"/>
  <c r="AM39" i="28"/>
  <c r="AM38" i="28"/>
  <c r="AM34" i="28"/>
  <c r="AM28" i="28"/>
  <c r="AM27" i="28"/>
  <c r="AM25" i="28"/>
  <c r="AM24" i="28"/>
  <c r="AM18" i="28"/>
  <c r="AM12" i="28"/>
  <c r="AS267" i="82"/>
  <c r="AR267" i="82"/>
  <c r="AS265" i="82"/>
  <c r="AR265" i="82"/>
  <c r="AS262" i="82"/>
  <c r="AR262" i="82"/>
  <c r="AS257" i="82"/>
  <c r="AR257" i="82"/>
  <c r="AS254" i="82"/>
  <c r="AR254" i="82"/>
  <c r="AS253" i="82"/>
  <c r="AR253" i="82"/>
  <c r="AS251" i="82"/>
  <c r="AR251" i="82"/>
  <c r="AS245" i="82"/>
  <c r="AR245" i="82"/>
  <c r="AS236" i="82"/>
  <c r="AR236" i="82"/>
  <c r="AS228" i="82"/>
  <c r="AR228" i="82"/>
  <c r="AS225" i="82"/>
  <c r="AR225" i="82"/>
  <c r="AS202" i="82"/>
  <c r="AR202" i="82"/>
  <c r="AS200" i="82"/>
  <c r="AR200" i="82"/>
  <c r="AS186" i="82"/>
  <c r="AR186" i="82"/>
  <c r="AS182" i="82"/>
  <c r="AR182" i="82"/>
  <c r="AS180" i="82"/>
  <c r="AR180" i="82"/>
  <c r="AS179" i="82"/>
  <c r="AR179" i="82"/>
  <c r="AS177" i="82"/>
  <c r="AR177" i="82"/>
  <c r="AS175" i="82"/>
  <c r="AR175" i="82"/>
  <c r="AS171" i="82"/>
  <c r="AR171" i="82"/>
  <c r="AS169" i="82"/>
  <c r="AR169" i="82"/>
  <c r="AS165" i="82"/>
  <c r="AR165" i="82"/>
  <c r="AS164" i="82"/>
  <c r="AR164" i="82"/>
  <c r="AS163" i="82"/>
  <c r="AR163" i="82"/>
  <c r="AS159" i="82"/>
  <c r="AR159" i="82"/>
  <c r="AS157" i="82"/>
  <c r="AR157" i="82"/>
  <c r="AS154" i="82"/>
  <c r="AR154" i="82"/>
  <c r="AS152" i="82"/>
  <c r="AR152" i="82"/>
  <c r="AS148" i="82"/>
  <c r="AR148" i="82"/>
  <c r="AS145" i="82"/>
  <c r="AR145" i="82"/>
  <c r="AS138" i="82"/>
  <c r="AR138" i="82"/>
  <c r="AS136" i="82"/>
  <c r="AR136" i="82"/>
  <c r="AS132" i="82"/>
  <c r="AR132" i="82"/>
  <c r="AS127" i="82"/>
  <c r="AR127" i="82"/>
  <c r="AS115" i="82"/>
  <c r="AR115" i="82"/>
  <c r="AS111" i="82"/>
  <c r="AR111" i="82"/>
  <c r="AS106" i="82"/>
  <c r="AR106" i="82"/>
  <c r="AS95" i="82"/>
  <c r="AR95" i="82"/>
  <c r="AS90" i="82"/>
  <c r="AR90" i="82"/>
  <c r="AS88" i="82"/>
  <c r="AR88" i="82"/>
  <c r="AS81" i="82"/>
  <c r="AR81" i="82"/>
  <c r="AS79" i="82"/>
  <c r="AR79" i="82"/>
  <c r="AS73" i="82"/>
  <c r="AR73" i="82"/>
  <c r="AS72" i="82"/>
  <c r="AR72" i="82"/>
  <c r="AS67" i="82"/>
  <c r="AR67" i="82"/>
  <c r="AS62" i="82"/>
  <c r="AR62" i="82"/>
  <c r="AS51" i="82"/>
  <c r="AR51" i="82"/>
  <c r="AS23" i="82"/>
  <c r="AR23" i="82"/>
  <c r="AQ267" i="82"/>
  <c r="AP267" i="82"/>
  <c r="AQ265" i="82"/>
  <c r="AP265" i="82"/>
  <c r="AQ262" i="82"/>
  <c r="AP262" i="82"/>
  <c r="AQ257" i="82"/>
  <c r="AP257" i="82"/>
  <c r="AQ255" i="82"/>
  <c r="AP255" i="82"/>
  <c r="AQ253" i="82"/>
  <c r="AP253" i="82"/>
  <c r="AQ251" i="82"/>
  <c r="AP251" i="82"/>
  <c r="AQ245" i="82"/>
  <c r="AP245" i="82"/>
  <c r="AQ236" i="82"/>
  <c r="AP236" i="82"/>
  <c r="AQ228" i="82"/>
  <c r="AP228" i="82"/>
  <c r="AQ225" i="82"/>
  <c r="AP225" i="82"/>
  <c r="AQ202" i="82"/>
  <c r="AP202" i="82"/>
  <c r="AQ200" i="82"/>
  <c r="AP200" i="82"/>
  <c r="AQ186" i="82"/>
  <c r="AP186" i="82"/>
  <c r="AQ182" i="82"/>
  <c r="AP182" i="82"/>
  <c r="AQ180" i="82"/>
  <c r="AP180" i="82"/>
  <c r="AQ179" i="82"/>
  <c r="AP179" i="82"/>
  <c r="AQ177" i="82"/>
  <c r="AP177" i="82"/>
  <c r="AQ175" i="82"/>
  <c r="AP175" i="82"/>
  <c r="AQ171" i="82"/>
  <c r="AP171" i="82"/>
  <c r="AQ169" i="82"/>
  <c r="AP169" i="82"/>
  <c r="AQ165" i="82"/>
  <c r="AP165" i="82"/>
  <c r="AQ164" i="82"/>
  <c r="AP164" i="82"/>
  <c r="AQ163" i="82"/>
  <c r="AP163" i="82"/>
  <c r="AQ159" i="82"/>
  <c r="AP159" i="82"/>
  <c r="AQ157" i="82"/>
  <c r="AP157" i="82"/>
  <c r="AQ154" i="82"/>
  <c r="AP154" i="82"/>
  <c r="AQ152" i="82"/>
  <c r="AP152" i="82"/>
  <c r="AQ148" i="82"/>
  <c r="AP148" i="82"/>
  <c r="AQ145" i="82"/>
  <c r="AP145" i="82"/>
  <c r="AQ138" i="82"/>
  <c r="AP138" i="82"/>
  <c r="AQ132" i="82"/>
  <c r="AP132" i="82"/>
  <c r="AQ127" i="82"/>
  <c r="AP127" i="82"/>
  <c r="AQ117" i="82"/>
  <c r="AP117" i="82"/>
  <c r="AQ115" i="82"/>
  <c r="AP115" i="82"/>
  <c r="AQ111" i="82"/>
  <c r="AP111" i="82"/>
  <c r="AQ106" i="82"/>
  <c r="AP106" i="82"/>
  <c r="AQ95" i="82"/>
  <c r="AP95" i="82"/>
  <c r="AQ90" i="82"/>
  <c r="AP90" i="82"/>
  <c r="AQ88" i="82"/>
  <c r="AP88" i="82"/>
  <c r="AQ81" i="82"/>
  <c r="AP81" i="82"/>
  <c r="AQ79" i="82"/>
  <c r="AP79" i="82"/>
  <c r="AQ73" i="82"/>
  <c r="AP73" i="82"/>
  <c r="AQ72" i="82"/>
  <c r="AP72" i="82"/>
  <c r="AQ67" i="82"/>
  <c r="AP67" i="82"/>
  <c r="AQ41" i="82"/>
  <c r="AP41" i="82"/>
  <c r="AQ27" i="82"/>
  <c r="AP27" i="82"/>
  <c r="AN267" i="82"/>
  <c r="AN265" i="82"/>
  <c r="AN262" i="82"/>
  <c r="AN257" i="82"/>
  <c r="AN254" i="82"/>
  <c r="AN247" i="82"/>
  <c r="AN245" i="82"/>
  <c r="AN236" i="82"/>
  <c r="AN228" i="82"/>
  <c r="AN225" i="82"/>
  <c r="AN197" i="82"/>
  <c r="AN186" i="82"/>
  <c r="AN182" i="82"/>
  <c r="AN180" i="82"/>
  <c r="AN179" i="82"/>
  <c r="AN177" i="82"/>
  <c r="AN175" i="82"/>
  <c r="AN171" i="82"/>
  <c r="AN169" i="82"/>
  <c r="AN164" i="82"/>
  <c r="AN165" i="82"/>
  <c r="AN163" i="82"/>
  <c r="AN159" i="82"/>
  <c r="AN154" i="82"/>
  <c r="AN152" i="82"/>
  <c r="AN148" i="82"/>
  <c r="AN145" i="82"/>
  <c r="AN138" i="82"/>
  <c r="AN132" i="82"/>
  <c r="AN127" i="82"/>
  <c r="AN115" i="82"/>
  <c r="AN111" i="82"/>
  <c r="AN106" i="82"/>
  <c r="AN95" i="82"/>
  <c r="AN90" i="82"/>
  <c r="AN88" i="82"/>
  <c r="AN81" i="82"/>
  <c r="AN79" i="82"/>
  <c r="AN73" i="82"/>
  <c r="AN72" i="82"/>
  <c r="AN67" i="82"/>
  <c r="AN40" i="82"/>
  <c r="AM267" i="82"/>
  <c r="AL267" i="82"/>
  <c r="AM265" i="82"/>
  <c r="AL265" i="82"/>
  <c r="AM262" i="82"/>
  <c r="AL262" i="82"/>
  <c r="AM257" i="82"/>
  <c r="AL257" i="82"/>
  <c r="AM254" i="82"/>
  <c r="AL254" i="82"/>
  <c r="AM253" i="82"/>
  <c r="AL253" i="82"/>
  <c r="AM251" i="82"/>
  <c r="AL251" i="82"/>
  <c r="AM245" i="82"/>
  <c r="AL245" i="82"/>
  <c r="AM240" i="82"/>
  <c r="AL240" i="82"/>
  <c r="AM239" i="82"/>
  <c r="AL239" i="82"/>
  <c r="AM235" i="82"/>
  <c r="AL235" i="82"/>
  <c r="AM234" i="82"/>
  <c r="AL234" i="82"/>
  <c r="AM225" i="82"/>
  <c r="AL225" i="82"/>
  <c r="AM202" i="82"/>
  <c r="AL202" i="82"/>
  <c r="AM200" i="82"/>
  <c r="AL200" i="82"/>
  <c r="AM194" i="82"/>
  <c r="AL194" i="82"/>
  <c r="AM191" i="82"/>
  <c r="AL191" i="82"/>
  <c r="AM192" i="82"/>
  <c r="AL192" i="82"/>
  <c r="AM190" i="82"/>
  <c r="AL190" i="82"/>
  <c r="AM187" i="82"/>
  <c r="AL187" i="82"/>
  <c r="AM182" i="82"/>
  <c r="AL182" i="82"/>
  <c r="AM180" i="82"/>
  <c r="AL180" i="82"/>
  <c r="AM179" i="82"/>
  <c r="AL179" i="82"/>
  <c r="AM177" i="82"/>
  <c r="AL177" i="82"/>
  <c r="AM175" i="82"/>
  <c r="AL175" i="82"/>
  <c r="AM171" i="82"/>
  <c r="AL171" i="82"/>
  <c r="AM169" i="82"/>
  <c r="AL169" i="82"/>
  <c r="AM164" i="82"/>
  <c r="AL164" i="82"/>
  <c r="AM165" i="82"/>
  <c r="AL165" i="82"/>
  <c r="AM163" i="82"/>
  <c r="AL163" i="82"/>
  <c r="AM159" i="82"/>
  <c r="AL159" i="82"/>
  <c r="AL157" i="82"/>
  <c r="AM154" i="82"/>
  <c r="AL154" i="82"/>
  <c r="AM152" i="82"/>
  <c r="AL152" i="82"/>
  <c r="AM148" i="82"/>
  <c r="AL148" i="82"/>
  <c r="AL145" i="82"/>
  <c r="AM138" i="82"/>
  <c r="AL138" i="82"/>
  <c r="AL136" i="82"/>
  <c r="AM131" i="82"/>
  <c r="AL131" i="82"/>
  <c r="AM132" i="82"/>
  <c r="AL132" i="82"/>
  <c r="AM130" i="82"/>
  <c r="AL130" i="82"/>
  <c r="AM126" i="82"/>
  <c r="AL126" i="82"/>
  <c r="AM123" i="82"/>
  <c r="AL123" i="82"/>
  <c r="AM124" i="82"/>
  <c r="AL124" i="82"/>
  <c r="AM122" i="82"/>
  <c r="AL122" i="82"/>
  <c r="AM118" i="82"/>
  <c r="AL118" i="82"/>
  <c r="AM111" i="82"/>
  <c r="AL111" i="82"/>
  <c r="AM110" i="82"/>
  <c r="AL110" i="82"/>
  <c r="AM109" i="82"/>
  <c r="AL109" i="82"/>
  <c r="AM103" i="82"/>
  <c r="AL103" i="82"/>
  <c r="AM97" i="82"/>
  <c r="AL97" i="82"/>
  <c r="AM95" i="82"/>
  <c r="AL95" i="82"/>
  <c r="AM90" i="82"/>
  <c r="AL90" i="82"/>
  <c r="AM88" i="82"/>
  <c r="AL88" i="82"/>
  <c r="AM86" i="82"/>
  <c r="AL86" i="82"/>
  <c r="AM81" i="82"/>
  <c r="AL81" i="82"/>
  <c r="AM73" i="82"/>
  <c r="AL73" i="82"/>
  <c r="AM79" i="82"/>
  <c r="AL79" i="82"/>
  <c r="AM74" i="82"/>
  <c r="AL74" i="82"/>
  <c r="AM72" i="82"/>
  <c r="AL72" i="82"/>
  <c r="AM67" i="82"/>
  <c r="AL67" i="82"/>
  <c r="AM62" i="82"/>
  <c r="AL62" i="82"/>
  <c r="AM60" i="82"/>
  <c r="AL60" i="82"/>
  <c r="AM57" i="82"/>
  <c r="AL57" i="82"/>
  <c r="AM55" i="82"/>
  <c r="AL55" i="82"/>
  <c r="AM53" i="82"/>
  <c r="AL53" i="82"/>
  <c r="AM51" i="82"/>
  <c r="AL51" i="82"/>
  <c r="Y955" i="16"/>
  <c r="AS81" i="25"/>
  <c r="AR81" i="25"/>
  <c r="AS720" i="25"/>
  <c r="AR720" i="25"/>
  <c r="AS719" i="25"/>
  <c r="AR719" i="25"/>
  <c r="AS714" i="25"/>
  <c r="AR714" i="25"/>
  <c r="AS710" i="25"/>
  <c r="AR710" i="25"/>
  <c r="AS705" i="25"/>
  <c r="AR705" i="25"/>
  <c r="AS701" i="25"/>
  <c r="AR701" i="25"/>
  <c r="AS699" i="25"/>
  <c r="AR699" i="25"/>
  <c r="AS694" i="25"/>
  <c r="AR694" i="25"/>
  <c r="AS689" i="25"/>
  <c r="AR689" i="25"/>
  <c r="AS686" i="25"/>
  <c r="AR686" i="25"/>
  <c r="AS685" i="25"/>
  <c r="AR685" i="25"/>
  <c r="AS684" i="25"/>
  <c r="AR684" i="25"/>
  <c r="AS678" i="25"/>
  <c r="AR678" i="25"/>
  <c r="AS664" i="25"/>
  <c r="AR664" i="25"/>
  <c r="AS661" i="25"/>
  <c r="AR661" i="25"/>
  <c r="AS659" i="25"/>
  <c r="AR659" i="25"/>
  <c r="AS657" i="25"/>
  <c r="AR657" i="25"/>
  <c r="AS650" i="25"/>
  <c r="AR650" i="25"/>
  <c r="AS649" i="25"/>
  <c r="AR649" i="25"/>
  <c r="AS648" i="25"/>
  <c r="AR648" i="25"/>
  <c r="AS647" i="25"/>
  <c r="AR647" i="25"/>
  <c r="AS646" i="25"/>
  <c r="AR646" i="25"/>
  <c r="AS645" i="25"/>
  <c r="AR645" i="25"/>
  <c r="AS644" i="25"/>
  <c r="AR644" i="25"/>
  <c r="AS643" i="25"/>
  <c r="AR643" i="25"/>
  <c r="AS639" i="25"/>
  <c r="AR639" i="25"/>
  <c r="AS632" i="25"/>
  <c r="AR632" i="25"/>
  <c r="AS627" i="25"/>
  <c r="AR627" i="25"/>
  <c r="AS624" i="25"/>
  <c r="AR624" i="25"/>
  <c r="AS622" i="25"/>
  <c r="AR622" i="25"/>
  <c r="AS621" i="25"/>
  <c r="AR621" i="25"/>
  <c r="AS620" i="25"/>
  <c r="AR620" i="25"/>
  <c r="AS619" i="25"/>
  <c r="AR619" i="25"/>
  <c r="AS612" i="25"/>
  <c r="AR612" i="25"/>
  <c r="AS610" i="25"/>
  <c r="AR610" i="25"/>
  <c r="AS608" i="25"/>
  <c r="AR608" i="25"/>
  <c r="AS605" i="25"/>
  <c r="AR605" i="25"/>
  <c r="AS604" i="25"/>
  <c r="AR604" i="25"/>
  <c r="AS603" i="25"/>
  <c r="AR603" i="25"/>
  <c r="AS602" i="25"/>
  <c r="AR602" i="25"/>
  <c r="AS601" i="25"/>
  <c r="AR601" i="25"/>
  <c r="AS600" i="25"/>
  <c r="AR600" i="25"/>
  <c r="AS599" i="25"/>
  <c r="AR599" i="25"/>
  <c r="AS590" i="25"/>
  <c r="AR590" i="25"/>
  <c r="AS587" i="25"/>
  <c r="AR587" i="25"/>
  <c r="AS585" i="25"/>
  <c r="AR585" i="25"/>
  <c r="AS579" i="25"/>
  <c r="AR579" i="25"/>
  <c r="AQ720" i="25"/>
  <c r="AP720" i="25"/>
  <c r="AQ719" i="25"/>
  <c r="AP719" i="25"/>
  <c r="AQ714" i="25"/>
  <c r="AP714" i="25"/>
  <c r="AQ710" i="25"/>
  <c r="AP710" i="25"/>
  <c r="AQ705" i="25"/>
  <c r="AP705" i="25"/>
  <c r="AQ701" i="25"/>
  <c r="AP701" i="25"/>
  <c r="AQ699" i="25"/>
  <c r="AP699" i="25"/>
  <c r="AQ694" i="25"/>
  <c r="AP694" i="25"/>
  <c r="AQ689" i="25"/>
  <c r="AP689" i="25"/>
  <c r="AQ686" i="25"/>
  <c r="AP686" i="25"/>
  <c r="AQ685" i="25"/>
  <c r="AP685" i="25"/>
  <c r="AQ684" i="25"/>
  <c r="AP684" i="25"/>
  <c r="AQ678" i="25"/>
  <c r="AP678" i="25"/>
  <c r="AQ668" i="25"/>
  <c r="AP668" i="25"/>
  <c r="AQ666" i="25"/>
  <c r="AP666" i="25"/>
  <c r="AQ664" i="25"/>
  <c r="AP664" i="25"/>
  <c r="AQ661" i="25"/>
  <c r="AP661" i="25"/>
  <c r="AQ659" i="25"/>
  <c r="AP659" i="25"/>
  <c r="AQ657" i="25"/>
  <c r="AP657" i="25"/>
  <c r="AQ650" i="25"/>
  <c r="AP650" i="25"/>
  <c r="AQ649" i="25"/>
  <c r="AP649" i="25"/>
  <c r="AQ648" i="25"/>
  <c r="AP648" i="25"/>
  <c r="AQ647" i="25"/>
  <c r="AP647" i="25"/>
  <c r="AQ646" i="25"/>
  <c r="AP646" i="25"/>
  <c r="AQ645" i="25"/>
  <c r="AP645" i="25"/>
  <c r="AQ644" i="25"/>
  <c r="AP644" i="25"/>
  <c r="AQ643" i="25"/>
  <c r="AP643" i="25"/>
  <c r="AQ632" i="25"/>
  <c r="AP632" i="25"/>
  <c r="AQ627" i="25"/>
  <c r="AP627" i="25"/>
  <c r="AQ624" i="25"/>
  <c r="AP624" i="25"/>
  <c r="AQ622" i="25"/>
  <c r="AP622" i="25"/>
  <c r="AQ621" i="25"/>
  <c r="AP621" i="25"/>
  <c r="AQ620" i="25"/>
  <c r="AP620" i="25"/>
  <c r="AQ619" i="25"/>
  <c r="AP619" i="25"/>
  <c r="AQ612" i="25"/>
  <c r="AP612" i="25"/>
  <c r="AQ610" i="25"/>
  <c r="AP610" i="25"/>
  <c r="AQ608" i="25"/>
  <c r="AP608" i="25"/>
  <c r="AQ598" i="25"/>
  <c r="AP598" i="25"/>
  <c r="AQ596" i="25"/>
  <c r="AP596" i="25"/>
  <c r="AQ590" i="25"/>
  <c r="AP590" i="25"/>
  <c r="AQ587" i="25"/>
  <c r="AP587" i="25"/>
  <c r="AQ585" i="25"/>
  <c r="AP585" i="25"/>
  <c r="AQ579" i="25"/>
  <c r="AP579" i="25"/>
  <c r="AQ578" i="25"/>
  <c r="AP578" i="25"/>
  <c r="AQ576" i="25"/>
  <c r="AP576" i="25"/>
  <c r="AS576" i="25"/>
  <c r="AR576" i="25"/>
  <c r="AS559" i="25"/>
  <c r="AR559" i="25"/>
  <c r="AS555" i="25"/>
  <c r="AR555" i="25"/>
  <c r="AS553" i="25"/>
  <c r="AR553" i="25"/>
  <c r="AS552" i="25"/>
  <c r="AR552" i="25"/>
  <c r="AS551" i="25"/>
  <c r="AR551" i="25"/>
  <c r="AS550" i="25"/>
  <c r="AR550" i="25"/>
  <c r="AS549" i="25"/>
  <c r="AR549" i="25"/>
  <c r="AS548" i="25"/>
  <c r="AR548" i="25"/>
  <c r="AS546" i="25"/>
  <c r="AR546" i="25"/>
  <c r="AS544" i="25"/>
  <c r="AR544" i="25"/>
  <c r="AS541" i="25"/>
  <c r="AR541" i="25"/>
  <c r="AS536" i="25"/>
  <c r="AR536" i="25"/>
  <c r="AS535" i="25"/>
  <c r="AR535" i="25"/>
  <c r="AS532" i="25"/>
  <c r="AR532" i="25"/>
  <c r="AS530" i="25"/>
  <c r="AR530" i="25"/>
  <c r="AS527" i="25"/>
  <c r="AR527" i="25"/>
  <c r="AS522" i="25"/>
  <c r="AR522" i="25"/>
  <c r="AS517" i="25"/>
  <c r="AR517" i="25"/>
  <c r="AS513" i="25"/>
  <c r="AR513" i="25"/>
  <c r="AS509" i="25"/>
  <c r="AR509" i="25"/>
  <c r="AS505" i="25"/>
  <c r="AR505" i="25"/>
  <c r="AS497" i="25"/>
  <c r="AR497" i="25"/>
  <c r="AS494" i="25"/>
  <c r="AR494" i="25"/>
  <c r="AS486" i="25"/>
  <c r="AR486" i="25"/>
  <c r="AS483" i="25"/>
  <c r="AR483" i="25"/>
  <c r="AS479" i="25"/>
  <c r="AR479" i="25"/>
  <c r="AS474" i="25"/>
  <c r="AR474" i="25"/>
  <c r="AS472" i="25"/>
  <c r="AR472" i="25"/>
  <c r="AS470" i="25"/>
  <c r="AR470" i="25"/>
  <c r="AS465" i="25"/>
  <c r="AR465" i="25"/>
  <c r="AS463" i="25"/>
  <c r="AR463" i="25"/>
  <c r="AS461" i="25"/>
  <c r="AR461" i="25"/>
  <c r="AS459" i="25"/>
  <c r="AR459" i="25"/>
  <c r="AS458" i="25"/>
  <c r="AR458" i="25"/>
  <c r="AS457" i="25"/>
  <c r="AR457" i="25"/>
  <c r="AS455" i="25"/>
  <c r="AR455" i="25"/>
  <c r="AS447" i="25"/>
  <c r="AR447" i="25"/>
  <c r="AS440" i="25"/>
  <c r="AR440" i="25"/>
  <c r="AS439" i="25"/>
  <c r="AR439" i="25"/>
  <c r="AS437" i="25"/>
  <c r="AR437" i="25"/>
  <c r="AS435" i="25"/>
  <c r="AR435" i="25"/>
  <c r="AS434" i="25"/>
  <c r="AR434" i="25"/>
  <c r="AS433" i="25"/>
  <c r="AR433" i="25"/>
  <c r="AS430" i="25"/>
  <c r="AR430" i="25"/>
  <c r="AS428" i="25"/>
  <c r="AR428" i="25"/>
  <c r="AS426" i="25"/>
  <c r="AR426" i="25"/>
  <c r="AS423" i="25"/>
  <c r="AR423" i="25"/>
  <c r="AS421" i="25"/>
  <c r="AR421" i="25"/>
  <c r="AS416" i="25"/>
  <c r="AR416" i="25"/>
  <c r="AS415" i="25"/>
  <c r="AR415" i="25"/>
  <c r="AS414" i="25"/>
  <c r="AR414" i="25"/>
  <c r="AS411" i="25"/>
  <c r="AR411" i="25"/>
  <c r="AS409" i="25"/>
  <c r="AR409" i="25"/>
  <c r="AS407" i="25"/>
  <c r="AR407" i="25"/>
  <c r="AS386" i="25"/>
  <c r="AR386" i="25"/>
  <c r="AS384" i="25"/>
  <c r="AR384" i="25"/>
  <c r="AS382" i="25"/>
  <c r="AR382" i="25"/>
  <c r="AS380" i="25"/>
  <c r="AR380" i="25"/>
  <c r="AS331" i="25"/>
  <c r="AR331" i="25"/>
  <c r="AS321" i="25"/>
  <c r="AR321" i="25"/>
  <c r="AS320" i="25"/>
  <c r="AR320" i="25"/>
  <c r="AS318" i="25"/>
  <c r="AR318" i="25"/>
  <c r="AS317" i="25"/>
  <c r="AR317" i="25"/>
  <c r="AS315" i="25"/>
  <c r="AR315" i="25"/>
  <c r="AS314" i="25"/>
  <c r="AR314" i="25"/>
  <c r="AS309" i="25"/>
  <c r="AR309" i="25"/>
  <c r="AS302" i="25"/>
  <c r="AR302" i="25"/>
  <c r="AS295" i="25"/>
  <c r="AR295" i="25"/>
  <c r="AS292" i="25"/>
  <c r="AR292" i="25"/>
  <c r="AS291" i="25"/>
  <c r="AR291" i="25"/>
  <c r="AS289" i="25"/>
  <c r="AR289" i="25"/>
  <c r="AS283" i="25"/>
  <c r="AR283" i="25"/>
  <c r="AS279" i="25"/>
  <c r="AR279" i="25"/>
  <c r="AS277" i="25"/>
  <c r="AR277" i="25"/>
  <c r="AS271" i="25"/>
  <c r="AR271" i="25"/>
  <c r="AS265" i="25"/>
  <c r="AR265" i="25"/>
  <c r="AS260" i="25"/>
  <c r="AR260" i="25"/>
  <c r="AS257" i="25"/>
  <c r="AR257" i="25"/>
  <c r="AS251" i="25"/>
  <c r="AR251" i="25"/>
  <c r="AS245" i="25"/>
  <c r="AR245" i="25"/>
  <c r="AS238" i="25"/>
  <c r="AR238" i="25"/>
  <c r="AS232" i="25"/>
  <c r="AR232" i="25"/>
  <c r="AS222" i="25"/>
  <c r="AR222" i="25"/>
  <c r="AS212" i="25"/>
  <c r="AR212" i="25"/>
  <c r="AS203" i="25"/>
  <c r="AR203" i="25"/>
  <c r="AS196" i="25"/>
  <c r="AR196" i="25"/>
  <c r="AS191" i="25"/>
  <c r="AR191" i="25"/>
  <c r="AS187" i="25"/>
  <c r="AR187" i="25"/>
  <c r="AS185" i="25"/>
  <c r="AR185" i="25"/>
  <c r="AS178" i="25"/>
  <c r="AR178" i="25"/>
  <c r="AS175" i="25"/>
  <c r="AR175" i="25"/>
  <c r="AS172" i="25"/>
  <c r="AR172" i="25"/>
  <c r="AS160" i="25"/>
  <c r="AR160" i="25"/>
  <c r="AS141" i="25"/>
  <c r="AR141" i="25"/>
  <c r="AS133" i="25"/>
  <c r="AR133" i="25"/>
  <c r="AS129" i="25"/>
  <c r="AR129" i="25"/>
  <c r="AS126" i="25"/>
  <c r="AR126" i="25"/>
  <c r="AS124" i="25"/>
  <c r="AR124" i="25"/>
  <c r="AS117" i="25"/>
  <c r="AR117" i="25"/>
  <c r="AS107" i="25"/>
  <c r="AR107" i="25"/>
  <c r="AS104" i="25"/>
  <c r="AR104" i="25"/>
  <c r="AS102" i="25"/>
  <c r="AR102" i="25"/>
  <c r="AS99" i="25"/>
  <c r="AR99" i="25"/>
  <c r="AS98" i="25"/>
  <c r="AR98" i="25"/>
  <c r="AS97" i="25"/>
  <c r="AR97" i="25"/>
  <c r="AS95" i="25"/>
  <c r="AR95" i="25"/>
  <c r="AS92" i="25"/>
  <c r="AR92" i="25"/>
  <c r="AS90" i="25"/>
  <c r="AR90" i="25"/>
  <c r="AS86" i="25"/>
  <c r="AR86" i="25"/>
  <c r="AS85" i="25"/>
  <c r="AR85" i="25"/>
  <c r="AS78" i="25"/>
  <c r="AR78" i="25"/>
  <c r="AS76" i="25"/>
  <c r="AR76" i="25"/>
  <c r="AS75" i="25"/>
  <c r="AR75" i="25"/>
  <c r="AS74" i="25"/>
  <c r="AR74" i="25"/>
  <c r="AS73" i="25"/>
  <c r="AR73" i="25"/>
  <c r="AS71" i="25"/>
  <c r="AR71" i="25"/>
  <c r="AS70" i="25"/>
  <c r="AR70" i="25"/>
  <c r="AS68" i="25"/>
  <c r="AR68" i="25"/>
  <c r="AS67" i="25"/>
  <c r="AR67" i="25"/>
  <c r="AS62" i="25"/>
  <c r="AR62" i="25"/>
  <c r="AS59" i="25"/>
  <c r="AR59" i="25"/>
  <c r="AS54" i="25"/>
  <c r="AR54" i="25"/>
  <c r="AS53" i="25"/>
  <c r="AR53" i="25"/>
  <c r="AS52" i="25"/>
  <c r="AR52" i="25"/>
  <c r="AS51" i="25"/>
  <c r="AR51" i="25"/>
  <c r="AS50" i="25"/>
  <c r="AR50" i="25"/>
  <c r="AS49" i="25"/>
  <c r="AR49" i="25"/>
  <c r="AS48" i="25"/>
  <c r="AR48" i="25"/>
  <c r="AS47" i="25"/>
  <c r="AR47" i="25"/>
  <c r="AS46" i="25"/>
  <c r="AR46" i="25"/>
  <c r="AS45" i="25"/>
  <c r="AR45" i="25"/>
  <c r="AS44" i="25"/>
  <c r="AR44" i="25"/>
  <c r="AS43" i="25"/>
  <c r="AR43" i="25"/>
  <c r="AS42" i="25"/>
  <c r="AR42" i="25"/>
  <c r="AS37" i="25"/>
  <c r="AR37" i="25"/>
  <c r="AS34" i="25"/>
  <c r="AR34" i="25"/>
  <c r="AS31" i="25"/>
  <c r="AR31" i="25"/>
  <c r="AS28" i="25"/>
  <c r="AR28" i="25"/>
  <c r="AS22" i="25"/>
  <c r="AR22" i="25"/>
  <c r="AS19" i="25"/>
  <c r="AR19" i="25"/>
  <c r="AS12" i="25"/>
  <c r="AR12" i="25"/>
  <c r="AS10" i="25"/>
  <c r="AR10" i="25"/>
  <c r="AQ557" i="25"/>
  <c r="AP557" i="25"/>
  <c r="AQ555" i="25"/>
  <c r="AP555" i="25"/>
  <c r="AQ546" i="25"/>
  <c r="AP546" i="25"/>
  <c r="AQ544" i="25"/>
  <c r="AP544" i="25"/>
  <c r="AQ541" i="25"/>
  <c r="AP541" i="25"/>
  <c r="AQ536" i="25"/>
  <c r="AP536" i="25"/>
  <c r="AQ535" i="25"/>
  <c r="AP535" i="25"/>
  <c r="AQ533" i="25"/>
  <c r="AP533" i="25"/>
  <c r="AQ530" i="25"/>
  <c r="AP530" i="25"/>
  <c r="AQ527" i="25"/>
  <c r="AP527" i="25"/>
  <c r="AQ522" i="25"/>
  <c r="AP522" i="25"/>
  <c r="AQ517" i="25"/>
  <c r="AP517" i="25"/>
  <c r="AQ513" i="25"/>
  <c r="AP513" i="25"/>
  <c r="AQ509" i="25"/>
  <c r="AP509" i="25"/>
  <c r="AQ505" i="25"/>
  <c r="AP505" i="25"/>
  <c r="AQ476" i="25"/>
  <c r="AP476" i="25"/>
  <c r="AQ474" i="25"/>
  <c r="AP474" i="25"/>
  <c r="AQ472" i="25"/>
  <c r="AP472" i="25"/>
  <c r="AQ470" i="25"/>
  <c r="AP470" i="25"/>
  <c r="AQ465" i="25"/>
  <c r="AP465" i="25"/>
  <c r="AQ463" i="25"/>
  <c r="AP463" i="25"/>
  <c r="AQ461" i="25"/>
  <c r="AP461" i="25"/>
  <c r="AQ459" i="25"/>
  <c r="AP459" i="25"/>
  <c r="AQ458" i="25"/>
  <c r="AP458" i="25"/>
  <c r="AQ457" i="25"/>
  <c r="AP457" i="25"/>
  <c r="AQ455" i="25"/>
  <c r="AP455" i="25"/>
  <c r="AQ447" i="25"/>
  <c r="AP447" i="25"/>
  <c r="AQ419" i="25"/>
  <c r="AP419" i="25"/>
  <c r="AQ416" i="25"/>
  <c r="AP416" i="25"/>
  <c r="AQ415" i="25"/>
  <c r="AP415" i="25"/>
  <c r="AQ414" i="25"/>
  <c r="AP414" i="25"/>
  <c r="AQ411" i="25"/>
  <c r="AP411" i="25"/>
  <c r="AQ409" i="25"/>
  <c r="AP409" i="25"/>
  <c r="AQ407" i="25"/>
  <c r="AP407" i="25"/>
  <c r="AQ388" i="25"/>
  <c r="AP388" i="25"/>
  <c r="AQ386" i="25"/>
  <c r="AP386" i="25"/>
  <c r="AQ384" i="25"/>
  <c r="AP384" i="25"/>
  <c r="AQ382" i="25"/>
  <c r="AP382" i="25"/>
  <c r="AQ380" i="25"/>
  <c r="AP380" i="25"/>
  <c r="AQ334" i="25"/>
  <c r="AP334" i="25"/>
  <c r="AQ332" i="25"/>
  <c r="AP332" i="25"/>
  <c r="AQ325" i="25"/>
  <c r="AP325" i="25"/>
  <c r="AQ323" i="25"/>
  <c r="AP323" i="25"/>
  <c r="AQ321" i="25"/>
  <c r="AP321" i="25"/>
  <c r="AQ320" i="25"/>
  <c r="AP320" i="25"/>
  <c r="AQ318" i="25"/>
  <c r="AP318" i="25"/>
  <c r="AQ317" i="25"/>
  <c r="AP317" i="25"/>
  <c r="AQ315" i="25"/>
  <c r="AP315" i="25"/>
  <c r="AQ314" i="25"/>
  <c r="AP314" i="25"/>
  <c r="AQ309" i="25"/>
  <c r="AP309" i="25"/>
  <c r="AQ304" i="25"/>
  <c r="AP304" i="25"/>
  <c r="AQ302" i="25"/>
  <c r="AP302" i="25"/>
  <c r="AQ296" i="25"/>
  <c r="AP296" i="25"/>
  <c r="AQ292" i="25"/>
  <c r="AP292" i="25"/>
  <c r="AQ291" i="25"/>
  <c r="AP291" i="25"/>
  <c r="AQ289" i="25"/>
  <c r="AP289" i="25"/>
  <c r="AQ284" i="25"/>
  <c r="AP284" i="25"/>
  <c r="AQ279" i="25"/>
  <c r="AP279" i="25"/>
  <c r="AQ277" i="25"/>
  <c r="AP277" i="25"/>
  <c r="AQ272" i="25"/>
  <c r="AP272" i="25"/>
  <c r="AQ266" i="25"/>
  <c r="AP266" i="25"/>
  <c r="AQ261" i="25"/>
  <c r="AP261" i="25"/>
  <c r="AQ258" i="25"/>
  <c r="AP258" i="25"/>
  <c r="AQ252" i="25"/>
  <c r="AP252" i="25"/>
  <c r="AQ245" i="25"/>
  <c r="AP245" i="25"/>
  <c r="AQ239" i="25"/>
  <c r="AP239" i="25"/>
  <c r="AQ233" i="25"/>
  <c r="AP233" i="25"/>
  <c r="AQ222" i="25"/>
  <c r="AP222" i="25"/>
  <c r="AQ212" i="25"/>
  <c r="AP212" i="25"/>
  <c r="AQ203" i="25"/>
  <c r="AP203" i="25"/>
  <c r="AQ196" i="25"/>
  <c r="AP196" i="25"/>
  <c r="AQ187" i="25"/>
  <c r="AP187" i="25"/>
  <c r="AQ186" i="25"/>
  <c r="AP186" i="25"/>
  <c r="AQ180" i="25"/>
  <c r="AP180" i="25"/>
  <c r="AQ178" i="25"/>
  <c r="AP178" i="25"/>
  <c r="AQ175" i="25"/>
  <c r="AP175" i="25"/>
  <c r="AQ172" i="25"/>
  <c r="AP172" i="25"/>
  <c r="AQ160" i="25"/>
  <c r="AP160" i="25"/>
  <c r="AQ146" i="25"/>
  <c r="AP146" i="25"/>
  <c r="AQ133" i="25"/>
  <c r="AP133" i="25"/>
  <c r="AQ129" i="25"/>
  <c r="AP129" i="25"/>
  <c r="AQ126" i="25"/>
  <c r="AP126" i="25"/>
  <c r="AQ124" i="25"/>
  <c r="AP124" i="25"/>
  <c r="AQ117" i="25"/>
  <c r="AP117" i="25"/>
  <c r="AQ107" i="25"/>
  <c r="AP107" i="25"/>
  <c r="AQ81" i="25"/>
  <c r="AP81" i="25"/>
  <c r="AQ78" i="25"/>
  <c r="AP78" i="25"/>
  <c r="AQ62" i="25"/>
  <c r="AP62" i="25"/>
  <c r="AQ59" i="25"/>
  <c r="AP59" i="25"/>
  <c r="AQ56" i="25"/>
  <c r="AP56" i="25"/>
  <c r="AQ54" i="25"/>
  <c r="AP54" i="25"/>
  <c r="AQ53" i="25"/>
  <c r="AP53" i="25"/>
  <c r="AQ52" i="25"/>
  <c r="AP52" i="25"/>
  <c r="AQ51" i="25"/>
  <c r="AP51" i="25"/>
  <c r="AQ50" i="25"/>
  <c r="AP50" i="25"/>
  <c r="AQ49" i="25"/>
  <c r="AP49" i="25"/>
  <c r="AQ48" i="25"/>
  <c r="AP48" i="25"/>
  <c r="AQ47" i="25"/>
  <c r="AP47" i="25"/>
  <c r="AQ46" i="25"/>
  <c r="AP46" i="25"/>
  <c r="AQ45" i="25"/>
  <c r="AP45" i="25"/>
  <c r="AQ44" i="25"/>
  <c r="AP44" i="25"/>
  <c r="AQ43" i="25"/>
  <c r="AP43" i="25"/>
  <c r="AQ42" i="25"/>
  <c r="AP42" i="25"/>
  <c r="AQ38" i="25"/>
  <c r="AP38" i="25"/>
  <c r="AQ34" i="25"/>
  <c r="AP34" i="25"/>
  <c r="AQ31" i="25"/>
  <c r="AP31" i="25"/>
  <c r="AQ28" i="25"/>
  <c r="AP28" i="25"/>
  <c r="AQ22" i="25"/>
  <c r="AP22" i="25"/>
  <c r="AQ19" i="25"/>
  <c r="AP19" i="25"/>
  <c r="AQ12" i="25"/>
  <c r="AP12" i="25"/>
  <c r="AN720" i="25"/>
  <c r="AN719" i="25"/>
  <c r="AN714" i="25"/>
  <c r="AN710" i="25"/>
  <c r="AN705" i="25"/>
  <c r="AN701" i="25"/>
  <c r="AN699" i="25"/>
  <c r="AN694" i="25"/>
  <c r="AN689" i="25"/>
  <c r="AN685" i="25"/>
  <c r="AN686" i="25"/>
  <c r="AN684" i="25"/>
  <c r="AN678" i="25"/>
  <c r="AN668" i="25"/>
  <c r="AN666" i="25"/>
  <c r="AN664" i="25"/>
  <c r="AN661" i="25"/>
  <c r="AN659" i="25"/>
  <c r="AN657" i="25"/>
  <c r="AN639" i="25"/>
  <c r="AN632" i="25"/>
  <c r="AN627" i="25"/>
  <c r="AN617" i="25"/>
  <c r="AN612" i="25"/>
  <c r="AN610" i="25"/>
  <c r="AN608" i="25"/>
  <c r="AN596" i="25"/>
  <c r="AN590" i="25"/>
  <c r="AN587" i="25"/>
  <c r="AN585" i="25"/>
  <c r="AN579" i="25"/>
  <c r="AN576" i="25"/>
  <c r="AN559" i="25"/>
  <c r="AN557" i="25"/>
  <c r="AN555" i="25"/>
  <c r="AN546" i="25"/>
  <c r="AN544" i="25"/>
  <c r="AN541" i="25"/>
  <c r="AN536" i="25"/>
  <c r="AN535" i="25"/>
  <c r="AN532" i="25"/>
  <c r="AN530" i="25"/>
  <c r="AN527" i="25"/>
  <c r="AN522" i="25"/>
  <c r="AN517" i="25"/>
  <c r="AN513" i="25"/>
  <c r="AN509" i="25"/>
  <c r="AN505" i="25"/>
  <c r="AN476" i="25"/>
  <c r="AN449" i="25"/>
  <c r="AN447" i="25"/>
  <c r="AN419" i="25"/>
  <c r="AN415" i="25"/>
  <c r="AN416" i="25"/>
  <c r="AN414" i="25"/>
  <c r="AN411" i="25"/>
  <c r="AN409" i="25"/>
  <c r="AN407" i="25"/>
  <c r="AN397" i="25"/>
  <c r="AN390" i="25"/>
  <c r="AN384" i="25"/>
  <c r="AN382" i="25"/>
  <c r="AN380" i="25"/>
  <c r="AN379" i="25"/>
  <c r="AN377" i="25"/>
  <c r="AN375" i="25"/>
  <c r="AN373" i="25"/>
  <c r="AN367" i="25"/>
  <c r="AN358" i="25"/>
  <c r="AN353" i="25"/>
  <c r="AN348" i="25"/>
  <c r="AN345" i="25"/>
  <c r="AN343" i="25"/>
  <c r="AN340" i="25"/>
  <c r="AN321" i="25"/>
  <c r="AN315" i="25"/>
  <c r="AN316" i="25"/>
  <c r="AN314" i="25"/>
  <c r="AN309" i="25"/>
  <c r="AN302" i="25"/>
  <c r="AN295" i="25"/>
  <c r="AN292" i="25"/>
  <c r="AN291" i="25"/>
  <c r="AN289" i="25"/>
  <c r="AN283" i="25"/>
  <c r="AN279" i="25"/>
  <c r="AN277" i="25"/>
  <c r="AN271" i="25"/>
  <c r="AN265" i="25"/>
  <c r="AN260" i="25"/>
  <c r="AN257" i="25"/>
  <c r="AN251" i="25"/>
  <c r="AN245" i="25"/>
  <c r="AN212" i="25"/>
  <c r="AN191" i="25"/>
  <c r="AN187" i="25"/>
  <c r="AN185" i="25"/>
  <c r="AN178" i="25"/>
  <c r="AN159" i="25"/>
  <c r="AM720" i="25"/>
  <c r="AL720" i="25"/>
  <c r="AM719" i="25"/>
  <c r="AL719" i="25"/>
  <c r="AM714" i="25"/>
  <c r="AL714" i="25"/>
  <c r="AM710" i="25"/>
  <c r="AL710" i="25"/>
  <c r="AM708" i="25"/>
  <c r="AL708" i="25"/>
  <c r="AM707" i="25"/>
  <c r="AL707" i="25"/>
  <c r="AM701" i="25"/>
  <c r="AL701" i="25"/>
  <c r="AM699" i="25"/>
  <c r="AL699" i="25"/>
  <c r="AM694" i="25"/>
  <c r="AL694" i="25"/>
  <c r="AM689" i="25"/>
  <c r="AL689" i="25"/>
  <c r="AM685" i="25"/>
  <c r="AL685" i="25"/>
  <c r="AM686" i="25"/>
  <c r="AL686" i="25"/>
  <c r="AM684" i="25"/>
  <c r="AL684" i="25"/>
  <c r="AM678" i="25"/>
  <c r="AL678" i="25"/>
  <c r="AM668" i="25"/>
  <c r="AL668" i="25"/>
  <c r="AM666" i="25"/>
  <c r="AL666" i="25"/>
  <c r="AM664" i="25"/>
  <c r="AL664" i="25"/>
  <c r="AM661" i="25"/>
  <c r="AL661" i="25"/>
  <c r="AM659" i="25"/>
  <c r="AL659" i="25"/>
  <c r="AM657" i="25"/>
  <c r="AL657" i="25"/>
  <c r="AM642" i="25"/>
  <c r="AL642" i="25"/>
  <c r="AM641" i="25"/>
  <c r="AL641" i="25"/>
  <c r="AM637" i="25"/>
  <c r="AL637" i="25"/>
  <c r="AM635" i="25"/>
  <c r="AL635" i="25"/>
  <c r="AM627" i="25"/>
  <c r="AL627" i="25"/>
  <c r="AM624" i="25"/>
  <c r="AL624" i="25"/>
  <c r="AM620" i="25"/>
  <c r="AL620" i="25"/>
  <c r="AM621" i="25"/>
  <c r="AL621" i="25"/>
  <c r="AM622" i="25"/>
  <c r="AL622" i="25"/>
  <c r="AM619" i="25"/>
  <c r="AL619" i="25"/>
  <c r="AM617" i="25"/>
  <c r="AL617" i="25"/>
  <c r="AM612" i="25"/>
  <c r="AL612" i="25"/>
  <c r="AM610" i="25"/>
  <c r="AL610" i="25"/>
  <c r="AM608" i="25"/>
  <c r="AL608" i="25"/>
  <c r="AM596" i="25"/>
  <c r="AL596" i="25"/>
  <c r="AM594" i="25"/>
  <c r="AL594" i="25"/>
  <c r="AM593" i="25"/>
  <c r="AL593" i="25"/>
  <c r="AM587" i="25"/>
  <c r="AL587" i="25"/>
  <c r="AM585" i="25"/>
  <c r="AL585" i="25"/>
  <c r="AM579" i="25"/>
  <c r="AL579" i="25"/>
  <c r="AM576" i="25"/>
  <c r="AL576" i="25"/>
  <c r="AM559" i="25"/>
  <c r="AL559" i="25"/>
  <c r="AM557" i="25"/>
  <c r="AL557" i="25"/>
  <c r="AM555" i="25"/>
  <c r="AL555" i="25"/>
  <c r="AM546" i="25"/>
  <c r="AL546" i="25"/>
  <c r="AM544" i="25"/>
  <c r="AL544" i="25"/>
  <c r="AM541" i="25"/>
  <c r="AL541" i="25"/>
  <c r="AM536" i="25"/>
  <c r="AL536" i="25"/>
  <c r="AM535" i="25"/>
  <c r="AL535" i="25"/>
  <c r="AM532" i="25"/>
  <c r="AL532" i="25"/>
  <c r="AM530" i="25"/>
  <c r="AL530" i="25"/>
  <c r="AM526" i="25"/>
  <c r="AL526" i="25"/>
  <c r="AM527" i="25"/>
  <c r="AL527" i="25"/>
  <c r="AM525" i="25"/>
  <c r="AL525" i="25"/>
  <c r="AM521" i="25"/>
  <c r="AL521" i="25"/>
  <c r="AM520" i="25"/>
  <c r="AL520" i="25"/>
  <c r="AM516" i="25"/>
  <c r="AL516" i="25"/>
  <c r="AM515" i="25"/>
  <c r="AL515" i="25"/>
  <c r="AM508" i="25"/>
  <c r="AL508" i="25"/>
  <c r="AM509" i="25"/>
  <c r="AL509" i="25"/>
  <c r="AM507" i="25"/>
  <c r="AL507" i="25"/>
  <c r="AM476" i="25"/>
  <c r="AL476" i="25"/>
  <c r="AM452" i="25"/>
  <c r="AL452" i="25"/>
  <c r="AM451" i="25"/>
  <c r="AL451" i="25"/>
  <c r="AM447" i="25"/>
  <c r="AL447" i="25"/>
  <c r="AM419" i="25"/>
  <c r="AL419" i="25"/>
  <c r="AM415" i="25"/>
  <c r="AL415" i="25"/>
  <c r="AM416" i="25"/>
  <c r="AL416" i="25"/>
  <c r="AM414" i="25"/>
  <c r="AL414" i="25"/>
  <c r="AM411" i="25"/>
  <c r="AL411" i="25"/>
  <c r="AM409" i="25"/>
  <c r="AL409" i="25"/>
  <c r="AL407" i="25"/>
  <c r="AL400" i="25"/>
  <c r="AL401" i="25"/>
  <c r="AL402" i="25"/>
  <c r="AL403" i="25"/>
  <c r="AL399" i="25"/>
  <c r="AL393" i="25"/>
  <c r="AL394" i="25"/>
  <c r="AL395" i="25"/>
  <c r="AL396" i="25"/>
  <c r="AL392" i="25"/>
  <c r="AM384" i="25"/>
  <c r="AL384" i="25"/>
  <c r="AM382" i="25"/>
  <c r="AL382" i="25"/>
  <c r="AL380" i="25"/>
  <c r="AM379" i="25"/>
  <c r="AL379" i="25"/>
  <c r="AM377" i="25"/>
  <c r="AL377" i="25"/>
  <c r="AM375" i="25"/>
  <c r="AL375" i="25"/>
  <c r="AM373" i="25"/>
  <c r="AL373" i="25"/>
  <c r="AL372" i="25"/>
  <c r="AL371" i="25"/>
  <c r="AL370" i="25"/>
  <c r="AL369" i="25"/>
  <c r="AL365" i="25"/>
  <c r="AL364" i="25"/>
  <c r="AL363" i="25"/>
  <c r="AL362" i="25"/>
  <c r="AL361" i="25"/>
  <c r="AL366" i="25"/>
  <c r="AM360" i="25"/>
  <c r="AL360" i="25"/>
  <c r="AL356" i="25"/>
  <c r="AL355" i="25"/>
  <c r="AL352" i="25"/>
  <c r="AM351" i="25"/>
  <c r="AL351" i="25"/>
  <c r="AL347" i="25"/>
  <c r="AL346" i="25"/>
  <c r="AL342" i="25"/>
  <c r="AM343" i="25"/>
  <c r="AL343" i="25"/>
  <c r="AL341" i="25"/>
  <c r="AL328" i="25"/>
  <c r="AL329" i="25"/>
  <c r="AL327" i="25"/>
  <c r="AM322" i="25"/>
  <c r="AL322" i="25"/>
  <c r="AL315" i="25"/>
  <c r="AL316" i="25"/>
  <c r="AL314" i="25"/>
  <c r="AL309" i="25"/>
  <c r="AL300" i="25"/>
  <c r="AL301" i="25"/>
  <c r="AM302" i="25"/>
  <c r="AL302" i="25"/>
  <c r="AL299" i="25"/>
  <c r="AL292" i="25"/>
  <c r="AL291" i="25"/>
  <c r="AL285" i="25"/>
  <c r="AL286" i="25"/>
  <c r="AL287" i="25"/>
  <c r="AL288" i="25"/>
  <c r="AM289" i="25"/>
  <c r="AL289" i="25"/>
  <c r="AL284" i="25"/>
  <c r="AL279" i="25"/>
  <c r="AL273" i="25"/>
  <c r="AL274" i="25"/>
  <c r="AL275" i="25"/>
  <c r="AL276" i="25"/>
  <c r="AL277" i="25"/>
  <c r="AL272" i="25"/>
  <c r="AL267" i="25"/>
  <c r="AL266" i="25"/>
  <c r="AL262" i="25"/>
  <c r="AL263" i="25"/>
  <c r="AL264" i="25"/>
  <c r="AL261" i="25"/>
  <c r="AL259" i="25"/>
  <c r="AL258" i="25"/>
  <c r="AL253" i="25"/>
  <c r="AL254" i="25"/>
  <c r="AL255" i="25"/>
  <c r="AL256" i="25"/>
  <c r="AL252" i="25"/>
  <c r="AM245" i="25"/>
  <c r="AL245" i="25"/>
  <c r="AL218" i="25"/>
  <c r="AL219" i="25"/>
  <c r="AL217" i="25"/>
  <c r="AM212" i="25"/>
  <c r="AL212" i="25"/>
  <c r="AL196" i="25"/>
  <c r="AM191" i="25"/>
  <c r="AL191" i="25"/>
  <c r="AL187" i="25"/>
  <c r="AM185" i="25"/>
  <c r="AL185" i="25"/>
  <c r="AM178" i="25"/>
  <c r="AL178" i="25"/>
  <c r="AL175" i="25"/>
  <c r="AL172" i="25"/>
  <c r="AL160" i="25"/>
  <c r="AM159" i="25"/>
  <c r="AL159" i="25"/>
  <c r="AL133" i="25"/>
  <c r="AL129" i="25"/>
  <c r="AL126" i="25"/>
  <c r="AL124" i="25"/>
  <c r="AL117" i="25"/>
  <c r="AL107" i="25"/>
  <c r="AL81" i="25"/>
  <c r="AL55" i="25"/>
  <c r="AL37" i="25"/>
  <c r="AL34" i="25"/>
  <c r="AL31" i="25"/>
  <c r="AL28" i="25"/>
  <c r="AL22" i="25"/>
  <c r="AL19" i="25"/>
  <c r="AL12" i="25"/>
  <c r="AM10" i="25"/>
  <c r="AL10" i="25"/>
  <c r="AS570" i="24"/>
  <c r="AR570" i="24"/>
  <c r="AS566" i="24"/>
  <c r="AR566" i="24"/>
  <c r="AS564" i="24"/>
  <c r="AR564" i="24"/>
  <c r="AS560" i="24"/>
  <c r="AR560" i="24"/>
  <c r="AS559" i="24"/>
  <c r="AR559" i="24"/>
  <c r="AS558" i="24"/>
  <c r="AR558" i="24"/>
  <c r="AS556" i="24"/>
  <c r="AR556" i="24"/>
  <c r="AS554" i="24"/>
  <c r="AR554" i="24"/>
  <c r="AS550" i="24"/>
  <c r="AR550" i="24"/>
  <c r="AS545" i="24"/>
  <c r="AR545" i="24"/>
  <c r="AS541" i="24"/>
  <c r="AR541" i="24"/>
  <c r="AS539" i="24"/>
  <c r="AR539" i="24"/>
  <c r="AS537" i="24"/>
  <c r="AR537" i="24"/>
  <c r="AS535" i="24"/>
  <c r="AR535" i="24"/>
  <c r="AS533" i="24"/>
  <c r="AR533" i="24"/>
  <c r="AS531" i="24"/>
  <c r="AR531" i="24"/>
  <c r="AS530" i="24"/>
  <c r="AR530" i="24"/>
  <c r="AS519" i="24"/>
  <c r="AR519" i="24"/>
  <c r="AS511" i="24"/>
  <c r="AR511" i="24"/>
  <c r="AS501" i="24"/>
  <c r="AR501" i="24"/>
  <c r="AS489" i="24"/>
  <c r="AR489" i="24"/>
  <c r="AS483" i="24"/>
  <c r="AR483" i="24"/>
  <c r="AS477" i="24"/>
  <c r="AR477" i="24"/>
  <c r="AS471" i="24"/>
  <c r="AR471" i="24"/>
  <c r="AS464" i="24"/>
  <c r="AR464" i="24"/>
  <c r="AS457" i="24"/>
  <c r="AR457" i="24"/>
  <c r="AS451" i="24"/>
  <c r="AR451" i="24"/>
  <c r="AS444" i="24"/>
  <c r="AR444" i="24"/>
  <c r="AS435" i="24"/>
  <c r="AR435" i="24"/>
  <c r="AS426" i="24"/>
  <c r="AR426" i="24"/>
  <c r="AS418" i="24"/>
  <c r="AR418" i="24"/>
  <c r="AS416" i="24"/>
  <c r="AR416" i="24"/>
  <c r="AS404" i="24"/>
  <c r="AR404" i="24"/>
  <c r="AS401" i="24"/>
  <c r="AR401" i="24"/>
  <c r="AS395" i="24"/>
  <c r="AR395" i="24"/>
  <c r="AS390" i="24"/>
  <c r="AR390" i="24"/>
  <c r="AS381" i="24"/>
  <c r="AR381" i="24"/>
  <c r="AS379" i="24"/>
  <c r="AR379" i="24"/>
  <c r="AS378" i="24"/>
  <c r="AR378" i="24"/>
  <c r="AS376" i="24"/>
  <c r="AR376" i="24"/>
  <c r="AS375" i="24"/>
  <c r="AR375" i="24"/>
  <c r="AS344" i="24"/>
  <c r="AR344" i="24"/>
  <c r="AS339" i="24"/>
  <c r="AR339" i="24"/>
  <c r="AS338" i="24"/>
  <c r="AR338" i="24"/>
  <c r="AS331" i="24"/>
  <c r="AR331" i="24"/>
  <c r="AS318" i="24"/>
  <c r="AR318" i="24"/>
  <c r="AS303" i="24"/>
  <c r="AR303" i="24"/>
  <c r="AS300" i="24"/>
  <c r="AR300" i="24"/>
  <c r="AS296" i="24"/>
  <c r="AR296" i="24"/>
  <c r="AS294" i="24"/>
  <c r="AR294" i="24"/>
  <c r="AS292" i="24"/>
  <c r="AR292" i="24"/>
  <c r="AS290" i="24"/>
  <c r="AR290" i="24"/>
  <c r="AS286" i="24"/>
  <c r="AR286" i="24"/>
  <c r="AS279" i="24"/>
  <c r="AR279" i="24"/>
  <c r="AS273" i="24"/>
  <c r="AR273" i="24"/>
  <c r="AS268" i="24"/>
  <c r="AR268" i="24"/>
  <c r="AS266" i="24"/>
  <c r="AR266" i="24"/>
  <c r="AS261" i="24"/>
  <c r="AR261" i="24"/>
  <c r="AS257" i="24"/>
  <c r="AR257" i="24"/>
  <c r="AS254" i="24"/>
  <c r="AR254" i="24"/>
  <c r="AS253" i="24"/>
  <c r="AR253" i="24"/>
  <c r="AS251" i="24"/>
  <c r="AR251" i="24"/>
  <c r="AS244" i="24"/>
  <c r="AR244" i="24"/>
  <c r="AS243" i="24"/>
  <c r="AR243" i="24"/>
  <c r="AS242" i="24"/>
  <c r="AR242" i="24"/>
  <c r="AS240" i="24"/>
  <c r="AR240" i="24"/>
  <c r="AS234" i="24"/>
  <c r="AR234" i="24"/>
  <c r="AS231" i="24"/>
  <c r="AR231" i="24"/>
  <c r="AS227" i="24"/>
  <c r="AR227" i="24"/>
  <c r="AS215" i="24"/>
  <c r="AR215" i="24"/>
  <c r="AS213" i="24"/>
  <c r="AR213" i="24"/>
  <c r="AS211" i="24"/>
  <c r="AR211" i="24"/>
  <c r="AS205" i="24"/>
  <c r="AR205" i="24"/>
  <c r="AS201" i="24"/>
  <c r="AR201" i="24"/>
  <c r="AS200" i="24"/>
  <c r="AR200" i="24"/>
  <c r="AS197" i="24"/>
  <c r="AR197" i="24"/>
  <c r="AS185" i="24"/>
  <c r="AR185" i="24"/>
  <c r="AS173" i="24"/>
  <c r="AR173" i="24"/>
  <c r="AS169" i="24"/>
  <c r="AR169" i="24"/>
  <c r="AS167" i="24"/>
  <c r="AR167" i="24"/>
  <c r="AS165" i="24"/>
  <c r="AR165" i="24"/>
  <c r="AS162" i="24"/>
  <c r="AR162" i="24"/>
  <c r="AS160" i="24"/>
  <c r="AR160" i="24"/>
  <c r="AS147" i="24"/>
  <c r="AR147" i="24"/>
  <c r="AS138" i="24"/>
  <c r="AR138" i="24"/>
  <c r="AS133" i="24"/>
  <c r="AR133" i="24"/>
  <c r="AS131" i="24"/>
  <c r="AR131" i="24"/>
  <c r="AS124" i="24"/>
  <c r="AR124" i="24"/>
  <c r="AS122" i="24"/>
  <c r="AR122" i="24"/>
  <c r="AS114" i="24"/>
  <c r="AR114" i="24"/>
  <c r="AS111" i="24"/>
  <c r="AR111" i="24"/>
  <c r="AS105" i="24"/>
  <c r="AR105" i="24"/>
  <c r="AS102" i="24"/>
  <c r="AR102" i="24"/>
  <c r="AS98" i="24"/>
  <c r="AR98" i="24"/>
  <c r="AS85" i="24"/>
  <c r="AR85" i="24"/>
  <c r="AS66" i="24"/>
  <c r="AR66" i="24"/>
  <c r="AS61" i="24"/>
  <c r="AR61" i="24"/>
  <c r="AS60" i="24"/>
  <c r="AR60" i="24"/>
  <c r="AS59" i="24"/>
  <c r="AR59" i="24"/>
  <c r="AS58" i="24"/>
  <c r="AR58" i="24"/>
  <c r="AS57" i="24"/>
  <c r="AR57" i="24"/>
  <c r="AS49" i="24"/>
  <c r="AR49" i="24"/>
  <c r="AS48" i="24"/>
  <c r="AR48" i="24"/>
  <c r="AS47" i="24"/>
  <c r="AR47" i="24"/>
  <c r="AS46" i="24"/>
  <c r="AR46" i="24"/>
  <c r="AS45" i="24"/>
  <c r="AR45" i="24"/>
  <c r="AS44" i="24"/>
  <c r="AR44" i="24"/>
  <c r="AS38" i="24"/>
  <c r="AR38" i="24"/>
  <c r="AS35" i="24"/>
  <c r="AR35" i="24"/>
  <c r="AS32" i="24"/>
  <c r="AR32" i="24"/>
  <c r="AS14" i="24"/>
  <c r="AR14" i="24"/>
  <c r="AQ570" i="24"/>
  <c r="AP570" i="24"/>
  <c r="AQ566" i="24"/>
  <c r="AP566" i="24"/>
  <c r="AQ564" i="24"/>
  <c r="AP564" i="24"/>
  <c r="AQ560" i="24"/>
  <c r="AP560" i="24"/>
  <c r="AQ559" i="24"/>
  <c r="AP559" i="24"/>
  <c r="AQ558" i="24"/>
  <c r="AP558" i="24"/>
  <c r="AQ556" i="24"/>
  <c r="AP556" i="24"/>
  <c r="AQ554" i="24"/>
  <c r="AP554" i="24"/>
  <c r="AQ550" i="24"/>
  <c r="AP550" i="24"/>
  <c r="AQ545" i="24"/>
  <c r="AP545" i="24"/>
  <c r="AQ541" i="24"/>
  <c r="AP541" i="24"/>
  <c r="AQ539" i="24"/>
  <c r="AP539" i="24"/>
  <c r="AQ537" i="24"/>
  <c r="AP537" i="24"/>
  <c r="AQ535" i="24"/>
  <c r="AP535" i="24"/>
  <c r="AQ533" i="24"/>
  <c r="AP533" i="24"/>
  <c r="AQ531" i="24"/>
  <c r="AP531" i="24"/>
  <c r="AQ530" i="24"/>
  <c r="AP530" i="24"/>
  <c r="AQ519" i="24"/>
  <c r="AP519" i="24"/>
  <c r="AQ513" i="24"/>
  <c r="AP513" i="24"/>
  <c r="AQ502" i="24"/>
  <c r="AP502" i="24"/>
  <c r="AQ490" i="24"/>
  <c r="AP490" i="24"/>
  <c r="AQ484" i="24"/>
  <c r="AP484" i="24"/>
  <c r="AQ478" i="24"/>
  <c r="AP478" i="24"/>
  <c r="AQ472" i="24"/>
  <c r="AP472" i="24"/>
  <c r="AQ466" i="24"/>
  <c r="AP466" i="24"/>
  <c r="AQ459" i="24"/>
  <c r="AP459" i="24"/>
  <c r="AQ451" i="24"/>
  <c r="AP451" i="24"/>
  <c r="AQ444" i="24"/>
  <c r="AP444" i="24"/>
  <c r="AQ435" i="24"/>
  <c r="AP435" i="24"/>
  <c r="AQ418" i="24"/>
  <c r="AP418" i="24"/>
  <c r="AQ416" i="24"/>
  <c r="AP416" i="24"/>
  <c r="AQ404" i="24"/>
  <c r="AP404" i="24"/>
  <c r="AQ401" i="24"/>
  <c r="AP401" i="24"/>
  <c r="AQ395" i="24"/>
  <c r="AP395" i="24"/>
  <c r="AQ390" i="24"/>
  <c r="AP390" i="24"/>
  <c r="AQ381" i="24"/>
  <c r="AP381" i="24"/>
  <c r="AQ379" i="24"/>
  <c r="AP379" i="24"/>
  <c r="AQ378" i="24"/>
  <c r="AP378" i="24"/>
  <c r="AQ376" i="24"/>
  <c r="AP376" i="24"/>
  <c r="AQ375" i="24"/>
  <c r="AP375" i="24"/>
  <c r="AQ351" i="24"/>
  <c r="AP351" i="24"/>
  <c r="AQ350" i="24"/>
  <c r="AP350" i="24"/>
  <c r="AQ349" i="24"/>
  <c r="AP349" i="24"/>
  <c r="AQ348" i="24"/>
  <c r="AP348" i="24"/>
  <c r="AQ347" i="24"/>
  <c r="AP347" i="24"/>
  <c r="AQ346" i="24"/>
  <c r="AP346" i="24"/>
  <c r="AQ345" i="24"/>
  <c r="AP345" i="24"/>
  <c r="AQ344" i="24"/>
  <c r="AP344" i="24"/>
  <c r="AQ339" i="24"/>
  <c r="AP339" i="24"/>
  <c r="AQ338" i="24"/>
  <c r="AP338" i="24"/>
  <c r="AQ337" i="24"/>
  <c r="AP337" i="24"/>
  <c r="AQ336" i="24"/>
  <c r="AP336" i="24"/>
  <c r="AQ335" i="24"/>
  <c r="AP335" i="24"/>
  <c r="AQ334" i="24"/>
  <c r="AP334" i="24"/>
  <c r="AQ333" i="24"/>
  <c r="AP333" i="24"/>
  <c r="AQ332" i="24"/>
  <c r="AP332" i="24"/>
  <c r="AQ331" i="24"/>
  <c r="AP331" i="24"/>
  <c r="AQ318" i="24"/>
  <c r="AP318" i="24"/>
  <c r="AQ316" i="24"/>
  <c r="AP316" i="24"/>
  <c r="AQ303" i="24"/>
  <c r="AP303" i="24"/>
  <c r="AQ300" i="24"/>
  <c r="AP300" i="24"/>
  <c r="AQ297" i="24"/>
  <c r="AP297" i="24"/>
  <c r="AQ295" i="24"/>
  <c r="AP295" i="24"/>
  <c r="AQ293" i="24"/>
  <c r="AP293" i="24"/>
  <c r="AQ291" i="24"/>
  <c r="AP291" i="24"/>
  <c r="AQ286" i="24"/>
  <c r="AP286" i="24"/>
  <c r="AQ279" i="24"/>
  <c r="AP279" i="24"/>
  <c r="AQ273" i="24"/>
  <c r="AP273" i="24"/>
  <c r="AQ268" i="24"/>
  <c r="AP268" i="24"/>
  <c r="AQ266" i="24"/>
  <c r="AP266" i="24"/>
  <c r="AQ261" i="24"/>
  <c r="AP261" i="24"/>
  <c r="AQ257" i="24"/>
  <c r="AP257" i="24"/>
  <c r="AQ254" i="24"/>
  <c r="AP254" i="24"/>
  <c r="AQ253" i="24"/>
  <c r="AP253" i="24"/>
  <c r="AQ251" i="24"/>
  <c r="AP251" i="24"/>
  <c r="AQ244" i="24"/>
  <c r="AP244" i="24"/>
  <c r="AQ243" i="24"/>
  <c r="AP243" i="24"/>
  <c r="AQ242" i="24"/>
  <c r="AP242" i="24"/>
  <c r="AQ240" i="24"/>
  <c r="AP240" i="24"/>
  <c r="AQ234" i="24"/>
  <c r="AP234" i="24"/>
  <c r="AQ231" i="24"/>
  <c r="AP231" i="24"/>
  <c r="AQ227" i="24"/>
  <c r="AP227" i="24"/>
  <c r="AQ215" i="24"/>
  <c r="AP215" i="24"/>
  <c r="AQ213" i="24"/>
  <c r="AP213" i="24"/>
  <c r="AQ211" i="24"/>
  <c r="AP211" i="24"/>
  <c r="AQ205" i="24"/>
  <c r="AP205" i="24"/>
  <c r="AQ201" i="24"/>
  <c r="AP201" i="24"/>
  <c r="AQ200" i="24"/>
  <c r="AP200" i="24"/>
  <c r="AQ197" i="24"/>
  <c r="AP197" i="24"/>
  <c r="AQ185" i="24"/>
  <c r="AP185" i="24"/>
  <c r="AQ173" i="24"/>
  <c r="AP173" i="24"/>
  <c r="AQ169" i="24"/>
  <c r="AP169" i="24"/>
  <c r="AQ167" i="24"/>
  <c r="AP167" i="24"/>
  <c r="AQ165" i="24"/>
  <c r="AP165" i="24"/>
  <c r="AQ162" i="24"/>
  <c r="AP162" i="24"/>
  <c r="AQ160" i="24"/>
  <c r="AP160" i="24"/>
  <c r="AQ155" i="24"/>
  <c r="AP155" i="24"/>
  <c r="AQ151" i="24"/>
  <c r="AP151" i="24"/>
  <c r="AQ147" i="24"/>
  <c r="AP147" i="24"/>
  <c r="AQ141" i="24"/>
  <c r="AP141" i="24"/>
  <c r="AQ139" i="24"/>
  <c r="AP139" i="24"/>
  <c r="AQ138" i="24"/>
  <c r="AP138" i="24"/>
  <c r="AQ133" i="24"/>
  <c r="AP133" i="24"/>
  <c r="AQ131" i="24"/>
  <c r="AP131" i="24"/>
  <c r="AQ124" i="24"/>
  <c r="AP124" i="24"/>
  <c r="AQ122" i="24"/>
  <c r="AP122" i="24"/>
  <c r="AQ114" i="24"/>
  <c r="AP114" i="24"/>
  <c r="AQ111" i="24"/>
  <c r="AP111" i="24"/>
  <c r="AQ109" i="24"/>
  <c r="AP109" i="24"/>
  <c r="AQ108" i="24"/>
  <c r="AP108" i="24"/>
  <c r="AQ102" i="24"/>
  <c r="AP102" i="24"/>
  <c r="AQ98" i="24"/>
  <c r="AP98" i="24"/>
  <c r="AQ85" i="24"/>
  <c r="AP85" i="24"/>
  <c r="AQ77" i="24"/>
  <c r="AP77" i="24"/>
  <c r="AQ75" i="24"/>
  <c r="AP75" i="24"/>
  <c r="AQ71" i="24"/>
  <c r="AP71" i="24"/>
  <c r="AQ70" i="24"/>
  <c r="AP70" i="24"/>
  <c r="AQ69" i="24"/>
  <c r="AP69" i="24"/>
  <c r="AP62" i="24"/>
  <c r="AQ60" i="24"/>
  <c r="AP60" i="24"/>
  <c r="AQ59" i="24"/>
  <c r="AP59" i="24"/>
  <c r="AQ58" i="24"/>
  <c r="AP58" i="24"/>
  <c r="AQ57" i="24"/>
  <c r="AP57" i="24"/>
  <c r="AQ49" i="24"/>
  <c r="AP49" i="24"/>
  <c r="AQ48" i="24"/>
  <c r="AP48" i="24"/>
  <c r="AQ47" i="24"/>
  <c r="AP47" i="24"/>
  <c r="AQ46" i="24"/>
  <c r="AP46" i="24"/>
  <c r="AQ45" i="24"/>
  <c r="AP45" i="24"/>
  <c r="AQ44" i="24"/>
  <c r="AP44" i="24"/>
  <c r="AQ38" i="24"/>
  <c r="AP38" i="24"/>
  <c r="AQ35" i="24"/>
  <c r="AP35" i="24"/>
  <c r="AQ32" i="24"/>
  <c r="AP32" i="24"/>
  <c r="AN570" i="24"/>
  <c r="AN543" i="24"/>
  <c r="AO527" i="24"/>
  <c r="AN527" i="24"/>
  <c r="AN519" i="24"/>
  <c r="AO496" i="24"/>
  <c r="AN496" i="24"/>
  <c r="AN453" i="24"/>
  <c r="AO451" i="24"/>
  <c r="AN451" i="24"/>
  <c r="AO444" i="24"/>
  <c r="AN444" i="24"/>
  <c r="AO435" i="24"/>
  <c r="AN435" i="24"/>
  <c r="AN414" i="24"/>
  <c r="AN404" i="24"/>
  <c r="AO401" i="24"/>
  <c r="AN401" i="24"/>
  <c r="AO395" i="24"/>
  <c r="AN395" i="24"/>
  <c r="AO390" i="24"/>
  <c r="AN390" i="24"/>
  <c r="AN381" i="24"/>
  <c r="AO378" i="24"/>
  <c r="AN378" i="24"/>
  <c r="AO375" i="24"/>
  <c r="AN375" i="24"/>
  <c r="AN343" i="24"/>
  <c r="AO327" i="24"/>
  <c r="AN327" i="24"/>
  <c r="AO318" i="24"/>
  <c r="AN318" i="24"/>
  <c r="AO303" i="24"/>
  <c r="AN303" i="24"/>
  <c r="AO290" i="24"/>
  <c r="AN290" i="24"/>
  <c r="AO286" i="24"/>
  <c r="AN286" i="24"/>
  <c r="AO279" i="24"/>
  <c r="AN279" i="24"/>
  <c r="AN273" i="24"/>
  <c r="AN268" i="24"/>
  <c r="AN266" i="24"/>
  <c r="AO257" i="24"/>
  <c r="AN257" i="24"/>
  <c r="AO247" i="24"/>
  <c r="AN247" i="24"/>
  <c r="AN243" i="24"/>
  <c r="AN244" i="24"/>
  <c r="AN242" i="24"/>
  <c r="AN240" i="24"/>
  <c r="AN231" i="24"/>
  <c r="AN214" i="24"/>
  <c r="AO213" i="24"/>
  <c r="AN213" i="24"/>
  <c r="AO211" i="24"/>
  <c r="AN211" i="24"/>
  <c r="AN205" i="24"/>
  <c r="AO201" i="24"/>
  <c r="AN201" i="24"/>
  <c r="AN200" i="24"/>
  <c r="AN197" i="24"/>
  <c r="AO169" i="24"/>
  <c r="AN169" i="24"/>
  <c r="AO167" i="24"/>
  <c r="AN167" i="24"/>
  <c r="AO165" i="24"/>
  <c r="AN165" i="24"/>
  <c r="AN162" i="24"/>
  <c r="AN160" i="24"/>
  <c r="AN155" i="24"/>
  <c r="AN151" i="24"/>
  <c r="AN147" i="24"/>
  <c r="AN141" i="24"/>
  <c r="AN139" i="24"/>
  <c r="AN131" i="24"/>
  <c r="AN122" i="24"/>
  <c r="AO114" i="24"/>
  <c r="AN114" i="24"/>
  <c r="AN105" i="24"/>
  <c r="AO102" i="24"/>
  <c r="AN102" i="24"/>
  <c r="AN85" i="24"/>
  <c r="AN66" i="24"/>
  <c r="AO58" i="24"/>
  <c r="AN58" i="24"/>
  <c r="AO59" i="24"/>
  <c r="AN59" i="24"/>
  <c r="AN60" i="24"/>
  <c r="AN61" i="24"/>
  <c r="AN57" i="24"/>
  <c r="AO45" i="24"/>
  <c r="AN45" i="24"/>
  <c r="AO46" i="24"/>
  <c r="AN46" i="24"/>
  <c r="AO47" i="24"/>
  <c r="AN47" i="24"/>
  <c r="AO48" i="24"/>
  <c r="AN48" i="24"/>
  <c r="AO49" i="24"/>
  <c r="AN49" i="24"/>
  <c r="AO44" i="24"/>
  <c r="AN44" i="24"/>
  <c r="AO38" i="24"/>
  <c r="AN38" i="24"/>
  <c r="AO35" i="24"/>
  <c r="AN35" i="24"/>
  <c r="AO32" i="24"/>
  <c r="AN32" i="24"/>
  <c r="AN14" i="24"/>
  <c r="AM584" i="24"/>
  <c r="AL584" i="24"/>
  <c r="AM583" i="24"/>
  <c r="AL583" i="24"/>
  <c r="AM582" i="24"/>
  <c r="AL582" i="24"/>
  <c r="AM581" i="24"/>
  <c r="AL581" i="24"/>
  <c r="AM577" i="24"/>
  <c r="AL577" i="24"/>
  <c r="AM575" i="24"/>
  <c r="AL575" i="24"/>
  <c r="AM566" i="24"/>
  <c r="AL566" i="24"/>
  <c r="AM559" i="24"/>
  <c r="AL559" i="24"/>
  <c r="AM564" i="24"/>
  <c r="AL564" i="24"/>
  <c r="AM560" i="24"/>
  <c r="AL560" i="24"/>
  <c r="AM558" i="24"/>
  <c r="AL558" i="24"/>
  <c r="AM556" i="24"/>
  <c r="AL556" i="24"/>
  <c r="AM554" i="24"/>
  <c r="AL554" i="24"/>
  <c r="AM550" i="24"/>
  <c r="AL550" i="24"/>
  <c r="AM545" i="24"/>
  <c r="AL545" i="24"/>
  <c r="AM543" i="24"/>
  <c r="AL543" i="24"/>
  <c r="AM541" i="24"/>
  <c r="AL541" i="24"/>
  <c r="AM539" i="24"/>
  <c r="AL539" i="24"/>
  <c r="AM537" i="24"/>
  <c r="AL537" i="24"/>
  <c r="AM535" i="24"/>
  <c r="AL535" i="24"/>
  <c r="AM533" i="24"/>
  <c r="AL533" i="24"/>
  <c r="AM531" i="24"/>
  <c r="AL531" i="24"/>
  <c r="AM530" i="24"/>
  <c r="AL530" i="24"/>
  <c r="AM527" i="24"/>
  <c r="AL527" i="24"/>
  <c r="AM519" i="24"/>
  <c r="AL519" i="24"/>
  <c r="AM496" i="24"/>
  <c r="AL496" i="24"/>
  <c r="AM471" i="24"/>
  <c r="AL471" i="24"/>
  <c r="AM457" i="24"/>
  <c r="AL457" i="24"/>
  <c r="AM453" i="24"/>
  <c r="AL453" i="24"/>
  <c r="AM451" i="24"/>
  <c r="AL451" i="24"/>
  <c r="AM444" i="24"/>
  <c r="AL444" i="24"/>
  <c r="AM435" i="24"/>
  <c r="AL435" i="24"/>
  <c r="AM418" i="24"/>
  <c r="AL418" i="24"/>
  <c r="AM416" i="24"/>
  <c r="AL416" i="24"/>
  <c r="AM414" i="24"/>
  <c r="AL414" i="24"/>
  <c r="AM404" i="24"/>
  <c r="AL404" i="24"/>
  <c r="AM401" i="24"/>
  <c r="AL401" i="24"/>
  <c r="AM395" i="24"/>
  <c r="AL395" i="24"/>
  <c r="AM390" i="24"/>
  <c r="AL390" i="24"/>
  <c r="AM381" i="24"/>
  <c r="AL381" i="24"/>
  <c r="AM378" i="24"/>
  <c r="AL378" i="24"/>
  <c r="AM375" i="24"/>
  <c r="AL375" i="24"/>
  <c r="AM358" i="24"/>
  <c r="AL358" i="24"/>
  <c r="AM356" i="24"/>
  <c r="AL356" i="24"/>
  <c r="AM354" i="24"/>
  <c r="AL354" i="24"/>
  <c r="AM330" i="24"/>
  <c r="AL330" i="24"/>
  <c r="AM329" i="24"/>
  <c r="AL329" i="24"/>
  <c r="AM327" i="24"/>
  <c r="AL327" i="24"/>
  <c r="AM318" i="24"/>
  <c r="AL318" i="24"/>
  <c r="AM303" i="24"/>
  <c r="AL303" i="24"/>
  <c r="AM300" i="24"/>
  <c r="AL300" i="24"/>
  <c r="AM290" i="24"/>
  <c r="AL290" i="24"/>
  <c r="AM286" i="24"/>
  <c r="AL286" i="24"/>
  <c r="AM279" i="24"/>
  <c r="AL279" i="24"/>
  <c r="AM273" i="24"/>
  <c r="AL273" i="24"/>
  <c r="AM268" i="24"/>
  <c r="AL268" i="24"/>
  <c r="AM266" i="24"/>
  <c r="AL266" i="24"/>
  <c r="AM261" i="24"/>
  <c r="AL261" i="24"/>
  <c r="AM257" i="24"/>
  <c r="AL257" i="24"/>
  <c r="AM247" i="24"/>
  <c r="AL247" i="24"/>
  <c r="AM243" i="24"/>
  <c r="AL243" i="24"/>
  <c r="AM244" i="24"/>
  <c r="AL244" i="24"/>
  <c r="AM242" i="24"/>
  <c r="AL242" i="24"/>
  <c r="AM240" i="24"/>
  <c r="AL240" i="24"/>
  <c r="AM234" i="24"/>
  <c r="AL234" i="24"/>
  <c r="AM231" i="24"/>
  <c r="AL231" i="24"/>
  <c r="AM227" i="24"/>
  <c r="AL227" i="24"/>
  <c r="AM214" i="24"/>
  <c r="AL214" i="24"/>
  <c r="AM213" i="24"/>
  <c r="AL213" i="24"/>
  <c r="AM211" i="24"/>
  <c r="AL211" i="24"/>
  <c r="AM209" i="24"/>
  <c r="AL209" i="24"/>
  <c r="AM206" i="24"/>
  <c r="AL206" i="24"/>
  <c r="AM201" i="24"/>
  <c r="AL201" i="24"/>
  <c r="AM200" i="24"/>
  <c r="AL200" i="24"/>
  <c r="AM197" i="24"/>
  <c r="AL197" i="24"/>
  <c r="AM185" i="24"/>
  <c r="AL185" i="24"/>
  <c r="AM173" i="24"/>
  <c r="AL173" i="24"/>
  <c r="AM169" i="24"/>
  <c r="AL169" i="24"/>
  <c r="AM167" i="24"/>
  <c r="AL167" i="24"/>
  <c r="AM165" i="24"/>
  <c r="AL165" i="24"/>
  <c r="AM162" i="24"/>
  <c r="AL162" i="24"/>
  <c r="AM160" i="24"/>
  <c r="AL160" i="24"/>
  <c r="AM155" i="24"/>
  <c r="AL155" i="24"/>
  <c r="AM151" i="24"/>
  <c r="AL151" i="24"/>
  <c r="AM147" i="24"/>
  <c r="AL147" i="24"/>
  <c r="AM141" i="24"/>
  <c r="AL141" i="24"/>
  <c r="AM139" i="24"/>
  <c r="AL139" i="24"/>
  <c r="AL133" i="24"/>
  <c r="AM131" i="24"/>
  <c r="AL131" i="24"/>
  <c r="AL124" i="24"/>
  <c r="AM122" i="24"/>
  <c r="AL122" i="24"/>
  <c r="AM114" i="24"/>
  <c r="AL114" i="24"/>
  <c r="AL111" i="24"/>
  <c r="AM105" i="24"/>
  <c r="AL105" i="24"/>
  <c r="AM102" i="24"/>
  <c r="AL102" i="24"/>
  <c r="AL98" i="24"/>
  <c r="AM85" i="24"/>
  <c r="AL85" i="24"/>
  <c r="AM83" i="24"/>
  <c r="AL83" i="24"/>
  <c r="AM81" i="24"/>
  <c r="AL81" i="24"/>
  <c r="AM79" i="24"/>
  <c r="AL79" i="24"/>
  <c r="AM65" i="24"/>
  <c r="AL65" i="24"/>
  <c r="AM66" i="24"/>
  <c r="AL66" i="24"/>
  <c r="AM64" i="24"/>
  <c r="AL64" i="24"/>
  <c r="AM58" i="24"/>
  <c r="AL58" i="24"/>
  <c r="AM59" i="24"/>
  <c r="AL59" i="24"/>
  <c r="AM60" i="24"/>
  <c r="AL60" i="24"/>
  <c r="AM61" i="24"/>
  <c r="AL61" i="24"/>
  <c r="AM57" i="24"/>
  <c r="AL57" i="24"/>
  <c r="AM52" i="24"/>
  <c r="AL52" i="24"/>
  <c r="AM45" i="24"/>
  <c r="AL45" i="24"/>
  <c r="AM46" i="24"/>
  <c r="AL46" i="24"/>
  <c r="AM47" i="24"/>
  <c r="AL47" i="24"/>
  <c r="AM48" i="24"/>
  <c r="AL48" i="24"/>
  <c r="AM49" i="24"/>
  <c r="AL49" i="24"/>
  <c r="AM44" i="24"/>
  <c r="AL44" i="24"/>
  <c r="AM38" i="24"/>
  <c r="AL38" i="24"/>
  <c r="AM35" i="24"/>
  <c r="AL35" i="24"/>
  <c r="AM32" i="24"/>
  <c r="AL32" i="24"/>
  <c r="AL23" i="24"/>
  <c r="AM22" i="24"/>
  <c r="AL22" i="24"/>
  <c r="AM21" i="24"/>
  <c r="AL21" i="24"/>
  <c r="AM20" i="24"/>
  <c r="AL20" i="24"/>
  <c r="AM19" i="24"/>
  <c r="AL19" i="24"/>
  <c r="AM18" i="24"/>
  <c r="AL18" i="24"/>
  <c r="AS305" i="8"/>
  <c r="AR305" i="8"/>
  <c r="AS303" i="8"/>
  <c r="AR303" i="8"/>
  <c r="AS301" i="8"/>
  <c r="AR301" i="8"/>
  <c r="AS299" i="8"/>
  <c r="AR299" i="8"/>
  <c r="AS294" i="8"/>
  <c r="AR294" i="8"/>
  <c r="AS293" i="8"/>
  <c r="AR293" i="8"/>
  <c r="AS290" i="8"/>
  <c r="AR290" i="8"/>
  <c r="AS287" i="8"/>
  <c r="AR287" i="8"/>
  <c r="AS283" i="8"/>
  <c r="AR283" i="8"/>
  <c r="AS271" i="8"/>
  <c r="AR271" i="8"/>
  <c r="AS272" i="8"/>
  <c r="AR272" i="8"/>
  <c r="AS270" i="8"/>
  <c r="AR270" i="8"/>
  <c r="AS267" i="8"/>
  <c r="AR267" i="8"/>
  <c r="AS265" i="8"/>
  <c r="AR265" i="8"/>
  <c r="AS262" i="8"/>
  <c r="AR262" i="8"/>
  <c r="AS255" i="8"/>
  <c r="AR255" i="8"/>
  <c r="AS252" i="8"/>
  <c r="AR252" i="8"/>
  <c r="AS242" i="8"/>
  <c r="AR242" i="8"/>
  <c r="AS237" i="8"/>
  <c r="AR237" i="8"/>
  <c r="AS236" i="8"/>
  <c r="AR236" i="8"/>
  <c r="AS234" i="8"/>
  <c r="AR234" i="8"/>
  <c r="AS220" i="8"/>
  <c r="AR220" i="8"/>
  <c r="AS219" i="8"/>
  <c r="AR219" i="8"/>
  <c r="AS216" i="8"/>
  <c r="AR216" i="8"/>
  <c r="AS212" i="8"/>
  <c r="AR212" i="8"/>
  <c r="AS210" i="8"/>
  <c r="AR210" i="8"/>
  <c r="AS208" i="8"/>
  <c r="AR208" i="8"/>
  <c r="AS207" i="8"/>
  <c r="AR207" i="8"/>
  <c r="AS205" i="8"/>
  <c r="AR205" i="8"/>
  <c r="AS202" i="8"/>
  <c r="AR202" i="8"/>
  <c r="AS195" i="8"/>
  <c r="AR195" i="8"/>
  <c r="AS190" i="8"/>
  <c r="AR190" i="8"/>
  <c r="AS181" i="8"/>
  <c r="AR181" i="8"/>
  <c r="AS174" i="8"/>
  <c r="AR174" i="8"/>
  <c r="AS172" i="8"/>
  <c r="AR172" i="8"/>
  <c r="AS170" i="8"/>
  <c r="AR170" i="8"/>
  <c r="AS168" i="8"/>
  <c r="AR168" i="8"/>
  <c r="AS165" i="8"/>
  <c r="AR165" i="8"/>
  <c r="AS163" i="8"/>
  <c r="AR163" i="8"/>
  <c r="AS158" i="8"/>
  <c r="AR158" i="8"/>
  <c r="AS157" i="8"/>
  <c r="AR157" i="8"/>
  <c r="AS152" i="8"/>
  <c r="AR152" i="8"/>
  <c r="AS150" i="8"/>
  <c r="AR150" i="8"/>
  <c r="AS148" i="8"/>
  <c r="AR148" i="8"/>
  <c r="AS145" i="8"/>
  <c r="AR145" i="8"/>
  <c r="AS143" i="8"/>
  <c r="AR143" i="8"/>
  <c r="AS137" i="8"/>
  <c r="AR137" i="8"/>
  <c r="AS133" i="8"/>
  <c r="AR133" i="8"/>
  <c r="AS130" i="8"/>
  <c r="AR130" i="8"/>
  <c r="AS128" i="8"/>
  <c r="AR128" i="8"/>
  <c r="AS123" i="8"/>
  <c r="AR123" i="8"/>
  <c r="AS116" i="8"/>
  <c r="AR116" i="8"/>
  <c r="AS113" i="8"/>
  <c r="AR113" i="8"/>
  <c r="AS106" i="8"/>
  <c r="AR106" i="8"/>
  <c r="AS94" i="8"/>
  <c r="AR94" i="8"/>
  <c r="AS81" i="8"/>
  <c r="AR81" i="8"/>
  <c r="AS62" i="8"/>
  <c r="AR62" i="8"/>
  <c r="AS57" i="8"/>
  <c r="AR57" i="8"/>
  <c r="AS52" i="8"/>
  <c r="AR52" i="8"/>
  <c r="AS48" i="8"/>
  <c r="AR48" i="8"/>
  <c r="AS45" i="8"/>
  <c r="AR45" i="8"/>
  <c r="AS43" i="8"/>
  <c r="AR43" i="8"/>
  <c r="AS38" i="8"/>
  <c r="AR38" i="8"/>
  <c r="AS35" i="8"/>
  <c r="AR35" i="8"/>
  <c r="AS29" i="8"/>
  <c r="AR29" i="8"/>
  <c r="AS20" i="8"/>
  <c r="AR20" i="8"/>
  <c r="AS18" i="8"/>
  <c r="AR18" i="8"/>
  <c r="AS16" i="8"/>
  <c r="AR16" i="8"/>
  <c r="AS14" i="8"/>
  <c r="AR14" i="8"/>
  <c r="AQ305" i="8"/>
  <c r="AP305" i="8"/>
  <c r="AQ303" i="8"/>
  <c r="AP303" i="8"/>
  <c r="AQ301" i="8"/>
  <c r="AP301" i="8"/>
  <c r="AQ299" i="8"/>
  <c r="AP299" i="8"/>
  <c r="AQ294" i="8"/>
  <c r="AP294" i="8"/>
  <c r="AQ293" i="8"/>
  <c r="AP293" i="8"/>
  <c r="AQ290" i="8"/>
  <c r="AP290" i="8"/>
  <c r="AQ287" i="8"/>
  <c r="AP287" i="8"/>
  <c r="AQ283" i="8"/>
  <c r="AP283" i="8"/>
  <c r="AQ273" i="8"/>
  <c r="AP273" i="8"/>
  <c r="AQ271" i="8"/>
  <c r="AP271" i="8"/>
  <c r="AQ270" i="8"/>
  <c r="AP270" i="8"/>
  <c r="AQ267" i="8"/>
  <c r="AP267" i="8"/>
  <c r="AQ265" i="8"/>
  <c r="AP265" i="8"/>
  <c r="AQ262" i="8"/>
  <c r="AP262" i="8"/>
  <c r="AQ255" i="8"/>
  <c r="AP255" i="8"/>
  <c r="AQ252" i="8"/>
  <c r="AP252" i="8"/>
  <c r="AQ251" i="8"/>
  <c r="AP251" i="8"/>
  <c r="AQ247" i="8"/>
  <c r="AP247" i="8"/>
  <c r="AQ244" i="8"/>
  <c r="AP244" i="8"/>
  <c r="AQ237" i="8"/>
  <c r="AP237" i="8"/>
  <c r="AQ236" i="8"/>
  <c r="AP236" i="8"/>
  <c r="AQ234" i="8"/>
  <c r="AP234" i="8"/>
  <c r="AQ226" i="8"/>
  <c r="AP226" i="8"/>
  <c r="AQ225" i="8"/>
  <c r="AP225" i="8"/>
  <c r="AQ224" i="8"/>
  <c r="AP224" i="8"/>
  <c r="AQ223" i="8"/>
  <c r="AP223" i="8"/>
  <c r="AQ222" i="8"/>
  <c r="AP222" i="8"/>
  <c r="AQ221" i="8"/>
  <c r="AP221" i="8"/>
  <c r="AQ219" i="8"/>
  <c r="AP219" i="8"/>
  <c r="AQ216" i="8"/>
  <c r="AP216" i="8"/>
  <c r="AQ212" i="8"/>
  <c r="AP212" i="8"/>
  <c r="AQ210" i="8"/>
  <c r="AP210" i="8"/>
  <c r="AQ208" i="8"/>
  <c r="AP208" i="8"/>
  <c r="AQ207" i="8"/>
  <c r="AP207" i="8"/>
  <c r="AQ205" i="8"/>
  <c r="AP205" i="8"/>
  <c r="AQ200" i="8"/>
  <c r="AP200" i="8"/>
  <c r="AQ198" i="8"/>
  <c r="AP198" i="8"/>
  <c r="AQ197" i="8"/>
  <c r="AP197" i="8"/>
  <c r="AQ190" i="8"/>
  <c r="AP190" i="8"/>
  <c r="AQ185" i="8"/>
  <c r="AP185" i="8"/>
  <c r="AQ183" i="8"/>
  <c r="AP183" i="8"/>
  <c r="AQ180" i="8"/>
  <c r="AP180" i="8"/>
  <c r="AQ177" i="8"/>
  <c r="AP177" i="8"/>
  <c r="AQ178" i="8"/>
  <c r="AP178" i="8"/>
  <c r="AQ176" i="8"/>
  <c r="AP176" i="8"/>
  <c r="AQ172" i="8"/>
  <c r="AP172" i="8"/>
  <c r="AQ170" i="8"/>
  <c r="AP170" i="8"/>
  <c r="AQ168" i="8"/>
  <c r="AP168" i="8"/>
  <c r="AQ165" i="8"/>
  <c r="AP165" i="8"/>
  <c r="AQ163" i="8"/>
  <c r="AP163" i="8"/>
  <c r="AQ158" i="8"/>
  <c r="AP158" i="8"/>
  <c r="AQ157" i="8"/>
  <c r="AP157" i="8"/>
  <c r="AQ152" i="8"/>
  <c r="AP152" i="8"/>
  <c r="AQ150" i="8"/>
  <c r="AP150" i="8"/>
  <c r="AQ148" i="8"/>
  <c r="AP148" i="8"/>
  <c r="AQ145" i="8"/>
  <c r="AP145" i="8"/>
  <c r="AQ143" i="8"/>
  <c r="AP143" i="8"/>
  <c r="AQ137" i="8"/>
  <c r="AP137" i="8"/>
  <c r="AQ135" i="8"/>
  <c r="AP135" i="8"/>
  <c r="AQ130" i="8"/>
  <c r="AP130" i="8"/>
  <c r="AQ128" i="8"/>
  <c r="AP128" i="8"/>
  <c r="AQ123" i="8"/>
  <c r="AP123" i="8"/>
  <c r="AQ116" i="8"/>
  <c r="AP116" i="8"/>
  <c r="AQ113" i="8"/>
  <c r="AP113" i="8"/>
  <c r="AQ105" i="8"/>
  <c r="AP105" i="8"/>
  <c r="AQ103" i="8"/>
  <c r="AP103" i="8"/>
  <c r="AQ101" i="8"/>
  <c r="AP101" i="8"/>
  <c r="AQ100" i="8"/>
  <c r="AP100" i="8"/>
  <c r="AQ97" i="8"/>
  <c r="AP97" i="8"/>
  <c r="AQ93" i="8"/>
  <c r="AP93" i="8"/>
  <c r="AQ91" i="8"/>
  <c r="AP91" i="8"/>
  <c r="AQ86" i="8"/>
  <c r="AP86" i="8"/>
  <c r="AQ83" i="8"/>
  <c r="AP83" i="8"/>
  <c r="AQ84" i="8"/>
  <c r="AP84" i="8"/>
  <c r="AQ82" i="8"/>
  <c r="AP82" i="8"/>
  <c r="AQ76" i="8"/>
  <c r="AP76" i="8"/>
  <c r="AQ74" i="8"/>
  <c r="AP74" i="8"/>
  <c r="AQ72" i="8"/>
  <c r="AP72" i="8"/>
  <c r="AQ71" i="8"/>
  <c r="AP71" i="8"/>
  <c r="AQ69" i="8"/>
  <c r="AP69" i="8"/>
  <c r="AQ67" i="8"/>
  <c r="AP67" i="8"/>
  <c r="AQ65" i="8"/>
  <c r="AP65" i="8"/>
  <c r="AQ64" i="8"/>
  <c r="AP64" i="8"/>
  <c r="AQ52" i="8"/>
  <c r="AP52" i="8"/>
  <c r="AQ48" i="8"/>
  <c r="AP48" i="8"/>
  <c r="AQ45" i="8"/>
  <c r="AP45" i="8"/>
  <c r="AQ43" i="8"/>
  <c r="AP43" i="8"/>
  <c r="AQ38" i="8"/>
  <c r="AP38" i="8"/>
  <c r="AQ35" i="8"/>
  <c r="AP35" i="8"/>
  <c r="AQ30" i="8"/>
  <c r="AP30" i="8"/>
  <c r="AQ20" i="8"/>
  <c r="AP20" i="8"/>
  <c r="AQ18" i="8"/>
  <c r="AP18" i="8"/>
  <c r="AQ16" i="8"/>
  <c r="AP16" i="8"/>
  <c r="AO305" i="8"/>
  <c r="AN305" i="8"/>
  <c r="AN303" i="8"/>
  <c r="AN301" i="8"/>
  <c r="AN299" i="8"/>
  <c r="AN294" i="8"/>
  <c r="AN293" i="8"/>
  <c r="AN290" i="8"/>
  <c r="AO287" i="8"/>
  <c r="AN287" i="8"/>
  <c r="AN283" i="8"/>
  <c r="AO273" i="8"/>
  <c r="AN273" i="8"/>
  <c r="AN271" i="8"/>
  <c r="AN270" i="8"/>
  <c r="AN267" i="8"/>
  <c r="AN265" i="8"/>
  <c r="AO262" i="8"/>
  <c r="AN262" i="8"/>
  <c r="AN255" i="8"/>
  <c r="AO252" i="8"/>
  <c r="AN252" i="8"/>
  <c r="AN242" i="8"/>
  <c r="AN237" i="8"/>
  <c r="AN236" i="8"/>
  <c r="AO234" i="8"/>
  <c r="AN234" i="8"/>
  <c r="AO220" i="8"/>
  <c r="AN220" i="8"/>
  <c r="AO219" i="8"/>
  <c r="AN219" i="8"/>
  <c r="AO216" i="8"/>
  <c r="AN216" i="8"/>
  <c r="AO212" i="8"/>
  <c r="AN212" i="8"/>
  <c r="AO210" i="8"/>
  <c r="AN210" i="8"/>
  <c r="AO208" i="8"/>
  <c r="AN208" i="8"/>
  <c r="AO207" i="8"/>
  <c r="AN207" i="8"/>
  <c r="AO205" i="8"/>
  <c r="AN205" i="8"/>
  <c r="AO200" i="8"/>
  <c r="AN200" i="8"/>
  <c r="AO198" i="8"/>
  <c r="AN198" i="8"/>
  <c r="AO197" i="8"/>
  <c r="AN197" i="8"/>
  <c r="AN190" i="8"/>
  <c r="AO185" i="8"/>
  <c r="AN185" i="8"/>
  <c r="AN183" i="8"/>
  <c r="AO174" i="8"/>
  <c r="AN174" i="8"/>
  <c r="AO172" i="8"/>
  <c r="AN172" i="8"/>
  <c r="AO170" i="8"/>
  <c r="AN170" i="8"/>
  <c r="AO168" i="8"/>
  <c r="AN168" i="8"/>
  <c r="AO165" i="8"/>
  <c r="AN165" i="8"/>
  <c r="AN163" i="8"/>
  <c r="AN158" i="8"/>
  <c r="AN157" i="8"/>
  <c r="AN152" i="8"/>
  <c r="AN150" i="8"/>
  <c r="AN148" i="8"/>
  <c r="AN145" i="8"/>
  <c r="AN143" i="8"/>
  <c r="AN137" i="8"/>
  <c r="AO130" i="8"/>
  <c r="AN130" i="8"/>
  <c r="AN128" i="8"/>
  <c r="AN123" i="8"/>
  <c r="AN116" i="8"/>
  <c r="AO113" i="8"/>
  <c r="AN113" i="8"/>
  <c r="AO105" i="8"/>
  <c r="AN105" i="8"/>
  <c r="AN99" i="8"/>
  <c r="AO97" i="8"/>
  <c r="AN97" i="8"/>
  <c r="AO93" i="8"/>
  <c r="AN93" i="8"/>
  <c r="AO91" i="8"/>
  <c r="AN91" i="8"/>
  <c r="AN86" i="8"/>
  <c r="AO84" i="8"/>
  <c r="AN84" i="8"/>
  <c r="AO83" i="8"/>
  <c r="AN83" i="8"/>
  <c r="AO76" i="8"/>
  <c r="AN76" i="8"/>
  <c r="AO74" i="8"/>
  <c r="AN74" i="8"/>
  <c r="AO72" i="8"/>
  <c r="AN72" i="8"/>
  <c r="AO71" i="8"/>
  <c r="AN71" i="8"/>
  <c r="AO69" i="8"/>
  <c r="AN69" i="8"/>
  <c r="AO67" i="8"/>
  <c r="AN67" i="8"/>
  <c r="AO65" i="8"/>
  <c r="AN65" i="8"/>
  <c r="AO64" i="8"/>
  <c r="AN64" i="8"/>
  <c r="AO52" i="8"/>
  <c r="AN52" i="8"/>
  <c r="AO48" i="8"/>
  <c r="AN48" i="8"/>
  <c r="AO45" i="8"/>
  <c r="AN45" i="8"/>
  <c r="AN38" i="8"/>
  <c r="AO35" i="8"/>
  <c r="AN35" i="8"/>
  <c r="AN30" i="8"/>
  <c r="AO20" i="8"/>
  <c r="AN20" i="8"/>
  <c r="AN18" i="8"/>
  <c r="AO16" i="8"/>
  <c r="AN16" i="8"/>
  <c r="AM305" i="8"/>
  <c r="AL305" i="8"/>
  <c r="AM303" i="8"/>
  <c r="AL303" i="8"/>
  <c r="AM301" i="8"/>
  <c r="AL301" i="8"/>
  <c r="AM299" i="8"/>
  <c r="AL299" i="8"/>
  <c r="AM294" i="8"/>
  <c r="AL294" i="8"/>
  <c r="AM293" i="8"/>
  <c r="AL293" i="8"/>
  <c r="AM290" i="8"/>
  <c r="AL290" i="8"/>
  <c r="AM287" i="8"/>
  <c r="AL287" i="8"/>
  <c r="AM283" i="8"/>
  <c r="AL283" i="8"/>
  <c r="AM271" i="8"/>
  <c r="AL271" i="8"/>
  <c r="AM272" i="8"/>
  <c r="AL272" i="8"/>
  <c r="AM270" i="8"/>
  <c r="AL270" i="8"/>
  <c r="AM267" i="8"/>
  <c r="AL267" i="8"/>
  <c r="AM265" i="8"/>
  <c r="AL265" i="8"/>
  <c r="AM262" i="8"/>
  <c r="AL262" i="8"/>
  <c r="AM257" i="8"/>
  <c r="AL257" i="8"/>
  <c r="AM258" i="8"/>
  <c r="AL258" i="8"/>
  <c r="AM259" i="8"/>
  <c r="AL259" i="8"/>
  <c r="AM260" i="8"/>
  <c r="AL260" i="8"/>
  <c r="AM256" i="8"/>
  <c r="AL256" i="8"/>
  <c r="AM252" i="8"/>
  <c r="AL252" i="8"/>
  <c r="AM242" i="8"/>
  <c r="AL242" i="8"/>
  <c r="AM239" i="8"/>
  <c r="AL239" i="8"/>
  <c r="AM240" i="8"/>
  <c r="AL240" i="8"/>
  <c r="AM238" i="8"/>
  <c r="AL238" i="8"/>
  <c r="AM236" i="8"/>
  <c r="AL236" i="8"/>
  <c r="AM234" i="8"/>
  <c r="AL234" i="8"/>
  <c r="AM220" i="8"/>
  <c r="AL220" i="8"/>
  <c r="AM219" i="8"/>
  <c r="AL219" i="8"/>
  <c r="AM216" i="8"/>
  <c r="AL216" i="8"/>
  <c r="AM212" i="8"/>
  <c r="AL212" i="8"/>
  <c r="AM210" i="8"/>
  <c r="AL210" i="8"/>
  <c r="AM208" i="8"/>
  <c r="AL208" i="8"/>
  <c r="AM207" i="8"/>
  <c r="AL207" i="8"/>
  <c r="AM205" i="8"/>
  <c r="AL205" i="8"/>
  <c r="AM200" i="8"/>
  <c r="AL200" i="8"/>
  <c r="AM198" i="8"/>
  <c r="AL198" i="8"/>
  <c r="AM197" i="8"/>
  <c r="AL197" i="8"/>
  <c r="AM190" i="8"/>
  <c r="AL190" i="8"/>
  <c r="AM185" i="8"/>
  <c r="AL185" i="8"/>
  <c r="AM183" i="8"/>
  <c r="AL183" i="8"/>
  <c r="AM180" i="8"/>
  <c r="AL180" i="8"/>
  <c r="AM177" i="8"/>
  <c r="AL177" i="8"/>
  <c r="AM178" i="8"/>
  <c r="AL178" i="8"/>
  <c r="AM176" i="8"/>
  <c r="AL176" i="8"/>
  <c r="AM172" i="8"/>
  <c r="AL172" i="8"/>
  <c r="AM170" i="8"/>
  <c r="AL170" i="8"/>
  <c r="AM168" i="8"/>
  <c r="AL168" i="8"/>
  <c r="AM165" i="8"/>
  <c r="AL165" i="8"/>
  <c r="AL163" i="8"/>
  <c r="AL154" i="8"/>
  <c r="AL155" i="8"/>
  <c r="AL156" i="8"/>
  <c r="AL157" i="8"/>
  <c r="AL158" i="8"/>
  <c r="AL153" i="8"/>
  <c r="AL150" i="8"/>
  <c r="AL148" i="8"/>
  <c r="AL145" i="8"/>
  <c r="AL140" i="8"/>
  <c r="AL141" i="8"/>
  <c r="AL142" i="8"/>
  <c r="AL143" i="8"/>
  <c r="AL139" i="8"/>
  <c r="AM130" i="8"/>
  <c r="AL130" i="8"/>
  <c r="AM126" i="8"/>
  <c r="AL126" i="8"/>
  <c r="AM127" i="8"/>
  <c r="AL127" i="8"/>
  <c r="AL128" i="8"/>
  <c r="AM125" i="8"/>
  <c r="AL125" i="8"/>
  <c r="AM121" i="8"/>
  <c r="AL121" i="8"/>
  <c r="AM122" i="8"/>
  <c r="AL122" i="8"/>
  <c r="AM120" i="8"/>
  <c r="AL120" i="8"/>
  <c r="AM113" i="8"/>
  <c r="AL113" i="8"/>
  <c r="AM105" i="8"/>
  <c r="AL105" i="8"/>
  <c r="AM99" i="8"/>
  <c r="AL99" i="8"/>
  <c r="AM97" i="8"/>
  <c r="AL97" i="8"/>
  <c r="AM93" i="8"/>
  <c r="AL93" i="8"/>
  <c r="AM90" i="8"/>
  <c r="AL90" i="8"/>
  <c r="AM89" i="8"/>
  <c r="AL89" i="8"/>
  <c r="AM91" i="8"/>
  <c r="AL91" i="8"/>
  <c r="AM88" i="8"/>
  <c r="AL88" i="8"/>
  <c r="AM84" i="8"/>
  <c r="AL84" i="8"/>
  <c r="AM83" i="8"/>
  <c r="AL83" i="8"/>
  <c r="AM76" i="8"/>
  <c r="AL76" i="8"/>
  <c r="AM74" i="8"/>
  <c r="AL74" i="8"/>
  <c r="AM72" i="8"/>
  <c r="AL72" i="8"/>
  <c r="AM71" i="8"/>
  <c r="AL71" i="8"/>
  <c r="AM69" i="8"/>
  <c r="AL69" i="8"/>
  <c r="AM67" i="8"/>
  <c r="AL67" i="8"/>
  <c r="AM65" i="8"/>
  <c r="AL65" i="8"/>
  <c r="AM64" i="8"/>
  <c r="AL64" i="8"/>
  <c r="AM52" i="8"/>
  <c r="AL52" i="8"/>
  <c r="AM48" i="8"/>
  <c r="AL48" i="8"/>
  <c r="AM45" i="8"/>
  <c r="AL45" i="8"/>
  <c r="AM43" i="8"/>
  <c r="AL43" i="8"/>
  <c r="AM42" i="8"/>
  <c r="AL42" i="8"/>
  <c r="AM41" i="8"/>
  <c r="AL41" i="8"/>
  <c r="AM40" i="8"/>
  <c r="AL40" i="8"/>
  <c r="AM34" i="8"/>
  <c r="AL34" i="8"/>
  <c r="AM35" i="8"/>
  <c r="AL35" i="8"/>
  <c r="AM33" i="8"/>
  <c r="AL33" i="8"/>
  <c r="AM20" i="8"/>
  <c r="AL20" i="8"/>
  <c r="AM18" i="8"/>
  <c r="AL18" i="8"/>
  <c r="AM16" i="8"/>
  <c r="AL16" i="8"/>
  <c r="AP104" i="8"/>
  <c r="F2455" i="76"/>
  <c r="F2452" i="76"/>
  <c r="F2447" i="76"/>
  <c r="F2444" i="76"/>
  <c r="F2442" i="76"/>
  <c r="F2436" i="76"/>
  <c r="F2435" i="76"/>
  <c r="F2434" i="76"/>
  <c r="F2433" i="76"/>
  <c r="F2432" i="76"/>
  <c r="F2431" i="76"/>
  <c r="F2430" i="76"/>
  <c r="F2425" i="76"/>
  <c r="F2424" i="76"/>
  <c r="F2423" i="76"/>
  <c r="F2422" i="76"/>
  <c r="F2421" i="76"/>
  <c r="F2420" i="76"/>
  <c r="F2418" i="76"/>
  <c r="F2417" i="76"/>
  <c r="F2416" i="76"/>
  <c r="F2401" i="76"/>
  <c r="F2399" i="76"/>
  <c r="F2398" i="76"/>
  <c r="F2397" i="76"/>
  <c r="F2396" i="76"/>
  <c r="F2395" i="76"/>
  <c r="F2393" i="76"/>
  <c r="F2392" i="76"/>
  <c r="F2390" i="76"/>
  <c r="F2383" i="76"/>
  <c r="F2379" i="76"/>
  <c r="F2377" i="76"/>
  <c r="F2371" i="76"/>
  <c r="F2368" i="76"/>
  <c r="F2367" i="76"/>
  <c r="F2365" i="76"/>
  <c r="F2363" i="76"/>
  <c r="F2362" i="76"/>
  <c r="F2360" i="76"/>
  <c r="F2357" i="76"/>
  <c r="F2355" i="76"/>
  <c r="F2352" i="76"/>
  <c r="F2350" i="76"/>
  <c r="F2344" i="76"/>
  <c r="F2343" i="76"/>
  <c r="F2342" i="76"/>
  <c r="F2340" i="76"/>
  <c r="F2339" i="76"/>
  <c r="F2337" i="76"/>
  <c r="F2334" i="76"/>
  <c r="F2331" i="76"/>
  <c r="F2309" i="76"/>
  <c r="F2308" i="76"/>
  <c r="F2307" i="76"/>
  <c r="F2305" i="76"/>
  <c r="F2303" i="76"/>
  <c r="F2301" i="76"/>
  <c r="F2299" i="76"/>
  <c r="F2298" i="76"/>
  <c r="F2296" i="76"/>
  <c r="F2294" i="76"/>
  <c r="F2293" i="76"/>
  <c r="F2291" i="76"/>
  <c r="F2289" i="76"/>
  <c r="F2285" i="76"/>
  <c r="F2279" i="76"/>
  <c r="F2278" i="76"/>
  <c r="F2277" i="76"/>
  <c r="F2275" i="76"/>
  <c r="F2274" i="76"/>
  <c r="F2272" i="76"/>
  <c r="F2270" i="76"/>
  <c r="F2269" i="76"/>
  <c r="F2268" i="76"/>
  <c r="F2264" i="76"/>
  <c r="F2263" i="76"/>
  <c r="F2262" i="76"/>
  <c r="F2247" i="76"/>
  <c r="F2243" i="76"/>
  <c r="F2238" i="76"/>
  <c r="F2236" i="76"/>
  <c r="F2235" i="76"/>
  <c r="F2232" i="76"/>
  <c r="F2227" i="76"/>
  <c r="F2223" i="76"/>
  <c r="F2216" i="76"/>
  <c r="F2211" i="76"/>
  <c r="F2206" i="76"/>
  <c r="F2201" i="76"/>
  <c r="F2200" i="76"/>
  <c r="F2194" i="76"/>
  <c r="F2190" i="76"/>
  <c r="F2186" i="76"/>
  <c r="F2184" i="76"/>
  <c r="F2181" i="76"/>
  <c r="F2178" i="76"/>
  <c r="F2176" i="76"/>
  <c r="F2172" i="76"/>
  <c r="F2149" i="76"/>
  <c r="F2147" i="76"/>
  <c r="F2098" i="76"/>
  <c r="F2096" i="76"/>
  <c r="F2093" i="76"/>
  <c r="F2090" i="76"/>
  <c r="F2088" i="76"/>
  <c r="F2077" i="76"/>
  <c r="F2073" i="76"/>
  <c r="F2070" i="76"/>
  <c r="F2068" i="76"/>
  <c r="F2066" i="76"/>
  <c r="F2063" i="76"/>
  <c r="F2061" i="76"/>
  <c r="F2055" i="76"/>
  <c r="F2054" i="76"/>
  <c r="F2052" i="76"/>
  <c r="F2048" i="76"/>
  <c r="F2046" i="76"/>
  <c r="F2044" i="76"/>
  <c r="F2042" i="76"/>
  <c r="F2036" i="76"/>
  <c r="F2034" i="76"/>
  <c r="F2032" i="76"/>
  <c r="F2029" i="76"/>
  <c r="F2028" i="76"/>
  <c r="G2028" i="76" s="1"/>
  <c r="F2024" i="76"/>
  <c r="F2018" i="76"/>
  <c r="F2013" i="76"/>
  <c r="F2009" i="76"/>
  <c r="F2008" i="76"/>
  <c r="F2003" i="76"/>
  <c r="F1996" i="76"/>
  <c r="F1990" i="76"/>
  <c r="F1985" i="76"/>
  <c r="F1983" i="76"/>
  <c r="F1982" i="76"/>
  <c r="F1980" i="76"/>
  <c r="F1968" i="76"/>
  <c r="F1965" i="76"/>
  <c r="F1964" i="76"/>
  <c r="F1953" i="76"/>
  <c r="F1944" i="76"/>
  <c r="F1941" i="76"/>
  <c r="F1939" i="76"/>
  <c r="F1928" i="76"/>
  <c r="F1927" i="76"/>
  <c r="F1926" i="76"/>
  <c r="F1925" i="76"/>
  <c r="F1920" i="76"/>
  <c r="F1915" i="76"/>
  <c r="F1909" i="76"/>
  <c r="F1907" i="76"/>
  <c r="F1905" i="76"/>
  <c r="F1902" i="76"/>
  <c r="F1900" i="76"/>
  <c r="F1898" i="76"/>
  <c r="F1895" i="76"/>
  <c r="F1893" i="76"/>
  <c r="F1890" i="76"/>
  <c r="F1884" i="76"/>
  <c r="F1881" i="76"/>
  <c r="F1876" i="76"/>
  <c r="F1873" i="76"/>
  <c r="F1870" i="76"/>
  <c r="F1865" i="76"/>
  <c r="F1859" i="76"/>
  <c r="F1853" i="76"/>
  <c r="F1851" i="76"/>
  <c r="F1848" i="76"/>
  <c r="F1843" i="76"/>
  <c r="F1841" i="76"/>
  <c r="F1839" i="76"/>
  <c r="F1837" i="76"/>
  <c r="F1831" i="76"/>
  <c r="F1822" i="76"/>
  <c r="F1814" i="76"/>
  <c r="F1811" i="76"/>
  <c r="F1788" i="76"/>
  <c r="F1786" i="76"/>
  <c r="F1772" i="76"/>
  <c r="F1768" i="76"/>
  <c r="F1766" i="76"/>
  <c r="F1765" i="76"/>
  <c r="F1763" i="76"/>
  <c r="F1761" i="76"/>
  <c r="F1757" i="76"/>
  <c r="F1755" i="76"/>
  <c r="F1751" i="76"/>
  <c r="F1750" i="76"/>
  <c r="F1749" i="76"/>
  <c r="F1745" i="76"/>
  <c r="F1743" i="76"/>
  <c r="F1740" i="76"/>
  <c r="F1738" i="76"/>
  <c r="F1734" i="76"/>
  <c r="F1731" i="76"/>
  <c r="F1724" i="76"/>
  <c r="F1718" i="76"/>
  <c r="F1713" i="76"/>
  <c r="F1703" i="76"/>
  <c r="F1701" i="76"/>
  <c r="F1697" i="76"/>
  <c r="F1692" i="76"/>
  <c r="F1681" i="76"/>
  <c r="F1676" i="76"/>
  <c r="F1674" i="76"/>
  <c r="F1667" i="76"/>
  <c r="F1665" i="76"/>
  <c r="F1659" i="76"/>
  <c r="F1658" i="76"/>
  <c r="F1653" i="76"/>
  <c r="F1627" i="76"/>
  <c r="F1613" i="76"/>
  <c r="F1594" i="76"/>
  <c r="F1593" i="76"/>
  <c r="F1588" i="76"/>
  <c r="F1584" i="76"/>
  <c r="F1579" i="76"/>
  <c r="F1575" i="76"/>
  <c r="F1573" i="76"/>
  <c r="F1568" i="76"/>
  <c r="F1563" i="76"/>
  <c r="F1552" i="76"/>
  <c r="F1560" i="76"/>
  <c r="F1559" i="76"/>
  <c r="F1558" i="76"/>
  <c r="F1542" i="76"/>
  <c r="F1540" i="76"/>
  <c r="F1538" i="76"/>
  <c r="F1535" i="76"/>
  <c r="F1533" i="76"/>
  <c r="F1531" i="76"/>
  <c r="F1524" i="76"/>
  <c r="F1523" i="76"/>
  <c r="F1522" i="76"/>
  <c r="F1521" i="76"/>
  <c r="F1520" i="76"/>
  <c r="F1519" i="76"/>
  <c r="F1518" i="76"/>
  <c r="F1517" i="76"/>
  <c r="F1506" i="76"/>
  <c r="F1501" i="76"/>
  <c r="F1498" i="76"/>
  <c r="F1496" i="76"/>
  <c r="F1495" i="76"/>
  <c r="F1494" i="76"/>
  <c r="F1493" i="76"/>
  <c r="F1486" i="76"/>
  <c r="F1484" i="76"/>
  <c r="F1482" i="76"/>
  <c r="F1472" i="76"/>
  <c r="F1470" i="76"/>
  <c r="F1464" i="76"/>
  <c r="F1461" i="76"/>
  <c r="F1459" i="76"/>
  <c r="F1453" i="76"/>
  <c r="F1452" i="76"/>
  <c r="F1450" i="76"/>
  <c r="F1431" i="76"/>
  <c r="F1429" i="76"/>
  <c r="F1420" i="76"/>
  <c r="F1418" i="76"/>
  <c r="F1415" i="76"/>
  <c r="F1410" i="76"/>
  <c r="F1409" i="76"/>
  <c r="F1407" i="76"/>
  <c r="F1404" i="76"/>
  <c r="F1401" i="76"/>
  <c r="F1396" i="76"/>
  <c r="F1391" i="76"/>
  <c r="F1387" i="76"/>
  <c r="F1383" i="76"/>
  <c r="F1379" i="76"/>
  <c r="F1350" i="76"/>
  <c r="F1348" i="76"/>
  <c r="F1346" i="76"/>
  <c r="F1344" i="76"/>
  <c r="F1339" i="76"/>
  <c r="F1337" i="76"/>
  <c r="F1335" i="76"/>
  <c r="G1335" i="76" s="1"/>
  <c r="G1336" i="76" s="1"/>
  <c r="F1333" i="76"/>
  <c r="G1333" i="76" s="1"/>
  <c r="G1334" i="76" s="1"/>
  <c r="F1332" i="76"/>
  <c r="G1332" i="76" s="1"/>
  <c r="F1331" i="76"/>
  <c r="G1331" i="76" s="1"/>
  <c r="F1329" i="76"/>
  <c r="G1329" i="76" s="1"/>
  <c r="F1321" i="76"/>
  <c r="F1293" i="76"/>
  <c r="F1290" i="76"/>
  <c r="F1289" i="76"/>
  <c r="F1288" i="76"/>
  <c r="F1285" i="76"/>
  <c r="F1283" i="76"/>
  <c r="F1281" i="76"/>
  <c r="F1262" i="76"/>
  <c r="F1260" i="76"/>
  <c r="F1258" i="76"/>
  <c r="F1256" i="76"/>
  <c r="F1254" i="76"/>
  <c r="F1208" i="76"/>
  <c r="F1206" i="76"/>
  <c r="F1199" i="76"/>
  <c r="F1197" i="76"/>
  <c r="F1195" i="76"/>
  <c r="F1194" i="76"/>
  <c r="F1192" i="76"/>
  <c r="F1191" i="76"/>
  <c r="F1189" i="76"/>
  <c r="F1188" i="76"/>
  <c r="F1183" i="76"/>
  <c r="F1178" i="76"/>
  <c r="F1176" i="76"/>
  <c r="F1170" i="76"/>
  <c r="F1166" i="76"/>
  <c r="F1165" i="76"/>
  <c r="F1163" i="76"/>
  <c r="F1158" i="76"/>
  <c r="F1153" i="76"/>
  <c r="F1151" i="76"/>
  <c r="F1146" i="76"/>
  <c r="F1140" i="76"/>
  <c r="F1135" i="76"/>
  <c r="F1132" i="76"/>
  <c r="F1126" i="76"/>
  <c r="F1119" i="76"/>
  <c r="F1113" i="76"/>
  <c r="F1107" i="76"/>
  <c r="F1096" i="76"/>
  <c r="F1086" i="76"/>
  <c r="F1077" i="76"/>
  <c r="F1070" i="76"/>
  <c r="F1061" i="76"/>
  <c r="F1060" i="76"/>
  <c r="F1054" i="76"/>
  <c r="F1052" i="76"/>
  <c r="F1049" i="76"/>
  <c r="F1046" i="76"/>
  <c r="F1034" i="76"/>
  <c r="F1020" i="76"/>
  <c r="F1007" i="76"/>
  <c r="F1003" i="76"/>
  <c r="F1000" i="76"/>
  <c r="F998" i="76"/>
  <c r="F991" i="76"/>
  <c r="F981" i="76"/>
  <c r="F955" i="76"/>
  <c r="F952" i="76"/>
  <c r="F936" i="76"/>
  <c r="F933" i="76"/>
  <c r="F930" i="76"/>
  <c r="F928" i="76"/>
  <c r="F927" i="76"/>
  <c r="F926" i="76"/>
  <c r="F925" i="76"/>
  <c r="F924" i="76"/>
  <c r="F923" i="76"/>
  <c r="F922" i="76"/>
  <c r="F921" i="76"/>
  <c r="F920" i="76"/>
  <c r="F919" i="76"/>
  <c r="F918" i="76"/>
  <c r="F917" i="76"/>
  <c r="F916" i="76"/>
  <c r="F912" i="76"/>
  <c r="F908" i="76"/>
  <c r="F905" i="76"/>
  <c r="F902" i="76"/>
  <c r="F896" i="76"/>
  <c r="F893" i="76"/>
  <c r="F886" i="76"/>
  <c r="F868" i="76"/>
  <c r="F864" i="76"/>
  <c r="F862" i="76"/>
  <c r="F858" i="76"/>
  <c r="F857" i="76"/>
  <c r="F856" i="76"/>
  <c r="F854" i="76"/>
  <c r="F852" i="76"/>
  <c r="F848" i="76"/>
  <c r="F843" i="76"/>
  <c r="G843" i="76" s="1"/>
  <c r="G844" i="76" s="1"/>
  <c r="G845" i="76" s="1"/>
  <c r="G846" i="76" s="1"/>
  <c r="G847" i="76" s="1"/>
  <c r="F839" i="76"/>
  <c r="F837" i="76"/>
  <c r="F835" i="76"/>
  <c r="F833" i="76"/>
  <c r="F831" i="76"/>
  <c r="F829" i="76"/>
  <c r="F828" i="76"/>
  <c r="F817" i="76"/>
  <c r="F811" i="76"/>
  <c r="F800" i="76"/>
  <c r="F788" i="76"/>
  <c r="F782" i="76"/>
  <c r="F776" i="76"/>
  <c r="F770" i="76"/>
  <c r="F764" i="76"/>
  <c r="F757" i="76"/>
  <c r="F749" i="76"/>
  <c r="F742" i="76"/>
  <c r="F733" i="76"/>
  <c r="F716" i="76"/>
  <c r="F714" i="76"/>
  <c r="F702" i="76"/>
  <c r="F699" i="76"/>
  <c r="F693" i="76"/>
  <c r="F688" i="76"/>
  <c r="F679" i="76"/>
  <c r="F677" i="76"/>
  <c r="F676" i="76"/>
  <c r="F674" i="76"/>
  <c r="F673" i="76"/>
  <c r="F649" i="76"/>
  <c r="F648" i="76"/>
  <c r="F647" i="76"/>
  <c r="F646" i="76"/>
  <c r="F645" i="76"/>
  <c r="F644" i="76"/>
  <c r="F643" i="76"/>
  <c r="F642" i="76"/>
  <c r="F637" i="76"/>
  <c r="F636" i="76"/>
  <c r="F635" i="76"/>
  <c r="F634" i="76"/>
  <c r="F633" i="76"/>
  <c r="F632" i="76"/>
  <c r="F631" i="76"/>
  <c r="F630" i="76"/>
  <c r="F629" i="76"/>
  <c r="F616" i="76"/>
  <c r="F614" i="76"/>
  <c r="F601" i="76"/>
  <c r="F598" i="76"/>
  <c r="F595" i="76"/>
  <c r="F593" i="76"/>
  <c r="F591" i="76"/>
  <c r="F589" i="76"/>
  <c r="F584" i="76"/>
  <c r="F577" i="76"/>
  <c r="F571" i="76"/>
  <c r="F566" i="76"/>
  <c r="F564" i="76"/>
  <c r="F559" i="76"/>
  <c r="G559" i="76" s="1"/>
  <c r="G560" i="76" s="1"/>
  <c r="G561" i="76" s="1"/>
  <c r="G562" i="76" s="1"/>
  <c r="G563" i="76" s="1"/>
  <c r="F555" i="76"/>
  <c r="F552" i="76"/>
  <c r="F551" i="76"/>
  <c r="G551" i="76" s="1"/>
  <c r="F549" i="76"/>
  <c r="F542" i="76"/>
  <c r="F541" i="76"/>
  <c r="F540" i="76"/>
  <c r="F538" i="76"/>
  <c r="F532" i="76"/>
  <c r="F529" i="76"/>
  <c r="F525" i="76"/>
  <c r="F513" i="76"/>
  <c r="F511" i="76"/>
  <c r="F509" i="76"/>
  <c r="F503" i="76"/>
  <c r="F499" i="76"/>
  <c r="F498" i="76"/>
  <c r="F495" i="76"/>
  <c r="F483" i="76"/>
  <c r="G475" i="76" s="1"/>
  <c r="G476" i="76" s="1"/>
  <c r="G477" i="76" s="1"/>
  <c r="G478" i="76" s="1"/>
  <c r="G479" i="76" s="1"/>
  <c r="F471" i="76"/>
  <c r="G471" i="76" s="1"/>
  <c r="G472" i="76" s="1"/>
  <c r="G473" i="76" s="1"/>
  <c r="F467" i="76"/>
  <c r="F465" i="76"/>
  <c r="F463" i="76"/>
  <c r="F460" i="76"/>
  <c r="F458" i="76"/>
  <c r="F453" i="76"/>
  <c r="F449" i="76"/>
  <c r="F445" i="76"/>
  <c r="F439" i="76"/>
  <c r="F437" i="76"/>
  <c r="F436" i="76"/>
  <c r="F431" i="76"/>
  <c r="F429" i="76"/>
  <c r="F422" i="76"/>
  <c r="F420" i="76"/>
  <c r="F412" i="76"/>
  <c r="F409" i="76"/>
  <c r="F407" i="76"/>
  <c r="F406" i="76"/>
  <c r="F400" i="76"/>
  <c r="F396" i="76"/>
  <c r="F383" i="76"/>
  <c r="F375" i="76"/>
  <c r="F373" i="76"/>
  <c r="F369" i="76"/>
  <c r="F368" i="76"/>
  <c r="F367" i="76"/>
  <c r="F358" i="76"/>
  <c r="F357" i="76"/>
  <c r="F356" i="76"/>
  <c r="F355" i="76"/>
  <c r="F347" i="76"/>
  <c r="F346" i="76"/>
  <c r="F345" i="76"/>
  <c r="F344" i="76"/>
  <c r="F343" i="76"/>
  <c r="F342" i="76"/>
  <c r="F336" i="76"/>
  <c r="F333" i="76"/>
  <c r="F330" i="76"/>
  <c r="F304" i="76"/>
  <c r="F302" i="76"/>
  <c r="F300" i="76"/>
  <c r="F298" i="76"/>
  <c r="F293" i="76"/>
  <c r="F292" i="76"/>
  <c r="F289" i="76"/>
  <c r="F286" i="76"/>
  <c r="F282" i="76"/>
  <c r="F272" i="76"/>
  <c r="F270" i="76"/>
  <c r="F269" i="76"/>
  <c r="F266" i="76"/>
  <c r="F264" i="76"/>
  <c r="F261" i="76"/>
  <c r="F254" i="76"/>
  <c r="F251" i="76"/>
  <c r="F250" i="76"/>
  <c r="F246" i="76"/>
  <c r="G246" i="76" s="1"/>
  <c r="G247" i="76" s="1"/>
  <c r="G248" i="76" s="1"/>
  <c r="G249" i="76" s="1"/>
  <c r="F243" i="76"/>
  <c r="G243" i="76" s="1"/>
  <c r="G244" i="76" s="1"/>
  <c r="G245" i="76" s="1"/>
  <c r="F236" i="76"/>
  <c r="F235" i="76"/>
  <c r="F233" i="76"/>
  <c r="F225" i="76"/>
  <c r="F224" i="76"/>
  <c r="F223" i="76"/>
  <c r="F222" i="76"/>
  <c r="F221" i="76"/>
  <c r="F220" i="76"/>
  <c r="F218" i="76"/>
  <c r="F215" i="76"/>
  <c r="F211" i="76"/>
  <c r="F209" i="76"/>
  <c r="F207" i="76"/>
  <c r="F206" i="76"/>
  <c r="F204" i="76"/>
  <c r="F199" i="76"/>
  <c r="F197" i="76"/>
  <c r="F196" i="76"/>
  <c r="F189" i="76"/>
  <c r="F184" i="76"/>
  <c r="F182" i="76"/>
  <c r="F179" i="76"/>
  <c r="G179" i="76" s="1"/>
  <c r="F177" i="76"/>
  <c r="G177" i="76" s="1"/>
  <c r="G178" i="76" s="1"/>
  <c r="F176" i="76"/>
  <c r="G176" i="76" s="1"/>
  <c r="F175" i="76"/>
  <c r="G175" i="76" s="1"/>
  <c r="F171" i="76"/>
  <c r="F169" i="76"/>
  <c r="F167" i="76"/>
  <c r="F164" i="76"/>
  <c r="F162" i="76"/>
  <c r="F157" i="76"/>
  <c r="F156" i="76"/>
  <c r="F151" i="76"/>
  <c r="F149" i="76"/>
  <c r="F147" i="76"/>
  <c r="F144" i="76"/>
  <c r="F142" i="76"/>
  <c r="F136" i="76"/>
  <c r="F134" i="76"/>
  <c r="F129" i="76"/>
  <c r="F127" i="76"/>
  <c r="F122" i="76"/>
  <c r="F115" i="76"/>
  <c r="F112" i="76"/>
  <c r="F104" i="76"/>
  <c r="F103" i="76"/>
  <c r="F102" i="76"/>
  <c r="F100" i="76"/>
  <c r="F99" i="76"/>
  <c r="F96" i="76"/>
  <c r="F92" i="76"/>
  <c r="F90" i="76"/>
  <c r="F85" i="76"/>
  <c r="F83" i="76"/>
  <c r="F82" i="76"/>
  <c r="F81" i="76"/>
  <c r="G81" i="76" s="1"/>
  <c r="F73" i="76"/>
  <c r="F71" i="76"/>
  <c r="F70" i="76"/>
  <c r="F68" i="76"/>
  <c r="F66" i="76"/>
  <c r="F64" i="76"/>
  <c r="F63" i="76"/>
  <c r="F51" i="76"/>
  <c r="F47" i="76"/>
  <c r="F44" i="76"/>
  <c r="F42" i="76"/>
  <c r="F37" i="76"/>
  <c r="F34" i="76"/>
  <c r="F29" i="76"/>
  <c r="F19" i="76"/>
  <c r="F17" i="76"/>
  <c r="F15" i="76"/>
  <c r="D518" i="76"/>
  <c r="R176" i="92"/>
  <c r="S567" i="92"/>
  <c r="R353" i="92"/>
  <c r="J18" i="93" l="1"/>
  <c r="J18" i="94"/>
  <c r="T567" i="92"/>
  <c r="AD567" i="92" s="1"/>
  <c r="AC567" i="92" s="1"/>
  <c r="AE353" i="92"/>
  <c r="AC353" i="92" s="1"/>
  <c r="N176" i="92"/>
  <c r="Q98" i="92" s="1"/>
  <c r="M33" i="92"/>
  <c r="AE33" i="92"/>
  <c r="AC33" i="92" s="1"/>
  <c r="T412" i="92"/>
  <c r="AD412" i="92" s="1"/>
  <c r="R412" i="92"/>
  <c r="T60" i="92"/>
  <c r="R60" i="92"/>
  <c r="R535" i="92"/>
  <c r="T535" i="92"/>
  <c r="T86" i="92"/>
  <c r="AD86" i="92" s="1"/>
  <c r="R86" i="92"/>
  <c r="R38" i="92"/>
  <c r="T38" i="92"/>
  <c r="AD38" i="92" s="1"/>
  <c r="R371" i="92"/>
  <c r="T371" i="92"/>
  <c r="T533" i="92"/>
  <c r="R533" i="92"/>
  <c r="R93" i="92"/>
  <c r="T93" i="92"/>
  <c r="AD93" i="92" s="1"/>
  <c r="R64" i="92"/>
  <c r="T64" i="92"/>
  <c r="T65" i="92"/>
  <c r="R65" i="92"/>
  <c r="R66" i="92"/>
  <c r="T66" i="92"/>
  <c r="R377" i="92"/>
  <c r="T377" i="92"/>
  <c r="T380" i="92"/>
  <c r="R380" i="92"/>
  <c r="T301" i="92"/>
  <c r="R301" i="92"/>
  <c r="AE304" i="92"/>
  <c r="AC304" i="92" s="1"/>
  <c r="M304" i="92"/>
  <c r="T447" i="92"/>
  <c r="AD447" i="92" s="1"/>
  <c r="AC447" i="92" s="1"/>
  <c r="O447" i="92"/>
  <c r="T76" i="92"/>
  <c r="R76" i="92"/>
  <c r="M308" i="92"/>
  <c r="AE308" i="92"/>
  <c r="AC308" i="92" s="1"/>
  <c r="R414" i="92"/>
  <c r="T414" i="92"/>
  <c r="T630" i="92"/>
  <c r="AD630" i="92" s="1"/>
  <c r="R630" i="92"/>
  <c r="T72" i="92"/>
  <c r="R72" i="92"/>
  <c r="AE564" i="92"/>
  <c r="AF564" i="92" s="1"/>
  <c r="M565" i="92"/>
  <c r="T520" i="92"/>
  <c r="R520" i="92"/>
  <c r="T67" i="92"/>
  <c r="R67" i="92"/>
  <c r="T501" i="92"/>
  <c r="AD501" i="92" s="1"/>
  <c r="AC501" i="92" s="1"/>
  <c r="N498" i="92"/>
  <c r="M35" i="92"/>
  <c r="AE35" i="92"/>
  <c r="AC35" i="92" s="1"/>
  <c r="T339" i="92"/>
  <c r="R339" i="92"/>
  <c r="T315" i="92"/>
  <c r="AD315" i="92" s="1"/>
  <c r="R315" i="92"/>
  <c r="T471" i="92"/>
  <c r="AD471" i="92" s="1"/>
  <c r="AC471" i="92" s="1"/>
  <c r="N471" i="92"/>
  <c r="T344" i="92"/>
  <c r="R344" i="92"/>
  <c r="T384" i="92"/>
  <c r="R384" i="92"/>
  <c r="R528" i="92"/>
  <c r="T528" i="92"/>
  <c r="T531" i="92"/>
  <c r="R531" i="92"/>
  <c r="T46" i="92"/>
  <c r="R46" i="92"/>
  <c r="T73" i="92"/>
  <c r="R73" i="92"/>
  <c r="T487" i="92"/>
  <c r="AD487" i="92" s="1"/>
  <c r="AC487" i="92" s="1"/>
  <c r="O487" i="92"/>
  <c r="T539" i="92"/>
  <c r="R539" i="92"/>
  <c r="AE31" i="92"/>
  <c r="AC31" i="92" s="1"/>
  <c r="M31" i="92"/>
  <c r="T373" i="92"/>
  <c r="R373" i="92"/>
  <c r="T326" i="92"/>
  <c r="R326" i="92"/>
  <c r="T511" i="92"/>
  <c r="AD511" i="92" s="1"/>
  <c r="AC511" i="92" s="1"/>
  <c r="N511" i="92"/>
  <c r="T375" i="92"/>
  <c r="R375" i="92"/>
  <c r="T516" i="92"/>
  <c r="R516" i="92"/>
  <c r="R555" i="92"/>
  <c r="T555" i="92"/>
  <c r="AD555" i="92" s="1"/>
  <c r="T391" i="92"/>
  <c r="R391" i="92"/>
  <c r="T28" i="92"/>
  <c r="AD28" i="92" s="1"/>
  <c r="R28" i="92"/>
  <c r="T445" i="92"/>
  <c r="AD445" i="92" s="1"/>
  <c r="AC445" i="92" s="1"/>
  <c r="O445" i="92"/>
  <c r="T48" i="92"/>
  <c r="R48" i="92"/>
  <c r="R332" i="92"/>
  <c r="T332" i="92"/>
  <c r="R61" i="92"/>
  <c r="T61" i="92"/>
  <c r="R69" i="92"/>
  <c r="T69" i="92"/>
  <c r="AC607" i="92"/>
  <c r="M89" i="92"/>
  <c r="AE89" i="92"/>
  <c r="O480" i="92"/>
  <c r="T482" i="92"/>
  <c r="AD482" i="92" s="1"/>
  <c r="AC482" i="92" s="1"/>
  <c r="T62" i="92"/>
  <c r="R62" i="92"/>
  <c r="R59" i="92"/>
  <c r="T59" i="92"/>
  <c r="R347" i="92"/>
  <c r="S353" i="92"/>
  <c r="T70" i="92"/>
  <c r="R70" i="92"/>
  <c r="T260" i="92"/>
  <c r="AD260" i="92" s="1"/>
  <c r="R260" i="92"/>
  <c r="R398" i="92"/>
  <c r="T398" i="92"/>
  <c r="T545" i="92"/>
  <c r="AD545" i="92" s="1"/>
  <c r="R545" i="92"/>
  <c r="T50" i="92"/>
  <c r="R50" i="92"/>
  <c r="T84" i="92"/>
  <c r="AD84" i="92" s="1"/>
  <c r="R84" i="92"/>
  <c r="T357" i="92"/>
  <c r="AD357" i="92" s="1"/>
  <c r="R357" i="92"/>
  <c r="R68" i="92"/>
  <c r="T68" i="92"/>
  <c r="T402" i="92"/>
  <c r="R402" i="92"/>
  <c r="T366" i="92"/>
  <c r="AD366" i="92" s="1"/>
  <c r="R366" i="92"/>
  <c r="T525" i="92"/>
  <c r="R525" i="92"/>
  <c r="T405" i="92"/>
  <c r="R405" i="92"/>
  <c r="T543" i="92"/>
  <c r="AD543" i="92" s="1"/>
  <c r="R543" i="92"/>
  <c r="R643" i="92"/>
  <c r="T643" i="92"/>
  <c r="AD643" i="92" s="1"/>
  <c r="O492" i="92"/>
  <c r="T492" i="92"/>
  <c r="AD492" i="92" s="1"/>
  <c r="AC492" i="92" s="1"/>
  <c r="T557" i="92"/>
  <c r="AD557" i="92" s="1"/>
  <c r="R557" i="92"/>
  <c r="R82" i="92"/>
  <c r="T82" i="92"/>
  <c r="AD82" i="92" s="1"/>
  <c r="T311" i="92"/>
  <c r="AD311" i="92" s="1"/>
  <c r="R311" i="92"/>
  <c r="T43" i="92"/>
  <c r="R43" i="92"/>
  <c r="M91" i="92"/>
  <c r="AE91" i="92"/>
  <c r="R408" i="92"/>
  <c r="T408" i="92"/>
  <c r="AD408" i="92" s="1"/>
  <c r="T394" i="92"/>
  <c r="R394" i="92"/>
  <c r="T552" i="92"/>
  <c r="AD552" i="92" s="1"/>
  <c r="R552" i="92"/>
  <c r="R317" i="92"/>
  <c r="T317" i="92"/>
  <c r="AD317" i="92" s="1"/>
  <c r="G536" i="76"/>
  <c r="G537" i="76" s="1"/>
  <c r="G1330" i="76"/>
  <c r="G1327" i="76" s="1"/>
  <c r="G1328" i="76" s="1"/>
  <c r="N423" i="92"/>
  <c r="AC564" i="92" l="1"/>
  <c r="M317" i="92"/>
  <c r="AE317" i="92"/>
  <c r="AF317" i="92" s="1"/>
  <c r="AF89" i="92"/>
  <c r="AC89" i="92"/>
  <c r="M76" i="92"/>
  <c r="AE76" i="92"/>
  <c r="M326" i="92"/>
  <c r="AE326" i="92"/>
  <c r="AC326" i="92" s="1"/>
  <c r="M64" i="92"/>
  <c r="AE64" i="92"/>
  <c r="M357" i="92"/>
  <c r="AE357" i="92"/>
  <c r="AC357" i="92" s="1"/>
  <c r="M394" i="92"/>
  <c r="AE394" i="92"/>
  <c r="AC394" i="92" s="1"/>
  <c r="M311" i="92"/>
  <c r="AE311" i="92"/>
  <c r="AC311" i="92" s="1"/>
  <c r="M398" i="92"/>
  <c r="AE398" i="92"/>
  <c r="AC398" i="92" s="1"/>
  <c r="M59" i="92"/>
  <c r="AE59" i="92"/>
  <c r="N442" i="92"/>
  <c r="M516" i="92"/>
  <c r="AE516" i="92"/>
  <c r="AC516" i="92" s="1"/>
  <c r="AE373" i="92"/>
  <c r="AC373" i="92" s="1"/>
  <c r="M373" i="92"/>
  <c r="AE73" i="92"/>
  <c r="M73" i="92"/>
  <c r="M528" i="92"/>
  <c r="AE528" i="92"/>
  <c r="AC528" i="92" s="1"/>
  <c r="M377" i="92"/>
  <c r="AE377" i="92"/>
  <c r="AC377" i="92" s="1"/>
  <c r="M93" i="92"/>
  <c r="AE93" i="92"/>
  <c r="AC93" i="92" s="1"/>
  <c r="M86" i="92"/>
  <c r="AE86" i="92"/>
  <c r="AC86" i="92" s="1"/>
  <c r="AE557" i="92"/>
  <c r="AC557" i="92" s="1"/>
  <c r="M557" i="92"/>
  <c r="M315" i="92"/>
  <c r="AE315" i="92"/>
  <c r="AC315" i="92" s="1"/>
  <c r="AE67" i="92"/>
  <c r="M67" i="92"/>
  <c r="AE38" i="92"/>
  <c r="AC38" i="92" s="1"/>
  <c r="M38" i="92"/>
  <c r="M366" i="92"/>
  <c r="AE366" i="92"/>
  <c r="AC366" i="92" s="1"/>
  <c r="AE84" i="92"/>
  <c r="AC84" i="92" s="1"/>
  <c r="M84" i="92"/>
  <c r="AE260" i="92"/>
  <c r="AC260" i="92" s="1"/>
  <c r="M260" i="92"/>
  <c r="M62" i="92"/>
  <c r="AE62" i="92"/>
  <c r="AE69" i="92"/>
  <c r="M69" i="92"/>
  <c r="M384" i="92"/>
  <c r="AE384" i="92"/>
  <c r="AC384" i="92" s="1"/>
  <c r="AE339" i="92"/>
  <c r="AC339" i="92" s="1"/>
  <c r="M339" i="92"/>
  <c r="M520" i="92"/>
  <c r="AE520" i="92"/>
  <c r="AC520" i="92" s="1"/>
  <c r="M405" i="92"/>
  <c r="AE405" i="92"/>
  <c r="AC405" i="92" s="1"/>
  <c r="AE380" i="92"/>
  <c r="AC380" i="92" s="1"/>
  <c r="M380" i="92"/>
  <c r="M347" i="92"/>
  <c r="AE347" i="92"/>
  <c r="AC347" i="92" s="1"/>
  <c r="M555" i="92"/>
  <c r="AE555" i="92"/>
  <c r="AC555" i="92" s="1"/>
  <c r="M28" i="92"/>
  <c r="AE28" i="92"/>
  <c r="AC28" i="92" s="1"/>
  <c r="M375" i="92"/>
  <c r="AE375" i="92"/>
  <c r="AC375" i="92" s="1"/>
  <c r="M46" i="92"/>
  <c r="AE46" i="92"/>
  <c r="M414" i="92"/>
  <c r="AE414" i="92"/>
  <c r="AC414" i="92" s="1"/>
  <c r="M66" i="92"/>
  <c r="AE66" i="92"/>
  <c r="AE533" i="92"/>
  <c r="AC533" i="92" s="1"/>
  <c r="M533" i="92"/>
  <c r="M545" i="92"/>
  <c r="AE545" i="92"/>
  <c r="AC545" i="92" s="1"/>
  <c r="M332" i="92"/>
  <c r="AE332" i="92"/>
  <c r="AC332" i="92" s="1"/>
  <c r="M72" i="92"/>
  <c r="AE72" i="92"/>
  <c r="M371" i="92"/>
  <c r="AE371" i="92"/>
  <c r="AC371" i="92" s="1"/>
  <c r="M412" i="92"/>
  <c r="AE412" i="92"/>
  <c r="AC412" i="92" s="1"/>
  <c r="M525" i="92"/>
  <c r="AE525" i="92"/>
  <c r="AC525" i="92" s="1"/>
  <c r="M630" i="92"/>
  <c r="AE630" i="92"/>
  <c r="AC630" i="92" s="1"/>
  <c r="M408" i="92"/>
  <c r="AE408" i="92"/>
  <c r="AC408" i="92" s="1"/>
  <c r="AE82" i="92"/>
  <c r="AC82" i="92" s="1"/>
  <c r="M82" i="92"/>
  <c r="M543" i="92"/>
  <c r="AE543" i="92"/>
  <c r="AC543" i="92" s="1"/>
  <c r="AE402" i="92"/>
  <c r="AC402" i="92" s="1"/>
  <c r="M402" i="92"/>
  <c r="M50" i="92"/>
  <c r="AE50" i="92"/>
  <c r="AE70" i="92"/>
  <c r="M70" i="92"/>
  <c r="M61" i="92"/>
  <c r="AE61" i="92"/>
  <c r="AH2" i="92"/>
  <c r="M344" i="92"/>
  <c r="AE344" i="92"/>
  <c r="AC344" i="92" s="1"/>
  <c r="AE301" i="92"/>
  <c r="AC301" i="92" s="1"/>
  <c r="M301" i="92"/>
  <c r="M65" i="92"/>
  <c r="AE65" i="92"/>
  <c r="M535" i="92"/>
  <c r="AE535" i="92"/>
  <c r="AC535" i="92" s="1"/>
  <c r="AE531" i="92"/>
  <c r="AC531" i="92" s="1"/>
  <c r="M531" i="92"/>
  <c r="M552" i="92"/>
  <c r="AE552" i="92"/>
  <c r="AC552" i="92" s="1"/>
  <c r="AE43" i="92"/>
  <c r="M43" i="92"/>
  <c r="AE68" i="92"/>
  <c r="M68" i="92"/>
  <c r="AE48" i="92"/>
  <c r="M48" i="92"/>
  <c r="M643" i="92"/>
  <c r="AE643" i="92"/>
  <c r="AC643" i="92" s="1"/>
  <c r="AC91" i="92"/>
  <c r="AF91" i="92"/>
  <c r="N98" i="92"/>
  <c r="AE98" i="92"/>
  <c r="AC98" i="92" s="1"/>
  <c r="N477" i="92"/>
  <c r="M391" i="92"/>
  <c r="AE391" i="92"/>
  <c r="AC391" i="92" s="1"/>
  <c r="AE539" i="92"/>
  <c r="AC539" i="92" s="1"/>
  <c r="M539" i="92"/>
  <c r="M60" i="92"/>
  <c r="AE60" i="92"/>
  <c r="AC317" i="92" l="1"/>
  <c r="Q421" i="92"/>
  <c r="AE421" i="92" s="1"/>
  <c r="AF69" i="92"/>
  <c r="AC69" i="92"/>
  <c r="AC73" i="92"/>
  <c r="AF73" i="92"/>
  <c r="AF46" i="92"/>
  <c r="AC46" i="92"/>
  <c r="AC65" i="92"/>
  <c r="AF65" i="92"/>
  <c r="AF61" i="92"/>
  <c r="AC61" i="92"/>
  <c r="AC62" i="92"/>
  <c r="AF62" i="92"/>
  <c r="AF43" i="92"/>
  <c r="AC43" i="92"/>
  <c r="AF64" i="92"/>
  <c r="AC64" i="92"/>
  <c r="AC67" i="92"/>
  <c r="AF67" i="92"/>
  <c r="AC76" i="92"/>
  <c r="AF76" i="92"/>
  <c r="AF72" i="92"/>
  <c r="AC72" i="92"/>
  <c r="AF66" i="92"/>
  <c r="AC66" i="92"/>
  <c r="AC48" i="92"/>
  <c r="AF48" i="92"/>
  <c r="AF59" i="92"/>
  <c r="AC59" i="92"/>
  <c r="AC70" i="92"/>
  <c r="AF70" i="92"/>
  <c r="AF68" i="92"/>
  <c r="AC68" i="92"/>
  <c r="AC60" i="92"/>
  <c r="AF60" i="92"/>
  <c r="AF50" i="92"/>
  <c r="AC50" i="92"/>
  <c r="B2180" i="66"/>
  <c r="E24" i="94" l="1"/>
  <c r="N421" i="92"/>
  <c r="AC421" i="92"/>
  <c r="AH4" i="92"/>
  <c r="AH1" i="92"/>
  <c r="B579" i="66"/>
  <c r="B580" i="66"/>
  <c r="B581" i="66"/>
  <c r="B582" i="66"/>
  <c r="H2454" i="66"/>
  <c r="H2451" i="66"/>
  <c r="H2446" i="66"/>
  <c r="A2447" i="66" s="1"/>
  <c r="A2448" i="66" s="1"/>
  <c r="H2443" i="66"/>
  <c r="A2444" i="66" s="1"/>
  <c r="A2445" i="66" s="1"/>
  <c r="H2441" i="66"/>
  <c r="A2442" i="66" s="1"/>
  <c r="H2435" i="66"/>
  <c r="H2434" i="66"/>
  <c r="H2433" i="66"/>
  <c r="H2432" i="66"/>
  <c r="H2431" i="66"/>
  <c r="H2430" i="66"/>
  <c r="H2429" i="66"/>
  <c r="H2424" i="66"/>
  <c r="A2424" i="66" s="1"/>
  <c r="H2423" i="66"/>
  <c r="A2423" i="66" s="1"/>
  <c r="H2422" i="66"/>
  <c r="A2422" i="66" s="1"/>
  <c r="H2421" i="66"/>
  <c r="A2421" i="66" s="1"/>
  <c r="H2420" i="66"/>
  <c r="A2420" i="66" s="1"/>
  <c r="H2419" i="66"/>
  <c r="A2419" i="66" s="1"/>
  <c r="H2417" i="66"/>
  <c r="H2416" i="66"/>
  <c r="A2416" i="66" s="1"/>
  <c r="H2415" i="66"/>
  <c r="A2415" i="66" s="1"/>
  <c r="H2400" i="66"/>
  <c r="H2398" i="66"/>
  <c r="H2397" i="66"/>
  <c r="A2397" i="66" s="1"/>
  <c r="H2396" i="66"/>
  <c r="A2396" i="66" s="1"/>
  <c r="H2395" i="66"/>
  <c r="A2395" i="66" s="1"/>
  <c r="H2394" i="66"/>
  <c r="A2394" i="66" s="1"/>
  <c r="H2392" i="66"/>
  <c r="H2391" i="66"/>
  <c r="A2391" i="66" s="1"/>
  <c r="H2389" i="66"/>
  <c r="H2382" i="66"/>
  <c r="H2378" i="66"/>
  <c r="H2376" i="66"/>
  <c r="H2370" i="66"/>
  <c r="A2371" i="66" s="1"/>
  <c r="H2367" i="66"/>
  <c r="H2366" i="66"/>
  <c r="A2366" i="66" s="1"/>
  <c r="H2364" i="66"/>
  <c r="H2362" i="66"/>
  <c r="H2361" i="66"/>
  <c r="A2361" i="66" s="1"/>
  <c r="H2359" i="66"/>
  <c r="H2356" i="66"/>
  <c r="H2354" i="66"/>
  <c r="H2351" i="66"/>
  <c r="H2349" i="66"/>
  <c r="H2343" i="66"/>
  <c r="A2344" i="66" s="1"/>
  <c r="H2342" i="66"/>
  <c r="A2342" i="66" s="1"/>
  <c r="H2341" i="66"/>
  <c r="A2341" i="66" s="1"/>
  <c r="H2339" i="66"/>
  <c r="A2340" i="66" s="1"/>
  <c r="H2338" i="66"/>
  <c r="H2336" i="66"/>
  <c r="H2333" i="66"/>
  <c r="H2330" i="66"/>
  <c r="H2308" i="66"/>
  <c r="H2307" i="66"/>
  <c r="H2306" i="66"/>
  <c r="H2304" i="66"/>
  <c r="A2305" i="66" s="1"/>
  <c r="H2302" i="66"/>
  <c r="A2303" i="66" s="1"/>
  <c r="H2300" i="66"/>
  <c r="A2301" i="66" s="1"/>
  <c r="H2298" i="66"/>
  <c r="A2299" i="66" s="1"/>
  <c r="H2297" i="66"/>
  <c r="H2295" i="66"/>
  <c r="A2296" i="66" s="1"/>
  <c r="H2293" i="66"/>
  <c r="A2294" i="66" s="1"/>
  <c r="H2292" i="66"/>
  <c r="H2290" i="66"/>
  <c r="A2291" i="66" s="1"/>
  <c r="H2288" i="66"/>
  <c r="A2289" i="66" s="1"/>
  <c r="H2284" i="66"/>
  <c r="A2285" i="66" s="1"/>
  <c r="A2286" i="66" s="1"/>
  <c r="A2287" i="66" s="1"/>
  <c r="H2278" i="66"/>
  <c r="A2279" i="66" s="1"/>
  <c r="A2280" i="66" s="1"/>
  <c r="A2281" i="66" s="1"/>
  <c r="A2282" i="66" s="1"/>
  <c r="A2283" i="66" s="1"/>
  <c r="H2277" i="66"/>
  <c r="H2276" i="66"/>
  <c r="H2274" i="66"/>
  <c r="A2275" i="66" s="1"/>
  <c r="H2273" i="66"/>
  <c r="H2271" i="66"/>
  <c r="A2272" i="66" s="1"/>
  <c r="H2269" i="66"/>
  <c r="A2270" i="66" s="1"/>
  <c r="H2268" i="66"/>
  <c r="H2267" i="66"/>
  <c r="H2263" i="66"/>
  <c r="A2264" i="66" s="1"/>
  <c r="A2265" i="66" s="1"/>
  <c r="A2266" i="66" s="1"/>
  <c r="H2262" i="66"/>
  <c r="H2261" i="66"/>
  <c r="H2246" i="66"/>
  <c r="H2242" i="66"/>
  <c r="H2237" i="66"/>
  <c r="H2235" i="66"/>
  <c r="H2234" i="66"/>
  <c r="H2231" i="66"/>
  <c r="H2226" i="66"/>
  <c r="H2222" i="66"/>
  <c r="H2215" i="66"/>
  <c r="H2210" i="66"/>
  <c r="H2205" i="66"/>
  <c r="H2200" i="66"/>
  <c r="H2199" i="66"/>
  <c r="H2193" i="66"/>
  <c r="H2189" i="66"/>
  <c r="H2185" i="66"/>
  <c r="H2183" i="66"/>
  <c r="H2180" i="66"/>
  <c r="A2181" i="66" s="1"/>
  <c r="A2182" i="66" s="1"/>
  <c r="H2177" i="66"/>
  <c r="A2178" i="66" s="1"/>
  <c r="A2179" i="66" s="1"/>
  <c r="H2175" i="66"/>
  <c r="A2176" i="66" s="1"/>
  <c r="H2171" i="66"/>
  <c r="H2148" i="66"/>
  <c r="H2146" i="66"/>
  <c r="H2097" i="66"/>
  <c r="H2095" i="66"/>
  <c r="H2092" i="66"/>
  <c r="H2089" i="66"/>
  <c r="H2087" i="66"/>
  <c r="H2076" i="66"/>
  <c r="H2072" i="66"/>
  <c r="H2069" i="66"/>
  <c r="H2067" i="66"/>
  <c r="H2065" i="66"/>
  <c r="H2062" i="66"/>
  <c r="H2060" i="66"/>
  <c r="H2054" i="66"/>
  <c r="H2053" i="66"/>
  <c r="H2051" i="66"/>
  <c r="H2047" i="66"/>
  <c r="H2045" i="66"/>
  <c r="A2045" i="66" s="1"/>
  <c r="A2046" i="66" s="1"/>
  <c r="H2043" i="66"/>
  <c r="H2041" i="66"/>
  <c r="H2035" i="66"/>
  <c r="H2033" i="66"/>
  <c r="H2031" i="66"/>
  <c r="H2028" i="66"/>
  <c r="H2027" i="66"/>
  <c r="H2023" i="66"/>
  <c r="H2017" i="66"/>
  <c r="H2012" i="66"/>
  <c r="H2008" i="66"/>
  <c r="H2007" i="66"/>
  <c r="H2002" i="66"/>
  <c r="H1995" i="66"/>
  <c r="H1989" i="66"/>
  <c r="H1984" i="66"/>
  <c r="H1982" i="66"/>
  <c r="H1981" i="66"/>
  <c r="H1979" i="66"/>
  <c r="H1967" i="66"/>
  <c r="H1964" i="66"/>
  <c r="A1965" i="66" s="1"/>
  <c r="A1966" i="66" s="1"/>
  <c r="H1963" i="66"/>
  <c r="H1952" i="66"/>
  <c r="H1943" i="66"/>
  <c r="H1940" i="66"/>
  <c r="H1938" i="66"/>
  <c r="H1927" i="66"/>
  <c r="H1926" i="66"/>
  <c r="H1925" i="66"/>
  <c r="H1924" i="66"/>
  <c r="H1919" i="66"/>
  <c r="H1914" i="66"/>
  <c r="H1908" i="66"/>
  <c r="H1906" i="66"/>
  <c r="H1904" i="66"/>
  <c r="H1901" i="66"/>
  <c r="H1899" i="66"/>
  <c r="H1897" i="66"/>
  <c r="H1894" i="66"/>
  <c r="H1892" i="66"/>
  <c r="H1889" i="66"/>
  <c r="H1883" i="66"/>
  <c r="H1880" i="66"/>
  <c r="H1875" i="66"/>
  <c r="H1872" i="66"/>
  <c r="H1869" i="66"/>
  <c r="H1864" i="66"/>
  <c r="H1858" i="66"/>
  <c r="H1852" i="66"/>
  <c r="H1850" i="66"/>
  <c r="H1847" i="66"/>
  <c r="H1842" i="66"/>
  <c r="H1840" i="66"/>
  <c r="H1838" i="66"/>
  <c r="H1836" i="66"/>
  <c r="A1837" i="66" s="1"/>
  <c r="H1830" i="66"/>
  <c r="H1821" i="66"/>
  <c r="H1813" i="66"/>
  <c r="H1810" i="66"/>
  <c r="H1787" i="66"/>
  <c r="H1785" i="66"/>
  <c r="H1771" i="66"/>
  <c r="H1767" i="66"/>
  <c r="H1765" i="66"/>
  <c r="H1764" i="66"/>
  <c r="H1762" i="66"/>
  <c r="H1760" i="66"/>
  <c r="H1756" i="66"/>
  <c r="H1754" i="66"/>
  <c r="H1750" i="66"/>
  <c r="H1749" i="66"/>
  <c r="H1748" i="66"/>
  <c r="H1744" i="66"/>
  <c r="H1742" i="66"/>
  <c r="H1739" i="66"/>
  <c r="H1737" i="66"/>
  <c r="H1733" i="66"/>
  <c r="H1730" i="66"/>
  <c r="H1723" i="66"/>
  <c r="H1717" i="66"/>
  <c r="H1712" i="66"/>
  <c r="H1702" i="66"/>
  <c r="H1700" i="66"/>
  <c r="H1696" i="66"/>
  <c r="H1691" i="66"/>
  <c r="H1680" i="66"/>
  <c r="H1675" i="66"/>
  <c r="H1673" i="66"/>
  <c r="H1666" i="66"/>
  <c r="H1664" i="66"/>
  <c r="H1658" i="66"/>
  <c r="H1657" i="66"/>
  <c r="H1652" i="66"/>
  <c r="H1626" i="66"/>
  <c r="H1612" i="66"/>
  <c r="A1605" i="66" s="1"/>
  <c r="A1606" i="66" s="1"/>
  <c r="H1593" i="66"/>
  <c r="H1592" i="66"/>
  <c r="H1587" i="66"/>
  <c r="H1583" i="66"/>
  <c r="H1578" i="66"/>
  <c r="H1574" i="66"/>
  <c r="H1572" i="66"/>
  <c r="H1567" i="66"/>
  <c r="H1562" i="66"/>
  <c r="H1559" i="66"/>
  <c r="H1558" i="66"/>
  <c r="H1557" i="66"/>
  <c r="H1551" i="66"/>
  <c r="H1541" i="66"/>
  <c r="H1539" i="66"/>
  <c r="H1537" i="66"/>
  <c r="H1534" i="66"/>
  <c r="H1532" i="66"/>
  <c r="H1530" i="66"/>
  <c r="H1523" i="66"/>
  <c r="H1522" i="66"/>
  <c r="H1521" i="66"/>
  <c r="H1520" i="66"/>
  <c r="H1519" i="66"/>
  <c r="H1518" i="66"/>
  <c r="H1517" i="66"/>
  <c r="H1516" i="66"/>
  <c r="H1505" i="66"/>
  <c r="H1500" i="66"/>
  <c r="H1497" i="66"/>
  <c r="H1495" i="66"/>
  <c r="H1494" i="66"/>
  <c r="H1493" i="66"/>
  <c r="H1492" i="66"/>
  <c r="H1485" i="66"/>
  <c r="H1483" i="66"/>
  <c r="H1481" i="66"/>
  <c r="H1471" i="66"/>
  <c r="H1469" i="66"/>
  <c r="H1463" i="66"/>
  <c r="H1460" i="66"/>
  <c r="H1458" i="66"/>
  <c r="H1452" i="66"/>
  <c r="H1451" i="66"/>
  <c r="H1449" i="66"/>
  <c r="H1430" i="66"/>
  <c r="H1428" i="66"/>
  <c r="H1419" i="66"/>
  <c r="H1417" i="66"/>
  <c r="H1414" i="66"/>
  <c r="H1409" i="66"/>
  <c r="H1408" i="66"/>
  <c r="H1406" i="66"/>
  <c r="H1403" i="66"/>
  <c r="H1400" i="66"/>
  <c r="H1395" i="66"/>
  <c r="H1390" i="66"/>
  <c r="H1386" i="66"/>
  <c r="H1382" i="66"/>
  <c r="H1378" i="66"/>
  <c r="H1349" i="66"/>
  <c r="H1347" i="66"/>
  <c r="H1345" i="66"/>
  <c r="H1343" i="66"/>
  <c r="H1338" i="66"/>
  <c r="H1336" i="66"/>
  <c r="H1334" i="66"/>
  <c r="H1332" i="66"/>
  <c r="H1331" i="66"/>
  <c r="H1330" i="66"/>
  <c r="H1328" i="66"/>
  <c r="H1320" i="66"/>
  <c r="H1292" i="66"/>
  <c r="H1289" i="66"/>
  <c r="H1288" i="66"/>
  <c r="H1287" i="66"/>
  <c r="H1284" i="66"/>
  <c r="H1282" i="66"/>
  <c r="H1280" i="66"/>
  <c r="H1261" i="66"/>
  <c r="H1259" i="66"/>
  <c r="H1257" i="66"/>
  <c r="H1255" i="66"/>
  <c r="H1253" i="66"/>
  <c r="H1207" i="66"/>
  <c r="H1205" i="66"/>
  <c r="H1198" i="66"/>
  <c r="H1196" i="66"/>
  <c r="H1194" i="66"/>
  <c r="H1193" i="66"/>
  <c r="H1191" i="66"/>
  <c r="H1190" i="66"/>
  <c r="H1188" i="66"/>
  <c r="H1187" i="66"/>
  <c r="H1182" i="66"/>
  <c r="H1177" i="66"/>
  <c r="H1175" i="66"/>
  <c r="H1169" i="66"/>
  <c r="H1165" i="66"/>
  <c r="H1164" i="66"/>
  <c r="H1162" i="66"/>
  <c r="H1157" i="66"/>
  <c r="H1152" i="66"/>
  <c r="H1150" i="66"/>
  <c r="H1145" i="66"/>
  <c r="H1139" i="66"/>
  <c r="H1134" i="66"/>
  <c r="H1131" i="66"/>
  <c r="H1125" i="66"/>
  <c r="H1118" i="66"/>
  <c r="H1112" i="66"/>
  <c r="H1106" i="66"/>
  <c r="H1095" i="66"/>
  <c r="A1096" i="66" s="1"/>
  <c r="A1097" i="66" s="1"/>
  <c r="A1098" i="66" s="1"/>
  <c r="A1099" i="66" s="1"/>
  <c r="A1100" i="66" s="1"/>
  <c r="A1101" i="66" s="1"/>
  <c r="A1102" i="66" s="1"/>
  <c r="A1103" i="66" s="1"/>
  <c r="H1085" i="66"/>
  <c r="H1076" i="66"/>
  <c r="A1077" i="66" s="1"/>
  <c r="A1078" i="66" s="1"/>
  <c r="A1079" i="66" s="1"/>
  <c r="A1080" i="66" s="1"/>
  <c r="A1081" i="66" s="1"/>
  <c r="A1082" i="66" s="1"/>
  <c r="A1083" i="66" s="1"/>
  <c r="H1069" i="66"/>
  <c r="A1070" i="66" s="1"/>
  <c r="H1060" i="66"/>
  <c r="H1059" i="66"/>
  <c r="H1053" i="66"/>
  <c r="H1051" i="66"/>
  <c r="H1048" i="66"/>
  <c r="A1049" i="66" s="1"/>
  <c r="H1045" i="66"/>
  <c r="A1046" i="66" s="1"/>
  <c r="H1033" i="66"/>
  <c r="A1034" i="66" s="1"/>
  <c r="A1035" i="66" s="1"/>
  <c r="H1019" i="66"/>
  <c r="H1006" i="66"/>
  <c r="H1002" i="66"/>
  <c r="H999" i="66"/>
  <c r="A1000" i="66" s="1"/>
  <c r="A1001" i="66" s="1"/>
  <c r="H997" i="66"/>
  <c r="H990" i="66"/>
  <c r="H980" i="66"/>
  <c r="H954" i="66"/>
  <c r="A955" i="66" s="1"/>
  <c r="A956" i="66" s="1"/>
  <c r="A957" i="66" s="1"/>
  <c r="H951" i="66"/>
  <c r="A952" i="66" s="1"/>
  <c r="H935" i="66"/>
  <c r="H932" i="66"/>
  <c r="H929" i="66"/>
  <c r="H927" i="66"/>
  <c r="H926" i="66"/>
  <c r="H925" i="66"/>
  <c r="H924" i="66"/>
  <c r="H923" i="66"/>
  <c r="H922" i="66"/>
  <c r="H921" i="66"/>
  <c r="H920" i="66"/>
  <c r="H919" i="66"/>
  <c r="H918" i="66"/>
  <c r="H917" i="66"/>
  <c r="H916" i="66"/>
  <c r="H915" i="66"/>
  <c r="H911" i="66"/>
  <c r="H907" i="66"/>
  <c r="H904" i="66"/>
  <c r="H901" i="66"/>
  <c r="H895" i="66"/>
  <c r="H892" i="66"/>
  <c r="A892" i="66" s="1"/>
  <c r="H885" i="66"/>
  <c r="H867" i="66"/>
  <c r="H863" i="66"/>
  <c r="H861" i="66"/>
  <c r="H857" i="66"/>
  <c r="H856" i="66"/>
  <c r="H855" i="66"/>
  <c r="H853" i="66"/>
  <c r="H851" i="66"/>
  <c r="H847" i="66"/>
  <c r="H842" i="66"/>
  <c r="H838" i="66"/>
  <c r="H836" i="66"/>
  <c r="H834" i="66"/>
  <c r="H832" i="66"/>
  <c r="H830" i="66"/>
  <c r="H828" i="66"/>
  <c r="H827" i="66"/>
  <c r="H816" i="66"/>
  <c r="H810" i="66"/>
  <c r="A809" i="66" s="1"/>
  <c r="H799" i="66"/>
  <c r="H787" i="66"/>
  <c r="H781" i="66"/>
  <c r="H775" i="66"/>
  <c r="H769" i="66"/>
  <c r="H763" i="66"/>
  <c r="H756" i="66"/>
  <c r="H748" i="66"/>
  <c r="H741" i="66"/>
  <c r="H732" i="66"/>
  <c r="H715" i="66"/>
  <c r="H713" i="66"/>
  <c r="H701" i="66"/>
  <c r="H698" i="66"/>
  <c r="H692" i="66"/>
  <c r="H687" i="66"/>
  <c r="H678" i="66"/>
  <c r="H676" i="66"/>
  <c r="H675" i="66"/>
  <c r="H673" i="66"/>
  <c r="H672" i="66"/>
  <c r="H648" i="66"/>
  <c r="H647" i="66"/>
  <c r="H646" i="66"/>
  <c r="H645" i="66"/>
  <c r="H644" i="66"/>
  <c r="H643" i="66"/>
  <c r="H642" i="66"/>
  <c r="H641" i="66"/>
  <c r="H636" i="66"/>
  <c r="H635" i="66"/>
  <c r="H634" i="66"/>
  <c r="H633" i="66"/>
  <c r="H632" i="66"/>
  <c r="H631" i="66"/>
  <c r="H630" i="66"/>
  <c r="H629" i="66"/>
  <c r="H628" i="66"/>
  <c r="H615" i="66"/>
  <c r="H613" i="66"/>
  <c r="H600" i="66"/>
  <c r="H597" i="66"/>
  <c r="H594" i="66"/>
  <c r="H592" i="66"/>
  <c r="H590" i="66"/>
  <c r="H588" i="66"/>
  <c r="H583" i="66"/>
  <c r="H576" i="66"/>
  <c r="H570" i="66"/>
  <c r="H565" i="66"/>
  <c r="H563" i="66"/>
  <c r="H558" i="66"/>
  <c r="H554" i="66"/>
  <c r="H551" i="66"/>
  <c r="H550" i="66"/>
  <c r="H548" i="66"/>
  <c r="H541" i="66"/>
  <c r="H540" i="66"/>
  <c r="H539" i="66"/>
  <c r="H537" i="66"/>
  <c r="H531" i="66"/>
  <c r="H528" i="66"/>
  <c r="H524" i="66"/>
  <c r="H512" i="66"/>
  <c r="H510" i="66"/>
  <c r="H508" i="66"/>
  <c r="H502" i="66"/>
  <c r="H498" i="66"/>
  <c r="H497" i="66"/>
  <c r="H494" i="66"/>
  <c r="H482" i="66"/>
  <c r="A482" i="66" s="1"/>
  <c r="A474" i="66" s="1"/>
  <c r="H470" i="66"/>
  <c r="H466" i="66"/>
  <c r="H464" i="66"/>
  <c r="H462" i="66"/>
  <c r="H459" i="66"/>
  <c r="H457" i="66"/>
  <c r="H452" i="66"/>
  <c r="H448" i="66"/>
  <c r="H444" i="66"/>
  <c r="H438" i="66"/>
  <c r="H436" i="66"/>
  <c r="H435" i="66"/>
  <c r="H430" i="66"/>
  <c r="A431" i="66" s="1"/>
  <c r="H428" i="66"/>
  <c r="H421" i="66"/>
  <c r="H419" i="66"/>
  <c r="H411" i="66"/>
  <c r="H408" i="66"/>
  <c r="A409" i="66" s="1"/>
  <c r="A407" i="66" s="1"/>
  <c r="H406" i="66"/>
  <c r="H405" i="66"/>
  <c r="H399" i="66"/>
  <c r="H395" i="66"/>
  <c r="A395" i="66" s="1"/>
  <c r="H382" i="66"/>
  <c r="H374" i="66"/>
  <c r="H372" i="66"/>
  <c r="H368" i="66"/>
  <c r="H367" i="66"/>
  <c r="H366" i="66"/>
  <c r="H357" i="66"/>
  <c r="H356" i="66"/>
  <c r="H355" i="66"/>
  <c r="H354" i="66"/>
  <c r="H346" i="66"/>
  <c r="H345" i="66"/>
  <c r="H344" i="66"/>
  <c r="H343" i="66"/>
  <c r="H342" i="66"/>
  <c r="H341" i="66"/>
  <c r="H335" i="66"/>
  <c r="H332" i="66"/>
  <c r="H329" i="66"/>
  <c r="H303" i="66"/>
  <c r="H301" i="66"/>
  <c r="H299" i="66"/>
  <c r="H297" i="66"/>
  <c r="H292" i="66"/>
  <c r="H291" i="66"/>
  <c r="H288" i="66"/>
  <c r="H285" i="66"/>
  <c r="H281" i="66"/>
  <c r="H271" i="66"/>
  <c r="H269" i="66"/>
  <c r="H268" i="66"/>
  <c r="H265" i="66"/>
  <c r="H263" i="66"/>
  <c r="H260" i="66"/>
  <c r="H253" i="66"/>
  <c r="H250" i="66"/>
  <c r="H249" i="66"/>
  <c r="H245" i="66"/>
  <c r="H242" i="66"/>
  <c r="H235" i="66"/>
  <c r="H234" i="66"/>
  <c r="H232" i="66"/>
  <c r="H224" i="66"/>
  <c r="H223" i="66"/>
  <c r="H222" i="66"/>
  <c r="H221" i="66"/>
  <c r="H220" i="66"/>
  <c r="H219" i="66"/>
  <c r="H217" i="66"/>
  <c r="H214" i="66"/>
  <c r="H210" i="66"/>
  <c r="H208" i="66"/>
  <c r="H206" i="66"/>
  <c r="H205" i="66"/>
  <c r="H203" i="66"/>
  <c r="H198" i="66"/>
  <c r="H196" i="66"/>
  <c r="H195" i="66"/>
  <c r="H188" i="66"/>
  <c r="H183" i="66"/>
  <c r="H181" i="66"/>
  <c r="H178" i="66"/>
  <c r="H176" i="66"/>
  <c r="A177" i="66" s="1"/>
  <c r="H175" i="66"/>
  <c r="H174" i="66"/>
  <c r="H170" i="66"/>
  <c r="H168" i="66"/>
  <c r="H166" i="66"/>
  <c r="H163" i="66"/>
  <c r="H161" i="66"/>
  <c r="H156" i="66"/>
  <c r="H155" i="66"/>
  <c r="H150" i="66"/>
  <c r="H148" i="66"/>
  <c r="H146" i="66"/>
  <c r="H143" i="66"/>
  <c r="H141" i="66"/>
  <c r="H135" i="66"/>
  <c r="H133" i="66"/>
  <c r="H128" i="66"/>
  <c r="H126" i="66"/>
  <c r="H121" i="66"/>
  <c r="H114" i="66"/>
  <c r="H111" i="66"/>
  <c r="H103" i="66"/>
  <c r="H102" i="66"/>
  <c r="H101" i="66"/>
  <c r="H99" i="66"/>
  <c r="A100" i="66" s="1"/>
  <c r="H98" i="66"/>
  <c r="H95" i="66"/>
  <c r="H91" i="66"/>
  <c r="H89" i="66"/>
  <c r="H84" i="66"/>
  <c r="H82" i="66"/>
  <c r="H81" i="66"/>
  <c r="H80" i="66"/>
  <c r="H74" i="66"/>
  <c r="H72" i="66"/>
  <c r="H70" i="66"/>
  <c r="H69" i="66"/>
  <c r="H67" i="66"/>
  <c r="H65" i="66"/>
  <c r="H63" i="66"/>
  <c r="H62" i="66"/>
  <c r="H50" i="66"/>
  <c r="H46" i="66"/>
  <c r="H43" i="66"/>
  <c r="H41" i="66"/>
  <c r="A42" i="66" s="1"/>
  <c r="H36" i="66"/>
  <c r="H33" i="66"/>
  <c r="H28" i="66"/>
  <c r="H18" i="66"/>
  <c r="H16" i="66"/>
  <c r="H14" i="66"/>
  <c r="B2467" i="66"/>
  <c r="B2466" i="66"/>
  <c r="B2465" i="66"/>
  <c r="B2464" i="66"/>
  <c r="B2463" i="66"/>
  <c r="B2462" i="66"/>
  <c r="B2461" i="66"/>
  <c r="B2460" i="66"/>
  <c r="B2459" i="66"/>
  <c r="B2458" i="66"/>
  <c r="B2457" i="66"/>
  <c r="B2456" i="66"/>
  <c r="B2455" i="66"/>
  <c r="B2454" i="66"/>
  <c r="B2453" i="66"/>
  <c r="B2452" i="66"/>
  <c r="B2451" i="66"/>
  <c r="B2450" i="66"/>
  <c r="B2449" i="66"/>
  <c r="B2448" i="66"/>
  <c r="B2447" i="66"/>
  <c r="B2446" i="66"/>
  <c r="B2445" i="66"/>
  <c r="B2444" i="66"/>
  <c r="B2443" i="66"/>
  <c r="B2442" i="66"/>
  <c r="B2441" i="66"/>
  <c r="B2440" i="66"/>
  <c r="B2439" i="66"/>
  <c r="B2438" i="66"/>
  <c r="B2437" i="66"/>
  <c r="B2436" i="66"/>
  <c r="B2435" i="66"/>
  <c r="B2434" i="66"/>
  <c r="B2433" i="66"/>
  <c r="B2432" i="66"/>
  <c r="B2431" i="66"/>
  <c r="B2430" i="66"/>
  <c r="B2429" i="66"/>
  <c r="B2428" i="66"/>
  <c r="B2427" i="66"/>
  <c r="B2426" i="66"/>
  <c r="B2425" i="66"/>
  <c r="B2424" i="66"/>
  <c r="B2423" i="66"/>
  <c r="B2422" i="66"/>
  <c r="B2421" i="66"/>
  <c r="B2420" i="66"/>
  <c r="B2419" i="66"/>
  <c r="B2418" i="66"/>
  <c r="B2417" i="66"/>
  <c r="B2416" i="66"/>
  <c r="B2415" i="66"/>
  <c r="B2414" i="66"/>
  <c r="B2413" i="66"/>
  <c r="B2412" i="66"/>
  <c r="B2411" i="66"/>
  <c r="B2410" i="66"/>
  <c r="B2409" i="66"/>
  <c r="B2408" i="66"/>
  <c r="B2407" i="66"/>
  <c r="B2406" i="66"/>
  <c r="B2405" i="66"/>
  <c r="B2404" i="66"/>
  <c r="B2403" i="66"/>
  <c r="B2402" i="66"/>
  <c r="B2401" i="66"/>
  <c r="B2400" i="66"/>
  <c r="B2399" i="66"/>
  <c r="B2398" i="66"/>
  <c r="B2397" i="66"/>
  <c r="B2396" i="66"/>
  <c r="B2395" i="66"/>
  <c r="B2394" i="66"/>
  <c r="B2393" i="66"/>
  <c r="B2392" i="66"/>
  <c r="B2391" i="66"/>
  <c r="B2390" i="66"/>
  <c r="B2389" i="66"/>
  <c r="B2388" i="66"/>
  <c r="B2387" i="66"/>
  <c r="B2386" i="66"/>
  <c r="B2385" i="66"/>
  <c r="B2384" i="66"/>
  <c r="B2383" i="66"/>
  <c r="B2382" i="66"/>
  <c r="B2381" i="66"/>
  <c r="B2380" i="66"/>
  <c r="B2379" i="66"/>
  <c r="B2378" i="66"/>
  <c r="B2377" i="66"/>
  <c r="B2376" i="66"/>
  <c r="B2375" i="66"/>
  <c r="B2374" i="66"/>
  <c r="B2373" i="66"/>
  <c r="B2372" i="66"/>
  <c r="B2371" i="66"/>
  <c r="B2370" i="66"/>
  <c r="B2369" i="66"/>
  <c r="B2368" i="66"/>
  <c r="B2367" i="66"/>
  <c r="B2366" i="66"/>
  <c r="B2365" i="66"/>
  <c r="B2364" i="66"/>
  <c r="B2363" i="66"/>
  <c r="B2362" i="66"/>
  <c r="B2361" i="66"/>
  <c r="B2360" i="66"/>
  <c r="B2359" i="66"/>
  <c r="B2358" i="66"/>
  <c r="B2357" i="66"/>
  <c r="B2356" i="66"/>
  <c r="B2355" i="66"/>
  <c r="B2354" i="66"/>
  <c r="B2353" i="66"/>
  <c r="B2352" i="66"/>
  <c r="B2351" i="66"/>
  <c r="B2350" i="66"/>
  <c r="B2349" i="66"/>
  <c r="B2348" i="66"/>
  <c r="B2347" i="66"/>
  <c r="B2346" i="66"/>
  <c r="B2345" i="66"/>
  <c r="B2344" i="66"/>
  <c r="B2343" i="66"/>
  <c r="B2342" i="66"/>
  <c r="B2341" i="66"/>
  <c r="B2340" i="66"/>
  <c r="B2339" i="66"/>
  <c r="B2338" i="66"/>
  <c r="B2337" i="66"/>
  <c r="B2336" i="66"/>
  <c r="B2335" i="66"/>
  <c r="B2334" i="66"/>
  <c r="B2333" i="66"/>
  <c r="B2332" i="66"/>
  <c r="B2331" i="66"/>
  <c r="B2330" i="66"/>
  <c r="B2329" i="66"/>
  <c r="B2328" i="66"/>
  <c r="B2327" i="66"/>
  <c r="B2326" i="66"/>
  <c r="B2325" i="66"/>
  <c r="B2324" i="66"/>
  <c r="B2323" i="66"/>
  <c r="B2322" i="66"/>
  <c r="B2321" i="66"/>
  <c r="B2320" i="66"/>
  <c r="B2319" i="66"/>
  <c r="B2318" i="66"/>
  <c r="B2317" i="66"/>
  <c r="B2316" i="66"/>
  <c r="B2315" i="66"/>
  <c r="B2314" i="66"/>
  <c r="B2313" i="66"/>
  <c r="B2312" i="66"/>
  <c r="B2311" i="66"/>
  <c r="B2310" i="66"/>
  <c r="B2309" i="66"/>
  <c r="B2308" i="66"/>
  <c r="B2307" i="66"/>
  <c r="B2306" i="66"/>
  <c r="B2305" i="66"/>
  <c r="B2304" i="66"/>
  <c r="B2303" i="66"/>
  <c r="B2302" i="66"/>
  <c r="B2301" i="66"/>
  <c r="B2300" i="66"/>
  <c r="B2299" i="66"/>
  <c r="B2298" i="66"/>
  <c r="B2297" i="66"/>
  <c r="B2296" i="66"/>
  <c r="B2295" i="66"/>
  <c r="B2294" i="66"/>
  <c r="B2293" i="66"/>
  <c r="B2292" i="66"/>
  <c r="B2291" i="66"/>
  <c r="B2290" i="66"/>
  <c r="B2289" i="66"/>
  <c r="B2288" i="66"/>
  <c r="B2287" i="66"/>
  <c r="B2286" i="66"/>
  <c r="B2285" i="66"/>
  <c r="B2284" i="66"/>
  <c r="B2283" i="66"/>
  <c r="B2282" i="66"/>
  <c r="B2281" i="66"/>
  <c r="B2280" i="66"/>
  <c r="B2279" i="66"/>
  <c r="B2278" i="66"/>
  <c r="B2277" i="66"/>
  <c r="B2276" i="66"/>
  <c r="B2275" i="66"/>
  <c r="B2274" i="66"/>
  <c r="B2273" i="66"/>
  <c r="B2272" i="66"/>
  <c r="B2271" i="66"/>
  <c r="B2270" i="66"/>
  <c r="B2269" i="66"/>
  <c r="B2268" i="66"/>
  <c r="B2267" i="66"/>
  <c r="B2266" i="66"/>
  <c r="B2265" i="66"/>
  <c r="B2264" i="66"/>
  <c r="B2263" i="66"/>
  <c r="B2262" i="66"/>
  <c r="B2261" i="66"/>
  <c r="B2260" i="66"/>
  <c r="B2259" i="66"/>
  <c r="B2258" i="66"/>
  <c r="B2257" i="66"/>
  <c r="B2256" i="66"/>
  <c r="B2255" i="66"/>
  <c r="B2254" i="66"/>
  <c r="B2253" i="66"/>
  <c r="B2252" i="66"/>
  <c r="B2251" i="66"/>
  <c r="B2250" i="66"/>
  <c r="B2249" i="66"/>
  <c r="B2248" i="66"/>
  <c r="B2247" i="66"/>
  <c r="B2246" i="66"/>
  <c r="B2245" i="66"/>
  <c r="B2244" i="66"/>
  <c r="B2243" i="66"/>
  <c r="B2242" i="66"/>
  <c r="B2241" i="66"/>
  <c r="B2240" i="66"/>
  <c r="B2239" i="66"/>
  <c r="B2238" i="66"/>
  <c r="B2237" i="66"/>
  <c r="B2236" i="66"/>
  <c r="B2235" i="66"/>
  <c r="B2234" i="66"/>
  <c r="B2233" i="66"/>
  <c r="B2232" i="66"/>
  <c r="B2231" i="66"/>
  <c r="B2230" i="66"/>
  <c r="B2229" i="66"/>
  <c r="B2228" i="66"/>
  <c r="B2227" i="66"/>
  <c r="B2226" i="66"/>
  <c r="B2225" i="66"/>
  <c r="B2224" i="66"/>
  <c r="B2223" i="66"/>
  <c r="B2222" i="66"/>
  <c r="B2221" i="66"/>
  <c r="B2220" i="66"/>
  <c r="B2219" i="66"/>
  <c r="B2218" i="66"/>
  <c r="B2217" i="66"/>
  <c r="B2216" i="66"/>
  <c r="B2215" i="66"/>
  <c r="B2214" i="66"/>
  <c r="B2213" i="66"/>
  <c r="B2212" i="66"/>
  <c r="B2211" i="66"/>
  <c r="B2210" i="66"/>
  <c r="B2209" i="66"/>
  <c r="B2208" i="66"/>
  <c r="B2207" i="66"/>
  <c r="B2206" i="66"/>
  <c r="B2205" i="66"/>
  <c r="B2204" i="66"/>
  <c r="B2203" i="66"/>
  <c r="B2202" i="66"/>
  <c r="B2201" i="66"/>
  <c r="B2200" i="66"/>
  <c r="B2199" i="66"/>
  <c r="B2198" i="66"/>
  <c r="B2197" i="66"/>
  <c r="B2196" i="66"/>
  <c r="B2195" i="66"/>
  <c r="B2194" i="66"/>
  <c r="B2193" i="66"/>
  <c r="B2192" i="66"/>
  <c r="B2191" i="66"/>
  <c r="B2190" i="66"/>
  <c r="B2189" i="66"/>
  <c r="B2188" i="66"/>
  <c r="B2187" i="66"/>
  <c r="B2186" i="66"/>
  <c r="B2185" i="66"/>
  <c r="B2184" i="66"/>
  <c r="B2183" i="66"/>
  <c r="B2182" i="66"/>
  <c r="B2181" i="66"/>
  <c r="B2179" i="66"/>
  <c r="B2178" i="66"/>
  <c r="B2177" i="66"/>
  <c r="B2176" i="66"/>
  <c r="B2175" i="66"/>
  <c r="B2174" i="66"/>
  <c r="B2173" i="66"/>
  <c r="B2172" i="66"/>
  <c r="B2171" i="66"/>
  <c r="B2170" i="66"/>
  <c r="B2169" i="66"/>
  <c r="B2168" i="66"/>
  <c r="B2167" i="66"/>
  <c r="B2166" i="66"/>
  <c r="B2165" i="66"/>
  <c r="B2164" i="66"/>
  <c r="B2163" i="66"/>
  <c r="B2162" i="66"/>
  <c r="B2161" i="66"/>
  <c r="B2160" i="66"/>
  <c r="B2159" i="66"/>
  <c r="B2158" i="66"/>
  <c r="B2157" i="66"/>
  <c r="B2156" i="66"/>
  <c r="B2155" i="66"/>
  <c r="B2154" i="66"/>
  <c r="B2153" i="66"/>
  <c r="B2152" i="66"/>
  <c r="B2151" i="66"/>
  <c r="B2150" i="66"/>
  <c r="B2149" i="66"/>
  <c r="B2148" i="66"/>
  <c r="B2147" i="66"/>
  <c r="B2146" i="66"/>
  <c r="B2145" i="66"/>
  <c r="B2144" i="66"/>
  <c r="B2143" i="66"/>
  <c r="B2142" i="66"/>
  <c r="B2141" i="66"/>
  <c r="B2140" i="66"/>
  <c r="B2139" i="66"/>
  <c r="B2138" i="66"/>
  <c r="B2137" i="66"/>
  <c r="B2136" i="66"/>
  <c r="B2135" i="66"/>
  <c r="B2134" i="66"/>
  <c r="B2133" i="66"/>
  <c r="B2132" i="66"/>
  <c r="B2131" i="66"/>
  <c r="B2130" i="66"/>
  <c r="B2129" i="66"/>
  <c r="B2128" i="66"/>
  <c r="B2127" i="66"/>
  <c r="B2126" i="66"/>
  <c r="B2125" i="66"/>
  <c r="B2124" i="66"/>
  <c r="B2123" i="66"/>
  <c r="B2122" i="66"/>
  <c r="B2121" i="66"/>
  <c r="B2120" i="66"/>
  <c r="B2119" i="66"/>
  <c r="B2118" i="66"/>
  <c r="B2117" i="66"/>
  <c r="B2116" i="66"/>
  <c r="B2115" i="66"/>
  <c r="B2114" i="66"/>
  <c r="B2113" i="66"/>
  <c r="B2112" i="66"/>
  <c r="B2111" i="66"/>
  <c r="B2110" i="66"/>
  <c r="B2109" i="66"/>
  <c r="B2108" i="66"/>
  <c r="B2107" i="66"/>
  <c r="B2106" i="66"/>
  <c r="B2105" i="66"/>
  <c r="B2104" i="66"/>
  <c r="B2103" i="66"/>
  <c r="B2102" i="66"/>
  <c r="B2101" i="66"/>
  <c r="B2100" i="66"/>
  <c r="B2099" i="66"/>
  <c r="B2098" i="66"/>
  <c r="B2097" i="66"/>
  <c r="B2096" i="66"/>
  <c r="B2095" i="66"/>
  <c r="B2094" i="66"/>
  <c r="B2093" i="66"/>
  <c r="B2092" i="66"/>
  <c r="B2091" i="66"/>
  <c r="B2090" i="66"/>
  <c r="B2089" i="66"/>
  <c r="B2088" i="66"/>
  <c r="B2087" i="66"/>
  <c r="B2086" i="66"/>
  <c r="B2085" i="66"/>
  <c r="B2084" i="66"/>
  <c r="B2083" i="66"/>
  <c r="B2082" i="66"/>
  <c r="B2081" i="66"/>
  <c r="B2080" i="66"/>
  <c r="B2079" i="66"/>
  <c r="B2078" i="66"/>
  <c r="B2077" i="66"/>
  <c r="B2076" i="66"/>
  <c r="B2075" i="66"/>
  <c r="B2074" i="66"/>
  <c r="B2073" i="66"/>
  <c r="B2072" i="66"/>
  <c r="B2071" i="66"/>
  <c r="B2070" i="66"/>
  <c r="B2069" i="66"/>
  <c r="B2068" i="66"/>
  <c r="B2067" i="66"/>
  <c r="B2066" i="66"/>
  <c r="B2065" i="66"/>
  <c r="B2064" i="66"/>
  <c r="B2063" i="66"/>
  <c r="B2062" i="66"/>
  <c r="B2061" i="66"/>
  <c r="B2060" i="66"/>
  <c r="B2059" i="66"/>
  <c r="B2058" i="66"/>
  <c r="B2057" i="66"/>
  <c r="B2056" i="66"/>
  <c r="B2055" i="66"/>
  <c r="B2054" i="66"/>
  <c r="B2053" i="66"/>
  <c r="B2052" i="66"/>
  <c r="B2051" i="66"/>
  <c r="B2050" i="66"/>
  <c r="B2049" i="66"/>
  <c r="B2048" i="66"/>
  <c r="B2047" i="66"/>
  <c r="B2046" i="66"/>
  <c r="B2045" i="66"/>
  <c r="B2044" i="66"/>
  <c r="B2043" i="66"/>
  <c r="B2042" i="66"/>
  <c r="B2041" i="66"/>
  <c r="B2040" i="66"/>
  <c r="B2039" i="66"/>
  <c r="B2038" i="66"/>
  <c r="B2037" i="66"/>
  <c r="B2036" i="66"/>
  <c r="B2035" i="66"/>
  <c r="B2034" i="66"/>
  <c r="B2033" i="66"/>
  <c r="B2032" i="66"/>
  <c r="B2031" i="66"/>
  <c r="B2030" i="66"/>
  <c r="B2029" i="66"/>
  <c r="B2028" i="66"/>
  <c r="B2027" i="66"/>
  <c r="B2026" i="66"/>
  <c r="B2025" i="66"/>
  <c r="B2024" i="66"/>
  <c r="B2023" i="66"/>
  <c r="B2022" i="66"/>
  <c r="B2021" i="66"/>
  <c r="B2020" i="66"/>
  <c r="B2019" i="66"/>
  <c r="B2018" i="66"/>
  <c r="B2017" i="66"/>
  <c r="B2016" i="66"/>
  <c r="B2015" i="66"/>
  <c r="B2014" i="66"/>
  <c r="B2013" i="66"/>
  <c r="B2012" i="66"/>
  <c r="B2011" i="66"/>
  <c r="B2010" i="66"/>
  <c r="B2009" i="66"/>
  <c r="B2008" i="66"/>
  <c r="B2007" i="66"/>
  <c r="B2006" i="66"/>
  <c r="B2005" i="66"/>
  <c r="B2004" i="66"/>
  <c r="B2003" i="66"/>
  <c r="B2002" i="66"/>
  <c r="B2001" i="66"/>
  <c r="B2000" i="66"/>
  <c r="B1999" i="66"/>
  <c r="B1998" i="66"/>
  <c r="B1997" i="66"/>
  <c r="B1996" i="66"/>
  <c r="B1995" i="66"/>
  <c r="B1994" i="66"/>
  <c r="B1993" i="66"/>
  <c r="B1992" i="66"/>
  <c r="B1991" i="66"/>
  <c r="B1990" i="66"/>
  <c r="B1989" i="66"/>
  <c r="B1988" i="66"/>
  <c r="B1987" i="66"/>
  <c r="B1986" i="66"/>
  <c r="B1985" i="66"/>
  <c r="B1984" i="66"/>
  <c r="B1983" i="66"/>
  <c r="B1982" i="66"/>
  <c r="B1981" i="66"/>
  <c r="B1980" i="66"/>
  <c r="B1979" i="66"/>
  <c r="B1978" i="66"/>
  <c r="B1977" i="66"/>
  <c r="B1976" i="66"/>
  <c r="B1975" i="66"/>
  <c r="B1974" i="66"/>
  <c r="B1973" i="66"/>
  <c r="B1972" i="66"/>
  <c r="B1971" i="66"/>
  <c r="B1970" i="66"/>
  <c r="B1969" i="66"/>
  <c r="B1968" i="66"/>
  <c r="B1967" i="66"/>
  <c r="B1966" i="66"/>
  <c r="B1965" i="66"/>
  <c r="B1964" i="66"/>
  <c r="B1963" i="66"/>
  <c r="B1962" i="66"/>
  <c r="B1961" i="66"/>
  <c r="B1960" i="66"/>
  <c r="B1959" i="66"/>
  <c r="B1958" i="66"/>
  <c r="B1957" i="66"/>
  <c r="B1956" i="66"/>
  <c r="B1955" i="66"/>
  <c r="B1954" i="66"/>
  <c r="B1953" i="66"/>
  <c r="B1952" i="66"/>
  <c r="B1951" i="66"/>
  <c r="B1950" i="66"/>
  <c r="B1949" i="66"/>
  <c r="B1948" i="66"/>
  <c r="B1947" i="66"/>
  <c r="B1946" i="66"/>
  <c r="B1945" i="66"/>
  <c r="B1944" i="66"/>
  <c r="B1943" i="66"/>
  <c r="B1942" i="66"/>
  <c r="B1941" i="66"/>
  <c r="B1940" i="66"/>
  <c r="B1939" i="66"/>
  <c r="B1938" i="66"/>
  <c r="B1937" i="66"/>
  <c r="B1936" i="66"/>
  <c r="B1935" i="66"/>
  <c r="B1934" i="66"/>
  <c r="B1933" i="66"/>
  <c r="B1932" i="66"/>
  <c r="B1931" i="66"/>
  <c r="B1930" i="66"/>
  <c r="B1929" i="66"/>
  <c r="B1928" i="66"/>
  <c r="B1927" i="66"/>
  <c r="B1926" i="66"/>
  <c r="B1925" i="66"/>
  <c r="B1924" i="66"/>
  <c r="B1923" i="66"/>
  <c r="B1922" i="66"/>
  <c r="B1921" i="66"/>
  <c r="B1920" i="66"/>
  <c r="B1919" i="66"/>
  <c r="B1918" i="66"/>
  <c r="B1917" i="66"/>
  <c r="B1916" i="66"/>
  <c r="B1915" i="66"/>
  <c r="B1914" i="66"/>
  <c r="B1913" i="66"/>
  <c r="B1912" i="66"/>
  <c r="B1911" i="66"/>
  <c r="B1910" i="66"/>
  <c r="B1909" i="66"/>
  <c r="B1908" i="66"/>
  <c r="B1907" i="66"/>
  <c r="B1906" i="66"/>
  <c r="B1905" i="66"/>
  <c r="B1904" i="66"/>
  <c r="B1903" i="66"/>
  <c r="B1902" i="66"/>
  <c r="B1901" i="66"/>
  <c r="B1900" i="66"/>
  <c r="B1899" i="66"/>
  <c r="B1898" i="66"/>
  <c r="B1897" i="66"/>
  <c r="B1896" i="66"/>
  <c r="B1895" i="66"/>
  <c r="B1894" i="66"/>
  <c r="B1893" i="66"/>
  <c r="B1892" i="66"/>
  <c r="B1891" i="66"/>
  <c r="B1890" i="66"/>
  <c r="B1889" i="66"/>
  <c r="B1888" i="66"/>
  <c r="B1887" i="66"/>
  <c r="B1886" i="66"/>
  <c r="B1885" i="66"/>
  <c r="B1884" i="66"/>
  <c r="B1883" i="66"/>
  <c r="B1882" i="66"/>
  <c r="B1881" i="66"/>
  <c r="B1880" i="66"/>
  <c r="B1879" i="66"/>
  <c r="B1878" i="66"/>
  <c r="B1877" i="66"/>
  <c r="B1876" i="66"/>
  <c r="B1875" i="66"/>
  <c r="B1874" i="66"/>
  <c r="B1873" i="66"/>
  <c r="B1872" i="66"/>
  <c r="B1871" i="66"/>
  <c r="B1870" i="66"/>
  <c r="B1869" i="66"/>
  <c r="B1868" i="66"/>
  <c r="B1867" i="66"/>
  <c r="B1866" i="66"/>
  <c r="B1865" i="66"/>
  <c r="B1864" i="66"/>
  <c r="B1863" i="66"/>
  <c r="B1862" i="66"/>
  <c r="B1861" i="66"/>
  <c r="B1860" i="66"/>
  <c r="B1859" i="66"/>
  <c r="B1858" i="66"/>
  <c r="B1857" i="66"/>
  <c r="B1856" i="66"/>
  <c r="B1855" i="66"/>
  <c r="B1854" i="66"/>
  <c r="B1853" i="66"/>
  <c r="B1852" i="66"/>
  <c r="B1851" i="66"/>
  <c r="B1850" i="66"/>
  <c r="B1849" i="66"/>
  <c r="B1848" i="66"/>
  <c r="B1847" i="66"/>
  <c r="B1846" i="66"/>
  <c r="B1845" i="66"/>
  <c r="B1844" i="66"/>
  <c r="B1843" i="66"/>
  <c r="B1842" i="66"/>
  <c r="B1841" i="66"/>
  <c r="B1840" i="66"/>
  <c r="B1839" i="66"/>
  <c r="B1838" i="66"/>
  <c r="B1837" i="66"/>
  <c r="B1836" i="66"/>
  <c r="B1835" i="66"/>
  <c r="B1834" i="66"/>
  <c r="B1833" i="66"/>
  <c r="B1832" i="66"/>
  <c r="B1831" i="66"/>
  <c r="B1830" i="66"/>
  <c r="B1829" i="66"/>
  <c r="B1828" i="66"/>
  <c r="B1827" i="66"/>
  <c r="B1826" i="66"/>
  <c r="B1825" i="66"/>
  <c r="B1824" i="66"/>
  <c r="B1823" i="66"/>
  <c r="B1822" i="66"/>
  <c r="B1821" i="66"/>
  <c r="B1820" i="66"/>
  <c r="B1819" i="66"/>
  <c r="B1818" i="66"/>
  <c r="B1817" i="66"/>
  <c r="B1816" i="66"/>
  <c r="B1815" i="66"/>
  <c r="B1814" i="66"/>
  <c r="B1813" i="66"/>
  <c r="B1812" i="66"/>
  <c r="B1811" i="66"/>
  <c r="B1810" i="66"/>
  <c r="B1809" i="66"/>
  <c r="B1808" i="66"/>
  <c r="B1807" i="66"/>
  <c r="B1806" i="66"/>
  <c r="B1805" i="66"/>
  <c r="B1804" i="66"/>
  <c r="B1803" i="66"/>
  <c r="B1802" i="66"/>
  <c r="B1801" i="66"/>
  <c r="B1800" i="66"/>
  <c r="B1799" i="66"/>
  <c r="B1798" i="66"/>
  <c r="B1797" i="66"/>
  <c r="B1796" i="66"/>
  <c r="B1795" i="66"/>
  <c r="B1794" i="66"/>
  <c r="B1793" i="66"/>
  <c r="B1792" i="66"/>
  <c r="B1791" i="66"/>
  <c r="B1790" i="66"/>
  <c r="B1789" i="66"/>
  <c r="B1788" i="66"/>
  <c r="B1787" i="66"/>
  <c r="B1786" i="66"/>
  <c r="B1785" i="66"/>
  <c r="B1784" i="66"/>
  <c r="B1783" i="66"/>
  <c r="B1782" i="66"/>
  <c r="B1781" i="66"/>
  <c r="B1780" i="66"/>
  <c r="B1779" i="66"/>
  <c r="B1778" i="66"/>
  <c r="B1777" i="66"/>
  <c r="B1776" i="66"/>
  <c r="B1775" i="66"/>
  <c r="B1774" i="66"/>
  <c r="B1773" i="66"/>
  <c r="B1772" i="66"/>
  <c r="B1771" i="66"/>
  <c r="B1770" i="66"/>
  <c r="B1769" i="66"/>
  <c r="B1768" i="66"/>
  <c r="B1767" i="66"/>
  <c r="B1766" i="66"/>
  <c r="B1765" i="66"/>
  <c r="B1764" i="66"/>
  <c r="B1763" i="66"/>
  <c r="B1762" i="66"/>
  <c r="B1761" i="66"/>
  <c r="B1760" i="66"/>
  <c r="B1759" i="66"/>
  <c r="B1758" i="66"/>
  <c r="B1757" i="66"/>
  <c r="B1756" i="66"/>
  <c r="B1755" i="66"/>
  <c r="B1754" i="66"/>
  <c r="B1753" i="66"/>
  <c r="B1752" i="66"/>
  <c r="B1751" i="66"/>
  <c r="B1750" i="66"/>
  <c r="B1749" i="66"/>
  <c r="B1748" i="66"/>
  <c r="B1747" i="66"/>
  <c r="B1746" i="66"/>
  <c r="B1745" i="66"/>
  <c r="B1744" i="66"/>
  <c r="B1743" i="66"/>
  <c r="B1742" i="66"/>
  <c r="B1741" i="66"/>
  <c r="B1740" i="66"/>
  <c r="B1739" i="66"/>
  <c r="B1738" i="66"/>
  <c r="B1737" i="66"/>
  <c r="B1736" i="66"/>
  <c r="B1735" i="66"/>
  <c r="B1734" i="66"/>
  <c r="B1733" i="66"/>
  <c r="B1732" i="66"/>
  <c r="B1731" i="66"/>
  <c r="B1730" i="66"/>
  <c r="B1729" i="66"/>
  <c r="B1728" i="66"/>
  <c r="B1727" i="66"/>
  <c r="B1726" i="66"/>
  <c r="B1725" i="66"/>
  <c r="B1724" i="66"/>
  <c r="B1723" i="66"/>
  <c r="B1722" i="66"/>
  <c r="B1721" i="66"/>
  <c r="B1720" i="66"/>
  <c r="B1719" i="66"/>
  <c r="B1718" i="66"/>
  <c r="B1717" i="66"/>
  <c r="B1716" i="66"/>
  <c r="B1715" i="66"/>
  <c r="B1714" i="66"/>
  <c r="B1713" i="66"/>
  <c r="B1712" i="66"/>
  <c r="B1711" i="66"/>
  <c r="B1710" i="66"/>
  <c r="B1709" i="66"/>
  <c r="B1708" i="66"/>
  <c r="B1707" i="66"/>
  <c r="B1706" i="66"/>
  <c r="B1705" i="66"/>
  <c r="B1704" i="66"/>
  <c r="B1703" i="66"/>
  <c r="B1702" i="66"/>
  <c r="B1701" i="66"/>
  <c r="B1700" i="66"/>
  <c r="B1699" i="66"/>
  <c r="B1698" i="66"/>
  <c r="B1697" i="66"/>
  <c r="B1696" i="66"/>
  <c r="B1695" i="66"/>
  <c r="B1694" i="66"/>
  <c r="B1693" i="66"/>
  <c r="B1692" i="66"/>
  <c r="B1691" i="66"/>
  <c r="B1690" i="66"/>
  <c r="B1689" i="66"/>
  <c r="B1688" i="66"/>
  <c r="B1687" i="66"/>
  <c r="B1686" i="66"/>
  <c r="B1685" i="66"/>
  <c r="B1684" i="66"/>
  <c r="B1683" i="66"/>
  <c r="B1682" i="66"/>
  <c r="B1681" i="66"/>
  <c r="B1680" i="66"/>
  <c r="B1679" i="66"/>
  <c r="B1678" i="66"/>
  <c r="B1677" i="66"/>
  <c r="B1676" i="66"/>
  <c r="B1675" i="66"/>
  <c r="B1674" i="66"/>
  <c r="B1673" i="66"/>
  <c r="B1672" i="66"/>
  <c r="B1671" i="66"/>
  <c r="B1670" i="66"/>
  <c r="B1669" i="66"/>
  <c r="B1668" i="66"/>
  <c r="B1667" i="66"/>
  <c r="B1666" i="66"/>
  <c r="B1665" i="66"/>
  <c r="B1664" i="66"/>
  <c r="B1663" i="66"/>
  <c r="B1662" i="66"/>
  <c r="B1661" i="66"/>
  <c r="B1660" i="66"/>
  <c r="B1659" i="66"/>
  <c r="B1658" i="66"/>
  <c r="B1657" i="66"/>
  <c r="B1656" i="66"/>
  <c r="B1655" i="66"/>
  <c r="B1654" i="66"/>
  <c r="B1653" i="66"/>
  <c r="B1652" i="66"/>
  <c r="B1651" i="66"/>
  <c r="B1650" i="66"/>
  <c r="B1649" i="66"/>
  <c r="B1648" i="66"/>
  <c r="B1647" i="66"/>
  <c r="B1646" i="66"/>
  <c r="B1645" i="66"/>
  <c r="B1644" i="66"/>
  <c r="B1643" i="66"/>
  <c r="B1642" i="66"/>
  <c r="B1641" i="66"/>
  <c r="B1640" i="66"/>
  <c r="B1639" i="66"/>
  <c r="B1638" i="66"/>
  <c r="B1637" i="66"/>
  <c r="B1636" i="66"/>
  <c r="B1635" i="66"/>
  <c r="B1634" i="66"/>
  <c r="B1633" i="66"/>
  <c r="B1632" i="66"/>
  <c r="B1631" i="66"/>
  <c r="B1630" i="66"/>
  <c r="B1629" i="66"/>
  <c r="B1628" i="66"/>
  <c r="B1627" i="66"/>
  <c r="B1626" i="66"/>
  <c r="B1625" i="66"/>
  <c r="B1624" i="66"/>
  <c r="B1623" i="66"/>
  <c r="B1622" i="66"/>
  <c r="B1621" i="66"/>
  <c r="B1620" i="66"/>
  <c r="B1619" i="66"/>
  <c r="B1618" i="66"/>
  <c r="B1617" i="66"/>
  <c r="B1616" i="66"/>
  <c r="B1615" i="66"/>
  <c r="B1614" i="66"/>
  <c r="B1613" i="66"/>
  <c r="B1612" i="66"/>
  <c r="B1611" i="66"/>
  <c r="B1610" i="66"/>
  <c r="B1609" i="66"/>
  <c r="B1608" i="66"/>
  <c r="B1607" i="66"/>
  <c r="B1606" i="66"/>
  <c r="B1605" i="66"/>
  <c r="B1604" i="66"/>
  <c r="B1603" i="66"/>
  <c r="B1602" i="66"/>
  <c r="B1601" i="66"/>
  <c r="B1600" i="66"/>
  <c r="B1599" i="66"/>
  <c r="B1598" i="66"/>
  <c r="B1597" i="66"/>
  <c r="B1596" i="66"/>
  <c r="B1595" i="66"/>
  <c r="B1594" i="66"/>
  <c r="B1593" i="66"/>
  <c r="B1592" i="66"/>
  <c r="B1591" i="66"/>
  <c r="B1590" i="66"/>
  <c r="B1589" i="66"/>
  <c r="B1588" i="66"/>
  <c r="B1587" i="66"/>
  <c r="B1586" i="66"/>
  <c r="B1585" i="66"/>
  <c r="B1584" i="66"/>
  <c r="B1583" i="66"/>
  <c r="B1582" i="66"/>
  <c r="B1581" i="66"/>
  <c r="B1580" i="66"/>
  <c r="B1579" i="66"/>
  <c r="B1578" i="66"/>
  <c r="B1577" i="66"/>
  <c r="B1576" i="66"/>
  <c r="B1575" i="66"/>
  <c r="B1574" i="66"/>
  <c r="B1573" i="66"/>
  <c r="B1572" i="66"/>
  <c r="B1571" i="66"/>
  <c r="B1570" i="66"/>
  <c r="B1569" i="66"/>
  <c r="B1568" i="66"/>
  <c r="B1567" i="66"/>
  <c r="B1566" i="66"/>
  <c r="B1565" i="66"/>
  <c r="B1564" i="66"/>
  <c r="B1563" i="66"/>
  <c r="B1562" i="66"/>
  <c r="B1561" i="66"/>
  <c r="B1560" i="66"/>
  <c r="B1559" i="66"/>
  <c r="B1558" i="66"/>
  <c r="B1557" i="66"/>
  <c r="B1556" i="66"/>
  <c r="B1555" i="66"/>
  <c r="B1554" i="66"/>
  <c r="B1553" i="66"/>
  <c r="B1552" i="66"/>
  <c r="B1551" i="66"/>
  <c r="B1550" i="66"/>
  <c r="B1549" i="66"/>
  <c r="B1548" i="66"/>
  <c r="B1547" i="66"/>
  <c r="B1546" i="66"/>
  <c r="B1545" i="66"/>
  <c r="B1544" i="66"/>
  <c r="B1543" i="66"/>
  <c r="B1542" i="66"/>
  <c r="B1541" i="66"/>
  <c r="B1540" i="66"/>
  <c r="B1539" i="66"/>
  <c r="B1538" i="66"/>
  <c r="B1537" i="66"/>
  <c r="B1536" i="66"/>
  <c r="B1535" i="66"/>
  <c r="B1534" i="66"/>
  <c r="B1533" i="66"/>
  <c r="B1532" i="66"/>
  <c r="B1531" i="66"/>
  <c r="B1530" i="66"/>
  <c r="B1529" i="66"/>
  <c r="B1528" i="66"/>
  <c r="B1527" i="66"/>
  <c r="B1526" i="66"/>
  <c r="B1525" i="66"/>
  <c r="B1524" i="66"/>
  <c r="B1523" i="66"/>
  <c r="B1522" i="66"/>
  <c r="B1521" i="66"/>
  <c r="B1520" i="66"/>
  <c r="B1519" i="66"/>
  <c r="B1518" i="66"/>
  <c r="B1517" i="66"/>
  <c r="B1516" i="66"/>
  <c r="B1515" i="66"/>
  <c r="B1514" i="66"/>
  <c r="B1513" i="66"/>
  <c r="B1512" i="66"/>
  <c r="B1511" i="66"/>
  <c r="B1510" i="66"/>
  <c r="B1509" i="66"/>
  <c r="B1508" i="66"/>
  <c r="B1507" i="66"/>
  <c r="B1506" i="66"/>
  <c r="B1505" i="66"/>
  <c r="B1504" i="66"/>
  <c r="B1503" i="66"/>
  <c r="B1502" i="66"/>
  <c r="B1501" i="66"/>
  <c r="B1500" i="66"/>
  <c r="B1499" i="66"/>
  <c r="B1498" i="66"/>
  <c r="B1497" i="66"/>
  <c r="B1496" i="66"/>
  <c r="B1495" i="66"/>
  <c r="B1494" i="66"/>
  <c r="B1493" i="66"/>
  <c r="B1492" i="66"/>
  <c r="B1491" i="66"/>
  <c r="B1490" i="66"/>
  <c r="B1489" i="66"/>
  <c r="B1488" i="66"/>
  <c r="B1487" i="66"/>
  <c r="B1486" i="66"/>
  <c r="B1485" i="66"/>
  <c r="B1484" i="66"/>
  <c r="B1483" i="66"/>
  <c r="B1482" i="66"/>
  <c r="B1481" i="66"/>
  <c r="B1480" i="66"/>
  <c r="B1479" i="66"/>
  <c r="B1478" i="66"/>
  <c r="B1477" i="66"/>
  <c r="B1476" i="66"/>
  <c r="B1475" i="66"/>
  <c r="B1474" i="66"/>
  <c r="B1473" i="66"/>
  <c r="B1472" i="66"/>
  <c r="B1471" i="66"/>
  <c r="B1470" i="66"/>
  <c r="B1469" i="66"/>
  <c r="B1468" i="66"/>
  <c r="B1467" i="66"/>
  <c r="B1466" i="66"/>
  <c r="B1465" i="66"/>
  <c r="B1464" i="66"/>
  <c r="B1463" i="66"/>
  <c r="B1462" i="66"/>
  <c r="B1461" i="66"/>
  <c r="B1460" i="66"/>
  <c r="B1459" i="66"/>
  <c r="B1458" i="66"/>
  <c r="B1457" i="66"/>
  <c r="B1456" i="66"/>
  <c r="B1455" i="66"/>
  <c r="B1454" i="66"/>
  <c r="B1453" i="66"/>
  <c r="B1452" i="66"/>
  <c r="B1451" i="66"/>
  <c r="B1450" i="66"/>
  <c r="B1449" i="66"/>
  <c r="B1448" i="66"/>
  <c r="B1447" i="66"/>
  <c r="B1446" i="66"/>
  <c r="B1445" i="66"/>
  <c r="B1444" i="66"/>
  <c r="B1443" i="66"/>
  <c r="B1442" i="66"/>
  <c r="B1441" i="66"/>
  <c r="B1440" i="66"/>
  <c r="B1439" i="66"/>
  <c r="B1438" i="66"/>
  <c r="B1437" i="66"/>
  <c r="B1436" i="66"/>
  <c r="B1435" i="66"/>
  <c r="B1434" i="66"/>
  <c r="B1433" i="66"/>
  <c r="B1432" i="66"/>
  <c r="B1431" i="66"/>
  <c r="B1430" i="66"/>
  <c r="B1429" i="66"/>
  <c r="B1428" i="66"/>
  <c r="B1427" i="66"/>
  <c r="B1426" i="66"/>
  <c r="B1425" i="66"/>
  <c r="B1424" i="66"/>
  <c r="B1423" i="66"/>
  <c r="B1422" i="66"/>
  <c r="B1421" i="66"/>
  <c r="B1420" i="66"/>
  <c r="B1419" i="66"/>
  <c r="B1418" i="66"/>
  <c r="B1417" i="66"/>
  <c r="B1416" i="66"/>
  <c r="B1415" i="66"/>
  <c r="B1414" i="66"/>
  <c r="B1413" i="66"/>
  <c r="B1412" i="66"/>
  <c r="B1411" i="66"/>
  <c r="B1410" i="66"/>
  <c r="B1409" i="66"/>
  <c r="B1408" i="66"/>
  <c r="B1407" i="66"/>
  <c r="B1406" i="66"/>
  <c r="B1405" i="66"/>
  <c r="B1404" i="66"/>
  <c r="B1403" i="66"/>
  <c r="B1402" i="66"/>
  <c r="B1401" i="66"/>
  <c r="B1400" i="66"/>
  <c r="B1399" i="66"/>
  <c r="B1398" i="66"/>
  <c r="B1397" i="66"/>
  <c r="B1396" i="66"/>
  <c r="B1395" i="66"/>
  <c r="B1394" i="66"/>
  <c r="B1393" i="66"/>
  <c r="B1392" i="66"/>
  <c r="B1391" i="66"/>
  <c r="B1390" i="66"/>
  <c r="B1389" i="66"/>
  <c r="B1388" i="66"/>
  <c r="B1387" i="66"/>
  <c r="B1386" i="66"/>
  <c r="B1385" i="66"/>
  <c r="B1384" i="66"/>
  <c r="B1383" i="66"/>
  <c r="B1382" i="66"/>
  <c r="B1381" i="66"/>
  <c r="B1380" i="66"/>
  <c r="B1379" i="66"/>
  <c r="B1378" i="66"/>
  <c r="B1377" i="66"/>
  <c r="B1376" i="66"/>
  <c r="B1375" i="66"/>
  <c r="B1374" i="66"/>
  <c r="B1373" i="66"/>
  <c r="B1372" i="66"/>
  <c r="B1371" i="66"/>
  <c r="B1370" i="66"/>
  <c r="B1369" i="66"/>
  <c r="B1368" i="66"/>
  <c r="B1367" i="66"/>
  <c r="B1366" i="66"/>
  <c r="B1365" i="66"/>
  <c r="B1364" i="66"/>
  <c r="B1363" i="66"/>
  <c r="B1362" i="66"/>
  <c r="B1361" i="66"/>
  <c r="B1360" i="66"/>
  <c r="B1359" i="66"/>
  <c r="B1358" i="66"/>
  <c r="B1357" i="66"/>
  <c r="B1356" i="66"/>
  <c r="B1355" i="66"/>
  <c r="B1354" i="66"/>
  <c r="B1353" i="66"/>
  <c r="B1352" i="66"/>
  <c r="B1351" i="66"/>
  <c r="B1350" i="66"/>
  <c r="B1349" i="66"/>
  <c r="B1348" i="66"/>
  <c r="B1347" i="66"/>
  <c r="B1346" i="66"/>
  <c r="B1345" i="66"/>
  <c r="B1344" i="66"/>
  <c r="B1343" i="66"/>
  <c r="B1342" i="66"/>
  <c r="B1341" i="66"/>
  <c r="B1340" i="66"/>
  <c r="B1339" i="66"/>
  <c r="B1338" i="66"/>
  <c r="B1337" i="66"/>
  <c r="B1336" i="66"/>
  <c r="B1335" i="66"/>
  <c r="B1334" i="66"/>
  <c r="B1333" i="66"/>
  <c r="B1332" i="66"/>
  <c r="B1331" i="66"/>
  <c r="B1330" i="66"/>
  <c r="B1329" i="66"/>
  <c r="B1328" i="66"/>
  <c r="B1327" i="66"/>
  <c r="B1326" i="66"/>
  <c r="B1325" i="66"/>
  <c r="B1324" i="66"/>
  <c r="B1323" i="66"/>
  <c r="B1322" i="66"/>
  <c r="B1321" i="66"/>
  <c r="B1320" i="66"/>
  <c r="B1319" i="66"/>
  <c r="B1318" i="66"/>
  <c r="B1317" i="66"/>
  <c r="B1316" i="66"/>
  <c r="B1315" i="66"/>
  <c r="B1314" i="66"/>
  <c r="B1313" i="66"/>
  <c r="B1312" i="66"/>
  <c r="B1311" i="66"/>
  <c r="B1310" i="66"/>
  <c r="B1309" i="66"/>
  <c r="B1308" i="66"/>
  <c r="B1307" i="66"/>
  <c r="B1306" i="66"/>
  <c r="B1305" i="66"/>
  <c r="B1304" i="66"/>
  <c r="B1303" i="66"/>
  <c r="B1302" i="66"/>
  <c r="B1301" i="66"/>
  <c r="B1300" i="66"/>
  <c r="B1299" i="66"/>
  <c r="B1298" i="66"/>
  <c r="B1297" i="66"/>
  <c r="B1296" i="66"/>
  <c r="B1295" i="66"/>
  <c r="B1294" i="66"/>
  <c r="B1293" i="66"/>
  <c r="B1292" i="66"/>
  <c r="B1291" i="66"/>
  <c r="B1290" i="66"/>
  <c r="B1289" i="66"/>
  <c r="B1288" i="66"/>
  <c r="B1287" i="66"/>
  <c r="B1286" i="66"/>
  <c r="B1285" i="66"/>
  <c r="B1284" i="66"/>
  <c r="B1283" i="66"/>
  <c r="B1282" i="66"/>
  <c r="B1281" i="66"/>
  <c r="B1280" i="66"/>
  <c r="B1279" i="66"/>
  <c r="B1278" i="66"/>
  <c r="B1277" i="66"/>
  <c r="B1276" i="66"/>
  <c r="B1275" i="66"/>
  <c r="B1274" i="66"/>
  <c r="B1273" i="66"/>
  <c r="B1272" i="66"/>
  <c r="B1271" i="66"/>
  <c r="B1270" i="66"/>
  <c r="B1269" i="66"/>
  <c r="B1268" i="66"/>
  <c r="B1267" i="66"/>
  <c r="B1266" i="66"/>
  <c r="B1265" i="66"/>
  <c r="B1264" i="66"/>
  <c r="B1263" i="66"/>
  <c r="B1262" i="66"/>
  <c r="B1261" i="66"/>
  <c r="B1260" i="66"/>
  <c r="B1259" i="66"/>
  <c r="B1258" i="66"/>
  <c r="B1257" i="66"/>
  <c r="B1256" i="66"/>
  <c r="B1255" i="66"/>
  <c r="B1254" i="66"/>
  <c r="B1253" i="66"/>
  <c r="B1252" i="66"/>
  <c r="B1251" i="66"/>
  <c r="B1250" i="66"/>
  <c r="B1249" i="66"/>
  <c r="B1248" i="66"/>
  <c r="B1247" i="66"/>
  <c r="B1246" i="66"/>
  <c r="B1245" i="66"/>
  <c r="B1244" i="66"/>
  <c r="B1243" i="66"/>
  <c r="B1242" i="66"/>
  <c r="B1241" i="66"/>
  <c r="B1240" i="66"/>
  <c r="B1239" i="66"/>
  <c r="B1238" i="66"/>
  <c r="B1237" i="66"/>
  <c r="B1236" i="66"/>
  <c r="B1235" i="66"/>
  <c r="B1234" i="66"/>
  <c r="B1233" i="66"/>
  <c r="B1232" i="66"/>
  <c r="B1231" i="66"/>
  <c r="B1230" i="66"/>
  <c r="B1229" i="66"/>
  <c r="B1228" i="66"/>
  <c r="B1227" i="66"/>
  <c r="B1226" i="66"/>
  <c r="B1225" i="66"/>
  <c r="B1224" i="66"/>
  <c r="B1223" i="66"/>
  <c r="B1222" i="66"/>
  <c r="B1221" i="66"/>
  <c r="B1220" i="66"/>
  <c r="B1219" i="66"/>
  <c r="B1218" i="66"/>
  <c r="B1217" i="66"/>
  <c r="B1216" i="66"/>
  <c r="B1215" i="66"/>
  <c r="B1214" i="66"/>
  <c r="B1213" i="66"/>
  <c r="B1212" i="66"/>
  <c r="B1211" i="66"/>
  <c r="B1210" i="66"/>
  <c r="B1209" i="66"/>
  <c r="B1208" i="66"/>
  <c r="B1207" i="66"/>
  <c r="B1206" i="66"/>
  <c r="B1205" i="66"/>
  <c r="B1204" i="66"/>
  <c r="B1203" i="66"/>
  <c r="B1202" i="66"/>
  <c r="B1201" i="66"/>
  <c r="B1200" i="66"/>
  <c r="B1199" i="66"/>
  <c r="B1198" i="66"/>
  <c r="B1197" i="66"/>
  <c r="B1196" i="66"/>
  <c r="B1195" i="66"/>
  <c r="B1194" i="66"/>
  <c r="B1193" i="66"/>
  <c r="B1192" i="66"/>
  <c r="B1191" i="66"/>
  <c r="B1190" i="66"/>
  <c r="B1189" i="66"/>
  <c r="B1188" i="66"/>
  <c r="B1187" i="66"/>
  <c r="B1186" i="66"/>
  <c r="B1185" i="66"/>
  <c r="B1184" i="66"/>
  <c r="B1183" i="66"/>
  <c r="B1182" i="66"/>
  <c r="B1181" i="66"/>
  <c r="B1180" i="66"/>
  <c r="B1179" i="66"/>
  <c r="B1178" i="66"/>
  <c r="B1177" i="66"/>
  <c r="B1176" i="66"/>
  <c r="B1175" i="66"/>
  <c r="B1174" i="66"/>
  <c r="B1173" i="66"/>
  <c r="B1172" i="66"/>
  <c r="B1171" i="66"/>
  <c r="B1170" i="66"/>
  <c r="B1169" i="66"/>
  <c r="B1168" i="66"/>
  <c r="B1167" i="66"/>
  <c r="B1166" i="66"/>
  <c r="B1165" i="66"/>
  <c r="B1164" i="66"/>
  <c r="B1163" i="66"/>
  <c r="B1162" i="66"/>
  <c r="B1161" i="66"/>
  <c r="B1160" i="66"/>
  <c r="B1159" i="66"/>
  <c r="B1158" i="66"/>
  <c r="B1157" i="66"/>
  <c r="B1156" i="66"/>
  <c r="B1155" i="66"/>
  <c r="B1154" i="66"/>
  <c r="B1153" i="66"/>
  <c r="B1152" i="66"/>
  <c r="B1151" i="66"/>
  <c r="B1150" i="66"/>
  <c r="B1149" i="66"/>
  <c r="B1148" i="66"/>
  <c r="B1147" i="66"/>
  <c r="B1146" i="66"/>
  <c r="B1145" i="66"/>
  <c r="B1144" i="66"/>
  <c r="B1143" i="66"/>
  <c r="B1142" i="66"/>
  <c r="B1141" i="66"/>
  <c r="B1140" i="66"/>
  <c r="B1139" i="66"/>
  <c r="B1138" i="66"/>
  <c r="B1137" i="66"/>
  <c r="B1136" i="66"/>
  <c r="B1135" i="66"/>
  <c r="B1134" i="66"/>
  <c r="B1133" i="66"/>
  <c r="B1132" i="66"/>
  <c r="B1131" i="66"/>
  <c r="B1130" i="66"/>
  <c r="B1129" i="66"/>
  <c r="B1128" i="66"/>
  <c r="B1127" i="66"/>
  <c r="B1126" i="66"/>
  <c r="B1125" i="66"/>
  <c r="B1124" i="66"/>
  <c r="B1123" i="66"/>
  <c r="B1122" i="66"/>
  <c r="B1121" i="66"/>
  <c r="B1120" i="66"/>
  <c r="B1119" i="66"/>
  <c r="B1118" i="66"/>
  <c r="B1117" i="66"/>
  <c r="B1116" i="66"/>
  <c r="B1115" i="66"/>
  <c r="B1114" i="66"/>
  <c r="B1113" i="66"/>
  <c r="B1112" i="66"/>
  <c r="B1111" i="66"/>
  <c r="B1110" i="66"/>
  <c r="B1109" i="66"/>
  <c r="B1108" i="66"/>
  <c r="B1107" i="66"/>
  <c r="B1106" i="66"/>
  <c r="B1105" i="66"/>
  <c r="B1104" i="66"/>
  <c r="B1103" i="66"/>
  <c r="B1102" i="66"/>
  <c r="B1101" i="66"/>
  <c r="B1100" i="66"/>
  <c r="B1099" i="66"/>
  <c r="B1098" i="66"/>
  <c r="B1097" i="66"/>
  <c r="B1096" i="66"/>
  <c r="B1095" i="66"/>
  <c r="B1094" i="66"/>
  <c r="B1093" i="66"/>
  <c r="B1092" i="66"/>
  <c r="B1091" i="66"/>
  <c r="B1090" i="66"/>
  <c r="B1089" i="66"/>
  <c r="B1088" i="66"/>
  <c r="B1087" i="66"/>
  <c r="B1086" i="66"/>
  <c r="B1085" i="66"/>
  <c r="B1084" i="66"/>
  <c r="B1083" i="66"/>
  <c r="B1082" i="66"/>
  <c r="B1081" i="66"/>
  <c r="B1080" i="66"/>
  <c r="B1079" i="66"/>
  <c r="B1078" i="66"/>
  <c r="B1077" i="66"/>
  <c r="B1076" i="66"/>
  <c r="B1075" i="66"/>
  <c r="B1074" i="66"/>
  <c r="B1073" i="66"/>
  <c r="B1072" i="66"/>
  <c r="B1071" i="66"/>
  <c r="B1070" i="66"/>
  <c r="B1069" i="66"/>
  <c r="B1068" i="66"/>
  <c r="B1067" i="66"/>
  <c r="B1066" i="66"/>
  <c r="B1065" i="66"/>
  <c r="B1064" i="66"/>
  <c r="B1063" i="66"/>
  <c r="B1062" i="66"/>
  <c r="B1061" i="66"/>
  <c r="B1060" i="66"/>
  <c r="B1059" i="66"/>
  <c r="B1058" i="66"/>
  <c r="B1057" i="66"/>
  <c r="B1056" i="66"/>
  <c r="B1055" i="66"/>
  <c r="B1054" i="66"/>
  <c r="B1053" i="66"/>
  <c r="B1052" i="66"/>
  <c r="B1051" i="66"/>
  <c r="B1050" i="66"/>
  <c r="B1049" i="66"/>
  <c r="B1048" i="66"/>
  <c r="B1047" i="66"/>
  <c r="B1046" i="66"/>
  <c r="B1045" i="66"/>
  <c r="B1044" i="66"/>
  <c r="B1043" i="66"/>
  <c r="B1042" i="66"/>
  <c r="B1041" i="66"/>
  <c r="B1040" i="66"/>
  <c r="B1039" i="66"/>
  <c r="B1038" i="66"/>
  <c r="B1037" i="66"/>
  <c r="B1036" i="66"/>
  <c r="B1035" i="66"/>
  <c r="B1034" i="66"/>
  <c r="B1033" i="66"/>
  <c r="B1032" i="66"/>
  <c r="B1031" i="66"/>
  <c r="B1030" i="66"/>
  <c r="B1029" i="66"/>
  <c r="B1028" i="66"/>
  <c r="B1027" i="66"/>
  <c r="B1026" i="66"/>
  <c r="B1025" i="66"/>
  <c r="B1024" i="66"/>
  <c r="B1023" i="66"/>
  <c r="B1022" i="66"/>
  <c r="B1021" i="66"/>
  <c r="B1020" i="66"/>
  <c r="B1019" i="66"/>
  <c r="B1018" i="66"/>
  <c r="B1017" i="66"/>
  <c r="B1016" i="66"/>
  <c r="B1015" i="66"/>
  <c r="B1014" i="66"/>
  <c r="B1013" i="66"/>
  <c r="B1012" i="66"/>
  <c r="B1011" i="66"/>
  <c r="B1010" i="66"/>
  <c r="B1009" i="66"/>
  <c r="B1008" i="66"/>
  <c r="B1007" i="66"/>
  <c r="B1006" i="66"/>
  <c r="B1005" i="66"/>
  <c r="B1004" i="66"/>
  <c r="B1003" i="66"/>
  <c r="B1002" i="66"/>
  <c r="B1001" i="66"/>
  <c r="B1000" i="66"/>
  <c r="B999" i="66"/>
  <c r="B998" i="66"/>
  <c r="B997" i="66"/>
  <c r="B996" i="66"/>
  <c r="B995" i="66"/>
  <c r="B994" i="66"/>
  <c r="B993" i="66"/>
  <c r="B992" i="66"/>
  <c r="B991" i="66"/>
  <c r="B990" i="66"/>
  <c r="B989" i="66"/>
  <c r="B988" i="66"/>
  <c r="B987" i="66"/>
  <c r="B986" i="66"/>
  <c r="B985" i="66"/>
  <c r="B984" i="66"/>
  <c r="B983" i="66"/>
  <c r="B982" i="66"/>
  <c r="B981" i="66"/>
  <c r="B980" i="66"/>
  <c r="B979" i="66"/>
  <c r="B978" i="66"/>
  <c r="B977" i="66"/>
  <c r="B976" i="66"/>
  <c r="B975" i="66"/>
  <c r="B974" i="66"/>
  <c r="B973" i="66"/>
  <c r="B972" i="66"/>
  <c r="B971" i="66"/>
  <c r="B970" i="66"/>
  <c r="B969" i="66"/>
  <c r="B968" i="66"/>
  <c r="B967" i="66"/>
  <c r="B966" i="66"/>
  <c r="B965" i="66"/>
  <c r="B964" i="66"/>
  <c r="B963" i="66"/>
  <c r="B962" i="66"/>
  <c r="B961" i="66"/>
  <c r="B960" i="66"/>
  <c r="B959" i="66"/>
  <c r="B958" i="66"/>
  <c r="B957" i="66"/>
  <c r="B956" i="66"/>
  <c r="B955" i="66"/>
  <c r="B954" i="66"/>
  <c r="B953" i="66"/>
  <c r="B952" i="66"/>
  <c r="B951" i="66"/>
  <c r="B950" i="66"/>
  <c r="B949" i="66"/>
  <c r="B948" i="66"/>
  <c r="B947" i="66"/>
  <c r="B946" i="66"/>
  <c r="B945" i="66"/>
  <c r="B944" i="66"/>
  <c r="B943" i="66"/>
  <c r="B942" i="66"/>
  <c r="B941" i="66"/>
  <c r="B940" i="66"/>
  <c r="B939" i="66"/>
  <c r="B938" i="66"/>
  <c r="B937" i="66"/>
  <c r="B936" i="66"/>
  <c r="B935" i="66"/>
  <c r="B934" i="66"/>
  <c r="B933" i="66"/>
  <c r="B932" i="66"/>
  <c r="B931" i="66"/>
  <c r="B930" i="66"/>
  <c r="B929" i="66"/>
  <c r="B928" i="66"/>
  <c r="B927" i="66"/>
  <c r="B926" i="66"/>
  <c r="B925" i="66"/>
  <c r="B924" i="66"/>
  <c r="B923" i="66"/>
  <c r="B922" i="66"/>
  <c r="B921" i="66"/>
  <c r="B920" i="66"/>
  <c r="B919" i="66"/>
  <c r="B918" i="66"/>
  <c r="B917" i="66"/>
  <c r="B916" i="66"/>
  <c r="B915" i="66"/>
  <c r="B914" i="66"/>
  <c r="B913" i="66"/>
  <c r="B912" i="66"/>
  <c r="B911" i="66"/>
  <c r="B910" i="66"/>
  <c r="B909" i="66"/>
  <c r="B908" i="66"/>
  <c r="B907" i="66"/>
  <c r="B906" i="66"/>
  <c r="B905" i="66"/>
  <c r="B904" i="66"/>
  <c r="B903" i="66"/>
  <c r="B902" i="66"/>
  <c r="B901" i="66"/>
  <c r="B900" i="66"/>
  <c r="B899" i="66"/>
  <c r="B898" i="66"/>
  <c r="B897" i="66"/>
  <c r="B896" i="66"/>
  <c r="B895" i="66"/>
  <c r="B894" i="66"/>
  <c r="B893" i="66"/>
  <c r="B892" i="66"/>
  <c r="B891" i="66"/>
  <c r="B890" i="66"/>
  <c r="B889" i="66"/>
  <c r="B888" i="66"/>
  <c r="B887" i="66"/>
  <c r="B886" i="66"/>
  <c r="B885" i="66"/>
  <c r="B884" i="66"/>
  <c r="B883" i="66"/>
  <c r="B882" i="66"/>
  <c r="B881" i="66"/>
  <c r="B880" i="66"/>
  <c r="B879" i="66"/>
  <c r="B878" i="66"/>
  <c r="B877" i="66"/>
  <c r="B876" i="66"/>
  <c r="B875" i="66"/>
  <c r="B874" i="66"/>
  <c r="B873" i="66"/>
  <c r="B872" i="66"/>
  <c r="B871" i="66"/>
  <c r="B870" i="66"/>
  <c r="B869" i="66"/>
  <c r="B868" i="66"/>
  <c r="B867" i="66"/>
  <c r="B866" i="66"/>
  <c r="B865" i="66"/>
  <c r="B864" i="66"/>
  <c r="B863" i="66"/>
  <c r="B862" i="66"/>
  <c r="B861" i="66"/>
  <c r="B860" i="66"/>
  <c r="B859" i="66"/>
  <c r="B858" i="66"/>
  <c r="B857" i="66"/>
  <c r="B856" i="66"/>
  <c r="B855" i="66"/>
  <c r="B854" i="66"/>
  <c r="B853" i="66"/>
  <c r="B852" i="66"/>
  <c r="B851" i="66"/>
  <c r="B850" i="66"/>
  <c r="B849" i="66"/>
  <c r="B848" i="66"/>
  <c r="B847" i="66"/>
  <c r="B846" i="66"/>
  <c r="B845" i="66"/>
  <c r="B844" i="66"/>
  <c r="B843" i="66"/>
  <c r="B842" i="66"/>
  <c r="B841" i="66"/>
  <c r="B840" i="66"/>
  <c r="B839" i="66"/>
  <c r="B838" i="66"/>
  <c r="B837" i="66"/>
  <c r="B836" i="66"/>
  <c r="B835" i="66"/>
  <c r="B834" i="66"/>
  <c r="B833" i="66"/>
  <c r="B832" i="66"/>
  <c r="B831" i="66"/>
  <c r="B830" i="66"/>
  <c r="B829" i="66"/>
  <c r="B828" i="66"/>
  <c r="B827" i="66"/>
  <c r="B826" i="66"/>
  <c r="B825" i="66"/>
  <c r="B824" i="66"/>
  <c r="B823" i="66"/>
  <c r="B822" i="66"/>
  <c r="B821" i="66"/>
  <c r="B820" i="66"/>
  <c r="B819" i="66"/>
  <c r="B818" i="66"/>
  <c r="B817" i="66"/>
  <c r="B816" i="66"/>
  <c r="B815" i="66"/>
  <c r="B814" i="66"/>
  <c r="B813" i="66"/>
  <c r="B812" i="66"/>
  <c r="B811" i="66"/>
  <c r="B810" i="66"/>
  <c r="B809" i="66"/>
  <c r="B808" i="66"/>
  <c r="B807" i="66"/>
  <c r="B806" i="66"/>
  <c r="B805" i="66"/>
  <c r="B804" i="66"/>
  <c r="B803" i="66"/>
  <c r="B802" i="66"/>
  <c r="B801" i="66"/>
  <c r="B800" i="66"/>
  <c r="B799" i="66"/>
  <c r="B798" i="66"/>
  <c r="B797" i="66"/>
  <c r="B796" i="66"/>
  <c r="B795" i="66"/>
  <c r="B794" i="66"/>
  <c r="B793" i="66"/>
  <c r="B792" i="66"/>
  <c r="B791" i="66"/>
  <c r="B790" i="66"/>
  <c r="B789" i="66"/>
  <c r="B788" i="66"/>
  <c r="B787" i="66"/>
  <c r="B786" i="66"/>
  <c r="B785" i="66"/>
  <c r="B784" i="66"/>
  <c r="B783" i="66"/>
  <c r="B782" i="66"/>
  <c r="B781" i="66"/>
  <c r="B780" i="66"/>
  <c r="B779" i="66"/>
  <c r="B778" i="66"/>
  <c r="B777" i="66"/>
  <c r="B776" i="66"/>
  <c r="B775" i="66"/>
  <c r="B774" i="66"/>
  <c r="B773" i="66"/>
  <c r="B772" i="66"/>
  <c r="B771" i="66"/>
  <c r="B770" i="66"/>
  <c r="B769" i="66"/>
  <c r="B768" i="66"/>
  <c r="B767" i="66"/>
  <c r="B766" i="66"/>
  <c r="B765" i="66"/>
  <c r="B764" i="66"/>
  <c r="B763" i="66"/>
  <c r="B762" i="66"/>
  <c r="B761" i="66"/>
  <c r="B760" i="66"/>
  <c r="B759" i="66"/>
  <c r="B758" i="66"/>
  <c r="B757" i="66"/>
  <c r="B756" i="66"/>
  <c r="B755" i="66"/>
  <c r="B754" i="66"/>
  <c r="B753" i="66"/>
  <c r="B752" i="66"/>
  <c r="B751" i="66"/>
  <c r="B750" i="66"/>
  <c r="B749" i="66"/>
  <c r="B748" i="66"/>
  <c r="B747" i="66"/>
  <c r="B746" i="66"/>
  <c r="B745" i="66"/>
  <c r="B744" i="66"/>
  <c r="B743" i="66"/>
  <c r="B742" i="66"/>
  <c r="B741" i="66"/>
  <c r="B740" i="66"/>
  <c r="B739" i="66"/>
  <c r="B738" i="66"/>
  <c r="B737" i="66"/>
  <c r="B736" i="66"/>
  <c r="B735" i="66"/>
  <c r="B734" i="66"/>
  <c r="B733" i="66"/>
  <c r="B732" i="66"/>
  <c r="B731" i="66"/>
  <c r="B730" i="66"/>
  <c r="B729" i="66"/>
  <c r="B728" i="66"/>
  <c r="B727" i="66"/>
  <c r="B726" i="66"/>
  <c r="B725" i="66"/>
  <c r="B724" i="66"/>
  <c r="B723" i="66"/>
  <c r="B722" i="66"/>
  <c r="B721" i="66"/>
  <c r="B720" i="66"/>
  <c r="B719" i="66"/>
  <c r="B718" i="66"/>
  <c r="B717" i="66"/>
  <c r="B716" i="66"/>
  <c r="B715" i="66"/>
  <c r="B714" i="66"/>
  <c r="B713" i="66"/>
  <c r="B712" i="66"/>
  <c r="B711" i="66"/>
  <c r="B710" i="66"/>
  <c r="B709" i="66"/>
  <c r="B708" i="66"/>
  <c r="B707" i="66"/>
  <c r="B706" i="66"/>
  <c r="B705" i="66"/>
  <c r="B704" i="66"/>
  <c r="B703" i="66"/>
  <c r="B702" i="66"/>
  <c r="B701" i="66"/>
  <c r="B700" i="66"/>
  <c r="B699" i="66"/>
  <c r="B698" i="66"/>
  <c r="B697" i="66"/>
  <c r="B696" i="66"/>
  <c r="B695" i="66"/>
  <c r="B694" i="66"/>
  <c r="B693" i="66"/>
  <c r="B692" i="66"/>
  <c r="B691" i="66"/>
  <c r="B690" i="66"/>
  <c r="B689" i="66"/>
  <c r="B688" i="66"/>
  <c r="B687" i="66"/>
  <c r="B686" i="66"/>
  <c r="B685" i="66"/>
  <c r="B684" i="66"/>
  <c r="B683" i="66"/>
  <c r="B682" i="66"/>
  <c r="B681" i="66"/>
  <c r="B680" i="66"/>
  <c r="B679" i="66"/>
  <c r="B678" i="66"/>
  <c r="B677" i="66"/>
  <c r="B676" i="66"/>
  <c r="B675" i="66"/>
  <c r="B674" i="66"/>
  <c r="B673" i="66"/>
  <c r="B672" i="66"/>
  <c r="B671" i="66"/>
  <c r="B670" i="66"/>
  <c r="B669" i="66"/>
  <c r="B668" i="66"/>
  <c r="B667" i="66"/>
  <c r="B666" i="66"/>
  <c r="B665" i="66"/>
  <c r="B664" i="66"/>
  <c r="B663" i="66"/>
  <c r="B662" i="66"/>
  <c r="B661" i="66"/>
  <c r="B660" i="66"/>
  <c r="B659" i="66"/>
  <c r="B658" i="66"/>
  <c r="B657" i="66"/>
  <c r="B656" i="66"/>
  <c r="B655" i="66"/>
  <c r="B654" i="66"/>
  <c r="B653" i="66"/>
  <c r="B652" i="66"/>
  <c r="B651" i="66"/>
  <c r="B650" i="66"/>
  <c r="B649" i="66"/>
  <c r="B648" i="66"/>
  <c r="B647" i="66"/>
  <c r="B646" i="66"/>
  <c r="B645" i="66"/>
  <c r="B644" i="66"/>
  <c r="B643" i="66"/>
  <c r="B642" i="66"/>
  <c r="B641" i="66"/>
  <c r="B640" i="66"/>
  <c r="B639" i="66"/>
  <c r="B638" i="66"/>
  <c r="B637" i="66"/>
  <c r="B636" i="66"/>
  <c r="B635" i="66"/>
  <c r="B634" i="66"/>
  <c r="B633" i="66"/>
  <c r="B632" i="66"/>
  <c r="B631" i="66"/>
  <c r="B630" i="66"/>
  <c r="B629" i="66"/>
  <c r="B628" i="66"/>
  <c r="B627" i="66"/>
  <c r="B626" i="66"/>
  <c r="B625" i="66"/>
  <c r="B624" i="66"/>
  <c r="B623" i="66"/>
  <c r="B622" i="66"/>
  <c r="B621" i="66"/>
  <c r="B620" i="66"/>
  <c r="B619" i="66"/>
  <c r="B618" i="66"/>
  <c r="B617" i="66"/>
  <c r="B616" i="66"/>
  <c r="B615" i="66"/>
  <c r="B614" i="66"/>
  <c r="B613" i="66"/>
  <c r="B612" i="66"/>
  <c r="B611" i="66"/>
  <c r="B610" i="66"/>
  <c r="B609" i="66"/>
  <c r="B608" i="66"/>
  <c r="B607" i="66"/>
  <c r="B606" i="66"/>
  <c r="B605" i="66"/>
  <c r="B604" i="66"/>
  <c r="B603" i="66"/>
  <c r="B602" i="66"/>
  <c r="B601" i="66"/>
  <c r="B600" i="66"/>
  <c r="B599" i="66"/>
  <c r="B598" i="66"/>
  <c r="B597" i="66"/>
  <c r="B596" i="66"/>
  <c r="B595" i="66"/>
  <c r="B594" i="66"/>
  <c r="B593" i="66"/>
  <c r="B592" i="66"/>
  <c r="B591" i="66"/>
  <c r="B590" i="66"/>
  <c r="B589" i="66"/>
  <c r="B588" i="66"/>
  <c r="B587" i="66"/>
  <c r="B586" i="66"/>
  <c r="B585" i="66"/>
  <c r="B584" i="66"/>
  <c r="B583" i="66"/>
  <c r="B578" i="66"/>
  <c r="B577" i="66"/>
  <c r="B576" i="66"/>
  <c r="B575" i="66"/>
  <c r="B574" i="66"/>
  <c r="B573" i="66"/>
  <c r="B572" i="66"/>
  <c r="B571" i="66"/>
  <c r="B570" i="66"/>
  <c r="B569" i="66"/>
  <c r="B568" i="66"/>
  <c r="B567" i="66"/>
  <c r="B566" i="66"/>
  <c r="B565" i="66"/>
  <c r="B564" i="66"/>
  <c r="B563" i="66"/>
  <c r="B562" i="66"/>
  <c r="B561" i="66"/>
  <c r="B560" i="66"/>
  <c r="B559" i="66"/>
  <c r="B558" i="66"/>
  <c r="B557" i="66"/>
  <c r="B556" i="66"/>
  <c r="B555" i="66"/>
  <c r="B554" i="66"/>
  <c r="B553" i="66"/>
  <c r="B552" i="66"/>
  <c r="B551" i="66"/>
  <c r="B550" i="66"/>
  <c r="B549" i="66"/>
  <c r="B548" i="66"/>
  <c r="B547" i="66"/>
  <c r="B546" i="66"/>
  <c r="B545" i="66"/>
  <c r="B544" i="66"/>
  <c r="B543" i="66"/>
  <c r="B542" i="66"/>
  <c r="B541" i="66"/>
  <c r="B540" i="66"/>
  <c r="B539" i="66"/>
  <c r="B538" i="66"/>
  <c r="B537" i="66"/>
  <c r="B536" i="66"/>
  <c r="B535" i="66"/>
  <c r="B534" i="66"/>
  <c r="B533" i="66"/>
  <c r="B532" i="66"/>
  <c r="B531" i="66"/>
  <c r="B530" i="66"/>
  <c r="B529" i="66"/>
  <c r="B528" i="66"/>
  <c r="B527" i="66"/>
  <c r="B526" i="66"/>
  <c r="B525" i="66"/>
  <c r="B524" i="66"/>
  <c r="B523" i="66"/>
  <c r="B522" i="66"/>
  <c r="B521" i="66"/>
  <c r="B520" i="66"/>
  <c r="B519" i="66"/>
  <c r="B518" i="66"/>
  <c r="B517" i="66"/>
  <c r="B516" i="66"/>
  <c r="B515" i="66"/>
  <c r="B514" i="66"/>
  <c r="B513" i="66"/>
  <c r="B512" i="66"/>
  <c r="B511" i="66"/>
  <c r="B510" i="66"/>
  <c r="B509" i="66"/>
  <c r="B508" i="66"/>
  <c r="B507" i="66"/>
  <c r="B506" i="66"/>
  <c r="B505" i="66"/>
  <c r="B504" i="66"/>
  <c r="B503" i="66"/>
  <c r="B502" i="66"/>
  <c r="B501" i="66"/>
  <c r="B500" i="66"/>
  <c r="B499" i="66"/>
  <c r="B498" i="66"/>
  <c r="B497" i="66"/>
  <c r="B496" i="66"/>
  <c r="B495" i="66"/>
  <c r="B494" i="66"/>
  <c r="B493" i="66"/>
  <c r="B492" i="66"/>
  <c r="B491" i="66"/>
  <c r="B490" i="66"/>
  <c r="B489" i="66"/>
  <c r="B488" i="66"/>
  <c r="B487" i="66"/>
  <c r="B486" i="66"/>
  <c r="B485" i="66"/>
  <c r="B484" i="66"/>
  <c r="B483" i="66"/>
  <c r="B482" i="66"/>
  <c r="B481" i="66"/>
  <c r="B480" i="66"/>
  <c r="B479" i="66"/>
  <c r="B478" i="66"/>
  <c r="B477" i="66"/>
  <c r="B476" i="66"/>
  <c r="B475" i="66"/>
  <c r="B474" i="66"/>
  <c r="B473" i="66"/>
  <c r="B472" i="66"/>
  <c r="B471" i="66"/>
  <c r="B470" i="66"/>
  <c r="B469" i="66"/>
  <c r="B468" i="66"/>
  <c r="B467" i="66"/>
  <c r="B466" i="66"/>
  <c r="B465" i="66"/>
  <c r="B464" i="66"/>
  <c r="B463" i="66"/>
  <c r="B462" i="66"/>
  <c r="B461" i="66"/>
  <c r="B460" i="66"/>
  <c r="B459" i="66"/>
  <c r="B458" i="66"/>
  <c r="B457" i="66"/>
  <c r="B456" i="66"/>
  <c r="B455" i="66"/>
  <c r="B454" i="66"/>
  <c r="B453" i="66"/>
  <c r="B452" i="66"/>
  <c r="B451" i="66"/>
  <c r="B450" i="66"/>
  <c r="B449" i="66"/>
  <c r="B448" i="66"/>
  <c r="B447" i="66"/>
  <c r="B446" i="66"/>
  <c r="B445" i="66"/>
  <c r="B444" i="66"/>
  <c r="B443" i="66"/>
  <c r="B442" i="66"/>
  <c r="B441" i="66"/>
  <c r="B440" i="66"/>
  <c r="B439" i="66"/>
  <c r="B438" i="66"/>
  <c r="B437" i="66"/>
  <c r="B436" i="66"/>
  <c r="B435" i="66"/>
  <c r="B434" i="66"/>
  <c r="B433" i="66"/>
  <c r="B432" i="66"/>
  <c r="B431" i="66"/>
  <c r="B430" i="66"/>
  <c r="B429" i="66"/>
  <c r="B428" i="66"/>
  <c r="B427" i="66"/>
  <c r="B426" i="66"/>
  <c r="B425" i="66"/>
  <c r="B424" i="66"/>
  <c r="B423" i="66"/>
  <c r="B422" i="66"/>
  <c r="B421" i="66"/>
  <c r="B420" i="66"/>
  <c r="B419" i="66"/>
  <c r="B418" i="66"/>
  <c r="B417" i="66"/>
  <c r="B416" i="66"/>
  <c r="B415" i="66"/>
  <c r="B414" i="66"/>
  <c r="B413" i="66"/>
  <c r="B412" i="66"/>
  <c r="B411" i="66"/>
  <c r="B410" i="66"/>
  <c r="B409" i="66"/>
  <c r="B408" i="66"/>
  <c r="B407" i="66"/>
  <c r="B406" i="66"/>
  <c r="B405" i="66"/>
  <c r="B404" i="66"/>
  <c r="B403" i="66"/>
  <c r="B402" i="66"/>
  <c r="B401" i="66"/>
  <c r="B400" i="66"/>
  <c r="B399" i="66"/>
  <c r="B398" i="66"/>
  <c r="B397" i="66"/>
  <c r="B396" i="66"/>
  <c r="B395" i="66"/>
  <c r="B394" i="66"/>
  <c r="B393" i="66"/>
  <c r="B392" i="66"/>
  <c r="B391" i="66"/>
  <c r="B390" i="66"/>
  <c r="B389" i="66"/>
  <c r="B388" i="66"/>
  <c r="B387" i="66"/>
  <c r="B386" i="66"/>
  <c r="B385" i="66"/>
  <c r="B384" i="66"/>
  <c r="B383" i="66"/>
  <c r="B382" i="66"/>
  <c r="B381" i="66"/>
  <c r="B380" i="66"/>
  <c r="B379" i="66"/>
  <c r="B378" i="66"/>
  <c r="B377" i="66"/>
  <c r="B376" i="66"/>
  <c r="B375" i="66"/>
  <c r="B374" i="66"/>
  <c r="B373" i="66"/>
  <c r="B372" i="66"/>
  <c r="B371" i="66"/>
  <c r="B370" i="66"/>
  <c r="B369" i="66"/>
  <c r="B368" i="66"/>
  <c r="B367" i="66"/>
  <c r="B366" i="66"/>
  <c r="B365" i="66"/>
  <c r="B364" i="66"/>
  <c r="B363" i="66"/>
  <c r="B362" i="66"/>
  <c r="B361" i="66"/>
  <c r="B360" i="66"/>
  <c r="B359" i="66"/>
  <c r="B358" i="66"/>
  <c r="B357" i="66"/>
  <c r="B356" i="66"/>
  <c r="B355" i="66"/>
  <c r="B354" i="66"/>
  <c r="B353" i="66"/>
  <c r="B352" i="66"/>
  <c r="B351" i="66"/>
  <c r="B350" i="66"/>
  <c r="B349" i="66"/>
  <c r="B348" i="66"/>
  <c r="B347" i="66"/>
  <c r="B346" i="66"/>
  <c r="B345" i="66"/>
  <c r="B344" i="66"/>
  <c r="B343" i="66"/>
  <c r="B342" i="66"/>
  <c r="B341" i="66"/>
  <c r="B340" i="66"/>
  <c r="B339" i="66"/>
  <c r="B338" i="66"/>
  <c r="B337" i="66"/>
  <c r="B336" i="66"/>
  <c r="B335" i="66"/>
  <c r="B334" i="66"/>
  <c r="B333" i="66"/>
  <c r="B332" i="66"/>
  <c r="B331" i="66"/>
  <c r="B330" i="66"/>
  <c r="B329" i="66"/>
  <c r="B328" i="66"/>
  <c r="B327" i="66"/>
  <c r="B326" i="66"/>
  <c r="B325" i="66"/>
  <c r="B324" i="66"/>
  <c r="B323" i="66"/>
  <c r="B322" i="66"/>
  <c r="B321" i="66"/>
  <c r="B320" i="66"/>
  <c r="B319" i="66"/>
  <c r="B318" i="66"/>
  <c r="B317" i="66"/>
  <c r="B316" i="66"/>
  <c r="B315" i="66"/>
  <c r="B314" i="66"/>
  <c r="B313" i="66"/>
  <c r="B312" i="66"/>
  <c r="B311" i="66"/>
  <c r="B310" i="66"/>
  <c r="B309" i="66"/>
  <c r="B308" i="66"/>
  <c r="B307" i="66"/>
  <c r="B306" i="66"/>
  <c r="B305" i="66"/>
  <c r="B304" i="66"/>
  <c r="B303" i="66"/>
  <c r="B302" i="66"/>
  <c r="B301" i="66"/>
  <c r="B300" i="66"/>
  <c r="B299" i="66"/>
  <c r="B298" i="66"/>
  <c r="B297" i="66"/>
  <c r="B296" i="66"/>
  <c r="B295" i="66"/>
  <c r="B294" i="66"/>
  <c r="B293" i="66"/>
  <c r="B292" i="66"/>
  <c r="B291" i="66"/>
  <c r="B290" i="66"/>
  <c r="B289" i="66"/>
  <c r="B288" i="66"/>
  <c r="B287" i="66"/>
  <c r="B286" i="66"/>
  <c r="B285" i="66"/>
  <c r="B284" i="66"/>
  <c r="B283" i="66"/>
  <c r="B282" i="66"/>
  <c r="B281" i="66"/>
  <c r="B280" i="66"/>
  <c r="B279" i="66"/>
  <c r="B278" i="66"/>
  <c r="B277" i="66"/>
  <c r="B276" i="66"/>
  <c r="B275" i="66"/>
  <c r="B274" i="66"/>
  <c r="B273" i="66"/>
  <c r="B272" i="66"/>
  <c r="B271" i="66"/>
  <c r="B270" i="66"/>
  <c r="B269" i="66"/>
  <c r="B268" i="66"/>
  <c r="B267" i="66"/>
  <c r="B266" i="66"/>
  <c r="B265" i="66"/>
  <c r="B264" i="66"/>
  <c r="B263" i="66"/>
  <c r="B262" i="66"/>
  <c r="B261" i="66"/>
  <c r="B260" i="66"/>
  <c r="B259" i="66"/>
  <c r="B258" i="66"/>
  <c r="B257" i="66"/>
  <c r="B256" i="66"/>
  <c r="B255" i="66"/>
  <c r="B254" i="66"/>
  <c r="B253" i="66"/>
  <c r="B252" i="66"/>
  <c r="B251" i="66"/>
  <c r="B250" i="66"/>
  <c r="B249" i="66"/>
  <c r="B248" i="66"/>
  <c r="B247" i="66"/>
  <c r="B246" i="66"/>
  <c r="B245" i="66"/>
  <c r="B244" i="66"/>
  <c r="B243" i="66"/>
  <c r="B242" i="66"/>
  <c r="B241" i="66"/>
  <c r="B240" i="66"/>
  <c r="B239" i="66"/>
  <c r="B238" i="66"/>
  <c r="B237" i="66"/>
  <c r="B236" i="66"/>
  <c r="B235" i="66"/>
  <c r="B234" i="66"/>
  <c r="B233" i="66"/>
  <c r="B232" i="66"/>
  <c r="B231" i="66"/>
  <c r="B230" i="66"/>
  <c r="B229" i="66"/>
  <c r="B228" i="66"/>
  <c r="B227" i="66"/>
  <c r="B226" i="66"/>
  <c r="B225" i="66"/>
  <c r="B224" i="66"/>
  <c r="B223" i="66"/>
  <c r="B222" i="66"/>
  <c r="B221" i="66"/>
  <c r="B220" i="66"/>
  <c r="B219" i="66"/>
  <c r="B218" i="66"/>
  <c r="B217" i="66"/>
  <c r="B216" i="66"/>
  <c r="B215" i="66"/>
  <c r="B214" i="66"/>
  <c r="B213" i="66"/>
  <c r="B212" i="66"/>
  <c r="B211" i="66"/>
  <c r="B210" i="66"/>
  <c r="B209" i="66"/>
  <c r="B208" i="66"/>
  <c r="B207" i="66"/>
  <c r="B206" i="66"/>
  <c r="B205" i="66"/>
  <c r="B204" i="66"/>
  <c r="B203" i="66"/>
  <c r="B202" i="66"/>
  <c r="B201" i="66"/>
  <c r="B200" i="66"/>
  <c r="B199" i="66"/>
  <c r="B198" i="66"/>
  <c r="B197" i="66"/>
  <c r="B196" i="66"/>
  <c r="B195" i="66"/>
  <c r="B194" i="66"/>
  <c r="B193" i="66"/>
  <c r="B192" i="66"/>
  <c r="B191" i="66"/>
  <c r="B190" i="66"/>
  <c r="B189" i="66"/>
  <c r="B188" i="66"/>
  <c r="B187" i="66"/>
  <c r="B186" i="66"/>
  <c r="B185" i="66"/>
  <c r="B184" i="66"/>
  <c r="B183" i="66"/>
  <c r="B182" i="66"/>
  <c r="B181" i="66"/>
  <c r="B180" i="66"/>
  <c r="B179" i="66"/>
  <c r="B178" i="66"/>
  <c r="B177" i="66"/>
  <c r="B176" i="66"/>
  <c r="B175" i="66"/>
  <c r="B174" i="66"/>
  <c r="B173" i="66"/>
  <c r="B172" i="66"/>
  <c r="B171" i="66"/>
  <c r="B170" i="66"/>
  <c r="B169" i="66"/>
  <c r="B168" i="66"/>
  <c r="B167" i="66"/>
  <c r="B166" i="66"/>
  <c r="B165" i="66"/>
  <c r="B164" i="66"/>
  <c r="B163" i="66"/>
  <c r="B162" i="66"/>
  <c r="B161" i="66"/>
  <c r="B160" i="66"/>
  <c r="B159" i="66"/>
  <c r="B158" i="66"/>
  <c r="B157" i="66"/>
  <c r="B156" i="66"/>
  <c r="B155" i="66"/>
  <c r="B154" i="66"/>
  <c r="B153" i="66"/>
  <c r="B152" i="66"/>
  <c r="B151" i="66"/>
  <c r="B150" i="66"/>
  <c r="B149" i="66"/>
  <c r="B148" i="66"/>
  <c r="B147" i="66"/>
  <c r="B146" i="66"/>
  <c r="B145" i="66"/>
  <c r="B144" i="66"/>
  <c r="B143" i="66"/>
  <c r="B142" i="66"/>
  <c r="B141" i="66"/>
  <c r="B140" i="66"/>
  <c r="B139" i="66"/>
  <c r="B138" i="66"/>
  <c r="B137" i="66"/>
  <c r="B136" i="66"/>
  <c r="B135" i="66"/>
  <c r="B134" i="66"/>
  <c r="B133" i="66"/>
  <c r="B132" i="66"/>
  <c r="B131" i="66"/>
  <c r="B130" i="66"/>
  <c r="B129" i="66"/>
  <c r="B128" i="66"/>
  <c r="B127" i="66"/>
  <c r="B126" i="66"/>
  <c r="B125" i="66"/>
  <c r="B124" i="66"/>
  <c r="B123" i="66"/>
  <c r="B122" i="66"/>
  <c r="B121" i="66"/>
  <c r="B120" i="66"/>
  <c r="B119" i="66"/>
  <c r="B118" i="66"/>
  <c r="B117" i="66"/>
  <c r="B116" i="66"/>
  <c r="B115" i="66"/>
  <c r="B114" i="66"/>
  <c r="B113" i="66"/>
  <c r="B112" i="66"/>
  <c r="B111" i="66"/>
  <c r="B110" i="66"/>
  <c r="B109" i="66"/>
  <c r="B108" i="66"/>
  <c r="B107" i="66"/>
  <c r="B106" i="66"/>
  <c r="B105" i="66"/>
  <c r="B104" i="66"/>
  <c r="B103" i="66"/>
  <c r="B102" i="66"/>
  <c r="B101" i="66"/>
  <c r="B100" i="66"/>
  <c r="B99" i="66"/>
  <c r="B98" i="66"/>
  <c r="B97" i="66"/>
  <c r="B96" i="66"/>
  <c r="B95" i="66"/>
  <c r="B94" i="66"/>
  <c r="B93" i="66"/>
  <c r="B92" i="66"/>
  <c r="B91" i="66"/>
  <c r="B90" i="66"/>
  <c r="B89" i="66"/>
  <c r="B88" i="66"/>
  <c r="B87" i="66"/>
  <c r="B86" i="66"/>
  <c r="B85" i="66"/>
  <c r="B84" i="66"/>
  <c r="B83" i="66"/>
  <c r="B82" i="66"/>
  <c r="B81" i="66"/>
  <c r="B80" i="66"/>
  <c r="B79" i="66"/>
  <c r="B78" i="66"/>
  <c r="B77" i="66"/>
  <c r="B76" i="66"/>
  <c r="B75" i="66"/>
  <c r="B74" i="66"/>
  <c r="B73" i="66"/>
  <c r="B72" i="66"/>
  <c r="B71" i="66"/>
  <c r="B70" i="66"/>
  <c r="B69" i="66"/>
  <c r="B68" i="66"/>
  <c r="B67" i="66"/>
  <c r="B66" i="66"/>
  <c r="B65" i="66"/>
  <c r="B64" i="66"/>
  <c r="B63" i="66"/>
  <c r="B62" i="66"/>
  <c r="B61" i="66"/>
  <c r="B60" i="66"/>
  <c r="B59" i="66"/>
  <c r="B58" i="66"/>
  <c r="B57" i="66"/>
  <c r="B56" i="66"/>
  <c r="B55" i="66"/>
  <c r="B54" i="66"/>
  <c r="B53" i="66"/>
  <c r="B52" i="66"/>
  <c r="B51" i="66"/>
  <c r="B50" i="66"/>
  <c r="B49" i="66"/>
  <c r="B48" i="66"/>
  <c r="B47" i="66"/>
  <c r="B46" i="66"/>
  <c r="B45" i="66"/>
  <c r="B44" i="66"/>
  <c r="B43" i="66"/>
  <c r="B42" i="66"/>
  <c r="B41" i="66"/>
  <c r="B40" i="66"/>
  <c r="B39" i="66"/>
  <c r="B38" i="66"/>
  <c r="B37" i="66"/>
  <c r="B36" i="66"/>
  <c r="B35" i="66"/>
  <c r="B34" i="66"/>
  <c r="B33" i="66"/>
  <c r="B32" i="66"/>
  <c r="B31" i="66"/>
  <c r="B30" i="66"/>
  <c r="B29" i="66"/>
  <c r="B28" i="66"/>
  <c r="B27" i="66"/>
  <c r="B26" i="66"/>
  <c r="B25" i="66"/>
  <c r="B24" i="66"/>
  <c r="B23" i="66"/>
  <c r="B22" i="66"/>
  <c r="B21" i="66"/>
  <c r="B20" i="66"/>
  <c r="B19" i="66"/>
  <c r="B18" i="66"/>
  <c r="B17" i="66"/>
  <c r="B16" i="66"/>
  <c r="B15" i="66"/>
  <c r="B14" i="66"/>
  <c r="B13" i="66"/>
  <c r="B12" i="66"/>
  <c r="B11" i="66"/>
  <c r="B10" i="66"/>
  <c r="B9" i="66"/>
  <c r="B8" i="66"/>
  <c r="B7" i="66"/>
  <c r="A932" i="66" l="1"/>
  <c r="A933" i="66" s="1"/>
  <c r="A2417" i="66"/>
  <c r="A2418" i="66" s="1"/>
  <c r="C2418" i="66" s="1"/>
  <c r="A2398" i="66"/>
  <c r="A2399" i="66" s="1"/>
  <c r="C2399" i="66" s="1"/>
  <c r="A2392" i="66"/>
  <c r="A2393" i="66" s="1"/>
  <c r="C2393" i="66" s="1"/>
  <c r="A2389" i="66"/>
  <c r="A2390" i="66" s="1"/>
  <c r="C2390" i="66" s="1"/>
  <c r="A2382" i="66"/>
  <c r="A2383" i="66" s="1"/>
  <c r="A2378" i="66"/>
  <c r="A2379" i="66" s="1"/>
  <c r="A2376" i="66"/>
  <c r="A2377" i="66" s="1"/>
  <c r="C2377" i="66" s="1"/>
  <c r="A2367" i="66"/>
  <c r="A2368" i="66" s="1"/>
  <c r="A2364" i="66"/>
  <c r="A2365" i="66" s="1"/>
  <c r="C2365" i="66" s="1"/>
  <c r="A2362" i="66"/>
  <c r="A2363" i="66" s="1"/>
  <c r="C2363" i="66" s="1"/>
  <c r="A2359" i="66"/>
  <c r="A2360" i="66" s="1"/>
  <c r="C2360" i="66" s="1"/>
  <c r="A2356" i="66"/>
  <c r="A2357" i="66" s="1"/>
  <c r="A2355" i="66"/>
  <c r="A2354" i="66"/>
  <c r="A2351" i="66"/>
  <c r="A2352" i="66" s="1"/>
  <c r="A2349" i="66"/>
  <c r="A2350" i="66" s="1"/>
  <c r="C2350" i="66" s="1"/>
  <c r="A2336" i="66"/>
  <c r="A2337" i="66" s="1"/>
  <c r="C2337" i="66" s="1"/>
  <c r="A2333" i="66"/>
  <c r="A2334" i="66" s="1"/>
  <c r="A2330" i="66"/>
  <c r="A2331" i="66" s="1"/>
  <c r="A2213" i="66"/>
  <c r="A2214" i="66" s="1"/>
  <c r="C2214" i="66" s="1"/>
  <c r="A2185" i="66"/>
  <c r="A2186" i="66" s="1"/>
  <c r="C2186" i="66" s="1"/>
  <c r="A2098" i="66"/>
  <c r="A2099" i="66" s="1"/>
  <c r="A2100" i="66" s="1"/>
  <c r="A2101" i="66" s="1"/>
  <c r="A2097" i="66"/>
  <c r="A2042" i="66"/>
  <c r="A2041" i="66"/>
  <c r="A2035" i="66"/>
  <c r="A2036" i="66" s="1"/>
  <c r="C2036" i="66" s="1"/>
  <c r="A2023" i="66"/>
  <c r="A2024" i="66" s="1"/>
  <c r="C2024" i="66" s="1"/>
  <c r="A1996" i="66"/>
  <c r="A1997" i="66" s="1"/>
  <c r="A1995" i="66"/>
  <c r="A1952" i="66"/>
  <c r="A1953" i="66" s="1"/>
  <c r="A1943" i="66"/>
  <c r="A1944" i="66" s="1"/>
  <c r="C1944" i="66" s="1"/>
  <c r="A1919" i="66"/>
  <c r="A1920" i="66" s="1"/>
  <c r="A1875" i="66"/>
  <c r="A1876" i="66" s="1"/>
  <c r="A1742" i="66"/>
  <c r="A1743" i="66" s="1"/>
  <c r="C1743" i="66" s="1"/>
  <c r="A1010" i="66"/>
  <c r="A1011" i="66" s="1"/>
  <c r="A1006" i="66"/>
  <c r="A1007" i="66" s="1"/>
  <c r="A1002" i="66"/>
  <c r="A1003" i="66" s="1"/>
  <c r="A997" i="66"/>
  <c r="A998" i="66" s="1"/>
  <c r="C998" i="66" s="1"/>
  <c r="A990" i="66"/>
  <c r="A991" i="66" s="1"/>
  <c r="A980" i="66"/>
  <c r="A981" i="66" s="1"/>
  <c r="A907" i="66"/>
  <c r="A908" i="66" s="1"/>
  <c r="C908" i="66" s="1"/>
  <c r="A904" i="66"/>
  <c r="A905" i="66" s="1"/>
  <c r="A901" i="66"/>
  <c r="A902" i="66" s="1"/>
  <c r="A895" i="66"/>
  <c r="A896" i="66" s="1"/>
  <c r="A531" i="66"/>
  <c r="A532" i="66" s="1"/>
  <c r="A524" i="66"/>
  <c r="A525" i="66" s="1"/>
  <c r="C525" i="66" s="1"/>
  <c r="A470" i="66"/>
  <c r="A471" i="66" s="1"/>
  <c r="A1071" i="66"/>
  <c r="A1072" i="66" s="1"/>
  <c r="A1073" i="66" s="1"/>
  <c r="A1074" i="66" s="1"/>
  <c r="A1075" i="66" s="1"/>
  <c r="E24" i="93"/>
  <c r="I1" i="92"/>
  <c r="A755" i="66"/>
  <c r="A756" i="66" s="1"/>
  <c r="A769" i="66"/>
  <c r="A770" i="66" s="1"/>
  <c r="A771" i="66" s="1"/>
  <c r="A772" i="66" s="1"/>
  <c r="A773" i="66" s="1"/>
  <c r="A774" i="66" s="1"/>
  <c r="A775" i="66" s="1"/>
  <c r="C775" i="66" s="1"/>
  <c r="A893" i="66"/>
  <c r="A483" i="66"/>
  <c r="A484" i="66" s="1"/>
  <c r="A485" i="66" s="1"/>
  <c r="A486" i="66" s="1"/>
  <c r="A487" i="66" s="1"/>
  <c r="A488" i="66" s="1"/>
  <c r="A489" i="66" s="1"/>
  <c r="A490" i="66" s="1"/>
  <c r="A491" i="66" s="1"/>
  <c r="C491" i="66" s="1"/>
  <c r="A800" i="66"/>
  <c r="A801" i="66" s="1"/>
  <c r="A802" i="66" s="1"/>
  <c r="A803" i="66" s="1"/>
  <c r="A804" i="66" s="1"/>
  <c r="A805" i="66" s="1"/>
  <c r="A806" i="66" s="1"/>
  <c r="C806" i="66" s="1"/>
  <c r="A416" i="66"/>
  <c r="A417" i="66" s="1"/>
  <c r="A418" i="66" s="1"/>
  <c r="C418" i="66" s="1"/>
  <c r="A811" i="66"/>
  <c r="A812" i="66" s="1"/>
  <c r="A813" i="66" s="1"/>
  <c r="A396" i="66"/>
  <c r="C2467" i="66"/>
  <c r="C2466" i="66"/>
  <c r="C2465" i="66"/>
  <c r="C2464" i="66"/>
  <c r="C2463" i="66"/>
  <c r="C2462" i="66"/>
  <c r="C2461" i="66"/>
  <c r="C2460" i="66"/>
  <c r="C2459" i="66"/>
  <c r="C2458" i="66"/>
  <c r="C2450" i="66"/>
  <c r="C2449" i="66"/>
  <c r="C2448" i="66"/>
  <c r="C2447" i="66"/>
  <c r="C2446" i="66"/>
  <c r="C2445" i="66"/>
  <c r="C2444" i="66"/>
  <c r="C2443" i="66"/>
  <c r="C2442" i="66"/>
  <c r="C2441" i="66"/>
  <c r="C2439" i="66"/>
  <c r="C2438" i="66"/>
  <c r="C2437" i="66"/>
  <c r="C2436" i="66"/>
  <c r="C2435" i="66"/>
  <c r="C2434" i="66"/>
  <c r="C2433" i="66"/>
  <c r="C2432" i="66"/>
  <c r="C2431" i="66"/>
  <c r="C2430" i="66"/>
  <c r="C2429" i="66"/>
  <c r="C2424" i="66"/>
  <c r="C2423" i="66"/>
  <c r="C2422" i="66"/>
  <c r="C2421" i="66"/>
  <c r="C2420" i="66"/>
  <c r="C2419" i="66"/>
  <c r="C2417" i="66"/>
  <c r="C2416" i="66"/>
  <c r="C2415" i="66"/>
  <c r="C2398" i="66"/>
  <c r="C2397" i="66"/>
  <c r="C2396" i="66"/>
  <c r="C2395" i="66"/>
  <c r="C2394" i="66"/>
  <c r="C2392" i="66"/>
  <c r="C2391" i="66"/>
  <c r="C2389" i="66"/>
  <c r="C2382" i="66"/>
  <c r="C2375" i="66"/>
  <c r="C2371" i="66"/>
  <c r="C2370" i="66"/>
  <c r="C2366" i="66"/>
  <c r="C2361" i="66"/>
  <c r="C2359" i="66"/>
  <c r="C2356" i="66"/>
  <c r="C2355" i="66"/>
  <c r="C2354" i="66"/>
  <c r="C2351" i="66"/>
  <c r="C2348" i="66"/>
  <c r="C2344" i="66"/>
  <c r="C2343" i="66"/>
  <c r="C2342" i="66"/>
  <c r="C2341" i="66"/>
  <c r="C2340" i="66"/>
  <c r="C2339" i="66"/>
  <c r="C2338" i="66"/>
  <c r="C2336" i="66"/>
  <c r="C2333" i="66"/>
  <c r="C2330" i="66"/>
  <c r="C2326" i="66"/>
  <c r="C2325" i="66"/>
  <c r="C2324" i="66"/>
  <c r="C2323" i="66"/>
  <c r="C2322" i="66"/>
  <c r="C2321" i="66"/>
  <c r="C2320" i="66"/>
  <c r="C2307" i="66"/>
  <c r="C2306" i="66"/>
  <c r="C2305" i="66"/>
  <c r="C2304" i="66"/>
  <c r="C2303" i="66"/>
  <c r="C2302" i="66"/>
  <c r="C2301" i="66"/>
  <c r="C2300" i="66"/>
  <c r="C2299" i="66"/>
  <c r="C2298" i="66"/>
  <c r="C2297" i="66"/>
  <c r="C2296" i="66"/>
  <c r="C2295" i="66"/>
  <c r="C2294" i="66"/>
  <c r="C2293" i="66"/>
  <c r="C2292" i="66"/>
  <c r="C2291" i="66"/>
  <c r="C2290" i="66"/>
  <c r="C2289" i="66"/>
  <c r="C2288" i="66"/>
  <c r="C2287" i="66"/>
  <c r="C2286" i="66"/>
  <c r="C2285" i="66"/>
  <c r="C2284" i="66"/>
  <c r="C2283" i="66"/>
  <c r="C2282" i="66"/>
  <c r="C2281" i="66"/>
  <c r="C2280" i="66"/>
  <c r="C2279" i="66"/>
  <c r="C2278" i="66"/>
  <c r="C2277" i="66"/>
  <c r="C2276" i="66"/>
  <c r="C2275" i="66"/>
  <c r="C2274" i="66"/>
  <c r="C2273" i="66"/>
  <c r="C2272" i="66"/>
  <c r="C2271" i="66"/>
  <c r="C2270" i="66"/>
  <c r="C2269" i="66"/>
  <c r="C2268" i="66"/>
  <c r="C2267" i="66"/>
  <c r="C2266" i="66"/>
  <c r="C2265" i="66"/>
  <c r="C2264" i="66"/>
  <c r="C2263" i="66"/>
  <c r="C2262" i="66"/>
  <c r="C2261" i="66"/>
  <c r="C2260" i="66"/>
  <c r="C2257" i="66"/>
  <c r="C2256" i="66"/>
  <c r="C2255" i="66"/>
  <c r="C2254" i="66"/>
  <c r="C2253" i="66"/>
  <c r="C2252" i="66"/>
  <c r="C2251" i="66"/>
  <c r="C2250" i="66"/>
  <c r="C2249" i="66"/>
  <c r="C2248" i="66"/>
  <c r="C2241" i="66"/>
  <c r="C2240" i="66"/>
  <c r="C2236" i="66"/>
  <c r="C2235" i="66"/>
  <c r="C2234" i="66"/>
  <c r="C2225" i="66"/>
  <c r="C2224" i="66"/>
  <c r="C2223" i="66"/>
  <c r="C2222" i="66"/>
  <c r="C2221" i="66"/>
  <c r="C2220" i="66"/>
  <c r="C2219" i="66"/>
  <c r="C2218" i="66"/>
  <c r="C2217" i="66"/>
  <c r="C2216" i="66"/>
  <c r="C2215" i="66"/>
  <c r="C2213" i="66"/>
  <c r="C2204" i="66"/>
  <c r="C2203" i="66"/>
  <c r="C2202" i="66"/>
  <c r="C2201" i="66"/>
  <c r="C2200" i="66"/>
  <c r="C2199" i="66"/>
  <c r="C2196" i="66"/>
  <c r="C2195" i="66"/>
  <c r="C2194" i="66"/>
  <c r="C2188" i="66"/>
  <c r="C2187" i="66"/>
  <c r="C2185" i="66"/>
  <c r="C2182" i="66"/>
  <c r="C2181" i="66"/>
  <c r="C2180" i="66"/>
  <c r="C2179" i="66"/>
  <c r="C2178" i="66"/>
  <c r="C2177" i="66"/>
  <c r="C2176" i="66"/>
  <c r="C2175" i="66"/>
  <c r="C2172" i="66"/>
  <c r="C2171" i="66"/>
  <c r="C2170" i="66"/>
  <c r="C2169" i="66"/>
  <c r="C2168" i="66"/>
  <c r="C2167" i="66"/>
  <c r="C2166" i="66"/>
  <c r="C2165" i="66"/>
  <c r="C2164" i="66"/>
  <c r="C2163" i="66"/>
  <c r="C2162" i="66"/>
  <c r="C2161" i="66"/>
  <c r="C2160" i="66"/>
  <c r="C2159" i="66"/>
  <c r="C2158" i="66"/>
  <c r="C2157" i="66"/>
  <c r="C2156" i="66"/>
  <c r="C2155" i="66"/>
  <c r="C2154" i="66"/>
  <c r="C2153" i="66"/>
  <c r="C2152" i="66"/>
  <c r="C2151" i="66"/>
  <c r="C2150" i="66"/>
  <c r="C2149" i="66"/>
  <c r="C2148" i="66"/>
  <c r="C2143" i="66"/>
  <c r="C2142" i="66"/>
  <c r="C2141" i="66"/>
  <c r="C2140" i="66"/>
  <c r="C2139" i="66"/>
  <c r="C2138" i="66"/>
  <c r="C2137" i="66"/>
  <c r="C2136" i="66"/>
  <c r="C2135" i="66"/>
  <c r="C2134" i="66"/>
  <c r="C2133" i="66"/>
  <c r="C2132" i="66"/>
  <c r="C2131" i="66"/>
  <c r="C2130" i="66"/>
  <c r="C2129" i="66"/>
  <c r="C2128" i="66"/>
  <c r="C2127" i="66"/>
  <c r="C2126" i="66"/>
  <c r="C2125" i="66"/>
  <c r="C2124" i="66"/>
  <c r="C2123" i="66"/>
  <c r="C2122" i="66"/>
  <c r="C2121" i="66"/>
  <c r="C2120" i="66"/>
  <c r="C2119" i="66"/>
  <c r="C2118" i="66"/>
  <c r="C2117" i="66"/>
  <c r="C2116" i="66"/>
  <c r="C2115" i="66"/>
  <c r="C2114" i="66"/>
  <c r="C2113" i="66"/>
  <c r="C2112" i="66"/>
  <c r="C2111" i="66"/>
  <c r="C2110" i="66"/>
  <c r="C2109" i="66"/>
  <c r="C2108" i="66"/>
  <c r="C2107" i="66"/>
  <c r="C2106" i="66"/>
  <c r="C2105" i="66"/>
  <c r="C2104" i="66"/>
  <c r="C2103" i="66"/>
  <c r="C2102" i="66"/>
  <c r="C2101" i="66"/>
  <c r="C2100" i="66"/>
  <c r="C2099" i="66"/>
  <c r="C2098" i="66"/>
  <c r="C2097" i="66"/>
  <c r="C2086" i="66"/>
  <c r="C2085" i="66"/>
  <c r="C2084" i="66"/>
  <c r="C2083" i="66"/>
  <c r="C2082" i="66"/>
  <c r="C2081" i="66"/>
  <c r="C2080" i="66"/>
  <c r="C2071" i="66"/>
  <c r="C2070" i="66"/>
  <c r="C2069" i="66"/>
  <c r="C2068" i="66"/>
  <c r="C2067" i="66"/>
  <c r="C2066" i="66"/>
  <c r="C2065" i="66"/>
  <c r="C2062" i="66"/>
  <c r="C2061" i="66"/>
  <c r="C2060" i="66"/>
  <c r="C2059" i="66"/>
  <c r="C2057" i="66"/>
  <c r="C2056" i="66"/>
  <c r="C2053" i="66"/>
  <c r="C2052" i="66"/>
  <c r="C2046" i="66"/>
  <c r="C2045" i="66"/>
  <c r="C2044" i="66"/>
  <c r="C2043" i="66"/>
  <c r="C2042" i="66"/>
  <c r="C2041" i="66"/>
  <c r="C2038" i="66"/>
  <c r="C2037" i="66"/>
  <c r="C2035" i="66"/>
  <c r="C2034" i="66"/>
  <c r="C2033" i="66"/>
  <c r="C2032" i="66"/>
  <c r="C2031" i="66"/>
  <c r="C2028" i="66"/>
  <c r="C2027" i="66"/>
  <c r="C2011" i="66"/>
  <c r="C2010" i="66"/>
  <c r="C2009" i="66"/>
  <c r="C2008" i="66"/>
  <c r="C2007" i="66"/>
  <c r="C2006" i="66"/>
  <c r="C2005" i="66"/>
  <c r="C2004" i="66"/>
  <c r="C2003" i="66"/>
  <c r="C2002" i="66"/>
  <c r="C1997" i="66"/>
  <c r="C1995" i="66"/>
  <c r="C1988" i="66"/>
  <c r="C1983" i="66"/>
  <c r="C1982" i="66"/>
  <c r="C1981" i="66"/>
  <c r="C1980" i="66"/>
  <c r="C1979" i="66"/>
  <c r="C1966" i="66"/>
  <c r="C1965" i="66"/>
  <c r="C1964" i="66"/>
  <c r="C1963" i="66"/>
  <c r="C1962" i="66"/>
  <c r="C1961" i="66"/>
  <c r="C1960" i="66"/>
  <c r="C1959" i="66"/>
  <c r="C1958" i="66"/>
  <c r="C1957" i="66"/>
  <c r="C1956" i="66"/>
  <c r="C1951" i="66"/>
  <c r="C1950" i="66"/>
  <c r="C1943" i="66"/>
  <c r="C1937" i="66"/>
  <c r="C1923" i="66"/>
  <c r="C1885" i="66"/>
  <c r="C1884" i="66"/>
  <c r="C1875" i="66"/>
  <c r="C1874" i="66"/>
  <c r="C1873" i="66"/>
  <c r="C1872" i="66"/>
  <c r="C1871" i="66"/>
  <c r="C1870" i="66"/>
  <c r="C1869" i="66"/>
  <c r="C1866" i="66"/>
  <c r="C1863" i="66"/>
  <c r="C1862" i="66"/>
  <c r="C1856" i="66"/>
  <c r="C1855" i="66"/>
  <c r="C1846" i="66"/>
  <c r="C1845" i="66"/>
  <c r="C1838" i="66"/>
  <c r="C1837" i="66"/>
  <c r="C1836" i="66"/>
  <c r="C1831" i="66"/>
  <c r="C1830" i="66"/>
  <c r="C1825" i="66"/>
  <c r="C1824" i="66"/>
  <c r="C1820" i="66"/>
  <c r="C1819" i="66"/>
  <c r="C1809" i="66"/>
  <c r="C1808" i="66"/>
  <c r="C1807" i="66"/>
  <c r="C1806" i="66"/>
  <c r="C1805" i="66"/>
  <c r="C1804" i="66"/>
  <c r="C1803" i="66"/>
  <c r="C1802" i="66"/>
  <c r="C1801" i="66"/>
  <c r="C1800" i="66"/>
  <c r="C1799" i="66"/>
  <c r="C1798" i="66"/>
  <c r="C1797" i="66"/>
  <c r="C1796" i="66"/>
  <c r="C1795" i="66"/>
  <c r="C1794" i="66"/>
  <c r="C1793" i="66"/>
  <c r="C1792" i="66"/>
  <c r="C1791" i="66"/>
  <c r="C1790" i="66"/>
  <c r="C1789" i="66"/>
  <c r="C1788" i="66"/>
  <c r="C1787" i="66"/>
  <c r="C1786" i="66"/>
  <c r="C1785" i="66"/>
  <c r="C1781" i="66"/>
  <c r="C1780" i="66"/>
  <c r="C1779" i="66"/>
  <c r="C1778" i="66"/>
  <c r="C1777" i="66"/>
  <c r="C1776" i="66"/>
  <c r="C1775" i="66"/>
  <c r="C1774" i="66"/>
  <c r="C1773" i="66"/>
  <c r="C1772" i="66"/>
  <c r="C1768" i="66"/>
  <c r="C1767" i="66"/>
  <c r="C1766" i="66"/>
  <c r="C1765" i="66"/>
  <c r="C1764" i="66"/>
  <c r="C1763" i="66"/>
  <c r="C1762" i="66"/>
  <c r="C1761" i="66"/>
  <c r="C1760" i="66"/>
  <c r="C1757" i="66"/>
  <c r="C1756" i="66"/>
  <c r="C1755" i="66"/>
  <c r="C1754" i="66"/>
  <c r="C1751" i="66"/>
  <c r="C1750" i="66"/>
  <c r="C1749" i="66"/>
  <c r="C1748" i="66"/>
  <c r="C1742" i="66"/>
  <c r="C1740" i="66"/>
  <c r="C1739" i="66"/>
  <c r="C1738" i="66"/>
  <c r="C1737" i="66"/>
  <c r="C1736" i="66"/>
  <c r="C1735" i="66"/>
  <c r="C1734" i="66"/>
  <c r="C1733" i="66"/>
  <c r="C1732" i="66"/>
  <c r="C1731" i="66"/>
  <c r="C1730" i="66"/>
  <c r="C1729" i="66"/>
  <c r="C1728" i="66"/>
  <c r="C1727" i="66"/>
  <c r="C1726" i="66"/>
  <c r="C1725" i="66"/>
  <c r="C1724" i="66"/>
  <c r="C1723" i="66"/>
  <c r="C1722" i="66"/>
  <c r="C1721" i="66"/>
  <c r="C1716" i="66"/>
  <c r="C1715" i="66"/>
  <c r="C1711" i="66"/>
  <c r="C1710" i="66"/>
  <c r="C1709" i="66"/>
  <c r="C1708" i="66"/>
  <c r="C1707" i="66"/>
  <c r="C1706" i="66"/>
  <c r="C1705" i="66"/>
  <c r="C1704" i="66"/>
  <c r="C1703" i="66"/>
  <c r="C1698" i="66"/>
  <c r="C1697" i="66"/>
  <c r="C1696" i="66"/>
  <c r="C1695" i="66"/>
  <c r="C1694" i="66"/>
  <c r="C1693" i="66"/>
  <c r="C1692" i="66"/>
  <c r="C1691" i="66"/>
  <c r="C1690" i="66"/>
  <c r="C1689" i="66"/>
  <c r="C1688" i="66"/>
  <c r="C1687" i="66"/>
  <c r="C1686" i="66"/>
  <c r="C1685" i="66"/>
  <c r="C1684" i="66"/>
  <c r="C1683" i="66"/>
  <c r="C1682" i="66"/>
  <c r="C1681" i="66"/>
  <c r="C1680" i="66"/>
  <c r="C1678" i="66"/>
  <c r="C1677" i="66"/>
  <c r="C1676" i="66"/>
  <c r="C1675" i="66"/>
  <c r="C1674" i="66"/>
  <c r="C1673" i="66"/>
  <c r="C1672" i="66"/>
  <c r="C1671" i="66"/>
  <c r="C1670" i="66"/>
  <c r="C1669" i="66"/>
  <c r="C1668" i="66"/>
  <c r="C1667" i="66"/>
  <c r="C1666" i="66"/>
  <c r="C1665" i="66"/>
  <c r="C1664" i="66"/>
  <c r="C1663" i="66"/>
  <c r="C1661" i="66"/>
  <c r="C1660" i="66"/>
  <c r="C1654" i="66"/>
  <c r="C1653" i="66"/>
  <c r="C1652" i="66"/>
  <c r="C1651" i="66"/>
  <c r="C1650" i="66"/>
  <c r="C1649" i="66"/>
  <c r="C1648" i="66"/>
  <c r="C1647" i="66"/>
  <c r="C1646" i="66"/>
  <c r="C1645" i="66"/>
  <c r="C1644" i="66"/>
  <c r="C1643" i="66"/>
  <c r="C1642" i="66"/>
  <c r="C1641" i="66"/>
  <c r="C1640" i="66"/>
  <c r="C1639" i="66"/>
  <c r="C1638" i="66"/>
  <c r="C1637" i="66"/>
  <c r="C1636" i="66"/>
  <c r="C1624" i="66"/>
  <c r="C1623" i="66"/>
  <c r="C1622" i="66"/>
  <c r="C1621" i="66"/>
  <c r="C1620" i="66"/>
  <c r="C1619" i="66"/>
  <c r="C1618" i="66"/>
  <c r="C1617" i="66"/>
  <c r="C1616" i="66"/>
  <c r="C1615" i="66"/>
  <c r="C1614" i="66"/>
  <c r="C1613" i="66"/>
  <c r="C1612" i="66"/>
  <c r="C1611" i="66"/>
  <c r="C1610" i="66"/>
  <c r="C1609" i="66"/>
  <c r="C1608" i="66"/>
  <c r="C1607" i="66"/>
  <c r="C1606" i="66"/>
  <c r="C1605" i="66"/>
  <c r="C1604" i="66"/>
  <c r="C1603" i="66"/>
  <c r="C1602" i="66"/>
  <c r="C1601" i="66"/>
  <c r="C1600" i="66"/>
  <c r="C1599" i="66"/>
  <c r="C1598" i="66"/>
  <c r="C1597" i="66"/>
  <c r="C1596" i="66"/>
  <c r="C1595" i="66"/>
  <c r="C1594" i="66"/>
  <c r="C1593" i="66"/>
  <c r="C1592" i="66"/>
  <c r="C1581" i="66"/>
  <c r="C1580" i="66"/>
  <c r="C1558" i="66"/>
  <c r="C1557" i="66"/>
  <c r="C1550" i="66"/>
  <c r="C1549" i="66"/>
  <c r="C1548" i="66"/>
  <c r="C1547" i="66"/>
  <c r="C1546" i="66"/>
  <c r="C1545" i="66"/>
  <c r="C1544" i="66"/>
  <c r="C1543" i="66"/>
  <c r="C1542" i="66"/>
  <c r="C1541" i="66"/>
  <c r="C1540" i="66"/>
  <c r="C1539" i="66"/>
  <c r="C1538" i="66"/>
  <c r="C1537" i="66"/>
  <c r="C1533" i="66"/>
  <c r="C1532" i="66"/>
  <c r="C1531" i="66"/>
  <c r="C1530" i="66"/>
  <c r="C1527" i="66"/>
  <c r="C1526" i="66"/>
  <c r="C1525" i="66"/>
  <c r="C1524" i="66"/>
  <c r="C1523" i="66"/>
  <c r="C1522" i="66"/>
  <c r="C1521" i="66"/>
  <c r="C1520" i="66"/>
  <c r="C1519" i="66"/>
  <c r="C1518" i="66"/>
  <c r="C1517" i="66"/>
  <c r="C1516" i="66"/>
  <c r="C1515" i="66"/>
  <c r="C1514" i="66"/>
  <c r="C1511" i="66"/>
  <c r="C1510" i="66"/>
  <c r="C1509" i="66"/>
  <c r="C1508" i="66"/>
  <c r="C1497" i="66"/>
  <c r="C1496" i="66"/>
  <c r="C1495" i="66"/>
  <c r="C1494" i="66"/>
  <c r="C1493" i="66"/>
  <c r="C1492" i="66"/>
  <c r="C1489" i="66"/>
  <c r="C1479" i="66"/>
  <c r="C1478" i="66"/>
  <c r="C1477" i="66"/>
  <c r="C1476" i="66"/>
  <c r="C1475" i="66"/>
  <c r="C1474" i="66"/>
  <c r="C1473" i="66"/>
  <c r="C1472" i="66"/>
  <c r="C1468" i="66"/>
  <c r="C1467" i="66"/>
  <c r="C1466" i="66"/>
  <c r="C1462" i="66"/>
  <c r="C1461" i="66"/>
  <c r="C1460" i="66"/>
  <c r="C1459" i="66"/>
  <c r="C1458" i="66"/>
  <c r="C1454" i="66"/>
  <c r="C1453" i="66"/>
  <c r="C1452" i="66"/>
  <c r="C1451" i="66"/>
  <c r="C1450" i="66"/>
  <c r="C1449" i="66"/>
  <c r="C1442" i="66"/>
  <c r="C1441" i="66"/>
  <c r="C1440" i="66"/>
  <c r="C1439" i="66"/>
  <c r="C1438" i="66"/>
  <c r="C1426" i="66"/>
  <c r="C1425" i="66"/>
  <c r="C1424" i="66"/>
  <c r="C1423" i="66"/>
  <c r="C1422" i="66"/>
  <c r="C1421" i="66"/>
  <c r="C1418" i="66"/>
  <c r="C1417" i="66"/>
  <c r="C1416" i="66"/>
  <c r="C1415" i="66"/>
  <c r="C1414" i="66"/>
  <c r="C1399" i="66"/>
  <c r="C1398" i="66"/>
  <c r="C1394" i="66"/>
  <c r="C1393" i="66"/>
  <c r="C1392" i="66"/>
  <c r="C1391" i="66"/>
  <c r="C1390" i="66"/>
  <c r="C1389" i="66"/>
  <c r="C1388" i="66"/>
  <c r="C1387" i="66"/>
  <c r="C1386" i="66"/>
  <c r="C1381" i="66"/>
  <c r="C1380" i="66"/>
  <c r="C1377" i="66"/>
  <c r="C1376" i="66"/>
  <c r="C1373" i="66"/>
  <c r="C1372" i="66"/>
  <c r="C1371" i="66"/>
  <c r="C1370" i="66"/>
  <c r="C1369" i="66"/>
  <c r="C1368" i="66"/>
  <c r="C1367" i="66"/>
  <c r="C1366" i="66"/>
  <c r="C1365" i="66"/>
  <c r="C1364" i="66"/>
  <c r="C1363" i="66"/>
  <c r="C1362" i="66"/>
  <c r="C1361" i="66"/>
  <c r="C1360" i="66"/>
  <c r="C1359" i="66"/>
  <c r="C1358" i="66"/>
  <c r="C1357" i="66"/>
  <c r="C1356" i="66"/>
  <c r="C1355" i="66"/>
  <c r="C1354" i="66"/>
  <c r="C1353" i="66"/>
  <c r="C1352" i="66"/>
  <c r="C1348" i="66"/>
  <c r="C1347" i="66"/>
  <c r="C1346" i="66"/>
  <c r="C1345" i="66"/>
  <c r="C1344" i="66"/>
  <c r="C1343" i="66"/>
  <c r="C1342" i="66"/>
  <c r="C1341" i="66"/>
  <c r="C1340" i="66"/>
  <c r="C1339" i="66"/>
  <c r="C1338" i="66"/>
  <c r="C1337" i="66"/>
  <c r="C1336" i="66"/>
  <c r="C1335" i="66"/>
  <c r="C1334" i="66"/>
  <c r="C1333" i="66"/>
  <c r="C1332" i="66"/>
  <c r="C1331" i="66"/>
  <c r="C1330" i="66"/>
  <c r="C1329" i="66"/>
  <c r="C1328" i="66"/>
  <c r="C1327" i="66"/>
  <c r="C1326" i="66"/>
  <c r="C1325" i="66"/>
  <c r="C1324" i="66"/>
  <c r="C1319" i="66"/>
  <c r="C1318" i="66"/>
  <c r="C1317" i="66"/>
  <c r="C1316" i="66"/>
  <c r="C1315" i="66"/>
  <c r="C1314" i="66"/>
  <c r="C1313" i="66"/>
  <c r="C1312" i="66"/>
  <c r="C1311" i="66"/>
  <c r="C1310" i="66"/>
  <c r="C1309" i="66"/>
  <c r="C1308" i="66"/>
  <c r="C1307" i="66"/>
  <c r="C1306" i="66"/>
  <c r="C1305" i="66"/>
  <c r="C1304" i="66"/>
  <c r="C1303" i="66"/>
  <c r="C1302" i="66"/>
  <c r="C1301" i="66"/>
  <c r="C1300" i="66"/>
  <c r="C1299" i="66"/>
  <c r="C1298" i="66"/>
  <c r="C1297" i="66"/>
  <c r="C1296" i="66"/>
  <c r="C1295" i="66"/>
  <c r="C1294" i="66"/>
  <c r="C1290" i="66"/>
  <c r="C1285" i="66"/>
  <c r="C1284" i="66"/>
  <c r="C1283" i="66"/>
  <c r="C1282" i="66"/>
  <c r="C1281" i="66"/>
  <c r="C1280" i="66"/>
  <c r="C1276" i="66"/>
  <c r="C1275" i="66"/>
  <c r="C1274" i="66"/>
  <c r="C1273" i="66"/>
  <c r="C1272" i="66"/>
  <c r="C1271" i="66"/>
  <c r="C1270" i="66"/>
  <c r="C1269" i="66"/>
  <c r="C1268" i="66"/>
  <c r="C1267" i="66"/>
  <c r="C1266" i="66"/>
  <c r="C1265" i="66"/>
  <c r="C1264" i="66"/>
  <c r="C1263" i="66"/>
  <c r="C1252" i="66"/>
  <c r="C1251" i="66"/>
  <c r="C1250" i="66"/>
  <c r="C1249" i="66"/>
  <c r="C1248" i="66"/>
  <c r="C1247" i="66"/>
  <c r="C1246" i="66"/>
  <c r="C1245" i="66"/>
  <c r="C1244" i="66"/>
  <c r="C1243" i="66"/>
  <c r="C1242" i="66"/>
  <c r="C1241" i="66"/>
  <c r="C1240" i="66"/>
  <c r="C1239" i="66"/>
  <c r="C1238" i="66"/>
  <c r="C1237" i="66"/>
  <c r="C1236" i="66"/>
  <c r="C1235" i="66"/>
  <c r="C1234" i="66"/>
  <c r="C1233" i="66"/>
  <c r="C1232" i="66"/>
  <c r="C1231" i="66"/>
  <c r="C1230" i="66"/>
  <c r="C1229" i="66"/>
  <c r="C1228" i="66"/>
  <c r="C1227" i="66"/>
  <c r="C1226" i="66"/>
  <c r="C1225" i="66"/>
  <c r="C1224" i="66"/>
  <c r="C1223" i="66"/>
  <c r="C1222" i="66"/>
  <c r="C1221" i="66"/>
  <c r="C1220" i="66"/>
  <c r="C1219" i="66"/>
  <c r="C1218" i="66"/>
  <c r="C1217" i="66"/>
  <c r="C1216" i="66"/>
  <c r="C1215" i="66"/>
  <c r="C1214" i="66"/>
  <c r="C1213" i="66"/>
  <c r="C1212" i="66"/>
  <c r="C1211" i="66"/>
  <c r="C1202" i="66"/>
  <c r="C1201" i="66"/>
  <c r="C1200" i="66"/>
  <c r="C1193" i="66"/>
  <c r="C1192" i="66"/>
  <c r="C1191" i="66"/>
  <c r="C1190" i="66"/>
  <c r="C1185" i="66"/>
  <c r="C1184" i="66"/>
  <c r="C1181" i="66"/>
  <c r="C1174" i="66"/>
  <c r="C1173" i="66"/>
  <c r="C1172" i="66"/>
  <c r="C1164" i="66"/>
  <c r="C1163" i="66"/>
  <c r="C1162" i="66"/>
  <c r="C1161" i="66"/>
  <c r="C1160" i="66"/>
  <c r="C1159" i="66"/>
  <c r="C1158" i="66"/>
  <c r="C1157" i="66"/>
  <c r="C1156" i="66"/>
  <c r="C1152" i="66"/>
  <c r="C1151" i="66"/>
  <c r="C1150" i="66"/>
  <c r="C1149" i="66"/>
  <c r="C1148" i="66"/>
  <c r="C1147" i="66"/>
  <c r="C1146" i="66"/>
  <c r="C1145" i="66"/>
  <c r="C1144" i="66"/>
  <c r="C1140" i="66"/>
  <c r="C1139" i="66"/>
  <c r="C1138" i="66"/>
  <c r="C1137" i="66"/>
  <c r="C1136" i="66"/>
  <c r="C1135" i="66"/>
  <c r="C1134" i="66"/>
  <c r="C1133" i="66"/>
  <c r="C1132" i="66"/>
  <c r="C1131" i="66"/>
  <c r="C1130" i="66"/>
  <c r="C1129" i="66"/>
  <c r="C1128" i="66"/>
  <c r="C1127" i="66"/>
  <c r="C1126" i="66"/>
  <c r="C1125" i="66"/>
  <c r="C1124" i="66"/>
  <c r="C1117" i="66"/>
  <c r="C1116" i="66"/>
  <c r="C1115" i="66"/>
  <c r="C1114" i="66"/>
  <c r="C1113" i="66"/>
  <c r="C1112" i="66"/>
  <c r="C1111" i="66"/>
  <c r="C1110" i="66"/>
  <c r="C1109" i="66"/>
  <c r="C1108" i="66"/>
  <c r="C1107" i="66"/>
  <c r="C1106" i="66"/>
  <c r="C1105" i="66"/>
  <c r="C1103" i="66"/>
  <c r="C1102" i="66"/>
  <c r="C1101" i="66"/>
  <c r="C1100" i="66"/>
  <c r="C1099" i="66"/>
  <c r="C1098" i="66"/>
  <c r="C1097" i="66"/>
  <c r="C1096" i="66"/>
  <c r="C1095" i="66"/>
  <c r="C1094" i="66"/>
  <c r="C1093" i="66"/>
  <c r="C1092" i="66"/>
  <c r="C1091" i="66"/>
  <c r="C1090" i="66"/>
  <c r="C1084" i="66"/>
  <c r="C1083" i="66"/>
  <c r="C1082" i="66"/>
  <c r="C1081" i="66"/>
  <c r="C1080" i="66"/>
  <c r="C1079" i="66"/>
  <c r="C1078" i="66"/>
  <c r="C1077" i="66"/>
  <c r="C1076" i="66"/>
  <c r="C1075" i="66"/>
  <c r="C1074" i="66"/>
  <c r="C1073" i="66"/>
  <c r="C1072" i="66"/>
  <c r="C1071" i="66"/>
  <c r="C1070" i="66"/>
  <c r="C1069" i="66"/>
  <c r="C1057" i="66"/>
  <c r="C1049" i="66"/>
  <c r="C1048" i="66"/>
  <c r="C1047" i="66"/>
  <c r="C1046" i="66"/>
  <c r="C1045" i="66"/>
  <c r="C1035" i="66"/>
  <c r="C1034" i="66"/>
  <c r="C1033" i="66"/>
  <c r="C1031" i="66"/>
  <c r="C1030" i="66"/>
  <c r="C1029" i="66"/>
  <c r="C1028" i="66"/>
  <c r="C1027" i="66"/>
  <c r="C1026" i="66"/>
  <c r="C1025" i="66"/>
  <c r="C1024" i="66"/>
  <c r="C1023" i="66"/>
  <c r="C1022" i="66"/>
  <c r="C1021" i="66"/>
  <c r="C1020" i="66"/>
  <c r="C1019" i="66"/>
  <c r="C1018" i="66"/>
  <c r="C1017" i="66"/>
  <c r="C1016" i="66"/>
  <c r="C1015" i="66"/>
  <c r="C1014" i="66"/>
  <c r="C1013" i="66"/>
  <c r="C1010" i="66"/>
  <c r="C1006" i="66"/>
  <c r="C1005" i="66"/>
  <c r="C1002" i="66"/>
  <c r="C1001" i="66"/>
  <c r="C1000" i="66"/>
  <c r="C999" i="66"/>
  <c r="C990" i="66"/>
  <c r="C989" i="66"/>
  <c r="C988" i="66"/>
  <c r="C987" i="66"/>
  <c r="C979" i="66"/>
  <c r="C978" i="66"/>
  <c r="C977" i="66"/>
  <c r="C976" i="66"/>
  <c r="C975" i="66"/>
  <c r="C974" i="66"/>
  <c r="C973" i="66"/>
  <c r="C972" i="66"/>
  <c r="C971" i="66"/>
  <c r="C970" i="66"/>
  <c r="C969" i="66"/>
  <c r="C968" i="66"/>
  <c r="C967" i="66"/>
  <c r="C966" i="66"/>
  <c r="C965" i="66"/>
  <c r="C964" i="66"/>
  <c r="C963" i="66"/>
  <c r="C962" i="66"/>
  <c r="C961" i="66"/>
  <c r="C960" i="66"/>
  <c r="C959" i="66"/>
  <c r="C958" i="66"/>
  <c r="C957" i="66"/>
  <c r="C956" i="66"/>
  <c r="C955" i="66"/>
  <c r="C954" i="66"/>
  <c r="C953" i="66"/>
  <c r="C952" i="66"/>
  <c r="C951" i="66"/>
  <c r="C950" i="66"/>
  <c r="C949" i="66"/>
  <c r="C948" i="66"/>
  <c r="C947" i="66"/>
  <c r="C946" i="66"/>
  <c r="C945" i="66"/>
  <c r="C944" i="66"/>
  <c r="C943" i="66"/>
  <c r="C942" i="66"/>
  <c r="C941" i="66"/>
  <c r="C940" i="66"/>
  <c r="C939" i="66"/>
  <c r="C938" i="66"/>
  <c r="C937" i="66"/>
  <c r="C932" i="66"/>
  <c r="C927" i="66"/>
  <c r="C926" i="66"/>
  <c r="C925" i="66"/>
  <c r="C924" i="66"/>
  <c r="C923" i="66"/>
  <c r="C922" i="66"/>
  <c r="C921" i="66"/>
  <c r="C920" i="66"/>
  <c r="C919" i="66"/>
  <c r="C918" i="66"/>
  <c r="C917" i="66"/>
  <c r="C916" i="66"/>
  <c r="C915" i="66"/>
  <c r="C909" i="66"/>
  <c r="C907" i="66"/>
  <c r="C904" i="66"/>
  <c r="C901" i="66"/>
  <c r="C895" i="66"/>
  <c r="C892" i="66"/>
  <c r="C890" i="66"/>
  <c r="C889" i="66"/>
  <c r="C888" i="66"/>
  <c r="C887" i="66"/>
  <c r="C886" i="66"/>
  <c r="C885" i="66"/>
  <c r="C884" i="66"/>
  <c r="C883" i="66"/>
  <c r="C882" i="66"/>
  <c r="C881" i="66"/>
  <c r="C880" i="66"/>
  <c r="C879" i="66"/>
  <c r="C878" i="66"/>
  <c r="C877" i="66"/>
  <c r="C876" i="66"/>
  <c r="C875" i="66"/>
  <c r="C874" i="66"/>
  <c r="C873" i="66"/>
  <c r="C872" i="66"/>
  <c r="C866" i="66"/>
  <c r="C865" i="66"/>
  <c r="C864" i="66"/>
  <c r="C863" i="66"/>
  <c r="C862" i="66"/>
  <c r="C861" i="66"/>
  <c r="C860" i="66"/>
  <c r="C859" i="66"/>
  <c r="C858" i="66"/>
  <c r="C857" i="66"/>
  <c r="C856" i="66"/>
  <c r="C855" i="66"/>
  <c r="C854" i="66"/>
  <c r="C853" i="66"/>
  <c r="C852" i="66"/>
  <c r="C851" i="66"/>
  <c r="C850" i="66"/>
  <c r="C849" i="66"/>
  <c r="C848" i="66"/>
  <c r="C847" i="66"/>
  <c r="C846" i="66"/>
  <c r="C845" i="66"/>
  <c r="C844" i="66"/>
  <c r="C843" i="66"/>
  <c r="C842" i="66"/>
  <c r="C839" i="66"/>
  <c r="C838" i="66"/>
  <c r="C837" i="66"/>
  <c r="C836" i="66"/>
  <c r="C835" i="66"/>
  <c r="C834" i="66"/>
  <c r="C833" i="66"/>
  <c r="C832" i="66"/>
  <c r="C831" i="66"/>
  <c r="C830" i="66"/>
  <c r="C829" i="66"/>
  <c r="C828" i="66"/>
  <c r="C827" i="66"/>
  <c r="C823" i="66"/>
  <c r="C822" i="66"/>
  <c r="C821" i="66"/>
  <c r="C815" i="66"/>
  <c r="C814" i="66"/>
  <c r="C813" i="66"/>
  <c r="C812" i="66"/>
  <c r="C811" i="66"/>
  <c r="C810" i="66"/>
  <c r="C809" i="66"/>
  <c r="C808" i="66"/>
  <c r="C807" i="66"/>
  <c r="C801" i="66"/>
  <c r="C800" i="66"/>
  <c r="C799" i="66"/>
  <c r="C798" i="66"/>
  <c r="C792" i="66"/>
  <c r="C791" i="66"/>
  <c r="C790" i="66"/>
  <c r="C789" i="66"/>
  <c r="C788" i="66"/>
  <c r="C787" i="66"/>
  <c r="C786" i="66"/>
  <c r="C785" i="66"/>
  <c r="C784" i="66"/>
  <c r="C783" i="66"/>
  <c r="C782" i="66"/>
  <c r="C781" i="66"/>
  <c r="C780" i="66"/>
  <c r="C779" i="66"/>
  <c r="C778" i="66"/>
  <c r="C777" i="66"/>
  <c r="C776" i="66"/>
  <c r="C773" i="66"/>
  <c r="C772" i="66"/>
  <c r="C771" i="66"/>
  <c r="C770" i="66"/>
  <c r="C768" i="66"/>
  <c r="C767" i="66"/>
  <c r="C766" i="66"/>
  <c r="C765" i="66"/>
  <c r="C764" i="66"/>
  <c r="C763" i="66"/>
  <c r="C762" i="66"/>
  <c r="C761" i="66"/>
  <c r="C760" i="66"/>
  <c r="C759" i="66"/>
  <c r="C758" i="66"/>
  <c r="C757" i="66"/>
  <c r="C756" i="66"/>
  <c r="C755" i="66"/>
  <c r="C754" i="66"/>
  <c r="C749" i="66"/>
  <c r="C748" i="66"/>
  <c r="C747" i="66"/>
  <c r="C746" i="66"/>
  <c r="C745" i="66"/>
  <c r="C744" i="66"/>
  <c r="C743" i="66"/>
  <c r="C742" i="66"/>
  <c r="C741" i="66"/>
  <c r="C740" i="66"/>
  <c r="C739" i="66"/>
  <c r="C738" i="66"/>
  <c r="C737" i="66"/>
  <c r="C736" i="66"/>
  <c r="C735" i="66"/>
  <c r="C734" i="66"/>
  <c r="C733" i="66"/>
  <c r="C732" i="66"/>
  <c r="C729" i="66"/>
  <c r="C722" i="66"/>
  <c r="C721" i="66"/>
  <c r="C720" i="66"/>
  <c r="C719" i="66"/>
  <c r="C718" i="66"/>
  <c r="C717" i="66"/>
  <c r="C716" i="66"/>
  <c r="C715" i="66"/>
  <c r="C714" i="66"/>
  <c r="C713" i="66"/>
  <c r="C710" i="66"/>
  <c r="C709" i="66"/>
  <c r="C708" i="66"/>
  <c r="C707" i="66"/>
  <c r="C706" i="66"/>
  <c r="C705" i="66"/>
  <c r="C704" i="66"/>
  <c r="C700" i="66"/>
  <c r="C697" i="66"/>
  <c r="C696" i="66"/>
  <c r="C695" i="66"/>
  <c r="C694" i="66"/>
  <c r="C693" i="66"/>
  <c r="C692" i="66"/>
  <c r="C691" i="66"/>
  <c r="C690" i="66"/>
  <c r="C689" i="66"/>
  <c r="C688" i="66"/>
  <c r="C687" i="66"/>
  <c r="C684" i="66"/>
  <c r="C683" i="66"/>
  <c r="C682" i="66"/>
  <c r="C677" i="66"/>
  <c r="C676" i="66"/>
  <c r="C675" i="66"/>
  <c r="C674" i="66"/>
  <c r="C673" i="66"/>
  <c r="C672" i="66"/>
  <c r="C671" i="66"/>
  <c r="C670" i="66"/>
  <c r="C669" i="66"/>
  <c r="C668" i="66"/>
  <c r="C667" i="66"/>
  <c r="C666" i="66"/>
  <c r="C665" i="66"/>
  <c r="C664" i="66"/>
  <c r="C663" i="66"/>
  <c r="C662" i="66"/>
  <c r="C661" i="66"/>
  <c r="C660" i="66"/>
  <c r="C659" i="66"/>
  <c r="C656" i="66"/>
  <c r="C655" i="66"/>
  <c r="C654" i="66"/>
  <c r="C653" i="66"/>
  <c r="C652" i="66"/>
  <c r="C651" i="66"/>
  <c r="C650" i="66"/>
  <c r="C649" i="66"/>
  <c r="C648" i="66"/>
  <c r="C647" i="66"/>
  <c r="C646" i="66"/>
  <c r="C645" i="66"/>
  <c r="C644" i="66"/>
  <c r="C643" i="66"/>
  <c r="C642" i="66"/>
  <c r="C641" i="66"/>
  <c r="C639" i="66"/>
  <c r="C638" i="66"/>
  <c r="C637" i="66"/>
  <c r="C636" i="66"/>
  <c r="C635" i="66"/>
  <c r="C634" i="66"/>
  <c r="C633" i="66"/>
  <c r="C632" i="66"/>
  <c r="C631" i="66"/>
  <c r="C630" i="66"/>
  <c r="C629" i="66"/>
  <c r="C628" i="66"/>
  <c r="C627" i="66"/>
  <c r="C626" i="66"/>
  <c r="C623" i="66"/>
  <c r="C622" i="66"/>
  <c r="C621" i="66"/>
  <c r="C620" i="66"/>
  <c r="C619" i="66"/>
  <c r="C618" i="66"/>
  <c r="C617" i="66"/>
  <c r="C614" i="66"/>
  <c r="C613" i="66"/>
  <c r="C612" i="66"/>
  <c r="C611" i="66"/>
  <c r="C610" i="66"/>
  <c r="C609" i="66"/>
  <c r="C608" i="66"/>
  <c r="C607" i="66"/>
  <c r="C606" i="66"/>
  <c r="C599" i="66"/>
  <c r="C598" i="66"/>
  <c r="C597" i="66"/>
  <c r="C596" i="66"/>
  <c r="C595" i="66"/>
  <c r="C594" i="66"/>
  <c r="C593" i="66"/>
  <c r="C592" i="66"/>
  <c r="C591" i="66"/>
  <c r="C590" i="66"/>
  <c r="C589" i="66"/>
  <c r="C586" i="66"/>
  <c r="C585" i="66"/>
  <c r="C582" i="66"/>
  <c r="C581" i="66"/>
  <c r="C580" i="66"/>
  <c r="C579" i="66"/>
  <c r="C575" i="66"/>
  <c r="C574" i="66"/>
  <c r="C573" i="66"/>
  <c r="C572" i="66"/>
  <c r="C569" i="66"/>
  <c r="C568" i="66"/>
  <c r="C567" i="66"/>
  <c r="C562" i="66"/>
  <c r="C561" i="66"/>
  <c r="C560" i="66"/>
  <c r="C559" i="66"/>
  <c r="C558" i="66"/>
  <c r="C553" i="66"/>
  <c r="C552" i="66"/>
  <c r="C551" i="66"/>
  <c r="C550" i="66"/>
  <c r="C549" i="66"/>
  <c r="C548" i="66"/>
  <c r="C543" i="66"/>
  <c r="C540" i="66"/>
  <c r="C539" i="66"/>
  <c r="C538" i="66"/>
  <c r="C537" i="66"/>
  <c r="C531" i="66"/>
  <c r="C530" i="66"/>
  <c r="C527" i="66"/>
  <c r="C526" i="66"/>
  <c r="C524" i="66"/>
  <c r="C523" i="66"/>
  <c r="C522" i="66"/>
  <c r="C521" i="66"/>
  <c r="C520" i="66"/>
  <c r="C519" i="66"/>
  <c r="C518" i="66"/>
  <c r="C517" i="66"/>
  <c r="C510" i="66"/>
  <c r="C509" i="66"/>
  <c r="C508" i="66"/>
  <c r="C507" i="66"/>
  <c r="C506" i="66"/>
  <c r="C505" i="66"/>
  <c r="C504" i="66"/>
  <c r="C503" i="66"/>
  <c r="C502" i="66"/>
  <c r="C501" i="66"/>
  <c r="C500" i="66"/>
  <c r="C499" i="66"/>
  <c r="C498" i="66"/>
  <c r="C497" i="66"/>
  <c r="C496" i="66"/>
  <c r="C495" i="66"/>
  <c r="C494" i="66"/>
  <c r="C493" i="66"/>
  <c r="C492" i="66"/>
  <c r="C490" i="66"/>
  <c r="C482" i="66"/>
  <c r="C473" i="66"/>
  <c r="C470" i="66"/>
  <c r="C461" i="66"/>
  <c r="C454" i="66"/>
  <c r="C453" i="66"/>
  <c r="C452" i="66"/>
  <c r="C451" i="66"/>
  <c r="C450" i="66"/>
  <c r="C449" i="66"/>
  <c r="C448" i="66"/>
  <c r="C447" i="66"/>
  <c r="C446" i="66"/>
  <c r="C445" i="66"/>
  <c r="C444" i="66"/>
  <c r="C443" i="66"/>
  <c r="C440" i="66"/>
  <c r="C439" i="66"/>
  <c r="C438" i="66"/>
  <c r="C437" i="66"/>
  <c r="C436" i="66"/>
  <c r="C435" i="66"/>
  <c r="C433" i="66"/>
  <c r="C432" i="66"/>
  <c r="C431" i="66"/>
  <c r="C430" i="66"/>
  <c r="C422" i="66"/>
  <c r="C421" i="66"/>
  <c r="C420" i="66"/>
  <c r="C419" i="66"/>
  <c r="C415" i="66"/>
  <c r="C414" i="66"/>
  <c r="C410" i="66"/>
  <c r="C409" i="66"/>
  <c r="C408" i="66"/>
  <c r="C406" i="66"/>
  <c r="C405" i="66"/>
  <c r="C398" i="66"/>
  <c r="C395" i="66"/>
  <c r="C392" i="66"/>
  <c r="C391" i="66"/>
  <c r="C390" i="66"/>
  <c r="C389" i="66"/>
  <c r="C388" i="66"/>
  <c r="C387" i="66"/>
  <c r="C381" i="66"/>
  <c r="C380" i="66"/>
  <c r="C379" i="66"/>
  <c r="C378" i="66"/>
  <c r="C377" i="66"/>
  <c r="C376" i="66"/>
  <c r="C375" i="66"/>
  <c r="C374" i="66"/>
  <c r="C373" i="66"/>
  <c r="C372" i="66"/>
  <c r="C371" i="66"/>
  <c r="C370" i="66"/>
  <c r="C369" i="66"/>
  <c r="C368" i="66"/>
  <c r="C367" i="66"/>
  <c r="C366" i="66"/>
  <c r="C365" i="66"/>
  <c r="C362" i="66"/>
  <c r="C361" i="66"/>
  <c r="C353" i="66"/>
  <c r="C352" i="66"/>
  <c r="C345" i="66"/>
  <c r="C344" i="66"/>
  <c r="C343" i="66"/>
  <c r="C342" i="66"/>
  <c r="C341" i="66"/>
  <c r="C340" i="66"/>
  <c r="C339" i="66"/>
  <c r="C328" i="66"/>
  <c r="C327" i="66"/>
  <c r="C324" i="66"/>
  <c r="C323" i="66"/>
  <c r="C322" i="66"/>
  <c r="C321" i="66"/>
  <c r="C320" i="66"/>
  <c r="C319" i="66"/>
  <c r="C318" i="66"/>
  <c r="C317" i="66"/>
  <c r="C316" i="66"/>
  <c r="C315" i="66"/>
  <c r="C310" i="66"/>
  <c r="C309" i="66"/>
  <c r="C308" i="66"/>
  <c r="C307" i="66"/>
  <c r="C306" i="66"/>
  <c r="C302" i="66"/>
  <c r="C301" i="66"/>
  <c r="C300" i="66"/>
  <c r="C299" i="66"/>
  <c r="C298" i="66"/>
  <c r="C297" i="66"/>
  <c r="C293" i="66"/>
  <c r="C292" i="66"/>
  <c r="C291" i="66"/>
  <c r="C290" i="66"/>
  <c r="C289" i="66"/>
  <c r="C288" i="66"/>
  <c r="C280" i="66"/>
  <c r="C279" i="66"/>
  <c r="C278" i="66"/>
  <c r="C277" i="66"/>
  <c r="C276" i="66"/>
  <c r="C275" i="66"/>
  <c r="C274" i="66"/>
  <c r="C269" i="66"/>
  <c r="C268" i="66"/>
  <c r="C267" i="66"/>
  <c r="C266" i="66"/>
  <c r="C265" i="66"/>
  <c r="C264" i="66"/>
  <c r="C263" i="66"/>
  <c r="C258" i="66"/>
  <c r="C257" i="66"/>
  <c r="C256" i="66"/>
  <c r="C255" i="66"/>
  <c r="C254" i="66"/>
  <c r="C249" i="66"/>
  <c r="C248" i="66"/>
  <c r="C247" i="66"/>
  <c r="C246" i="66"/>
  <c r="C245" i="66"/>
  <c r="C244" i="66"/>
  <c r="C243" i="66"/>
  <c r="C242" i="66"/>
  <c r="C238" i="66"/>
  <c r="C237" i="66"/>
  <c r="C236" i="66"/>
  <c r="C229" i="66"/>
  <c r="C228" i="66"/>
  <c r="C227" i="66"/>
  <c r="C226" i="66"/>
  <c r="C225" i="66"/>
  <c r="C224" i="66"/>
  <c r="C223" i="66"/>
  <c r="C222" i="66"/>
  <c r="C221" i="66"/>
  <c r="C220" i="66"/>
  <c r="C219" i="66"/>
  <c r="C192" i="66"/>
  <c r="C187" i="66"/>
  <c r="C186" i="66"/>
  <c r="C185" i="66"/>
  <c r="C178" i="66"/>
  <c r="C177" i="66"/>
  <c r="C176" i="66"/>
  <c r="C175" i="66"/>
  <c r="C174" i="66"/>
  <c r="C154" i="66"/>
  <c r="C153" i="66"/>
  <c r="C152" i="66"/>
  <c r="C151" i="66"/>
  <c r="C140" i="66"/>
  <c r="C139" i="66"/>
  <c r="C138" i="66"/>
  <c r="C137" i="66"/>
  <c r="C134" i="66"/>
  <c r="C133" i="66"/>
  <c r="C127" i="66"/>
  <c r="C126" i="66"/>
  <c r="C125" i="66"/>
  <c r="C124" i="66"/>
  <c r="C123" i="66"/>
  <c r="C120" i="66"/>
  <c r="C119" i="66"/>
  <c r="C118" i="66"/>
  <c r="C110" i="66"/>
  <c r="C109" i="66"/>
  <c r="C108" i="66"/>
  <c r="C102" i="66"/>
  <c r="C101" i="66"/>
  <c r="C100" i="66"/>
  <c r="C99" i="66"/>
  <c r="C98" i="66"/>
  <c r="C94" i="66"/>
  <c r="C88" i="66"/>
  <c r="C87" i="66"/>
  <c r="C86" i="66"/>
  <c r="C80" i="66"/>
  <c r="C59" i="66"/>
  <c r="C58" i="66"/>
  <c r="C57" i="66"/>
  <c r="C56" i="66"/>
  <c r="C55" i="66"/>
  <c r="C54" i="66"/>
  <c r="C49" i="66"/>
  <c r="C48" i="66"/>
  <c r="C45" i="66"/>
  <c r="C42" i="66"/>
  <c r="C41" i="66"/>
  <c r="C40" i="66"/>
  <c r="C39" i="66"/>
  <c r="C38" i="66"/>
  <c r="C27" i="66"/>
  <c r="C26" i="66"/>
  <c r="C25" i="66"/>
  <c r="C24" i="66"/>
  <c r="C23" i="66"/>
  <c r="C22" i="66"/>
  <c r="C11" i="66"/>
  <c r="C10" i="66"/>
  <c r="C9" i="66"/>
  <c r="C8" i="66"/>
  <c r="C7" i="66"/>
  <c r="G517" i="66"/>
  <c r="C1952" i="66" l="1"/>
  <c r="A934" i="66"/>
  <c r="A935" i="66" s="1"/>
  <c r="C933" i="66"/>
  <c r="A2384" i="66"/>
  <c r="C2383" i="66"/>
  <c r="A2380" i="66"/>
  <c r="C2379" i="66"/>
  <c r="C2378" i="66"/>
  <c r="C2376" i="66"/>
  <c r="A2369" i="66"/>
  <c r="C2369" i="66" s="1"/>
  <c r="C2368" i="66"/>
  <c r="C2367" i="66"/>
  <c r="C2364" i="66"/>
  <c r="C2362" i="66"/>
  <c r="A2358" i="66"/>
  <c r="C2358" i="66" s="1"/>
  <c r="C2357" i="66"/>
  <c r="A2353" i="66"/>
  <c r="C2353" i="66" s="1"/>
  <c r="C2352" i="66"/>
  <c r="C2349" i="66"/>
  <c r="A2335" i="66"/>
  <c r="C2335" i="66" s="1"/>
  <c r="C2334" i="66"/>
  <c r="A2332" i="66"/>
  <c r="C2332" i="66" s="1"/>
  <c r="C2331" i="66"/>
  <c r="C2023" i="66"/>
  <c r="C1996" i="66"/>
  <c r="A1954" i="66"/>
  <c r="C1953" i="66"/>
  <c r="A1921" i="66"/>
  <c r="C1920" i="66"/>
  <c r="C1919" i="66"/>
  <c r="A1877" i="66"/>
  <c r="C1876" i="66"/>
  <c r="A1012" i="66"/>
  <c r="C1012" i="66" s="1"/>
  <c r="C1011" i="66"/>
  <c r="A1008" i="66"/>
  <c r="C1007" i="66"/>
  <c r="A1004" i="66"/>
  <c r="C1004" i="66" s="1"/>
  <c r="C1003" i="66"/>
  <c r="C997" i="66"/>
  <c r="A992" i="66"/>
  <c r="C991" i="66"/>
  <c r="A982" i="66"/>
  <c r="C981" i="66"/>
  <c r="C980" i="66"/>
  <c r="A906" i="66"/>
  <c r="C906" i="66" s="1"/>
  <c r="C905" i="66"/>
  <c r="C902" i="66"/>
  <c r="A903" i="66"/>
  <c r="A900" i="66" s="1"/>
  <c r="C900" i="66" s="1"/>
  <c r="A897" i="66"/>
  <c r="C896" i="66"/>
  <c r="A533" i="66"/>
  <c r="C532" i="66"/>
  <c r="A472" i="66"/>
  <c r="C472" i="66" s="1"/>
  <c r="C471" i="66"/>
  <c r="A397" i="66"/>
  <c r="C397" i="66" s="1"/>
  <c r="A394" i="66"/>
  <c r="C774" i="66"/>
  <c r="C396" i="66"/>
  <c r="A894" i="66"/>
  <c r="C894" i="66" s="1"/>
  <c r="C489" i="66"/>
  <c r="C769" i="66"/>
  <c r="C934" i="66"/>
  <c r="C893" i="66"/>
  <c r="C483" i="66"/>
  <c r="C484" i="66"/>
  <c r="C485" i="66"/>
  <c r="C486" i="66"/>
  <c r="C487" i="66"/>
  <c r="C488" i="66"/>
  <c r="C802" i="66"/>
  <c r="C803" i="66"/>
  <c r="C416" i="66"/>
  <c r="C804" i="66"/>
  <c r="C417" i="66"/>
  <c r="C805" i="66"/>
  <c r="U1070" i="16"/>
  <c r="U196" i="25"/>
  <c r="DD4" i="2" s="1"/>
  <c r="A936" i="66" l="1"/>
  <c r="C935" i="66"/>
  <c r="A2385" i="66"/>
  <c r="C2384" i="66"/>
  <c r="A2381" i="66"/>
  <c r="C2381" i="66" s="1"/>
  <c r="C2380" i="66"/>
  <c r="A1955" i="66"/>
  <c r="C1955" i="66" s="1"/>
  <c r="C1954" i="66"/>
  <c r="A1922" i="66"/>
  <c r="C1921" i="66"/>
  <c r="A1878" i="66"/>
  <c r="C1877" i="66"/>
  <c r="A1009" i="66"/>
  <c r="C1009" i="66" s="1"/>
  <c r="C1008" i="66"/>
  <c r="A993" i="66"/>
  <c r="C992" i="66"/>
  <c r="A983" i="66"/>
  <c r="C982" i="66"/>
  <c r="C903" i="66"/>
  <c r="A898" i="66"/>
  <c r="C897" i="66"/>
  <c r="A534" i="66"/>
  <c r="C534" i="66" s="1"/>
  <c r="C533" i="66"/>
  <c r="A891" i="66"/>
  <c r="C891" i="66" s="1"/>
  <c r="T1200" i="16"/>
  <c r="T326" i="25"/>
  <c r="C936" i="66" l="1"/>
  <c r="A928" i="66"/>
  <c r="A2386" i="66"/>
  <c r="C2385" i="66"/>
  <c r="A1924" i="66"/>
  <c r="C1922" i="66"/>
  <c r="A1879" i="66"/>
  <c r="C1879" i="66" s="1"/>
  <c r="C1878" i="66"/>
  <c r="A994" i="66"/>
  <c r="C993" i="66"/>
  <c r="A984" i="66"/>
  <c r="C983" i="66"/>
  <c r="A899" i="66"/>
  <c r="C899" i="66" s="1"/>
  <c r="C898" i="66"/>
  <c r="S952" i="16"/>
  <c r="R952" i="16" s="1"/>
  <c r="A929" i="66" l="1"/>
  <c r="C928" i="66"/>
  <c r="A2387" i="66"/>
  <c r="C2386" i="66"/>
  <c r="A1925" i="66"/>
  <c r="C1924" i="66"/>
  <c r="A995" i="66"/>
  <c r="C994" i="66"/>
  <c r="A985" i="66"/>
  <c r="C984" i="66"/>
  <c r="S78" i="25"/>
  <c r="S566" i="16"/>
  <c r="S564" i="16"/>
  <c r="U559" i="16"/>
  <c r="S268" i="24"/>
  <c r="S266" i="24"/>
  <c r="U261" i="24"/>
  <c r="BH4" i="2" s="1"/>
  <c r="A930" i="66" l="1"/>
  <c r="C929" i="66"/>
  <c r="A2388" i="66"/>
  <c r="C2388" i="66" s="1"/>
  <c r="C2387" i="66"/>
  <c r="A1926" i="66"/>
  <c r="C1925" i="66"/>
  <c r="A996" i="66"/>
  <c r="C996" i="66" s="1"/>
  <c r="C995" i="66"/>
  <c r="A986" i="66"/>
  <c r="C986" i="66" s="1"/>
  <c r="C985" i="66"/>
  <c r="T149" i="28"/>
  <c r="Y1086" i="16"/>
  <c r="A931" i="66" l="1"/>
  <c r="C931" i="66" s="1"/>
  <c r="C930" i="66"/>
  <c r="A1927" i="66"/>
  <c r="C1926" i="66"/>
  <c r="R78" i="25"/>
  <c r="A1928" i="66" l="1"/>
  <c r="C1927" i="66"/>
  <c r="Y724" i="16"/>
  <c r="A1929" i="66" l="1"/>
  <c r="C1928" i="66"/>
  <c r="U716" i="16"/>
  <c r="U714" i="16"/>
  <c r="U418" i="24"/>
  <c r="U416" i="24"/>
  <c r="A1930" i="66" l="1"/>
  <c r="C1929" i="66"/>
  <c r="Y2103" i="16"/>
  <c r="A1931" i="66" l="1"/>
  <c r="C1930" i="66"/>
  <c r="U2098" i="16"/>
  <c r="M2098" i="16"/>
  <c r="S2172" i="16"/>
  <c r="S2149" i="16"/>
  <c r="S2147" i="16"/>
  <c r="G2098" i="16" l="1"/>
  <c r="AM2098" i="16"/>
  <c r="A1932" i="66"/>
  <c r="C1931" i="66"/>
  <c r="E66" i="7"/>
  <c r="A1933" i="66" l="1"/>
  <c r="C1932" i="66"/>
  <c r="S2079" i="16"/>
  <c r="S2078" i="16"/>
  <c r="S232" i="28"/>
  <c r="S231" i="28"/>
  <c r="O1450" i="16"/>
  <c r="O576" i="25"/>
  <c r="S936" i="16"/>
  <c r="R936" i="16" s="1"/>
  <c r="S933" i="16"/>
  <c r="R933" i="16" s="1"/>
  <c r="S62" i="25"/>
  <c r="S59" i="25"/>
  <c r="AO1450" i="16" l="1"/>
  <c r="E1450" i="76"/>
  <c r="A1934" i="66"/>
  <c r="C1934" i="66" s="1"/>
  <c r="C1933" i="66"/>
  <c r="I1449" i="66"/>
  <c r="AO576" i="25"/>
  <c r="R230" i="28"/>
  <c r="R2077" i="16"/>
  <c r="Y271" i="16"/>
  <c r="Y270" i="16"/>
  <c r="Y269" i="16"/>
  <c r="Y266" i="16"/>
  <c r="Y264" i="16"/>
  <c r="Y261" i="16"/>
  <c r="U1007" i="16" l="1"/>
  <c r="U1003" i="16"/>
  <c r="U981" i="16"/>
  <c r="U107" i="25"/>
  <c r="CW4" i="2" s="1"/>
  <c r="U133" i="25"/>
  <c r="CZ4" i="2" s="1"/>
  <c r="U129" i="25"/>
  <c r="CY4" i="2" s="1"/>
  <c r="O21" i="3" l="1"/>
  <c r="Y1609" i="16"/>
  <c r="Y1637" i="16"/>
  <c r="Y1648" i="16"/>
  <c r="Y1653" i="16"/>
  <c r="Y1658" i="16"/>
  <c r="Y1659" i="16"/>
  <c r="Y1665" i="16"/>
  <c r="Y1667" i="16"/>
  <c r="Y1674" i="16"/>
  <c r="Y1676" i="16"/>
  <c r="Y1681" i="16"/>
  <c r="Y1692" i="16"/>
  <c r="Y1697" i="16"/>
  <c r="Y1701" i="16"/>
  <c r="Y1713" i="16"/>
  <c r="Y1718" i="16"/>
  <c r="Y1722" i="16"/>
  <c r="Y1724" i="16"/>
  <c r="Y1731" i="16"/>
  <c r="Y1734" i="16"/>
  <c r="Y1738" i="16"/>
  <c r="Y1740" i="16"/>
  <c r="Y1743" i="16"/>
  <c r="Y1745" i="16"/>
  <c r="Y1750" i="16"/>
  <c r="Y1749" i="16"/>
  <c r="Y1751" i="16"/>
  <c r="Y1755" i="16"/>
  <c r="Y1757" i="16"/>
  <c r="Y1761" i="16"/>
  <c r="Y1763" i="16"/>
  <c r="Y1765" i="16"/>
  <c r="Y1766" i="16"/>
  <c r="Y1768" i="16"/>
  <c r="Y1772" i="16"/>
  <c r="Y1786" i="16"/>
  <c r="Y1788" i="16"/>
  <c r="Y1811" i="16"/>
  <c r="Y1814" i="16"/>
  <c r="Y1822" i="16"/>
  <c r="Y1831" i="16"/>
  <c r="Y1837" i="16"/>
  <c r="Y1839" i="16"/>
  <c r="Y1840" i="16"/>
  <c r="Y1843" i="16"/>
  <c r="Y1848" i="16"/>
  <c r="Y1851" i="16"/>
  <c r="Y1853" i="16"/>
  <c r="Y1015" i="16"/>
  <c r="I21" i="3" l="1"/>
  <c r="S157" i="82"/>
  <c r="M251" i="28" l="1"/>
  <c r="AM251" i="28" s="1"/>
  <c r="H124" i="18" l="1"/>
  <c r="D124" i="18"/>
  <c r="K124" i="18" s="1"/>
  <c r="J124" i="18" s="1"/>
  <c r="L123" i="18"/>
  <c r="H123" i="18"/>
  <c r="D123" i="18"/>
  <c r="H122" i="18"/>
  <c r="D122" i="18"/>
  <c r="K122" i="18" s="1"/>
  <c r="J122" i="18" s="1"/>
  <c r="H121" i="18"/>
  <c r="D121" i="18"/>
  <c r="H120" i="18"/>
  <c r="D120" i="18"/>
  <c r="H119" i="18"/>
  <c r="D119" i="18"/>
  <c r="K119" i="18" s="1"/>
  <c r="J119" i="18" s="1"/>
  <c r="L118" i="18"/>
  <c r="H118" i="18"/>
  <c r="D118" i="18"/>
  <c r="H117" i="18"/>
  <c r="D117" i="18"/>
  <c r="K117" i="18" s="1"/>
  <c r="J117" i="18" s="1"/>
  <c r="H116" i="18"/>
  <c r="D116" i="18"/>
  <c r="H115" i="18"/>
  <c r="D115" i="18"/>
  <c r="K124" i="17"/>
  <c r="J124" i="17" s="1"/>
  <c r="K123" i="17"/>
  <c r="J123" i="17" s="1"/>
  <c r="K122" i="17"/>
  <c r="L122" i="18" s="1"/>
  <c r="J122" i="17"/>
  <c r="K121" i="17"/>
  <c r="L121" i="18" s="1"/>
  <c r="K120" i="17"/>
  <c r="J120" i="17" s="1"/>
  <c r="K119" i="17"/>
  <c r="J119" i="17" s="1"/>
  <c r="K118" i="17"/>
  <c r="J118" i="17"/>
  <c r="K117" i="17"/>
  <c r="L117" i="18" s="1"/>
  <c r="J117" i="17"/>
  <c r="K116" i="17"/>
  <c r="J116" i="17" s="1"/>
  <c r="K115" i="17"/>
  <c r="J115" i="17" s="1"/>
  <c r="J121" i="17" l="1"/>
  <c r="K116" i="18"/>
  <c r="J116" i="18" s="1"/>
  <c r="L120" i="18"/>
  <c r="K118" i="18"/>
  <c r="J118" i="18" s="1"/>
  <c r="L124" i="18"/>
  <c r="K123" i="18"/>
  <c r="J123" i="18" s="1"/>
  <c r="K121" i="18"/>
  <c r="J121" i="18" s="1"/>
  <c r="L115" i="18"/>
  <c r="L116" i="18"/>
  <c r="L119" i="18"/>
  <c r="K120" i="18"/>
  <c r="J120" i="18" s="1"/>
  <c r="K115" i="18"/>
  <c r="J115" i="18" s="1"/>
  <c r="BD1601" i="16"/>
  <c r="BC1601" i="16"/>
  <c r="AY1642" i="16"/>
  <c r="P31" i="23"/>
  <c r="AY1615" i="16" s="1"/>
  <c r="P30" i="23"/>
  <c r="AY1614" i="16" s="1"/>
  <c r="S68" i="28" l="1"/>
  <c r="S1630" i="16"/>
  <c r="AX2279" i="16" l="1"/>
  <c r="AX2280" i="16"/>
  <c r="AX2275" i="16"/>
  <c r="AY2275" i="16"/>
  <c r="AX2276" i="16"/>
  <c r="AY2276" i="16"/>
  <c r="AX1879" i="16"/>
  <c r="AX1880" i="16"/>
  <c r="AX1875" i="16"/>
  <c r="AY1875" i="16"/>
  <c r="AX1876" i="16"/>
  <c r="AY1876" i="16"/>
  <c r="AX1618" i="16"/>
  <c r="AX1619" i="16"/>
  <c r="AX1614" i="16"/>
  <c r="AX1615" i="16"/>
  <c r="AX907" i="16"/>
  <c r="AX906" i="16"/>
  <c r="AX902" i="16"/>
  <c r="AY902" i="16"/>
  <c r="AX903" i="16"/>
  <c r="AY903" i="16"/>
  <c r="AX330" i="16"/>
  <c r="AX331" i="16"/>
  <c r="AX326" i="16"/>
  <c r="AY326" i="16"/>
  <c r="AX327" i="16"/>
  <c r="AY327" i="16"/>
  <c r="AX325" i="16"/>
  <c r="AX31" i="16"/>
  <c r="AX32" i="16"/>
  <c r="AX26" i="16"/>
  <c r="AX27" i="16"/>
  <c r="AY27" i="16"/>
  <c r="AX28" i="16"/>
  <c r="AY28" i="16"/>
  <c r="AX32" i="29"/>
  <c r="AY32" i="29"/>
  <c r="AX33" i="29"/>
  <c r="AY33" i="29"/>
  <c r="AX30" i="29"/>
  <c r="AX28" i="29"/>
  <c r="AY28" i="29"/>
  <c r="AX29" i="29"/>
  <c r="AY29" i="29"/>
  <c r="AX32" i="28"/>
  <c r="AY32" i="28"/>
  <c r="AX33" i="28"/>
  <c r="AY33" i="28"/>
  <c r="AX28" i="28"/>
  <c r="AY28" i="28"/>
  <c r="AX29" i="28"/>
  <c r="AY29" i="28"/>
  <c r="AX33" i="82"/>
  <c r="AY33" i="82"/>
  <c r="AX32" i="82"/>
  <c r="AY32" i="82"/>
  <c r="AX28" i="82"/>
  <c r="AY28" i="82"/>
  <c r="AX29" i="82"/>
  <c r="AY29" i="82"/>
  <c r="AX30" i="82"/>
  <c r="AY30" i="82"/>
  <c r="AX32" i="25"/>
  <c r="AY32" i="25"/>
  <c r="AX33" i="25"/>
  <c r="AY33" i="25"/>
  <c r="AX28" i="25"/>
  <c r="AY28" i="25"/>
  <c r="AX29" i="25"/>
  <c r="AY29" i="25"/>
  <c r="AX30" i="25"/>
  <c r="AY30" i="25"/>
  <c r="AX33" i="24"/>
  <c r="AY33" i="24"/>
  <c r="AX32" i="24"/>
  <c r="AY32" i="24"/>
  <c r="AX28" i="24"/>
  <c r="AY28" i="24"/>
  <c r="AX29" i="24"/>
  <c r="AY29" i="24"/>
  <c r="AY28" i="8"/>
  <c r="AY29" i="8"/>
  <c r="AY32" i="8"/>
  <c r="AY33" i="8"/>
  <c r="AX32" i="8"/>
  <c r="AX33" i="8"/>
  <c r="AX28" i="8"/>
  <c r="AX29" i="8"/>
  <c r="E35" i="23"/>
  <c r="P35" i="23" s="1"/>
  <c r="E34" i="23"/>
  <c r="P34" i="23" s="1"/>
  <c r="E31" i="23"/>
  <c r="E30" i="23"/>
  <c r="Q35" i="23"/>
  <c r="Q34" i="23"/>
  <c r="F4" i="2"/>
  <c r="G4" i="2"/>
  <c r="AY2279" i="16" l="1"/>
  <c r="AY1618" i="16"/>
  <c r="AY1880" i="16"/>
  <c r="AY1619" i="16"/>
  <c r="AY32" i="16"/>
  <c r="AY331" i="16"/>
  <c r="AY907" i="16"/>
  <c r="AY2280" i="16"/>
  <c r="AY31" i="16"/>
  <c r="AY906" i="16"/>
  <c r="AY330" i="16"/>
  <c r="AY1879" i="16"/>
  <c r="O17" i="3"/>
  <c r="C26" i="81"/>
  <c r="O25" i="81" l="1"/>
  <c r="N25" i="81"/>
  <c r="AD2455" i="16" l="1"/>
  <c r="AC2455" i="16" s="1"/>
  <c r="AD2452" i="16"/>
  <c r="AC2452" i="16" s="1"/>
  <c r="AD2447" i="16"/>
  <c r="AC2447" i="16" s="1"/>
  <c r="AD2444" i="16"/>
  <c r="AC2444" i="16" s="1"/>
  <c r="AD2442" i="16"/>
  <c r="AC2442" i="16" s="1"/>
  <c r="AE2223" i="16"/>
  <c r="AF2223" i="16" s="1"/>
  <c r="AD2223" i="16"/>
  <c r="AE2216" i="16"/>
  <c r="AD2216" i="16"/>
  <c r="AD2172" i="16"/>
  <c r="AD325" i="28"/>
  <c r="AD2149" i="16"/>
  <c r="AD2147" i="16"/>
  <c r="AC2147" i="16" s="1"/>
  <c r="AE2098" i="16"/>
  <c r="AD2098" i="16"/>
  <c r="AD1594" i="16"/>
  <c r="AC1594" i="16" s="1"/>
  <c r="AD1593" i="16"/>
  <c r="AC1593" i="16" s="1"/>
  <c r="AD1588" i="16"/>
  <c r="AC1588" i="16" s="1"/>
  <c r="AD1584" i="16"/>
  <c r="AC1584" i="16" s="1"/>
  <c r="AD1579" i="16"/>
  <c r="AC1579" i="16" s="1"/>
  <c r="AD1575" i="16"/>
  <c r="AC1575" i="16" s="1"/>
  <c r="AD1573" i="16"/>
  <c r="AC1573" i="16" s="1"/>
  <c r="AD1563" i="16"/>
  <c r="AC1563" i="16" s="1"/>
  <c r="AD1560" i="16"/>
  <c r="AC1560" i="16" s="1"/>
  <c r="AD1542" i="16"/>
  <c r="AC1542" i="16" s="1"/>
  <c r="AD1540" i="16"/>
  <c r="AC1540" i="16" s="1"/>
  <c r="AD1538" i="16"/>
  <c r="AC1538" i="16" s="1"/>
  <c r="AD1535" i="16"/>
  <c r="AC1535" i="16" s="1"/>
  <c r="AD1533" i="16"/>
  <c r="AC1533" i="16" s="1"/>
  <c r="AD1531" i="16"/>
  <c r="AC1531" i="16" s="1"/>
  <c r="AD1506" i="16"/>
  <c r="AC1506" i="16" s="1"/>
  <c r="AD1501" i="16"/>
  <c r="AC1501" i="16" s="1"/>
  <c r="AD1498" i="16"/>
  <c r="AC1498" i="16" s="1"/>
  <c r="AD1496" i="16"/>
  <c r="AC1496" i="16" s="1"/>
  <c r="AD1495" i="16"/>
  <c r="AC1495" i="16" s="1"/>
  <c r="AD1494" i="16"/>
  <c r="AC1494" i="16" s="1"/>
  <c r="AD1493" i="16"/>
  <c r="AC1493" i="16" s="1"/>
  <c r="AD1472" i="16"/>
  <c r="AC1472" i="16" s="1"/>
  <c r="AD1470" i="16"/>
  <c r="AC1470" i="16" s="1"/>
  <c r="AE1461" i="16"/>
  <c r="AD1461" i="16"/>
  <c r="AD1459" i="16"/>
  <c r="AC1459" i="16" s="1"/>
  <c r="AE1453" i="16"/>
  <c r="AD1431" i="16"/>
  <c r="AC1431" i="16" s="1"/>
  <c r="AD1429" i="16"/>
  <c r="AC1429" i="16" s="1"/>
  <c r="AD1420" i="16"/>
  <c r="AC1420" i="16" s="1"/>
  <c r="AD1418" i="16"/>
  <c r="AC1418" i="16" s="1"/>
  <c r="AD1415" i="16"/>
  <c r="AC1415" i="16" s="1"/>
  <c r="AD1410" i="16"/>
  <c r="AC1410" i="16" s="1"/>
  <c r="AD1409" i="16"/>
  <c r="AC1409" i="16" s="1"/>
  <c r="AD1404" i="16"/>
  <c r="AC1404" i="16" s="1"/>
  <c r="AD1401" i="16"/>
  <c r="AC1401" i="16" s="1"/>
  <c r="AD1383" i="16"/>
  <c r="AC1383" i="16" s="1"/>
  <c r="AD1379" i="16"/>
  <c r="AC1379" i="16" s="1"/>
  <c r="AE998" i="16"/>
  <c r="AE864" i="16"/>
  <c r="AD864" i="16"/>
  <c r="AE776" i="16"/>
  <c r="AE770" i="16"/>
  <c r="AE764" i="16"/>
  <c r="AE757" i="16"/>
  <c r="AE595" i="16"/>
  <c r="AC595" i="16" s="1"/>
  <c r="AE593" i="16"/>
  <c r="AC593" i="16" s="1"/>
  <c r="AE591" i="16"/>
  <c r="AC591" i="16" s="1"/>
  <c r="AE589" i="16"/>
  <c r="AC589" i="16" s="1"/>
  <c r="AE584" i="16"/>
  <c r="AC584" i="16" s="1"/>
  <c r="AE577" i="16"/>
  <c r="AC577" i="16" s="1"/>
  <c r="AE571" i="16"/>
  <c r="AC571" i="16" s="1"/>
  <c r="AE542" i="16"/>
  <c r="AD542" i="16"/>
  <c r="AD304" i="16"/>
  <c r="AC304" i="16" s="1"/>
  <c r="AE225" i="16"/>
  <c r="AC225" i="16" s="1"/>
  <c r="AE47" i="16"/>
  <c r="AC47" i="16" s="1"/>
  <c r="AE44" i="16"/>
  <c r="AC44" i="16" s="1"/>
  <c r="AC1461" i="16" l="1"/>
  <c r="AC864" i="16"/>
  <c r="AC2216" i="16"/>
  <c r="AC2223" i="16"/>
  <c r="AC2098" i="16"/>
  <c r="AC542" i="16"/>
  <c r="AF2216" i="16"/>
  <c r="AF2098" i="16"/>
  <c r="AD305" i="8"/>
  <c r="AC305" i="8" s="1"/>
  <c r="O99" i="8"/>
  <c r="O98" i="16"/>
  <c r="I97" i="66" l="1"/>
  <c r="C97" i="66" s="1"/>
  <c r="AO99" i="8"/>
  <c r="AO98" i="16"/>
  <c r="E98" i="76"/>
  <c r="Y2455" i="16"/>
  <c r="Y2452" i="16"/>
  <c r="Y2436" i="16"/>
  <c r="Y2435" i="16"/>
  <c r="Y2434" i="16"/>
  <c r="Y2433" i="16"/>
  <c r="Y2432" i="16"/>
  <c r="Y2431" i="16"/>
  <c r="Y2430" i="16"/>
  <c r="Y2425" i="16"/>
  <c r="Y2424" i="16"/>
  <c r="Y2423" i="16"/>
  <c r="Y2422" i="16"/>
  <c r="Y2421" i="16"/>
  <c r="Y2420" i="16"/>
  <c r="Y2418" i="16"/>
  <c r="Y2417" i="16"/>
  <c r="Y2416" i="16"/>
  <c r="Y2399" i="16"/>
  <c r="Y2247" i="16"/>
  <c r="Y2243" i="16"/>
  <c r="Y2238" i="16"/>
  <c r="Y2236" i="16"/>
  <c r="Y2235" i="16"/>
  <c r="Y2223" i="16"/>
  <c r="Y2216" i="16"/>
  <c r="Y2181" i="16"/>
  <c r="Y2172" i="16"/>
  <c r="Y2149" i="16"/>
  <c r="Y2109" i="16"/>
  <c r="Y2098" i="16"/>
  <c r="Y2096" i="16"/>
  <c r="Y2073" i="16"/>
  <c r="Y2018" i="16"/>
  <c r="Y1594" i="16"/>
  <c r="Y1593" i="16"/>
  <c r="Y1588" i="16"/>
  <c r="Y1584" i="16"/>
  <c r="Y1579" i="16"/>
  <c r="Y1575" i="16"/>
  <c r="Y1573" i="16"/>
  <c r="Y1568" i="16"/>
  <c r="Y1563" i="16"/>
  <c r="Y1560" i="16"/>
  <c r="Y1559" i="16"/>
  <c r="Y1558" i="16"/>
  <c r="Y1552" i="16"/>
  <c r="Y1538" i="16"/>
  <c r="Y1535" i="16"/>
  <c r="Y1533" i="16"/>
  <c r="Y1531" i="16"/>
  <c r="Y1524" i="16"/>
  <c r="Y1523" i="16"/>
  <c r="Y1522" i="16"/>
  <c r="Y1521" i="16"/>
  <c r="Y1520" i="16"/>
  <c r="Y1519" i="16"/>
  <c r="Y1518" i="16"/>
  <c r="Y1517" i="16"/>
  <c r="Y1513" i="16"/>
  <c r="Y1506" i="16"/>
  <c r="Y1501" i="16"/>
  <c r="Y1498" i="16"/>
  <c r="Y1496" i="16"/>
  <c r="Y1495" i="16"/>
  <c r="Y1494" i="16"/>
  <c r="Y1493" i="16"/>
  <c r="Y1486" i="16"/>
  <c r="Y1484" i="16"/>
  <c r="Y1482" i="16"/>
  <c r="Y1479" i="16"/>
  <c r="Y1478" i="16"/>
  <c r="Y1477" i="16"/>
  <c r="Y1476" i="16"/>
  <c r="Y1475" i="16"/>
  <c r="Y1474" i="16"/>
  <c r="Y1473" i="16"/>
  <c r="Y1464" i="16"/>
  <c r="Y1461" i="16"/>
  <c r="Y1459" i="16"/>
  <c r="Y1453" i="16"/>
  <c r="Y1450" i="16"/>
  <c r="Y1433" i="16"/>
  <c r="Y1431" i="16"/>
  <c r="Y1429" i="16"/>
  <c r="Y1427" i="16"/>
  <c r="Y1426" i="16"/>
  <c r="Y1425" i="16"/>
  <c r="Y1424" i="16"/>
  <c r="Y1423" i="16"/>
  <c r="Y1422" i="16"/>
  <c r="Y1420" i="16"/>
  <c r="Y1418" i="16"/>
  <c r="Y1415" i="16"/>
  <c r="Y1410" i="16"/>
  <c r="Y1409" i="16"/>
  <c r="Y1406" i="16"/>
  <c r="Y1404" i="16"/>
  <c r="Y1401" i="16"/>
  <c r="Y1396" i="16"/>
  <c r="Y1391" i="16"/>
  <c r="Y1387" i="16"/>
  <c r="Y1383" i="16"/>
  <c r="Y1379" i="16"/>
  <c r="Y1371" i="16"/>
  <c r="Y1368" i="16"/>
  <c r="Y1360" i="16"/>
  <c r="Y1357" i="16"/>
  <c r="Y1353" i="16"/>
  <c r="Y1348" i="16"/>
  <c r="Y1346" i="16"/>
  <c r="Y1344" i="16"/>
  <c r="Y1339" i="16"/>
  <c r="Y1337" i="16"/>
  <c r="Y1335" i="16"/>
  <c r="Y1333" i="16"/>
  <c r="Y1332" i="16"/>
  <c r="Y1331" i="16"/>
  <c r="Y1329" i="16"/>
  <c r="Y1321" i="16"/>
  <c r="Y1314" i="16"/>
  <c r="Y1313" i="16"/>
  <c r="Y1311" i="16"/>
  <c r="Y1309" i="16"/>
  <c r="Y1308" i="16"/>
  <c r="Y1307" i="16"/>
  <c r="Y1304" i="16"/>
  <c r="Y1302" i="16"/>
  <c r="Y1300" i="16"/>
  <c r="Y1297" i="16"/>
  <c r="Y1295" i="16"/>
  <c r="Y1290" i="16"/>
  <c r="Y1289" i="16"/>
  <c r="Y1288" i="16"/>
  <c r="Y1285" i="16"/>
  <c r="Y1283" i="16"/>
  <c r="Y1281" i="16"/>
  <c r="Y1260" i="16"/>
  <c r="Y1258" i="16"/>
  <c r="Y1256" i="16"/>
  <c r="Y1254" i="16"/>
  <c r="Y1205" i="16"/>
  <c r="Y1195" i="16"/>
  <c r="Y1194" i="16"/>
  <c r="Y1192" i="16"/>
  <c r="Y1191" i="16"/>
  <c r="Y1189" i="16"/>
  <c r="Y1188" i="16"/>
  <c r="Y1183" i="16"/>
  <c r="Y1176" i="16"/>
  <c r="Y1169" i="16"/>
  <c r="Y1166" i="16"/>
  <c r="Y1165" i="16"/>
  <c r="Y1163" i="16"/>
  <c r="Y1157" i="16"/>
  <c r="Y1153" i="16"/>
  <c r="Y1151" i="16"/>
  <c r="Y1145" i="16"/>
  <c r="Y1139" i="16"/>
  <c r="Y1134" i="16"/>
  <c r="Y1131" i="16"/>
  <c r="Y1125" i="16"/>
  <c r="Y1119" i="16"/>
  <c r="Y1112" i="16"/>
  <c r="Y1106" i="16"/>
  <c r="Y1096" i="16"/>
  <c r="Y1077" i="16"/>
  <c r="Y1070" i="16"/>
  <c r="Y1065" i="16"/>
  <c r="Y1061" i="16"/>
  <c r="Y1059" i="16"/>
  <c r="Y1052" i="16"/>
  <c r="Y1049" i="16"/>
  <c r="Y1046" i="16"/>
  <c r="Y1034" i="16"/>
  <c r="Y998" i="16"/>
  <c r="Y926" i="16"/>
  <c r="Y868" i="16"/>
  <c r="Y542" i="16"/>
  <c r="Y304" i="16"/>
  <c r="Y302" i="16"/>
  <c r="Y300" i="16"/>
  <c r="Y298" i="16"/>
  <c r="Y293" i="16"/>
  <c r="Y292" i="16"/>
  <c r="Y289" i="16"/>
  <c r="Y286" i="16"/>
  <c r="Y282" i="16"/>
  <c r="Y149" i="16"/>
  <c r="Y129" i="16"/>
  <c r="Y127" i="16"/>
  <c r="Y47" i="16"/>
  <c r="Y44" i="16"/>
  <c r="Y42" i="16"/>
  <c r="Y28" i="16"/>
  <c r="G2074" i="16" l="1"/>
  <c r="G2075" i="16" s="1"/>
  <c r="G2100" i="16"/>
  <c r="G2101" i="16" s="1"/>
  <c r="G2102" i="16" s="1"/>
  <c r="G2019" i="16"/>
  <c r="G2020" i="16" s="1"/>
  <c r="G2021" i="16" s="1"/>
  <c r="G2022" i="16" s="1"/>
  <c r="G2023" i="16" s="1"/>
  <c r="G1214" i="16"/>
  <c r="G1215" i="16" l="1"/>
  <c r="G1216" i="16" s="1"/>
  <c r="O2459" i="16"/>
  <c r="O2455" i="16"/>
  <c r="O2452" i="16"/>
  <c r="O2426" i="16"/>
  <c r="O2414" i="16"/>
  <c r="U2247" i="16"/>
  <c r="O2243" i="16"/>
  <c r="O2234" i="16"/>
  <c r="M376" i="28"/>
  <c r="AM376" i="28" s="1"/>
  <c r="M369" i="28"/>
  <c r="AM369" i="28" s="1"/>
  <c r="M2223" i="16"/>
  <c r="M2216" i="16"/>
  <c r="O2096" i="16"/>
  <c r="O2073" i="16"/>
  <c r="O2247" i="16"/>
  <c r="G2223" i="16" l="1"/>
  <c r="G2224" i="16" s="1"/>
  <c r="G2225" i="16" s="1"/>
  <c r="AM2223" i="16"/>
  <c r="AO2452" i="16"/>
  <c r="E2452" i="76"/>
  <c r="AO2073" i="16"/>
  <c r="E2073" i="76"/>
  <c r="AO2455" i="16"/>
  <c r="E2455" i="76"/>
  <c r="AO2243" i="16"/>
  <c r="E2243" i="76"/>
  <c r="AO2096" i="16"/>
  <c r="E2096" i="76"/>
  <c r="AO2414" i="16"/>
  <c r="E2414" i="76"/>
  <c r="E2459" i="76"/>
  <c r="AO2459" i="16"/>
  <c r="G2216" i="16"/>
  <c r="AM2216" i="16"/>
  <c r="AO2234" i="16"/>
  <c r="E2234" i="76"/>
  <c r="AO2426" i="16"/>
  <c r="E2426" i="76"/>
  <c r="AO2247" i="16"/>
  <c r="E2247" i="76"/>
  <c r="G2217" i="16"/>
  <c r="O2172" i="16"/>
  <c r="O2149" i="16"/>
  <c r="G2218" i="16" l="1"/>
  <c r="G2219" i="16" s="1"/>
  <c r="G2220" i="16" s="1"/>
  <c r="G2221" i="16" s="1"/>
  <c r="G2222" i="16" s="1"/>
  <c r="G2214" i="16"/>
  <c r="E2149" i="76"/>
  <c r="AO2149" i="16"/>
  <c r="E2172" i="76"/>
  <c r="AO2172" i="16"/>
  <c r="G2110" i="16"/>
  <c r="G2111" i="16" s="1"/>
  <c r="G2112" i="16" s="1"/>
  <c r="G2113" i="16" s="1"/>
  <c r="G2114" i="16" s="1"/>
  <c r="G2115" i="16" s="1"/>
  <c r="G2116" i="16" s="1"/>
  <c r="G2117" i="16" s="1"/>
  <c r="G2118" i="16" s="1"/>
  <c r="G2119" i="16" s="1"/>
  <c r="G2120" i="16" s="1"/>
  <c r="G2121" i="16" s="1"/>
  <c r="G2122" i="16" s="1"/>
  <c r="G2123" i="16" s="1"/>
  <c r="G2124" i="16" s="1"/>
  <c r="G2125" i="16" s="1"/>
  <c r="G2126" i="16" s="1"/>
  <c r="G2127" i="16" s="1"/>
  <c r="G2128" i="16" s="1"/>
  <c r="G2129" i="16" s="1"/>
  <c r="G2130" i="16" s="1"/>
  <c r="G2131" i="16" s="1"/>
  <c r="G2132" i="16" s="1"/>
  <c r="G2133" i="16" s="1"/>
  <c r="G2134" i="16" s="1"/>
  <c r="G2135" i="16" s="1"/>
  <c r="G2136" i="16" s="1"/>
  <c r="G2137" i="16" s="1"/>
  <c r="G2138" i="16" s="1"/>
  <c r="G2139" i="16" s="1"/>
  <c r="G2140" i="16" s="1"/>
  <c r="G2141" i="16" s="1"/>
  <c r="G2142" i="16" s="1"/>
  <c r="G2143" i="16" s="1"/>
  <c r="G2144" i="16" s="1"/>
  <c r="AX12" i="28"/>
  <c r="AX13" i="28"/>
  <c r="AX14" i="28"/>
  <c r="AX15" i="28"/>
  <c r="AX16" i="28"/>
  <c r="AX17" i="28"/>
  <c r="AX19" i="28"/>
  <c r="AX20" i="28"/>
  <c r="AX21" i="28"/>
  <c r="AX27" i="28"/>
  <c r="AX23" i="28"/>
  <c r="AX24" i="28"/>
  <c r="AX25" i="28"/>
  <c r="AX30" i="28"/>
  <c r="AX34" i="28"/>
  <c r="AX36" i="28"/>
  <c r="AX37" i="28"/>
  <c r="AX38" i="28"/>
  <c r="AX39" i="28"/>
  <c r="AX40" i="28"/>
  <c r="AX41" i="28"/>
  <c r="AX42" i="28"/>
  <c r="AX43" i="28"/>
  <c r="AX44" i="28"/>
  <c r="AX46" i="28"/>
  <c r="AX47" i="28"/>
  <c r="AX48" i="28"/>
  <c r="AX49" i="28"/>
  <c r="AX50" i="28"/>
  <c r="AX51" i="28"/>
  <c r="AX52" i="28"/>
  <c r="AX53" i="28"/>
  <c r="AX54" i="28"/>
  <c r="AX56" i="28"/>
  <c r="AX57" i="28"/>
  <c r="AX58" i="28"/>
  <c r="AX59" i="28"/>
  <c r="AX60" i="28"/>
  <c r="AX61" i="28"/>
  <c r="AX63" i="28"/>
  <c r="AX64" i="28"/>
  <c r="AD189" i="28"/>
  <c r="AE208" i="29"/>
  <c r="AD208" i="29"/>
  <c r="AE205" i="29"/>
  <c r="AD205" i="29"/>
  <c r="AE200" i="29"/>
  <c r="AD200" i="29"/>
  <c r="AE197" i="29"/>
  <c r="AD197" i="29"/>
  <c r="AE195" i="29"/>
  <c r="AD195" i="29"/>
  <c r="AE189" i="29"/>
  <c r="AE188" i="29"/>
  <c r="AE187" i="29"/>
  <c r="AE186" i="29"/>
  <c r="AE185" i="29"/>
  <c r="AE184" i="29"/>
  <c r="AE183" i="29"/>
  <c r="AE178" i="29"/>
  <c r="AE177" i="29"/>
  <c r="AE176" i="29"/>
  <c r="AE175" i="29"/>
  <c r="AE174" i="29"/>
  <c r="AE173" i="29"/>
  <c r="O208" i="29"/>
  <c r="O205" i="29"/>
  <c r="O212" i="29"/>
  <c r="O179" i="29"/>
  <c r="O167" i="29"/>
  <c r="AO167" i="29" s="1"/>
  <c r="AE23" i="28"/>
  <c r="AE251" i="28"/>
  <c r="AD251" i="28"/>
  <c r="AE300" i="28"/>
  <c r="AD300" i="28"/>
  <c r="AD302" i="28"/>
  <c r="AE376" i="28"/>
  <c r="AD376" i="28"/>
  <c r="AE369" i="28"/>
  <c r="AD369" i="28"/>
  <c r="O396" i="28"/>
  <c r="AO396" i="28" s="1"/>
  <c r="O387" i="28"/>
  <c r="AO387" i="28" s="1"/>
  <c r="U400" i="28"/>
  <c r="FK4" i="2" s="1"/>
  <c r="O327" i="28"/>
  <c r="U251" i="28"/>
  <c r="O249" i="28"/>
  <c r="AO249" i="28" s="1"/>
  <c r="AY1903" i="16"/>
  <c r="U1599" i="16"/>
  <c r="U1843" i="16"/>
  <c r="O1840" i="16"/>
  <c r="U1837" i="16"/>
  <c r="U1822" i="16"/>
  <c r="U1814" i="16"/>
  <c r="U1786" i="16"/>
  <c r="U1772" i="16"/>
  <c r="U1743" i="16"/>
  <c r="S1743" i="16"/>
  <c r="T1743" i="16" s="1"/>
  <c r="AD1743" i="16" s="1"/>
  <c r="R1743" i="16"/>
  <c r="U1734" i="16"/>
  <c r="U1724" i="16"/>
  <c r="U1718" i="16"/>
  <c r="U1713" i="16"/>
  <c r="U1703" i="16"/>
  <c r="U1701" i="16"/>
  <c r="U1697" i="16"/>
  <c r="U1692" i="16"/>
  <c r="U1681" i="16"/>
  <c r="U1659" i="16"/>
  <c r="U1627" i="16"/>
  <c r="AX1650" i="16"/>
  <c r="AX1649" i="16"/>
  <c r="AX1647" i="16"/>
  <c r="AX1646" i="16"/>
  <c r="AX1645" i="16"/>
  <c r="AX1644" i="16"/>
  <c r="AX1643" i="16"/>
  <c r="AX1642" i="16"/>
  <c r="AX1640" i="16"/>
  <c r="AX1639" i="16"/>
  <c r="AX1638" i="16"/>
  <c r="AX1637" i="16"/>
  <c r="AX1636" i="16"/>
  <c r="AX1635" i="16"/>
  <c r="AX1634" i="16"/>
  <c r="AX1633" i="16"/>
  <c r="AX1632" i="16"/>
  <c r="AX1630" i="16"/>
  <c r="AX1629" i="16"/>
  <c r="AX1628" i="16"/>
  <c r="AX1627" i="16"/>
  <c r="AX1626" i="16"/>
  <c r="AX1625" i="16"/>
  <c r="AX1624" i="16"/>
  <c r="AX1623" i="16"/>
  <c r="AX1622" i="16"/>
  <c r="AX1620" i="16"/>
  <c r="AX1616" i="16"/>
  <c r="AX1611" i="16"/>
  <c r="AX1610" i="16"/>
  <c r="AX1609" i="16"/>
  <c r="AX1613" i="16"/>
  <c r="AX1607" i="16"/>
  <c r="AX1606" i="16"/>
  <c r="AX1605" i="16"/>
  <c r="AX1603" i="16"/>
  <c r="AX1602" i="16"/>
  <c r="AX1601" i="16"/>
  <c r="AX1600" i="16"/>
  <c r="AX1599" i="16"/>
  <c r="AX1598" i="16"/>
  <c r="AX1597" i="16"/>
  <c r="AD1007" i="16"/>
  <c r="R1007" i="16"/>
  <c r="AD1003" i="16"/>
  <c r="R1003" i="16"/>
  <c r="T998" i="16"/>
  <c r="AD998" i="16" s="1"/>
  <c r="AC998" i="16" s="1"/>
  <c r="M998" i="16"/>
  <c r="U991" i="16"/>
  <c r="T991" i="16"/>
  <c r="R991" i="16"/>
  <c r="M991" i="16" s="1"/>
  <c r="T981" i="16"/>
  <c r="AD981" i="16" s="1"/>
  <c r="R981" i="16"/>
  <c r="S955" i="16"/>
  <c r="T936" i="16"/>
  <c r="T933" i="16"/>
  <c r="U928" i="16"/>
  <c r="S928" i="16"/>
  <c r="R928" i="16" s="1"/>
  <c r="AE928" i="16" s="1"/>
  <c r="AF928" i="16" s="1"/>
  <c r="U927" i="16"/>
  <c r="S927" i="16"/>
  <c r="T927" i="16" s="1"/>
  <c r="AD927" i="16" s="1"/>
  <c r="U926" i="16"/>
  <c r="S926" i="16"/>
  <c r="T926" i="16" s="1"/>
  <c r="AD926" i="16" s="1"/>
  <c r="U925" i="16"/>
  <c r="S925" i="16"/>
  <c r="T925" i="16" s="1"/>
  <c r="AD925" i="16" s="1"/>
  <c r="U924" i="16"/>
  <c r="S924" i="16"/>
  <c r="T924" i="16" s="1"/>
  <c r="AD924" i="16" s="1"/>
  <c r="U923" i="16"/>
  <c r="S923" i="16"/>
  <c r="T923" i="16" s="1"/>
  <c r="AD923" i="16" s="1"/>
  <c r="U922" i="16"/>
  <c r="S922" i="16"/>
  <c r="T922" i="16" s="1"/>
  <c r="AD922" i="16" s="1"/>
  <c r="U921" i="16"/>
  <c r="S921" i="16"/>
  <c r="T921" i="16" s="1"/>
  <c r="AD921" i="16" s="1"/>
  <c r="U920" i="16"/>
  <c r="S920" i="16"/>
  <c r="R920" i="16" s="1"/>
  <c r="AE920" i="16" s="1"/>
  <c r="AF920" i="16" s="1"/>
  <c r="U919" i="16"/>
  <c r="S919" i="16"/>
  <c r="T919" i="16" s="1"/>
  <c r="AD919" i="16" s="1"/>
  <c r="U918" i="16"/>
  <c r="S918" i="16"/>
  <c r="T918" i="16" s="1"/>
  <c r="AD918" i="16" s="1"/>
  <c r="U917" i="16"/>
  <c r="S917" i="16"/>
  <c r="T917" i="16" s="1"/>
  <c r="AD917" i="16" s="1"/>
  <c r="U916" i="16"/>
  <c r="S916" i="16"/>
  <c r="T916" i="16" s="1"/>
  <c r="AD916" i="16" s="1"/>
  <c r="U896" i="16"/>
  <c r="T893" i="16"/>
  <c r="R893" i="16"/>
  <c r="M893" i="16" s="1"/>
  <c r="T886" i="16"/>
  <c r="R886" i="16"/>
  <c r="M886" i="16" s="1"/>
  <c r="U884" i="16"/>
  <c r="U1579" i="16"/>
  <c r="U1506" i="16"/>
  <c r="U1464" i="16"/>
  <c r="U1396" i="16"/>
  <c r="U1391" i="16"/>
  <c r="U1387" i="16"/>
  <c r="U1379" i="16"/>
  <c r="U1260" i="16"/>
  <c r="M1254" i="16"/>
  <c r="AM1254" i="16" s="1"/>
  <c r="M1226" i="16"/>
  <c r="AM1226" i="16" s="1"/>
  <c r="U1206" i="16"/>
  <c r="U1195" i="16"/>
  <c r="T1121" i="16"/>
  <c r="M1273" i="16" s="1"/>
  <c r="AM1273" i="16" s="1"/>
  <c r="U1113" i="16"/>
  <c r="U1107" i="16"/>
  <c r="U1096" i="16"/>
  <c r="U1086" i="16"/>
  <c r="U1077" i="16"/>
  <c r="O1059" i="16"/>
  <c r="AX930" i="16"/>
  <c r="AY930" i="16"/>
  <c r="AX901" i="16"/>
  <c r="S1264" i="16"/>
  <c r="AE1107" i="16"/>
  <c r="W884" i="16"/>
  <c r="W1599" i="16"/>
  <c r="S1247" i="16"/>
  <c r="S1219" i="16"/>
  <c r="S1241" i="16"/>
  <c r="S1702" i="16"/>
  <c r="S300" i="28"/>
  <c r="S1704" i="16"/>
  <c r="S302" i="28"/>
  <c r="S1214" i="16"/>
  <c r="O1579" i="16"/>
  <c r="AE1113" i="16"/>
  <c r="O1506" i="16"/>
  <c r="O400" i="28"/>
  <c r="S325" i="28"/>
  <c r="O1659" i="16"/>
  <c r="F884" i="76" l="1"/>
  <c r="G998" i="16"/>
  <c r="G999" i="16" s="1"/>
  <c r="AM998" i="16"/>
  <c r="G991" i="16"/>
  <c r="G992" i="16" s="1"/>
  <c r="G993" i="16" s="1"/>
  <c r="G994" i="16" s="1"/>
  <c r="G995" i="16" s="1"/>
  <c r="G996" i="16" s="1"/>
  <c r="G997" i="16" s="1"/>
  <c r="AM991" i="16"/>
  <c r="G886" i="16"/>
  <c r="G887" i="16" s="1"/>
  <c r="G888" i="16" s="1"/>
  <c r="G889" i="16" s="1"/>
  <c r="G890" i="16" s="1"/>
  <c r="G891" i="16" s="1"/>
  <c r="G892" i="16" s="1"/>
  <c r="AM886" i="16"/>
  <c r="AO1059" i="16"/>
  <c r="E1059" i="76"/>
  <c r="G893" i="16"/>
  <c r="G894" i="16" s="1"/>
  <c r="G895" i="16" s="1"/>
  <c r="AM893" i="16"/>
  <c r="AO1840" i="16"/>
  <c r="E1840" i="76"/>
  <c r="AO1659" i="16"/>
  <c r="AO1579" i="16"/>
  <c r="AO1506" i="16"/>
  <c r="AC197" i="29"/>
  <c r="I2173" i="66"/>
  <c r="A2174" i="66" s="1"/>
  <c r="C2174" i="66" s="1"/>
  <c r="AO327" i="28"/>
  <c r="AO400" i="28"/>
  <c r="AC208" i="29"/>
  <c r="F1599" i="76"/>
  <c r="E1659" i="76"/>
  <c r="E1579" i="76"/>
  <c r="E1506" i="76"/>
  <c r="N2243" i="16"/>
  <c r="G2244" i="16" s="1"/>
  <c r="G2245" i="16" s="1"/>
  <c r="G2246" i="16" s="1"/>
  <c r="I2242" i="66"/>
  <c r="N2426" i="16"/>
  <c r="G2427" i="16" s="1"/>
  <c r="G2428" i="16" s="1"/>
  <c r="G2429" i="16" s="1"/>
  <c r="G2430" i="16" s="1"/>
  <c r="G2431" i="16" s="1"/>
  <c r="G2432" i="16" s="1"/>
  <c r="G2433" i="16" s="1"/>
  <c r="G2434" i="16" s="1"/>
  <c r="G2435" i="16" s="1"/>
  <c r="G2436" i="16" s="1"/>
  <c r="I2425" i="66"/>
  <c r="N2459" i="16"/>
  <c r="G2460" i="16" s="1"/>
  <c r="G2461" i="16" s="1"/>
  <c r="G2462" i="16" s="1"/>
  <c r="G2463" i="16" s="1"/>
  <c r="G2464" i="16" s="1"/>
  <c r="G2465" i="16" s="1"/>
  <c r="G2466" i="16" s="1"/>
  <c r="G2467" i="16" s="1"/>
  <c r="G2468" i="16" s="1"/>
  <c r="I2458" i="66"/>
  <c r="N2096" i="16"/>
  <c r="I2095" i="66"/>
  <c r="A2095" i="66" s="1"/>
  <c r="N2455" i="16"/>
  <c r="G2456" i="16" s="1"/>
  <c r="G2457" i="16" s="1"/>
  <c r="G2458" i="16" s="1"/>
  <c r="I2454" i="66"/>
  <c r="N2452" i="16"/>
  <c r="G2453" i="16" s="1"/>
  <c r="I2451" i="66"/>
  <c r="AC200" i="29"/>
  <c r="N2234" i="16"/>
  <c r="G2235" i="16" s="1"/>
  <c r="G2236" i="16" s="1"/>
  <c r="G2237" i="16" s="1"/>
  <c r="I2233" i="66"/>
  <c r="C2233" i="66" s="1"/>
  <c r="N2414" i="16"/>
  <c r="I2413" i="66"/>
  <c r="A2413" i="66" s="1"/>
  <c r="AC205" i="29"/>
  <c r="T955" i="16"/>
  <c r="R955" i="16"/>
  <c r="I2246" i="66"/>
  <c r="A2246" i="66" s="1"/>
  <c r="AC251" i="28"/>
  <c r="M929" i="16"/>
  <c r="R918" i="16"/>
  <c r="AE918" i="16" s="1"/>
  <c r="AF918" i="16" s="1"/>
  <c r="M1159" i="16"/>
  <c r="AM1159" i="16" s="1"/>
  <c r="M1007" i="16"/>
  <c r="AE1007" i="16"/>
  <c r="AC1007" i="16" s="1"/>
  <c r="M1240" i="16"/>
  <c r="AM1240" i="16" s="1"/>
  <c r="M981" i="16"/>
  <c r="AE981" i="16"/>
  <c r="AC981" i="16" s="1"/>
  <c r="M1003" i="16"/>
  <c r="AE1003" i="16"/>
  <c r="AC1003" i="16" s="1"/>
  <c r="T884" i="16"/>
  <c r="AD884" i="16" s="1"/>
  <c r="AE884" i="16"/>
  <c r="AF884" i="16" s="1"/>
  <c r="T1599" i="16"/>
  <c r="AD1599" i="16" s="1"/>
  <c r="AE1599" i="16"/>
  <c r="AF1599" i="16" s="1"/>
  <c r="M1743" i="16"/>
  <c r="AE1743" i="16"/>
  <c r="AC1743" i="16" s="1"/>
  <c r="AC300" i="28"/>
  <c r="AC195" i="29"/>
  <c r="O325" i="28"/>
  <c r="AO325" i="28" s="1"/>
  <c r="AC376" i="28"/>
  <c r="FH4" i="2"/>
  <c r="M1201" i="16"/>
  <c r="AM1201" i="16" s="1"/>
  <c r="N2247" i="16"/>
  <c r="O302" i="28"/>
  <c r="AO302" i="28" s="1"/>
  <c r="AC369" i="28"/>
  <c r="T952" i="16"/>
  <c r="R922" i="16"/>
  <c r="AE922" i="16" s="1"/>
  <c r="AF922" i="16" s="1"/>
  <c r="R926" i="16"/>
  <c r="AE926" i="16" s="1"/>
  <c r="AF926" i="16" s="1"/>
  <c r="M1203" i="16"/>
  <c r="AM1203" i="16" s="1"/>
  <c r="M1266" i="16"/>
  <c r="AM1266" i="16" s="1"/>
  <c r="R916" i="16"/>
  <c r="R924" i="16"/>
  <c r="AE924" i="16" s="1"/>
  <c r="AF924" i="16" s="1"/>
  <c r="T928" i="16"/>
  <c r="AD928" i="16" s="1"/>
  <c r="AC928" i="16" s="1"/>
  <c r="M1268" i="16"/>
  <c r="AM1268" i="16" s="1"/>
  <c r="M1138" i="16"/>
  <c r="AM1138" i="16" s="1"/>
  <c r="T920" i="16"/>
  <c r="AD920" i="16" s="1"/>
  <c r="AC920" i="16" s="1"/>
  <c r="M1220" i="16"/>
  <c r="AM1220" i="16" s="1"/>
  <c r="M1274" i="16"/>
  <c r="AM1274" i="16" s="1"/>
  <c r="M1140" i="16"/>
  <c r="AM1140" i="16" s="1"/>
  <c r="M1276" i="16"/>
  <c r="AM1276" i="16" s="1"/>
  <c r="M1153" i="16"/>
  <c r="AM1153" i="16" s="1"/>
  <c r="M1230" i="16"/>
  <c r="AM1230" i="16" s="1"/>
  <c r="R917" i="16"/>
  <c r="AE917" i="16" s="1"/>
  <c r="AF917" i="16" s="1"/>
  <c r="R919" i="16"/>
  <c r="AE919" i="16" s="1"/>
  <c r="AF919" i="16" s="1"/>
  <c r="R921" i="16"/>
  <c r="AE921" i="16" s="1"/>
  <c r="AF921" i="16" s="1"/>
  <c r="R923" i="16"/>
  <c r="AE923" i="16" s="1"/>
  <c r="R925" i="16"/>
  <c r="AE925" i="16" s="1"/>
  <c r="AF925" i="16" s="1"/>
  <c r="R927" i="16"/>
  <c r="AE927" i="16" s="1"/>
  <c r="AF927" i="16" s="1"/>
  <c r="M955" i="16"/>
  <c r="M1133" i="16"/>
  <c r="AM1133" i="16" s="1"/>
  <c r="M1165" i="16"/>
  <c r="AM1165" i="16" s="1"/>
  <c r="M1188" i="16"/>
  <c r="AM1188" i="16" s="1"/>
  <c r="M1190" i="16"/>
  <c r="AM1190" i="16" s="1"/>
  <c r="M1202" i="16"/>
  <c r="AM1202" i="16" s="1"/>
  <c r="M1221" i="16"/>
  <c r="AM1221" i="16" s="1"/>
  <c r="M1267" i="16"/>
  <c r="AM1267" i="16" s="1"/>
  <c r="M1275" i="16"/>
  <c r="AM1275" i="16" s="1"/>
  <c r="M1135" i="16"/>
  <c r="AM1135" i="16" s="1"/>
  <c r="M1183" i="16"/>
  <c r="AM1183" i="16" s="1"/>
  <c r="M1235" i="16"/>
  <c r="AM1235" i="16" s="1"/>
  <c r="M1243" i="16"/>
  <c r="AM1243" i="16" s="1"/>
  <c r="M1277" i="16"/>
  <c r="AM1277" i="16" s="1"/>
  <c r="M1091" i="16"/>
  <c r="AM1091" i="16" s="1"/>
  <c r="M1161" i="16"/>
  <c r="AM1161" i="16" s="1"/>
  <c r="M1173" i="16"/>
  <c r="AM1173" i="16" s="1"/>
  <c r="M1236" i="16"/>
  <c r="AM1236" i="16" s="1"/>
  <c r="M1244" i="16"/>
  <c r="AM1244" i="16" s="1"/>
  <c r="M1270" i="16"/>
  <c r="AM1270" i="16" s="1"/>
  <c r="M1281" i="16"/>
  <c r="AM1281" i="16" s="1"/>
  <c r="M1092" i="16"/>
  <c r="AM1092" i="16" s="1"/>
  <c r="M1141" i="16"/>
  <c r="AM1141" i="16" s="1"/>
  <c r="M1162" i="16"/>
  <c r="AM1162" i="16" s="1"/>
  <c r="M1166" i="16"/>
  <c r="AM1166" i="16" s="1"/>
  <c r="M1174" i="16"/>
  <c r="AM1174" i="16" s="1"/>
  <c r="M1189" i="16"/>
  <c r="AM1189" i="16" s="1"/>
  <c r="M1237" i="16"/>
  <c r="AM1237" i="16" s="1"/>
  <c r="M1245" i="16"/>
  <c r="AM1245" i="16" s="1"/>
  <c r="M1160" i="16"/>
  <c r="AM1160" i="16" s="1"/>
  <c r="M1269" i="16"/>
  <c r="AM1269" i="16" s="1"/>
  <c r="M1132" i="16"/>
  <c r="AM1132" i="16" s="1"/>
  <c r="M1136" i="16"/>
  <c r="AM1136" i="16" s="1"/>
  <c r="M1151" i="16"/>
  <c r="AM1151" i="16" s="1"/>
  <c r="M1175" i="16"/>
  <c r="AM1175" i="16" s="1"/>
  <c r="M1238" i="16"/>
  <c r="AM1238" i="16" s="1"/>
  <c r="M1246" i="16"/>
  <c r="AM1246" i="16" s="1"/>
  <c r="M1137" i="16"/>
  <c r="AM1137" i="16" s="1"/>
  <c r="M1158" i="16"/>
  <c r="AM1158" i="16" s="1"/>
  <c r="M1229" i="16"/>
  <c r="AM1229" i="16" s="1"/>
  <c r="M1239" i="16"/>
  <c r="AM1239" i="16" s="1"/>
  <c r="S1251" i="16"/>
  <c r="S1227" i="16"/>
  <c r="S1217" i="16"/>
  <c r="S1222" i="16"/>
  <c r="S1600" i="16"/>
  <c r="S1249" i="16"/>
  <c r="S1271" i="16"/>
  <c r="S1253" i="16"/>
  <c r="S1232" i="16"/>
  <c r="S885" i="16"/>
  <c r="G955" i="16" l="1"/>
  <c r="G956" i="16" s="1"/>
  <c r="G957" i="16" s="1"/>
  <c r="G958" i="16" s="1"/>
  <c r="G959" i="16" s="1"/>
  <c r="G960" i="16" s="1"/>
  <c r="G961" i="16" s="1"/>
  <c r="G962" i="16" s="1"/>
  <c r="G963" i="16" s="1"/>
  <c r="G964" i="16" s="1"/>
  <c r="G965" i="16" s="1"/>
  <c r="G966" i="16" s="1"/>
  <c r="G967" i="16" s="1"/>
  <c r="G968" i="16" s="1"/>
  <c r="G969" i="16" s="1"/>
  <c r="G970" i="16" s="1"/>
  <c r="G971" i="16" s="1"/>
  <c r="G972" i="16" s="1"/>
  <c r="G973" i="16" s="1"/>
  <c r="G974" i="16" s="1"/>
  <c r="G975" i="16" s="1"/>
  <c r="G976" i="16" s="1"/>
  <c r="G977" i="16" s="1"/>
  <c r="AM955" i="16"/>
  <c r="G1003" i="16"/>
  <c r="G1004" i="16" s="1"/>
  <c r="G1005" i="16" s="1"/>
  <c r="G1006" i="16" s="1"/>
  <c r="AM1003" i="16"/>
  <c r="G929" i="16"/>
  <c r="G930" i="16" s="1"/>
  <c r="G931" i="16" s="1"/>
  <c r="G932" i="16" s="1"/>
  <c r="G933" i="16" s="1"/>
  <c r="G934" i="16" s="1"/>
  <c r="G935" i="16" s="1"/>
  <c r="G936" i="16" s="1"/>
  <c r="G937" i="16" s="1"/>
  <c r="G938" i="16" s="1"/>
  <c r="G939" i="16" s="1"/>
  <c r="G940" i="16" s="1"/>
  <c r="G941" i="16" s="1"/>
  <c r="G942" i="16" s="1"/>
  <c r="G943" i="16" s="1"/>
  <c r="G944" i="16" s="1"/>
  <c r="G945" i="16" s="1"/>
  <c r="G946" i="16" s="1"/>
  <c r="G947" i="16" s="1"/>
  <c r="G948" i="16" s="1"/>
  <c r="G949" i="16" s="1"/>
  <c r="G950" i="16" s="1"/>
  <c r="G951" i="16" s="1"/>
  <c r="G952" i="16" s="1"/>
  <c r="G953" i="16" s="1"/>
  <c r="G954" i="16" s="1"/>
  <c r="AM929" i="16"/>
  <c r="G1007" i="16"/>
  <c r="G1008" i="16" s="1"/>
  <c r="G1009" i="16" s="1"/>
  <c r="G1010" i="16" s="1"/>
  <c r="AM1007" i="16"/>
  <c r="G1743" i="16"/>
  <c r="G1744" i="16" s="1"/>
  <c r="AM1743" i="16"/>
  <c r="G981" i="16"/>
  <c r="G982" i="16" s="1"/>
  <c r="G983" i="16" s="1"/>
  <c r="G984" i="16" s="1"/>
  <c r="G985" i="16" s="1"/>
  <c r="G986" i="16" s="1"/>
  <c r="G987" i="16" s="1"/>
  <c r="G988" i="16" s="1"/>
  <c r="G989" i="16" s="1"/>
  <c r="G990" i="16" s="1"/>
  <c r="AM981" i="16"/>
  <c r="G2414" i="16"/>
  <c r="G2415" i="16" s="1"/>
  <c r="G2416" i="16" s="1"/>
  <c r="G2417" i="16" s="1"/>
  <c r="G2418" i="16" s="1"/>
  <c r="G2419" i="16" s="1"/>
  <c r="G2420" i="16" s="1"/>
  <c r="G2421" i="16" s="1"/>
  <c r="G2422" i="16" s="1"/>
  <c r="G2423" i="16" s="1"/>
  <c r="G2424" i="16" s="1"/>
  <c r="G2425" i="16" s="1"/>
  <c r="G2096" i="16"/>
  <c r="G2097" i="16" s="1"/>
  <c r="G2454" i="16"/>
  <c r="G2451" i="16" s="1"/>
  <c r="G2247" i="16"/>
  <c r="G2248" i="16" s="1"/>
  <c r="G2249" i="16" s="1"/>
  <c r="G2250" i="16" s="1"/>
  <c r="G2251" i="16" s="1"/>
  <c r="G2252" i="16" s="1"/>
  <c r="G2253" i="16" s="1"/>
  <c r="G2254" i="16" s="1"/>
  <c r="G2255" i="16" s="1"/>
  <c r="S1828" i="16"/>
  <c r="S1046" i="16"/>
  <c r="T1046" i="16" s="1"/>
  <c r="C2173" i="66"/>
  <c r="S1559" i="16"/>
  <c r="O1559" i="16" s="1"/>
  <c r="E1559" i="76" s="1"/>
  <c r="S1166" i="16"/>
  <c r="T1166" i="16" s="1"/>
  <c r="AD1166" i="16" s="1"/>
  <c r="AC1166" i="16" s="1"/>
  <c r="S1498" i="16"/>
  <c r="S1293" i="16"/>
  <c r="O1293" i="16" s="1"/>
  <c r="E1293" i="76" s="1"/>
  <c r="S1329" i="16"/>
  <c r="T1329" i="16" s="1"/>
  <c r="AD1329" i="16" s="1"/>
  <c r="AC1329" i="16" s="1"/>
  <c r="S1344" i="16"/>
  <c r="T1344" i="16" s="1"/>
  <c r="AD1344" i="16" s="1"/>
  <c r="AC1344" i="16" s="1"/>
  <c r="S1560" i="16"/>
  <c r="O1560" i="16" s="1"/>
  <c r="E1560" i="76" s="1"/>
  <c r="S1531" i="16"/>
  <c r="O1531" i="16" s="1"/>
  <c r="E1531" i="76" s="1"/>
  <c r="S1163" i="16"/>
  <c r="T1163" i="16" s="1"/>
  <c r="AD1163" i="16" s="1"/>
  <c r="AC1163" i="16" s="1"/>
  <c r="S1522" i="16"/>
  <c r="T1522" i="16" s="1"/>
  <c r="AD1522" i="16" s="1"/>
  <c r="AC1522" i="16" s="1"/>
  <c r="S1461" i="16"/>
  <c r="O1461" i="16" s="1"/>
  <c r="E1461" i="76" s="1"/>
  <c r="S1206" i="16"/>
  <c r="S1208" i="16" s="1"/>
  <c r="T1208" i="16" s="1"/>
  <c r="AD1208" i="16" s="1"/>
  <c r="AC1208" i="16" s="1"/>
  <c r="S1140" i="16"/>
  <c r="T1140" i="16" s="1"/>
  <c r="AD1140" i="16" s="1"/>
  <c r="AC1140" i="16" s="1"/>
  <c r="S1339" i="16"/>
  <c r="T1339" i="16" s="1"/>
  <c r="AD1339" i="16" s="1"/>
  <c r="AC1339" i="16" s="1"/>
  <c r="S1254" i="16"/>
  <c r="O1254" i="16" s="1"/>
  <c r="S1020" i="16"/>
  <c r="T1020" i="16" s="1"/>
  <c r="AD1020" i="16" s="1"/>
  <c r="S1535" i="16"/>
  <c r="O1535" i="16" s="1"/>
  <c r="E1535" i="76" s="1"/>
  <c r="S1153" i="16"/>
  <c r="T1153" i="16" s="1"/>
  <c r="AD1153" i="16" s="1"/>
  <c r="AC1153" i="16" s="1"/>
  <c r="S1453" i="16"/>
  <c r="T1453" i="16" s="1"/>
  <c r="AD1453" i="16" s="1"/>
  <c r="AC1453" i="16" s="1"/>
  <c r="S1256" i="16"/>
  <c r="T1256" i="16" s="1"/>
  <c r="AD1256" i="16" s="1"/>
  <c r="AC1256" i="16" s="1"/>
  <c r="S1135" i="16"/>
  <c r="O1134" i="16" s="1"/>
  <c r="S1178" i="16"/>
  <c r="T1178" i="16" s="1"/>
  <c r="AD1178" i="16" s="1"/>
  <c r="AC1178" i="16" s="1"/>
  <c r="S1523" i="16"/>
  <c r="T1523" i="16" s="1"/>
  <c r="AD1523" i="16" s="1"/>
  <c r="AC1523" i="16" s="1"/>
  <c r="S1518" i="16"/>
  <c r="T1518" i="16" s="1"/>
  <c r="AD1518" i="16" s="1"/>
  <c r="AC1518" i="16" s="1"/>
  <c r="S1132" i="16"/>
  <c r="O1131" i="16" s="1"/>
  <c r="S1429" i="16"/>
  <c r="O1429" i="16" s="1"/>
  <c r="E1429" i="76" s="1"/>
  <c r="S1431" i="16"/>
  <c r="O1431" i="16" s="1"/>
  <c r="AO1431" i="16" s="1"/>
  <c r="S1176" i="16"/>
  <c r="T1176" i="16" s="1"/>
  <c r="AD1176" i="16" s="1"/>
  <c r="AC1176" i="16" s="1"/>
  <c r="S1052" i="16"/>
  <c r="T1052" i="16" s="1"/>
  <c r="AD1052" i="16" s="1"/>
  <c r="AC1052" i="16" s="1"/>
  <c r="S1420" i="16"/>
  <c r="O1420" i="16" s="1"/>
  <c r="E1420" i="76" s="1"/>
  <c r="S1519" i="16"/>
  <c r="T1519" i="16" s="1"/>
  <c r="AD1519" i="16" s="1"/>
  <c r="AC1519" i="16" s="1"/>
  <c r="S1495" i="16"/>
  <c r="S1054" i="16"/>
  <c r="T1054" i="16" s="1"/>
  <c r="AD1054" i="16" s="1"/>
  <c r="AC1054" i="16" s="1"/>
  <c r="S1158" i="16"/>
  <c r="O1157" i="16" s="1"/>
  <c r="E1157" i="76" s="1"/>
  <c r="S1415" i="16"/>
  <c r="O1415" i="16" s="1"/>
  <c r="E1415" i="76" s="1"/>
  <c r="S1459" i="16"/>
  <c r="O1459" i="16" s="1"/>
  <c r="E1459" i="76" s="1"/>
  <c r="S1433" i="16"/>
  <c r="O1433" i="16" s="1"/>
  <c r="E1433" i="76" s="1"/>
  <c r="S1281" i="16"/>
  <c r="T1281" i="16" s="1"/>
  <c r="AD1281" i="16" s="1"/>
  <c r="AC1281" i="16" s="1"/>
  <c r="S1183" i="16"/>
  <c r="T1183" i="16" s="1"/>
  <c r="AD1183" i="16" s="1"/>
  <c r="AC1183" i="16" s="1"/>
  <c r="S1418" i="16"/>
  <c r="O1418" i="16" s="1"/>
  <c r="AO1418" i="16" s="1"/>
  <c r="S1575" i="16"/>
  <c r="O1575" i="16" s="1"/>
  <c r="E1575" i="76" s="1"/>
  <c r="S1506" i="16"/>
  <c r="S1350" i="16"/>
  <c r="O1350" i="16" s="1"/>
  <c r="S1584" i="16"/>
  <c r="O1584" i="16" s="1"/>
  <c r="E1584" i="76" s="1"/>
  <c r="S1283" i="16"/>
  <c r="T1283" i="16" s="1"/>
  <c r="AD1283" i="16" s="1"/>
  <c r="AC1283" i="16" s="1"/>
  <c r="S1568" i="16"/>
  <c r="O1568" i="16" s="1"/>
  <c r="S1521" i="16"/>
  <c r="T1521" i="16" s="1"/>
  <c r="AD1521" i="16" s="1"/>
  <c r="AC1521" i="16" s="1"/>
  <c r="S1126" i="16"/>
  <c r="T1126" i="16" s="1"/>
  <c r="AD1126" i="16" s="1"/>
  <c r="AC1126" i="16" s="1"/>
  <c r="S1107" i="16"/>
  <c r="T1107" i="16" s="1"/>
  <c r="AD1107" i="16" s="1"/>
  <c r="AC1107" i="16" s="1"/>
  <c r="S1260" i="16"/>
  <c r="S1262" i="16" s="1"/>
  <c r="S1146" i="16"/>
  <c r="O1145" i="16" s="1"/>
  <c r="E1145" i="76" s="1"/>
  <c r="S1470" i="16"/>
  <c r="O1470" i="16" s="1"/>
  <c r="S1113" i="16"/>
  <c r="T1113" i="16" s="1"/>
  <c r="AD1113" i="16" s="1"/>
  <c r="AC1113" i="16" s="1"/>
  <c r="S1409" i="16"/>
  <c r="O1409" i="16" s="1"/>
  <c r="AO1409" i="16" s="1"/>
  <c r="S1407" i="16"/>
  <c r="T1407" i="16" s="1"/>
  <c r="AD1407" i="16" s="1"/>
  <c r="AC1407" i="16" s="1"/>
  <c r="S1533" i="16"/>
  <c r="O1533" i="16" s="1"/>
  <c r="E1533" i="76" s="1"/>
  <c r="S1346" i="16"/>
  <c r="T1346" i="16" s="1"/>
  <c r="AD1346" i="16" s="1"/>
  <c r="AC1346" i="16" s="1"/>
  <c r="S1170" i="16"/>
  <c r="T1170" i="16" s="1"/>
  <c r="AD1170" i="16" s="1"/>
  <c r="AC1170" i="16" s="1"/>
  <c r="S1579" i="16"/>
  <c r="S1061" i="16"/>
  <c r="T1061" i="16" s="1"/>
  <c r="AD1061" i="16" s="1"/>
  <c r="AC1061" i="16" s="1"/>
  <c r="S1404" i="16"/>
  <c r="O1404" i="16" s="1"/>
  <c r="E1404" i="76" s="1"/>
  <c r="S1096" i="16"/>
  <c r="T1096" i="16" s="1"/>
  <c r="AD1096" i="16" s="1"/>
  <c r="AC1096" i="16" s="1"/>
  <c r="S1332" i="16"/>
  <c r="T1332" i="16" s="1"/>
  <c r="AD1332" i="16" s="1"/>
  <c r="AC1332" i="16" s="1"/>
  <c r="S1070" i="16"/>
  <c r="R1070" i="16" s="1"/>
  <c r="AE1070" i="16" s="1"/>
  <c r="S1524" i="16"/>
  <c r="T1524" i="16" s="1"/>
  <c r="AD1524" i="16" s="1"/>
  <c r="AC1524" i="16" s="1"/>
  <c r="S1401" i="16"/>
  <c r="O1401" i="16" s="1"/>
  <c r="E1401" i="76" s="1"/>
  <c r="S1288" i="16"/>
  <c r="T1288" i="16" s="1"/>
  <c r="AD1288" i="16" s="1"/>
  <c r="AC1288" i="16" s="1"/>
  <c r="S1383" i="16"/>
  <c r="O1383" i="16" s="1"/>
  <c r="E1383" i="76" s="1"/>
  <c r="G1383" i="76" s="1"/>
  <c r="G1384" i="76" s="1"/>
  <c r="G1385" i="76" s="1"/>
  <c r="S1034" i="16"/>
  <c r="S1593" i="16"/>
  <c r="O1593" i="16" s="1"/>
  <c r="E1593" i="76" s="1"/>
  <c r="S1493" i="16"/>
  <c r="S1348" i="16"/>
  <c r="T1348" i="16" s="1"/>
  <c r="AD1348" i="16" s="1"/>
  <c r="AC1348" i="16" s="1"/>
  <c r="S1086" i="16"/>
  <c r="T1086" i="16" s="1"/>
  <c r="AD1086" i="16" s="1"/>
  <c r="AC1086" i="16" s="1"/>
  <c r="S1165" i="16"/>
  <c r="T1165" i="16" s="1"/>
  <c r="AD1165" i="16" s="1"/>
  <c r="AC1165" i="16" s="1"/>
  <c r="S1333" i="16"/>
  <c r="T1333" i="16" s="1"/>
  <c r="AD1333" i="16" s="1"/>
  <c r="AC1333" i="16" s="1"/>
  <c r="S1594" i="16"/>
  <c r="O1594" i="16" s="1"/>
  <c r="E1594" i="76" s="1"/>
  <c r="S1494" i="16"/>
  <c r="S1335" i="16"/>
  <c r="T1335" i="16" s="1"/>
  <c r="AD1335" i="16" s="1"/>
  <c r="AC1335" i="16" s="1"/>
  <c r="S1588" i="16"/>
  <c r="O1588" i="16" s="1"/>
  <c r="E1588" i="76" s="1"/>
  <c r="S1558" i="16"/>
  <c r="O1558" i="16" s="1"/>
  <c r="S1077" i="16"/>
  <c r="R1077" i="16" s="1"/>
  <c r="AE1077" i="16" s="1"/>
  <c r="S1542" i="16"/>
  <c r="S1151" i="16"/>
  <c r="O1151" i="16" s="1"/>
  <c r="E1151" i="76" s="1"/>
  <c r="S1472" i="16"/>
  <c r="S1563" i="16"/>
  <c r="O1563" i="16" s="1"/>
  <c r="E1563" i="76" s="1"/>
  <c r="S1337" i="16"/>
  <c r="T1337" i="16" s="1"/>
  <c r="AD1337" i="16" s="1"/>
  <c r="AC1337" i="16" s="1"/>
  <c r="S1540" i="16"/>
  <c r="S1331" i="16"/>
  <c r="T1331" i="16" s="1"/>
  <c r="AD1331" i="16" s="1"/>
  <c r="AC1331" i="16" s="1"/>
  <c r="S1538" i="16"/>
  <c r="O1538" i="16" s="1"/>
  <c r="AO1538" i="16" s="1"/>
  <c r="S1321" i="16"/>
  <c r="T1321" i="16" s="1"/>
  <c r="AD1321" i="16" s="1"/>
  <c r="AC1321" i="16" s="1"/>
  <c r="S1573" i="16"/>
  <c r="O1573" i="16" s="1"/>
  <c r="E1573" i="76" s="1"/>
  <c r="S1496" i="16"/>
  <c r="S1501" i="16"/>
  <c r="O1501" i="16" s="1"/>
  <c r="E1501" i="76" s="1"/>
  <c r="S1517" i="16"/>
  <c r="T1517" i="16" s="1"/>
  <c r="AD1517" i="16" s="1"/>
  <c r="AC1517" i="16" s="1"/>
  <c r="S1119" i="16"/>
  <c r="T1119" i="16" s="1"/>
  <c r="AD1119" i="16" s="1"/>
  <c r="AC1119" i="16" s="1"/>
  <c r="S1379" i="16"/>
  <c r="S1066" i="16"/>
  <c r="S1520" i="16"/>
  <c r="T1520" i="16" s="1"/>
  <c r="AD1520" i="16" s="1"/>
  <c r="AC1520" i="16" s="1"/>
  <c r="S1410" i="16"/>
  <c r="O1410" i="16" s="1"/>
  <c r="E1410" i="76" s="1"/>
  <c r="S1290" i="16"/>
  <c r="T1290" i="16" s="1"/>
  <c r="AD1290" i="16" s="1"/>
  <c r="AC1290" i="16" s="1"/>
  <c r="S1289" i="16"/>
  <c r="T1289" i="16" s="1"/>
  <c r="AD1289" i="16" s="1"/>
  <c r="AC1289" i="16" s="1"/>
  <c r="A2452" i="66"/>
  <c r="C2451" i="66"/>
  <c r="A2426" i="66"/>
  <c r="C2425" i="66"/>
  <c r="A2414" i="66"/>
  <c r="C2414" i="66" s="1"/>
  <c r="C2413" i="66"/>
  <c r="A2455" i="66"/>
  <c r="C2454" i="66"/>
  <c r="A2096" i="66"/>
  <c r="C2096" i="66" s="1"/>
  <c r="C2095" i="66"/>
  <c r="A2243" i="66"/>
  <c r="C2242" i="66"/>
  <c r="A2247" i="66"/>
  <c r="C2247" i="66" s="1"/>
  <c r="C2246" i="66"/>
  <c r="N2172" i="16"/>
  <c r="I2171" i="66"/>
  <c r="N2149" i="16"/>
  <c r="I2148" i="66"/>
  <c r="AC918" i="16"/>
  <c r="AC884" i="16"/>
  <c r="S1613" i="16"/>
  <c r="AC919" i="16"/>
  <c r="S1788" i="16"/>
  <c r="T1788" i="16" s="1"/>
  <c r="AD1788" i="16" s="1"/>
  <c r="AC1788" i="16" s="1"/>
  <c r="S1681" i="16"/>
  <c r="T1681" i="16" s="1"/>
  <c r="AD1681" i="16" s="1"/>
  <c r="AC1681" i="16" s="1"/>
  <c r="S1811" i="16"/>
  <c r="T1811" i="16" s="1"/>
  <c r="AD1811" i="16" s="1"/>
  <c r="AC1811" i="16" s="1"/>
  <c r="S1841" i="16"/>
  <c r="T1841" i="16" s="1"/>
  <c r="AD1841" i="16" s="1"/>
  <c r="AC1841" i="16" s="1"/>
  <c r="S1658" i="16"/>
  <c r="T1658" i="16" s="1"/>
  <c r="AD1658" i="16" s="1"/>
  <c r="AC1658" i="16" s="1"/>
  <c r="S1763" i="16"/>
  <c r="T1763" i="16" s="1"/>
  <c r="AD1763" i="16" s="1"/>
  <c r="AC1763" i="16" s="1"/>
  <c r="S1766" i="16"/>
  <c r="T1766" i="16" s="1"/>
  <c r="AD1766" i="16" s="1"/>
  <c r="AC1766" i="16" s="1"/>
  <c r="S1724" i="16"/>
  <c r="T1724" i="16" s="1"/>
  <c r="AD1724" i="16" s="1"/>
  <c r="AC1724" i="16" s="1"/>
  <c r="S1843" i="16"/>
  <c r="T1843" i="16" s="1"/>
  <c r="AD1843" i="16" s="1"/>
  <c r="AC1843" i="16" s="1"/>
  <c r="S1786" i="16"/>
  <c r="T1786" i="16" s="1"/>
  <c r="AD1786" i="16" s="1"/>
  <c r="AC1786" i="16" s="1"/>
  <c r="S1703" i="16"/>
  <c r="T1703" i="16" s="1"/>
  <c r="AD1703" i="16" s="1"/>
  <c r="AC1703" i="16" s="1"/>
  <c r="S1853" i="16"/>
  <c r="T1853" i="16" s="1"/>
  <c r="AD1853" i="16" s="1"/>
  <c r="AC1853" i="16" s="1"/>
  <c r="S1755" i="16"/>
  <c r="T1755" i="16" s="1"/>
  <c r="AD1755" i="16" s="1"/>
  <c r="AC1755" i="16" s="1"/>
  <c r="S1749" i="16"/>
  <c r="T1749" i="16" s="1"/>
  <c r="AD1749" i="16" s="1"/>
  <c r="AC1749" i="16" s="1"/>
  <c r="S1713" i="16"/>
  <c r="T1713" i="16" s="1"/>
  <c r="AD1713" i="16" s="1"/>
  <c r="AC1713" i="16" s="1"/>
  <c r="S1839" i="16"/>
  <c r="T1839" i="16" s="1"/>
  <c r="AD1839" i="16" s="1"/>
  <c r="AC1839" i="16" s="1"/>
  <c r="S1751" i="16"/>
  <c r="O1751" i="16" s="1"/>
  <c r="S1745" i="16"/>
  <c r="T1745" i="16" s="1"/>
  <c r="AD1745" i="16" s="1"/>
  <c r="AC1745" i="16" s="1"/>
  <c r="S1831" i="16"/>
  <c r="O1831" i="16" s="1"/>
  <c r="S1692" i="16"/>
  <c r="T1692" i="16" s="1"/>
  <c r="AD1692" i="16" s="1"/>
  <c r="AC1692" i="16" s="1"/>
  <c r="S1851" i="16"/>
  <c r="O1851" i="16" s="1"/>
  <c r="S1697" i="16"/>
  <c r="T1697" i="16" s="1"/>
  <c r="AD1697" i="16" s="1"/>
  <c r="AC1697" i="16" s="1"/>
  <c r="S1772" i="16"/>
  <c r="T1772" i="16" s="1"/>
  <c r="AD1772" i="16" s="1"/>
  <c r="AC1772" i="16" s="1"/>
  <c r="S1718" i="16"/>
  <c r="T1718" i="16" s="1"/>
  <c r="AD1718" i="16" s="1"/>
  <c r="AC1718" i="16" s="1"/>
  <c r="S1765" i="16"/>
  <c r="T1765" i="16" s="1"/>
  <c r="AD1765" i="16" s="1"/>
  <c r="AC1765" i="16" s="1"/>
  <c r="S1750" i="16"/>
  <c r="T1750" i="16" s="1"/>
  <c r="AD1750" i="16" s="1"/>
  <c r="AC1750" i="16" s="1"/>
  <c r="S1814" i="16"/>
  <c r="T1814" i="16" s="1"/>
  <c r="AD1814" i="16" s="1"/>
  <c r="AC1814" i="16" s="1"/>
  <c r="S1837" i="16"/>
  <c r="T1837" i="16" s="1"/>
  <c r="AD1837" i="16" s="1"/>
  <c r="AC1837" i="16" s="1"/>
  <c r="S1761" i="16"/>
  <c r="O1761" i="16" s="1"/>
  <c r="S1848" i="16"/>
  <c r="O1848" i="16" s="1"/>
  <c r="S1822" i="16"/>
  <c r="S1731" i="16"/>
  <c r="T1731" i="16" s="1"/>
  <c r="AD1731" i="16" s="1"/>
  <c r="AC1731" i="16" s="1"/>
  <c r="S1768" i="16"/>
  <c r="O1768" i="16" s="1"/>
  <c r="S1659" i="16"/>
  <c r="T1659" i="16" s="1"/>
  <c r="AD1659" i="16" s="1"/>
  <c r="AC1659" i="16" s="1"/>
  <c r="S1701" i="16"/>
  <c r="AC925" i="16"/>
  <c r="AC927" i="16"/>
  <c r="AC1599" i="16"/>
  <c r="AC922" i="16"/>
  <c r="AC924" i="16"/>
  <c r="M911" i="16"/>
  <c r="AE916" i="16"/>
  <c r="AC926" i="16"/>
  <c r="AC923" i="16"/>
  <c r="AF923" i="16"/>
  <c r="AC917" i="16"/>
  <c r="AC921" i="16"/>
  <c r="O1822" i="16"/>
  <c r="O1379" i="16"/>
  <c r="S1047" i="16" l="1"/>
  <c r="AD1047" i="16" s="1"/>
  <c r="G911" i="16"/>
  <c r="G912" i="16" s="1"/>
  <c r="AM911" i="16"/>
  <c r="G2149" i="16"/>
  <c r="G2172" i="16"/>
  <c r="G2173" i="16" s="1"/>
  <c r="T1828" i="16"/>
  <c r="AD1828" i="16" s="1"/>
  <c r="AC1828" i="16" s="1"/>
  <c r="R1828" i="16"/>
  <c r="M1828" i="16" s="1"/>
  <c r="AM1828" i="16" s="1"/>
  <c r="T1034" i="16"/>
  <c r="AD1034" i="16" s="1"/>
  <c r="T1559" i="16"/>
  <c r="AD1559" i="16" s="1"/>
  <c r="AC1559" i="16" s="1"/>
  <c r="T1158" i="16"/>
  <c r="AD1158" i="16" s="1"/>
  <c r="AC1158" i="16" s="1"/>
  <c r="O1256" i="16"/>
  <c r="AO1256" i="16" s="1"/>
  <c r="AO1429" i="16"/>
  <c r="O1222" i="16"/>
  <c r="E1222" i="76" s="1"/>
  <c r="AO1575" i="16"/>
  <c r="O1453" i="16"/>
  <c r="E1453" i="76" s="1"/>
  <c r="E1431" i="76"/>
  <c r="O1227" i="16"/>
  <c r="E1227" i="76" s="1"/>
  <c r="T1146" i="16"/>
  <c r="AD1146" i="16" s="1"/>
  <c r="AC1146" i="16" s="1"/>
  <c r="O1251" i="16"/>
  <c r="E1251" i="76" s="1"/>
  <c r="T1350" i="16"/>
  <c r="AD1350" i="16" s="1"/>
  <c r="AC1350" i="16" s="1"/>
  <c r="T1293" i="16"/>
  <c r="AD1293" i="16" s="1"/>
  <c r="AC1293" i="16" s="1"/>
  <c r="O1288" i="16"/>
  <c r="E1288" i="76" s="1"/>
  <c r="O1321" i="16"/>
  <c r="AO1321" i="16" s="1"/>
  <c r="E1418" i="76"/>
  <c r="T1135" i="16"/>
  <c r="AD1135" i="16" s="1"/>
  <c r="AC1135" i="16" s="1"/>
  <c r="O1153" i="16"/>
  <c r="E1153" i="76" s="1"/>
  <c r="T1077" i="16"/>
  <c r="AD1077" i="16" s="1"/>
  <c r="AC1077" i="16" s="1"/>
  <c r="O1247" i="16"/>
  <c r="E1247" i="76" s="1"/>
  <c r="AO1383" i="16"/>
  <c r="T1206" i="16"/>
  <c r="AD1206" i="16" s="1"/>
  <c r="AC1206" i="16" s="1"/>
  <c r="O1232" i="16"/>
  <c r="AO1232" i="16" s="1"/>
  <c r="AO1410" i="16"/>
  <c r="O1253" i="16"/>
  <c r="AO1253" i="16" s="1"/>
  <c r="AO1293" i="16"/>
  <c r="O1125" i="16"/>
  <c r="AO1125" i="16" s="1"/>
  <c r="AO1559" i="16"/>
  <c r="O1290" i="16"/>
  <c r="E1290" i="76" s="1"/>
  <c r="T1558" i="16"/>
  <c r="AD1558" i="16" s="1"/>
  <c r="AC1558" i="16" s="1"/>
  <c r="AO1535" i="16"/>
  <c r="O1491" i="16"/>
  <c r="AO1491" i="16" s="1"/>
  <c r="T1070" i="16"/>
  <c r="AD1070" i="16" s="1"/>
  <c r="AC1070" i="16" s="1"/>
  <c r="O1163" i="16"/>
  <c r="AO1163" i="16" s="1"/>
  <c r="AO1533" i="16"/>
  <c r="T1132" i="16"/>
  <c r="AD1132" i="16" s="1"/>
  <c r="AC1132" i="16" s="1"/>
  <c r="O1166" i="16"/>
  <c r="E1166" i="76" s="1"/>
  <c r="AO1461" i="16"/>
  <c r="AO1151" i="16"/>
  <c r="E1538" i="76"/>
  <c r="S1629" i="16"/>
  <c r="S1627" i="16" s="1"/>
  <c r="S1653" i="16" s="1"/>
  <c r="O1176" i="16"/>
  <c r="E1176" i="76" s="1"/>
  <c r="AO1459" i="16"/>
  <c r="O1139" i="16"/>
  <c r="AO1139" i="16" s="1"/>
  <c r="R1034" i="16"/>
  <c r="M1034" i="16" s="1"/>
  <c r="G1034" i="16" s="1"/>
  <c r="AO1404" i="16"/>
  <c r="AO1415" i="16"/>
  <c r="R1046" i="16"/>
  <c r="M1046" i="16" s="1"/>
  <c r="G1046" i="16" s="1"/>
  <c r="O1183" i="16"/>
  <c r="E1183" i="76" s="1"/>
  <c r="AO1501" i="16"/>
  <c r="O1249" i="16"/>
  <c r="E1249" i="76" s="1"/>
  <c r="AO1594" i="16"/>
  <c r="AO1584" i="16"/>
  <c r="AD1046" i="16"/>
  <c r="O1217" i="16"/>
  <c r="E1217" i="76" s="1"/>
  <c r="O1214" i="16"/>
  <c r="AO1214" i="16" s="1"/>
  <c r="O1241" i="16"/>
  <c r="E1241" i="76" s="1"/>
  <c r="O1219" i="16"/>
  <c r="E1219" i="76" s="1"/>
  <c r="T1254" i="16"/>
  <c r="AD1254" i="16" s="1"/>
  <c r="AC1254" i="16" s="1"/>
  <c r="R1020" i="16"/>
  <c r="AE1020" i="16" s="1"/>
  <c r="AC1020" i="16" s="1"/>
  <c r="AO1420" i="16"/>
  <c r="E1409" i="76"/>
  <c r="AO1563" i="16"/>
  <c r="S1325" i="16"/>
  <c r="O1323" i="16" s="1"/>
  <c r="E1323" i="76" s="1"/>
  <c r="G1323" i="76" s="1"/>
  <c r="G1324" i="76" s="1"/>
  <c r="T1568" i="16"/>
  <c r="AD1568" i="16" s="1"/>
  <c r="AC1568" i="16" s="1"/>
  <c r="AO1560" i="16"/>
  <c r="O1283" i="16"/>
  <c r="AO1283" i="16" s="1"/>
  <c r="AO1593" i="16"/>
  <c r="O1281" i="16"/>
  <c r="E1281" i="76" s="1"/>
  <c r="AO1433" i="16"/>
  <c r="O1289" i="16"/>
  <c r="AO1289" i="16" s="1"/>
  <c r="AO1145" i="16"/>
  <c r="E1379" i="76"/>
  <c r="AO1379" i="16"/>
  <c r="T1260" i="16"/>
  <c r="AD1260" i="16" s="1"/>
  <c r="AC1260" i="16" s="1"/>
  <c r="AO1401" i="16"/>
  <c r="AO1531" i="16"/>
  <c r="O1513" i="16"/>
  <c r="AO1513" i="16" s="1"/>
  <c r="AO1157" i="16"/>
  <c r="O1169" i="16"/>
  <c r="E1169" i="76" s="1"/>
  <c r="O1165" i="16"/>
  <c r="AO1165" i="16" s="1"/>
  <c r="AO1588" i="16"/>
  <c r="AO1573" i="16"/>
  <c r="O1119" i="16"/>
  <c r="E1119" i="76" s="1"/>
  <c r="T1151" i="16"/>
  <c r="AD1151" i="16" s="1"/>
  <c r="AC1151" i="16" s="1"/>
  <c r="AO1822" i="16"/>
  <c r="E1751" i="76"/>
  <c r="AO1751" i="16"/>
  <c r="E1768" i="76"/>
  <c r="AO1768" i="16"/>
  <c r="E1848" i="76"/>
  <c r="AO1848" i="16"/>
  <c r="E1831" i="76"/>
  <c r="AO1831" i="16"/>
  <c r="E1761" i="76"/>
  <c r="AO1761" i="16"/>
  <c r="E1851" i="76"/>
  <c r="AO1851" i="16"/>
  <c r="E1350" i="76"/>
  <c r="AO1350" i="16"/>
  <c r="E1254" i="76"/>
  <c r="AO1254" i="16"/>
  <c r="E1131" i="76"/>
  <c r="AO1131" i="16"/>
  <c r="E1134" i="76"/>
  <c r="AO1134" i="16"/>
  <c r="E1470" i="76"/>
  <c r="AO1470" i="16"/>
  <c r="E1558" i="76"/>
  <c r="AO1558" i="16"/>
  <c r="E1568" i="76"/>
  <c r="AO1568" i="16"/>
  <c r="A2456" i="66"/>
  <c r="C2455" i="66"/>
  <c r="A2427" i="66"/>
  <c r="C2426" i="66"/>
  <c r="A2453" i="66"/>
  <c r="C2453" i="66" s="1"/>
  <c r="C2452" i="66"/>
  <c r="A2244" i="66"/>
  <c r="C2243" i="66"/>
  <c r="E1822" i="76"/>
  <c r="I2144" i="66"/>
  <c r="O1843" i="16"/>
  <c r="T1613" i="16"/>
  <c r="AD1613" i="16" s="1"/>
  <c r="R1613" i="16"/>
  <c r="AE1613" i="16" s="1"/>
  <c r="O1745" i="16"/>
  <c r="O1811" i="16"/>
  <c r="O1750" i="16"/>
  <c r="O1765" i="16"/>
  <c r="T1751" i="16"/>
  <c r="AD1751" i="16" s="1"/>
  <c r="AC1751" i="16" s="1"/>
  <c r="T1831" i="16"/>
  <c r="AD1831" i="16" s="1"/>
  <c r="AC1831" i="16" s="1"/>
  <c r="O1755" i="16"/>
  <c r="T1761" i="16"/>
  <c r="AD1761" i="16" s="1"/>
  <c r="AC1761" i="16" s="1"/>
  <c r="O1749" i="16"/>
  <c r="T1851" i="16"/>
  <c r="AD1851" i="16" s="1"/>
  <c r="AC1851" i="16" s="1"/>
  <c r="O1853" i="16"/>
  <c r="O1658" i="16"/>
  <c r="O1763" i="16"/>
  <c r="S1734" i="16"/>
  <c r="T1734" i="16" s="1"/>
  <c r="AD1734" i="16" s="1"/>
  <c r="AC1734" i="16" s="1"/>
  <c r="T1822" i="16"/>
  <c r="AD1822" i="16" s="1"/>
  <c r="AC1822" i="16" s="1"/>
  <c r="T1848" i="16"/>
  <c r="AD1848" i="16" s="1"/>
  <c r="AC1848" i="16" s="1"/>
  <c r="S1738" i="16"/>
  <c r="T1738" i="16" s="1"/>
  <c r="AD1738" i="16" s="1"/>
  <c r="AC1738" i="16" s="1"/>
  <c r="T1768" i="16"/>
  <c r="AD1768" i="16" s="1"/>
  <c r="AC1768" i="16" s="1"/>
  <c r="O1766" i="16"/>
  <c r="T1701" i="16"/>
  <c r="AD1701" i="16" s="1"/>
  <c r="AC1701" i="16" s="1"/>
  <c r="S1740" i="16"/>
  <c r="O1740" i="16" s="1"/>
  <c r="AF916" i="16"/>
  <c r="AC916" i="16"/>
  <c r="M1070" i="16"/>
  <c r="G1070" i="16" s="1"/>
  <c r="G2215" i="16"/>
  <c r="T1262" i="16"/>
  <c r="AD1262" i="16" s="1"/>
  <c r="AC1262" i="16" s="1"/>
  <c r="O1264" i="16"/>
  <c r="O1271" i="16"/>
  <c r="O1724" i="16"/>
  <c r="O1713" i="16"/>
  <c r="O1772" i="16"/>
  <c r="O1814" i="16"/>
  <c r="O1086" i="16"/>
  <c r="O1697" i="16"/>
  <c r="O1681" i="16"/>
  <c r="O1783" i="16"/>
  <c r="O1692" i="16"/>
  <c r="O1833" i="16"/>
  <c r="O1701" i="16"/>
  <c r="O1718" i="16"/>
  <c r="G913" i="16" l="1"/>
  <c r="G914" i="16" s="1"/>
  <c r="G915" i="16" s="1"/>
  <c r="G916" i="16" s="1"/>
  <c r="G917" i="16" s="1"/>
  <c r="G918" i="16" s="1"/>
  <c r="G919" i="16" s="1"/>
  <c r="G920" i="16" s="1"/>
  <c r="G921" i="16" s="1"/>
  <c r="G922" i="16" s="1"/>
  <c r="G923" i="16" s="1"/>
  <c r="G924" i="16" s="1"/>
  <c r="G925" i="16" s="1"/>
  <c r="G926" i="16" s="1"/>
  <c r="G927" i="16" s="1"/>
  <c r="G928" i="16" s="1"/>
  <c r="E1256" i="76"/>
  <c r="E1086" i="76"/>
  <c r="AO1086" i="16"/>
  <c r="G2150" i="16"/>
  <c r="G2151" i="16" s="1"/>
  <c r="G2152" i="16" s="1"/>
  <c r="G2153" i="16" s="1"/>
  <c r="G2154" i="16" s="1"/>
  <c r="G2155" i="16" s="1"/>
  <c r="G2156" i="16" s="1"/>
  <c r="G2157" i="16" s="1"/>
  <c r="G2158" i="16" s="1"/>
  <c r="G2159" i="16" s="1"/>
  <c r="G2160" i="16" s="1"/>
  <c r="G2161" i="16" s="1"/>
  <c r="G2162" i="16" s="1"/>
  <c r="G2163" i="16" s="1"/>
  <c r="G2164" i="16" s="1"/>
  <c r="G2165" i="16" s="1"/>
  <c r="G2166" i="16" s="1"/>
  <c r="G2167" i="16" s="1"/>
  <c r="G2168" i="16" s="1"/>
  <c r="G2169" i="16" s="1"/>
  <c r="G2170" i="16" s="1"/>
  <c r="G2171" i="16" s="1"/>
  <c r="A2144" i="66"/>
  <c r="A2145" i="66" s="1"/>
  <c r="AO1453" i="16"/>
  <c r="AO1222" i="16"/>
  <c r="AO1227" i="16"/>
  <c r="AO1251" i="16"/>
  <c r="E1321" i="76"/>
  <c r="G1321" i="76" s="1"/>
  <c r="G1322" i="76" s="1"/>
  <c r="AO1288" i="16"/>
  <c r="AO1153" i="16"/>
  <c r="AO1247" i="16"/>
  <c r="AO1290" i="16"/>
  <c r="E1253" i="76"/>
  <c r="E1125" i="76"/>
  <c r="E1232" i="76"/>
  <c r="E1491" i="76"/>
  <c r="E1163" i="76"/>
  <c r="E1165" i="76"/>
  <c r="AO1166" i="16"/>
  <c r="E1289" i="76"/>
  <c r="AO1176" i="16"/>
  <c r="AO1241" i="16"/>
  <c r="E1283" i="76"/>
  <c r="AE1034" i="16"/>
  <c r="AC1034" i="16" s="1"/>
  <c r="AO1249" i="16"/>
  <c r="E1139" i="76"/>
  <c r="AO1217" i="16"/>
  <c r="AE1046" i="16"/>
  <c r="AC1046" i="16" s="1"/>
  <c r="E1214" i="76"/>
  <c r="AO1219" i="16"/>
  <c r="AO1323" i="16"/>
  <c r="AO1183" i="16"/>
  <c r="AO1281" i="16"/>
  <c r="AO1119" i="16"/>
  <c r="E1513" i="76"/>
  <c r="AO1169" i="16"/>
  <c r="AO1814" i="16"/>
  <c r="AO1681" i="16"/>
  <c r="AO1833" i="16"/>
  <c r="AO1783" i="16"/>
  <c r="AO1718" i="16"/>
  <c r="AO1724" i="16"/>
  <c r="AO1772" i="16"/>
  <c r="AO1713" i="16"/>
  <c r="AO1692" i="16"/>
  <c r="AO1701" i="16"/>
  <c r="AO1697" i="16"/>
  <c r="E1740" i="76"/>
  <c r="AO1740" i="16"/>
  <c r="E1763" i="76"/>
  <c r="AO1763" i="16"/>
  <c r="E1658" i="76"/>
  <c r="AO1658" i="16"/>
  <c r="E1843" i="76"/>
  <c r="AO1843" i="16"/>
  <c r="E1853" i="76"/>
  <c r="AO1853" i="16"/>
  <c r="E1765" i="76"/>
  <c r="AO1765" i="16"/>
  <c r="E1766" i="76"/>
  <c r="AO1766" i="16"/>
  <c r="E1750" i="76"/>
  <c r="AO1750" i="16"/>
  <c r="E1811" i="76"/>
  <c r="AO1811" i="16"/>
  <c r="E1749" i="76"/>
  <c r="AO1749" i="16"/>
  <c r="E1745" i="76"/>
  <c r="AO1745" i="16"/>
  <c r="E1755" i="76"/>
  <c r="AO1755" i="16"/>
  <c r="E1264" i="76"/>
  <c r="AO1264" i="16"/>
  <c r="G1047" i="16"/>
  <c r="G1048" i="16" s="1"/>
  <c r="AM1046" i="16"/>
  <c r="G1071" i="16"/>
  <c r="G1072" i="16" s="1"/>
  <c r="G1073" i="16" s="1"/>
  <c r="G1074" i="16" s="1"/>
  <c r="G1075" i="16" s="1"/>
  <c r="G1076" i="16" s="1"/>
  <c r="G1077" i="16" s="1"/>
  <c r="G1078" i="16" s="1"/>
  <c r="G1079" i="16" s="1"/>
  <c r="G1080" i="16" s="1"/>
  <c r="G1081" i="16" s="1"/>
  <c r="G1082" i="16" s="1"/>
  <c r="G1083" i="16" s="1"/>
  <c r="G1084" i="16" s="1"/>
  <c r="G1085" i="16" s="1"/>
  <c r="AM1070" i="16"/>
  <c r="G1035" i="16"/>
  <c r="G1036" i="16" s="1"/>
  <c r="G1037" i="16" s="1"/>
  <c r="G1038" i="16" s="1"/>
  <c r="G1039" i="16" s="1"/>
  <c r="G1040" i="16" s="1"/>
  <c r="G1041" i="16" s="1"/>
  <c r="G1042" i="16" s="1"/>
  <c r="G1043" i="16" s="1"/>
  <c r="G1044" i="16" s="1"/>
  <c r="G1045" i="16" s="1"/>
  <c r="AM1034" i="16"/>
  <c r="E1271" i="76"/>
  <c r="AO1271" i="16"/>
  <c r="A2428" i="66"/>
  <c r="C2428" i="66" s="1"/>
  <c r="C2427" i="66"/>
  <c r="A2457" i="66"/>
  <c r="C2457" i="66" s="1"/>
  <c r="C2456" i="66"/>
  <c r="A2245" i="66"/>
  <c r="C2245" i="66" s="1"/>
  <c r="C2244" i="66"/>
  <c r="E1833" i="76"/>
  <c r="E1814" i="76"/>
  <c r="E1783" i="76"/>
  <c r="E1772" i="76"/>
  <c r="E1724" i="76"/>
  <c r="E1718" i="76"/>
  <c r="E1713" i="76"/>
  <c r="E1701" i="76"/>
  <c r="E1697" i="76"/>
  <c r="E1692" i="76"/>
  <c r="E1681" i="76"/>
  <c r="C2144" i="66"/>
  <c r="M1731" i="16"/>
  <c r="AC1613" i="16"/>
  <c r="T1740" i="16"/>
  <c r="AD1740" i="16" s="1"/>
  <c r="AC1740" i="16" s="1"/>
  <c r="O1738" i="16"/>
  <c r="T1653" i="16"/>
  <c r="AD1653" i="16" s="1"/>
  <c r="AC1653" i="16" s="1"/>
  <c r="O1653" i="16"/>
  <c r="U868" i="16"/>
  <c r="U864" i="16"/>
  <c r="S852" i="16"/>
  <c r="T852" i="16" s="1"/>
  <c r="S848" i="16"/>
  <c r="T848" i="16" s="1"/>
  <c r="O825" i="16"/>
  <c r="U817" i="16"/>
  <c r="O794" i="16"/>
  <c r="U788" i="16"/>
  <c r="S788" i="16"/>
  <c r="T788" i="16" s="1"/>
  <c r="U782" i="16"/>
  <c r="S782" i="16"/>
  <c r="T782" i="16" s="1"/>
  <c r="U776" i="16"/>
  <c r="S776" i="16"/>
  <c r="T776" i="16" s="1"/>
  <c r="AD776" i="16" s="1"/>
  <c r="AC776" i="16" s="1"/>
  <c r="U770" i="16"/>
  <c r="S770" i="16"/>
  <c r="T770" i="16" s="1"/>
  <c r="AD770" i="16" s="1"/>
  <c r="AC770" i="16" s="1"/>
  <c r="U764" i="16"/>
  <c r="S764" i="16"/>
  <c r="T764" i="16" s="1"/>
  <c r="AD764" i="16" s="1"/>
  <c r="AC764" i="16" s="1"/>
  <c r="U757" i="16"/>
  <c r="S757" i="16"/>
  <c r="T757" i="16" s="1"/>
  <c r="AD757" i="16" s="1"/>
  <c r="AC757" i="16" s="1"/>
  <c r="S749" i="16"/>
  <c r="O749" i="16" s="1"/>
  <c r="S742" i="16"/>
  <c r="O742" i="16" s="1"/>
  <c r="S733" i="16"/>
  <c r="T733" i="16" s="1"/>
  <c r="U702" i="16"/>
  <c r="O699" i="16"/>
  <c r="O693" i="16"/>
  <c r="O688" i="16"/>
  <c r="U679" i="16"/>
  <c r="U677" i="16"/>
  <c r="U676" i="16"/>
  <c r="O676" i="16"/>
  <c r="U674" i="16"/>
  <c r="U673" i="16"/>
  <c r="O673" i="16"/>
  <c r="U649" i="16"/>
  <c r="U648" i="16"/>
  <c r="U647" i="16"/>
  <c r="U646" i="16"/>
  <c r="U645" i="16"/>
  <c r="U644" i="16"/>
  <c r="U643" i="16"/>
  <c r="U642" i="16"/>
  <c r="S642" i="16"/>
  <c r="T642" i="16" s="1"/>
  <c r="O625" i="16"/>
  <c r="O616" i="16"/>
  <c r="O601" i="16"/>
  <c r="R598" i="16"/>
  <c r="M598" i="16" s="1"/>
  <c r="O588" i="16"/>
  <c r="O584" i="16"/>
  <c r="O577" i="16"/>
  <c r="O571" i="16"/>
  <c r="O566" i="16"/>
  <c r="O564" i="16"/>
  <c r="R559" i="16"/>
  <c r="O555" i="16"/>
  <c r="O545" i="16"/>
  <c r="O542" i="16"/>
  <c r="O541" i="16"/>
  <c r="O540" i="16"/>
  <c r="U538" i="16"/>
  <c r="R538" i="16"/>
  <c r="M538" i="16" s="1"/>
  <c r="O538" i="16"/>
  <c r="U532" i="16"/>
  <c r="R532" i="16"/>
  <c r="M532" i="16" s="1"/>
  <c r="U525" i="16"/>
  <c r="R525" i="16"/>
  <c r="M525" i="16" s="1"/>
  <c r="U513" i="16"/>
  <c r="O511" i="16"/>
  <c r="O509" i="16"/>
  <c r="U503" i="16"/>
  <c r="O499" i="16"/>
  <c r="O498" i="16"/>
  <c r="O495" i="16"/>
  <c r="U483" i="16"/>
  <c r="R483" i="16"/>
  <c r="M483" i="16" s="1"/>
  <c r="U471" i="16"/>
  <c r="R471" i="16"/>
  <c r="M471" i="16" s="1"/>
  <c r="O467" i="16"/>
  <c r="O465" i="16"/>
  <c r="O463" i="16"/>
  <c r="U460" i="16"/>
  <c r="R460" i="16"/>
  <c r="M460" i="16" s="1"/>
  <c r="O460" i="16"/>
  <c r="O458" i="16"/>
  <c r="U436" i="16"/>
  <c r="U431" i="16"/>
  <c r="U422" i="16"/>
  <c r="O412" i="16"/>
  <c r="U409" i="16"/>
  <c r="O400" i="16"/>
  <c r="U396" i="16"/>
  <c r="U375" i="16"/>
  <c r="U373" i="16"/>
  <c r="U369" i="16"/>
  <c r="U368" i="16"/>
  <c r="U367" i="16"/>
  <c r="U360" i="16"/>
  <c r="S358" i="16"/>
  <c r="T358" i="16" s="1"/>
  <c r="S357" i="16"/>
  <c r="T357" i="16" s="1"/>
  <c r="S356" i="16"/>
  <c r="T356" i="16" s="1"/>
  <c r="S355" i="16"/>
  <c r="T355" i="16" s="1"/>
  <c r="O347" i="16"/>
  <c r="O346" i="16"/>
  <c r="O345" i="16"/>
  <c r="O344" i="16"/>
  <c r="O343" i="16"/>
  <c r="O342" i="16"/>
  <c r="O336" i="16"/>
  <c r="O333" i="16"/>
  <c r="O330" i="16"/>
  <c r="AX347" i="16"/>
  <c r="AX345" i="16"/>
  <c r="AX346" i="16"/>
  <c r="AX338" i="16"/>
  <c r="AX339" i="16"/>
  <c r="AX340" i="16"/>
  <c r="AX341" i="16"/>
  <c r="AX342" i="16"/>
  <c r="AX344" i="16"/>
  <c r="AX323" i="16"/>
  <c r="N98" i="16"/>
  <c r="U254" i="16"/>
  <c r="U236" i="16"/>
  <c r="S171" i="16"/>
  <c r="T171" i="16" s="1"/>
  <c r="S169" i="16"/>
  <c r="T169" i="16" s="1"/>
  <c r="S167" i="16"/>
  <c r="T167" i="16" s="1"/>
  <c r="S164" i="16"/>
  <c r="T164" i="16" s="1"/>
  <c r="S162" i="16"/>
  <c r="T162" i="16" s="1"/>
  <c r="S157" i="16"/>
  <c r="T157" i="16" s="1"/>
  <c r="S156" i="16"/>
  <c r="T156" i="16" s="1"/>
  <c r="U151" i="16"/>
  <c r="S151" i="16"/>
  <c r="T151" i="16" s="1"/>
  <c r="S149" i="16"/>
  <c r="T149" i="16" s="1"/>
  <c r="AD149" i="16" s="1"/>
  <c r="AC149" i="16" s="1"/>
  <c r="S147" i="16"/>
  <c r="T147" i="16" s="1"/>
  <c r="S144" i="16"/>
  <c r="T144" i="16" s="1"/>
  <c r="S142" i="16"/>
  <c r="T142" i="16" s="1"/>
  <c r="U136" i="16"/>
  <c r="S136" i="16"/>
  <c r="T136" i="16" s="1"/>
  <c r="U134" i="16"/>
  <c r="T127" i="16"/>
  <c r="AD127" i="16" s="1"/>
  <c r="AC127" i="16" s="1"/>
  <c r="S127" i="16"/>
  <c r="U122" i="16"/>
  <c r="U115" i="16"/>
  <c r="U85" i="16"/>
  <c r="S82" i="16"/>
  <c r="S90" i="16" s="1"/>
  <c r="S66" i="16"/>
  <c r="T66" i="16" s="1"/>
  <c r="S64" i="16"/>
  <c r="T64" i="16" s="1"/>
  <c r="S42" i="16"/>
  <c r="T42" i="16" s="1"/>
  <c r="AD42" i="16" s="1"/>
  <c r="AC42" i="16" s="1"/>
  <c r="U37" i="16"/>
  <c r="U29" i="16"/>
  <c r="T29" i="16"/>
  <c r="AD29" i="16" s="1"/>
  <c r="AC29" i="16" s="1"/>
  <c r="S29" i="16"/>
  <c r="T19" i="16"/>
  <c r="S19" i="16"/>
  <c r="O304" i="16"/>
  <c r="O286" i="16"/>
  <c r="O272" i="16"/>
  <c r="O261" i="16"/>
  <c r="O251" i="16"/>
  <c r="O241" i="16"/>
  <c r="O233" i="16"/>
  <c r="O219" i="16"/>
  <c r="O218" i="16"/>
  <c r="O215" i="16"/>
  <c r="O211" i="16"/>
  <c r="O209" i="16"/>
  <c r="O207" i="16"/>
  <c r="O206" i="16"/>
  <c r="O204" i="16"/>
  <c r="O199" i="16"/>
  <c r="O197" i="16"/>
  <c r="O196" i="16"/>
  <c r="O184" i="16"/>
  <c r="O182" i="16"/>
  <c r="O173" i="16"/>
  <c r="O129" i="16"/>
  <c r="O112" i="16"/>
  <c r="O104" i="16"/>
  <c r="O96" i="16"/>
  <c r="O75" i="16"/>
  <c r="O73" i="16"/>
  <c r="O71" i="16"/>
  <c r="O70" i="16"/>
  <c r="O68" i="16"/>
  <c r="O63" i="16"/>
  <c r="O51" i="16"/>
  <c r="O47" i="16"/>
  <c r="O44" i="16"/>
  <c r="O34" i="16"/>
  <c r="O19" i="16"/>
  <c r="O17" i="16"/>
  <c r="O15" i="16"/>
  <c r="O364" i="16"/>
  <c r="O254" i="16"/>
  <c r="O136" i="16"/>
  <c r="O817" i="16"/>
  <c r="O512" i="16"/>
  <c r="O1734" i="16"/>
  <c r="O122" i="16"/>
  <c r="O868" i="16"/>
  <c r="O503" i="16"/>
  <c r="O841" i="16"/>
  <c r="R758" i="16"/>
  <c r="O29" i="16"/>
  <c r="O702" i="16"/>
  <c r="O236" i="16"/>
  <c r="O115" i="16"/>
  <c r="O679" i="16"/>
  <c r="O151" i="16"/>
  <c r="R654" i="16"/>
  <c r="O712" i="16"/>
  <c r="S769" i="16"/>
  <c r="R765" i="16"/>
  <c r="S453" i="16"/>
  <c r="AO44" i="16" l="1"/>
  <c r="E44" i="76"/>
  <c r="AO68" i="16"/>
  <c r="E68" i="76"/>
  <c r="AO75" i="16"/>
  <c r="E75" i="76"/>
  <c r="AO129" i="16"/>
  <c r="E129" i="76"/>
  <c r="G129" i="76" s="1"/>
  <c r="AO196" i="16"/>
  <c r="E196" i="76"/>
  <c r="G196" i="76" s="1"/>
  <c r="G194" i="76" s="1"/>
  <c r="G195" i="76" s="1"/>
  <c r="AO206" i="16"/>
  <c r="E206" i="76"/>
  <c r="G206" i="76" s="1"/>
  <c r="AO215" i="16"/>
  <c r="E215" i="76"/>
  <c r="AO241" i="16"/>
  <c r="E241" i="76"/>
  <c r="G241" i="76" s="1"/>
  <c r="AO286" i="16"/>
  <c r="E286" i="76"/>
  <c r="AO336" i="16"/>
  <c r="E336" i="76"/>
  <c r="AO345" i="16"/>
  <c r="E345" i="76"/>
  <c r="AO412" i="16"/>
  <c r="E412" i="76"/>
  <c r="AO458" i="16"/>
  <c r="E458" i="76"/>
  <c r="E463" i="76"/>
  <c r="AO463" i="16"/>
  <c r="AO498" i="16"/>
  <c r="E498" i="76"/>
  <c r="AO511" i="16"/>
  <c r="E511" i="76"/>
  <c r="G532" i="16"/>
  <c r="G533" i="16" s="1"/>
  <c r="G534" i="16" s="1"/>
  <c r="G535" i="16" s="1"/>
  <c r="AM532" i="16"/>
  <c r="AO545" i="16"/>
  <c r="E545" i="76"/>
  <c r="G545" i="76" s="1"/>
  <c r="G546" i="76" s="1"/>
  <c r="G547" i="76" s="1"/>
  <c r="G548" i="76" s="1"/>
  <c r="AO566" i="16"/>
  <c r="E566" i="76"/>
  <c r="G566" i="76" s="1"/>
  <c r="G567" i="76" s="1"/>
  <c r="AO588" i="16"/>
  <c r="E588" i="76"/>
  <c r="E625" i="76"/>
  <c r="AO625" i="16"/>
  <c r="AO794" i="16"/>
  <c r="E794" i="76"/>
  <c r="AO17" i="16"/>
  <c r="E17" i="76"/>
  <c r="AO70" i="16"/>
  <c r="E70" i="76"/>
  <c r="AO197" i="16"/>
  <c r="E197" i="76"/>
  <c r="AO207" i="16"/>
  <c r="E207" i="76"/>
  <c r="G207" i="76" s="1"/>
  <c r="G208" i="76" s="1"/>
  <c r="AO218" i="16"/>
  <c r="E218" i="76"/>
  <c r="AO251" i="16"/>
  <c r="E251" i="76"/>
  <c r="G251" i="76" s="1"/>
  <c r="G252" i="76" s="1"/>
  <c r="G253" i="76" s="1"/>
  <c r="AO304" i="16"/>
  <c r="E304" i="76"/>
  <c r="AO342" i="16"/>
  <c r="E342" i="76"/>
  <c r="AO346" i="16"/>
  <c r="E346" i="76"/>
  <c r="AO460" i="16"/>
  <c r="E460" i="76"/>
  <c r="AO465" i="16"/>
  <c r="E465" i="76"/>
  <c r="G483" i="16"/>
  <c r="G484" i="16" s="1"/>
  <c r="G485" i="16" s="1"/>
  <c r="G486" i="16" s="1"/>
  <c r="G487" i="16" s="1"/>
  <c r="G488" i="16" s="1"/>
  <c r="G489" i="16" s="1"/>
  <c r="G490" i="16" s="1"/>
  <c r="G491" i="16" s="1"/>
  <c r="G492" i="16" s="1"/>
  <c r="G493" i="16" s="1"/>
  <c r="G494" i="16" s="1"/>
  <c r="AM483" i="16"/>
  <c r="AO499" i="16"/>
  <c r="E499" i="76"/>
  <c r="AO540" i="16"/>
  <c r="E540" i="76"/>
  <c r="AO555" i="16"/>
  <c r="E555" i="76"/>
  <c r="G555" i="76" s="1"/>
  <c r="G556" i="76" s="1"/>
  <c r="G557" i="76" s="1"/>
  <c r="E571" i="76"/>
  <c r="AO571" i="16"/>
  <c r="G598" i="16"/>
  <c r="G599" i="16" s="1"/>
  <c r="G600" i="16" s="1"/>
  <c r="AM598" i="16"/>
  <c r="E676" i="76"/>
  <c r="AO676" i="16"/>
  <c r="AO688" i="16"/>
  <c r="E688" i="76"/>
  <c r="AO173" i="16"/>
  <c r="E173" i="76"/>
  <c r="G173" i="76" s="1"/>
  <c r="G174" i="76" s="1"/>
  <c r="AO19" i="16"/>
  <c r="E19" i="76"/>
  <c r="AO51" i="16"/>
  <c r="E51" i="76"/>
  <c r="E71" i="76"/>
  <c r="AO71" i="16"/>
  <c r="E104" i="76"/>
  <c r="AO104" i="16"/>
  <c r="AO182" i="16"/>
  <c r="E182" i="76"/>
  <c r="G182" i="76" s="1"/>
  <c r="AO199" i="16"/>
  <c r="E199" i="76"/>
  <c r="AO209" i="16"/>
  <c r="E209" i="76"/>
  <c r="G209" i="76" s="1"/>
  <c r="G210" i="76" s="1"/>
  <c r="AO219" i="16"/>
  <c r="E219" i="76"/>
  <c r="E261" i="76"/>
  <c r="G261" i="76" s="1"/>
  <c r="G260" i="76" s="1"/>
  <c r="AO261" i="16"/>
  <c r="AO330" i="16"/>
  <c r="E330" i="76"/>
  <c r="AO343" i="16"/>
  <c r="E343" i="76"/>
  <c r="AO347" i="16"/>
  <c r="E347" i="76"/>
  <c r="E400" i="76"/>
  <c r="AO400" i="16"/>
  <c r="G460" i="16"/>
  <c r="G461" i="16" s="1"/>
  <c r="G462" i="16" s="1"/>
  <c r="AM460" i="16"/>
  <c r="AO467" i="16"/>
  <c r="E467" i="76"/>
  <c r="G525" i="16"/>
  <c r="G526" i="16" s="1"/>
  <c r="G527" i="16" s="1"/>
  <c r="G528" i="16" s="1"/>
  <c r="AM525" i="16"/>
  <c r="AO538" i="16"/>
  <c r="E538" i="76"/>
  <c r="AO541" i="16"/>
  <c r="E541" i="76"/>
  <c r="AO577" i="16"/>
  <c r="E577" i="76"/>
  <c r="AO601" i="16"/>
  <c r="E601" i="76"/>
  <c r="E673" i="76"/>
  <c r="AO673" i="16"/>
  <c r="AO693" i="16"/>
  <c r="E693" i="76"/>
  <c r="AO742" i="16"/>
  <c r="E742" i="76"/>
  <c r="E825" i="76"/>
  <c r="AO825" i="16"/>
  <c r="G910" i="16"/>
  <c r="AO15" i="16"/>
  <c r="E15" i="76"/>
  <c r="AO47" i="16"/>
  <c r="E47" i="76"/>
  <c r="AO96" i="16"/>
  <c r="E96" i="76"/>
  <c r="AO34" i="16"/>
  <c r="E34" i="76"/>
  <c r="AO63" i="16"/>
  <c r="E63" i="76"/>
  <c r="E73" i="76"/>
  <c r="AO73" i="16"/>
  <c r="E112" i="76"/>
  <c r="AO112" i="16"/>
  <c r="AO184" i="16"/>
  <c r="E184" i="76"/>
  <c r="G184" i="76" s="1"/>
  <c r="G185" i="76" s="1"/>
  <c r="AO204" i="16"/>
  <c r="E204" i="76"/>
  <c r="G204" i="76" s="1"/>
  <c r="G205" i="76" s="1"/>
  <c r="AO211" i="16"/>
  <c r="E211" i="76"/>
  <c r="AO233" i="16"/>
  <c r="E233" i="76"/>
  <c r="G233" i="76" s="1"/>
  <c r="G234" i="76" s="1"/>
  <c r="AO272" i="16"/>
  <c r="E272" i="76"/>
  <c r="AO333" i="16"/>
  <c r="E333" i="76"/>
  <c r="AO344" i="16"/>
  <c r="E344" i="76"/>
  <c r="G471" i="16"/>
  <c r="G472" i="16" s="1"/>
  <c r="G473" i="16" s="1"/>
  <c r="G474" i="16" s="1"/>
  <c r="AM471" i="16"/>
  <c r="AO495" i="16"/>
  <c r="E495" i="76"/>
  <c r="AO509" i="16"/>
  <c r="E509" i="76"/>
  <c r="G538" i="16"/>
  <c r="G539" i="16" s="1"/>
  <c r="AM538" i="16"/>
  <c r="AO542" i="16"/>
  <c r="E542" i="76"/>
  <c r="AO564" i="16"/>
  <c r="E564" i="76"/>
  <c r="G564" i="76" s="1"/>
  <c r="G565" i="76" s="1"/>
  <c r="AO584" i="16"/>
  <c r="E584" i="76"/>
  <c r="E616" i="76"/>
  <c r="AO616" i="16"/>
  <c r="AO699" i="16"/>
  <c r="E699" i="76"/>
  <c r="AO749" i="16"/>
  <c r="E749" i="76"/>
  <c r="G2145" i="16"/>
  <c r="A2146" i="66"/>
  <c r="C2146" i="66" s="1"/>
  <c r="C2145" i="66"/>
  <c r="AO1734" i="16"/>
  <c r="E1653" i="76"/>
  <c r="AO1653" i="16"/>
  <c r="E1738" i="76"/>
  <c r="AO1738" i="16"/>
  <c r="O1731" i="16"/>
  <c r="AO1731" i="16" s="1"/>
  <c r="AM1731" i="16"/>
  <c r="AO702" i="16"/>
  <c r="AO679" i="16"/>
  <c r="AO512" i="16"/>
  <c r="AO868" i="16"/>
  <c r="AO712" i="16"/>
  <c r="AO503" i="16"/>
  <c r="AO364" i="16"/>
  <c r="AO817" i="16"/>
  <c r="AO841" i="16"/>
  <c r="AO29" i="16"/>
  <c r="AO136" i="16"/>
  <c r="AO122" i="16"/>
  <c r="AO254" i="16"/>
  <c r="AO236" i="16"/>
  <c r="AO151" i="16"/>
  <c r="AO115" i="16"/>
  <c r="E1734" i="76"/>
  <c r="E868" i="76"/>
  <c r="E841" i="76"/>
  <c r="G841" i="76" s="1"/>
  <c r="G842" i="76" s="1"/>
  <c r="E817" i="76"/>
  <c r="E712" i="76"/>
  <c r="E702" i="76"/>
  <c r="E679" i="76"/>
  <c r="E512" i="76"/>
  <c r="G512" i="76" s="1"/>
  <c r="G513" i="76" s="1"/>
  <c r="G514" i="76" s="1"/>
  <c r="G515" i="76" s="1"/>
  <c r="G516" i="76" s="1"/>
  <c r="G517" i="76" s="1"/>
  <c r="E503" i="76"/>
  <c r="E364" i="76"/>
  <c r="E254" i="76"/>
  <c r="E236" i="76"/>
  <c r="G236" i="76" s="1"/>
  <c r="E151" i="76"/>
  <c r="G151" i="76" s="1"/>
  <c r="G152" i="76" s="1"/>
  <c r="G153" i="76" s="1"/>
  <c r="G154" i="76" s="1"/>
  <c r="G155" i="76" s="1"/>
  <c r="E136" i="76"/>
  <c r="E122" i="76"/>
  <c r="E115" i="76"/>
  <c r="E29" i="76"/>
  <c r="M559" i="16"/>
  <c r="AE559" i="16"/>
  <c r="AF559" i="16" s="1"/>
  <c r="O358" i="16"/>
  <c r="O356" i="16"/>
  <c r="T749" i="16"/>
  <c r="O733" i="16"/>
  <c r="O453" i="16"/>
  <c r="T453" i="16"/>
  <c r="T742" i="16"/>
  <c r="O357" i="16"/>
  <c r="O355" i="16"/>
  <c r="S189" i="16"/>
  <c r="T189" i="16" s="1"/>
  <c r="O164" i="16"/>
  <c r="O167" i="16"/>
  <c r="O171" i="16"/>
  <c r="O169" i="16"/>
  <c r="O64" i="16"/>
  <c r="O90" i="16"/>
  <c r="T90" i="16"/>
  <c r="T82" i="16"/>
  <c r="S92" i="16"/>
  <c r="S83" i="16"/>
  <c r="S85" i="16"/>
  <c r="O82" i="16"/>
  <c r="O66" i="16"/>
  <c r="M156" i="16"/>
  <c r="M139" i="16"/>
  <c r="O85" i="16"/>
  <c r="M141" i="16"/>
  <c r="M147" i="16"/>
  <c r="M153" i="16"/>
  <c r="M142" i="16"/>
  <c r="M138" i="16"/>
  <c r="S439" i="16"/>
  <c r="M144" i="16"/>
  <c r="M152" i="16"/>
  <c r="M162" i="16"/>
  <c r="R652" i="16"/>
  <c r="M157" i="16"/>
  <c r="M149" i="16"/>
  <c r="M127" i="16"/>
  <c r="S437" i="16"/>
  <c r="R769" i="16"/>
  <c r="M155" i="16"/>
  <c r="S449" i="16"/>
  <c r="M154" i="16"/>
  <c r="M140" i="16"/>
  <c r="S445" i="16"/>
  <c r="G201" i="76" l="1"/>
  <c r="G202" i="76" s="1"/>
  <c r="G203" i="76" s="1"/>
  <c r="AO64" i="16"/>
  <c r="E64" i="76"/>
  <c r="AO356" i="16"/>
  <c r="E356" i="76"/>
  <c r="AO171" i="16"/>
  <c r="E171" i="76"/>
  <c r="G559" i="16"/>
  <c r="G560" i="16" s="1"/>
  <c r="G561" i="16" s="1"/>
  <c r="G562" i="16" s="1"/>
  <c r="G563" i="16" s="1"/>
  <c r="AM559" i="16"/>
  <c r="G242" i="76"/>
  <c r="G240" i="76" s="1"/>
  <c r="G105" i="76"/>
  <c r="G106" i="76" s="1"/>
  <c r="G107" i="76" s="1"/>
  <c r="G108" i="76" s="1"/>
  <c r="G130" i="76"/>
  <c r="G131" i="76" s="1"/>
  <c r="AO355" i="16"/>
  <c r="E355" i="76"/>
  <c r="AO358" i="16"/>
  <c r="E358" i="76"/>
  <c r="AO90" i="16"/>
  <c r="E90" i="76"/>
  <c r="G90" i="76" s="1"/>
  <c r="E167" i="76"/>
  <c r="AO167" i="16"/>
  <c r="AO357" i="16"/>
  <c r="E357" i="76"/>
  <c r="E733" i="76"/>
  <c r="AO733" i="16"/>
  <c r="AO66" i="16"/>
  <c r="E66" i="76"/>
  <c r="E164" i="76"/>
  <c r="G164" i="76" s="1"/>
  <c r="G165" i="76" s="1"/>
  <c r="G166" i="76" s="1"/>
  <c r="AO164" i="16"/>
  <c r="AO82" i="16"/>
  <c r="E82" i="76"/>
  <c r="AO169" i="16"/>
  <c r="E169" i="76"/>
  <c r="G183" i="76"/>
  <c r="G180" i="76" s="1"/>
  <c r="G181" i="76" s="1"/>
  <c r="A2147" i="66"/>
  <c r="C2147" i="66" s="1"/>
  <c r="E1731" i="76"/>
  <c r="M1722" i="16"/>
  <c r="AM1722" i="16" s="1"/>
  <c r="E453" i="76"/>
  <c r="AO453" i="16"/>
  <c r="AM156" i="16"/>
  <c r="AM149" i="16"/>
  <c r="AM155" i="16"/>
  <c r="AM162" i="16"/>
  <c r="AM153" i="16"/>
  <c r="AM144" i="16"/>
  <c r="AM147" i="16"/>
  <c r="AM152" i="16"/>
  <c r="AM157" i="16"/>
  <c r="AM127" i="16"/>
  <c r="AM141" i="16"/>
  <c r="AM139" i="16"/>
  <c r="AM142" i="16"/>
  <c r="AO85" i="16"/>
  <c r="AM138" i="16"/>
  <c r="AM140" i="16"/>
  <c r="AM154" i="16"/>
  <c r="G237" i="76"/>
  <c r="G238" i="76" s="1"/>
  <c r="G239" i="76" s="1"/>
  <c r="E85" i="76"/>
  <c r="T445" i="16"/>
  <c r="O445" i="16"/>
  <c r="T437" i="16"/>
  <c r="O437" i="16"/>
  <c r="O751" i="16"/>
  <c r="AO751" i="16" s="1"/>
  <c r="T439" i="16"/>
  <c r="O439" i="16"/>
  <c r="T449" i="16"/>
  <c r="O449" i="16"/>
  <c r="O641" i="16"/>
  <c r="T85" i="16"/>
  <c r="O92" i="16"/>
  <c r="T92" i="16"/>
  <c r="T83" i="16"/>
  <c r="O83" i="16"/>
  <c r="O149" i="16"/>
  <c r="AO149" i="16" s="1"/>
  <c r="O156" i="16"/>
  <c r="AO156" i="16" s="1"/>
  <c r="O157" i="16"/>
  <c r="AO157" i="16" s="1"/>
  <c r="O127" i="16"/>
  <c r="AO127" i="16" s="1"/>
  <c r="O142" i="16"/>
  <c r="AO142" i="16" s="1"/>
  <c r="O144" i="16"/>
  <c r="AO144" i="16" s="1"/>
  <c r="O147" i="16"/>
  <c r="AO147" i="16" s="1"/>
  <c r="O162" i="16"/>
  <c r="AO162" i="16" s="1"/>
  <c r="S1758" i="16"/>
  <c r="AO92" i="16" l="1"/>
  <c r="E92" i="76"/>
  <c r="AO83" i="16"/>
  <c r="E83" i="76"/>
  <c r="G91" i="76"/>
  <c r="G80" i="76"/>
  <c r="E641" i="76"/>
  <c r="AO641" i="16"/>
  <c r="E445" i="76"/>
  <c r="AO445" i="16"/>
  <c r="E449" i="76"/>
  <c r="AO449" i="16"/>
  <c r="E439" i="76"/>
  <c r="AO439" i="16"/>
  <c r="E437" i="76"/>
  <c r="AO437" i="16"/>
  <c r="E142" i="76"/>
  <c r="G142" i="76" s="1"/>
  <c r="G143" i="76" s="1"/>
  <c r="E147" i="76"/>
  <c r="G147" i="76" s="1"/>
  <c r="G148" i="76" s="1"/>
  <c r="E144" i="76"/>
  <c r="G144" i="76" s="1"/>
  <c r="G145" i="76" s="1"/>
  <c r="G146" i="76" s="1"/>
  <c r="E127" i="76"/>
  <c r="E157" i="76"/>
  <c r="G157" i="76" s="1"/>
  <c r="G158" i="76" s="1"/>
  <c r="G159" i="76" s="1"/>
  <c r="G160" i="76" s="1"/>
  <c r="G161" i="76" s="1"/>
  <c r="E156" i="76"/>
  <c r="G156" i="76" s="1"/>
  <c r="E149" i="76"/>
  <c r="G149" i="76" s="1"/>
  <c r="G150" i="76" s="1"/>
  <c r="E162" i="76"/>
  <c r="G162" i="76" s="1"/>
  <c r="G163" i="76" s="1"/>
  <c r="G231" i="76"/>
  <c r="G232" i="76" s="1"/>
  <c r="R724" i="16"/>
  <c r="AE724" i="16" s="1"/>
  <c r="AC724" i="16" s="1"/>
  <c r="E751" i="76"/>
  <c r="S1757" i="16"/>
  <c r="AE587" i="25"/>
  <c r="AE579" i="25"/>
  <c r="AE705" i="25"/>
  <c r="AD705" i="25"/>
  <c r="AE668" i="25"/>
  <c r="AD668" i="25"/>
  <c r="AE666" i="25"/>
  <c r="AD666" i="25"/>
  <c r="AE632" i="25"/>
  <c r="AD632" i="25"/>
  <c r="AE590" i="25"/>
  <c r="AE576" i="25"/>
  <c r="AE533" i="25"/>
  <c r="AE522" i="25"/>
  <c r="AE517" i="25"/>
  <c r="AE513" i="25"/>
  <c r="AE505" i="25"/>
  <c r="AD505" i="25"/>
  <c r="AE388" i="25"/>
  <c r="AE386" i="25"/>
  <c r="AE334" i="25"/>
  <c r="AE332" i="25"/>
  <c r="AE321" i="25"/>
  <c r="AE304" i="25"/>
  <c r="AE296" i="25"/>
  <c r="AE291" i="25"/>
  <c r="AE284" i="25"/>
  <c r="AE279" i="25"/>
  <c r="AE277" i="25"/>
  <c r="AE272" i="25"/>
  <c r="AE266" i="25"/>
  <c r="AE261" i="25"/>
  <c r="AE258" i="25"/>
  <c r="AE252" i="25"/>
  <c r="AE222" i="25"/>
  <c r="AE212" i="25"/>
  <c r="AE186" i="25"/>
  <c r="AE180" i="25"/>
  <c r="S54" i="25"/>
  <c r="R54" i="25" s="1"/>
  <c r="AE54" i="25" s="1"/>
  <c r="S53" i="25"/>
  <c r="R53" i="25" s="1"/>
  <c r="AE53" i="25" s="1"/>
  <c r="S52" i="25"/>
  <c r="R52" i="25" s="1"/>
  <c r="AE52" i="25" s="1"/>
  <c r="S51" i="25"/>
  <c r="R51" i="25" s="1"/>
  <c r="AE51" i="25" s="1"/>
  <c r="S50" i="25"/>
  <c r="T50" i="25" s="1"/>
  <c r="AD50" i="25" s="1"/>
  <c r="S49" i="25"/>
  <c r="T49" i="25" s="1"/>
  <c r="AD49" i="25" s="1"/>
  <c r="S48" i="25"/>
  <c r="T48" i="25" s="1"/>
  <c r="AD48" i="25" s="1"/>
  <c r="S47" i="25"/>
  <c r="R47" i="25" s="1"/>
  <c r="AE47" i="25" s="1"/>
  <c r="S46" i="25"/>
  <c r="R46" i="25" s="1"/>
  <c r="AE46" i="25" s="1"/>
  <c r="S45" i="25"/>
  <c r="T45" i="25" s="1"/>
  <c r="AD45" i="25" s="1"/>
  <c r="S44" i="25"/>
  <c r="T44" i="25" s="1"/>
  <c r="AD44" i="25" s="1"/>
  <c r="S43" i="25"/>
  <c r="T43" i="25" s="1"/>
  <c r="AD43" i="25" s="1"/>
  <c r="S42" i="25"/>
  <c r="T42" i="25" s="1"/>
  <c r="AD42" i="25" s="1"/>
  <c r="U54" i="25"/>
  <c r="CV4" i="2" s="1"/>
  <c r="U53" i="25"/>
  <c r="CU4" i="2" s="1"/>
  <c r="U52" i="25"/>
  <c r="CT4" i="2" s="1"/>
  <c r="U51" i="25"/>
  <c r="CS4" i="2" s="1"/>
  <c r="U50" i="25"/>
  <c r="CR4" i="2" s="1"/>
  <c r="U49" i="25"/>
  <c r="CQ4" i="2" s="1"/>
  <c r="U48" i="25"/>
  <c r="CP4" i="2" s="1"/>
  <c r="U47" i="25"/>
  <c r="CO4" i="2" s="1"/>
  <c r="U46" i="25"/>
  <c r="CN4" i="2" s="1"/>
  <c r="U45" i="25"/>
  <c r="CM4" i="2" s="1"/>
  <c r="U44" i="25"/>
  <c r="CL4" i="2" s="1"/>
  <c r="U43" i="25"/>
  <c r="CK4" i="2" s="1"/>
  <c r="U42" i="25"/>
  <c r="CJ4" i="2" s="1"/>
  <c r="U117" i="82"/>
  <c r="U115" i="82"/>
  <c r="S118" i="82"/>
  <c r="S116" i="82"/>
  <c r="G132" i="76" l="1"/>
  <c r="G133" i="76" s="1"/>
  <c r="AC668" i="25"/>
  <c r="O1757" i="16"/>
  <c r="T1757" i="16"/>
  <c r="AD1757" i="16" s="1"/>
  <c r="AC1757" i="16" s="1"/>
  <c r="R42" i="25"/>
  <c r="AE42" i="25" s="1"/>
  <c r="AC42" i="25" s="1"/>
  <c r="R43" i="25"/>
  <c r="AE43" i="25" s="1"/>
  <c r="AC43" i="25" s="1"/>
  <c r="AC505" i="25"/>
  <c r="AC632" i="25"/>
  <c r="AC666" i="25"/>
  <c r="R44" i="25"/>
  <c r="AE44" i="25" s="1"/>
  <c r="AC44" i="25" s="1"/>
  <c r="AC705" i="25"/>
  <c r="T51" i="25"/>
  <c r="AD51" i="25" s="1"/>
  <c r="AC51" i="25" s="1"/>
  <c r="T52" i="25"/>
  <c r="AD52" i="25" s="1"/>
  <c r="AC52" i="25" s="1"/>
  <c r="R48" i="25"/>
  <c r="AE48" i="25" s="1"/>
  <c r="AC48" i="25" s="1"/>
  <c r="R49" i="25"/>
  <c r="AE49" i="25" s="1"/>
  <c r="AC49" i="25" s="1"/>
  <c r="R50" i="25"/>
  <c r="AE50" i="25" s="1"/>
  <c r="AC50" i="25" s="1"/>
  <c r="T53" i="25"/>
  <c r="AD53" i="25" s="1"/>
  <c r="AC53" i="25" s="1"/>
  <c r="T46" i="25"/>
  <c r="AD46" i="25" s="1"/>
  <c r="AC46" i="25" s="1"/>
  <c r="R45" i="25"/>
  <c r="AE45" i="25" s="1"/>
  <c r="AC45" i="25" s="1"/>
  <c r="T54" i="25"/>
  <c r="AD54" i="25" s="1"/>
  <c r="AC54" i="25" s="1"/>
  <c r="T47" i="25"/>
  <c r="AD47" i="25" s="1"/>
  <c r="AC47" i="25" s="1"/>
  <c r="E1757" i="76" l="1"/>
  <c r="AO1757" i="16"/>
  <c r="M37" i="25"/>
  <c r="AM37" i="25" s="1"/>
  <c r="S44" i="82"/>
  <c r="U13" i="82"/>
  <c r="U257" i="82"/>
  <c r="EM4" i="2" s="1"/>
  <c r="U236" i="82"/>
  <c r="U228" i="82"/>
  <c r="U127" i="82"/>
  <c r="EA4" i="2"/>
  <c r="U251" i="82"/>
  <c r="EL4" i="2" s="1"/>
  <c r="U200" i="82"/>
  <c r="EH4" i="2" s="1"/>
  <c r="U186" i="82"/>
  <c r="EG4" i="2" s="1"/>
  <c r="U157" i="82"/>
  <c r="EF4" i="2" s="1"/>
  <c r="U148" i="82"/>
  <c r="EE4" i="2" s="1"/>
  <c r="U138" i="82"/>
  <c r="ED4" i="2" s="1"/>
  <c r="U132" i="82"/>
  <c r="EC4" i="2" s="1"/>
  <c r="DZ4" i="2"/>
  <c r="U111" i="82"/>
  <c r="DY4" i="2" s="1"/>
  <c r="U106" i="82"/>
  <c r="DX4" i="2" s="1"/>
  <c r="U95" i="82"/>
  <c r="DW4" i="2" s="1"/>
  <c r="U73" i="82"/>
  <c r="U41" i="82"/>
  <c r="DU4" i="2" s="1"/>
  <c r="O254" i="82"/>
  <c r="AX27" i="8"/>
  <c r="AY27" i="8"/>
  <c r="AY27" i="24"/>
  <c r="AX27" i="24"/>
  <c r="AY27" i="25"/>
  <c r="AX19" i="25"/>
  <c r="AX20" i="25"/>
  <c r="AX21" i="25"/>
  <c r="AX27" i="25"/>
  <c r="AX23" i="25"/>
  <c r="AX24" i="25"/>
  <c r="AX25" i="25"/>
  <c r="AX34" i="25"/>
  <c r="AX36" i="25"/>
  <c r="AX37" i="25"/>
  <c r="AX38" i="25"/>
  <c r="AX39" i="25"/>
  <c r="AX40" i="25"/>
  <c r="AX41" i="25"/>
  <c r="AX42" i="25"/>
  <c r="AX43" i="25"/>
  <c r="AX44" i="25"/>
  <c r="AX46" i="25"/>
  <c r="AX47" i="25"/>
  <c r="AX48" i="25"/>
  <c r="AX49" i="25"/>
  <c r="AX50" i="25"/>
  <c r="AX51" i="25"/>
  <c r="AX52" i="25"/>
  <c r="AX53" i="25"/>
  <c r="AX54" i="25"/>
  <c r="AX56" i="25"/>
  <c r="AX57" i="25"/>
  <c r="AX58" i="25"/>
  <c r="AX59" i="25"/>
  <c r="AX60" i="25"/>
  <c r="AX61" i="25"/>
  <c r="AX63" i="25"/>
  <c r="AX64" i="25"/>
  <c r="AX57" i="82"/>
  <c r="AX58" i="82"/>
  <c r="AX59" i="82"/>
  <c r="AX60" i="82"/>
  <c r="AX62" i="82"/>
  <c r="AX63" i="82"/>
  <c r="AX46" i="82"/>
  <c r="AX47" i="82"/>
  <c r="AX48" i="82"/>
  <c r="AX49" i="82"/>
  <c r="AX50" i="82"/>
  <c r="AX51" i="82"/>
  <c r="AX52" i="82"/>
  <c r="AX53" i="82"/>
  <c r="AX55" i="82"/>
  <c r="AX56" i="82"/>
  <c r="AX37" i="82"/>
  <c r="AX38" i="82"/>
  <c r="AX39" i="82"/>
  <c r="AX40" i="82"/>
  <c r="AX41" i="82"/>
  <c r="AX42" i="82"/>
  <c r="AX43" i="82"/>
  <c r="AX45" i="82"/>
  <c r="AY27" i="82"/>
  <c r="AX12" i="82"/>
  <c r="AX13" i="82"/>
  <c r="AX14" i="82"/>
  <c r="AX15" i="82"/>
  <c r="AX16" i="82"/>
  <c r="AX17" i="82"/>
  <c r="AX19" i="82"/>
  <c r="AX20" i="82"/>
  <c r="AX21" i="82"/>
  <c r="AX27" i="82"/>
  <c r="AX23" i="82"/>
  <c r="AX24" i="82"/>
  <c r="AX25" i="82"/>
  <c r="AX34" i="82"/>
  <c r="AX36" i="82"/>
  <c r="AY63" i="82"/>
  <c r="AY62" i="82"/>
  <c r="AY60" i="82"/>
  <c r="AY59" i="82"/>
  <c r="AY58" i="82"/>
  <c r="AY57" i="82"/>
  <c r="AY56" i="82"/>
  <c r="AY55" i="82"/>
  <c r="AY53" i="82"/>
  <c r="AY52" i="82"/>
  <c r="AY51" i="82"/>
  <c r="AY50" i="82"/>
  <c r="AY49" i="82"/>
  <c r="AY48" i="82"/>
  <c r="AY47" i="82"/>
  <c r="AY46" i="82"/>
  <c r="AY45" i="82"/>
  <c r="AY43" i="82"/>
  <c r="AY42" i="82"/>
  <c r="AY41" i="82"/>
  <c r="AY40" i="82"/>
  <c r="AY39" i="82"/>
  <c r="AY38" i="82"/>
  <c r="AY37" i="82"/>
  <c r="AY36" i="82"/>
  <c r="AY34" i="82"/>
  <c r="AY25" i="82"/>
  <c r="AY24" i="82"/>
  <c r="AY23" i="82"/>
  <c r="AY21" i="82"/>
  <c r="AY20" i="82"/>
  <c r="AY19" i="82"/>
  <c r="AY17" i="82"/>
  <c r="AY16" i="82"/>
  <c r="BD15" i="82"/>
  <c r="BC15" i="82"/>
  <c r="AY15" i="82"/>
  <c r="AY14" i="82"/>
  <c r="AY13" i="82"/>
  <c r="AY12" i="82"/>
  <c r="AY11" i="82"/>
  <c r="AX11" i="82"/>
  <c r="AE720" i="25"/>
  <c r="AD720" i="25"/>
  <c r="AE719" i="25"/>
  <c r="AD719" i="25"/>
  <c r="AE714" i="25"/>
  <c r="AD714" i="25"/>
  <c r="AE710" i="25"/>
  <c r="AD710" i="25"/>
  <c r="AE701" i="25"/>
  <c r="AD701" i="25"/>
  <c r="AE699" i="25"/>
  <c r="AD699" i="25"/>
  <c r="AE694" i="25"/>
  <c r="AE689" i="25"/>
  <c r="AD689" i="25"/>
  <c r="AE686" i="25"/>
  <c r="AD686" i="25"/>
  <c r="AE685" i="25"/>
  <c r="AE684" i="25"/>
  <c r="AE678" i="25"/>
  <c r="AE664" i="25"/>
  <c r="AD664" i="25"/>
  <c r="AE661" i="25"/>
  <c r="AD661" i="25"/>
  <c r="AE659" i="25"/>
  <c r="AD659" i="25"/>
  <c r="AE657" i="25"/>
  <c r="AD657" i="25"/>
  <c r="AE650" i="25"/>
  <c r="AE649" i="25"/>
  <c r="AE648" i="25"/>
  <c r="AE647" i="25"/>
  <c r="AE646" i="25"/>
  <c r="AE645" i="25"/>
  <c r="AE644" i="25"/>
  <c r="AE643" i="25"/>
  <c r="AE627" i="25"/>
  <c r="AD627" i="25"/>
  <c r="AE624" i="25"/>
  <c r="AD624" i="25"/>
  <c r="AE622" i="25"/>
  <c r="AD622" i="25"/>
  <c r="AE621" i="25"/>
  <c r="AD621" i="25"/>
  <c r="AE620" i="25"/>
  <c r="AD620" i="25"/>
  <c r="AE619" i="25"/>
  <c r="AD619" i="25"/>
  <c r="AE612" i="25"/>
  <c r="AE610" i="25"/>
  <c r="AE608" i="25"/>
  <c r="AE598" i="25"/>
  <c r="AD598" i="25"/>
  <c r="AE596" i="25"/>
  <c r="AD596" i="25"/>
  <c r="AD587" i="25"/>
  <c r="AC587" i="25" s="1"/>
  <c r="AE585" i="25"/>
  <c r="AD585" i="25"/>
  <c r="AE557" i="25"/>
  <c r="AD557" i="25"/>
  <c r="AE555" i="25"/>
  <c r="AD555" i="25"/>
  <c r="AE546" i="25"/>
  <c r="AD546" i="25"/>
  <c r="AE544" i="25"/>
  <c r="AD544" i="25"/>
  <c r="AE541" i="25"/>
  <c r="AD541" i="25"/>
  <c r="AE536" i="25"/>
  <c r="AD536" i="25"/>
  <c r="AE535" i="25"/>
  <c r="AD535" i="25"/>
  <c r="AE530" i="25"/>
  <c r="AD530" i="25"/>
  <c r="AE527" i="25"/>
  <c r="AD527" i="25"/>
  <c r="AE509" i="25"/>
  <c r="AD509" i="25"/>
  <c r="AE476" i="25"/>
  <c r="AE474" i="25"/>
  <c r="AE472" i="25"/>
  <c r="AE470" i="25"/>
  <c r="AE465" i="25"/>
  <c r="AE463" i="25"/>
  <c r="AE461" i="25"/>
  <c r="AE459" i="25"/>
  <c r="AE458" i="25"/>
  <c r="AE457" i="25"/>
  <c r="AE455" i="25"/>
  <c r="AE447" i="25"/>
  <c r="AE419" i="25"/>
  <c r="AE416" i="25"/>
  <c r="AE415" i="25"/>
  <c r="AE414" i="25"/>
  <c r="AE411" i="25"/>
  <c r="AE409" i="25"/>
  <c r="AE407" i="25"/>
  <c r="AE384" i="25"/>
  <c r="AE382" i="25"/>
  <c r="AE380" i="25"/>
  <c r="AE320" i="25"/>
  <c r="AE318" i="25"/>
  <c r="AE317" i="25"/>
  <c r="AE315" i="25"/>
  <c r="AE314" i="25"/>
  <c r="AE309" i="25"/>
  <c r="AE302" i="25"/>
  <c r="AE292" i="25"/>
  <c r="AE289" i="25"/>
  <c r="AE245" i="25"/>
  <c r="AE187" i="25"/>
  <c r="AE178" i="25"/>
  <c r="C7" i="81"/>
  <c r="O6" i="81"/>
  <c r="O7" i="81" s="1"/>
  <c r="N6" i="81"/>
  <c r="M352" i="25"/>
  <c r="AM352" i="25" s="1"/>
  <c r="O185" i="25"/>
  <c r="U386" i="25"/>
  <c r="DL4" i="2" s="1"/>
  <c r="U212" i="25"/>
  <c r="DF4" i="2" s="1"/>
  <c r="U705" i="25"/>
  <c r="DS4" i="2" s="1"/>
  <c r="U632" i="25"/>
  <c r="DR4" i="2" s="1"/>
  <c r="U590" i="25"/>
  <c r="DQ4" i="2" s="1"/>
  <c r="U522" i="25"/>
  <c r="DP4" i="2" s="1"/>
  <c r="U517" i="25"/>
  <c r="DO4" i="2" s="1"/>
  <c r="U513" i="25"/>
  <c r="DN4" i="2" s="1"/>
  <c r="U505" i="25"/>
  <c r="DM4" i="2" s="1"/>
  <c r="U332" i="25"/>
  <c r="DK4" i="2" s="1"/>
  <c r="U321" i="25"/>
  <c r="DJ4" i="2" s="1"/>
  <c r="U239" i="25"/>
  <c r="U233" i="25"/>
  <c r="U222" i="25"/>
  <c r="DG4" i="2" s="1"/>
  <c r="U203" i="25"/>
  <c r="DE4" i="2" s="1"/>
  <c r="N1450" i="16"/>
  <c r="G1451" i="16" s="1"/>
  <c r="M380" i="25"/>
  <c r="AM380" i="25" s="1"/>
  <c r="AE233" i="25"/>
  <c r="S348" i="25"/>
  <c r="W13" i="82"/>
  <c r="S397" i="25"/>
  <c r="S390" i="25"/>
  <c r="O73" i="82"/>
  <c r="O705" i="25"/>
  <c r="S353" i="25"/>
  <c r="S377" i="25"/>
  <c r="AE239" i="25"/>
  <c r="AI2" i="82"/>
  <c r="G1452" i="16" l="1"/>
  <c r="I1839" i="66"/>
  <c r="C1839" i="66" s="1"/>
  <c r="AO254" i="82"/>
  <c r="I1058" i="66"/>
  <c r="AO185" i="25"/>
  <c r="AO73" i="82"/>
  <c r="AO705" i="25"/>
  <c r="AC714" i="25"/>
  <c r="I1658" i="66"/>
  <c r="A1658" i="66" s="1"/>
  <c r="I1578" i="66"/>
  <c r="A1578" i="66" s="1"/>
  <c r="AC661" i="25"/>
  <c r="AC710" i="25"/>
  <c r="AC509" i="25"/>
  <c r="AC536" i="25"/>
  <c r="AC620" i="25"/>
  <c r="AC664" i="25"/>
  <c r="AC699" i="25"/>
  <c r="AC689" i="25"/>
  <c r="AC598" i="25"/>
  <c r="AC546" i="25"/>
  <c r="AC624" i="25"/>
  <c r="AC720" i="25"/>
  <c r="AE13" i="82"/>
  <c r="T13" i="82"/>
  <c r="AD13" i="82" s="1"/>
  <c r="AC544" i="25"/>
  <c r="AC659" i="25"/>
  <c r="AC535" i="25"/>
  <c r="AC527" i="25"/>
  <c r="AC541" i="25"/>
  <c r="AC701" i="25"/>
  <c r="AC719" i="25"/>
  <c r="AC530" i="25"/>
  <c r="AC557" i="25"/>
  <c r="AC622" i="25"/>
  <c r="AC621" i="25"/>
  <c r="AC657" i="25"/>
  <c r="AC596" i="25"/>
  <c r="AC627" i="25"/>
  <c r="AC686" i="25"/>
  <c r="AC555" i="25"/>
  <c r="DH4" i="2"/>
  <c r="DI4" i="2"/>
  <c r="AC619" i="25"/>
  <c r="N1059" i="16"/>
  <c r="N1579" i="16"/>
  <c r="N1840" i="16"/>
  <c r="G1841" i="16" s="1"/>
  <c r="G1842" i="16" s="1"/>
  <c r="N1659" i="16"/>
  <c r="O26" i="81"/>
  <c r="O38" i="81" s="1"/>
  <c r="T1067" i="16" s="1"/>
  <c r="AC585" i="25"/>
  <c r="EB4" i="2"/>
  <c r="DV4" i="2"/>
  <c r="DT4" i="2"/>
  <c r="EI4" i="2"/>
  <c r="EJ4" i="2"/>
  <c r="N7" i="81"/>
  <c r="N19" i="81" s="1"/>
  <c r="O19" i="81"/>
  <c r="N26" i="81"/>
  <c r="N38" i="81" s="1"/>
  <c r="S1067" i="16" s="1"/>
  <c r="S345" i="25"/>
  <c r="S375" i="25"/>
  <c r="S373" i="25"/>
  <c r="S340" i="25"/>
  <c r="S14" i="82"/>
  <c r="S367" i="25"/>
  <c r="S379" i="25"/>
  <c r="S358" i="25"/>
  <c r="O632" i="25"/>
  <c r="S343" i="25"/>
  <c r="C1058" i="66" l="1"/>
  <c r="A1058" i="66"/>
  <c r="G1059" i="16"/>
  <c r="G1060" i="16" s="1"/>
  <c r="G1579" i="16"/>
  <c r="G1580" i="16" s="1"/>
  <c r="G1581" i="16" s="1"/>
  <c r="G1582" i="16" s="1"/>
  <c r="G1659" i="16"/>
  <c r="G1660" i="16" s="1"/>
  <c r="G1661" i="16" s="1"/>
  <c r="G1662" i="16" s="1"/>
  <c r="S242" i="82"/>
  <c r="A1840" i="66"/>
  <c r="A1059" i="66"/>
  <c r="C1059" i="66" s="1"/>
  <c r="AO632" i="25"/>
  <c r="A1841" i="66"/>
  <c r="C1841" i="66" s="1"/>
  <c r="C1840" i="66"/>
  <c r="A1579" i="66"/>
  <c r="C1579" i="66" s="1"/>
  <c r="C1578" i="66"/>
  <c r="N1506" i="16"/>
  <c r="I1505" i="66"/>
  <c r="A1505" i="66" s="1"/>
  <c r="S27" i="82"/>
  <c r="T27" i="82" s="1"/>
  <c r="AD27" i="82" s="1"/>
  <c r="S159" i="82"/>
  <c r="T159" i="82" s="1"/>
  <c r="AD159" i="82" s="1"/>
  <c r="AC159" i="82" s="1"/>
  <c r="S228" i="82"/>
  <c r="T228" i="82" s="1"/>
  <c r="AD228" i="82" s="1"/>
  <c r="AC228" i="82" s="1"/>
  <c r="S72" i="82"/>
  <c r="T72" i="82" s="1"/>
  <c r="AD72" i="82" s="1"/>
  <c r="AC72" i="82" s="1"/>
  <c r="S255" i="82"/>
  <c r="T255" i="82" s="1"/>
  <c r="AD255" i="82" s="1"/>
  <c r="AC255" i="82" s="1"/>
  <c r="S251" i="82"/>
  <c r="T251" i="82" s="1"/>
  <c r="AD251" i="82" s="1"/>
  <c r="AC251" i="82" s="1"/>
  <c r="S145" i="82"/>
  <c r="S152" i="82" s="1"/>
  <c r="O152" i="82" s="1"/>
  <c r="S225" i="82"/>
  <c r="T225" i="82" s="1"/>
  <c r="AD225" i="82" s="1"/>
  <c r="AC225" i="82" s="1"/>
  <c r="S186" i="82"/>
  <c r="S245" i="82"/>
  <c r="T245" i="82" s="1"/>
  <c r="AD245" i="82" s="1"/>
  <c r="AC245" i="82" s="1"/>
  <c r="S95" i="82"/>
  <c r="T95" i="82" s="1"/>
  <c r="AD95" i="82" s="1"/>
  <c r="AC95" i="82" s="1"/>
  <c r="S169" i="82"/>
  <c r="O169" i="82" s="1"/>
  <c r="S164" i="82"/>
  <c r="O164" i="82" s="1"/>
  <c r="AO164" i="82" s="1"/>
  <c r="S180" i="82"/>
  <c r="T180" i="82" s="1"/>
  <c r="AD180" i="82" s="1"/>
  <c r="AC180" i="82" s="1"/>
  <c r="S106" i="82"/>
  <c r="S177" i="82"/>
  <c r="T177" i="82" s="1"/>
  <c r="AD177" i="82" s="1"/>
  <c r="AC177" i="82" s="1"/>
  <c r="S179" i="82"/>
  <c r="T179" i="82" s="1"/>
  <c r="AD179" i="82" s="1"/>
  <c r="AC179" i="82" s="1"/>
  <c r="S200" i="82"/>
  <c r="T200" i="82" s="1"/>
  <c r="AD200" i="82" s="1"/>
  <c r="AC200" i="82" s="1"/>
  <c r="S267" i="82"/>
  <c r="T267" i="82" s="1"/>
  <c r="AD267" i="82" s="1"/>
  <c r="AC267" i="82" s="1"/>
  <c r="S138" i="82"/>
  <c r="T138" i="82" s="1"/>
  <c r="AD138" i="82" s="1"/>
  <c r="AC138" i="82" s="1"/>
  <c r="S163" i="82"/>
  <c r="T163" i="82" s="1"/>
  <c r="AD163" i="82" s="1"/>
  <c r="AC163" i="82" s="1"/>
  <c r="S165" i="82"/>
  <c r="T165" i="82" s="1"/>
  <c r="AD165" i="82" s="1"/>
  <c r="AC165" i="82" s="1"/>
  <c r="S236" i="82"/>
  <c r="T236" i="82" s="1"/>
  <c r="AD236" i="82" s="1"/>
  <c r="AC236" i="82" s="1"/>
  <c r="S73" i="82"/>
  <c r="T73" i="82" s="1"/>
  <c r="AD73" i="82" s="1"/>
  <c r="AC73" i="82" s="1"/>
  <c r="S111" i="82"/>
  <c r="T111" i="82" s="1"/>
  <c r="AD111" i="82" s="1"/>
  <c r="AC111" i="82" s="1"/>
  <c r="S117" i="82"/>
  <c r="T117" i="82" s="1"/>
  <c r="AD117" i="82" s="1"/>
  <c r="AC117" i="82" s="1"/>
  <c r="S182" i="82"/>
  <c r="O182" i="82" s="1"/>
  <c r="S262" i="82"/>
  <c r="O262" i="82" s="1"/>
  <c r="S257" i="82"/>
  <c r="O257" i="82" s="1"/>
  <c r="S253" i="82"/>
  <c r="T253" i="82" s="1"/>
  <c r="AD253" i="82" s="1"/>
  <c r="AC253" i="82" s="1"/>
  <c r="S132" i="82"/>
  <c r="T132" i="82" s="1"/>
  <c r="AD132" i="82" s="1"/>
  <c r="AC132" i="82" s="1"/>
  <c r="S202" i="82"/>
  <c r="T202" i="82" s="1"/>
  <c r="AD202" i="82" s="1"/>
  <c r="AC202" i="82" s="1"/>
  <c r="S127" i="82"/>
  <c r="T127" i="82" s="1"/>
  <c r="AD127" i="82" s="1"/>
  <c r="AC127" i="82" s="1"/>
  <c r="S175" i="82"/>
  <c r="T175" i="82" s="1"/>
  <c r="AD175" i="82" s="1"/>
  <c r="AC175" i="82" s="1"/>
  <c r="S265" i="82"/>
  <c r="T265" i="82" s="1"/>
  <c r="AD265" i="82" s="1"/>
  <c r="AC265" i="82" s="1"/>
  <c r="S115" i="82"/>
  <c r="T115" i="82" s="1"/>
  <c r="AD115" i="82" s="1"/>
  <c r="AC115" i="82" s="1"/>
  <c r="AC13" i="82"/>
  <c r="T157" i="82"/>
  <c r="AD157" i="82" s="1"/>
  <c r="R157" i="82"/>
  <c r="S193" i="25"/>
  <c r="T193" i="25"/>
  <c r="S88" i="82"/>
  <c r="S81" i="82"/>
  <c r="S79" i="82"/>
  <c r="S90" i="82"/>
  <c r="O186" i="82"/>
  <c r="O106" i="82"/>
  <c r="G1506" i="16" l="1"/>
  <c r="G1507" i="16" s="1"/>
  <c r="G1508" i="16" s="1"/>
  <c r="G1509" i="16" s="1"/>
  <c r="G1510" i="16" s="1"/>
  <c r="G1511" i="16" s="1"/>
  <c r="G1512" i="16" s="1"/>
  <c r="T242" i="82"/>
  <c r="AD242" i="82" s="1"/>
  <c r="AC242" i="82" s="1"/>
  <c r="R242" i="82"/>
  <c r="M242" i="82" s="1"/>
  <c r="AM242" i="82" s="1"/>
  <c r="I1847" i="66"/>
  <c r="AO262" i="82"/>
  <c r="I1842" i="66"/>
  <c r="AO257" i="82"/>
  <c r="AO186" i="82"/>
  <c r="I1767" i="66"/>
  <c r="AO182" i="82"/>
  <c r="I1754" i="66"/>
  <c r="AO169" i="82"/>
  <c r="I1737" i="66"/>
  <c r="AO152" i="82"/>
  <c r="AO106" i="82"/>
  <c r="C1658" i="66"/>
  <c r="A1659" i="66"/>
  <c r="C1659" i="66" s="1"/>
  <c r="A1506" i="66"/>
  <c r="C1505" i="66"/>
  <c r="I1771" i="66"/>
  <c r="A1771" i="66" s="1"/>
  <c r="I1749" i="66"/>
  <c r="I1691" i="66"/>
  <c r="R91" i="82"/>
  <c r="R89" i="82"/>
  <c r="R27" i="82"/>
  <c r="AE27" i="82" s="1"/>
  <c r="AC27" i="82" s="1"/>
  <c r="T169" i="82"/>
  <c r="AD169" i="82" s="1"/>
  <c r="AC169" i="82" s="1"/>
  <c r="O159" i="82"/>
  <c r="AO159" i="82" s="1"/>
  <c r="O72" i="82"/>
  <c r="AO72" i="82" s="1"/>
  <c r="T182" i="82"/>
  <c r="AD182" i="82" s="1"/>
  <c r="AC182" i="82" s="1"/>
  <c r="T152" i="82"/>
  <c r="AD152" i="82" s="1"/>
  <c r="AC152" i="82" s="1"/>
  <c r="T145" i="82"/>
  <c r="AD145" i="82" s="1"/>
  <c r="AC145" i="82" s="1"/>
  <c r="T164" i="82"/>
  <c r="AD164" i="82" s="1"/>
  <c r="AC164" i="82" s="1"/>
  <c r="O177" i="82"/>
  <c r="AO177" i="82" s="1"/>
  <c r="O180" i="82"/>
  <c r="AO180" i="82" s="1"/>
  <c r="O267" i="82"/>
  <c r="AO267" i="82" s="1"/>
  <c r="O245" i="82"/>
  <c r="AO245" i="82" s="1"/>
  <c r="O163" i="82"/>
  <c r="AO163" i="82" s="1"/>
  <c r="T257" i="82"/>
  <c r="AD257" i="82" s="1"/>
  <c r="AC257" i="82" s="1"/>
  <c r="S154" i="82"/>
  <c r="O154" i="82" s="1"/>
  <c r="AO154" i="82" s="1"/>
  <c r="N1750" i="16"/>
  <c r="G1750" i="16" s="1"/>
  <c r="N1772" i="16"/>
  <c r="O79" i="82"/>
  <c r="AO79" i="82" s="1"/>
  <c r="T79" i="82"/>
  <c r="AD79" i="82" s="1"/>
  <c r="AC79" i="82" s="1"/>
  <c r="N1692" i="16"/>
  <c r="T81" i="82"/>
  <c r="AD81" i="82" s="1"/>
  <c r="AC81" i="82" s="1"/>
  <c r="O81" i="82"/>
  <c r="AO81" i="82" s="1"/>
  <c r="T90" i="82"/>
  <c r="AD90" i="82" s="1"/>
  <c r="AC90" i="82" s="1"/>
  <c r="T88" i="82"/>
  <c r="AD88" i="82" s="1"/>
  <c r="AC88" i="82" s="1"/>
  <c r="S148" i="82"/>
  <c r="T148" i="82" s="1"/>
  <c r="AD148" i="82" s="1"/>
  <c r="AC148" i="82" s="1"/>
  <c r="O179" i="82"/>
  <c r="AO179" i="82" s="1"/>
  <c r="T262" i="82"/>
  <c r="AD262" i="82" s="1"/>
  <c r="AC262" i="82" s="1"/>
  <c r="O225" i="82"/>
  <c r="AO225" i="82" s="1"/>
  <c r="O175" i="82"/>
  <c r="AO175" i="82" s="1"/>
  <c r="O265" i="82"/>
  <c r="AO265" i="82" s="1"/>
  <c r="T186" i="82"/>
  <c r="AD186" i="82" s="1"/>
  <c r="AC186" i="82" s="1"/>
  <c r="T106" i="82"/>
  <c r="AD106" i="82" s="1"/>
  <c r="AC106" i="82" s="1"/>
  <c r="O165" i="82"/>
  <c r="AO165" i="82" s="1"/>
  <c r="AE157" i="82"/>
  <c r="AC157" i="82" s="1"/>
  <c r="M157" i="82"/>
  <c r="AM157" i="82" s="1"/>
  <c r="W192" i="25"/>
  <c r="O1065" i="16"/>
  <c r="W1066" i="16"/>
  <c r="W1065" i="16"/>
  <c r="N1848" i="16"/>
  <c r="N1843" i="16"/>
  <c r="N1768" i="16"/>
  <c r="N1755" i="16"/>
  <c r="N1738" i="16"/>
  <c r="W191" i="25"/>
  <c r="O236" i="82"/>
  <c r="O115" i="82"/>
  <c r="O247" i="82"/>
  <c r="O127" i="82"/>
  <c r="O197" i="82"/>
  <c r="O138" i="82"/>
  <c r="O228" i="82"/>
  <c r="O132" i="82"/>
  <c r="O95" i="82"/>
  <c r="O111" i="82"/>
  <c r="G1755" i="16" l="1"/>
  <c r="G1738" i="16"/>
  <c r="G1739" i="16" s="1"/>
  <c r="G1692" i="16"/>
  <c r="G1693" i="16" s="1"/>
  <c r="G1694" i="16" s="1"/>
  <c r="G1695" i="16" s="1"/>
  <c r="G1696" i="16" s="1"/>
  <c r="G1768" i="16"/>
  <c r="G1769" i="16" s="1"/>
  <c r="G1843" i="16"/>
  <c r="G1844" i="16" s="1"/>
  <c r="G1845" i="16" s="1"/>
  <c r="G1846" i="16" s="1"/>
  <c r="G1847" i="16" s="1"/>
  <c r="G1772" i="16"/>
  <c r="G1773" i="16" s="1"/>
  <c r="G1774" i="16" s="1"/>
  <c r="G1775" i="16" s="1"/>
  <c r="G1776" i="16" s="1"/>
  <c r="G1777" i="16" s="1"/>
  <c r="G1778" i="16" s="1"/>
  <c r="G1779" i="16" s="1"/>
  <c r="G1780" i="16" s="1"/>
  <c r="G1781" i="16" s="1"/>
  <c r="G1782" i="16" s="1"/>
  <c r="G1848" i="16"/>
  <c r="G1849" i="16" s="1"/>
  <c r="G1850" i="16" s="1"/>
  <c r="A1847" i="66"/>
  <c r="A1848" i="66" s="1"/>
  <c r="A1842" i="66"/>
  <c r="A1843" i="66" s="1"/>
  <c r="A1844" i="66" s="1"/>
  <c r="C1844" i="66" s="1"/>
  <c r="N1814" i="16"/>
  <c r="I1813" i="66"/>
  <c r="A1813" i="66" s="1"/>
  <c r="C1813" i="66" s="1"/>
  <c r="AO228" i="82"/>
  <c r="E1065" i="76"/>
  <c r="AO1065" i="16"/>
  <c r="AO247" i="82"/>
  <c r="AO236" i="82"/>
  <c r="AO197" i="82"/>
  <c r="AO138" i="82"/>
  <c r="AO132" i="82"/>
  <c r="AO127" i="82"/>
  <c r="AO115" i="82"/>
  <c r="AO111" i="82"/>
  <c r="AO95" i="82"/>
  <c r="C1771" i="66"/>
  <c r="A1507" i="66"/>
  <c r="C1507" i="66" s="1"/>
  <c r="C1506" i="66"/>
  <c r="N1681" i="16"/>
  <c r="I1680" i="66"/>
  <c r="I1852" i="66"/>
  <c r="A1852" i="66" s="1"/>
  <c r="I1850" i="66"/>
  <c r="A1850" i="66" s="1"/>
  <c r="I1832" i="66"/>
  <c r="A1832" i="66" s="1"/>
  <c r="N1831" i="16"/>
  <c r="I1830" i="66"/>
  <c r="I1826" i="66" s="1"/>
  <c r="A1826" i="66" s="1"/>
  <c r="I1821" i="66"/>
  <c r="A1821" i="66" s="1"/>
  <c r="I1810" i="66"/>
  <c r="A1810" i="66" s="1"/>
  <c r="I1782" i="66"/>
  <c r="A1782" i="66" s="1"/>
  <c r="I1765" i="66"/>
  <c r="I1764" i="66"/>
  <c r="I1762" i="66"/>
  <c r="I1760" i="66"/>
  <c r="I1750" i="66"/>
  <c r="I1748" i="66"/>
  <c r="N1745" i="16"/>
  <c r="I1744" i="66"/>
  <c r="A1744" i="66" s="1"/>
  <c r="N1740" i="16"/>
  <c r="I1739" i="66"/>
  <c r="I1723" i="66"/>
  <c r="I1717" i="66"/>
  <c r="A1717" i="66" s="1"/>
  <c r="I1712" i="66"/>
  <c r="A1712" i="66" s="1"/>
  <c r="I1700" i="66"/>
  <c r="A1700" i="66" s="1"/>
  <c r="I1696" i="66"/>
  <c r="I1666" i="66"/>
  <c r="N1665" i="16"/>
  <c r="I1664" i="66"/>
  <c r="N1658" i="16"/>
  <c r="I1657" i="66"/>
  <c r="A1657" i="66" s="1"/>
  <c r="N1697" i="16"/>
  <c r="N1713" i="16"/>
  <c r="N1724" i="16"/>
  <c r="M145" i="82"/>
  <c r="N1701" i="16"/>
  <c r="N1718" i="16"/>
  <c r="N1822" i="16"/>
  <c r="N1783" i="16"/>
  <c r="T154" i="82"/>
  <c r="AD154" i="82" s="1"/>
  <c r="AC154" i="82" s="1"/>
  <c r="N1763" i="16"/>
  <c r="N1766" i="16"/>
  <c r="N1749" i="16"/>
  <c r="G1749" i="16" s="1"/>
  <c r="N1853" i="16"/>
  <c r="N1667" i="16"/>
  <c r="G1667" i="16" s="1"/>
  <c r="N1761" i="16"/>
  <c r="N1811" i="16"/>
  <c r="N1851" i="16"/>
  <c r="N1833" i="16"/>
  <c r="N1751" i="16"/>
  <c r="N1765" i="16"/>
  <c r="G1765" i="16" s="1"/>
  <c r="M124" i="25"/>
  <c r="AM124" i="25" s="1"/>
  <c r="T124" i="25"/>
  <c r="AD124" i="25" s="1"/>
  <c r="AE124" i="25"/>
  <c r="U10" i="25"/>
  <c r="W10" i="25"/>
  <c r="O148" i="82"/>
  <c r="G1761" i="16" l="1"/>
  <c r="G1718" i="16"/>
  <c r="G1719" i="16" s="1"/>
  <c r="C1847" i="66"/>
  <c r="G1831" i="16"/>
  <c r="G1827" i="16" s="1"/>
  <c r="G1828" i="16" s="1"/>
  <c r="G1829" i="16" s="1"/>
  <c r="G1830" i="16" s="1"/>
  <c r="G1665" i="16"/>
  <c r="G1666" i="16" s="1"/>
  <c r="G1751" i="16"/>
  <c r="G1748" i="16" s="1"/>
  <c r="G1766" i="16"/>
  <c r="G1767" i="16" s="1"/>
  <c r="G1724" i="16"/>
  <c r="G1725" i="16" s="1"/>
  <c r="G1726" i="16" s="1"/>
  <c r="G1727" i="16" s="1"/>
  <c r="G1728" i="16" s="1"/>
  <c r="G1729" i="16" s="1"/>
  <c r="G1730" i="16" s="1"/>
  <c r="G1745" i="16"/>
  <c r="G1681" i="16"/>
  <c r="G1822" i="16"/>
  <c r="G1823" i="16" s="1"/>
  <c r="G1824" i="16" s="1"/>
  <c r="G1825" i="16" s="1"/>
  <c r="G1826" i="16" s="1"/>
  <c r="G1853" i="16"/>
  <c r="G1854" i="16" s="1"/>
  <c r="G1855" i="16" s="1"/>
  <c r="G1701" i="16"/>
  <c r="G1740" i="16"/>
  <c r="G1741" i="16" s="1"/>
  <c r="G1763" i="16"/>
  <c r="G1764" i="16" s="1"/>
  <c r="G1713" i="16"/>
  <c r="G1714" i="16" s="1"/>
  <c r="G1715" i="16" s="1"/>
  <c r="G1716" i="16" s="1"/>
  <c r="G1717" i="16" s="1"/>
  <c r="G1811" i="16"/>
  <c r="G1812" i="16" s="1"/>
  <c r="G1783" i="16"/>
  <c r="G1770" i="16" s="1"/>
  <c r="G1771" i="16" s="1"/>
  <c r="G1658" i="16"/>
  <c r="G1656" i="16" s="1"/>
  <c r="G1657" i="16" s="1"/>
  <c r="G1833" i="16"/>
  <c r="G1834" i="16" s="1"/>
  <c r="G1835" i="16" s="1"/>
  <c r="G1836" i="16" s="1"/>
  <c r="G1837" i="16" s="1"/>
  <c r="G1838" i="16" s="1"/>
  <c r="G1839" i="16" s="1"/>
  <c r="G1851" i="16"/>
  <c r="G1852" i="16" s="1"/>
  <c r="G1697" i="16"/>
  <c r="G1698" i="16" s="1"/>
  <c r="G1699" i="16" s="1"/>
  <c r="G1814" i="16"/>
  <c r="G1815" i="16" s="1"/>
  <c r="G1816" i="16" s="1"/>
  <c r="G1817" i="16" s="1"/>
  <c r="G1818" i="16" s="1"/>
  <c r="G1819" i="16" s="1"/>
  <c r="G1820" i="16" s="1"/>
  <c r="G1821" i="16" s="1"/>
  <c r="G1756" i="16"/>
  <c r="A1849" i="66"/>
  <c r="C1849" i="66" s="1"/>
  <c r="C1848" i="66"/>
  <c r="C1842" i="66"/>
  <c r="C1843" i="66"/>
  <c r="AO148" i="82"/>
  <c r="O145" i="82"/>
  <c r="M136" i="82" s="1"/>
  <c r="AM136" i="82" s="1"/>
  <c r="AM145" i="82"/>
  <c r="A1814" i="66"/>
  <c r="A1815" i="66" s="1"/>
  <c r="C1657" i="66"/>
  <c r="I1655" i="66"/>
  <c r="A1655" i="66" s="1"/>
  <c r="I1679" i="66"/>
  <c r="A1701" i="66"/>
  <c r="I1747" i="66"/>
  <c r="I1758" i="66"/>
  <c r="I1769" i="66"/>
  <c r="A1769" i="66" s="1"/>
  <c r="I1812" i="66"/>
  <c r="A1827" i="66"/>
  <c r="C1826" i="66"/>
  <c r="A1853" i="66"/>
  <c r="C1852" i="66"/>
  <c r="A1851" i="66"/>
  <c r="C1851" i="66" s="1"/>
  <c r="C1850" i="66"/>
  <c r="A1833" i="66"/>
  <c r="C1832" i="66"/>
  <c r="A1822" i="66"/>
  <c r="C1821" i="66"/>
  <c r="A1811" i="66"/>
  <c r="C1811" i="66" s="1"/>
  <c r="C1810" i="66"/>
  <c r="A1783" i="66"/>
  <c r="C1782" i="66"/>
  <c r="A1745" i="66"/>
  <c r="C1744" i="66"/>
  <c r="A1718" i="66"/>
  <c r="C1718" i="66" s="1"/>
  <c r="C1717" i="66"/>
  <c r="A1713" i="66"/>
  <c r="C1712" i="66"/>
  <c r="I1733" i="66"/>
  <c r="G1668" i="16"/>
  <c r="G1669" i="16" s="1"/>
  <c r="G1670" i="16" s="1"/>
  <c r="N1734" i="16"/>
  <c r="T10" i="25"/>
  <c r="AD10" i="25" s="1"/>
  <c r="AE10" i="25"/>
  <c r="CH4" i="2"/>
  <c r="AC124" i="25"/>
  <c r="S11" i="25"/>
  <c r="G1784" i="16" l="1"/>
  <c r="G1785" i="16" s="1"/>
  <c r="G1786" i="16" s="1"/>
  <c r="G1787" i="16" s="1"/>
  <c r="G1788" i="16" s="1"/>
  <c r="G1789" i="16" s="1"/>
  <c r="G1790" i="16" s="1"/>
  <c r="G1791" i="16" s="1"/>
  <c r="G1792" i="16" s="1"/>
  <c r="G1793" i="16" s="1"/>
  <c r="G1794" i="16" s="1"/>
  <c r="G1795" i="16" s="1"/>
  <c r="G1796" i="16" s="1"/>
  <c r="G1797" i="16" s="1"/>
  <c r="G1798" i="16" s="1"/>
  <c r="G1799" i="16" s="1"/>
  <c r="G1800" i="16" s="1"/>
  <c r="G1801" i="16" s="1"/>
  <c r="G1802" i="16" s="1"/>
  <c r="G1803" i="16" s="1"/>
  <c r="G1804" i="16" s="1"/>
  <c r="G1805" i="16" s="1"/>
  <c r="G1806" i="16" s="1"/>
  <c r="G1807" i="16" s="1"/>
  <c r="G1808" i="16" s="1"/>
  <c r="G1809" i="16" s="1"/>
  <c r="G1810" i="16" s="1"/>
  <c r="G1682" i="16"/>
  <c r="G1683" i="16" s="1"/>
  <c r="G1684" i="16" s="1"/>
  <c r="G1685" i="16" s="1"/>
  <c r="G1686" i="16" s="1"/>
  <c r="G1687" i="16" s="1"/>
  <c r="G1688" i="16" s="1"/>
  <c r="G1689" i="16" s="1"/>
  <c r="G1690" i="16" s="1"/>
  <c r="G1691" i="16" s="1"/>
  <c r="G1752" i="16"/>
  <c r="G1734" i="16"/>
  <c r="G1735" i="16" s="1"/>
  <c r="G1736" i="16" s="1"/>
  <c r="G1737" i="16" s="1"/>
  <c r="G1702" i="16"/>
  <c r="G1703" i="16" s="1"/>
  <c r="G1704" i="16" s="1"/>
  <c r="G1705" i="16" s="1"/>
  <c r="G1706" i="16" s="1"/>
  <c r="G1707" i="16" s="1"/>
  <c r="G1708" i="16" s="1"/>
  <c r="G1709" i="16" s="1"/>
  <c r="G1710" i="16" s="1"/>
  <c r="G1711" i="16" s="1"/>
  <c r="G1712" i="16" s="1"/>
  <c r="G1746" i="16"/>
  <c r="G1747" i="16" s="1"/>
  <c r="G1813" i="16"/>
  <c r="G1664" i="16"/>
  <c r="G1762" i="16"/>
  <c r="G1759" i="16" s="1"/>
  <c r="A1758" i="66"/>
  <c r="A1679" i="66"/>
  <c r="C1679" i="66" s="1"/>
  <c r="A1747" i="66"/>
  <c r="C1747" i="66" s="1"/>
  <c r="A1812" i="66"/>
  <c r="C1812" i="66" s="1"/>
  <c r="S172" i="25"/>
  <c r="T172" i="25" s="1"/>
  <c r="AD172" i="25" s="1"/>
  <c r="N1731" i="16"/>
  <c r="G1731" i="16" s="1"/>
  <c r="I1730" i="66"/>
  <c r="I1719" i="66" s="1"/>
  <c r="A1719" i="66" s="1"/>
  <c r="AO145" i="82"/>
  <c r="C1814" i="66"/>
  <c r="C1700" i="66"/>
  <c r="A1656" i="66"/>
  <c r="C1656" i="66" s="1"/>
  <c r="C1655" i="66"/>
  <c r="A1770" i="66"/>
  <c r="C1770" i="66" s="1"/>
  <c r="C1769" i="66"/>
  <c r="A1828" i="66"/>
  <c r="C1827" i="66"/>
  <c r="A1854" i="66"/>
  <c r="C1854" i="66" s="1"/>
  <c r="C1853" i="66"/>
  <c r="A1834" i="66"/>
  <c r="C1833" i="66"/>
  <c r="A1823" i="66"/>
  <c r="C1823" i="66" s="1"/>
  <c r="C1822" i="66"/>
  <c r="A1816" i="66"/>
  <c r="C1815" i="66"/>
  <c r="A1784" i="66"/>
  <c r="C1784" i="66" s="1"/>
  <c r="C1783" i="66"/>
  <c r="A1746" i="66"/>
  <c r="C1746" i="66" s="1"/>
  <c r="C1745" i="66"/>
  <c r="A1714" i="66"/>
  <c r="C1714" i="66" s="1"/>
  <c r="C1713" i="66"/>
  <c r="A1702" i="66"/>
  <c r="C1702" i="66" s="1"/>
  <c r="C1701" i="66"/>
  <c r="AC10" i="25"/>
  <c r="S212" i="25"/>
  <c r="S272" i="25"/>
  <c r="O271" i="25" s="1"/>
  <c r="AO271" i="25" s="1"/>
  <c r="S694" i="25"/>
  <c r="S645" i="25"/>
  <c r="T645" i="25" s="1"/>
  <c r="AD645" i="25" s="1"/>
  <c r="AC645" i="25" s="1"/>
  <c r="S291" i="25"/>
  <c r="T291" i="25" s="1"/>
  <c r="AD291" i="25" s="1"/>
  <c r="AC291" i="25" s="1"/>
  <c r="S710" i="25"/>
  <c r="O710" i="25" s="1"/>
  <c r="AO710" i="25" s="1"/>
  <c r="S657" i="25"/>
  <c r="O657" i="25" s="1"/>
  <c r="AO657" i="25" s="1"/>
  <c r="S598" i="25"/>
  <c r="S536" i="25"/>
  <c r="O536" i="25" s="1"/>
  <c r="AO536" i="25" s="1"/>
  <c r="S470" i="25"/>
  <c r="T470" i="25" s="1"/>
  <c r="AD470" i="25" s="1"/>
  <c r="AC470" i="25" s="1"/>
  <c r="S416" i="25"/>
  <c r="T416" i="25" s="1"/>
  <c r="AD416" i="25" s="1"/>
  <c r="AC416" i="25" s="1"/>
  <c r="S245" i="25"/>
  <c r="O245" i="25" s="1"/>
  <c r="S266" i="25"/>
  <c r="T266" i="25" s="1"/>
  <c r="AD266" i="25" s="1"/>
  <c r="AC266" i="25" s="1"/>
  <c r="S685" i="25"/>
  <c r="T685" i="25" s="1"/>
  <c r="AD685" i="25" s="1"/>
  <c r="AC685" i="25" s="1"/>
  <c r="S644" i="25"/>
  <c r="T644" i="25" s="1"/>
  <c r="AD644" i="25" s="1"/>
  <c r="AC644" i="25" s="1"/>
  <c r="S289" i="25"/>
  <c r="T289" i="25" s="1"/>
  <c r="AD289" i="25" s="1"/>
  <c r="AC289" i="25" s="1"/>
  <c r="S714" i="25"/>
  <c r="O714" i="25" s="1"/>
  <c r="AO714" i="25" s="1"/>
  <c r="S632" i="25"/>
  <c r="S596" i="25"/>
  <c r="O596" i="25" s="1"/>
  <c r="S463" i="25"/>
  <c r="T463" i="25" s="1"/>
  <c r="AD463" i="25" s="1"/>
  <c r="AC463" i="25" s="1"/>
  <c r="S415" i="25"/>
  <c r="T415" i="25" s="1"/>
  <c r="AD415" i="25" s="1"/>
  <c r="AC415" i="25" s="1"/>
  <c r="S239" i="25"/>
  <c r="T239" i="25" s="1"/>
  <c r="AD239" i="25" s="1"/>
  <c r="AC239" i="25" s="1"/>
  <c r="S180" i="25"/>
  <c r="T180" i="25" s="1"/>
  <c r="AD180" i="25" s="1"/>
  <c r="AC180" i="25" s="1"/>
  <c r="S261" i="25"/>
  <c r="T261" i="25" s="1"/>
  <c r="AD261" i="25" s="1"/>
  <c r="AC261" i="25" s="1"/>
  <c r="S684" i="25"/>
  <c r="O684" i="25" s="1"/>
  <c r="S559" i="25"/>
  <c r="O559" i="25" s="1"/>
  <c r="AO559" i="25" s="1"/>
  <c r="S284" i="25"/>
  <c r="O283" i="25" s="1"/>
  <c r="AO283" i="25" s="1"/>
  <c r="S627" i="25"/>
  <c r="O627" i="25" s="1"/>
  <c r="AO627" i="25" s="1"/>
  <c r="S579" i="25"/>
  <c r="O579" i="25" s="1"/>
  <c r="S530" i="25"/>
  <c r="O530" i="25" s="1"/>
  <c r="AO530" i="25" s="1"/>
  <c r="S459" i="25"/>
  <c r="T459" i="25" s="1"/>
  <c r="AD459" i="25" s="1"/>
  <c r="AC459" i="25" s="1"/>
  <c r="S414" i="25"/>
  <c r="T414" i="25" s="1"/>
  <c r="AD414" i="25" s="1"/>
  <c r="AC414" i="25" s="1"/>
  <c r="S233" i="25"/>
  <c r="T233" i="25" s="1"/>
  <c r="AD233" i="25" s="1"/>
  <c r="AC233" i="25" s="1"/>
  <c r="S178" i="25"/>
  <c r="T178" i="25" s="1"/>
  <c r="AD178" i="25" s="1"/>
  <c r="AC178" i="25" s="1"/>
  <c r="S458" i="25"/>
  <c r="T458" i="25" s="1"/>
  <c r="AD458" i="25" s="1"/>
  <c r="AC458" i="25" s="1"/>
  <c r="S409" i="25"/>
  <c r="O409" i="25" s="1"/>
  <c r="S292" i="25"/>
  <c r="T292" i="25" s="1"/>
  <c r="AD292" i="25" s="1"/>
  <c r="AC292" i="25" s="1"/>
  <c r="S648" i="25"/>
  <c r="T648" i="25" s="1"/>
  <c r="AD648" i="25" s="1"/>
  <c r="AC648" i="25" s="1"/>
  <c r="S386" i="25"/>
  <c r="T386" i="25" s="1"/>
  <c r="AD386" i="25" s="1"/>
  <c r="AC386" i="25" s="1"/>
  <c r="S699" i="25"/>
  <c r="O699" i="25" s="1"/>
  <c r="AO699" i="25" s="1"/>
  <c r="S546" i="25"/>
  <c r="O546" i="25" s="1"/>
  <c r="AO546" i="25" s="1"/>
  <c r="S646" i="25"/>
  <c r="T646" i="25" s="1"/>
  <c r="AD646" i="25" s="1"/>
  <c r="AC646" i="25" s="1"/>
  <c r="S619" i="25"/>
  <c r="S309" i="25"/>
  <c r="T309" i="25" s="1"/>
  <c r="AD309" i="25" s="1"/>
  <c r="AC309" i="25" s="1"/>
  <c r="S535" i="25"/>
  <c r="O535" i="25" s="1"/>
  <c r="AO535" i="25" s="1"/>
  <c r="S527" i="25"/>
  <c r="O527" i="25" s="1"/>
  <c r="AO527" i="25" s="1"/>
  <c r="S668" i="25"/>
  <c r="S332" i="25"/>
  <c r="O367" i="25" s="1"/>
  <c r="AO367" i="25" s="1"/>
  <c r="S544" i="25"/>
  <c r="O544" i="25" s="1"/>
  <c r="AO544" i="25" s="1"/>
  <c r="S192" i="25"/>
  <c r="O191" i="25" s="1"/>
  <c r="AO191" i="25" s="1"/>
  <c r="S302" i="25"/>
  <c r="T302" i="25" s="1"/>
  <c r="AD302" i="25" s="1"/>
  <c r="AC302" i="25" s="1"/>
  <c r="S541" i="25"/>
  <c r="O541" i="25" s="1"/>
  <c r="AO541" i="25" s="1"/>
  <c r="S719" i="25"/>
  <c r="O719" i="25" s="1"/>
  <c r="AO719" i="25" s="1"/>
  <c r="S621" i="25"/>
  <c r="S455" i="25"/>
  <c r="T455" i="25" s="1"/>
  <c r="AD455" i="25" s="1"/>
  <c r="AC455" i="25" s="1"/>
  <c r="S160" i="25"/>
  <c r="S587" i="25"/>
  <c r="O587" i="25" s="1"/>
  <c r="AO587" i="25" s="1"/>
  <c r="S701" i="25"/>
  <c r="O701" i="25" s="1"/>
  <c r="AO701" i="25" s="1"/>
  <c r="S474" i="25"/>
  <c r="T474" i="25" s="1"/>
  <c r="AD474" i="25" s="1"/>
  <c r="AC474" i="25" s="1"/>
  <c r="S380" i="25"/>
  <c r="O380" i="25" s="1"/>
  <c r="S643" i="25"/>
  <c r="T643" i="25" s="1"/>
  <c r="AD643" i="25" s="1"/>
  <c r="AC643" i="25" s="1"/>
  <c r="S258" i="25"/>
  <c r="T258" i="25" s="1"/>
  <c r="AD258" i="25" s="1"/>
  <c r="AC258" i="25" s="1"/>
  <c r="S650" i="25"/>
  <c r="T650" i="25" s="1"/>
  <c r="AD650" i="25" s="1"/>
  <c r="AC650" i="25" s="1"/>
  <c r="S533" i="25"/>
  <c r="T533" i="25" s="1"/>
  <c r="AD533" i="25" s="1"/>
  <c r="AC533" i="25" s="1"/>
  <c r="S686" i="25"/>
  <c r="O686" i="25" s="1"/>
  <c r="AO686" i="25" s="1"/>
  <c r="S720" i="25"/>
  <c r="O720" i="25" s="1"/>
  <c r="AO720" i="25" s="1"/>
  <c r="S624" i="25"/>
  <c r="S557" i="25"/>
  <c r="O557" i="25" s="1"/>
  <c r="AO557" i="25" s="1"/>
  <c r="S222" i="25"/>
  <c r="S664" i="25"/>
  <c r="O664" i="25" s="1"/>
  <c r="AO664" i="25" s="1"/>
  <c r="S505" i="25"/>
  <c r="S196" i="25"/>
  <c r="T196" i="25" s="1"/>
  <c r="S279" i="25"/>
  <c r="O279" i="25" s="1"/>
  <c r="S661" i="25"/>
  <c r="O661" i="25" s="1"/>
  <c r="AO661" i="25" s="1"/>
  <c r="S447" i="25"/>
  <c r="O447" i="25" s="1"/>
  <c r="S277" i="25"/>
  <c r="O277" i="25" s="1"/>
  <c r="S705" i="25"/>
  <c r="S419" i="25"/>
  <c r="O419" i="25" s="1"/>
  <c r="S146" i="25"/>
  <c r="S296" i="25"/>
  <c r="O295" i="25" s="1"/>
  <c r="S252" i="25"/>
  <c r="T252" i="25" s="1"/>
  <c r="AD252" i="25" s="1"/>
  <c r="AC252" i="25" s="1"/>
  <c r="S649" i="25"/>
  <c r="T649" i="25" s="1"/>
  <c r="AD649" i="25" s="1"/>
  <c r="AC649" i="25" s="1"/>
  <c r="S461" i="25"/>
  <c r="T461" i="25" s="1"/>
  <c r="AD461" i="25" s="1"/>
  <c r="AC461" i="25" s="1"/>
  <c r="S689" i="25"/>
  <c r="O689" i="25" s="1"/>
  <c r="AO689" i="25" s="1"/>
  <c r="S666" i="25"/>
  <c r="S622" i="25"/>
  <c r="S555" i="25"/>
  <c r="O555" i="25" s="1"/>
  <c r="AO555" i="25" s="1"/>
  <c r="S509" i="25"/>
  <c r="O509" i="25" s="1"/>
  <c r="AO509" i="25" s="1"/>
  <c r="S457" i="25"/>
  <c r="T457" i="25" s="1"/>
  <c r="AD457" i="25" s="1"/>
  <c r="AC457" i="25" s="1"/>
  <c r="S407" i="25"/>
  <c r="T407" i="25" s="1"/>
  <c r="AD407" i="25" s="1"/>
  <c r="AC407" i="25" s="1"/>
  <c r="S203" i="25"/>
  <c r="S382" i="25"/>
  <c r="T382" i="25" s="1"/>
  <c r="AD382" i="25" s="1"/>
  <c r="AC382" i="25" s="1"/>
  <c r="S647" i="25"/>
  <c r="T647" i="25" s="1"/>
  <c r="AD647" i="25" s="1"/>
  <c r="AC647" i="25" s="1"/>
  <c r="S620" i="25"/>
  <c r="S585" i="25"/>
  <c r="O585" i="25" s="1"/>
  <c r="AO585" i="25" s="1"/>
  <c r="S659" i="25"/>
  <c r="O659" i="25" s="1"/>
  <c r="AO659" i="25" s="1"/>
  <c r="S472" i="25"/>
  <c r="T472" i="25" s="1"/>
  <c r="AD472" i="25" s="1"/>
  <c r="AC472" i="25" s="1"/>
  <c r="S187" i="25"/>
  <c r="U570" i="24"/>
  <c r="CG4" i="2" s="1"/>
  <c r="AE566" i="24"/>
  <c r="AD566" i="24"/>
  <c r="U566" i="24"/>
  <c r="CF4" i="2" s="1"/>
  <c r="AE244" i="24"/>
  <c r="AC244" i="24" s="1"/>
  <c r="O244" i="24"/>
  <c r="O273" i="8"/>
  <c r="I271" i="66" s="1"/>
  <c r="O262" i="8"/>
  <c r="O305" i="8"/>
  <c r="O287" i="8"/>
  <c r="S150" i="8"/>
  <c r="T150" i="8" s="1"/>
  <c r="AD150" i="8" s="1"/>
  <c r="AC150" i="8" s="1"/>
  <c r="T128" i="8"/>
  <c r="AD128" i="8" s="1"/>
  <c r="AC128" i="8" s="1"/>
  <c r="O130" i="8"/>
  <c r="I128" i="66" s="1"/>
  <c r="S128" i="8"/>
  <c r="O76" i="8"/>
  <c r="I74" i="66" s="1"/>
  <c r="AE48" i="8"/>
  <c r="AC48" i="8" s="1"/>
  <c r="AE45" i="8"/>
  <c r="AC45" i="8" s="1"/>
  <c r="O48" i="8"/>
  <c r="I46" i="66" s="1"/>
  <c r="O45" i="8"/>
  <c r="I43" i="66" s="1"/>
  <c r="S43" i="8"/>
  <c r="T43" i="8" s="1"/>
  <c r="AD43" i="8" s="1"/>
  <c r="AC43" i="8" s="1"/>
  <c r="T20" i="8"/>
  <c r="AD20" i="8" s="1"/>
  <c r="T30" i="8"/>
  <c r="AD30" i="8" s="1"/>
  <c r="AC30" i="8" s="1"/>
  <c r="S20" i="8"/>
  <c r="U30" i="8"/>
  <c r="AE4" i="2" s="1"/>
  <c r="S30" i="8"/>
  <c r="O570" i="24"/>
  <c r="O30" i="8"/>
  <c r="O505" i="25"/>
  <c r="I541" i="66" l="1"/>
  <c r="A541" i="66" s="1"/>
  <c r="AO244" i="24"/>
  <c r="G1760" i="16"/>
  <c r="G1732" i="16"/>
  <c r="G1720" i="16" s="1"/>
  <c r="G1680" i="16"/>
  <c r="C1758" i="66"/>
  <c r="A1759" i="66"/>
  <c r="C1759" i="66" s="1"/>
  <c r="T160" i="25"/>
  <c r="AD160" i="25" s="1"/>
  <c r="I1557" i="66"/>
  <c r="AO684" i="25"/>
  <c r="I1469" i="66"/>
  <c r="AO596" i="25"/>
  <c r="I1452" i="66"/>
  <c r="I1444" i="66" s="1"/>
  <c r="AO579" i="25"/>
  <c r="AO505" i="25"/>
  <c r="I1320" i="66"/>
  <c r="AO447" i="25"/>
  <c r="I1292" i="66"/>
  <c r="AO419" i="25"/>
  <c r="I1282" i="66"/>
  <c r="AO409" i="25"/>
  <c r="I1253" i="66"/>
  <c r="AO380" i="25"/>
  <c r="I1168" i="66"/>
  <c r="AO295" i="25"/>
  <c r="I1152" i="66"/>
  <c r="AO279" i="25"/>
  <c r="I1150" i="66"/>
  <c r="AO277" i="25"/>
  <c r="I1118" i="66"/>
  <c r="AO245" i="25"/>
  <c r="AO570" i="24"/>
  <c r="AO30" i="8"/>
  <c r="A542" i="66"/>
  <c r="C542" i="66" s="1"/>
  <c r="C541" i="66"/>
  <c r="A75" i="66"/>
  <c r="C74" i="66"/>
  <c r="C270" i="66"/>
  <c r="A272" i="66"/>
  <c r="C271" i="66"/>
  <c r="A129" i="66"/>
  <c r="C128" i="66"/>
  <c r="A44" i="66"/>
  <c r="C44" i="66" s="1"/>
  <c r="C43" i="66"/>
  <c r="A47" i="66"/>
  <c r="C47" i="66" s="1"/>
  <c r="C46" i="66"/>
  <c r="C1719" i="66"/>
  <c r="I1699" i="66"/>
  <c r="A1829" i="66"/>
  <c r="C1829" i="66" s="1"/>
  <c r="C1828" i="66"/>
  <c r="A1835" i="66"/>
  <c r="C1835" i="66" s="1"/>
  <c r="C1834" i="66"/>
  <c r="A1817" i="66"/>
  <c r="C1816" i="66"/>
  <c r="N304" i="16"/>
  <c r="G305" i="16" s="1"/>
  <c r="G306" i="16" s="1"/>
  <c r="I303" i="66"/>
  <c r="N261" i="16"/>
  <c r="I260" i="66"/>
  <c r="N286" i="16"/>
  <c r="I285" i="66"/>
  <c r="C285" i="66" s="1"/>
  <c r="I1593" i="66"/>
  <c r="N1593" i="16"/>
  <c r="G1593" i="16" s="1"/>
  <c r="I1592" i="66"/>
  <c r="I1587" i="66"/>
  <c r="A1587" i="66" s="1"/>
  <c r="I1583" i="66"/>
  <c r="A1583" i="66" s="1"/>
  <c r="I1574" i="66"/>
  <c r="A1574" i="66" s="1"/>
  <c r="I1572" i="66"/>
  <c r="A1572" i="66" s="1"/>
  <c r="I1562" i="66"/>
  <c r="A1562" i="66" s="1"/>
  <c r="I1559" i="66"/>
  <c r="A1559" i="66" s="1"/>
  <c r="I1537" i="66"/>
  <c r="I1534" i="66"/>
  <c r="A1534" i="66" s="1"/>
  <c r="N1533" i="16"/>
  <c r="I1532" i="66"/>
  <c r="I1530" i="66"/>
  <c r="I1500" i="66"/>
  <c r="A1500" i="66" s="1"/>
  <c r="N1461" i="16"/>
  <c r="I1460" i="66"/>
  <c r="I1458" i="66"/>
  <c r="N1433" i="16"/>
  <c r="I1432" i="66"/>
  <c r="A1432" i="66" s="1"/>
  <c r="I1430" i="66"/>
  <c r="I1428" i="66"/>
  <c r="A1428" i="66" s="1"/>
  <c r="I1419" i="66"/>
  <c r="A1419" i="66" s="1"/>
  <c r="I1417" i="66"/>
  <c r="N1415" i="16"/>
  <c r="I1414" i="66"/>
  <c r="I1409" i="66"/>
  <c r="A1409" i="66" s="1"/>
  <c r="I1408" i="66"/>
  <c r="I1403" i="66"/>
  <c r="A1403" i="66" s="1"/>
  <c r="N1401" i="16"/>
  <c r="I1400" i="66"/>
  <c r="A1400" i="66" s="1"/>
  <c r="N1383" i="16"/>
  <c r="I1382" i="66"/>
  <c r="A1382" i="66" s="1"/>
  <c r="I1378" i="66"/>
  <c r="A1378" i="66" s="1"/>
  <c r="N1241" i="16"/>
  <c r="I1240" i="66"/>
  <c r="N1157" i="16"/>
  <c r="I1156" i="66"/>
  <c r="I1144" i="66"/>
  <c r="N1065" i="16"/>
  <c r="I1064" i="66"/>
  <c r="A1064" i="66" s="1"/>
  <c r="I867" i="66"/>
  <c r="A867" i="66" s="1"/>
  <c r="I28" i="66"/>
  <c r="A28" i="66" s="1"/>
  <c r="N1594" i="16"/>
  <c r="G1594" i="16" s="1"/>
  <c r="O260" i="25"/>
  <c r="AO260" i="25" s="1"/>
  <c r="O289" i="25"/>
  <c r="AO289" i="25" s="1"/>
  <c r="O414" i="25"/>
  <c r="AO414" i="25" s="1"/>
  <c r="O416" i="25"/>
  <c r="AO416" i="25" s="1"/>
  <c r="T684" i="25"/>
  <c r="AD684" i="25" s="1"/>
  <c r="AC684" i="25" s="1"/>
  <c r="S388" i="25"/>
  <c r="O397" i="25" s="1"/>
  <c r="AO397" i="25" s="1"/>
  <c r="N1573" i="16"/>
  <c r="O373" i="25"/>
  <c r="AO373" i="25" s="1"/>
  <c r="T272" i="25"/>
  <c r="AD272" i="25" s="1"/>
  <c r="AC272" i="25" s="1"/>
  <c r="N1410" i="16"/>
  <c r="O345" i="25"/>
  <c r="AO345" i="25" s="1"/>
  <c r="O358" i="25"/>
  <c r="AO358" i="25" s="1"/>
  <c r="T279" i="25"/>
  <c r="AD279" i="25" s="1"/>
  <c r="AC279" i="25" s="1"/>
  <c r="N1420" i="16"/>
  <c r="O343" i="25"/>
  <c r="AO343" i="25" s="1"/>
  <c r="O353" i="25"/>
  <c r="AO353" i="25" s="1"/>
  <c r="N1429" i="16"/>
  <c r="N1459" i="16"/>
  <c r="O379" i="25"/>
  <c r="AO379" i="25" s="1"/>
  <c r="N1145" i="16"/>
  <c r="T332" i="25"/>
  <c r="AD332" i="25" s="1"/>
  <c r="AC332" i="25" s="1"/>
  <c r="O251" i="25"/>
  <c r="AO251" i="25" s="1"/>
  <c r="N1560" i="16"/>
  <c r="O617" i="25"/>
  <c r="AO617" i="25" s="1"/>
  <c r="T296" i="25"/>
  <c r="AD296" i="25" s="1"/>
  <c r="AC296" i="25" s="1"/>
  <c r="R146" i="25"/>
  <c r="AE146" i="25" s="1"/>
  <c r="T146" i="25"/>
  <c r="AD146" i="25" s="1"/>
  <c r="T284" i="25"/>
  <c r="AD284" i="25" s="1"/>
  <c r="AC284" i="25" s="1"/>
  <c r="T245" i="25"/>
  <c r="AD245" i="25" s="1"/>
  <c r="AC245" i="25" s="1"/>
  <c r="N1501" i="16"/>
  <c r="O348" i="25"/>
  <c r="AO348" i="25" s="1"/>
  <c r="N1588" i="16"/>
  <c r="N1418" i="16"/>
  <c r="T409" i="25"/>
  <c r="AD409" i="25" s="1"/>
  <c r="AC409" i="25" s="1"/>
  <c r="S334" i="25"/>
  <c r="T334" i="25" s="1"/>
  <c r="AD334" i="25" s="1"/>
  <c r="AC334" i="25" s="1"/>
  <c r="O375" i="25"/>
  <c r="AO375" i="25" s="1"/>
  <c r="N1575" i="16"/>
  <c r="T447" i="25"/>
  <c r="AD447" i="25" s="1"/>
  <c r="AC447" i="25" s="1"/>
  <c r="O377" i="25"/>
  <c r="AO377" i="25" s="1"/>
  <c r="T380" i="25"/>
  <c r="AD380" i="25" s="1"/>
  <c r="AC380" i="25" s="1"/>
  <c r="T579" i="25"/>
  <c r="AD579" i="25" s="1"/>
  <c r="AC579" i="25" s="1"/>
  <c r="O382" i="25"/>
  <c r="AO382" i="25" s="1"/>
  <c r="S43" i="82"/>
  <c r="S41" i="82" s="1"/>
  <c r="S67" i="82" s="1"/>
  <c r="O415" i="25"/>
  <c r="AO415" i="25" s="1"/>
  <c r="N1431" i="16"/>
  <c r="G1431" i="16" s="1"/>
  <c r="N1535" i="16"/>
  <c r="T277" i="25"/>
  <c r="AD277" i="25" s="1"/>
  <c r="AC277" i="25" s="1"/>
  <c r="O265" i="25"/>
  <c r="AO265" i="25" s="1"/>
  <c r="O291" i="25"/>
  <c r="AO291" i="25" s="1"/>
  <c r="N1379" i="16"/>
  <c r="N1538" i="16"/>
  <c r="N1404" i="16"/>
  <c r="N1531" i="16"/>
  <c r="N1584" i="16"/>
  <c r="T419" i="25"/>
  <c r="AD419" i="25" s="1"/>
  <c r="AC419" i="25" s="1"/>
  <c r="O257" i="25"/>
  <c r="AO257" i="25" s="1"/>
  <c r="O639" i="25"/>
  <c r="AO639" i="25" s="1"/>
  <c r="N1409" i="16"/>
  <c r="G1409" i="16" s="1"/>
  <c r="N1563" i="16"/>
  <c r="O685" i="25"/>
  <c r="AO685" i="25" s="1"/>
  <c r="N542" i="16"/>
  <c r="AC566" i="24"/>
  <c r="N129" i="16"/>
  <c r="G130" i="16" s="1"/>
  <c r="G131" i="16" s="1"/>
  <c r="N272" i="16"/>
  <c r="N75" i="16"/>
  <c r="G76" i="16" s="1"/>
  <c r="G77" i="16" s="1"/>
  <c r="G78" i="16" s="1"/>
  <c r="G79" i="16" s="1"/>
  <c r="N44" i="16"/>
  <c r="G45" i="16" s="1"/>
  <c r="G46" i="16" s="1"/>
  <c r="N47" i="16"/>
  <c r="G48" i="16" s="1"/>
  <c r="G49" i="16" s="1"/>
  <c r="N1558" i="16"/>
  <c r="G1558" i="16" s="1"/>
  <c r="N1470" i="16"/>
  <c r="N1453" i="16"/>
  <c r="G1453" i="16" s="1"/>
  <c r="G1445" i="16" s="1"/>
  <c r="N1321" i="16"/>
  <c r="N1293" i="16"/>
  <c r="N1283" i="16"/>
  <c r="N1254" i="16"/>
  <c r="N1169" i="16"/>
  <c r="N1153" i="16"/>
  <c r="G1153" i="16" s="1"/>
  <c r="N1151" i="16"/>
  <c r="N1119" i="16"/>
  <c r="N868" i="16"/>
  <c r="N29" i="16"/>
  <c r="G29" i="16" s="1"/>
  <c r="G1733" i="16" l="1"/>
  <c r="G542" i="16"/>
  <c r="G543" i="16" s="1"/>
  <c r="G544" i="16" s="1"/>
  <c r="G1590" i="16"/>
  <c r="G1591" i="16" s="1"/>
  <c r="G1592" i="16" s="1"/>
  <c r="G1700" i="16"/>
  <c r="G1721" i="16"/>
  <c r="G1722" i="16" s="1"/>
  <c r="G1723" i="16" s="1"/>
  <c r="G1584" i="16"/>
  <c r="G1420" i="16"/>
  <c r="G1421" i="16" s="1"/>
  <c r="G1422" i="16" s="1"/>
  <c r="G1423" i="16" s="1"/>
  <c r="G1424" i="16" s="1"/>
  <c r="G1425" i="16" s="1"/>
  <c r="G1426" i="16" s="1"/>
  <c r="G1427" i="16" s="1"/>
  <c r="G1169" i="16"/>
  <c r="G1170" i="16" s="1"/>
  <c r="G1171" i="16" s="1"/>
  <c r="G1172" i="16" s="1"/>
  <c r="G1173" i="16" s="1"/>
  <c r="G1174" i="16" s="1"/>
  <c r="G1175" i="16" s="1"/>
  <c r="G1415" i="16"/>
  <c r="G1416" i="16" s="1"/>
  <c r="G1417" i="16" s="1"/>
  <c r="G1254" i="16"/>
  <c r="G1255" i="16" s="1"/>
  <c r="G1404" i="16"/>
  <c r="G1405" i="16" s="1"/>
  <c r="G1145" i="16"/>
  <c r="G1065" i="16"/>
  <c r="G1066" i="16" s="1"/>
  <c r="G1067" i="16" s="1"/>
  <c r="G1068" i="16" s="1"/>
  <c r="G1383" i="16"/>
  <c r="G1384" i="16" s="1"/>
  <c r="G1385" i="16" s="1"/>
  <c r="G1461" i="16"/>
  <c r="G1462" i="16" s="1"/>
  <c r="G1463" i="16" s="1"/>
  <c r="G1535" i="16"/>
  <c r="G1536" i="16" s="1"/>
  <c r="G1575" i="16"/>
  <c r="G1576" i="16" s="1"/>
  <c r="G1577" i="16" s="1"/>
  <c r="G1578" i="16" s="1"/>
  <c r="G1293" i="16"/>
  <c r="G1379" i="16"/>
  <c r="G1459" i="16"/>
  <c r="G1460" i="16" s="1"/>
  <c r="G1410" i="16"/>
  <c r="G1411" i="16" s="1"/>
  <c r="G1412" i="16" s="1"/>
  <c r="G1401" i="16"/>
  <c r="G1402" i="16" s="1"/>
  <c r="G1403" i="16" s="1"/>
  <c r="G1501" i="16"/>
  <c r="G1531" i="16"/>
  <c r="G1532" i="16" s="1"/>
  <c r="G1429" i="16"/>
  <c r="G1157" i="16"/>
  <c r="G1538" i="16"/>
  <c r="G1539" i="16" s="1"/>
  <c r="G1418" i="16"/>
  <c r="G1419" i="16" s="1"/>
  <c r="G1119" i="16"/>
  <c r="G1588" i="16"/>
  <c r="G1589" i="16" s="1"/>
  <c r="G1533" i="16"/>
  <c r="G1534" i="16" s="1"/>
  <c r="G1283" i="16"/>
  <c r="G1284" i="16" s="1"/>
  <c r="G1563" i="16"/>
  <c r="G1564" i="16" s="1"/>
  <c r="G1565" i="16" s="1"/>
  <c r="G1566" i="16" s="1"/>
  <c r="G1567" i="16" s="1"/>
  <c r="G868" i="16"/>
  <c r="G869" i="16" s="1"/>
  <c r="G870" i="16" s="1"/>
  <c r="G871" i="16" s="1"/>
  <c r="G872" i="16" s="1"/>
  <c r="G873" i="16" s="1"/>
  <c r="G874" i="16" s="1"/>
  <c r="G875" i="16" s="1"/>
  <c r="G876" i="16" s="1"/>
  <c r="G877" i="16" s="1"/>
  <c r="G878" i="16" s="1"/>
  <c r="G879" i="16" s="1"/>
  <c r="G880" i="16" s="1"/>
  <c r="G881" i="16" s="1"/>
  <c r="G882" i="16" s="1"/>
  <c r="G1321" i="16"/>
  <c r="G1322" i="16" s="1"/>
  <c r="G1151" i="16"/>
  <c r="G1152" i="16" s="1"/>
  <c r="G1470" i="16"/>
  <c r="G1471" i="16" s="1"/>
  <c r="G1472" i="16" s="1"/>
  <c r="G1473" i="16" s="1"/>
  <c r="G1474" i="16" s="1"/>
  <c r="G1475" i="16" s="1"/>
  <c r="G1476" i="16" s="1"/>
  <c r="G1477" i="16" s="1"/>
  <c r="G1478" i="16" s="1"/>
  <c r="G1479" i="16" s="1"/>
  <c r="G1480" i="16" s="1"/>
  <c r="G1560" i="16"/>
  <c r="G1561" i="16" s="1"/>
  <c r="G1562" i="16" s="1"/>
  <c r="G1573" i="16"/>
  <c r="G1574" i="16" s="1"/>
  <c r="G1241" i="16"/>
  <c r="G1242" i="16" s="1"/>
  <c r="G1243" i="16" s="1"/>
  <c r="G1244" i="16" s="1"/>
  <c r="G1245" i="16" s="1"/>
  <c r="G1246" i="16" s="1"/>
  <c r="G1433" i="16"/>
  <c r="A1118" i="66"/>
  <c r="C1118" i="66" s="1"/>
  <c r="A1253" i="66"/>
  <c r="A1254" i="66" s="1"/>
  <c r="C1254" i="66" s="1"/>
  <c r="I1443" i="66"/>
  <c r="A1444" i="66"/>
  <c r="A1445" i="66" s="1"/>
  <c r="A1469" i="66"/>
  <c r="A1470" i="66" s="1"/>
  <c r="A1471" i="66" s="1"/>
  <c r="C1471" i="66" s="1"/>
  <c r="A1292" i="66"/>
  <c r="A1293" i="66" s="1"/>
  <c r="C1293" i="66" s="1"/>
  <c r="A1430" i="66"/>
  <c r="C1430" i="66" s="1"/>
  <c r="A1408" i="66"/>
  <c r="C1408" i="66" s="1"/>
  <c r="A1699" i="66"/>
  <c r="C1699" i="66" s="1"/>
  <c r="A1168" i="66"/>
  <c r="C1168" i="66" s="1"/>
  <c r="A1320" i="66"/>
  <c r="A1321" i="66" s="1"/>
  <c r="C1321" i="66" s="1"/>
  <c r="A130" i="66"/>
  <c r="C130" i="66" s="1"/>
  <c r="C129" i="66"/>
  <c r="C259" i="66"/>
  <c r="C260" i="66"/>
  <c r="A273" i="66"/>
  <c r="C273" i="66" s="1"/>
  <c r="C272" i="66"/>
  <c r="A304" i="66"/>
  <c r="C303" i="66"/>
  <c r="A76" i="66"/>
  <c r="C75" i="66"/>
  <c r="I1141" i="66"/>
  <c r="A1141" i="66" s="1"/>
  <c r="I1413" i="66"/>
  <c r="A1413" i="66" s="1"/>
  <c r="A1429" i="66"/>
  <c r="C1429" i="66" s="1"/>
  <c r="I1427" i="66"/>
  <c r="C1432" i="66"/>
  <c r="I1455" i="66"/>
  <c r="I1529" i="66"/>
  <c r="A1720" i="66"/>
  <c r="C1720" i="66" s="1"/>
  <c r="C1500" i="66"/>
  <c r="I1498" i="66"/>
  <c r="A1498" i="66" s="1"/>
  <c r="I1589" i="66"/>
  <c r="A1584" i="66"/>
  <c r="I1582" i="66"/>
  <c r="A1818" i="66"/>
  <c r="C1818" i="66" s="1"/>
  <c r="C1817" i="66"/>
  <c r="A1588" i="66"/>
  <c r="C1588" i="66" s="1"/>
  <c r="C1587" i="66"/>
  <c r="A1575" i="66"/>
  <c r="C1574" i="66"/>
  <c r="A1573" i="66"/>
  <c r="C1573" i="66" s="1"/>
  <c r="C1572" i="66"/>
  <c r="A1563" i="66"/>
  <c r="C1562" i="66"/>
  <c r="A1560" i="66"/>
  <c r="C1559" i="66"/>
  <c r="A1535" i="66"/>
  <c r="C1535" i="66" s="1"/>
  <c r="C1534" i="66"/>
  <c r="A1420" i="66"/>
  <c r="C1420" i="66" s="1"/>
  <c r="C1419" i="66"/>
  <c r="A1410" i="66"/>
  <c r="C1409" i="66"/>
  <c r="A1404" i="66"/>
  <c r="C1404" i="66" s="1"/>
  <c r="C1403" i="66"/>
  <c r="A1401" i="66"/>
  <c r="C1400" i="66"/>
  <c r="A1383" i="66"/>
  <c r="C1382" i="66"/>
  <c r="A1379" i="66"/>
  <c r="C1379" i="66" s="1"/>
  <c r="C1378" i="66"/>
  <c r="A1065" i="66"/>
  <c r="C1064" i="66"/>
  <c r="A868" i="66"/>
  <c r="C867" i="66"/>
  <c r="A29" i="66"/>
  <c r="C28" i="66"/>
  <c r="I1558" i="66"/>
  <c r="I1553" i="66" s="1"/>
  <c r="A1553" i="66" s="1"/>
  <c r="I1512" i="66"/>
  <c r="A1512" i="66" s="1"/>
  <c r="I1490" i="66"/>
  <c r="A1490" i="66" s="1"/>
  <c r="I1289" i="66"/>
  <c r="N1289" i="16"/>
  <c r="G1289" i="16" s="1"/>
  <c r="I1288" i="66"/>
  <c r="N1288" i="16"/>
  <c r="G1288" i="16" s="1"/>
  <c r="I1287" i="66"/>
  <c r="A1287" i="66" s="1"/>
  <c r="I1270" i="66"/>
  <c r="N1256" i="16"/>
  <c r="I1255" i="66"/>
  <c r="A1255" i="66" s="1"/>
  <c r="I1252" i="66"/>
  <c r="I1250" i="66"/>
  <c r="N1249" i="16"/>
  <c r="I1248" i="66"/>
  <c r="I1246" i="66"/>
  <c r="I1231" i="66"/>
  <c r="I1226" i="66"/>
  <c r="I1221" i="66"/>
  <c r="I1218" i="66"/>
  <c r="I1216" i="66"/>
  <c r="I1164" i="66"/>
  <c r="N1163" i="16"/>
  <c r="I1162" i="66"/>
  <c r="I1138" i="66"/>
  <c r="N1134" i="16"/>
  <c r="I1133" i="66"/>
  <c r="N1131" i="16"/>
  <c r="I1130" i="66"/>
  <c r="I1124" i="66"/>
  <c r="N1290" i="16"/>
  <c r="T388" i="25"/>
  <c r="AD388" i="25" s="1"/>
  <c r="AC388" i="25" s="1"/>
  <c r="O390" i="25"/>
  <c r="AO390" i="25" s="1"/>
  <c r="N1247" i="16"/>
  <c r="N1219" i="16"/>
  <c r="N1271" i="16"/>
  <c r="N1232" i="16"/>
  <c r="N1217" i="16"/>
  <c r="AC146" i="25"/>
  <c r="N1253" i="16"/>
  <c r="G1253" i="16" s="1"/>
  <c r="N1227" i="16"/>
  <c r="N1125" i="16"/>
  <c r="N1491" i="16"/>
  <c r="N1222" i="16"/>
  <c r="N1165" i="16"/>
  <c r="G1165" i="16" s="1"/>
  <c r="N1559" i="16"/>
  <c r="N1139" i="16"/>
  <c r="N1251" i="16"/>
  <c r="N1513" i="16"/>
  <c r="G1446" i="16"/>
  <c r="G1447" i="16" s="1"/>
  <c r="G1448" i="16" s="1"/>
  <c r="G1449" i="16" s="1"/>
  <c r="G1454" i="16"/>
  <c r="G1455" i="16" s="1"/>
  <c r="G30" i="16"/>
  <c r="G31" i="16" s="1"/>
  <c r="G32" i="16" s="1"/>
  <c r="G33" i="16" s="1"/>
  <c r="T67" i="82"/>
  <c r="AD67" i="82" s="1"/>
  <c r="AC67" i="82" s="1"/>
  <c r="O67" i="82"/>
  <c r="T41" i="82"/>
  <c r="G1430" i="16" l="1"/>
  <c r="G1428" i="16" s="1"/>
  <c r="G1219" i="16"/>
  <c r="G1220" i="16" s="1"/>
  <c r="G1221" i="16" s="1"/>
  <c r="G1125" i="16"/>
  <c r="G1126" i="16" s="1"/>
  <c r="G1127" i="16" s="1"/>
  <c r="G1128" i="16" s="1"/>
  <c r="G1129" i="16" s="1"/>
  <c r="G1130" i="16" s="1"/>
  <c r="G1513" i="16"/>
  <c r="G1514" i="16" s="1"/>
  <c r="G1515" i="16" s="1"/>
  <c r="G1516" i="16" s="1"/>
  <c r="G1517" i="16" s="1"/>
  <c r="G1518" i="16" s="1"/>
  <c r="G1519" i="16" s="1"/>
  <c r="G1520" i="16" s="1"/>
  <c r="G1521" i="16" s="1"/>
  <c r="G1522" i="16" s="1"/>
  <c r="G1523" i="16" s="1"/>
  <c r="G1524" i="16" s="1"/>
  <c r="G1525" i="16" s="1"/>
  <c r="G1526" i="16" s="1"/>
  <c r="G1527" i="16" s="1"/>
  <c r="G1528" i="16" s="1"/>
  <c r="G1256" i="16"/>
  <c r="G1257" i="16" s="1"/>
  <c r="G1158" i="16"/>
  <c r="G1159" i="16" s="1"/>
  <c r="G1160" i="16" s="1"/>
  <c r="G1161" i="16" s="1"/>
  <c r="G1162" i="16" s="1"/>
  <c r="G1294" i="16"/>
  <c r="G1295" i="16" s="1"/>
  <c r="G1296" i="16" s="1"/>
  <c r="G1297" i="16" s="1"/>
  <c r="G1298" i="16" s="1"/>
  <c r="G1299" i="16" s="1"/>
  <c r="G1300" i="16" s="1"/>
  <c r="G1301" i="16" s="1"/>
  <c r="G1302" i="16" s="1"/>
  <c r="G1303" i="16" s="1"/>
  <c r="G1304" i="16" s="1"/>
  <c r="G1305" i="16" s="1"/>
  <c r="G1306" i="16" s="1"/>
  <c r="G1307" i="16" s="1"/>
  <c r="G1308" i="16" s="1"/>
  <c r="G1309" i="16" s="1"/>
  <c r="G1310" i="16" s="1"/>
  <c r="G1311" i="16" s="1"/>
  <c r="G1312" i="16" s="1"/>
  <c r="G1313" i="16" s="1"/>
  <c r="G1314" i="16" s="1"/>
  <c r="G1315" i="16" s="1"/>
  <c r="G1316" i="16" s="1"/>
  <c r="G1317" i="16" s="1"/>
  <c r="G1318" i="16" s="1"/>
  <c r="G1319" i="16" s="1"/>
  <c r="G1320" i="16" s="1"/>
  <c r="G1271" i="16"/>
  <c r="G1272" i="16" s="1"/>
  <c r="G1273" i="16" s="1"/>
  <c r="G1274" i="16" s="1"/>
  <c r="G1275" i="16" s="1"/>
  <c r="G1276" i="16" s="1"/>
  <c r="G1277" i="16" s="1"/>
  <c r="G1491" i="16"/>
  <c r="G1492" i="16" s="1"/>
  <c r="G1493" i="16" s="1"/>
  <c r="G1494" i="16" s="1"/>
  <c r="G1495" i="16" s="1"/>
  <c r="G1496" i="16" s="1"/>
  <c r="G1497" i="16" s="1"/>
  <c r="G1498" i="16" s="1"/>
  <c r="G1146" i="16"/>
  <c r="G1147" i="16" s="1"/>
  <c r="G1148" i="16" s="1"/>
  <c r="G1149" i="16" s="1"/>
  <c r="G1150" i="16" s="1"/>
  <c r="G1134" i="16"/>
  <c r="G1135" i="16" s="1"/>
  <c r="G1136" i="16" s="1"/>
  <c r="G1137" i="16" s="1"/>
  <c r="G1138" i="16" s="1"/>
  <c r="G1251" i="16"/>
  <c r="G1252" i="16" s="1"/>
  <c r="G1139" i="16"/>
  <c r="G1140" i="16" s="1"/>
  <c r="G1141" i="16" s="1"/>
  <c r="G1434" i="16"/>
  <c r="G1435" i="16" s="1"/>
  <c r="G1436" i="16" s="1"/>
  <c r="G1437" i="16" s="1"/>
  <c r="G1438" i="16" s="1"/>
  <c r="G1439" i="16" s="1"/>
  <c r="G1440" i="16" s="1"/>
  <c r="G1441" i="16" s="1"/>
  <c r="G1442" i="16" s="1"/>
  <c r="G1443" i="16" s="1"/>
  <c r="G1585" i="16"/>
  <c r="G1586" i="16" s="1"/>
  <c r="G1587" i="16" s="1"/>
  <c r="G1131" i="16"/>
  <c r="G1132" i="16" s="1"/>
  <c r="G1133" i="16" s="1"/>
  <c r="G1502" i="16"/>
  <c r="G1503" i="16" s="1"/>
  <c r="G1504" i="16" s="1"/>
  <c r="G1505" i="16" s="1"/>
  <c r="G1380" i="16"/>
  <c r="G1381" i="16" s="1"/>
  <c r="G1382" i="16" s="1"/>
  <c r="G1227" i="16"/>
  <c r="G1228" i="16" s="1"/>
  <c r="G1229" i="16" s="1"/>
  <c r="G1230" i="16" s="1"/>
  <c r="G1217" i="16"/>
  <c r="G1290" i="16"/>
  <c r="G1291" i="16" s="1"/>
  <c r="G1163" i="16"/>
  <c r="G1164" i="16" s="1"/>
  <c r="C1320" i="66"/>
  <c r="G1120" i="16"/>
  <c r="G1121" i="16" s="1"/>
  <c r="G1122" i="16" s="1"/>
  <c r="G1123" i="16" s="1"/>
  <c r="G1414" i="16"/>
  <c r="G1222" i="16"/>
  <c r="G1223" i="16" s="1"/>
  <c r="G1224" i="16" s="1"/>
  <c r="G1225" i="16" s="1"/>
  <c r="G1226" i="16" s="1"/>
  <c r="G1247" i="16"/>
  <c r="G1248" i="16" s="1"/>
  <c r="G1559" i="16"/>
  <c r="G1554" i="16" s="1"/>
  <c r="G1555" i="16" s="1"/>
  <c r="G1556" i="16" s="1"/>
  <c r="G1557" i="16" s="1"/>
  <c r="G1232" i="16"/>
  <c r="G1233" i="16" s="1"/>
  <c r="G1234" i="16" s="1"/>
  <c r="G1235" i="16" s="1"/>
  <c r="G1236" i="16" s="1"/>
  <c r="G1237" i="16" s="1"/>
  <c r="G1238" i="16" s="1"/>
  <c r="G1239" i="16" s="1"/>
  <c r="G1240" i="16" s="1"/>
  <c r="G1249" i="16"/>
  <c r="G1250" i="16" s="1"/>
  <c r="G1530" i="16"/>
  <c r="G1529" i="16" s="1"/>
  <c r="G1456" i="16"/>
  <c r="G1457" i="16" s="1"/>
  <c r="G1458" i="16" s="1"/>
  <c r="C1292" i="66"/>
  <c r="C1469" i="66"/>
  <c r="A1289" i="66"/>
  <c r="C1289" i="66" s="1"/>
  <c r="A1455" i="66"/>
  <c r="A1456" i="66" s="1"/>
  <c r="C1470" i="66"/>
  <c r="A1582" i="66"/>
  <c r="C1582" i="66" s="1"/>
  <c r="A1529" i="66"/>
  <c r="C1529" i="66" s="1"/>
  <c r="A1427" i="66"/>
  <c r="A1412" i="66" s="1"/>
  <c r="C1412" i="66" s="1"/>
  <c r="A1169" i="66"/>
  <c r="C1169" i="66" s="1"/>
  <c r="A1119" i="66"/>
  <c r="A1288" i="66"/>
  <c r="C1288" i="66" s="1"/>
  <c r="A1443" i="66"/>
  <c r="C1443" i="66" s="1"/>
  <c r="C1253" i="66"/>
  <c r="A1589" i="66"/>
  <c r="C1589" i="66" s="1"/>
  <c r="I1652" i="66"/>
  <c r="AO67" i="82"/>
  <c r="C1444" i="66"/>
  <c r="A305" i="66"/>
  <c r="C305" i="66" s="1"/>
  <c r="C304" i="66"/>
  <c r="A77" i="66"/>
  <c r="C76" i="66"/>
  <c r="I1153" i="66"/>
  <c r="I1123" i="66"/>
  <c r="A1142" i="66"/>
  <c r="A1143" i="66" s="1"/>
  <c r="C1143" i="66" s="1"/>
  <c r="C1141" i="66"/>
  <c r="C1428" i="66"/>
  <c r="C1287" i="66"/>
  <c r="I1286" i="66"/>
  <c r="A1433" i="66"/>
  <c r="A1434" i="66" s="1"/>
  <c r="C1413" i="66"/>
  <c r="I1528" i="66"/>
  <c r="A1446" i="66"/>
  <c r="C1445" i="66"/>
  <c r="A1501" i="66"/>
  <c r="A1502" i="66" s="1"/>
  <c r="A1499" i="66"/>
  <c r="C1499" i="66" s="1"/>
  <c r="C1498" i="66"/>
  <c r="A1554" i="66"/>
  <c r="C1553" i="66"/>
  <c r="C1583" i="66"/>
  <c r="A1585" i="66"/>
  <c r="C1584" i="66"/>
  <c r="A1576" i="66"/>
  <c r="C1575" i="66"/>
  <c r="A1564" i="66"/>
  <c r="C1563" i="66"/>
  <c r="A1561" i="66"/>
  <c r="C1561" i="66" s="1"/>
  <c r="C1560" i="66"/>
  <c r="A1513" i="66"/>
  <c r="C1513" i="66" s="1"/>
  <c r="C1512" i="66"/>
  <c r="A1491" i="66"/>
  <c r="C1491" i="66" s="1"/>
  <c r="C1490" i="66"/>
  <c r="A1411" i="66"/>
  <c r="C1411" i="66" s="1"/>
  <c r="C1410" i="66"/>
  <c r="A1402" i="66"/>
  <c r="C1402" i="66" s="1"/>
  <c r="C1401" i="66"/>
  <c r="A1384" i="66"/>
  <c r="C1384" i="66" s="1"/>
  <c r="C1383" i="66"/>
  <c r="A1256" i="66"/>
  <c r="C1256" i="66" s="1"/>
  <c r="C1255" i="66"/>
  <c r="A1066" i="66"/>
  <c r="C1065" i="66"/>
  <c r="A869" i="66"/>
  <c r="C868" i="66"/>
  <c r="A30" i="66"/>
  <c r="C29" i="66"/>
  <c r="AD41" i="82"/>
  <c r="AC41" i="82" s="1"/>
  <c r="I1263" i="66"/>
  <c r="I1259" i="66" s="1"/>
  <c r="A1259" i="66" s="1"/>
  <c r="N1264" i="16"/>
  <c r="N1653" i="16"/>
  <c r="O40" i="82"/>
  <c r="C1455" i="66" l="1"/>
  <c r="G1287" i="16"/>
  <c r="G1413" i="16"/>
  <c r="G1653" i="16"/>
  <c r="G1654" i="16" s="1"/>
  <c r="G1655" i="16" s="1"/>
  <c r="G1142" i="16"/>
  <c r="G1143" i="16" s="1"/>
  <c r="G1144" i="16" s="1"/>
  <c r="G1264" i="16"/>
  <c r="G1154" i="16"/>
  <c r="G1155" i="16" s="1"/>
  <c r="G1156" i="16" s="1"/>
  <c r="G1218" i="16"/>
  <c r="G1212" i="16" s="1"/>
  <c r="G1231" i="16"/>
  <c r="G1583" i="16"/>
  <c r="G1124" i="16"/>
  <c r="G1499" i="16"/>
  <c r="G1500" i="16" s="1"/>
  <c r="C1456" i="66"/>
  <c r="A1457" i="66"/>
  <c r="C1457" i="66" s="1"/>
  <c r="C1427" i="66"/>
  <c r="A1528" i="66"/>
  <c r="C1528" i="66" s="1"/>
  <c r="A1170" i="66"/>
  <c r="A1171" i="66" s="1"/>
  <c r="C1171" i="66" s="1"/>
  <c r="A1286" i="66"/>
  <c r="C1286" i="66" s="1"/>
  <c r="A1590" i="66"/>
  <c r="A1153" i="66"/>
  <c r="A1154" i="66" s="1"/>
  <c r="C1119" i="66"/>
  <c r="A1120" i="66"/>
  <c r="A1123" i="66"/>
  <c r="C1123" i="66" s="1"/>
  <c r="AO40" i="82"/>
  <c r="A78" i="66"/>
  <c r="C78" i="66" s="1"/>
  <c r="C77" i="66"/>
  <c r="C1142" i="66"/>
  <c r="A1260" i="66"/>
  <c r="C1259" i="66"/>
  <c r="C1433" i="66"/>
  <c r="C1501" i="66"/>
  <c r="A1447" i="66"/>
  <c r="C1446" i="66"/>
  <c r="A1555" i="66"/>
  <c r="C1554" i="66"/>
  <c r="A1586" i="66"/>
  <c r="C1586" i="66" s="1"/>
  <c r="C1585" i="66"/>
  <c r="A1577" i="66"/>
  <c r="C1577" i="66" s="1"/>
  <c r="C1576" i="66"/>
  <c r="A1565" i="66"/>
  <c r="C1564" i="66"/>
  <c r="A1503" i="66"/>
  <c r="C1502" i="66"/>
  <c r="A1435" i="66"/>
  <c r="C1434" i="66"/>
  <c r="A1067" i="66"/>
  <c r="C1067" i="66" s="1"/>
  <c r="C1066" i="66"/>
  <c r="A870" i="66"/>
  <c r="C869" i="66"/>
  <c r="A31" i="66"/>
  <c r="C30" i="66"/>
  <c r="I1625" i="66"/>
  <c r="A1625" i="66" s="1"/>
  <c r="N1626" i="16"/>
  <c r="G1205" i="16" l="1"/>
  <c r="G1206" i="16" s="1"/>
  <c r="G1207" i="16" s="1"/>
  <c r="G1208" i="16" s="1"/>
  <c r="G1209" i="16" s="1"/>
  <c r="G1210" i="16" s="1"/>
  <c r="G1211" i="16" s="1"/>
  <c r="G1626" i="16"/>
  <c r="G1627" i="16" s="1"/>
  <c r="G1628" i="16" s="1"/>
  <c r="G1629" i="16" s="1"/>
  <c r="G1630" i="16" s="1"/>
  <c r="G1631" i="16" s="1"/>
  <c r="G1632" i="16" s="1"/>
  <c r="G1633" i="16" s="1"/>
  <c r="G1634" i="16" s="1"/>
  <c r="G1635" i="16" s="1"/>
  <c r="G1636" i="16" s="1"/>
  <c r="G1637" i="16" s="1"/>
  <c r="G1638" i="16" s="1"/>
  <c r="G1639" i="16" s="1"/>
  <c r="G1640" i="16" s="1"/>
  <c r="G1641" i="16" s="1"/>
  <c r="G1642" i="16" s="1"/>
  <c r="G1643" i="16" s="1"/>
  <c r="G1644" i="16" s="1"/>
  <c r="G1645" i="16" s="1"/>
  <c r="G1646" i="16" s="1"/>
  <c r="G1647" i="16" s="1"/>
  <c r="G1648" i="16" s="1"/>
  <c r="G1649" i="16" s="1"/>
  <c r="G1650" i="16" s="1"/>
  <c r="G1651" i="16" s="1"/>
  <c r="G1652" i="16" s="1"/>
  <c r="G1265" i="16"/>
  <c r="G1266" i="16" s="1"/>
  <c r="G1267" i="16" s="1"/>
  <c r="G1268" i="16" s="1"/>
  <c r="G1269" i="16" s="1"/>
  <c r="G1270" i="16" s="1"/>
  <c r="C1153" i="66"/>
  <c r="A1155" i="66"/>
  <c r="C1155" i="66" s="1"/>
  <c r="C1154" i="66"/>
  <c r="A1121" i="66"/>
  <c r="C1120" i="66"/>
  <c r="C1170" i="66"/>
  <c r="C1590" i="66"/>
  <c r="A1591" i="66"/>
  <c r="C1591" i="66" s="1"/>
  <c r="A1261" i="66"/>
  <c r="C1260" i="66"/>
  <c r="A1448" i="66"/>
  <c r="C1448" i="66" s="1"/>
  <c r="C1447" i="66"/>
  <c r="A1556" i="66"/>
  <c r="C1556" i="66" s="1"/>
  <c r="C1555" i="66"/>
  <c r="A1626" i="66"/>
  <c r="C1625" i="66"/>
  <c r="A1566" i="66"/>
  <c r="C1566" i="66" s="1"/>
  <c r="C1565" i="66"/>
  <c r="A1504" i="66"/>
  <c r="C1504" i="66" s="1"/>
  <c r="C1503" i="66"/>
  <c r="A1436" i="66"/>
  <c r="C1435" i="66"/>
  <c r="A871" i="66"/>
  <c r="C871" i="66" s="1"/>
  <c r="C870" i="66"/>
  <c r="A32" i="66"/>
  <c r="C32" i="66" s="1"/>
  <c r="C31" i="66"/>
  <c r="T1996" i="16"/>
  <c r="AX2274" i="16"/>
  <c r="AX27" i="29"/>
  <c r="AY27" i="29"/>
  <c r="AD2036" i="16"/>
  <c r="AX1874" i="16"/>
  <c r="AY27" i="28"/>
  <c r="S189" i="28" s="1"/>
  <c r="R189" i="28" s="1"/>
  <c r="AE189" i="28" s="1"/>
  <c r="AC189" i="28" s="1"/>
  <c r="E29" i="23"/>
  <c r="P29" i="23" s="1"/>
  <c r="AY1613" i="16" s="1"/>
  <c r="G1260" i="16" l="1"/>
  <c r="G1261" i="16" s="1"/>
  <c r="G1262" i="16" s="1"/>
  <c r="G1263" i="16" s="1"/>
  <c r="C1121" i="66"/>
  <c r="A1122" i="66"/>
  <c r="A1262" i="66"/>
  <c r="C1262" i="66" s="1"/>
  <c r="C1261" i="66"/>
  <c r="A1627" i="66"/>
  <c r="C1626" i="66"/>
  <c r="A1437" i="66"/>
  <c r="C1437" i="66" s="1"/>
  <c r="C1436" i="66"/>
  <c r="AY325" i="16"/>
  <c r="AY26" i="16"/>
  <c r="AY1874" i="16"/>
  <c r="S2036" i="16" s="1"/>
  <c r="AY901" i="16"/>
  <c r="AY2274" i="16"/>
  <c r="C1122" i="66" l="1"/>
  <c r="A1628" i="66"/>
  <c r="C1627" i="66"/>
  <c r="AD598" i="16"/>
  <c r="A1629" i="66" l="1"/>
  <c r="C1628" i="66"/>
  <c r="AD1996" i="16"/>
  <c r="U1996" i="16"/>
  <c r="Y1996" i="16"/>
  <c r="R1996" i="16"/>
  <c r="M1996" i="16" s="1"/>
  <c r="AD149" i="28"/>
  <c r="U149" i="28"/>
  <c r="FD4" i="2" s="1"/>
  <c r="R149" i="28"/>
  <c r="M149" i="28" s="1"/>
  <c r="AM149" i="28" s="1"/>
  <c r="G1996" i="16" l="1"/>
  <c r="G1997" i="16" s="1"/>
  <c r="G1998" i="16" s="1"/>
  <c r="AM1996" i="16"/>
  <c r="A1630" i="66"/>
  <c r="C1629" i="66"/>
  <c r="AE149" i="28"/>
  <c r="AC149" i="28" s="1"/>
  <c r="AE1996" i="16"/>
  <c r="A1631" i="66" l="1"/>
  <c r="C1630" i="66"/>
  <c r="AC1996" i="16"/>
  <c r="A1632" i="66" l="1"/>
  <c r="C1631" i="66"/>
  <c r="Y2305" i="16"/>
  <c r="A1633" i="66" l="1"/>
  <c r="C1632" i="66"/>
  <c r="Y2036" i="16"/>
  <c r="R2036" i="16"/>
  <c r="M189" i="28"/>
  <c r="AM189" i="28" s="1"/>
  <c r="A1634" i="66" l="1"/>
  <c r="C1633" i="66"/>
  <c r="M2036" i="16"/>
  <c r="AE2036" i="16"/>
  <c r="AM2036" i="16" l="1"/>
  <c r="G2036" i="16"/>
  <c r="G2037" i="16" s="1"/>
  <c r="A1635" i="66"/>
  <c r="C1635" i="66" s="1"/>
  <c r="C1634" i="66"/>
  <c r="AC2036" i="16"/>
  <c r="Y1007" i="16"/>
  <c r="Y1003" i="16"/>
  <c r="AD133" i="25"/>
  <c r="R133" i="25"/>
  <c r="AE133" i="25" s="1"/>
  <c r="AD129" i="25"/>
  <c r="R129" i="25"/>
  <c r="AE129" i="25" s="1"/>
  <c r="Y886" i="16"/>
  <c r="AD886" i="16"/>
  <c r="T12" i="25"/>
  <c r="AD12" i="25" s="1"/>
  <c r="R12" i="25"/>
  <c r="AE12" i="25" s="1"/>
  <c r="Y598" i="16"/>
  <c r="AE300" i="24"/>
  <c r="AD300" i="24"/>
  <c r="R300" i="24"/>
  <c r="M300" i="24" s="1"/>
  <c r="M12" i="25" l="1"/>
  <c r="AM12" i="25" s="1"/>
  <c r="AC129" i="25"/>
  <c r="AC133" i="25"/>
  <c r="AC300" i="24"/>
  <c r="AC12" i="25"/>
  <c r="AE598" i="16"/>
  <c r="AE886" i="16"/>
  <c r="AF886" i="16" s="1"/>
  <c r="M133" i="25"/>
  <c r="AM133" i="25" s="1"/>
  <c r="M129" i="25"/>
  <c r="AM129" i="25" s="1"/>
  <c r="U185" i="24"/>
  <c r="BB4" i="2" s="1"/>
  <c r="AF598" i="16" l="1"/>
  <c r="AC598" i="16"/>
  <c r="AC886" i="16"/>
  <c r="U111" i="24"/>
  <c r="AV4" i="2" s="1"/>
  <c r="U98" i="24"/>
  <c r="AU4" i="2" s="1"/>
  <c r="I17" i="3" l="1"/>
  <c r="L17" i="3" s="1"/>
  <c r="L21" i="3"/>
  <c r="R21" i="3"/>
  <c r="R17" i="3"/>
  <c r="Q17" i="3" s="1"/>
  <c r="Q21" i="3" l="1"/>
  <c r="K21" i="3"/>
  <c r="K17" i="3"/>
  <c r="Y2308" i="16"/>
  <c r="Y2307" i="16"/>
  <c r="S60" i="24" l="1"/>
  <c r="S59" i="24"/>
  <c r="S58" i="24"/>
  <c r="S57" i="24"/>
  <c r="S81" i="25" l="1"/>
  <c r="R81" i="25" s="1"/>
  <c r="T222" i="25" l="1"/>
  <c r="AD222" i="25" s="1"/>
  <c r="AC222" i="25" s="1"/>
  <c r="T212" i="25" l="1"/>
  <c r="AD212" i="25" s="1"/>
  <c r="AC212" i="25" s="1"/>
  <c r="AD196" i="25"/>
  <c r="R196" i="25"/>
  <c r="AE196" i="25" s="1"/>
  <c r="T203" i="25"/>
  <c r="AD203" i="25" s="1"/>
  <c r="R203" i="25"/>
  <c r="AE203" i="25" s="1"/>
  <c r="AX13" i="16"/>
  <c r="AX14" i="16"/>
  <c r="BC14" i="16"/>
  <c r="BD14" i="16"/>
  <c r="AX15" i="16"/>
  <c r="AX16" i="16"/>
  <c r="AC203" i="25" l="1"/>
  <c r="M196" i="25"/>
  <c r="AM196" i="25" s="1"/>
  <c r="AC196" i="25"/>
  <c r="AF529" i="16"/>
  <c r="AF358" i="16"/>
  <c r="AF357" i="16"/>
  <c r="AF356" i="16"/>
  <c r="AF355" i="16"/>
  <c r="AA1888" i="16" l="1"/>
  <c r="AA564" i="16"/>
  <c r="AA566" i="16"/>
  <c r="AA843" i="16"/>
  <c r="AA1902" i="16"/>
  <c r="AA1915" i="16"/>
  <c r="AA1904" i="16"/>
  <c r="AA559" i="16"/>
  <c r="AA555" i="16"/>
  <c r="AA541" i="16"/>
  <c r="AA540" i="16"/>
  <c r="AA538" i="16"/>
  <c r="AA529" i="16"/>
  <c r="AA512" i="16"/>
  <c r="AA471" i="16"/>
  <c r="AA375" i="16"/>
  <c r="AA369" i="16"/>
  <c r="AA368" i="16"/>
  <c r="AA359" i="16"/>
  <c r="AA312" i="16"/>
  <c r="AA254" i="16"/>
  <c r="AA251" i="16"/>
  <c r="AA246" i="16"/>
  <c r="AA243" i="16"/>
  <c r="AA233" i="16"/>
  <c r="AA207" i="16"/>
  <c r="AA206" i="16"/>
  <c r="AA204" i="16"/>
  <c r="AA157" i="16"/>
  <c r="AA156" i="16"/>
  <c r="AA151" i="16"/>
  <c r="AA142" i="16"/>
  <c r="AA122" i="16"/>
  <c r="AA80" i="16"/>
  <c r="S1902" i="16" l="1"/>
  <c r="S55" i="28"/>
  <c r="K15" i="7" l="1"/>
  <c r="BC16" i="82" s="1"/>
  <c r="L15" i="7"/>
  <c r="BD16" i="82" s="1"/>
  <c r="Y936" i="16"/>
  <c r="AY23" i="24"/>
  <c r="O14" i="24" s="1"/>
  <c r="AY34" i="24"/>
  <c r="AZ34" i="24" s="1"/>
  <c r="S131" i="24" s="1"/>
  <c r="AY24" i="25"/>
  <c r="W534" i="25" s="1"/>
  <c r="O532" i="25" s="1"/>
  <c r="AY19" i="29"/>
  <c r="S150" i="29" s="1"/>
  <c r="T150" i="29" s="1"/>
  <c r="AD150" i="29" s="1"/>
  <c r="AC150" i="29" s="1"/>
  <c r="P11" i="23"/>
  <c r="P13" i="23"/>
  <c r="P16" i="23"/>
  <c r="P36" i="23"/>
  <c r="P38" i="23"/>
  <c r="P42" i="23"/>
  <c r="AY1626" i="16" s="1"/>
  <c r="P43" i="23"/>
  <c r="AY1627" i="16" s="1"/>
  <c r="P46" i="23"/>
  <c r="AY1630" i="16" s="1"/>
  <c r="P54" i="23"/>
  <c r="BD1862" i="16"/>
  <c r="BD2262" i="16"/>
  <c r="BC2262" i="16"/>
  <c r="BC1862" i="16"/>
  <c r="U38" i="8"/>
  <c r="AF4" i="2" s="1"/>
  <c r="Y37" i="16"/>
  <c r="Y34" i="16"/>
  <c r="Y19" i="16"/>
  <c r="Y17" i="16"/>
  <c r="Y15" i="16"/>
  <c r="Y13" i="16"/>
  <c r="K97" i="18"/>
  <c r="J97" i="18"/>
  <c r="K96" i="18"/>
  <c r="J96" i="18" s="1"/>
  <c r="K95" i="18"/>
  <c r="J95" i="18" s="1"/>
  <c r="K94" i="18"/>
  <c r="J94" i="18" s="1"/>
  <c r="K93" i="18"/>
  <c r="J93" i="18" s="1"/>
  <c r="K93" i="17"/>
  <c r="J93" i="17" s="1"/>
  <c r="K97" i="17"/>
  <c r="J97" i="17" s="1"/>
  <c r="K96" i="17"/>
  <c r="J96" i="17" s="1"/>
  <c r="K95" i="17"/>
  <c r="J95" i="17" s="1"/>
  <c r="K94" i="17"/>
  <c r="J94" i="17" s="1"/>
  <c r="K114" i="17"/>
  <c r="J114" i="17" s="1"/>
  <c r="K113" i="17"/>
  <c r="J113" i="17" s="1"/>
  <c r="K112" i="17"/>
  <c r="J112" i="17" s="1"/>
  <c r="K111" i="17"/>
  <c r="L111" i="18" s="1"/>
  <c r="K110" i="17"/>
  <c r="L110" i="18" s="1"/>
  <c r="K109" i="17"/>
  <c r="L109" i="18" s="1"/>
  <c r="K108" i="17"/>
  <c r="L108" i="18" s="1"/>
  <c r="K107" i="17"/>
  <c r="J107" i="17" s="1"/>
  <c r="K106" i="17"/>
  <c r="L106" i="18" s="1"/>
  <c r="K105" i="17"/>
  <c r="L105" i="18" s="1"/>
  <c r="J84" i="17"/>
  <c r="J82" i="17"/>
  <c r="J80" i="17"/>
  <c r="J78" i="17"/>
  <c r="J76" i="17"/>
  <c r="J74" i="17"/>
  <c r="J62" i="18"/>
  <c r="J84" i="18"/>
  <c r="J82" i="18"/>
  <c r="J80" i="18"/>
  <c r="J78" i="18"/>
  <c r="J76" i="18"/>
  <c r="J74" i="18"/>
  <c r="J64" i="18"/>
  <c r="J61" i="18"/>
  <c r="J54" i="18"/>
  <c r="J53" i="18"/>
  <c r="J52" i="18"/>
  <c r="J50" i="18"/>
  <c r="J48" i="18"/>
  <c r="J46" i="18"/>
  <c r="AD811" i="16"/>
  <c r="AD800" i="16"/>
  <c r="AD817" i="16"/>
  <c r="AD716" i="16"/>
  <c r="AD714" i="16"/>
  <c r="AD702" i="16"/>
  <c r="AD679" i="16"/>
  <c r="AD677" i="16"/>
  <c r="AD676" i="16"/>
  <c r="AD674" i="16"/>
  <c r="AD673" i="16"/>
  <c r="AD649" i="16"/>
  <c r="AD637" i="16"/>
  <c r="AD636" i="16"/>
  <c r="AD19" i="16"/>
  <c r="H106" i="18"/>
  <c r="H107" i="18"/>
  <c r="H108" i="18"/>
  <c r="H109" i="18"/>
  <c r="H110" i="18"/>
  <c r="H111" i="18"/>
  <c r="H112" i="18"/>
  <c r="H113" i="18"/>
  <c r="H114" i="18"/>
  <c r="H105" i="18"/>
  <c r="D105" i="18"/>
  <c r="D106" i="18"/>
  <c r="D107" i="18"/>
  <c r="D108" i="18"/>
  <c r="D109" i="18"/>
  <c r="D110" i="18"/>
  <c r="D111" i="18"/>
  <c r="D112" i="18"/>
  <c r="D113" i="18"/>
  <c r="D114" i="18"/>
  <c r="L112" i="18"/>
  <c r="E20" i="18"/>
  <c r="E20" i="17"/>
  <c r="AX2311" i="16"/>
  <c r="AX2310" i="16"/>
  <c r="AX2308" i="16"/>
  <c r="AX2307" i="16"/>
  <c r="AX2306" i="16"/>
  <c r="AX2305" i="16"/>
  <c r="AX2304" i="16"/>
  <c r="AX2303" i="16"/>
  <c r="AX2301" i="16"/>
  <c r="AX2300" i="16"/>
  <c r="AX2299" i="16"/>
  <c r="AX2298" i="16"/>
  <c r="AX2297" i="16"/>
  <c r="AX2296" i="16"/>
  <c r="AX2295" i="16"/>
  <c r="AX2294" i="16"/>
  <c r="AX2293" i="16"/>
  <c r="AX2291" i="16"/>
  <c r="AX2290" i="16"/>
  <c r="AX2289" i="16"/>
  <c r="AX2288" i="16"/>
  <c r="AX2287" i="16"/>
  <c r="AX2286" i="16"/>
  <c r="AX2285" i="16"/>
  <c r="AX2284" i="16"/>
  <c r="AX2283" i="16"/>
  <c r="AX2281" i="16"/>
  <c r="AX2277" i="16"/>
  <c r="AX2272" i="16"/>
  <c r="AX2271" i="16"/>
  <c r="AX2270" i="16"/>
  <c r="AX2268" i="16"/>
  <c r="AX2267" i="16"/>
  <c r="AX2266" i="16"/>
  <c r="AX2264" i="16"/>
  <c r="AX2263" i="16"/>
  <c r="AX2262" i="16"/>
  <c r="AX2261" i="16"/>
  <c r="AX2260" i="16"/>
  <c r="AX2259" i="16"/>
  <c r="AX2258" i="16"/>
  <c r="AX1911" i="16"/>
  <c r="AX1910" i="16"/>
  <c r="AX1908" i="16"/>
  <c r="AX1907" i="16"/>
  <c r="AX1906" i="16"/>
  <c r="AX1905" i="16"/>
  <c r="AX1904" i="16"/>
  <c r="AX1903" i="16"/>
  <c r="AX1901" i="16"/>
  <c r="AX1900" i="16"/>
  <c r="AX1899" i="16"/>
  <c r="AX1898" i="16"/>
  <c r="AX1897" i="16"/>
  <c r="AX1896" i="16"/>
  <c r="AX1895" i="16"/>
  <c r="AX1894" i="16"/>
  <c r="AX1893" i="16"/>
  <c r="AX1891" i="16"/>
  <c r="AX1890" i="16"/>
  <c r="AX1889" i="16"/>
  <c r="AX1888" i="16"/>
  <c r="AX1887" i="16"/>
  <c r="AX1886" i="16"/>
  <c r="AX1885" i="16"/>
  <c r="AX1884" i="16"/>
  <c r="AX1883" i="16"/>
  <c r="AX1881" i="16"/>
  <c r="AX1877" i="16"/>
  <c r="AX1872" i="16"/>
  <c r="AX1871" i="16"/>
  <c r="AX1870" i="16"/>
  <c r="AX1868" i="16"/>
  <c r="AX1867" i="16"/>
  <c r="AX1866" i="16"/>
  <c r="AX1864" i="16"/>
  <c r="AX1863" i="16"/>
  <c r="AX1862" i="16"/>
  <c r="AX1861" i="16"/>
  <c r="AX1860" i="16"/>
  <c r="AX1859" i="16"/>
  <c r="AX1858" i="16"/>
  <c r="G178" i="16"/>
  <c r="G173" i="16" s="1"/>
  <c r="T2207" i="16"/>
  <c r="S2206" i="16" s="1"/>
  <c r="Y2447" i="16"/>
  <c r="Y2444" i="16"/>
  <c r="Y2442" i="16"/>
  <c r="Y2401" i="16"/>
  <c r="Y2398" i="16"/>
  <c r="Y2397" i="16"/>
  <c r="Y2396" i="16"/>
  <c r="Y2395" i="16"/>
  <c r="Y2393" i="16"/>
  <c r="Y2392" i="16"/>
  <c r="Y2390" i="16"/>
  <c r="Y2383" i="16"/>
  <c r="Y2379" i="16"/>
  <c r="Y2377" i="16"/>
  <c r="Y2371" i="16"/>
  <c r="Y2368" i="16"/>
  <c r="Y2367" i="16"/>
  <c r="Y2365" i="16"/>
  <c r="Y2363" i="16"/>
  <c r="Y2362" i="16"/>
  <c r="Y2360" i="16"/>
  <c r="Y2357" i="16"/>
  <c r="Y2355" i="16"/>
  <c r="Y2352" i="16"/>
  <c r="Y2350" i="16"/>
  <c r="Y2344" i="16"/>
  <c r="Y2343" i="16"/>
  <c r="Y2342" i="16"/>
  <c r="Y2340" i="16"/>
  <c r="Y2339" i="16"/>
  <c r="Y2337" i="16"/>
  <c r="Y2334" i="16"/>
  <c r="Y2331" i="16"/>
  <c r="Y2309" i="16"/>
  <c r="Y2303" i="16"/>
  <c r="Y2301" i="16"/>
  <c r="Y2299" i="16"/>
  <c r="Y2298" i="16"/>
  <c r="Y2296" i="16"/>
  <c r="Y2294" i="16"/>
  <c r="Y2293" i="16"/>
  <c r="Y2291" i="16"/>
  <c r="Y2289" i="16"/>
  <c r="Y2285" i="16"/>
  <c r="Y2279" i="16"/>
  <c r="Y2278" i="16"/>
  <c r="Y2277" i="16"/>
  <c r="Y2275" i="16"/>
  <c r="Y2274" i="16"/>
  <c r="Y2272" i="16"/>
  <c r="Y2270" i="16"/>
  <c r="Y2269" i="16"/>
  <c r="Y2268" i="16"/>
  <c r="Y2264" i="16"/>
  <c r="Y2263" i="16"/>
  <c r="Y2262" i="16"/>
  <c r="Y2232" i="16"/>
  <c r="Y2227" i="16"/>
  <c r="Y2211" i="16"/>
  <c r="Y2206" i="16"/>
  <c r="Y2198" i="16"/>
  <c r="Y2194" i="16"/>
  <c r="Y2190" i="16"/>
  <c r="Y2186" i="16"/>
  <c r="Y2184" i="16"/>
  <c r="Y2178" i="16"/>
  <c r="Y2176" i="16"/>
  <c r="Y2093" i="16"/>
  <c r="Y2090" i="16"/>
  <c r="Y2088" i="16"/>
  <c r="Y2077" i="16"/>
  <c r="Y2070" i="16"/>
  <c r="Y2068" i="16"/>
  <c r="Y2066" i="16"/>
  <c r="Y2059" i="16"/>
  <c r="Y2055" i="16"/>
  <c r="Y2051" i="16"/>
  <c r="Y2048" i="16"/>
  <c r="Y2046" i="16"/>
  <c r="Y2044" i="16"/>
  <c r="Y2042" i="16"/>
  <c r="Y2034" i="16"/>
  <c r="Y2032" i="16"/>
  <c r="Y2026" i="16"/>
  <c r="Y2024" i="16"/>
  <c r="Y2013" i="16"/>
  <c r="Y2009" i="16"/>
  <c r="Y2008" i="16"/>
  <c r="Y2003" i="16"/>
  <c r="Y1990" i="16"/>
  <c r="Y1985" i="16"/>
  <c r="Y1983" i="16"/>
  <c r="Y1982" i="16"/>
  <c r="Y1980" i="16"/>
  <c r="Y1974" i="16"/>
  <c r="Y1968" i="16"/>
  <c r="Y1964" i="16"/>
  <c r="Y1953" i="16"/>
  <c r="Y1944" i="16"/>
  <c r="Y1941" i="16"/>
  <c r="Y1939" i="16"/>
  <c r="Y1925" i="16"/>
  <c r="Y1920" i="16"/>
  <c r="Y1915" i="16"/>
  <c r="Y1909" i="16"/>
  <c r="Y1907" i="16"/>
  <c r="Y1905" i="16"/>
  <c r="Y1902" i="16"/>
  <c r="Y1900" i="16"/>
  <c r="Y1898" i="16"/>
  <c r="Y1895" i="16"/>
  <c r="Y1893" i="16"/>
  <c r="Y1890" i="16"/>
  <c r="Y1884" i="16"/>
  <c r="Y1881" i="16"/>
  <c r="Y1876" i="16"/>
  <c r="Y1873" i="16"/>
  <c r="Y1870" i="16"/>
  <c r="Y1865" i="16"/>
  <c r="Y1859" i="16"/>
  <c r="O2441" i="16"/>
  <c r="M2378" i="16"/>
  <c r="M2354" i="16"/>
  <c r="M2353" i="16"/>
  <c r="M2351" i="16"/>
  <c r="M2338" i="16"/>
  <c r="M2336" i="16"/>
  <c r="M2335" i="16"/>
  <c r="M2333" i="16"/>
  <c r="M2332" i="16"/>
  <c r="M2267" i="16"/>
  <c r="M2266" i="16"/>
  <c r="M2265" i="16"/>
  <c r="AD2232" i="16"/>
  <c r="O2232" i="16"/>
  <c r="O2227" i="16"/>
  <c r="U2194" i="16"/>
  <c r="U2190" i="16"/>
  <c r="AD2186" i="16"/>
  <c r="R2186" i="16"/>
  <c r="M2186" i="16" s="1"/>
  <c r="O2184" i="16"/>
  <c r="O2174" i="16"/>
  <c r="U2077" i="16"/>
  <c r="O2064" i="16"/>
  <c r="O2059" i="16"/>
  <c r="O2055" i="16"/>
  <c r="O2051" i="16"/>
  <c r="O2048" i="16"/>
  <c r="AD2046" i="16"/>
  <c r="U2046" i="16"/>
  <c r="R2046" i="16"/>
  <c r="M2046" i="16" s="1"/>
  <c r="S2044" i="16"/>
  <c r="T2044" i="16" s="1"/>
  <c r="AD2044" i="16" s="1"/>
  <c r="AD2042" i="16"/>
  <c r="R2042" i="16"/>
  <c r="AE2042" i="16" s="1"/>
  <c r="AD2024" i="16"/>
  <c r="U2024" i="16"/>
  <c r="R2024" i="16"/>
  <c r="AE2024" i="16" s="1"/>
  <c r="O2013" i="16"/>
  <c r="O1999" i="16"/>
  <c r="S1990" i="16"/>
  <c r="T1990" i="16" s="1"/>
  <c r="AD1990" i="16" s="1"/>
  <c r="S1985" i="16"/>
  <c r="T1985" i="16" s="1"/>
  <c r="AD1985" i="16" s="1"/>
  <c r="S1983" i="16"/>
  <c r="T1983" i="16" s="1"/>
  <c r="AD1983" i="16" s="1"/>
  <c r="S1982" i="16"/>
  <c r="T1982" i="16" s="1"/>
  <c r="AD1982" i="16" s="1"/>
  <c r="S1980" i="16"/>
  <c r="O1978" i="16" s="1"/>
  <c r="O1968" i="16"/>
  <c r="T1965" i="16"/>
  <c r="AD1965" i="16" s="1"/>
  <c r="T1964" i="16"/>
  <c r="AD1964" i="16" s="1"/>
  <c r="T1953" i="16"/>
  <c r="AD1953" i="16" s="1"/>
  <c r="O1946" i="16"/>
  <c r="AD1944" i="16"/>
  <c r="R1944" i="16"/>
  <c r="M1944" i="16" s="1"/>
  <c r="O1941" i="16"/>
  <c r="O1939" i="16"/>
  <c r="U1928" i="16"/>
  <c r="U1927" i="16"/>
  <c r="U1926" i="16"/>
  <c r="U1925" i="16"/>
  <c r="AD1920" i="16"/>
  <c r="U1920" i="16"/>
  <c r="R1920" i="16"/>
  <c r="M1920" i="16" s="1"/>
  <c r="S1915" i="16"/>
  <c r="T1915" i="16" s="1"/>
  <c r="AD1915" i="16" s="1"/>
  <c r="U1907" i="16"/>
  <c r="U1905" i="16"/>
  <c r="T1902" i="16"/>
  <c r="AD1902" i="16" s="1"/>
  <c r="U1900" i="16"/>
  <c r="S1900" i="16"/>
  <c r="R1900" i="16" s="1"/>
  <c r="U1898" i="16"/>
  <c r="S1898" i="16"/>
  <c r="O1898" i="16" s="1"/>
  <c r="U1895" i="16"/>
  <c r="S1895" i="16"/>
  <c r="R1895" i="16" s="1"/>
  <c r="U1893" i="16"/>
  <c r="S1893" i="16"/>
  <c r="R1893" i="16" s="1"/>
  <c r="M1893" i="16" s="1"/>
  <c r="U1890" i="16"/>
  <c r="S1890" i="16"/>
  <c r="O1890" i="16" s="1"/>
  <c r="U1884" i="16"/>
  <c r="S1881" i="16"/>
  <c r="T1881" i="16" s="1"/>
  <c r="AD1881" i="16" s="1"/>
  <c r="AD1876" i="16"/>
  <c r="U1876" i="16"/>
  <c r="R1876" i="16"/>
  <c r="AE1876" i="16" s="1"/>
  <c r="AF1876" i="16" s="1"/>
  <c r="U1873" i="16"/>
  <c r="U1870" i="16"/>
  <c r="O1865" i="16"/>
  <c r="O1859" i="16"/>
  <c r="O1902" i="16"/>
  <c r="T2077" i="16"/>
  <c r="AD2077" i="16" s="1"/>
  <c r="Y1000" i="16"/>
  <c r="Y991" i="16"/>
  <c r="Y981" i="16"/>
  <c r="Y978" i="16"/>
  <c r="Y976" i="16"/>
  <c r="Y973" i="16"/>
  <c r="Y972" i="16"/>
  <c r="Y971" i="16"/>
  <c r="Y969" i="16"/>
  <c r="Y966" i="16"/>
  <c r="Y964" i="16"/>
  <c r="Y960" i="16"/>
  <c r="Y959" i="16"/>
  <c r="Y952" i="16"/>
  <c r="Y950" i="16"/>
  <c r="Y949" i="16"/>
  <c r="Y948" i="16"/>
  <c r="Y947" i="16"/>
  <c r="Y945" i="16"/>
  <c r="Y944" i="16"/>
  <c r="Y942" i="16"/>
  <c r="Y941" i="16"/>
  <c r="Y933" i="16"/>
  <c r="Y928" i="16"/>
  <c r="Y927" i="16"/>
  <c r="Y925" i="16"/>
  <c r="Y924" i="16"/>
  <c r="Y923" i="16"/>
  <c r="Y922" i="16"/>
  <c r="Y921" i="16"/>
  <c r="Y920" i="16"/>
  <c r="Y919" i="16"/>
  <c r="Y918" i="16"/>
  <c r="Y917" i="16"/>
  <c r="Y916" i="16"/>
  <c r="Y911" i="16"/>
  <c r="Y908" i="16"/>
  <c r="Y905" i="16"/>
  <c r="Y902" i="16"/>
  <c r="Y896" i="16"/>
  <c r="Y893" i="16"/>
  <c r="BD896" i="16"/>
  <c r="BC896" i="16"/>
  <c r="AX893" i="16"/>
  <c r="AX894" i="16"/>
  <c r="AX895" i="16"/>
  <c r="AX897" i="16"/>
  <c r="AX898" i="16"/>
  <c r="AX899" i="16"/>
  <c r="AX904" i="16"/>
  <c r="AX908" i="16"/>
  <c r="AX910" i="16"/>
  <c r="AX911" i="16"/>
  <c r="AX912" i="16"/>
  <c r="AX913" i="16"/>
  <c r="AX914" i="16"/>
  <c r="AX915" i="16"/>
  <c r="AX916" i="16"/>
  <c r="AX917" i="16"/>
  <c r="AX918" i="16"/>
  <c r="AX920" i="16"/>
  <c r="AX921" i="16"/>
  <c r="AX922" i="16"/>
  <c r="AX923" i="16"/>
  <c r="AX924" i="16"/>
  <c r="AX925" i="16"/>
  <c r="AX926" i="16"/>
  <c r="AX927" i="16"/>
  <c r="AX928" i="16"/>
  <c r="AX931" i="16"/>
  <c r="AX932" i="16"/>
  <c r="AX933" i="16"/>
  <c r="AX934" i="16"/>
  <c r="AX935" i="16"/>
  <c r="AX937" i="16"/>
  <c r="AX938" i="16"/>
  <c r="AX886" i="16"/>
  <c r="AX887" i="16"/>
  <c r="AX888" i="16"/>
  <c r="AX889" i="16"/>
  <c r="AX890" i="16"/>
  <c r="AX891" i="16"/>
  <c r="AX885" i="16"/>
  <c r="U177" i="28"/>
  <c r="FE4" i="2" s="1"/>
  <c r="P8" i="23"/>
  <c r="AX11" i="29"/>
  <c r="AY11" i="29"/>
  <c r="AX12" i="29"/>
  <c r="AY12" i="29"/>
  <c r="AX13" i="29"/>
  <c r="AY13" i="29"/>
  <c r="AX14" i="29"/>
  <c r="AY14" i="29"/>
  <c r="AX15" i="29"/>
  <c r="AY15" i="29"/>
  <c r="BC15" i="29"/>
  <c r="BD15" i="29"/>
  <c r="AX16" i="29"/>
  <c r="AY16" i="29"/>
  <c r="AX17" i="29"/>
  <c r="AY17" i="29"/>
  <c r="AX19" i="29"/>
  <c r="AX20" i="29"/>
  <c r="AY20" i="29"/>
  <c r="AX21" i="29"/>
  <c r="AY21" i="29"/>
  <c r="AX23" i="29"/>
  <c r="AY23" i="29"/>
  <c r="AX24" i="29"/>
  <c r="AY24" i="29"/>
  <c r="AX25" i="29"/>
  <c r="AY25" i="29"/>
  <c r="AY30" i="29"/>
  <c r="AX34" i="29"/>
  <c r="AY34" i="29"/>
  <c r="AX36" i="29"/>
  <c r="AY36" i="29"/>
  <c r="AX37" i="29"/>
  <c r="AY37" i="29"/>
  <c r="AX38" i="29"/>
  <c r="AY38" i="29"/>
  <c r="AX39" i="29"/>
  <c r="AY39" i="29"/>
  <c r="AX40" i="29"/>
  <c r="AY40" i="29"/>
  <c r="AX41" i="29"/>
  <c r="AY41" i="29"/>
  <c r="AX42" i="29"/>
  <c r="AY42" i="29"/>
  <c r="AX43" i="29"/>
  <c r="AY43" i="29"/>
  <c r="AX44" i="29"/>
  <c r="AY44" i="29"/>
  <c r="AX46" i="29"/>
  <c r="AY46" i="29"/>
  <c r="AX47" i="29"/>
  <c r="AY47" i="29"/>
  <c r="AX48" i="29"/>
  <c r="AY48" i="29"/>
  <c r="AX49" i="29"/>
  <c r="AY49" i="29"/>
  <c r="AX50" i="29"/>
  <c r="AY50" i="29"/>
  <c r="AX51" i="29"/>
  <c r="AY51" i="29"/>
  <c r="AX52" i="29"/>
  <c r="AY52" i="29"/>
  <c r="AX53" i="29"/>
  <c r="AY53" i="29"/>
  <c r="AX54" i="29"/>
  <c r="AY54" i="29"/>
  <c r="AX56" i="29"/>
  <c r="AY56" i="29"/>
  <c r="AX57" i="29"/>
  <c r="AY57" i="29"/>
  <c r="AX58" i="29"/>
  <c r="AY58" i="29"/>
  <c r="AX59" i="29"/>
  <c r="AY59" i="29"/>
  <c r="AX60" i="29"/>
  <c r="AY60" i="29"/>
  <c r="AX61" i="29"/>
  <c r="AY61" i="29"/>
  <c r="AX63" i="29"/>
  <c r="AY63" i="29"/>
  <c r="AX64" i="29"/>
  <c r="AY64" i="29"/>
  <c r="A25" i="3"/>
  <c r="AX63" i="16"/>
  <c r="AX58" i="16"/>
  <c r="AX59" i="16"/>
  <c r="AX60" i="16"/>
  <c r="AX62" i="16"/>
  <c r="AX35" i="16"/>
  <c r="AX36" i="16"/>
  <c r="AX37" i="16"/>
  <c r="AX38" i="16"/>
  <c r="AX39" i="16"/>
  <c r="AX40" i="16"/>
  <c r="AX41" i="16"/>
  <c r="AX42" i="16"/>
  <c r="AX43" i="16"/>
  <c r="AX45" i="16"/>
  <c r="AX46" i="16"/>
  <c r="AX47" i="16"/>
  <c r="AX48" i="16"/>
  <c r="AX49" i="16"/>
  <c r="AX50" i="16"/>
  <c r="AX51" i="16"/>
  <c r="AX52" i="16"/>
  <c r="AX53" i="16"/>
  <c r="AX55" i="16"/>
  <c r="AX56" i="16"/>
  <c r="AX57" i="16"/>
  <c r="AX24" i="16"/>
  <c r="Q42" i="23"/>
  <c r="Q43" i="23"/>
  <c r="P44" i="23"/>
  <c r="AY1628" i="16" s="1"/>
  <c r="Q44" i="23"/>
  <c r="P45" i="23"/>
  <c r="Q45" i="23"/>
  <c r="Q46" i="23"/>
  <c r="P49" i="23"/>
  <c r="AY1633" i="16" s="1"/>
  <c r="P51" i="23"/>
  <c r="AY1635" i="16" s="1"/>
  <c r="E50" i="23"/>
  <c r="P50" i="23" s="1"/>
  <c r="AY1634" i="16" s="1"/>
  <c r="E51" i="23"/>
  <c r="E42" i="23"/>
  <c r="E43" i="23"/>
  <c r="E44" i="23"/>
  <c r="E45" i="23"/>
  <c r="E46" i="23"/>
  <c r="E48" i="23"/>
  <c r="P48" i="23" s="1"/>
  <c r="E49" i="23"/>
  <c r="E27" i="23"/>
  <c r="P27" i="23" s="1"/>
  <c r="AY1611" i="16" s="1"/>
  <c r="AX40" i="24"/>
  <c r="AY40" i="24"/>
  <c r="AX41" i="24"/>
  <c r="AY41" i="24"/>
  <c r="AX42" i="24"/>
  <c r="AY42" i="24"/>
  <c r="AX43" i="24"/>
  <c r="AY43" i="24"/>
  <c r="AX44" i="24"/>
  <c r="AY44" i="24"/>
  <c r="AX46" i="24"/>
  <c r="AY46" i="24"/>
  <c r="AX47" i="24"/>
  <c r="AY47" i="24"/>
  <c r="AX48" i="24"/>
  <c r="AY48" i="24"/>
  <c r="AX49" i="24"/>
  <c r="AY49" i="24"/>
  <c r="AX25" i="24"/>
  <c r="AY25" i="24"/>
  <c r="S64" i="24" s="1"/>
  <c r="AX40" i="8"/>
  <c r="AY40" i="8"/>
  <c r="AX41" i="8"/>
  <c r="AY41" i="8"/>
  <c r="AX42" i="8"/>
  <c r="AY42" i="8"/>
  <c r="AX43" i="8"/>
  <c r="AY43" i="8"/>
  <c r="AX44" i="8"/>
  <c r="AY44" i="8"/>
  <c r="AX46" i="8"/>
  <c r="AY46" i="8"/>
  <c r="AX47" i="8"/>
  <c r="AY47" i="8"/>
  <c r="AX48" i="8"/>
  <c r="AY48" i="8"/>
  <c r="AX49" i="8"/>
  <c r="AY49" i="8"/>
  <c r="AX25" i="8"/>
  <c r="AY25" i="8"/>
  <c r="O152" i="28"/>
  <c r="AO152" i="28" s="1"/>
  <c r="AD29" i="28"/>
  <c r="AE37" i="28"/>
  <c r="AD73" i="28"/>
  <c r="AE106" i="28"/>
  <c r="AE118" i="28"/>
  <c r="AE117" i="28"/>
  <c r="AD199" i="28"/>
  <c r="AE364" i="28"/>
  <c r="AE359" i="28"/>
  <c r="AE354" i="28"/>
  <c r="AE353" i="28"/>
  <c r="AD339" i="28"/>
  <c r="AE246" i="28"/>
  <c r="AE243" i="28"/>
  <c r="AE241" i="28"/>
  <c r="AE197" i="28"/>
  <c r="AD195" i="28"/>
  <c r="AE187" i="28"/>
  <c r="AE185" i="28"/>
  <c r="AE182" i="28"/>
  <c r="AE181" i="28"/>
  <c r="AD177" i="28"/>
  <c r="AE143" i="28"/>
  <c r="AE138" i="28"/>
  <c r="AE136" i="28"/>
  <c r="AE135" i="28"/>
  <c r="AE133" i="28"/>
  <c r="AD97" i="28"/>
  <c r="AE68" i="28"/>
  <c r="AE62" i="28"/>
  <c r="AE55" i="28"/>
  <c r="AE34" i="28"/>
  <c r="T360" i="28"/>
  <c r="S364" i="28" s="1"/>
  <c r="O385" i="28"/>
  <c r="O380" i="28"/>
  <c r="O337" i="28"/>
  <c r="O217" i="28"/>
  <c r="O212" i="28"/>
  <c r="O208" i="28"/>
  <c r="O204" i="28"/>
  <c r="O201" i="28"/>
  <c r="S197" i="28"/>
  <c r="O197" i="28" s="1"/>
  <c r="O166" i="28"/>
  <c r="AO166" i="28" s="1"/>
  <c r="S136" i="28"/>
  <c r="T136" i="28" s="1"/>
  <c r="AD136" i="28" s="1"/>
  <c r="S135" i="28"/>
  <c r="T135" i="28" s="1"/>
  <c r="AD135" i="28" s="1"/>
  <c r="S133" i="28"/>
  <c r="O131" i="28" s="1"/>
  <c r="AO131" i="28" s="1"/>
  <c r="S138" i="28"/>
  <c r="O138" i="28" s="1"/>
  <c r="S143" i="28"/>
  <c r="T143" i="28" s="1"/>
  <c r="AD143" i="28" s="1"/>
  <c r="O121" i="28"/>
  <c r="O99" i="28"/>
  <c r="AO99" i="28" s="1"/>
  <c r="T118" i="28"/>
  <c r="AD118" i="28" s="1"/>
  <c r="T117" i="28"/>
  <c r="AD117" i="28" s="1"/>
  <c r="T106" i="28"/>
  <c r="AD106" i="28" s="1"/>
  <c r="AC106" i="28" s="1"/>
  <c r="R177" i="28"/>
  <c r="M177" i="28" s="1"/>
  <c r="AM177" i="28" s="1"/>
  <c r="R195" i="28"/>
  <c r="M195" i="28" s="1"/>
  <c r="AM195" i="28" s="1"/>
  <c r="R199" i="28"/>
  <c r="M199" i="28" s="1"/>
  <c r="AM199" i="28" s="1"/>
  <c r="R339" i="28"/>
  <c r="M339" i="28" s="1"/>
  <c r="AM339" i="28" s="1"/>
  <c r="R97" i="28"/>
  <c r="M97" i="28" s="1"/>
  <c r="AM97" i="28" s="1"/>
  <c r="O94" i="28"/>
  <c r="O92" i="28"/>
  <c r="R73" i="28"/>
  <c r="AE73" i="28" s="1"/>
  <c r="T68" i="28"/>
  <c r="AD68" i="28" s="1"/>
  <c r="O55" i="28"/>
  <c r="S53" i="28"/>
  <c r="O53" i="28" s="1"/>
  <c r="S51" i="28"/>
  <c r="T51" i="28" s="1"/>
  <c r="AD51" i="28" s="1"/>
  <c r="S48" i="28"/>
  <c r="S46" i="28"/>
  <c r="T46" i="28" s="1"/>
  <c r="AD46" i="28" s="1"/>
  <c r="S43" i="28"/>
  <c r="T43" i="28" s="1"/>
  <c r="AD43" i="28" s="1"/>
  <c r="O18" i="28"/>
  <c r="O12" i="28"/>
  <c r="R29" i="28"/>
  <c r="AE29" i="28" s="1"/>
  <c r="S34" i="28"/>
  <c r="T34" i="28" s="1"/>
  <c r="AD34" i="28" s="1"/>
  <c r="AY47" i="28"/>
  <c r="AY48" i="28"/>
  <c r="AY49" i="28"/>
  <c r="AY40" i="28"/>
  <c r="AY41" i="28"/>
  <c r="AY42" i="28"/>
  <c r="AY43" i="28"/>
  <c r="AY44" i="28"/>
  <c r="AY46" i="28"/>
  <c r="AY25" i="28"/>
  <c r="U81" i="28"/>
  <c r="FC4" i="2" s="1"/>
  <c r="U80" i="28"/>
  <c r="U79" i="28"/>
  <c r="FA4" i="2" s="1"/>
  <c r="U78" i="28"/>
  <c r="EZ4" i="2" s="1"/>
  <c r="U347" i="28"/>
  <c r="U343" i="28"/>
  <c r="U230" i="28"/>
  <c r="U199" i="28"/>
  <c r="FF4" i="2" s="1"/>
  <c r="U73" i="28"/>
  <c r="EY4" i="2" s="1"/>
  <c r="U60" i="28"/>
  <c r="EX4" i="2" s="1"/>
  <c r="U58" i="28"/>
  <c r="EW4" i="2" s="1"/>
  <c r="U53" i="28"/>
  <c r="EV4" i="2" s="1"/>
  <c r="U51" i="28"/>
  <c r="EU4" i="2" s="1"/>
  <c r="U48" i="28"/>
  <c r="ET4" i="2" s="1"/>
  <c r="U46" i="28"/>
  <c r="ES4" i="2" s="1"/>
  <c r="U43" i="28"/>
  <c r="ER4" i="2" s="1"/>
  <c r="U37" i="28"/>
  <c r="EQ4" i="2" s="1"/>
  <c r="U29" i="28"/>
  <c r="EP4" i="2" s="1"/>
  <c r="U26" i="28"/>
  <c r="EO4" i="2" s="1"/>
  <c r="U23" i="28"/>
  <c r="EN4" i="2" s="1"/>
  <c r="M131" i="29"/>
  <c r="M107" i="29"/>
  <c r="M106" i="29"/>
  <c r="M104" i="29"/>
  <c r="M91" i="29"/>
  <c r="M89" i="29"/>
  <c r="M88" i="29"/>
  <c r="M86" i="29"/>
  <c r="M85" i="29"/>
  <c r="M20" i="29"/>
  <c r="M19" i="29"/>
  <c r="M18" i="29"/>
  <c r="U22" i="25"/>
  <c r="CI4" i="2" s="1"/>
  <c r="U117" i="25"/>
  <c r="CX4" i="2" s="1"/>
  <c r="AY40" i="25"/>
  <c r="AY41" i="25"/>
  <c r="AY42" i="25"/>
  <c r="AY43" i="25"/>
  <c r="AY44" i="25"/>
  <c r="S315" i="25" s="1"/>
  <c r="AY46" i="25"/>
  <c r="AY47" i="25"/>
  <c r="AY48" i="25"/>
  <c r="AY49" i="25"/>
  <c r="AY25" i="25"/>
  <c r="Z14" i="23"/>
  <c r="Q14" i="7"/>
  <c r="Q4" i="2"/>
  <c r="M4" i="2"/>
  <c r="N4" i="2"/>
  <c r="O4" i="2"/>
  <c r="P4" i="2"/>
  <c r="AD85" i="16"/>
  <c r="AC85" i="16" s="1"/>
  <c r="S83" i="8"/>
  <c r="O83" i="8" s="1"/>
  <c r="O20" i="8"/>
  <c r="I18" i="66" s="1"/>
  <c r="Y251" i="16"/>
  <c r="Y241" i="16"/>
  <c r="Y236" i="16"/>
  <c r="Y235" i="16"/>
  <c r="Y233" i="16"/>
  <c r="AE800" i="16"/>
  <c r="AE502" i="24"/>
  <c r="AC502" i="24" s="1"/>
  <c r="AX332" i="16"/>
  <c r="AX334" i="16"/>
  <c r="AX335" i="16"/>
  <c r="AX336" i="16"/>
  <c r="AX337" i="16"/>
  <c r="AX348" i="16"/>
  <c r="AX349" i="16"/>
  <c r="AX350" i="16"/>
  <c r="AX351" i="16"/>
  <c r="AX352" i="16"/>
  <c r="AX354" i="16"/>
  <c r="AX355" i="16"/>
  <c r="AX356" i="16"/>
  <c r="AX357" i="16"/>
  <c r="AX358" i="16"/>
  <c r="AX359" i="16"/>
  <c r="AX361" i="16"/>
  <c r="AX362" i="16"/>
  <c r="Y809" i="16"/>
  <c r="Y799" i="16"/>
  <c r="Y864" i="16"/>
  <c r="Y862" i="16"/>
  <c r="Y858" i="16"/>
  <c r="Y857" i="16"/>
  <c r="Y856" i="16"/>
  <c r="Y854" i="16"/>
  <c r="Y852" i="16"/>
  <c r="Y848" i="16"/>
  <c r="Y843" i="16"/>
  <c r="Y839" i="16"/>
  <c r="Y837" i="16"/>
  <c r="Y835" i="16"/>
  <c r="Y833" i="16"/>
  <c r="Y831" i="16"/>
  <c r="Y829" i="16"/>
  <c r="Y828" i="16"/>
  <c r="Y817" i="16"/>
  <c r="Y787" i="16"/>
  <c r="Y781" i="16"/>
  <c r="Y775" i="16"/>
  <c r="Y769" i="16"/>
  <c r="Y762" i="16"/>
  <c r="Y755" i="16"/>
  <c r="Y749" i="16"/>
  <c r="Y742" i="16"/>
  <c r="Y733" i="16"/>
  <c r="Y716" i="16"/>
  <c r="Y714" i="16"/>
  <c r="Y702" i="16"/>
  <c r="Y699" i="16"/>
  <c r="Y693" i="16"/>
  <c r="Y688" i="16"/>
  <c r="Y679" i="16"/>
  <c r="Y677" i="16"/>
  <c r="Y676" i="16"/>
  <c r="Y674" i="16"/>
  <c r="Y673" i="16"/>
  <c r="Y642" i="16"/>
  <c r="Y637" i="16"/>
  <c r="Y636" i="16"/>
  <c r="Y629" i="16"/>
  <c r="Y616" i="16"/>
  <c r="Y601" i="16"/>
  <c r="Y594" i="16"/>
  <c r="Y592" i="16"/>
  <c r="Y590" i="16"/>
  <c r="Y588" i="16"/>
  <c r="Y584" i="16"/>
  <c r="Y577" i="16"/>
  <c r="Y571" i="16"/>
  <c r="Y566" i="16"/>
  <c r="Y564" i="16"/>
  <c r="Y559" i="16"/>
  <c r="Y555" i="16"/>
  <c r="Y552" i="16"/>
  <c r="Y551" i="16"/>
  <c r="Y549" i="16"/>
  <c r="Y541" i="16"/>
  <c r="Y540" i="16"/>
  <c r="Y538" i="16"/>
  <c r="Y532" i="16"/>
  <c r="Y529" i="16"/>
  <c r="Y525" i="16"/>
  <c r="Y513" i="16"/>
  <c r="Y511" i="16"/>
  <c r="Y509" i="16"/>
  <c r="Y503" i="16"/>
  <c r="Y499" i="16"/>
  <c r="Y498" i="16"/>
  <c r="Y495" i="16"/>
  <c r="Y483" i="16"/>
  <c r="Y471" i="16"/>
  <c r="Y467" i="16"/>
  <c r="Y465" i="16"/>
  <c r="Y463" i="16"/>
  <c r="Y460" i="16"/>
  <c r="Y458" i="16"/>
  <c r="Y445" i="16"/>
  <c r="Y436" i="16"/>
  <c r="Y431" i="16"/>
  <c r="Y429" i="16"/>
  <c r="Y422" i="16"/>
  <c r="Y420" i="16"/>
  <c r="Y412" i="16"/>
  <c r="Y409" i="16"/>
  <c r="Y403" i="16"/>
  <c r="Y400" i="16"/>
  <c r="Y396" i="16"/>
  <c r="Y383" i="16"/>
  <c r="Y364" i="16"/>
  <c r="Y359" i="16"/>
  <c r="Y358" i="16"/>
  <c r="Y357" i="16"/>
  <c r="Y356" i="16"/>
  <c r="Y355" i="16"/>
  <c r="Y347" i="16"/>
  <c r="Y346" i="16"/>
  <c r="Y345" i="16"/>
  <c r="Y344" i="16"/>
  <c r="Y343" i="16"/>
  <c r="Y342" i="16"/>
  <c r="Y336" i="16"/>
  <c r="Y333" i="16"/>
  <c r="Y330" i="16"/>
  <c r="Y254" i="16"/>
  <c r="Y219" i="16"/>
  <c r="Y218" i="16"/>
  <c r="Y215" i="16"/>
  <c r="Y211" i="16"/>
  <c r="Y209" i="16"/>
  <c r="Y207" i="16"/>
  <c r="Y206" i="16"/>
  <c r="Y204" i="16"/>
  <c r="Y201" i="16"/>
  <c r="Y194" i="16"/>
  <c r="Y189" i="16"/>
  <c r="Y180" i="16"/>
  <c r="Y173" i="16"/>
  <c r="Y171" i="16"/>
  <c r="Y169" i="16"/>
  <c r="Y167" i="16"/>
  <c r="Y164" i="16"/>
  <c r="Y162" i="16"/>
  <c r="Y157" i="16"/>
  <c r="Y156" i="16"/>
  <c r="Y151" i="16"/>
  <c r="Y147" i="16"/>
  <c r="Y144" i="16"/>
  <c r="Y142" i="16"/>
  <c r="Y136" i="16"/>
  <c r="Y132" i="16"/>
  <c r="Y122" i="16"/>
  <c r="Y115" i="16"/>
  <c r="Y112" i="16"/>
  <c r="Y105" i="16"/>
  <c r="Y93" i="16"/>
  <c r="Y80" i="16"/>
  <c r="Y61" i="16"/>
  <c r="Y56" i="16"/>
  <c r="Y51" i="16"/>
  <c r="Y312" i="16"/>
  <c r="AD848" i="16"/>
  <c r="AC848" i="16" s="1"/>
  <c r="AD852" i="16"/>
  <c r="AC852" i="16" s="1"/>
  <c r="BD314" i="16"/>
  <c r="BC314" i="16"/>
  <c r="AX328" i="16"/>
  <c r="AX322" i="16"/>
  <c r="AX321" i="16"/>
  <c r="AX319" i="16"/>
  <c r="AX318" i="16"/>
  <c r="AX317" i="16"/>
  <c r="AX315" i="16"/>
  <c r="AX314" i="16"/>
  <c r="AX313" i="16"/>
  <c r="AX312" i="16"/>
  <c r="AX311" i="16"/>
  <c r="AX310" i="16"/>
  <c r="AX309" i="16"/>
  <c r="AE811" i="16"/>
  <c r="AE817" i="16"/>
  <c r="AF817" i="16" s="1"/>
  <c r="AE788" i="16"/>
  <c r="AF788" i="16" s="1"/>
  <c r="AE782" i="16"/>
  <c r="AF782" i="16" s="1"/>
  <c r="AF776" i="16"/>
  <c r="AF770" i="16"/>
  <c r="AF764" i="16"/>
  <c r="AF757" i="16"/>
  <c r="AE716" i="16"/>
  <c r="AF716" i="16" s="1"/>
  <c r="AE714" i="16"/>
  <c r="AF714" i="16" s="1"/>
  <c r="AE702" i="16"/>
  <c r="AF702" i="16" s="1"/>
  <c r="AE679" i="16"/>
  <c r="AF679" i="16" s="1"/>
  <c r="AE677" i="16"/>
  <c r="AF677" i="16" s="1"/>
  <c r="AE676" i="16"/>
  <c r="AF676" i="16" s="1"/>
  <c r="AE674" i="16"/>
  <c r="AF674" i="16" s="1"/>
  <c r="AE673" i="16"/>
  <c r="AF673" i="16" s="1"/>
  <c r="AE649" i="16"/>
  <c r="AF649" i="16" s="1"/>
  <c r="AE637" i="16"/>
  <c r="AF637" i="16" s="1"/>
  <c r="AE636" i="16"/>
  <c r="AF636" i="16" s="1"/>
  <c r="AF593" i="16"/>
  <c r="AF591" i="16"/>
  <c r="AF589" i="16"/>
  <c r="AF584" i="16"/>
  <c r="AF577" i="16"/>
  <c r="AF571" i="16"/>
  <c r="AD559" i="16"/>
  <c r="AD538" i="16"/>
  <c r="AD532" i="16"/>
  <c r="AD525" i="16"/>
  <c r="AD483" i="16"/>
  <c r="AD471" i="16"/>
  <c r="AD460" i="16"/>
  <c r="AE383" i="16"/>
  <c r="AF383" i="16" s="1"/>
  <c r="AD788" i="16"/>
  <c r="AD782" i="16"/>
  <c r="AD749" i="16"/>
  <c r="AC749" i="16" s="1"/>
  <c r="AD742" i="16"/>
  <c r="AC742" i="16" s="1"/>
  <c r="AD642" i="16"/>
  <c r="AC642" i="16" s="1"/>
  <c r="AE538" i="16"/>
  <c r="AE525" i="16"/>
  <c r="AE471" i="16"/>
  <c r="AD358" i="16"/>
  <c r="AC358" i="16" s="1"/>
  <c r="AD357" i="16"/>
  <c r="AC357" i="16" s="1"/>
  <c r="AD356" i="16"/>
  <c r="AC356" i="16" s="1"/>
  <c r="AD355" i="16"/>
  <c r="AC355" i="16" s="1"/>
  <c r="AX10" i="16"/>
  <c r="AE19" i="16"/>
  <c r="AF19" i="16" s="1"/>
  <c r="AD171" i="16"/>
  <c r="AC171" i="16" s="1"/>
  <c r="AD169" i="16"/>
  <c r="AC169" i="16" s="1"/>
  <c r="AD167" i="16"/>
  <c r="AC167" i="16" s="1"/>
  <c r="AD162" i="16"/>
  <c r="AC162" i="16" s="1"/>
  <c r="AD157" i="16"/>
  <c r="AC157" i="16" s="1"/>
  <c r="AD156" i="16"/>
  <c r="AC156" i="16" s="1"/>
  <c r="AD151" i="16"/>
  <c r="AC151" i="16" s="1"/>
  <c r="AD147" i="16"/>
  <c r="AC147" i="16" s="1"/>
  <c r="AD144" i="16"/>
  <c r="AC144" i="16" s="1"/>
  <c r="AD142" i="16"/>
  <c r="AC142" i="16" s="1"/>
  <c r="AD136" i="16"/>
  <c r="AC136" i="16" s="1"/>
  <c r="AD64" i="16"/>
  <c r="AC64" i="16" s="1"/>
  <c r="O318" i="24"/>
  <c r="I615" i="66" s="1"/>
  <c r="O194" i="29"/>
  <c r="AE513" i="24"/>
  <c r="AC513" i="24" s="1"/>
  <c r="O496" i="24"/>
  <c r="S554" i="24"/>
  <c r="T554" i="24" s="1"/>
  <c r="AD554" i="24" s="1"/>
  <c r="AC554" i="24" s="1"/>
  <c r="S550" i="24"/>
  <c r="AE519" i="24"/>
  <c r="AC519" i="24" s="1"/>
  <c r="U519" i="24"/>
  <c r="CE4" i="2" s="1"/>
  <c r="S451" i="24"/>
  <c r="T451" i="24" s="1"/>
  <c r="AD451" i="24" s="1"/>
  <c r="AC451" i="24" s="1"/>
  <c r="S444" i="24"/>
  <c r="T444" i="24" s="1"/>
  <c r="AD444" i="24" s="1"/>
  <c r="AC444" i="24" s="1"/>
  <c r="S435" i="24"/>
  <c r="T435" i="24" s="1"/>
  <c r="AD435" i="24" s="1"/>
  <c r="AC435" i="24" s="1"/>
  <c r="S490" i="24"/>
  <c r="T490" i="24" s="1"/>
  <c r="AD490" i="24" s="1"/>
  <c r="S484" i="24"/>
  <c r="T484" i="24" s="1"/>
  <c r="AD484" i="24" s="1"/>
  <c r="S478" i="24"/>
  <c r="T478" i="24" s="1"/>
  <c r="AD478" i="24" s="1"/>
  <c r="S472" i="24"/>
  <c r="T472" i="24" s="1"/>
  <c r="AD472" i="24" s="1"/>
  <c r="S466" i="24"/>
  <c r="T466" i="24" s="1"/>
  <c r="AD466" i="24" s="1"/>
  <c r="S459" i="24"/>
  <c r="T459" i="24" s="1"/>
  <c r="AD459" i="24" s="1"/>
  <c r="AE490" i="24"/>
  <c r="AE484" i="24"/>
  <c r="AE478" i="24"/>
  <c r="AE472" i="24"/>
  <c r="U490" i="24"/>
  <c r="CD4" i="2" s="1"/>
  <c r="U484" i="24"/>
  <c r="CC4" i="2" s="1"/>
  <c r="U478" i="24"/>
  <c r="CB4" i="2" s="1"/>
  <c r="U472" i="24"/>
  <c r="CA4" i="2" s="1"/>
  <c r="AE466" i="24"/>
  <c r="AE459" i="24"/>
  <c r="U466" i="24"/>
  <c r="BZ4" i="2" s="1"/>
  <c r="U459" i="24"/>
  <c r="BY4" i="2" s="1"/>
  <c r="AE418" i="24"/>
  <c r="AC418" i="24" s="1"/>
  <c r="AE416" i="24"/>
  <c r="AC416" i="24" s="1"/>
  <c r="BX4" i="2"/>
  <c r="BW4" i="2"/>
  <c r="AE404" i="24"/>
  <c r="AC404" i="24" s="1"/>
  <c r="U404" i="24"/>
  <c r="BV4" i="2" s="1"/>
  <c r="AE381" i="24"/>
  <c r="AC381" i="24" s="1"/>
  <c r="U381" i="24"/>
  <c r="BU4" i="2" s="1"/>
  <c r="AE379" i="24"/>
  <c r="AC379" i="24" s="1"/>
  <c r="AE378" i="24"/>
  <c r="AC378" i="24" s="1"/>
  <c r="AE376" i="24"/>
  <c r="AC376" i="24" s="1"/>
  <c r="AE375" i="24"/>
  <c r="AC375" i="24" s="1"/>
  <c r="S344" i="24"/>
  <c r="T344" i="24" s="1"/>
  <c r="AD344" i="24" s="1"/>
  <c r="AC344" i="24" s="1"/>
  <c r="O378" i="24"/>
  <c r="O375" i="24"/>
  <c r="U379" i="24"/>
  <c r="BT4" i="2" s="1"/>
  <c r="U378" i="24"/>
  <c r="BS4" i="2" s="1"/>
  <c r="U376" i="24"/>
  <c r="BR4" i="2" s="1"/>
  <c r="U375" i="24"/>
  <c r="BQ4" i="2" s="1"/>
  <c r="AE339" i="24"/>
  <c r="AC339" i="24" s="1"/>
  <c r="AE338" i="24"/>
  <c r="AC338" i="24" s="1"/>
  <c r="O327" i="24"/>
  <c r="I624" i="66" s="1"/>
  <c r="O303" i="24"/>
  <c r="O290" i="24"/>
  <c r="AE297" i="24"/>
  <c r="AC297" i="24" s="1"/>
  <c r="AE295" i="24"/>
  <c r="AC295" i="24" s="1"/>
  <c r="AE293" i="24"/>
  <c r="AC293" i="24" s="1"/>
  <c r="AE291" i="24"/>
  <c r="AC291" i="24" s="1"/>
  <c r="AE279" i="24"/>
  <c r="AC279" i="24" s="1"/>
  <c r="O279" i="24"/>
  <c r="O273" i="24"/>
  <c r="AO273" i="24" s="1"/>
  <c r="AE273" i="24"/>
  <c r="AC273" i="24" s="1"/>
  <c r="AE286" i="24"/>
  <c r="AC286" i="24" s="1"/>
  <c r="O243" i="24"/>
  <c r="AO243" i="24" s="1"/>
  <c r="O242" i="24"/>
  <c r="AO242" i="24" s="1"/>
  <c r="AD240" i="24"/>
  <c r="O240" i="24"/>
  <c r="AD234" i="24"/>
  <c r="R234" i="24"/>
  <c r="M234" i="24" s="1"/>
  <c r="U234" i="24"/>
  <c r="BF4" i="2" s="1"/>
  <c r="AD227" i="24"/>
  <c r="U215" i="24"/>
  <c r="BD4" i="2" s="1"/>
  <c r="R173" i="24"/>
  <c r="O169" i="24"/>
  <c r="O167" i="24"/>
  <c r="O165" i="24"/>
  <c r="O160" i="24"/>
  <c r="AO160" i="24" s="1"/>
  <c r="O162" i="24"/>
  <c r="O114" i="24"/>
  <c r="U133" i="24"/>
  <c r="AX4" i="2" s="1"/>
  <c r="U124" i="24"/>
  <c r="AW4" i="2" s="1"/>
  <c r="O102" i="24"/>
  <c r="R261" i="24"/>
  <c r="R240" i="24"/>
  <c r="M240" i="24" s="1"/>
  <c r="R227" i="24"/>
  <c r="M227" i="24" s="1"/>
  <c r="R185" i="24"/>
  <c r="R162" i="24"/>
  <c r="AE162" i="24" s="1"/>
  <c r="AE85" i="24"/>
  <c r="AC85" i="24" s="1"/>
  <c r="AE226" i="8"/>
  <c r="AC226" i="8" s="1"/>
  <c r="O220" i="8"/>
  <c r="I218" i="66" s="1"/>
  <c r="C218" i="66" s="1"/>
  <c r="O401" i="24"/>
  <c r="O395" i="24"/>
  <c r="I692" i="66" s="1"/>
  <c r="O390" i="24"/>
  <c r="AE351" i="24"/>
  <c r="AC351" i="24" s="1"/>
  <c r="O527" i="24"/>
  <c r="U351" i="24"/>
  <c r="BP4" i="2" s="1"/>
  <c r="U350" i="24"/>
  <c r="BO4" i="2" s="1"/>
  <c r="U349" i="24"/>
  <c r="BN4" i="2" s="1"/>
  <c r="U348" i="24"/>
  <c r="BM4" i="2" s="1"/>
  <c r="U347" i="24"/>
  <c r="BL4" i="2" s="1"/>
  <c r="U346" i="24"/>
  <c r="BK4" i="2" s="1"/>
  <c r="U345" i="24"/>
  <c r="BJ4" i="2" s="1"/>
  <c r="U344" i="24"/>
  <c r="BI4" i="2" s="1"/>
  <c r="O286" i="24"/>
  <c r="I583" i="66" s="1"/>
  <c r="O268" i="24"/>
  <c r="O266" i="24"/>
  <c r="O257" i="24"/>
  <c r="AD261" i="24"/>
  <c r="O247" i="24"/>
  <c r="U240" i="24"/>
  <c r="BG4" i="2" s="1"/>
  <c r="U227" i="24"/>
  <c r="BE4" i="2" s="1"/>
  <c r="AD185" i="24"/>
  <c r="O213" i="24"/>
  <c r="I510" i="66" s="1"/>
  <c r="O211" i="24"/>
  <c r="I508" i="66" s="1"/>
  <c r="O201" i="24"/>
  <c r="O200" i="24"/>
  <c r="AO200" i="24" s="1"/>
  <c r="O197" i="24"/>
  <c r="U205" i="24"/>
  <c r="BC4" i="2" s="1"/>
  <c r="AD173" i="24"/>
  <c r="U173" i="24"/>
  <c r="BA4" i="2" s="1"/>
  <c r="U138" i="24"/>
  <c r="AY4" i="2" s="1"/>
  <c r="AD162" i="24"/>
  <c r="U162" i="24"/>
  <c r="AZ4" i="2" s="1"/>
  <c r="U77" i="24"/>
  <c r="AT4" i="2" s="1"/>
  <c r="U75" i="24"/>
  <c r="AS4" i="2" s="1"/>
  <c r="U71" i="24"/>
  <c r="AR4" i="2" s="1"/>
  <c r="U70" i="24"/>
  <c r="AQ4" i="2" s="1"/>
  <c r="U69" i="24"/>
  <c r="AP4" i="2" s="1"/>
  <c r="U62" i="24"/>
  <c r="AO4" i="2" s="1"/>
  <c r="O49" i="24"/>
  <c r="O48" i="24"/>
  <c r="O47" i="24"/>
  <c r="I344" i="66" s="1"/>
  <c r="O46" i="24"/>
  <c r="I343" i="66" s="1"/>
  <c r="O45" i="24"/>
  <c r="I342" i="66" s="1"/>
  <c r="O44" i="24"/>
  <c r="I341" i="66" s="1"/>
  <c r="O38" i="24"/>
  <c r="O35" i="24"/>
  <c r="I332" i="66" s="1"/>
  <c r="O32" i="24"/>
  <c r="I329" i="66" s="1"/>
  <c r="O234" i="8"/>
  <c r="I232" i="66" s="1"/>
  <c r="S172" i="8"/>
  <c r="T172" i="8" s="1"/>
  <c r="AD172" i="8" s="1"/>
  <c r="AC172" i="8" s="1"/>
  <c r="S170" i="8"/>
  <c r="T170" i="8" s="1"/>
  <c r="AD170" i="8" s="1"/>
  <c r="AC170" i="8" s="1"/>
  <c r="S168" i="8"/>
  <c r="T168" i="8" s="1"/>
  <c r="AD168" i="8" s="1"/>
  <c r="AC168" i="8" s="1"/>
  <c r="S165" i="8"/>
  <c r="O165" i="8" s="1"/>
  <c r="S163" i="8"/>
  <c r="T163" i="8" s="1"/>
  <c r="AD163" i="8" s="1"/>
  <c r="AC163" i="8" s="1"/>
  <c r="S158" i="8"/>
  <c r="T158" i="8" s="1"/>
  <c r="AD158" i="8" s="1"/>
  <c r="AC158" i="8" s="1"/>
  <c r="S157" i="8"/>
  <c r="T157" i="8" s="1"/>
  <c r="AD157" i="8" s="1"/>
  <c r="AC157" i="8" s="1"/>
  <c r="S152" i="8"/>
  <c r="T152" i="8" s="1"/>
  <c r="AD152" i="8" s="1"/>
  <c r="AC152" i="8" s="1"/>
  <c r="S148" i="8"/>
  <c r="T148" i="8" s="1"/>
  <c r="AD148" i="8" s="1"/>
  <c r="AC148" i="8" s="1"/>
  <c r="S145" i="8"/>
  <c r="T145" i="8" s="1"/>
  <c r="AD145" i="8" s="1"/>
  <c r="AC145" i="8" s="1"/>
  <c r="S143" i="8"/>
  <c r="T143" i="8" s="1"/>
  <c r="AD143" i="8" s="1"/>
  <c r="AC143" i="8" s="1"/>
  <c r="S137" i="8"/>
  <c r="T137" i="8" s="1"/>
  <c r="AD137" i="8" s="1"/>
  <c r="AC137" i="8" s="1"/>
  <c r="O200" i="8"/>
  <c r="I198" i="66" s="1"/>
  <c r="O198" i="8"/>
  <c r="I196" i="66" s="1"/>
  <c r="O197" i="8"/>
  <c r="I195" i="66" s="1"/>
  <c r="O185" i="8"/>
  <c r="I183" i="66" s="1"/>
  <c r="O183" i="8"/>
  <c r="O174" i="8"/>
  <c r="I172" i="66" s="1"/>
  <c r="O113" i="8"/>
  <c r="I111" i="66" s="1"/>
  <c r="O252" i="8"/>
  <c r="I250" i="66" s="1"/>
  <c r="O242" i="8"/>
  <c r="O207" i="8"/>
  <c r="I205" i="66" s="1"/>
  <c r="C205" i="66" s="1"/>
  <c r="O212" i="8"/>
  <c r="I210" i="66" s="1"/>
  <c r="O216" i="8"/>
  <c r="I214" i="66" s="1"/>
  <c r="O219" i="8"/>
  <c r="I217" i="66" s="1"/>
  <c r="C217" i="66" s="1"/>
  <c r="O210" i="8"/>
  <c r="I208" i="66" s="1"/>
  <c r="O208" i="8"/>
  <c r="I206" i="66" s="1"/>
  <c r="O205" i="8"/>
  <c r="I203" i="66" s="1"/>
  <c r="U135" i="8"/>
  <c r="AY64" i="28"/>
  <c r="AY63" i="28"/>
  <c r="AY61" i="28"/>
  <c r="AY60" i="28"/>
  <c r="AY59" i="28"/>
  <c r="AY58" i="28"/>
  <c r="AY57" i="28"/>
  <c r="AY56" i="28"/>
  <c r="AY54" i="28"/>
  <c r="AY53" i="28"/>
  <c r="AY52" i="28"/>
  <c r="AY51" i="28"/>
  <c r="AY50" i="28"/>
  <c r="AY39" i="28"/>
  <c r="AY38" i="28"/>
  <c r="AY37" i="28"/>
  <c r="AY36" i="28"/>
  <c r="AY34" i="28"/>
  <c r="AY30" i="28"/>
  <c r="AY24" i="28"/>
  <c r="AY23" i="28"/>
  <c r="AY21" i="28"/>
  <c r="AY20" i="28"/>
  <c r="AY19" i="28"/>
  <c r="AY17" i="28"/>
  <c r="AY16" i="28"/>
  <c r="BD15" i="28"/>
  <c r="BC15" i="28"/>
  <c r="AY15" i="28"/>
  <c r="AY14" i="28"/>
  <c r="AY13" i="28"/>
  <c r="AY12" i="28"/>
  <c r="AY11" i="28"/>
  <c r="AX11" i="28"/>
  <c r="AY64" i="25"/>
  <c r="AY63" i="25"/>
  <c r="AY61" i="25"/>
  <c r="AY60" i="25"/>
  <c r="AY59" i="25"/>
  <c r="S22" i="25" s="1"/>
  <c r="AY58" i="25"/>
  <c r="S186" i="25" s="1"/>
  <c r="AY57" i="25"/>
  <c r="AY56" i="25"/>
  <c r="AY54" i="25"/>
  <c r="AY53" i="25"/>
  <c r="AY52" i="25"/>
  <c r="AY51" i="25"/>
  <c r="AY50" i="25"/>
  <c r="AY39" i="25"/>
  <c r="AY38" i="25"/>
  <c r="AY37" i="25"/>
  <c r="AY36" i="25"/>
  <c r="AY34" i="25"/>
  <c r="AY23" i="25"/>
  <c r="AY21" i="25"/>
  <c r="AY20" i="25"/>
  <c r="AY19" i="25"/>
  <c r="AY17" i="25"/>
  <c r="AX17" i="25"/>
  <c r="AY16" i="25"/>
  <c r="AX16" i="25"/>
  <c r="BD15" i="25"/>
  <c r="BC15" i="25"/>
  <c r="AY15" i="25"/>
  <c r="AX15" i="25"/>
  <c r="AY14" i="25"/>
  <c r="AX14" i="25"/>
  <c r="AY13" i="25"/>
  <c r="AX13" i="25"/>
  <c r="AY12" i="25"/>
  <c r="AX12" i="25"/>
  <c r="AY11" i="25"/>
  <c r="AX11" i="25"/>
  <c r="O52" i="8"/>
  <c r="I50" i="66" s="1"/>
  <c r="S67" i="8"/>
  <c r="T67" i="8" s="1"/>
  <c r="AD67" i="8" s="1"/>
  <c r="AC67" i="8" s="1"/>
  <c r="S65" i="8"/>
  <c r="T65" i="8" s="1"/>
  <c r="AD65" i="8" s="1"/>
  <c r="AC65" i="8" s="1"/>
  <c r="O105" i="8"/>
  <c r="I103" i="66" s="1"/>
  <c r="C103" i="66" s="1"/>
  <c r="O97" i="8"/>
  <c r="I95" i="66" s="1"/>
  <c r="O74" i="8"/>
  <c r="I72" i="66" s="1"/>
  <c r="O72" i="8"/>
  <c r="I70" i="66" s="1"/>
  <c r="O71" i="8"/>
  <c r="I69" i="66" s="1"/>
  <c r="C69" i="66" s="1"/>
  <c r="O69" i="8"/>
  <c r="I67" i="66" s="1"/>
  <c r="O64" i="8"/>
  <c r="I62" i="66" s="1"/>
  <c r="AY65" i="24"/>
  <c r="AX65" i="24"/>
  <c r="AY64" i="24"/>
  <c r="AX64" i="24"/>
  <c r="AY62" i="24"/>
  <c r="AX62" i="24"/>
  <c r="AY61" i="24"/>
  <c r="AX61" i="24"/>
  <c r="AY60" i="24"/>
  <c r="AX60" i="24"/>
  <c r="AY59" i="24"/>
  <c r="AX59" i="24"/>
  <c r="AY58" i="24"/>
  <c r="AX58" i="24"/>
  <c r="AY57" i="24"/>
  <c r="AX57" i="24"/>
  <c r="AY56" i="24"/>
  <c r="AX56" i="24"/>
  <c r="AY54" i="24"/>
  <c r="AX54" i="24"/>
  <c r="AY53" i="24"/>
  <c r="AX53" i="24"/>
  <c r="AY52" i="24"/>
  <c r="AX52" i="24"/>
  <c r="AY51" i="24"/>
  <c r="AX51" i="24"/>
  <c r="AY50" i="24"/>
  <c r="AX50" i="24"/>
  <c r="AY39" i="24"/>
  <c r="AX39" i="24"/>
  <c r="AY38" i="24"/>
  <c r="AX38" i="24"/>
  <c r="AY37" i="24"/>
  <c r="AX37" i="24"/>
  <c r="AY36" i="24"/>
  <c r="AX36" i="24"/>
  <c r="AX34" i="24"/>
  <c r="AY30" i="24"/>
  <c r="AX30" i="24"/>
  <c r="AY24" i="24"/>
  <c r="AX24" i="24"/>
  <c r="AX23" i="24"/>
  <c r="AY21" i="24"/>
  <c r="AX21" i="24"/>
  <c r="AY20" i="24"/>
  <c r="AX20" i="24"/>
  <c r="AY19" i="24"/>
  <c r="AX19" i="24"/>
  <c r="AY17" i="24"/>
  <c r="AX17" i="24"/>
  <c r="AY16" i="24"/>
  <c r="AX16" i="24"/>
  <c r="BD16" i="24"/>
  <c r="BC16" i="24"/>
  <c r="AY15" i="24"/>
  <c r="AX15" i="24"/>
  <c r="AY14" i="24"/>
  <c r="AX14" i="24"/>
  <c r="AY13" i="24"/>
  <c r="AX13" i="24"/>
  <c r="AY12" i="24"/>
  <c r="AX12" i="24"/>
  <c r="AY11" i="24"/>
  <c r="AX11" i="24"/>
  <c r="U255" i="8"/>
  <c r="AN4" i="2" s="1"/>
  <c r="U237" i="8"/>
  <c r="AM4" i="2" s="1"/>
  <c r="U152" i="8"/>
  <c r="AL4" i="2" s="1"/>
  <c r="U137" i="8"/>
  <c r="AK4" i="2" s="1"/>
  <c r="U123" i="8"/>
  <c r="U116" i="8"/>
  <c r="AH4" i="2" s="1"/>
  <c r="U86" i="8"/>
  <c r="AG4" i="2" s="1"/>
  <c r="N10" i="3"/>
  <c r="E14" i="23"/>
  <c r="P14" i="23"/>
  <c r="Q66" i="23"/>
  <c r="Q65" i="23"/>
  <c r="Q54" i="23"/>
  <c r="R53" i="23"/>
  <c r="Q53" i="23"/>
  <c r="Q52" i="23"/>
  <c r="Q41" i="23"/>
  <c r="R40" i="23"/>
  <c r="Q40" i="23"/>
  <c r="R39" i="23"/>
  <c r="Q39" i="23"/>
  <c r="R38" i="23"/>
  <c r="Q38" i="23"/>
  <c r="S36" i="23"/>
  <c r="R36" i="23"/>
  <c r="Q36" i="23"/>
  <c r="S33" i="23"/>
  <c r="R33" i="23"/>
  <c r="Q33" i="23"/>
  <c r="P33" i="23"/>
  <c r="S32" i="23"/>
  <c r="R32" i="23"/>
  <c r="Q32" i="23"/>
  <c r="S23" i="23"/>
  <c r="R23" i="23"/>
  <c r="Q23" i="23"/>
  <c r="Q18" i="23"/>
  <c r="S15" i="23"/>
  <c r="R15" i="23"/>
  <c r="Q15" i="23"/>
  <c r="E15" i="23"/>
  <c r="P15" i="23"/>
  <c r="S14" i="23"/>
  <c r="R14" i="23"/>
  <c r="Q14" i="23"/>
  <c r="S13" i="23"/>
  <c r="R13" i="23"/>
  <c r="Q13" i="23"/>
  <c r="S12" i="23"/>
  <c r="R12" i="23"/>
  <c r="Q12" i="23"/>
  <c r="S11" i="23"/>
  <c r="R11" i="23"/>
  <c r="Q11" i="23"/>
  <c r="E66" i="23"/>
  <c r="P66" i="23"/>
  <c r="E65" i="23"/>
  <c r="P65" i="23"/>
  <c r="E63" i="23"/>
  <c r="P63" i="23"/>
  <c r="E62" i="23"/>
  <c r="P62" i="23"/>
  <c r="E61" i="23"/>
  <c r="P61" i="23"/>
  <c r="E60" i="23"/>
  <c r="P60" i="23"/>
  <c r="E59" i="23"/>
  <c r="P59" i="23"/>
  <c r="E56" i="23"/>
  <c r="P56" i="23"/>
  <c r="E55" i="23"/>
  <c r="P55" i="23"/>
  <c r="E54" i="23"/>
  <c r="E53" i="23"/>
  <c r="P53" i="23"/>
  <c r="E52" i="23"/>
  <c r="P52" i="23"/>
  <c r="E41" i="23"/>
  <c r="P41" i="23"/>
  <c r="E40" i="23"/>
  <c r="P40" i="23"/>
  <c r="E39" i="23"/>
  <c r="P39" i="23"/>
  <c r="E38" i="23"/>
  <c r="E36" i="23"/>
  <c r="E32" i="23"/>
  <c r="P32" i="23"/>
  <c r="E26" i="23"/>
  <c r="P26" i="23" s="1"/>
  <c r="E25" i="23"/>
  <c r="P25" i="23" s="1"/>
  <c r="AY1609" i="16" s="1"/>
  <c r="E23" i="23"/>
  <c r="P23" i="23" s="1"/>
  <c r="AY20" i="16" s="1"/>
  <c r="E19" i="23"/>
  <c r="P19" i="23" s="1"/>
  <c r="E18" i="23"/>
  <c r="P18" i="23" s="1"/>
  <c r="N66" i="23" s="1"/>
  <c r="E16" i="23"/>
  <c r="E13" i="23"/>
  <c r="E12" i="23"/>
  <c r="P12" i="23"/>
  <c r="E11" i="23"/>
  <c r="E10" i="23"/>
  <c r="P10" i="23"/>
  <c r="AY16" i="8"/>
  <c r="BC15" i="8"/>
  <c r="BD15" i="8"/>
  <c r="AX18" i="16"/>
  <c r="AX19" i="16"/>
  <c r="AX20" i="16"/>
  <c r="AX22" i="16"/>
  <c r="AX23" i="16"/>
  <c r="AX29" i="16"/>
  <c r="AX33" i="16"/>
  <c r="AX11" i="16"/>
  <c r="AX12" i="16"/>
  <c r="AX12" i="8"/>
  <c r="AY12" i="8"/>
  <c r="AX13" i="8"/>
  <c r="AY13" i="8"/>
  <c r="AX14" i="8"/>
  <c r="AY14" i="8"/>
  <c r="AX15" i="8"/>
  <c r="AY15" i="8"/>
  <c r="AX16" i="8"/>
  <c r="AX17" i="8"/>
  <c r="AY17" i="8"/>
  <c r="AX19" i="8"/>
  <c r="AY19" i="8"/>
  <c r="AX20" i="8"/>
  <c r="AY20" i="8"/>
  <c r="AX21" i="8"/>
  <c r="AY21" i="8"/>
  <c r="AX23" i="8"/>
  <c r="AY23" i="8"/>
  <c r="AX24" i="8"/>
  <c r="AY24" i="8"/>
  <c r="AX30" i="8"/>
  <c r="AY30" i="8"/>
  <c r="AX34" i="8"/>
  <c r="AY34" i="8"/>
  <c r="AX36" i="8"/>
  <c r="AY36" i="8"/>
  <c r="AX37" i="8"/>
  <c r="AY37" i="8"/>
  <c r="AX38" i="8"/>
  <c r="AY38" i="8"/>
  <c r="AX39" i="8"/>
  <c r="AY39" i="8"/>
  <c r="AX50" i="8"/>
  <c r="AY50" i="8"/>
  <c r="AX51" i="8"/>
  <c r="AY51" i="8"/>
  <c r="AX52" i="8"/>
  <c r="AY52" i="8"/>
  <c r="AX53" i="8"/>
  <c r="AY53" i="8"/>
  <c r="AX54" i="8"/>
  <c r="AY54" i="8"/>
  <c r="AX56" i="8"/>
  <c r="AY56" i="8"/>
  <c r="AX57" i="8"/>
  <c r="AY57" i="8"/>
  <c r="AX58" i="8"/>
  <c r="AY58" i="8"/>
  <c r="AX59" i="8"/>
  <c r="AY59" i="8"/>
  <c r="AX60" i="8"/>
  <c r="AY60" i="8"/>
  <c r="AX61" i="8"/>
  <c r="AY61" i="8"/>
  <c r="AX62" i="8"/>
  <c r="AY62" i="8"/>
  <c r="AX64" i="8"/>
  <c r="AY64" i="8"/>
  <c r="AX65" i="8"/>
  <c r="AY65" i="8"/>
  <c r="AY11" i="8"/>
  <c r="AX11" i="8"/>
  <c r="Y14" i="23"/>
  <c r="X14" i="23"/>
  <c r="W14" i="23"/>
  <c r="V14" i="23"/>
  <c r="Y41" i="16"/>
  <c r="Y40" i="16"/>
  <c r="Y39" i="16"/>
  <c r="Y38" i="16"/>
  <c r="Y36" i="16"/>
  <c r="Y35" i="16"/>
  <c r="Y27" i="16"/>
  <c r="Y26" i="16"/>
  <c r="Y25" i="16"/>
  <c r="Y24" i="16"/>
  <c r="Y23" i="16"/>
  <c r="Y22" i="16"/>
  <c r="Y21" i="16"/>
  <c r="Y20" i="16"/>
  <c r="M16" i="3"/>
  <c r="M17" i="3"/>
  <c r="M20" i="3"/>
  <c r="M23" i="3"/>
  <c r="M24" i="3"/>
  <c r="M15" i="3"/>
  <c r="AE20" i="8"/>
  <c r="AC20" i="8" s="1"/>
  <c r="G16" i="3"/>
  <c r="G18" i="3"/>
  <c r="G20" i="3"/>
  <c r="G23" i="3"/>
  <c r="G24" i="3"/>
  <c r="G15" i="3"/>
  <c r="O35" i="8"/>
  <c r="I33" i="66" s="1"/>
  <c r="O18" i="8"/>
  <c r="O16" i="8"/>
  <c r="I14" i="66" s="1"/>
  <c r="N14" i="7"/>
  <c r="O14" i="7"/>
  <c r="P14" i="7"/>
  <c r="M14" i="7"/>
  <c r="Y4" i="2"/>
  <c r="Z4" i="2"/>
  <c r="BC16" i="25"/>
  <c r="T4" i="2"/>
  <c r="H4" i="2"/>
  <c r="I4" i="2"/>
  <c r="J4" i="2"/>
  <c r="K4" i="2"/>
  <c r="L4" i="2"/>
  <c r="R4" i="2"/>
  <c r="S4" i="2"/>
  <c r="U4" i="2"/>
  <c r="V4" i="2"/>
  <c r="W4" i="2"/>
  <c r="X4" i="2"/>
  <c r="AA4" i="2"/>
  <c r="AB4" i="2"/>
  <c r="D4" i="2"/>
  <c r="M230" i="28"/>
  <c r="AM230" i="28" s="1"/>
  <c r="R48" i="28"/>
  <c r="AE48" i="28" s="1"/>
  <c r="T48" i="28"/>
  <c r="AD48" i="28" s="1"/>
  <c r="R43" i="28"/>
  <c r="M43" i="28" s="1"/>
  <c r="AM43" i="28" s="1"/>
  <c r="N2174" i="16"/>
  <c r="G2175" i="16" s="1"/>
  <c r="G2176" i="16" s="1"/>
  <c r="G2177" i="16" s="1"/>
  <c r="G2178" i="16" s="1"/>
  <c r="G2179" i="16" s="1"/>
  <c r="G2180" i="16" s="1"/>
  <c r="G2181" i="16" s="1"/>
  <c r="G2182" i="16" s="1"/>
  <c r="G2183" i="16" s="1"/>
  <c r="N1939" i="16"/>
  <c r="G1940" i="16" s="1"/>
  <c r="N2048" i="16"/>
  <c r="G2049" i="16" s="1"/>
  <c r="G2050" i="16" s="1"/>
  <c r="BD16" i="8"/>
  <c r="BC17" i="24"/>
  <c r="BC16" i="8"/>
  <c r="T59" i="24"/>
  <c r="AD59" i="24" s="1"/>
  <c r="AC59" i="24" s="1"/>
  <c r="O59" i="24"/>
  <c r="I356" i="66" s="1"/>
  <c r="C356" i="66" s="1"/>
  <c r="O170" i="8"/>
  <c r="I168" i="66" s="1"/>
  <c r="T58" i="24"/>
  <c r="AD58" i="24" s="1"/>
  <c r="AC58" i="24" s="1"/>
  <c r="O58" i="24"/>
  <c r="O57" i="24"/>
  <c r="AO57" i="24" s="1"/>
  <c r="T57" i="24"/>
  <c r="AD57" i="24" s="1"/>
  <c r="AC57" i="24" s="1"/>
  <c r="T60" i="24"/>
  <c r="AD60" i="24" s="1"/>
  <c r="AC60" i="24" s="1"/>
  <c r="O60" i="24"/>
  <c r="BC16" i="29"/>
  <c r="BC16" i="28"/>
  <c r="O51" i="28"/>
  <c r="O43" i="28"/>
  <c r="T55" i="28"/>
  <c r="AD55" i="28" s="1"/>
  <c r="O48" i="28"/>
  <c r="AO48" i="28" s="1"/>
  <c r="T230" i="28"/>
  <c r="AD230" i="28" s="1"/>
  <c r="S290" i="8"/>
  <c r="S513" i="25"/>
  <c r="R354" i="24"/>
  <c r="O1916" i="16"/>
  <c r="S299" i="8"/>
  <c r="R356" i="24"/>
  <c r="O230" i="28"/>
  <c r="S270" i="8"/>
  <c r="O2190" i="16"/>
  <c r="O381" i="24"/>
  <c r="O404" i="24"/>
  <c r="S28" i="25"/>
  <c r="S126" i="25"/>
  <c r="S608" i="25"/>
  <c r="O26" i="28"/>
  <c r="M150" i="8"/>
  <c r="S303" i="8"/>
  <c r="S301" i="8"/>
  <c r="S612" i="25"/>
  <c r="M155" i="8"/>
  <c r="S267" i="8"/>
  <c r="M140" i="8"/>
  <c r="M128" i="8"/>
  <c r="S294" i="8"/>
  <c r="S271" i="8"/>
  <c r="O116" i="8"/>
  <c r="S265" i="8"/>
  <c r="O347" i="28"/>
  <c r="S293" i="8"/>
  <c r="S181" i="28"/>
  <c r="O1873" i="16"/>
  <c r="O519" i="24"/>
  <c r="S678" i="25"/>
  <c r="S31" i="25"/>
  <c r="M148" i="8"/>
  <c r="M141" i="8"/>
  <c r="O2077" i="16"/>
  <c r="O214" i="24"/>
  <c r="S139" i="24"/>
  <c r="O391" i="28"/>
  <c r="O543" i="24"/>
  <c r="O2194" i="16"/>
  <c r="S517" i="25"/>
  <c r="S175" i="25"/>
  <c r="M157" i="8"/>
  <c r="S155" i="24"/>
  <c r="O123" i="8"/>
  <c r="O343" i="28"/>
  <c r="S283" i="8"/>
  <c r="O255" i="8"/>
  <c r="G12" i="18" l="1"/>
  <c r="AY19" i="16"/>
  <c r="G12" i="17"/>
  <c r="C8" i="94"/>
  <c r="C8" i="93"/>
  <c r="E1902" i="76"/>
  <c r="G1902" i="76" s="1"/>
  <c r="AO1902" i="16"/>
  <c r="G1893" i="16"/>
  <c r="G1894" i="16" s="1"/>
  <c r="AM1893" i="16"/>
  <c r="AO1898" i="16"/>
  <c r="E1898" i="76"/>
  <c r="G1898" i="76" s="1"/>
  <c r="G1899" i="76" s="1"/>
  <c r="G1920" i="16"/>
  <c r="G1921" i="16" s="1"/>
  <c r="AM1920" i="16"/>
  <c r="AO1941" i="16"/>
  <c r="E1941" i="76"/>
  <c r="AO1978" i="16"/>
  <c r="E1978" i="76"/>
  <c r="E2048" i="76"/>
  <c r="AO2048" i="16"/>
  <c r="E2064" i="76"/>
  <c r="AO2064" i="16"/>
  <c r="G2186" i="16"/>
  <c r="AM2186" i="16"/>
  <c r="AO2227" i="16"/>
  <c r="E2227" i="76"/>
  <c r="E1859" i="76"/>
  <c r="AO1859" i="16"/>
  <c r="G1944" i="16"/>
  <c r="G1945" i="16" s="1"/>
  <c r="AM1944" i="16"/>
  <c r="AO1999" i="16"/>
  <c r="E1999" i="76"/>
  <c r="G2046" i="16"/>
  <c r="G2047" i="16" s="1"/>
  <c r="AM2046" i="16"/>
  <c r="AO2051" i="16"/>
  <c r="E2051" i="76"/>
  <c r="E2232" i="76"/>
  <c r="AO2232" i="16"/>
  <c r="AO1865" i="16"/>
  <c r="E1865" i="76"/>
  <c r="AO1890" i="16"/>
  <c r="E1890" i="76"/>
  <c r="G1890" i="76" s="1"/>
  <c r="G1891" i="76" s="1"/>
  <c r="G1892" i="76" s="1"/>
  <c r="AO2013" i="16"/>
  <c r="E2013" i="76"/>
  <c r="AO2055" i="16"/>
  <c r="E2055" i="76"/>
  <c r="AO2174" i="16"/>
  <c r="E2174" i="76"/>
  <c r="AO1939" i="16"/>
  <c r="E1939" i="76"/>
  <c r="E1946" i="76"/>
  <c r="AO1946" i="16"/>
  <c r="AO1968" i="16"/>
  <c r="E1968" i="76"/>
  <c r="AO2059" i="16"/>
  <c r="E2059" i="76"/>
  <c r="E2184" i="76"/>
  <c r="AO2184" i="16"/>
  <c r="AO2441" i="16"/>
  <c r="E2441" i="76"/>
  <c r="I565" i="66"/>
  <c r="A565" i="66" s="1"/>
  <c r="AO268" i="24"/>
  <c r="I563" i="66"/>
  <c r="A563" i="66" s="1"/>
  <c r="A564" i="66" s="1"/>
  <c r="AO266" i="24"/>
  <c r="I537" i="66"/>
  <c r="AO240" i="24"/>
  <c r="I494" i="66"/>
  <c r="AO197" i="24"/>
  <c r="I459" i="66"/>
  <c r="A459" i="66" s="1"/>
  <c r="AO162" i="24"/>
  <c r="I357" i="66"/>
  <c r="AO60" i="24"/>
  <c r="I181" i="66"/>
  <c r="A181" i="66" s="1"/>
  <c r="AO183" i="8"/>
  <c r="I16" i="66"/>
  <c r="A16" i="66" s="1"/>
  <c r="AO18" i="8"/>
  <c r="C10" i="18"/>
  <c r="C10" i="94"/>
  <c r="C10" i="93"/>
  <c r="I311" i="66"/>
  <c r="AO14" i="24"/>
  <c r="G10" i="94"/>
  <c r="G10" i="93"/>
  <c r="C14" i="93"/>
  <c r="C14" i="94"/>
  <c r="X5" i="92"/>
  <c r="C12" i="93"/>
  <c r="C12" i="94"/>
  <c r="E105" i="93"/>
  <c r="X4" i="92"/>
  <c r="I240" i="66"/>
  <c r="I239" i="66" s="1"/>
  <c r="C239" i="66" s="1"/>
  <c r="AO242" i="8"/>
  <c r="AO1873" i="16"/>
  <c r="AO2194" i="16"/>
  <c r="AO2077" i="16"/>
  <c r="AO2190" i="16"/>
  <c r="AO1916" i="16"/>
  <c r="I1899" i="66"/>
  <c r="AO53" i="28"/>
  <c r="I1901" i="66"/>
  <c r="AO55" i="28"/>
  <c r="I1858" i="66"/>
  <c r="AO12" i="28"/>
  <c r="I2058" i="66"/>
  <c r="AO212" i="28"/>
  <c r="I2050" i="66"/>
  <c r="A2051" i="66" s="1"/>
  <c r="C2051" i="66" s="1"/>
  <c r="AO204" i="28"/>
  <c r="I1864" i="66"/>
  <c r="C1864" i="66" s="1"/>
  <c r="AO18" i="28"/>
  <c r="I2063" i="66"/>
  <c r="A2064" i="66" s="1"/>
  <c r="C2064" i="66" s="1"/>
  <c r="AO217" i="28"/>
  <c r="AC55" i="28"/>
  <c r="I1889" i="66"/>
  <c r="A1889" i="66" s="1"/>
  <c r="AO43" i="28"/>
  <c r="AE199" i="28"/>
  <c r="AC199" i="28" s="1"/>
  <c r="I1938" i="66"/>
  <c r="AO92" i="28"/>
  <c r="I2183" i="66"/>
  <c r="C2183" i="66" s="1"/>
  <c r="AO337" i="28"/>
  <c r="I1984" i="66"/>
  <c r="AO138" i="28"/>
  <c r="I1897" i="66"/>
  <c r="AO51" i="28"/>
  <c r="I1940" i="66"/>
  <c r="AO94" i="28"/>
  <c r="I2226" i="66"/>
  <c r="AO380" i="28"/>
  <c r="I2054" i="66"/>
  <c r="A2055" i="66" s="1"/>
  <c r="C2055" i="66" s="1"/>
  <c r="AO208" i="28"/>
  <c r="I2043" i="66"/>
  <c r="AO197" i="28"/>
  <c r="I2231" i="66"/>
  <c r="A2232" i="66" s="1"/>
  <c r="C2232" i="66" s="1"/>
  <c r="AO385" i="28"/>
  <c r="N2055" i="16"/>
  <c r="G2056" i="16" s="1"/>
  <c r="G2057" i="16" s="1"/>
  <c r="G2058" i="16" s="1"/>
  <c r="I1967" i="66"/>
  <c r="C1967" i="66" s="1"/>
  <c r="AO121" i="28"/>
  <c r="I2047" i="66"/>
  <c r="A2048" i="66" s="1"/>
  <c r="AO201" i="28"/>
  <c r="I1405" i="66"/>
  <c r="AO532" i="25"/>
  <c r="AO391" i="28"/>
  <c r="AO347" i="28"/>
  <c r="AO343" i="28"/>
  <c r="AO230" i="28"/>
  <c r="AO26" i="28"/>
  <c r="AO543" i="24"/>
  <c r="AO519" i="24"/>
  <c r="AO404" i="24"/>
  <c r="AO381" i="24"/>
  <c r="AO214" i="24"/>
  <c r="AO255" i="8"/>
  <c r="AO123" i="8"/>
  <c r="AO116" i="8"/>
  <c r="AM155" i="8"/>
  <c r="AM157" i="8"/>
  <c r="AM150" i="8"/>
  <c r="AM148" i="8"/>
  <c r="AM140" i="8"/>
  <c r="AM141" i="8"/>
  <c r="AM128" i="8"/>
  <c r="A1859" i="66"/>
  <c r="C1858" i="66"/>
  <c r="C2063" i="66"/>
  <c r="I1935" i="66"/>
  <c r="A1935" i="66" s="1"/>
  <c r="A2184" i="66"/>
  <c r="C2184" i="66" s="1"/>
  <c r="A2227" i="66"/>
  <c r="C2226" i="66"/>
  <c r="A1968" i="66"/>
  <c r="C563" i="66"/>
  <c r="A616" i="66"/>
  <c r="C616" i="66" s="1"/>
  <c r="C615" i="66"/>
  <c r="A625" i="66"/>
  <c r="C625" i="66" s="1"/>
  <c r="C624" i="66"/>
  <c r="A333" i="66"/>
  <c r="C332" i="66"/>
  <c r="A566" i="66"/>
  <c r="C566" i="66" s="1"/>
  <c r="C565" i="66"/>
  <c r="A584" i="66"/>
  <c r="C584" i="66" s="1"/>
  <c r="C583" i="66"/>
  <c r="A460" i="66"/>
  <c r="C460" i="66" s="1"/>
  <c r="C459" i="66"/>
  <c r="A209" i="66"/>
  <c r="C209" i="66" s="1"/>
  <c r="C208" i="66"/>
  <c r="A173" i="66"/>
  <c r="C173" i="66" s="1"/>
  <c r="C172" i="66"/>
  <c r="A96" i="66"/>
  <c r="C95" i="66"/>
  <c r="A15" i="66"/>
  <c r="C14" i="66"/>
  <c r="C62" i="66"/>
  <c r="A182" i="66"/>
  <c r="C181" i="66"/>
  <c r="A17" i="66"/>
  <c r="C17" i="66" s="1"/>
  <c r="C16" i="66"/>
  <c r="A68" i="66"/>
  <c r="C68" i="66" s="1"/>
  <c r="C67" i="66"/>
  <c r="A51" i="66"/>
  <c r="C50" i="66"/>
  <c r="A215" i="66"/>
  <c r="C214" i="66"/>
  <c r="A184" i="66"/>
  <c r="C184" i="66" s="1"/>
  <c r="C183" i="66"/>
  <c r="A233" i="66"/>
  <c r="C232" i="66"/>
  <c r="A204" i="66"/>
  <c r="C203" i="66"/>
  <c r="A207" i="66"/>
  <c r="C207" i="66" s="1"/>
  <c r="C206" i="66"/>
  <c r="A211" i="66"/>
  <c r="C210" i="66"/>
  <c r="C195" i="66"/>
  <c r="A34" i="66"/>
  <c r="C33" i="66"/>
  <c r="A71" i="66"/>
  <c r="C71" i="66" s="1"/>
  <c r="C70" i="66"/>
  <c r="A197" i="66"/>
  <c r="C196" i="66"/>
  <c r="A251" i="66"/>
  <c r="C250" i="66"/>
  <c r="A112" i="66"/>
  <c r="C111" i="66"/>
  <c r="A169" i="66"/>
  <c r="C169" i="66" s="1"/>
  <c r="C168" i="66"/>
  <c r="A73" i="66"/>
  <c r="C73" i="66" s="1"/>
  <c r="C72" i="66"/>
  <c r="A199" i="66"/>
  <c r="C199" i="66" s="1"/>
  <c r="C198" i="66"/>
  <c r="A19" i="66"/>
  <c r="C18" i="66"/>
  <c r="E2194" i="76"/>
  <c r="E2190" i="76"/>
  <c r="E2077" i="76"/>
  <c r="E1916" i="76"/>
  <c r="E1873" i="76"/>
  <c r="I2237" i="66"/>
  <c r="A2237" i="66" s="1"/>
  <c r="I600" i="66"/>
  <c r="I672" i="66"/>
  <c r="I657" i="66" s="1"/>
  <c r="N545" i="16"/>
  <c r="G546" i="16" s="1"/>
  <c r="G547" i="16" s="1"/>
  <c r="G548" i="16" s="1"/>
  <c r="G549" i="16" s="1"/>
  <c r="G550" i="16" s="1"/>
  <c r="G551" i="16" s="1"/>
  <c r="G552" i="16" s="1"/>
  <c r="G553" i="16" s="1"/>
  <c r="G554" i="16" s="1"/>
  <c r="I544" i="66"/>
  <c r="I457" i="66"/>
  <c r="A457" i="66" s="1"/>
  <c r="N571" i="16"/>
  <c r="I570" i="66"/>
  <c r="A570" i="66" s="1"/>
  <c r="I793" i="66"/>
  <c r="N1978" i="16"/>
  <c r="I1977" i="66"/>
  <c r="A1977" i="66" s="1"/>
  <c r="I687" i="66"/>
  <c r="I685" i="66" s="1"/>
  <c r="N463" i="16"/>
  <c r="G464" i="16" s="1"/>
  <c r="I462" i="66"/>
  <c r="N577" i="16"/>
  <c r="G578" i="16" s="1"/>
  <c r="G579" i="16" s="1"/>
  <c r="G580" i="16" s="1"/>
  <c r="G581" i="16" s="1"/>
  <c r="G582" i="16" s="1"/>
  <c r="G583" i="16" s="1"/>
  <c r="I576" i="66"/>
  <c r="I675" i="66"/>
  <c r="N1895" i="16"/>
  <c r="I1894" i="66"/>
  <c r="A1894" i="66" s="1"/>
  <c r="I497" i="66"/>
  <c r="M261" i="24"/>
  <c r="AE261" i="24"/>
  <c r="AC261" i="24" s="1"/>
  <c r="I464" i="66"/>
  <c r="N2441" i="16"/>
  <c r="G2442" i="16" s="1"/>
  <c r="G2443" i="16" s="1"/>
  <c r="G2444" i="16" s="1"/>
  <c r="G2445" i="16" s="1"/>
  <c r="G2446" i="16" s="1"/>
  <c r="G2447" i="16" s="1"/>
  <c r="G2448" i="16" s="1"/>
  <c r="G2449" i="16" s="1"/>
  <c r="I2440" i="66"/>
  <c r="C2440" i="66" s="1"/>
  <c r="O46" i="28"/>
  <c r="N1859" i="16"/>
  <c r="G1860" i="16" s="1"/>
  <c r="I346" i="66"/>
  <c r="N540" i="16"/>
  <c r="G540" i="16" s="1"/>
  <c r="I539" i="66"/>
  <c r="N1946" i="16"/>
  <c r="I1945" i="66"/>
  <c r="A1945" i="66" s="1"/>
  <c r="J109" i="17"/>
  <c r="N164" i="16"/>
  <c r="G165" i="16" s="1"/>
  <c r="G166" i="16" s="1"/>
  <c r="I163" i="66"/>
  <c r="N499" i="16"/>
  <c r="G500" i="16" s="1"/>
  <c r="G501" i="16" s="1"/>
  <c r="G502" i="16" s="1"/>
  <c r="I498" i="66"/>
  <c r="N541" i="16"/>
  <c r="I540" i="66"/>
  <c r="I698" i="66"/>
  <c r="I466" i="66"/>
  <c r="I354" i="66"/>
  <c r="A354" i="66" s="1"/>
  <c r="I335" i="66"/>
  <c r="C335" i="66" s="1"/>
  <c r="I345" i="66"/>
  <c r="I336" i="66" s="1"/>
  <c r="I554" i="66"/>
  <c r="N400" i="16"/>
  <c r="G401" i="16" s="1"/>
  <c r="G402" i="16" s="1"/>
  <c r="I399" i="66"/>
  <c r="N2013" i="16"/>
  <c r="G2014" i="16" s="1"/>
  <c r="G2015" i="16" s="1"/>
  <c r="G2016" i="16" s="1"/>
  <c r="G2017" i="16" s="1"/>
  <c r="I2012" i="66"/>
  <c r="AE177" i="28"/>
  <c r="AC177" i="28" s="1"/>
  <c r="N412" i="16"/>
  <c r="G413" i="16" s="1"/>
  <c r="G414" i="16" s="1"/>
  <c r="I411" i="66"/>
  <c r="N82" i="16"/>
  <c r="I81" i="66"/>
  <c r="C81" i="66" s="1"/>
  <c r="N1999" i="16"/>
  <c r="G2001" i="16" s="1"/>
  <c r="I1998" i="66"/>
  <c r="R51" i="28"/>
  <c r="M51" i="28" s="1"/>
  <c r="AM51" i="28" s="1"/>
  <c r="I355" i="66"/>
  <c r="C355" i="66" s="1"/>
  <c r="I824" i="66"/>
  <c r="N588" i="16"/>
  <c r="G589" i="16" s="1"/>
  <c r="G590" i="16" s="1"/>
  <c r="G591" i="16" s="1"/>
  <c r="G592" i="16" s="1"/>
  <c r="G593" i="16" s="1"/>
  <c r="G594" i="16" s="1"/>
  <c r="G595" i="16" s="1"/>
  <c r="I587" i="66"/>
  <c r="AC29" i="28"/>
  <c r="I2193" i="66"/>
  <c r="I2189" i="66"/>
  <c r="A2189" i="66" s="1"/>
  <c r="I2076" i="66"/>
  <c r="A2076" i="66" s="1"/>
  <c r="I1872" i="66"/>
  <c r="I840" i="66"/>
  <c r="A840" i="66" s="1"/>
  <c r="I816" i="66"/>
  <c r="A816" i="66" s="1"/>
  <c r="I701" i="66"/>
  <c r="A701" i="66" s="1"/>
  <c r="I678" i="66"/>
  <c r="A678" i="66" s="1"/>
  <c r="I511" i="66"/>
  <c r="A511" i="66" s="1"/>
  <c r="I253" i="66"/>
  <c r="I121" i="66"/>
  <c r="A121" i="66" s="1"/>
  <c r="I114" i="66"/>
  <c r="A114" i="66" s="1"/>
  <c r="C12" i="18"/>
  <c r="C12" i="17"/>
  <c r="X4" i="16"/>
  <c r="C8" i="18"/>
  <c r="C8" i="17"/>
  <c r="AY318" i="16"/>
  <c r="N2059" i="16"/>
  <c r="N2051" i="16"/>
  <c r="G2052" i="16" s="1"/>
  <c r="G2053" i="16" s="1"/>
  <c r="G2054" i="16" s="1"/>
  <c r="N1865" i="16"/>
  <c r="G1866" i="16" s="1"/>
  <c r="G1867" i="16" s="1"/>
  <c r="AE195" i="28"/>
  <c r="AC195" i="28" s="1"/>
  <c r="R46" i="28"/>
  <c r="AE46" i="28" s="1"/>
  <c r="AC46" i="28" s="1"/>
  <c r="M73" i="28"/>
  <c r="AM73" i="28" s="1"/>
  <c r="AC34" i="28"/>
  <c r="S320" i="25"/>
  <c r="S317" i="25"/>
  <c r="S314" i="25"/>
  <c r="BE14" i="16"/>
  <c r="BE1601" i="16"/>
  <c r="BI896" i="16"/>
  <c r="BI1601" i="16"/>
  <c r="BF14" i="16"/>
  <c r="BF1601" i="16"/>
  <c r="BG14" i="16"/>
  <c r="BG1601" i="16"/>
  <c r="BH14" i="16"/>
  <c r="BH1601" i="16"/>
  <c r="AY925" i="16"/>
  <c r="AY1637" i="16"/>
  <c r="AY908" i="16"/>
  <c r="AY1620" i="16"/>
  <c r="S52" i="29"/>
  <c r="T52" i="29" s="1"/>
  <c r="AD52" i="29" s="1"/>
  <c r="AC52" i="29" s="1"/>
  <c r="G16" i="18"/>
  <c r="AY1616" i="16"/>
  <c r="AY2286" i="16"/>
  <c r="AY1625" i="16"/>
  <c r="AY350" i="16"/>
  <c r="AY1638" i="16"/>
  <c r="AY910" i="16"/>
  <c r="AY1622" i="16"/>
  <c r="AY1871" i="16"/>
  <c r="AY1610" i="16"/>
  <c r="AY1884" i="16"/>
  <c r="AY1623" i="16"/>
  <c r="AY1908" i="16"/>
  <c r="AY1647" i="16"/>
  <c r="AY1885" i="16"/>
  <c r="AY1624" i="16"/>
  <c r="AY2301" i="16"/>
  <c r="AY1640" i="16"/>
  <c r="AY2311" i="16"/>
  <c r="AY1650" i="16"/>
  <c r="AY39" i="16"/>
  <c r="AY924" i="16"/>
  <c r="AY1636" i="16"/>
  <c r="AY45" i="16"/>
  <c r="AY1632" i="16"/>
  <c r="AY2268" i="16"/>
  <c r="AY1607" i="16"/>
  <c r="AY42" i="16"/>
  <c r="AY1629" i="16"/>
  <c r="AY2305" i="16"/>
  <c r="AY1644" i="16"/>
  <c r="AY361" i="16"/>
  <c r="AY1649" i="16"/>
  <c r="AY50" i="16"/>
  <c r="AY2304" i="16"/>
  <c r="AY1643" i="16"/>
  <c r="AY1907" i="16"/>
  <c r="AY1646" i="16"/>
  <c r="AY894" i="16"/>
  <c r="AY1606" i="16"/>
  <c r="AY16" i="16"/>
  <c r="AY1603" i="16"/>
  <c r="AY315" i="16"/>
  <c r="AY1861" i="16"/>
  <c r="AY1600" i="16"/>
  <c r="AY312" i="16"/>
  <c r="AY12" i="16"/>
  <c r="AY1599" i="16"/>
  <c r="AY886" i="16"/>
  <c r="AY1598" i="16"/>
  <c r="AY2258" i="16"/>
  <c r="AY1597" i="16"/>
  <c r="AY15" i="16"/>
  <c r="AY1602" i="16"/>
  <c r="AY14" i="16"/>
  <c r="AY1601" i="16"/>
  <c r="S120" i="29"/>
  <c r="T120" i="29" s="1"/>
  <c r="AD120" i="29" s="1"/>
  <c r="AC120" i="29" s="1"/>
  <c r="S38" i="29"/>
  <c r="T38" i="29" s="1"/>
  <c r="AD38" i="29" s="1"/>
  <c r="AC38" i="29" s="1"/>
  <c r="S56" i="29"/>
  <c r="T56" i="29" s="1"/>
  <c r="AD56" i="29" s="1"/>
  <c r="AC56" i="29" s="1"/>
  <c r="S136" i="29"/>
  <c r="T136" i="29" s="1"/>
  <c r="AD136" i="29" s="1"/>
  <c r="AC136" i="29" s="1"/>
  <c r="S118" i="29"/>
  <c r="T118" i="29" s="1"/>
  <c r="AD118" i="29" s="1"/>
  <c r="AC118" i="29" s="1"/>
  <c r="S49" i="29"/>
  <c r="T49" i="29" s="1"/>
  <c r="AD49" i="29" s="1"/>
  <c r="AC49" i="29" s="1"/>
  <c r="S28" i="29"/>
  <c r="T28" i="29" s="1"/>
  <c r="AD28" i="29" s="1"/>
  <c r="S132" i="29"/>
  <c r="T132" i="29" s="1"/>
  <c r="AD132" i="29" s="1"/>
  <c r="AC132" i="29" s="1"/>
  <c r="S54" i="29"/>
  <c r="T54" i="29" s="1"/>
  <c r="AD54" i="29" s="1"/>
  <c r="AC54" i="29" s="1"/>
  <c r="S124" i="29"/>
  <c r="T124" i="29" s="1"/>
  <c r="AD124" i="29" s="1"/>
  <c r="S62" i="29"/>
  <c r="R62" i="29" s="1"/>
  <c r="M62" i="29" s="1"/>
  <c r="AM62" i="29" s="1"/>
  <c r="S96" i="29"/>
  <c r="T96" i="29" s="1"/>
  <c r="AD96" i="29" s="1"/>
  <c r="AC96" i="29" s="1"/>
  <c r="S115" i="29"/>
  <c r="T115" i="29" s="1"/>
  <c r="AD115" i="29" s="1"/>
  <c r="AC115" i="29" s="1"/>
  <c r="S51" i="29"/>
  <c r="T51" i="29" s="1"/>
  <c r="AD51" i="29" s="1"/>
  <c r="AC51" i="29" s="1"/>
  <c r="S108" i="29"/>
  <c r="T108" i="29" s="1"/>
  <c r="AD108" i="29" s="1"/>
  <c r="AC108" i="29" s="1"/>
  <c r="S90" i="29"/>
  <c r="R90" i="29" s="1"/>
  <c r="AE90" i="29" s="1"/>
  <c r="S42" i="29"/>
  <c r="T42" i="29" s="1"/>
  <c r="AD42" i="29" s="1"/>
  <c r="AC42" i="29" s="1"/>
  <c r="S145" i="29"/>
  <c r="T145" i="29" s="1"/>
  <c r="AD145" i="29" s="1"/>
  <c r="AC145" i="29" s="1"/>
  <c r="S113" i="29"/>
  <c r="T113" i="29" s="1"/>
  <c r="AD113" i="29" s="1"/>
  <c r="AC113" i="29" s="1"/>
  <c r="S105" i="29"/>
  <c r="T105" i="29" s="1"/>
  <c r="AD105" i="29" s="1"/>
  <c r="S151" i="29"/>
  <c r="T151" i="29" s="1"/>
  <c r="AD151" i="29" s="1"/>
  <c r="AC151" i="29" s="1"/>
  <c r="S149" i="29"/>
  <c r="T149" i="29" s="1"/>
  <c r="AD149" i="29" s="1"/>
  <c r="AC149" i="29" s="1"/>
  <c r="S30" i="29"/>
  <c r="T30" i="29" s="1"/>
  <c r="AD30" i="29" s="1"/>
  <c r="AC30" i="29" s="1"/>
  <c r="S27" i="29"/>
  <c r="T27" i="29" s="1"/>
  <c r="AD27" i="29" s="1"/>
  <c r="AC27" i="29" s="1"/>
  <c r="K107" i="18"/>
  <c r="J107" i="18" s="1"/>
  <c r="K105" i="18"/>
  <c r="J105" i="18" s="1"/>
  <c r="J108" i="17"/>
  <c r="K112" i="18"/>
  <c r="J112" i="18" s="1"/>
  <c r="J105" i="17"/>
  <c r="G10" i="18"/>
  <c r="AY1605" i="16"/>
  <c r="S60" i="28"/>
  <c r="O60" i="28" s="1"/>
  <c r="AO60" i="28" s="1"/>
  <c r="S58" i="28"/>
  <c r="R58" i="28" s="1"/>
  <c r="AE58" i="28" s="1"/>
  <c r="AY1900" i="16"/>
  <c r="AY1639" i="16"/>
  <c r="AY933" i="16"/>
  <c r="S896" i="16" s="1"/>
  <c r="AY1645" i="16"/>
  <c r="K110" i="18"/>
  <c r="J110" i="18" s="1"/>
  <c r="K111" i="18"/>
  <c r="J111" i="18" s="1"/>
  <c r="L107" i="18"/>
  <c r="L114" i="18"/>
  <c r="K114" i="18"/>
  <c r="J114" i="18" s="1"/>
  <c r="K106" i="18"/>
  <c r="J106" i="18" s="1"/>
  <c r="N2184" i="16"/>
  <c r="G2185" i="16" s="1"/>
  <c r="AC73" i="28"/>
  <c r="R53" i="28"/>
  <c r="AE53" i="28" s="1"/>
  <c r="N1941" i="16"/>
  <c r="AE43" i="28"/>
  <c r="AC43" i="28" s="1"/>
  <c r="AE339" i="28"/>
  <c r="AC339" i="28" s="1"/>
  <c r="S93" i="8"/>
  <c r="O93" i="8" s="1"/>
  <c r="I91" i="66" s="1"/>
  <c r="C91" i="66" s="1"/>
  <c r="AY319" i="16"/>
  <c r="AY336" i="16"/>
  <c r="AY37" i="16"/>
  <c r="BF15" i="82"/>
  <c r="BI15" i="82"/>
  <c r="BE15" i="28"/>
  <c r="AY355" i="16"/>
  <c r="AY311" i="16"/>
  <c r="AY36" i="16"/>
  <c r="S111" i="24"/>
  <c r="T111" i="24" s="1"/>
  <c r="AD111" i="24" s="1"/>
  <c r="BF16" i="24"/>
  <c r="BE16" i="24"/>
  <c r="BE15" i="29"/>
  <c r="BE15" i="8"/>
  <c r="X5" i="16"/>
  <c r="AY349" i="16"/>
  <c r="AY337" i="16"/>
  <c r="AY310" i="16"/>
  <c r="AY63" i="16"/>
  <c r="AY358" i="16"/>
  <c r="AY352" i="16"/>
  <c r="AY1883" i="16"/>
  <c r="AY11" i="16"/>
  <c r="C14" i="17"/>
  <c r="AY2294" i="16"/>
  <c r="AY345" i="16"/>
  <c r="AY920" i="16"/>
  <c r="AY344" i="16"/>
  <c r="BG15" i="8"/>
  <c r="BG15" i="82"/>
  <c r="AY47" i="16"/>
  <c r="AY346" i="16"/>
  <c r="O15" i="7"/>
  <c r="AY35" i="16"/>
  <c r="AY335" i="16"/>
  <c r="S98" i="24"/>
  <c r="T98" i="24" s="1"/>
  <c r="AD98" i="24" s="1"/>
  <c r="AY2291" i="16"/>
  <c r="AY342" i="16"/>
  <c r="BE15" i="82"/>
  <c r="AY916" i="16"/>
  <c r="AY340" i="16"/>
  <c r="AY1859" i="16"/>
  <c r="AY334" i="16"/>
  <c r="AY2296" i="16"/>
  <c r="AY347" i="16"/>
  <c r="Q15" i="7"/>
  <c r="AY40" i="16"/>
  <c r="AY339" i="16"/>
  <c r="S85" i="24"/>
  <c r="T85" i="24" s="1"/>
  <c r="S122" i="24"/>
  <c r="T122" i="24" s="1"/>
  <c r="AD122" i="24" s="1"/>
  <c r="AC122" i="24" s="1"/>
  <c r="P15" i="7"/>
  <c r="BH15" i="82"/>
  <c r="BE15" i="25"/>
  <c r="AY348" i="16"/>
  <c r="AY917" i="16"/>
  <c r="AY341" i="16"/>
  <c r="AY2259" i="16"/>
  <c r="AY1887" i="16"/>
  <c r="AY338" i="16"/>
  <c r="N63" i="16"/>
  <c r="N68" i="16"/>
  <c r="G69" i="16" s="1"/>
  <c r="N204" i="16"/>
  <c r="G205" i="16" s="1"/>
  <c r="N92" i="16"/>
  <c r="N15" i="16"/>
  <c r="G16" i="16" s="1"/>
  <c r="N71" i="16"/>
  <c r="G72" i="16" s="1"/>
  <c r="N209" i="16"/>
  <c r="G210" i="16" s="1"/>
  <c r="N173" i="16"/>
  <c r="N219" i="16"/>
  <c r="G220" i="16" s="1"/>
  <c r="G221" i="16" s="1"/>
  <c r="G222" i="16" s="1"/>
  <c r="G223" i="16" s="1"/>
  <c r="G224" i="16" s="1"/>
  <c r="G225" i="16" s="1"/>
  <c r="G226" i="16" s="1"/>
  <c r="N218" i="16"/>
  <c r="N182" i="16"/>
  <c r="N96" i="16"/>
  <c r="G97" i="16" s="1"/>
  <c r="N73" i="16"/>
  <c r="G74" i="16" s="1"/>
  <c r="N215" i="16"/>
  <c r="G216" i="16" s="1"/>
  <c r="G217" i="16" s="1"/>
  <c r="N51" i="16"/>
  <c r="G52" i="16" s="1"/>
  <c r="G53" i="16" s="1"/>
  <c r="G54" i="16" s="1"/>
  <c r="N211" i="16"/>
  <c r="G212" i="16" s="1"/>
  <c r="G213" i="16" s="1"/>
  <c r="G214" i="16" s="1"/>
  <c r="N196" i="16"/>
  <c r="N233" i="16"/>
  <c r="G234" i="16" s="1"/>
  <c r="N17" i="16"/>
  <c r="N34" i="16"/>
  <c r="G35" i="16" s="1"/>
  <c r="G36" i="16" s="1"/>
  <c r="N184" i="16"/>
  <c r="G185" i="16" s="1"/>
  <c r="N104" i="16"/>
  <c r="N206" i="16"/>
  <c r="N197" i="16"/>
  <c r="G198" i="16" s="1"/>
  <c r="G194" i="16" s="1"/>
  <c r="N241" i="16"/>
  <c r="G242" i="16" s="1"/>
  <c r="N199" i="16"/>
  <c r="G200" i="16" s="1"/>
  <c r="N19" i="16"/>
  <c r="G20" i="16" s="1"/>
  <c r="G21" i="16" s="1"/>
  <c r="G22" i="16" s="1"/>
  <c r="G23" i="16" s="1"/>
  <c r="G24" i="16" s="1"/>
  <c r="G25" i="16" s="1"/>
  <c r="G26" i="16" s="1"/>
  <c r="G27" i="16" s="1"/>
  <c r="G28" i="16" s="1"/>
  <c r="N251" i="16"/>
  <c r="G252" i="16" s="1"/>
  <c r="G253" i="16" s="1"/>
  <c r="N70" i="16"/>
  <c r="N207" i="16"/>
  <c r="G208" i="16" s="1"/>
  <c r="N112" i="16"/>
  <c r="G113" i="16" s="1"/>
  <c r="AY2272" i="16"/>
  <c r="AY323" i="16"/>
  <c r="S362" i="16" s="1"/>
  <c r="N1406" i="16"/>
  <c r="N2238" i="16"/>
  <c r="N169" i="16"/>
  <c r="G170" i="16" s="1"/>
  <c r="S185" i="29"/>
  <c r="T185" i="29" s="1"/>
  <c r="AD185" i="29" s="1"/>
  <c r="AC185" i="29" s="1"/>
  <c r="S173" i="29"/>
  <c r="T173" i="29" s="1"/>
  <c r="AD173" i="29" s="1"/>
  <c r="AC173" i="29" s="1"/>
  <c r="S170" i="29"/>
  <c r="S189" i="29"/>
  <c r="T189" i="29" s="1"/>
  <c r="AD189" i="29" s="1"/>
  <c r="AC189" i="29" s="1"/>
  <c r="S176" i="29"/>
  <c r="T176" i="29" s="1"/>
  <c r="AD176" i="29" s="1"/>
  <c r="AC176" i="29" s="1"/>
  <c r="S174" i="29"/>
  <c r="T174" i="29" s="1"/>
  <c r="AD174" i="29" s="1"/>
  <c r="AC174" i="29" s="1"/>
  <c r="S184" i="29"/>
  <c r="T184" i="29" s="1"/>
  <c r="AD184" i="29" s="1"/>
  <c r="AC184" i="29" s="1"/>
  <c r="S171" i="29"/>
  <c r="S183" i="29"/>
  <c r="T183" i="29" s="1"/>
  <c r="AD183" i="29" s="1"/>
  <c r="AC183" i="29" s="1"/>
  <c r="S175" i="29"/>
  <c r="T175" i="29" s="1"/>
  <c r="AD175" i="29" s="1"/>
  <c r="AC175" i="29" s="1"/>
  <c r="S178" i="29"/>
  <c r="T178" i="29" s="1"/>
  <c r="AD178" i="29" s="1"/>
  <c r="AC178" i="29" s="1"/>
  <c r="S169" i="29"/>
  <c r="S177" i="29"/>
  <c r="T177" i="29" s="1"/>
  <c r="AD177" i="29" s="1"/>
  <c r="AC177" i="29" s="1"/>
  <c r="S188" i="29"/>
  <c r="T188" i="29" s="1"/>
  <c r="AD188" i="29" s="1"/>
  <c r="AC188" i="29" s="1"/>
  <c r="S187" i="29"/>
  <c r="T187" i="29" s="1"/>
  <c r="AD187" i="29" s="1"/>
  <c r="AC187" i="29" s="1"/>
  <c r="S186" i="29"/>
  <c r="T186" i="29" s="1"/>
  <c r="AD186" i="29" s="1"/>
  <c r="AC186" i="29" s="1"/>
  <c r="S58" i="29"/>
  <c r="T58" i="29" s="1"/>
  <c r="AD58" i="29" s="1"/>
  <c r="AC58" i="29" s="1"/>
  <c r="S152" i="29"/>
  <c r="T152" i="29" s="1"/>
  <c r="AD152" i="29" s="1"/>
  <c r="AC152" i="29" s="1"/>
  <c r="FG4" i="2"/>
  <c r="AC118" i="28"/>
  <c r="M48" i="28"/>
  <c r="AM48" i="28" s="1"/>
  <c r="N254" i="16"/>
  <c r="N122" i="16"/>
  <c r="N115" i="16"/>
  <c r="G115" i="16" s="1"/>
  <c r="AD90" i="16"/>
  <c r="AC90" i="16" s="1"/>
  <c r="I5" i="82"/>
  <c r="T313" i="25"/>
  <c r="T248" i="25"/>
  <c r="S384" i="25"/>
  <c r="S411" i="25"/>
  <c r="S590" i="25"/>
  <c r="S321" i="25"/>
  <c r="O678" i="25"/>
  <c r="T678" i="25"/>
  <c r="AD678" i="25" s="1"/>
  <c r="AC678" i="25" s="1"/>
  <c r="O612" i="25"/>
  <c r="T612" i="25"/>
  <c r="AD612" i="25" s="1"/>
  <c r="AC612" i="25" s="1"/>
  <c r="T608" i="25"/>
  <c r="AD608" i="25" s="1"/>
  <c r="AC608" i="25" s="1"/>
  <c r="O608" i="25"/>
  <c r="T517" i="25"/>
  <c r="AD517" i="25" s="1"/>
  <c r="AC517" i="25" s="1"/>
  <c r="T513" i="25"/>
  <c r="AD513" i="25" s="1"/>
  <c r="AC513" i="25" s="1"/>
  <c r="T186" i="25"/>
  <c r="AD186" i="25" s="1"/>
  <c r="AC186" i="25" s="1"/>
  <c r="S44" i="29"/>
  <c r="T44" i="29" s="1"/>
  <c r="AD44" i="29" s="1"/>
  <c r="AC44" i="29" s="1"/>
  <c r="S95" i="29"/>
  <c r="T95" i="29" s="1"/>
  <c r="AD95" i="29" s="1"/>
  <c r="AC95" i="29" s="1"/>
  <c r="S47" i="29"/>
  <c r="T47" i="29" s="1"/>
  <c r="AD47" i="29" s="1"/>
  <c r="AC47" i="29" s="1"/>
  <c r="S146" i="29"/>
  <c r="T146" i="29" s="1"/>
  <c r="AD146" i="29" s="1"/>
  <c r="AC146" i="29" s="1"/>
  <c r="S17" i="29"/>
  <c r="T17" i="29" s="1"/>
  <c r="AD17" i="29" s="1"/>
  <c r="S148" i="29"/>
  <c r="T148" i="29" s="1"/>
  <c r="AD148" i="29" s="1"/>
  <c r="AC148" i="29" s="1"/>
  <c r="S116" i="29"/>
  <c r="T116" i="29" s="1"/>
  <c r="AD116" i="29" s="1"/>
  <c r="AC116" i="29" s="1"/>
  <c r="S87" i="29"/>
  <c r="R87" i="29" s="1"/>
  <c r="M87" i="29" s="1"/>
  <c r="AM87" i="29" s="1"/>
  <c r="S25" i="29"/>
  <c r="T25" i="29" s="1"/>
  <c r="AD25" i="29" s="1"/>
  <c r="AC25" i="29" s="1"/>
  <c r="S32" i="29"/>
  <c r="T32" i="29" s="1"/>
  <c r="AD32" i="29" s="1"/>
  <c r="AC32" i="29" s="1"/>
  <c r="S143" i="29"/>
  <c r="T143" i="29" s="1"/>
  <c r="AD143" i="29" s="1"/>
  <c r="AC143" i="29" s="1"/>
  <c r="S22" i="29"/>
  <c r="T22" i="29" s="1"/>
  <c r="AD22" i="29" s="1"/>
  <c r="AC22" i="29" s="1"/>
  <c r="S97" i="29"/>
  <c r="T97" i="29" s="1"/>
  <c r="AD97" i="29" s="1"/>
  <c r="AC97" i="29" s="1"/>
  <c r="S92" i="29"/>
  <c r="T92" i="29" s="1"/>
  <c r="AD92" i="29" s="1"/>
  <c r="AC92" i="29" s="1"/>
  <c r="S154" i="29"/>
  <c r="S16" i="29"/>
  <c r="T16" i="29" s="1"/>
  <c r="AD16" i="29" s="1"/>
  <c r="S93" i="29"/>
  <c r="T93" i="29" s="1"/>
  <c r="AD93" i="29" s="1"/>
  <c r="AC93" i="29" s="1"/>
  <c r="S21" i="29"/>
  <c r="T21" i="29" s="1"/>
  <c r="AD21" i="29" s="1"/>
  <c r="AC21" i="29" s="1"/>
  <c r="S46" i="29"/>
  <c r="T46" i="29" s="1"/>
  <c r="AD46" i="29" s="1"/>
  <c r="AC46" i="29" s="1"/>
  <c r="S31" i="29"/>
  <c r="T31" i="29" s="1"/>
  <c r="AD31" i="29" s="1"/>
  <c r="AC31" i="29" s="1"/>
  <c r="S110" i="29"/>
  <c r="T110" i="29" s="1"/>
  <c r="AD110" i="29" s="1"/>
  <c r="AC110" i="29" s="1"/>
  <c r="S121" i="29"/>
  <c r="T121" i="29" s="1"/>
  <c r="AD121" i="29" s="1"/>
  <c r="AC121" i="29" s="1"/>
  <c r="S23" i="29"/>
  <c r="T23" i="29" s="1"/>
  <c r="AD23" i="29" s="1"/>
  <c r="AC23" i="29" s="1"/>
  <c r="N343" i="16"/>
  <c r="N676" i="16"/>
  <c r="G677" i="16" s="1"/>
  <c r="G678" i="16" s="1"/>
  <c r="AE240" i="24"/>
  <c r="AC240" i="24" s="1"/>
  <c r="T303" i="8"/>
  <c r="AD303" i="8" s="1"/>
  <c r="AC303" i="8" s="1"/>
  <c r="T301" i="8"/>
  <c r="AD301" i="8" s="1"/>
  <c r="AC301" i="8" s="1"/>
  <c r="T299" i="8"/>
  <c r="AD299" i="8" s="1"/>
  <c r="AC299" i="8" s="1"/>
  <c r="T294" i="8"/>
  <c r="AD294" i="8" s="1"/>
  <c r="AC294" i="8" s="1"/>
  <c r="T293" i="8"/>
  <c r="AD293" i="8" s="1"/>
  <c r="AC293" i="8" s="1"/>
  <c r="T290" i="8"/>
  <c r="AD290" i="8" s="1"/>
  <c r="AC290" i="8" s="1"/>
  <c r="T283" i="8"/>
  <c r="AD283" i="8" s="1"/>
  <c r="AC283" i="8" s="1"/>
  <c r="T271" i="8"/>
  <c r="AD271" i="8" s="1"/>
  <c r="AC271" i="8" s="1"/>
  <c r="T270" i="8"/>
  <c r="AD270" i="8" s="1"/>
  <c r="AC270" i="8" s="1"/>
  <c r="T267" i="8"/>
  <c r="AD267" i="8" s="1"/>
  <c r="AC267" i="8" s="1"/>
  <c r="T265" i="8"/>
  <c r="AD265" i="8" s="1"/>
  <c r="AC265" i="8" s="1"/>
  <c r="O271" i="8"/>
  <c r="O270" i="8"/>
  <c r="O267" i="8"/>
  <c r="O265" i="8"/>
  <c r="O283" i="8"/>
  <c r="O294" i="8"/>
  <c r="O293" i="8"/>
  <c r="O290" i="8"/>
  <c r="O303" i="8"/>
  <c r="O301" i="8"/>
  <c r="O299" i="8"/>
  <c r="S84" i="8"/>
  <c r="T84" i="8" s="1"/>
  <c r="AD84" i="8" s="1"/>
  <c r="AC84" i="8" s="1"/>
  <c r="T83" i="8"/>
  <c r="AD83" i="8" s="1"/>
  <c r="AC83" i="8" s="1"/>
  <c r="S86" i="8"/>
  <c r="T86" i="8" s="1"/>
  <c r="AD86" i="8" s="1"/>
  <c r="AC86" i="8" s="1"/>
  <c r="S91" i="8"/>
  <c r="T91" i="8" s="1"/>
  <c r="AD91" i="8" s="1"/>
  <c r="AC91" i="8" s="1"/>
  <c r="O150" i="8"/>
  <c r="AO150" i="8" s="1"/>
  <c r="O168" i="8"/>
  <c r="I166" i="66" s="1"/>
  <c r="AJ4" i="2"/>
  <c r="O128" i="8"/>
  <c r="AO128" i="8" s="1"/>
  <c r="AI4" i="2"/>
  <c r="O65" i="8"/>
  <c r="I63" i="66" s="1"/>
  <c r="O172" i="8"/>
  <c r="I170" i="66" s="1"/>
  <c r="AY57" i="16"/>
  <c r="AY60" i="16"/>
  <c r="S190" i="8"/>
  <c r="O190" i="8" s="1"/>
  <c r="AY29" i="16"/>
  <c r="FJ4" i="2"/>
  <c r="AC117" i="28"/>
  <c r="L113" i="18"/>
  <c r="AY49" i="16"/>
  <c r="BG16" i="24"/>
  <c r="BG15" i="28"/>
  <c r="BG15" i="25"/>
  <c r="AC68" i="28"/>
  <c r="J106" i="17"/>
  <c r="AY2267" i="16"/>
  <c r="AY41" i="16"/>
  <c r="AY359" i="16"/>
  <c r="AY2261" i="16"/>
  <c r="BE314" i="16"/>
  <c r="M29" i="28"/>
  <c r="AM29" i="28" s="1"/>
  <c r="AY59" i="16"/>
  <c r="K109" i="18"/>
  <c r="J109" i="18" s="1"/>
  <c r="K108" i="18"/>
  <c r="J108" i="18" s="1"/>
  <c r="AY46" i="16"/>
  <c r="FI4" i="2"/>
  <c r="FB4" i="2"/>
  <c r="T53" i="28"/>
  <c r="AD53" i="28" s="1"/>
  <c r="O68" i="28"/>
  <c r="AE97" i="28"/>
  <c r="AC97" i="28" s="1"/>
  <c r="M173" i="24"/>
  <c r="AE173" i="24"/>
  <c r="AC173" i="24" s="1"/>
  <c r="AY52" i="16"/>
  <c r="J110" i="17"/>
  <c r="N1968" i="16"/>
  <c r="G1969" i="16" s="1"/>
  <c r="G1970" i="16" s="1"/>
  <c r="G1971" i="16" s="1"/>
  <c r="G1972" i="16" s="1"/>
  <c r="G1973" i="16" s="1"/>
  <c r="T93" i="8"/>
  <c r="AD93" i="8" s="1"/>
  <c r="AC93" i="8" s="1"/>
  <c r="M185" i="24"/>
  <c r="AE185" i="24"/>
  <c r="AC185" i="24" s="1"/>
  <c r="AY62" i="16"/>
  <c r="AE51" i="28"/>
  <c r="AC51" i="28" s="1"/>
  <c r="BF314" i="16"/>
  <c r="AY53" i="16"/>
  <c r="T165" i="8"/>
  <c r="AD165" i="8" s="1"/>
  <c r="AC165" i="8" s="1"/>
  <c r="AY351" i="16"/>
  <c r="AY1860" i="16"/>
  <c r="AY1867" i="16"/>
  <c r="AY13" i="16"/>
  <c r="J111" i="17"/>
  <c r="K113" i="18"/>
  <c r="J113" i="18" s="1"/>
  <c r="AC673" i="16"/>
  <c r="AC135" i="28"/>
  <c r="BH314" i="16"/>
  <c r="BH896" i="16"/>
  <c r="BE896" i="16"/>
  <c r="BF896" i="16"/>
  <c r="AY2264" i="16"/>
  <c r="AY362" i="16"/>
  <c r="AY38" i="16"/>
  <c r="C10" i="17"/>
  <c r="BG896" i="16"/>
  <c r="AY309" i="16"/>
  <c r="BG314" i="16"/>
  <c r="AY10" i="16"/>
  <c r="BF1862" i="16"/>
  <c r="BH2262" i="16"/>
  <c r="BE1862" i="16"/>
  <c r="AY914" i="16"/>
  <c r="BG2262" i="16"/>
  <c r="AY58" i="16"/>
  <c r="AY357" i="16"/>
  <c r="BF2262" i="16"/>
  <c r="BE2262" i="16"/>
  <c r="AY922" i="16"/>
  <c r="BH1862" i="16"/>
  <c r="BG1862" i="16"/>
  <c r="AY1906" i="16"/>
  <c r="AY1896" i="16"/>
  <c r="AY1877" i="16"/>
  <c r="AY2310" i="16"/>
  <c r="AY2300" i="16"/>
  <c r="AY2285" i="16"/>
  <c r="AY923" i="16"/>
  <c r="AY904" i="16"/>
  <c r="BI15" i="8"/>
  <c r="BH16" i="24"/>
  <c r="BF15" i="29"/>
  <c r="BF15" i="28"/>
  <c r="C14" i="18"/>
  <c r="AY56" i="16"/>
  <c r="AY1894" i="16"/>
  <c r="AY1868" i="16"/>
  <c r="AY2308" i="16"/>
  <c r="AY2299" i="16"/>
  <c r="AY2284" i="16"/>
  <c r="AY932" i="16"/>
  <c r="S1060" i="16" s="1"/>
  <c r="T1060" i="16" s="1"/>
  <c r="AD1060" i="16" s="1"/>
  <c r="AC1060" i="16" s="1"/>
  <c r="AY888" i="16"/>
  <c r="BI15" i="25"/>
  <c r="AY48" i="16"/>
  <c r="AY2260" i="16"/>
  <c r="AY1905" i="16"/>
  <c r="AY1890" i="16"/>
  <c r="AY2307" i="16"/>
  <c r="AY2298" i="16"/>
  <c r="AY931" i="16"/>
  <c r="AY913" i="16"/>
  <c r="BI15" i="28"/>
  <c r="BF15" i="25"/>
  <c r="BH15" i="25"/>
  <c r="BH15" i="29"/>
  <c r="AY885" i="16"/>
  <c r="AY1904" i="16"/>
  <c r="AY1886" i="16"/>
  <c r="AY1864" i="16"/>
  <c r="AY2306" i="16"/>
  <c r="AY2297" i="16"/>
  <c r="AY938" i="16"/>
  <c r="AY928" i="16"/>
  <c r="AY921" i="16"/>
  <c r="AY912" i="16"/>
  <c r="AY895" i="16"/>
  <c r="AY887" i="16"/>
  <c r="BI15" i="29"/>
  <c r="AY1858" i="16"/>
  <c r="AY1911" i="16"/>
  <c r="AY1901" i="16"/>
  <c r="AY937" i="16"/>
  <c r="AY927" i="16"/>
  <c r="AY911" i="16"/>
  <c r="N15" i="7"/>
  <c r="BH15" i="28"/>
  <c r="AY356" i="16"/>
  <c r="BG15" i="29"/>
  <c r="AY1910" i="16"/>
  <c r="AY935" i="16"/>
  <c r="BH15" i="8"/>
  <c r="G16" i="17"/>
  <c r="AY2277" i="16"/>
  <c r="AY1898" i="16"/>
  <c r="AY2290" i="16"/>
  <c r="AY934" i="16"/>
  <c r="AY328" i="16"/>
  <c r="BF15" i="8"/>
  <c r="AY1897" i="16"/>
  <c r="AY891" i="16"/>
  <c r="BI16" i="24"/>
  <c r="AY926" i="16"/>
  <c r="AY915" i="16"/>
  <c r="AY2283" i="16"/>
  <c r="BD16" i="29"/>
  <c r="N2232" i="16"/>
  <c r="G2233" i="16" s="1"/>
  <c r="N2227" i="16"/>
  <c r="G2228" i="16" s="1"/>
  <c r="G2229" i="16" s="1"/>
  <c r="G2230" i="16" s="1"/>
  <c r="G2231" i="16" s="1"/>
  <c r="AC143" i="28"/>
  <c r="AY2293" i="16"/>
  <c r="AY2289" i="16"/>
  <c r="AY1889" i="16"/>
  <c r="AC636" i="16"/>
  <c r="I5" i="29"/>
  <c r="T138" i="28"/>
  <c r="AD138" i="28" s="1"/>
  <c r="AC138" i="28" s="1"/>
  <c r="T133" i="28"/>
  <c r="AD133" i="28" s="1"/>
  <c r="AC133" i="28" s="1"/>
  <c r="N2064" i="16"/>
  <c r="G2065" i="16" s="1"/>
  <c r="G2066" i="16" s="1"/>
  <c r="G2067" i="16" s="1"/>
  <c r="G2068" i="16" s="1"/>
  <c r="G2069" i="16" s="1"/>
  <c r="G2070" i="16" s="1"/>
  <c r="G2071" i="16" s="1"/>
  <c r="G2072" i="16" s="1"/>
  <c r="AY1893" i="16"/>
  <c r="AY1899" i="16"/>
  <c r="AY43" i="16"/>
  <c r="AY1888" i="16"/>
  <c r="AY2287" i="16"/>
  <c r="AY18" i="16"/>
  <c r="N2044" i="16"/>
  <c r="T197" i="28"/>
  <c r="AD197" i="28" s="1"/>
  <c r="AC197" i="28" s="1"/>
  <c r="O34" i="28"/>
  <c r="AY51" i="16"/>
  <c r="AY1895" i="16"/>
  <c r="AY2295" i="16"/>
  <c r="AY918" i="16"/>
  <c r="S1189" i="16" s="1"/>
  <c r="S246" i="28"/>
  <c r="T246" i="28" s="1"/>
  <c r="AD246" i="28" s="1"/>
  <c r="AC246" i="28" s="1"/>
  <c r="AY1891" i="16"/>
  <c r="AY2288" i="16"/>
  <c r="S243" i="28"/>
  <c r="O243" i="28" s="1"/>
  <c r="AO243" i="28" s="1"/>
  <c r="AY1881" i="16"/>
  <c r="AY332" i="16"/>
  <c r="AZ332" i="16" s="1"/>
  <c r="AY33" i="16"/>
  <c r="AZ33" i="16" s="1"/>
  <c r="AY2281" i="16"/>
  <c r="AY1872" i="16"/>
  <c r="AY899" i="16"/>
  <c r="AY23" i="16"/>
  <c r="G14" i="17"/>
  <c r="AY322" i="16"/>
  <c r="G14" i="18"/>
  <c r="BD16" i="25"/>
  <c r="BD16" i="28"/>
  <c r="M15" i="7"/>
  <c r="BD17" i="24"/>
  <c r="AY24" i="16"/>
  <c r="O2206" i="16"/>
  <c r="AE532" i="16"/>
  <c r="AF532" i="16" s="1"/>
  <c r="AC136" i="28"/>
  <c r="O143" i="28"/>
  <c r="N1985" i="16"/>
  <c r="S23" i="28"/>
  <c r="S130" i="29"/>
  <c r="T130" i="29" s="1"/>
  <c r="AD130" i="29" s="1"/>
  <c r="S61" i="29"/>
  <c r="T61" i="29" s="1"/>
  <c r="AD61" i="29" s="1"/>
  <c r="AC61" i="29" s="1"/>
  <c r="S60" i="29"/>
  <c r="T60" i="29" s="1"/>
  <c r="AD60" i="29" s="1"/>
  <c r="AC60" i="29" s="1"/>
  <c r="AY313" i="16"/>
  <c r="AY889" i="16"/>
  <c r="U15" i="23"/>
  <c r="BD1602" i="16" s="1"/>
  <c r="AY314" i="16"/>
  <c r="AY1863" i="16"/>
  <c r="AY890" i="16"/>
  <c r="AY2263" i="16"/>
  <c r="AY2262" i="16"/>
  <c r="AY1862" i="16"/>
  <c r="T15" i="23"/>
  <c r="BC1602" i="16" s="1"/>
  <c r="E105" i="17"/>
  <c r="AE483" i="16"/>
  <c r="AF483" i="16" s="1"/>
  <c r="AC811" i="16"/>
  <c r="N460" i="16"/>
  <c r="N584" i="16"/>
  <c r="G585" i="16" s="1"/>
  <c r="G586" i="16" s="1"/>
  <c r="AE460" i="16"/>
  <c r="AF460" i="16" s="1"/>
  <c r="AD82" i="16"/>
  <c r="AC82" i="16" s="1"/>
  <c r="O1985" i="16"/>
  <c r="O2044" i="16"/>
  <c r="M2024" i="16"/>
  <c r="N346" i="16"/>
  <c r="T550" i="24"/>
  <c r="AD550" i="24" s="1"/>
  <c r="AC550" i="24" s="1"/>
  <c r="N688" i="16"/>
  <c r="G689" i="16" s="1"/>
  <c r="N601" i="16"/>
  <c r="G602" i="16" s="1"/>
  <c r="G603" i="16" s="1"/>
  <c r="G604" i="16" s="1"/>
  <c r="G605" i="16" s="1"/>
  <c r="G606" i="16" s="1"/>
  <c r="G607" i="16" s="1"/>
  <c r="G608" i="16" s="1"/>
  <c r="G609" i="16" s="1"/>
  <c r="G610" i="16" s="1"/>
  <c r="G611" i="16" s="1"/>
  <c r="G612" i="16" s="1"/>
  <c r="G613" i="16" s="1"/>
  <c r="G614" i="16" s="1"/>
  <c r="G615" i="16" s="1"/>
  <c r="N458" i="16"/>
  <c r="AE234" i="24"/>
  <c r="AC234" i="24" s="1"/>
  <c r="AE227" i="24"/>
  <c r="AC227" i="24" s="1"/>
  <c r="N794" i="16"/>
  <c r="G795" i="16" s="1"/>
  <c r="G796" i="16" s="1"/>
  <c r="G797" i="16" s="1"/>
  <c r="G798" i="16" s="1"/>
  <c r="G799" i="16" s="1"/>
  <c r="G800" i="16" s="1"/>
  <c r="G801" i="16" s="1"/>
  <c r="G802" i="16" s="1"/>
  <c r="G803" i="16" s="1"/>
  <c r="G804" i="16" s="1"/>
  <c r="N344" i="16"/>
  <c r="N495" i="16"/>
  <c r="N564" i="16"/>
  <c r="G564" i="16" s="1"/>
  <c r="N699" i="16"/>
  <c r="G700" i="16" s="1"/>
  <c r="N467" i="16"/>
  <c r="G468" i="16" s="1"/>
  <c r="G469" i="16" s="1"/>
  <c r="G470" i="16" s="1"/>
  <c r="N555" i="16"/>
  <c r="G556" i="16" s="1"/>
  <c r="G557" i="16" s="1"/>
  <c r="N511" i="16"/>
  <c r="N566" i="16"/>
  <c r="N333" i="16"/>
  <c r="G334" i="16" s="1"/>
  <c r="G335" i="16" s="1"/>
  <c r="N356" i="16"/>
  <c r="N342" i="16"/>
  <c r="N465" i="16"/>
  <c r="G466" i="16" s="1"/>
  <c r="N538" i="16"/>
  <c r="N693" i="16"/>
  <c r="G694" i="16" s="1"/>
  <c r="G695" i="16" s="1"/>
  <c r="G696" i="16" s="1"/>
  <c r="G697" i="16" s="1"/>
  <c r="G698" i="16" s="1"/>
  <c r="N336" i="16"/>
  <c r="O444" i="24"/>
  <c r="N358" i="16"/>
  <c r="G358" i="16" s="1"/>
  <c r="S359" i="28"/>
  <c r="T359" i="28" s="1"/>
  <c r="AD359" i="28" s="1"/>
  <c r="AC359" i="28" s="1"/>
  <c r="N498" i="16"/>
  <c r="G498" i="16" s="1"/>
  <c r="O435" i="24"/>
  <c r="N345" i="16"/>
  <c r="N825" i="16"/>
  <c r="G826" i="16" s="1"/>
  <c r="G827" i="16" s="1"/>
  <c r="G828" i="16" s="1"/>
  <c r="G829" i="16" s="1"/>
  <c r="O451" i="24"/>
  <c r="AC472" i="24"/>
  <c r="AC478" i="24"/>
  <c r="AC162" i="24"/>
  <c r="N509" i="16"/>
  <c r="G510" i="16" s="1"/>
  <c r="AC459" i="24"/>
  <c r="N616" i="16"/>
  <c r="G617" i="16" s="1"/>
  <c r="G618" i="16" s="1"/>
  <c r="G619" i="16" s="1"/>
  <c r="G620" i="16" s="1"/>
  <c r="G621" i="16" s="1"/>
  <c r="G622" i="16" s="1"/>
  <c r="G623" i="16" s="1"/>
  <c r="G624" i="16" s="1"/>
  <c r="N625" i="16"/>
  <c r="G626" i="16" s="1"/>
  <c r="G627" i="16" s="1"/>
  <c r="G628" i="16" s="1"/>
  <c r="G629" i="16" s="1"/>
  <c r="G630" i="16" s="1"/>
  <c r="G631" i="16" s="1"/>
  <c r="G632" i="16" s="1"/>
  <c r="G633" i="16" s="1"/>
  <c r="G634" i="16" s="1"/>
  <c r="G635" i="16" s="1"/>
  <c r="G636" i="16" s="1"/>
  <c r="G637" i="16" s="1"/>
  <c r="G638" i="16" s="1"/>
  <c r="M162" i="24"/>
  <c r="N673" i="16"/>
  <c r="G674" i="16" s="1"/>
  <c r="M23" i="24"/>
  <c r="AM23" i="24" s="1"/>
  <c r="M25" i="24"/>
  <c r="AC48" i="28"/>
  <c r="N1900" i="16"/>
  <c r="N1898" i="16"/>
  <c r="N1893" i="16"/>
  <c r="N1890" i="16"/>
  <c r="N1902" i="16"/>
  <c r="G1902" i="16" s="1"/>
  <c r="AY1870" i="16"/>
  <c r="B4" i="3"/>
  <c r="AY321" i="16"/>
  <c r="AY22" i="16"/>
  <c r="A26" i="3"/>
  <c r="C26" i="3" s="1"/>
  <c r="N330" i="16"/>
  <c r="G331" i="16" s="1"/>
  <c r="AG3" i="8"/>
  <c r="AY2271" i="16"/>
  <c r="N347" i="16"/>
  <c r="G348" i="16" s="1"/>
  <c r="G349" i="16" s="1"/>
  <c r="AY898" i="16"/>
  <c r="W1408" i="16" s="1"/>
  <c r="O1406" i="16" s="1"/>
  <c r="AY2270" i="16"/>
  <c r="AY897" i="16"/>
  <c r="E25" i="3"/>
  <c r="D25" i="3"/>
  <c r="F25" i="3"/>
  <c r="C25" i="3"/>
  <c r="AY893" i="16"/>
  <c r="AY2266" i="16"/>
  <c r="G10" i="17"/>
  <c r="AY1866" i="16"/>
  <c r="AY317" i="16"/>
  <c r="N357" i="16"/>
  <c r="S84" i="29"/>
  <c r="O81" i="29" s="1"/>
  <c r="AO81" i="29" s="1"/>
  <c r="S15" i="29"/>
  <c r="O12" i="29" s="1"/>
  <c r="N312" i="16"/>
  <c r="AC484" i="24"/>
  <c r="AC490" i="24"/>
  <c r="AC466" i="24"/>
  <c r="N355" i="16"/>
  <c r="G355" i="16" s="1"/>
  <c r="G350" i="16" s="1"/>
  <c r="O67" i="8"/>
  <c r="AC677" i="16"/>
  <c r="T1890" i="16"/>
  <c r="AD1890" i="16" s="1"/>
  <c r="AD164" i="16"/>
  <c r="AC164" i="16" s="1"/>
  <c r="AC637" i="16"/>
  <c r="AC817" i="16"/>
  <c r="AD66" i="16"/>
  <c r="AC66" i="16" s="1"/>
  <c r="AC679" i="16"/>
  <c r="AD733" i="16"/>
  <c r="AC733" i="16" s="1"/>
  <c r="T1980" i="16"/>
  <c r="AD1980" i="16" s="1"/>
  <c r="AC1980" i="16" s="1"/>
  <c r="AE1895" i="16"/>
  <c r="M1895" i="16"/>
  <c r="O1990" i="16"/>
  <c r="O1895" i="16"/>
  <c r="AC1915" i="16"/>
  <c r="AC788" i="16"/>
  <c r="AD83" i="16"/>
  <c r="AC83" i="16" s="1"/>
  <c r="AE2046" i="16"/>
  <c r="T1895" i="16"/>
  <c r="AD1895" i="16" s="1"/>
  <c r="AC800" i="16"/>
  <c r="AC716" i="16"/>
  <c r="AC674" i="16"/>
  <c r="AC1982" i="16"/>
  <c r="AC1985" i="16"/>
  <c r="S2211" i="16"/>
  <c r="O1893" i="16"/>
  <c r="T1893" i="16"/>
  <c r="AD1893" i="16" s="1"/>
  <c r="AE2186" i="16"/>
  <c r="AF2186" i="16" s="1"/>
  <c r="AC676" i="16"/>
  <c r="AC649" i="16"/>
  <c r="T1898" i="16"/>
  <c r="AD1898" i="16" s="1"/>
  <c r="AC1902" i="16"/>
  <c r="AC1983" i="16"/>
  <c r="T2206" i="16"/>
  <c r="AD2206" i="16" s="1"/>
  <c r="AC2206" i="16" s="1"/>
  <c r="AC1964" i="16"/>
  <c r="R1898" i="16"/>
  <c r="AC702" i="16"/>
  <c r="AC782" i="16"/>
  <c r="O1915" i="16"/>
  <c r="AC1953" i="16"/>
  <c r="AC1965" i="16"/>
  <c r="M2077" i="16"/>
  <c r="AE2077" i="16"/>
  <c r="AC2024" i="16"/>
  <c r="AF525" i="16"/>
  <c r="AC525" i="16"/>
  <c r="AE1893" i="16"/>
  <c r="AE1944" i="16"/>
  <c r="G174" i="16"/>
  <c r="AE1920" i="16"/>
  <c r="AC2232" i="16"/>
  <c r="AC1990" i="16"/>
  <c r="AC19" i="16"/>
  <c r="AF538" i="16"/>
  <c r="AC538" i="16"/>
  <c r="M1876" i="16"/>
  <c r="R1890" i="16"/>
  <c r="AC471" i="16"/>
  <c r="AF471" i="16"/>
  <c r="AF595" i="16"/>
  <c r="T364" i="28"/>
  <c r="AD364" i="28" s="1"/>
  <c r="AC364" i="28" s="1"/>
  <c r="O364" i="28"/>
  <c r="AO364" i="28" s="1"/>
  <c r="S37" i="28"/>
  <c r="M1900" i="16"/>
  <c r="AE1900" i="16"/>
  <c r="AC559" i="16"/>
  <c r="AC714" i="16"/>
  <c r="AC2042" i="16"/>
  <c r="O1900" i="16"/>
  <c r="AC2044" i="16"/>
  <c r="AC1881" i="16"/>
  <c r="T1900" i="16"/>
  <c r="AD1900" i="16" s="1"/>
  <c r="M2042" i="16"/>
  <c r="S103" i="29"/>
  <c r="AE230" i="28"/>
  <c r="T131" i="24"/>
  <c r="AD131" i="24" s="1"/>
  <c r="AC131" i="24" s="1"/>
  <c r="O131" i="24"/>
  <c r="S108" i="24"/>
  <c r="S109" i="24"/>
  <c r="T109" i="24" s="1"/>
  <c r="AD109" i="24" s="1"/>
  <c r="AC109" i="24" s="1"/>
  <c r="S133" i="24"/>
  <c r="S124" i="24"/>
  <c r="AC1876" i="16"/>
  <c r="O1881" i="16"/>
  <c r="I5" i="24"/>
  <c r="I5" i="28"/>
  <c r="I5" i="25"/>
  <c r="I5" i="8"/>
  <c r="T62" i="25"/>
  <c r="AD62" i="25" s="1"/>
  <c r="AD437" i="16"/>
  <c r="AC437" i="16" s="1"/>
  <c r="S241" i="28"/>
  <c r="N2077" i="16"/>
  <c r="T155" i="24"/>
  <c r="AD155" i="24" s="1"/>
  <c r="AC155" i="24" s="1"/>
  <c r="O155" i="24"/>
  <c r="AD936" i="16"/>
  <c r="AC936" i="16" s="1"/>
  <c r="AD445" i="16"/>
  <c r="AC445" i="16" s="1"/>
  <c r="N512" i="16"/>
  <c r="N679" i="16"/>
  <c r="N817" i="16"/>
  <c r="O157" i="8"/>
  <c r="AO157" i="8" s="1"/>
  <c r="N702" i="16"/>
  <c r="T181" i="28"/>
  <c r="AD181" i="28" s="1"/>
  <c r="AC181" i="28" s="1"/>
  <c r="AD449" i="16"/>
  <c r="AC449" i="16" s="1"/>
  <c r="T139" i="24"/>
  <c r="AD139" i="24" s="1"/>
  <c r="O139" i="24"/>
  <c r="N2194" i="16"/>
  <c r="S2088" i="16"/>
  <c r="N1873" i="16"/>
  <c r="AD453" i="16"/>
  <c r="AC453" i="16" s="1"/>
  <c r="N2190" i="16"/>
  <c r="O343" i="24"/>
  <c r="W360" i="16"/>
  <c r="S270" i="16"/>
  <c r="M163" i="8"/>
  <c r="S471" i="24"/>
  <c r="S2032" i="16"/>
  <c r="O517" i="25"/>
  <c r="S1667" i="16"/>
  <c r="O137" i="8"/>
  <c r="S147" i="24"/>
  <c r="S318" i="25"/>
  <c r="S610" i="25"/>
  <c r="S34" i="25"/>
  <c r="S236" i="8"/>
  <c r="O590" i="25"/>
  <c r="S226" i="28"/>
  <c r="M153" i="8"/>
  <c r="M139" i="8"/>
  <c r="S38" i="25"/>
  <c r="S1552" i="16"/>
  <c r="S1482" i="16"/>
  <c r="O237" i="8"/>
  <c r="S2028" i="16"/>
  <c r="S269" i="16"/>
  <c r="S902" i="16"/>
  <c r="S1192" i="16"/>
  <c r="S282" i="16"/>
  <c r="S665" i="25"/>
  <c r="S1391" i="16"/>
  <c r="S522" i="25"/>
  <c r="R471" i="24"/>
  <c r="S62" i="28"/>
  <c r="S2034" i="16"/>
  <c r="O23" i="28"/>
  <c r="O69" i="28"/>
  <c r="S185" i="28"/>
  <c r="S1665" i="16"/>
  <c r="S300" i="16"/>
  <c r="S905" i="16"/>
  <c r="O205" i="24"/>
  <c r="S266" i="16"/>
  <c r="S908" i="16"/>
  <c r="S235" i="16"/>
  <c r="S1387" i="16"/>
  <c r="S1539" i="16"/>
  <c r="O152" i="8"/>
  <c r="S1486" i="16"/>
  <c r="O66" i="24"/>
  <c r="S289" i="16"/>
  <c r="M156" i="8"/>
  <c r="M142" i="8"/>
  <c r="S1396" i="16"/>
  <c r="M143" i="8"/>
  <c r="S1909" i="16"/>
  <c r="S292" i="16"/>
  <c r="S182" i="28"/>
  <c r="S2029" i="16"/>
  <c r="O513" i="25"/>
  <c r="R467" i="24"/>
  <c r="S37" i="16"/>
  <c r="S1484" i="16"/>
  <c r="S2018" i="16"/>
  <c r="O414" i="24"/>
  <c r="S151" i="24"/>
  <c r="M154" i="8"/>
  <c r="O86" i="8"/>
  <c r="S293" i="16"/>
  <c r="S1676" i="16"/>
  <c r="W667" i="25"/>
  <c r="S912" i="16"/>
  <c r="T1627" i="16"/>
  <c r="S302" i="16"/>
  <c r="S298" i="16"/>
  <c r="R460" i="24"/>
  <c r="S187" i="28"/>
  <c r="S264" i="16"/>
  <c r="S141" i="24"/>
  <c r="S171" i="28"/>
  <c r="M158" i="8"/>
  <c r="W62" i="24"/>
  <c r="W1539" i="16"/>
  <c r="M145" i="8"/>
  <c r="W665" i="25"/>
  <c r="O2238" i="16"/>
  <c r="S1674" i="16"/>
  <c r="O37" i="28"/>
  <c r="S38" i="8"/>
  <c r="S1049" i="16"/>
  <c r="S1000" i="16"/>
  <c r="O298" i="16" l="1"/>
  <c r="AO298" i="16" s="1"/>
  <c r="T298" i="16"/>
  <c r="AD298" i="16" s="1"/>
  <c r="AC298" i="16" s="1"/>
  <c r="T37" i="16"/>
  <c r="AD37" i="16" s="1"/>
  <c r="O264" i="16"/>
  <c r="AO264" i="16" s="1"/>
  <c r="T264" i="16"/>
  <c r="AD264" i="16" s="1"/>
  <c r="AC264" i="16" s="1"/>
  <c r="T302" i="16"/>
  <c r="AD302" i="16" s="1"/>
  <c r="AC302" i="16" s="1"/>
  <c r="O302" i="16"/>
  <c r="AO302" i="16" s="1"/>
  <c r="AO1881" i="16"/>
  <c r="E1881" i="76"/>
  <c r="AO1915" i="16"/>
  <c r="E1915" i="76"/>
  <c r="G1915" i="76" s="1"/>
  <c r="G2024" i="16"/>
  <c r="G2025" i="16" s="1"/>
  <c r="AM2024" i="16"/>
  <c r="AO2206" i="16"/>
  <c r="E2206" i="76"/>
  <c r="G2077" i="16"/>
  <c r="G2078" i="16" s="1"/>
  <c r="G2079" i="16" s="1"/>
  <c r="G2080" i="16" s="1"/>
  <c r="G2081" i="16" s="1"/>
  <c r="G2082" i="16" s="1"/>
  <c r="G2083" i="16" s="1"/>
  <c r="G2084" i="16" s="1"/>
  <c r="G2085" i="16" s="1"/>
  <c r="G2086" i="16" s="1"/>
  <c r="G2087" i="16" s="1"/>
  <c r="AM2077" i="16"/>
  <c r="E1893" i="76"/>
  <c r="G1893" i="76" s="1"/>
  <c r="G1894" i="76" s="1"/>
  <c r="AO1893" i="16"/>
  <c r="AO1895" i="16"/>
  <c r="E1895" i="76"/>
  <c r="G1895" i="76" s="1"/>
  <c r="G1896" i="76" s="1"/>
  <c r="G1897" i="76" s="1"/>
  <c r="AO2044" i="16"/>
  <c r="E2044" i="76"/>
  <c r="G2042" i="16"/>
  <c r="G2043" i="16" s="1"/>
  <c r="AM2042" i="16"/>
  <c r="AO1900" i="16"/>
  <c r="E1900" i="76"/>
  <c r="G1900" i="76" s="1"/>
  <c r="G1901" i="76" s="1"/>
  <c r="E1990" i="76"/>
  <c r="AO1990" i="16"/>
  <c r="E1985" i="76"/>
  <c r="AO1985" i="16"/>
  <c r="G1900" i="16"/>
  <c r="G1901" i="16" s="1"/>
  <c r="AM1900" i="16"/>
  <c r="G1876" i="16"/>
  <c r="AM1876" i="16"/>
  <c r="G1895" i="16"/>
  <c r="G1896" i="16" s="1"/>
  <c r="G1897" i="16" s="1"/>
  <c r="AM1895" i="16"/>
  <c r="A2058" i="66"/>
  <c r="C2058" i="66" s="1"/>
  <c r="G2059" i="16"/>
  <c r="G2060" i="16" s="1"/>
  <c r="G2061" i="16" s="1"/>
  <c r="G2062" i="16" s="1"/>
  <c r="G2063" i="16" s="1"/>
  <c r="G2045" i="16"/>
  <c r="G2044" i="16"/>
  <c r="G1978" i="16"/>
  <c r="G1979" i="16" s="1"/>
  <c r="A1984" i="66"/>
  <c r="A1985" i="66" s="1"/>
  <c r="G1985" i="16"/>
  <c r="G1986" i="16" s="1"/>
  <c r="G1987" i="16" s="1"/>
  <c r="G1988" i="16" s="1"/>
  <c r="G1989" i="16" s="1"/>
  <c r="G1946" i="16"/>
  <c r="G1947" i="16" s="1"/>
  <c r="G1948" i="16" s="1"/>
  <c r="G1949" i="16" s="1"/>
  <c r="G1950" i="16" s="1"/>
  <c r="G1951" i="16" s="1"/>
  <c r="G1952" i="16" s="1"/>
  <c r="G1953" i="16" s="1"/>
  <c r="G1954" i="16" s="1"/>
  <c r="G1955" i="16" s="1"/>
  <c r="G1956" i="16" s="1"/>
  <c r="G1957" i="16" s="1"/>
  <c r="G1958" i="16" s="1"/>
  <c r="G1959" i="16" s="1"/>
  <c r="G1960" i="16" s="1"/>
  <c r="G1941" i="16"/>
  <c r="G1936" i="16" s="1"/>
  <c r="A1940" i="66"/>
  <c r="A1941" i="66" s="1"/>
  <c r="A1901" i="66"/>
  <c r="C1901" i="66" s="1"/>
  <c r="A1897" i="66"/>
  <c r="A1898" i="66" s="1"/>
  <c r="C1898" i="66" s="1"/>
  <c r="A1899" i="66"/>
  <c r="A1900" i="66" s="1"/>
  <c r="C1900" i="66" s="1"/>
  <c r="G458" i="16"/>
  <c r="G459" i="16" s="1"/>
  <c r="G571" i="16"/>
  <c r="G572" i="16" s="1"/>
  <c r="G573" i="16" s="1"/>
  <c r="G574" i="16" s="1"/>
  <c r="G575" i="16" s="1"/>
  <c r="G576" i="16" s="1"/>
  <c r="G566" i="16"/>
  <c r="G567" i="16" s="1"/>
  <c r="G541" i="16"/>
  <c r="G536" i="16" s="1"/>
  <c r="G537" i="16" s="1"/>
  <c r="I535" i="66"/>
  <c r="A535" i="66" s="1"/>
  <c r="G495" i="16"/>
  <c r="G496" i="16" s="1"/>
  <c r="G497" i="16" s="1"/>
  <c r="A357" i="66"/>
  <c r="A349" i="66" s="1"/>
  <c r="G182" i="16"/>
  <c r="G183" i="16" s="1"/>
  <c r="G180" i="16" s="1"/>
  <c r="G181" i="16" s="1"/>
  <c r="G17" i="16"/>
  <c r="G18" i="16" s="1"/>
  <c r="G312" i="16"/>
  <c r="G313" i="16" s="1"/>
  <c r="G314" i="16" s="1"/>
  <c r="G315" i="16" s="1"/>
  <c r="G316" i="16" s="1"/>
  <c r="G317" i="16" s="1"/>
  <c r="G318" i="16" s="1"/>
  <c r="G319" i="16" s="1"/>
  <c r="G320" i="16" s="1"/>
  <c r="G321" i="16" s="1"/>
  <c r="G322" i="16" s="1"/>
  <c r="G323" i="16" s="1"/>
  <c r="A311" i="66"/>
  <c r="A312" i="66" s="1"/>
  <c r="G1406" i="16"/>
  <c r="G1407" i="16" s="1"/>
  <c r="G1408" i="16" s="1"/>
  <c r="A1405" i="66"/>
  <c r="C1405" i="66" s="1"/>
  <c r="G114" i="16"/>
  <c r="G2190" i="16"/>
  <c r="G2191" i="16" s="1"/>
  <c r="G2192" i="16" s="1"/>
  <c r="G2193" i="16" s="1"/>
  <c r="G2238" i="16"/>
  <c r="G2239" i="16" s="1"/>
  <c r="G2240" i="16" s="1"/>
  <c r="G2241" i="16" s="1"/>
  <c r="G2242" i="16" s="1"/>
  <c r="G512" i="16"/>
  <c r="G513" i="16" s="1"/>
  <c r="G514" i="16" s="1"/>
  <c r="G515" i="16" s="1"/>
  <c r="G516" i="16" s="1"/>
  <c r="G517" i="16" s="1"/>
  <c r="G518" i="16" s="1"/>
  <c r="G519" i="16" s="1"/>
  <c r="G520" i="16" s="1"/>
  <c r="G521" i="16" s="1"/>
  <c r="G522" i="16" s="1"/>
  <c r="G523" i="16" s="1"/>
  <c r="G524" i="16" s="1"/>
  <c r="G702" i="16"/>
  <c r="G703" i="16" s="1"/>
  <c r="G704" i="16" s="1"/>
  <c r="G705" i="16" s="1"/>
  <c r="G706" i="16" s="1"/>
  <c r="G707" i="16" s="1"/>
  <c r="G708" i="16" s="1"/>
  <c r="G709" i="16" s="1"/>
  <c r="G710" i="16" s="1"/>
  <c r="G675" i="16"/>
  <c r="G658" i="16"/>
  <c r="G122" i="16"/>
  <c r="G123" i="16" s="1"/>
  <c r="G124" i="16" s="1"/>
  <c r="G125" i="16" s="1"/>
  <c r="G126" i="16" s="1"/>
  <c r="G1861" i="16"/>
  <c r="G1862" i="16" s="1"/>
  <c r="G1863" i="16" s="1"/>
  <c r="G1864" i="16" s="1"/>
  <c r="G1922" i="16"/>
  <c r="G1923" i="16" s="1"/>
  <c r="G1924" i="16" s="1"/>
  <c r="G1873" i="16"/>
  <c r="G1874" i="16" s="1"/>
  <c r="G1875" i="16" s="1"/>
  <c r="G817" i="16"/>
  <c r="G818" i="16" s="1"/>
  <c r="G819" i="16" s="1"/>
  <c r="G820" i="16" s="1"/>
  <c r="G821" i="16" s="1"/>
  <c r="G822" i="16" s="1"/>
  <c r="G823" i="16" s="1"/>
  <c r="G824" i="16" s="1"/>
  <c r="G254" i="16"/>
  <c r="G255" i="16" s="1"/>
  <c r="G256" i="16" s="1"/>
  <c r="G257" i="16" s="1"/>
  <c r="G258" i="16" s="1"/>
  <c r="G259" i="16" s="1"/>
  <c r="G243" i="16"/>
  <c r="G244" i="16" s="1"/>
  <c r="G245" i="16" s="1"/>
  <c r="G246" i="16" s="1"/>
  <c r="G247" i="16" s="1"/>
  <c r="G248" i="16" s="1"/>
  <c r="G249" i="16" s="1"/>
  <c r="G250" i="16" s="1"/>
  <c r="G690" i="16"/>
  <c r="G691" i="16" s="1"/>
  <c r="G692" i="16" s="1"/>
  <c r="G2194" i="16"/>
  <c r="G2195" i="16" s="1"/>
  <c r="G2196" i="16" s="1"/>
  <c r="G2197" i="16" s="1"/>
  <c r="G679" i="16"/>
  <c r="G680" i="16" s="1"/>
  <c r="G681" i="16" s="1"/>
  <c r="G682" i="16" s="1"/>
  <c r="G683" i="16" s="1"/>
  <c r="G684" i="16" s="1"/>
  <c r="G332" i="16"/>
  <c r="G326" i="16" s="1"/>
  <c r="G327" i="16" s="1"/>
  <c r="G328" i="16" s="1"/>
  <c r="G329" i="16" s="1"/>
  <c r="G201" i="16"/>
  <c r="G202" i="16" s="1"/>
  <c r="G203" i="16" s="1"/>
  <c r="C96" i="66"/>
  <c r="A92" i="66"/>
  <c r="C197" i="66"/>
  <c r="A193" i="66"/>
  <c r="C182" i="66"/>
  <c r="A179" i="66"/>
  <c r="A180" i="66" s="1"/>
  <c r="C180" i="66" s="1"/>
  <c r="C204" i="66"/>
  <c r="A253" i="66"/>
  <c r="C253" i="66" s="1"/>
  <c r="C15" i="66"/>
  <c r="A2193" i="66"/>
  <c r="C2193" i="66" s="1"/>
  <c r="C564" i="66"/>
  <c r="A557" i="66"/>
  <c r="C233" i="66"/>
  <c r="T1049" i="16"/>
  <c r="AD1049" i="16" s="1"/>
  <c r="T175" i="25"/>
  <c r="AD175" i="25" s="1"/>
  <c r="C2231" i="66"/>
  <c r="A1865" i="66"/>
  <c r="C1865" i="66" s="1"/>
  <c r="C1897" i="66"/>
  <c r="C2050" i="66"/>
  <c r="C1940" i="66"/>
  <c r="C311" i="66"/>
  <c r="E1406" i="76"/>
  <c r="AO1406" i="16"/>
  <c r="F105" i="18"/>
  <c r="F105" i="94"/>
  <c r="I428" i="66"/>
  <c r="AO131" i="24"/>
  <c r="I2258" i="66"/>
  <c r="C2258" i="66" s="1"/>
  <c r="AO12" i="29"/>
  <c r="I188" i="66"/>
  <c r="A189" i="66" s="1"/>
  <c r="AO190" i="8"/>
  <c r="AO2238" i="16"/>
  <c r="AQ360" i="16"/>
  <c r="G2000" i="16"/>
  <c r="G2002" i="16" s="1"/>
  <c r="G2003" i="16" s="1"/>
  <c r="G2004" i="16" s="1"/>
  <c r="G2005" i="16" s="1"/>
  <c r="G2006" i="16" s="1"/>
  <c r="G2007" i="16" s="1"/>
  <c r="G2008" i="16" s="1"/>
  <c r="G2009" i="16" s="1"/>
  <c r="G2010" i="16" s="1"/>
  <c r="G2011" i="16" s="1"/>
  <c r="G2012" i="16" s="1"/>
  <c r="C2054" i="66"/>
  <c r="I1914" i="66"/>
  <c r="AO68" i="28"/>
  <c r="C2047" i="66"/>
  <c r="C1984" i="66"/>
  <c r="I1880" i="66"/>
  <c r="AO34" i="28"/>
  <c r="I1892" i="66"/>
  <c r="AO46" i="28"/>
  <c r="I1989" i="66"/>
  <c r="AO143" i="28"/>
  <c r="I2040" i="66"/>
  <c r="AO69" i="28"/>
  <c r="AO37" i="28"/>
  <c r="AO23" i="28"/>
  <c r="I1551" i="66"/>
  <c r="AO678" i="25"/>
  <c r="I1485" i="66"/>
  <c r="AO612" i="25"/>
  <c r="I1481" i="66"/>
  <c r="AO608" i="25"/>
  <c r="AO590" i="25"/>
  <c r="AO517" i="25"/>
  <c r="AO513" i="25"/>
  <c r="AQ62" i="24"/>
  <c r="AO414" i="24"/>
  <c r="I640" i="66"/>
  <c r="AO343" i="24"/>
  <c r="AO205" i="24"/>
  <c r="I452" i="66"/>
  <c r="AO155" i="24"/>
  <c r="I436" i="66"/>
  <c r="AO139" i="24"/>
  <c r="AO66" i="24"/>
  <c r="I301" i="66"/>
  <c r="AO303" i="8"/>
  <c r="I299" i="66"/>
  <c r="AO301" i="8"/>
  <c r="I297" i="66"/>
  <c r="AO299" i="8"/>
  <c r="I292" i="66"/>
  <c r="AO294" i="8"/>
  <c r="I291" i="66"/>
  <c r="AO293" i="8"/>
  <c r="I288" i="66"/>
  <c r="AO290" i="8"/>
  <c r="I281" i="66"/>
  <c r="AO283" i="8"/>
  <c r="I269" i="66"/>
  <c r="AO271" i="8"/>
  <c r="I268" i="66"/>
  <c r="AO270" i="8"/>
  <c r="I265" i="66"/>
  <c r="AO267" i="8"/>
  <c r="I263" i="66"/>
  <c r="AO265" i="8"/>
  <c r="AO237" i="8"/>
  <c r="AO152" i="8"/>
  <c r="AO137" i="8"/>
  <c r="AO86" i="8"/>
  <c r="AM163" i="8"/>
  <c r="AM154" i="8"/>
  <c r="AM156" i="8"/>
  <c r="AM158" i="8"/>
  <c r="AM153" i="8"/>
  <c r="AM145" i="8"/>
  <c r="AM142" i="8"/>
  <c r="AM143" i="8"/>
  <c r="AM139" i="8"/>
  <c r="A2228" i="66"/>
  <c r="C2227" i="66"/>
  <c r="A1895" i="66"/>
  <c r="C1894" i="66"/>
  <c r="I1973" i="66"/>
  <c r="A1973" i="66" s="1"/>
  <c r="A2049" i="66"/>
  <c r="C2049" i="66" s="1"/>
  <c r="C2048" i="66"/>
  <c r="A2013" i="66"/>
  <c r="C2012" i="66"/>
  <c r="I1887" i="66"/>
  <c r="A1887" i="66" s="1"/>
  <c r="A1999" i="66"/>
  <c r="C1998" i="66"/>
  <c r="A1946" i="66"/>
  <c r="C1945" i="66"/>
  <c r="A1890" i="66"/>
  <c r="C1889" i="66"/>
  <c r="A1969" i="66"/>
  <c r="C1968" i="66"/>
  <c r="A1939" i="66"/>
  <c r="C1939" i="66" s="1"/>
  <c r="C1938" i="66"/>
  <c r="A1936" i="66"/>
  <c r="C1936" i="66" s="1"/>
  <c r="C1935" i="66"/>
  <c r="A1860" i="66"/>
  <c r="C1859" i="66"/>
  <c r="A536" i="66"/>
  <c r="C536" i="66" s="1"/>
  <c r="C535" i="66"/>
  <c r="A337" i="66"/>
  <c r="C336" i="66"/>
  <c r="A601" i="66"/>
  <c r="C600" i="66"/>
  <c r="A400" i="66"/>
  <c r="C399" i="66"/>
  <c r="C394" i="66"/>
  <c r="A794" i="66"/>
  <c r="C793" i="66"/>
  <c r="A467" i="66"/>
  <c r="C466" i="66"/>
  <c r="A577" i="66"/>
  <c r="C576" i="66"/>
  <c r="A571" i="66"/>
  <c r="C571" i="66" s="1"/>
  <c r="C570" i="66"/>
  <c r="A588" i="66"/>
  <c r="C588" i="66" s="1"/>
  <c r="C587" i="66"/>
  <c r="A555" i="66"/>
  <c r="C554" i="66"/>
  <c r="A465" i="66"/>
  <c r="C465" i="66" s="1"/>
  <c r="C464" i="66"/>
  <c r="A412" i="66"/>
  <c r="C411" i="66"/>
  <c r="C407" i="66"/>
  <c r="A463" i="66"/>
  <c r="C463" i="66" s="1"/>
  <c r="C462" i="66"/>
  <c r="I456" i="66"/>
  <c r="A456" i="66" s="1"/>
  <c r="C557" i="66"/>
  <c r="A699" i="66"/>
  <c r="C699" i="66" s="1"/>
  <c r="C698" i="66"/>
  <c r="A825" i="66"/>
  <c r="C824" i="66"/>
  <c r="A347" i="66"/>
  <c r="C346" i="66"/>
  <c r="A545" i="66"/>
  <c r="C544" i="66"/>
  <c r="A334" i="66"/>
  <c r="C334" i="66" s="1"/>
  <c r="C333" i="66"/>
  <c r="A330" i="66"/>
  <c r="C329" i="66"/>
  <c r="A658" i="66"/>
  <c r="C658" i="66" s="1"/>
  <c r="C657" i="66"/>
  <c r="C354" i="66"/>
  <c r="A686" i="66"/>
  <c r="C686" i="66" s="1"/>
  <c r="C685" i="66"/>
  <c r="I325" i="66"/>
  <c r="A64" i="66"/>
  <c r="C63" i="66"/>
  <c r="A20" i="66"/>
  <c r="C19" i="66"/>
  <c r="A212" i="66"/>
  <c r="C211" i="66"/>
  <c r="A216" i="66"/>
  <c r="C216" i="66" s="1"/>
  <c r="C215" i="66"/>
  <c r="A171" i="66"/>
  <c r="C171" i="66" s="1"/>
  <c r="C170" i="66"/>
  <c r="A113" i="66"/>
  <c r="C113" i="66" s="1"/>
  <c r="C112" i="66"/>
  <c r="A35" i="66"/>
  <c r="C35" i="66" s="1"/>
  <c r="C34" i="66"/>
  <c r="A241" i="66"/>
  <c r="C241" i="66" s="1"/>
  <c r="C240" i="66"/>
  <c r="A52" i="66"/>
  <c r="C51" i="66"/>
  <c r="C188" i="66"/>
  <c r="A167" i="66"/>
  <c r="C167" i="66" s="1"/>
  <c r="C166" i="66"/>
  <c r="A252" i="66"/>
  <c r="C252" i="66" s="1"/>
  <c r="C251" i="66"/>
  <c r="A164" i="66"/>
  <c r="C163" i="66"/>
  <c r="F360" i="76"/>
  <c r="E2238" i="76"/>
  <c r="A2077" i="66"/>
  <c r="C2189" i="66"/>
  <c r="A2190" i="66"/>
  <c r="A2238" i="66"/>
  <c r="C2237" i="66"/>
  <c r="A841" i="66"/>
  <c r="C841" i="66" s="1"/>
  <c r="C840" i="66"/>
  <c r="A817" i="66"/>
  <c r="C816" i="66"/>
  <c r="A702" i="66"/>
  <c r="C701" i="66"/>
  <c r="A679" i="66"/>
  <c r="C678" i="66"/>
  <c r="A512" i="66"/>
  <c r="C511" i="66"/>
  <c r="A122" i="66"/>
  <c r="C122" i="66" s="1"/>
  <c r="C121" i="66"/>
  <c r="A115" i="66"/>
  <c r="C114" i="66"/>
  <c r="O668" i="25"/>
  <c r="O666" i="25"/>
  <c r="O266" i="16"/>
  <c r="AO266" i="16" s="1"/>
  <c r="T266" i="16"/>
  <c r="AD266" i="16" s="1"/>
  <c r="AC266" i="16" s="1"/>
  <c r="O270" i="16"/>
  <c r="AO270" i="16" s="1"/>
  <c r="T270" i="16"/>
  <c r="AD270" i="16" s="1"/>
  <c r="AC270" i="16" s="1"/>
  <c r="T292" i="16"/>
  <c r="AD292" i="16" s="1"/>
  <c r="AC292" i="16" s="1"/>
  <c r="O292" i="16"/>
  <c r="AO292" i="16" s="1"/>
  <c r="T269" i="16"/>
  <c r="AD269" i="16" s="1"/>
  <c r="AC269" i="16" s="1"/>
  <c r="O269" i="16"/>
  <c r="AO269" i="16" s="1"/>
  <c r="T289" i="16"/>
  <c r="AD289" i="16" s="1"/>
  <c r="AC289" i="16" s="1"/>
  <c r="O289" i="16"/>
  <c r="AO289" i="16" s="1"/>
  <c r="N1916" i="16"/>
  <c r="G1925" i="16" s="1"/>
  <c r="I1915" i="66"/>
  <c r="A1915" i="66" s="1"/>
  <c r="O171" i="28"/>
  <c r="N503" i="16"/>
  <c r="I502" i="66"/>
  <c r="T226" i="28"/>
  <c r="AD226" i="28" s="1"/>
  <c r="AC226" i="28" s="1"/>
  <c r="O226" i="28"/>
  <c r="T293" i="16"/>
  <c r="AD293" i="16" s="1"/>
  <c r="AC293" i="16" s="1"/>
  <c r="O293" i="16"/>
  <c r="AO293" i="16" s="1"/>
  <c r="T147" i="24"/>
  <c r="AD147" i="24" s="1"/>
  <c r="AC147" i="24" s="1"/>
  <c r="O147" i="24"/>
  <c r="T282" i="16"/>
  <c r="AD282" i="16" s="1"/>
  <c r="AC282" i="16" s="1"/>
  <c r="O282" i="16"/>
  <c r="AO282" i="16" s="1"/>
  <c r="O179" i="28"/>
  <c r="T182" i="28"/>
  <c r="AD182" i="28" s="1"/>
  <c r="AC182" i="28" s="1"/>
  <c r="O151" i="24"/>
  <c r="T151" i="24"/>
  <c r="AD151" i="24" s="1"/>
  <c r="AC151" i="24" s="1"/>
  <c r="T187" i="28"/>
  <c r="AD187" i="28" s="1"/>
  <c r="AC187" i="28" s="1"/>
  <c r="O187" i="28"/>
  <c r="O300" i="16"/>
  <c r="AO300" i="16" s="1"/>
  <c r="T300" i="16"/>
  <c r="AD300" i="16" s="1"/>
  <c r="AC300" i="16" s="1"/>
  <c r="T522" i="25"/>
  <c r="AD522" i="25" s="1"/>
  <c r="AC522" i="25" s="1"/>
  <c r="O185" i="28"/>
  <c r="T185" i="28"/>
  <c r="AD185" i="28" s="1"/>
  <c r="AC185" i="28" s="1"/>
  <c r="T235" i="16"/>
  <c r="AD235" i="16" s="1"/>
  <c r="AC235" i="16" s="1"/>
  <c r="T610" i="25"/>
  <c r="AD610" i="25" s="1"/>
  <c r="AC610" i="25" s="1"/>
  <c r="O610" i="25"/>
  <c r="T141" i="24"/>
  <c r="AD141" i="24" s="1"/>
  <c r="AC141" i="24" s="1"/>
  <c r="O141" i="24"/>
  <c r="R175" i="25"/>
  <c r="T62" i="28"/>
  <c r="AD62" i="28" s="1"/>
  <c r="AC62" i="28" s="1"/>
  <c r="O62" i="28"/>
  <c r="N2090" i="16"/>
  <c r="I2089" i="66"/>
  <c r="A2089" i="66" s="1"/>
  <c r="I1906" i="66"/>
  <c r="A1906" i="66" s="1"/>
  <c r="I2327" i="66"/>
  <c r="A2327" i="66" s="1"/>
  <c r="N733" i="16"/>
  <c r="G734" i="16" s="1"/>
  <c r="I732" i="66"/>
  <c r="I748" i="66"/>
  <c r="N2211" i="16"/>
  <c r="G2212" i="16" s="1"/>
  <c r="G2213" i="16" s="1"/>
  <c r="I2210" i="66"/>
  <c r="N66" i="16"/>
  <c r="I65" i="66"/>
  <c r="I741" i="66"/>
  <c r="I1883" i="66"/>
  <c r="I1869" i="66"/>
  <c r="I1867" i="66" s="1"/>
  <c r="A1867" i="66" s="1"/>
  <c r="I1463" i="66"/>
  <c r="A1463" i="66" s="1"/>
  <c r="I1390" i="66"/>
  <c r="I1386" i="66"/>
  <c r="I711" i="66"/>
  <c r="A711" i="66" s="1"/>
  <c r="I363" i="66"/>
  <c r="A363" i="66" s="1"/>
  <c r="I235" i="66"/>
  <c r="N156" i="16"/>
  <c r="G156" i="16" s="1"/>
  <c r="I155" i="66"/>
  <c r="I150" i="66"/>
  <c r="N149" i="16"/>
  <c r="I148" i="66"/>
  <c r="A148" i="66" s="1"/>
  <c r="I135" i="66"/>
  <c r="A135" i="66" s="1"/>
  <c r="N127" i="16"/>
  <c r="I126" i="66"/>
  <c r="I84" i="66"/>
  <c r="A84" i="66" s="1"/>
  <c r="S325" i="25"/>
  <c r="T325" i="25" s="1"/>
  <c r="AD325" i="25" s="1"/>
  <c r="S323" i="25"/>
  <c r="F32" i="17"/>
  <c r="G32" i="3"/>
  <c r="O58" i="28"/>
  <c r="M46" i="28"/>
  <c r="AM46" i="28" s="1"/>
  <c r="O2018" i="16"/>
  <c r="S1452" i="16"/>
  <c r="T1452" i="16" s="1"/>
  <c r="S1450" i="16"/>
  <c r="T1450" i="16" s="1"/>
  <c r="AD1450" i="16" s="1"/>
  <c r="AC1450" i="16" s="1"/>
  <c r="S1194" i="16"/>
  <c r="S1191" i="16"/>
  <c r="S1188" i="16"/>
  <c r="T62" i="29"/>
  <c r="AD62" i="29" s="1"/>
  <c r="R124" i="29"/>
  <c r="AE124" i="29" s="1"/>
  <c r="AC124" i="29" s="1"/>
  <c r="M58" i="28"/>
  <c r="AM58" i="28" s="1"/>
  <c r="S1870" i="16"/>
  <c r="T1870" i="16" s="1"/>
  <c r="AD1870" i="16" s="1"/>
  <c r="AC1870" i="16" s="1"/>
  <c r="O62" i="29"/>
  <c r="AO62" i="29" s="1"/>
  <c r="R1675" i="16"/>
  <c r="R1677" i="16"/>
  <c r="R105" i="29"/>
  <c r="M105" i="29" s="1"/>
  <c r="AM105" i="29" s="1"/>
  <c r="M90" i="29"/>
  <c r="AM90" i="29" s="1"/>
  <c r="O85" i="24"/>
  <c r="T90" i="29"/>
  <c r="AD90" i="29" s="1"/>
  <c r="AC90" i="29" s="1"/>
  <c r="R28" i="29"/>
  <c r="M28" i="29" s="1"/>
  <c r="AM28" i="29" s="1"/>
  <c r="S1907" i="16"/>
  <c r="S1905" i="16"/>
  <c r="N1907" i="16"/>
  <c r="T60" i="28"/>
  <c r="AD60" i="28" s="1"/>
  <c r="T58" i="28"/>
  <c r="AD58" i="28" s="1"/>
  <c r="AC58" i="28" s="1"/>
  <c r="R60" i="28"/>
  <c r="AE60" i="28" s="1"/>
  <c r="T1676" i="16"/>
  <c r="AD1676" i="16" s="1"/>
  <c r="AC1676" i="16" s="1"/>
  <c r="T1667" i="16"/>
  <c r="AD1667" i="16" s="1"/>
  <c r="AC1667" i="16" s="1"/>
  <c r="O1667" i="16"/>
  <c r="T1665" i="16"/>
  <c r="AD1665" i="16" s="1"/>
  <c r="AC1665" i="16" s="1"/>
  <c r="O1665" i="16"/>
  <c r="T1674" i="16"/>
  <c r="AD1674" i="16" s="1"/>
  <c r="AC1674" i="16" s="1"/>
  <c r="AD1627" i="16"/>
  <c r="AC1627" i="16" s="1"/>
  <c r="T896" i="16"/>
  <c r="AD896" i="16" s="1"/>
  <c r="R896" i="16"/>
  <c r="M896" i="16" s="1"/>
  <c r="G896" i="16" s="1"/>
  <c r="N1915" i="16"/>
  <c r="G1915" i="16" s="1"/>
  <c r="M53" i="28"/>
  <c r="AM53" i="28" s="1"/>
  <c r="AC53" i="28"/>
  <c r="G1937" i="16"/>
  <c r="G1938" i="16" s="1"/>
  <c r="R111" i="24"/>
  <c r="AE111" i="24" s="1"/>
  <c r="AC111" i="24" s="1"/>
  <c r="BH16" i="82"/>
  <c r="BG16" i="82"/>
  <c r="BF16" i="82"/>
  <c r="BI16" i="82"/>
  <c r="BE16" i="82"/>
  <c r="O122" i="24"/>
  <c r="AO122" i="24" s="1"/>
  <c r="R98" i="24"/>
  <c r="AE98" i="24" s="1"/>
  <c r="AC98" i="24" s="1"/>
  <c r="S2093" i="16"/>
  <c r="O2093" i="16" s="1"/>
  <c r="S1884" i="16"/>
  <c r="T1884" i="16" s="1"/>
  <c r="AD1884" i="16" s="1"/>
  <c r="AC1884" i="16" s="1"/>
  <c r="P11" i="7"/>
  <c r="C6" i="81"/>
  <c r="M11" i="7"/>
  <c r="BG16" i="8"/>
  <c r="BI16" i="29"/>
  <c r="BG17" i="24"/>
  <c r="BI16" i="8"/>
  <c r="BH17" i="24"/>
  <c r="BG16" i="29"/>
  <c r="BH16" i="28"/>
  <c r="BH16" i="29"/>
  <c r="BI17" i="24"/>
  <c r="BG16" i="25"/>
  <c r="N11" i="7"/>
  <c r="BH16" i="8"/>
  <c r="BG16" i="28"/>
  <c r="BI16" i="28"/>
  <c r="BI16" i="25"/>
  <c r="BH16" i="25"/>
  <c r="O91" i="8"/>
  <c r="O84" i="8"/>
  <c r="G99" i="16"/>
  <c r="G100" i="16" s="1"/>
  <c r="N64" i="16"/>
  <c r="G65" i="16" s="1"/>
  <c r="G831" i="16"/>
  <c r="G830" i="16"/>
  <c r="G806" i="16"/>
  <c r="G807" i="16" s="1"/>
  <c r="G808" i="16" s="1"/>
  <c r="G809" i="16" s="1"/>
  <c r="G810" i="16" s="1"/>
  <c r="G811" i="16" s="1"/>
  <c r="G812" i="16" s="1"/>
  <c r="G813" i="16" s="1"/>
  <c r="G814" i="16" s="1"/>
  <c r="G815" i="16" s="1"/>
  <c r="G805" i="16"/>
  <c r="G565" i="16"/>
  <c r="G558" i="16" s="1"/>
  <c r="G1877" i="16"/>
  <c r="G1878" i="16" s="1"/>
  <c r="G1879" i="16" s="1"/>
  <c r="G1880" i="16" s="1"/>
  <c r="N189" i="16"/>
  <c r="G190" i="16" s="1"/>
  <c r="G191" i="16" s="1"/>
  <c r="G192" i="16" s="1"/>
  <c r="G193" i="16" s="1"/>
  <c r="S2399" i="16"/>
  <c r="T2399" i="16" s="1"/>
  <c r="S2433" i="16"/>
  <c r="T2433" i="16" s="1"/>
  <c r="AD2433" i="16" s="1"/>
  <c r="AC2433" i="16" s="1"/>
  <c r="S2422" i="16"/>
  <c r="T2422" i="16" s="1"/>
  <c r="AD2422" i="16" s="1"/>
  <c r="AC2422" i="16" s="1"/>
  <c r="S2420" i="16"/>
  <c r="T2420" i="16" s="1"/>
  <c r="AD2420" i="16" s="1"/>
  <c r="AC2420" i="16" s="1"/>
  <c r="S2430" i="16"/>
  <c r="T2430" i="16" s="1"/>
  <c r="AD2430" i="16" s="1"/>
  <c r="AC2430" i="16" s="1"/>
  <c r="S2423" i="16"/>
  <c r="T2423" i="16" s="1"/>
  <c r="AD2423" i="16" s="1"/>
  <c r="AC2423" i="16" s="1"/>
  <c r="S2432" i="16"/>
  <c r="T2432" i="16" s="1"/>
  <c r="AD2432" i="16" s="1"/>
  <c r="AC2432" i="16" s="1"/>
  <c r="S2421" i="16"/>
  <c r="T2421" i="16" s="1"/>
  <c r="AD2421" i="16" s="1"/>
  <c r="AC2421" i="16" s="1"/>
  <c r="S2436" i="16"/>
  <c r="T2436" i="16" s="1"/>
  <c r="AD2436" i="16" s="1"/>
  <c r="AC2436" i="16" s="1"/>
  <c r="S2434" i="16"/>
  <c r="T2434" i="16" s="1"/>
  <c r="AD2434" i="16" s="1"/>
  <c r="AC2434" i="16" s="1"/>
  <c r="S2431" i="16"/>
  <c r="T2431" i="16" s="1"/>
  <c r="AD2431" i="16" s="1"/>
  <c r="AC2431" i="16" s="1"/>
  <c r="S2418" i="16"/>
  <c r="S2425" i="16"/>
  <c r="T2425" i="16" s="1"/>
  <c r="AD2425" i="16" s="1"/>
  <c r="AC2425" i="16" s="1"/>
  <c r="S2435" i="16"/>
  <c r="T2435" i="16" s="1"/>
  <c r="AD2435" i="16" s="1"/>
  <c r="AC2435" i="16" s="1"/>
  <c r="S2424" i="16"/>
  <c r="T2424" i="16" s="1"/>
  <c r="AD2424" i="16" s="1"/>
  <c r="AC2424" i="16" s="1"/>
  <c r="S2417" i="16"/>
  <c r="S2416" i="16"/>
  <c r="N171" i="16"/>
  <c r="G172" i="16" s="1"/>
  <c r="N167" i="16"/>
  <c r="G168" i="16" s="1"/>
  <c r="N1552" i="16"/>
  <c r="N1486" i="16"/>
  <c r="N1482" i="16"/>
  <c r="N1464" i="16"/>
  <c r="G1464" i="16" s="1"/>
  <c r="G1444" i="16" s="1"/>
  <c r="N1391" i="16"/>
  <c r="N1387" i="16"/>
  <c r="T169" i="29"/>
  <c r="AD169" i="29" s="1"/>
  <c r="R169" i="29"/>
  <c r="R170" i="29"/>
  <c r="T170" i="29"/>
  <c r="AD170" i="29" s="1"/>
  <c r="R171" i="29"/>
  <c r="T171" i="29"/>
  <c r="AD171" i="29" s="1"/>
  <c r="R154" i="29"/>
  <c r="M154" i="29" s="1"/>
  <c r="AM154" i="29" s="1"/>
  <c r="O154" i="29"/>
  <c r="AO154" i="29" s="1"/>
  <c r="T1486" i="16"/>
  <c r="AD1486" i="16" s="1"/>
  <c r="AC1486" i="16" s="1"/>
  <c r="O1486" i="16"/>
  <c r="T1391" i="16"/>
  <c r="AD1391" i="16" s="1"/>
  <c r="AC1391" i="16" s="1"/>
  <c r="T1552" i="16"/>
  <c r="AD1552" i="16" s="1"/>
  <c r="AC1552" i="16" s="1"/>
  <c r="O1552" i="16"/>
  <c r="T1482" i="16"/>
  <c r="AD1482" i="16" s="1"/>
  <c r="AC1482" i="16" s="1"/>
  <c r="O1482" i="16"/>
  <c r="O1540" i="16"/>
  <c r="O1542" i="16"/>
  <c r="T1396" i="16"/>
  <c r="AD1396" i="16" s="1"/>
  <c r="AC1396" i="16" s="1"/>
  <c r="T1387" i="16"/>
  <c r="AD1387" i="16" s="1"/>
  <c r="AC1387" i="16" s="1"/>
  <c r="O1484" i="16"/>
  <c r="T1484" i="16"/>
  <c r="AD1484" i="16" s="1"/>
  <c r="AC1484" i="16" s="1"/>
  <c r="R902" i="16"/>
  <c r="M902" i="16" s="1"/>
  <c r="G902" i="16" s="1"/>
  <c r="T902" i="16"/>
  <c r="AD902" i="16" s="1"/>
  <c r="R905" i="16"/>
  <c r="M905" i="16" s="1"/>
  <c r="G905" i="16" s="1"/>
  <c r="T905" i="16"/>
  <c r="AD905" i="16" s="1"/>
  <c r="R908" i="16"/>
  <c r="M908" i="16" s="1"/>
  <c r="G908" i="16" s="1"/>
  <c r="T908" i="16"/>
  <c r="AD908" i="16" s="1"/>
  <c r="R1049" i="16"/>
  <c r="R1000" i="16"/>
  <c r="T1000" i="16"/>
  <c r="AD1000" i="16" s="1"/>
  <c r="T912" i="16"/>
  <c r="AD912" i="16" s="1"/>
  <c r="AC912" i="16" s="1"/>
  <c r="M1061" i="16"/>
  <c r="S1285" i="16"/>
  <c r="S1464" i="16"/>
  <c r="S1195" i="16"/>
  <c r="T1187" i="16"/>
  <c r="T1122" i="16"/>
  <c r="S1258" i="16"/>
  <c r="S407" i="16"/>
  <c r="T407" i="16" s="1"/>
  <c r="AD407" i="16" s="1"/>
  <c r="AC407" i="16" s="1"/>
  <c r="S431" i="16"/>
  <c r="S429" i="16"/>
  <c r="S409" i="16"/>
  <c r="S396" i="16"/>
  <c r="S422" i="16"/>
  <c r="S406" i="16"/>
  <c r="S420" i="16"/>
  <c r="S383" i="16"/>
  <c r="O312" i="16"/>
  <c r="M323" i="16"/>
  <c r="M321" i="16"/>
  <c r="AM321" i="16" s="1"/>
  <c r="N302" i="16"/>
  <c r="N300" i="16"/>
  <c r="N298" i="16"/>
  <c r="G298" i="16" s="1"/>
  <c r="N293" i="16"/>
  <c r="G293" i="16" s="1"/>
  <c r="N292" i="16"/>
  <c r="G292" i="16" s="1"/>
  <c r="N289" i="16"/>
  <c r="G289" i="16" s="1"/>
  <c r="N282" i="16"/>
  <c r="N270" i="16"/>
  <c r="G270" i="16" s="1"/>
  <c r="N269" i="16"/>
  <c r="G269" i="16" s="1"/>
  <c r="N266" i="16"/>
  <c r="N264" i="16"/>
  <c r="G264" i="16" s="1"/>
  <c r="N236" i="16"/>
  <c r="N151" i="16"/>
  <c r="N136" i="16"/>
  <c r="N85" i="16"/>
  <c r="O235" i="16"/>
  <c r="AO235" i="16" s="1"/>
  <c r="AD189" i="16"/>
  <c r="AC189" i="16" s="1"/>
  <c r="O189" i="16"/>
  <c r="T590" i="25"/>
  <c r="AD590" i="25" s="1"/>
  <c r="AC590" i="25" s="1"/>
  <c r="O384" i="25"/>
  <c r="T384" i="25"/>
  <c r="AD384" i="25" s="1"/>
  <c r="AC384" i="25" s="1"/>
  <c r="T315" i="25"/>
  <c r="AD315" i="25" s="1"/>
  <c r="AC315" i="25" s="1"/>
  <c r="T314" i="25"/>
  <c r="AD314" i="25" s="1"/>
  <c r="AC314" i="25" s="1"/>
  <c r="T317" i="25"/>
  <c r="AD317" i="25" s="1"/>
  <c r="AC317" i="25" s="1"/>
  <c r="T320" i="25"/>
  <c r="AD320" i="25" s="1"/>
  <c r="AC320" i="25" s="1"/>
  <c r="N5" i="81"/>
  <c r="C5" i="81"/>
  <c r="T411" i="25"/>
  <c r="AD411" i="25" s="1"/>
  <c r="AC411" i="25" s="1"/>
  <c r="O411" i="25"/>
  <c r="T321" i="25"/>
  <c r="AD321" i="25" s="1"/>
  <c r="AC321" i="25" s="1"/>
  <c r="T694" i="25"/>
  <c r="AD694" i="25" s="1"/>
  <c r="AC694" i="25" s="1"/>
  <c r="O694" i="25"/>
  <c r="R17" i="29"/>
  <c r="AE17" i="29" s="1"/>
  <c r="AC17" i="29" s="1"/>
  <c r="T318" i="25"/>
  <c r="AD318" i="25" s="1"/>
  <c r="AC318" i="25" s="1"/>
  <c r="T187" i="25"/>
  <c r="AD187" i="25" s="1"/>
  <c r="AC187" i="25" s="1"/>
  <c r="T87" i="29"/>
  <c r="AD87" i="29" s="1"/>
  <c r="AE87" i="29"/>
  <c r="T154" i="29"/>
  <c r="AD154" i="29" s="1"/>
  <c r="R16" i="29"/>
  <c r="AE16" i="29" s="1"/>
  <c r="AC16" i="29" s="1"/>
  <c r="N841" i="16"/>
  <c r="AE62" i="29"/>
  <c r="G195" i="16"/>
  <c r="T190" i="8"/>
  <c r="AD190" i="8" s="1"/>
  <c r="AC190" i="8" s="1"/>
  <c r="O163" i="8"/>
  <c r="O145" i="8"/>
  <c r="O148" i="8"/>
  <c r="T236" i="8"/>
  <c r="AD236" i="8" s="1"/>
  <c r="AC236" i="8" s="1"/>
  <c r="O236" i="8"/>
  <c r="O143" i="8"/>
  <c r="AD439" i="16"/>
  <c r="AC439" i="16" s="1"/>
  <c r="N364" i="16"/>
  <c r="T38" i="8"/>
  <c r="AD38" i="8" s="1"/>
  <c r="AC38" i="8" s="1"/>
  <c r="O158" i="8"/>
  <c r="J18" i="18"/>
  <c r="J18" i="17"/>
  <c r="O453" i="24"/>
  <c r="AO453" i="24" s="1"/>
  <c r="N712" i="16"/>
  <c r="G712" i="16" s="1"/>
  <c r="AD92" i="16"/>
  <c r="AC92" i="16" s="1"/>
  <c r="O126" i="29"/>
  <c r="AO126" i="29" s="1"/>
  <c r="S2309" i="16"/>
  <c r="O2309" i="16" s="1"/>
  <c r="S2305" i="16"/>
  <c r="T2305" i="16" s="1"/>
  <c r="AD2305" i="16" s="1"/>
  <c r="AC2305" i="16" s="1"/>
  <c r="BF16" i="8"/>
  <c r="BF16" i="25"/>
  <c r="BF16" i="29"/>
  <c r="L11" i="7"/>
  <c r="B3" i="3" s="1"/>
  <c r="BF16" i="28"/>
  <c r="BF17" i="24"/>
  <c r="L220" i="24" s="1"/>
  <c r="R130" i="29"/>
  <c r="M130" i="29" s="1"/>
  <c r="AM130" i="29" s="1"/>
  <c r="S2090" i="16"/>
  <c r="O2090" i="16" s="1"/>
  <c r="AC532" i="16"/>
  <c r="AC483" i="16"/>
  <c r="O246" i="28"/>
  <c r="AO246" i="28" s="1"/>
  <c r="BE16" i="8"/>
  <c r="T2034" i="16"/>
  <c r="AD2034" i="16" s="1"/>
  <c r="AC2034" i="16" s="1"/>
  <c r="O2034" i="16"/>
  <c r="O2032" i="16"/>
  <c r="AO2032" i="16" s="1"/>
  <c r="T2032" i="16"/>
  <c r="AD2032" i="16" s="1"/>
  <c r="AC2032" i="16" s="1"/>
  <c r="O1909" i="16"/>
  <c r="AO1909" i="16" s="1"/>
  <c r="T1909" i="16"/>
  <c r="AD1909" i="16" s="1"/>
  <c r="AC1909" i="16" s="1"/>
  <c r="T2029" i="16"/>
  <c r="AD2029" i="16" s="1"/>
  <c r="AC2029" i="16" s="1"/>
  <c r="T2028" i="16"/>
  <c r="AD2028" i="16" s="1"/>
  <c r="AC2028" i="16" s="1"/>
  <c r="O2026" i="16"/>
  <c r="AC460" i="16"/>
  <c r="N1881" i="16"/>
  <c r="T243" i="28"/>
  <c r="AD243" i="28" s="1"/>
  <c r="AC243" i="28" s="1"/>
  <c r="BE16" i="25"/>
  <c r="BE16" i="29"/>
  <c r="BE16" i="28"/>
  <c r="BE17" i="24"/>
  <c r="N1990" i="16"/>
  <c r="G1990" i="16" s="1"/>
  <c r="N1870" i="16"/>
  <c r="G1870" i="16" s="1"/>
  <c r="T23" i="28"/>
  <c r="AD23" i="28" s="1"/>
  <c r="AC23" i="28" s="1"/>
  <c r="BD15" i="16"/>
  <c r="BD1863" i="16"/>
  <c r="BD315" i="16"/>
  <c r="BD897" i="16"/>
  <c r="BD2263" i="16"/>
  <c r="BC15" i="16"/>
  <c r="BC315" i="16"/>
  <c r="Z15" i="23"/>
  <c r="V15" i="23"/>
  <c r="BE1602" i="16" s="1"/>
  <c r="X15" i="23"/>
  <c r="BG1602" i="16" s="1"/>
  <c r="BC1863" i="16"/>
  <c r="Y15" i="23"/>
  <c r="BH1602" i="16" s="1"/>
  <c r="BC2263" i="16"/>
  <c r="W15" i="23"/>
  <c r="BF1602" i="16" s="1"/>
  <c r="BC897" i="16"/>
  <c r="T84" i="29"/>
  <c r="AD84" i="29" s="1"/>
  <c r="G338" i="16"/>
  <c r="G339" i="16" s="1"/>
  <c r="G340" i="16" s="1"/>
  <c r="G341" i="16" s="1"/>
  <c r="O359" i="28"/>
  <c r="AO359" i="28" s="1"/>
  <c r="G659" i="16"/>
  <c r="G660" i="16" s="1"/>
  <c r="G661" i="16" s="1"/>
  <c r="G662" i="16" s="1"/>
  <c r="G663" i="16" s="1"/>
  <c r="G664" i="16" s="1"/>
  <c r="G665" i="16" s="1"/>
  <c r="G666" i="16" s="1"/>
  <c r="G667" i="16" s="1"/>
  <c r="N742" i="16"/>
  <c r="G743" i="16" s="1"/>
  <c r="G744" i="16" s="1"/>
  <c r="G745" i="16" s="1"/>
  <c r="G746" i="16" s="1"/>
  <c r="G747" i="16" s="1"/>
  <c r="G748" i="16" s="1"/>
  <c r="N749" i="16"/>
  <c r="R84" i="29"/>
  <c r="M84" i="29" s="1"/>
  <c r="AM84" i="29" s="1"/>
  <c r="S2352" i="16"/>
  <c r="T2352" i="16" s="1"/>
  <c r="AD2352" i="16" s="1"/>
  <c r="N2328" i="16"/>
  <c r="F26" i="3"/>
  <c r="D26" i="3"/>
  <c r="E26" i="3"/>
  <c r="G30" i="3" s="1"/>
  <c r="G351" i="16"/>
  <c r="G352" i="16" s="1"/>
  <c r="G353" i="16" s="1"/>
  <c r="G354" i="16" s="1"/>
  <c r="F32" i="18"/>
  <c r="S2272" i="16"/>
  <c r="T2272" i="16" s="1"/>
  <c r="AD2272" i="16" s="1"/>
  <c r="AC2272" i="16" s="1"/>
  <c r="S2289" i="16"/>
  <c r="T2289" i="16" s="1"/>
  <c r="AD2289" i="16" s="1"/>
  <c r="AC2289" i="16" s="1"/>
  <c r="S2357" i="16"/>
  <c r="T2357" i="16" s="1"/>
  <c r="AD2357" i="16" s="1"/>
  <c r="AC2357" i="16" s="1"/>
  <c r="S2298" i="16"/>
  <c r="T2298" i="16" s="1"/>
  <c r="AD2298" i="16" s="1"/>
  <c r="AC2298" i="16" s="1"/>
  <c r="S2363" i="16"/>
  <c r="T2363" i="16" s="1"/>
  <c r="AD2363" i="16" s="1"/>
  <c r="AC2363" i="16" s="1"/>
  <c r="S2355" i="16"/>
  <c r="T2355" i="16" s="1"/>
  <c r="AD2355" i="16" s="1"/>
  <c r="AC2355" i="16" s="1"/>
  <c r="S2342" i="16"/>
  <c r="T2342" i="16" s="1"/>
  <c r="AD2342" i="16" s="1"/>
  <c r="AC2342" i="16" s="1"/>
  <c r="S2301" i="16"/>
  <c r="T2301" i="16" s="1"/>
  <c r="AD2301" i="16" s="1"/>
  <c r="AC2301" i="16" s="1"/>
  <c r="S2296" i="16"/>
  <c r="T2296" i="16" s="1"/>
  <c r="AD2296" i="16" s="1"/>
  <c r="AC2296" i="16" s="1"/>
  <c r="S2270" i="16"/>
  <c r="T2270" i="16" s="1"/>
  <c r="AD2270" i="16" s="1"/>
  <c r="AC2270" i="16" s="1"/>
  <c r="S2275" i="16"/>
  <c r="S2343" i="16"/>
  <c r="T2343" i="16" s="1"/>
  <c r="AD2343" i="16" s="1"/>
  <c r="AC2343" i="16" s="1"/>
  <c r="S2274" i="16"/>
  <c r="T2274" i="16" s="1"/>
  <c r="AD2274" i="16" s="1"/>
  <c r="AC2274" i="16" s="1"/>
  <c r="S2362" i="16"/>
  <c r="T2362" i="16" s="1"/>
  <c r="AD2362" i="16" s="1"/>
  <c r="AC2362" i="16" s="1"/>
  <c r="S2368" i="16"/>
  <c r="T2368" i="16" s="1"/>
  <c r="AD2368" i="16" s="1"/>
  <c r="AC2368" i="16" s="1"/>
  <c r="S2308" i="16"/>
  <c r="T2308" i="16" s="1"/>
  <c r="AD2308" i="16" s="1"/>
  <c r="AC2308" i="16" s="1"/>
  <c r="S2390" i="16"/>
  <c r="T2390" i="16" s="1"/>
  <c r="AD2390" i="16" s="1"/>
  <c r="AC2390" i="16" s="1"/>
  <c r="S2344" i="16"/>
  <c r="T2344" i="16" s="1"/>
  <c r="AD2344" i="16" s="1"/>
  <c r="AC2344" i="16" s="1"/>
  <c r="S2303" i="16"/>
  <c r="T2303" i="16" s="1"/>
  <c r="AD2303" i="16" s="1"/>
  <c r="AC2303" i="16" s="1"/>
  <c r="S2401" i="16"/>
  <c r="O2401" i="16" s="1"/>
  <c r="S2294" i="16"/>
  <c r="T2294" i="16" s="1"/>
  <c r="AD2294" i="16" s="1"/>
  <c r="AC2294" i="16" s="1"/>
  <c r="S2307" i="16"/>
  <c r="T2307" i="16" s="1"/>
  <c r="AD2307" i="16" s="1"/>
  <c r="AC2307" i="16" s="1"/>
  <c r="S2337" i="16"/>
  <c r="S2397" i="16"/>
  <c r="T2397" i="16" s="1"/>
  <c r="AD2397" i="16" s="1"/>
  <c r="AC2397" i="16" s="1"/>
  <c r="S2396" i="16"/>
  <c r="T2396" i="16" s="1"/>
  <c r="AD2396" i="16" s="1"/>
  <c r="AC2396" i="16" s="1"/>
  <c r="S2395" i="16"/>
  <c r="T2395" i="16" s="1"/>
  <c r="AD2395" i="16" s="1"/>
  <c r="AC2395" i="16" s="1"/>
  <c r="S2365" i="16"/>
  <c r="T2365" i="16" s="1"/>
  <c r="AD2365" i="16" s="1"/>
  <c r="AC2365" i="16" s="1"/>
  <c r="S2262" i="16"/>
  <c r="O2259" i="16" s="1"/>
  <c r="S2278" i="16"/>
  <c r="T2278" i="16" s="1"/>
  <c r="AD2278" i="16" s="1"/>
  <c r="AC2278" i="16" s="1"/>
  <c r="S2371" i="16"/>
  <c r="S2279" i="16"/>
  <c r="T2279" i="16" s="1"/>
  <c r="AD2279" i="16" s="1"/>
  <c r="AC2279" i="16" s="1"/>
  <c r="S2398" i="16"/>
  <c r="T2398" i="16" s="1"/>
  <c r="AD2398" i="16" s="1"/>
  <c r="AC2398" i="16" s="1"/>
  <c r="S2263" i="16"/>
  <c r="S2285" i="16"/>
  <c r="T2285" i="16" s="1"/>
  <c r="AD2285" i="16" s="1"/>
  <c r="AC2285" i="16" s="1"/>
  <c r="S2360" i="16"/>
  <c r="T2360" i="16" s="1"/>
  <c r="AD2360" i="16" s="1"/>
  <c r="AC2360" i="16" s="1"/>
  <c r="S2293" i="16"/>
  <c r="T2293" i="16" s="1"/>
  <c r="AD2293" i="16" s="1"/>
  <c r="AC2293" i="16" s="1"/>
  <c r="S2350" i="16"/>
  <c r="S2379" i="16"/>
  <c r="T2379" i="16" s="1"/>
  <c r="AD2379" i="16" s="1"/>
  <c r="AC2379" i="16" s="1"/>
  <c r="S2269" i="16"/>
  <c r="T2269" i="16" s="1"/>
  <c r="AD2269" i="16" s="1"/>
  <c r="AC2269" i="16" s="1"/>
  <c r="S2264" i="16"/>
  <c r="S2268" i="16"/>
  <c r="T2268" i="16" s="1"/>
  <c r="AD2268" i="16" s="1"/>
  <c r="AC2268" i="16" s="1"/>
  <c r="S2339" i="16"/>
  <c r="T2339" i="16" s="1"/>
  <c r="AD2339" i="16" s="1"/>
  <c r="AC2339" i="16" s="1"/>
  <c r="S2291" i="16"/>
  <c r="T2291" i="16" s="1"/>
  <c r="AD2291" i="16" s="1"/>
  <c r="AC2291" i="16" s="1"/>
  <c r="S2340" i="16"/>
  <c r="T2340" i="16" s="1"/>
  <c r="AD2340" i="16" s="1"/>
  <c r="AC2340" i="16" s="1"/>
  <c r="S2331" i="16"/>
  <c r="S2367" i="16"/>
  <c r="T2367" i="16" s="1"/>
  <c r="AD2367" i="16" s="1"/>
  <c r="AC2367" i="16" s="1"/>
  <c r="S2392" i="16"/>
  <c r="T2392" i="16" s="1"/>
  <c r="AD2392" i="16" s="1"/>
  <c r="AC2392" i="16" s="1"/>
  <c r="S2334" i="16"/>
  <c r="S2383" i="16"/>
  <c r="T2383" i="16" s="1"/>
  <c r="AD2383" i="16" s="1"/>
  <c r="AC2383" i="16" s="1"/>
  <c r="S2377" i="16"/>
  <c r="S2393" i="16"/>
  <c r="T2393" i="16" s="1"/>
  <c r="AD2393" i="16" s="1"/>
  <c r="AC2393" i="16" s="1"/>
  <c r="S2299" i="16"/>
  <c r="T2299" i="16" s="1"/>
  <c r="AD2299" i="16" s="1"/>
  <c r="AC2299" i="16" s="1"/>
  <c r="S2277" i="16"/>
  <c r="T2277" i="16" s="1"/>
  <c r="AD2277" i="16" s="1"/>
  <c r="AC2277" i="16" s="1"/>
  <c r="T15" i="29"/>
  <c r="AD15" i="29" s="1"/>
  <c r="R15" i="29"/>
  <c r="AC1895" i="16"/>
  <c r="AC2077" i="16"/>
  <c r="AC2186" i="16"/>
  <c r="AC2046" i="16"/>
  <c r="AC1893" i="16"/>
  <c r="O2211" i="16"/>
  <c r="T2211" i="16"/>
  <c r="AD2211" i="16" s="1"/>
  <c r="AC2211" i="16" s="1"/>
  <c r="M1898" i="16"/>
  <c r="AE1898" i="16"/>
  <c r="AC1944" i="16"/>
  <c r="AF1920" i="16"/>
  <c r="AC1920" i="16"/>
  <c r="M1890" i="16"/>
  <c r="AE1890" i="16"/>
  <c r="AC1900" i="16"/>
  <c r="N1884" i="16"/>
  <c r="T37" i="28"/>
  <c r="AD37" i="28" s="1"/>
  <c r="AC37" i="28" s="1"/>
  <c r="T103" i="29"/>
  <c r="AD103" i="29" s="1"/>
  <c r="O99" i="29"/>
  <c r="R103" i="29"/>
  <c r="AC230" i="28"/>
  <c r="T133" i="24"/>
  <c r="AD133" i="24" s="1"/>
  <c r="R133" i="24"/>
  <c r="T108" i="24"/>
  <c r="AD108" i="24" s="1"/>
  <c r="AC108" i="24" s="1"/>
  <c r="O105" i="24"/>
  <c r="N429" i="16"/>
  <c r="G429" i="16" s="1"/>
  <c r="R124" i="24"/>
  <c r="T124" i="24"/>
  <c r="AD124" i="24" s="1"/>
  <c r="T38" i="25"/>
  <c r="AD38" i="25" s="1"/>
  <c r="AC38" i="25" s="1"/>
  <c r="T34" i="25"/>
  <c r="AD34" i="25" s="1"/>
  <c r="R34" i="25"/>
  <c r="T28" i="25"/>
  <c r="AD28" i="25" s="1"/>
  <c r="R28" i="25"/>
  <c r="T31" i="25"/>
  <c r="AD31" i="25" s="1"/>
  <c r="R31" i="25"/>
  <c r="T126" i="25"/>
  <c r="AD126" i="25" s="1"/>
  <c r="R126" i="25"/>
  <c r="N453" i="16"/>
  <c r="AD933" i="16"/>
  <c r="AD893" i="16"/>
  <c r="R117" i="25"/>
  <c r="T117" i="25"/>
  <c r="AD117" i="25" s="1"/>
  <c r="T241" i="28"/>
  <c r="AD241" i="28" s="1"/>
  <c r="AC241" i="28" s="1"/>
  <c r="O241" i="28"/>
  <c r="T59" i="25"/>
  <c r="AD59" i="25" s="1"/>
  <c r="G116" i="16"/>
  <c r="G117" i="16" s="1"/>
  <c r="G118" i="16" s="1"/>
  <c r="G119" i="16" s="1"/>
  <c r="G120" i="16" s="1"/>
  <c r="G121" i="16" s="1"/>
  <c r="AE952" i="16"/>
  <c r="AF952" i="16" s="1"/>
  <c r="AD952" i="16"/>
  <c r="R19" i="25"/>
  <c r="T19" i="25"/>
  <c r="AD19" i="25" s="1"/>
  <c r="R22" i="25"/>
  <c r="T22" i="25"/>
  <c r="AD22" i="25" s="1"/>
  <c r="T107" i="25"/>
  <c r="AD107" i="25" s="1"/>
  <c r="R107" i="25"/>
  <c r="AE107" i="25" s="1"/>
  <c r="N641" i="16"/>
  <c r="AE78" i="25"/>
  <c r="T78" i="25"/>
  <c r="AD78" i="25" s="1"/>
  <c r="AC139" i="24"/>
  <c r="O2088" i="16"/>
  <c r="T2088" i="16"/>
  <c r="AD2088" i="16" s="1"/>
  <c r="AC2088" i="16" s="1"/>
  <c r="N437" i="16"/>
  <c r="G437" i="16" s="1"/>
  <c r="AD955" i="16"/>
  <c r="AD991" i="16"/>
  <c r="T81" i="25"/>
  <c r="AD81" i="25" s="1"/>
  <c r="O1396" i="16"/>
  <c r="O359" i="16"/>
  <c r="S172" i="82"/>
  <c r="O1195" i="16"/>
  <c r="O37" i="16"/>
  <c r="O1870" i="16"/>
  <c r="S529" i="16"/>
  <c r="O1387" i="16"/>
  <c r="O61" i="24"/>
  <c r="W1541" i="16"/>
  <c r="O1391" i="16"/>
  <c r="O321" i="25"/>
  <c r="O38" i="8"/>
  <c r="S231" i="24"/>
  <c r="AE175" i="25"/>
  <c r="O522" i="25"/>
  <c r="O1884" i="16"/>
  <c r="O1464" i="16"/>
  <c r="O1626" i="16"/>
  <c r="E298" i="76" l="1"/>
  <c r="G686" i="16"/>
  <c r="G687" i="16" s="1"/>
  <c r="E302" i="76"/>
  <c r="E264" i="76"/>
  <c r="G1888" i="76"/>
  <c r="G1887" i="76" s="1"/>
  <c r="AO2211" i="16"/>
  <c r="E2211" i="76"/>
  <c r="G1890" i="16"/>
  <c r="AM1890" i="16"/>
  <c r="G1898" i="16"/>
  <c r="G1899" i="16" s="1"/>
  <c r="AM1898" i="16"/>
  <c r="G2328" i="16"/>
  <c r="G2329" i="16" s="1"/>
  <c r="G2330" i="16" s="1"/>
  <c r="C2040" i="66"/>
  <c r="A2040" i="66"/>
  <c r="C1985" i="66"/>
  <c r="A1986" i="66"/>
  <c r="A1987" i="66" s="1"/>
  <c r="C1987" i="66" s="1"/>
  <c r="G1980" i="16"/>
  <c r="G1981" i="16" s="1"/>
  <c r="G1982" i="16" s="1"/>
  <c r="G1983" i="16" s="1"/>
  <c r="G1984" i="16" s="1"/>
  <c r="A1989" i="66"/>
  <c r="C1989" i="66" s="1"/>
  <c r="G1961" i="16"/>
  <c r="G1963" i="16" s="1"/>
  <c r="G1964" i="16" s="1"/>
  <c r="G1965" i="16" s="1"/>
  <c r="G1966" i="16" s="1"/>
  <c r="G1967" i="16" s="1"/>
  <c r="G1962" i="16"/>
  <c r="C1941" i="66"/>
  <c r="A1942" i="66"/>
  <c r="C1942" i="66" s="1"/>
  <c r="G1942" i="16"/>
  <c r="G1943" i="16" s="1"/>
  <c r="A1914" i="66"/>
  <c r="C1914" i="66" s="1"/>
  <c r="C1892" i="66"/>
  <c r="A1892" i="66"/>
  <c r="A1893" i="66" s="1"/>
  <c r="C1893" i="66" s="1"/>
  <c r="C1899" i="66"/>
  <c r="A1880" i="66"/>
  <c r="A1881" i="66" s="1"/>
  <c r="G1881" i="16"/>
  <c r="G1882" i="16" s="1"/>
  <c r="G1883" i="16" s="1"/>
  <c r="C357" i="66"/>
  <c r="G2090" i="16"/>
  <c r="G2091" i="16" s="1"/>
  <c r="G2092" i="16" s="1"/>
  <c r="C312" i="66"/>
  <c r="A313" i="66"/>
  <c r="A1406" i="66"/>
  <c r="A428" i="66"/>
  <c r="C428" i="66" s="1"/>
  <c r="S476" i="25"/>
  <c r="O476" i="25" s="1"/>
  <c r="R160" i="25"/>
  <c r="G841" i="16"/>
  <c r="G842" i="16" s="1"/>
  <c r="G843" i="16" s="1"/>
  <c r="G844" i="16" s="1"/>
  <c r="G845" i="16" s="1"/>
  <c r="G846" i="16" s="1"/>
  <c r="G847" i="16" s="1"/>
  <c r="G848" i="16" s="1"/>
  <c r="G849" i="16" s="1"/>
  <c r="G850" i="16" s="1"/>
  <c r="G851" i="16" s="1"/>
  <c r="G852" i="16" s="1"/>
  <c r="G853" i="16" s="1"/>
  <c r="G854" i="16" s="1"/>
  <c r="G855" i="16" s="1"/>
  <c r="G856" i="16" s="1"/>
  <c r="G857" i="16" s="1"/>
  <c r="G858" i="16" s="1"/>
  <c r="G859" i="16" s="1"/>
  <c r="G860" i="16" s="1"/>
  <c r="G861" i="16" s="1"/>
  <c r="G862" i="16" s="1"/>
  <c r="G863" i="16" s="1"/>
  <c r="G864" i="16" s="1"/>
  <c r="G865" i="16" s="1"/>
  <c r="G866" i="16" s="1"/>
  <c r="G735" i="16"/>
  <c r="G736" i="16" s="1"/>
  <c r="G737" i="16" s="1"/>
  <c r="G738" i="16" s="1"/>
  <c r="G739" i="16" s="1"/>
  <c r="G740" i="16" s="1"/>
  <c r="G741" i="16" s="1"/>
  <c r="G1552" i="16"/>
  <c r="G1553" i="16" s="1"/>
  <c r="G85" i="16"/>
  <c r="G86" i="16" s="1"/>
  <c r="G87" i="16" s="1"/>
  <c r="G88" i="16" s="1"/>
  <c r="G89" i="16" s="1"/>
  <c r="G282" i="16"/>
  <c r="G283" i="16" s="1"/>
  <c r="G284" i="16" s="1"/>
  <c r="G285" i="16" s="1"/>
  <c r="G288" i="16" s="1"/>
  <c r="G503" i="16"/>
  <c r="G504" i="16" s="1"/>
  <c r="G505" i="16" s="1"/>
  <c r="G506" i="16" s="1"/>
  <c r="G507" i="16" s="1"/>
  <c r="G508" i="16" s="1"/>
  <c r="G1916" i="16"/>
  <c r="G302" i="16"/>
  <c r="G303" i="16" s="1"/>
  <c r="G1387" i="16"/>
  <c r="G1388" i="16" s="1"/>
  <c r="G1389" i="16" s="1"/>
  <c r="G1390" i="16" s="1"/>
  <c r="G1884" i="16"/>
  <c r="G1885" i="16" s="1"/>
  <c r="G1886" i="16" s="1"/>
  <c r="G364" i="16"/>
  <c r="G365" i="16" s="1"/>
  <c r="G366" i="16" s="1"/>
  <c r="G367" i="16" s="1"/>
  <c r="G368" i="16" s="1"/>
  <c r="G369" i="16" s="1"/>
  <c r="G370" i="16" s="1"/>
  <c r="G371" i="16" s="1"/>
  <c r="G372" i="16" s="1"/>
  <c r="G373" i="16" s="1"/>
  <c r="G374" i="16" s="1"/>
  <c r="G375" i="16" s="1"/>
  <c r="G376" i="16" s="1"/>
  <c r="G377" i="16" s="1"/>
  <c r="G151" i="16"/>
  <c r="G152" i="16" s="1"/>
  <c r="G153" i="16" s="1"/>
  <c r="G154" i="16" s="1"/>
  <c r="G155" i="16" s="1"/>
  <c r="G1391" i="16"/>
  <c r="G1392" i="16" s="1"/>
  <c r="G1393" i="16" s="1"/>
  <c r="G1394" i="16" s="1"/>
  <c r="G1395" i="16" s="1"/>
  <c r="G127" i="16"/>
  <c r="G236" i="16"/>
  <c r="G237" i="16" s="1"/>
  <c r="G238" i="16" s="1"/>
  <c r="G239" i="16" s="1"/>
  <c r="G641" i="16"/>
  <c r="G642" i="16" s="1"/>
  <c r="G643" i="16" s="1"/>
  <c r="G644" i="16" s="1"/>
  <c r="G645" i="16" s="1"/>
  <c r="G646" i="16" s="1"/>
  <c r="G647" i="16" s="1"/>
  <c r="G648" i="16" s="1"/>
  <c r="G649" i="16" s="1"/>
  <c r="G650" i="16" s="1"/>
  <c r="G651" i="16" s="1"/>
  <c r="G652" i="16" s="1"/>
  <c r="G653" i="16" s="1"/>
  <c r="G654" i="16" s="1"/>
  <c r="G655" i="16" s="1"/>
  <c r="G656" i="16" s="1"/>
  <c r="G657" i="16" s="1"/>
  <c r="G453" i="16"/>
  <c r="G454" i="16" s="1"/>
  <c r="G455" i="16" s="1"/>
  <c r="G1482" i="16"/>
  <c r="G149" i="16"/>
  <c r="G150" i="16" s="1"/>
  <c r="G136" i="16"/>
  <c r="G266" i="16"/>
  <c r="G267" i="16" s="1"/>
  <c r="G268" i="16" s="1"/>
  <c r="G300" i="16"/>
  <c r="G301" i="16" s="1"/>
  <c r="G1486" i="16"/>
  <c r="G1487" i="16" s="1"/>
  <c r="G1488" i="16" s="1"/>
  <c r="G1489" i="16" s="1"/>
  <c r="G240" i="16"/>
  <c r="A640" i="66"/>
  <c r="C640" i="66" s="1"/>
  <c r="A1485" i="66"/>
  <c r="C1485" i="66" s="1"/>
  <c r="A1551" i="66"/>
  <c r="A1552" i="66" s="1"/>
  <c r="C1552" i="66" s="1"/>
  <c r="A235" i="66"/>
  <c r="C235" i="66" s="1"/>
  <c r="C179" i="66"/>
  <c r="A281" i="66"/>
  <c r="C281" i="66" s="1"/>
  <c r="A150" i="66"/>
  <c r="C150" i="66" s="1"/>
  <c r="A155" i="66"/>
  <c r="C155" i="66" s="1"/>
  <c r="A1883" i="66"/>
  <c r="C1883" i="66" s="1"/>
  <c r="C64" i="66"/>
  <c r="A60" i="66"/>
  <c r="A1481" i="66"/>
  <c r="C1481" i="66" s="1"/>
  <c r="AE1049" i="16"/>
  <c r="AC1049" i="16" s="1"/>
  <c r="M1049" i="16"/>
  <c r="G1049" i="16" s="1"/>
  <c r="G1033" i="16" s="1"/>
  <c r="M175" i="25"/>
  <c r="AM175" i="25" s="1"/>
  <c r="A429" i="66"/>
  <c r="A2259" i="66"/>
  <c r="C2259" i="66" s="1"/>
  <c r="AO312" i="16"/>
  <c r="E312" i="76"/>
  <c r="G312" i="76" s="1"/>
  <c r="G313" i="76" s="1"/>
  <c r="G314" i="76" s="1"/>
  <c r="G315" i="76" s="1"/>
  <c r="G897" i="16"/>
  <c r="G898" i="16" s="1"/>
  <c r="G899" i="16" s="1"/>
  <c r="G900" i="16" s="1"/>
  <c r="AM896" i="16"/>
  <c r="I382" i="66"/>
  <c r="AO85" i="24"/>
  <c r="E2093" i="76"/>
  <c r="AO2093" i="16"/>
  <c r="AO2090" i="16"/>
  <c r="E2090" i="76"/>
  <c r="I2345" i="66"/>
  <c r="AO99" i="29"/>
  <c r="I402" i="66"/>
  <c r="AO105" i="24"/>
  <c r="AO189" i="16"/>
  <c r="E189" i="76"/>
  <c r="E2401" i="76"/>
  <c r="AO2401" i="16"/>
  <c r="AO2259" i="16"/>
  <c r="E2259" i="76"/>
  <c r="AO2309" i="16"/>
  <c r="E2309" i="76"/>
  <c r="O1061" i="16"/>
  <c r="E1061" i="76" s="1"/>
  <c r="AM1061" i="16"/>
  <c r="AO1870" i="16"/>
  <c r="AO1884" i="16"/>
  <c r="E2026" i="76"/>
  <c r="G2026" i="76" s="1"/>
  <c r="G2027" i="76" s="1"/>
  <c r="AO2026" i="16"/>
  <c r="E2034" i="76"/>
  <c r="AO2034" i="16"/>
  <c r="E2018" i="76"/>
  <c r="AO2018" i="16"/>
  <c r="E2088" i="76"/>
  <c r="AO2088" i="16"/>
  <c r="AO1626" i="16"/>
  <c r="E1665" i="76"/>
  <c r="AO1665" i="16"/>
  <c r="E1667" i="76"/>
  <c r="AO1667" i="16"/>
  <c r="AO1391" i="16"/>
  <c r="AO1464" i="16"/>
  <c r="AO1387" i="16"/>
  <c r="AO1195" i="16"/>
  <c r="AO1396" i="16"/>
  <c r="E1552" i="76"/>
  <c r="G1552" i="76" s="1"/>
  <c r="G1553" i="76" s="1"/>
  <c r="AO1552" i="16"/>
  <c r="E1484" i="76"/>
  <c r="AO1484" i="16"/>
  <c r="G909" i="16"/>
  <c r="AM908" i="16"/>
  <c r="E1486" i="76"/>
  <c r="AO1486" i="16"/>
  <c r="E1542" i="76"/>
  <c r="AO1542" i="16"/>
  <c r="G906" i="16"/>
  <c r="G907" i="16" s="1"/>
  <c r="AM905" i="16"/>
  <c r="E1540" i="76"/>
  <c r="G1540" i="76" s="1"/>
  <c r="G1541" i="76" s="1"/>
  <c r="AO1540" i="16"/>
  <c r="E1482" i="76"/>
  <c r="AO1482" i="16"/>
  <c r="G903" i="16"/>
  <c r="G904" i="16" s="1"/>
  <c r="AM902" i="16"/>
  <c r="AO359" i="16"/>
  <c r="AO37" i="16"/>
  <c r="E293" i="76"/>
  <c r="E270" i="76"/>
  <c r="E289" i="76"/>
  <c r="E266" i="76"/>
  <c r="E269" i="76"/>
  <c r="E282" i="76"/>
  <c r="E235" i="76"/>
  <c r="E300" i="76"/>
  <c r="E292" i="76"/>
  <c r="I1904" i="66"/>
  <c r="AO58" i="28"/>
  <c r="C1880" i="66"/>
  <c r="I2087" i="66"/>
  <c r="AO241" i="28"/>
  <c r="I2072" i="66"/>
  <c r="AO226" i="28"/>
  <c r="I2033" i="66"/>
  <c r="AO187" i="28"/>
  <c r="I2031" i="66"/>
  <c r="AO185" i="28"/>
  <c r="I2025" i="66"/>
  <c r="AO179" i="28"/>
  <c r="I2017" i="66"/>
  <c r="AO171" i="28"/>
  <c r="I1908" i="66"/>
  <c r="AO62" i="28"/>
  <c r="I1567" i="66"/>
  <c r="AO694" i="25"/>
  <c r="I1541" i="66"/>
  <c r="AO668" i="25"/>
  <c r="I1539" i="66"/>
  <c r="AO666" i="25"/>
  <c r="A1486" i="66"/>
  <c r="A1487" i="66" s="1"/>
  <c r="I1483" i="66"/>
  <c r="AO610" i="25"/>
  <c r="AO522" i="25"/>
  <c r="I1284" i="66"/>
  <c r="AO411" i="25"/>
  <c r="I1257" i="66"/>
  <c r="AO384" i="25"/>
  <c r="AO321" i="25"/>
  <c r="I448" i="66"/>
  <c r="AO151" i="24"/>
  <c r="I444" i="66"/>
  <c r="AO147" i="24"/>
  <c r="I438" i="66"/>
  <c r="I434" i="66" s="1"/>
  <c r="A434" i="66" s="1"/>
  <c r="AO141" i="24"/>
  <c r="AO61" i="24"/>
  <c r="I294" i="66"/>
  <c r="I286" i="66"/>
  <c r="I261" i="66"/>
  <c r="I234" i="66"/>
  <c r="AO236" i="8"/>
  <c r="I161" i="66"/>
  <c r="AO163" i="8"/>
  <c r="I156" i="66"/>
  <c r="AO158" i="8"/>
  <c r="I146" i="66"/>
  <c r="AO148" i="8"/>
  <c r="I143" i="66"/>
  <c r="AO145" i="8"/>
  <c r="I141" i="66"/>
  <c r="AO143" i="8"/>
  <c r="AO38" i="8"/>
  <c r="A2328" i="66"/>
  <c r="C2327" i="66"/>
  <c r="A2090" i="66"/>
  <c r="C2089" i="66"/>
  <c r="A1978" i="66"/>
  <c r="C1978" i="66" s="1"/>
  <c r="C1977" i="66"/>
  <c r="A1974" i="66"/>
  <c r="C1973" i="66"/>
  <c r="I1886" i="66"/>
  <c r="A1896" i="66"/>
  <c r="C1896" i="66" s="1"/>
  <c r="C1895" i="66"/>
  <c r="A1970" i="66"/>
  <c r="C1969" i="66"/>
  <c r="A2000" i="66"/>
  <c r="C1999" i="66"/>
  <c r="A2014" i="66"/>
  <c r="C2013" i="66"/>
  <c r="C1986" i="66"/>
  <c r="A2229" i="66"/>
  <c r="C2228" i="66"/>
  <c r="A1907" i="66"/>
  <c r="C1907" i="66" s="1"/>
  <c r="C1906" i="66"/>
  <c r="A1861" i="66"/>
  <c r="C1861" i="66" s="1"/>
  <c r="C1860" i="66"/>
  <c r="A1891" i="66"/>
  <c r="C1891" i="66" s="1"/>
  <c r="C1890" i="66"/>
  <c r="A1947" i="66"/>
  <c r="C1946" i="66"/>
  <c r="N1905" i="16"/>
  <c r="A326" i="66"/>
  <c r="C326" i="66" s="1"/>
  <c r="C325" i="66"/>
  <c r="A331" i="66"/>
  <c r="C331" i="66" s="1"/>
  <c r="C330" i="66"/>
  <c r="A826" i="66"/>
  <c r="C826" i="66" s="1"/>
  <c r="C825" i="66"/>
  <c r="A401" i="66"/>
  <c r="C401" i="66" s="1"/>
  <c r="C400" i="66"/>
  <c r="A2211" i="66"/>
  <c r="C2210" i="66"/>
  <c r="A578" i="66"/>
  <c r="C578" i="66" s="1"/>
  <c r="C577" i="66"/>
  <c r="A413" i="66"/>
  <c r="C413" i="66" s="1"/>
  <c r="C412" i="66"/>
  <c r="A602" i="66"/>
  <c r="C601" i="66"/>
  <c r="A468" i="66"/>
  <c r="C467" i="66"/>
  <c r="I730" i="66"/>
  <c r="A546" i="66"/>
  <c r="C545" i="66"/>
  <c r="A458" i="66"/>
  <c r="C457" i="66"/>
  <c r="A338" i="66"/>
  <c r="C338" i="66" s="1"/>
  <c r="C337" i="66"/>
  <c r="C456" i="66"/>
  <c r="A314" i="66"/>
  <c r="C314" i="66" s="1"/>
  <c r="C313" i="66"/>
  <c r="A795" i="66"/>
  <c r="C794" i="66"/>
  <c r="A348" i="66"/>
  <c r="C348" i="66" s="1"/>
  <c r="C347" i="66"/>
  <c r="A556" i="66"/>
  <c r="C556" i="66" s="1"/>
  <c r="C555" i="66"/>
  <c r="A165" i="66"/>
  <c r="C165" i="66" s="1"/>
  <c r="C164" i="66"/>
  <c r="A190" i="66"/>
  <c r="C189" i="66"/>
  <c r="A66" i="66"/>
  <c r="C66" i="66" s="1"/>
  <c r="C65" i="66"/>
  <c r="A194" i="66"/>
  <c r="C194" i="66" s="1"/>
  <c r="C193" i="66"/>
  <c r="A53" i="66"/>
  <c r="C53" i="66" s="1"/>
  <c r="C52" i="66"/>
  <c r="A213" i="66"/>
  <c r="A200" i="66" s="1"/>
  <c r="C212" i="66"/>
  <c r="A21" i="66"/>
  <c r="C21" i="66" s="1"/>
  <c r="C20" i="66"/>
  <c r="E2032" i="76"/>
  <c r="E1909" i="76"/>
  <c r="G1909" i="76" s="1"/>
  <c r="E1884" i="76"/>
  <c r="E1870" i="76"/>
  <c r="E1626" i="76"/>
  <c r="E1464" i="76"/>
  <c r="E1396" i="76"/>
  <c r="E1391" i="76"/>
  <c r="E1387" i="76"/>
  <c r="E1195" i="76"/>
  <c r="E359" i="76"/>
  <c r="G359" i="76" s="1"/>
  <c r="G360" i="76" s="1"/>
  <c r="G361" i="76" s="1"/>
  <c r="E37" i="76"/>
  <c r="I1385" i="66"/>
  <c r="A1464" i="66"/>
  <c r="A1868" i="66"/>
  <c r="C1868" i="66" s="1"/>
  <c r="I1857" i="66"/>
  <c r="C2076" i="66"/>
  <c r="A2191" i="66"/>
  <c r="C2190" i="66"/>
  <c r="A2239" i="66"/>
  <c r="C2239" i="66" s="1"/>
  <c r="C2238" i="66"/>
  <c r="A2078" i="66"/>
  <c r="C2077" i="66"/>
  <c r="A1916" i="66"/>
  <c r="C1915" i="66"/>
  <c r="A818" i="66"/>
  <c r="C817" i="66"/>
  <c r="A712" i="66"/>
  <c r="C712" i="66" s="1"/>
  <c r="C711" i="66"/>
  <c r="A703" i="66"/>
  <c r="C703" i="66" s="1"/>
  <c r="C702" i="66"/>
  <c r="A680" i="66"/>
  <c r="C679" i="66"/>
  <c r="A513" i="66"/>
  <c r="C512" i="66"/>
  <c r="A364" i="66"/>
  <c r="C364" i="66" s="1"/>
  <c r="C363" i="66"/>
  <c r="A149" i="66"/>
  <c r="C149" i="66" s="1"/>
  <c r="C148" i="66"/>
  <c r="A136" i="66"/>
  <c r="C136" i="66" s="1"/>
  <c r="C135" i="66"/>
  <c r="A116" i="66"/>
  <c r="C115" i="66"/>
  <c r="A85" i="66"/>
  <c r="C85" i="66" s="1"/>
  <c r="C84" i="66"/>
  <c r="N449" i="16"/>
  <c r="N2034" i="16"/>
  <c r="N2026" i="16"/>
  <c r="G1926" i="16"/>
  <c r="G1927" i="16" s="1"/>
  <c r="G1928" i="16" s="1"/>
  <c r="G1929" i="16" s="1"/>
  <c r="G1930" i="16" s="1"/>
  <c r="G1931" i="16" s="1"/>
  <c r="G1932" i="16" s="1"/>
  <c r="G1933" i="16" s="1"/>
  <c r="G1934" i="16" s="1"/>
  <c r="G1935" i="16" s="1"/>
  <c r="AC175" i="25"/>
  <c r="N1540" i="16"/>
  <c r="N439" i="16"/>
  <c r="N1542" i="16"/>
  <c r="N445" i="16"/>
  <c r="N1484" i="16"/>
  <c r="N1909" i="16"/>
  <c r="I1395" i="66"/>
  <c r="A1395" i="66" s="1"/>
  <c r="N1396" i="16"/>
  <c r="N359" i="16"/>
  <c r="I358" i="66"/>
  <c r="A358" i="66" s="1"/>
  <c r="O231" i="24"/>
  <c r="T231" i="24"/>
  <c r="AD231" i="24" s="1"/>
  <c r="AC231" i="24" s="1"/>
  <c r="N2032" i="16"/>
  <c r="N83" i="16"/>
  <c r="G84" i="16" s="1"/>
  <c r="I82" i="66"/>
  <c r="N420" i="16"/>
  <c r="I419" i="66"/>
  <c r="N90" i="16"/>
  <c r="G91" i="16" s="1"/>
  <c r="I89" i="66"/>
  <c r="N2309" i="16"/>
  <c r="I2308" i="66"/>
  <c r="I2205" i="66"/>
  <c r="N2093" i="16"/>
  <c r="I2092" i="66"/>
  <c r="A2092" i="66" s="1"/>
  <c r="I2372" i="66"/>
  <c r="A2372" i="66" s="1"/>
  <c r="N2401" i="16"/>
  <c r="I2400" i="66"/>
  <c r="A2400" i="66" s="1"/>
  <c r="I1194" i="66"/>
  <c r="A1194" i="66" s="1"/>
  <c r="R426" i="24"/>
  <c r="AE426" i="24" s="1"/>
  <c r="AC426" i="24" s="1"/>
  <c r="I750" i="66"/>
  <c r="I36" i="66"/>
  <c r="A36" i="66" s="1"/>
  <c r="S1199" i="16"/>
  <c r="S1197" i="16"/>
  <c r="R325" i="25"/>
  <c r="AE325" i="25" s="1"/>
  <c r="AC325" i="25" s="1"/>
  <c r="R323" i="25"/>
  <c r="AE323" i="25" s="1"/>
  <c r="T323" i="25"/>
  <c r="AD323" i="25" s="1"/>
  <c r="R62" i="25"/>
  <c r="AE62" i="25" s="1"/>
  <c r="AC62" i="25" s="1"/>
  <c r="R59" i="25"/>
  <c r="G32" i="17"/>
  <c r="G31" i="3"/>
  <c r="I32" i="17"/>
  <c r="G29" i="3"/>
  <c r="G713" i="16"/>
  <c r="G714" i="16" s="1"/>
  <c r="G715" i="16" s="1"/>
  <c r="G716" i="16" s="1"/>
  <c r="G717" i="16" s="1"/>
  <c r="G718" i="16" s="1"/>
  <c r="G719" i="16" s="1"/>
  <c r="G720" i="16" s="1"/>
  <c r="G721" i="16" s="1"/>
  <c r="G722" i="16" s="1"/>
  <c r="S259" i="28"/>
  <c r="S256" i="28"/>
  <c r="S578" i="25"/>
  <c r="T578" i="25" s="1"/>
  <c r="S576" i="25"/>
  <c r="T576" i="25" s="1"/>
  <c r="AD576" i="25" s="1"/>
  <c r="AC576" i="25" s="1"/>
  <c r="AC62" i="29"/>
  <c r="M111" i="24"/>
  <c r="AM111" i="24" s="1"/>
  <c r="T529" i="16"/>
  <c r="AD529" i="16" s="1"/>
  <c r="AC529" i="16" s="1"/>
  <c r="O529" i="16"/>
  <c r="AC107" i="25"/>
  <c r="AE105" i="29"/>
  <c r="AC105" i="29" s="1"/>
  <c r="M124" i="29"/>
  <c r="AM124" i="29" s="1"/>
  <c r="AC60" i="28"/>
  <c r="M60" i="28"/>
  <c r="AM60" i="28" s="1"/>
  <c r="N383" i="16"/>
  <c r="R1671" i="16"/>
  <c r="AE28" i="29"/>
  <c r="AC28" i="29" s="1"/>
  <c r="C25" i="81"/>
  <c r="BI1602" i="16"/>
  <c r="T1905" i="16"/>
  <c r="AD1905" i="16" s="1"/>
  <c r="R1905" i="16"/>
  <c r="O1905" i="16"/>
  <c r="T1907" i="16"/>
  <c r="AD1907" i="16" s="1"/>
  <c r="R1907" i="16"/>
  <c r="O1907" i="16"/>
  <c r="N142" i="16"/>
  <c r="T2093" i="16"/>
  <c r="AD2093" i="16" s="1"/>
  <c r="AC2093" i="16" s="1"/>
  <c r="R172" i="25"/>
  <c r="M98" i="24"/>
  <c r="AM98" i="24" s="1"/>
  <c r="C19" i="81"/>
  <c r="O178" i="25" s="1"/>
  <c r="R302" i="28"/>
  <c r="AE302" i="28" s="1"/>
  <c r="AC302" i="28" s="1"/>
  <c r="R325" i="28"/>
  <c r="AE325" i="28" s="1"/>
  <c r="AC325" i="28" s="1"/>
  <c r="S304" i="25"/>
  <c r="T304" i="25" s="1"/>
  <c r="AD304" i="25" s="1"/>
  <c r="AC304" i="25" s="1"/>
  <c r="S353" i="28"/>
  <c r="O351" i="28" s="1"/>
  <c r="M1000" i="16"/>
  <c r="AE1000" i="16"/>
  <c r="M126" i="25"/>
  <c r="AM126" i="25" s="1"/>
  <c r="AE126" i="25"/>
  <c r="AC126" i="25" s="1"/>
  <c r="G101" i="16"/>
  <c r="G263" i="16"/>
  <c r="G261" i="16"/>
  <c r="G668" i="16"/>
  <c r="G669" i="16" s="1"/>
  <c r="G670" i="16" s="1"/>
  <c r="G671" i="16" s="1"/>
  <c r="G672" i="16" s="1"/>
  <c r="G833" i="16"/>
  <c r="G832" i="16"/>
  <c r="G1891" i="16"/>
  <c r="G430" i="16"/>
  <c r="R2417" i="16"/>
  <c r="T2417" i="16"/>
  <c r="AD2417" i="16" s="1"/>
  <c r="AE154" i="29"/>
  <c r="AC154" i="29" s="1"/>
  <c r="M171" i="29"/>
  <c r="AM171" i="29" s="1"/>
  <c r="AE171" i="29"/>
  <c r="AC171" i="29" s="1"/>
  <c r="T2418" i="16"/>
  <c r="AD2418" i="16" s="1"/>
  <c r="R2418" i="16"/>
  <c r="M170" i="29"/>
  <c r="AM170" i="29" s="1"/>
  <c r="AE170" i="29"/>
  <c r="AC170" i="29" s="1"/>
  <c r="M169" i="29"/>
  <c r="AM169" i="29" s="1"/>
  <c r="AE169" i="29"/>
  <c r="AC169" i="29" s="1"/>
  <c r="T2416" i="16"/>
  <c r="AD2416" i="16" s="1"/>
  <c r="R2416" i="16"/>
  <c r="G1465" i="16"/>
  <c r="G1466" i="16" s="1"/>
  <c r="G1467" i="16" s="1"/>
  <c r="G1468" i="16" s="1"/>
  <c r="G1469" i="16" s="1"/>
  <c r="G1871" i="16"/>
  <c r="G1872" i="16" s="1"/>
  <c r="N1568" i="16"/>
  <c r="N1285" i="16"/>
  <c r="N1258" i="16"/>
  <c r="G1258" i="16" s="1"/>
  <c r="N1195" i="16"/>
  <c r="G299" i="16"/>
  <c r="G294" i="16"/>
  <c r="G297" i="16" s="1"/>
  <c r="G296" i="16"/>
  <c r="G290" i="16"/>
  <c r="G291" i="16" s="1"/>
  <c r="G265" i="16"/>
  <c r="T1192" i="16"/>
  <c r="AD1192" i="16" s="1"/>
  <c r="AC1192" i="16" s="1"/>
  <c r="O1258" i="16"/>
  <c r="T1258" i="16"/>
  <c r="AD1258" i="16" s="1"/>
  <c r="AC1258" i="16" s="1"/>
  <c r="M1146" i="16"/>
  <c r="AM1146" i="16" s="1"/>
  <c r="M1129" i="16"/>
  <c r="AM1129" i="16" s="1"/>
  <c r="M1128" i="16"/>
  <c r="AM1128" i="16" s="1"/>
  <c r="M1147" i="16"/>
  <c r="AM1147" i="16" s="1"/>
  <c r="M1130" i="16"/>
  <c r="AM1130" i="16" s="1"/>
  <c r="M1148" i="16"/>
  <c r="AM1148" i="16" s="1"/>
  <c r="M1093" i="16"/>
  <c r="AM1093" i="16" s="1"/>
  <c r="M1149" i="16"/>
  <c r="AM1149" i="16" s="1"/>
  <c r="M1150" i="16"/>
  <c r="AM1150" i="16" s="1"/>
  <c r="M1127" i="16"/>
  <c r="AM1127" i="16" s="1"/>
  <c r="M1126" i="16"/>
  <c r="AM1126" i="16" s="1"/>
  <c r="T1194" i="16"/>
  <c r="AD1194" i="16" s="1"/>
  <c r="AC1194" i="16" s="1"/>
  <c r="T1195" i="16"/>
  <c r="AD1195" i="16" s="1"/>
  <c r="AC1195" i="16" s="1"/>
  <c r="T1464" i="16"/>
  <c r="AD1464" i="16" s="1"/>
  <c r="AC1464" i="16" s="1"/>
  <c r="O1285" i="16"/>
  <c r="T1285" i="16"/>
  <c r="AD1285" i="16" s="1"/>
  <c r="AC1285" i="16" s="1"/>
  <c r="T420" i="16"/>
  <c r="AD420" i="16" s="1"/>
  <c r="AC420" i="16" s="1"/>
  <c r="O420" i="16"/>
  <c r="T406" i="16"/>
  <c r="AD406" i="16" s="1"/>
  <c r="AC406" i="16" s="1"/>
  <c r="O403" i="16"/>
  <c r="R422" i="16"/>
  <c r="M422" i="16" s="1"/>
  <c r="G422" i="16" s="1"/>
  <c r="T422" i="16"/>
  <c r="AD422" i="16" s="1"/>
  <c r="T396" i="16"/>
  <c r="AD396" i="16" s="1"/>
  <c r="R396" i="16"/>
  <c r="M396" i="16" s="1"/>
  <c r="T409" i="16"/>
  <c r="AD409" i="16" s="1"/>
  <c r="R409" i="16"/>
  <c r="M409" i="16" s="1"/>
  <c r="G409" i="16" s="1"/>
  <c r="T429" i="16"/>
  <c r="AD429" i="16" s="1"/>
  <c r="AC429" i="16" s="1"/>
  <c r="O429" i="16"/>
  <c r="T431" i="16"/>
  <c r="AD431" i="16" s="1"/>
  <c r="R431" i="16"/>
  <c r="T383" i="16"/>
  <c r="AD383" i="16" s="1"/>
  <c r="AC383" i="16" s="1"/>
  <c r="O383" i="16"/>
  <c r="N235" i="16"/>
  <c r="N162" i="16"/>
  <c r="N157" i="16"/>
  <c r="N147" i="16"/>
  <c r="N144" i="16"/>
  <c r="G144" i="16" s="1"/>
  <c r="N37" i="16"/>
  <c r="G37" i="16" s="1"/>
  <c r="S171" i="82"/>
  <c r="O171" i="82" s="1"/>
  <c r="T247" i="25"/>
  <c r="S173" i="25"/>
  <c r="AD173" i="25" s="1"/>
  <c r="C24" i="81"/>
  <c r="N24" i="81"/>
  <c r="M187" i="25"/>
  <c r="AM187" i="25" s="1"/>
  <c r="M17" i="29"/>
  <c r="AM17" i="29" s="1"/>
  <c r="AC87" i="29"/>
  <c r="M16" i="29"/>
  <c r="AM16" i="29" s="1"/>
  <c r="N751" i="16"/>
  <c r="AI3" i="8"/>
  <c r="H15" i="3"/>
  <c r="G272" i="16"/>
  <c r="G273" i="16" s="1"/>
  <c r="G274" i="16" s="1"/>
  <c r="G275" i="16" s="1"/>
  <c r="G276" i="16" s="1"/>
  <c r="G277" i="16" s="1"/>
  <c r="G278" i="16" s="1"/>
  <c r="G279" i="16" s="1"/>
  <c r="G280" i="16" s="1"/>
  <c r="G281" i="16" s="1"/>
  <c r="N2373" i="16"/>
  <c r="S354" i="28"/>
  <c r="T354" i="28" s="1"/>
  <c r="AD354" i="28" s="1"/>
  <c r="AC354" i="28" s="1"/>
  <c r="AE130" i="29"/>
  <c r="AC130" i="29" s="1"/>
  <c r="AC37" i="16"/>
  <c r="T2309" i="16"/>
  <c r="AD2309" i="16" s="1"/>
  <c r="R2309" i="16"/>
  <c r="M2309" i="16" s="1"/>
  <c r="G2309" i="16" s="1"/>
  <c r="H32" i="18"/>
  <c r="H32" i="17"/>
  <c r="I32" i="18"/>
  <c r="T2090" i="16"/>
  <c r="AD2090" i="16" s="1"/>
  <c r="AC2090" i="16" s="1"/>
  <c r="R256" i="28"/>
  <c r="M257" i="28" s="1"/>
  <c r="AM257" i="28" s="1"/>
  <c r="N15" i="3"/>
  <c r="G1991" i="16"/>
  <c r="G1992" i="16" s="1"/>
  <c r="G1993" i="16" s="1"/>
  <c r="G1994" i="16" s="1"/>
  <c r="G1995" i="16" s="1"/>
  <c r="BH15" i="16"/>
  <c r="BH1863" i="16"/>
  <c r="BH2263" i="16"/>
  <c r="BH315" i="16"/>
  <c r="BH897" i="16"/>
  <c r="W11" i="23"/>
  <c r="BG15" i="16"/>
  <c r="BG897" i="16"/>
  <c r="BG1863" i="16"/>
  <c r="V11" i="23"/>
  <c r="BG315" i="16"/>
  <c r="BG2263" i="16"/>
  <c r="BE15" i="16"/>
  <c r="BE2263" i="16"/>
  <c r="BE1863" i="16"/>
  <c r="BE897" i="16"/>
  <c r="BE315" i="16"/>
  <c r="BI897" i="16"/>
  <c r="Y11" i="23"/>
  <c r="BF15" i="16"/>
  <c r="BF897" i="16"/>
  <c r="BF1863" i="16"/>
  <c r="BF2263" i="16"/>
  <c r="BF315" i="16"/>
  <c r="L518" i="16" s="1"/>
  <c r="U11" i="23"/>
  <c r="AE84" i="29"/>
  <c r="AC84" i="29" s="1"/>
  <c r="N2206" i="16"/>
  <c r="G2207" i="16" s="1"/>
  <c r="G2208" i="16" s="1"/>
  <c r="G2209" i="16" s="1"/>
  <c r="G2210" i="16" s="1"/>
  <c r="G750" i="16"/>
  <c r="R2352" i="16"/>
  <c r="M2352" i="16" s="1"/>
  <c r="T2371" i="16"/>
  <c r="AD2371" i="16" s="1"/>
  <c r="R2371" i="16"/>
  <c r="R2337" i="16"/>
  <c r="T2337" i="16"/>
  <c r="AD2337" i="16" s="1"/>
  <c r="R2331" i="16"/>
  <c r="M2331" i="16" s="1"/>
  <c r="T2331" i="16"/>
  <c r="AD2331" i="16" s="1"/>
  <c r="O2328" i="16"/>
  <c r="R2350" i="16"/>
  <c r="O2346" i="16"/>
  <c r="T2350" i="16"/>
  <c r="AD2350" i="16" s="1"/>
  <c r="R2262" i="16"/>
  <c r="T2262" i="16"/>
  <c r="AD2262" i="16" s="1"/>
  <c r="R2401" i="16"/>
  <c r="M2401" i="16" s="1"/>
  <c r="T2401" i="16"/>
  <c r="AD2401" i="16" s="1"/>
  <c r="R2377" i="16"/>
  <c r="M2377" i="16" s="1"/>
  <c r="O2373" i="16"/>
  <c r="T2377" i="16"/>
  <c r="AD2377" i="16" s="1"/>
  <c r="T2275" i="16"/>
  <c r="AD2275" i="16" s="1"/>
  <c r="R2275" i="16"/>
  <c r="T2263" i="16"/>
  <c r="AD2263" i="16" s="1"/>
  <c r="R2263" i="16"/>
  <c r="T2334" i="16"/>
  <c r="AD2334" i="16" s="1"/>
  <c r="R2334" i="16"/>
  <c r="T2264" i="16"/>
  <c r="AD2264" i="16" s="1"/>
  <c r="R2264" i="16"/>
  <c r="M15" i="29"/>
  <c r="AM15" i="29" s="1"/>
  <c r="AE15" i="29"/>
  <c r="AC15" i="29" s="1"/>
  <c r="N2259" i="16"/>
  <c r="G2260" i="16" s="1"/>
  <c r="G2261" i="16" s="1"/>
  <c r="G67" i="16"/>
  <c r="G61" i="16" s="1"/>
  <c r="AC1898" i="16"/>
  <c r="AC1890" i="16"/>
  <c r="N2346" i="16"/>
  <c r="H24" i="3"/>
  <c r="D29" i="17" s="1"/>
  <c r="AI3" i="29"/>
  <c r="M103" i="29"/>
  <c r="AM103" i="29" s="1"/>
  <c r="AE103" i="29"/>
  <c r="AC103" i="29" s="1"/>
  <c r="AE124" i="24"/>
  <c r="AC124" i="24" s="1"/>
  <c r="M124" i="24"/>
  <c r="AM124" i="24" s="1"/>
  <c r="AE133" i="24"/>
  <c r="M133" i="24"/>
  <c r="AM133" i="24" s="1"/>
  <c r="N403" i="16"/>
  <c r="G403" i="16" s="1"/>
  <c r="AC952" i="16"/>
  <c r="AC78" i="25"/>
  <c r="M81" i="25"/>
  <c r="AM81" i="25" s="1"/>
  <c r="AE81" i="25"/>
  <c r="AC81" i="25" s="1"/>
  <c r="AE955" i="16"/>
  <c r="AF955" i="16" s="1"/>
  <c r="AE31" i="25"/>
  <c r="AC31" i="25" s="1"/>
  <c r="M31" i="25"/>
  <c r="AM31" i="25" s="1"/>
  <c r="AE34" i="25"/>
  <c r="AC34" i="25" s="1"/>
  <c r="M34" i="25"/>
  <c r="AM34" i="25" s="1"/>
  <c r="AE893" i="16"/>
  <c r="AF893" i="16" s="1"/>
  <c r="AE908" i="16"/>
  <c r="AF908" i="16" s="1"/>
  <c r="AE896" i="16"/>
  <c r="AF896" i="16" s="1"/>
  <c r="M28" i="25"/>
  <c r="AM28" i="25" s="1"/>
  <c r="AE28" i="25"/>
  <c r="AC28" i="25" s="1"/>
  <c r="M19" i="25"/>
  <c r="AM19" i="25" s="1"/>
  <c r="AE19" i="25"/>
  <c r="AC19" i="25" s="1"/>
  <c r="N2088" i="16"/>
  <c r="M117" i="25"/>
  <c r="AM117" i="25" s="1"/>
  <c r="AE117" i="25"/>
  <c r="AC117" i="25" s="1"/>
  <c r="G438" i="16"/>
  <c r="AE905" i="16"/>
  <c r="AF905" i="16" s="1"/>
  <c r="AE991" i="16"/>
  <c r="M22" i="25"/>
  <c r="AM22" i="25" s="1"/>
  <c r="AE22" i="25"/>
  <c r="AC22" i="25" s="1"/>
  <c r="M107" i="25"/>
  <c r="AM107" i="25" s="1"/>
  <c r="AE902" i="16"/>
  <c r="O259" i="28"/>
  <c r="O256" i="28"/>
  <c r="AE172" i="25"/>
  <c r="AG2" i="29"/>
  <c r="AE160" i="25"/>
  <c r="G1889" i="76" l="1"/>
  <c r="AM2352" i="16"/>
  <c r="G2352" i="16"/>
  <c r="AM2377" i="16"/>
  <c r="G2377" i="16"/>
  <c r="AM2401" i="16"/>
  <c r="G2401" i="16"/>
  <c r="AM2331" i="16"/>
  <c r="G2331" i="16"/>
  <c r="G2373" i="16"/>
  <c r="G2374" i="16" s="1"/>
  <c r="G2375" i="16" s="1"/>
  <c r="G2376" i="16" s="1"/>
  <c r="G2346" i="16"/>
  <c r="G2347" i="16" s="1"/>
  <c r="G2348" i="16" s="1"/>
  <c r="G2349" i="16" s="1"/>
  <c r="A2345" i="66"/>
  <c r="C2345" i="66" s="1"/>
  <c r="G1974" i="16"/>
  <c r="G1975" i="16" s="1"/>
  <c r="A1990" i="66"/>
  <c r="A1886" i="66"/>
  <c r="C1886" i="66" s="1"/>
  <c r="A1882" i="66"/>
  <c r="C1882" i="66" s="1"/>
  <c r="C1881" i="66"/>
  <c r="T476" i="25"/>
  <c r="AD476" i="25" s="1"/>
  <c r="AC476" i="25" s="1"/>
  <c r="A1904" i="66"/>
  <c r="C1904" i="66" s="1"/>
  <c r="G2093" i="16"/>
  <c r="G2094" i="16" s="1"/>
  <c r="G2095" i="16" s="1"/>
  <c r="A1407" i="66"/>
  <c r="C1407" i="66" s="1"/>
  <c r="C1406" i="66"/>
  <c r="G383" i="16"/>
  <c r="G384" i="16" s="1"/>
  <c r="G385" i="16" s="1"/>
  <c r="G386" i="16" s="1"/>
  <c r="G387" i="16" s="1"/>
  <c r="G388" i="16" s="1"/>
  <c r="G389" i="16" s="1"/>
  <c r="G390" i="16" s="1"/>
  <c r="G420" i="16"/>
  <c r="G421" i="16" s="1"/>
  <c r="G416" i="16" s="1"/>
  <c r="A402" i="66"/>
  <c r="A403" i="66" s="1"/>
  <c r="A382" i="66"/>
  <c r="C382" i="66" s="1"/>
  <c r="AM396" i="16"/>
  <c r="G396" i="16"/>
  <c r="G262" i="16"/>
  <c r="G128" i="16"/>
  <c r="G105" i="16" s="1"/>
  <c r="G106" i="16" s="1"/>
  <c r="G107" i="16" s="1"/>
  <c r="G108" i="16" s="1"/>
  <c r="G295" i="16"/>
  <c r="G287" i="16"/>
  <c r="G379" i="16"/>
  <c r="G380" i="16" s="1"/>
  <c r="G381" i="16" s="1"/>
  <c r="G382" i="16" s="1"/>
  <c r="G378" i="16"/>
  <c r="G901" i="16"/>
  <c r="G2088" i="16"/>
  <c r="G2089" i="16" s="1"/>
  <c r="G147" i="16"/>
  <c r="G148" i="16" s="1"/>
  <c r="G1396" i="16"/>
  <c r="G1397" i="16" s="1"/>
  <c r="G1398" i="16" s="1"/>
  <c r="G1399" i="16" s="1"/>
  <c r="G1400" i="16" s="1"/>
  <c r="G235" i="16"/>
  <c r="G231" i="16" s="1"/>
  <c r="G232" i="16" s="1"/>
  <c r="G1892" i="16"/>
  <c r="G1888" i="16" s="1"/>
  <c r="G1889" i="16" s="1"/>
  <c r="G475" i="16"/>
  <c r="G476" i="16" s="1"/>
  <c r="G477" i="16" s="1"/>
  <c r="G478" i="16" s="1"/>
  <c r="G479" i="16" s="1"/>
  <c r="G480" i="16" s="1"/>
  <c r="G481" i="16" s="1"/>
  <c r="G482" i="16" s="1"/>
  <c r="G731" i="16"/>
  <c r="G732" i="16" s="1"/>
  <c r="G439" i="16"/>
  <c r="G435" i="16" s="1"/>
  <c r="G436" i="16" s="1"/>
  <c r="G359" i="16"/>
  <c r="G360" i="16" s="1"/>
  <c r="G361" i="16" s="1"/>
  <c r="G362" i="16" s="1"/>
  <c r="G363" i="16" s="1"/>
  <c r="G1540" i="16"/>
  <c r="G1541" i="16" s="1"/>
  <c r="G137" i="16"/>
  <c r="G138" i="16" s="1"/>
  <c r="G139" i="16" s="1"/>
  <c r="G140" i="16" s="1"/>
  <c r="G141" i="16" s="1"/>
  <c r="G80" i="16"/>
  <c r="G81" i="16" s="1"/>
  <c r="G1909" i="16"/>
  <c r="G1910" i="16" s="1"/>
  <c r="G1911" i="16" s="1"/>
  <c r="G1912" i="16" s="1"/>
  <c r="G1913" i="16" s="1"/>
  <c r="G1914" i="16" s="1"/>
  <c r="G2026" i="16"/>
  <c r="G2027" i="16" s="1"/>
  <c r="G2028" i="16" s="1"/>
  <c r="G2029" i="16" s="1"/>
  <c r="G1868" i="16"/>
  <c r="G1869" i="16" s="1"/>
  <c r="G1542" i="16"/>
  <c r="G1543" i="16" s="1"/>
  <c r="G1544" i="16" s="1"/>
  <c r="G1545" i="16" s="1"/>
  <c r="G1546" i="16" s="1"/>
  <c r="G1547" i="16" s="1"/>
  <c r="G1548" i="16" s="1"/>
  <c r="G1549" i="16" s="1"/>
  <c r="G1550" i="16" s="1"/>
  <c r="G1551" i="16" s="1"/>
  <c r="G157" i="16"/>
  <c r="G158" i="16" s="1"/>
  <c r="G159" i="16" s="1"/>
  <c r="G160" i="16" s="1"/>
  <c r="G161" i="16" s="1"/>
  <c r="G1285" i="16"/>
  <c r="G1286" i="16" s="1"/>
  <c r="G751" i="16"/>
  <c r="G752" i="16" s="1"/>
  <c r="G753" i="16" s="1"/>
  <c r="G754" i="16" s="1"/>
  <c r="G755" i="16" s="1"/>
  <c r="G756" i="16" s="1"/>
  <c r="G757" i="16" s="1"/>
  <c r="G758" i="16" s="1"/>
  <c r="G759" i="16" s="1"/>
  <c r="G760" i="16" s="1"/>
  <c r="G761" i="16" s="1"/>
  <c r="G762" i="16" s="1"/>
  <c r="G763" i="16" s="1"/>
  <c r="G764" i="16" s="1"/>
  <c r="G765" i="16" s="1"/>
  <c r="G766" i="16" s="1"/>
  <c r="G767" i="16" s="1"/>
  <c r="G768" i="16" s="1"/>
  <c r="G769" i="16" s="1"/>
  <c r="G770" i="16" s="1"/>
  <c r="G771" i="16" s="1"/>
  <c r="G772" i="16" s="1"/>
  <c r="G773" i="16" s="1"/>
  <c r="G774" i="16" s="1"/>
  <c r="G775" i="16" s="1"/>
  <c r="G776" i="16" s="1"/>
  <c r="G777" i="16" s="1"/>
  <c r="G778" i="16" s="1"/>
  <c r="G779" i="16" s="1"/>
  <c r="G780" i="16" s="1"/>
  <c r="G781" i="16" s="1"/>
  <c r="G782" i="16" s="1"/>
  <c r="G783" i="16" s="1"/>
  <c r="G784" i="16" s="1"/>
  <c r="G785" i="16" s="1"/>
  <c r="G786" i="16" s="1"/>
  <c r="G787" i="16" s="1"/>
  <c r="G788" i="16" s="1"/>
  <c r="G789" i="16" s="1"/>
  <c r="G790" i="16" s="1"/>
  <c r="G791" i="16" s="1"/>
  <c r="G792" i="16" s="1"/>
  <c r="AM1000" i="16"/>
  <c r="G1000" i="16"/>
  <c r="G1001" i="16" s="1"/>
  <c r="G1002" i="16" s="1"/>
  <c r="G2032" i="16"/>
  <c r="G2033" i="16" s="1"/>
  <c r="G1484" i="16"/>
  <c r="G2034" i="16"/>
  <c r="G2035" i="16" s="1"/>
  <c r="G1483" i="16"/>
  <c r="G1386" i="16"/>
  <c r="G162" i="16"/>
  <c r="G163" i="16" s="1"/>
  <c r="G1568" i="16"/>
  <c r="G1569" i="16" s="1"/>
  <c r="G1570" i="16" s="1"/>
  <c r="G1571" i="16" s="1"/>
  <c r="G1572" i="16" s="1"/>
  <c r="G102" i="16"/>
  <c r="G103" i="16" s="1"/>
  <c r="G1195" i="16"/>
  <c r="G1196" i="16" s="1"/>
  <c r="G1197" i="16" s="1"/>
  <c r="G1198" i="16" s="1"/>
  <c r="G1199" i="16" s="1"/>
  <c r="G1200" i="16" s="1"/>
  <c r="G1201" i="16" s="1"/>
  <c r="G1202" i="16" s="1"/>
  <c r="G1203" i="16" s="1"/>
  <c r="G142" i="16"/>
  <c r="G143" i="16" s="1"/>
  <c r="G445" i="16"/>
  <c r="G446" i="16" s="1"/>
  <c r="G447" i="16" s="1"/>
  <c r="G448" i="16" s="1"/>
  <c r="G449" i="16"/>
  <c r="G450" i="16" s="1"/>
  <c r="G451" i="16" s="1"/>
  <c r="G452" i="16" s="1"/>
  <c r="A1482" i="66"/>
  <c r="C1482" i="66" s="1"/>
  <c r="I723" i="66"/>
  <c r="A723" i="66" s="1"/>
  <c r="C723" i="66" s="1"/>
  <c r="A750" i="66"/>
  <c r="A751" i="66" s="1"/>
  <c r="A161" i="66"/>
  <c r="C161" i="66" s="1"/>
  <c r="A1257" i="66"/>
  <c r="C1257" i="66" s="1"/>
  <c r="A1857" i="66"/>
  <c r="C1857" i="66" s="1"/>
  <c r="A143" i="66"/>
  <c r="C143" i="66" s="1"/>
  <c r="A234" i="66"/>
  <c r="A230" i="66" s="1"/>
  <c r="A1385" i="66"/>
  <c r="A1375" i="66" s="1"/>
  <c r="A156" i="66"/>
  <c r="A157" i="66" s="1"/>
  <c r="C157" i="66" s="1"/>
  <c r="A141" i="66"/>
  <c r="A142" i="66" s="1"/>
  <c r="C142" i="66" s="1"/>
  <c r="C1551" i="66"/>
  <c r="A2017" i="66"/>
  <c r="C2017" i="66" s="1"/>
  <c r="I2039" i="66"/>
  <c r="A2072" i="66"/>
  <c r="C2072" i="66" s="1"/>
  <c r="A261" i="66"/>
  <c r="A262" i="66" s="1"/>
  <c r="C262" i="66" s="1"/>
  <c r="A2025" i="66"/>
  <c r="A2026" i="66" s="1"/>
  <c r="C2026" i="66" s="1"/>
  <c r="A2087" i="66"/>
  <c r="A2088" i="66" s="1"/>
  <c r="C2088" i="66" s="1"/>
  <c r="A282" i="66"/>
  <c r="A294" i="66"/>
  <c r="A295" i="66" s="1"/>
  <c r="C295" i="66" s="1"/>
  <c r="A1908" i="66"/>
  <c r="A1909" i="66" s="1"/>
  <c r="C429" i="66"/>
  <c r="A423" i="66"/>
  <c r="A146" i="66"/>
  <c r="A147" i="66" s="1"/>
  <c r="C147" i="66" s="1"/>
  <c r="A1567" i="66"/>
  <c r="A1568" i="66" s="1"/>
  <c r="C1568" i="66" s="1"/>
  <c r="C458" i="66"/>
  <c r="A455" i="66"/>
  <c r="A286" i="66"/>
  <c r="C286" i="66" s="1"/>
  <c r="A1483" i="66"/>
  <c r="A1484" i="66" s="1"/>
  <c r="C1484" i="66" s="1"/>
  <c r="AC172" i="25"/>
  <c r="M172" i="25"/>
  <c r="AM172" i="25" s="1"/>
  <c r="M160" i="25"/>
  <c r="AM160" i="25" s="1"/>
  <c r="AO1907" i="16"/>
  <c r="E1907" i="76"/>
  <c r="G1907" i="76" s="1"/>
  <c r="G1908" i="76" s="1"/>
  <c r="E1905" i="76"/>
  <c r="G1905" i="76" s="1"/>
  <c r="G1906" i="76" s="1"/>
  <c r="AO1905" i="16"/>
  <c r="C16" i="94"/>
  <c r="C16" i="93"/>
  <c r="A383" i="66"/>
  <c r="A384" i="66" s="1"/>
  <c r="C402" i="66"/>
  <c r="G410" i="16"/>
  <c r="G411" i="16" s="1"/>
  <c r="AM409" i="16"/>
  <c r="AO420" i="16"/>
  <c r="E420" i="76"/>
  <c r="AO383" i="16"/>
  <c r="E383" i="76"/>
  <c r="G423" i="16"/>
  <c r="AM422" i="16"/>
  <c r="E429" i="76"/>
  <c r="AO429" i="16"/>
  <c r="E403" i="76"/>
  <c r="AO403" i="16"/>
  <c r="AO1061" i="16"/>
  <c r="E2346" i="76"/>
  <c r="AO2346" i="16"/>
  <c r="E2373" i="76"/>
  <c r="AO2373" i="16"/>
  <c r="G2310" i="16"/>
  <c r="G2311" i="16" s="1"/>
  <c r="G2312" i="16" s="1"/>
  <c r="G2313" i="16" s="1"/>
  <c r="G2314" i="16" s="1"/>
  <c r="G2315" i="16" s="1"/>
  <c r="G2316" i="16" s="1"/>
  <c r="G2317" i="16" s="1"/>
  <c r="AM2309" i="16"/>
  <c r="AO2328" i="16"/>
  <c r="E2328" i="76"/>
  <c r="G1537" i="76"/>
  <c r="E1258" i="76"/>
  <c r="AO1258" i="16"/>
  <c r="E1033" i="76"/>
  <c r="AO1033" i="16"/>
  <c r="AM1049" i="16"/>
  <c r="E1285" i="76"/>
  <c r="AO1285" i="16"/>
  <c r="E529" i="76"/>
  <c r="G529" i="76" s="1"/>
  <c r="G530" i="76" s="1"/>
  <c r="AO529" i="16"/>
  <c r="I2197" i="66"/>
  <c r="AO351" i="28"/>
  <c r="I1051" i="66"/>
  <c r="AO178" i="25"/>
  <c r="I2075" i="66"/>
  <c r="I2029" i="66"/>
  <c r="AO259" i="28"/>
  <c r="AO256" i="28"/>
  <c r="I1903" i="66"/>
  <c r="I1756" i="66"/>
  <c r="I1752" i="66" s="1"/>
  <c r="AO171" i="82"/>
  <c r="I1536" i="66"/>
  <c r="C1486" i="66"/>
  <c r="I1480" i="66"/>
  <c r="I1349" i="66"/>
  <c r="AO476" i="25"/>
  <c r="I528" i="66"/>
  <c r="AO231" i="24"/>
  <c r="I441" i="66"/>
  <c r="A2373" i="66"/>
  <c r="C2372" i="66"/>
  <c r="A2309" i="66"/>
  <c r="C2308" i="66"/>
  <c r="A2329" i="66"/>
  <c r="C2329" i="66" s="1"/>
  <c r="C2328" i="66"/>
  <c r="A2401" i="66"/>
  <c r="C2400" i="66"/>
  <c r="A2001" i="66"/>
  <c r="C2001" i="66" s="1"/>
  <c r="C2000" i="66"/>
  <c r="A1888" i="66"/>
  <c r="C1888" i="66" s="1"/>
  <c r="C1887" i="66"/>
  <c r="A1948" i="66"/>
  <c r="C1947" i="66"/>
  <c r="A2230" i="66"/>
  <c r="C2230" i="66" s="1"/>
  <c r="C2229" i="66"/>
  <c r="A1971" i="66"/>
  <c r="C1970" i="66"/>
  <c r="A1975" i="66"/>
  <c r="C1974" i="66"/>
  <c r="A2093" i="66"/>
  <c r="C2092" i="66"/>
  <c r="A2015" i="66"/>
  <c r="C2014" i="66"/>
  <c r="A2091" i="66"/>
  <c r="C2091" i="66" s="1"/>
  <c r="C2090" i="66"/>
  <c r="A796" i="66"/>
  <c r="C795" i="66"/>
  <c r="A603" i="66"/>
  <c r="C602" i="66"/>
  <c r="A547" i="66"/>
  <c r="C547" i="66" s="1"/>
  <c r="C546" i="66"/>
  <c r="A731" i="66"/>
  <c r="C731" i="66" s="1"/>
  <c r="C730" i="66"/>
  <c r="A2206" i="66"/>
  <c r="C2205" i="66"/>
  <c r="C455" i="66"/>
  <c r="A469" i="66"/>
  <c r="C469" i="66" s="1"/>
  <c r="C468" i="66"/>
  <c r="A2212" i="66"/>
  <c r="C2212" i="66" s="1"/>
  <c r="C2211" i="66"/>
  <c r="A61" i="66"/>
  <c r="C61" i="66" s="1"/>
  <c r="C60" i="66"/>
  <c r="A83" i="66"/>
  <c r="C82" i="66"/>
  <c r="C213" i="66"/>
  <c r="A191" i="66"/>
  <c r="C191" i="66" s="1"/>
  <c r="C190" i="66"/>
  <c r="A90" i="66"/>
  <c r="C90" i="66" s="1"/>
  <c r="C89" i="66"/>
  <c r="G1910" i="76"/>
  <c r="G1911" i="76" s="1"/>
  <c r="G1912" i="76" s="1"/>
  <c r="G1913" i="76" s="1"/>
  <c r="G1914" i="76" s="1"/>
  <c r="C1463" i="66"/>
  <c r="C434" i="66"/>
  <c r="C1867" i="66"/>
  <c r="C2191" i="66"/>
  <c r="A2192" i="66"/>
  <c r="C2192" i="66" s="1"/>
  <c r="A2079" i="66"/>
  <c r="C2079" i="66" s="1"/>
  <c r="C2078" i="66"/>
  <c r="A1917" i="66"/>
  <c r="C1916" i="66"/>
  <c r="A1488" i="66"/>
  <c r="C1488" i="66" s="1"/>
  <c r="C1487" i="66"/>
  <c r="A1465" i="66"/>
  <c r="C1465" i="66" s="1"/>
  <c r="C1464" i="66"/>
  <c r="A1396" i="66"/>
  <c r="C1395" i="66"/>
  <c r="A1195" i="66"/>
  <c r="C1194" i="66"/>
  <c r="A819" i="66"/>
  <c r="C818" i="66"/>
  <c r="A681" i="66"/>
  <c r="C681" i="66" s="1"/>
  <c r="C680" i="66"/>
  <c r="A514" i="66"/>
  <c r="C513" i="66"/>
  <c r="A359" i="66"/>
  <c r="C358" i="66"/>
  <c r="A117" i="66"/>
  <c r="C117" i="66" s="1"/>
  <c r="C116" i="66"/>
  <c r="A37" i="66"/>
  <c r="A12" i="66" s="1"/>
  <c r="C36" i="66"/>
  <c r="H16" i="3"/>
  <c r="D25" i="18" s="1"/>
  <c r="N529" i="16"/>
  <c r="AI3" i="24"/>
  <c r="I2105" i="66"/>
  <c r="I2102" i="66"/>
  <c r="T1197" i="16"/>
  <c r="AD1197" i="16" s="1"/>
  <c r="R1197" i="16"/>
  <c r="AE1197" i="16" s="1"/>
  <c r="R1199" i="16"/>
  <c r="AE1199" i="16" s="1"/>
  <c r="T1199" i="16"/>
  <c r="AD1199" i="16" s="1"/>
  <c r="AC323" i="25"/>
  <c r="S2103" i="16"/>
  <c r="S2106" i="16"/>
  <c r="AE59" i="25"/>
  <c r="AC59" i="25" s="1"/>
  <c r="M55" i="25"/>
  <c r="AM55" i="25" s="1"/>
  <c r="N1757" i="16"/>
  <c r="R85" i="82"/>
  <c r="C38" i="81"/>
  <c r="O1052" i="16" s="1"/>
  <c r="M1907" i="16"/>
  <c r="G1907" i="16" s="1"/>
  <c r="AE1907" i="16"/>
  <c r="AC1907" i="16" s="1"/>
  <c r="AE1905" i="16"/>
  <c r="AC1905" i="16" s="1"/>
  <c r="M1905" i="16"/>
  <c r="G1905" i="16" s="1"/>
  <c r="AC160" i="25"/>
  <c r="AO159" i="25"/>
  <c r="O302" i="25"/>
  <c r="AO302" i="25" s="1"/>
  <c r="M2416" i="16"/>
  <c r="AM2416" i="16" s="1"/>
  <c r="AE2416" i="16"/>
  <c r="AC2416" i="16" s="1"/>
  <c r="M2417" i="16"/>
  <c r="AM2417" i="16" s="1"/>
  <c r="AE2417" i="16"/>
  <c r="AC2417" i="16" s="1"/>
  <c r="N2198" i="16"/>
  <c r="T353" i="28"/>
  <c r="AD353" i="28" s="1"/>
  <c r="AC353" i="28" s="1"/>
  <c r="M2418" i="16"/>
  <c r="AM2418" i="16" s="1"/>
  <c r="AE2418" i="16"/>
  <c r="AC2418" i="16" s="1"/>
  <c r="AC1000" i="16"/>
  <c r="AF1000" i="16"/>
  <c r="G835" i="16"/>
  <c r="G834" i="16"/>
  <c r="G62" i="16"/>
  <c r="G397" i="16"/>
  <c r="G398" i="16" s="1"/>
  <c r="G399" i="16" s="1"/>
  <c r="G2378" i="16"/>
  <c r="G2379" i="16" s="1"/>
  <c r="G2380" i="16" s="1"/>
  <c r="G2381" i="16" s="1"/>
  <c r="G2382" i="16" s="1"/>
  <c r="G2383" i="16" s="1"/>
  <c r="G2384" i="16" s="1"/>
  <c r="G2385" i="16" s="1"/>
  <c r="G2386" i="16" s="1"/>
  <c r="G2387" i="16" s="1"/>
  <c r="G2388" i="16" s="1"/>
  <c r="G2389" i="16" s="1"/>
  <c r="G2390" i="16" s="1"/>
  <c r="G2391" i="16" s="1"/>
  <c r="G2392" i="16" s="1"/>
  <c r="G2393" i="16" s="1"/>
  <c r="G2394" i="16" s="1"/>
  <c r="G2395" i="16" s="1"/>
  <c r="G2396" i="16" s="1"/>
  <c r="G2397" i="16" s="1"/>
  <c r="G2398" i="16" s="1"/>
  <c r="G2399" i="16" s="1"/>
  <c r="G2400" i="16" s="1"/>
  <c r="G2332" i="16"/>
  <c r="G2333" i="16" s="1"/>
  <c r="N1052" i="16"/>
  <c r="G1259" i="16"/>
  <c r="G1204" i="16" s="1"/>
  <c r="N1350" i="16"/>
  <c r="G145" i="16"/>
  <c r="G146" i="16" s="1"/>
  <c r="G38" i="16"/>
  <c r="G39" i="16" s="1"/>
  <c r="G40" i="16" s="1"/>
  <c r="G41" i="16" s="1"/>
  <c r="G42" i="16" s="1"/>
  <c r="G43" i="16" s="1"/>
  <c r="N2103" i="16"/>
  <c r="R2149" i="16"/>
  <c r="AE2149" i="16" s="1"/>
  <c r="AC2149" i="16" s="1"/>
  <c r="R2172" i="16"/>
  <c r="AE2172" i="16" s="1"/>
  <c r="AC2172" i="16" s="1"/>
  <c r="N2106" i="16"/>
  <c r="H23" i="3"/>
  <c r="AE409" i="16"/>
  <c r="AF409" i="16" s="1"/>
  <c r="AE422" i="16"/>
  <c r="AF422" i="16" s="1"/>
  <c r="T1188" i="16"/>
  <c r="AD1188" i="16" s="1"/>
  <c r="AC1188" i="16" s="1"/>
  <c r="O1188" i="16"/>
  <c r="T1191" i="16"/>
  <c r="AD1191" i="16" s="1"/>
  <c r="AC1191" i="16" s="1"/>
  <c r="O1190" i="16"/>
  <c r="T1189" i="16"/>
  <c r="AD1189" i="16" s="1"/>
  <c r="AC1189" i="16" s="1"/>
  <c r="O1189" i="16"/>
  <c r="M431" i="16"/>
  <c r="AE431" i="16"/>
  <c r="AF431" i="16" s="1"/>
  <c r="M277" i="25"/>
  <c r="AM277" i="25" s="1"/>
  <c r="M219" i="25"/>
  <c r="AM219" i="25" s="1"/>
  <c r="D24" i="17"/>
  <c r="T171" i="82"/>
  <c r="AD171" i="82" s="1"/>
  <c r="AC171" i="82" s="1"/>
  <c r="AG3" i="82"/>
  <c r="O187" i="25"/>
  <c r="M341" i="25"/>
  <c r="AM341" i="25" s="1"/>
  <c r="M403" i="25"/>
  <c r="AM403" i="25" s="1"/>
  <c r="M393" i="25"/>
  <c r="AM393" i="25" s="1"/>
  <c r="M402" i="25"/>
  <c r="AM402" i="25" s="1"/>
  <c r="M392" i="25"/>
  <c r="AM392" i="25" s="1"/>
  <c r="M400" i="25"/>
  <c r="AM400" i="25" s="1"/>
  <c r="M300" i="25"/>
  <c r="AM300" i="25" s="1"/>
  <c r="M284" i="25"/>
  <c r="AM284" i="25" s="1"/>
  <c r="M401" i="25"/>
  <c r="AM401" i="25" s="1"/>
  <c r="M301" i="25"/>
  <c r="AM301" i="25" s="1"/>
  <c r="M395" i="25"/>
  <c r="AM395" i="25" s="1"/>
  <c r="M399" i="25"/>
  <c r="AM399" i="25" s="1"/>
  <c r="M299" i="25"/>
  <c r="AM299" i="25" s="1"/>
  <c r="M396" i="25"/>
  <c r="AM396" i="25" s="1"/>
  <c r="M288" i="25"/>
  <c r="AM288" i="25" s="1"/>
  <c r="M394" i="25"/>
  <c r="AM394" i="25" s="1"/>
  <c r="M276" i="25"/>
  <c r="AM276" i="25" s="1"/>
  <c r="M407" i="25"/>
  <c r="AM407" i="25" s="1"/>
  <c r="M363" i="25"/>
  <c r="AM363" i="25" s="1"/>
  <c r="M329" i="25"/>
  <c r="AM329" i="25" s="1"/>
  <c r="M279" i="25"/>
  <c r="AM279" i="25" s="1"/>
  <c r="M372" i="25"/>
  <c r="AM372" i="25" s="1"/>
  <c r="M362" i="25"/>
  <c r="AM362" i="25" s="1"/>
  <c r="M328" i="25"/>
  <c r="AM328" i="25" s="1"/>
  <c r="M286" i="25"/>
  <c r="AM286" i="25" s="1"/>
  <c r="M347" i="25"/>
  <c r="AM347" i="25" s="1"/>
  <c r="M346" i="25"/>
  <c r="AM346" i="25" s="1"/>
  <c r="M371" i="25"/>
  <c r="AM371" i="25" s="1"/>
  <c r="M361" i="25"/>
  <c r="AM361" i="25" s="1"/>
  <c r="M327" i="25"/>
  <c r="AM327" i="25" s="1"/>
  <c r="M292" i="25"/>
  <c r="AM292" i="25" s="1"/>
  <c r="M369" i="25"/>
  <c r="AM369" i="25" s="1"/>
  <c r="M355" i="25"/>
  <c r="AM355" i="25" s="1"/>
  <c r="M315" i="25"/>
  <c r="AM315" i="25" s="1"/>
  <c r="M287" i="25"/>
  <c r="AM287" i="25" s="1"/>
  <c r="M314" i="25"/>
  <c r="AM314" i="25" s="1"/>
  <c r="M285" i="25"/>
  <c r="AM285" i="25" s="1"/>
  <c r="M364" i="25"/>
  <c r="AM364" i="25" s="1"/>
  <c r="M370" i="25"/>
  <c r="AM370" i="25" s="1"/>
  <c r="M356" i="25"/>
  <c r="AM356" i="25" s="1"/>
  <c r="M316" i="25"/>
  <c r="AM316" i="25" s="1"/>
  <c r="M291" i="25"/>
  <c r="AM291" i="25" s="1"/>
  <c r="M366" i="25"/>
  <c r="AM366" i="25" s="1"/>
  <c r="M365" i="25"/>
  <c r="AM365" i="25" s="1"/>
  <c r="M309" i="25"/>
  <c r="AM309" i="25" s="1"/>
  <c r="M266" i="25"/>
  <c r="AM266" i="25" s="1"/>
  <c r="M218" i="25"/>
  <c r="AM218" i="25" s="1"/>
  <c r="M267" i="25"/>
  <c r="AM267" i="25" s="1"/>
  <c r="M261" i="25"/>
  <c r="AM261" i="25" s="1"/>
  <c r="M217" i="25"/>
  <c r="AM217" i="25" s="1"/>
  <c r="M263" i="25"/>
  <c r="AM263" i="25" s="1"/>
  <c r="M259" i="25"/>
  <c r="AM259" i="25" s="1"/>
  <c r="M262" i="25"/>
  <c r="AM262" i="25" s="1"/>
  <c r="M258" i="25"/>
  <c r="AM258" i="25" s="1"/>
  <c r="M264" i="25"/>
  <c r="AM264" i="25" s="1"/>
  <c r="S465" i="25"/>
  <c r="M275" i="25"/>
  <c r="AM275" i="25" s="1"/>
  <c r="M272" i="25"/>
  <c r="AM272" i="25" s="1"/>
  <c r="M252" i="25"/>
  <c r="AM252" i="25" s="1"/>
  <c r="M274" i="25"/>
  <c r="AM274" i="25" s="1"/>
  <c r="M273" i="25"/>
  <c r="AM273" i="25" s="1"/>
  <c r="M255" i="25"/>
  <c r="AM255" i="25" s="1"/>
  <c r="M256" i="25"/>
  <c r="AM256" i="25" s="1"/>
  <c r="M254" i="25"/>
  <c r="AM254" i="25" s="1"/>
  <c r="M253" i="25"/>
  <c r="AM253" i="25" s="1"/>
  <c r="M342" i="25"/>
  <c r="AM342" i="25" s="1"/>
  <c r="N16" i="3"/>
  <c r="AG2" i="8"/>
  <c r="I1" i="8" s="1"/>
  <c r="D24" i="18"/>
  <c r="AF902" i="16"/>
  <c r="AE2309" i="16"/>
  <c r="AE396" i="16"/>
  <c r="AF396" i="16" s="1"/>
  <c r="AG1" i="16"/>
  <c r="E24" i="17"/>
  <c r="D29" i="18"/>
  <c r="G404" i="16"/>
  <c r="G405" i="16" s="1"/>
  <c r="G406" i="16" s="1"/>
  <c r="G407" i="16" s="1"/>
  <c r="E24" i="18"/>
  <c r="G1977" i="16"/>
  <c r="G1976" i="16"/>
  <c r="AG3" i="24"/>
  <c r="S2200" i="16"/>
  <c r="S2201" i="16"/>
  <c r="T2201" i="16" s="1"/>
  <c r="AD2201" i="16" s="1"/>
  <c r="AC2201" i="16" s="1"/>
  <c r="C16" i="17"/>
  <c r="C16" i="18"/>
  <c r="AE2352" i="16"/>
  <c r="AC133" i="24"/>
  <c r="AG3" i="29"/>
  <c r="AE2334" i="16"/>
  <c r="M2334" i="16"/>
  <c r="M2350" i="16"/>
  <c r="AE2350" i="16"/>
  <c r="AE2331" i="16"/>
  <c r="AE2263" i="16"/>
  <c r="M2263" i="16"/>
  <c r="AE2401" i="16"/>
  <c r="AE2275" i="16"/>
  <c r="M2275" i="16"/>
  <c r="G2275" i="16" s="1"/>
  <c r="M2262" i="16"/>
  <c r="AE2262" i="16"/>
  <c r="N24" i="3"/>
  <c r="M2337" i="16"/>
  <c r="AE2337" i="16"/>
  <c r="AE2264" i="16"/>
  <c r="M2264" i="16"/>
  <c r="M2371" i="16"/>
  <c r="G2371" i="16" s="1"/>
  <c r="AE2371" i="16"/>
  <c r="AE2377" i="16"/>
  <c r="AC991" i="16"/>
  <c r="AC905" i="16"/>
  <c r="AC893" i="16"/>
  <c r="AC896" i="16"/>
  <c r="AC902" i="16"/>
  <c r="AG1" i="8"/>
  <c r="AC908" i="16"/>
  <c r="AC955" i="16"/>
  <c r="AI2" i="28"/>
  <c r="AG2" i="28"/>
  <c r="O212" i="25"/>
  <c r="O2103" i="16"/>
  <c r="O2106" i="16"/>
  <c r="G1376" i="16" l="1"/>
  <c r="AM2264" i="16"/>
  <c r="G2264" i="16"/>
  <c r="G2265" i="16" s="1"/>
  <c r="G2266" i="16" s="1"/>
  <c r="G2267" i="16" s="1"/>
  <c r="G2268" i="16" s="1"/>
  <c r="G2269" i="16" s="1"/>
  <c r="G2270" i="16" s="1"/>
  <c r="G2271" i="16" s="1"/>
  <c r="G2272" i="16" s="1"/>
  <c r="G2273" i="16" s="1"/>
  <c r="G2274" i="16" s="1"/>
  <c r="AM2262" i="16"/>
  <c r="G2262" i="16"/>
  <c r="AM2263" i="16"/>
  <c r="G2263" i="16"/>
  <c r="AM2350" i="16"/>
  <c r="G2350" i="16"/>
  <c r="AM2337" i="16"/>
  <c r="G2337" i="16"/>
  <c r="AM2334" i="16"/>
  <c r="G2334" i="16"/>
  <c r="G2335" i="16" s="1"/>
  <c r="G2336" i="16" s="1"/>
  <c r="A2346" i="66"/>
  <c r="A1991" i="66"/>
  <c r="C1990" i="66"/>
  <c r="A1905" i="66"/>
  <c r="C1905" i="66" s="1"/>
  <c r="A404" i="66"/>
  <c r="C403" i="66"/>
  <c r="AM431" i="16"/>
  <c r="G431" i="16"/>
  <c r="G424" i="16" s="1"/>
  <c r="A1051" i="66"/>
  <c r="C1051" i="66" s="1"/>
  <c r="G1052" i="16"/>
  <c r="G1053" i="16" s="1"/>
  <c r="G1054" i="16" s="1"/>
  <c r="G1055" i="16" s="1"/>
  <c r="G1056" i="16" s="1"/>
  <c r="G1057" i="16" s="1"/>
  <c r="G1058" i="16" s="1"/>
  <c r="G2198" i="16"/>
  <c r="G2199" i="16" s="1"/>
  <c r="G2200" i="16" s="1"/>
  <c r="G2201" i="16" s="1"/>
  <c r="G2202" i="16" s="1"/>
  <c r="A2197" i="66"/>
  <c r="A2198" i="66" s="1"/>
  <c r="C2198" i="66" s="1"/>
  <c r="A724" i="66"/>
  <c r="C724" i="66" s="1"/>
  <c r="C2025" i="66"/>
  <c r="C156" i="66"/>
  <c r="A287" i="66"/>
  <c r="C287" i="66" s="1"/>
  <c r="C261" i="66"/>
  <c r="G1481" i="16"/>
  <c r="G1432" i="16" s="1"/>
  <c r="C294" i="66"/>
  <c r="G1485" i="16"/>
  <c r="G1887" i="16"/>
  <c r="G2106" i="16"/>
  <c r="G2107" i="16" s="1"/>
  <c r="G2108" i="16" s="1"/>
  <c r="G2030" i="16"/>
  <c r="G2031" i="16" s="1"/>
  <c r="G1350" i="16"/>
  <c r="G1351" i="16" s="1"/>
  <c r="G1352" i="16" s="1"/>
  <c r="G1353" i="16" s="1"/>
  <c r="G1354" i="16" s="1"/>
  <c r="G1355" i="16" s="1"/>
  <c r="G1356" i="16" s="1"/>
  <c r="G1357" i="16" s="1"/>
  <c r="G1358" i="16" s="1"/>
  <c r="G1359" i="16" s="1"/>
  <c r="G1360" i="16" s="1"/>
  <c r="G1361" i="16" s="1"/>
  <c r="G1362" i="16" s="1"/>
  <c r="G1363" i="16" s="1"/>
  <c r="G1364" i="16" s="1"/>
  <c r="G1365" i="16" s="1"/>
  <c r="G1366" i="16" s="1"/>
  <c r="G1367" i="16" s="1"/>
  <c r="G1368" i="16" s="1"/>
  <c r="G1369" i="16" s="1"/>
  <c r="G1370" i="16" s="1"/>
  <c r="G1371" i="16" s="1"/>
  <c r="G1372" i="16" s="1"/>
  <c r="G132" i="16"/>
  <c r="G133" i="16" s="1"/>
  <c r="G134" i="16" s="1"/>
  <c r="G135" i="16" s="1"/>
  <c r="G1757" i="16"/>
  <c r="G1753" i="16" s="1"/>
  <c r="G1754" i="16" s="1"/>
  <c r="G1537" i="16"/>
  <c r="G1858" i="16"/>
  <c r="G442" i="16"/>
  <c r="G443" i="16" s="1"/>
  <c r="G444" i="16" s="1"/>
  <c r="G529" i="16"/>
  <c r="G530" i="16" s="1"/>
  <c r="G531" i="16" s="1"/>
  <c r="A158" i="66"/>
  <c r="A159" i="66" s="1"/>
  <c r="G440" i="16"/>
  <c r="G441" i="16" s="1"/>
  <c r="G93" i="16"/>
  <c r="G94" i="16" s="1"/>
  <c r="G95" i="16" s="1"/>
  <c r="G13" i="16"/>
  <c r="G14" i="16" s="1"/>
  <c r="C1567" i="66"/>
  <c r="C1908" i="66"/>
  <c r="A144" i="66"/>
  <c r="A145" i="66" s="1"/>
  <c r="C145" i="66" s="1"/>
  <c r="A2018" i="66"/>
  <c r="C2018" i="66" s="1"/>
  <c r="A1910" i="66"/>
  <c r="C1910" i="66" s="1"/>
  <c r="C1909" i="66"/>
  <c r="C1385" i="66"/>
  <c r="C2087" i="66"/>
  <c r="A1569" i="66"/>
  <c r="C1569" i="66" s="1"/>
  <c r="A296" i="66"/>
  <c r="C296" i="66" s="1"/>
  <c r="C404" i="66"/>
  <c r="C146" i="66"/>
  <c r="A528" i="66"/>
  <c r="A529" i="66" s="1"/>
  <c r="A2029" i="66"/>
  <c r="A2030" i="66" s="1"/>
  <c r="C2030" i="66" s="1"/>
  <c r="C234" i="66"/>
  <c r="A162" i="66"/>
  <c r="C162" i="66" s="1"/>
  <c r="A283" i="66"/>
  <c r="C282" i="66"/>
  <c r="A441" i="66"/>
  <c r="C441" i="66" s="1"/>
  <c r="C1483" i="66"/>
  <c r="A1258" i="66"/>
  <c r="C1258" i="66" s="1"/>
  <c r="A1536" i="66"/>
  <c r="C1536" i="66" s="1"/>
  <c r="A2075" i="66"/>
  <c r="C2075" i="66" s="1"/>
  <c r="C1375" i="66"/>
  <c r="C83" i="66"/>
  <c r="A79" i="66"/>
  <c r="C79" i="66" s="1"/>
  <c r="A1752" i="66"/>
  <c r="C141" i="66"/>
  <c r="A1480" i="66"/>
  <c r="C1480" i="66" s="1"/>
  <c r="A2039" i="66"/>
  <c r="C2039" i="66" s="1"/>
  <c r="A1349" i="66"/>
  <c r="A1350" i="66" s="1"/>
  <c r="I1902" i="66"/>
  <c r="A1903" i="66"/>
  <c r="C1903" i="66" s="1"/>
  <c r="A104" i="66"/>
  <c r="C383" i="66"/>
  <c r="G1908" i="16"/>
  <c r="AM1907" i="16"/>
  <c r="AM1905" i="16"/>
  <c r="G417" i="16"/>
  <c r="E1052" i="76"/>
  <c r="AO1052" i="16"/>
  <c r="G2372" i="16"/>
  <c r="AM2371" i="16"/>
  <c r="G2276" i="16"/>
  <c r="AM2275" i="16"/>
  <c r="AO2106" i="16"/>
  <c r="AO2103" i="16"/>
  <c r="G1050" i="16"/>
  <c r="E1189" i="76"/>
  <c r="AO1189" i="16"/>
  <c r="E1190" i="76"/>
  <c r="AO1190" i="16"/>
  <c r="E1188" i="76"/>
  <c r="AO1188" i="16"/>
  <c r="A2073" i="66"/>
  <c r="C2073" i="66" s="1"/>
  <c r="I1431" i="66"/>
  <c r="AO212" i="25"/>
  <c r="I1060" i="66"/>
  <c r="AO187" i="25"/>
  <c r="AG1" i="24"/>
  <c r="A2402" i="66"/>
  <c r="C2401" i="66"/>
  <c r="A2310" i="66"/>
  <c r="C2309" i="66"/>
  <c r="A2374" i="66"/>
  <c r="C2374" i="66" s="1"/>
  <c r="C2373" i="66"/>
  <c r="A1949" i="66"/>
  <c r="C1949" i="66" s="1"/>
  <c r="C1948" i="66"/>
  <c r="A1976" i="66"/>
  <c r="C1976" i="66" s="1"/>
  <c r="C1975" i="66"/>
  <c r="A2016" i="66"/>
  <c r="C2016" i="66" s="1"/>
  <c r="C2015" i="66"/>
  <c r="A1972" i="66"/>
  <c r="C1972" i="66" s="1"/>
  <c r="C1971" i="66"/>
  <c r="A2094" i="66"/>
  <c r="C2094" i="66" s="1"/>
  <c r="C2093" i="66"/>
  <c r="A385" i="66"/>
  <c r="C384" i="66"/>
  <c r="A604" i="66"/>
  <c r="C603" i="66"/>
  <c r="A2207" i="66"/>
  <c r="C2206" i="66"/>
  <c r="A797" i="66"/>
  <c r="C797" i="66" s="1"/>
  <c r="C796" i="66"/>
  <c r="G1904" i="76"/>
  <c r="G1903" i="76" s="1"/>
  <c r="E2106" i="76"/>
  <c r="E2103" i="76"/>
  <c r="C37" i="66"/>
  <c r="C750" i="66"/>
  <c r="A1918" i="66"/>
  <c r="C1918" i="66" s="1"/>
  <c r="C1917" i="66"/>
  <c r="A1397" i="66"/>
  <c r="C1397" i="66" s="1"/>
  <c r="C1396" i="66"/>
  <c r="A1196" i="66"/>
  <c r="C1195" i="66"/>
  <c r="A820" i="66"/>
  <c r="C820" i="66" s="1"/>
  <c r="C819" i="66"/>
  <c r="A752" i="66"/>
  <c r="C751" i="66"/>
  <c r="A515" i="66"/>
  <c r="C514" i="66"/>
  <c r="A360" i="66"/>
  <c r="C360" i="66" s="1"/>
  <c r="C359" i="66"/>
  <c r="H25" i="3"/>
  <c r="H27" i="3" s="1"/>
  <c r="I4" i="8" s="1"/>
  <c r="AG2" i="24"/>
  <c r="I1" i="24" s="1"/>
  <c r="D25" i="17"/>
  <c r="I1175" i="66"/>
  <c r="A1175" i="66" s="1"/>
  <c r="I1085" i="66"/>
  <c r="A1085" i="66" s="1"/>
  <c r="N1033" i="16"/>
  <c r="I1032" i="66"/>
  <c r="AC1199" i="16"/>
  <c r="AC1197" i="16"/>
  <c r="R2103" i="16"/>
  <c r="M2104" i="16" s="1"/>
  <c r="AM2104" i="16" s="1"/>
  <c r="I1" i="29"/>
  <c r="N1086" i="16"/>
  <c r="G1086" i="16" s="1"/>
  <c r="G1069" i="16" s="1"/>
  <c r="AG3" i="25"/>
  <c r="G1906" i="16"/>
  <c r="N1176" i="16"/>
  <c r="O18" i="3"/>
  <c r="R18" i="3" s="1"/>
  <c r="Q18" i="3" s="1"/>
  <c r="G837" i="16"/>
  <c r="G836" i="16"/>
  <c r="G2351" i="16"/>
  <c r="G2353" i="16" s="1"/>
  <c r="G2354" i="16" s="1"/>
  <c r="G2355" i="16" s="1"/>
  <c r="G2356" i="16" s="1"/>
  <c r="G2357" i="16" s="1"/>
  <c r="G2358" i="16" s="1"/>
  <c r="G2359" i="16" s="1"/>
  <c r="G2360" i="16" s="1"/>
  <c r="G2361" i="16" s="1"/>
  <c r="G2362" i="16" s="1"/>
  <c r="G2363" i="16" s="1"/>
  <c r="G2364" i="16" s="1"/>
  <c r="G2365" i="16" s="1"/>
  <c r="G2366" i="16" s="1"/>
  <c r="G2367" i="16" s="1"/>
  <c r="G2368" i="16" s="1"/>
  <c r="G2369" i="16" s="1"/>
  <c r="G2370" i="16" s="1"/>
  <c r="G1377" i="16"/>
  <c r="G1378" i="16" s="1"/>
  <c r="N1061" i="16"/>
  <c r="G1061" i="16" s="1"/>
  <c r="G2318" i="16"/>
  <c r="G2320" i="16" s="1"/>
  <c r="G2319" i="16"/>
  <c r="AC409" i="16"/>
  <c r="AI3" i="28"/>
  <c r="D28" i="18"/>
  <c r="D28" i="17"/>
  <c r="AC422" i="16"/>
  <c r="M1215" i="16"/>
  <c r="AM1215" i="16" s="1"/>
  <c r="M1216" i="16"/>
  <c r="AM1216" i="16" s="1"/>
  <c r="AC431" i="16"/>
  <c r="AI3" i="82"/>
  <c r="O309" i="25"/>
  <c r="O314" i="25"/>
  <c r="O315" i="25"/>
  <c r="O407" i="25"/>
  <c r="O316" i="25"/>
  <c r="O292" i="25"/>
  <c r="AO292" i="25" s="1"/>
  <c r="O340" i="25"/>
  <c r="T465" i="25"/>
  <c r="AD465" i="25" s="1"/>
  <c r="S451" i="25"/>
  <c r="O449" i="25" s="1"/>
  <c r="AH1" i="16"/>
  <c r="E25" i="18"/>
  <c r="E25" i="17"/>
  <c r="AC2309" i="16"/>
  <c r="AC396" i="16"/>
  <c r="AL1" i="16"/>
  <c r="E29" i="17"/>
  <c r="AG3" i="28"/>
  <c r="AE933" i="16"/>
  <c r="T2200" i="16"/>
  <c r="AD2200" i="16" s="1"/>
  <c r="AC2200" i="16" s="1"/>
  <c r="O2198" i="16"/>
  <c r="AC2352" i="16"/>
  <c r="AC2264" i="16"/>
  <c r="AC2337" i="16"/>
  <c r="AC2350" i="16"/>
  <c r="AC2263" i="16"/>
  <c r="AC2401" i="16"/>
  <c r="AC2331" i="16"/>
  <c r="AC2334" i="16"/>
  <c r="G2402" i="16"/>
  <c r="G2403" i="16" s="1"/>
  <c r="G2404" i="16" s="1"/>
  <c r="G2405" i="16" s="1"/>
  <c r="G2406" i="16" s="1"/>
  <c r="G2407" i="16" s="1"/>
  <c r="G2408" i="16" s="1"/>
  <c r="G2409" i="16" s="1"/>
  <c r="G2410" i="16" s="1"/>
  <c r="G2411" i="16" s="1"/>
  <c r="G2412" i="16" s="1"/>
  <c r="G2413" i="16" s="1"/>
  <c r="AC2377" i="16"/>
  <c r="E29" i="18"/>
  <c r="AC2371" i="16"/>
  <c r="AC2262" i="16"/>
  <c r="AC2275" i="16"/>
  <c r="AG1" i="29"/>
  <c r="Q19" i="3"/>
  <c r="AI2" i="29"/>
  <c r="I2" i="29" l="1"/>
  <c r="G1904" i="16"/>
  <c r="G1903" i="16" s="1"/>
  <c r="I4" i="29"/>
  <c r="A2347" i="66"/>
  <c r="C2347" i="66" s="1"/>
  <c r="C2346" i="66"/>
  <c r="I4" i="82"/>
  <c r="A1992" i="66"/>
  <c r="C1991" i="66"/>
  <c r="I2" i="24"/>
  <c r="I4" i="24"/>
  <c r="A725" i="66"/>
  <c r="C725" i="66" s="1"/>
  <c r="A1052" i="66"/>
  <c r="C2197" i="66"/>
  <c r="A1911" i="66"/>
  <c r="C1911" i="66" s="1"/>
  <c r="C144" i="66"/>
  <c r="C158" i="66"/>
  <c r="A2019" i="66"/>
  <c r="A2020" i="66" s="1"/>
  <c r="A2021" i="66" s="1"/>
  <c r="G1375" i="16"/>
  <c r="G1176" i="16"/>
  <c r="G1177" i="16" s="1"/>
  <c r="G1178" i="16" s="1"/>
  <c r="G1179" i="16" s="1"/>
  <c r="G1180" i="16" s="1"/>
  <c r="G1181" i="16" s="1"/>
  <c r="G1182" i="16" s="1"/>
  <c r="A1570" i="66"/>
  <c r="C1570" i="66" s="1"/>
  <c r="G418" i="16"/>
  <c r="G419" i="16" s="1"/>
  <c r="G1758" i="16"/>
  <c r="G1742" i="16" s="1"/>
  <c r="C1349" i="66"/>
  <c r="C528" i="66"/>
  <c r="A442" i="66"/>
  <c r="C442" i="66" s="1"/>
  <c r="C1350" i="66"/>
  <c r="A1351" i="66"/>
  <c r="C1351" i="66" s="1"/>
  <c r="C529" i="66"/>
  <c r="C2029" i="66"/>
  <c r="A1374" i="66"/>
  <c r="C1374" i="66" s="1"/>
  <c r="A1431" i="66"/>
  <c r="C1431" i="66" s="1"/>
  <c r="A1753" i="66"/>
  <c r="C1753" i="66" s="1"/>
  <c r="A1060" i="66"/>
  <c r="C1060" i="66" s="1"/>
  <c r="C1752" i="66"/>
  <c r="A1902" i="66"/>
  <c r="C1902" i="66" s="1"/>
  <c r="A284" i="66"/>
  <c r="C284" i="66" s="1"/>
  <c r="C283" i="66"/>
  <c r="AO2198" i="16"/>
  <c r="E2198" i="76"/>
  <c r="G2277" i="16"/>
  <c r="G2278" i="16" s="1"/>
  <c r="G2279" i="16" s="1"/>
  <c r="G2280" i="16" s="1"/>
  <c r="G2281" i="16" s="1"/>
  <c r="G2282" i="16" s="1"/>
  <c r="G2283" i="16" s="1"/>
  <c r="G2284" i="16" s="1"/>
  <c r="G2285" i="16" s="1"/>
  <c r="G2286" i="16" s="1"/>
  <c r="G2287" i="16" s="1"/>
  <c r="G2288" i="16" s="1"/>
  <c r="G2289" i="16" s="1"/>
  <c r="G2290" i="16" s="1"/>
  <c r="G2291" i="16" s="1"/>
  <c r="G2292" i="16" s="1"/>
  <c r="G2293" i="16" s="1"/>
  <c r="G2294" i="16" s="1"/>
  <c r="G2295" i="16" s="1"/>
  <c r="G2296" i="16" s="1"/>
  <c r="G2297" i="16" s="1"/>
  <c r="G2298" i="16" s="1"/>
  <c r="G2299" i="16" s="1"/>
  <c r="G2300" i="16" s="1"/>
  <c r="G2301" i="16" s="1"/>
  <c r="G2302" i="16" s="1"/>
  <c r="G2303" i="16" s="1"/>
  <c r="G2304" i="16" s="1"/>
  <c r="G2305" i="16" s="1"/>
  <c r="G2306" i="16" s="1"/>
  <c r="A2074" i="66"/>
  <c r="C2074" i="66" s="1"/>
  <c r="I1322" i="66"/>
  <c r="AO449" i="25"/>
  <c r="I1280" i="66"/>
  <c r="I1278" i="66" s="1"/>
  <c r="AO407" i="25"/>
  <c r="I1213" i="66"/>
  <c r="I1204" i="66" s="1"/>
  <c r="A1204" i="66" s="1"/>
  <c r="AO340" i="25"/>
  <c r="I1188" i="66"/>
  <c r="AO315" i="25"/>
  <c r="I1189" i="66"/>
  <c r="AO316" i="25"/>
  <c r="I1187" i="66"/>
  <c r="AO314" i="25"/>
  <c r="I1182" i="66"/>
  <c r="AO309" i="25"/>
  <c r="A2311" i="66"/>
  <c r="C2310" i="66"/>
  <c r="A2403" i="66"/>
  <c r="C2402" i="66"/>
  <c r="A2208" i="66"/>
  <c r="C2207" i="66"/>
  <c r="A605" i="66"/>
  <c r="C605" i="66" s="1"/>
  <c r="C604" i="66"/>
  <c r="A386" i="66"/>
  <c r="C386" i="66" s="1"/>
  <c r="C385" i="66"/>
  <c r="A13" i="66"/>
  <c r="C13" i="66" s="1"/>
  <c r="C12" i="66"/>
  <c r="A1037" i="66"/>
  <c r="C1036" i="66"/>
  <c r="C1032" i="66"/>
  <c r="A1197" i="66"/>
  <c r="C1196" i="66"/>
  <c r="A1176" i="66"/>
  <c r="C1175" i="66"/>
  <c r="A1086" i="66"/>
  <c r="C1085" i="66"/>
  <c r="A753" i="66"/>
  <c r="C753" i="66" s="1"/>
  <c r="C752" i="66"/>
  <c r="A516" i="66"/>
  <c r="C515" i="66"/>
  <c r="A160" i="66"/>
  <c r="C160" i="66" s="1"/>
  <c r="C159" i="66"/>
  <c r="N1166" i="16"/>
  <c r="I1165" i="66"/>
  <c r="A1165" i="66" s="1"/>
  <c r="I4" i="28"/>
  <c r="G1087" i="16"/>
  <c r="G1088" i="16" s="1"/>
  <c r="G1089" i="16" s="1"/>
  <c r="G1090" i="16" s="1"/>
  <c r="G1091" i="16" s="1"/>
  <c r="G1092" i="16" s="1"/>
  <c r="G1093" i="16" s="1"/>
  <c r="G1094" i="16" s="1"/>
  <c r="G1095" i="16" s="1"/>
  <c r="G1096" i="16" s="1"/>
  <c r="G1097" i="16" s="1"/>
  <c r="G1098" i="16" s="1"/>
  <c r="G1099" i="16" s="1"/>
  <c r="G1100" i="16" s="1"/>
  <c r="G1101" i="16" s="1"/>
  <c r="G1102" i="16" s="1"/>
  <c r="G1103" i="16" s="1"/>
  <c r="G1104" i="16" s="1"/>
  <c r="E26" i="18"/>
  <c r="AI1" i="16"/>
  <c r="E26" i="17"/>
  <c r="G839" i="16"/>
  <c r="G840" i="16" s="1"/>
  <c r="G838" i="16"/>
  <c r="G2338" i="16"/>
  <c r="G2339" i="16" s="1"/>
  <c r="G2340" i="16" s="1"/>
  <c r="G2341" i="16" s="1"/>
  <c r="G2342" i="16" s="1"/>
  <c r="G2343" i="16" s="1"/>
  <c r="G2344" i="16" s="1"/>
  <c r="G2345" i="16" s="1"/>
  <c r="G432" i="16"/>
  <c r="G433" i="16" s="1"/>
  <c r="G434" i="16" s="1"/>
  <c r="G1062" i="16"/>
  <c r="N1323" i="16"/>
  <c r="G1323" i="16" s="1"/>
  <c r="N1281" i="16"/>
  <c r="N1214" i="16"/>
  <c r="N1190" i="16"/>
  <c r="N1189" i="16"/>
  <c r="G1189" i="16" s="1"/>
  <c r="N1188" i="16"/>
  <c r="G1188" i="16" s="1"/>
  <c r="N1183" i="16"/>
  <c r="G1183" i="16" s="1"/>
  <c r="I2" i="28"/>
  <c r="AI3" i="16"/>
  <c r="I2" i="82"/>
  <c r="I18" i="3"/>
  <c r="AC465" i="25"/>
  <c r="AI3" i="25"/>
  <c r="I4" i="25" s="1"/>
  <c r="I1" i="28"/>
  <c r="AG1" i="28"/>
  <c r="AF933" i="16"/>
  <c r="AC933" i="16"/>
  <c r="N23" i="3"/>
  <c r="AG2" i="25"/>
  <c r="AI2" i="25"/>
  <c r="G415" i="16" l="1"/>
  <c r="A726" i="66"/>
  <c r="A727" i="66" s="1"/>
  <c r="C1992" i="66"/>
  <c r="A1993" i="66"/>
  <c r="C2020" i="66"/>
  <c r="A1912" i="66"/>
  <c r="C1912" i="66" s="1"/>
  <c r="A1571" i="66"/>
  <c r="C1571" i="66" s="1"/>
  <c r="A1053" i="66"/>
  <c r="C1052" i="66"/>
  <c r="C2019" i="66"/>
  <c r="G1166" i="16"/>
  <c r="G1190" i="16"/>
  <c r="G1281" i="16"/>
  <c r="G1282" i="16" s="1"/>
  <c r="A1187" i="66"/>
  <c r="A1278" i="66"/>
  <c r="A1279" i="66" s="1"/>
  <c r="C1279" i="66" s="1"/>
  <c r="A1061" i="66"/>
  <c r="A1189" i="66"/>
  <c r="C1189" i="66" s="1"/>
  <c r="I1291" i="66"/>
  <c r="A1322" i="66"/>
  <c r="A1323" i="66" s="1"/>
  <c r="C1323" i="66" s="1"/>
  <c r="A1182" i="66"/>
  <c r="C1182" i="66" s="1"/>
  <c r="A1188" i="66"/>
  <c r="C1188" i="66" s="1"/>
  <c r="A1741" i="66"/>
  <c r="C1741" i="66" s="1"/>
  <c r="A131" i="66"/>
  <c r="G2307" i="16"/>
  <c r="G2308" i="16" s="1"/>
  <c r="A2404" i="66"/>
  <c r="C2403" i="66"/>
  <c r="A2312" i="66"/>
  <c r="C2311" i="66"/>
  <c r="A2209" i="66"/>
  <c r="C2209" i="66" s="1"/>
  <c r="C2208" i="66"/>
  <c r="C516" i="66"/>
  <c r="A1038" i="66"/>
  <c r="C1037" i="66"/>
  <c r="A1043" i="66"/>
  <c r="C1042" i="66"/>
  <c r="A1205" i="66"/>
  <c r="A1206" i="66" s="1"/>
  <c r="C1204" i="66"/>
  <c r="A2022" i="66"/>
  <c r="C2022" i="66" s="1"/>
  <c r="C2021" i="66"/>
  <c r="A1198" i="66"/>
  <c r="C1197" i="66"/>
  <c r="A1177" i="66"/>
  <c r="C1176" i="66"/>
  <c r="A1166" i="66"/>
  <c r="C1165" i="66"/>
  <c r="A1087" i="66"/>
  <c r="C1086" i="66"/>
  <c r="L18" i="3"/>
  <c r="K18" i="3" s="1"/>
  <c r="G425" i="16"/>
  <c r="G426" i="16" s="1"/>
  <c r="G427" i="16" s="1"/>
  <c r="G428" i="16" s="1"/>
  <c r="G1324" i="16"/>
  <c r="G1325" i="16" s="1"/>
  <c r="G1326" i="16" s="1"/>
  <c r="G1327" i="16" s="1"/>
  <c r="G1328" i="16" s="1"/>
  <c r="G1329" i="16" s="1"/>
  <c r="G1330" i="16" s="1"/>
  <c r="G1331" i="16" s="1"/>
  <c r="G1332" i="16" s="1"/>
  <c r="G1333" i="16" s="1"/>
  <c r="G1334" i="16" s="1"/>
  <c r="G1335" i="16" s="1"/>
  <c r="G1336" i="16" s="1"/>
  <c r="G1337" i="16" s="1"/>
  <c r="G1338" i="16" s="1"/>
  <c r="G1339" i="16" s="1"/>
  <c r="G1340" i="16" s="1"/>
  <c r="G1341" i="16" s="1"/>
  <c r="G1342" i="16" s="1"/>
  <c r="G1343" i="16" s="1"/>
  <c r="G1344" i="16" s="1"/>
  <c r="G1345" i="16" s="1"/>
  <c r="G1346" i="16" s="1"/>
  <c r="G1347" i="16" s="1"/>
  <c r="G1348" i="16" s="1"/>
  <c r="G1349" i="16" s="1"/>
  <c r="G1292" i="16" s="1"/>
  <c r="G1184" i="16"/>
  <c r="G1185" i="16" s="1"/>
  <c r="G1186" i="16" s="1"/>
  <c r="G1063" i="16"/>
  <c r="G1064" i="16" s="1"/>
  <c r="I2" i="25"/>
  <c r="E28" i="17"/>
  <c r="AG3" i="16"/>
  <c r="AK1" i="16"/>
  <c r="E28" i="18"/>
  <c r="N25" i="3"/>
  <c r="N27" i="3" s="1"/>
  <c r="K19" i="3"/>
  <c r="A1913" i="66" l="1"/>
  <c r="C1913" i="66" s="1"/>
  <c r="C726" i="66"/>
  <c r="A1994" i="66"/>
  <c r="C1994" i="66" s="1"/>
  <c r="C1993" i="66"/>
  <c r="AG1" i="25"/>
  <c r="I1" i="25" s="1"/>
  <c r="C1053" i="66"/>
  <c r="A1054" i="66"/>
  <c r="C1278" i="66"/>
  <c r="G1191" i="16"/>
  <c r="G1192" i="16" s="1"/>
  <c r="G1193" i="16" s="1"/>
  <c r="G1194" i="16" s="1"/>
  <c r="G1167" i="16"/>
  <c r="G1168" i="16" s="1"/>
  <c r="G1279" i="16"/>
  <c r="G1051" i="16"/>
  <c r="A1062" i="66"/>
  <c r="C1061" i="66"/>
  <c r="A1183" i="66"/>
  <c r="C1183" i="66" s="1"/>
  <c r="A1186" i="66"/>
  <c r="C1186" i="66" s="1"/>
  <c r="A1277" i="66"/>
  <c r="C1277" i="66" s="1"/>
  <c r="C1187" i="66"/>
  <c r="A1291" i="66"/>
  <c r="C1291" i="66" s="1"/>
  <c r="C1322" i="66"/>
  <c r="A2313" i="66"/>
  <c r="C2312" i="66"/>
  <c r="A2405" i="66"/>
  <c r="C2404" i="66"/>
  <c r="A132" i="66"/>
  <c r="C131" i="66"/>
  <c r="A728" i="66"/>
  <c r="C728" i="66" s="1"/>
  <c r="C727" i="66"/>
  <c r="A1039" i="66"/>
  <c r="C1038" i="66"/>
  <c r="A1044" i="66"/>
  <c r="C1044" i="66" s="1"/>
  <c r="C1043" i="66"/>
  <c r="C1205" i="66"/>
  <c r="A1207" i="66"/>
  <c r="C1206" i="66"/>
  <c r="A1199" i="66"/>
  <c r="C1199" i="66" s="1"/>
  <c r="C1198" i="66"/>
  <c r="A1178" i="66"/>
  <c r="C1177" i="66"/>
  <c r="A1167" i="66"/>
  <c r="C1167" i="66" s="1"/>
  <c r="C1166" i="66"/>
  <c r="A1088" i="66"/>
  <c r="C1087" i="66"/>
  <c r="D26" i="18"/>
  <c r="D26" i="17"/>
  <c r="G2104" i="16"/>
  <c r="G2105" i="16" s="1"/>
  <c r="I2" i="8"/>
  <c r="D32" i="18"/>
  <c r="D32" i="17"/>
  <c r="O26" i="3"/>
  <c r="N26" i="3" s="1"/>
  <c r="E32" i="17"/>
  <c r="E32" i="18"/>
  <c r="G1105" i="16" l="1"/>
  <c r="G1106" i="16" s="1"/>
  <c r="G1107" i="16" s="1"/>
  <c r="G1108" i="16" s="1"/>
  <c r="G1109" i="16" s="1"/>
  <c r="G1110" i="16" s="1"/>
  <c r="G1111" i="16" s="1"/>
  <c r="G1112" i="16" s="1"/>
  <c r="G1113" i="16" s="1"/>
  <c r="G1114" i="16" s="1"/>
  <c r="G1115" i="16" s="1"/>
  <c r="G1116" i="16" s="1"/>
  <c r="G1117" i="16" s="1"/>
  <c r="G1118" i="16" s="1"/>
  <c r="A1055" i="66"/>
  <c r="C1054" i="66"/>
  <c r="G1280" i="16"/>
  <c r="G1278" i="16" s="1"/>
  <c r="G1187" i="16"/>
  <c r="C1062" i="66"/>
  <c r="A1063" i="66"/>
  <c r="C1063" i="66" s="1"/>
  <c r="A2406" i="66"/>
  <c r="C2405" i="66"/>
  <c r="A2314" i="66"/>
  <c r="C2313" i="66"/>
  <c r="C132" i="66"/>
  <c r="A1040" i="66"/>
  <c r="C1039" i="66"/>
  <c r="A1208" i="66"/>
  <c r="C1207" i="66"/>
  <c r="A1179" i="66"/>
  <c r="C1178" i="66"/>
  <c r="A1089" i="66"/>
  <c r="C1088" i="66"/>
  <c r="G25" i="18"/>
  <c r="G32" i="18" s="1"/>
  <c r="AM2" i="16"/>
  <c r="I2" i="16" s="1"/>
  <c r="G8" i="18"/>
  <c r="A1056" i="66" l="1"/>
  <c r="C1056" i="66" s="1"/>
  <c r="C1055" i="66"/>
  <c r="A1068" i="66"/>
  <c r="A1050" i="66" s="1"/>
  <c r="C1050" i="66" s="1"/>
  <c r="A2315" i="66"/>
  <c r="C2314" i="66"/>
  <c r="A2407" i="66"/>
  <c r="C2406" i="66"/>
  <c r="A105" i="66"/>
  <c r="C104" i="66"/>
  <c r="A1041" i="66"/>
  <c r="C1041" i="66" s="1"/>
  <c r="C1040" i="66"/>
  <c r="C1089" i="66"/>
  <c r="A1209" i="66"/>
  <c r="C1208" i="66"/>
  <c r="A1180" i="66"/>
  <c r="A1104" i="66" s="1"/>
  <c r="C1179" i="66"/>
  <c r="G1917" i="16"/>
  <c r="G1918" i="16" s="1"/>
  <c r="G1919" i="16" s="1"/>
  <c r="G2146" i="16"/>
  <c r="G2147" i="16" s="1"/>
  <c r="G2148" i="16" s="1"/>
  <c r="O88" i="82"/>
  <c r="AO88" i="82" s="1"/>
  <c r="G1675" i="16"/>
  <c r="G1671" i="16" s="1"/>
  <c r="G1663" i="16" s="1"/>
  <c r="C1068" i="66" l="1"/>
  <c r="A2408" i="66"/>
  <c r="C2407" i="66"/>
  <c r="A2316" i="66"/>
  <c r="C2315" i="66"/>
  <c r="A106" i="66"/>
  <c r="C105" i="66"/>
  <c r="C1180" i="66"/>
  <c r="C1104" i="66"/>
  <c r="A1210" i="66"/>
  <c r="A1203" i="66" s="1"/>
  <c r="C1209" i="66"/>
  <c r="O90" i="82"/>
  <c r="AO90" i="82" s="1"/>
  <c r="I1673" i="66"/>
  <c r="G1672" i="16"/>
  <c r="G1673" i="16" s="1"/>
  <c r="G1677" i="16"/>
  <c r="G1678" i="16" s="1"/>
  <c r="G1679" i="16" s="1"/>
  <c r="A2317" i="66" l="1"/>
  <c r="C2316" i="66"/>
  <c r="A2409" i="66"/>
  <c r="C2408" i="66"/>
  <c r="A107" i="66"/>
  <c r="C106" i="66"/>
  <c r="C1210" i="66"/>
  <c r="C1203" i="66"/>
  <c r="R86" i="82"/>
  <c r="I20" i="3"/>
  <c r="L20" i="3" s="1"/>
  <c r="K20" i="3" s="1"/>
  <c r="I1675" i="66"/>
  <c r="I1662" i="66" s="1"/>
  <c r="O1676" i="16"/>
  <c r="AO1676" i="16" s="1"/>
  <c r="AG2" i="82"/>
  <c r="K22" i="3"/>
  <c r="AG1" i="82" l="1"/>
  <c r="I1" i="82" s="1"/>
  <c r="I26" i="3"/>
  <c r="H26" i="3" s="1"/>
  <c r="D27" i="17"/>
  <c r="D27" i="18"/>
  <c r="A1662" i="66"/>
  <c r="C1662" i="66" s="1"/>
  <c r="A2410" i="66"/>
  <c r="C2409" i="66"/>
  <c r="A2318" i="66"/>
  <c r="C2317" i="66"/>
  <c r="O1674" i="16"/>
  <c r="O20" i="3" s="1"/>
  <c r="R20" i="3" s="1"/>
  <c r="Q20" i="3" s="1"/>
  <c r="E1676" i="76"/>
  <c r="C107" i="66"/>
  <c r="A912" i="66"/>
  <c r="C912" i="66" s="1"/>
  <c r="C910" i="66"/>
  <c r="C911" i="66"/>
  <c r="Q22" i="3"/>
  <c r="AJ1" i="16" l="1"/>
  <c r="I3" i="16" s="1"/>
  <c r="E27" i="17"/>
  <c r="E27" i="18"/>
  <c r="I3" i="82"/>
  <c r="I3" i="28"/>
  <c r="I3" i="24"/>
  <c r="I3" i="25"/>
  <c r="I3" i="29"/>
  <c r="G8" i="17"/>
  <c r="I3" i="8"/>
  <c r="E1674" i="76"/>
  <c r="AO1674" i="16"/>
  <c r="A2319" i="66"/>
  <c r="C2319" i="66" s="1"/>
  <c r="C2318" i="66"/>
  <c r="A2411" i="66"/>
  <c r="C2410" i="66"/>
  <c r="R1672" i="16"/>
  <c r="A93" i="66"/>
  <c r="C93" i="66" s="1"/>
  <c r="C92" i="66"/>
  <c r="A913" i="66"/>
  <c r="A2412" i="66" l="1"/>
  <c r="C2412" i="66" s="1"/>
  <c r="C2411" i="66"/>
  <c r="C913" i="66"/>
  <c r="A914" i="66"/>
  <c r="C914" i="66" s="1"/>
  <c r="C474" i="66"/>
  <c r="A475" i="66"/>
  <c r="A476" i="66" s="1"/>
  <c r="A477" i="66" l="1"/>
  <c r="C476" i="66"/>
  <c r="C475" i="66"/>
  <c r="C477" i="66" l="1"/>
  <c r="A478" i="66"/>
  <c r="C478" i="66" l="1"/>
  <c r="A479" i="66"/>
  <c r="C479" i="66" l="1"/>
  <c r="A480" i="66"/>
  <c r="C480" i="66" l="1"/>
  <c r="A481" i="66"/>
  <c r="C481" i="66" s="1"/>
  <c r="C423" i="66"/>
  <c r="A424" i="66"/>
  <c r="A425" i="66" l="1"/>
  <c r="A426" i="66" s="1"/>
  <c r="C424" i="66"/>
  <c r="C425" i="66" l="1"/>
  <c r="A427" i="66"/>
  <c r="A393" i="66" s="1"/>
  <c r="C426" i="66"/>
  <c r="C349" i="66"/>
  <c r="A350" i="66"/>
  <c r="A351" i="66" s="1"/>
  <c r="C351" i="66" s="1"/>
  <c r="C427" i="66" l="1"/>
  <c r="C393" i="66"/>
  <c r="C350" i="66"/>
  <c r="C230" i="66"/>
  <c r="A231" i="66"/>
  <c r="C231" i="66" s="1"/>
  <c r="C200" i="66"/>
  <c r="A201" i="66"/>
  <c r="C201" i="66" s="1"/>
  <c r="A202" i="66" l="1"/>
  <c r="C202" i="66" s="1"/>
  <c r="AI2" i="24" l="1"/>
</calcChain>
</file>

<file path=xl/sharedStrings.xml><?xml version="1.0" encoding="utf-8"?>
<sst xmlns="http://schemas.openxmlformats.org/spreadsheetml/2006/main" count="46703" uniqueCount="5678">
  <si>
    <t>error</t>
  </si>
  <si>
    <t>Notes</t>
  </si>
  <si>
    <t>State</t>
  </si>
  <si>
    <t>StateA</t>
  </si>
  <si>
    <t>County</t>
  </si>
  <si>
    <t>Radon</t>
  </si>
  <si>
    <t>Climate</t>
  </si>
  <si>
    <t>Moist</t>
  </si>
  <si>
    <t>WarmHumid</t>
  </si>
  <si>
    <t>Alaska</t>
  </si>
  <si>
    <t>AK</t>
  </si>
  <si>
    <t xml:space="preserve"> </t>
  </si>
  <si>
    <t>Alabama</t>
  </si>
  <si>
    <t>Arkansas</t>
  </si>
  <si>
    <t>Arizona</t>
  </si>
  <si>
    <t>California</t>
  </si>
  <si>
    <t>Colorado</t>
  </si>
  <si>
    <t>Connecticut</t>
  </si>
  <si>
    <t>District of Columbia</t>
  </si>
  <si>
    <t>Delaware</t>
  </si>
  <si>
    <t>Florida</t>
  </si>
  <si>
    <t>Georgia</t>
  </si>
  <si>
    <t>Hawaii</t>
  </si>
  <si>
    <t>Iowa</t>
  </si>
  <si>
    <t>Idaho</t>
  </si>
  <si>
    <t>Illinois</t>
  </si>
  <si>
    <t>Indiana</t>
  </si>
  <si>
    <t>Kansas</t>
  </si>
  <si>
    <t>Kentucky</t>
  </si>
  <si>
    <t>Louisiana</t>
  </si>
  <si>
    <t>Massachusetts</t>
  </si>
  <si>
    <t>Maryland</t>
  </si>
  <si>
    <t>Maine</t>
  </si>
  <si>
    <t>Michigan</t>
  </si>
  <si>
    <t>Minnesota</t>
  </si>
  <si>
    <t>Missouri</t>
  </si>
  <si>
    <t>Mississippi</t>
  </si>
  <si>
    <t>Montana</t>
  </si>
  <si>
    <t>North Carolina</t>
  </si>
  <si>
    <t>North Dakota</t>
  </si>
  <si>
    <t>CO</t>
  </si>
  <si>
    <t>Nebraska</t>
  </si>
  <si>
    <t>New Hampshire</t>
  </si>
  <si>
    <t>New Jersey</t>
  </si>
  <si>
    <t>New Mexico</t>
  </si>
  <si>
    <t>Nevada</t>
  </si>
  <si>
    <t>New York</t>
  </si>
  <si>
    <t>Ohio</t>
  </si>
  <si>
    <t>Oklahoma</t>
  </si>
  <si>
    <t>Oregon</t>
  </si>
  <si>
    <t>Pennsylvania</t>
  </si>
  <si>
    <t>Rhode Island</t>
  </si>
  <si>
    <t>South Carolina</t>
  </si>
  <si>
    <t>South Dakota</t>
  </si>
  <si>
    <t>ME</t>
  </si>
  <si>
    <t>Tennessee</t>
  </si>
  <si>
    <t>MI</t>
  </si>
  <si>
    <t>Texas</t>
  </si>
  <si>
    <t>Utah</t>
  </si>
  <si>
    <t>Virginia</t>
  </si>
  <si>
    <t>Vermont</t>
  </si>
  <si>
    <t>Washington</t>
  </si>
  <si>
    <t>Wisconsin</t>
  </si>
  <si>
    <t>West Virginia</t>
  </si>
  <si>
    <t>Wyoming</t>
  </si>
  <si>
    <t>American Samoa</t>
  </si>
  <si>
    <t>Guam</t>
  </si>
  <si>
    <t>MN</t>
  </si>
  <si>
    <t>Northern Mariana Islands</t>
  </si>
  <si>
    <t>Puerto Rico</t>
  </si>
  <si>
    <t>Virgin Islands</t>
  </si>
  <si>
    <t>ND</t>
  </si>
  <si>
    <t>WI</t>
  </si>
  <si>
    <t>WY</t>
  </si>
  <si>
    <t>CA</t>
  </si>
  <si>
    <t>Dry</t>
  </si>
  <si>
    <t>ID</t>
  </si>
  <si>
    <t>IA</t>
  </si>
  <si>
    <t>MT</t>
  </si>
  <si>
    <t>NH</t>
  </si>
  <si>
    <t>NY</t>
  </si>
  <si>
    <t>PA</t>
  </si>
  <si>
    <t>SD</t>
  </si>
  <si>
    <t>UT</t>
  </si>
  <si>
    <t>VT</t>
  </si>
  <si>
    <t>WA</t>
  </si>
  <si>
    <t>AZ</t>
  </si>
  <si>
    <t>CT</t>
  </si>
  <si>
    <t>IL</t>
  </si>
  <si>
    <t>IN</t>
  </si>
  <si>
    <t>Page</t>
  </si>
  <si>
    <t>KS</t>
  </si>
  <si>
    <t>MD</t>
  </si>
  <si>
    <t>MA</t>
  </si>
  <si>
    <t>MO</t>
  </si>
  <si>
    <t>NE</t>
  </si>
  <si>
    <t>NV</t>
  </si>
  <si>
    <t>NJ</t>
  </si>
  <si>
    <t>NM</t>
  </si>
  <si>
    <t>NC</t>
  </si>
  <si>
    <t>OH</t>
  </si>
  <si>
    <t>OR</t>
  </si>
  <si>
    <t>RI</t>
  </si>
  <si>
    <t>WV</t>
  </si>
  <si>
    <t>AR</t>
  </si>
  <si>
    <t>Marine</t>
  </si>
  <si>
    <t>DE</t>
  </si>
  <si>
    <t>DC</t>
  </si>
  <si>
    <t>GA</t>
  </si>
  <si>
    <t>KY</t>
  </si>
  <si>
    <t>OK</t>
  </si>
  <si>
    <t>TN</t>
  </si>
  <si>
    <t>TX</t>
  </si>
  <si>
    <t>VA</t>
  </si>
  <si>
    <t>AL</t>
  </si>
  <si>
    <t>Warm-Humid</t>
  </si>
  <si>
    <t>LA</t>
  </si>
  <si>
    <t>MS</t>
  </si>
  <si>
    <t>SC</t>
  </si>
  <si>
    <t>FL</t>
  </si>
  <si>
    <t>HI</t>
  </si>
  <si>
    <t>(a)</t>
  </si>
  <si>
    <t>(b)</t>
  </si>
  <si>
    <t>(c)</t>
  </si>
  <si>
    <t>Builder Name:</t>
  </si>
  <si>
    <t>Physical Address of Home:</t>
  </si>
  <si>
    <t>City:</t>
  </si>
  <si>
    <t>County:</t>
  </si>
  <si>
    <t>State:</t>
  </si>
  <si>
    <t>Zip:</t>
  </si>
  <si>
    <t>Community/Lot #:</t>
  </si>
  <si>
    <t>Above grade plane finished floor area:</t>
  </si>
  <si>
    <t>Total conditioned floor area:</t>
  </si>
  <si>
    <t>Foundation Type:</t>
  </si>
  <si>
    <t>Renewable Energy:</t>
  </si>
  <si>
    <t>Thermal Envelope Insulation:</t>
  </si>
  <si>
    <t>Attic Type:</t>
  </si>
  <si>
    <t>Attached Garage:</t>
  </si>
  <si>
    <t>Recessed Lighting:</t>
  </si>
  <si>
    <t>Special Design Features:</t>
  </si>
  <si>
    <t>Passive Solar:</t>
  </si>
  <si>
    <t>Mass Walls:</t>
  </si>
  <si>
    <t>Radiant/Hydronic:</t>
  </si>
  <si>
    <t>Local Energy Code:</t>
  </si>
  <si>
    <t>Local Building Code:</t>
  </si>
  <si>
    <t>s.f./unit</t>
  </si>
  <si>
    <t>s.f.</t>
  </si>
  <si>
    <t>dstBuilderName</t>
  </si>
  <si>
    <t>dstHomeAddress</t>
  </si>
  <si>
    <t>dstLot</t>
  </si>
  <si>
    <t>dstCity</t>
  </si>
  <si>
    <t>dstState</t>
  </si>
  <si>
    <t>dstCounty</t>
  </si>
  <si>
    <t>dstZIP</t>
  </si>
  <si>
    <t>dstSingleOrMulti</t>
  </si>
  <si>
    <t>Number of Units:</t>
  </si>
  <si>
    <t>Project Name:</t>
  </si>
  <si>
    <t>dstUnits</t>
  </si>
  <si>
    <t>dstProjectName</t>
  </si>
  <si>
    <t>dstAGFloorArea</t>
  </si>
  <si>
    <t>dstTCFloorArea</t>
  </si>
  <si>
    <t>dstProjectDesc</t>
  </si>
  <si>
    <t>dstFoundation</t>
  </si>
  <si>
    <t>dstFuel</t>
  </si>
  <si>
    <t>dstRenewable</t>
  </si>
  <si>
    <t>dstTEInsulation</t>
  </si>
  <si>
    <t>dstAttic</t>
  </si>
  <si>
    <t>dstAttachedGarage</t>
  </si>
  <si>
    <t>dstRecessedLighting</t>
  </si>
  <si>
    <t>dstPassiveSolar</t>
  </si>
  <si>
    <t>dstMassWalls</t>
  </si>
  <si>
    <t>dstRadiantHydronic</t>
  </si>
  <si>
    <t>dstEnergyCode</t>
  </si>
  <si>
    <t>dstBuildingCode</t>
  </si>
  <si>
    <t>ddState</t>
  </si>
  <si>
    <t>ddCounty</t>
  </si>
  <si>
    <t>ddSingleOrMulti</t>
  </si>
  <si>
    <t>ddFoundation</t>
  </si>
  <si>
    <t>ddFuel</t>
  </si>
  <si>
    <t>ddRenewable</t>
  </si>
  <si>
    <t>ddTEInsulation</t>
  </si>
  <si>
    <t>ddAttic</t>
  </si>
  <si>
    <t>ddAttachedGarage</t>
  </si>
  <si>
    <t>ddRecessedLighting</t>
  </si>
  <si>
    <t>ddPassiveSolar</t>
  </si>
  <si>
    <t>ddMassWalls</t>
  </si>
  <si>
    <t>ddRadiantHydronic</t>
  </si>
  <si>
    <t>ddEnergyCode</t>
  </si>
  <si>
    <t>ddBuildingCode</t>
  </si>
  <si>
    <t>Start Here!</t>
  </si>
  <si>
    <t>Single-Family</t>
  </si>
  <si>
    <t>Basement</t>
  </si>
  <si>
    <t>Vented crawlspace</t>
  </si>
  <si>
    <t>Conditioned crawlspace</t>
  </si>
  <si>
    <t>Slab on grade</t>
  </si>
  <si>
    <t>Basement &amp; vented crawlspace</t>
  </si>
  <si>
    <t>Basement &amp; slab on grade</t>
  </si>
  <si>
    <t>Slab + crawlspace</t>
  </si>
  <si>
    <t>Other</t>
  </si>
  <si>
    <t>Furnace</t>
  </si>
  <si>
    <t>Boiler</t>
  </si>
  <si>
    <t>Heat Pump</t>
  </si>
  <si>
    <t>Electric Resistance</t>
  </si>
  <si>
    <t>Ground Source Heat Pump</t>
  </si>
  <si>
    <t>Gas</t>
  </si>
  <si>
    <t>Propane</t>
  </si>
  <si>
    <t>Oil</t>
  </si>
  <si>
    <t>Electricity</t>
  </si>
  <si>
    <t>Wood/Biomass</t>
  </si>
  <si>
    <t>None</t>
  </si>
  <si>
    <t>Photovoltaic</t>
  </si>
  <si>
    <t>Solar Hot Water</t>
  </si>
  <si>
    <t>Solar Heating</t>
  </si>
  <si>
    <t>Wind</t>
  </si>
  <si>
    <t>Fiberglass</t>
  </si>
  <si>
    <t>Cellulose</t>
  </si>
  <si>
    <t>Rigid Foam</t>
  </si>
  <si>
    <t>Spray Foam</t>
  </si>
  <si>
    <t>Fiberglass &amp; Rigid Foam</t>
  </si>
  <si>
    <t>Cellulose &amp; Rigid Foam</t>
  </si>
  <si>
    <t>SIP</t>
  </si>
  <si>
    <t>Spray &amp; Rigid Foam</t>
  </si>
  <si>
    <t>Vented</t>
  </si>
  <si>
    <t>Sealed</t>
  </si>
  <si>
    <t>Yes</t>
  </si>
  <si>
    <t>No</t>
  </si>
  <si>
    <t>2006 IECC</t>
  </si>
  <si>
    <t>2009 IECC</t>
  </si>
  <si>
    <t>2012 IECC</t>
  </si>
  <si>
    <t>2006 IRC</t>
  </si>
  <si>
    <t>2009 IRC</t>
  </si>
  <si>
    <t>2012 IRC</t>
  </si>
  <si>
    <t>Name</t>
  </si>
  <si>
    <t>dropdown names</t>
  </si>
  <si>
    <t>range names</t>
  </si>
  <si>
    <t>Tankless Water Heater:</t>
  </si>
  <si>
    <t>Composting Toilet:</t>
  </si>
  <si>
    <t>dstTLWH</t>
  </si>
  <si>
    <t>dstCToilet</t>
  </si>
  <si>
    <t>ddTLWH</t>
  </si>
  <si>
    <t>ddCToilet</t>
  </si>
  <si>
    <t>Version</t>
  </si>
  <si>
    <t>Instructions</t>
  </si>
  <si>
    <t>Key</t>
  </si>
  <si>
    <t>Introduction</t>
  </si>
  <si>
    <t>Revision Date:</t>
  </si>
  <si>
    <t>X</t>
  </si>
  <si>
    <t>Practice #</t>
  </si>
  <si>
    <t>Points Available</t>
  </si>
  <si>
    <t>mand</t>
  </si>
  <si>
    <t>avail</t>
  </si>
  <si>
    <t>Status</t>
  </si>
  <si>
    <t>Points Claimed</t>
  </si>
  <si>
    <t>500.0</t>
  </si>
  <si>
    <t>(1)</t>
  </si>
  <si>
    <t>(2)</t>
  </si>
  <si>
    <t>(3)</t>
  </si>
  <si>
    <t>TorF</t>
  </si>
  <si>
    <t>501.2</t>
  </si>
  <si>
    <t>(4)</t>
  </si>
  <si>
    <t>Recreation: recreational facilities (such as pools, tennis courts, basketball courts), parks.</t>
  </si>
  <si>
    <t>Retail: grocery store, restaurant, retail store.</t>
  </si>
  <si>
    <t>Civic:  post office, place of worship, community center.</t>
  </si>
  <si>
    <t>(5)</t>
  </si>
  <si>
    <t>(6)</t>
  </si>
  <si>
    <t>Minimum of 1 bicycle parking space per 3 residential units</t>
  </si>
  <si>
    <t>Minimum of 1 bicycle parking space per 2 residential units</t>
  </si>
  <si>
    <t>Minimum of 1 bicycle parking space per 1 residential unit.</t>
  </si>
  <si>
    <t>Ch.5</t>
  </si>
  <si>
    <t>NOTE: List the 6 community resources in the Notes field.</t>
  </si>
  <si>
    <t>startError</t>
  </si>
  <si>
    <t>Ch5MandError</t>
  </si>
  <si>
    <t>Ch5Error</t>
  </si>
  <si>
    <t>Ch5Points</t>
  </si>
  <si>
    <t>Ch5Level</t>
  </si>
  <si>
    <t>Emerald</t>
  </si>
  <si>
    <t>Bronze</t>
  </si>
  <si>
    <t>Silver</t>
  </si>
  <si>
    <t>Gold</t>
  </si>
  <si>
    <t>threshholds</t>
  </si>
  <si>
    <t>earned</t>
  </si>
  <si>
    <t>Ch 5</t>
  </si>
  <si>
    <t>Ch 6</t>
  </si>
  <si>
    <t>Ch 7</t>
  </si>
  <si>
    <t>Ch 8</t>
  </si>
  <si>
    <t>Ch 9</t>
  </si>
  <si>
    <t>Ch 10</t>
  </si>
  <si>
    <t>manderror</t>
  </si>
  <si>
    <t>anyerror</t>
  </si>
  <si>
    <t>design</t>
  </si>
  <si>
    <t>final</t>
  </si>
  <si>
    <t>Practice</t>
  </si>
  <si>
    <t>verStartError</t>
  </si>
  <si>
    <t>verMandError</t>
  </si>
  <si>
    <t>verError</t>
  </si>
  <si>
    <t>Rough</t>
  </si>
  <si>
    <t>Final</t>
  </si>
  <si>
    <t>final level</t>
  </si>
  <si>
    <t>Points</t>
  </si>
  <si>
    <t>Claimed</t>
  </si>
  <si>
    <t>Points Awarded</t>
  </si>
  <si>
    <t>verGoalLevel</t>
  </si>
  <si>
    <t>desGoalLevel</t>
  </si>
  <si>
    <t>verBuilderName</t>
  </si>
  <si>
    <t>verHomeAddress</t>
  </si>
  <si>
    <t>verLot</t>
  </si>
  <si>
    <t>verCity</t>
  </si>
  <si>
    <t>verState</t>
  </si>
  <si>
    <t>verCounty</t>
  </si>
  <si>
    <t>verZIP</t>
  </si>
  <si>
    <t>verSingleOrMulti</t>
  </si>
  <si>
    <t>verUnits</t>
  </si>
  <si>
    <t>verProjectName</t>
  </si>
  <si>
    <t>verAGFloorArea</t>
  </si>
  <si>
    <t>verTCFloorArea</t>
  </si>
  <si>
    <t>verProjectDesc</t>
  </si>
  <si>
    <t>verFoundation</t>
  </si>
  <si>
    <t>verHVAC1</t>
  </si>
  <si>
    <t>verHVAC2</t>
  </si>
  <si>
    <t>verHVAC3</t>
  </si>
  <si>
    <t>verFuel</t>
  </si>
  <si>
    <t>verRenewable</t>
  </si>
  <si>
    <t>verTEInsulation</t>
  </si>
  <si>
    <t>verAttic</t>
  </si>
  <si>
    <t>verAttachedGarage</t>
  </si>
  <si>
    <t>verRecessedLighting</t>
  </si>
  <si>
    <t>verPassiveSolar</t>
  </si>
  <si>
    <t>verMassWalls</t>
  </si>
  <si>
    <t>verRadiantHydronic</t>
  </si>
  <si>
    <t>verTLWH</t>
  </si>
  <si>
    <t>verCToilet</t>
  </si>
  <si>
    <t>verEnergyCode</t>
  </si>
  <si>
    <t>verBuildingCode</t>
  </si>
  <si>
    <t>Designer</t>
  </si>
  <si>
    <t>Correction</t>
  </si>
  <si>
    <t>Correct?</t>
  </si>
  <si>
    <t>Instructions: Verify all Designer inputs are correct using checkboxes. If incorrect, provide correct information.</t>
  </si>
  <si>
    <t>Goal Level:</t>
  </si>
  <si>
    <t>Single-Family or Multifamily:</t>
  </si>
  <si>
    <t>Calculate per ANSI Z765.  For a multifamily building, use a weighted average of the individual unit sizes.</t>
  </si>
  <si>
    <t>Multifamily</t>
  </si>
  <si>
    <t>dd</t>
  </si>
  <si>
    <t>des  add</t>
  </si>
  <si>
    <t>ver add</t>
  </si>
  <si>
    <t>If "Other", please explain:</t>
  </si>
  <si>
    <t>502.1</t>
  </si>
  <si>
    <t>503</t>
  </si>
  <si>
    <t>503.0</t>
  </si>
  <si>
    <t>(Points awarded only if  the intent of the design is implemented.)</t>
  </si>
  <si>
    <t>503.1</t>
  </si>
  <si>
    <t>A natural resources inventory is completed under the direction of a qualified professional.</t>
  </si>
  <si>
    <t>A plan is implemented to conserve the elements identified by the natural resource inventory as high-priority resources.</t>
  </si>
  <si>
    <t>Items listed for protection in the natural resource inventory plan are protected under the direction of a qualified professional.</t>
  </si>
  <si>
    <t>Basic training in tree or other natural resource protection is provided for the on-site supervisor.</t>
  </si>
  <si>
    <t>All tree pruning on-site is conducted by a certified arborist or other qualified professional.</t>
  </si>
  <si>
    <t>Ongoing maintenance of vegetation on the lot during construction is in accordance with TCIA A300 or locally accepted best practices.</t>
  </si>
  <si>
    <t>(7)</t>
  </si>
  <si>
    <t>503.2</t>
  </si>
  <si>
    <t>25 percent to 75 percent</t>
  </si>
  <si>
    <t>greater than 75 percent</t>
  </si>
  <si>
    <t>Long-term erosion effects are reduced through the design and implementation of clustering, terracing, retaining walls, landscaping, or restabilization techniques.</t>
  </si>
  <si>
    <t>Underground parking uses the natural slope for parking entrances.</t>
  </si>
  <si>
    <t>503.3</t>
  </si>
  <si>
    <t>tunneling instead of trenching</t>
  </si>
  <si>
    <t>use of smaller (low ground pressure) equipment or geomats to spread the weight of construction equipment</t>
  </si>
  <si>
    <t>shared utility trenches or easements</t>
  </si>
  <si>
    <t>(d)</t>
  </si>
  <si>
    <t>placement of utilities under paved surfaces instead of yards</t>
  </si>
  <si>
    <t>503.4</t>
  </si>
  <si>
    <t xml:space="preserve">A site assessment is conducted and a plan prepared and implemented that identifies important existing permeable soils, natural drainage ways and other water features, e.g., depressional storage,  onsite to be preserved in order to maintain site hydrology.                                  </t>
  </si>
  <si>
    <t>Low Impact Development/Green infrastructure stormwater management practices to promote infiltration and evapotranspiration are used to manage rainfall on the lot and prevent the off-lot discharge of runoff from all storms up to and including the volume of following storm events:</t>
  </si>
  <si>
    <t>80th percentile storm event</t>
  </si>
  <si>
    <t>90th percentile storm event</t>
  </si>
  <si>
    <t>95th percentile storm event</t>
  </si>
  <si>
    <t>Permeable materials are used for driveways, parking areas, walkways, patios, and recreational surfaces and the like according to the following percentages:</t>
  </si>
  <si>
    <t>503.5</t>
  </si>
  <si>
    <t>(Where "front" only or "rear" only plan is implemented, only half of the points (rounding down to a whole number) are awarded for Items (1)-(8)</t>
  </si>
  <si>
    <t xml:space="preserve">A plan is formulated and implemented that protects, restores, or enhances natural vegetation on the lot.  </t>
  </si>
  <si>
    <t>100 percent of the natural area</t>
  </si>
  <si>
    <t>50 percent of the natural area</t>
  </si>
  <si>
    <t>25 percent of the natural area</t>
  </si>
  <si>
    <t>12 percent of the natural area</t>
  </si>
  <si>
    <t>Non-invasive vegetation that is native or regionally appropriate for local growing conditions is selected to promote biodiversity.</t>
  </si>
  <si>
    <t>0 percent</t>
  </si>
  <si>
    <t>Greater than 0 percent to less than 20 percent</t>
  </si>
  <si>
    <t>20 percent to less than 40 percent</t>
  </si>
  <si>
    <t>40 percent to 60 percent</t>
  </si>
  <si>
    <t>Plants with similar watering needs are grouped (hydrozoning) and shown on the lot plan.</t>
  </si>
  <si>
    <t>Summer shading by planting installed to shade a minimum of 30 percent of building walls. To conform to summer shading, the effective shade coverage (five years after planting) is the arithmetic mean of the shade coverage calculated at 10 am for eastward facing walls, noon for southward facing walls, and 3 pm for westward facing walls on the summer solstice.</t>
  </si>
  <si>
    <t>(8)</t>
  </si>
  <si>
    <t>Vegetative wind breaks or channels are designed to protect the lot and immediate surrounding lots as appropriate for local conditions.</t>
  </si>
  <si>
    <t>(9)</t>
  </si>
  <si>
    <t>(10)</t>
  </si>
  <si>
    <t>An integrated pest management plan is developed to minimize chemical use in pesticides and fertilizers.</t>
  </si>
  <si>
    <t>(11)</t>
  </si>
  <si>
    <t xml:space="preserve">Developer has a plan for removal or containment of invasive plants from the disturbed areas of the site.  </t>
  </si>
  <si>
    <t>(12)</t>
  </si>
  <si>
    <t xml:space="preserve">Developer implements a plan for removal or containment of invasive plants on the undisturbed areas of the site.  </t>
  </si>
  <si>
    <t>503.6</t>
  </si>
  <si>
    <t>Plants and gardens that encourage wildlife, such as bird and butterfly gardens.</t>
  </si>
  <si>
    <t>Inclusion of a certified “backyard wildlife” program.</t>
  </si>
  <si>
    <t>The lot is adjacent to a wildlife corridor, fish and game park, or preserved areas and is designed with regard for this relationship.</t>
  </si>
  <si>
    <t>Outdoor lighting techniques are utilized with regard for wildlife.</t>
  </si>
  <si>
    <t>503.7</t>
  </si>
  <si>
    <t>504.0</t>
  </si>
  <si>
    <t>504.1</t>
  </si>
  <si>
    <t>504.2</t>
  </si>
  <si>
    <t>Fencing or equivalent is installed to protect trees and other vegetation.</t>
  </si>
  <si>
    <t>Trenching, significant changes in grade, and compaction of soil and critical root zones in all “tree save” areas as shown on the lot plan are avoided.</t>
  </si>
  <si>
    <t>Damage to designated existing trees and vegetation is mitigated during construction through pruning, root pruning, fertilizing, and watering.</t>
  </si>
  <si>
    <t>504.3</t>
  </si>
  <si>
    <t>Sediment and erosion controls are installed on the lot and maintained in accordance with the stormwater pollution prevention plan, where required.</t>
  </si>
  <si>
    <t>Limits of clearing and grading are staked out on the lot.</t>
  </si>
  <si>
    <t>“No disturbance” zones are created using fencing or flagging to protect vegetation and sensitive areas on the lot from construction activity.</t>
  </si>
  <si>
    <t>Topsoil from either the lot or the site development is stockpiled and stabilized for later use and used to establish landscape plantings on the lot.</t>
  </si>
  <si>
    <t>Soil compaction from construction equipment is reduced by distributing the weight of the equipment over a larger area (laying lightweight geogrids, mulch, chipped wood, plywood, OSB, metal plates, or other materials capable of weight distribution in the pathway of the equipment).</t>
  </si>
  <si>
    <t>Soil is improved with organic amendments or mulch.</t>
  </si>
  <si>
    <t>505</t>
  </si>
  <si>
    <t>505.1</t>
  </si>
  <si>
    <t>Off-street parking areas are shared or driveways are shared. Waivers or variances from local development regulations are obtained to implement such practices, if required.</t>
  </si>
  <si>
    <t>In a multifamily project, parking capacity does not exceed the local minimum requirements.</t>
  </si>
  <si>
    <t>Structured parking is utilized to reduce the footprint of surface parking areas.</t>
  </si>
  <si>
    <t>25 percent to less than 50 percent</t>
  </si>
  <si>
    <t>50 percent to 75 percent</t>
  </si>
  <si>
    <t>505.2</t>
  </si>
  <si>
    <t>Hardscape: Not less than 50 percent of the surface area of the hardscape on the lot meets one or a combination of the following methods.</t>
  </si>
  <si>
    <t>Shading of hardscaping: Shade is provided from existing or new vegetation (within five years) or from trellises. Shade of hardscaping is to be measured on the summer solstice at noon.</t>
  </si>
  <si>
    <t>Light-colored hardscaping: Horizontal hardscaping materials are installed with a solar reflectance index (SRI) of 29 or greater. The SRI is calculated in accordance with ASTM E1980. A default SRI value of 35 for new concrete without added color pigment is permitted to be used instead of measurements.</t>
  </si>
  <si>
    <t>Permeable hardscaping: Permeable hardscaping materials are installed.</t>
  </si>
  <si>
    <t>Roofs: Not less than 75 percent of the exposed surface of the roof is vegetated using technology capable of withstanding the climate conditions of the jurisdiction and the microclimate conditions of the building lot. Invasive plant species are not permitted.</t>
  </si>
  <si>
    <t>505.3</t>
  </si>
  <si>
    <r>
      <t>7 to less than 14 dwelling units per acre (per 4,047 m</t>
    </r>
    <r>
      <rPr>
        <vertAlign val="superscript"/>
        <sz val="10"/>
        <color theme="1"/>
        <rFont val="Calibri"/>
        <family val="2"/>
        <scheme val="minor"/>
      </rPr>
      <t>2</t>
    </r>
    <r>
      <rPr>
        <sz val="10"/>
        <color theme="1"/>
        <rFont val="Calibri"/>
        <family val="2"/>
        <scheme val="minor"/>
      </rPr>
      <t>)</t>
    </r>
  </si>
  <si>
    <r>
      <t>14 to less than 21 dwelling units per acre (per 4,047 m</t>
    </r>
    <r>
      <rPr>
        <vertAlign val="superscript"/>
        <sz val="10"/>
        <color theme="1"/>
        <rFont val="Calibri"/>
        <family val="2"/>
        <scheme val="minor"/>
      </rPr>
      <t>2</t>
    </r>
    <r>
      <rPr>
        <sz val="10"/>
        <color theme="1"/>
        <rFont val="Calibri"/>
        <family val="2"/>
        <scheme val="minor"/>
      </rPr>
      <t>)</t>
    </r>
  </si>
  <si>
    <r>
      <t>21 to less than 35 dwelling units per acre (per 4,047 m</t>
    </r>
    <r>
      <rPr>
        <vertAlign val="superscript"/>
        <sz val="10"/>
        <color theme="1"/>
        <rFont val="Calibri"/>
        <family val="2"/>
        <scheme val="minor"/>
      </rPr>
      <t>2</t>
    </r>
    <r>
      <rPr>
        <sz val="10"/>
        <color theme="1"/>
        <rFont val="Calibri"/>
        <family val="2"/>
        <scheme val="minor"/>
      </rPr>
      <t>)</t>
    </r>
  </si>
  <si>
    <r>
      <t>35 to less than 70 dwelling units per acre (per 4,047 m</t>
    </r>
    <r>
      <rPr>
        <vertAlign val="superscript"/>
        <sz val="10"/>
        <color theme="1"/>
        <rFont val="Calibri"/>
        <family val="2"/>
        <scheme val="minor"/>
      </rPr>
      <t>2</t>
    </r>
    <r>
      <rPr>
        <sz val="10"/>
        <color theme="1"/>
        <rFont val="Calibri"/>
        <family val="2"/>
        <scheme val="minor"/>
      </rPr>
      <t>)</t>
    </r>
  </si>
  <si>
    <r>
      <t>70 or greater dwelling units per acre (per 4,047 m</t>
    </r>
    <r>
      <rPr>
        <vertAlign val="superscript"/>
        <sz val="10"/>
        <color theme="1"/>
        <rFont val="Calibri"/>
        <family val="2"/>
        <scheme val="minor"/>
      </rPr>
      <t>2</t>
    </r>
    <r>
      <rPr>
        <sz val="10"/>
        <color theme="1"/>
        <rFont val="Calibri"/>
        <family val="2"/>
        <scheme val="minor"/>
      </rPr>
      <t>)</t>
    </r>
  </si>
  <si>
    <t>505.5</t>
  </si>
  <si>
    <t>505.6</t>
  </si>
  <si>
    <t>Ch6Level</t>
  </si>
  <si>
    <t>Ch6Points</t>
  </si>
  <si>
    <t>Ch6MandError</t>
  </si>
  <si>
    <t>502</t>
  </si>
  <si>
    <t>601.0</t>
  </si>
  <si>
    <r>
      <t>less than or equal to 700 square feet (65 m</t>
    </r>
    <r>
      <rPr>
        <vertAlign val="superscript"/>
        <sz val="10"/>
        <color theme="1"/>
        <rFont val="Calibri"/>
        <family val="2"/>
        <scheme val="minor"/>
      </rPr>
      <t>2</t>
    </r>
    <r>
      <rPr>
        <sz val="10"/>
        <color theme="1"/>
        <rFont val="Calibri"/>
        <family val="2"/>
        <scheme val="minor"/>
      </rPr>
      <t>)</t>
    </r>
  </si>
  <si>
    <r>
      <t>less than or equal to 1,000 square feet (93 m</t>
    </r>
    <r>
      <rPr>
        <vertAlign val="superscript"/>
        <sz val="10"/>
        <color theme="1"/>
        <rFont val="Calibri"/>
        <family val="2"/>
        <scheme val="minor"/>
      </rPr>
      <t>2</t>
    </r>
    <r>
      <rPr>
        <sz val="10"/>
        <color theme="1"/>
        <rFont val="Calibri"/>
        <family val="2"/>
        <scheme val="minor"/>
      </rPr>
      <t>)</t>
    </r>
  </si>
  <si>
    <r>
      <t>less than or equal to 1,500 square feet (139 m</t>
    </r>
    <r>
      <rPr>
        <vertAlign val="superscript"/>
        <sz val="10"/>
        <color theme="1"/>
        <rFont val="Calibri"/>
        <family val="2"/>
        <scheme val="minor"/>
      </rPr>
      <t>2</t>
    </r>
    <r>
      <rPr>
        <sz val="10"/>
        <color theme="1"/>
        <rFont val="Calibri"/>
        <family val="2"/>
        <scheme val="minor"/>
      </rPr>
      <t>)</t>
    </r>
  </si>
  <si>
    <r>
      <t>less than or equal to 2,000 square feet (186 m</t>
    </r>
    <r>
      <rPr>
        <vertAlign val="superscript"/>
        <sz val="10"/>
        <color theme="1"/>
        <rFont val="Calibri"/>
        <family val="2"/>
        <scheme val="minor"/>
      </rPr>
      <t>2</t>
    </r>
    <r>
      <rPr>
        <sz val="10"/>
        <color theme="1"/>
        <rFont val="Calibri"/>
        <family val="2"/>
        <scheme val="minor"/>
      </rPr>
      <t>)</t>
    </r>
  </si>
  <si>
    <r>
      <t>less than or equal to 2,500 square feet (232 m</t>
    </r>
    <r>
      <rPr>
        <vertAlign val="superscript"/>
        <sz val="10"/>
        <color theme="1"/>
        <rFont val="Calibri"/>
        <family val="2"/>
        <scheme val="minor"/>
      </rPr>
      <t>2</t>
    </r>
    <r>
      <rPr>
        <sz val="10"/>
        <color theme="1"/>
        <rFont val="Calibri"/>
        <family val="2"/>
        <scheme val="minor"/>
      </rPr>
      <t>)</t>
    </r>
  </si>
  <si>
    <r>
      <t>greater than 4,000 square feet (372 m</t>
    </r>
    <r>
      <rPr>
        <vertAlign val="superscript"/>
        <sz val="10"/>
        <color theme="1"/>
        <rFont val="Calibri"/>
        <family val="2"/>
        <scheme val="minor"/>
      </rPr>
      <t>2</t>
    </r>
    <r>
      <rPr>
        <sz val="10"/>
        <color theme="1"/>
        <rFont val="Calibri"/>
        <family val="2"/>
        <scheme val="minor"/>
      </rPr>
      <t>)</t>
    </r>
  </si>
  <si>
    <t>9 Max</t>
  </si>
  <si>
    <t>Minimum structural member or element sizes necessary for strength and stiffness in accordance with advanced framing techniques or structural design standards are selected.</t>
  </si>
  <si>
    <t>Higher-grade or higher-strength of the same materials than commonly specified for structural elements and components in the building are used and element or component sizes are reduced accordingly.</t>
  </si>
  <si>
    <t>Performance-based structural design is used to optimize lateral force-resisting systems.</t>
  </si>
  <si>
    <t>floor area</t>
  </si>
  <si>
    <t>wall area</t>
  </si>
  <si>
    <t>roof area</t>
  </si>
  <si>
    <t>cladding or siding area</t>
  </si>
  <si>
    <t>penetrations or trim area</t>
  </si>
  <si>
    <t>13 Max</t>
  </si>
  <si>
    <t>floor system</t>
  </si>
  <si>
    <t>wall system</t>
  </si>
  <si>
    <t>roof system</t>
  </si>
  <si>
    <t>8 Max</t>
  </si>
  <si>
    <t>first stacked story</t>
  </si>
  <si>
    <t>for each additional stacked story</t>
  </si>
  <si>
    <t>12 Max</t>
  </si>
  <si>
    <t>interior trim not requiring paint or stain</t>
  </si>
  <si>
    <t>exterior trim not requiring paint or stain</t>
  </si>
  <si>
    <t>window, skylight, and door assemblies not requiring paint or stain on one of the following surfaces:</t>
  </si>
  <si>
    <r>
      <t> </t>
    </r>
    <r>
      <rPr>
        <sz val="10"/>
        <color theme="1"/>
        <rFont val="Calibri"/>
        <family val="2"/>
      </rPr>
      <t>i.</t>
    </r>
    <r>
      <rPr>
        <sz val="7"/>
        <color theme="1"/>
        <rFont val="Times New Roman"/>
        <family val="1"/>
      </rPr>
      <t xml:space="preserve">  </t>
    </r>
    <r>
      <rPr>
        <sz val="10"/>
        <color theme="1"/>
        <rFont val="Calibri"/>
        <family val="2"/>
      </rPr>
      <t xml:space="preserve">exterior surfaces </t>
    </r>
  </si>
  <si>
    <t>ii. interior surfaces</t>
  </si>
  <si>
    <t>interior wall coverings or systems, floor systems, and/or ceiling systems not requiring paint or stain or other type of finishing application</t>
  </si>
  <si>
    <t>(e)</t>
  </si>
  <si>
    <t>(Points awarded for each type of material or assembly.)</t>
  </si>
  <si>
    <t>602.1.1</t>
  </si>
  <si>
    <t>602.1.1.1</t>
  </si>
  <si>
    <t xml:space="preserve">602.1.1.2 </t>
  </si>
  <si>
    <t xml:space="preserve">602.1.2 </t>
  </si>
  <si>
    <t>rubberized coating, or</t>
  </si>
  <si>
    <t>drainage mat</t>
  </si>
  <si>
    <t>602.1.3</t>
  </si>
  <si>
    <t>602.1.3.1</t>
  </si>
  <si>
    <t>602.1.3.2</t>
  </si>
  <si>
    <t>602.1.4</t>
  </si>
  <si>
    <t>602.1.4.1</t>
  </si>
  <si>
    <t>Floors. Minimum 6 mil vapor retarder installed on the crawlspace floor and extended at least 6 inches up the wall and is attached and sealed to the wall.</t>
  </si>
  <si>
    <t>Walls. Dampproof walls are provided below finished grade.</t>
  </si>
  <si>
    <t>602.1.4.2</t>
  </si>
  <si>
    <t>602.1.5</t>
  </si>
  <si>
    <t>In geographic areas that have moderate to heavy infestation potential in accordance with figure 6(3), a no or low toxicity treatment is also installed.</t>
  </si>
  <si>
    <t>In geographic areas that have a very heavy infestation potential in accordance with figure 6(3), in addition a low toxicity bait and kill termite treatment plan is selected and implemented.</t>
  </si>
  <si>
    <t>602.1.6</t>
  </si>
  <si>
    <t>In areas of slight to moderate termite infestation probability: for the foundation, all structural walls, floors, concealed roof spaces not accessible for inspection, exterior decks, and exterior claddings within the first 2 feet (610 mm) above the top of the foundation.</t>
  </si>
  <si>
    <t>In areas of moderate to heavy termite infestation probability: for the foundation, all structural walls, floors, concealed roof spaces not accessible for inspection, exterior decks, and exterior claddings within the first 3 feet (914 mm) above the top of the foundation.</t>
  </si>
  <si>
    <t>In areas of very heavy termite infestation probability: for the foundation, all structural walls, floors, concealed roof spaces not accessible for inspection, exterior decks, and exterior claddings.</t>
  </si>
  <si>
    <t>602.1.7</t>
  </si>
  <si>
    <t>602.1.7.1</t>
  </si>
  <si>
    <t>Building materials with visible mold are not installed or are cleaned or encapsulated prior to concealment and closing.</t>
  </si>
  <si>
    <t>Insulation in cavities is dry in accordance with manufacturer’s instructions when enclosed (e.g., with drywall).</t>
  </si>
  <si>
    <t xml:space="preserve">The moisture content of lumber is sampled to ensure it does not exceed 19 percent prior to the surface and/or cavity enclosure. </t>
  </si>
  <si>
    <t>602.1.7.2</t>
  </si>
  <si>
    <t>602.1.7.3</t>
  </si>
  <si>
    <t>602.1.8</t>
  </si>
  <si>
    <t>602.1.9</t>
  </si>
  <si>
    <t>Flashing is installed at all of the following locations, as applicable:</t>
  </si>
  <si>
    <t>around exterior fenestrations, skylights, and doors</t>
  </si>
  <si>
    <t>at roof valleys</t>
  </si>
  <si>
    <t xml:space="preserve">at all building-to-deck, -balcony, -porch, and -stair intersections </t>
  </si>
  <si>
    <t>at roof-to-wall intersections, at roof-to-chimney intersections, at wall-to-chimney intersections, and at parapets</t>
  </si>
  <si>
    <t>at ends of and under masonry, wood, or metal copings and sills</t>
  </si>
  <si>
    <t>(f)</t>
  </si>
  <si>
    <t>above projecting wood trim</t>
  </si>
  <si>
    <t>(g)</t>
  </si>
  <si>
    <t>at built-in roof gutters, and</t>
  </si>
  <si>
    <t>(h)</t>
  </si>
  <si>
    <t>drip edge is installed at eave and rake edges.</t>
  </si>
  <si>
    <t>All window and door head and jamb flashing is either self-adhered flashing complying with AAMA 711-13 or liquid applied flashing complying with AAMA 714-15 and installed in accordance with fenestration or flashing manufacturer’s installation instructions.</t>
  </si>
  <si>
    <t>Pan flashing is installed at sills of all exterior windows and doors.</t>
  </si>
  <si>
    <r>
      <t xml:space="preserve">Seamless, preformed kickout flashing, or prefabricated metal with soldered seams is provided at all roof-to-wall intersections. </t>
    </r>
    <r>
      <rPr>
        <sz val="10"/>
        <color rgb="FF000000"/>
        <rFont val="Calibri"/>
        <family val="2"/>
        <scheme val="minor"/>
      </rPr>
      <t>The type and thickness of the material used for roof flashing including but not limited kickout and step flashing is commensurate with the anticipated service life of the roofing material.</t>
    </r>
  </si>
  <si>
    <t>A rainscreen wall design as follows is used for exterior wall assemblies</t>
  </si>
  <si>
    <t>a system designed with minimum 1/4-inch air space exterior to the water-resistive barrier, vented to the exterior at top and bottom of the wall, and integrated with flashing details. OR</t>
  </si>
  <si>
    <t>a cladding material or a water-resistive barrier with enhanced drainage, meeting 75 percent drainage efficiency determined in accordance with ASTM E2273.</t>
  </si>
  <si>
    <t>Through-wall flashing is installed at transitions between wall cladding materials or wall construction types.</t>
  </si>
  <si>
    <t>Flashing is installed at expansion joints in stucco walls.</t>
  </si>
  <si>
    <t>602.1.10</t>
  </si>
  <si>
    <t>installing a porch roof or awning</t>
  </si>
  <si>
    <t>extending the roof overhang</t>
  </si>
  <si>
    <t>recessing the exterior door</t>
  </si>
  <si>
    <t>Installing a storm door</t>
  </si>
  <si>
    <t>602.1.11</t>
  </si>
  <si>
    <t>602.1.12</t>
  </si>
  <si>
    <t>602.1.13</t>
  </si>
  <si>
    <t>602.1.14</t>
  </si>
  <si>
    <t>All horizontal ledgers are sloped away to provide gravity drainage as appropriate for the application.</t>
  </si>
  <si>
    <t>No roof configurations that create horizontal valleys in roof design.</t>
  </si>
  <si>
    <t>No recessed windows and architectural features that trap water on horizontal surfaces.</t>
  </si>
  <si>
    <r>
      <t>products that are in accordance with the ENERGY STAR</t>
    </r>
    <r>
      <rPr>
        <b/>
        <sz val="10"/>
        <color theme="1"/>
        <rFont val="Calibri"/>
        <family val="2"/>
        <scheme val="minor"/>
      </rPr>
      <t>®</t>
    </r>
    <r>
      <rPr>
        <sz val="10"/>
        <color theme="1"/>
        <rFont val="Calibri"/>
        <family val="2"/>
        <scheme val="minor"/>
      </rPr>
      <t xml:space="preserve"> cool roof certification or equivalent</t>
    </r>
  </si>
  <si>
    <t>a vegetated roof system</t>
  </si>
  <si>
    <t>Minimum initial SRI of 78 for low-sloped roof (a slope less than 2:12) and a minimum initial SRI of 29 for a steep-sloped roof (a slope equal to or greater than 2:12).  The SRI is calculated in accordance with ASTM E1980.  Roof products are certified and labeled.</t>
  </si>
  <si>
    <t>602.4.1</t>
  </si>
  <si>
    <t>602.4.2</t>
  </si>
  <si>
    <t>602.4.3</t>
  </si>
  <si>
    <r>
      <t>(Points awarded for every 200 square feet (18.5 m</t>
    </r>
    <r>
      <rPr>
        <b/>
        <vertAlign val="superscript"/>
        <sz val="10"/>
        <color theme="1"/>
        <rFont val="Calibri"/>
        <family val="2"/>
        <scheme val="minor"/>
      </rPr>
      <t>2</t>
    </r>
    <r>
      <rPr>
        <b/>
        <sz val="10"/>
        <color theme="1"/>
        <rFont val="Calibri"/>
        <family val="2"/>
        <scheme val="minor"/>
      </rPr>
      <t>) of floor area.)</t>
    </r>
  </si>
  <si>
    <t>Exceptions:</t>
  </si>
  <si>
    <t xml:space="preserve">A recycling facility (traditional or E-Waste) offering material receipt documentation is not available within 50 miles of the jobsite.   </t>
  </si>
  <si>
    <t>Materials are ground or otherwise safely applied on-site as soil amendment or fill. A minimum of 50 percent (by weight) of construction and land-clearing waste is diverted from landfill.</t>
  </si>
  <si>
    <t>Alternative compliance methods approved by the Adopting Entity.</t>
  </si>
  <si>
    <t>6 Max</t>
  </si>
  <si>
    <t>a minimum of two types of materials are recycled</t>
  </si>
  <si>
    <t>for each additional recycled material type</t>
  </si>
  <si>
    <t>engineered wood</t>
  </si>
  <si>
    <t>bamboo</t>
  </si>
  <si>
    <t>cotton</t>
  </si>
  <si>
    <t>cork</t>
  </si>
  <si>
    <t>straw</t>
  </si>
  <si>
    <t>natural fiber products made from crops (soy-based, corn-based)</t>
  </si>
  <si>
    <t>other biobased materials with a minimum of 50 percent biobased content (by weight or volume)</t>
  </si>
  <si>
    <t xml:space="preserve">Two types of biobased materials are used, each for more than 0.5 percent of the project’s projected building material cost. </t>
  </si>
  <si>
    <t xml:space="preserve">Two types of biobased materials are used, each for more than 1 percent of the project’s projected building material cost. </t>
  </si>
  <si>
    <t>For each additional biobased material used for more than 0.5 percent of the project’s projected building material cost.</t>
  </si>
  <si>
    <r>
      <t>American Forest Foundation’s</t>
    </r>
    <r>
      <rPr>
        <i/>
        <sz val="10"/>
        <color theme="1"/>
        <rFont val="Calibri"/>
        <family val="2"/>
        <scheme val="minor"/>
      </rPr>
      <t xml:space="preserve"> American Tree Farm System® </t>
    </r>
    <r>
      <rPr>
        <sz val="10"/>
        <color theme="1"/>
        <rFont val="Calibri"/>
        <family val="2"/>
        <scheme val="minor"/>
      </rPr>
      <t>(ATFS)</t>
    </r>
  </si>
  <si>
    <r>
      <t xml:space="preserve">Canadian Standards Association’s </t>
    </r>
    <r>
      <rPr>
        <i/>
        <sz val="10"/>
        <color theme="1"/>
        <rFont val="Calibri"/>
        <family val="2"/>
        <scheme val="minor"/>
      </rPr>
      <t>Sustainable Forest Management System Standards</t>
    </r>
    <r>
      <rPr>
        <sz val="10"/>
        <color theme="1"/>
        <rFont val="Calibri"/>
        <family val="2"/>
        <scheme val="minor"/>
      </rPr>
      <t xml:space="preserve"> (CSA Z809)</t>
    </r>
  </si>
  <si>
    <r>
      <t>Forest Stewardship Council</t>
    </r>
    <r>
      <rPr>
        <sz val="10"/>
        <color theme="1"/>
        <rFont val="Calibri"/>
        <family val="2"/>
        <scheme val="minor"/>
      </rPr>
      <t xml:space="preserve"> (FSC)</t>
    </r>
  </si>
  <si>
    <r>
      <t>Program for Endorsement of Forest Certification Systems</t>
    </r>
    <r>
      <rPr>
        <sz val="10"/>
        <color theme="1"/>
        <rFont val="Calibri"/>
        <family val="2"/>
        <scheme val="minor"/>
      </rPr>
      <t xml:space="preserve"> (PEFC)</t>
    </r>
  </si>
  <si>
    <r>
      <t>Sustainable Forestry Initiative</t>
    </r>
    <r>
      <rPr>
        <i/>
        <sz val="10"/>
        <color theme="1"/>
        <rFont val="Symbol"/>
        <family val="1"/>
        <charset val="2"/>
      </rPr>
      <t>â</t>
    </r>
    <r>
      <rPr>
        <i/>
        <sz val="10"/>
        <color theme="1"/>
        <rFont val="Calibri"/>
        <family val="2"/>
        <scheme val="minor"/>
      </rPr>
      <t xml:space="preserve"> Program (SFI)</t>
    </r>
  </si>
  <si>
    <t>National Wood Flooring Association’s Responsible Procurement Program (RPP)</t>
  </si>
  <si>
    <t>other product programs mutually recognized by PEFC</t>
  </si>
  <si>
    <t>(2 points awarded per material.)</t>
  </si>
  <si>
    <t>lighter, thinner brick with bed depth less than 3 inches and/or brick with coring of more that 25 percent</t>
  </si>
  <si>
    <t>engineered wood or engineered steel products</t>
  </si>
  <si>
    <t>roof or floor trusses</t>
  </si>
  <si>
    <t>10 Max</t>
  </si>
  <si>
    <t>610.1.1</t>
  </si>
  <si>
    <t xml:space="preserve">Execute LCA at the whole building level through a comparative analysis between the final and reference building designs as set forth under Standard Practice, ASTM E2921.  The assessment criteria includes the following environmental impact categories:                                                      </t>
  </si>
  <si>
    <t>Primary energy use</t>
  </si>
  <si>
    <t>Global warming potential</t>
  </si>
  <si>
    <t>Acidification potential</t>
  </si>
  <si>
    <t>Eutrophication potential</t>
  </si>
  <si>
    <t>Ozone depletion potential</t>
  </si>
  <si>
    <t>Smog potential</t>
  </si>
  <si>
    <t>Execute LCA on regulated loads throughout the building operations life cycle stage.  Conduct simulated energy performance analyses in accordance with Section 702.2.1 ICC IECC analysis (IECC Section 405) in establishing the comparative performance of final versus reference building designs.  Primary energy use savings and global warming potential avoidance from simulation analyses results are determined using energy supplier, utility, or EPA electricity generation and other fuels energy conversion factors and electricity generation and other fuels emission rates for the locality or Sub-Region in which the building is located</t>
  </si>
  <si>
    <t>Execute full LCA, including use-phase, through calculation of operating energy impacts (c) – (f) using local or regional emissions factors from energy supplier, utility, or EPA.</t>
  </si>
  <si>
    <t>610.1.2</t>
  </si>
  <si>
    <t xml:space="preserve">10 Max </t>
  </si>
  <si>
    <t>610.1.2.1</t>
  </si>
  <si>
    <t>(Points are awarded for each product/system comparison where the selected product/system improved upon the environmental impact measures by an average of 15 percent.)</t>
  </si>
  <si>
    <t>610.1.2.2</t>
  </si>
  <si>
    <t>exterior walls</t>
  </si>
  <si>
    <t>roof/ceiling</t>
  </si>
  <si>
    <t>interior walls or ceilings</t>
  </si>
  <si>
    <t>intermediate floors</t>
  </si>
  <si>
    <t>The environmental impact measures used in the assessment are selected from the following:</t>
  </si>
  <si>
    <r>
      <t xml:space="preserve"> </t>
    </r>
    <r>
      <rPr>
        <b/>
        <sz val="10"/>
        <color theme="1"/>
        <rFont val="Calibri"/>
        <family val="2"/>
        <scheme val="minor"/>
      </rPr>
      <t>(1 point awarded per percent.)</t>
    </r>
  </si>
  <si>
    <t>Any no-step entrance into the dwelling which (1) is accessible from a substantially level parking or drop-off area (no more than 2%) via an accessible path which has no individual change in elevation or other obstruction of more than 1-1/2 inches in height with the pitch not exceeding 1 in 12 and (2) provides a minimum 32-inch wide clearance into the dwelling.</t>
  </si>
  <si>
    <t xml:space="preserve">Minimum 36-inch wide accessible route from the no-step entrance into at least one visiting room in the dwelling and into at least one full or half bathroom which has a minimum 32-inch clear door width and a 30-inch by 48-inch clear area inside the bathroom outside the door swing. </t>
  </si>
  <si>
    <t xml:space="preserve">Minimum 36-inch wide accessible route from the no-step entrance into at least one bedroom which has a minimum 32-inch clear door width. </t>
  </si>
  <si>
    <t>Blocking or equivalent installed in the accessible bathroom walls for future installation of grab bars at water closet and bathing fixture, if applicable.</t>
  </si>
  <si>
    <t>All interior and exterior door handles are levers rather than knobs.</t>
  </si>
  <si>
    <t xml:space="preserve">All sink faucet controls are single-handle controls of both volume and temperature. </t>
  </si>
  <si>
    <t>Interior convenience Power receptacles, communication connections (for cable, phone, Ethernet, etc.) and switches are placed between 15” and 48” above the finished floor. Additional switches to control devices and systems (such as alarms, home theaters and other equipment) not required by the local building code may be installed as desired.</t>
  </si>
  <si>
    <t>All light switches are rocker-type switches or other similar switches that can be operated by pressing them (with assistive devices). Toggle-type switches may not be used.</t>
  </si>
  <si>
    <t>2 per exterior door
6 Max</t>
  </si>
  <si>
    <t>Max Slope in Const. Zn:</t>
  </si>
  <si>
    <t>501</t>
  </si>
  <si>
    <t>Ch6NLev</t>
  </si>
  <si>
    <t>Ch6Error</t>
  </si>
  <si>
    <t>Ch7Level</t>
  </si>
  <si>
    <t>Ch7Points</t>
  </si>
  <si>
    <t>Ch7MandError</t>
  </si>
  <si>
    <t>Ch7NLev</t>
  </si>
  <si>
    <t>Ch8Level</t>
  </si>
  <si>
    <t>Ch8Points</t>
  </si>
  <si>
    <t>Ch8MandError</t>
  </si>
  <si>
    <t>Ch8Error</t>
  </si>
  <si>
    <t>Ch8NLev</t>
  </si>
  <si>
    <t>Ch7Error</t>
  </si>
  <si>
    <t>Ch9Level</t>
  </si>
  <si>
    <t>Ch9Points</t>
  </si>
  <si>
    <t>Ch9MandError</t>
  </si>
  <si>
    <t>Ch9NLev</t>
  </si>
  <si>
    <t>Ch9Error</t>
  </si>
  <si>
    <t>Ch10Level</t>
  </si>
  <si>
    <t>Ch10Points</t>
  </si>
  <si>
    <t>Ch10MandError</t>
  </si>
  <si>
    <t>Ch10NLev</t>
  </si>
  <si>
    <t>Ch10Error</t>
  </si>
  <si>
    <t>front only</t>
  </si>
  <si>
    <t>rear only</t>
  </si>
  <si>
    <t>full</t>
  </si>
  <si>
    <t>10 percent to &lt; 25 percent</t>
  </si>
  <si>
    <t>CLICK TO PROCEED TO CHAPTER 6 &gt;&gt;</t>
  </si>
  <si>
    <t>END OF CHAPTER 5</t>
  </si>
  <si>
    <t>701</t>
  </si>
  <si>
    <t>701.4.1</t>
  </si>
  <si>
    <t>701.4.1.1</t>
  </si>
  <si>
    <t>701.4.1.2</t>
  </si>
  <si>
    <t>701.4.2</t>
  </si>
  <si>
    <t>701.4.2.2</t>
  </si>
  <si>
    <t>701.4.2.3</t>
  </si>
  <si>
    <t>701.4.3</t>
  </si>
  <si>
    <t>701.4.3.1</t>
  </si>
  <si>
    <t>All joints, seams and penetrations.</t>
  </si>
  <si>
    <t>Site-built windows, doors, and skylights.</t>
  </si>
  <si>
    <t>Openings between window and door assemblies and their respective jambs and framing.</t>
  </si>
  <si>
    <t>Utility penetrations.</t>
  </si>
  <si>
    <t>Dropped ceilings or chases adjacent to the thermal envelope.</t>
  </si>
  <si>
    <t>Knee walls.</t>
  </si>
  <si>
    <t>Behind tubs and showers on exterior walls.</t>
  </si>
  <si>
    <t>(i)</t>
  </si>
  <si>
    <t>(j)</t>
  </si>
  <si>
    <t>Attic access openings.</t>
  </si>
  <si>
    <t>(k)</t>
  </si>
  <si>
    <t>(l)</t>
  </si>
  <si>
    <t>Other sources of infiltration.</t>
  </si>
  <si>
    <t>701.4.3.2</t>
  </si>
  <si>
    <r>
      <t>Testing.</t>
    </r>
    <r>
      <rPr>
        <sz val="10"/>
        <color theme="1"/>
        <rFont val="Calibri"/>
        <family val="2"/>
        <scheme val="minor"/>
      </rPr>
      <t xml:space="preserve"> Building envelope tightness is tested. Testing is conducted in accordance with ASTM E-779 using a blower door at a test pressure of 1.04 psf (50 Pa). Testing is conducted after rough-in and after installation of penetrations of the building envelope, including penetrations for utilities, plumbing, electrical, ventilation, and combustion appliances. Testing is conducted under the following conditions:</t>
    </r>
  </si>
  <si>
    <t xml:space="preserve">Exterior windows and doors, fireplace and stove doors are closed, but not sealed; </t>
  </si>
  <si>
    <t>Dampers are closed, but not sealed, including exhaust, intake, makeup air, backdraft and flue dampers;</t>
  </si>
  <si>
    <t>Interior doors are open;</t>
  </si>
  <si>
    <t>Exterior openings for continuous ventilation systems and heat recovery ventilators are closed and sealed;</t>
  </si>
  <si>
    <t xml:space="preserve">Heating and cooling systems are turned off; </t>
  </si>
  <si>
    <t>HVAC duct terminations are not sealed; and</t>
  </si>
  <si>
    <t>Supply and return registers are not sealed.</t>
  </si>
  <si>
    <t>701.4.3.2.1</t>
  </si>
  <si>
    <t>Inspection is conducted before insulation is covered.</t>
  </si>
  <si>
    <t>Air-permeable insulation is enclosed on all six sides and is in substantial contact with the sheathing material on one or more sides (interior or exterior) of the cavity. Air permeable insulation in ceilings is not required to be enclosed when the insulation is installed in substantial contact with the surfaces it is intended to insulate.</t>
  </si>
  <si>
    <t>Cavity insulation uniformly fills each cavity side-to-side and top-to-bottom, without substantial gaps or voids around obstructions (such as blocking or bridging).</t>
  </si>
  <si>
    <t>Cavity insulation compression or incomplete fill amounts to 2 percent or less, presuming the compressed or incomplete areas are a minimum of 70 percent of the intended fill thickness; occasional small gaps are acceptable.</t>
  </si>
  <si>
    <t>Exterior rigid insulation has substantial contact with the structural framing members or sheathing materials and is tightly fitted at joints.</t>
  </si>
  <si>
    <t>Cavity insulation is split, installed, and/or fitted tightly around wiring and other services.</t>
  </si>
  <si>
    <t>Exterior sheathing is not visible from the interior through gaps in the cavity insulation.</t>
  </si>
  <si>
    <t>Faced batt insulation is permitted to have side-stapled tabs, provided the tabs are stapled neatly with no buckling, and provided the batt is compressed only at the edges of each cavity, to the depth of the tab itself.</t>
  </si>
  <si>
    <t>701.4.4</t>
  </si>
  <si>
    <t>701.4.5</t>
  </si>
  <si>
    <t>Dishwasher</t>
  </si>
  <si>
    <t>add. pts. needed</t>
  </si>
  <si>
    <t>NOTE: Indicate in the assigned Notes area the type designed and constructed: frost-protected shallow foundations, pier and pad foundations, post foundations, or other similar foundation type.</t>
  </si>
  <si>
    <t>termite infest. prob.:</t>
  </si>
  <si>
    <t>NOTE: If "N/A" is selected, explain why in the assigned Notes area.</t>
  </si>
  <si>
    <t>Note: Please list "other biobased materials" used in the Notes field</t>
  </si>
  <si>
    <t>Chapter 5: Lot Design, Preparation, and Development</t>
  </si>
  <si>
    <t>Chapter 6: Resource Efficiency</t>
  </si>
  <si>
    <t>Chapter 7: Energy Efficiency</t>
  </si>
  <si>
    <t>Chapter 8: Water Efficiency</t>
  </si>
  <si>
    <t>Chapter 9: Indoor Environmental Quality</t>
  </si>
  <si>
    <t>Chapter 10: Operation, Maintenance, and Building Owner Education</t>
  </si>
  <si>
    <t xml:space="preserve">Autauga  </t>
  </si>
  <si>
    <t xml:space="preserve">Baldwin  </t>
  </si>
  <si>
    <t xml:space="preserve">Barbour  </t>
  </si>
  <si>
    <t xml:space="preserve">Bibb  </t>
  </si>
  <si>
    <t xml:space="preserve">Blount  </t>
  </si>
  <si>
    <t xml:space="preserve">Bullock  </t>
  </si>
  <si>
    <t xml:space="preserve">Butler  </t>
  </si>
  <si>
    <t xml:space="preserve">Calhoun  </t>
  </si>
  <si>
    <t xml:space="preserve">Chambers  </t>
  </si>
  <si>
    <t xml:space="preserve">Cherokee  </t>
  </si>
  <si>
    <t xml:space="preserve">Chilton  </t>
  </si>
  <si>
    <t xml:space="preserve">Choctaw  </t>
  </si>
  <si>
    <t xml:space="preserve">Clarke  </t>
  </si>
  <si>
    <t xml:space="preserve">Clay  </t>
  </si>
  <si>
    <t xml:space="preserve">Cleburne  </t>
  </si>
  <si>
    <t xml:space="preserve">Coffee  </t>
  </si>
  <si>
    <t xml:space="preserve">Colbert  </t>
  </si>
  <si>
    <t xml:space="preserve">Conecuh  </t>
  </si>
  <si>
    <t xml:space="preserve">Coosa  </t>
  </si>
  <si>
    <t xml:space="preserve">Covington  </t>
  </si>
  <si>
    <t xml:space="preserve">Crenshaw  </t>
  </si>
  <si>
    <t xml:space="preserve">Cullman  </t>
  </si>
  <si>
    <t xml:space="preserve">Dale  </t>
  </si>
  <si>
    <t xml:space="preserve">Dallas  </t>
  </si>
  <si>
    <t xml:space="preserve">De Kalb  </t>
  </si>
  <si>
    <t xml:space="preserve">Elmore  </t>
  </si>
  <si>
    <t xml:space="preserve">Escambia  </t>
  </si>
  <si>
    <t xml:space="preserve">Etowah  </t>
  </si>
  <si>
    <t xml:space="preserve">Fayette  </t>
  </si>
  <si>
    <t xml:space="preserve">Franklin  </t>
  </si>
  <si>
    <t xml:space="preserve">Geneva  </t>
  </si>
  <si>
    <t xml:space="preserve">Greene  </t>
  </si>
  <si>
    <t xml:space="preserve">Hale  </t>
  </si>
  <si>
    <t xml:space="preserve">Henry  </t>
  </si>
  <si>
    <t xml:space="preserve">Houston  </t>
  </si>
  <si>
    <t xml:space="preserve">Jackson  </t>
  </si>
  <si>
    <t xml:space="preserve">Jefferson  </t>
  </si>
  <si>
    <t xml:space="preserve">Lamar  </t>
  </si>
  <si>
    <t xml:space="preserve">Lauderdale  </t>
  </si>
  <si>
    <t xml:space="preserve">Lawrence  </t>
  </si>
  <si>
    <t xml:space="preserve">Lee  </t>
  </si>
  <si>
    <t xml:space="preserve">Limestone  </t>
  </si>
  <si>
    <t xml:space="preserve">Lowndes  </t>
  </si>
  <si>
    <t xml:space="preserve">Macon  </t>
  </si>
  <si>
    <t xml:space="preserve">Madison  </t>
  </si>
  <si>
    <t xml:space="preserve">Marengo  </t>
  </si>
  <si>
    <t xml:space="preserve">Marion  </t>
  </si>
  <si>
    <t xml:space="preserve">Marshall  </t>
  </si>
  <si>
    <t xml:space="preserve">Mobile  </t>
  </si>
  <si>
    <t xml:space="preserve">Monroe  </t>
  </si>
  <si>
    <t xml:space="preserve">Montgomery  </t>
  </si>
  <si>
    <t xml:space="preserve">Morgan  </t>
  </si>
  <si>
    <t xml:space="preserve">Perry  </t>
  </si>
  <si>
    <t xml:space="preserve">Pickens  </t>
  </si>
  <si>
    <t xml:space="preserve">Pike  </t>
  </si>
  <si>
    <t xml:space="preserve">Randolph  </t>
  </si>
  <si>
    <t xml:space="preserve">Russell  </t>
  </si>
  <si>
    <t xml:space="preserve">Saint Clair  </t>
  </si>
  <si>
    <t xml:space="preserve">Shelby  </t>
  </si>
  <si>
    <t xml:space="preserve">Sumter  </t>
  </si>
  <si>
    <t xml:space="preserve">Talladega  </t>
  </si>
  <si>
    <t xml:space="preserve">Tallapoosa  </t>
  </si>
  <si>
    <t xml:space="preserve">Tuscaloosa  </t>
  </si>
  <si>
    <t xml:space="preserve">Walker  </t>
  </si>
  <si>
    <t xml:space="preserve">Washington  </t>
  </si>
  <si>
    <t xml:space="preserve">Wilcox  </t>
  </si>
  <si>
    <t xml:space="preserve">Winston  </t>
  </si>
  <si>
    <t xml:space="preserve">Aleutians East  </t>
  </si>
  <si>
    <t xml:space="preserve">Aleutians West  </t>
  </si>
  <si>
    <t xml:space="preserve">Anchorage  </t>
  </si>
  <si>
    <t xml:space="preserve">Bethel  </t>
  </si>
  <si>
    <t xml:space="preserve">Bristol Bay  </t>
  </si>
  <si>
    <t xml:space="preserve">Denali  </t>
  </si>
  <si>
    <t xml:space="preserve">Dillingham  </t>
  </si>
  <si>
    <t xml:space="preserve">Fairbanks North Star  </t>
  </si>
  <si>
    <t xml:space="preserve">Haines  </t>
  </si>
  <si>
    <t xml:space="preserve">Hoonah Angoon  </t>
  </si>
  <si>
    <t xml:space="preserve">Juneau  </t>
  </si>
  <si>
    <t xml:space="preserve">Kenai Peninsula  </t>
  </si>
  <si>
    <t xml:space="preserve">Ketchikan Gateway  </t>
  </si>
  <si>
    <t xml:space="preserve">Kodiak Island  </t>
  </si>
  <si>
    <t xml:space="preserve">Lake And Peninsula  </t>
  </si>
  <si>
    <t xml:space="preserve">Matanuska Susitna  </t>
  </si>
  <si>
    <t xml:space="preserve">Nome  </t>
  </si>
  <si>
    <t xml:space="preserve">North Slope  </t>
  </si>
  <si>
    <t xml:space="preserve">Northwest Arctic  </t>
  </si>
  <si>
    <t xml:space="preserve">Petersburg  </t>
  </si>
  <si>
    <t xml:space="preserve">Prince Of Wales Hyder  </t>
  </si>
  <si>
    <t xml:space="preserve">Sitka  </t>
  </si>
  <si>
    <t xml:space="preserve">Skagway  </t>
  </si>
  <si>
    <t xml:space="preserve">Southeast Fairbanks  </t>
  </si>
  <si>
    <t xml:space="preserve">Valdez Cordova  </t>
  </si>
  <si>
    <t xml:space="preserve">Wade Hampton  </t>
  </si>
  <si>
    <t xml:space="preserve">Wrangell  </t>
  </si>
  <si>
    <t xml:space="preserve">Yakutat  </t>
  </si>
  <si>
    <t xml:space="preserve">Yukon Koyukuk  </t>
  </si>
  <si>
    <t xml:space="preserve">American Samoa  </t>
  </si>
  <si>
    <t xml:space="preserve">Apache  </t>
  </si>
  <si>
    <t xml:space="preserve">Cochise  </t>
  </si>
  <si>
    <t xml:space="preserve">Coconino  </t>
  </si>
  <si>
    <t xml:space="preserve">Gila  </t>
  </si>
  <si>
    <t xml:space="preserve">Graham  </t>
  </si>
  <si>
    <t xml:space="preserve">Greenlee  </t>
  </si>
  <si>
    <t xml:space="preserve">La Paz  </t>
  </si>
  <si>
    <t xml:space="preserve">Maricopa  </t>
  </si>
  <si>
    <t xml:space="preserve">Mohave  </t>
  </si>
  <si>
    <t xml:space="preserve">Navajo  </t>
  </si>
  <si>
    <t xml:space="preserve">Pima  </t>
  </si>
  <si>
    <t xml:space="preserve">Pinal  </t>
  </si>
  <si>
    <t xml:space="preserve">Santa Cruz  </t>
  </si>
  <si>
    <t xml:space="preserve">Yavapai  </t>
  </si>
  <si>
    <t xml:space="preserve">Yuma  </t>
  </si>
  <si>
    <t xml:space="preserve">Arkansas  </t>
  </si>
  <si>
    <t xml:space="preserve">Ashley  </t>
  </si>
  <si>
    <t xml:space="preserve">Baxter  </t>
  </si>
  <si>
    <t xml:space="preserve">Benton  </t>
  </si>
  <si>
    <t xml:space="preserve">Boone  </t>
  </si>
  <si>
    <t xml:space="preserve">Bradley  </t>
  </si>
  <si>
    <t xml:space="preserve">Carroll  </t>
  </si>
  <si>
    <t xml:space="preserve">Chicot  </t>
  </si>
  <si>
    <t xml:space="preserve">Clark  </t>
  </si>
  <si>
    <t xml:space="preserve">Cleveland  </t>
  </si>
  <si>
    <t xml:space="preserve">Columbia  </t>
  </si>
  <si>
    <t xml:space="preserve">Conway  </t>
  </si>
  <si>
    <t xml:space="preserve">Craighead  </t>
  </si>
  <si>
    <t xml:space="preserve">Crawford  </t>
  </si>
  <si>
    <t xml:space="preserve">Crittenden  </t>
  </si>
  <si>
    <t xml:space="preserve">Cross  </t>
  </si>
  <si>
    <t xml:space="preserve">Desha  </t>
  </si>
  <si>
    <t xml:space="preserve">Drew  </t>
  </si>
  <si>
    <t xml:space="preserve">Faulkner  </t>
  </si>
  <si>
    <t xml:space="preserve">Fulton  </t>
  </si>
  <si>
    <t xml:space="preserve">Garland  </t>
  </si>
  <si>
    <t xml:space="preserve">Grant  </t>
  </si>
  <si>
    <t xml:space="preserve">Hempstead  </t>
  </si>
  <si>
    <t xml:space="preserve">Hot Spring  </t>
  </si>
  <si>
    <t xml:space="preserve">Howard  </t>
  </si>
  <si>
    <t xml:space="preserve">Independence  </t>
  </si>
  <si>
    <t xml:space="preserve">Izard  </t>
  </si>
  <si>
    <t xml:space="preserve">Johnson  </t>
  </si>
  <si>
    <t xml:space="preserve">Lafayette  </t>
  </si>
  <si>
    <t xml:space="preserve">Lincoln  </t>
  </si>
  <si>
    <t xml:space="preserve">Little River  </t>
  </si>
  <si>
    <t xml:space="preserve">Logan  </t>
  </si>
  <si>
    <t xml:space="preserve">Lonoke  </t>
  </si>
  <si>
    <t xml:space="preserve">Miller  </t>
  </si>
  <si>
    <t xml:space="preserve">Mississippi  </t>
  </si>
  <si>
    <t xml:space="preserve">Nevada  </t>
  </si>
  <si>
    <t xml:space="preserve">Newton  </t>
  </si>
  <si>
    <t xml:space="preserve">Ouachita  </t>
  </si>
  <si>
    <t xml:space="preserve">Phillips  </t>
  </si>
  <si>
    <t xml:space="preserve">Poinsett  </t>
  </si>
  <si>
    <t xml:space="preserve">Polk  </t>
  </si>
  <si>
    <t xml:space="preserve">Pope  </t>
  </si>
  <si>
    <t xml:space="preserve">Prairie  </t>
  </si>
  <si>
    <t xml:space="preserve">Pulaski  </t>
  </si>
  <si>
    <t xml:space="preserve">Saint Francis  </t>
  </si>
  <si>
    <t xml:space="preserve">Saline  </t>
  </si>
  <si>
    <t xml:space="preserve">Scott  </t>
  </si>
  <si>
    <t xml:space="preserve">Searcy  </t>
  </si>
  <si>
    <t xml:space="preserve">Sebastian  </t>
  </si>
  <si>
    <t xml:space="preserve">Sevier  </t>
  </si>
  <si>
    <t xml:space="preserve">Sharp  </t>
  </si>
  <si>
    <t xml:space="preserve">Stone  </t>
  </si>
  <si>
    <t xml:space="preserve">Union  </t>
  </si>
  <si>
    <t xml:space="preserve">Van Buren  </t>
  </si>
  <si>
    <t xml:space="preserve">White  </t>
  </si>
  <si>
    <t xml:space="preserve">Woodruff  </t>
  </si>
  <si>
    <t xml:space="preserve">Yell  </t>
  </si>
  <si>
    <t xml:space="preserve">Alameda  </t>
  </si>
  <si>
    <t xml:space="preserve">Alpine  </t>
  </si>
  <si>
    <t xml:space="preserve">Amador  </t>
  </si>
  <si>
    <t xml:space="preserve">Butte  </t>
  </si>
  <si>
    <t xml:space="preserve">Calaveras  </t>
  </si>
  <si>
    <t xml:space="preserve">Colusa  </t>
  </si>
  <si>
    <t xml:space="preserve">Contra Costa  </t>
  </si>
  <si>
    <t xml:space="preserve">Del Norte  </t>
  </si>
  <si>
    <t xml:space="preserve">El Dorado  </t>
  </si>
  <si>
    <t xml:space="preserve">Fresno  </t>
  </si>
  <si>
    <t xml:space="preserve">Glenn  </t>
  </si>
  <si>
    <t xml:space="preserve">Humboldt  </t>
  </si>
  <si>
    <t xml:space="preserve">Imperial  </t>
  </si>
  <si>
    <t xml:space="preserve">Inyo  </t>
  </si>
  <si>
    <t xml:space="preserve">Kern  </t>
  </si>
  <si>
    <t xml:space="preserve">Kings  </t>
  </si>
  <si>
    <t xml:space="preserve">Lake  </t>
  </si>
  <si>
    <t xml:space="preserve">Lassen  </t>
  </si>
  <si>
    <t xml:space="preserve">Los Angeles  </t>
  </si>
  <si>
    <t xml:space="preserve">Madera  </t>
  </si>
  <si>
    <t xml:space="preserve">Marin  </t>
  </si>
  <si>
    <t xml:space="preserve">Mariposa  </t>
  </si>
  <si>
    <t xml:space="preserve">Mendocino  </t>
  </si>
  <si>
    <t xml:space="preserve">Merced  </t>
  </si>
  <si>
    <t xml:space="preserve">Modoc  </t>
  </si>
  <si>
    <t xml:space="preserve">Mono  </t>
  </si>
  <si>
    <t xml:space="preserve">Monterey  </t>
  </si>
  <si>
    <t xml:space="preserve">Napa  </t>
  </si>
  <si>
    <t xml:space="preserve">Orange  </t>
  </si>
  <si>
    <t xml:space="preserve">Placer  </t>
  </si>
  <si>
    <t xml:space="preserve">Plumas  </t>
  </si>
  <si>
    <t xml:space="preserve">Riverside  </t>
  </si>
  <si>
    <t xml:space="preserve">Sacramento  </t>
  </si>
  <si>
    <t xml:space="preserve">San Benito  </t>
  </si>
  <si>
    <t xml:space="preserve">San Bernardino  </t>
  </si>
  <si>
    <t xml:space="preserve">San Diego  </t>
  </si>
  <si>
    <t xml:space="preserve">San Francisco  </t>
  </si>
  <si>
    <t xml:space="preserve">San Joaquin  </t>
  </si>
  <si>
    <t xml:space="preserve">San Luis Obispo  </t>
  </si>
  <si>
    <t xml:space="preserve">San Mateo  </t>
  </si>
  <si>
    <t xml:space="preserve">Santa Barbara  </t>
  </si>
  <si>
    <t xml:space="preserve">Santa Clara  </t>
  </si>
  <si>
    <t xml:space="preserve">Shasta  </t>
  </si>
  <si>
    <t xml:space="preserve">Sierra  </t>
  </si>
  <si>
    <t xml:space="preserve">Siskiyou  </t>
  </si>
  <si>
    <t xml:space="preserve">Solano  </t>
  </si>
  <si>
    <t xml:space="preserve">Sonoma  </t>
  </si>
  <si>
    <t xml:space="preserve">Stanislaus  </t>
  </si>
  <si>
    <t xml:space="preserve">Sutter  </t>
  </si>
  <si>
    <t xml:space="preserve">Tehama  </t>
  </si>
  <si>
    <t xml:space="preserve">Trinity  </t>
  </si>
  <si>
    <t xml:space="preserve">Tulare  </t>
  </si>
  <si>
    <t xml:space="preserve">Tuolumne  </t>
  </si>
  <si>
    <t xml:space="preserve">Ventura  </t>
  </si>
  <si>
    <t xml:space="preserve">Yolo  </t>
  </si>
  <si>
    <t xml:space="preserve">Yuba  </t>
  </si>
  <si>
    <t xml:space="preserve">Adams  </t>
  </si>
  <si>
    <t xml:space="preserve">Alamosa  </t>
  </si>
  <si>
    <t xml:space="preserve">Arapahoe  </t>
  </si>
  <si>
    <t xml:space="preserve">Archuleta  </t>
  </si>
  <si>
    <t xml:space="preserve">Baca  </t>
  </si>
  <si>
    <t xml:space="preserve">Bent  </t>
  </si>
  <si>
    <t xml:space="preserve">Boulder  </t>
  </si>
  <si>
    <t xml:space="preserve">Broomfield  </t>
  </si>
  <si>
    <t xml:space="preserve">Chaffee  </t>
  </si>
  <si>
    <t xml:space="preserve">Cheyenne  </t>
  </si>
  <si>
    <t xml:space="preserve">Clear Creek  </t>
  </si>
  <si>
    <t xml:space="preserve">Conejos  </t>
  </si>
  <si>
    <t xml:space="preserve">Costilla  </t>
  </si>
  <si>
    <t xml:space="preserve">Crowley  </t>
  </si>
  <si>
    <t xml:space="preserve">Custer  </t>
  </si>
  <si>
    <t xml:space="preserve">Delta  </t>
  </si>
  <si>
    <t xml:space="preserve">Denver  </t>
  </si>
  <si>
    <t xml:space="preserve">Dolores  </t>
  </si>
  <si>
    <t xml:space="preserve">Douglas  </t>
  </si>
  <si>
    <t xml:space="preserve">Eagle  </t>
  </si>
  <si>
    <t xml:space="preserve">El Paso  </t>
  </si>
  <si>
    <t xml:space="preserve">Elbert  </t>
  </si>
  <si>
    <t xml:space="preserve">Fremont  </t>
  </si>
  <si>
    <t xml:space="preserve">Garfield  </t>
  </si>
  <si>
    <t xml:space="preserve">Gilpin  </t>
  </si>
  <si>
    <t xml:space="preserve">Grand  </t>
  </si>
  <si>
    <t xml:space="preserve">Gunnison  </t>
  </si>
  <si>
    <t xml:space="preserve">Hinsdale  </t>
  </si>
  <si>
    <t xml:space="preserve">Huerfano  </t>
  </si>
  <si>
    <t xml:space="preserve">Kiowa  </t>
  </si>
  <si>
    <t xml:space="preserve">Kit Carson  </t>
  </si>
  <si>
    <t xml:space="preserve">La Plata  </t>
  </si>
  <si>
    <t xml:space="preserve">Larimer  </t>
  </si>
  <si>
    <t xml:space="preserve">Las Animas  </t>
  </si>
  <si>
    <t xml:space="preserve">Mesa  </t>
  </si>
  <si>
    <t xml:space="preserve">Mineral  </t>
  </si>
  <si>
    <t xml:space="preserve">Moffat  </t>
  </si>
  <si>
    <t xml:space="preserve">Montezuma  </t>
  </si>
  <si>
    <t xml:space="preserve">Montrose  </t>
  </si>
  <si>
    <t xml:space="preserve">Otero  </t>
  </si>
  <si>
    <t xml:space="preserve">Ouray  </t>
  </si>
  <si>
    <t xml:space="preserve">Park  </t>
  </si>
  <si>
    <t xml:space="preserve">Pitkin  </t>
  </si>
  <si>
    <t xml:space="preserve">Prowers  </t>
  </si>
  <si>
    <t xml:space="preserve">Pueblo  </t>
  </si>
  <si>
    <t xml:space="preserve">Rio Blanco  </t>
  </si>
  <si>
    <t xml:space="preserve">Rio Grande  </t>
  </si>
  <si>
    <t xml:space="preserve">Routt  </t>
  </si>
  <si>
    <t xml:space="preserve">Saguache  </t>
  </si>
  <si>
    <t xml:space="preserve">San Juan  </t>
  </si>
  <si>
    <t xml:space="preserve">San Miguel  </t>
  </si>
  <si>
    <t xml:space="preserve">Sedgwick  </t>
  </si>
  <si>
    <t xml:space="preserve">Summit  </t>
  </si>
  <si>
    <t xml:space="preserve">Teller  </t>
  </si>
  <si>
    <t xml:space="preserve">Weld  </t>
  </si>
  <si>
    <t xml:space="preserve">Fairfield  </t>
  </si>
  <si>
    <t xml:space="preserve">Hartford  </t>
  </si>
  <si>
    <t xml:space="preserve">Litchfield  </t>
  </si>
  <si>
    <t xml:space="preserve">Middlesex  </t>
  </si>
  <si>
    <t xml:space="preserve">New Haven  </t>
  </si>
  <si>
    <t xml:space="preserve">New London  </t>
  </si>
  <si>
    <t xml:space="preserve">Tolland  </t>
  </si>
  <si>
    <t xml:space="preserve">Windham  </t>
  </si>
  <si>
    <t xml:space="preserve">Kent  </t>
  </si>
  <si>
    <t xml:space="preserve">New Castle  </t>
  </si>
  <si>
    <t xml:space="preserve">Sussex  </t>
  </si>
  <si>
    <t xml:space="preserve">District Of Columbia  </t>
  </si>
  <si>
    <t xml:space="preserve">Alachua  </t>
  </si>
  <si>
    <t xml:space="preserve">Baker  </t>
  </si>
  <si>
    <t xml:space="preserve">Bay  </t>
  </si>
  <si>
    <t xml:space="preserve">Bradford  </t>
  </si>
  <si>
    <t xml:space="preserve">Brevard  </t>
  </si>
  <si>
    <t xml:space="preserve">Broward  </t>
  </si>
  <si>
    <t xml:space="preserve">Charlotte  </t>
  </si>
  <si>
    <t xml:space="preserve">Citrus  </t>
  </si>
  <si>
    <t xml:space="preserve">Collier  </t>
  </si>
  <si>
    <t xml:space="preserve">De Soto  </t>
  </si>
  <si>
    <t xml:space="preserve">Dixie  </t>
  </si>
  <si>
    <t xml:space="preserve">Duval  </t>
  </si>
  <si>
    <t xml:space="preserve">Flagler  </t>
  </si>
  <si>
    <t xml:space="preserve">Gadsden  </t>
  </si>
  <si>
    <t xml:space="preserve">Gilchrist  </t>
  </si>
  <si>
    <t xml:space="preserve">Glades  </t>
  </si>
  <si>
    <t xml:space="preserve">Gulf  </t>
  </si>
  <si>
    <t xml:space="preserve">Hamilton  </t>
  </si>
  <si>
    <t xml:space="preserve">Hardee  </t>
  </si>
  <si>
    <t xml:space="preserve">Hendry  </t>
  </si>
  <si>
    <t xml:space="preserve">Hernando  </t>
  </si>
  <si>
    <t xml:space="preserve">Highlands  </t>
  </si>
  <si>
    <t xml:space="preserve">Hillsborough  </t>
  </si>
  <si>
    <t xml:space="preserve">Holmes  </t>
  </si>
  <si>
    <t xml:space="preserve">Indian River  </t>
  </si>
  <si>
    <t xml:space="preserve">Leon  </t>
  </si>
  <si>
    <t xml:space="preserve">Levy  </t>
  </si>
  <si>
    <t xml:space="preserve">Liberty  </t>
  </si>
  <si>
    <t xml:space="preserve">Manatee  </t>
  </si>
  <si>
    <t xml:space="preserve">Martin  </t>
  </si>
  <si>
    <t xml:space="preserve">Miami-Dade  </t>
  </si>
  <si>
    <t xml:space="preserve">Nassau  </t>
  </si>
  <si>
    <t xml:space="preserve">Okaloosa  </t>
  </si>
  <si>
    <t xml:space="preserve">Okeechobee  </t>
  </si>
  <si>
    <t xml:space="preserve">Osceola  </t>
  </si>
  <si>
    <t xml:space="preserve">Palm Beach  </t>
  </si>
  <si>
    <t xml:space="preserve">Pasco  </t>
  </si>
  <si>
    <t xml:space="preserve">Pinellas  </t>
  </si>
  <si>
    <t xml:space="preserve">Putnam  </t>
  </si>
  <si>
    <t xml:space="preserve">Saint Johns  </t>
  </si>
  <si>
    <t xml:space="preserve">Saint Lucie  </t>
  </si>
  <si>
    <t xml:space="preserve">Santa Rosa  </t>
  </si>
  <si>
    <t xml:space="preserve">Sarasota  </t>
  </si>
  <si>
    <t xml:space="preserve">Seminole  </t>
  </si>
  <si>
    <t xml:space="preserve">Suwannee  </t>
  </si>
  <si>
    <t xml:space="preserve">Taylor  </t>
  </si>
  <si>
    <t xml:space="preserve">Volusia  </t>
  </si>
  <si>
    <t xml:space="preserve">Wakulla  </t>
  </si>
  <si>
    <t xml:space="preserve">Walton  </t>
  </si>
  <si>
    <t xml:space="preserve">Appling  </t>
  </si>
  <si>
    <t xml:space="preserve">Atkinson  </t>
  </si>
  <si>
    <t xml:space="preserve">Bacon  </t>
  </si>
  <si>
    <t xml:space="preserve">Banks  </t>
  </si>
  <si>
    <t xml:space="preserve">Barrow  </t>
  </si>
  <si>
    <t xml:space="preserve">Bartow  </t>
  </si>
  <si>
    <t xml:space="preserve">Ben Hill  </t>
  </si>
  <si>
    <t xml:space="preserve">Berrien  </t>
  </si>
  <si>
    <t xml:space="preserve">Bleckley  </t>
  </si>
  <si>
    <t xml:space="preserve">Brantley  </t>
  </si>
  <si>
    <t xml:space="preserve">Brooks  </t>
  </si>
  <si>
    <t xml:space="preserve">Bryan  </t>
  </si>
  <si>
    <t xml:space="preserve">Bulloch  </t>
  </si>
  <si>
    <t xml:space="preserve">Burke  </t>
  </si>
  <si>
    <t xml:space="preserve">Butts  </t>
  </si>
  <si>
    <t xml:space="preserve">Camden  </t>
  </si>
  <si>
    <t xml:space="preserve">Candler  </t>
  </si>
  <si>
    <t xml:space="preserve">Catoosa  </t>
  </si>
  <si>
    <t xml:space="preserve">Charlton  </t>
  </si>
  <si>
    <t xml:space="preserve">Chatham  </t>
  </si>
  <si>
    <t xml:space="preserve">Chattahoochee  </t>
  </si>
  <si>
    <t xml:space="preserve">Chattooga  </t>
  </si>
  <si>
    <t xml:space="preserve">Clayton  </t>
  </si>
  <si>
    <t xml:space="preserve">Clinch  </t>
  </si>
  <si>
    <t xml:space="preserve">Cobb  </t>
  </si>
  <si>
    <t xml:space="preserve">Colquitt  </t>
  </si>
  <si>
    <t xml:space="preserve">Cook  </t>
  </si>
  <si>
    <t xml:space="preserve">Coweta  </t>
  </si>
  <si>
    <t xml:space="preserve">Crisp  </t>
  </si>
  <si>
    <t xml:space="preserve">Dade  </t>
  </si>
  <si>
    <t xml:space="preserve">Dawson  </t>
  </si>
  <si>
    <t xml:space="preserve">Decatur  </t>
  </si>
  <si>
    <t xml:space="preserve">Dekalb  </t>
  </si>
  <si>
    <t xml:space="preserve">Dodge  </t>
  </si>
  <si>
    <t xml:space="preserve">Dooly  </t>
  </si>
  <si>
    <t xml:space="preserve">Dougherty  </t>
  </si>
  <si>
    <t xml:space="preserve">Early  </t>
  </si>
  <si>
    <t xml:space="preserve">Echols  </t>
  </si>
  <si>
    <t xml:space="preserve">Effingham  </t>
  </si>
  <si>
    <t xml:space="preserve">Emanuel  </t>
  </si>
  <si>
    <t xml:space="preserve">Evans  </t>
  </si>
  <si>
    <t xml:space="preserve">Fannin  </t>
  </si>
  <si>
    <t xml:space="preserve">Floyd  </t>
  </si>
  <si>
    <t xml:space="preserve">Forsyth  </t>
  </si>
  <si>
    <t xml:space="preserve">Gilmer  </t>
  </si>
  <si>
    <t xml:space="preserve">Glascock  </t>
  </si>
  <si>
    <t xml:space="preserve">Glynn  </t>
  </si>
  <si>
    <t xml:space="preserve">Gordon  </t>
  </si>
  <si>
    <t xml:space="preserve">Grady  </t>
  </si>
  <si>
    <t xml:space="preserve">Gwinnett  </t>
  </si>
  <si>
    <t xml:space="preserve">Habersham  </t>
  </si>
  <si>
    <t xml:space="preserve">Hall  </t>
  </si>
  <si>
    <t xml:space="preserve">Hancock  </t>
  </si>
  <si>
    <t xml:space="preserve">Haralson  </t>
  </si>
  <si>
    <t xml:space="preserve">Harris  </t>
  </si>
  <si>
    <t xml:space="preserve">Hart  </t>
  </si>
  <si>
    <t xml:space="preserve">Heard  </t>
  </si>
  <si>
    <t xml:space="preserve">Irwin  </t>
  </si>
  <si>
    <t xml:space="preserve">Jasper  </t>
  </si>
  <si>
    <t xml:space="preserve">Jeff Davis  </t>
  </si>
  <si>
    <t xml:space="preserve">Jenkins  </t>
  </si>
  <si>
    <t xml:space="preserve">Jones  </t>
  </si>
  <si>
    <t xml:space="preserve">Lanier  </t>
  </si>
  <si>
    <t xml:space="preserve">Laurens  </t>
  </si>
  <si>
    <t xml:space="preserve">Long  </t>
  </si>
  <si>
    <t xml:space="preserve">Lumpkin  </t>
  </si>
  <si>
    <t xml:space="preserve">Mcduffie  </t>
  </si>
  <si>
    <t xml:space="preserve">Mcintosh  </t>
  </si>
  <si>
    <t xml:space="preserve">Meriwether  </t>
  </si>
  <si>
    <t xml:space="preserve">Mitchell  </t>
  </si>
  <si>
    <t xml:space="preserve">Murray  </t>
  </si>
  <si>
    <t xml:space="preserve">Muscogee  </t>
  </si>
  <si>
    <t xml:space="preserve">Oconee  </t>
  </si>
  <si>
    <t xml:space="preserve">Oglethorpe  </t>
  </si>
  <si>
    <t xml:space="preserve">Paulding  </t>
  </si>
  <si>
    <t xml:space="preserve">Peach  </t>
  </si>
  <si>
    <t xml:space="preserve">Pierce  </t>
  </si>
  <si>
    <t xml:space="preserve">Quitman  </t>
  </si>
  <si>
    <t xml:space="preserve">Rabun  </t>
  </si>
  <si>
    <t xml:space="preserve">Richmond  </t>
  </si>
  <si>
    <t xml:space="preserve">Rockdale  </t>
  </si>
  <si>
    <t xml:space="preserve">Schley  </t>
  </si>
  <si>
    <t xml:space="preserve">Screven  </t>
  </si>
  <si>
    <t xml:space="preserve">Spalding  </t>
  </si>
  <si>
    <t xml:space="preserve">Stephens  </t>
  </si>
  <si>
    <t xml:space="preserve">Stewart  </t>
  </si>
  <si>
    <t xml:space="preserve">Talbot  </t>
  </si>
  <si>
    <t xml:space="preserve">Taliaferro  </t>
  </si>
  <si>
    <t xml:space="preserve">Tattnall  </t>
  </si>
  <si>
    <t xml:space="preserve">Telfair  </t>
  </si>
  <si>
    <t xml:space="preserve">Terrell  </t>
  </si>
  <si>
    <t xml:space="preserve">Thomas  </t>
  </si>
  <si>
    <t xml:space="preserve">Tift  </t>
  </si>
  <si>
    <t xml:space="preserve">Toombs  </t>
  </si>
  <si>
    <t xml:space="preserve">Towns  </t>
  </si>
  <si>
    <t xml:space="preserve">Treutlen  </t>
  </si>
  <si>
    <t xml:space="preserve">Troup  </t>
  </si>
  <si>
    <t xml:space="preserve">Turner  </t>
  </si>
  <si>
    <t xml:space="preserve">Twiggs  </t>
  </si>
  <si>
    <t xml:space="preserve">Upson  </t>
  </si>
  <si>
    <t xml:space="preserve">Ware  </t>
  </si>
  <si>
    <t xml:space="preserve">Warren  </t>
  </si>
  <si>
    <t xml:space="preserve">Wayne  </t>
  </si>
  <si>
    <t xml:space="preserve">Webster  </t>
  </si>
  <si>
    <t xml:space="preserve">Wheeler  </t>
  </si>
  <si>
    <t xml:space="preserve">Whitfield  </t>
  </si>
  <si>
    <t xml:space="preserve">Wilkes  </t>
  </si>
  <si>
    <t xml:space="preserve">Wilkinson  </t>
  </si>
  <si>
    <t xml:space="preserve">Worth  </t>
  </si>
  <si>
    <t xml:space="preserve">Guam  </t>
  </si>
  <si>
    <t xml:space="preserve">Hawaii  </t>
  </si>
  <si>
    <t xml:space="preserve">Honolulu  </t>
  </si>
  <si>
    <t xml:space="preserve">Kauai  </t>
  </si>
  <si>
    <t xml:space="preserve">Maui  </t>
  </si>
  <si>
    <t xml:space="preserve">Ada  </t>
  </si>
  <si>
    <t xml:space="preserve">Bannock  </t>
  </si>
  <si>
    <t xml:space="preserve">Bear Lake  </t>
  </si>
  <si>
    <t xml:space="preserve">Benewah  </t>
  </si>
  <si>
    <t xml:space="preserve">Bingham  </t>
  </si>
  <si>
    <t xml:space="preserve">Blaine  </t>
  </si>
  <si>
    <t xml:space="preserve">Boise  </t>
  </si>
  <si>
    <t xml:space="preserve">Bonner  </t>
  </si>
  <si>
    <t xml:space="preserve">Bonneville  </t>
  </si>
  <si>
    <t xml:space="preserve">Boundary  </t>
  </si>
  <si>
    <t xml:space="preserve">Camas  </t>
  </si>
  <si>
    <t xml:space="preserve">Canyon  </t>
  </si>
  <si>
    <t xml:space="preserve">Caribou  </t>
  </si>
  <si>
    <t xml:space="preserve">Cassia  </t>
  </si>
  <si>
    <t xml:space="preserve">Clearwater  </t>
  </si>
  <si>
    <t xml:space="preserve">Gem  </t>
  </si>
  <si>
    <t xml:space="preserve">Gooding  </t>
  </si>
  <si>
    <t xml:space="preserve">Idaho  </t>
  </si>
  <si>
    <t xml:space="preserve">Jerome  </t>
  </si>
  <si>
    <t xml:space="preserve">Kootenai  </t>
  </si>
  <si>
    <t xml:space="preserve">Latah  </t>
  </si>
  <si>
    <t xml:space="preserve">Lemhi  </t>
  </si>
  <si>
    <t xml:space="preserve">Lewis  </t>
  </si>
  <si>
    <t xml:space="preserve">Minidoka  </t>
  </si>
  <si>
    <t xml:space="preserve">Nez Perce  </t>
  </si>
  <si>
    <t xml:space="preserve">Oneida  </t>
  </si>
  <si>
    <t xml:space="preserve">Owyhee  </t>
  </si>
  <si>
    <t xml:space="preserve">Payette  </t>
  </si>
  <si>
    <t xml:space="preserve">Power  </t>
  </si>
  <si>
    <t xml:space="preserve">Shoshone  </t>
  </si>
  <si>
    <t xml:space="preserve">Teton  </t>
  </si>
  <si>
    <t xml:space="preserve">Twin Falls  </t>
  </si>
  <si>
    <t xml:space="preserve">Valley  </t>
  </si>
  <si>
    <t xml:space="preserve">Alexander  </t>
  </si>
  <si>
    <t xml:space="preserve">Bond  </t>
  </si>
  <si>
    <t xml:space="preserve">Brown  </t>
  </si>
  <si>
    <t xml:space="preserve">Bureau  </t>
  </si>
  <si>
    <t xml:space="preserve">Cass  </t>
  </si>
  <si>
    <t xml:space="preserve">Champaign  </t>
  </si>
  <si>
    <t xml:space="preserve">Christian  </t>
  </si>
  <si>
    <t xml:space="preserve">Clinton  </t>
  </si>
  <si>
    <t xml:space="preserve">Coles  </t>
  </si>
  <si>
    <t xml:space="preserve">Cumberland  </t>
  </si>
  <si>
    <t xml:space="preserve">Dewitt  </t>
  </si>
  <si>
    <t xml:space="preserve">Dupage  </t>
  </si>
  <si>
    <t xml:space="preserve">Edgar  </t>
  </si>
  <si>
    <t xml:space="preserve">Edwards  </t>
  </si>
  <si>
    <t xml:space="preserve">Ford  </t>
  </si>
  <si>
    <t xml:space="preserve">Gallatin  </t>
  </si>
  <si>
    <t xml:space="preserve">Grundy  </t>
  </si>
  <si>
    <t xml:space="preserve">Hardin  </t>
  </si>
  <si>
    <t xml:space="preserve">Henderson  </t>
  </si>
  <si>
    <t xml:space="preserve">Iroquois  </t>
  </si>
  <si>
    <t xml:space="preserve">Jersey  </t>
  </si>
  <si>
    <t xml:space="preserve">Jo Daviess  </t>
  </si>
  <si>
    <t xml:space="preserve">Kane  </t>
  </si>
  <si>
    <t xml:space="preserve">Kankakee  </t>
  </si>
  <si>
    <t xml:space="preserve">Kendall  </t>
  </si>
  <si>
    <t xml:space="preserve">Knox  </t>
  </si>
  <si>
    <t xml:space="preserve">La Salle  </t>
  </si>
  <si>
    <t xml:space="preserve">Livingston  </t>
  </si>
  <si>
    <t xml:space="preserve">Macoupin  </t>
  </si>
  <si>
    <t xml:space="preserve">Mason  </t>
  </si>
  <si>
    <t xml:space="preserve">Massac  </t>
  </si>
  <si>
    <t xml:space="preserve">Mcdonough  </t>
  </si>
  <si>
    <t xml:space="preserve">Mchenry  </t>
  </si>
  <si>
    <t xml:space="preserve">Mclean  </t>
  </si>
  <si>
    <t xml:space="preserve">Menard  </t>
  </si>
  <si>
    <t xml:space="preserve">Mercer  </t>
  </si>
  <si>
    <t xml:space="preserve">Moultrie  </t>
  </si>
  <si>
    <t xml:space="preserve">Ogle  </t>
  </si>
  <si>
    <t xml:space="preserve">Peoria  </t>
  </si>
  <si>
    <t xml:space="preserve">Piatt  </t>
  </si>
  <si>
    <t xml:space="preserve">Richland  </t>
  </si>
  <si>
    <t xml:space="preserve">Rock Island  </t>
  </si>
  <si>
    <t xml:space="preserve">Sangamon  </t>
  </si>
  <si>
    <t xml:space="preserve">Schuyler  </t>
  </si>
  <si>
    <t xml:space="preserve">Stark  </t>
  </si>
  <si>
    <t xml:space="preserve">Stephenson  </t>
  </si>
  <si>
    <t xml:space="preserve">Tazewell  </t>
  </si>
  <si>
    <t xml:space="preserve">Vermilion  </t>
  </si>
  <si>
    <t xml:space="preserve">Wabash  </t>
  </si>
  <si>
    <t xml:space="preserve">Whiteside  </t>
  </si>
  <si>
    <t xml:space="preserve">Will  </t>
  </si>
  <si>
    <t xml:space="preserve">Williamson  </t>
  </si>
  <si>
    <t xml:space="preserve">Winnebago  </t>
  </si>
  <si>
    <t xml:space="preserve">Woodford  </t>
  </si>
  <si>
    <t xml:space="preserve">Allen  </t>
  </si>
  <si>
    <t xml:space="preserve">Bartholomew  </t>
  </si>
  <si>
    <t xml:space="preserve">Blackford  </t>
  </si>
  <si>
    <t xml:space="preserve">Daviess  </t>
  </si>
  <si>
    <t xml:space="preserve">Dearborn  </t>
  </si>
  <si>
    <t xml:space="preserve">Delaware  </t>
  </si>
  <si>
    <t xml:space="preserve">Dubois  </t>
  </si>
  <si>
    <t xml:space="preserve">Elkhart  </t>
  </si>
  <si>
    <t xml:space="preserve">Fountain  </t>
  </si>
  <si>
    <t xml:space="preserve">Gibson  </t>
  </si>
  <si>
    <t xml:space="preserve">Harrison  </t>
  </si>
  <si>
    <t xml:space="preserve">Hendricks  </t>
  </si>
  <si>
    <t xml:space="preserve">Huntington  </t>
  </si>
  <si>
    <t xml:space="preserve">Jay  </t>
  </si>
  <si>
    <t xml:space="preserve">Jennings  </t>
  </si>
  <si>
    <t xml:space="preserve">Kosciusko  </t>
  </si>
  <si>
    <t xml:space="preserve">La Porte  </t>
  </si>
  <si>
    <t xml:space="preserve">Lagrange  </t>
  </si>
  <si>
    <t xml:space="preserve">Miami  </t>
  </si>
  <si>
    <t xml:space="preserve">Noble  </t>
  </si>
  <si>
    <t xml:space="preserve">Ohio  </t>
  </si>
  <si>
    <t xml:space="preserve">Owen  </t>
  </si>
  <si>
    <t xml:space="preserve">Parke  </t>
  </si>
  <si>
    <t xml:space="preserve">Porter  </t>
  </si>
  <si>
    <t xml:space="preserve">Posey  </t>
  </si>
  <si>
    <t xml:space="preserve">Ripley  </t>
  </si>
  <si>
    <t xml:space="preserve">Rush  </t>
  </si>
  <si>
    <t xml:space="preserve">Spencer  </t>
  </si>
  <si>
    <t xml:space="preserve">St Joseph  </t>
  </si>
  <si>
    <t xml:space="preserve">Starke  </t>
  </si>
  <si>
    <t xml:space="preserve">Steuben  </t>
  </si>
  <si>
    <t xml:space="preserve">Sullivan  </t>
  </si>
  <si>
    <t xml:space="preserve">Switzerland  </t>
  </si>
  <si>
    <t xml:space="preserve">Tippecanoe  </t>
  </si>
  <si>
    <t xml:space="preserve">Tipton  </t>
  </si>
  <si>
    <t xml:space="preserve">Vanderburgh  </t>
  </si>
  <si>
    <t xml:space="preserve">Vermillion  </t>
  </si>
  <si>
    <t xml:space="preserve">Vigo  </t>
  </si>
  <si>
    <t xml:space="preserve">Warrick  </t>
  </si>
  <si>
    <t xml:space="preserve">Wells  </t>
  </si>
  <si>
    <t xml:space="preserve">Whitley  </t>
  </si>
  <si>
    <t xml:space="preserve">Adair  </t>
  </si>
  <si>
    <t xml:space="preserve">Allamakee  </t>
  </si>
  <si>
    <t xml:space="preserve">Appanoose  </t>
  </si>
  <si>
    <t xml:space="preserve">Audubon  </t>
  </si>
  <si>
    <t xml:space="preserve">Black Hawk  </t>
  </si>
  <si>
    <t xml:space="preserve">Bremer  </t>
  </si>
  <si>
    <t xml:space="preserve">Buchanan  </t>
  </si>
  <si>
    <t xml:space="preserve">Buena Vista  </t>
  </si>
  <si>
    <t xml:space="preserve">Cedar  </t>
  </si>
  <si>
    <t xml:space="preserve">Cerro Gordo  </t>
  </si>
  <si>
    <t xml:space="preserve">Chickasaw  </t>
  </si>
  <si>
    <t xml:space="preserve">Davis  </t>
  </si>
  <si>
    <t xml:space="preserve">Des Moines  </t>
  </si>
  <si>
    <t xml:space="preserve">Dickinson  </t>
  </si>
  <si>
    <t xml:space="preserve">Dubuque  </t>
  </si>
  <si>
    <t xml:space="preserve">Emmet  </t>
  </si>
  <si>
    <t xml:space="preserve">Guthrie  </t>
  </si>
  <si>
    <t xml:space="preserve">Ida  </t>
  </si>
  <si>
    <t xml:space="preserve">Iowa  </t>
  </si>
  <si>
    <t xml:space="preserve">Keokuk  </t>
  </si>
  <si>
    <t xml:space="preserve">Kossuth  </t>
  </si>
  <si>
    <t xml:space="preserve">Linn  </t>
  </si>
  <si>
    <t xml:space="preserve">Louisa  </t>
  </si>
  <si>
    <t xml:space="preserve">Lucas  </t>
  </si>
  <si>
    <t xml:space="preserve">Lyon  </t>
  </si>
  <si>
    <t xml:space="preserve">Mahaska  </t>
  </si>
  <si>
    <t xml:space="preserve">Mills  </t>
  </si>
  <si>
    <t xml:space="preserve">Monona  </t>
  </si>
  <si>
    <t xml:space="preserve">Muscatine  </t>
  </si>
  <si>
    <t xml:space="preserve">Obrien  </t>
  </si>
  <si>
    <t xml:space="preserve">Page  </t>
  </si>
  <si>
    <t xml:space="preserve">Palo Alto  </t>
  </si>
  <si>
    <t xml:space="preserve">Plymouth  </t>
  </si>
  <si>
    <t xml:space="preserve">Pocahontas  </t>
  </si>
  <si>
    <t xml:space="preserve">Pottawattamie  </t>
  </si>
  <si>
    <t xml:space="preserve">Poweshiek  </t>
  </si>
  <si>
    <t xml:space="preserve">Ringgold  </t>
  </si>
  <si>
    <t xml:space="preserve">Sac  </t>
  </si>
  <si>
    <t xml:space="preserve">Sioux  </t>
  </si>
  <si>
    <t xml:space="preserve">Story  </t>
  </si>
  <si>
    <t xml:space="preserve">Tama  </t>
  </si>
  <si>
    <t xml:space="preserve">Wapello  </t>
  </si>
  <si>
    <t xml:space="preserve">Winneshiek  </t>
  </si>
  <si>
    <t xml:space="preserve">Woodbury  </t>
  </si>
  <si>
    <t xml:space="preserve">Wright  </t>
  </si>
  <si>
    <t xml:space="preserve">Anderson  </t>
  </si>
  <si>
    <t xml:space="preserve">Atchison  </t>
  </si>
  <si>
    <t xml:space="preserve">Barber  </t>
  </si>
  <si>
    <t xml:space="preserve">Barton  </t>
  </si>
  <si>
    <t xml:space="preserve">Bourbon  </t>
  </si>
  <si>
    <t xml:space="preserve">Chase  </t>
  </si>
  <si>
    <t xml:space="preserve">Chautauqua  </t>
  </si>
  <si>
    <t xml:space="preserve">Cloud  </t>
  </si>
  <si>
    <t xml:space="preserve">Coffey  </t>
  </si>
  <si>
    <t xml:space="preserve">Comanche  </t>
  </si>
  <si>
    <t xml:space="preserve">Cowley  </t>
  </si>
  <si>
    <t xml:space="preserve">Doniphan  </t>
  </si>
  <si>
    <t xml:space="preserve">Elk  </t>
  </si>
  <si>
    <t xml:space="preserve">Ellis  </t>
  </si>
  <si>
    <t xml:space="preserve">Ellsworth  </t>
  </si>
  <si>
    <t xml:space="preserve">Finney  </t>
  </si>
  <si>
    <t xml:space="preserve">Geary  </t>
  </si>
  <si>
    <t xml:space="preserve">Gove  </t>
  </si>
  <si>
    <t xml:space="preserve">Gray  </t>
  </si>
  <si>
    <t xml:space="preserve">Greeley  </t>
  </si>
  <si>
    <t xml:space="preserve">Greenwood  </t>
  </si>
  <si>
    <t xml:space="preserve">Harper  </t>
  </si>
  <si>
    <t xml:space="preserve">Harvey  </t>
  </si>
  <si>
    <t xml:space="preserve">Haskell  </t>
  </si>
  <si>
    <t xml:space="preserve">Hodgeman  </t>
  </si>
  <si>
    <t xml:space="preserve">Jewell  </t>
  </si>
  <si>
    <t xml:space="preserve">Kearny  </t>
  </si>
  <si>
    <t xml:space="preserve">Kingman  </t>
  </si>
  <si>
    <t xml:space="preserve">Labette  </t>
  </si>
  <si>
    <t xml:space="preserve">Lane  </t>
  </si>
  <si>
    <t xml:space="preserve">Leavenworth  </t>
  </si>
  <si>
    <t xml:space="preserve">Mcpherson  </t>
  </si>
  <si>
    <t xml:space="preserve">Meade  </t>
  </si>
  <si>
    <t xml:space="preserve">Morris  </t>
  </si>
  <si>
    <t xml:space="preserve">Morton  </t>
  </si>
  <si>
    <t xml:space="preserve">Nemaha  </t>
  </si>
  <si>
    <t xml:space="preserve">Neosho  </t>
  </si>
  <si>
    <t xml:space="preserve">Ness  </t>
  </si>
  <si>
    <t xml:space="preserve">Norton  </t>
  </si>
  <si>
    <t xml:space="preserve">Osage  </t>
  </si>
  <si>
    <t xml:space="preserve">Osborne  </t>
  </si>
  <si>
    <t xml:space="preserve">Ottawa  </t>
  </si>
  <si>
    <t xml:space="preserve">Pawnee  </t>
  </si>
  <si>
    <t xml:space="preserve">Pottawatomie  </t>
  </si>
  <si>
    <t xml:space="preserve">Pratt  </t>
  </si>
  <si>
    <t xml:space="preserve">Rawlins  </t>
  </si>
  <si>
    <t xml:space="preserve">Reno  </t>
  </si>
  <si>
    <t xml:space="preserve">Republic  </t>
  </si>
  <si>
    <t xml:space="preserve">Rice  </t>
  </si>
  <si>
    <t xml:space="preserve">Riley  </t>
  </si>
  <si>
    <t xml:space="preserve">Rooks  </t>
  </si>
  <si>
    <t xml:space="preserve">Seward  </t>
  </si>
  <si>
    <t xml:space="preserve">Shawnee  </t>
  </si>
  <si>
    <t xml:space="preserve">Sheridan  </t>
  </si>
  <si>
    <t xml:space="preserve">Sherman  </t>
  </si>
  <si>
    <t xml:space="preserve">Smith  </t>
  </si>
  <si>
    <t xml:space="preserve">Stafford  </t>
  </si>
  <si>
    <t xml:space="preserve">Stanton  </t>
  </si>
  <si>
    <t xml:space="preserve">Stevens  </t>
  </si>
  <si>
    <t xml:space="preserve">Sumner  </t>
  </si>
  <si>
    <t xml:space="preserve">Trego  </t>
  </si>
  <si>
    <t xml:space="preserve">Wabaunsee  </t>
  </si>
  <si>
    <t xml:space="preserve">Wallace  </t>
  </si>
  <si>
    <t xml:space="preserve">Wichita  </t>
  </si>
  <si>
    <t xml:space="preserve">Wilson  </t>
  </si>
  <si>
    <t xml:space="preserve">Woodson  </t>
  </si>
  <si>
    <t xml:space="preserve">Wyandotte  </t>
  </si>
  <si>
    <t xml:space="preserve">Ballard  </t>
  </si>
  <si>
    <t xml:space="preserve">Barren  </t>
  </si>
  <si>
    <t xml:space="preserve">Bath  </t>
  </si>
  <si>
    <t xml:space="preserve">Bell  </t>
  </si>
  <si>
    <t xml:space="preserve">Boyd  </t>
  </si>
  <si>
    <t xml:space="preserve">Boyle  </t>
  </si>
  <si>
    <t xml:space="preserve">Bracken  </t>
  </si>
  <si>
    <t xml:space="preserve">Breathitt  </t>
  </si>
  <si>
    <t xml:space="preserve">Breckinridge  </t>
  </si>
  <si>
    <t xml:space="preserve">Bullitt  </t>
  </si>
  <si>
    <t xml:space="preserve">Caldwell  </t>
  </si>
  <si>
    <t xml:space="preserve">Calloway  </t>
  </si>
  <si>
    <t xml:space="preserve">Campbell  </t>
  </si>
  <si>
    <t xml:space="preserve">Carlisle  </t>
  </si>
  <si>
    <t xml:space="preserve">Carter  </t>
  </si>
  <si>
    <t xml:space="preserve">Casey  </t>
  </si>
  <si>
    <t xml:space="preserve">Edmonson  </t>
  </si>
  <si>
    <t xml:space="preserve">Elliott  </t>
  </si>
  <si>
    <t xml:space="preserve">Estill  </t>
  </si>
  <si>
    <t xml:space="preserve">Fleming  </t>
  </si>
  <si>
    <t xml:space="preserve">Garrard  </t>
  </si>
  <si>
    <t xml:space="preserve">Graves  </t>
  </si>
  <si>
    <t xml:space="preserve">Grayson  </t>
  </si>
  <si>
    <t xml:space="preserve">Green  </t>
  </si>
  <si>
    <t xml:space="preserve">Greenup  </t>
  </si>
  <si>
    <t xml:space="preserve">Harlan  </t>
  </si>
  <si>
    <t xml:space="preserve">Hickman  </t>
  </si>
  <si>
    <t xml:space="preserve">Hopkins  </t>
  </si>
  <si>
    <t xml:space="preserve">Jessamine  </t>
  </si>
  <si>
    <t xml:space="preserve">Kenton  </t>
  </si>
  <si>
    <t xml:space="preserve">Knott  </t>
  </si>
  <si>
    <t xml:space="preserve">Larue  </t>
  </si>
  <si>
    <t xml:space="preserve">Laurel  </t>
  </si>
  <si>
    <t xml:space="preserve">Leslie  </t>
  </si>
  <si>
    <t xml:space="preserve">Letcher  </t>
  </si>
  <si>
    <t xml:space="preserve">Magoffin  </t>
  </si>
  <si>
    <t xml:space="preserve">Mccracken  </t>
  </si>
  <si>
    <t xml:space="preserve">Mccreary  </t>
  </si>
  <si>
    <t xml:space="preserve">Menifee  </t>
  </si>
  <si>
    <t xml:space="preserve">Metcalfe  </t>
  </si>
  <si>
    <t xml:space="preserve">Muhlenberg  </t>
  </si>
  <si>
    <t xml:space="preserve">Nelson  </t>
  </si>
  <si>
    <t xml:space="preserve">Nicholas  </t>
  </si>
  <si>
    <t xml:space="preserve">Oldham  </t>
  </si>
  <si>
    <t xml:space="preserve">Owsley  </t>
  </si>
  <si>
    <t xml:space="preserve">Pendleton  </t>
  </si>
  <si>
    <t xml:space="preserve">Powell  </t>
  </si>
  <si>
    <t xml:space="preserve">Robertson  </t>
  </si>
  <si>
    <t xml:space="preserve">Rockcastle  </t>
  </si>
  <si>
    <t xml:space="preserve">Rowan  </t>
  </si>
  <si>
    <t xml:space="preserve">Simpson  </t>
  </si>
  <si>
    <t xml:space="preserve">Todd  </t>
  </si>
  <si>
    <t xml:space="preserve">Trigg  </t>
  </si>
  <si>
    <t xml:space="preserve">Trimble  </t>
  </si>
  <si>
    <t xml:space="preserve">Wolfe  </t>
  </si>
  <si>
    <t xml:space="preserve">Acadia  </t>
  </si>
  <si>
    <t xml:space="preserve">Ascension  </t>
  </si>
  <si>
    <t xml:space="preserve">Assumption  </t>
  </si>
  <si>
    <t xml:space="preserve">Avoyelles  </t>
  </si>
  <si>
    <t xml:space="preserve">Beauregard  </t>
  </si>
  <si>
    <t xml:space="preserve">Bienville  </t>
  </si>
  <si>
    <t xml:space="preserve">Bossier  </t>
  </si>
  <si>
    <t xml:space="preserve">Caddo  </t>
  </si>
  <si>
    <t xml:space="preserve">Calcasieu  </t>
  </si>
  <si>
    <t xml:space="preserve">Cameron  </t>
  </si>
  <si>
    <t xml:space="preserve">Catahoula  </t>
  </si>
  <si>
    <t xml:space="preserve">Claiborne  </t>
  </si>
  <si>
    <t xml:space="preserve">Concordia  </t>
  </si>
  <si>
    <t xml:space="preserve">East Baton Rouge  </t>
  </si>
  <si>
    <t xml:space="preserve">East Carroll  </t>
  </si>
  <si>
    <t xml:space="preserve">East Feliciana  </t>
  </si>
  <si>
    <t xml:space="preserve">Evangeline  </t>
  </si>
  <si>
    <t xml:space="preserve">Iberia  </t>
  </si>
  <si>
    <t xml:space="preserve">Iberville  </t>
  </si>
  <si>
    <t xml:space="preserve">Jefferson Davis  </t>
  </si>
  <si>
    <t xml:space="preserve">Lafourche  </t>
  </si>
  <si>
    <t xml:space="preserve">Morehouse  </t>
  </si>
  <si>
    <t xml:space="preserve">Natchitoches  </t>
  </si>
  <si>
    <t xml:space="preserve">Orleans  </t>
  </si>
  <si>
    <t xml:space="preserve">Plaquemines  </t>
  </si>
  <si>
    <t xml:space="preserve">Pointe Coupee  </t>
  </si>
  <si>
    <t xml:space="preserve">Rapides  </t>
  </si>
  <si>
    <t xml:space="preserve">Red River  </t>
  </si>
  <si>
    <t xml:space="preserve">Sabine  </t>
  </si>
  <si>
    <t xml:space="preserve">Saint Bernard  </t>
  </si>
  <si>
    <t xml:space="preserve">Saint Charles  </t>
  </si>
  <si>
    <t xml:space="preserve">Saint Helena  </t>
  </si>
  <si>
    <t xml:space="preserve">Saint James  </t>
  </si>
  <si>
    <t xml:space="preserve">Saint Landry  </t>
  </si>
  <si>
    <t xml:space="preserve">Saint Martin  </t>
  </si>
  <si>
    <t xml:space="preserve">Saint Mary  </t>
  </si>
  <si>
    <t xml:space="preserve">Saint Tammany  </t>
  </si>
  <si>
    <t xml:space="preserve">St John The Baptist  </t>
  </si>
  <si>
    <t xml:space="preserve">Tangipahoa  </t>
  </si>
  <si>
    <t xml:space="preserve">Tensas  </t>
  </si>
  <si>
    <t xml:space="preserve">Terrebonne  </t>
  </si>
  <si>
    <t xml:space="preserve">Vernon  </t>
  </si>
  <si>
    <t xml:space="preserve">West Baton Rouge  </t>
  </si>
  <si>
    <t xml:space="preserve">West Carroll  </t>
  </si>
  <si>
    <t xml:space="preserve">West Feliciana  </t>
  </si>
  <si>
    <t xml:space="preserve">Winn  </t>
  </si>
  <si>
    <t xml:space="preserve">Androscoggin  </t>
  </si>
  <si>
    <t xml:space="preserve">Aroostook  </t>
  </si>
  <si>
    <t xml:space="preserve">Kennebec  </t>
  </si>
  <si>
    <t xml:space="preserve">Oxford  </t>
  </si>
  <si>
    <t xml:space="preserve">Penobscot  </t>
  </si>
  <si>
    <t xml:space="preserve">Piscataquis  </t>
  </si>
  <si>
    <t xml:space="preserve">Sagadahoc  </t>
  </si>
  <si>
    <t xml:space="preserve">Somerset  </t>
  </si>
  <si>
    <t xml:space="preserve">Waldo  </t>
  </si>
  <si>
    <t xml:space="preserve">York  </t>
  </si>
  <si>
    <t xml:space="preserve">Allegany  </t>
  </si>
  <si>
    <t xml:space="preserve">Anne Arundel  </t>
  </si>
  <si>
    <t xml:space="preserve">Baltimore  </t>
  </si>
  <si>
    <t xml:space="preserve">Baltimore City  </t>
  </si>
  <si>
    <t xml:space="preserve">Calvert  </t>
  </si>
  <si>
    <t xml:space="preserve">Caroline  </t>
  </si>
  <si>
    <t xml:space="preserve">Cecil  </t>
  </si>
  <si>
    <t xml:space="preserve">Charles  </t>
  </si>
  <si>
    <t xml:space="preserve">Dorchester  </t>
  </si>
  <si>
    <t xml:space="preserve">Frederick  </t>
  </si>
  <si>
    <t xml:space="preserve">Garrett  </t>
  </si>
  <si>
    <t xml:space="preserve">Harford  </t>
  </si>
  <si>
    <t xml:space="preserve">Prince Georges  </t>
  </si>
  <si>
    <t xml:space="preserve">Queen Annes  </t>
  </si>
  <si>
    <t xml:space="preserve">Saint Marys  </t>
  </si>
  <si>
    <t xml:space="preserve">Wicomico  </t>
  </si>
  <si>
    <t xml:space="preserve">Worcester  </t>
  </si>
  <si>
    <t xml:space="preserve">Barnstable  </t>
  </si>
  <si>
    <t xml:space="preserve">Berkshire  </t>
  </si>
  <si>
    <t xml:space="preserve">Bristol  </t>
  </si>
  <si>
    <t xml:space="preserve">Dukes  </t>
  </si>
  <si>
    <t xml:space="preserve">Essex  </t>
  </si>
  <si>
    <t xml:space="preserve">Hampden  </t>
  </si>
  <si>
    <t xml:space="preserve">Hampshire  </t>
  </si>
  <si>
    <t xml:space="preserve">Nantucket  </t>
  </si>
  <si>
    <t xml:space="preserve">Norfolk  </t>
  </si>
  <si>
    <t xml:space="preserve">Suffolk  </t>
  </si>
  <si>
    <t xml:space="preserve">Alcona  </t>
  </si>
  <si>
    <t xml:space="preserve">Alger  </t>
  </si>
  <si>
    <t xml:space="preserve">Allegan  </t>
  </si>
  <si>
    <t xml:space="preserve">Alpena  </t>
  </si>
  <si>
    <t xml:space="preserve">Antrim  </t>
  </si>
  <si>
    <t xml:space="preserve">Arenac  </t>
  </si>
  <si>
    <t xml:space="preserve">Baraga  </t>
  </si>
  <si>
    <t xml:space="preserve">Barry  </t>
  </si>
  <si>
    <t xml:space="preserve">Benzie  </t>
  </si>
  <si>
    <t xml:space="preserve">Branch  </t>
  </si>
  <si>
    <t xml:space="preserve">Charlevoix  </t>
  </si>
  <si>
    <t xml:space="preserve">Cheboygan  </t>
  </si>
  <si>
    <t xml:space="preserve">Chippewa  </t>
  </si>
  <si>
    <t xml:space="preserve">Clare  </t>
  </si>
  <si>
    <t xml:space="preserve">Eaton  </t>
  </si>
  <si>
    <t xml:space="preserve">Genesee  </t>
  </si>
  <si>
    <t xml:space="preserve">Gladwin  </t>
  </si>
  <si>
    <t xml:space="preserve">Gogebic  </t>
  </si>
  <si>
    <t xml:space="preserve">Grand Traverse  </t>
  </si>
  <si>
    <t xml:space="preserve">Gratiot  </t>
  </si>
  <si>
    <t xml:space="preserve">Hillsdale  </t>
  </si>
  <si>
    <t xml:space="preserve">Houghton  </t>
  </si>
  <si>
    <t xml:space="preserve">Huron  </t>
  </si>
  <si>
    <t xml:space="preserve">Ingham  </t>
  </si>
  <si>
    <t xml:space="preserve">Ionia  </t>
  </si>
  <si>
    <t xml:space="preserve">Iosco  </t>
  </si>
  <si>
    <t xml:space="preserve">Iron  </t>
  </si>
  <si>
    <t xml:space="preserve">Isabella  </t>
  </si>
  <si>
    <t xml:space="preserve">Kalamazoo  </t>
  </si>
  <si>
    <t xml:space="preserve">Kalkaska  </t>
  </si>
  <si>
    <t xml:space="preserve">Keweenaw  </t>
  </si>
  <si>
    <t xml:space="preserve">Lapeer  </t>
  </si>
  <si>
    <t xml:space="preserve">Leelanau  </t>
  </si>
  <si>
    <t xml:space="preserve">Lenawee  </t>
  </si>
  <si>
    <t xml:space="preserve">Luce  </t>
  </si>
  <si>
    <t xml:space="preserve">Mackinac  </t>
  </si>
  <si>
    <t xml:space="preserve">Macomb  </t>
  </si>
  <si>
    <t xml:space="preserve">Manistee  </t>
  </si>
  <si>
    <t xml:space="preserve">Marquette  </t>
  </si>
  <si>
    <t xml:space="preserve">Mecosta  </t>
  </si>
  <si>
    <t xml:space="preserve">Menominee  </t>
  </si>
  <si>
    <t xml:space="preserve">Midland  </t>
  </si>
  <si>
    <t xml:space="preserve">Missaukee  </t>
  </si>
  <si>
    <t xml:space="preserve">Montcalm  </t>
  </si>
  <si>
    <t xml:space="preserve">Montmorency  </t>
  </si>
  <si>
    <t xml:space="preserve">Muskegon  </t>
  </si>
  <si>
    <t xml:space="preserve">Newaygo  </t>
  </si>
  <si>
    <t xml:space="preserve">Oakland  </t>
  </si>
  <si>
    <t xml:space="preserve">Oceana  </t>
  </si>
  <si>
    <t xml:space="preserve">Ogemaw  </t>
  </si>
  <si>
    <t xml:space="preserve">Ontonagon  </t>
  </si>
  <si>
    <t xml:space="preserve">Oscoda  </t>
  </si>
  <si>
    <t xml:space="preserve">Otsego  </t>
  </si>
  <si>
    <t xml:space="preserve">Presque Isle  </t>
  </si>
  <si>
    <t xml:space="preserve">Roscommon  </t>
  </si>
  <si>
    <t xml:space="preserve">Saginaw  </t>
  </si>
  <si>
    <t xml:space="preserve">Saint Joseph  </t>
  </si>
  <si>
    <t xml:space="preserve">Sanilac  </t>
  </si>
  <si>
    <t xml:space="preserve">Schoolcraft  </t>
  </si>
  <si>
    <t xml:space="preserve">Shiawassee  </t>
  </si>
  <si>
    <t xml:space="preserve">Tuscola  </t>
  </si>
  <si>
    <t xml:space="preserve">Washtenaw  </t>
  </si>
  <si>
    <t xml:space="preserve">Wexford  </t>
  </si>
  <si>
    <t xml:space="preserve">Aitkin  </t>
  </si>
  <si>
    <t xml:space="preserve">Anoka  </t>
  </si>
  <si>
    <t xml:space="preserve">Becker  </t>
  </si>
  <si>
    <t xml:space="preserve">Beltrami  </t>
  </si>
  <si>
    <t xml:space="preserve">Big Stone  </t>
  </si>
  <si>
    <t xml:space="preserve">Blue Earth  </t>
  </si>
  <si>
    <t xml:space="preserve">Carlton  </t>
  </si>
  <si>
    <t xml:space="preserve">Carver  </t>
  </si>
  <si>
    <t xml:space="preserve">Chisago  </t>
  </si>
  <si>
    <t xml:space="preserve">Cottonwood  </t>
  </si>
  <si>
    <t xml:space="preserve">Crow Wing  </t>
  </si>
  <si>
    <t xml:space="preserve">Dakota  </t>
  </si>
  <si>
    <t xml:space="preserve">Faribault  </t>
  </si>
  <si>
    <t xml:space="preserve">Fillmore  </t>
  </si>
  <si>
    <t xml:space="preserve">Freeborn  </t>
  </si>
  <si>
    <t xml:space="preserve">Goodhue  </t>
  </si>
  <si>
    <t xml:space="preserve">Hennepin  </t>
  </si>
  <si>
    <t xml:space="preserve">Hubbard  </t>
  </si>
  <si>
    <t xml:space="preserve">Isanti  </t>
  </si>
  <si>
    <t xml:space="preserve">Itasca  </t>
  </si>
  <si>
    <t xml:space="preserve">Kanabec  </t>
  </si>
  <si>
    <t xml:space="preserve">Kandiyohi  </t>
  </si>
  <si>
    <t xml:space="preserve">Kittson  </t>
  </si>
  <si>
    <t xml:space="preserve">Koochiching  </t>
  </si>
  <si>
    <t xml:space="preserve">Lac Qui Parle  </t>
  </si>
  <si>
    <t xml:space="preserve">Lake Of The Woods  </t>
  </si>
  <si>
    <t xml:space="preserve">Le Sueur  </t>
  </si>
  <si>
    <t xml:space="preserve">Mahnomen  </t>
  </si>
  <si>
    <t xml:space="preserve">Mcleod  </t>
  </si>
  <si>
    <t xml:space="preserve">Meeker  </t>
  </si>
  <si>
    <t xml:space="preserve">Mille Lacs  </t>
  </si>
  <si>
    <t xml:space="preserve">Morrison  </t>
  </si>
  <si>
    <t xml:space="preserve">Mower  </t>
  </si>
  <si>
    <t xml:space="preserve">Nicollet  </t>
  </si>
  <si>
    <t xml:space="preserve">Nobles  </t>
  </si>
  <si>
    <t xml:space="preserve">Norman  </t>
  </si>
  <si>
    <t xml:space="preserve">Olmsted  </t>
  </si>
  <si>
    <t xml:space="preserve">Otter Tail  </t>
  </si>
  <si>
    <t xml:space="preserve">Pennington  </t>
  </si>
  <si>
    <t xml:space="preserve">Pine  </t>
  </si>
  <si>
    <t xml:space="preserve">Pipestone  </t>
  </si>
  <si>
    <t xml:space="preserve">Ramsey  </t>
  </si>
  <si>
    <t xml:space="preserve">Red Lake  </t>
  </si>
  <si>
    <t xml:space="preserve">Redwood  </t>
  </si>
  <si>
    <t xml:space="preserve">Renville  </t>
  </si>
  <si>
    <t xml:space="preserve">Rock  </t>
  </si>
  <si>
    <t xml:space="preserve">Roseau  </t>
  </si>
  <si>
    <t xml:space="preserve">Saint Louis  </t>
  </si>
  <si>
    <t xml:space="preserve">Sherburne  </t>
  </si>
  <si>
    <t xml:space="preserve">Sibley  </t>
  </si>
  <si>
    <t xml:space="preserve">Stearns  </t>
  </si>
  <si>
    <t xml:space="preserve">Steele  </t>
  </si>
  <si>
    <t xml:space="preserve">Swift  </t>
  </si>
  <si>
    <t xml:space="preserve">Traverse  </t>
  </si>
  <si>
    <t xml:space="preserve">Wabasha  </t>
  </si>
  <si>
    <t xml:space="preserve">Wadena  </t>
  </si>
  <si>
    <t xml:space="preserve">Waseca  </t>
  </si>
  <si>
    <t xml:space="preserve">Watonwan  </t>
  </si>
  <si>
    <t xml:space="preserve">Wilkin  </t>
  </si>
  <si>
    <t xml:space="preserve">Winona  </t>
  </si>
  <si>
    <t xml:space="preserve">Yellow Medicine  </t>
  </si>
  <si>
    <t xml:space="preserve">Alcorn  </t>
  </si>
  <si>
    <t xml:space="preserve">Amite  </t>
  </si>
  <si>
    <t xml:space="preserve">Attala  </t>
  </si>
  <si>
    <t xml:space="preserve">Bolivar  </t>
  </si>
  <si>
    <t xml:space="preserve">Coahoma  </t>
  </si>
  <si>
    <t xml:space="preserve">Copiah  </t>
  </si>
  <si>
    <t xml:space="preserve">Desoto  </t>
  </si>
  <si>
    <t xml:space="preserve">Forrest  </t>
  </si>
  <si>
    <t xml:space="preserve">George  </t>
  </si>
  <si>
    <t xml:space="preserve">Grenada  </t>
  </si>
  <si>
    <t xml:space="preserve">Hinds  </t>
  </si>
  <si>
    <t xml:space="preserve">Humphreys  </t>
  </si>
  <si>
    <t xml:space="preserve">Issaquena  </t>
  </si>
  <si>
    <t xml:space="preserve">Itawamba  </t>
  </si>
  <si>
    <t xml:space="preserve">Kemper  </t>
  </si>
  <si>
    <t xml:space="preserve">Leake  </t>
  </si>
  <si>
    <t xml:space="preserve">Leflore  </t>
  </si>
  <si>
    <t xml:space="preserve">Neshoba  </t>
  </si>
  <si>
    <t xml:space="preserve">Noxubee  </t>
  </si>
  <si>
    <t xml:space="preserve">Oktibbeha  </t>
  </si>
  <si>
    <t xml:space="preserve">Panola  </t>
  </si>
  <si>
    <t xml:space="preserve">Pearl River  </t>
  </si>
  <si>
    <t xml:space="preserve">Pontotoc  </t>
  </si>
  <si>
    <t xml:space="preserve">Prentiss  </t>
  </si>
  <si>
    <t xml:space="preserve">Rankin  </t>
  </si>
  <si>
    <t xml:space="preserve">Sharkey  </t>
  </si>
  <si>
    <t xml:space="preserve">Sunflower  </t>
  </si>
  <si>
    <t xml:space="preserve">Tallahatchie  </t>
  </si>
  <si>
    <t xml:space="preserve">Tate  </t>
  </si>
  <si>
    <t xml:space="preserve">Tippah  </t>
  </si>
  <si>
    <t xml:space="preserve">Tishomingo  </t>
  </si>
  <si>
    <t xml:space="preserve">Tunica  </t>
  </si>
  <si>
    <t xml:space="preserve">Walthall  </t>
  </si>
  <si>
    <t xml:space="preserve">Yalobusha  </t>
  </si>
  <si>
    <t xml:space="preserve">Yazoo  </t>
  </si>
  <si>
    <t xml:space="preserve">Andrew  </t>
  </si>
  <si>
    <t xml:space="preserve">Audrain  </t>
  </si>
  <si>
    <t xml:space="preserve">Bates  </t>
  </si>
  <si>
    <t xml:space="preserve">Bollinger  </t>
  </si>
  <si>
    <t xml:space="preserve">Callaway  </t>
  </si>
  <si>
    <t xml:space="preserve">Cape Girardeau  </t>
  </si>
  <si>
    <t xml:space="preserve">Chariton  </t>
  </si>
  <si>
    <t xml:space="preserve">Cole  </t>
  </si>
  <si>
    <t xml:space="preserve">Cooper  </t>
  </si>
  <si>
    <t xml:space="preserve">Dent  </t>
  </si>
  <si>
    <t xml:space="preserve">Dunklin  </t>
  </si>
  <si>
    <t xml:space="preserve">Gasconade  </t>
  </si>
  <si>
    <t xml:space="preserve">Gentry  </t>
  </si>
  <si>
    <t xml:space="preserve">Hickory  </t>
  </si>
  <si>
    <t xml:space="preserve">Holt  </t>
  </si>
  <si>
    <t xml:space="preserve">Howell  </t>
  </si>
  <si>
    <t xml:space="preserve">Laclede  </t>
  </si>
  <si>
    <t xml:space="preserve">Maries  </t>
  </si>
  <si>
    <t xml:space="preserve">Mcdonald  </t>
  </si>
  <si>
    <t xml:space="preserve">Moniteau  </t>
  </si>
  <si>
    <t xml:space="preserve">New Madrid  </t>
  </si>
  <si>
    <t xml:space="preserve">Nodaway  </t>
  </si>
  <si>
    <t xml:space="preserve">Oregon  </t>
  </si>
  <si>
    <t xml:space="preserve">Ozark  </t>
  </si>
  <si>
    <t xml:space="preserve">Pemiscot  </t>
  </si>
  <si>
    <t xml:space="preserve">Pettis  </t>
  </si>
  <si>
    <t xml:space="preserve">Phelps  </t>
  </si>
  <si>
    <t xml:space="preserve">Platte  </t>
  </si>
  <si>
    <t xml:space="preserve">Ralls  </t>
  </si>
  <si>
    <t xml:space="preserve">Ray  </t>
  </si>
  <si>
    <t xml:space="preserve">Reynolds  </t>
  </si>
  <si>
    <t xml:space="preserve">Saint Francois  </t>
  </si>
  <si>
    <t xml:space="preserve">Saint Louis City  </t>
  </si>
  <si>
    <t xml:space="preserve">Sainte Genevieve  </t>
  </si>
  <si>
    <t xml:space="preserve">Scotland  </t>
  </si>
  <si>
    <t xml:space="preserve">Shannon  </t>
  </si>
  <si>
    <t xml:space="preserve">Stoddard  </t>
  </si>
  <si>
    <t xml:space="preserve">Taney  </t>
  </si>
  <si>
    <t xml:space="preserve">Texas  </t>
  </si>
  <si>
    <t xml:space="preserve">Beaverhead  </t>
  </si>
  <si>
    <t xml:space="preserve">Big Horn  </t>
  </si>
  <si>
    <t xml:space="preserve">Broadwater  </t>
  </si>
  <si>
    <t xml:space="preserve">Carbon  </t>
  </si>
  <si>
    <t xml:space="preserve">Cascade  </t>
  </si>
  <si>
    <t xml:space="preserve">Chouteau  </t>
  </si>
  <si>
    <t xml:space="preserve">Daniels  </t>
  </si>
  <si>
    <t xml:space="preserve">Deer Lodge  </t>
  </si>
  <si>
    <t xml:space="preserve">Fallon  </t>
  </si>
  <si>
    <t xml:space="preserve">Fergus  </t>
  </si>
  <si>
    <t xml:space="preserve">Flathead  </t>
  </si>
  <si>
    <t xml:space="preserve">Glacier  </t>
  </si>
  <si>
    <t xml:space="preserve">Golden Valley  </t>
  </si>
  <si>
    <t xml:space="preserve">Granite  </t>
  </si>
  <si>
    <t xml:space="preserve">Hill  </t>
  </si>
  <si>
    <t xml:space="preserve">Judith Basin  </t>
  </si>
  <si>
    <t xml:space="preserve">Lewis And Clark  </t>
  </si>
  <si>
    <t xml:space="preserve">Mccone  </t>
  </si>
  <si>
    <t xml:space="preserve">Meagher  </t>
  </si>
  <si>
    <t xml:space="preserve">Missoula  </t>
  </si>
  <si>
    <t xml:space="preserve">Musselshell  </t>
  </si>
  <si>
    <t xml:space="preserve">Petroleum  </t>
  </si>
  <si>
    <t xml:space="preserve">Pondera  </t>
  </si>
  <si>
    <t xml:space="preserve">Powder River  </t>
  </si>
  <si>
    <t xml:space="preserve">Ravalli  </t>
  </si>
  <si>
    <t xml:space="preserve">Roosevelt  </t>
  </si>
  <si>
    <t xml:space="preserve">Rosebud  </t>
  </si>
  <si>
    <t xml:space="preserve">Sanders  </t>
  </si>
  <si>
    <t xml:space="preserve">Silver Bow  </t>
  </si>
  <si>
    <t xml:space="preserve">Stillwater  </t>
  </si>
  <si>
    <t xml:space="preserve">Sweet Grass  </t>
  </si>
  <si>
    <t xml:space="preserve">Toole  </t>
  </si>
  <si>
    <t xml:space="preserve">Treasure  </t>
  </si>
  <si>
    <t xml:space="preserve">Wheatland  </t>
  </si>
  <si>
    <t xml:space="preserve">Wibaux  </t>
  </si>
  <si>
    <t xml:space="preserve">Yellowstone  </t>
  </si>
  <si>
    <t xml:space="preserve">Antelope  </t>
  </si>
  <si>
    <t xml:space="preserve">Arthur  </t>
  </si>
  <si>
    <t xml:space="preserve">Banner  </t>
  </si>
  <si>
    <t xml:space="preserve">Box Butte  </t>
  </si>
  <si>
    <t xml:space="preserve">Buffalo  </t>
  </si>
  <si>
    <t xml:space="preserve">Burt  </t>
  </si>
  <si>
    <t xml:space="preserve">Cherry  </t>
  </si>
  <si>
    <t xml:space="preserve">Colfax  </t>
  </si>
  <si>
    <t xml:space="preserve">Cuming  </t>
  </si>
  <si>
    <t xml:space="preserve">Dawes  </t>
  </si>
  <si>
    <t xml:space="preserve">Deuel  </t>
  </si>
  <si>
    <t xml:space="preserve">Dixon  </t>
  </si>
  <si>
    <t xml:space="preserve">Dundy  </t>
  </si>
  <si>
    <t xml:space="preserve">Frontier  </t>
  </si>
  <si>
    <t xml:space="preserve">Furnas  </t>
  </si>
  <si>
    <t xml:space="preserve">Gage  </t>
  </si>
  <si>
    <t xml:space="preserve">Garden  </t>
  </si>
  <si>
    <t xml:space="preserve">Gosper  </t>
  </si>
  <si>
    <t xml:space="preserve">Hayes  </t>
  </si>
  <si>
    <t xml:space="preserve">Hitchcock  </t>
  </si>
  <si>
    <t xml:space="preserve">Hooker  </t>
  </si>
  <si>
    <t xml:space="preserve">Kearney  </t>
  </si>
  <si>
    <t xml:space="preserve">Keith  </t>
  </si>
  <si>
    <t xml:space="preserve">Keya Paha  </t>
  </si>
  <si>
    <t xml:space="preserve">Kimball  </t>
  </si>
  <si>
    <t xml:space="preserve">Lancaster  </t>
  </si>
  <si>
    <t xml:space="preserve">Loup  </t>
  </si>
  <si>
    <t xml:space="preserve">Merrick  </t>
  </si>
  <si>
    <t xml:space="preserve">Morrill  </t>
  </si>
  <si>
    <t xml:space="preserve">Nance  </t>
  </si>
  <si>
    <t xml:space="preserve">Nuckolls  </t>
  </si>
  <si>
    <t xml:space="preserve">Otoe  </t>
  </si>
  <si>
    <t xml:space="preserve">Perkins  </t>
  </si>
  <si>
    <t xml:space="preserve">Red Willow  </t>
  </si>
  <si>
    <t xml:space="preserve">Richardson  </t>
  </si>
  <si>
    <t xml:space="preserve">Sarpy  </t>
  </si>
  <si>
    <t xml:space="preserve">Saunders  </t>
  </si>
  <si>
    <t xml:space="preserve">Scotts Bluff  </t>
  </si>
  <si>
    <t xml:space="preserve">Thayer  </t>
  </si>
  <si>
    <t xml:space="preserve">Thurston  </t>
  </si>
  <si>
    <t xml:space="preserve">Carson City  </t>
  </si>
  <si>
    <t xml:space="preserve">Churchill  </t>
  </si>
  <si>
    <t xml:space="preserve">Elko  </t>
  </si>
  <si>
    <t xml:space="preserve">Esmeralda  </t>
  </si>
  <si>
    <t xml:space="preserve">Eureka  </t>
  </si>
  <si>
    <t xml:space="preserve">Lander  </t>
  </si>
  <si>
    <t xml:space="preserve">Nye  </t>
  </si>
  <si>
    <t xml:space="preserve">Pershing  </t>
  </si>
  <si>
    <t xml:space="preserve">Storey  </t>
  </si>
  <si>
    <t xml:space="preserve">Washoe  </t>
  </si>
  <si>
    <t xml:space="preserve">White Pine  </t>
  </si>
  <si>
    <t xml:space="preserve">Belknap  </t>
  </si>
  <si>
    <t xml:space="preserve">Cheshire  </t>
  </si>
  <si>
    <t xml:space="preserve">Coos  </t>
  </si>
  <si>
    <t xml:space="preserve">Grafton  </t>
  </si>
  <si>
    <t xml:space="preserve">Merrimack  </t>
  </si>
  <si>
    <t xml:space="preserve">Rockingham  </t>
  </si>
  <si>
    <t xml:space="preserve">Strafford  </t>
  </si>
  <si>
    <t xml:space="preserve">Atlantic  </t>
  </si>
  <si>
    <t xml:space="preserve">Bergen  </t>
  </si>
  <si>
    <t xml:space="preserve">Burlington  </t>
  </si>
  <si>
    <t xml:space="preserve">Cape May  </t>
  </si>
  <si>
    <t xml:space="preserve">Gloucester  </t>
  </si>
  <si>
    <t xml:space="preserve">Hudson  </t>
  </si>
  <si>
    <t xml:space="preserve">Hunterdon  </t>
  </si>
  <si>
    <t xml:space="preserve">Monmouth  </t>
  </si>
  <si>
    <t xml:space="preserve">Ocean  </t>
  </si>
  <si>
    <t xml:space="preserve">Passaic  </t>
  </si>
  <si>
    <t xml:space="preserve">Salem  </t>
  </si>
  <si>
    <t xml:space="preserve">Bernalillo  </t>
  </si>
  <si>
    <t xml:space="preserve">Catron  </t>
  </si>
  <si>
    <t xml:space="preserve">Chaves  </t>
  </si>
  <si>
    <t xml:space="preserve">Cibola  </t>
  </si>
  <si>
    <t xml:space="preserve">Curry  </t>
  </si>
  <si>
    <t xml:space="preserve">De Baca  </t>
  </si>
  <si>
    <t xml:space="preserve">Dona Ana  </t>
  </si>
  <si>
    <t xml:space="preserve">Eddy  </t>
  </si>
  <si>
    <t xml:space="preserve">Guadalupe  </t>
  </si>
  <si>
    <t xml:space="preserve">Harding  </t>
  </si>
  <si>
    <t xml:space="preserve">Hidalgo  </t>
  </si>
  <si>
    <t xml:space="preserve">Lea  </t>
  </si>
  <si>
    <t xml:space="preserve">Los Alamos  </t>
  </si>
  <si>
    <t xml:space="preserve">Luna  </t>
  </si>
  <si>
    <t xml:space="preserve">Mckinley  </t>
  </si>
  <si>
    <t xml:space="preserve">Mora  </t>
  </si>
  <si>
    <t xml:space="preserve">Quay  </t>
  </si>
  <si>
    <t xml:space="preserve">Rio Arriba  </t>
  </si>
  <si>
    <t xml:space="preserve">Sandoval  </t>
  </si>
  <si>
    <t xml:space="preserve">Santa Fe  </t>
  </si>
  <si>
    <t xml:space="preserve">Socorro  </t>
  </si>
  <si>
    <t xml:space="preserve">Taos  </t>
  </si>
  <si>
    <t xml:space="preserve">Torrance  </t>
  </si>
  <si>
    <t xml:space="preserve">Valencia  </t>
  </si>
  <si>
    <t xml:space="preserve">Albany  </t>
  </si>
  <si>
    <t xml:space="preserve">Bronx  </t>
  </si>
  <si>
    <t xml:space="preserve">Broome  </t>
  </si>
  <si>
    <t xml:space="preserve">Cattaraugus  </t>
  </si>
  <si>
    <t xml:space="preserve">Cayuga  </t>
  </si>
  <si>
    <t xml:space="preserve">Chemung  </t>
  </si>
  <si>
    <t xml:space="preserve">Chenango  </t>
  </si>
  <si>
    <t xml:space="preserve">Cortland  </t>
  </si>
  <si>
    <t xml:space="preserve">Dutchess  </t>
  </si>
  <si>
    <t xml:space="preserve">Erie  </t>
  </si>
  <si>
    <t xml:space="preserve">Herkimer  </t>
  </si>
  <si>
    <t xml:space="preserve">New York  </t>
  </si>
  <si>
    <t xml:space="preserve">Niagara  </t>
  </si>
  <si>
    <t xml:space="preserve">Onondaga  </t>
  </si>
  <si>
    <t xml:space="preserve">Ontario  </t>
  </si>
  <si>
    <t xml:space="preserve">Oswego  </t>
  </si>
  <si>
    <t xml:space="preserve">Queens  </t>
  </si>
  <si>
    <t xml:space="preserve">Rensselaer  </t>
  </si>
  <si>
    <t xml:space="preserve">Rockland  </t>
  </si>
  <si>
    <t xml:space="preserve">Saint Lawrence  </t>
  </si>
  <si>
    <t xml:space="preserve">Saratoga  </t>
  </si>
  <si>
    <t xml:space="preserve">Schenectady  </t>
  </si>
  <si>
    <t xml:space="preserve">Schoharie  </t>
  </si>
  <si>
    <t xml:space="preserve">Seneca  </t>
  </si>
  <si>
    <t xml:space="preserve">Tioga  </t>
  </si>
  <si>
    <t xml:space="preserve">Tompkins  </t>
  </si>
  <si>
    <t xml:space="preserve">Ulster  </t>
  </si>
  <si>
    <t xml:space="preserve">Westchester  </t>
  </si>
  <si>
    <t xml:space="preserve">Wyoming  </t>
  </si>
  <si>
    <t xml:space="preserve">Yates  </t>
  </si>
  <si>
    <t xml:space="preserve">Alamance  </t>
  </si>
  <si>
    <t xml:space="preserve">Alleghany  </t>
  </si>
  <si>
    <t xml:space="preserve">Anson  </t>
  </si>
  <si>
    <t xml:space="preserve">Ashe  </t>
  </si>
  <si>
    <t xml:space="preserve">Avery  </t>
  </si>
  <si>
    <t xml:space="preserve">Beaufort  </t>
  </si>
  <si>
    <t xml:space="preserve">Bertie  </t>
  </si>
  <si>
    <t xml:space="preserve">Bladen  </t>
  </si>
  <si>
    <t xml:space="preserve">Brunswick  </t>
  </si>
  <si>
    <t xml:space="preserve">Buncombe  </t>
  </si>
  <si>
    <t xml:space="preserve">Cabarrus  </t>
  </si>
  <si>
    <t xml:space="preserve">Carteret  </t>
  </si>
  <si>
    <t xml:space="preserve">Caswell  </t>
  </si>
  <si>
    <t xml:space="preserve">Catawba  </t>
  </si>
  <si>
    <t xml:space="preserve">Chowan  </t>
  </si>
  <si>
    <t xml:space="preserve">Columbus  </t>
  </si>
  <si>
    <t xml:space="preserve">Craven  </t>
  </si>
  <si>
    <t xml:space="preserve">Currituck  </t>
  </si>
  <si>
    <t xml:space="preserve">Dare  </t>
  </si>
  <si>
    <t xml:space="preserve">Davidson  </t>
  </si>
  <si>
    <t xml:space="preserve">Davie  </t>
  </si>
  <si>
    <t xml:space="preserve">Duplin  </t>
  </si>
  <si>
    <t xml:space="preserve">Durham  </t>
  </si>
  <si>
    <t xml:space="preserve">Edgecombe  </t>
  </si>
  <si>
    <t xml:space="preserve">Gaston  </t>
  </si>
  <si>
    <t xml:space="preserve">Gates  </t>
  </si>
  <si>
    <t xml:space="preserve">Granville  </t>
  </si>
  <si>
    <t xml:space="preserve">Guilford  </t>
  </si>
  <si>
    <t xml:space="preserve">Halifax  </t>
  </si>
  <si>
    <t xml:space="preserve">Harnett  </t>
  </si>
  <si>
    <t xml:space="preserve">Haywood  </t>
  </si>
  <si>
    <t xml:space="preserve">Hertford  </t>
  </si>
  <si>
    <t xml:space="preserve">Hoke  </t>
  </si>
  <si>
    <t xml:space="preserve">Hyde  </t>
  </si>
  <si>
    <t xml:space="preserve">Iredell  </t>
  </si>
  <si>
    <t xml:space="preserve">Johnston  </t>
  </si>
  <si>
    <t xml:space="preserve">Lenoir  </t>
  </si>
  <si>
    <t xml:space="preserve">Mcdowell  </t>
  </si>
  <si>
    <t xml:space="preserve">Mecklenburg  </t>
  </si>
  <si>
    <t xml:space="preserve">Moore  </t>
  </si>
  <si>
    <t xml:space="preserve">Nash  </t>
  </si>
  <si>
    <t xml:space="preserve">New Hanover  </t>
  </si>
  <si>
    <t xml:space="preserve">Northampton  </t>
  </si>
  <si>
    <t xml:space="preserve">Onslow  </t>
  </si>
  <si>
    <t xml:space="preserve">Pamlico  </t>
  </si>
  <si>
    <t xml:space="preserve">Pasquotank  </t>
  </si>
  <si>
    <t xml:space="preserve">Pender  </t>
  </si>
  <si>
    <t xml:space="preserve">Perquimans  </t>
  </si>
  <si>
    <t xml:space="preserve">Person  </t>
  </si>
  <si>
    <t xml:space="preserve">Pitt  </t>
  </si>
  <si>
    <t xml:space="preserve">Robeson  </t>
  </si>
  <si>
    <t xml:space="preserve">Rutherford  </t>
  </si>
  <si>
    <t xml:space="preserve">Sampson  </t>
  </si>
  <si>
    <t xml:space="preserve">Stanly  </t>
  </si>
  <si>
    <t xml:space="preserve">Stokes  </t>
  </si>
  <si>
    <t xml:space="preserve">Surry  </t>
  </si>
  <si>
    <t xml:space="preserve">Swain  </t>
  </si>
  <si>
    <t xml:space="preserve">Transylvania  </t>
  </si>
  <si>
    <t xml:space="preserve">Tyrrell  </t>
  </si>
  <si>
    <t xml:space="preserve">Vance  </t>
  </si>
  <si>
    <t xml:space="preserve">Wake  </t>
  </si>
  <si>
    <t xml:space="preserve">Watauga  </t>
  </si>
  <si>
    <t xml:space="preserve">Yadkin  </t>
  </si>
  <si>
    <t xml:space="preserve">Yancey  </t>
  </si>
  <si>
    <t xml:space="preserve">Barnes  </t>
  </si>
  <si>
    <t xml:space="preserve">Benson  </t>
  </si>
  <si>
    <t xml:space="preserve">Billings  </t>
  </si>
  <si>
    <t xml:space="preserve">Bottineau  </t>
  </si>
  <si>
    <t xml:space="preserve">Bowman  </t>
  </si>
  <si>
    <t xml:space="preserve">Burleigh  </t>
  </si>
  <si>
    <t xml:space="preserve">Cavalier  </t>
  </si>
  <si>
    <t xml:space="preserve">Dickey  </t>
  </si>
  <si>
    <t xml:space="preserve">Divide  </t>
  </si>
  <si>
    <t xml:space="preserve">Dunn  </t>
  </si>
  <si>
    <t xml:space="preserve">Emmons  </t>
  </si>
  <si>
    <t xml:space="preserve">Foster  </t>
  </si>
  <si>
    <t xml:space="preserve">Grand Forks  </t>
  </si>
  <si>
    <t xml:space="preserve">Griggs  </t>
  </si>
  <si>
    <t xml:space="preserve">Hettinger  </t>
  </si>
  <si>
    <t xml:space="preserve">Kidder  </t>
  </si>
  <si>
    <t xml:space="preserve">Lamoure  </t>
  </si>
  <si>
    <t xml:space="preserve">Mckenzie  </t>
  </si>
  <si>
    <t xml:space="preserve">Mountrail  </t>
  </si>
  <si>
    <t xml:space="preserve">Oliver  </t>
  </si>
  <si>
    <t xml:space="preserve">Pembina  </t>
  </si>
  <si>
    <t xml:space="preserve">Ransom  </t>
  </si>
  <si>
    <t xml:space="preserve">Rolette  </t>
  </si>
  <si>
    <t xml:space="preserve">Sargent  </t>
  </si>
  <si>
    <t xml:space="preserve">Slope  </t>
  </si>
  <si>
    <t xml:space="preserve">Stutsman  </t>
  </si>
  <si>
    <t xml:space="preserve">Towner  </t>
  </si>
  <si>
    <t xml:space="preserve">Traill  </t>
  </si>
  <si>
    <t xml:space="preserve">Walsh  </t>
  </si>
  <si>
    <t xml:space="preserve">Ward  </t>
  </si>
  <si>
    <t xml:space="preserve">Williams  </t>
  </si>
  <si>
    <t xml:space="preserve">Northern Mariana Islands  </t>
  </si>
  <si>
    <t xml:space="preserve">Ashland  </t>
  </si>
  <si>
    <t xml:space="preserve">Ashtabula  </t>
  </si>
  <si>
    <t xml:space="preserve">Athens  </t>
  </si>
  <si>
    <t xml:space="preserve">Auglaize  </t>
  </si>
  <si>
    <t xml:space="preserve">Belmont  </t>
  </si>
  <si>
    <t xml:space="preserve">Clermont  </t>
  </si>
  <si>
    <t xml:space="preserve">Columbiana  </t>
  </si>
  <si>
    <t xml:space="preserve">Coshocton  </t>
  </si>
  <si>
    <t xml:space="preserve">Cuyahoga  </t>
  </si>
  <si>
    <t xml:space="preserve">Darke  </t>
  </si>
  <si>
    <t xml:space="preserve">Defiance  </t>
  </si>
  <si>
    <t xml:space="preserve">Gallia  </t>
  </si>
  <si>
    <t xml:space="preserve">Geauga  </t>
  </si>
  <si>
    <t xml:space="preserve">Guernsey  </t>
  </si>
  <si>
    <t xml:space="preserve">Highland  </t>
  </si>
  <si>
    <t xml:space="preserve">Hocking  </t>
  </si>
  <si>
    <t xml:space="preserve">Licking  </t>
  </si>
  <si>
    <t xml:space="preserve">Lorain  </t>
  </si>
  <si>
    <t xml:space="preserve">Mahoning  </t>
  </si>
  <si>
    <t xml:space="preserve">Medina  </t>
  </si>
  <si>
    <t xml:space="preserve">Meigs  </t>
  </si>
  <si>
    <t xml:space="preserve">Morrow  </t>
  </si>
  <si>
    <t xml:space="preserve">Muskingum  </t>
  </si>
  <si>
    <t xml:space="preserve">Pickaway  </t>
  </si>
  <si>
    <t xml:space="preserve">Portage  </t>
  </si>
  <si>
    <t xml:space="preserve">Preble  </t>
  </si>
  <si>
    <t xml:space="preserve">Ross  </t>
  </si>
  <si>
    <t xml:space="preserve">Sandusky  </t>
  </si>
  <si>
    <t xml:space="preserve">Scioto  </t>
  </si>
  <si>
    <t xml:space="preserve">Trumbull  </t>
  </si>
  <si>
    <t xml:space="preserve">Tuscarawas  </t>
  </si>
  <si>
    <t xml:space="preserve">Van Wert  </t>
  </si>
  <si>
    <t xml:space="preserve">Vinton  </t>
  </si>
  <si>
    <t xml:space="preserve">Wood  </t>
  </si>
  <si>
    <t xml:space="preserve">Wyandot  </t>
  </si>
  <si>
    <t xml:space="preserve">Alfalfa  </t>
  </si>
  <si>
    <t xml:space="preserve">Atoka  </t>
  </si>
  <si>
    <t xml:space="preserve">Beaver  </t>
  </si>
  <si>
    <t xml:space="preserve">Beckham  </t>
  </si>
  <si>
    <t xml:space="preserve">Canadian  </t>
  </si>
  <si>
    <t xml:space="preserve">Cimarron  </t>
  </si>
  <si>
    <t xml:space="preserve">Coal  </t>
  </si>
  <si>
    <t xml:space="preserve">Cotton  </t>
  </si>
  <si>
    <t xml:space="preserve">Craig  </t>
  </si>
  <si>
    <t xml:space="preserve">Creek  </t>
  </si>
  <si>
    <t xml:space="preserve">Dewey  </t>
  </si>
  <si>
    <t xml:space="preserve">Garvin  </t>
  </si>
  <si>
    <t xml:space="preserve">Greer  </t>
  </si>
  <si>
    <t xml:space="preserve">Harmon  </t>
  </si>
  <si>
    <t xml:space="preserve">Hughes  </t>
  </si>
  <si>
    <t xml:space="preserve">Kay  </t>
  </si>
  <si>
    <t xml:space="preserve">Kingfisher  </t>
  </si>
  <si>
    <t xml:space="preserve">Latimer  </t>
  </si>
  <si>
    <t xml:space="preserve">Le Flore  </t>
  </si>
  <si>
    <t xml:space="preserve">Love  </t>
  </si>
  <si>
    <t xml:space="preserve">Major  </t>
  </si>
  <si>
    <t xml:space="preserve">Mayes  </t>
  </si>
  <si>
    <t xml:space="preserve">Mcclain  </t>
  </si>
  <si>
    <t xml:space="preserve">Mccurtain  </t>
  </si>
  <si>
    <t xml:space="preserve">Muskogee  </t>
  </si>
  <si>
    <t xml:space="preserve">Nowata  </t>
  </si>
  <si>
    <t xml:space="preserve">Okfuskee  </t>
  </si>
  <si>
    <t xml:space="preserve">Oklahoma  </t>
  </si>
  <si>
    <t xml:space="preserve">Okmulgee  </t>
  </si>
  <si>
    <t xml:space="preserve">Payne  </t>
  </si>
  <si>
    <t xml:space="preserve">Pittsburg  </t>
  </si>
  <si>
    <t xml:space="preserve">Pushmataha  </t>
  </si>
  <si>
    <t xml:space="preserve">Roger Mills  </t>
  </si>
  <si>
    <t xml:space="preserve">Rogers  </t>
  </si>
  <si>
    <t xml:space="preserve">Sequoyah  </t>
  </si>
  <si>
    <t xml:space="preserve">Tillman  </t>
  </si>
  <si>
    <t xml:space="preserve">Tulsa  </t>
  </si>
  <si>
    <t xml:space="preserve">Wagoner  </t>
  </si>
  <si>
    <t xml:space="preserve">Washita  </t>
  </si>
  <si>
    <t xml:space="preserve">Woods  </t>
  </si>
  <si>
    <t xml:space="preserve">Woodward  </t>
  </si>
  <si>
    <t xml:space="preserve">Clackamas  </t>
  </si>
  <si>
    <t xml:space="preserve">Clatsop  </t>
  </si>
  <si>
    <t xml:space="preserve">Crook  </t>
  </si>
  <si>
    <t xml:space="preserve">Deschutes  </t>
  </si>
  <si>
    <t xml:space="preserve">Gilliam  </t>
  </si>
  <si>
    <t xml:space="preserve">Harney  </t>
  </si>
  <si>
    <t xml:space="preserve">Hood River  </t>
  </si>
  <si>
    <t xml:space="preserve">Josephine  </t>
  </si>
  <si>
    <t xml:space="preserve">Klamath  </t>
  </si>
  <si>
    <t xml:space="preserve">Malheur  </t>
  </si>
  <si>
    <t xml:space="preserve">Multnomah  </t>
  </si>
  <si>
    <t xml:space="preserve">Tillamook  </t>
  </si>
  <si>
    <t xml:space="preserve">Umatilla  </t>
  </si>
  <si>
    <t xml:space="preserve">Wallowa  </t>
  </si>
  <si>
    <t xml:space="preserve">Wasco  </t>
  </si>
  <si>
    <t xml:space="preserve">Yamhill  </t>
  </si>
  <si>
    <t xml:space="preserve">Allegheny  </t>
  </si>
  <si>
    <t xml:space="preserve">Armstrong  </t>
  </si>
  <si>
    <t xml:space="preserve">Bedford  </t>
  </si>
  <si>
    <t xml:space="preserve">Berks  </t>
  </si>
  <si>
    <t xml:space="preserve">Blair  </t>
  </si>
  <si>
    <t xml:space="preserve">Bucks  </t>
  </si>
  <si>
    <t xml:space="preserve">Cambria  </t>
  </si>
  <si>
    <t xml:space="preserve">Centre  </t>
  </si>
  <si>
    <t xml:space="preserve">Chester  </t>
  </si>
  <si>
    <t xml:space="preserve">Clarion  </t>
  </si>
  <si>
    <t xml:space="preserve">Clearfield  </t>
  </si>
  <si>
    <t xml:space="preserve">Dauphin  </t>
  </si>
  <si>
    <t xml:space="preserve">Forest  </t>
  </si>
  <si>
    <t xml:space="preserve">Huntingdon  </t>
  </si>
  <si>
    <t xml:space="preserve">Indiana  </t>
  </si>
  <si>
    <t xml:space="preserve">Juniata  </t>
  </si>
  <si>
    <t xml:space="preserve">Lackawanna  </t>
  </si>
  <si>
    <t xml:space="preserve">Lebanon  </t>
  </si>
  <si>
    <t xml:space="preserve">Lehigh  </t>
  </si>
  <si>
    <t xml:space="preserve">Luzerne  </t>
  </si>
  <si>
    <t xml:space="preserve">Lycoming  </t>
  </si>
  <si>
    <t xml:space="preserve">Mckean  </t>
  </si>
  <si>
    <t xml:space="preserve">Mifflin  </t>
  </si>
  <si>
    <t xml:space="preserve">Montour  </t>
  </si>
  <si>
    <t xml:space="preserve">Northumberland  </t>
  </si>
  <si>
    <t xml:space="preserve">Philadelphia  </t>
  </si>
  <si>
    <t xml:space="preserve">Potter  </t>
  </si>
  <si>
    <t xml:space="preserve">Schuylkill  </t>
  </si>
  <si>
    <t xml:space="preserve">Snyder  </t>
  </si>
  <si>
    <t xml:space="preserve">Susquehanna  </t>
  </si>
  <si>
    <t xml:space="preserve">Venango  </t>
  </si>
  <si>
    <t xml:space="preserve">Westmoreland  </t>
  </si>
  <si>
    <t xml:space="preserve">Puerto Rico  </t>
  </si>
  <si>
    <t xml:space="preserve">Newport  </t>
  </si>
  <si>
    <t xml:space="preserve">Providence  </t>
  </si>
  <si>
    <t xml:space="preserve">Abbeville  </t>
  </si>
  <si>
    <t xml:space="preserve">Aiken  </t>
  </si>
  <si>
    <t xml:space="preserve">Allendale  </t>
  </si>
  <si>
    <t xml:space="preserve">Bamberg  </t>
  </si>
  <si>
    <t xml:space="preserve">Barnwell  </t>
  </si>
  <si>
    <t xml:space="preserve">Berkeley  </t>
  </si>
  <si>
    <t xml:space="preserve">Charleston  </t>
  </si>
  <si>
    <t xml:space="preserve">Chesterfield  </t>
  </si>
  <si>
    <t xml:space="preserve">Clarendon  </t>
  </si>
  <si>
    <t xml:space="preserve">Colleton  </t>
  </si>
  <si>
    <t xml:space="preserve">Darlington  </t>
  </si>
  <si>
    <t xml:space="preserve">Dillon  </t>
  </si>
  <si>
    <t xml:space="preserve">Edgefield  </t>
  </si>
  <si>
    <t xml:space="preserve">Florence  </t>
  </si>
  <si>
    <t xml:space="preserve">Georgetown  </t>
  </si>
  <si>
    <t xml:space="preserve">Greenville  </t>
  </si>
  <si>
    <t xml:space="preserve">Hampton  </t>
  </si>
  <si>
    <t xml:space="preserve">Horry  </t>
  </si>
  <si>
    <t xml:space="preserve">Kershaw  </t>
  </si>
  <si>
    <t xml:space="preserve">Lexington  </t>
  </si>
  <si>
    <t xml:space="preserve">Marlboro  </t>
  </si>
  <si>
    <t xml:space="preserve">Mccormick  </t>
  </si>
  <si>
    <t xml:space="preserve">Newberry  </t>
  </si>
  <si>
    <t xml:space="preserve">Orangeburg  </t>
  </si>
  <si>
    <t xml:space="preserve">Saluda  </t>
  </si>
  <si>
    <t xml:space="preserve">Spartanburg  </t>
  </si>
  <si>
    <t xml:space="preserve">Williamsburg  </t>
  </si>
  <si>
    <t xml:space="preserve">Aurora  </t>
  </si>
  <si>
    <t xml:space="preserve">Beadle  </t>
  </si>
  <si>
    <t xml:space="preserve">Bennett  </t>
  </si>
  <si>
    <t xml:space="preserve">Bon Homme  </t>
  </si>
  <si>
    <t xml:space="preserve">Brookings  </t>
  </si>
  <si>
    <t xml:space="preserve">Brule  </t>
  </si>
  <si>
    <t xml:space="preserve">Charles Mix  </t>
  </si>
  <si>
    <t xml:space="preserve">Codington  </t>
  </si>
  <si>
    <t xml:space="preserve">Corson  </t>
  </si>
  <si>
    <t xml:space="preserve">Davison  </t>
  </si>
  <si>
    <t xml:space="preserve">Day  </t>
  </si>
  <si>
    <t xml:space="preserve">Edmunds  </t>
  </si>
  <si>
    <t xml:space="preserve">Fall River  </t>
  </si>
  <si>
    <t xml:space="preserve">Faulk  </t>
  </si>
  <si>
    <t xml:space="preserve">Gregory  </t>
  </si>
  <si>
    <t xml:space="preserve">Haakon  </t>
  </si>
  <si>
    <t xml:space="preserve">Hamlin  </t>
  </si>
  <si>
    <t xml:space="preserve">Hand  </t>
  </si>
  <si>
    <t xml:space="preserve">Hanson  </t>
  </si>
  <si>
    <t xml:space="preserve">Hutchinson  </t>
  </si>
  <si>
    <t xml:space="preserve">Jerauld  </t>
  </si>
  <si>
    <t xml:space="preserve">Kingsbury  </t>
  </si>
  <si>
    <t xml:space="preserve">Lyman  </t>
  </si>
  <si>
    <t xml:space="preserve">Mccook  </t>
  </si>
  <si>
    <t xml:space="preserve">Mellette  </t>
  </si>
  <si>
    <t xml:space="preserve">Miner  </t>
  </si>
  <si>
    <t xml:space="preserve">Minnehaha  </t>
  </si>
  <si>
    <t xml:space="preserve">Moody  </t>
  </si>
  <si>
    <t xml:space="preserve">Roberts  </t>
  </si>
  <si>
    <t xml:space="preserve">Sanborn  </t>
  </si>
  <si>
    <t xml:space="preserve">Spink  </t>
  </si>
  <si>
    <t xml:space="preserve">Stanley  </t>
  </si>
  <si>
    <t xml:space="preserve">Sully  </t>
  </si>
  <si>
    <t xml:space="preserve">Tripp  </t>
  </si>
  <si>
    <t xml:space="preserve">Walworth  </t>
  </si>
  <si>
    <t xml:space="preserve">Yankton  </t>
  </si>
  <si>
    <t xml:space="preserve">Ziebach  </t>
  </si>
  <si>
    <t xml:space="preserve">Bledsoe  </t>
  </si>
  <si>
    <t xml:space="preserve">Cannon  </t>
  </si>
  <si>
    <t xml:space="preserve">Cheatham  </t>
  </si>
  <si>
    <t xml:space="preserve">Cocke  </t>
  </si>
  <si>
    <t xml:space="preserve">Crockett  </t>
  </si>
  <si>
    <t xml:space="preserve">Dickson  </t>
  </si>
  <si>
    <t xml:space="preserve">Dyer  </t>
  </si>
  <si>
    <t xml:space="preserve">Fentress  </t>
  </si>
  <si>
    <t xml:space="preserve">Giles  </t>
  </si>
  <si>
    <t xml:space="preserve">Grainger  </t>
  </si>
  <si>
    <t xml:space="preserve">Hamblen  </t>
  </si>
  <si>
    <t xml:space="preserve">Hardeman  </t>
  </si>
  <si>
    <t xml:space="preserve">Hawkins  </t>
  </si>
  <si>
    <t xml:space="preserve">Loudon  </t>
  </si>
  <si>
    <t xml:space="preserve">Maury  </t>
  </si>
  <si>
    <t xml:space="preserve">Mcminn  </t>
  </si>
  <si>
    <t xml:space="preserve">Mcnairy  </t>
  </si>
  <si>
    <t xml:space="preserve">Obion  </t>
  </si>
  <si>
    <t xml:space="preserve">Overton  </t>
  </si>
  <si>
    <t xml:space="preserve">Pickett  </t>
  </si>
  <si>
    <t xml:space="preserve">Rhea  </t>
  </si>
  <si>
    <t xml:space="preserve">Roane  </t>
  </si>
  <si>
    <t xml:space="preserve">Sequatchie  </t>
  </si>
  <si>
    <t xml:space="preserve">Trousdale  </t>
  </si>
  <si>
    <t xml:space="preserve">Unicoi  </t>
  </si>
  <si>
    <t xml:space="preserve">Weakley  </t>
  </si>
  <si>
    <t xml:space="preserve">Andrews  </t>
  </si>
  <si>
    <t xml:space="preserve">Angelina  </t>
  </si>
  <si>
    <t xml:space="preserve">Aransas  </t>
  </si>
  <si>
    <t xml:space="preserve">Archer  </t>
  </si>
  <si>
    <t xml:space="preserve">Atascosa  </t>
  </si>
  <si>
    <t xml:space="preserve">Austin  </t>
  </si>
  <si>
    <t xml:space="preserve">Bailey  </t>
  </si>
  <si>
    <t xml:space="preserve">Bandera  </t>
  </si>
  <si>
    <t xml:space="preserve">Bastrop  </t>
  </si>
  <si>
    <t xml:space="preserve">Baylor  </t>
  </si>
  <si>
    <t xml:space="preserve">Bee  </t>
  </si>
  <si>
    <t xml:space="preserve">Bexar  </t>
  </si>
  <si>
    <t xml:space="preserve">Blanco  </t>
  </si>
  <si>
    <t xml:space="preserve">Borden  </t>
  </si>
  <si>
    <t xml:space="preserve">Bosque  </t>
  </si>
  <si>
    <t xml:space="preserve">Bowie  </t>
  </si>
  <si>
    <t xml:space="preserve">Brazoria  </t>
  </si>
  <si>
    <t xml:space="preserve">Brazos  </t>
  </si>
  <si>
    <t xml:space="preserve">Brewster  </t>
  </si>
  <si>
    <t xml:space="preserve">Briscoe  </t>
  </si>
  <si>
    <t xml:space="preserve">Burleson  </t>
  </si>
  <si>
    <t xml:space="preserve">Burnet  </t>
  </si>
  <si>
    <t xml:space="preserve">Callahan  </t>
  </si>
  <si>
    <t xml:space="preserve">Camp  </t>
  </si>
  <si>
    <t xml:space="preserve">Carson  </t>
  </si>
  <si>
    <t xml:space="preserve">Castro  </t>
  </si>
  <si>
    <t xml:space="preserve">Childress  </t>
  </si>
  <si>
    <t xml:space="preserve">Cochran  </t>
  </si>
  <si>
    <t xml:space="preserve">Coke  </t>
  </si>
  <si>
    <t xml:space="preserve">Coleman  </t>
  </si>
  <si>
    <t xml:space="preserve">Collin  </t>
  </si>
  <si>
    <t xml:space="preserve">Collingsworth  </t>
  </si>
  <si>
    <t xml:space="preserve">Colorado  </t>
  </si>
  <si>
    <t xml:space="preserve">Comal  </t>
  </si>
  <si>
    <t xml:space="preserve">Concho  </t>
  </si>
  <si>
    <t xml:space="preserve">Cooke  </t>
  </si>
  <si>
    <t xml:space="preserve">Coryell  </t>
  </si>
  <si>
    <t xml:space="preserve">Cottle  </t>
  </si>
  <si>
    <t xml:space="preserve">Crane  </t>
  </si>
  <si>
    <t xml:space="preserve">Crosby  </t>
  </si>
  <si>
    <t xml:space="preserve">Culberson  </t>
  </si>
  <si>
    <t xml:space="preserve">Dallam  </t>
  </si>
  <si>
    <t xml:space="preserve">De Witt  </t>
  </si>
  <si>
    <t xml:space="preserve">Deaf Smith  </t>
  </si>
  <si>
    <t xml:space="preserve">Denton  </t>
  </si>
  <si>
    <t xml:space="preserve">Dickens  </t>
  </si>
  <si>
    <t xml:space="preserve">Dimmit  </t>
  </si>
  <si>
    <t xml:space="preserve">Donley  </t>
  </si>
  <si>
    <t xml:space="preserve">Eastland  </t>
  </si>
  <si>
    <t xml:space="preserve">Ector  </t>
  </si>
  <si>
    <t xml:space="preserve">Erath  </t>
  </si>
  <si>
    <t xml:space="preserve">Falls  </t>
  </si>
  <si>
    <t xml:space="preserve">Fisher  </t>
  </si>
  <si>
    <t xml:space="preserve">Foard  </t>
  </si>
  <si>
    <t xml:space="preserve">Fort Bend  </t>
  </si>
  <si>
    <t xml:space="preserve">Freestone  </t>
  </si>
  <si>
    <t xml:space="preserve">Frio  </t>
  </si>
  <si>
    <t xml:space="preserve">Gaines  </t>
  </si>
  <si>
    <t xml:space="preserve">Galveston  </t>
  </si>
  <si>
    <t xml:space="preserve">Garza  </t>
  </si>
  <si>
    <t xml:space="preserve">Gillespie  </t>
  </si>
  <si>
    <t xml:space="preserve">Glasscock  </t>
  </si>
  <si>
    <t xml:space="preserve">Goliad  </t>
  </si>
  <si>
    <t xml:space="preserve">Gonzales  </t>
  </si>
  <si>
    <t xml:space="preserve">Gregg  </t>
  </si>
  <si>
    <t xml:space="preserve">Grimes  </t>
  </si>
  <si>
    <t xml:space="preserve">Hansford  </t>
  </si>
  <si>
    <t xml:space="preserve">Hartley  </t>
  </si>
  <si>
    <t xml:space="preserve">Hays  </t>
  </si>
  <si>
    <t xml:space="preserve">Hemphill  </t>
  </si>
  <si>
    <t xml:space="preserve">Hockley  </t>
  </si>
  <si>
    <t xml:space="preserve">Hood  </t>
  </si>
  <si>
    <t xml:space="preserve">Hudspeth  </t>
  </si>
  <si>
    <t xml:space="preserve">Hunt  </t>
  </si>
  <si>
    <t xml:space="preserve">Irion  </t>
  </si>
  <si>
    <t xml:space="preserve">Jack  </t>
  </si>
  <si>
    <t xml:space="preserve">Jim Hogg  </t>
  </si>
  <si>
    <t xml:space="preserve">Jim Wells  </t>
  </si>
  <si>
    <t xml:space="preserve">Karnes  </t>
  </si>
  <si>
    <t xml:space="preserve">Kaufman  </t>
  </si>
  <si>
    <t xml:space="preserve">Kenedy  </t>
  </si>
  <si>
    <t xml:space="preserve">Kerr  </t>
  </si>
  <si>
    <t xml:space="preserve">Kimble  </t>
  </si>
  <si>
    <t xml:space="preserve">King  </t>
  </si>
  <si>
    <t xml:space="preserve">Kinney  </t>
  </si>
  <si>
    <t xml:space="preserve">Kleberg  </t>
  </si>
  <si>
    <t xml:space="preserve">Lamb  </t>
  </si>
  <si>
    <t xml:space="preserve">Lampasas  </t>
  </si>
  <si>
    <t xml:space="preserve">Lavaca  </t>
  </si>
  <si>
    <t xml:space="preserve">Lipscomb  </t>
  </si>
  <si>
    <t xml:space="preserve">Live Oak  </t>
  </si>
  <si>
    <t xml:space="preserve">Llano  </t>
  </si>
  <si>
    <t xml:space="preserve">Loving  </t>
  </si>
  <si>
    <t xml:space="preserve">Lubbock  </t>
  </si>
  <si>
    <t xml:space="preserve">Lynn  </t>
  </si>
  <si>
    <t xml:space="preserve">Matagorda  </t>
  </si>
  <si>
    <t xml:space="preserve">Maverick  </t>
  </si>
  <si>
    <t xml:space="preserve">Mcculloch  </t>
  </si>
  <si>
    <t xml:space="preserve">Mclennan  </t>
  </si>
  <si>
    <t xml:space="preserve">Mcmullen  </t>
  </si>
  <si>
    <t xml:space="preserve">Milam  </t>
  </si>
  <si>
    <t xml:space="preserve">Montague  </t>
  </si>
  <si>
    <t xml:space="preserve">Motley  </t>
  </si>
  <si>
    <t xml:space="preserve">Nacogdoches  </t>
  </si>
  <si>
    <t xml:space="preserve">Navarro  </t>
  </si>
  <si>
    <t xml:space="preserve">Nolan  </t>
  </si>
  <si>
    <t xml:space="preserve">Nueces  </t>
  </si>
  <si>
    <t xml:space="preserve">Ochiltree  </t>
  </si>
  <si>
    <t xml:space="preserve">Palo Pinto  </t>
  </si>
  <si>
    <t xml:space="preserve">Parker  </t>
  </si>
  <si>
    <t xml:space="preserve">Parmer  </t>
  </si>
  <si>
    <t xml:space="preserve">Pecos  </t>
  </si>
  <si>
    <t xml:space="preserve">Presidio  </t>
  </si>
  <si>
    <t xml:space="preserve">Rains  </t>
  </si>
  <si>
    <t xml:space="preserve">Randall  </t>
  </si>
  <si>
    <t xml:space="preserve">Reagan  </t>
  </si>
  <si>
    <t xml:space="preserve">Real  </t>
  </si>
  <si>
    <t xml:space="preserve">Reeves  </t>
  </si>
  <si>
    <t xml:space="preserve">Refugio  </t>
  </si>
  <si>
    <t xml:space="preserve">Rockwall  </t>
  </si>
  <si>
    <t xml:space="preserve">Runnels  </t>
  </si>
  <si>
    <t xml:space="preserve">Rusk  </t>
  </si>
  <si>
    <t xml:space="preserve">San Augustine  </t>
  </si>
  <si>
    <t xml:space="preserve">San Jacinto  </t>
  </si>
  <si>
    <t xml:space="preserve">San Patricio  </t>
  </si>
  <si>
    <t xml:space="preserve">San Saba  </t>
  </si>
  <si>
    <t xml:space="preserve">Schleicher  </t>
  </si>
  <si>
    <t xml:space="preserve">Scurry  </t>
  </si>
  <si>
    <t xml:space="preserve">Shackelford  </t>
  </si>
  <si>
    <t xml:space="preserve">Somervell  </t>
  </si>
  <si>
    <t xml:space="preserve">Starr  </t>
  </si>
  <si>
    <t xml:space="preserve">Sterling  </t>
  </si>
  <si>
    <t xml:space="preserve">Stonewall  </t>
  </si>
  <si>
    <t xml:space="preserve">Sutton  </t>
  </si>
  <si>
    <t xml:space="preserve">Swisher  </t>
  </si>
  <si>
    <t xml:space="preserve">Tarrant  </t>
  </si>
  <si>
    <t xml:space="preserve">Terry  </t>
  </si>
  <si>
    <t xml:space="preserve">Throckmorton  </t>
  </si>
  <si>
    <t xml:space="preserve">Titus  </t>
  </si>
  <si>
    <t xml:space="preserve">Tom Green  </t>
  </si>
  <si>
    <t xml:space="preserve">Travis  </t>
  </si>
  <si>
    <t xml:space="preserve">Tyler  </t>
  </si>
  <si>
    <t xml:space="preserve">Upshur  </t>
  </si>
  <si>
    <t xml:space="preserve">Upton  </t>
  </si>
  <si>
    <t xml:space="preserve">Uvalde  </t>
  </si>
  <si>
    <t xml:space="preserve">Val Verde  </t>
  </si>
  <si>
    <t xml:space="preserve">Van Zandt  </t>
  </si>
  <si>
    <t xml:space="preserve">Victoria  </t>
  </si>
  <si>
    <t xml:space="preserve">Waller  </t>
  </si>
  <si>
    <t xml:space="preserve">Webb  </t>
  </si>
  <si>
    <t xml:space="preserve">Wharton  </t>
  </si>
  <si>
    <t xml:space="preserve">Wilbarger  </t>
  </si>
  <si>
    <t xml:space="preserve">Willacy  </t>
  </si>
  <si>
    <t xml:space="preserve">Winkler  </t>
  </si>
  <si>
    <t xml:space="preserve">Wise  </t>
  </si>
  <si>
    <t xml:space="preserve">Yoakum  </t>
  </si>
  <si>
    <t xml:space="preserve">Young  </t>
  </si>
  <si>
    <t xml:space="preserve">Zapata  </t>
  </si>
  <si>
    <t xml:space="preserve">Zavala  </t>
  </si>
  <si>
    <t xml:space="preserve">Box Elder  </t>
  </si>
  <si>
    <t xml:space="preserve">Cache  </t>
  </si>
  <si>
    <t xml:space="preserve">Daggett  </t>
  </si>
  <si>
    <t xml:space="preserve">Duchesne  </t>
  </si>
  <si>
    <t xml:space="preserve">Emery  </t>
  </si>
  <si>
    <t xml:space="preserve">Juab  </t>
  </si>
  <si>
    <t xml:space="preserve">Millard  </t>
  </si>
  <si>
    <t xml:space="preserve">Piute  </t>
  </si>
  <si>
    <t xml:space="preserve">Rich  </t>
  </si>
  <si>
    <t xml:space="preserve">Salt Lake  </t>
  </si>
  <si>
    <t xml:space="preserve">Sanpete  </t>
  </si>
  <si>
    <t xml:space="preserve">Tooele  </t>
  </si>
  <si>
    <t xml:space="preserve">Uintah  </t>
  </si>
  <si>
    <t xml:space="preserve">Utah  </t>
  </si>
  <si>
    <t xml:space="preserve">Wasatch  </t>
  </si>
  <si>
    <t xml:space="preserve">Weber  </t>
  </si>
  <si>
    <t xml:space="preserve">Addison  </t>
  </si>
  <si>
    <t xml:space="preserve">Bennington  </t>
  </si>
  <si>
    <t xml:space="preserve">Caledonia  </t>
  </si>
  <si>
    <t xml:space="preserve">Chittenden  </t>
  </si>
  <si>
    <t xml:space="preserve">Grand Isle  </t>
  </si>
  <si>
    <t xml:space="preserve">Lamoille  </t>
  </si>
  <si>
    <t xml:space="preserve">Rutland  </t>
  </si>
  <si>
    <t xml:space="preserve">Windsor  </t>
  </si>
  <si>
    <t xml:space="preserve">Virgin Islands  </t>
  </si>
  <si>
    <t xml:space="preserve">Accomack  </t>
  </si>
  <si>
    <t xml:space="preserve">Albemarle  </t>
  </si>
  <si>
    <t xml:space="preserve">Alexandria City  </t>
  </si>
  <si>
    <t xml:space="preserve">Amelia  </t>
  </si>
  <si>
    <t xml:space="preserve">Amherst  </t>
  </si>
  <si>
    <t xml:space="preserve">Appomattox  </t>
  </si>
  <si>
    <t xml:space="preserve">Arlington  </t>
  </si>
  <si>
    <t xml:space="preserve">Augusta  </t>
  </si>
  <si>
    <t xml:space="preserve">Bland  </t>
  </si>
  <si>
    <t xml:space="preserve">Botetourt  </t>
  </si>
  <si>
    <t xml:space="preserve">Bristol City  </t>
  </si>
  <si>
    <t xml:space="preserve">Buckingham  </t>
  </si>
  <si>
    <t xml:space="preserve">Buena Vista City  </t>
  </si>
  <si>
    <t xml:space="preserve">Charles City  </t>
  </si>
  <si>
    <t xml:space="preserve">Charlottesville City  </t>
  </si>
  <si>
    <t xml:space="preserve">Chesapeake City  </t>
  </si>
  <si>
    <t xml:space="preserve">Colonial Heights City  </t>
  </si>
  <si>
    <t xml:space="preserve">Covington City  </t>
  </si>
  <si>
    <t xml:space="preserve">Culpeper  </t>
  </si>
  <si>
    <t xml:space="preserve">Danville City  </t>
  </si>
  <si>
    <t xml:space="preserve">Dickenson  </t>
  </si>
  <si>
    <t xml:space="preserve">Dinwiddie  </t>
  </si>
  <si>
    <t xml:space="preserve">Fairfax  </t>
  </si>
  <si>
    <t xml:space="preserve">Fairfax City  </t>
  </si>
  <si>
    <t xml:space="preserve">Falls Church City  </t>
  </si>
  <si>
    <t xml:space="preserve">Fauquier  </t>
  </si>
  <si>
    <t xml:space="preserve">Fluvanna  </t>
  </si>
  <si>
    <t xml:space="preserve">Franklin City  </t>
  </si>
  <si>
    <t xml:space="preserve">Fredericksburg City  </t>
  </si>
  <si>
    <t xml:space="preserve">Galax City  </t>
  </si>
  <si>
    <t xml:space="preserve">Goochland  </t>
  </si>
  <si>
    <t xml:space="preserve">Greensville  </t>
  </si>
  <si>
    <t xml:space="preserve">Hampton City  </t>
  </si>
  <si>
    <t xml:space="preserve">Hanover  </t>
  </si>
  <si>
    <t xml:space="preserve">Harrisonburg City  </t>
  </si>
  <si>
    <t xml:space="preserve">Henrico  </t>
  </si>
  <si>
    <t xml:space="preserve">Hopewell City  </t>
  </si>
  <si>
    <t xml:space="preserve">Isle Of Wight  </t>
  </si>
  <si>
    <t xml:space="preserve">James City  </t>
  </si>
  <si>
    <t xml:space="preserve">King And Queen  </t>
  </si>
  <si>
    <t xml:space="preserve">King George  </t>
  </si>
  <si>
    <t xml:space="preserve">King William  </t>
  </si>
  <si>
    <t xml:space="preserve">Lexington City  </t>
  </si>
  <si>
    <t xml:space="preserve">Loudoun  </t>
  </si>
  <si>
    <t xml:space="preserve">Lunenburg  </t>
  </si>
  <si>
    <t xml:space="preserve">Lynchburg City  </t>
  </si>
  <si>
    <t xml:space="preserve">Manassas City  </t>
  </si>
  <si>
    <t xml:space="preserve">Manassas Park City  </t>
  </si>
  <si>
    <t xml:space="preserve">Martinsville City  </t>
  </si>
  <si>
    <t xml:space="preserve">Mathews  </t>
  </si>
  <si>
    <t xml:space="preserve">New Kent  </t>
  </si>
  <si>
    <t xml:space="preserve">Newport News City  </t>
  </si>
  <si>
    <t xml:space="preserve">Norfolk City  </t>
  </si>
  <si>
    <t xml:space="preserve">Norton City  </t>
  </si>
  <si>
    <t xml:space="preserve">Nottoway  </t>
  </si>
  <si>
    <t xml:space="preserve">Patrick  </t>
  </si>
  <si>
    <t xml:space="preserve">Petersburg City  </t>
  </si>
  <si>
    <t xml:space="preserve">Pittsylvania  </t>
  </si>
  <si>
    <t xml:space="preserve">Poquoson City  </t>
  </si>
  <si>
    <t xml:space="preserve">Portsmouth City  </t>
  </si>
  <si>
    <t xml:space="preserve">Powhatan  </t>
  </si>
  <si>
    <t xml:space="preserve">Prince Edward  </t>
  </si>
  <si>
    <t xml:space="preserve">Prince George  </t>
  </si>
  <si>
    <t xml:space="preserve">Prince William  </t>
  </si>
  <si>
    <t xml:space="preserve">Radford  </t>
  </si>
  <si>
    <t xml:space="preserve">Rappahannock  </t>
  </si>
  <si>
    <t xml:space="preserve">Richmond City  </t>
  </si>
  <si>
    <t xml:space="preserve">Roanoke  </t>
  </si>
  <si>
    <t xml:space="preserve">Roanoke City  </t>
  </si>
  <si>
    <t xml:space="preserve">Rockbridge  </t>
  </si>
  <si>
    <t xml:space="preserve">Shenandoah  </t>
  </si>
  <si>
    <t xml:space="preserve">Smyth  </t>
  </si>
  <si>
    <t xml:space="preserve">Southampton  </t>
  </si>
  <si>
    <t xml:space="preserve">Spotsylvania  </t>
  </si>
  <si>
    <t xml:space="preserve">Staunton City  </t>
  </si>
  <si>
    <t xml:space="preserve">Suffolk City  </t>
  </si>
  <si>
    <t xml:space="preserve">Virginia Beach City  </t>
  </si>
  <si>
    <t xml:space="preserve">Waynesboro City  </t>
  </si>
  <si>
    <t xml:space="preserve">Williamsburg City  </t>
  </si>
  <si>
    <t xml:space="preserve">Winchester City  </t>
  </si>
  <si>
    <t xml:space="preserve">Wythe  </t>
  </si>
  <si>
    <t xml:space="preserve">Asotin  </t>
  </si>
  <si>
    <t xml:space="preserve">Chelan  </t>
  </si>
  <si>
    <t xml:space="preserve">Clallam  </t>
  </si>
  <si>
    <t xml:space="preserve">Cowlitz  </t>
  </si>
  <si>
    <t xml:space="preserve">Ferry  </t>
  </si>
  <si>
    <t xml:space="preserve">Grays Harbor  </t>
  </si>
  <si>
    <t xml:space="preserve">Island  </t>
  </si>
  <si>
    <t xml:space="preserve">Kitsap  </t>
  </si>
  <si>
    <t xml:space="preserve">Kittitas  </t>
  </si>
  <si>
    <t xml:space="preserve">Klickitat  </t>
  </si>
  <si>
    <t xml:space="preserve">Okanogan  </t>
  </si>
  <si>
    <t xml:space="preserve">Pacific  </t>
  </si>
  <si>
    <t xml:space="preserve">Pend Oreille  </t>
  </si>
  <si>
    <t xml:space="preserve">Skagit  </t>
  </si>
  <si>
    <t xml:space="preserve">Skamania  </t>
  </si>
  <si>
    <t xml:space="preserve">Snohomish  </t>
  </si>
  <si>
    <t xml:space="preserve">Spokane  </t>
  </si>
  <si>
    <t xml:space="preserve">Wahkiakum  </t>
  </si>
  <si>
    <t xml:space="preserve">Walla Walla  </t>
  </si>
  <si>
    <t xml:space="preserve">Whatcom  </t>
  </si>
  <si>
    <t xml:space="preserve">Whitman  </t>
  </si>
  <si>
    <t xml:space="preserve">Yakima  </t>
  </si>
  <si>
    <t xml:space="preserve">Braxton  </t>
  </si>
  <si>
    <t xml:space="preserve">Brooke  </t>
  </si>
  <si>
    <t xml:space="preserve">Cabell  </t>
  </si>
  <si>
    <t xml:space="preserve">Doddridge  </t>
  </si>
  <si>
    <t xml:space="preserve">Greenbrier  </t>
  </si>
  <si>
    <t xml:space="preserve">Hardy  </t>
  </si>
  <si>
    <t xml:space="preserve">Kanawha  </t>
  </si>
  <si>
    <t xml:space="preserve">Mingo  </t>
  </si>
  <si>
    <t xml:space="preserve">Monongalia  </t>
  </si>
  <si>
    <t xml:space="preserve">Pleasants  </t>
  </si>
  <si>
    <t xml:space="preserve">Preston  </t>
  </si>
  <si>
    <t xml:space="preserve">Raleigh  </t>
  </si>
  <si>
    <t xml:space="preserve">Ritchie  </t>
  </si>
  <si>
    <t xml:space="preserve">Summers  </t>
  </si>
  <si>
    <t xml:space="preserve">Tucker  </t>
  </si>
  <si>
    <t xml:space="preserve">Wetzel  </t>
  </si>
  <si>
    <t xml:space="preserve">Wirt  </t>
  </si>
  <si>
    <t xml:space="preserve">Barron  </t>
  </si>
  <si>
    <t xml:space="preserve">Bayfield  </t>
  </si>
  <si>
    <t xml:space="preserve">Burnett  </t>
  </si>
  <si>
    <t xml:space="preserve">Calumet  </t>
  </si>
  <si>
    <t xml:space="preserve">Dane  </t>
  </si>
  <si>
    <t xml:space="preserve">Door  </t>
  </si>
  <si>
    <t xml:space="preserve">Eau Claire  </t>
  </si>
  <si>
    <t xml:space="preserve">Fond Du Lac  </t>
  </si>
  <si>
    <t xml:space="preserve">Green Lake  </t>
  </si>
  <si>
    <t xml:space="preserve">Kenosha  </t>
  </si>
  <si>
    <t xml:space="preserve">Kewaunee  </t>
  </si>
  <si>
    <t xml:space="preserve">La Crosse  </t>
  </si>
  <si>
    <t xml:space="preserve">Langlade  </t>
  </si>
  <si>
    <t xml:space="preserve">Manitowoc  </t>
  </si>
  <si>
    <t xml:space="preserve">Marathon  </t>
  </si>
  <si>
    <t xml:space="preserve">Marinette  </t>
  </si>
  <si>
    <t xml:space="preserve">Milwaukee  </t>
  </si>
  <si>
    <t xml:space="preserve">Oconto  </t>
  </si>
  <si>
    <t xml:space="preserve">Outagamie  </t>
  </si>
  <si>
    <t xml:space="preserve">Ozaukee  </t>
  </si>
  <si>
    <t xml:space="preserve">Pepin  </t>
  </si>
  <si>
    <t xml:space="preserve">Price  </t>
  </si>
  <si>
    <t xml:space="preserve">Racine  </t>
  </si>
  <si>
    <t xml:space="preserve">Saint Croix  </t>
  </si>
  <si>
    <t xml:space="preserve">Sauk  </t>
  </si>
  <si>
    <t xml:space="preserve">Sawyer  </t>
  </si>
  <si>
    <t xml:space="preserve">Shawano  </t>
  </si>
  <si>
    <t xml:space="preserve">Sheboygan  </t>
  </si>
  <si>
    <t xml:space="preserve">Trempealeau  </t>
  </si>
  <si>
    <t xml:space="preserve">Vilas  </t>
  </si>
  <si>
    <t xml:space="preserve">Washburn  </t>
  </si>
  <si>
    <t xml:space="preserve">Waukesha  </t>
  </si>
  <si>
    <t xml:space="preserve">Waupaca  </t>
  </si>
  <si>
    <t xml:space="preserve">Waushara  </t>
  </si>
  <si>
    <t xml:space="preserve">Converse  </t>
  </si>
  <si>
    <t xml:space="preserve">Goshen  </t>
  </si>
  <si>
    <t xml:space="preserve">Hot Springs  </t>
  </si>
  <si>
    <t xml:space="preserve">Laramie  </t>
  </si>
  <si>
    <t xml:space="preserve">Natrona  </t>
  </si>
  <si>
    <t xml:space="preserve">Niobrara  </t>
  </si>
  <si>
    <t xml:space="preserve">Sublette  </t>
  </si>
  <si>
    <t xml:space="preserve">Sweetwater  </t>
  </si>
  <si>
    <t xml:space="preserve">Uinta  </t>
  </si>
  <si>
    <t xml:space="preserve">Washakie  </t>
  </si>
  <si>
    <t xml:space="preserve">Weston  </t>
  </si>
  <si>
    <t xml:space="preserve">NOTE: For lots in a development, the points for 503.4 may be awarded for the lot when there is a community storm water management plan implemented and the builder does not violate that plan with respect to water leaving the lot. </t>
  </si>
  <si>
    <t>a</t>
  </si>
  <si>
    <t>b</t>
  </si>
  <si>
    <t>c</t>
  </si>
  <si>
    <t>d</t>
  </si>
  <si>
    <t>e</t>
  </si>
  <si>
    <t>f</t>
  </si>
  <si>
    <t>NOTE: List "other" means of installing utilities in the assigned Notes area.</t>
  </si>
  <si>
    <t>other.</t>
  </si>
  <si>
    <t>shared utility trenches or easements,</t>
  </si>
  <si>
    <t>use of geomats,</t>
  </si>
  <si>
    <t>use of low ground pressure equipment,</t>
  </si>
  <si>
    <t>use of smaller equipment,</t>
  </si>
  <si>
    <t>tunneling instead of trenching,</t>
  </si>
  <si>
    <t>Ch.6</t>
  </si>
  <si>
    <t>2 story bldg.</t>
  </si>
  <si>
    <t>3 story bldg.</t>
  </si>
  <si>
    <t>4+ story bldg.</t>
  </si>
  <si>
    <t>Ch.7</t>
  </si>
  <si>
    <t>For SI: 12 inches = 304.8 mm</t>
  </si>
  <si>
    <t>&gt;70</t>
  </si>
  <si>
    <t>&gt;41 and ≤70</t>
  </si>
  <si>
    <t>≤40</t>
  </si>
  <si>
    <t>Rake Overhang (Inches)</t>
  </si>
  <si>
    <t>Eave Overhang (Inches)</t>
  </si>
  <si>
    <t>Inches of Rainfall (1)</t>
  </si>
  <si>
    <t>Minimum Roof Overhang for One- &amp; Two-Story Buildings</t>
  </si>
  <si>
    <t>more than 75%</t>
  </si>
  <si>
    <t>50% to less than 75%</t>
  </si>
  <si>
    <t>25% to less than 50%</t>
  </si>
  <si>
    <t>Points For 2 Major</t>
  </si>
  <si>
    <t>Points For 2 Minor</t>
  </si>
  <si>
    <t>Recycled Content</t>
  </si>
  <si>
    <t>POINTS</t>
  </si>
  <si>
    <t>5 Impact Measures</t>
  </si>
  <si>
    <t>4 Impact Measures</t>
  </si>
  <si>
    <t>Product LCA</t>
  </si>
  <si>
    <t>Figure 6(2): Average Annual Precipitation</t>
  </si>
  <si>
    <t>Source:</t>
  </si>
  <si>
    <t>www.nationalatlas.gov</t>
  </si>
  <si>
    <t>Source: 2006 International Residential Code. International Code Council, Inc., Country Club Hill, Illinois. Reproduced with permission. All rights reserved.</t>
  </si>
  <si>
    <t>www.iccsafe.org</t>
  </si>
  <si>
    <t>Figure 6(3): Termite Infestation Probability Map</t>
  </si>
  <si>
    <t>back to 602.1.5</t>
  </si>
  <si>
    <t>back to 602.1.6</t>
  </si>
  <si>
    <t>See Figure 6(3)</t>
  </si>
  <si>
    <t>back to 602.1.12</t>
  </si>
  <si>
    <t>See Table 602.1.12</t>
  </si>
  <si>
    <t>Figure 6(2)</t>
  </si>
  <si>
    <t>(1) Annual mean total rainfall in inches is in accordance with:</t>
  </si>
  <si>
    <t>Met</t>
  </si>
  <si>
    <t>Not Met</t>
  </si>
  <si>
    <t>N/A</t>
  </si>
  <si>
    <t>a concrete slab over 6 mil polyethylene sheeting. Or other Class I vapor retarder installed in accordance with Section 408.3 or Section 506 of the International Residential Code</t>
  </si>
  <si>
    <t>6 mil polyethylene sheeting, or other Class I vapor retarder installed in accordance with Section 408.3 or Section 506 of the International Residential Code</t>
  </si>
  <si>
    <t>None to slight</t>
  </si>
  <si>
    <t>Slight to Moderate</t>
  </si>
  <si>
    <t>Moderate to heavy</t>
  </si>
  <si>
    <t>Very heavy</t>
  </si>
  <si>
    <t>1 exterior door</t>
  </si>
  <si>
    <t>2 exterior door</t>
  </si>
  <si>
    <t>3+ exterior door</t>
  </si>
  <si>
    <t>Note: The pedestrian door protected in a garage leading to living space does not qualify for points.</t>
  </si>
  <si>
    <t>back to Table 602.1.12</t>
  </si>
  <si>
    <t>NOTE: Indicate in the assigned Notes area what salvage materials were sorted for reuse.</t>
  </si>
  <si>
    <t>1
12 Max</t>
  </si>
  <si>
    <t>1
9 Max</t>
  </si>
  <si>
    <t>(Points awarded per 1% of salvaged materials used based on the total construction cost.)</t>
  </si>
  <si>
    <t>Material Percentage
Recycled Content</t>
  </si>
  <si>
    <t>per Table
604.1</t>
  </si>
  <si>
    <t>First Minor Comp.:</t>
  </si>
  <si>
    <t>Second Minor Comp.:</t>
  </si>
  <si>
    <t>Second Major Comp.:</t>
  </si>
  <si>
    <t>First Major Comp.:</t>
  </si>
  <si>
    <t>See Table 604.1</t>
  </si>
  <si>
    <t>NOTE: In the assigned Notes area, list materials used for minor and/or major building components.</t>
  </si>
  <si>
    <t>Enter material percent recycled content.</t>
  </si>
  <si>
    <t>wood</t>
  </si>
  <si>
    <t>cardboard</t>
  </si>
  <si>
    <t>metals</t>
  </si>
  <si>
    <t>drywall</t>
  </si>
  <si>
    <t>plastic</t>
  </si>
  <si>
    <t>asphalt roofing shingles</t>
  </si>
  <si>
    <t>concrete</t>
  </si>
  <si>
    <t>other</t>
  </si>
  <si>
    <t>NOTE: List "other" types of materials recycled in the assigned Notes area.</t>
  </si>
  <si>
    <t>more than .5%</t>
  </si>
  <si>
    <t>more than 1%</t>
  </si>
  <si>
    <t>1
2 Max</t>
  </si>
  <si>
    <t>Program(s):</t>
  </si>
  <si>
    <t>Note: Please list products and components in the Notes fields</t>
  </si>
  <si>
    <t>1 material</t>
  </si>
  <si>
    <t>2 materials</t>
  </si>
  <si>
    <t>3+ materials</t>
  </si>
  <si>
    <t>Note: Please list materials in the Notes field</t>
  </si>
  <si>
    <t>9 Max
3 per material</t>
  </si>
  <si>
    <t>1 product</t>
  </si>
  <si>
    <t>2 products</t>
  </si>
  <si>
    <t>3+ products</t>
  </si>
  <si>
    <t># of major components:</t>
  </si>
  <si>
    <t># of minor components:</t>
  </si>
  <si>
    <t>1 component</t>
  </si>
  <si>
    <t>2 components</t>
  </si>
  <si>
    <t>3 components</t>
  </si>
  <si>
    <t>4 components</t>
  </si>
  <si>
    <t>5 components</t>
  </si>
  <si>
    <t>6 components</t>
  </si>
  <si>
    <t>7 components</t>
  </si>
  <si>
    <t>8 components</t>
  </si>
  <si>
    <t>9 components</t>
  </si>
  <si>
    <t>10+ components</t>
  </si>
  <si>
    <t>5+ components</t>
  </si>
  <si>
    <t>NOTE: List products/systems compared &amp; impact measures considered in the assigned Notes area.</t>
  </si>
  <si>
    <t># of comparisons with 
5 measures:</t>
  </si>
  <si>
    <t># of comparisons with 
4 measures:</t>
  </si>
  <si>
    <t>1 comparison</t>
  </si>
  <si>
    <t>2 comparisons</t>
  </si>
  <si>
    <t>3 comparisons</t>
  </si>
  <si>
    <t>4 comparisons</t>
  </si>
  <si>
    <t>5+ comparisons</t>
  </si>
  <si>
    <t>NOTE: List assemblies compared &amp; impact measures considered in the assigned Notes area.</t>
  </si>
  <si>
    <t>4 impact measures</t>
  </si>
  <si>
    <t>5+ impact measures</t>
  </si>
  <si>
    <t>exterior walls:</t>
  </si>
  <si>
    <t>roof/ceiling:</t>
  </si>
  <si>
    <t>int. walls or ceilings:</t>
  </si>
  <si>
    <t>intermediate floors:</t>
  </si>
  <si>
    <t>1%+</t>
  </si>
  <si>
    <t>2%+</t>
  </si>
  <si>
    <t>3%+</t>
  </si>
  <si>
    <t>4%+</t>
  </si>
  <si>
    <t>5%+</t>
  </si>
  <si>
    <t>6%+</t>
  </si>
  <si>
    <t>7%+</t>
  </si>
  <si>
    <t>8%+</t>
  </si>
  <si>
    <t>9%+</t>
  </si>
  <si>
    <t>10%+</t>
  </si>
  <si>
    <t xml:space="preserve">NOTE: In the assigned Notes area, list products that comply with 610.1, manufacturers, and ISO registrars. </t>
  </si>
  <si>
    <t># of products:</t>
  </si>
  <si>
    <t># of products (not effective number):</t>
  </si>
  <si>
    <t>NOTE: List products in the assigned Notes area.</t>
  </si>
  <si>
    <t>END OF CHAPTER 6</t>
  </si>
  <si>
    <t>CLICK TO PROCEED TO CHAPTER 7 &gt;&gt;</t>
  </si>
  <si>
    <t>602.0</t>
  </si>
  <si>
    <t>901.1.1</t>
  </si>
  <si>
    <t>901.1.2</t>
  </si>
  <si>
    <t>901.1.3</t>
  </si>
  <si>
    <t>all furnaces or all boilers</t>
  </si>
  <si>
    <t>power vent furnace(s) or boiler(s)</t>
  </si>
  <si>
    <t>direct vent furnace(s) or boiler(s)</t>
  </si>
  <si>
    <t>all water heaters</t>
  </si>
  <si>
    <t>power vent water heater(s)</t>
  </si>
  <si>
    <t>direct vent water heater(s)</t>
  </si>
  <si>
    <t>901.1.4</t>
  </si>
  <si>
    <t>901.1.5</t>
  </si>
  <si>
    <t>901.1.6</t>
  </si>
  <si>
    <t>heat pump air handler in unconditioned space</t>
  </si>
  <si>
    <t>heat pump air handler in conditioned space</t>
  </si>
  <si>
    <t>901.2.1</t>
  </si>
  <si>
    <t>Site-built masonry wood-burning fireplaces use outside combustion air and include a means of sealing the flue and the combustion air outlets to minimize interior air (heat) loss when not in operation.</t>
  </si>
  <si>
    <t xml:space="preserve">Wood stove and fireplace inserts, as defined in UL 1482 Section 3.8, are in accordance with the certification requirements of UL 1482 and are in accordance with the emission requirements of the EPA Certification and the State of Washington WAC 173-433-100(3). </t>
  </si>
  <si>
    <t>Pellet (biomass) stoves and furnaces are in accordance with ASTM E1509 or are EPA certified.</t>
  </si>
  <si>
    <t xml:space="preserve">Masonry heaters are in accordance with the definitions in ASTM E1602 and ICC IBC Section 2112.1. </t>
  </si>
  <si>
    <t>901.2.2</t>
  </si>
  <si>
    <t>Attached garage</t>
  </si>
  <si>
    <t>For one- and two-family dwelling units, a 100 cfm (47 L/s) or greater ducted or 70 cfm (33 L/s) cfm or greater unducted wall exhaust fan is installed and vented to the outdoors and is designed and installed for continuous operation or has controls (e.g., motion detectors, pressure switches) that activate operation for a minimum of 1 hour when either human passage door or roll-up automatic doors are operated. For ducted exhaust fans, the fan airflow rating and duct sizing are in accordance with Appendix A.</t>
  </si>
  <si>
    <t>A carport is installed, the garage is detached from the building, or no garage is installed.</t>
  </si>
  <si>
    <t>Structural plywood used for floor, wall, and/or roof sheathing is compliant with DOC PS 1 and/or DOC PS 2. OSB used for floor, wall, and/or roof sheathing is compliant with DOC PS 2. The panels are made with moisture-resistant adhesives. The trademark indicates these adhesives as follows: Exposure 1 or Exterior for plywood, and Exposure 1 for OSB.</t>
  </si>
  <si>
    <t>Particleboard and MDF (medium density fiberboard) is manufactured and labeled in accordance with CPA A208.1 and CPA A208.2, respectively.</t>
  </si>
  <si>
    <t>Hardwood plywood in accordance with HPVA HP-1.</t>
  </si>
  <si>
    <t>Particleboard, MDF, or hardwood plywood is in accordance with CPA 4.</t>
  </si>
  <si>
    <r>
      <t xml:space="preserve">Composite wood or agrifiber panel products contain no added urea-formaldehyde or are in accordance with the CARB </t>
    </r>
    <r>
      <rPr>
        <i/>
        <sz val="10"/>
        <color theme="1"/>
        <rFont val="Calibri"/>
        <family val="2"/>
        <scheme val="minor"/>
      </rPr>
      <t>Composite Wood Air Toxic Contaminant Measure Standard</t>
    </r>
    <r>
      <rPr>
        <sz val="10"/>
        <color theme="1"/>
        <rFont val="Calibri"/>
        <family val="2"/>
        <scheme val="minor"/>
      </rPr>
      <t>.</t>
    </r>
  </si>
  <si>
    <t>Non-emitting products.</t>
  </si>
  <si>
    <t>(Where both of the following practices are used, only 3 points are awarded.)</t>
  </si>
  <si>
    <t>All parts of the cabinet are made of solid wood or non-formaldehyde emitting materials such as metal or glass.</t>
  </si>
  <si>
    <r>
      <t xml:space="preserve">The composite wood used in wood cabinets is in accordance with CARB </t>
    </r>
    <r>
      <rPr>
        <i/>
        <sz val="10"/>
        <color theme="1"/>
        <rFont val="Calibri"/>
        <family val="2"/>
        <scheme val="minor"/>
      </rPr>
      <t>Composite Wood Air Toxic Contaminant Measure Standard</t>
    </r>
    <r>
      <rPr>
        <sz val="10"/>
        <color theme="1"/>
        <rFont val="Calibri"/>
        <family val="2"/>
        <scheme val="minor"/>
      </rPr>
      <t xml:space="preserve"> or equivalent as certified by a third-party program such as, but not limited to, those in Appendix D.</t>
    </r>
  </si>
  <si>
    <t>(Points are awarded for every 10% of conditioned floor space using one of the below materials.)</t>
  </si>
  <si>
    <t>Hard surface flooring: Prefinished installed hard-surface flooring is installed. Where post-manufacture coatings or surface applications have not been applied, the following hard surface flooring types are deemed to comply with the emission requirements of this practice:</t>
  </si>
  <si>
    <t>Ceramic tile flooring</t>
  </si>
  <si>
    <t>Organic-free, mineral-based flooring</t>
  </si>
  <si>
    <t>Clay masonry flooring</t>
  </si>
  <si>
    <t>Concrete masonry flooring</t>
  </si>
  <si>
    <t>Concrete flooring</t>
  </si>
  <si>
    <t>Metal flooring</t>
  </si>
  <si>
    <t>(When carpet cushion meeting the emission limits of the practice is also installed, the percentage of compliant carpet area is calculated at 1.33 times the actual installed area.)</t>
  </si>
  <si>
    <t>901.9.1</t>
  </si>
  <si>
    <t>Zero VOC as determined by EPA Method 24 (VOC content is below the detection limit for the method)</t>
  </si>
  <si>
    <t>GreenSeal GS-11</t>
  </si>
  <si>
    <t>901.9.2</t>
  </si>
  <si>
    <t>901.9.3</t>
  </si>
  <si>
    <t>GreenSeal GS-36.</t>
  </si>
  <si>
    <t>Exterior grilles or mats are installed in a fixed manner and may be removable for cleaning.</t>
  </si>
  <si>
    <t>Interior grilles or mats are installed in a fixed manner and may be removable for cleaning.</t>
  </si>
  <si>
    <t>All interior common areas of a multifamily building are designated as non-smoking areas with posted signage.</t>
  </si>
  <si>
    <t>Exterior smoking areas of a multifamily building are designated with posted signage and located a minimum of 25 feet from entries, outdoor air intakes, and operable windows.</t>
  </si>
  <si>
    <t xml:space="preserve">Bathrooms are vented to the outdoors. The minimum ventilation rate is 50 cfm (23.6 L/s) for intermittent operation or 20 cfm (9.4 L/s) for continuous operation in bathrooms. </t>
  </si>
  <si>
    <t xml:space="preserve">Clothes dryers (except listed and labeled condensing ductless dryers) are vented to the outdoors. </t>
  </si>
  <si>
    <t xml:space="preserve">Kitchen exhaust units and/or range hoods are ducted to the outdoors and have a minimum ventilation rate of 100 cfm (47.2 L/s) for intermittent operation or 25 cfm (11.8 L/s) for continuous operation. </t>
  </si>
  <si>
    <t>902.1.2</t>
  </si>
  <si>
    <t>11 Max</t>
  </si>
  <si>
    <t>for first device</t>
  </si>
  <si>
    <t>for each additional device</t>
  </si>
  <si>
    <t>902.1.3</t>
  </si>
  <si>
    <t>100 cfm (47.2 L/s) intermittent or 25 cfm (11.8 L/s) continuous for kitchens, and</t>
  </si>
  <si>
    <t>50 cfm (23.6 L/s) intermittent or 20 cfm (9.4 L/s) continuous for bathrooms and/or laundry</t>
  </si>
  <si>
    <t>902.1.4</t>
  </si>
  <si>
    <t>(Points awarded per fan.)</t>
  </si>
  <si>
    <t>ENERGY STAR, or equivalent, fans operating at or below 1 sone</t>
  </si>
  <si>
    <t>902.1.5</t>
  </si>
  <si>
    <t>Insect screens are provided for all operable windows, operable skylights, and sliding glass doors.</t>
  </si>
  <si>
    <t xml:space="preserve">A minimum of two operable windows or sliding glass doors are placed in adjacent or opposite walls. If there is only one wall surface in that space exposed to the exterior, the minimum windows or sliding glass doors may be on the same wall.  </t>
  </si>
  <si>
    <t>exhaust or supply fan(s) ready for continuous operation and with appropriately labeled controls</t>
  </si>
  <si>
    <t>balanced exhaust and supply fans with supply intakes located in accordance with the manufacturer’s guidelines so as to not introduce polluted air back into the building</t>
  </si>
  <si>
    <t>heat-recovery ventilator</t>
  </si>
  <si>
    <t>energy-recovery ventilator</t>
  </si>
  <si>
    <t>902.2.2</t>
  </si>
  <si>
    <t>902.2.3</t>
  </si>
  <si>
    <t>902.2.4</t>
  </si>
  <si>
    <t>Buildings located in Zone 1</t>
  </si>
  <si>
    <t>a passive radon system is installed</t>
  </si>
  <si>
    <r>
      <t>an active radon system</t>
    </r>
    <r>
      <rPr>
        <b/>
        <sz val="10"/>
        <color theme="1"/>
        <rFont val="Calibri"/>
        <family val="2"/>
        <scheme val="minor"/>
      </rPr>
      <t xml:space="preserve"> </t>
    </r>
    <r>
      <rPr>
        <sz val="10"/>
        <color theme="1"/>
        <rFont val="Calibri"/>
        <family val="2"/>
        <scheme val="minor"/>
      </rPr>
      <t>is installed</t>
    </r>
  </si>
  <si>
    <t>Buildings located in Zone 2 or Zone 3</t>
  </si>
  <si>
    <t>a passive or active radon system is installed</t>
  </si>
  <si>
    <t>HVAC supply registers (boots), return grilles, and rough-ins are covered during construction activities to prevent dust and other pollutants from entering the system.</t>
  </si>
  <si>
    <t>Prior to owner occupancy, HVAC supply registers (boots), return grilles, and duct terminations are inspected and vacuumed. In addition, the coils are inspected and cleaned and the filter is replaced if necessary.</t>
  </si>
  <si>
    <t>All HVAC ducts, plenums, and trunks are located in conditioned space.</t>
  </si>
  <si>
    <t>All HVAC ducts, plenums, and trunks are in conditioned space. All HVAC ducts are insulated to a minimum of R4.</t>
  </si>
  <si>
    <t>additional dehumidification system(s)</t>
  </si>
  <si>
    <t>central HVAC system equipped with additional controls to operate in dehumidification mode</t>
  </si>
  <si>
    <t>A National Green Building Standard certificate with weblink and  completion document.</t>
  </si>
  <si>
    <t>List of green building features (can include the national green building checklist).</t>
  </si>
  <si>
    <t>Maintenance checklist.</t>
  </si>
  <si>
    <t>Information on local recycling and composting programs.</t>
  </si>
  <si>
    <t>Information on available local utility programs that purchase a portion of energy from renewable energy providers.</t>
  </si>
  <si>
    <t>Explanation of the benefits of using energy-efficient lighting systems [e.g., compact fluorescent light bulbs, light emitting diode (LED)] in high-usage areas.</t>
  </si>
  <si>
    <t>A list of practices to conserve water and energy.</t>
  </si>
  <si>
    <t>Information on the importance and operation of the home's fresh air ventilation system.</t>
  </si>
  <si>
    <t>Local public transportation options.</t>
  </si>
  <si>
    <t>A diagram showing the location of safety valves and controls for major building systems.</t>
  </si>
  <si>
    <t>Where frost-protected shallow foundations are used, owner is informed of precautions including:</t>
  </si>
  <si>
    <t>instructions to not remove or damage insulation when modifying landscaping.</t>
  </si>
  <si>
    <t>providing heat to the building as required by the ICC IRC or IBC.</t>
  </si>
  <si>
    <t>keeping base materials beneath and around the building free from moisture caused by broken water pipes or other water sources.</t>
  </si>
  <si>
    <t>(13)</t>
  </si>
  <si>
    <t>A list of local service providers that offer regularly scheduled service and maintenance contracts to ensure proper performance of equipment and the structure (e.g., HVAC, water-heating equipment, sealants, caulks, gutter and downspout system, shower and/or tub surrounds, irrigation system).</t>
  </si>
  <si>
    <t>(14)</t>
  </si>
  <si>
    <t>A photo record of framing with utilities installed. Photos are taken prior to installing insulation, clearly labeled, and included as part of the building owners’ manual.</t>
  </si>
  <si>
    <t>(15)</t>
  </si>
  <si>
    <t>List of common hazardous materials often used around the building and instructions for proper handling and disposal of these materials.</t>
  </si>
  <si>
    <t>(16)</t>
  </si>
  <si>
    <t>Information on organic pest control, fertilizers, deicers, and cleaning products.</t>
  </si>
  <si>
    <t>(17)</t>
  </si>
  <si>
    <t>Information on native landscape materials and/or those that have low water requirements.</t>
  </si>
  <si>
    <t>(18)</t>
  </si>
  <si>
    <t>Information on methods of maintaining the building’s relative humidity in the range of 30 percent to 60 percent.</t>
  </si>
  <si>
    <t>(19)</t>
  </si>
  <si>
    <t>Instructions for inspecting the building for termite infestation.</t>
  </si>
  <si>
    <t>(20)</t>
  </si>
  <si>
    <t>Instructions for maintaining gutters and downspouts and importance of diverting water a minimum of 5 feet away from foundation.</t>
  </si>
  <si>
    <t>(21)</t>
  </si>
  <si>
    <t>A narrative detailing the importance of maintenance and operation in retaining the attributes of a green-built building.</t>
  </si>
  <si>
    <t>(22)</t>
  </si>
  <si>
    <t>Where stormwater management measures are installed on the lot, information on the location, purpose, and upkeep of these measures.</t>
  </si>
  <si>
    <t>(23)</t>
  </si>
  <si>
    <t>Explanation of and benefits from green cleaning in the home.</t>
  </si>
  <si>
    <t>(24)</t>
  </si>
  <si>
    <t>Retrofit energy calculator that provides baseline for future energy retrofits.</t>
  </si>
  <si>
    <t>HVAC filters.</t>
  </si>
  <si>
    <t>Thermostat operation and programming.</t>
  </si>
  <si>
    <t>Lighting controls.</t>
  </si>
  <si>
    <t>Appliances operation.</t>
  </si>
  <si>
    <t>Water heater settings and hot water use.</t>
  </si>
  <si>
    <t>Fan controls.</t>
  </si>
  <si>
    <t>Recycling and composting practices.</t>
  </si>
  <si>
    <t>A narrative detailing the importance of constructing a green building, including a list of green building attributes included in the building. This narrative is included in all responsible parties’ manuals.</t>
  </si>
  <si>
    <r>
      <t xml:space="preserve">A local green building program certificate as well as a copy of the </t>
    </r>
    <r>
      <rPr>
        <i/>
        <sz val="10"/>
        <color theme="1"/>
        <rFont val="Calibri"/>
        <family val="2"/>
        <scheme val="minor"/>
      </rPr>
      <t>National Green Building Standard</t>
    </r>
    <r>
      <rPr>
        <i/>
        <vertAlign val="superscript"/>
        <sz val="10"/>
        <color theme="1"/>
        <rFont val="Calibri"/>
        <family val="2"/>
        <scheme val="minor"/>
      </rPr>
      <t>TM</t>
    </r>
    <r>
      <rPr>
        <sz val="10"/>
        <color theme="1"/>
        <rFont val="Calibri"/>
        <family val="2"/>
        <scheme val="minor"/>
      </rPr>
      <t>, as adopted by the Adopting Entity, and the individual measures achieved by the building.</t>
    </r>
  </si>
  <si>
    <t>Warranty, operation, and maintenance instructions for all equipment, fixtures, appliances, and finishes.</t>
  </si>
  <si>
    <t>Record drawings of the building.</t>
  </si>
  <si>
    <t>A record drawing of the site including stormwater management plans, utility lines, landscaping with common name and genus/species of plantings.</t>
  </si>
  <si>
    <t>A list of the type and wattage of light bulbs installed in light fixtures.</t>
  </si>
  <si>
    <t>A photo record of framing with utilities installed. Photos are taken prior to installing insulation and clearly labeled.</t>
  </si>
  <si>
    <t>A narrative detailing the importance of operating and living in a green building. This narrative is included in all responsible parties’ manuals.</t>
  </si>
  <si>
    <t>A list of practices to conserve water and energy (e.g., turning off lights when not in use, switching the rotation of ceiling fans in changing seasons, purchasing ENERGY STAR appliances and electronics).</t>
  </si>
  <si>
    <t>Information on opportunities to purchase renewable energy from local utilities or national green power providers and information on utility and tax incentives for the installation of on-site renewable energy systems.</t>
  </si>
  <si>
    <t>Information on local and on-site recycling and hazardous waste disposal programs and, if applicable, building recycling and hazardous waste handling and disposal procedures.</t>
  </si>
  <si>
    <t>Explanation of the benefits of using compact fluorescent light bulbs, LEDs, or other high-efficiency lighting.</t>
  </si>
  <si>
    <t>Information on the radon mitigation system, where applicable.</t>
  </si>
  <si>
    <t>A procedure for educating tenants in rental properties on the proper use, benefits, and maintenance of green building systems including a maintenance staff notification process for improperly functioning equipment.</t>
  </si>
  <si>
    <t>Information on the importance and operation of the building’s fresh air ventilation system.</t>
  </si>
  <si>
    <t>A narrative detailing the importance of maintaining a green building. This narrative is included in all responsible parties’ manuals.</t>
  </si>
  <si>
    <t>User-friendly maintenance checklist that includes:</t>
  </si>
  <si>
    <t>HVAC filters</t>
  </si>
  <si>
    <t>thermostat operation and programming</t>
  </si>
  <si>
    <t>lighting controls</t>
  </si>
  <si>
    <t>appliances and settings</t>
  </si>
  <si>
    <t>water heater settings</t>
  </si>
  <si>
    <t>fan controls</t>
  </si>
  <si>
    <t>Instructions for maintaining gutters and downspouts and the importance of diverting water a minimum of 5 feet away from foundation.</t>
  </si>
  <si>
    <t>A procedure for rental tenant occupancy turnover that preserves the green features.</t>
  </si>
  <si>
    <t>An outline of a formal green building training program for maintenance staff.</t>
  </si>
  <si>
    <t>A green cleaning plan which includes guidance on sustainable cleaning products.</t>
  </si>
  <si>
    <t>appliances operation</t>
  </si>
  <si>
    <t>water heater settings and hot water use</t>
  </si>
  <si>
    <t>recycling and composting practices</t>
  </si>
  <si>
    <t>2 Max</t>
  </si>
  <si>
    <r>
      <t>Signage.</t>
    </r>
    <r>
      <rPr>
        <sz val="10"/>
        <color theme="1"/>
        <rFont val="Calibri"/>
        <family val="2"/>
        <scheme val="minor"/>
      </rPr>
      <t xml:space="preserve"> Signs showing the project is designed and built in accordance with the National Green Building Standard are posted on the construction site.</t>
    </r>
  </si>
  <si>
    <r>
      <t xml:space="preserve">Certification Plaques. </t>
    </r>
    <r>
      <rPr>
        <sz val="10"/>
        <color theme="1"/>
        <rFont val="Calibri"/>
        <family val="2"/>
        <scheme val="minor"/>
      </rPr>
      <t>National Green Building Standard certification plaques with rating level attainted are placed in a conspicuous location near the utility area of the home or, in a conspicuous location near the main entrance of a multifamily building.</t>
    </r>
  </si>
  <si>
    <r>
      <t xml:space="preserve">Education. </t>
    </r>
    <r>
      <rPr>
        <sz val="10"/>
        <color theme="1"/>
        <rFont val="Calibri"/>
        <family val="2"/>
        <scheme val="minor"/>
      </rPr>
      <t>A URL for the National Green Building Standard is included on site signage, builder website (or property website for multifamily buildings), and marketing materials for homes certified under the National Green Building Standard.</t>
    </r>
  </si>
  <si>
    <r>
      <t xml:space="preserve"> </t>
    </r>
    <r>
      <rPr>
        <b/>
        <sz val="10"/>
        <color theme="1"/>
        <rFont val="Calibri"/>
        <family val="2"/>
      </rPr>
      <t>(Points awarded per two items. Points awarded for non-mandatory items.)</t>
    </r>
  </si>
  <si>
    <t>(Points awarded per two items. Points awarded for non-mandatory items.)</t>
  </si>
  <si>
    <t>1
8 Max</t>
  </si>
  <si>
    <t>END OF CHAPTER 10</t>
  </si>
  <si>
    <t>(Points are awarded only for buildings that use natural draft combustion space or water heating equipment.)</t>
  </si>
  <si>
    <t>Note: Points are only available for lots with slopes of 25% or greater.</t>
  </si>
  <si>
    <t>Not Primary Heat</t>
  </si>
  <si>
    <t>No Radiant or Hydronic</t>
  </si>
  <si>
    <t>Type of Heating System (main system):</t>
  </si>
  <si>
    <t>dstHeat1</t>
  </si>
  <si>
    <t>dstHeat2</t>
  </si>
  <si>
    <t>dstHeat3</t>
  </si>
  <si>
    <t>ddHeat1</t>
  </si>
  <si>
    <t>ddHeat2</t>
  </si>
  <si>
    <t>ddHeat3</t>
  </si>
  <si>
    <t>Type of Heating System (system 2):</t>
  </si>
  <si>
    <t>Type of Heating System (system 3):</t>
  </si>
  <si>
    <t>Type of Cooling System (main system):</t>
  </si>
  <si>
    <t>Type of Cooling System (system 2):</t>
  </si>
  <si>
    <t>Type of Cooling System (system 3):</t>
  </si>
  <si>
    <t>ddCool1</t>
  </si>
  <si>
    <t>dstCool1</t>
  </si>
  <si>
    <t>ddCool2</t>
  </si>
  <si>
    <t>dstCool2</t>
  </si>
  <si>
    <t>ddCool3</t>
  </si>
  <si>
    <t>dstCool3</t>
  </si>
  <si>
    <t>Heating Ducts:</t>
  </si>
  <si>
    <t>ddHDucts</t>
  </si>
  <si>
    <t>dstHDucts</t>
  </si>
  <si>
    <t>Cooling Ducts:</t>
  </si>
  <si>
    <t>ddCDucts</t>
  </si>
  <si>
    <t>dstCDucts</t>
  </si>
  <si>
    <t>Ducted</t>
  </si>
  <si>
    <t>Ductless</t>
  </si>
  <si>
    <t>No System</t>
  </si>
  <si>
    <t>Gas Engine-Driven Heat Pump</t>
  </si>
  <si>
    <t>Electric Air Conditiner</t>
  </si>
  <si>
    <t>701.4.3.3 Exception:</t>
  </si>
  <si>
    <t>Air Barrier and Insulation Installation</t>
  </si>
  <si>
    <t>Tropical</t>
  </si>
  <si>
    <t>dstFloors</t>
  </si>
  <si>
    <t>DO NOT PASTE ANYTHING INTO THE WORKSHEET. CELL PROTECTION, VALIDATION, AND CONDITIONAL FORMATTING CAN BE ALTERED BY PASTING. THIS WILL BREAK YOUR SHEET.</t>
  </si>
  <si>
    <t>Home Address:</t>
  </si>
  <si>
    <t>There are errors on this page!</t>
  </si>
  <si>
    <t>There is mandatory information or practices missing from this Chapter!</t>
  </si>
  <si>
    <t>ATFS</t>
  </si>
  <si>
    <t>CSA Z809</t>
  </si>
  <si>
    <t>FSC</t>
  </si>
  <si>
    <t>PEFC</t>
  </si>
  <si>
    <t>RPP</t>
  </si>
  <si>
    <t>SFI</t>
  </si>
  <si>
    <t>35% to less than 50%</t>
  </si>
  <si>
    <t>50% to less than 90%</t>
  </si>
  <si>
    <t>90% or more</t>
  </si>
  <si>
    <r>
      <rPr>
        <b/>
        <sz val="11"/>
        <color theme="1"/>
        <rFont val="Calibri"/>
        <family val="2"/>
        <scheme val="minor"/>
      </rPr>
      <t>Error</t>
    </r>
    <r>
      <rPr>
        <sz val="11"/>
        <color theme="1"/>
        <rFont val="Calibri"/>
        <family val="2"/>
        <scheme val="minor"/>
      </rPr>
      <t xml:space="preserve"> - Something is wrong. Review practice text for explanation.</t>
    </r>
  </si>
  <si>
    <r>
      <rPr>
        <b/>
        <sz val="11"/>
        <color theme="1"/>
        <rFont val="Calibri"/>
        <family val="2"/>
        <scheme val="minor"/>
      </rPr>
      <t>Note Entry</t>
    </r>
    <r>
      <rPr>
        <sz val="11"/>
        <color theme="1"/>
        <rFont val="Calibri"/>
        <family val="2"/>
        <scheme val="minor"/>
      </rPr>
      <t xml:space="preserve"> - A place for you to elaborate. If a note is mandatory it will turn yellow. Notes required due to selecting a practice out of phase (rough or final) will not turn yellow.</t>
    </r>
  </si>
  <si>
    <r>
      <rPr>
        <b/>
        <sz val="11"/>
        <color theme="1"/>
        <rFont val="Calibri"/>
        <family val="2"/>
        <scheme val="minor"/>
      </rPr>
      <t>Off Limits</t>
    </r>
    <r>
      <rPr>
        <sz val="11"/>
        <color theme="1"/>
        <rFont val="Calibri"/>
        <family val="2"/>
        <scheme val="minor"/>
      </rPr>
      <t xml:space="preserve"> - Some other answer or lack of answer disqualifies you from this practice or the practice is not available during the current phase (rough or final).</t>
    </r>
  </si>
  <si>
    <r>
      <rPr>
        <b/>
        <sz val="11"/>
        <color theme="1"/>
        <rFont val="Calibri"/>
        <family val="2"/>
        <scheme val="minor"/>
      </rPr>
      <t>Normal Entry (optional)</t>
    </r>
    <r>
      <rPr>
        <sz val="11"/>
        <color theme="1"/>
        <rFont val="Calibri"/>
        <family val="2"/>
        <scheme val="minor"/>
      </rPr>
      <t xml:space="preserve"> - Use the checkbox or dropdown to indicate the status of the adjacent practice. </t>
    </r>
  </si>
  <si>
    <r>
      <rPr>
        <b/>
        <sz val="11"/>
        <color theme="1"/>
        <rFont val="Calibri"/>
        <family val="2"/>
        <scheme val="minor"/>
      </rPr>
      <t>Mandatory Entry or Mandatory Note</t>
    </r>
    <r>
      <rPr>
        <sz val="11"/>
        <color theme="1"/>
        <rFont val="Calibri"/>
        <family val="2"/>
        <scheme val="minor"/>
      </rPr>
      <t xml:space="preserve"> - This field is required in order for the worksheet to be considered complete and submitable.</t>
    </r>
  </si>
  <si>
    <t>Stories above grade:</t>
  </si>
  <si>
    <t>Maximum skylight SHGC:</t>
  </si>
  <si>
    <t>Maximum skylight U-value:</t>
  </si>
  <si>
    <t>dstsSHGC</t>
  </si>
  <si>
    <t>dstsUV</t>
  </si>
  <si>
    <t>Maximum window and door SHGC:</t>
  </si>
  <si>
    <t>Maximum window and door U-value:</t>
  </si>
  <si>
    <t>dstwdSHGC</t>
  </si>
  <si>
    <t>dstwdUV</t>
  </si>
  <si>
    <t>Exclude south-facing glass if part of "Sun-tempered" design (703.7.1).</t>
  </si>
  <si>
    <t>Verifier</t>
  </si>
  <si>
    <t>Selected</t>
  </si>
  <si>
    <t>Required Documentation</t>
  </si>
  <si>
    <t>END OF CHAPTER 8</t>
  </si>
  <si>
    <t>CLICK TO PROCEED TO CHAPTER 9 &gt;&gt;</t>
  </si>
  <si>
    <t>Climate Zone:</t>
  </si>
  <si>
    <t>END OF CHAPTER 7</t>
  </si>
  <si>
    <t>CLICK TO PROCEED TO CHAPTER 8 &gt;&gt;</t>
  </si>
  <si>
    <t xml:space="preserve">    Countertops</t>
  </si>
  <si>
    <t xml:space="preserve">    Composite trim/doors</t>
  </si>
  <si>
    <t xml:space="preserve">    Custom woodwork</t>
  </si>
  <si>
    <t xml:space="preserve">    Component closet shelving</t>
  </si>
  <si>
    <t>Carpet and carpet cushion meeting the emission limits is installed.</t>
  </si>
  <si>
    <t>A window complying with IRC Section R303.3 is provided in addition to mechanical ventilation.</t>
  </si>
  <si>
    <t># of timers:</t>
  </si>
  <si>
    <t># of humidistats:</t>
  </si>
  <si>
    <t>ENERGY STAR, or equivalent, fans operating above 1 sone</t>
  </si>
  <si>
    <t>Ch. 9</t>
  </si>
  <si>
    <t>902.2.1</t>
  </si>
  <si>
    <t>Cold water pipes in unconditioned spaces are insulated to a minimum of R-4 with pipe insulation or other covering that adequately prevents condensation.</t>
  </si>
  <si>
    <t>Plumbing is not installed in unconditioned spaces.</t>
  </si>
  <si>
    <t>Not available if there is no garage</t>
  </si>
  <si>
    <t>actual %:</t>
  </si>
  <si>
    <t>actual %'s:</t>
  </si>
  <si>
    <r>
      <t>e.</t>
    </r>
    <r>
      <rPr>
        <sz val="7"/>
        <color theme="1"/>
        <rFont val="Times New Roman"/>
        <family val="1"/>
      </rPr>
      <t xml:space="preserve">  </t>
    </r>
    <r>
      <rPr>
        <sz val="10"/>
        <color theme="1"/>
        <rFont val="Calibri"/>
        <family val="2"/>
      </rPr>
      <t>Limit is expressed as VOC actual.</t>
    </r>
  </si>
  <si>
    <r>
      <t>d.</t>
    </r>
    <r>
      <rPr>
        <sz val="7"/>
        <color theme="1"/>
        <rFont val="Times New Roman"/>
        <family val="1"/>
      </rPr>
      <t xml:space="preserve">  </t>
    </r>
    <r>
      <rPr>
        <sz val="10"/>
        <color theme="1"/>
        <rFont val="Calibri"/>
        <family val="2"/>
      </rPr>
      <t>Limits are expressed as VOC Regulatory (except as noted), thinned to the manufacturer’s maximum thinning recommendation, excluding any colorant added to tint bases.</t>
    </r>
  </si>
  <si>
    <r>
      <t>b.</t>
    </r>
    <r>
      <rPr>
        <sz val="7"/>
        <color theme="1"/>
        <rFont val="Times New Roman"/>
        <family val="1"/>
      </rPr>
      <t xml:space="preserve">  </t>
    </r>
    <r>
      <rPr>
        <sz val="10"/>
        <color theme="1"/>
        <rFont val="Calibri"/>
        <family val="2"/>
      </rPr>
      <t>Values in this table are derived from those specified by the California Air Resources Board, Architectural Coatings Suggested Control Measure, February 1, 2008.</t>
    </r>
  </si>
  <si>
    <r>
      <t>a.</t>
    </r>
    <r>
      <rPr>
        <sz val="7"/>
        <color theme="1"/>
        <rFont val="Times New Roman"/>
        <family val="1"/>
      </rPr>
      <t xml:space="preserve">  </t>
    </r>
    <r>
      <rPr>
        <sz val="10"/>
        <color theme="1"/>
        <rFont val="Calibri"/>
        <family val="2"/>
      </rPr>
      <t>The specified limits remain in effect unless revised limits are listed in subsequent columns in the table.</t>
    </r>
  </si>
  <si>
    <t>Zinc-Rich Primers</t>
  </si>
  <si>
    <t>Wood Preservatives</t>
  </si>
  <si>
    <t>Wood Coatings</t>
  </si>
  <si>
    <t>Waterproofing Membranes</t>
  </si>
  <si>
    <t>Tub and Tile Refinish Coatings</t>
  </si>
  <si>
    <t>Traffic Marking Coatings</t>
  </si>
  <si>
    <t>Swimming Pool Coatings</t>
  </si>
  <si>
    <t>Stone Consolidants</t>
  </si>
  <si>
    <t>Stains</t>
  </si>
  <si>
    <t>Specialty Primers, Sealers, and Undercoaters</t>
  </si>
  <si>
    <t>Shellacs, Opaque</t>
  </si>
  <si>
    <t>Shellacs, Clear</t>
  </si>
  <si>
    <t>Rust Preventative Coatings</t>
  </si>
  <si>
    <t>Roof Coatings</t>
  </si>
  <si>
    <t>Recycled Coatings</t>
  </si>
  <si>
    <t>Reactive Penetrating Sealers</t>
  </si>
  <si>
    <t>Primers, Sealers, and Undercoaters</t>
  </si>
  <si>
    <t>Pre-Treatment Wash Primers</t>
  </si>
  <si>
    <t>Multi-Color Coatings</t>
  </si>
  <si>
    <t>Metallic Pigmented Coatings</t>
  </si>
  <si>
    <t>Mastic Texture Coatings</t>
  </si>
  <si>
    <t>Magnesite Cement Coatings</t>
  </si>
  <si>
    <r>
      <t>120</t>
    </r>
    <r>
      <rPr>
        <vertAlign val="superscript"/>
        <sz val="10"/>
        <color theme="1"/>
        <rFont val="Calibri"/>
        <family val="2"/>
      </rPr>
      <t>e</t>
    </r>
  </si>
  <si>
    <t>Low Solids Coatings</t>
  </si>
  <si>
    <t>Industrial Maintenance Coatings</t>
  </si>
  <si>
    <t>High Temperature Coatings</t>
  </si>
  <si>
    <t>Graphic Arts Coatings (Sign Paints)</t>
  </si>
  <si>
    <t>Form-Release Compounds</t>
  </si>
  <si>
    <t>Floor Coatings</t>
  </si>
  <si>
    <t>Fire Resistive Coatings</t>
  </si>
  <si>
    <t>Faux Finishing Coatings</t>
  </si>
  <si>
    <r>
      <t>LIMIT</t>
    </r>
    <r>
      <rPr>
        <b/>
        <vertAlign val="superscript"/>
        <sz val="10"/>
        <color theme="1"/>
        <rFont val="Calibri"/>
        <family val="2"/>
      </rPr>
      <t>d</t>
    </r>
    <r>
      <rPr>
        <b/>
        <sz val="10"/>
        <color theme="1"/>
        <rFont val="Calibri"/>
        <family val="2"/>
      </rPr>
      <t xml:space="preserve"> (g/l)</t>
    </r>
  </si>
  <si>
    <t>Coating Category</t>
  </si>
  <si>
    <t>Dry Fog Coatings</t>
  </si>
  <si>
    <t>Driveway Sealers</t>
  </si>
  <si>
    <t>Concrete/Masonry Sealers</t>
  </si>
  <si>
    <t>Concrete Curing Compounds</t>
  </si>
  <si>
    <t>Bond Breakers</t>
  </si>
  <si>
    <t>Bituminous Roof Primers</t>
  </si>
  <si>
    <t>Bituminous Roof Coatings</t>
  </si>
  <si>
    <t>Basement Specialty Coatings</t>
  </si>
  <si>
    <t>Aluminum Roof Coatings</t>
  </si>
  <si>
    <t>Specialty Coatings:</t>
  </si>
  <si>
    <t>Non-flat  High-Gloss Coatings</t>
  </si>
  <si>
    <t>Non-flat Coatings</t>
  </si>
  <si>
    <t>Flat Coatings</t>
  </si>
  <si>
    <r>
      <t>VOC Content Limits For Architectural Coatings</t>
    </r>
    <r>
      <rPr>
        <b/>
        <vertAlign val="superscript"/>
        <sz val="10"/>
        <color theme="1"/>
        <rFont val="Calibri"/>
        <family val="2"/>
      </rPr>
      <t>a,b,c</t>
    </r>
  </si>
  <si>
    <t>Waterborne IM</t>
  </si>
  <si>
    <t>Solvent-Based IM</t>
  </si>
  <si>
    <t>Architectural Coatings, excluding IM Coatings</t>
  </si>
  <si>
    <t>LIMIT (g/l)</t>
  </si>
  <si>
    <t>Colorant</t>
  </si>
  <si>
    <t>VOC Content Limits for Colorants</t>
  </si>
  <si>
    <t>b. For low-solid adhesives and sealants, the VOC limit is expressed in grams/liter of material as specified in Rule 1168. For all other adhesives and sealants, the VOC limits are expressed as grams of VOC per liter of adhesive or sealant less water and less exempt compounds as specified in Rule 1168.</t>
  </si>
  <si>
    <r>
      <t>a.</t>
    </r>
    <r>
      <rPr>
        <sz val="7"/>
        <color theme="1"/>
        <rFont val="Times New Roman"/>
        <family val="1"/>
      </rPr>
      <t xml:space="preserve">   </t>
    </r>
    <r>
      <rPr>
        <sz val="10"/>
        <color theme="1"/>
        <rFont val="Calibri"/>
        <family val="2"/>
      </rPr>
      <t>VOC limit less water and less exempt compounds in grams/liter</t>
    </r>
  </si>
  <si>
    <t>Structural wood member adhesive</t>
  </si>
  <si>
    <t>Special purpose contact adhesive</t>
  </si>
  <si>
    <t>Contact adhesive</t>
  </si>
  <si>
    <t>Adhesive primer for plastic</t>
  </si>
  <si>
    <t>Plastic cement welding</t>
  </si>
  <si>
    <t>ABS solvent cement</t>
  </si>
  <si>
    <t>PVC solvent cement</t>
  </si>
  <si>
    <t>CPVC solvent cement</t>
  </si>
  <si>
    <t>Other sealant primers</t>
  </si>
  <si>
    <t>Modified bituminous sealant primer</t>
  </si>
  <si>
    <t xml:space="preserve">  Porous</t>
  </si>
  <si>
    <t xml:space="preserve">  Non-porous</t>
  </si>
  <si>
    <t>Architectural sealant primer</t>
  </si>
  <si>
    <t>Architectural sealants</t>
  </si>
  <si>
    <t>Single ply roof membrane adhesives</t>
  </si>
  <si>
    <t>Structural glazing adhesives</t>
  </si>
  <si>
    <t>Multipurpose construction adhesives</t>
  </si>
  <si>
    <t>VOC LIMIT (g/l)</t>
  </si>
  <si>
    <t>ADHESIVE OR SEALANT</t>
  </si>
  <si>
    <t>Cove base adhesives</t>
  </si>
  <si>
    <t>Drywall and panel adhesives</t>
  </si>
  <si>
    <t>VCT and asphalt tile adhesives</t>
  </si>
  <si>
    <t>Ceramic tile adhesives</t>
  </si>
  <si>
    <t>Subfloor adhesives</t>
  </si>
  <si>
    <t>Rubber floor adhesives</t>
  </si>
  <si>
    <t>Wood flooring adhesive</t>
  </si>
  <si>
    <t>Outdoor carpet adhesives</t>
  </si>
  <si>
    <t>Carpet pad adhesives</t>
  </si>
  <si>
    <t xml:space="preserve">Indoor carpet adhesives </t>
  </si>
  <si>
    <r>
      <t>Site Applied Adhesive and Sealants VOC Limits</t>
    </r>
    <r>
      <rPr>
        <b/>
        <vertAlign val="superscript"/>
        <sz val="10"/>
        <color theme="1"/>
        <rFont val="Calibri"/>
        <family val="2"/>
      </rPr>
      <t>a,b</t>
    </r>
  </si>
  <si>
    <t># of fans:</t>
  </si>
  <si>
    <t>ACH50:</t>
  </si>
  <si>
    <t>602.1.7.1(3):</t>
  </si>
  <si>
    <t>END OF CHAPTER 9</t>
  </si>
  <si>
    <t>CLICK TO PROCEED TO CHAPTER 10 &gt;&gt;</t>
  </si>
  <si>
    <t>verFloors</t>
  </si>
  <si>
    <t>verHDucts</t>
  </si>
  <si>
    <t>verCool1</t>
  </si>
  <si>
    <t>verCool2</t>
  </si>
  <si>
    <t>verCool3</t>
  </si>
  <si>
    <t>verCDucts</t>
  </si>
  <si>
    <t>verwdSHGC</t>
  </si>
  <si>
    <t>versSHGC</t>
  </si>
  <si>
    <t>verwdUV</t>
  </si>
  <si>
    <t>versUV</t>
  </si>
  <si>
    <r>
      <rPr>
        <b/>
        <sz val="11"/>
        <color theme="1"/>
        <rFont val="Calibri"/>
        <family val="2"/>
        <scheme val="minor"/>
      </rPr>
      <t>Answered</t>
    </r>
    <r>
      <rPr>
        <sz val="11"/>
        <color theme="1"/>
        <rFont val="Calibri"/>
        <family val="2"/>
        <scheme val="minor"/>
      </rPr>
      <t xml:space="preserve"> - You have affirmed that this practice was chosen/not chosen or met/not met.</t>
    </r>
  </si>
  <si>
    <t xml:space="preserve">Multifamily Building Note: For a multifamily building, a weighted average of the individual unit sizes is used for this practice. </t>
  </si>
  <si>
    <t>Carpet meeting and carpet cushion not meeting the emission limits is installed.</t>
  </si>
  <si>
    <t>Sign Off After ROUGH Inspection</t>
  </si>
  <si>
    <t>Project ID:</t>
  </si>
  <si>
    <t>Certification Level - As Designed:</t>
  </si>
  <si>
    <t>Builder/Applicant:</t>
  </si>
  <si>
    <t>Building Type:</t>
  </si>
  <si>
    <t>Project Description:</t>
  </si>
  <si>
    <t>Chapter</t>
  </si>
  <si>
    <t xml:space="preserve">Designer </t>
  </si>
  <si>
    <t>BRONZE</t>
  </si>
  <si>
    <t>SILVER</t>
  </si>
  <si>
    <t>GOLD</t>
  </si>
  <si>
    <t>EMERALD</t>
  </si>
  <si>
    <r>
      <t xml:space="preserve">CHAPTER </t>
    </r>
    <r>
      <rPr>
        <b/>
        <sz val="11"/>
        <color theme="1"/>
        <rFont val="Calibri"/>
        <family val="2"/>
        <scheme val="minor"/>
      </rPr>
      <t>5</t>
    </r>
    <r>
      <rPr>
        <sz val="11"/>
        <color theme="1"/>
        <rFont val="Calibri"/>
        <family val="2"/>
        <scheme val="minor"/>
      </rPr>
      <t xml:space="preserve"> LOT DESIGN</t>
    </r>
  </si>
  <si>
    <r>
      <t xml:space="preserve">CHAPTER </t>
    </r>
    <r>
      <rPr>
        <b/>
        <sz val="11"/>
        <color theme="1"/>
        <rFont val="Calibri"/>
        <family val="2"/>
        <scheme val="minor"/>
      </rPr>
      <t>6</t>
    </r>
    <r>
      <rPr>
        <sz val="11"/>
        <color theme="1"/>
        <rFont val="Calibri"/>
        <family val="2"/>
        <scheme val="minor"/>
      </rPr>
      <t xml:space="preserve"> RESOURCE EFFICIENCY</t>
    </r>
  </si>
  <si>
    <r>
      <t xml:space="preserve">CHAPTER </t>
    </r>
    <r>
      <rPr>
        <b/>
        <sz val="11"/>
        <color theme="1"/>
        <rFont val="Calibri"/>
        <family val="2"/>
        <scheme val="minor"/>
      </rPr>
      <t>7</t>
    </r>
    <r>
      <rPr>
        <sz val="11"/>
        <color theme="1"/>
        <rFont val="Calibri"/>
        <family val="2"/>
        <scheme val="minor"/>
      </rPr>
      <t xml:space="preserve"> ENERGY EFFICIENCY</t>
    </r>
  </si>
  <si>
    <r>
      <t xml:space="preserve">CHAPTER </t>
    </r>
    <r>
      <rPr>
        <b/>
        <sz val="11"/>
        <color theme="1"/>
        <rFont val="Calibri"/>
        <family val="2"/>
        <scheme val="minor"/>
      </rPr>
      <t>8</t>
    </r>
    <r>
      <rPr>
        <sz val="11"/>
        <color theme="1"/>
        <rFont val="Calibri"/>
        <family val="2"/>
        <scheme val="minor"/>
      </rPr>
      <t xml:space="preserve"> WATER EFFICIENCY</t>
    </r>
  </si>
  <si>
    <r>
      <t xml:space="preserve">CHAPTER </t>
    </r>
    <r>
      <rPr>
        <b/>
        <sz val="11"/>
        <color theme="1"/>
        <rFont val="Calibri"/>
        <family val="2"/>
        <scheme val="minor"/>
      </rPr>
      <t>9</t>
    </r>
    <r>
      <rPr>
        <sz val="11"/>
        <color theme="1"/>
        <rFont val="Calibri"/>
        <family val="2"/>
        <scheme val="minor"/>
      </rPr>
      <t xml:space="preserve"> INDOOR ENVIRONMENTAL QUALITY</t>
    </r>
  </si>
  <si>
    <r>
      <t xml:space="preserve">CHAPTER </t>
    </r>
    <r>
      <rPr>
        <b/>
        <sz val="11"/>
        <color theme="1"/>
        <rFont val="Calibri"/>
        <family val="2"/>
        <scheme val="minor"/>
      </rPr>
      <t>10</t>
    </r>
    <r>
      <rPr>
        <sz val="11"/>
        <color theme="1"/>
        <rFont val="Calibri"/>
        <family val="2"/>
        <scheme val="minor"/>
      </rPr>
      <t xml:space="preserve"> OPERATION, MAINTENANCE</t>
    </r>
  </si>
  <si>
    <t>Total</t>
  </si>
  <si>
    <t>Builder Signature Release:</t>
  </si>
  <si>
    <t>Name:</t>
  </si>
  <si>
    <t>Email:</t>
  </si>
  <si>
    <t>Phone:</t>
  </si>
  <si>
    <t>Date:</t>
  </si>
  <si>
    <t>Verifier Comments &amp; Sign Off</t>
  </si>
  <si>
    <t>Verifier Comments:</t>
  </si>
  <si>
    <t>Verifier Signature:</t>
  </si>
  <si>
    <t>Start Time:</t>
  </si>
  <si>
    <t>End Time:</t>
  </si>
  <si>
    <t>(format: mm/dd/yyyy)</t>
  </si>
  <si>
    <t>Team Verification</t>
  </si>
  <si>
    <t xml:space="preserve">(Completing this section is MANDATORY whenever multiple accredited verifiers are involved in the verification of a given building or homes within a batch.) </t>
  </si>
  <si>
    <t>Verifier Name</t>
  </si>
  <si>
    <t>Role</t>
  </si>
  <si>
    <r>
      <rPr>
        <b/>
        <sz val="11"/>
        <color theme="1"/>
        <rFont val="Calibri"/>
        <family val="2"/>
        <scheme val="minor"/>
      </rPr>
      <t>Elements Verified</t>
    </r>
    <r>
      <rPr>
        <sz val="11"/>
        <color theme="1"/>
        <rFont val="Calibri"/>
        <family val="2"/>
        <scheme val="minor"/>
      </rPr>
      <t xml:space="preserve"> </t>
    </r>
    <r>
      <rPr>
        <i/>
        <sz val="8"/>
        <color theme="1"/>
        <rFont val="Calibri"/>
        <family val="2"/>
        <scheme val="minor"/>
      </rPr>
      <t>(if applicable)</t>
    </r>
  </si>
  <si>
    <t>OPTIONAL BATCH SUBMISSION</t>
  </si>
  <si>
    <t>Final Address</t>
  </si>
  <si>
    <t>Rough Address</t>
  </si>
  <si>
    <t>City, State, Zip</t>
  </si>
  <si>
    <t>Project ID</t>
  </si>
  <si>
    <r>
      <t xml:space="preserve">Inspection Date 
</t>
    </r>
    <r>
      <rPr>
        <sz val="8"/>
        <color theme="0" tint="-0.499984740745262"/>
        <rFont val="Calibri"/>
        <family val="2"/>
        <scheme val="minor"/>
      </rPr>
      <t>(format: mm/dd/yyyy)</t>
    </r>
  </si>
  <si>
    <t>- REQUIREMENTS FOR BATCH SUBMISSION -</t>
  </si>
  <si>
    <t>Sign Off After FINAL Inspection</t>
  </si>
  <si>
    <t>I authorize delivery of the certificate via:</t>
  </si>
  <si>
    <t>Certificate should be sent to:</t>
  </si>
  <si>
    <t>I certify that to the best of my knowledge, based on documentation presented to me and inspections completed by me, the items noted in this verification report are in conformance with ICC-700 and the guidance in the Verifier Agreement and Verifier's Resource Guide.  My company did not supply product, participate in the physical construction of this project, or affiliated in any other way that would compromise the independence of my verification services.</t>
  </si>
  <si>
    <t>I hereby disclose that the services provided by my company related to this home were:</t>
  </si>
  <si>
    <t>Other Service Description
(If applicable)</t>
  </si>
  <si>
    <t>Expected  Level:</t>
  </si>
  <si>
    <t>Verifier Reminder:</t>
  </si>
  <si>
    <t>Delivery Method</t>
  </si>
  <si>
    <t>Expected Level</t>
  </si>
  <si>
    <t>US Mail</t>
  </si>
  <si>
    <t>Address On File</t>
  </si>
  <si>
    <t>Address as noted in Builder Comment</t>
  </si>
  <si>
    <t>Service Disclosure</t>
  </si>
  <si>
    <t>Verification Only</t>
  </si>
  <si>
    <t>Other sevices as disclosed to the right</t>
  </si>
  <si>
    <t>Community site plan or official local jurisdiction bike lane map.</t>
  </si>
  <si>
    <t>Both a plan and implementation is required to award points. Lot specific information for:</t>
  </si>
  <si>
    <t>Statement from professional that he/she directed plan implementation. This applies to high priority resources.</t>
  </si>
  <si>
    <t>Invoice or other evidence from Certified Arborist.</t>
  </si>
  <si>
    <t>Statement from professional that maintenance of vegetation during construction complies.</t>
  </si>
  <si>
    <t>Written conservation plan.</t>
  </si>
  <si>
    <t>Report from qualified professional indicating the percent alignment.</t>
  </si>
  <si>
    <t>Plans showing grading &amp; clearing limits.</t>
  </si>
  <si>
    <t>Calculation showing % of hardscape surface covered with permeable materials.</t>
  </si>
  <si>
    <t>Landscape plan that identifies natural vegetation on the lot to be protected, enhanced, or restored.</t>
  </si>
  <si>
    <t>List of regionally appropriate plants must be on plan. Landscape contractor statement or labels on plants.</t>
  </si>
  <si>
    <t>Landscape plan by qualified landscape professional that identifies flowering and nectar producing species on at least 10% of planted areas.</t>
  </si>
  <si>
    <t>Landscape plan by qualified landscape professional.</t>
  </si>
  <si>
    <t>Landscape plan by qualified professional stating intent of practice will be met.</t>
  </si>
  <si>
    <t>PO or invoice for contractor providing onsite recycling.</t>
  </si>
  <si>
    <t>Development-wide or lot-specific wildlife management plan by a qualified professional. The measures to support wildlife habitat should be commensurate with the lot size and surroundings. Points are available for lots when community space supports wildlife habitat. The minimum support measures should include at least 2 of the following: area for shelter, natural food source, and natural water source.</t>
  </si>
  <si>
    <t>None.</t>
  </si>
  <si>
    <t>Calculation of number of units divided by lot size for the building.</t>
  </si>
  <si>
    <t>Plan specs.</t>
  </si>
  <si>
    <t>Engineer’s statement that the intent of the practice has been met.</t>
  </si>
  <si>
    <t>Specifications showing higher grade materials.</t>
  </si>
  <si>
    <t>Engineer’s statement of design report showing performance based design meeting the intent of the practice.</t>
  </si>
  <si>
    <t>Plans showing dimensions &amp; layouts to minimize material usage and waste.</t>
  </si>
  <si>
    <t>PO and documentation from producer.</t>
  </si>
  <si>
    <t xml:space="preserve">List of materials and manufacture’s literature (unless pre-finished is obvious) that do not get site finished. Note if used at 90%, 50%, or 35% level. </t>
  </si>
  <si>
    <t>Plans showing foundation details.</t>
  </si>
  <si>
    <t>Plans/specifications AND scope of work(s) detailing how mandatory requirement has been met. Photo(s) showing installation. Report from certified professional when the building code exceptions are used. </t>
  </si>
  <si>
    <t>Plans/specifications AND scope of work(s) detailing how this requirement has been met. Photo(s) showing installation.</t>
  </si>
  <si>
    <t>Plans, specification, or scope of work showing enhanced foundation coating.</t>
  </si>
  <si>
    <t>Plans showing exterior and interior rain tile for foundation, if applicable.</t>
  </si>
  <si>
    <t xml:space="preserve">If wet insulation is used, provide documentation of moisture content before enclosure. </t>
  </si>
  <si>
    <t>Projection factor calculations = overhang width/ height to the overhang (Measure height from sill of window or door to the overhang) See illustration in the definition section of standard.</t>
  </si>
  <si>
    <t>Plans/documentation showing original square footage. When modified, plans showing modifications. When deconstructed, photos showing process and receipts for donation of major components.</t>
  </si>
  <si>
    <t xml:space="preserve">List of the type and quantity of salvaged materials used on this building. Demonstrate that the installed cost of the salvaged materials to be = to or &gt;1% of total construction costs. </t>
  </si>
  <si>
    <t>List of materials used with recycled content. Manufacturer’s literature showing recycled content.</t>
  </si>
  <si>
    <t>Post C&amp;D waste management plan on-site. Evidence that at least 50% of waste materials are being recycled or salvaged.</t>
  </si>
  <si>
    <t>No documentation required, but builder rep shall point out on-site recycling efforts and explain 50% goal.</t>
  </si>
  <si>
    <t>Copy of agreement with and pick-up tickets by recycling contractor, list of materials sent to recycler.</t>
  </si>
  <si>
    <t>List of materials and amounts, and manufacturers’ literature or certificate documenting materials manufactured from renewable resources used on this site.</t>
  </si>
  <si>
    <t>List of certified wood product types used and literature or stamp showing certification.</t>
  </si>
  <si>
    <t xml:space="preserve">List materials used and manufacturer’s literature showing source and amount of energy used in manufacturing. </t>
  </si>
  <si>
    <t>List the products used and justification that are claimed to use fewer resources if not specifically listed in the practice.</t>
  </si>
  <si>
    <t>List the materials or components and manufacturing location used in the home that are extracted, processed, and manufactured within 500 miles</t>
  </si>
  <si>
    <t>Documented ISO 14044 LCA comparing at least two products intended for the same application.</t>
  </si>
  <si>
    <t>List of materials used to include manufacturer, cost of materials, and % of total materials cost. Copy of ISO14001 certificate for each material claimed. Analysis showing total material cost.</t>
  </si>
  <si>
    <t>List of certified products with product literature or other evidence of certification.</t>
  </si>
  <si>
    <t>Drawing, specifications, scopes of work detailing air sealing that is not readily inspected during the rough inspection.</t>
  </si>
  <si>
    <t>Manufacturer’s label or literature indicating listing complying with this practice.</t>
  </si>
  <si>
    <t xml:space="preserve">Manufacturer’s literature stating compliance with the practice. </t>
  </si>
  <si>
    <t>Manufacturer’s literature.</t>
  </si>
  <si>
    <t>Manufacture’s literature or label.</t>
  </si>
  <si>
    <t>Manufacturer’s literature or label. Note: The EPA does not certify fireplaces. There are EPA-qualified fireplaces that are acceptable for this practice.</t>
  </si>
  <si>
    <t>Manufacturer’s literature or label.</t>
  </si>
  <si>
    <t>Manufacturer’s literature/specifications for fan.</t>
  </si>
  <si>
    <t xml:space="preserve">Manufacturer’s literature showing 3rd party certification. </t>
  </si>
  <si>
    <t>List of interior coatings used showing amount used, %, and VOC criteria. Manufacturer’s literature showing VOC. Scopes of work or specifications showing which materials were to be used.</t>
  </si>
  <si>
    <t>List of all colorants used showing amount used, %, and VOC criteria. Manufacturer’s literature showing VOC as listed. Scopes of work or specifications showing which materials were to be used.</t>
  </si>
  <si>
    <t>List of interior coatings used showing amount used, %, and VOC criteria. Manufacturer’s literature showing VOC and product certification. Scopes of work or specifications showing which materials were to be used.</t>
  </si>
  <si>
    <t>List of all interior sealants used showing amount, %, and VOC criteria. Manufacturer’s literature showing VOC and product certification when applicable.</t>
  </si>
  <si>
    <t>Manufacturer’s literature or product marking showing compliance for wall, ceiling and/or floor insulation.</t>
  </si>
  <si>
    <t>Manufacturer’s literature/specifications for the fan showing cfm.</t>
  </si>
  <si>
    <t>Manufacturer’s literature/specifications showing cfm.</t>
  </si>
  <si>
    <t>Test report by qualified professional showing compliance as installed.</t>
  </si>
  <si>
    <t>Designer/installer certification of system capability for installed MERV filters.</t>
  </si>
  <si>
    <t>Invoice from cleaning contractor showing cleaning and coil inspection.</t>
  </si>
  <si>
    <t>Manufacturer’s literature detailing capabilities. Statement by qualified professional that the system as installed has the capacity to meet the practice.</t>
  </si>
  <si>
    <t>Manufacturer’s literature showing cfm.</t>
  </si>
  <si>
    <t>Builder’s documented procedures &amp; standard practices explaining the occupant training process. Examples of training materials and written confirmation from similar projects that training has been done.</t>
  </si>
  <si>
    <t xml:space="preserve">Visual confirmation and/or photos of the construction signs visible on site during construction. </t>
  </si>
  <si>
    <t>Purchase order for certification signage and written instructions regarding installation location.</t>
  </si>
  <si>
    <t xml:space="preserve">Photos, screen shots of web pages, or copies of marketing materials that include www.ngbs.com. </t>
  </si>
  <si>
    <r>
      <t>Flooring manufacturer’s recommendations for moisture content. Moisture sampling data by builder or 3</t>
    </r>
    <r>
      <rPr>
        <vertAlign val="superscript"/>
        <sz val="10"/>
        <color theme="1"/>
        <rFont val="Calibri"/>
        <family val="2"/>
        <scheme val="minor"/>
      </rPr>
      <t>rd</t>
    </r>
    <r>
      <rPr>
        <sz val="10"/>
        <color theme="1"/>
        <rFont val="Calibri"/>
        <family val="2"/>
        <scheme val="minor"/>
      </rPr>
      <t xml:space="preserve"> party.</t>
    </r>
  </si>
  <si>
    <r>
      <t>3</t>
    </r>
    <r>
      <rPr>
        <vertAlign val="superscript"/>
        <sz val="10"/>
        <color theme="1"/>
        <rFont val="Calibri"/>
        <family val="2"/>
        <scheme val="minor"/>
      </rPr>
      <t>rd</t>
    </r>
    <r>
      <rPr>
        <sz val="10"/>
        <color theme="1"/>
        <rFont val="Calibri"/>
        <family val="2"/>
        <scheme val="minor"/>
      </rPr>
      <t xml:space="preserve"> party test report showing compliance as installed.</t>
    </r>
  </si>
  <si>
    <r>
      <t>Moisture sampling data by builder or 3</t>
    </r>
    <r>
      <rPr>
        <vertAlign val="superscript"/>
        <sz val="10"/>
        <color theme="1"/>
        <rFont val="Calibri"/>
        <family val="2"/>
        <scheme val="minor"/>
      </rPr>
      <t>rd</t>
    </r>
    <r>
      <rPr>
        <sz val="10"/>
        <color theme="1"/>
        <rFont val="Calibri"/>
        <family val="2"/>
        <scheme val="minor"/>
      </rPr>
      <t xml:space="preserve"> party.</t>
    </r>
  </si>
  <si>
    <t>Overview (Design Phase)</t>
  </si>
  <si>
    <t>Overview (Verifier phase)</t>
  </si>
  <si>
    <t>Who completed this information?</t>
  </si>
  <si>
    <t>Caveats</t>
  </si>
  <si>
    <t>CLICK HERE TO GET STARTED!</t>
  </si>
  <si>
    <t>DESIGN PHASE:</t>
  </si>
  <si>
    <r>
      <t xml:space="preserve">Begin on the </t>
    </r>
    <r>
      <rPr>
        <b/>
        <sz val="11"/>
        <color theme="1"/>
        <rFont val="Calibri"/>
        <family val="2"/>
        <scheme val="minor"/>
      </rPr>
      <t>Overview (Design)</t>
    </r>
    <r>
      <rPr>
        <sz val="11"/>
        <color theme="1"/>
        <rFont val="Calibri"/>
        <family val="2"/>
        <scheme val="minor"/>
      </rPr>
      <t xml:space="preserve"> page. Complete all mandatory information and as much non-mandatory information as possible before moving on to the rest of the workbook. </t>
    </r>
  </si>
  <si>
    <t>VERIFICATION PHASE:</t>
  </si>
  <si>
    <t>Information in the header will track your points progress for that Chapter in real time. The header will also display warnings if you are missing any mandatory information or there is an error on that page. The Chapter Level may not display while there are still errors on the page.</t>
  </si>
  <si>
    <t>www.homeinnovation.com/FindNGBSverifier</t>
  </si>
  <si>
    <t>When you have finished scoring the design phase, send this file as an attachment to your verifier. They will complete the remainder. Accredited verifiers can be found at:</t>
  </si>
  <si>
    <r>
      <t xml:space="preserve">The </t>
    </r>
    <r>
      <rPr>
        <b/>
        <sz val="11"/>
        <color theme="1"/>
        <rFont val="Calibri"/>
        <family val="2"/>
        <scheme val="minor"/>
      </rPr>
      <t>Design Summary</t>
    </r>
    <r>
      <rPr>
        <sz val="11"/>
        <color theme="1"/>
        <rFont val="Calibri"/>
        <family val="2"/>
        <scheme val="minor"/>
      </rPr>
      <t xml:space="preserve"> page shows a summary of the points claimed in the Design phase. It will also indicate if there is anything missing or incorrect in each Chapter.</t>
    </r>
  </si>
  <si>
    <t>Report Phase:</t>
  </si>
  <si>
    <r>
      <t xml:space="preserve">The </t>
    </r>
    <r>
      <rPr>
        <b/>
        <sz val="11"/>
        <color theme="1"/>
        <rFont val="Calibri"/>
        <family val="2"/>
        <scheme val="minor"/>
      </rPr>
      <t>Verification Report</t>
    </r>
    <r>
      <rPr>
        <sz val="11"/>
        <color theme="1"/>
        <rFont val="Calibri"/>
        <family val="2"/>
        <scheme val="minor"/>
      </rPr>
      <t xml:space="preserve"> page is used for both parts of the Verification phase. At the top of the page, select the goal level and the phase (Rough or Final).</t>
    </r>
  </si>
  <si>
    <t>Some practices should only be claimed during one phase of Verification. If the practice is not available during your current phase, it will be greyed out.</t>
  </si>
  <si>
    <t>Points claimed in the Design phase are displayed for easy comparison. On practices where the choices are not obvious based on point values, chosen portions of the practice will be highlighted in green.</t>
  </si>
  <si>
    <t>NOTE: If "N/A" is selected, please explain in the Notes area.</t>
  </si>
  <si>
    <t>Built to IBC</t>
  </si>
  <si>
    <t>901.10</t>
  </si>
  <si>
    <t>RF</t>
  </si>
  <si>
    <t>R</t>
  </si>
  <si>
    <t>F</t>
  </si>
  <si>
    <t>P</t>
  </si>
  <si>
    <t>Site assessment and plan that identifies important existing permeable soils, natural drainage ways and other water features.  Photos or other document showing water &amp; natural drainage prior to development.</t>
  </si>
  <si>
    <t>Documented ISO 14044 Building Assembly LCA comparing at least two assemblies intended for the same application.</t>
  </si>
  <si>
    <t>This workbook will be updated periodically.  Before scoring a project, check if you have the latest version.</t>
  </si>
  <si>
    <t>This scoring tool was developed using Microsoft Excel for PC. Features of this spreadsheet may not work in older Excel versions, in spreadsheet software other than Excel, or platforms other than Windows.</t>
  </si>
  <si>
    <r>
      <rPr>
        <b/>
        <sz val="11"/>
        <color theme="1"/>
        <rFont val="Calibri"/>
        <family val="2"/>
        <scheme val="minor"/>
      </rPr>
      <t>Chapters 5 through 10</t>
    </r>
    <r>
      <rPr>
        <sz val="11"/>
        <color theme="1"/>
        <rFont val="Calibri"/>
        <family val="2"/>
        <scheme val="minor"/>
      </rPr>
      <t xml:space="preserve"> are for the design phase. Claim practices using checkboxes, dropdowns, and number entry. Practices are colored based on their availability (see Key below).</t>
    </r>
  </si>
  <si>
    <r>
      <t xml:space="preserve">Verifiers should begin with the </t>
    </r>
    <r>
      <rPr>
        <b/>
        <sz val="11"/>
        <color theme="1"/>
        <rFont val="Calibri"/>
        <family val="2"/>
        <scheme val="minor"/>
      </rPr>
      <t>Overview (Verification)</t>
    </r>
    <r>
      <rPr>
        <sz val="11"/>
        <color theme="1"/>
        <rFont val="Calibri"/>
        <family val="2"/>
        <scheme val="minor"/>
      </rPr>
      <t xml:space="preserve"> page. Verifiers must confirm the information on the </t>
    </r>
    <r>
      <rPr>
        <b/>
        <sz val="11"/>
        <color theme="1"/>
        <rFont val="Calibri"/>
        <family val="2"/>
        <scheme val="minor"/>
      </rPr>
      <t>Overview (Design)</t>
    </r>
    <r>
      <rPr>
        <sz val="11"/>
        <color theme="1"/>
        <rFont val="Calibri"/>
        <family val="2"/>
        <scheme val="minor"/>
      </rPr>
      <t xml:space="preserve"> page. If any information is incorrect, uncheck the corresponding checkbox and enter the correct information here.</t>
    </r>
  </si>
  <si>
    <r>
      <t xml:space="preserve">When the rough portion of the Verification phase is complete, move on to the </t>
    </r>
    <r>
      <rPr>
        <b/>
        <sz val="11"/>
        <color theme="1"/>
        <rFont val="Calibri"/>
        <family val="2"/>
        <scheme val="minor"/>
      </rPr>
      <t>Rough Signature</t>
    </r>
    <r>
      <rPr>
        <sz val="11"/>
        <color theme="1"/>
        <rFont val="Calibri"/>
        <family val="2"/>
        <scheme val="minor"/>
      </rPr>
      <t xml:space="preserve"> page. Fill out the necessary information before submitting the file to Home Innovation.</t>
    </r>
  </si>
  <si>
    <r>
      <t xml:space="preserve">When the final portion of the Verification phase is complete, move to the </t>
    </r>
    <r>
      <rPr>
        <b/>
        <sz val="11"/>
        <color theme="1"/>
        <rFont val="Calibri"/>
        <family val="2"/>
        <scheme val="minor"/>
      </rPr>
      <t>Final Signature</t>
    </r>
    <r>
      <rPr>
        <sz val="11"/>
        <color theme="1"/>
        <rFont val="Calibri"/>
        <family val="2"/>
        <scheme val="minor"/>
      </rPr>
      <t xml:space="preserve"> page. Fill out necessary information before submitting the file to Home Innovation.</t>
    </r>
  </si>
  <si>
    <t>R/F</t>
  </si>
  <si>
    <t>606.0</t>
  </si>
  <si>
    <t>605.0</t>
  </si>
  <si>
    <t>603.0</t>
  </si>
  <si>
    <t>505.0</t>
  </si>
  <si>
    <t>1003.0</t>
  </si>
  <si>
    <t>901.0</t>
  </si>
  <si>
    <t>Address of Home:</t>
  </si>
  <si>
    <t>I certify to the best of my knowledge all practices in this verification report have been properly met during the construction of this building.  By signing this, I am requesting that the verifier submit this report/building for consideration of a certificate for certification to the National Green Building Standard under the Home Innovation's NGBS Green Certification Program.
I understand that the final certification level will be based on results of the rough and final inspections after review by Home Innovation.</t>
  </si>
  <si>
    <t>Builder Rep. Signature:</t>
  </si>
  <si>
    <r>
      <t xml:space="preserve">Builder Rep. Signature: </t>
    </r>
    <r>
      <rPr>
        <b/>
        <sz val="11"/>
        <color theme="0" tint="-0.24994659260841701"/>
        <rFont val="Calibri"/>
        <family val="2"/>
        <scheme val="minor"/>
      </rPr>
      <t>(Optional)</t>
    </r>
  </si>
  <si>
    <t>Certification Level - Final:</t>
  </si>
  <si>
    <t>Builder Comments:</t>
  </si>
  <si>
    <t>Overnight $50.00</t>
  </si>
  <si>
    <t>Batch ID:</t>
  </si>
  <si>
    <t>Remove:</t>
  </si>
  <si>
    <t>rgherror</t>
  </si>
  <si>
    <t>There are errors in the Verification Report Sheet!</t>
  </si>
  <si>
    <t>There is missing mandatory information on this sheet!</t>
  </si>
  <si>
    <t>X = not allowed, any length of duct of this size with assumed turns and fitting will exceed the rated pressure drop.</t>
  </si>
  <si>
    <t>NL = no limit on duct length of this size.</t>
  </si>
  <si>
    <t>This table assumes no elbows. Deduct 15 ft (5 m) of allowable duct length for each elbow.</t>
  </si>
  <si>
    <t>NL</t>
  </si>
  <si>
    <t>7 (175) and above</t>
  </si>
  <si>
    <t>145 (48)</t>
  </si>
  <si>
    <t>95 (32)</t>
  </si>
  <si>
    <t>125 (42)</t>
  </si>
  <si>
    <t>6 (150)</t>
  </si>
  <si>
    <t>55 (18)</t>
  </si>
  <si>
    <t>85 (28)</t>
  </si>
  <si>
    <t>135 (45)</t>
  </si>
  <si>
    <t>20 (7)</t>
  </si>
  <si>
    <t>35 (12)</t>
  </si>
  <si>
    <t>70 (27)</t>
  </si>
  <si>
    <t>5 (125)</t>
  </si>
  <si>
    <t>5 (2)</t>
  </si>
  <si>
    <t>105 (35)</t>
  </si>
  <si>
    <t>3 (1)</t>
  </si>
  <si>
    <t>4 (100)</t>
  </si>
  <si>
    <t>3 (75)</t>
  </si>
  <si>
    <t>Maximum Length, ft (m)</t>
  </si>
  <si>
    <t>Diameter, in. (mm)</t>
  </si>
  <si>
    <t>(L/s @ 62.5 Pa)</t>
  </si>
  <si>
    <t>cfm @ 0.25 in. w.g.</t>
  </si>
  <si>
    <t>Smooth Duct</t>
  </si>
  <si>
    <t>Flex Duct</t>
  </si>
  <si>
    <t>Fan Rating</t>
  </si>
  <si>
    <t>Duct Type</t>
  </si>
  <si>
    <t>Prescriptive Duct Sizing</t>
  </si>
  <si>
    <t>TABLE A201</t>
  </si>
  <si>
    <r>
      <t>A201.1</t>
    </r>
    <r>
      <rPr>
        <sz val="10"/>
        <color theme="1"/>
        <rFont val="Arial"/>
        <family val="2"/>
      </rPr>
      <t xml:space="preserve"> </t>
    </r>
    <r>
      <rPr>
        <b/>
        <sz val="10"/>
        <color theme="1"/>
        <rFont val="Arial"/>
        <family val="2"/>
      </rPr>
      <t xml:space="preserve">Airflow rating. </t>
    </r>
    <r>
      <rPr>
        <sz val="10"/>
        <color theme="1"/>
        <rFont val="Arial"/>
        <family val="2"/>
      </rPr>
      <t>The airflows required by this standard refer to the delivered airflow of the system as installed and tested using a flow hood, flow grid, or other airflow measuring device. Alternatively, the airflow rating at a pressure of 0.25 in. w.c. (62.5 Pa) may be used, provided the duct sizing meets the prescriptive requirements of Table A201 or manufacturers’ design criteria.</t>
    </r>
  </si>
  <si>
    <t>AIR FLOW RATING</t>
  </si>
  <si>
    <t>A200</t>
  </si>
  <si>
    <r>
      <t>A101.3 Acknowledgment.</t>
    </r>
    <r>
      <rPr>
        <sz val="10"/>
        <color theme="1"/>
        <rFont val="Arial"/>
        <family val="2"/>
      </rPr>
      <t xml:space="preserve"> The text of Appendix A, Section A200 and related Table are extracted from ASHRAE (American Society of Heating, Refrigerating and Air-Conditioning Engineers, Inc.) Standard 62.2-2007 </t>
    </r>
    <r>
      <rPr>
        <i/>
        <sz val="10"/>
        <color theme="1"/>
        <rFont val="Arial"/>
        <family val="2"/>
      </rPr>
      <t>Ventilation and Acceptable Indoor Air Quality in Low-Rise Residential Buildings</t>
    </r>
    <r>
      <rPr>
        <sz val="10"/>
        <color theme="1"/>
        <rFont val="Arial"/>
        <family val="2"/>
      </rPr>
      <t>, Section 7.3 and Table 7.1, respectively, and is used with the permission of ASHRAE. The referenced Section and Table numbers within the extracted text are modified to be applicable to Appendix A of this Standard.</t>
    </r>
  </si>
  <si>
    <r>
      <t>A101.2 Scope.</t>
    </r>
    <r>
      <rPr>
        <sz val="10"/>
        <color theme="1"/>
        <rFont val="Arial"/>
        <family val="2"/>
      </rPr>
      <t xml:space="preserve"> The provisions contained in Appendix A provide the criteria necessary for complying with Section 901.3(1)(c) for the installation of ducted exhaust fans in garages. To receive points for implementing Practice 901.3(1)(c), the fan airflow rating and duct sizing for ducted exhaust fans are to be in accordance with the applicable criteria of Appendix A.</t>
    </r>
  </si>
  <si>
    <r>
      <t>A101.1 Applicability of Appendix A.</t>
    </r>
    <r>
      <rPr>
        <sz val="10"/>
        <color theme="1"/>
        <rFont val="Arial"/>
        <family val="2"/>
      </rPr>
      <t xml:space="preserve"> Appendix A is part of this Standard. </t>
    </r>
  </si>
  <si>
    <t>SCOPE AND APPLICABILITY</t>
  </si>
  <si>
    <t>A100</t>
  </si>
  <si>
    <t>DUCTED GARAGE EXHAUST FAN SIZING CRITERIA</t>
  </si>
  <si>
    <t>APPENDIX A</t>
  </si>
  <si>
    <r>
      <t xml:space="preserve">Exception: </t>
    </r>
    <r>
      <rPr>
        <sz val="10"/>
        <color theme="1"/>
        <rFont val="Arial"/>
        <family val="2"/>
      </rPr>
      <t>These ventilation strategies are not restricted if the authority having jurisdiction approves the envelope design as being moisture resistant.</t>
    </r>
  </si>
  <si>
    <r>
      <t xml:space="preserve">B201.6.2 Very Cold Climates. </t>
    </r>
    <r>
      <rPr>
        <sz val="10"/>
        <color theme="1"/>
        <rFont val="Arial"/>
        <family val="2"/>
      </rPr>
      <t>Mechanical supply systems exceeding 7.5 cfm per 100 ft</t>
    </r>
    <r>
      <rPr>
        <vertAlign val="superscript"/>
        <sz val="10"/>
        <color theme="1"/>
        <rFont val="Arial"/>
        <family val="2"/>
      </rPr>
      <t>2</t>
    </r>
    <r>
      <rPr>
        <sz val="10"/>
        <color theme="1"/>
        <rFont val="Arial"/>
        <family val="2"/>
      </rPr>
      <t xml:space="preserve"> (35 L/s per 100 m</t>
    </r>
    <r>
      <rPr>
        <vertAlign val="superscript"/>
        <sz val="10"/>
        <color theme="1"/>
        <rFont val="Arial"/>
        <family val="2"/>
      </rPr>
      <t>2</t>
    </r>
    <r>
      <rPr>
        <sz val="10"/>
        <color theme="1"/>
        <rFont val="Arial"/>
        <family val="2"/>
      </rPr>
      <t>) shall not be used in very cold climates. (See ASHRAE 62.2*, Section 8 for a listing of very cold US climates.)</t>
    </r>
  </si>
  <si>
    <r>
      <t xml:space="preserve">B201.6.1 Hot, Humid Climates. </t>
    </r>
    <r>
      <rPr>
        <sz val="10"/>
        <color theme="1"/>
        <rFont val="Arial"/>
        <family val="2"/>
      </rPr>
      <t>In hot, humid climates, whole-house mechanical net exhaust flow shall not exceed 7.5 cfm per 100 ft</t>
    </r>
    <r>
      <rPr>
        <vertAlign val="superscript"/>
        <sz val="10"/>
        <color theme="1"/>
        <rFont val="Arial"/>
        <family val="2"/>
      </rPr>
      <t>2</t>
    </r>
    <r>
      <rPr>
        <sz val="10"/>
        <color theme="1"/>
        <rFont val="Arial"/>
        <family val="2"/>
      </rPr>
      <t xml:space="preserve"> (35 L/s per 100 m</t>
    </r>
    <r>
      <rPr>
        <vertAlign val="superscript"/>
        <sz val="10"/>
        <color theme="1"/>
        <rFont val="Arial"/>
        <family val="2"/>
      </rPr>
      <t>2</t>
    </r>
    <r>
      <rPr>
        <sz val="10"/>
        <color theme="1"/>
        <rFont val="Arial"/>
        <family val="2"/>
      </rPr>
      <t>). (See ASHRAE 62.2*, Section 8 for a listing of hot, humid US climates.)</t>
    </r>
  </si>
  <si>
    <r>
      <t>B201.6</t>
    </r>
    <r>
      <rPr>
        <sz val="10"/>
        <color theme="1"/>
        <rFont val="Arial"/>
        <family val="2"/>
      </rPr>
      <t xml:space="preserve"> </t>
    </r>
    <r>
      <rPr>
        <b/>
        <sz val="10"/>
        <color theme="1"/>
        <rFont val="Arial"/>
        <family val="2"/>
      </rPr>
      <t>Restrictions on System Type.</t>
    </r>
    <r>
      <rPr>
        <sz val="10"/>
        <color theme="1"/>
        <rFont val="Arial"/>
        <family val="2"/>
      </rPr>
      <t xml:space="preserve"> Use of certain ventilation strategies is restricted in specific climates as follows.</t>
    </r>
  </si>
  <si>
    <t xml:space="preserve">For values not listed, use the next higher value for cycle time or the next lower value for Fractional On-Time. Linear interpolation is allowed for intermediate Fractional On-Times. The maximum allowed Cycle Time is 24 hours and the minimum allowed Fractional On-Time is 0.1. </t>
  </si>
  <si>
    <t xml:space="preserve">See Chapter 10 of Guideline 24 for an example of this calculation. </t>
  </si>
  <si>
    <t>*</t>
  </si>
  <si>
    <t>0-4</t>
  </si>
  <si>
    <r>
      <t>Cycle Time, T</t>
    </r>
    <r>
      <rPr>
        <b/>
        <vertAlign val="subscript"/>
        <sz val="10"/>
        <color theme="1"/>
        <rFont val="Arial"/>
        <family val="2"/>
      </rPr>
      <t xml:space="preserve">cyc </t>
    </r>
    <r>
      <rPr>
        <b/>
        <sz val="10"/>
        <color theme="1"/>
        <rFont val="Arial"/>
        <family val="2"/>
      </rPr>
      <t>(h)</t>
    </r>
  </si>
  <si>
    <t xml:space="preserve">Fractional On-Time, </t>
  </si>
  <si>
    <t>Ventilation Effectiveness for Intermittent Fans</t>
  </si>
  <si>
    <t>TABLE B201.5</t>
  </si>
  <si>
    <t>fractional on time, defined as the on-time for one cycle divided by the cycle time</t>
  </si>
  <si>
    <t>=</t>
  </si>
  <si>
    <t>ventilation effectiveness (from Table B201.5)</t>
  </si>
  <si>
    <t>fan cycle time, defined as the total time for one on-cycle and one off-cycle (used in Table B201.5)</t>
  </si>
  <si>
    <r>
      <t>T</t>
    </r>
    <r>
      <rPr>
        <i/>
        <vertAlign val="subscript"/>
        <sz val="10"/>
        <color theme="1"/>
        <rFont val="Times New Roman"/>
        <family val="1"/>
      </rPr>
      <t>cyc</t>
    </r>
  </si>
  <si>
    <t>ventilation air requirement (from Table B201.1a or B201.1b)</t>
  </si>
  <si>
    <t>fan flow rate during the on-cycle</t>
  </si>
  <si>
    <t>where</t>
  </si>
  <si>
    <t>Equation B201.5</t>
  </si>
  <si>
    <r>
      <t xml:space="preserve">Exception: </t>
    </r>
    <r>
      <rPr>
        <sz val="10"/>
        <color theme="1"/>
        <rFont val="Arial"/>
        <family val="2"/>
      </rPr>
      <t>The effective ventilation rate of an intermittent system is the combination of its delivered capacity, its daily fractional on-time, cycle time, and the ventilation effectiveness from Table B201.2. The fan flow rate required to achieve an effective ventilation rate that is equivalent to the continuous ventilation requirement shall be calculated from the following equation:</t>
    </r>
  </si>
  <si>
    <r>
      <t>B201.5</t>
    </r>
    <r>
      <rPr>
        <sz val="10"/>
        <color theme="1"/>
        <rFont val="Arial"/>
        <family val="2"/>
      </rPr>
      <t xml:space="preserve"> </t>
    </r>
    <r>
      <rPr>
        <b/>
        <sz val="10"/>
        <color theme="1"/>
        <rFont val="Arial"/>
        <family val="2"/>
      </rPr>
      <t>Delivered Ventilation.</t>
    </r>
    <r>
      <rPr>
        <sz val="10"/>
        <color theme="1"/>
        <rFont val="Arial"/>
        <family val="2"/>
      </rPr>
      <t xml:space="preserve"> The delivered ventilation rate shall be calculated as the larger of the total supply or total exhaust and shall be no less than specified in Section B201.1 during each hour of operation.</t>
    </r>
  </si>
  <si>
    <r>
      <t xml:space="preserve">Exception: </t>
    </r>
    <r>
      <rPr>
        <sz val="10"/>
        <color theme="1"/>
        <rFont val="Arial"/>
        <family val="2"/>
      </rPr>
      <t>An intermittently operating, whole-house mechanical ventilation system may be used if the ventilation rate is adjusted, according to the exception to Section B201.5. The system must be designed so that it can operate automatically based on a timer. The intermittent mechanical ventilation system must operate at least once per day and must operate at least 10 percent of the time.</t>
    </r>
  </si>
  <si>
    <r>
      <t>B201.4</t>
    </r>
    <r>
      <rPr>
        <sz val="10"/>
        <color theme="1"/>
        <rFont val="Arial"/>
        <family val="2"/>
      </rPr>
      <t xml:space="preserve"> </t>
    </r>
    <r>
      <rPr>
        <b/>
        <sz val="10"/>
        <color theme="1"/>
        <rFont val="Arial"/>
        <family val="2"/>
      </rPr>
      <t>Control and Operation.</t>
    </r>
    <r>
      <rPr>
        <sz val="10"/>
        <color theme="1"/>
        <rFont val="Arial"/>
        <family val="2"/>
      </rPr>
      <t xml:space="preserve"> The “fan on” switch on a heating or air-conditioning system shall be permitted as an operational control for systems introducing ventilation air through a duct to the return side of an HVAC system. Readily accessible override control must be provided to the occupant. Local exhaust fan switches and “fan on” switches shall be permitted as override controls. Controls, including the “fan-on” switch of a conditioning system, must be appropriately labeled.</t>
    </r>
  </si>
  <si>
    <r>
      <t>B201.3</t>
    </r>
    <r>
      <rPr>
        <sz val="10"/>
        <color theme="1"/>
        <rFont val="Arial"/>
        <family val="2"/>
      </rPr>
      <t xml:space="preserve"> </t>
    </r>
    <r>
      <rPr>
        <b/>
        <sz val="10"/>
        <color theme="1"/>
        <rFont val="Arial"/>
        <family val="2"/>
      </rPr>
      <t xml:space="preserve">Airflow Measurement. </t>
    </r>
    <r>
      <rPr>
        <sz val="10"/>
        <color theme="1"/>
        <rFont val="Arial"/>
        <family val="2"/>
      </rPr>
      <t>The airflow required by this section is the quantity of outdoor ventilation air supplied and/or indoor air exhausted by the ventilation system as installed and shall be measured using a flow hood, flow grid, or other airflow measuring device. Ventilation airflow of systems with multiple operating modes shall be tested in all modes designed to meet this section.</t>
    </r>
  </si>
  <si>
    <r>
      <t>B201.2</t>
    </r>
    <r>
      <rPr>
        <sz val="10"/>
        <color theme="1"/>
        <rFont val="Arial"/>
        <family val="2"/>
      </rPr>
      <t xml:space="preserve"> </t>
    </r>
    <r>
      <rPr>
        <b/>
        <sz val="10"/>
        <color theme="1"/>
        <rFont val="Arial"/>
        <family val="2"/>
      </rPr>
      <t xml:space="preserve">System Type. </t>
    </r>
    <r>
      <rPr>
        <sz val="10"/>
        <color theme="1"/>
        <rFont val="Arial"/>
        <family val="2"/>
      </rPr>
      <t>The whole-house ventilation system shall consist of one or more supply or exhaust fans and associated ducts and controls. Local exhaust fans shall be permitted to be part of a mechanical exhaust system. Outdoor air ducts connected to the return side of an air handler shall be permitted as supply ventilation if manufacturers’ requirements for return air temperature are met. See ASHRAE 62.2*, Appendix B for guidance on selection of methods.</t>
    </r>
  </si>
  <si>
    <r>
      <t>[1]</t>
    </r>
    <r>
      <rPr>
        <sz val="12"/>
        <color theme="1"/>
        <rFont val="Arial"/>
        <family val="2"/>
      </rPr>
      <t xml:space="preserve"> </t>
    </r>
    <r>
      <rPr>
        <i/>
        <sz val="9"/>
        <color theme="1"/>
        <rFont val="Arial"/>
        <family val="2"/>
      </rPr>
      <t xml:space="preserve">ANSI/ASHRAE Standard 136-1993 (RA 2006), A Method of Determining Air Change Rates in Detached Dwellings. </t>
    </r>
    <r>
      <rPr>
        <sz val="9"/>
        <color theme="1"/>
        <rFont val="Arial"/>
        <family val="2"/>
      </rPr>
      <t>American Society of Heating, Refrigerating and Air-Conditioning Engineers, Inc., Atlanta, GA.</t>
    </r>
  </si>
  <si>
    <t>&gt;697</t>
  </si>
  <si>
    <t>557.1–697</t>
  </si>
  <si>
    <t>418.1–557</t>
  </si>
  <si>
    <t>279.1–418</t>
  </si>
  <si>
    <t>139.1–279</t>
  </si>
  <si>
    <t>&lt;139</t>
  </si>
  <si>
    <t>&gt;7</t>
  </si>
  <si>
    <t>6–7</t>
  </si>
  <si>
    <t>4–5</t>
  </si>
  <si>
    <t>2–3</t>
  </si>
  <si>
    <t>0–1</t>
  </si>
  <si>
    <r>
      <t>(m</t>
    </r>
    <r>
      <rPr>
        <b/>
        <vertAlign val="superscript"/>
        <sz val="10"/>
        <color theme="1"/>
        <rFont val="Arial"/>
        <family val="2"/>
      </rPr>
      <t>2</t>
    </r>
    <r>
      <rPr>
        <b/>
        <sz val="10"/>
        <color theme="1"/>
        <rFont val="Arial"/>
        <family val="2"/>
      </rPr>
      <t>)</t>
    </r>
  </si>
  <si>
    <t>Bedrooms</t>
  </si>
  <si>
    <t>Floor Area</t>
  </si>
  <si>
    <t>Ventilation Air Requirements, L/s</t>
  </si>
  <si>
    <t>TABLE B201.1b (SI)</t>
  </si>
  <si>
    <t>&gt;7500</t>
  </si>
  <si>
    <t>6001–7500</t>
  </si>
  <si>
    <t>4501–6000</t>
  </si>
  <si>
    <t>3001–4500</t>
  </si>
  <si>
    <t>1501–3000</t>
  </si>
  <si>
    <t>&lt;1500</t>
  </si>
  <si>
    <r>
      <t>(ft</t>
    </r>
    <r>
      <rPr>
        <b/>
        <vertAlign val="superscript"/>
        <sz val="10"/>
        <color theme="1"/>
        <rFont val="Arial"/>
        <family val="2"/>
      </rPr>
      <t>2</t>
    </r>
    <r>
      <rPr>
        <b/>
        <sz val="10"/>
        <color theme="1"/>
        <rFont val="Arial"/>
        <family val="2"/>
      </rPr>
      <t>)</t>
    </r>
  </si>
  <si>
    <t>Ventilation Air Requirements, cfm</t>
  </si>
  <si>
    <t>TABLE B201.1a (I-P)</t>
  </si>
  <si>
    <t>number of bedrooms; not to be less than one</t>
  </si>
  <si>
    <r>
      <t>floor area, m</t>
    </r>
    <r>
      <rPr>
        <vertAlign val="superscript"/>
        <sz val="10"/>
        <color theme="1"/>
        <rFont val="Arial"/>
        <family val="2"/>
      </rPr>
      <t>2</t>
    </r>
  </si>
  <si>
    <t>fan flow rate, L/s</t>
  </si>
  <si>
    <t>Equation B201.1b</t>
  </si>
  <si>
    <r>
      <t>floor area, ft</t>
    </r>
    <r>
      <rPr>
        <vertAlign val="superscript"/>
        <sz val="10"/>
        <color theme="1"/>
        <rFont val="Arial"/>
        <family val="2"/>
      </rPr>
      <t>2</t>
    </r>
  </si>
  <si>
    <t>fan flow rate, cfm</t>
  </si>
  <si>
    <t>Equation B201.1a</t>
  </si>
  <si>
    <r>
      <rPr>
        <b/>
        <sz val="10"/>
        <color theme="1"/>
        <rFont val="Arial"/>
        <family val="2"/>
      </rPr>
      <t>B201.1.3 Infiltration Credit.</t>
    </r>
    <r>
      <rPr>
        <sz val="10"/>
        <color theme="1"/>
        <rFont val="Arial"/>
        <family val="2"/>
      </rPr>
      <t xml:space="preserve"> Section B201.1 includes a default credit for ventilation provided by infiltration of 2 cfm/100 ft2 (10 L/s per 100 m2) of occupiable floor space. For buildings built prior to the application of this standard, when excess infiltration has been measured using ANSI/ASHRAE Standard 136, A Method of Determining Air Change Rates in Detached Dwellings,</t>
    </r>
    <r>
      <rPr>
        <vertAlign val="superscript"/>
        <sz val="10"/>
        <color theme="1"/>
        <rFont val="Arial"/>
        <family val="2"/>
      </rPr>
      <t>[1]</t>
    </r>
    <r>
      <rPr>
        <sz val="10"/>
        <color theme="1"/>
        <rFont val="Arial"/>
        <family val="2"/>
      </rPr>
      <t xml:space="preserve"> the rates in Section B201.1 may be decreased by half of the excess of the rate calculated from Standard 136 that is above the default rate. No increase to the rate in Section B201.1 is required if measured infiltration in accordance with Standard 136 is lower than the default rate. </t>
    </r>
  </si>
  <si>
    <r>
      <t>B201.1.2 Alternative Ventilation</t>
    </r>
    <r>
      <rPr>
        <sz val="10"/>
        <color theme="1"/>
        <rFont val="Arial"/>
        <family val="2"/>
      </rPr>
      <t>. Other methods may be used to provide the required ventilation rates (of Tables B201.1a and B201.1b) when approved by a licensed design professional.</t>
    </r>
  </si>
  <si>
    <r>
      <t xml:space="preserve">B201.1.1 Different Occupant Density. </t>
    </r>
    <r>
      <rPr>
        <sz val="10"/>
        <color theme="1"/>
        <rFont val="Arial"/>
        <family val="2"/>
      </rPr>
      <t>Tables B201.1a and B201.1b and Equations B201.1a and B201.1b assume two persons in a studio or one-bedroom dwelling unit and an additional person for each additional bedroom. Where higher occupant densities are known, the rate shall be increased by 7.5 cfm (3.5 L/s) for each additional person. When approved by the authority having jurisdiction, lower occupant densities may be used.</t>
    </r>
  </si>
  <si>
    <r>
      <t xml:space="preserve">and </t>
    </r>
    <r>
      <rPr>
        <sz val="10"/>
        <color theme="1"/>
        <rFont val="Arial"/>
        <family val="2"/>
      </rPr>
      <t>if the authority having jurisdiction determines that window operation is a locally permissible method of providing ventilation.</t>
    </r>
  </si>
  <si>
    <t>the building is thermally conditioned for human occupancy for less than 876 hours per year,</t>
  </si>
  <si>
    <r>
      <t>(b)</t>
    </r>
    <r>
      <rPr>
        <sz val="10"/>
        <color theme="1"/>
        <rFont val="Arial"/>
        <family val="2"/>
      </rPr>
      <t xml:space="preserve"> </t>
    </r>
  </si>
  <si>
    <t>the building has no mechanical cooling and is in zone 1 or 2 of the ICC* IECC Climate Zone Map (see ASHRAE 62.2*, Figure 8.2), or</t>
  </si>
  <si>
    <r>
      <t>(a)</t>
    </r>
    <r>
      <rPr>
        <sz val="10"/>
        <color theme="1"/>
        <rFont val="Arial"/>
        <family val="2"/>
      </rPr>
      <t xml:space="preserve"> </t>
    </r>
  </si>
  <si>
    <r>
      <t xml:space="preserve">Exceptions: </t>
    </r>
    <r>
      <rPr>
        <sz val="10"/>
        <color theme="1"/>
        <rFont val="Arial"/>
        <family val="2"/>
      </rPr>
      <t>Whole-building mechanical systems are not required provided that at least one of the following conditions is met:</t>
    </r>
  </si>
  <si>
    <r>
      <t>B201.1</t>
    </r>
    <r>
      <rPr>
        <sz val="10"/>
        <color theme="1"/>
        <rFont val="Arial"/>
        <family val="2"/>
      </rPr>
      <t xml:space="preserve"> </t>
    </r>
    <r>
      <rPr>
        <b/>
        <sz val="10"/>
        <color theme="1"/>
        <rFont val="Arial"/>
        <family val="2"/>
      </rPr>
      <t>Ventilation Rate.</t>
    </r>
    <r>
      <rPr>
        <sz val="10"/>
        <color theme="1"/>
        <rFont val="Arial"/>
        <family val="2"/>
      </rPr>
      <t xml:space="preserve"> A mechanical exhaust system, supply system, or combination thereof shall be installed for each dwelling unit to provide whole-building ventilation with outdoor air each hour at no less than the rate specified in Tables B201.1a and B201.1b or, equivalently, Equations B201.1a and B201.1b, based on the floor area of the conditioned space and number of bedrooms.</t>
    </r>
  </si>
  <si>
    <t>WHOLE-BUILDING VENTILATION</t>
  </si>
  <si>
    <t>B200</t>
  </si>
  <si>
    <r>
      <t>B101.3 Acknowledgment.</t>
    </r>
    <r>
      <rPr>
        <sz val="10"/>
        <color theme="1"/>
        <rFont val="Arial"/>
        <family val="2"/>
      </rPr>
      <t xml:space="preserve"> The text of Appendix B, Section B200 and related Tables are extracted from ASHRAE (American Society of Heating, Refrigerating and Air-Conditioning Engineers, Inc.) Standard 62.2-2010 </t>
    </r>
    <r>
      <rPr>
        <i/>
        <sz val="10"/>
        <color theme="1"/>
        <rFont val="Arial"/>
        <family val="2"/>
      </rPr>
      <t>Ventilation and Acceptable Indoor Air Quality in Low-Rise Residential Buildings</t>
    </r>
    <r>
      <rPr>
        <sz val="10"/>
        <color theme="1"/>
        <rFont val="Arial"/>
        <family val="2"/>
      </rPr>
      <t>, Section 4, and is used with the permission of ASHRAE. The referenced Section and Table numbers within the extracted text are modified to be applicable to Appendix B of this Standard. “*” indicates added reference to ICC or ASHRAE 62.2 to provide clarity.</t>
    </r>
  </si>
  <si>
    <r>
      <t>B101.2 Scope.</t>
    </r>
    <r>
      <rPr>
        <sz val="10"/>
        <color theme="1"/>
        <rFont val="Arial"/>
        <family val="2"/>
      </rPr>
      <t xml:space="preserve"> The provisions contained in Appendix B provide the specifications necessary for complying with Section 902.2.1 for the installation of whole building ventilation systems. To receive points for implementing Practice 902.2.1, the chosen whole building ventilation system is to be in accordance with the applicable specifications of Appendix B.</t>
    </r>
  </si>
  <si>
    <r>
      <t>B101.1 Applicability of Appendix B.</t>
    </r>
    <r>
      <rPr>
        <sz val="10"/>
        <color theme="1"/>
        <rFont val="Arial"/>
        <family val="2"/>
      </rPr>
      <t xml:space="preserve"> Appendix B is part of this Standard. </t>
    </r>
  </si>
  <si>
    <t>B100</t>
  </si>
  <si>
    <t>WHOLE BUILDING VENTILATION SYSTEM SPECIFICATIONS</t>
  </si>
  <si>
    <t>APPENDIX B</t>
  </si>
  <si>
    <t>(877) 854-3577</t>
  </si>
  <si>
    <t>www.ul.com</t>
  </si>
  <si>
    <t>Northbrook, IL 60062-2096</t>
  </si>
  <si>
    <t>333 Pfingsten Road</t>
  </si>
  <si>
    <t>Underwriters Laboratories Inc.</t>
  </si>
  <si>
    <t>UL 2768</t>
  </si>
  <si>
    <t>(202) 872-6400</t>
  </si>
  <si>
    <t xml:space="preserve">http://www.greenseal.org/ </t>
  </si>
  <si>
    <t>Washington, DC 20036-5525</t>
  </si>
  <si>
    <t>1001 Connecticut Avenue, NW, Suite 827</t>
  </si>
  <si>
    <t>Green Seal</t>
  </si>
  <si>
    <t>Green Seal-11 Standard for Paints and Coatings</t>
  </si>
  <si>
    <t>(510) 452-8000</t>
  </si>
  <si>
    <t xml:space="preserve">http://www.scscertified.com </t>
  </si>
  <si>
    <t>Emeryville, California 94608</t>
  </si>
  <si>
    <t>2000 Powell Street, Suite 600</t>
  </si>
  <si>
    <t>Scientific Certification Systems</t>
  </si>
  <si>
    <t>Scientific Certification Systems (SCS) Indoor Advantage Gold Program</t>
  </si>
  <si>
    <t xml:space="preserve">http://www.rfci.com </t>
  </si>
  <si>
    <t>LaGrange, Georgia 30240</t>
  </si>
  <si>
    <t>115 Broad Street, Suite 201</t>
  </si>
  <si>
    <t>Resilient Floor Covering Institute</t>
  </si>
  <si>
    <t>Resilient Floor Covering Institute’s FloorScore Indoor Air Certification Program</t>
  </si>
  <si>
    <t xml:space="preserve">www.ul.com </t>
  </si>
  <si>
    <t>Underwriters Laboratories Inc. 333 Pfingsten Road Northbrook, IL 60062-2096</t>
  </si>
  <si>
    <t>UL GREENGUARD Gold</t>
  </si>
  <si>
    <t>(706) 278-3176</t>
  </si>
  <si>
    <t>http://www.carpet-rug.org</t>
  </si>
  <si>
    <t>United States of America</t>
  </si>
  <si>
    <t>Dalton, Georgia 30720</t>
  </si>
  <si>
    <t>730 College Drive</t>
  </si>
  <si>
    <t>Carpet and Rug Institute</t>
  </si>
  <si>
    <t>Carpet and Rug Institute’s (CRI) Green Label Plus Indoor Air Quality Program</t>
  </si>
  <si>
    <t>(703) 264-1690</t>
  </si>
  <si>
    <t>www.kcma.org</t>
  </si>
  <si>
    <t>Reston, VA 20191</t>
  </si>
  <si>
    <t>1899 Preston White Drive</t>
  </si>
  <si>
    <t>Kitchen Cabinet Manufacturers Association</t>
  </si>
  <si>
    <t>Kitchen Cabinet Manufacturers Association (KCMA) Environmental Stewardship Program (ESP)</t>
  </si>
  <si>
    <t>Contact Information for the Program Administrator</t>
  </si>
  <si>
    <t>Third-party Certification Program</t>
  </si>
  <si>
    <t>Contact Information for the Example Third-party Certification Programs</t>
  </si>
  <si>
    <t>TABLE D200(2)</t>
  </si>
  <si>
    <t>UL GREENGUARD Gold Scientific Certifications Systems (SCS) Indoor Advantage Gold Program</t>
  </si>
  <si>
    <t>901.11 Insulation</t>
  </si>
  <si>
    <t>Green Seal-36 Standard for Adhesives for Commercial Use</t>
  </si>
  <si>
    <t>Scientific Certifications Systems (SCS) Indoor Advantage Gold Program</t>
  </si>
  <si>
    <t xml:space="preserve">UL GREENGUARD </t>
  </si>
  <si>
    <t>901.10 Adhesives and sealants</t>
  </si>
  <si>
    <t>901.9 Architectural coatings</t>
  </si>
  <si>
    <t>901.8 Wall coverings</t>
  </si>
  <si>
    <t>UL GREENGUARD Gold Resilient Floor Covering Institute’s FloorScore Indoor Air Certification Program</t>
  </si>
  <si>
    <t>901.7 Hard-surface flooring</t>
  </si>
  <si>
    <t>901.6 Carpets</t>
  </si>
  <si>
    <t xml:space="preserve">Kitchen Cabinet Manufacturers Association (KCMA) Environmental Stewardship Program (ESP) </t>
  </si>
  <si>
    <t>901.5 Cabinets</t>
  </si>
  <si>
    <t>Examples of Third-party Certification Programs Compliant with the Corresponding Section</t>
  </si>
  <si>
    <t>Related Section of Standard</t>
  </si>
  <si>
    <t>Examples of Third-party Certification Programs</t>
  </si>
  <si>
    <t>TABLE D200(1)</t>
  </si>
  <si>
    <t>CONFORMANCE</t>
  </si>
  <si>
    <t>D200</t>
  </si>
  <si>
    <r>
      <t>D101.2 Scope.</t>
    </r>
    <r>
      <rPr>
        <sz val="10"/>
        <color theme="1"/>
        <rFont val="Arial"/>
        <family val="2"/>
      </rPr>
      <t xml:space="preserve"> Appendix D provides examples of third-party programs for indoor environmental quality that can be used to demonstrate compliance with the applicable provisions of this Standard.</t>
    </r>
  </si>
  <si>
    <r>
      <t>D101.1 Applicability of Appendix D.</t>
    </r>
    <r>
      <rPr>
        <sz val="10"/>
        <color theme="1"/>
        <rFont val="Arial"/>
        <family val="2"/>
      </rPr>
      <t xml:space="preserve"> Appendix D is not part of this Standard. </t>
    </r>
  </si>
  <si>
    <t>D100</t>
  </si>
  <si>
    <t xml:space="preserve">EXAMPLES OF THIRD-PARTY PROGRAMS FOR INDOOR ENVIRONMENTAL QUALITY </t>
  </si>
  <si>
    <t xml:space="preserve">APPENDIX D </t>
  </si>
  <si>
    <t>The "Required Documentation" and "Verification Report" sheets have filters built in. You can use these filters to hide rows that are irrelevant to you.</t>
  </si>
  <si>
    <t>Advanced (filtering)</t>
  </si>
  <si>
    <t>The "Verification Report" sheet has three columns on the left: Chapter, Points, and Rough/Final. You can use each filter to hide practices that are not relevant to you.</t>
  </si>
  <si>
    <t>The filtering is easily undone and redone. Just click the arrow again and recheck each value you want to display.</t>
  </si>
  <si>
    <t>The points filtering is based on the current state of the design portion when the filter is applied. If the selected practices are changed, you will have to undo and redo the filtering.</t>
  </si>
  <si>
    <t>DO NOT SELECT "SORT". SORTING WILL NOT DO ANYTHING POSITIVE. IF YOU ACCIDENTALLY SORT SOMETHING, UNDO (CTRL + Z) AND IT SHOULD GO BACK TO NORMAL BUT MAY CRASH.</t>
  </si>
  <si>
    <t>filter column</t>
  </si>
  <si>
    <t>Use the notes column to add explanation or extra information regarding a practice. Some practices require a note of explanation and will indicate as such.</t>
  </si>
  <si>
    <t>CLICK TO PROCEED TO CHAPTER 5 &gt;&gt;</t>
  </si>
  <si>
    <t>Mandatory Information is missing on the Overview (Design) page!</t>
  </si>
  <si>
    <t>Mandatory info is missing from the Overview (Design) page!</t>
  </si>
  <si>
    <t>Mandatory Information is missing on the Overview (Verification) page!</t>
  </si>
  <si>
    <t>back to Verification Report</t>
  </si>
  <si>
    <r>
      <t xml:space="preserve">The </t>
    </r>
    <r>
      <rPr>
        <b/>
        <sz val="11"/>
        <color theme="1"/>
        <rFont val="Calibri"/>
        <family val="2"/>
        <scheme val="minor"/>
      </rPr>
      <t>Required Documentation</t>
    </r>
    <r>
      <rPr>
        <sz val="11"/>
        <color theme="1"/>
        <rFont val="Calibri"/>
        <family val="2"/>
        <scheme val="minor"/>
      </rPr>
      <t xml:space="preserve"> page shows the paperwork necessary if claiming certain practices. These can be filtered to only show those that were claimed in the Design phase.</t>
    </r>
  </si>
  <si>
    <t>version</t>
  </si>
  <si>
    <t>correction</t>
  </si>
  <si>
    <t>release date</t>
  </si>
  <si>
    <t>initial release</t>
  </si>
  <si>
    <t>Design Phase Notes</t>
  </si>
  <si>
    <t>Verifier Notes</t>
  </si>
  <si>
    <t>1001.0</t>
  </si>
  <si>
    <t>1002.0</t>
  </si>
  <si>
    <t>902.0</t>
  </si>
  <si>
    <t>903.0</t>
  </si>
  <si>
    <t>904.0</t>
  </si>
  <si>
    <t>_1_</t>
  </si>
  <si>
    <t>601</t>
  </si>
  <si>
    <t>901</t>
  </si>
  <si>
    <t>1001</t>
  </si>
  <si>
    <t>If you click on the arrow in the top left, you will see options for filtering out certain values. If you uncheck values other than "P", practices not chosen will be hidden.</t>
  </si>
  <si>
    <t>Conditioned Square Footage:</t>
  </si>
  <si>
    <t>ELR50 (optional):</t>
  </si>
  <si>
    <t>Coding</t>
  </si>
  <si>
    <t>Coding+Points</t>
  </si>
  <si>
    <t>On the far left of the "Required Documentation" sheet, there are three dynamic columns which change based on what you did in the design portion.</t>
  </si>
  <si>
    <t>Filters</t>
  </si>
  <si>
    <t xml:space="preserve">                 (Certificates are only sent to the Builder/Developer)</t>
  </si>
  <si>
    <t>dstDesigner</t>
  </si>
  <si>
    <t>verProjectID</t>
  </si>
  <si>
    <t>(format: hh:mm AM)</t>
  </si>
  <si>
    <r>
      <rPr>
        <b/>
        <sz val="11"/>
        <color theme="1"/>
        <rFont val="Calibri"/>
        <family val="2"/>
        <scheme val="minor"/>
      </rPr>
      <t>Inspection Dates</t>
    </r>
    <r>
      <rPr>
        <sz val="11"/>
        <color theme="1"/>
        <rFont val="Calibri"/>
        <family val="2"/>
        <scheme val="minor"/>
      </rPr>
      <t xml:space="preserve"> </t>
    </r>
    <r>
      <rPr>
        <i/>
        <sz val="8"/>
        <color theme="1"/>
        <rFont val="Calibri"/>
        <family val="2"/>
        <scheme val="minor"/>
      </rPr>
      <t>(if applicable)</t>
    </r>
  </si>
  <si>
    <t>(The info below is transferred from the Rough Signature sheet; the information must have been entered there at Rough (except inspection date and removal))</t>
  </si>
  <si>
    <t>rough</t>
  </si>
  <si>
    <t>dd name</t>
  </si>
  <si>
    <t>Reviewer Notes</t>
  </si>
  <si>
    <t>include</t>
  </si>
  <si>
    <t>If photos appear to contradict the points claimed, 
please explain in the Notes field in the Verifier report.</t>
  </si>
  <si>
    <t>Practices that will be reviewed alongside 
the required photo documentation.</t>
  </si>
  <si>
    <t>Dpoints</t>
  </si>
  <si>
    <t>Dlevel</t>
  </si>
  <si>
    <t>Vlevel</t>
  </si>
  <si>
    <t>Vpoints</t>
  </si>
  <si>
    <t>Chapter points</t>
  </si>
  <si>
    <t>Ch7LevelFinal</t>
  </si>
  <si>
    <t>Ch8LevelFinal</t>
  </si>
  <si>
    <t>Go to http://www.homeinnovation.com/greenscoring to download the latest version of the NGBS Scoring for Remodeling spreadsheet.</t>
  </si>
  <si>
    <t>[(consumption per square foot before remodel – consumption per square foot after remodel)/consumption per square foot before remodel]*100</t>
  </si>
  <si>
    <t>The occupancy and lifestyle assumed and the method of making the energy consumption estimates shall be the same for estimates before and after the remodel. The building configuration for the after-remodel estimate shall include any additions to the building or other changes to the configuration of the conditioned space. For multifamily buildings, the energy consumption shall be based on the entire building including all dwelling units and common areas.</t>
  </si>
  <si>
    <t>[(consumption before remodel - consumption after remodel)/consumption before remodel]*100%</t>
  </si>
  <si>
    <t>The occupancy and lifestyle assumed and the method of making the water consumption estimates shall be the same for estimates before and after the remodel. The building configuration for the after-remodel estimate shall include any changes to the configuration of the building such as additions or new points of water use. For multifamily buildings, the water consumption shall be based on the entire building including all dwelling units and common areas.</t>
  </si>
  <si>
    <t>back to Chapter 7</t>
  </si>
  <si>
    <t>Rating Level</t>
  </si>
  <si>
    <t>Reduction in energy consumption</t>
  </si>
  <si>
    <t>back to Chapter 8</t>
  </si>
  <si>
    <t>Reduction in water consumption</t>
  </si>
  <si>
    <t>11.500 LOT DESIGN, PREPERATION AND DEVELOPMENT</t>
  </si>
  <si>
    <t>11.500.0</t>
  </si>
  <si>
    <t>11.501 LOT SELECTION</t>
  </si>
  <si>
    <t>11.501.2</t>
  </si>
  <si>
    <t>11.502 PROJECT TEAM, MISSION STATEMENT, AND GOALS</t>
  </si>
  <si>
    <t>11.502.1</t>
  </si>
  <si>
    <t>11.503 LOT DESIGN</t>
  </si>
  <si>
    <t>11.503.0</t>
  </si>
  <si>
    <t>11.503.1</t>
  </si>
  <si>
    <t>11.503.2</t>
  </si>
  <si>
    <t>11.503.3</t>
  </si>
  <si>
    <t>11.503.4</t>
  </si>
  <si>
    <t>11.503.5</t>
  </si>
  <si>
    <t>11.503.6</t>
  </si>
  <si>
    <t>11.503.7</t>
  </si>
  <si>
    <t>11.504 LOT CONSTRUCTION</t>
  </si>
  <si>
    <t>11.504.0</t>
  </si>
  <si>
    <t>11.504.1</t>
  </si>
  <si>
    <t>11.504.2</t>
  </si>
  <si>
    <t>11.504.3</t>
  </si>
  <si>
    <t>11.505 INNOVATIVE PRACTICES</t>
  </si>
  <si>
    <t>11.505.0</t>
  </si>
  <si>
    <t>11.505.1</t>
  </si>
  <si>
    <t xml:space="preserve">11.505.2 </t>
  </si>
  <si>
    <t>11.505.3</t>
  </si>
  <si>
    <t>11.505.4</t>
  </si>
  <si>
    <t>11.505.5</t>
  </si>
  <si>
    <t>11.505.6</t>
  </si>
  <si>
    <r>
      <t>11.501.2 Multi-modal transportation.</t>
    </r>
    <r>
      <rPr>
        <sz val="10"/>
        <color theme="1"/>
        <rFont val="Calibri"/>
        <family val="2"/>
        <scheme val="minor"/>
      </rPr>
      <t xml:space="preserve"> A range of multi-modal transportation choices are promoted by one or more of the following:</t>
    </r>
  </si>
  <si>
    <r>
      <t>11.502.1</t>
    </r>
    <r>
      <rPr>
        <sz val="10"/>
        <color theme="1"/>
        <rFont val="Calibri"/>
        <family val="2"/>
        <scheme val="minor"/>
      </rPr>
      <t xml:space="preserve"> </t>
    </r>
    <r>
      <rPr>
        <b/>
        <sz val="10"/>
        <color theme="1"/>
        <rFont val="Calibri"/>
        <family val="2"/>
        <scheme val="minor"/>
      </rPr>
      <t xml:space="preserve">Project team, mission statement, and goals. </t>
    </r>
    <r>
      <rPr>
        <sz val="10"/>
        <color theme="1"/>
        <rFont val="Calibri"/>
        <family val="2"/>
        <scheme val="minor"/>
      </rPr>
      <t xml:space="preserve">A knowledgeable team is established and team member roles are identified with respect to green lot design, preparation, and development. The project’s green goals and objectives are written into a mission statement. </t>
    </r>
  </si>
  <si>
    <r>
      <t>11.503.0 Intent.</t>
    </r>
    <r>
      <rPr>
        <sz val="10"/>
        <color theme="1"/>
        <rFont val="Calibri"/>
        <family val="2"/>
        <scheme val="minor"/>
      </rPr>
      <t xml:space="preserve"> The lot is designed to avoid detrimental environmental impacts first, to minimize any unavoidable impacts, and to mitigate for those impacts that do occur. The project is designed to minimize environmental impacts and to protect, restore, and enhance the natural features and environmental quality of the lot. </t>
    </r>
  </si>
  <si>
    <r>
      <t>11.503.1 Natural resources.</t>
    </r>
    <r>
      <rPr>
        <sz val="10"/>
        <color theme="1"/>
        <rFont val="Calibri"/>
        <family val="2"/>
      </rPr>
      <t xml:space="preserve"> Natural resources are conserved by one or more of the following:</t>
    </r>
  </si>
  <si>
    <r>
      <t>11.503.2 Slope disturbance.</t>
    </r>
    <r>
      <rPr>
        <sz val="10"/>
        <color theme="1"/>
        <rFont val="Calibri"/>
        <family val="2"/>
        <scheme val="minor"/>
      </rPr>
      <t xml:space="preserve"> Slope disturbance is minimized by one or more of the following: </t>
    </r>
  </si>
  <si>
    <r>
      <t xml:space="preserve">11.503.4 Stormwater Management.  </t>
    </r>
    <r>
      <rPr>
        <sz val="10"/>
        <color theme="1"/>
        <rFont val="Calibri"/>
        <family val="2"/>
        <scheme val="minor"/>
      </rPr>
      <t>The stormwater management system is designed to use low impact development/green infrastructure practices to preserve, restore or mitigate changes in site hydrology due to land disturbance and the construction of impermeable surfaces through the use of one or more of the following techniques:</t>
    </r>
  </si>
  <si>
    <r>
      <t>11.503.5 Landscape plan.</t>
    </r>
    <r>
      <rPr>
        <sz val="10"/>
        <color theme="1"/>
        <rFont val="Calibri"/>
        <family val="2"/>
        <scheme val="minor"/>
      </rPr>
      <t xml:space="preserve"> A plan for the lot is developed to limit water and energy use while preserving or enhancing the natural environment. </t>
    </r>
  </si>
  <si>
    <r>
      <t xml:space="preserve">11.503.6 Wildlife habitat. </t>
    </r>
    <r>
      <rPr>
        <sz val="10"/>
        <color theme="1"/>
        <rFont val="Calibri"/>
        <family val="2"/>
        <scheme val="minor"/>
      </rPr>
      <t>Measures are planned to support wildlife habitat and include at least two of the following:</t>
    </r>
  </si>
  <si>
    <r>
      <t xml:space="preserve">11.503.7 Environmentally sensitive areas. </t>
    </r>
    <r>
      <rPr>
        <sz val="10"/>
        <color theme="1"/>
        <rFont val="Calibri"/>
        <family val="2"/>
        <scheme val="minor"/>
      </rPr>
      <t>The lot is in accordance with one or both of the following:</t>
    </r>
  </si>
  <si>
    <r>
      <t>11.504.2 Trees and vegetation.</t>
    </r>
    <r>
      <rPr>
        <sz val="10"/>
        <color theme="1"/>
        <rFont val="Calibri"/>
        <family val="2"/>
        <scheme val="minor"/>
      </rPr>
      <t xml:space="preserve"> Designated trees and vegetation are preserved by one or more of the following:</t>
    </r>
  </si>
  <si>
    <r>
      <t>11.505.1 Driveways and parking areas.</t>
    </r>
    <r>
      <rPr>
        <sz val="10"/>
        <color theme="1"/>
        <rFont val="Calibri"/>
        <family val="2"/>
        <scheme val="minor"/>
      </rPr>
      <t xml:space="preserve"> Driveways and parking areas are minimized or mitigated by one or more of the following:</t>
    </r>
  </si>
  <si>
    <r>
      <t>11.505.3 Density.</t>
    </r>
    <r>
      <rPr>
        <sz val="10"/>
        <color theme="1"/>
        <rFont val="Calibri"/>
        <family val="2"/>
        <scheme val="minor"/>
      </rPr>
      <t xml:space="preserve"> The average density on the lot on a net developable area basis is: </t>
    </r>
  </si>
  <si>
    <t>11.601 QUALITY OF CONSTRUCTION MATERIALS AND WASTE</t>
  </si>
  <si>
    <t>11.601.0</t>
  </si>
  <si>
    <t>11.601.1</t>
  </si>
  <si>
    <t>11.601.2</t>
  </si>
  <si>
    <t>11.601.3</t>
  </si>
  <si>
    <t>11.601.4</t>
  </si>
  <si>
    <t>11.601.5</t>
  </si>
  <si>
    <t>11.601.6</t>
  </si>
  <si>
    <t>11.601.7</t>
  </si>
  <si>
    <t>11.601.8</t>
  </si>
  <si>
    <t>11.602 ENHANCED DURABILITY AND REDUCED MAINTENANCE</t>
  </si>
  <si>
    <t>11.602.0</t>
  </si>
  <si>
    <t>11.602.1</t>
  </si>
  <si>
    <t>11.602.1.1</t>
  </si>
  <si>
    <t>11.602.1.1.1</t>
  </si>
  <si>
    <t xml:space="preserve">11.602.1.1.2 </t>
  </si>
  <si>
    <t>11.602.1.2</t>
  </si>
  <si>
    <t>11.602.1.3</t>
  </si>
  <si>
    <t>11.602.1.3.1</t>
  </si>
  <si>
    <t>11.602.1.3.2</t>
  </si>
  <si>
    <t>11.602.1.4</t>
  </si>
  <si>
    <t>11.602.1.4.1</t>
  </si>
  <si>
    <t>11.602.1.4.2</t>
  </si>
  <si>
    <t>11.602.1.5</t>
  </si>
  <si>
    <t>11.602.1.6</t>
  </si>
  <si>
    <t>11.602.1.7</t>
  </si>
  <si>
    <t>11.602.1.7.1</t>
  </si>
  <si>
    <t xml:space="preserve">11.602.1.7.2 </t>
  </si>
  <si>
    <t xml:space="preserve">11.602.1.7.3 </t>
  </si>
  <si>
    <t>11.602.1.8</t>
  </si>
  <si>
    <t>11.602.1.9</t>
  </si>
  <si>
    <t xml:space="preserve">11.602.1.10 </t>
  </si>
  <si>
    <t xml:space="preserve">11.602.1.11 </t>
  </si>
  <si>
    <t>11.602.1.12</t>
  </si>
  <si>
    <t xml:space="preserve">11.602.1.13 </t>
  </si>
  <si>
    <t>11.602.1.14</t>
  </si>
  <si>
    <t>11.602.2</t>
  </si>
  <si>
    <t>11.602.3</t>
  </si>
  <si>
    <t>11.602.4</t>
  </si>
  <si>
    <t>11.602.4.1</t>
  </si>
  <si>
    <t>11.602.4.2</t>
  </si>
  <si>
    <t>11.602.4.3</t>
  </si>
  <si>
    <t xml:space="preserve">11.603 REUSED OR SALVAGED MATERIALS </t>
  </si>
  <si>
    <t>11.603.0</t>
  </si>
  <si>
    <t>11.603.1</t>
  </si>
  <si>
    <t>11.603.2</t>
  </si>
  <si>
    <t>11.603.3</t>
  </si>
  <si>
    <t>11.604 RECYCLED-CONTENT BUILDING MATERIALS</t>
  </si>
  <si>
    <t>11.604.1</t>
  </si>
  <si>
    <t xml:space="preserve">11.605 RECYCLED CONSTRUCTION WASTE </t>
  </si>
  <si>
    <t>11.605.0</t>
  </si>
  <si>
    <t>11.605.1</t>
  </si>
  <si>
    <t>11.605.2</t>
  </si>
  <si>
    <t>11.605.3</t>
  </si>
  <si>
    <t>11.606 RENEWABLE MATERIALS</t>
  </si>
  <si>
    <t>11.606.0</t>
  </si>
  <si>
    <t>11.606.1</t>
  </si>
  <si>
    <t>11.606.2</t>
  </si>
  <si>
    <t>11.606.3</t>
  </si>
  <si>
    <t>11.607 RECYCLING AND WASTE REDUCTION</t>
  </si>
  <si>
    <t>11.607.1</t>
  </si>
  <si>
    <t>11.607.2</t>
  </si>
  <si>
    <t>11.608 RESOURCE-EFFICIENT MATERIALS</t>
  </si>
  <si>
    <t>11.608.1</t>
  </si>
  <si>
    <t>11.609 REGIONAL MATERIALS</t>
  </si>
  <si>
    <t>11.609.1</t>
  </si>
  <si>
    <t>11.610 LIFE CYCLE ASSESSMENT</t>
  </si>
  <si>
    <t>11.610.1</t>
  </si>
  <si>
    <t>11.610.1.1</t>
  </si>
  <si>
    <t>11.610.1.2</t>
  </si>
  <si>
    <t>11.610.1.2.1</t>
  </si>
  <si>
    <t>11.610.1.2.2</t>
  </si>
  <si>
    <t>11.611.1</t>
  </si>
  <si>
    <r>
      <t xml:space="preserve">11.610.1.2.1 Product LCA. </t>
    </r>
    <r>
      <rPr>
        <sz val="10"/>
        <color theme="1"/>
        <rFont val="Calibri"/>
        <family val="2"/>
        <scheme val="minor"/>
      </rPr>
      <t>A product with improved environmental impact measures compared to another product(s) intended for the same use is selected. The environmental impact measures used in the assessment are selected from the following:</t>
    </r>
  </si>
  <si>
    <r>
      <t xml:space="preserve">11.610.1.2 Life cycle assessment for a product or assembly. </t>
    </r>
    <r>
      <rPr>
        <sz val="10"/>
        <color theme="1"/>
        <rFont val="Calibri"/>
        <family val="2"/>
        <scheme val="minor"/>
      </rPr>
      <t>An environmentally preferable product or assembly is selected for an application based upon the use of an LCA tool that incorporates data methods compliant with ISO 14044 or other recognized standards that compare the environmental impact of products or assemblies.</t>
    </r>
  </si>
  <si>
    <r>
      <t xml:space="preserve">11.610.1.1 Whole-building life cycle assessment. </t>
    </r>
    <r>
      <rPr>
        <sz val="10"/>
        <color theme="1"/>
        <rFont val="Calibri"/>
        <family val="2"/>
        <scheme val="minor"/>
      </rPr>
      <t>A whole-building LCA is performed in conformance with ASTM E2921 using ISO14044 compliant life cycle assessment.</t>
    </r>
  </si>
  <si>
    <r>
      <t>11.609.1</t>
    </r>
    <r>
      <rPr>
        <sz val="10"/>
        <color theme="1"/>
        <rFont val="Calibri"/>
        <family val="2"/>
        <scheme val="minor"/>
      </rPr>
      <t xml:space="preserve"> </t>
    </r>
    <r>
      <rPr>
        <b/>
        <sz val="10"/>
        <color theme="1"/>
        <rFont val="Calibri"/>
        <family val="2"/>
        <scheme val="minor"/>
      </rPr>
      <t xml:space="preserve">Regional materials. </t>
    </r>
    <r>
      <rPr>
        <sz val="10"/>
        <color theme="1"/>
        <rFont val="Calibri"/>
        <family val="2"/>
        <scheme val="minor"/>
      </rPr>
      <t>Regional materials are used for major and/or minor components of the building.</t>
    </r>
  </si>
  <si>
    <r>
      <t>11.608.1</t>
    </r>
    <r>
      <rPr>
        <sz val="10"/>
        <color theme="1"/>
        <rFont val="Calibri"/>
        <family val="2"/>
        <scheme val="minor"/>
      </rPr>
      <t xml:space="preserve"> </t>
    </r>
    <r>
      <rPr>
        <b/>
        <sz val="10"/>
        <color theme="1"/>
        <rFont val="Calibri"/>
        <family val="2"/>
        <scheme val="minor"/>
      </rPr>
      <t xml:space="preserve">Resource-efficient materials. </t>
    </r>
    <r>
      <rPr>
        <sz val="10"/>
        <color theme="1"/>
        <rFont val="Calibri"/>
        <family val="2"/>
        <scheme val="minor"/>
      </rPr>
      <t>Products containing fewer materials are used to achieve the same end-use requirements as conventional products, including but not limited to:</t>
    </r>
  </si>
  <si>
    <r>
      <t>11.607.2</t>
    </r>
    <r>
      <rPr>
        <sz val="10"/>
        <color theme="1"/>
        <rFont val="Calibri"/>
        <family val="2"/>
        <scheme val="minor"/>
      </rPr>
      <t xml:space="preserve"> </t>
    </r>
    <r>
      <rPr>
        <b/>
        <sz val="10"/>
        <color theme="1"/>
        <rFont val="Calibri"/>
        <family val="2"/>
        <scheme val="minor"/>
      </rPr>
      <t>Food waste disposers.</t>
    </r>
    <r>
      <rPr>
        <sz val="10"/>
        <color theme="1"/>
        <rFont val="Calibri"/>
        <family val="2"/>
        <scheme val="minor"/>
      </rPr>
      <t xml:space="preserve"> A minimum of one food waste disposer is installed at the primary kitchen sink. </t>
    </r>
  </si>
  <si>
    <r>
      <t xml:space="preserve">11.607.1 Recycling and composting. </t>
    </r>
    <r>
      <rPr>
        <sz val="10"/>
        <color theme="1"/>
        <rFont val="Calibri"/>
        <family val="2"/>
        <scheme val="minor"/>
      </rPr>
      <t>Recycling and composting by the occupant are facilitated by one or more of the following methods:</t>
    </r>
  </si>
  <si>
    <r>
      <t>11.606.3 Manufacturing energy.</t>
    </r>
    <r>
      <rPr>
        <sz val="10"/>
        <color theme="1"/>
        <rFont val="Calibri"/>
        <family val="2"/>
        <scheme val="minor"/>
      </rPr>
      <t xml:space="preserve"> Materials manufactured using a minimum of 33 percent of the primary manufacturing process energy derived from (1) renewable sources, (2) combustible waste sources, or (3) renewable energy credits (RECs) are used for major components of the building.</t>
    </r>
  </si>
  <si>
    <r>
      <t>11.606.2 Wood-based products.</t>
    </r>
    <r>
      <rPr>
        <sz val="10"/>
        <color theme="1"/>
        <rFont val="Calibri"/>
        <family val="2"/>
        <scheme val="minor"/>
      </rPr>
      <t xml:space="preserve"> Wood or wood-based products are certified to the requirements of one of the following recognized product programs:</t>
    </r>
    <r>
      <rPr>
        <u/>
        <sz val="10"/>
        <color theme="1"/>
        <rFont val="Calibri"/>
        <family val="2"/>
        <scheme val="minor"/>
      </rPr>
      <t xml:space="preserve"> </t>
    </r>
  </si>
  <si>
    <r>
      <t>11.606.1 Biobased products.</t>
    </r>
    <r>
      <rPr>
        <sz val="10"/>
        <color theme="1"/>
        <rFont val="Calibri"/>
        <family val="2"/>
        <scheme val="minor"/>
      </rPr>
      <t xml:space="preserve"> The following biobased products are used:</t>
    </r>
  </si>
  <si>
    <r>
      <t>11.606.0 Intent.</t>
    </r>
    <r>
      <rPr>
        <sz val="10"/>
        <color theme="1"/>
        <rFont val="Calibri"/>
        <family val="2"/>
        <scheme val="minor"/>
      </rPr>
      <t xml:space="preserve"> Building materials derived from renewable resources are used.</t>
    </r>
  </si>
  <si>
    <r>
      <t>11.604.1 Recycled content.</t>
    </r>
    <r>
      <rPr>
        <sz val="10"/>
        <color theme="1"/>
        <rFont val="Calibri"/>
        <family val="2"/>
        <scheme val="minor"/>
      </rPr>
      <t xml:space="preserve"> Building materials with recycled content are used for two minor and/or two major components of the building.</t>
    </r>
  </si>
  <si>
    <r>
      <t>11.603.3 Scrap materials.</t>
    </r>
    <r>
      <rPr>
        <sz val="10"/>
        <color theme="1"/>
        <rFont val="Calibri"/>
        <family val="2"/>
        <scheme val="minor"/>
      </rPr>
      <t xml:space="preserve"> Sorting and reuse of scrap building material is facilitated (e.g., a central storage area or dedicated bins are provided). </t>
    </r>
  </si>
  <si>
    <r>
      <t>11.603.2 Salvaged materials.</t>
    </r>
    <r>
      <rPr>
        <sz val="10"/>
        <color theme="1"/>
        <rFont val="Calibri"/>
        <family val="2"/>
        <scheme val="minor"/>
      </rPr>
      <t xml:space="preserve"> Reclaimed and/or salvaged materials and components are used. The total material value and labor cost of salvaged materials is equal to or exceeds 1 percent of the total construction cost. </t>
    </r>
  </si>
  <si>
    <r>
      <t xml:space="preserve">11.603.1 Reuse of existing building. </t>
    </r>
    <r>
      <rPr>
        <sz val="10"/>
        <color theme="1"/>
        <rFont val="Calibri"/>
        <family val="2"/>
        <scheme val="minor"/>
      </rPr>
      <t>Major elements or components of existing buildings and structures are reused, modified, or deconstructed for later use.</t>
    </r>
  </si>
  <si>
    <r>
      <t>11.603.0 Intent.</t>
    </r>
    <r>
      <rPr>
        <sz val="10"/>
        <color theme="1"/>
        <rFont val="Calibri"/>
        <family val="2"/>
        <scheme val="minor"/>
      </rPr>
      <t xml:space="preserve"> Practices that reuse or modify existing structures, salvage materials for other uses, or use salvaged materials in the building’s construction are implemented.</t>
    </r>
    <r>
      <rPr>
        <b/>
        <sz val="10"/>
        <color theme="1"/>
        <rFont val="Calibri"/>
        <family val="2"/>
        <scheme val="minor"/>
      </rPr>
      <t xml:space="preserve"> </t>
    </r>
  </si>
  <si>
    <r>
      <t>11.602.4.3</t>
    </r>
    <r>
      <rPr>
        <sz val="10"/>
        <color theme="1"/>
        <rFont val="Calibri"/>
        <family val="2"/>
        <scheme val="minor"/>
      </rPr>
      <t xml:space="preserve"> Water is directed to drains or swales to ensure drainage away from the structure.</t>
    </r>
  </si>
  <si>
    <r>
      <t>11.602.4.2</t>
    </r>
    <r>
      <rPr>
        <sz val="10"/>
        <color theme="1"/>
        <rFont val="Calibri"/>
        <family val="2"/>
        <scheme val="minor"/>
      </rPr>
      <t xml:space="preserve"> The final grade is sloped away from the edge of the building at a minimum slope of 5 percent.</t>
    </r>
  </si>
  <si>
    <r>
      <t>11.602.4.1</t>
    </r>
    <r>
      <rPr>
        <sz val="10"/>
        <color theme="1"/>
        <rFont val="Calibri"/>
        <family val="2"/>
        <scheme val="minor"/>
      </rPr>
      <t xml:space="preserve"> Finished grade at all sides of a building is sloped to provide a minimum of 6 inches (150 mm) of fall within 10 feet (3048 mm) of the edge of the building. Where lot lines, walls, slopes, or other physical barriers prohibit 6 inches (152 mm) of fall within 10 feet (3048 mm), the final grade is sloped away from the edge of the building at a minimum slope of 2 percent.</t>
    </r>
  </si>
  <si>
    <r>
      <t>11.602.4 Finished grade.</t>
    </r>
    <r>
      <rPr>
        <sz val="10"/>
        <color theme="1"/>
        <rFont val="Calibri"/>
        <family val="2"/>
        <scheme val="minor"/>
      </rPr>
      <t xml:space="preserve"> </t>
    </r>
  </si>
  <si>
    <r>
      <t>11.602.3 Roof water discharge.</t>
    </r>
    <r>
      <rPr>
        <sz val="10"/>
        <color theme="1"/>
        <rFont val="Calibri"/>
        <family val="2"/>
        <scheme val="minor"/>
      </rPr>
      <t xml:space="preserve"> A gutter and downspout system or splash blocks and effective grading are provided to carry water a minimum of 5 feet (1524 mm) away from perimeter foundation walls. </t>
    </r>
  </si>
  <si>
    <r>
      <t>11.602.2 Roof surfaces.</t>
    </r>
    <r>
      <rPr>
        <sz val="10"/>
        <color theme="1"/>
        <rFont val="Calibri"/>
        <family val="2"/>
        <scheme val="minor"/>
      </rPr>
      <t xml:space="preserve"> A minimum of 90 percent of roof surfaces, not used for roof penetrations and associated equipment, on-site renewable energy systems such as photovoltaics or solar thermal energy collectors, or rooftop decks, amenities and walkways, are constructed of one or more of the following:</t>
    </r>
  </si>
  <si>
    <r>
      <t>11.602.1.14 Architectural features</t>
    </r>
    <r>
      <rPr>
        <sz val="10"/>
        <color theme="1"/>
        <rFont val="Calibri"/>
        <family val="2"/>
        <scheme val="minor"/>
      </rPr>
      <t>. Architectural features that increase the potential for water intrusion are avoided:</t>
    </r>
  </si>
  <si>
    <r>
      <t xml:space="preserve">11.602.1.13 Ice barrier. </t>
    </r>
    <r>
      <rPr>
        <sz val="10"/>
        <color theme="1"/>
        <rFont val="Calibri"/>
        <family val="2"/>
        <scheme val="minor"/>
      </rPr>
      <t>In areas where there has been a history of ice forming along the eaves causing a backup of water, an ice barrier is installed in accordance with the ICC IRC or IBC at roof eaves of pitched roofs and extends a minimum of 24 inches (610 mm) inside the exterior wall line of the building.</t>
    </r>
  </si>
  <si>
    <r>
      <t xml:space="preserve">11.602.1.12 Roof overhangs. </t>
    </r>
    <r>
      <rPr>
        <sz val="10"/>
        <color theme="1"/>
        <rFont val="Calibri"/>
        <family val="2"/>
        <scheme val="minor"/>
      </rPr>
      <t>Roof overhangs, in accordance with Table 602.1.12, are provided over a minimum of 90 percent of exterior walls to protect the building envelope.</t>
    </r>
  </si>
  <si>
    <r>
      <t>11.602.1.11 Tile backing materials.</t>
    </r>
    <r>
      <rPr>
        <sz val="10"/>
        <color theme="1"/>
        <rFont val="Calibri"/>
        <family val="2"/>
        <scheme val="minor"/>
      </rPr>
      <t xml:space="preserve"> Tile backing materials installed under tiled surfaces in wet areas are in accordance with ASTM C1178, C1278, C1288, or C1325.</t>
    </r>
  </si>
  <si>
    <r>
      <t xml:space="preserve">11.602.1.10 Exterior doors. </t>
    </r>
    <r>
      <rPr>
        <sz val="10"/>
        <color theme="1"/>
        <rFont val="Calibri"/>
        <family val="2"/>
        <scheme val="minor"/>
      </rPr>
      <t>Entries at exterior door assemblies, inclusive of side lights (if any), are covered by one of the following methods to protect the building from the effects of precipitation and solar radiation. Either a storm door or a projection factor of 0.375 minimum is provided. Eastern- and western-facing entries in Climate Zones 1, 2, and 3, as determined in accordance with Figure 6(1) or Appendix C, have either a storm door or a projection factor of 1.0 minimum, unless protected from direct solar radiation by other means (e.g., screen wall, vegetation).</t>
    </r>
  </si>
  <si>
    <r>
      <t>11.602.1.9 Flashing.</t>
    </r>
    <r>
      <rPr>
        <sz val="10"/>
        <color theme="1"/>
        <rFont val="Calibri"/>
        <family val="2"/>
        <scheme val="minor"/>
      </rPr>
      <t xml:space="preserve"> Flashing is provided as follows to minimize water entry into wall and roof assemblies and to direct water to exterior surfaces or exterior water-resistive barriers for drainage. Flashing details are provided in the construction documents and are in accordance with the fenestration manufacturer’s instructions, the flashing manufacturer’s instructions, or as detailed by a registered design professional. </t>
    </r>
  </si>
  <si>
    <r>
      <t xml:space="preserve">11.602.1.7.3 </t>
    </r>
    <r>
      <rPr>
        <sz val="10"/>
        <color theme="1"/>
        <rFont val="Calibri"/>
        <family val="2"/>
        <scheme val="minor"/>
      </rPr>
      <t>Building envelope assemblies are designed for moisture control based on documented hygrothermal simulation or field study analysis. Hygrothermal analysis is required to incorporate representative climatic conditions, interior conditions and include heating and cooling seasonal variation.</t>
    </r>
  </si>
  <si>
    <r>
      <t xml:space="preserve">11.602.1.7.2 </t>
    </r>
    <r>
      <rPr>
        <sz val="10"/>
        <color theme="1"/>
        <rFont val="Calibri"/>
        <family val="2"/>
        <scheme val="minor"/>
      </rPr>
      <t xml:space="preserve">Moisture content of subfloor, substrate, or concrete slabs is in accordance with the appropriate industry standard for the finish flooring to be applied. </t>
    </r>
  </si>
  <si>
    <r>
      <t xml:space="preserve">11.602.1.7.1 </t>
    </r>
    <r>
      <rPr>
        <sz val="10"/>
        <color theme="1"/>
        <rFont val="Calibri"/>
        <family val="2"/>
        <scheme val="minor"/>
      </rPr>
      <t>Moisture control measures are in accordance with the following:</t>
    </r>
  </si>
  <si>
    <t>11.602.1.7 Moisture control measures</t>
  </si>
  <si>
    <r>
      <t>11.602.1.6 Termite-resistant materials.</t>
    </r>
    <r>
      <rPr>
        <sz val="10"/>
        <color theme="1"/>
        <rFont val="Calibri"/>
        <family val="2"/>
        <scheme val="minor"/>
      </rPr>
      <t xml:space="preserve"> In areas of termite infestation probability as defined by Figure 6(3), termite-resistant materials are used as follows: </t>
    </r>
  </si>
  <si>
    <r>
      <t>11.602.1.5 Termite barrier.</t>
    </r>
    <r>
      <rPr>
        <sz val="10"/>
        <color theme="1"/>
        <rFont val="Calibri"/>
        <family val="2"/>
        <scheme val="minor"/>
      </rPr>
      <t xml:space="preserve"> Continuous physical foundation termite barrier provided:</t>
    </r>
  </si>
  <si>
    <r>
      <t>11.602.1.4</t>
    </r>
    <r>
      <rPr>
        <sz val="10"/>
        <color theme="1"/>
        <rFont val="Calibri"/>
        <family val="2"/>
        <scheme val="minor"/>
      </rPr>
      <t xml:space="preserve"> </t>
    </r>
    <r>
      <rPr>
        <b/>
        <sz val="10"/>
        <color theme="1"/>
        <rFont val="Calibri"/>
        <family val="2"/>
        <scheme val="minor"/>
      </rPr>
      <t>Crawlspaces</t>
    </r>
  </si>
  <si>
    <r>
      <t>11.602.1.3.1</t>
    </r>
    <r>
      <rPr>
        <sz val="10"/>
        <color theme="1"/>
        <rFont val="Calibri"/>
        <family val="2"/>
        <scheme val="minor"/>
      </rPr>
      <t xml:space="preserve"> Where required by the ICC IRC or IBC for habitable and usable spaces below grade, exterior drain tile is installed.</t>
    </r>
  </si>
  <si>
    <t>11.602.1.3 Foundation drainage</t>
  </si>
  <si>
    <r>
      <t xml:space="preserve">11.602.1.1.1 </t>
    </r>
    <r>
      <rPr>
        <sz val="10"/>
        <color theme="1"/>
        <rFont val="Calibri"/>
        <family val="2"/>
        <scheme val="minor"/>
      </rPr>
      <t>Capillary breaks A capillary break and vapor retarder are installed at concrete slabs in accordance with ICC IRC Sections R506.2.2 and R506.2.3 or ICC IBC Sections 1907 and 1805.4.1.</t>
    </r>
  </si>
  <si>
    <t>11.602.1.1 Capillary breaks</t>
  </si>
  <si>
    <t>11.602.1 Moisture Management – Building Envelope</t>
  </si>
  <si>
    <r>
      <t>11.602.0 Intent.</t>
    </r>
    <r>
      <rPr>
        <sz val="10"/>
        <color theme="1"/>
        <rFont val="Calibri"/>
        <family val="2"/>
        <scheme val="minor"/>
      </rPr>
      <t xml:space="preserve"> Design and construction practices are implemented that enhance the durability of materials and reduce in-service maintenance.</t>
    </r>
  </si>
  <si>
    <r>
      <t>11.601.7 Prefinished materials. Prefinished building</t>
    </r>
    <r>
      <rPr>
        <sz val="10"/>
        <color theme="1"/>
        <rFont val="Calibri"/>
        <family val="2"/>
        <scheme val="minor"/>
      </rPr>
      <t xml:space="preserve"> materials or assemblies listed below have no additional site-applied finishing material are installed. </t>
    </r>
  </si>
  <si>
    <r>
      <t>11.601.6 Stacked stories.</t>
    </r>
    <r>
      <rPr>
        <sz val="10"/>
        <color theme="1"/>
        <rFont val="Calibri"/>
        <family val="2"/>
        <scheme val="minor"/>
      </rPr>
      <t xml:space="preserve"> Stories above grade are stacked, such as in 1½-story, 2-story, or greater structures. The area of the upper story is a minimum of 50 percent of the area of the story below based on areas with a minimum ceiling height of 7 feet (2,134 mm). </t>
    </r>
  </si>
  <si>
    <r>
      <t xml:space="preserve">11.601.5 Prefabricated components. </t>
    </r>
    <r>
      <rPr>
        <sz val="10"/>
        <color theme="1"/>
        <rFont val="Calibri"/>
        <family val="2"/>
        <scheme val="minor"/>
      </rPr>
      <t>Precut or preassembled components, or panelized or precast assemblies are utilized for a minimum of 90 percent for the following system or building:</t>
    </r>
  </si>
  <si>
    <r>
      <t>11.601.0 Intent.</t>
    </r>
    <r>
      <rPr>
        <sz val="10"/>
        <color theme="1"/>
        <rFont val="Calibri"/>
        <family val="2"/>
        <scheme val="minor"/>
      </rPr>
      <t xml:space="preserve"> Design and construction practices that minimize the environmental impact of the building materials are incorporated, environmentally efficient building systems and materials are incorporated, and waste generated during construction is reduced. </t>
    </r>
  </si>
  <si>
    <t>11.701 MINIMUM ENERGY EFFICIENCY REQUIREMENTS</t>
  </si>
  <si>
    <t>11.701.4</t>
  </si>
  <si>
    <t>11.701.4.1</t>
  </si>
  <si>
    <t>11.701.4.1.1</t>
  </si>
  <si>
    <t>11.701.4.1.2</t>
  </si>
  <si>
    <t>11.701.4.2</t>
  </si>
  <si>
    <t>11.701.4.2.1</t>
  </si>
  <si>
    <t>11.701.4.2.2</t>
  </si>
  <si>
    <t>11.701.4.2.3</t>
  </si>
  <si>
    <t>11.701.4.3</t>
  </si>
  <si>
    <t>11.701.4.3.1</t>
  </si>
  <si>
    <t>11.701.4.3.2</t>
  </si>
  <si>
    <t>11.701.4.3.2.1</t>
  </si>
  <si>
    <t>11.701.4.3.3</t>
  </si>
  <si>
    <t>11.701.4.3.4</t>
  </si>
  <si>
    <t>11.701.4.3.5</t>
  </si>
  <si>
    <t>11.701.4.4</t>
  </si>
  <si>
    <t>11.701.4.5</t>
  </si>
  <si>
    <t>11.701.4.3 Insulation and air sealing.</t>
  </si>
  <si>
    <t>11.701.4.2 Duct systems.</t>
  </si>
  <si>
    <t>11.701.4.1 HVAC systems.</t>
  </si>
  <si>
    <t>11.701.4 Mandatory practices.</t>
  </si>
  <si>
    <t>11.901 POLLUTANT SORCE CONTROL</t>
  </si>
  <si>
    <t>11.901.0</t>
  </si>
  <si>
    <t>11.901.1</t>
  </si>
  <si>
    <t>11.901.1.1</t>
  </si>
  <si>
    <t>11.901.1.2</t>
  </si>
  <si>
    <t>11.901.1.3</t>
  </si>
  <si>
    <t>11.901.1.4</t>
  </si>
  <si>
    <t>11.901.1.5</t>
  </si>
  <si>
    <t>11.901.1.6</t>
  </si>
  <si>
    <t>11.901.2</t>
  </si>
  <si>
    <t>11.901.2.1</t>
  </si>
  <si>
    <t>11.901.2.2</t>
  </si>
  <si>
    <t>11.901.3</t>
  </si>
  <si>
    <t>11.901.4</t>
  </si>
  <si>
    <t>11.901.5</t>
  </si>
  <si>
    <t>11.901.6</t>
  </si>
  <si>
    <t>11.901.7</t>
  </si>
  <si>
    <t>11.901.8</t>
  </si>
  <si>
    <t>11.901.9</t>
  </si>
  <si>
    <t>11.901.9.1</t>
  </si>
  <si>
    <t>11.901.9.2</t>
  </si>
  <si>
    <t>11.901.9.3</t>
  </si>
  <si>
    <t>11.901.10</t>
  </si>
  <si>
    <t>11.901.11</t>
  </si>
  <si>
    <t>11.901.12</t>
  </si>
  <si>
    <t>11.901.13</t>
  </si>
  <si>
    <t>11.901.14</t>
  </si>
  <si>
    <t>11.902 POLLUTANT CONTROL</t>
  </si>
  <si>
    <t>11.902.0</t>
  </si>
  <si>
    <t>11.902.1</t>
  </si>
  <si>
    <t>11.902.1.1</t>
  </si>
  <si>
    <t>11.902.1.2</t>
  </si>
  <si>
    <t>11.902.1.3</t>
  </si>
  <si>
    <t>11.902.1.4</t>
  </si>
  <si>
    <t>11.902.1.5</t>
  </si>
  <si>
    <t>11.902.2</t>
  </si>
  <si>
    <t>11.902.2.1</t>
  </si>
  <si>
    <t>11.902.2.2</t>
  </si>
  <si>
    <t>11.902.2.3</t>
  </si>
  <si>
    <t>11.902.2.4</t>
  </si>
  <si>
    <t>11.902.3</t>
  </si>
  <si>
    <t>11.902.4</t>
  </si>
  <si>
    <t>11.902.5</t>
  </si>
  <si>
    <t>11.902.6</t>
  </si>
  <si>
    <t>11.903 MOISTURE MANAGEMENT: VAPOR, RAINWATER, PLUMBING, HVAC</t>
  </si>
  <si>
    <t>11.903.0</t>
  </si>
  <si>
    <t>11.903.1</t>
  </si>
  <si>
    <t>11.903.2</t>
  </si>
  <si>
    <t>11.903.3</t>
  </si>
  <si>
    <t xml:space="preserve">11.904 INDOOR AIR QUALITY </t>
  </si>
  <si>
    <t>11.904.0</t>
  </si>
  <si>
    <t>11.904.1</t>
  </si>
  <si>
    <t>11.904.2</t>
  </si>
  <si>
    <t>11.905 INNOVATIVE PRACTICES</t>
  </si>
  <si>
    <t>11.905.1</t>
  </si>
  <si>
    <t>11.905.2</t>
  </si>
  <si>
    <r>
      <t>11.905.2 Kitchen exhaust.</t>
    </r>
    <r>
      <rPr>
        <sz val="10"/>
        <color theme="1"/>
        <rFont val="Calibri"/>
        <family val="2"/>
        <scheme val="minor"/>
      </rPr>
      <t xml:space="preserve"> A kitchen exhaust unit(s) that equals or exceeds 400 cfm (189 L/s) is installed, and makeup air is provided.</t>
    </r>
  </si>
  <si>
    <r>
      <t>11.905.1 Humidity monitoring system.</t>
    </r>
    <r>
      <rPr>
        <sz val="10"/>
        <color theme="1"/>
        <rFont val="Calibri"/>
        <family val="2"/>
        <scheme val="minor"/>
      </rPr>
      <t xml:space="preserve"> A humidity monitoring system is installed with a mobile base unit that displays readings of temperature and relative humidity. The system has a minimum of two remote sensor units. One remote sensor unit is placed permanently inside the conditioned space in a central location, excluding attachment to exterior walls, and another remote sensor unit is placed permanently outside of the conditioned space.</t>
    </r>
  </si>
  <si>
    <r>
      <t xml:space="preserve">11.904.0 Intent. </t>
    </r>
    <r>
      <rPr>
        <sz val="10"/>
        <color theme="1"/>
        <rFont val="Calibri"/>
        <family val="2"/>
        <scheme val="minor"/>
      </rPr>
      <t>IAQ is protected by best practices to control ventilation, moisture, pollutant sources and sanitation.</t>
    </r>
  </si>
  <si>
    <r>
      <t>11.903.3 Relative humidity.</t>
    </r>
    <r>
      <rPr>
        <sz val="10"/>
        <color theme="1"/>
        <rFont val="Calibri"/>
        <family val="2"/>
        <scheme val="minor"/>
      </rPr>
      <t xml:space="preserve"> In climate zones 1A, 2A, 3A, 4A, and 5A, equipment is installed to maintain relative humidity (RH) at or below 60 percent using one of the following:</t>
    </r>
  </si>
  <si>
    <r>
      <t>11.903.2 Duct insulation.</t>
    </r>
    <r>
      <rPr>
        <sz val="10"/>
        <color theme="1"/>
        <rFont val="Calibri"/>
        <family val="2"/>
        <scheme val="minor"/>
      </rPr>
      <t xml:space="preserve"> Ducts are in accordance with one of the following.</t>
    </r>
  </si>
  <si>
    <r>
      <t xml:space="preserve">11.903.1 Plumbing. </t>
    </r>
    <r>
      <rPr>
        <sz val="10"/>
        <color theme="1"/>
        <rFont val="Calibri"/>
        <family val="2"/>
        <scheme val="minor"/>
      </rPr>
      <t>Plumbing is in accordance with one of the following.</t>
    </r>
  </si>
  <si>
    <r>
      <t>11.903.0 Intent.</t>
    </r>
    <r>
      <rPr>
        <sz val="10"/>
        <color theme="1"/>
        <rFont val="Calibri"/>
        <family val="2"/>
        <scheme val="minor"/>
      </rPr>
      <t xml:space="preserve"> Moisture and moisture effects are controlled.</t>
    </r>
  </si>
  <si>
    <r>
      <t>11.902.5 Central vacuum systems.</t>
    </r>
    <r>
      <rPr>
        <sz val="10"/>
        <color theme="1"/>
        <rFont val="Calibri"/>
        <family val="2"/>
        <scheme val="minor"/>
      </rPr>
      <t xml:space="preserve"> Central vacuum system is installed and vented to the outside.</t>
    </r>
  </si>
  <si>
    <r>
      <t>11.902.4 HVAC system protection.</t>
    </r>
    <r>
      <rPr>
        <sz val="10"/>
        <color theme="1"/>
        <rFont val="Calibri"/>
        <family val="2"/>
        <scheme val="minor"/>
      </rPr>
      <t xml:space="preserve"> One of the following HVAC system protection measures is performed. </t>
    </r>
  </si>
  <si>
    <r>
      <t xml:space="preserve">11.902.2.4 </t>
    </r>
    <r>
      <rPr>
        <sz val="10"/>
        <color theme="1"/>
        <rFont val="Calibri"/>
        <family val="2"/>
        <scheme val="minor"/>
      </rPr>
      <t>MERV filters 14 or greater are installed on central forced air systems and are accessible. Designer or installer is to verify that the HVAC equipment is able to accommodate the greater pressure drop of the filter used.</t>
    </r>
  </si>
  <si>
    <r>
      <t>11.902.2.3</t>
    </r>
    <r>
      <rPr>
        <sz val="10"/>
        <color theme="1"/>
        <rFont val="Calibri"/>
        <family val="2"/>
        <scheme val="minor"/>
      </rPr>
      <t xml:space="preserve"> MERV filters 8 to 13 are installed on central forced air systems and are accessible. Designer or installer is to verify that the HVAC equipment is able to accommodate the greater pressure drop of MERV 8 to 13 filters.</t>
    </r>
  </si>
  <si>
    <t>11.902.2 Building ventilation systems.</t>
  </si>
  <si>
    <r>
      <t xml:space="preserve">11.902.1.5 </t>
    </r>
    <r>
      <rPr>
        <sz val="10"/>
        <color theme="1"/>
        <rFont val="Calibri"/>
        <family val="2"/>
        <scheme val="minor"/>
      </rPr>
      <t>Fenestration in spaces other than those identified in 902.1.1 through 902.1.4 are  designed for stack effect or cross-ventilation in accordance with all of the following:</t>
    </r>
  </si>
  <si>
    <r>
      <t xml:space="preserve">11.902.1.4 </t>
    </r>
    <r>
      <rPr>
        <sz val="10"/>
        <color theme="1"/>
        <rFont val="Calibri"/>
        <family val="2"/>
        <scheme val="minor"/>
      </rPr>
      <t xml:space="preserve">Exhaust fans are ENERGY STAR, as applicable. </t>
    </r>
  </si>
  <si>
    <r>
      <t>11.902.1.3</t>
    </r>
    <r>
      <rPr>
        <sz val="10"/>
        <color theme="1"/>
        <rFont val="Calibri"/>
        <family val="2"/>
        <scheme val="minor"/>
      </rPr>
      <t xml:space="preserve"> Kitchen range, bathroom, and laundry exhaust are verified to air flow specification. Ventilation airflow at the point of exhaust is tested to a minimum of:</t>
    </r>
  </si>
  <si>
    <r>
      <t>11.902.1.2</t>
    </r>
    <r>
      <rPr>
        <sz val="10"/>
        <color theme="1"/>
        <rFont val="Calibri"/>
        <family val="2"/>
        <scheme val="minor"/>
      </rPr>
      <t xml:space="preserve"> Bathroom and/or laundry exhaust fan is provided with an automatic timer and/or humidistat:</t>
    </r>
  </si>
  <si>
    <r>
      <t xml:space="preserve">11.902.1.1 </t>
    </r>
    <r>
      <rPr>
        <sz val="10"/>
        <color theme="1"/>
        <rFont val="Calibri"/>
        <family val="2"/>
        <scheme val="minor"/>
      </rPr>
      <t>Spot ventilation is in accordance with the following:</t>
    </r>
  </si>
  <si>
    <t>11.902.1 Spot ventilation.</t>
  </si>
  <si>
    <r>
      <t>11.902.0 Intent.</t>
    </r>
    <r>
      <rPr>
        <sz val="10"/>
        <color theme="1"/>
        <rFont val="Calibri"/>
        <family val="2"/>
        <scheme val="minor"/>
      </rPr>
      <t xml:space="preserve"> Pollutants generated in the building are controlled.</t>
    </r>
  </si>
  <si>
    <r>
      <t>11.901.9.3</t>
    </r>
    <r>
      <rPr>
        <sz val="10"/>
        <color theme="1"/>
        <rFont val="Calibri"/>
        <family val="2"/>
        <scheme val="minor"/>
      </rPr>
      <t xml:space="preserve"> Site-applied interior architectural coatings, which are inside the waterproofing envelope, are in accordance with the emission levels of CDPH/EHLB Standard Method v1.1. Emission levels are determined by a laboratory accredited to ISO/IEC 17025 and the CDPH/EHLB Standard Method v1.1 in its scope of accreditation. The product is certified by a third-party program accredited to ISO 17065, such as, but not limited to, those found in Appendix D. </t>
    </r>
  </si>
  <si>
    <r>
      <t>11.901.9.2</t>
    </r>
    <r>
      <rPr>
        <sz val="10"/>
        <color theme="1"/>
        <rFont val="Calibri"/>
        <family val="2"/>
        <scheme val="minor"/>
      </rPr>
      <t xml:space="preserve"> Architectural coating colorant additive VOC content is in accordance with Table 901.9.2.</t>
    </r>
  </si>
  <si>
    <r>
      <t>11.901.9.1</t>
    </r>
    <r>
      <rPr>
        <sz val="10"/>
        <color theme="1"/>
        <rFont val="Calibri"/>
        <family val="2"/>
        <scheme val="minor"/>
      </rPr>
      <t xml:space="preserve"> Site-applied interior architectural coatings, which are inside the water proofing envelope, are in accordance with one or more of the following:</t>
    </r>
  </si>
  <si>
    <r>
      <t>11.901.7</t>
    </r>
    <r>
      <rPr>
        <sz val="10"/>
        <color theme="1"/>
        <rFont val="Calibri"/>
        <family val="2"/>
        <scheme val="minor"/>
      </rPr>
      <t xml:space="preserve"> </t>
    </r>
    <r>
      <rPr>
        <b/>
        <sz val="10"/>
        <color theme="1"/>
        <rFont val="Calibri"/>
        <family val="2"/>
        <scheme val="minor"/>
      </rPr>
      <t>Floor materials.</t>
    </r>
    <r>
      <rPr>
        <sz val="10"/>
        <color theme="1"/>
        <rFont val="Calibri"/>
        <family val="2"/>
        <scheme val="minor"/>
      </rPr>
      <t xml:space="preserve"> The following types of finished flooring materials are used.  The materials have emission levels in accordance with CDPH/EHLB Standard Method v1.1. Product is tested by a laboratory with the CDPH/EHLB Standard Method v1.1 within the laboratory scope of accreditation to ISO/IEC 17025 and certified by a third-party program accredited to ISO 17065, such as, but not limited to, those in Appendix D. </t>
    </r>
  </si>
  <si>
    <r>
      <t>11.901.6 Carpets.</t>
    </r>
    <r>
      <rPr>
        <sz val="10"/>
        <color theme="1"/>
        <rFont val="Calibri"/>
        <family val="2"/>
        <scheme val="minor"/>
      </rPr>
      <t xml:space="preserve"> Wall-to-wall carpeting is not installed adjacent to water closets and bathing fixtures.</t>
    </r>
  </si>
  <si>
    <r>
      <t>11.901.3 Garages.</t>
    </r>
    <r>
      <rPr>
        <sz val="10"/>
        <color theme="1"/>
        <rFont val="Calibri"/>
        <family val="2"/>
        <scheme val="minor"/>
      </rPr>
      <t xml:space="preserve"> Garages are in accordance with the following:</t>
    </r>
  </si>
  <si>
    <r>
      <t>11.901.2.2</t>
    </r>
    <r>
      <rPr>
        <sz val="10"/>
        <color theme="1"/>
        <rFont val="Calibri"/>
        <family val="2"/>
      </rPr>
      <t xml:space="preserve"> Fireplaces, woodstoves, pellet stoves, or masonry heaters are not installed. </t>
    </r>
  </si>
  <si>
    <t>11.901.2 Solid fuel-burning appliances</t>
  </si>
  <si>
    <r>
      <t xml:space="preserve">11.901.1.6 </t>
    </r>
    <r>
      <rPr>
        <sz val="10"/>
        <color theme="1"/>
        <rFont val="Calibri"/>
        <family val="2"/>
        <scheme val="minor"/>
      </rPr>
      <t>The following electric equipment is installed:</t>
    </r>
  </si>
  <si>
    <r>
      <t xml:space="preserve">11.901.1.5 </t>
    </r>
    <r>
      <rPr>
        <sz val="10"/>
        <color theme="1"/>
        <rFont val="Calibri"/>
        <family val="2"/>
        <scheme val="minor"/>
      </rPr>
      <t>Natural gas and propane fireplaces are direct vented, have permanently fixed glass fronts or gasketed doors, and comply with CSA Z21.88/CSA 2.33 or CSA Z21.50b/CSA 2.22b.</t>
    </r>
  </si>
  <si>
    <r>
      <t>11.901.1.3</t>
    </r>
    <r>
      <rPr>
        <sz val="10"/>
        <color theme="1"/>
        <rFont val="Calibri"/>
        <family val="2"/>
        <scheme val="minor"/>
      </rPr>
      <t xml:space="preserve"> The following combustion space heating or water heating equipment is installed within conditioned space:</t>
    </r>
  </si>
  <si>
    <r>
      <t xml:space="preserve">11.901.1.2 </t>
    </r>
    <r>
      <rPr>
        <sz val="10"/>
        <color theme="1"/>
        <rFont val="Calibri"/>
        <family val="2"/>
        <scheme val="minor"/>
      </rPr>
      <t xml:space="preserve">Air handling equipment or return ducts are not located in the garage, unless placed in isolated, air-sealed mechanical rooms with an outside air source. </t>
    </r>
  </si>
  <si>
    <r>
      <t>11.901.1.1</t>
    </r>
    <r>
      <rPr>
        <sz val="10"/>
        <color theme="1"/>
        <rFont val="Calibri"/>
        <family val="2"/>
        <scheme val="minor"/>
      </rPr>
      <t xml:space="preserve"> Natural draft furnaces, boilers, or water heaters are not located in conditioned spaces, including conditioned crawlspaces, unless located in a mechanical room that has an outdoor air source and is sealed and insulated to separate it from the conditioned space(s). </t>
    </r>
  </si>
  <si>
    <t>11.901.1 Space and water heating options</t>
  </si>
  <si>
    <r>
      <t>11.901.0 Intent.</t>
    </r>
    <r>
      <rPr>
        <sz val="10"/>
        <color theme="1"/>
        <rFont val="Calibri"/>
        <family val="2"/>
        <scheme val="minor"/>
      </rPr>
      <t xml:space="preserve"> Pollutant sources are controlled.</t>
    </r>
  </si>
  <si>
    <t>11.1001 HOMEOWNER’S MANUAL AND TRAINING GUIDELINES FOR ONE- AND TWO-FAMILY DWELLINGS</t>
  </si>
  <si>
    <t>11.1001.0</t>
  </si>
  <si>
    <t>11.1001.1</t>
  </si>
  <si>
    <t>11.1001.2</t>
  </si>
  <si>
    <t>11.1002 CONSTRUCTION, OPERATION, AND MAINTENANCE MANUALS AND TRAINING FOR MULTI-UNIT BUILDINGS</t>
  </si>
  <si>
    <t>11.1002.0</t>
  </si>
  <si>
    <t>11.1002.1</t>
  </si>
  <si>
    <t>11.1002.2</t>
  </si>
  <si>
    <t>11.1002.3</t>
  </si>
  <si>
    <t>11.1002.4</t>
  </si>
  <si>
    <t xml:space="preserve">11.1003 PUBLIC EDUCATION </t>
  </si>
  <si>
    <t>11.1003.0</t>
  </si>
  <si>
    <t>11.1003.1</t>
  </si>
  <si>
    <r>
      <t xml:space="preserve">11.1003.1 Public Education. </t>
    </r>
    <r>
      <rPr>
        <sz val="10"/>
        <color theme="1"/>
        <rFont val="Calibri"/>
        <family val="2"/>
        <scheme val="minor"/>
      </rPr>
      <t>One or more of the following is implemented:</t>
    </r>
  </si>
  <si>
    <r>
      <t xml:space="preserve">11.1003.0 </t>
    </r>
    <r>
      <rPr>
        <sz val="10"/>
        <color theme="1"/>
        <rFont val="Calibri"/>
        <family val="2"/>
        <scheme val="minor"/>
      </rPr>
      <t xml:space="preserve"> </t>
    </r>
    <r>
      <rPr>
        <b/>
        <sz val="10"/>
        <color theme="1"/>
        <rFont val="Calibri"/>
        <family val="2"/>
        <scheme val="minor"/>
      </rPr>
      <t xml:space="preserve">Intent. </t>
    </r>
    <r>
      <rPr>
        <sz val="10"/>
        <color theme="1"/>
        <rFont val="Calibri"/>
        <family val="2"/>
        <scheme val="minor"/>
      </rPr>
      <t>Increase public awareness of the National Green Building Standard and projects constructed in accordance with National Green Building Standard to help increase demand for high-performance homes.</t>
    </r>
  </si>
  <si>
    <r>
      <t>11.1002.0 Intent.</t>
    </r>
    <r>
      <rPr>
        <sz val="10"/>
        <color theme="1"/>
        <rFont val="Calibri"/>
        <family val="2"/>
        <scheme val="minor"/>
      </rPr>
      <t xml:space="preserve"> Manuals are provided to the responsible parties (owner, management, tenant, and/or maintenance team) regarding the construction, operation, and maintenance of the building. Paper or digital format manuals are to include information regarding those aspects of the building’s construction, maintenance, and operation that are within the area of responsibilities of the respective recipient. One or more responsible parties are to receive a copy of all documentation for archival purposes.</t>
    </r>
  </si>
  <si>
    <r>
      <t>11.1001. 2</t>
    </r>
    <r>
      <rPr>
        <sz val="10"/>
        <color theme="1"/>
        <rFont val="Calibri"/>
        <family val="2"/>
        <scheme val="minor"/>
      </rPr>
      <t xml:space="preserve"> </t>
    </r>
    <r>
      <rPr>
        <b/>
        <sz val="10"/>
        <color theme="1"/>
        <rFont val="Calibri"/>
        <family val="2"/>
        <scheme val="minor"/>
      </rPr>
      <t>Training of initial homeowners.</t>
    </r>
    <r>
      <rPr>
        <sz val="10"/>
        <color theme="1"/>
        <rFont val="Calibri"/>
        <family val="2"/>
        <scheme val="minor"/>
      </rPr>
      <t xml:space="preserve"> Initial homeowners are familiarized with the role of occupants in achieving green goals. Training is provided to the responsible party(ies) regarding equipment operation and maintenance, control systems, and occupant actions that will improve the environmental performance of the building. These include:</t>
    </r>
  </si>
  <si>
    <r>
      <t>11.1001.1</t>
    </r>
    <r>
      <rPr>
        <sz val="10"/>
        <color theme="1"/>
        <rFont val="Calibri"/>
        <family val="2"/>
        <scheme val="minor"/>
      </rPr>
      <t xml:space="preserve"> A homeowner’s manual is provided and stored in a permanent location in the dwelling that includes the following, as available and applicable.</t>
    </r>
  </si>
  <si>
    <r>
      <t>11.1001.0 Intent.</t>
    </r>
    <r>
      <rPr>
        <sz val="10"/>
        <color theme="1"/>
        <rFont val="Calibri"/>
        <family val="2"/>
        <scheme val="minor"/>
      </rPr>
      <t xml:space="preserve"> Information on the building’s use, maintenance, and green components is provided. </t>
    </r>
  </si>
  <si>
    <r>
      <t>11.500.0 Intent</t>
    </r>
    <r>
      <rPr>
        <sz val="10"/>
        <color theme="1"/>
        <rFont val="Calibri"/>
        <family val="2"/>
        <scheme val="minor"/>
      </rPr>
      <t>. This section applies to the lot and changes to the lot due to remodeling of an existing building.</t>
    </r>
  </si>
  <si>
    <t>The building is located within one-half mile (805 m) of pedestrian access to a mass transit system.</t>
  </si>
  <si>
    <t>The building is located within five miles (8,046 m) of a mass transit station with provisions for parking.</t>
  </si>
  <si>
    <t>The building is located within one-half mile (805 m) of six or more community resources. No more than two each of the following use category can be counted toward the total: Recreation, Retail, Civic, and Services. Examples of resources in each category include, but are not limited to the following:</t>
  </si>
  <si>
    <t>Services: bank, daycare center, school, medical/dental office, Laundromat/dry cleaners.</t>
  </si>
  <si>
    <t>The building is on a lot located within a community that has rights-of-way specifically dedicated to bicycle use in the form of paved paths or bicycle lanes, or is on an infill lot located within 1/2 mile of a bicycle lane designated by the jurisdiction.</t>
  </si>
  <si>
    <t>Dedicated bicycle parking and racks are constructed for mixed-use and multifamily buildings:</t>
  </si>
  <si>
    <t>Where a lot adjoins a landscaped common area, a protection plan from the remodeling construction activities next to the common area is implemented.</t>
  </si>
  <si>
    <t xml:space="preserve">The use of terrain-adaptive architecture. </t>
  </si>
  <si>
    <t>Hydrological/soil stability study is completed and used to guide the design of any additions to buildings on the lot.</t>
  </si>
  <si>
    <t>All or a percentage of new driveways and parking are aligned with natural topography to reduce cut and fill.</t>
  </si>
  <si>
    <r>
      <t>11.503.3</t>
    </r>
    <r>
      <rPr>
        <sz val="10"/>
        <color theme="1"/>
        <rFont val="Calibri"/>
        <family val="2"/>
        <scheme val="minor"/>
      </rPr>
      <t xml:space="preserve"> </t>
    </r>
    <r>
      <rPr>
        <b/>
        <sz val="10"/>
        <color theme="1"/>
        <rFont val="Calibri"/>
        <family val="2"/>
        <scheme val="minor"/>
      </rPr>
      <t>Soil disturbance and erosion.</t>
    </r>
    <r>
      <rPr>
        <sz val="10"/>
        <color theme="1"/>
        <rFont val="Calibri"/>
        <family val="2"/>
        <scheme val="minor"/>
      </rPr>
      <t xml:space="preserve"> Soil disturbance and erosion are minimized by one or more of the following: (also see Section 11.504.3)</t>
    </r>
  </si>
  <si>
    <t>Note: Points must be earned in 11.503.3 in order for points in 11.504.1 to be available</t>
  </si>
  <si>
    <t>Remodeling construction activities are scheduled such that disturbed soil that is to be left unworked for more than 21 days is stabilized within 14 days.</t>
  </si>
  <si>
    <t>The new utilities on the lot are designed to use one or more alternative means:</t>
  </si>
  <si>
    <t>Limits of new clearing and grading are demarcated on the lot plan.</t>
  </si>
  <si>
    <t>For landscaped vegetated areas, the maximum percentage of all turf areas is:</t>
  </si>
  <si>
    <t>Site- or community-generated tree trimmings or stump grinding of regionally appropriate trees are used on the site to provide protective mulch during construction or for landscaping.</t>
  </si>
  <si>
    <t>The lot does not contain any environmentally sensitive areas that are disturbed during remodeling.</t>
  </si>
  <si>
    <t>On lots with environmentally sensitive areas, mitigation and/or restoration is conducted to preserve ecosystem functions lost through remodeling activities.</t>
  </si>
  <si>
    <r>
      <t>11.504.0 Intent.</t>
    </r>
    <r>
      <rPr>
        <sz val="10"/>
        <color theme="1"/>
        <rFont val="Calibri"/>
        <family val="2"/>
        <scheme val="minor"/>
      </rPr>
      <t xml:space="preserve"> Environmental impact during construction is avoided to the extent possible; impacts that do occur are minimized, and any significant impacts are mitigated.</t>
    </r>
  </si>
  <si>
    <r>
      <t>11.504.1 On-site supervision and coordination.</t>
    </r>
    <r>
      <rPr>
        <sz val="10"/>
        <color theme="1"/>
        <rFont val="Calibri"/>
        <family val="2"/>
        <scheme val="minor"/>
      </rPr>
      <t xml:space="preserve"> On-site supervision and coordination is provided during on-the-lot clearing, grading, trenching, paving, and installation of utilities to ensure that specified green development practices are implemented. (also see Section 11.503.3)</t>
    </r>
  </si>
  <si>
    <t>NOTE: Points must be taken in 11.503.3 to claim points in 11.504.1.</t>
  </si>
  <si>
    <r>
      <t>11.504.3 Soil disturbance and erosion implementation.</t>
    </r>
    <r>
      <rPr>
        <sz val="10"/>
        <color theme="1"/>
        <rFont val="Calibri"/>
        <family val="2"/>
        <scheme val="minor"/>
      </rPr>
      <t xml:space="preserve"> On-site soil disturbance and erosion during remodeling are minimized by one or more of the following in accordance with the SWPPP or applicable plan: (also see Section 11.503.3)</t>
    </r>
  </si>
  <si>
    <t>Disturbed areas on the lot that are complete or to be left unworked for 21 days or more are stabilized within 14 days using methods as recommended by the EPA, or in the approved SWPPP, where required.</t>
  </si>
  <si>
    <t>Newly installed utilities on the lot are installed using one or more alternative means:</t>
  </si>
  <si>
    <r>
      <t xml:space="preserve">11.505.0 Intent. </t>
    </r>
    <r>
      <rPr>
        <sz val="10"/>
        <color theme="1"/>
        <rFont val="Calibri"/>
        <family val="2"/>
        <scheme val="minor"/>
      </rPr>
      <t>Innovative lot design, preparation and development practices are used to enhance environmental performance. Waivers or variances from local development regulations are obtained, and innovative zoning is used to implement such practices.</t>
    </r>
  </si>
  <si>
    <r>
      <t>11.505.2 Heat island mitigation.</t>
    </r>
    <r>
      <rPr>
        <sz val="10"/>
        <color theme="1"/>
        <rFont val="Calibri"/>
        <family val="2"/>
        <scheme val="minor"/>
      </rPr>
      <t xml:space="preserve"> Heat island effect is mitigated by one or both of the following.</t>
    </r>
  </si>
  <si>
    <t>(For every 100 square feet (9.29 m²) over 4,000 square feet (372 m²), one point is to be added the threshold points shown in Table 305.3.7 for each rating level.)</t>
  </si>
  <si>
    <r>
      <t>11.601.2 Material usage.</t>
    </r>
    <r>
      <rPr>
        <sz val="10"/>
        <color theme="1"/>
        <rFont val="Calibri"/>
        <family val="2"/>
        <scheme val="minor"/>
      </rPr>
      <t xml:space="preserve"> Newly installed structural systems are designed or construction techniques are implemented that reduce and optimize material usage. </t>
    </r>
  </si>
  <si>
    <r>
      <t>11.601.3 Building dimensions and layouts.</t>
    </r>
    <r>
      <rPr>
        <sz val="10"/>
        <color theme="1"/>
        <rFont val="Calibri"/>
        <family val="2"/>
        <scheme val="minor"/>
      </rPr>
      <t xml:space="preserve"> Building dimensions and layouts are designed to reduce material cuts and waste. This practice is used for a minimum of 80 percent of the newly installed areas:</t>
    </r>
  </si>
  <si>
    <r>
      <t>11.601.4 Framing and structural plans.</t>
    </r>
    <r>
      <rPr>
        <sz val="10"/>
        <color theme="1"/>
        <rFont val="Calibri"/>
        <family val="2"/>
        <scheme val="minor"/>
      </rPr>
      <t xml:space="preserve"> Detailed framing or structural plans, material quantity lists and on-site cut lists for newly installed framing, structural materials, and sheathing materials are provided.</t>
    </r>
  </si>
  <si>
    <t>modular construction for any new construction located above grade</t>
  </si>
  <si>
    <t>exterior wall coverings or systems, floor systems, and/or ceiling systems not requiring paint or stain or other type of finishing application</t>
  </si>
  <si>
    <t xml:space="preserve">90 percent or more (after the remodel) of the installed building materials or assemblies listed above: </t>
  </si>
  <si>
    <t>50 percent to less than 90 percent (after the remodel) of the installed building material or assembly listed above:</t>
  </si>
  <si>
    <t>35 percent to less than 50 percent (after the remodel) of the installed building material or assembly listed above:</t>
  </si>
  <si>
    <r>
      <t>11.601.8 Foundations.</t>
    </r>
    <r>
      <rPr>
        <sz val="10"/>
        <color theme="1"/>
        <rFont val="Calibri"/>
        <family val="2"/>
        <scheme val="minor"/>
      </rPr>
      <t xml:space="preserve"> A foundation system that minimizes soil disturbance, excavation quantities and material usage, such as frost-protected shallow foundations, isolated pier and pad foundations, deep foundations, post foundations, or helical piles is selected, designed, and constructed. The foundation is used on 25 percent or more of the building footprint after the remodel.</t>
    </r>
  </si>
  <si>
    <r>
      <t>11.602.1.1.2</t>
    </r>
    <r>
      <rPr>
        <sz val="10"/>
        <color theme="1"/>
        <rFont val="Calibri"/>
        <family val="2"/>
        <scheme val="minor"/>
      </rPr>
      <t xml:space="preserve"> A capillary break to prevent moisture migration into foundation wall is provided between the footing and the foundation wall on all new foundations, and on not less than 25 percent of the total length of the foundation after the remodel.</t>
    </r>
  </si>
  <si>
    <r>
      <t>11.602.1.2 Foundation waterproofing.</t>
    </r>
    <r>
      <rPr>
        <sz val="10"/>
        <color theme="1"/>
        <rFont val="Calibri"/>
        <family val="2"/>
        <scheme val="minor"/>
      </rPr>
      <t xml:space="preserve"> Enhanced foundation waterproofing is installed on all new foundations, and on not less than 25 percent of the total length of the foundation after the remodel using one or both of the following:</t>
    </r>
  </si>
  <si>
    <r>
      <t>11.602.1.3.2</t>
    </r>
    <r>
      <rPr>
        <sz val="10"/>
        <color theme="1"/>
        <rFont val="Calibri"/>
        <family val="2"/>
        <scheme val="minor"/>
      </rPr>
      <t xml:space="preserve"> Interior and exterior foundation perimeter drains are installed and sloped to discharge to daylight, dry well, or sump pit on all new foundations and not less than 25 percent of the total length of the foundation after the remodel.</t>
    </r>
  </si>
  <si>
    <r>
      <t>11.602.1.4.1</t>
    </r>
    <r>
      <rPr>
        <sz val="10"/>
        <color theme="1"/>
        <rFont val="Calibri"/>
        <family val="2"/>
        <scheme val="minor"/>
      </rPr>
      <t xml:space="preserve"> Vapor retarder for all new unconditioned vented crawlspace foundations and not less than 25 percent of the total area after the remodel is in accordance with the following, as applicable. Joints of vapor retarder overlap a minimum of 6 inches (152 mm) and are taped.</t>
    </r>
  </si>
  <si>
    <r>
      <t>11.602.1.4.2</t>
    </r>
    <r>
      <rPr>
        <sz val="10"/>
        <color theme="1"/>
        <rFont val="Calibri"/>
        <family val="2"/>
        <scheme val="minor"/>
      </rPr>
      <t xml:space="preserve"> For all new foundations and not less than 25 percent of the total area of the crawlspace after the remodel, crawlspace that is built as a conditioned area is sealed to prevent outside air infiltration and provided with conditioned air at a rate not less than 0.02 cfm (.009 L/s) per square foot of horizontal area and one of the following is implemented:</t>
    </r>
  </si>
  <si>
    <r>
      <t>11.602.1.8 Water-resistive barrier.</t>
    </r>
    <r>
      <rPr>
        <sz val="10"/>
        <color theme="1"/>
        <rFont val="Calibri"/>
        <family val="2"/>
        <scheme val="minor"/>
      </rPr>
      <t xml:space="preserve"> Where required by the ICC, IRC, or IBC, a water-resistive barrier and/or drainage plane system is installed behind newly installed exterior veneer and/or siding and where there is evidence of a moisture problem. </t>
    </r>
  </si>
  <si>
    <t>NOTE: Describe materials used in the assigned Notes area. Materials, elements, or components awarded points under Section 11.603.1 shall not be awarded points under Section 11.603.2.</t>
  </si>
  <si>
    <t>certified solid wood in accordance with Section 11.606.2</t>
  </si>
  <si>
    <t>(Points awarded only when the newly installed portion of each structural system comprises at least 25 percent of the total area of that structural system after the remodel)</t>
  </si>
  <si>
    <t>(Points awarded only when the newly installed area of the building comprises at least 25 percent of the total area of that element of the building after the remodel)</t>
  </si>
  <si>
    <t>(Points awarded only when the newly installed system comprises at least 25 percent of the total area of that system of the building after the remodel)</t>
  </si>
  <si>
    <t>This practice is not mandatory for existing slabs without apparent moisture problem.</t>
  </si>
  <si>
    <t>This practice is not mandatory for existing space without apparent moisture problem.</t>
  </si>
  <si>
    <t>This practice is not mandatory for existing walls without apparent moisture problem.</t>
  </si>
  <si>
    <t>This practice is not mandatory for existing foundations without apparent moisture problem.</t>
  </si>
  <si>
    <t>Points awarded only when practices (2)-(7) are implemented in all newly installed construction and not less than 25 percent of the applicable building elements for the entire building after the remodel.</t>
  </si>
  <si>
    <t>These practices are not mandatory for existing building elements without apparent moisture problem.</t>
  </si>
  <si>
    <t>This practice is not mandatory for existing tile surfaces without apparent moisture problem.</t>
  </si>
  <si>
    <t>11.605.4</t>
  </si>
  <si>
    <r>
      <t>11.605.4 Recycled construction materials.</t>
    </r>
    <r>
      <rPr>
        <sz val="10"/>
        <color theme="1"/>
        <rFont val="Calibri"/>
        <family val="2"/>
        <scheme val="minor"/>
      </rPr>
      <t xml:space="preserve"> Construction materials (e.g., wood, cardboard, metals, drywall, plastic, asphalt roofing shingles, or concrete) are recycled offsite.</t>
    </r>
  </si>
  <si>
    <r>
      <t>11.605.3 On-site recycling.</t>
    </r>
    <r>
      <rPr>
        <sz val="10"/>
        <color theme="1"/>
        <rFont val="Calibri"/>
        <family val="2"/>
        <scheme val="minor"/>
      </rPr>
      <t xml:space="preserve"> On-site recycling measures following applicable regulations and codes are implemented, such as the following:</t>
    </r>
  </si>
  <si>
    <r>
      <t xml:space="preserve">11.605.1 Hazardous waste. </t>
    </r>
    <r>
      <rPr>
        <sz val="10"/>
        <color theme="1"/>
        <rFont val="Calibri"/>
        <family val="2"/>
        <scheme val="minor"/>
      </rPr>
      <t>The construction waste management plan shall include information on the proper handling and disposal of hazardous waste. All hazardous waste is properly handled and disposed of.</t>
    </r>
  </si>
  <si>
    <t>605.4</t>
  </si>
  <si>
    <t>Compatible untreated biomass material (lumber, posts, beams, etc.) are set aside for combustion if a solid fuel-burning appliance per Section 11.901.2.1(2) will be available for on-site renewable energy.</t>
  </si>
  <si>
    <r>
      <t xml:space="preserve">11.610.1 Life cycle assessment. </t>
    </r>
    <r>
      <rPr>
        <sz val="10"/>
        <color theme="1"/>
        <rFont val="Calibri"/>
        <family val="2"/>
        <scheme val="minor"/>
      </rPr>
      <t>A life cycle assessment (LCA) tool is used to select environmentally preferable products, assemblies, or, entire building designs. Points are awarded in accordance with Section 11.610.1.1 or 11.610.1.2. Only one method of analysis or tool may be utilized. The reference service life for the building is 60 years for any life cycle analysis tool. Results of the LCA are reported in the manual required in Section 11.1001.1 or 11.1002.1(1) of this Standard in terms of the environmental impacts listed in this practice and it is stated if operating energy was included in the LCA.</t>
    </r>
  </si>
  <si>
    <t>per Table 11.610.1.2.1
10 Max</t>
  </si>
  <si>
    <t>Table 11.610.1.2.1</t>
  </si>
  <si>
    <t>back to 11.610.1.2.1</t>
  </si>
  <si>
    <r>
      <t xml:space="preserve">11.610.1.2.2 Assembly LCA. </t>
    </r>
    <r>
      <rPr>
        <sz val="10"/>
        <color theme="1"/>
        <rFont val="Calibri"/>
        <family val="2"/>
        <scheme val="minor"/>
      </rPr>
      <t>An assembly with improved environmental impact measures compared to a functionally comparable assembly is selected. The full life cycle, from resource extraction to demolition and disposal (including but not limited to on-site construction, maintenance and replacement, material and product embodied acquisition, and process and transportation energy), is assessed. The assessment does not include electrical and mechanical equipment and controls, plumbing products, fire detection and alarm systems, elevators, and conveying systems. The following functional building elements are eligible for points under this practice:</t>
    </r>
  </si>
  <si>
    <t>per Table 11.610.1.2.2
10 Max</t>
  </si>
  <si>
    <t>(Points are awarded based on the number of functional building elements that improve upon environmental impact measures by an average of 15 percent.)</t>
  </si>
  <si>
    <t>Assembly LCA</t>
  </si>
  <si>
    <t>Table 11.610.1.2.2</t>
  </si>
  <si>
    <t>2 functional building elements</t>
  </si>
  <si>
    <t>3 functional building elements</t>
  </si>
  <si>
    <t>4 functional building elements</t>
  </si>
  <si>
    <r>
      <t>11.601.2 Material usage.</t>
    </r>
    <r>
      <rPr>
        <sz val="10"/>
        <color theme="1"/>
        <rFont val="Calibri"/>
        <family val="2"/>
        <scheme val="minor"/>
      </rPr>
      <t xml:space="preserve"> Newly installed structural systems are designed or construction techniques are implemented that reduce and optimize material usage.</t>
    </r>
  </si>
  <si>
    <t>NOTE: In the assigned Notes areas, list major and minor materials used that comply with 11.609.1.</t>
  </si>
  <si>
    <t>NOTE: In the assigned Notes area, describe the types of products that comply with 11.608.1.</t>
  </si>
  <si>
    <t>11.701.4.0</t>
  </si>
  <si>
    <t>701.4.0</t>
  </si>
  <si>
    <r>
      <t>11.701.4.1.1</t>
    </r>
    <r>
      <rPr>
        <sz val="10"/>
        <color theme="1"/>
        <rFont val="Calibri"/>
        <family val="2"/>
        <scheme val="minor"/>
      </rPr>
      <t xml:space="preserve"> </t>
    </r>
    <r>
      <rPr>
        <b/>
        <sz val="10"/>
        <color theme="1"/>
        <rFont val="Calibri"/>
        <family val="2"/>
        <scheme val="minor"/>
      </rPr>
      <t>HVAC system sizing.</t>
    </r>
    <r>
      <rPr>
        <sz val="10"/>
        <color theme="1"/>
        <rFont val="Calibri"/>
        <family val="2"/>
        <scheme val="minor"/>
      </rPr>
      <t xml:space="preserve"> Newly installed or modified space heating and cooling system is sized according to heating and cooling loads calculated using ACCA Manual J, or equivalent. New equipment is selected using ACCA Manual S or equivalent.</t>
    </r>
  </si>
  <si>
    <r>
      <t>11.701.4.1.2 Radiant and hydronic space heating.</t>
    </r>
    <r>
      <rPr>
        <sz val="10"/>
        <color theme="1"/>
        <rFont val="Calibri"/>
        <family val="2"/>
        <scheme val="minor"/>
      </rPr>
      <t xml:space="preserve"> Where installed as a primary heat source in the building, new radiant or hydronic space heating system is designed, installed, and documented, using industry-approved guidelines and standards (e.g., ACCA Manual J, AHRI I=B=R, ANSI/ACCA 5 QI-2010, or an accredited design professional’s and manufacturer’s recommendations). </t>
    </r>
  </si>
  <si>
    <r>
      <t>11.701.4.1.2 Radiant and hydronic space heating.</t>
    </r>
    <r>
      <rPr>
        <sz val="10"/>
        <color theme="1"/>
        <rFont val="Calibri"/>
        <family val="2"/>
        <scheme val="minor"/>
      </rPr>
      <t xml:space="preserve"> Where installed as a primary heat source in the building, new radiant or hydronic space heating system is designed, installed, and documented, using industry-approved guidelines and standards (e.g., ACCA Manual J, AHRI I=B=R, ANSI/ACCA 5 QI-2010, or an accredited design professional’s and manufacturer’s recommendations).</t>
    </r>
  </si>
  <si>
    <r>
      <t>11.701.4.2.1</t>
    </r>
    <r>
      <rPr>
        <sz val="10"/>
        <color theme="1"/>
        <rFont val="Calibri"/>
        <family val="2"/>
        <scheme val="minor"/>
      </rPr>
      <t xml:space="preserve"> </t>
    </r>
    <r>
      <rPr>
        <b/>
        <sz val="10"/>
        <color theme="1"/>
        <rFont val="Calibri"/>
        <family val="2"/>
        <scheme val="minor"/>
      </rPr>
      <t>Duct air sealing.</t>
    </r>
    <r>
      <rPr>
        <sz val="10"/>
        <color theme="1"/>
        <rFont val="Calibri"/>
        <family val="2"/>
        <scheme val="minor"/>
      </rPr>
      <t xml:space="preserve"> Newly installed, modified, or ducts that are exposed during the remodel are air sealed. All duct sealing materials are in conformance with UL 181A or UL 181B specifications and are installed in accordance with manufacturer’s instructions.</t>
    </r>
  </si>
  <si>
    <r>
      <t xml:space="preserve">11.701.4.2.2 Ducts and Plenums.  </t>
    </r>
    <r>
      <rPr>
        <sz val="10"/>
        <color theme="1"/>
        <rFont val="Calibri"/>
        <family val="2"/>
        <scheme val="minor"/>
      </rPr>
      <t>Building framing cavities are not used as ducts or plenums. Existing building cavities currently used as supply ducts exposed during the remodel are lined.</t>
    </r>
  </si>
  <si>
    <r>
      <t>11.701.4.2.3</t>
    </r>
    <r>
      <rPr>
        <sz val="10"/>
        <color theme="1"/>
        <rFont val="Calibri"/>
        <family val="2"/>
        <scheme val="minor"/>
      </rPr>
      <t xml:space="preserve"> </t>
    </r>
    <r>
      <rPr>
        <b/>
        <sz val="10"/>
        <color theme="1"/>
        <rFont val="Calibri"/>
        <family val="2"/>
        <scheme val="minor"/>
      </rPr>
      <t>Duct system sizing.</t>
    </r>
    <r>
      <rPr>
        <sz val="10"/>
        <color theme="1"/>
        <rFont val="Calibri"/>
        <family val="2"/>
        <scheme val="minor"/>
      </rPr>
      <t xml:space="preserve"> New or modified Duct system is sized and designed in accordance with ACCA Manual D or equivalent.</t>
    </r>
  </si>
  <si>
    <r>
      <t>11.701.4.3.1 Building Thermal Envelope Air Sealing.</t>
    </r>
    <r>
      <rPr>
        <sz val="10"/>
        <color theme="1"/>
        <rFont val="Calibri"/>
        <family val="2"/>
        <scheme val="minor"/>
      </rPr>
      <t xml:space="preserve"> The building thermal envelope exposed or created during the remodel is durably sealed to limit infiltration. The sealing methods between dissimilar materials allow for differential expansion and contraction. The following are caulked, gasketed, weather-stripped or otherwise sealed with an air barrier material, suitable film, or solid material:</t>
    </r>
  </si>
  <si>
    <r>
      <t>Visual inspection.</t>
    </r>
    <r>
      <rPr>
        <sz val="10"/>
        <color theme="1"/>
        <rFont val="Calibri"/>
        <family val="2"/>
        <scheme val="minor"/>
      </rPr>
      <t xml:space="preserve"> The air barrier and insulation items listed in Table 11.701.4.3.2(2) are field verified by visual inspection.</t>
    </r>
  </si>
  <si>
    <t>See Table 11.701.4.3.2(2)</t>
  </si>
  <si>
    <t>Table 11.701.4.3.2(2)</t>
  </si>
  <si>
    <t>back to 11.701.4.3.2(2)</t>
  </si>
  <si>
    <r>
      <t>11.701.4.3.3 Multifamily air leakage alternative. Multifamily</t>
    </r>
    <r>
      <rPr>
        <sz val="10"/>
        <color theme="1"/>
        <rFont val="Calibri"/>
        <family val="2"/>
        <scheme val="minor"/>
      </rPr>
      <t xml:space="preserve"> buildings four or more stories in height and in compliance with IECC section C402.5 (Air leakage-thermal envelope) are deemed to comply with Sections 11.701.4.3.1 and 11.701.4.3.2.</t>
    </r>
  </si>
  <si>
    <t>11.701.4.6</t>
  </si>
  <si>
    <t>11.701.4.7</t>
  </si>
  <si>
    <r>
      <t xml:space="preserve">11.701.4.6 Fenestration specifications. </t>
    </r>
    <r>
      <rPr>
        <sz val="10"/>
        <color theme="1"/>
        <rFont val="Calibri"/>
        <family val="2"/>
        <scheme val="minor"/>
      </rPr>
      <t>The NFRC-certified U-factor and SHGC of newly installed windows, exterior doors, skylights, and tubular daylighting devices (TDDs) do not exceed the values in Table 11.703.2.5.1.</t>
    </r>
  </si>
  <si>
    <t>701.4.6</t>
  </si>
  <si>
    <t>701.4.7</t>
  </si>
  <si>
    <r>
      <t xml:space="preserve">11.701.4.7 Replacement fenestration.  </t>
    </r>
    <r>
      <rPr>
        <sz val="10"/>
        <color theme="1"/>
        <rFont val="Calibri"/>
        <family val="2"/>
        <scheme val="minor"/>
      </rPr>
      <t>Where some or all of an existing fenestration unit is replaced with a new fenestration product, including sash and glazing, the NFRC-certified U-factor and SHGC of the replacement fenestration unit do not exceed the values in Table 11.703.2.5.1.</t>
    </r>
  </si>
  <si>
    <r>
      <t>11.701.4.7 Replacement fenestration.</t>
    </r>
    <r>
      <rPr>
        <sz val="10"/>
        <color theme="1"/>
        <rFont val="Calibri"/>
        <family val="2"/>
        <scheme val="minor"/>
      </rPr>
      <t xml:space="preserve"> Where some or all of an existing fenestration unit is replaced with a new fenestration product, including sash and glazing, the NFRC-certified U-factor and SHGC of the replacement fenestration unit do not exceed the values in Table 11.703.2.5.1.</t>
    </r>
  </si>
  <si>
    <r>
      <t>11.701.4.6 Fenestration specifications.</t>
    </r>
    <r>
      <rPr>
        <sz val="10"/>
        <color theme="1"/>
        <rFont val="Calibri"/>
        <family val="2"/>
        <scheme val="minor"/>
      </rPr>
      <t xml:space="preserve"> The NFRC-certified U-factor and SHGC of newly installed windows, exterior doors, skylights, and tubular daylighting devices (TDDs) do not exceed the values in Table 11.703.2.5.1.</t>
    </r>
  </si>
  <si>
    <r>
      <t>11.1002.4 Training of building owners.</t>
    </r>
    <r>
      <rPr>
        <sz val="10"/>
        <color theme="1"/>
        <rFont val="Calibri"/>
        <family val="2"/>
        <scheme val="minor"/>
      </rPr>
      <t xml:space="preserve"> Building owners are familiarized with the role of occupants in achieving green goals. On-site training is provided to the responsible party(ies) regarding newly installed equipment operation and maintenance, control systems, and occupant actions that will improve the environmental performance of the building. These include:</t>
    </r>
  </si>
  <si>
    <r>
      <t>11.1002.3 Maintenance manual.</t>
    </r>
    <r>
      <rPr>
        <sz val="10"/>
        <color theme="1"/>
        <rFont val="Calibri"/>
        <family val="2"/>
        <scheme val="minor"/>
      </rPr>
      <t xml:space="preserve"> Maintenance manuals are created and distributed to the responsible parties in accordance with Section 11.1002.0. Between all of the maintenance manuals, </t>
    </r>
    <r>
      <rPr>
        <sz val="10"/>
        <color rgb="FFFF0000"/>
        <rFont val="Calibri"/>
        <family val="2"/>
        <scheme val="minor"/>
      </rPr>
      <t>five or more</t>
    </r>
    <r>
      <rPr>
        <sz val="10"/>
        <color theme="1"/>
        <rFont val="Calibri"/>
        <family val="2"/>
        <scheme val="minor"/>
      </rPr>
      <t xml:space="preserve"> of the following options are included.</t>
    </r>
  </si>
  <si>
    <r>
      <t xml:space="preserve">11.1002.2 Operations manual. </t>
    </r>
    <r>
      <rPr>
        <sz val="10"/>
        <color theme="1"/>
        <rFont val="Calibri"/>
        <family val="2"/>
        <scheme val="minor"/>
      </rPr>
      <t xml:space="preserve">Operations manuals are created and distributed to the responsible parties in accordance with Section 11.1002.0. Between all of the operation manuals, </t>
    </r>
    <r>
      <rPr>
        <sz val="10"/>
        <color rgb="FFFF0000"/>
        <rFont val="Calibri"/>
        <family val="2"/>
        <scheme val="minor"/>
      </rPr>
      <t>five or more</t>
    </r>
    <r>
      <rPr>
        <sz val="10"/>
        <color theme="1"/>
        <rFont val="Calibri"/>
        <family val="2"/>
        <scheme val="minor"/>
      </rPr>
      <t xml:space="preserve"> of the following options are included.</t>
    </r>
  </si>
  <si>
    <r>
      <t xml:space="preserve">11.1002.1 Building construction manual. </t>
    </r>
    <r>
      <rPr>
        <sz val="10"/>
        <color theme="1"/>
        <rFont val="Calibri"/>
        <family val="2"/>
        <scheme val="minor"/>
      </rPr>
      <t xml:space="preserve">A building construction manual, including </t>
    </r>
    <r>
      <rPr>
        <sz val="10"/>
        <color rgb="FFFF0000"/>
        <rFont val="Calibri"/>
        <family val="2"/>
        <scheme val="minor"/>
      </rPr>
      <t>five or more</t>
    </r>
    <r>
      <rPr>
        <sz val="10"/>
        <color theme="1"/>
        <rFont val="Calibri"/>
        <family val="2"/>
        <scheme val="minor"/>
      </rPr>
      <t xml:space="preserve"> of the following, is compiled and distributed in accordance with Section 11.1002.0.</t>
    </r>
  </si>
  <si>
    <r>
      <t>11.904.1</t>
    </r>
    <r>
      <rPr>
        <sz val="10"/>
        <color theme="1"/>
        <rFont val="Calibri"/>
        <family val="2"/>
        <scheme val="minor"/>
      </rPr>
      <t xml:space="preserve"> </t>
    </r>
    <r>
      <rPr>
        <b/>
        <sz val="10"/>
        <color theme="1"/>
        <rFont val="Calibri"/>
        <family val="2"/>
        <scheme val="minor"/>
      </rPr>
      <t>Indoor Air Quality (IAQ) During Construction.</t>
    </r>
    <r>
      <rPr>
        <sz val="10"/>
        <color theme="1"/>
        <rFont val="Calibri"/>
        <family val="2"/>
        <scheme val="minor"/>
      </rPr>
      <t xml:space="preserve"> Wood is dry before close-in (11.602.1.7.1(3)), materials comply with emission criteria (11.901.4- 11.901.11), sources of water infiltration or condensation observed during construction have been eliminated, accessible interior surfaces are dry and free of visible suspect growth (per ASTM D7338-10 section 6.3), and water damage (per ASTM D7338-10 section 7.4.3).</t>
    </r>
  </si>
  <si>
    <r>
      <t>11.904.2</t>
    </r>
    <r>
      <rPr>
        <sz val="10"/>
        <color theme="1"/>
        <rFont val="Calibri"/>
        <family val="2"/>
        <scheme val="minor"/>
      </rPr>
      <t xml:space="preserve"> </t>
    </r>
    <r>
      <rPr>
        <b/>
        <sz val="10"/>
        <color theme="1"/>
        <rFont val="Calibri"/>
        <family val="2"/>
        <scheme val="minor"/>
      </rPr>
      <t xml:space="preserve">Indoor Air Quality (IAQ) Post Completion. </t>
    </r>
    <r>
      <rPr>
        <sz val="10"/>
        <color theme="1"/>
        <rFont val="Calibri"/>
        <family val="2"/>
        <scheme val="minor"/>
      </rPr>
      <t>Verify there are no moisture, mold, and dust issues per 11.602.1.7.1(3), 11.901.4-11.901.11, ASTM D7338 Section 6.3, and ASTM D7338 Section 7.4.3.</t>
    </r>
  </si>
  <si>
    <r>
      <t>11.902.6 Living space contaminants.</t>
    </r>
    <r>
      <rPr>
        <sz val="10"/>
        <color theme="1"/>
        <rFont val="Calibri"/>
        <family val="2"/>
        <scheme val="minor"/>
      </rPr>
      <t xml:space="preserve"> The living space is sealed in accordance with Section 11.701.4.3.1 to prevent unwanted contaminants.</t>
    </r>
  </si>
  <si>
    <r>
      <t xml:space="preserve">11.902.2.1 </t>
    </r>
    <r>
      <rPr>
        <sz val="10"/>
        <color theme="1"/>
        <rFont val="Calibri"/>
        <family val="2"/>
        <scheme val="minor"/>
      </rPr>
      <t xml:space="preserve">One of the following whole building ventilation systems is implemented and is in accordance with the specifications of Appendix B and an explanation of the operation and importance of the ventilation system is </t>
    </r>
    <r>
      <rPr>
        <b/>
        <sz val="10"/>
        <color theme="1"/>
        <rFont val="Calibri"/>
        <family val="2"/>
        <scheme val="minor"/>
      </rPr>
      <t>included in either 11.1001.1(9) or 11.1002.2(11)</t>
    </r>
    <r>
      <rPr>
        <sz val="10"/>
        <color theme="1"/>
        <rFont val="Calibri"/>
        <family val="2"/>
        <scheme val="minor"/>
      </rPr>
      <t>.</t>
    </r>
  </si>
  <si>
    <t>SCAQMD Rule 1168 in accordance with Table 11.901.10(3), excluding products that are sold in 16 ounce containers or less and are regulated by the California Air Resources Board (CARB) Consumer Products Regulations.</t>
  </si>
  <si>
    <t>Table 11.901.10(3)</t>
  </si>
  <si>
    <t>back to 11.901.10(3)</t>
  </si>
  <si>
    <t>See Table 11.901.10(3)</t>
  </si>
  <si>
    <r>
      <t xml:space="preserve">CARB </t>
    </r>
    <r>
      <rPr>
        <i/>
        <sz val="10"/>
        <color theme="1"/>
        <rFont val="Calibri"/>
        <family val="2"/>
        <scheme val="minor"/>
      </rPr>
      <t>Suggested Control Measure for Architectural Coatings</t>
    </r>
    <r>
      <rPr>
        <sz val="10"/>
        <color theme="1"/>
        <rFont val="Calibri"/>
        <family val="2"/>
        <scheme val="minor"/>
      </rPr>
      <t xml:space="preserve"> (see Table 11.901.9.1).</t>
    </r>
  </si>
  <si>
    <t>(Points for 11.901.9.2 are awarded only if base architectural coating is in accordance with 11.901.9.1.)</t>
  </si>
  <si>
    <t>See Table 11.901.9.2</t>
  </si>
  <si>
    <t>See Table 11.901.9.1</t>
  </si>
  <si>
    <t>Table 11.901.9.1</t>
  </si>
  <si>
    <t>back to 11.901.9.1</t>
  </si>
  <si>
    <r>
      <t>c.</t>
    </r>
    <r>
      <rPr>
        <sz val="7"/>
        <color theme="1"/>
        <rFont val="Times New Roman"/>
        <family val="1"/>
      </rPr>
      <t xml:space="preserve">   </t>
    </r>
    <r>
      <rPr>
        <sz val="10"/>
        <color theme="1"/>
        <rFont val="Calibri"/>
        <family val="2"/>
      </rPr>
      <t>Table 11.901.9.1 architectural coating regulatory category and VOC content compliance determination shall conform to the California Air Resources Board Suggested Control Measure for Architectural Coatings dated February 1, 2008.</t>
    </r>
  </si>
  <si>
    <t>Table 11.901.9.2</t>
  </si>
  <si>
    <t>back to 11.901.9.2</t>
  </si>
  <si>
    <t>Table 11.602.1.12</t>
  </si>
  <si>
    <t>back to 11.602.1.12</t>
  </si>
  <si>
    <t>back to 11.604.1</t>
  </si>
  <si>
    <t>Table 11.604.1</t>
  </si>
  <si>
    <t>back to 11.610.1.2.2</t>
  </si>
  <si>
    <r>
      <t>11.901.9 Interior architectural coatings.</t>
    </r>
    <r>
      <rPr>
        <sz val="10"/>
        <color theme="1"/>
        <rFont val="Calibri"/>
        <family val="2"/>
        <scheme val="minor"/>
      </rPr>
      <t xml:space="preserve"> A minimum of 85 percent of newly applied interior architectural coatings are in accordance with either Section 11.901.9.1 or Section 11.901.9.3, not both. A minimum of 85 percent of architectural colorants are in accordance with Section 11.901.9.2.</t>
    </r>
  </si>
  <si>
    <r>
      <t>11.901.8</t>
    </r>
    <r>
      <rPr>
        <sz val="10"/>
        <color theme="1"/>
        <rFont val="Calibri"/>
        <family val="2"/>
        <scheme val="minor"/>
      </rPr>
      <t xml:space="preserve"> </t>
    </r>
    <r>
      <rPr>
        <b/>
        <sz val="10"/>
        <color theme="1"/>
        <rFont val="Calibri"/>
        <family val="2"/>
        <scheme val="minor"/>
      </rPr>
      <t>Wall coverings.</t>
    </r>
    <r>
      <rPr>
        <sz val="10"/>
        <color theme="1"/>
        <rFont val="Calibri"/>
        <family val="2"/>
        <scheme val="minor"/>
      </rPr>
      <t xml:space="preserve"> When at least 10 percent of the interior wall surfaces are covered, a minimum of 85 percent of wall coverings are in accordance with the emission concentration limits of CDPH/EHLB Standard Method v1.1. Emission levels are determined by a laboratory accredited to ISO/IEC 17025 and the CDPH/EHLB Standard Method v1.1 is in its scope of accreditation. The product is certified by a third-party program accredited to ISO 17065, such as, but not limited to, those in Appendix D.</t>
    </r>
  </si>
  <si>
    <r>
      <t>11.901.5</t>
    </r>
    <r>
      <rPr>
        <sz val="10"/>
        <color theme="1"/>
        <rFont val="Calibri"/>
        <family val="2"/>
        <scheme val="minor"/>
      </rPr>
      <t xml:space="preserve"> </t>
    </r>
    <r>
      <rPr>
        <b/>
        <sz val="10"/>
        <color theme="1"/>
        <rFont val="Calibri"/>
        <family val="2"/>
        <scheme val="minor"/>
      </rPr>
      <t>Cabinets.</t>
    </r>
    <r>
      <rPr>
        <sz val="10"/>
        <color theme="1"/>
        <rFont val="Calibri"/>
        <family val="2"/>
        <scheme val="minor"/>
      </rPr>
      <t xml:space="preserve"> A minimum of 85 percent of newly installed cabinets are in accordance with one or both of the following: </t>
    </r>
  </si>
  <si>
    <r>
      <rPr>
        <b/>
        <sz val="10"/>
        <color theme="1"/>
        <rFont val="Calibri"/>
        <family val="2"/>
        <scheme val="minor"/>
      </rPr>
      <t>11.901.4</t>
    </r>
    <r>
      <rPr>
        <sz val="10"/>
        <color theme="1"/>
        <rFont val="Calibri"/>
        <family val="2"/>
        <scheme val="minor"/>
      </rPr>
      <t xml:space="preserve"> Wood materials. A minimum of 85 percent of newly installed material within a product group (i.e., wood structural panels, countertops, composite trim/doors, custom woodwork, and/or component closet shelving) is manufactured in accordance with the following:</t>
    </r>
  </si>
  <si>
    <r>
      <t>11.901.11</t>
    </r>
    <r>
      <rPr>
        <sz val="10"/>
        <color theme="1"/>
        <rFont val="Calibri"/>
        <family val="2"/>
        <scheme val="minor"/>
      </rPr>
      <t xml:space="preserve"> </t>
    </r>
    <r>
      <rPr>
        <b/>
        <sz val="10"/>
        <color theme="1"/>
        <rFont val="Calibri"/>
        <family val="2"/>
        <scheme val="minor"/>
      </rPr>
      <t>Insulation.</t>
    </r>
    <r>
      <rPr>
        <sz val="10"/>
        <color theme="1"/>
        <rFont val="Calibri"/>
        <family val="2"/>
        <scheme val="minor"/>
      </rPr>
      <t xml:space="preserve"> Emissions of 85 percent of newly installed wall, ceiling, and floor insulation materials are in accordance with the emission levels of CDPH/EHLB Standard Method v1.1. Emission levels are determined by a laboratory accredited to ISO/IEC 17025 and the CDPH/EHLB Standard Method v1.1 is in its scope of accreditation. Insulation is certified by a third-party program accredited to ISO 17065, such as, but not limited to, those in Appendix D. </t>
    </r>
  </si>
  <si>
    <t>Glass</t>
  </si>
  <si>
    <r>
      <t>11.901.2.1</t>
    </r>
    <r>
      <rPr>
        <sz val="10"/>
        <color theme="1"/>
        <rFont val="Calibri"/>
        <family val="2"/>
        <scheme val="minor"/>
      </rPr>
      <t xml:space="preserve"> Newly installed solid fuel-burning fireplaces, inserts, stoves and heaters are code compliant and are in accordance with the following requirements: </t>
    </r>
  </si>
  <si>
    <t>11.901.15</t>
  </si>
  <si>
    <t>901.15</t>
  </si>
  <si>
    <r>
      <t>11.901.10 Interior adhesives and sealants.</t>
    </r>
    <r>
      <rPr>
        <sz val="10"/>
        <color theme="1"/>
        <rFont val="Calibri"/>
        <family val="2"/>
        <scheme val="minor"/>
      </rPr>
      <t xml:space="preserve"> Interior low-VOC adhesives and sealants located inside the water proofing envelope: A minimum of 85 percent of newly applied site-applied products used within the interior of the building are in accordance with one of the following, as applicable.</t>
    </r>
  </si>
  <si>
    <t>The emission levels of CDPH/EHLB Standard Method v1.1. Emission levels are determined when tested by a laboratory accredited to ISO/IEC 17025 and the CDPH/EHLB Standard Method v1.1 is in its scope of accreditation. The product is certified by a third-party program accredited to ISO 17065, such as, but not limited to, those found in Appendix D.</t>
  </si>
  <si>
    <t>(25)</t>
  </si>
  <si>
    <t>For buildings originally built before 1978, the EPA publications “Reducing Lead Hazards When Remodeling Your Home” and “Asbestos in Your Home: A Homeowner’s Guide”.</t>
  </si>
  <si>
    <t>Where installed in the common wall between the attached garage and conditioned space, the door is tightly sealed and gasketed.</t>
  </si>
  <si>
    <t xml:space="preserve">A continuous air barrier is provided between walls and ceilings separating the garage space from the conditioned living spaces. </t>
  </si>
  <si>
    <t>901.9.4</t>
  </si>
  <si>
    <t>11.901.9.4</t>
  </si>
  <si>
    <r>
      <t>11.901.9.4</t>
    </r>
    <r>
      <rPr>
        <sz val="10"/>
        <color theme="1"/>
        <rFont val="Calibri"/>
        <family val="2"/>
        <scheme val="minor"/>
      </rPr>
      <t xml:space="preserve"> When the building is occupied during the remodel, a minimum of 85 percent of the newly applied interior architectural coatings are in accordance with either 11.901.9.1 or 11.901.9.3.</t>
    </r>
  </si>
  <si>
    <t>Product manufacturer’s manuals or product data sheet for newly installed major equipment, fixtures, and appliances including product model numbers and serial numbers. If product data sheet is in the building owners’ manual, manufacturer’s manual may be attached to the appliance in lieu of inclusion in the building owners’ manual.</t>
  </si>
  <si>
    <t>Point Level:</t>
  </si>
  <si>
    <t>Certification Level (Overall):</t>
  </si>
  <si>
    <t>Year Built:</t>
  </si>
  <si>
    <t>dstYearBuilt</t>
  </si>
  <si>
    <t>(YYYY)</t>
  </si>
  <si>
    <t>verYearBuilt</t>
  </si>
  <si>
    <t>See Table 11.604.1</t>
  </si>
  <si>
    <t>There is mandatory information or practices missing from the Verifier pages!</t>
  </si>
  <si>
    <t>There are errors on the Verifier pages!</t>
  </si>
  <si>
    <t>_1</t>
  </si>
  <si>
    <t>_2</t>
  </si>
  <si>
    <t>_3</t>
  </si>
  <si>
    <t>_4</t>
  </si>
  <si>
    <t>_5</t>
  </si>
  <si>
    <t>_6</t>
  </si>
  <si>
    <t>_7</t>
  </si>
  <si>
    <t>4.0.0</t>
  </si>
  <si>
    <t>A lot is selected within a census block group that, compared to its region, has above-average neighborhood walkability using an index within the EPA’s Smart Location Database:</t>
  </si>
  <si>
    <t xml:space="preserve">Walkability is within the top quartile for the region. </t>
  </si>
  <si>
    <t>_</t>
  </si>
  <si>
    <t>Bicycle enclosed storage is provided or parking spaces are covered or otherwise protected from the elements.</t>
  </si>
  <si>
    <t xml:space="preserve">The remodel includes the new development and implementation of a community scale bike sharing. </t>
  </si>
  <si>
    <t xml:space="preserve">The remodel includes the new development and implementation of a community scale motorized vehicle sharing program. </t>
  </si>
  <si>
    <t>NOTE: Enter name of the bike sharing program in the Notes field.</t>
  </si>
  <si>
    <t>NOTE: Enter name of the car sharing program in the Notes field.</t>
  </si>
  <si>
    <t>2 points per
(a) – (c)</t>
  </si>
  <si>
    <t>Developer has a plan to design and construct the lot in accordance with the International Wildland-Urban Interface Code (IWUIC). 
[Only applicable where the AHJ has not declared a wildland-urban interface area, but a fire protection engineer, certified fire marshal, or other qualified party has determined and documented the site as hazarded per the IWUIC.]</t>
  </si>
  <si>
    <t xml:space="preserve">10 percent to less than 25 percent (add 2 points for use of vegetative paving system) </t>
  </si>
  <si>
    <t xml:space="preserve">25-50 percent (add 4 points for use of vegetative paving system) </t>
  </si>
  <si>
    <t xml:space="preserve">Greater than 50 percent (add 6 points for use of vegetative paving system) </t>
  </si>
  <si>
    <t xml:space="preserve">Complete gutter and downspout system directs storm water away from foundation to vegetated landscape area, a raingarden, or catchment system that provides for water infiltration. </t>
  </si>
  <si>
    <t>[Points for vegetative paving systems are only awarded for locations receiving more than 20 inches per year of annual average precipitation.]</t>
  </si>
  <si>
    <t xml:space="preserve">To improve pollinator habitat, at least 10 percent of planted areas are composed of native or regionally appropriate flowering and nectar producing plant species. Invasive plant species shall not be utilized. </t>
  </si>
  <si>
    <t xml:space="preserve">EPA WaterSense Water Budget Tool or equivalent is used when implementing the site vegetative design. </t>
  </si>
  <si>
    <t>Where turf is being planted, Turfgrass Water Conservation Alliance (TWCA) or equivalent as determined by the adopting entity third party qualified water efficient grasses are used.</t>
  </si>
  <si>
    <t>11.505.7</t>
  </si>
  <si>
    <t>11.505.8</t>
  </si>
  <si>
    <t>11.505.9</t>
  </si>
  <si>
    <t>11.505.10</t>
  </si>
  <si>
    <t>11.505.11</t>
  </si>
  <si>
    <t>505.7</t>
  </si>
  <si>
    <t>505.8</t>
  </si>
  <si>
    <t>505.9</t>
  </si>
  <si>
    <t>505.10</t>
  </si>
  <si>
    <t>505.11</t>
  </si>
  <si>
    <t xml:space="preserve">11.505.4 Mixed-use development. </t>
  </si>
  <si>
    <t xml:space="preserve">The lot contains a mixed-use building. </t>
  </si>
  <si>
    <t xml:space="preserve">A portion of the lot of at least 250 sq ft is established as community garden(s) for the residents of the site. [*3 points per 250 sq ft] </t>
  </si>
  <si>
    <t xml:space="preserve">Locate the project within a 0.5-mile walking distance of an existing or planned farmers market/ farm stand that is open or will operate at least once a week for at least five months of the year. </t>
  </si>
  <si>
    <t xml:space="preserve">Areas and physical provisions are provided for composting. </t>
  </si>
  <si>
    <t xml:space="preserve">Signs designating the garden area are posted. </t>
  </si>
  <si>
    <t xml:space="preserve">Smoking is prohibited within 25 feet (7.5 m) of all building exterior doors and operable windows or building air intakes within 15 (4.5 m) vertical feet of grade or a walking surface. </t>
  </si>
  <si>
    <t xml:space="preserve">Smoking is prohibited on decks, balconies, patios and other occupied exterior spaces. </t>
  </si>
  <si>
    <t xml:space="preserve">Smoking is prohibited at all parks, playgrounds, and community activity or recreational spaces. </t>
  </si>
  <si>
    <t xml:space="preserve">A dedicated area of at least 400 square feet is provided inside the building with adult exercise and/or children’s play equipment. </t>
  </si>
  <si>
    <t xml:space="preserve">A courtyard, garden, terrace, or roof space at least 10% of the lot area that can serve as outdoor space for children’s play and /or adult activities is provided. </t>
  </si>
  <si>
    <t xml:space="preserve">Active play/recreation areas are illuminated at night to extend opportunities for physical activity into the evening. </t>
  </si>
  <si>
    <r>
      <rPr>
        <b/>
        <sz val="10"/>
        <color theme="1"/>
        <rFont val="Calibri"/>
        <family val="2"/>
        <scheme val="minor"/>
      </rPr>
      <t>11.505.5 Multifamily or mixed-use community garden(s).</t>
    </r>
    <r>
      <rPr>
        <sz val="10"/>
        <color theme="1"/>
        <rFont val="Calibri"/>
        <family val="2"/>
        <scheme val="minor"/>
      </rPr>
      <t xml:space="preserve"> Local food production to residents or area consumers. </t>
    </r>
  </si>
  <si>
    <r>
      <rPr>
        <b/>
        <sz val="10"/>
        <color theme="1"/>
        <rFont val="Calibri"/>
        <family val="2"/>
        <scheme val="minor"/>
      </rPr>
      <t>11.505.7 Multi-unit residential CNG vehicle fueling.</t>
    </r>
    <r>
      <rPr>
        <sz val="10"/>
        <color theme="1"/>
        <rFont val="Calibri"/>
        <family val="2"/>
        <scheme val="minor"/>
      </rPr>
      <t xml:space="preserve"> CNG vehicle residential fueling appliances are provided for at least 1 percent of the parking stalls. The CNG fueling appliances shall be listed in accordance with ANSI/CSA NGV 5.1 and installed in accordance to the appliance manufacturer’s installation instructions. </t>
    </r>
  </si>
  <si>
    <r>
      <rPr>
        <b/>
        <sz val="10"/>
        <color theme="1"/>
        <rFont val="Calibri"/>
        <family val="2"/>
        <scheme val="minor"/>
      </rPr>
      <t>11.505.8 Street network.</t>
    </r>
    <r>
      <rPr>
        <sz val="10"/>
        <color theme="1"/>
        <rFont val="Calibri"/>
        <family val="2"/>
        <scheme val="minor"/>
      </rPr>
      <t xml:space="preserve"> Project is located in an area of high intersection density. </t>
    </r>
  </si>
  <si>
    <r>
      <rPr>
        <b/>
        <sz val="10"/>
        <color theme="1"/>
        <rFont val="Calibri"/>
        <family val="2"/>
        <scheme val="minor"/>
      </rPr>
      <t>11.505.9 Smoking prohibitions.</t>
    </r>
    <r>
      <rPr>
        <sz val="10"/>
        <color theme="1"/>
        <rFont val="Calibri"/>
        <family val="2"/>
        <scheme val="minor"/>
      </rPr>
      <t xml:space="preserve"> Signs are provided on multifamily and mixed-use lots prohibiting smoking at the following locations:</t>
    </r>
  </si>
  <si>
    <r>
      <rPr>
        <b/>
        <sz val="10"/>
        <color theme="1"/>
        <rFont val="Calibri"/>
        <family val="2"/>
        <scheme val="minor"/>
      </rPr>
      <t>11.505.11 Battery storage system.</t>
    </r>
    <r>
      <rPr>
        <sz val="10"/>
        <color theme="1"/>
        <rFont val="Calibri"/>
        <family val="2"/>
        <scheme val="minor"/>
      </rPr>
      <t xml:space="preserve"> A battery storage system of not less than 6 kWh of available capacity is installed that stores electric energy from an on-site renewable electric generation system or is grid-interactive or can perform both functions. </t>
    </r>
  </si>
  <si>
    <r>
      <rPr>
        <b/>
        <sz val="10"/>
        <color theme="1"/>
        <rFont val="Calibri"/>
        <family val="2"/>
        <scheme val="minor"/>
      </rPr>
      <t>11.505.10 Exercise &amp; Recreation Area.</t>
    </r>
    <r>
      <rPr>
        <sz val="10"/>
        <color theme="1"/>
        <rFont val="Calibri"/>
        <family val="2"/>
        <scheme val="minor"/>
      </rPr>
      <t xml:space="preserve"> For multifamily buildings, on-site dedicated recreation space for exercise or play opportunities for adults and/or children open and accessible to residents is provided.</t>
    </r>
  </si>
  <si>
    <r>
      <rPr>
        <b/>
        <sz val="10"/>
        <color theme="1"/>
        <rFont val="Calibri"/>
        <family val="2"/>
        <scheme val="minor"/>
      </rPr>
      <t>11.505.6 Multi-unit plug-in electric vehicle charging.</t>
    </r>
    <r>
      <rPr>
        <sz val="10"/>
        <color theme="1"/>
        <rFont val="Calibri"/>
        <family val="2"/>
        <scheme val="minor"/>
      </rPr>
      <t xml:space="preserve"> Plug-in electric vehicle charging capability is provided for not fewer than 2 percent of parking stalls.
[An additional 2 points can be earned for each percentage point above 2% for a maximum of 10 points] 
</t>
    </r>
  </si>
  <si>
    <t>Fractional values shall be rounded up to the nearest whole number. Electrical capacity in main electric panels supports Level 2 charging (208/240V-up to 80 amps or in accordance with SAE J1772). Each stall is provided with conduit and wiring infrastructure from the electric panel to support Level 2 charging (208/240V- up to 80 amps or in accordance with SAE J1772) service to the designated stalls, and stalls are equipped with either Level 2 charging AC grounded outlets (208/240V- up to 80 amps or in accordance with SAE J1772) or Level 2 charging stations (208-240V/80A) by a third party charging station.</t>
  </si>
  <si>
    <t>Community Garden (sf):</t>
  </si>
  <si>
    <t>9 max</t>
  </si>
  <si>
    <t>4 (10 max)</t>
  </si>
  <si>
    <r>
      <t>11.601.1 Conditioned floor area.</t>
    </r>
    <r>
      <rPr>
        <sz val="10"/>
        <color theme="1"/>
        <rFont val="Calibri"/>
        <family val="2"/>
        <scheme val="minor"/>
      </rPr>
      <t xml:space="preserve"> Finished floor area of a dwelling unit or sleeping unit after the remodeling is limited. Finished floor area is calculated in accordance with ANSI Z765 for single family and ANSI/BOMA Z65.4 for multifamily buildings. Only the finished floor area for stories above grade plane is included in the calculation. </t>
    </r>
  </si>
  <si>
    <t>602.1.15</t>
  </si>
  <si>
    <t>11.602.1.15</t>
  </si>
  <si>
    <r>
      <t xml:space="preserve">11.602.1.15 Kitchen and vanity cabinets. </t>
    </r>
    <r>
      <rPr>
        <sz val="10"/>
        <color theme="1"/>
        <rFont val="Calibri"/>
        <family val="2"/>
        <scheme val="minor"/>
      </rPr>
      <t xml:space="preserve">All kitchen and vanity cabinets are certified in accordance with the ANSI/KCMA A161.1 performance standard or equivalent. </t>
    </r>
  </si>
  <si>
    <t>NOTE: Identify what product was used in the assigned Notes area.</t>
  </si>
  <si>
    <r>
      <t>11.605.0 Intent.</t>
    </r>
    <r>
      <rPr>
        <sz val="10"/>
        <color theme="1"/>
        <rFont val="Calibri"/>
        <family val="2"/>
        <scheme val="minor"/>
      </rPr>
      <t xml:space="preserve"> Waste generated during construction is recycled.</t>
    </r>
  </si>
  <si>
    <r>
      <t xml:space="preserve">11.605.1 Hazardous waste. </t>
    </r>
    <r>
      <rPr>
        <sz val="10"/>
        <color theme="1"/>
        <rFont val="Calibri"/>
        <family val="2"/>
        <scheme val="minor"/>
      </rPr>
      <t>The construction waste management plan shall include information on the proper handling and disposal of hazardous waste. Hazardous waste is properly handled and disposed.</t>
    </r>
  </si>
  <si>
    <r>
      <t>11.605.2 Construction waste management plan.</t>
    </r>
    <r>
      <rPr>
        <sz val="10"/>
        <color theme="1"/>
        <rFont val="Calibri"/>
        <family val="2"/>
        <scheme val="minor"/>
      </rPr>
      <t xml:space="preserve"> A construction waste management plan is developed, posted at the jobsite, and implemented diverting through methods such as reuse, salvage, recycling, or manufacturer reclamation, a minimum of 50 percent (by weight) of nonhazardous construction and demolition waste from disposal. For this practice, land clearing debris is not considered a construction waste. Materials used as alternative daily cover are considered construction waste and do not count toward recycling or salvaging.</t>
    </r>
  </si>
  <si>
    <t>For remodeling projects or demolition of an existing facility, the waste management plan includes the recycling of 95 percent of electronic waste components (such as printed circuit boards from computers, building automation systems, HVAC, fire and security control boards) by an E-Waste recycling facility.</t>
  </si>
  <si>
    <t>Waste materials generated from land clearing, soil and sub-grade excavation and vegetative debris shall not be in the calculations.</t>
  </si>
  <si>
    <t>A manufacturer’s fiber procurement system that has been audited by an approve agency as compliant with the provisions of ASTM D7612 as a responsible or certified source. Government or tribal forestlands whose water protection programs have been evaluated by an approved agency as compliant with the responsible source designation of ASTM D7612 are exempt from auditing in the manufacturer’s fiber procurement system.</t>
  </si>
  <si>
    <t>Manuf. Fiber proc. Sys.</t>
  </si>
  <si>
    <t>A minimum of two responsible or certified wood-based products are used for minor components of the building.</t>
  </si>
  <si>
    <t>A minimum of two responsible or certified wood-based products are used in major components of the building.</t>
  </si>
  <si>
    <t>A readily accessible space(s) for compostable material containers is provided and identified on the floorplan of the house or dwelling unit or a readily accessible area(s) outside the living space is provided for compostable material containers and identified on the site plan for the house or building. The area outside the living space shall accommodate composting container(s) for locally accepted materials, or, accommodate composting container(s) for on-site composting.</t>
  </si>
  <si>
    <t>11.611.1.1</t>
  </si>
  <si>
    <t>11.611.1.2</t>
  </si>
  <si>
    <t>611.1</t>
  </si>
  <si>
    <t>611.1.1</t>
  </si>
  <si>
    <t>611.1.2</t>
  </si>
  <si>
    <r>
      <t>11.611.1</t>
    </r>
    <r>
      <rPr>
        <sz val="10"/>
        <color theme="1"/>
        <rFont val="Calibri"/>
        <family val="2"/>
        <scheme val="minor"/>
      </rPr>
      <t xml:space="preserve"> </t>
    </r>
    <r>
      <rPr>
        <b/>
        <sz val="10"/>
        <color theme="1"/>
        <rFont val="Calibri"/>
        <family val="2"/>
        <scheme val="minor"/>
      </rPr>
      <t xml:space="preserve">Product declarations. </t>
    </r>
    <r>
      <rPr>
        <sz val="10"/>
        <color theme="1"/>
        <rFont val="Calibri"/>
        <family val="2"/>
        <scheme val="minor"/>
      </rPr>
      <t>A minimum of 10 different products installed in the building project, at the time of certificate of occupancy, comply with one of the following sub-sections. Declarations, reports, and assessments are submitted and contain documentation of the critical peer review by an independent third party, results from the review, the reviewer’s name, company name, contact information, and date of the review.</t>
    </r>
    <r>
      <rPr>
        <b/>
        <sz val="10"/>
        <color theme="1"/>
        <rFont val="Calibri"/>
        <family val="2"/>
        <scheme val="minor"/>
      </rPr>
      <t xml:space="preserve"> </t>
    </r>
  </si>
  <si>
    <r>
      <t xml:space="preserve">11.611.1.1 Industry-wide declaration. </t>
    </r>
    <r>
      <rPr>
        <sz val="10"/>
        <color theme="1"/>
        <rFont val="Calibri"/>
        <family val="2"/>
      </rPr>
      <t>A Type III industry-wide environmental product declaration (EPD) is submitted for each product. Where the program operator explicitly recognizes the EPD as representative of the product group on a National level, it is considered industry-wide. In the case where an industry-wide EPD represents only a subset of an industry group, as opposed to being industry-wide, the manufacturer is required be explicitly recognized as a participant by the EPD program operator. All EPDs are required to be consistent with ISO Standards 14025 and 21930 with at least a cradle-to-gate scope.
[Each product complying with Section 611.4.1 shall be counted as one product for compliance with Section 611.4]</t>
    </r>
  </si>
  <si>
    <r>
      <t xml:space="preserve">11.611.1.2 Product Specific Declaration. </t>
    </r>
    <r>
      <rPr>
        <sz val="10"/>
        <color theme="1"/>
        <rFont val="Calibri"/>
        <family val="2"/>
      </rPr>
      <t>A  product specific Type III EPD are submitted for each product. The product specific declaration shall be manufacturer specific for an individual product or product family. All Type III EPDs are required to be certified as complying, at a minimum, with the goal and scope for the cradle-to-gate requirements in accordance with ISO Standards 14025 and 21930.
[Each product complying with Section 611.4.2 shall be counted as two products for compliance with Section 611.4.]</t>
    </r>
  </si>
  <si>
    <t>11.612 INNOVATIVE PRACTICES</t>
  </si>
  <si>
    <t>11.612.1</t>
  </si>
  <si>
    <r>
      <t>11.612.1 Manufacturer’s environmental management system concepts.</t>
    </r>
    <r>
      <rPr>
        <sz val="10"/>
        <color theme="1"/>
        <rFont val="Calibri"/>
        <family val="2"/>
        <scheme val="minor"/>
      </rPr>
      <t xml:space="preserve"> Product manufacturer’s operations and business practices include environmental management system concepts, and the production facility is registered to ISO 14001 or equivalent. The aggregate value of building products from registered ISO 14001 or equivalent production facilities is 1 percent or more of the estimated total building materials cost. </t>
    </r>
  </si>
  <si>
    <t>11.612.2</t>
  </si>
  <si>
    <t>11.612.3</t>
  </si>
  <si>
    <r>
      <t xml:space="preserve">11.612.3 Universal design elements. </t>
    </r>
    <r>
      <rPr>
        <sz val="10"/>
        <color theme="1"/>
        <rFont val="Calibri"/>
        <family val="2"/>
        <scheme val="minor"/>
      </rPr>
      <t>Dwelling incorporates one or more of the following universal design elements. Conventional industry construction tolerances are permitted.</t>
    </r>
  </si>
  <si>
    <t>612</t>
  </si>
  <si>
    <t>612.1</t>
  </si>
  <si>
    <t>612.2</t>
  </si>
  <si>
    <t>612.3</t>
  </si>
  <si>
    <r>
      <t xml:space="preserve">11.612.2 Sustainable products. </t>
    </r>
    <r>
      <rPr>
        <sz val="10"/>
        <color theme="1"/>
        <rFont val="Calibri"/>
        <family val="2"/>
        <scheme val="minor"/>
      </rPr>
      <t>One or more of the following products are used for at least 30% of the floor or wall area of the entire dwelling unit or sleeping unit, as applicable. Products are certified by a third-party agency accredited to ISO 17065.</t>
    </r>
  </si>
  <si>
    <t>50% or more of carpet installed (by square feet) is certified to NSF 140 or equivalent.</t>
  </si>
  <si>
    <t xml:space="preserve">50% or more of resilient flooring installed (by square feet) is certified to NSF 332 or equivalent. </t>
  </si>
  <si>
    <t xml:space="preserve">50% or more of the insulation installed (by square feet) is certified to UL 2985 or equivalent. </t>
  </si>
  <si>
    <t xml:space="preserve">50% or more of interior wall coverings installed (by square feet) is certified to NSF 342 or equivalent. </t>
  </si>
  <si>
    <t xml:space="preserve">50% or more of the gypsum board installed (by square feet) is certified to UL 100 or equivalent. </t>
  </si>
  <si>
    <t xml:space="preserve">50% or more of the door leafs installed (by number of door leafs) is certified to UL 102 or equivalent. </t>
  </si>
  <si>
    <t xml:space="preserve">50% or more of the tile installed (by square feet) is certified to TCNA A138.1 Specifications for Sustainable Ceramic Tiles, Glass Tiles and Tile Installation Materials or equivalent. </t>
  </si>
  <si>
    <t xml:space="preserve">All sink, lavatory and showering controls that comply with ICC A117.1. </t>
  </si>
  <si>
    <t>Anyone of the following systems are automated and can be controlled with a wireless device or voice-activated device: HVAC, all permanently-installed lighting, alarm system, window treatments, or door locks.</t>
  </si>
  <si>
    <t>1 system</t>
  </si>
  <si>
    <t>2 systems</t>
  </si>
  <si>
    <t>3 systems</t>
  </si>
  <si>
    <t>4 systems</t>
  </si>
  <si>
    <t>5 systems</t>
  </si>
  <si>
    <t>11.613.1</t>
  </si>
  <si>
    <r>
      <t xml:space="preserve">11.613.1 Intent. </t>
    </r>
    <r>
      <rPr>
        <sz val="10"/>
        <color theme="1"/>
        <rFont val="Calibri"/>
        <family val="2"/>
        <scheme val="minor"/>
      </rPr>
      <t>Design and construction practices developed by a licensed design professional or equivalent are implemented that enhance the resilience and durability of the structure (above building code minimum design loads) so the structure can better withstand forces generated by; flooding, snow, wind or seismic activity (as applicable) and reduce the potential for the loss of life and property.</t>
    </r>
  </si>
  <si>
    <t>613.1</t>
  </si>
  <si>
    <t>base</t>
  </si>
  <si>
    <t>10%</t>
  </si>
  <si>
    <t>20%</t>
  </si>
  <si>
    <t>30%</t>
  </si>
  <si>
    <t>40%</t>
  </si>
  <si>
    <t>50%</t>
  </si>
  <si>
    <r>
      <t xml:space="preserve">Minimum structural requirements (base design). </t>
    </r>
    <r>
      <rPr>
        <sz val="10"/>
        <rFont val="Calibri"/>
        <family val="2"/>
        <scheme val="minor"/>
      </rPr>
      <t xml:space="preserve">The building is designed and constructed in compliance with structural requirements in the IBC or IRC as applicable. </t>
    </r>
  </si>
  <si>
    <r>
      <t>Enhanced resilience – 10% above base design.</t>
    </r>
    <r>
      <rPr>
        <sz val="10"/>
        <rFont val="Calibri"/>
        <family val="2"/>
        <scheme val="minor"/>
      </rPr>
      <t xml:space="preserve"> Design and construction practices are implemented that enhance the resilience and durability of the structure by designing and building to forces generated by; flooding, snow, wind or seismic (as applicable) that are 10% higher than the base design. </t>
    </r>
  </si>
  <si>
    <t>Enhanced resilience – 20% above base design.</t>
  </si>
  <si>
    <t>Enhanced resilience – 30% above base design.</t>
  </si>
  <si>
    <t>Enhanced resilience – 40% above base design.</t>
  </si>
  <si>
    <t>Enhanced resilience – 50% above base design.</t>
  </si>
  <si>
    <t>1 per system
[5 max]</t>
  </si>
  <si>
    <r>
      <rPr>
        <b/>
        <sz val="10"/>
        <color theme="1"/>
        <rFont val="Calibri"/>
        <family val="2"/>
        <scheme val="minor"/>
      </rPr>
      <t>305.2.5 Energy efficiency.</t>
    </r>
    <r>
      <rPr>
        <sz val="10"/>
        <color theme="1"/>
        <rFont val="Calibri"/>
        <family val="2"/>
        <scheme val="minor"/>
      </rPr>
      <t xml:space="preserve"> The building shall comply with Section 305.2.5.1 or 305.2.5.2.</t>
    </r>
  </si>
  <si>
    <t>305.2.5</t>
  </si>
  <si>
    <t>Prescriptive Path</t>
  </si>
  <si>
    <t>Reduction Path</t>
  </si>
  <si>
    <r>
      <rPr>
        <b/>
        <sz val="10"/>
        <color theme="1"/>
        <rFont val="Calibri"/>
        <family val="2"/>
        <scheme val="minor"/>
      </rPr>
      <t xml:space="preserve">305.2.5.1 Energy consumption reduction path. </t>
    </r>
    <r>
      <rPr>
        <sz val="10"/>
        <color theme="1"/>
        <rFont val="Calibri"/>
        <family val="2"/>
        <scheme val="minor"/>
      </rPr>
      <t xml:space="preserve"> The energy efficiency rating level shall be based on the reduction in energy consumption resulting from the remodel in accordance with Table 305.2.5.1.</t>
    </r>
  </si>
  <si>
    <t>305.2.5.1</t>
  </si>
  <si>
    <t>The reduction in energy consumption resulting from the remodel shall be based on the estimated annual energy cost savings or source energy savings as determined by a third-party energy audit and analysis or utility consumption data. The reduction shall be the percentage difference between the consumption per square foot before and after the remodel calculated as follows:</t>
  </si>
  <si>
    <t>Mandatory</t>
  </si>
  <si>
    <r>
      <t>11.701.4.0</t>
    </r>
    <r>
      <rPr>
        <sz val="10"/>
        <color theme="1"/>
        <rFont val="Calibri"/>
        <family val="2"/>
        <scheme val="minor"/>
      </rPr>
      <t xml:space="preserve"> </t>
    </r>
    <r>
      <rPr>
        <b/>
        <sz val="10"/>
        <color theme="1"/>
        <rFont val="Calibri"/>
        <family val="2"/>
        <scheme val="minor"/>
      </rPr>
      <t>Minimum energy efficiency requirements.</t>
    </r>
    <r>
      <rPr>
        <sz val="10"/>
        <color theme="1"/>
        <rFont val="Calibri"/>
        <family val="2"/>
        <scheme val="minor"/>
      </rPr>
      <t xml:space="preserve"> Additions, alterations, or renovations to an existing building, building system or portion thereof shall comply with the provisions of the ICC IECC as they relate to new construction without requiring the unaltered portion(s) of the existing building or building system to comply with the ICC IECC. An addition complies with the IECC if the addition complies or if the existing building and addition comply with the ICC IECC as a single building.</t>
    </r>
  </si>
  <si>
    <t>(m)</t>
  </si>
  <si>
    <t>Walls, ceilings, and floors separating conditioned spaces from unconditioned space.</t>
  </si>
  <si>
    <t>Common walls between dwelling units or sleeping units.</t>
  </si>
  <si>
    <t>Top and bottom plates.</t>
  </si>
  <si>
    <r>
      <t xml:space="preserve">11.701.4.3.2 Air barrier, air sealing, building envelope testing and insulation. </t>
    </r>
    <r>
      <rPr>
        <sz val="10"/>
        <color theme="1"/>
        <rFont val="Calibri"/>
        <family val="2"/>
        <scheme val="minor"/>
      </rPr>
      <t>For portions of the building envelope that are exposed or created during the remodel, building envelope air tightness and insulation installation is verified to be in accordance with this Section and Section 11.701.4.3.2.1. Insulation installation other than Grade 1 is not permitted.</t>
    </r>
  </si>
  <si>
    <t>Testing is required, unless multifamily building is classified as commercial by IECC and building is in compliance with IECC C402.5 (Air Leakage and Thermal Envelope. Commercial buildings have option to comply via testing or per C402.5.</t>
  </si>
  <si>
    <t>Multifamily Building Note: Testing by dwelling units, sleeping units, groups of dwelling units, groups of sleeping units, or the building as a whole is acceptable.</t>
  </si>
  <si>
    <r>
      <t xml:space="preserve">11.701.4.3.2.1 </t>
    </r>
    <r>
      <rPr>
        <sz val="10"/>
        <color theme="1"/>
        <rFont val="Calibri"/>
        <family val="2"/>
        <scheme val="minor"/>
      </rPr>
      <t xml:space="preserve">Grade I insulation installation. Field-installed insulation products to ceilings, walls, floors, band joists, rim joists, conditioned attics, basements, and crawlspaces, except as specifically noted, are verified as Grade I by a third-party in accordance with the following: </t>
    </r>
  </si>
  <si>
    <t>Where properly installed, ICFs, SIPs, and other wall systems that provide integral insulation are deemed in compliance with this section.</t>
  </si>
  <si>
    <r>
      <t>11.701.4.3.4 Fenestration air leakage.</t>
    </r>
    <r>
      <rPr>
        <sz val="10"/>
        <color theme="1"/>
        <rFont val="Calibri"/>
        <family val="2"/>
        <scheme val="minor"/>
      </rPr>
      <t xml:space="preserve"> Newly installed Windows, skylights and sliding glass doors have an air infiltration rate of no more than 0.3 cfm per square foot (1.5 L/s/m2), and swinging doors no more than 0.5 cfm per square foot (2.6 L/s/m2), when tested in accordance with NFRC 400 or AAMA/WDMA/CSA 101/I.S.2/A440 by an accredited, independent laboratory and listed and labeled. For site-built fenestration, a test report by an accredited, independent laboratory verifying compliance with the applicable infiltration rate shall be submitted to demonstrate compliance with this practice. This practice does not apply to field-fabricated fenestration products.</t>
    </r>
  </si>
  <si>
    <r>
      <t xml:space="preserve">Exception: </t>
    </r>
    <r>
      <rPr>
        <sz val="10"/>
        <color theme="1"/>
        <rFont val="Calibri"/>
        <family val="2"/>
        <scheme val="minor"/>
      </rPr>
      <t>For Tropical Zones only, jalousie windows are permitted to be used as a conditioned space boundary and shall have an air infiltration rate of not more than 1.3 cfm per square foot.</t>
    </r>
  </si>
  <si>
    <r>
      <t xml:space="preserve">11.701.4.3.5 Lighting and building thermal envelope. </t>
    </r>
    <r>
      <rPr>
        <sz val="10"/>
        <color theme="1"/>
        <rFont val="Calibri"/>
        <family val="2"/>
        <scheme val="minor"/>
      </rPr>
      <t>Newly installed luminaires installed in the building thermal envelope which penetrate the air barrier are sealed to limit air leakage between conditioned and unconditioned spaces. All luminaires are IC-rated and labeled as meeting ASTM E283 when tested at 1.57 psf (75 Pa) pressure differential with no more than 2.0 cfm (0.944 L/s) of air movement from the conditioned space to the ceiling cavity. All luminaires installed in the building thermal envelope which penetrate the air barrier are sealed with a gasket or caulk between the housing and the interior of the wall or ceiling covering.</t>
    </r>
  </si>
  <si>
    <r>
      <t xml:space="preserve">11.701.4.4 High-efficacy lighting. </t>
    </r>
    <r>
      <rPr>
        <sz val="10"/>
        <color theme="1"/>
        <rFont val="Calibri"/>
        <family val="2"/>
        <scheme val="minor"/>
      </rPr>
      <t>A minimum of 90 percent of newly installed hard-wired lighting fixtures or the bulbs in those fixtures shall be high efficacy.</t>
    </r>
  </si>
  <si>
    <r>
      <t xml:space="preserve">11.701.4.5 Boiler piping. </t>
    </r>
    <r>
      <rPr>
        <sz val="10"/>
        <color theme="1"/>
        <rFont val="Calibri"/>
        <family val="2"/>
        <scheme val="minor"/>
      </rPr>
      <t>Boiler piping in unconditioned space supplying and returning heated water or steam that is accessible during the remodel is insulated. Exception: where condensing boilers are installed, insulation is not required for return piping.</t>
    </r>
  </si>
  <si>
    <t>11.703.1</t>
  </si>
  <si>
    <r>
      <t>11.703.1 Mandatory practices</t>
    </r>
    <r>
      <rPr>
        <sz val="10"/>
        <rFont val="Calibri"/>
        <family val="2"/>
        <scheme val="minor"/>
      </rPr>
      <t xml:space="preserve"> </t>
    </r>
  </si>
  <si>
    <t>11.703.1.1</t>
  </si>
  <si>
    <t>11.703.1.1.1</t>
  </si>
  <si>
    <r>
      <t>11.703.1.1.1 Maximum UA.</t>
    </r>
    <r>
      <rPr>
        <sz val="10"/>
        <rFont val="Calibri"/>
        <family val="2"/>
        <scheme val="minor"/>
      </rPr>
      <t xml:space="preserve"> For IECC residential, the total building UA is less than or equal to the total maximum UA as computed by 2018 IECC Section R402.1.5. For IECC commercial, the total UA is less than or equal to the sum of the UA for 2018 IECC Tables C402.1.4 and C402.4, including the U-factor times the area and C-factor or F-factor times the perimeter. The total UA proposed and baseline calculations are documented. REScheck or COMcheck is deemed to provide UA calculation documentation.</t>
    </r>
  </si>
  <si>
    <t>11.703.1.1.2</t>
  </si>
  <si>
    <r>
      <t>11.703.1.1.2 Prescriptive R-value and fenestration requirements</t>
    </r>
    <r>
      <rPr>
        <sz val="10"/>
        <rFont val="Calibri"/>
        <family val="2"/>
        <scheme val="minor"/>
      </rPr>
      <t>. The building thermal envelope is in accordance with the insulation and fenestration requirements of 2018 IECC R502.1.1.1. The SHGC is in accordance with the 2018 IECC requirements.</t>
    </r>
  </si>
  <si>
    <t>11.703.1.2</t>
  </si>
  <si>
    <t>11.703.1.3</t>
  </si>
  <si>
    <r>
      <t>11.703.1.3 Duct testing.</t>
    </r>
    <r>
      <rPr>
        <sz val="10"/>
        <rFont val="Calibri"/>
        <family val="2"/>
        <scheme val="minor"/>
      </rPr>
      <t xml:space="preserve"> The duct system is in accordance with 2018 IECC R403.3.2 through R403.3.5 as applicable.</t>
    </r>
  </si>
  <si>
    <t>11.703.2</t>
  </si>
  <si>
    <t>11.703.2 Building envelope</t>
  </si>
  <si>
    <t>11.703.2.1</t>
  </si>
  <si>
    <r>
      <t>11.703.2.1 UA improvement.</t>
    </r>
    <r>
      <rPr>
        <sz val="10"/>
        <rFont val="Calibri"/>
        <family val="2"/>
        <scheme val="minor"/>
      </rPr>
      <t xml:space="preserve"> The total building thermal envelope UA is less than or equal to the baseline total UA resulting from the U-factors provided in Table 11.703.2.1(a) or ICC IECC Tables C402.1.4 and C402.4, as applicable. Where insulation is used to achieve the UA improvement, the insulation installation is in accordance with Grade 1 meeting Section 701.4.3.2.1 as verified by a third-party. Total UA is documented using a RESCheck, COMCheck, or equivalent report to verify the baseline and the UA improvement.</t>
    </r>
  </si>
  <si>
    <t>11.703.2.2</t>
  </si>
  <si>
    <r>
      <t xml:space="preserve">11.703.2.2 Mass walls. </t>
    </r>
    <r>
      <rPr>
        <sz val="10"/>
        <rFont val="Calibri"/>
        <family val="2"/>
        <scheme val="minor"/>
      </rPr>
      <t xml:space="preserve">More than 75 percent of the above-grade exterior opaque wall area of the building is mass walls.  </t>
    </r>
  </si>
  <si>
    <t>11.703.2.3</t>
  </si>
  <si>
    <r>
      <t xml:space="preserve">11.703.2.3 </t>
    </r>
    <r>
      <rPr>
        <sz val="10"/>
        <rFont val="Calibri"/>
        <family val="2"/>
        <scheme val="minor"/>
      </rPr>
      <t xml:space="preserve">A radiant barrier with an emittance of 0.05 or less is used in the attic. The product is tested in accordance with ASTM C1371 and installed in accordance with the manufacturer's instructions. </t>
    </r>
    <r>
      <rPr>
        <i/>
        <sz val="10"/>
        <rFont val="Calibri"/>
        <family val="2"/>
        <scheme val="minor"/>
      </rPr>
      <t>[In climate zones 1-3, one point maximum for multifamily buildings four or more stories in height.]</t>
    </r>
  </si>
  <si>
    <t>11.703.2.4</t>
  </si>
  <si>
    <r>
      <t>11.703.2.4 Building envelope leakage</t>
    </r>
    <r>
      <rPr>
        <sz val="10"/>
        <rFont val="Calibri"/>
        <family val="2"/>
        <scheme val="minor"/>
      </rPr>
      <t xml:space="preserve">. The maximum building envelope leakage rate is in accordance with Table 11.703.2.4 and whole building ventilation is provided in accordance with Section 902.2.1. </t>
    </r>
    <r>
      <rPr>
        <i/>
        <sz val="10"/>
        <rFont val="Calibri"/>
        <family val="2"/>
        <scheme val="minor"/>
      </rPr>
      <t>[Points not awarded if points are taken under Section 11.705.6.2.1]</t>
    </r>
  </si>
  <si>
    <t>11.703.2.5</t>
  </si>
  <si>
    <t>11.703.2.5 Fenestration</t>
  </si>
  <si>
    <t>11.703.2.5.1</t>
  </si>
  <si>
    <r>
      <t>11.703.2.5.1</t>
    </r>
    <r>
      <rPr>
        <sz val="10"/>
        <rFont val="Calibri"/>
        <family val="2"/>
        <scheme val="minor"/>
      </rPr>
      <t xml:space="preserve"> NFRC-certified (or equivalent) U-factor and SHGC of windows, exterior doors, skylights, and tubular daylighting devices (TDDs) on an area-weighted average basis do not exceed the values in Table 11.703.2.5.1. Area weighted averages are calculated separately for the categories of 1) windows and exterior doors and 2) skylights and tubular daylighting devices (TDDs). Decorative fenestration elements with a combined total maximum area of 15 square feet (1.39 m</t>
    </r>
    <r>
      <rPr>
        <vertAlign val="superscript"/>
        <sz val="10"/>
        <rFont val="Calibri"/>
        <family val="2"/>
        <scheme val="minor"/>
      </rPr>
      <t>2</t>
    </r>
    <r>
      <rPr>
        <sz val="10"/>
        <rFont val="Calibri"/>
        <family val="2"/>
        <scheme val="minor"/>
      </rPr>
      <t xml:space="preserve">) or 10 percent of the total glazing area, whichever is less, are not required to comply with this practice. </t>
    </r>
  </si>
  <si>
    <t>11.703.2.5.1.1</t>
  </si>
  <si>
    <r>
      <t>11.703.2.5.1.1 Dynamic glazing.</t>
    </r>
    <r>
      <rPr>
        <sz val="10"/>
        <rFont val="Calibri"/>
        <family val="2"/>
        <scheme val="minor"/>
      </rPr>
      <t xml:space="preserve"> Dynamic glazing is permitted to satisfy the SHGC requirements of Table 11.703.2.5.1 provided the ratio of the higher to lower labeled SHGC is greater than or equal to 2.4 and the dynamic glazing is automatically controlled to modulate the amount of solar gain into the space in multiple steps. Fenestration with dynamic glazing is considered separately from other fenestration and area-weighted averaging with fenestration that does not use dynamic glazing is not permitted. Dynamic glazing is not required to be automatically controlled or comply with minimum SHGC ratio when both the lower and higher labeled SHGC already comply with the requirements of Table 11.703.2.5.1.</t>
    </r>
  </si>
  <si>
    <t>11.703.2.5.2</t>
  </si>
  <si>
    <t>11.703.2.5.2.1</t>
  </si>
  <si>
    <r>
      <t xml:space="preserve">11.703.2.5.2.1 Dynamic glazing. </t>
    </r>
    <r>
      <rPr>
        <sz val="10"/>
        <rFont val="Calibri"/>
        <family val="2"/>
        <scheme val="minor"/>
      </rPr>
      <t>Dynamic glazing is permitted to satisfy the SHGC requirements of Tables 11.703.2.5.2(a), 11.703.2.5.2(b), and 11.703.2.5.2(c) provided the ratio of the higher to lower labeled SHGC is greater than or equal to 2.4, and the dynamic glazing is automatically controlled to modulate the amount of solar gain into the space in multiple steps. Fenestration with dynamic glazing is considered separately from other fenestration, and area-weighted averaging with fenestration that does not use dynamic glazing is not permitted. Dynamic glazing is not required to be automatically controlled or comply with minimum SHGC ratio when both the lower and higher labeled SHGC already comply with the requirements of Tables 11.703.2.5.2(a), 11.703.2.5.2(b), and 11.703.2.5.2(c).</t>
    </r>
  </si>
  <si>
    <t>11.703.3</t>
  </si>
  <si>
    <t>11.703.3 HVAC equipment efficiency</t>
  </si>
  <si>
    <t>11.703.3.0</t>
  </si>
  <si>
    <r>
      <t xml:space="preserve">11.703.3.0 Multiple heating and cooling systems. </t>
    </r>
    <r>
      <rPr>
        <sz val="10"/>
        <rFont val="Calibri"/>
        <family val="2"/>
        <scheme val="minor"/>
      </rPr>
      <t>For multiple heating or cooling systems in one home, practices 11.703.3.1 through 11.703.3.6 apply to the system that supplies 80% or more of the total installed heating or cooling capacity. Where multiple systems each serve less than 80% of the total installed heating or cooling capacity, points under Sections 11.703.3.1 through 11.703.3.6 are awarded either for the system eligible for the fewest points or the weighted average of the systems. The weighted average shall be calculated in accordance with the following equation and be based upon the efficiency and capacity of the equipment as selected in accordance with ACCA Manual S with it loads calculated in accordance with ACCA Manual J.</t>
    </r>
  </si>
  <si>
    <r>
      <t>Weighted Average = [(E</t>
    </r>
    <r>
      <rPr>
        <vertAlign val="subscript"/>
        <sz val="10"/>
        <rFont val="Calibri"/>
        <family val="2"/>
        <scheme val="minor"/>
      </rPr>
      <t>unit 1</t>
    </r>
    <r>
      <rPr>
        <sz val="10"/>
        <rFont val="Calibri"/>
        <family val="2"/>
        <scheme val="minor"/>
      </rPr>
      <t>*C</t>
    </r>
    <r>
      <rPr>
        <vertAlign val="subscript"/>
        <sz val="10"/>
        <rFont val="Calibri"/>
        <family val="2"/>
        <scheme val="minor"/>
      </rPr>
      <t>unit 1</t>
    </r>
    <r>
      <rPr>
        <sz val="10"/>
        <rFont val="Calibri"/>
        <family val="2"/>
        <scheme val="minor"/>
      </rPr>
      <t>)+(E</t>
    </r>
    <r>
      <rPr>
        <vertAlign val="subscript"/>
        <sz val="10"/>
        <rFont val="Calibri"/>
        <family val="2"/>
        <scheme val="minor"/>
      </rPr>
      <t>unit 2</t>
    </r>
    <r>
      <rPr>
        <sz val="10"/>
        <rFont val="Calibri"/>
        <family val="2"/>
        <scheme val="minor"/>
      </rPr>
      <t>*C</t>
    </r>
    <r>
      <rPr>
        <vertAlign val="subscript"/>
        <sz val="10"/>
        <rFont val="Calibri"/>
        <family val="2"/>
        <scheme val="minor"/>
      </rPr>
      <t>unit 2</t>
    </r>
    <r>
      <rPr>
        <sz val="10"/>
        <rFont val="Calibri"/>
        <family val="2"/>
        <scheme val="minor"/>
      </rPr>
      <t>)+…+(E</t>
    </r>
    <r>
      <rPr>
        <vertAlign val="subscript"/>
        <sz val="10"/>
        <rFont val="Calibri"/>
        <family val="2"/>
        <scheme val="minor"/>
      </rPr>
      <t xml:space="preserve">unit </t>
    </r>
    <r>
      <rPr>
        <i/>
        <vertAlign val="subscript"/>
        <sz val="10"/>
        <rFont val="Calibri"/>
        <family val="2"/>
        <scheme val="minor"/>
      </rPr>
      <t>n</t>
    </r>
    <r>
      <rPr>
        <sz val="10"/>
        <rFont val="Calibri"/>
        <family val="2"/>
        <scheme val="minor"/>
      </rPr>
      <t>*C</t>
    </r>
    <r>
      <rPr>
        <vertAlign val="subscript"/>
        <sz val="10"/>
        <rFont val="Calibri"/>
        <family val="2"/>
        <scheme val="minor"/>
      </rPr>
      <t xml:space="preserve">unit </t>
    </r>
    <r>
      <rPr>
        <i/>
        <vertAlign val="subscript"/>
        <sz val="10"/>
        <rFont val="Calibri"/>
        <family val="2"/>
        <scheme val="minor"/>
      </rPr>
      <t>n</t>
    </r>
    <r>
      <rPr>
        <sz val="10"/>
        <rFont val="Calibri"/>
        <family val="2"/>
        <scheme val="minor"/>
      </rPr>
      <t>)] / (C</t>
    </r>
    <r>
      <rPr>
        <vertAlign val="subscript"/>
        <sz val="10"/>
        <rFont val="Calibri"/>
        <family val="2"/>
        <scheme val="minor"/>
      </rPr>
      <t>unit 1</t>
    </r>
    <r>
      <rPr>
        <sz val="10"/>
        <rFont val="Calibri"/>
        <family val="2"/>
        <scheme val="minor"/>
      </rPr>
      <t>+C</t>
    </r>
    <r>
      <rPr>
        <vertAlign val="subscript"/>
        <sz val="10"/>
        <rFont val="Calibri"/>
        <family val="2"/>
        <scheme val="minor"/>
      </rPr>
      <t>unit 2</t>
    </r>
    <r>
      <rPr>
        <sz val="10"/>
        <rFont val="Calibri"/>
        <family val="2"/>
        <scheme val="minor"/>
      </rPr>
      <t>+…+C</t>
    </r>
    <r>
      <rPr>
        <vertAlign val="subscript"/>
        <sz val="10"/>
        <rFont val="Calibri"/>
        <family val="2"/>
        <scheme val="minor"/>
      </rPr>
      <t xml:space="preserve">unit </t>
    </r>
    <r>
      <rPr>
        <i/>
        <vertAlign val="subscript"/>
        <sz val="10"/>
        <rFont val="Calibri"/>
        <family val="2"/>
        <scheme val="minor"/>
      </rPr>
      <t>n</t>
    </r>
    <r>
      <rPr>
        <sz val="10"/>
        <rFont val="Calibri"/>
        <family val="2"/>
        <scheme val="minor"/>
      </rPr>
      <t>)</t>
    </r>
  </si>
  <si>
    <t>where:</t>
  </si>
  <si>
    <t>E = Rated AHRI efficiency for unit</t>
  </si>
  <si>
    <t>C = Rated heating or cooling capacity for unit</t>
  </si>
  <si>
    <r>
      <t xml:space="preserve">n </t>
    </r>
    <r>
      <rPr>
        <sz val="10"/>
        <rFont val="Calibri"/>
        <family val="2"/>
        <scheme val="minor"/>
      </rPr>
      <t>= Unit count</t>
    </r>
  </si>
  <si>
    <t>11.703.3.1</t>
  </si>
  <si>
    <r>
      <t xml:space="preserve">11.703.3.1 </t>
    </r>
    <r>
      <rPr>
        <sz val="10"/>
        <rFont val="Calibri"/>
        <family val="2"/>
        <scheme val="minor"/>
      </rPr>
      <t xml:space="preserve">Combination space heating and water heating system (combo system) is installed using either a coil from the water heater connected to an air handler to provide heat for the building, dwelling unit or sleeping unit, or a space heating boiler using an indirect-fired water heater. Devices have a minimum combined annual efficiency of 0.80 and a minimum water heating recovery efficiency of 0.87.  </t>
    </r>
  </si>
  <si>
    <t>11.703.3.2</t>
  </si>
  <si>
    <r>
      <t xml:space="preserve">11.703.3.2 </t>
    </r>
    <r>
      <rPr>
        <sz val="10"/>
        <rFont val="Calibri"/>
        <family val="2"/>
        <scheme val="minor"/>
      </rPr>
      <t>Furnace and/or boiler efficiency is in accordance with one of the following:</t>
    </r>
  </si>
  <si>
    <t xml:space="preserve">    ≥90% AFUE</t>
  </si>
  <si>
    <t xml:space="preserve">    ≥92% AFUE</t>
  </si>
  <si>
    <t xml:space="preserve">    ≥94% AFUE</t>
  </si>
  <si>
    <t xml:space="preserve">    ≥96% AFUE</t>
  </si>
  <si>
    <t xml:space="preserve">    ≥98% AFUE</t>
  </si>
  <si>
    <t xml:space="preserve">    ≥85% AFUE</t>
  </si>
  <si>
    <t>11.703.3.3</t>
  </si>
  <si>
    <r>
      <t xml:space="preserve">11.703.3.3 </t>
    </r>
    <r>
      <rPr>
        <sz val="10"/>
        <rFont val="Calibri"/>
        <family val="2"/>
        <scheme val="minor"/>
      </rPr>
      <t>Heat pump heating efficiency is in accordance with Table 11.703.3.3(1) or Table 11.703.3.3(2) or Table 11.703.3.3(3). Refrigerant charge is verified for compliance with manufacturer’s instructions utilizing a method in Section 4.3 of ACCA 5 QI-2010.</t>
    </r>
  </si>
  <si>
    <t>Electric Heat Pump Heating</t>
  </si>
  <si>
    <t xml:space="preserve">    ≥8.5 HSPF</t>
  </si>
  <si>
    <t xml:space="preserve">    ≥9.0 HSPF</t>
  </si>
  <si>
    <t xml:space="preserve">    ≥9.5 HSPF</t>
  </si>
  <si>
    <t xml:space="preserve">    ≥10.0 HSPF</t>
  </si>
  <si>
    <t xml:space="preserve">    ≥12.0 HSPF</t>
  </si>
  <si>
    <t>Gas Engine-Driven Heat Pump Heating (≥1.3 COP at 47°F)</t>
  </si>
  <si>
    <t>11.703.3.4</t>
  </si>
  <si>
    <r>
      <t xml:space="preserve">11.703.3.4 </t>
    </r>
    <r>
      <rPr>
        <sz val="10"/>
        <rFont val="Calibri"/>
        <family val="2"/>
        <scheme val="minor"/>
      </rPr>
      <t>Cooling efficiency is in accordance with Table 11.703.3.4(1) or Table 11.703.3.4(2). Refrigerant charge is verified for compliance with manufacturer’s instructions utilizing a method in Section 4.3 of ACCA 5 QI-2010.</t>
    </r>
  </si>
  <si>
    <t>Electric Air Conditioner and Heat Pump Cooling</t>
  </si>
  <si>
    <t xml:space="preserve">    ≥15 SEER</t>
  </si>
  <si>
    <t xml:space="preserve">    ≥17 SEER</t>
  </si>
  <si>
    <t xml:space="preserve">    ≥19 SEER</t>
  </si>
  <si>
    <t xml:space="preserve">    ≥21 SEER</t>
  </si>
  <si>
    <t xml:space="preserve">    ≥25 SEER</t>
  </si>
  <si>
    <t>(*)</t>
  </si>
  <si>
    <t>Tropical Climate Zone: None of the occupied space is air conditioned and ceiling fans are provided for bedrooms and the largest space which is not used as a bedroom.</t>
  </si>
  <si>
    <t>Gas Engine-Driven Heat Pump Cooling (≥1.2 COP at 95°F)</t>
  </si>
  <si>
    <t>11.703.3.5</t>
  </si>
  <si>
    <r>
      <t>11.703.3.5</t>
    </r>
    <r>
      <rPr>
        <sz val="10"/>
        <rFont val="Calibri"/>
        <family val="2"/>
        <scheme val="minor"/>
      </rPr>
      <t xml:space="preserve"> Water source cooling and heating efficiency is in accordance with Table 11.703.3.5. Refrigerant charge is verified for compliance with manufacturer’s instructions utilizing a method in Section 4.3 of ACCA 5 QI-2010.</t>
    </r>
  </si>
  <si>
    <t>11.703.3.6</t>
  </si>
  <si>
    <r>
      <t xml:space="preserve">11.703.3.6 </t>
    </r>
    <r>
      <rPr>
        <sz val="10"/>
        <rFont val="Calibri"/>
        <family val="2"/>
        <scheme val="minor"/>
      </rPr>
      <t>Ground source heat pump is installed by a Certified Geothermal Service Contractor in accordance with Table 11.703.2.5. Refrigerant charge is verified for compliance with manufacturer’s instructions utilizing a method in Section 4.3 of ACCA 5 QI-2010.</t>
    </r>
  </si>
  <si>
    <t xml:space="preserve">    ≥16 EER</t>
  </si>
  <si>
    <t xml:space="preserve">    ≥24 EER</t>
  </si>
  <si>
    <t xml:space="preserve">    ≥28 EER</t>
  </si>
  <si>
    <t>11.703.3.7</t>
  </si>
  <si>
    <r>
      <t xml:space="preserve">11.703.3.7 </t>
    </r>
    <r>
      <rPr>
        <sz val="10"/>
        <rFont val="Calibri"/>
        <family val="2"/>
        <scheme val="minor"/>
      </rPr>
      <t xml:space="preserve">ENERGY STAR, or equivalent, ceiling fans are installed. </t>
    </r>
    <r>
      <rPr>
        <i/>
        <sz val="10"/>
        <rFont val="Calibri"/>
        <family val="2"/>
        <scheme val="minor"/>
      </rPr>
      <t>[Points awarded per building.] 
[For Tropical Climate Zone and Climate Zones 2B, 3B, and 4B: points awarded per fan where AC is not installed in the dwelling unit or sleeping unit (Max 8 points), and where points awarded in Section 11.703.3.8 for these specific climate zones, points shall not be awarded in Section 11.703.3.7]</t>
    </r>
  </si>
  <si>
    <t>11.703.3.8</t>
  </si>
  <si>
    <r>
      <t xml:space="preserve">11.703.3.8 </t>
    </r>
    <r>
      <rPr>
        <sz val="10"/>
        <rFont val="Calibri"/>
        <family val="2"/>
        <scheme val="minor"/>
      </rPr>
      <t>Whole-building or whole-dwelling unit or whole-sleeping unit fan(s) with insulated louvers and a sealed enclosure is installed</t>
    </r>
    <r>
      <rPr>
        <i/>
        <sz val="10"/>
        <rFont val="Calibri"/>
        <family val="2"/>
        <scheme val="minor"/>
      </rPr>
      <t>. [Points awarded per building.]</t>
    </r>
  </si>
  <si>
    <t>11.703.4</t>
  </si>
  <si>
    <t>11.703.4 Duct systems</t>
  </si>
  <si>
    <t>11.703.4.1</t>
  </si>
  <si>
    <r>
      <t>11.703.4.1</t>
    </r>
    <r>
      <rPr>
        <sz val="10"/>
        <rFont val="Calibri"/>
        <family val="2"/>
        <scheme val="minor"/>
      </rPr>
      <t xml:space="preserve"> All space heating is provided by a system(s) that does not include air ducts.</t>
    </r>
  </si>
  <si>
    <t>11.703.4.2</t>
  </si>
  <si>
    <r>
      <t>11.703.4.2</t>
    </r>
    <r>
      <rPr>
        <sz val="10"/>
        <rFont val="Calibri"/>
        <family val="2"/>
        <scheme val="minor"/>
      </rPr>
      <t xml:space="preserve"> All space cooling is provided by a system(s) that does not include air ducts.</t>
    </r>
  </si>
  <si>
    <t>11.703.4.3</t>
  </si>
  <si>
    <r>
      <t>11.703.4.3</t>
    </r>
    <r>
      <rPr>
        <sz val="10"/>
        <rFont val="Calibri"/>
        <family val="2"/>
        <scheme val="minor"/>
      </rPr>
      <t xml:space="preserve"> Ductwork is in accordance with all of the following: </t>
    </r>
  </si>
  <si>
    <t>Building cavities are not used as return ductwork.</t>
  </si>
  <si>
    <t>Heating and cooling ducts and mechanical equipment are installed within the conditioned building space.</t>
  </si>
  <si>
    <t>Ductwork is not installed in exterior walls.</t>
  </si>
  <si>
    <t>11.703.4.4</t>
  </si>
  <si>
    <r>
      <t xml:space="preserve">11.703.4.4 Duct Leakage. </t>
    </r>
    <r>
      <rPr>
        <sz val="10"/>
        <rFont val="Calibri"/>
        <family val="2"/>
        <scheme val="minor"/>
      </rPr>
      <t xml:space="preserve">The entire central HVAC duct system, including air handlers and register boots, is tested by a third party for total leakage at a pressure differential of 0.1 inches w.g. (25 Pa) and maximum air leakage is equal to or less than 6 percent of the system design flow rate or 4 cubic feet per minute per 100 square feet of conditioned floor area.
</t>
    </r>
    <r>
      <rPr>
        <i/>
        <sz val="10"/>
        <rFont val="Calibri"/>
        <family val="2"/>
        <scheme val="minor"/>
      </rPr>
      <t>[Points not awarded if points are taken under Section 11.705.6.2.3]</t>
    </r>
  </si>
  <si>
    <t xml:space="preserve">    ductwork entirely outside the building's thermal envelope</t>
  </si>
  <si>
    <t xml:space="preserve">    ductwork inside and outside the building's thermal envelope</t>
  </si>
  <si>
    <t>11.703.5</t>
  </si>
  <si>
    <t>11.703.5 Water heating system</t>
  </si>
  <si>
    <t>11.703.5.1</t>
  </si>
  <si>
    <r>
      <t>11.703.5.1</t>
    </r>
    <r>
      <rPr>
        <sz val="10"/>
        <rFont val="Calibri"/>
        <family val="2"/>
        <scheme val="minor"/>
      </rPr>
      <t xml:space="preserve"> Water heater Uniform Energy Factor (UEF) is in accordance with the following:
</t>
    </r>
    <r>
      <rPr>
        <i/>
        <sz val="10"/>
        <rFont val="Calibri"/>
        <family val="2"/>
        <scheme val="minor"/>
      </rPr>
      <t>[Where multiple systems are used, points awarded based on the system with the lowest efficiency.]
[Water heater design is based on only 1 (one) water heater per dwelling unit, based on approved methods from IPC or ASPE or manufacturer specifications.]
[All table values are based on water heaters with medium water draws as defined by the US DOE text procedures (55 gallons per day).]</t>
    </r>
  </si>
  <si>
    <t>Gas water heating</t>
  </si>
  <si>
    <t>Storage Water Heater, Rated Storage Volume &gt; 20 Gallons and ≤ 55 Gallons, Medium Water Draw</t>
  </si>
  <si>
    <t>Storage Water Heater, Rated Storage Volume &gt; 55 Gallons and ≤ 100 Gallons, Medium Water Draw</t>
  </si>
  <si>
    <t>Storage Water Heater with Input Rate Greater than 75,000 Btu/h (Commercial)</t>
  </si>
  <si>
    <t xml:space="preserve">    Thermal Efficiency: 0.90 to &lt; 0.95</t>
  </si>
  <si>
    <t xml:space="preserve">    Thermal Efficiency: ≥0.95</t>
  </si>
  <si>
    <t>Storage Water Heater with Input Rate Greater than 75,000 Btu/H (Commercial), In Buildings with High-Capacity Service Water-Heating Systems (1,000,000 Btu/h or Greater)</t>
  </si>
  <si>
    <t xml:space="preserve">    Thermal Efficiency: 0.92 to &lt; 0.95</t>
  </si>
  <si>
    <t>Instantaneous Water Heater, Rated Storage Volume &lt; 2 Gallons and Input Rate of &gt; 50,000 Btu/h, Medium Water Draw</t>
  </si>
  <si>
    <t>Electric water heating</t>
  </si>
  <si>
    <t>Storage Water Heater, Rated Storage Volume ≥ 20 Gallons and ≤ 55 Gallons, Medium Water Draw</t>
  </si>
  <si>
    <t>Storage Water Heater, Rated Storage Volume ≥ 55 Gallons and ≤ 120 Gallons, Medium Water Draw</t>
  </si>
  <si>
    <t>Electric Tabletop Water Heating (Tabletop Water Heater, Rated Storage Volume ≥ 20 Gallons and ≤ 120 Gallons, Medium Water Draw)</t>
  </si>
  <si>
    <t>Electric Instantaneous Water Heating (Instantaneous Electric Water Heater, Rated Storage Volume &lt; 2 Gallons, Medium Water Draw)</t>
  </si>
  <si>
    <t>Electric Grid Enabled Water Heating (Grid Enabled Storage Water Heater, Rated Storage Volume ≥ 75 Gallons, Medium Water Draw)</t>
  </si>
  <si>
    <t>Oil water heating</t>
  </si>
  <si>
    <t>11.703.5.2</t>
  </si>
  <si>
    <r>
      <t>11.703.5.2</t>
    </r>
    <r>
      <rPr>
        <sz val="10"/>
        <rFont val="Calibri"/>
        <family val="2"/>
        <scheme val="minor"/>
      </rPr>
      <t xml:space="preserve"> Desuperheater is installed by a qualified installer or is pre-installed in the factory.</t>
    </r>
  </si>
  <si>
    <t>11.703.5.3</t>
  </si>
  <si>
    <r>
      <t>11.703.5.3</t>
    </r>
    <r>
      <rPr>
        <sz val="10"/>
        <rFont val="Calibri"/>
        <family val="2"/>
        <scheme val="minor"/>
      </rPr>
      <t xml:space="preserve"> Drain-water heat recovery system is installed. </t>
    </r>
    <r>
      <rPr>
        <i/>
        <sz val="10"/>
        <rFont val="Calibri"/>
        <family val="2"/>
        <scheme val="minor"/>
      </rPr>
      <t xml:space="preserve">[Points awarded per building.] </t>
    </r>
  </si>
  <si>
    <t>11.703.5.4</t>
  </si>
  <si>
    <r>
      <t xml:space="preserve">11.703.5.4 </t>
    </r>
    <r>
      <rPr>
        <sz val="10"/>
        <rFont val="Calibri"/>
        <family val="2"/>
        <scheme val="minor"/>
      </rPr>
      <t xml:space="preserve">Indirect-fired water heater storage tanks heated from boiler systems are installed. </t>
    </r>
  </si>
  <si>
    <t>11.703.5.5</t>
  </si>
  <si>
    <r>
      <t>11.703.5.5</t>
    </r>
    <r>
      <rPr>
        <sz val="10"/>
        <rFont val="Calibri"/>
        <family val="2"/>
        <scheme val="minor"/>
      </rPr>
      <t xml:space="preserve"> </t>
    </r>
    <r>
      <rPr>
        <b/>
        <sz val="10"/>
        <rFont val="Calibri"/>
        <family val="2"/>
        <scheme val="minor"/>
      </rPr>
      <t xml:space="preserve">Solar water heater. </t>
    </r>
    <r>
      <rPr>
        <sz val="10"/>
        <rFont val="Calibri"/>
        <family val="2"/>
        <scheme val="minor"/>
      </rPr>
      <t>SRCC (Solar Rating &amp; Certification Corporation) OG 300 rated, or equivalent, solar domestic water heating system is installed. Solar Energy Factor (SEF) as defined by SRCC is in accordance with Table 11.703.5.5(a) and Table 11.703.5.5(b).</t>
    </r>
  </si>
  <si>
    <t>Storage Water Heater, Rated Storage Volume of Backup Water Heater is ≥ 0.1 Gallon and ≤ 55 Gallons, Medium Water Draw</t>
  </si>
  <si>
    <t xml:space="preserve">    SEF ≥ 1.3</t>
  </si>
  <si>
    <t xml:space="preserve">    SEF ≥ 1.51</t>
  </si>
  <si>
    <t xml:space="preserve">    SEF ≥ 1.81</t>
  </si>
  <si>
    <t xml:space="preserve">    SEF ≥ 2.31</t>
  </si>
  <si>
    <t xml:space="preserve">    SEF ≥ 3.01</t>
  </si>
  <si>
    <t>Storage Water Heater, Rated Storage Volume of Backup Water Heater is &gt;55 Gallons, Medium Water Draw</t>
  </si>
  <si>
    <t>11.703.6</t>
  </si>
  <si>
    <t>11.703.6 Lighting and appliances</t>
  </si>
  <si>
    <t>11.703.6.1</t>
  </si>
  <si>
    <r>
      <t>11.703.6.1 Hard-wired lighting.</t>
    </r>
    <r>
      <rPr>
        <sz val="10"/>
        <rFont val="Calibri"/>
        <family val="2"/>
        <scheme val="minor"/>
      </rPr>
      <t xml:space="preserve"> Hard-wired lighting is in accordance with one of the following:</t>
    </r>
  </si>
  <si>
    <t xml:space="preserve">A minimum of 80 percent of the exterior lighting wattage has a minimum efficacy of 61 lumens per watt or is solar-powered.  </t>
  </si>
  <si>
    <t xml:space="preserve">In multifamily buildings, common area lighting power density (LPD) is less than 0.51 Watts per square foot. </t>
  </si>
  <si>
    <t>11.703.6.2</t>
  </si>
  <si>
    <r>
      <t>11.703.6.2 Appliances.</t>
    </r>
    <r>
      <rPr>
        <sz val="10"/>
        <rFont val="Calibri"/>
        <family val="2"/>
        <scheme val="minor"/>
      </rPr>
      <t xml:space="preserve"> ENERGY STAR or equivalent appliance(s) are installed:</t>
    </r>
  </si>
  <si>
    <t>Refrigerator</t>
  </si>
  <si>
    <t xml:space="preserve">Dishwasher </t>
  </si>
  <si>
    <t xml:space="preserve">Washing machine </t>
  </si>
  <si>
    <t>11.703.7</t>
  </si>
  <si>
    <t>11.703.7 Passive solar design</t>
  </si>
  <si>
    <t>11.703.7.1</t>
  </si>
  <si>
    <r>
      <t>11.703.7.1</t>
    </r>
    <r>
      <rPr>
        <sz val="10"/>
        <rFont val="Calibri"/>
        <family val="2"/>
        <scheme val="minor"/>
      </rPr>
      <t xml:space="preserve"> </t>
    </r>
    <r>
      <rPr>
        <b/>
        <sz val="10"/>
        <rFont val="Calibri"/>
        <family val="2"/>
        <scheme val="minor"/>
      </rPr>
      <t xml:space="preserve">Sun-tempered design. </t>
    </r>
    <r>
      <rPr>
        <sz val="10"/>
        <rFont val="Calibri"/>
        <family val="2"/>
        <scheme val="minor"/>
      </rPr>
      <t xml:space="preserve">Building orientation, sizing of glazing, and design of overhangs are in accordance with all of the following: </t>
    </r>
  </si>
  <si>
    <t>The long side (or one side if of equal length) of the building faces within 20 degrees of true south.</t>
  </si>
  <si>
    <t>Vertical glazing area is between 5 and 7 percent of the gross conditioned floor area on the south face [also see Section 11.703.7.1(8)] and glazing U-factors meet Table 11.703.2.5.2(a).</t>
  </si>
  <si>
    <t>Vertical glazing area is less than 2 percent of the gross conditioned floor area on the west face, and glazing meets Table 11.703.2.5.2(a).</t>
  </si>
  <si>
    <t>Vertical glazing area is less than 4 percent of the gross conditioned floor area on the east face, and glazing meets Table 11.703.2.5.2(a).</t>
  </si>
  <si>
    <t>Vertical glazing area is less than 8 percent of the gross conditioned floor area on the north face, and glazing meets Table 11.703.2.5.2(a).</t>
  </si>
  <si>
    <t>Skylights, where installed, are in accordance with the following:</t>
  </si>
  <si>
    <t>shades and insulated wells are used, and all glazing meets Table 11.703.2.5.2(a)</t>
  </si>
  <si>
    <t>horizontal skylights are less than 0.5 percent of finished ceiling area</t>
  </si>
  <si>
    <t>sloped skylights on slopes facing within 45 degrees of true south, east, or west are less than 1.5 percent of the finished ceiling area</t>
  </si>
  <si>
    <t>Overhangs or adjustable canopies or awnings or trellises provide shading on south-facing glass for the appropriate climate zone in accordance with Table 11.703.6.1(7):</t>
  </si>
  <si>
    <t>The south face windows have a SHGC of 0.40 or higher.</t>
  </si>
  <si>
    <t>Return air or transfer grilles/ducts are in accordance with Section 11.705.4.</t>
  </si>
  <si>
    <t>11.703.7.2</t>
  </si>
  <si>
    <r>
      <t>11.703.7.2 Window shading.</t>
    </r>
    <r>
      <rPr>
        <sz val="10"/>
        <rFont val="Calibri"/>
        <family val="2"/>
        <scheme val="minor"/>
      </rPr>
      <t xml:space="preserve"> Automated solar protection or dynamic glazing is installed to provide shading for windows. </t>
    </r>
  </si>
  <si>
    <t>11.703.7.3</t>
  </si>
  <si>
    <r>
      <t>11.703.7.3 Passive cooling design.</t>
    </r>
    <r>
      <rPr>
        <sz val="10"/>
        <rFont val="Calibri"/>
        <family val="2"/>
        <scheme val="minor"/>
      </rPr>
      <t xml:space="preserve"> Passive cooling design features are in accordance with three or more of the following:</t>
    </r>
  </si>
  <si>
    <t>Points for three items:</t>
  </si>
  <si>
    <t>Points for one additional item:</t>
  </si>
  <si>
    <t>Exterior shading is provided on east and west windows using one or a combination of the following:</t>
  </si>
  <si>
    <t>vine-covered trellises with the vegetation separated a minimum of 1 foot (305 mm) from face of building</t>
  </si>
  <si>
    <t>moveable awnings or louvers</t>
  </si>
  <si>
    <t>covered porches</t>
  </si>
  <si>
    <t>attached or detached conditioned/unconditioned enclosed space that provides full shade of east and west windows (e.g., detached garage, shed, or building)</t>
  </si>
  <si>
    <r>
      <t xml:space="preserve">Overhangs are installed to provide shading on south-facing glazing in accordance with Section 11.703.7.1(7). </t>
    </r>
    <r>
      <rPr>
        <i/>
        <sz val="10"/>
        <rFont val="Calibri"/>
        <family val="2"/>
        <scheme val="minor"/>
      </rPr>
      <t>[Points not awarded if points are taken under Section 11.703.7.1.]</t>
    </r>
  </si>
  <si>
    <t>Windows and/or venting skylights are located to facilitate cross and stack effect ventilation.</t>
  </si>
  <si>
    <t>Solar reflective roof or radiant barrier is installed in climate zones 1, 2, or 3 and roof material achieves a 3-year aged criteria of 0.50.</t>
  </si>
  <si>
    <t>Internal exposed thermal mass is a minimum of three inches (76 mm) in thickness. Thermal mass consists of concrete, brick, and/or tile fully adhered to a masonry base or other masonry material in accordance with one or a combination of the following:</t>
  </si>
  <si>
    <r>
      <t>A minimum of 1 square foot (0.09 m</t>
    </r>
    <r>
      <rPr>
        <vertAlign val="superscript"/>
        <sz val="10"/>
        <rFont val="Calibri"/>
        <family val="2"/>
        <scheme val="minor"/>
      </rPr>
      <t>2</t>
    </r>
    <r>
      <rPr>
        <sz val="10"/>
        <rFont val="Calibri"/>
        <family val="2"/>
        <scheme val="minor"/>
      </rPr>
      <t>) of exposed thermal mass of floor per 3 square feet (2.8 m</t>
    </r>
    <r>
      <rPr>
        <vertAlign val="superscript"/>
        <sz val="10"/>
        <rFont val="Calibri"/>
        <family val="2"/>
        <scheme val="minor"/>
      </rPr>
      <t>2</t>
    </r>
    <r>
      <rPr>
        <sz val="10"/>
        <rFont val="Calibri"/>
        <family val="2"/>
        <scheme val="minor"/>
      </rPr>
      <t>) of gross finished floor area.</t>
    </r>
  </si>
  <si>
    <r>
      <t>A minimum of 3 square feet (2.8 m</t>
    </r>
    <r>
      <rPr>
        <vertAlign val="superscript"/>
        <sz val="10"/>
        <rFont val="Calibri"/>
        <family val="2"/>
        <scheme val="minor"/>
      </rPr>
      <t>2</t>
    </r>
    <r>
      <rPr>
        <sz val="10"/>
        <rFont val="Calibri"/>
        <family val="2"/>
        <scheme val="minor"/>
      </rPr>
      <t>) of exposed thermal mass in interior walls or elements per square foot (0.09 m</t>
    </r>
    <r>
      <rPr>
        <vertAlign val="superscript"/>
        <sz val="10"/>
        <rFont val="Calibri"/>
        <family val="2"/>
        <scheme val="minor"/>
      </rPr>
      <t>2</t>
    </r>
    <r>
      <rPr>
        <sz val="10"/>
        <rFont val="Calibri"/>
        <family val="2"/>
        <scheme val="minor"/>
      </rPr>
      <t>) of gross finished floor area.</t>
    </r>
  </si>
  <si>
    <t>Roofing material is installed with a minimum 0.75 inch (19 mm) continuous air space offset from the roof deck from eave to ridge.</t>
  </si>
  <si>
    <t>11.703.7.4</t>
  </si>
  <si>
    <r>
      <t>11.703.7.4</t>
    </r>
    <r>
      <rPr>
        <sz val="10"/>
        <rFont val="Calibri"/>
        <family val="2"/>
        <scheme val="minor"/>
      </rPr>
      <t xml:space="preserve"> </t>
    </r>
    <r>
      <rPr>
        <b/>
        <sz val="10"/>
        <rFont val="Calibri"/>
        <family val="2"/>
        <scheme val="minor"/>
      </rPr>
      <t>Passive solar heating design</t>
    </r>
    <r>
      <rPr>
        <sz val="10"/>
        <rFont val="Calibri"/>
        <family val="2"/>
        <scheme val="minor"/>
      </rPr>
      <t xml:space="preserve">. In addition to the sun-tempered design features in Section 11.703.7.1, all of the following are implemented: </t>
    </r>
    <r>
      <rPr>
        <i/>
        <sz val="10"/>
        <rFont val="Calibri"/>
        <family val="2"/>
        <scheme val="minor"/>
      </rPr>
      <t>[Points shall not be awarded in the Tropical Climate Zone]</t>
    </r>
    <r>
      <rPr>
        <sz val="10"/>
        <rFont val="Calibri"/>
        <family val="2"/>
        <scheme val="minor"/>
      </rPr>
      <t xml:space="preserve"> </t>
    </r>
    <r>
      <rPr>
        <b/>
        <sz val="10"/>
        <rFont val="Calibri"/>
        <family val="2"/>
        <scheme val="minor"/>
      </rPr>
      <t xml:space="preserve"> </t>
    </r>
  </si>
  <si>
    <t>Additional glazing, no greater than 12 percent, is permitted on the south wall. This additional glazing is in accordance with the requirements of Section 11.703.7.1.</t>
  </si>
  <si>
    <t>Additional thermal mass for any room with south-facing glazing of more than 7 percent of the finished floor area is provided in accordance with the following:</t>
  </si>
  <si>
    <t>Thermal mass is solid and a minimum of 3 inches (76 mm) in thickness. Where two thermal mass materials are layered together (e.g., ceramic tile on concrete base) to achieve the appropriate thickness, they are fully adhered to (touching) each other.</t>
  </si>
  <si>
    <t>Thermal mass directly exposed to sunlight is provided in accordance with the following minimum ratios:</t>
  </si>
  <si>
    <r>
      <t>Above latitude 35 degrees: 5 square feet (0.465 m</t>
    </r>
    <r>
      <rPr>
        <vertAlign val="superscript"/>
        <sz val="10"/>
        <rFont val="Calibri"/>
        <family val="2"/>
        <scheme val="minor"/>
      </rPr>
      <t>2</t>
    </r>
    <r>
      <rPr>
        <sz val="10"/>
        <rFont val="Calibri"/>
        <family val="2"/>
        <scheme val="minor"/>
      </rPr>
      <t>) of thermal mass for every 1 square foot (0.0929 m</t>
    </r>
    <r>
      <rPr>
        <vertAlign val="superscript"/>
        <sz val="10"/>
        <rFont val="Calibri"/>
        <family val="2"/>
        <scheme val="minor"/>
      </rPr>
      <t>2</t>
    </r>
    <r>
      <rPr>
        <sz val="10"/>
        <rFont val="Calibri"/>
        <family val="2"/>
        <scheme val="minor"/>
      </rPr>
      <t>) of south-facing glazing.</t>
    </r>
  </si>
  <si>
    <t>(ii)</t>
  </si>
  <si>
    <r>
      <t>Latitude 30 degrees to 35 degrees: 5.5 square feet (0.51 m</t>
    </r>
    <r>
      <rPr>
        <vertAlign val="superscript"/>
        <sz val="10"/>
        <rFont val="Calibri"/>
        <family val="2"/>
        <scheme val="minor"/>
      </rPr>
      <t>2</t>
    </r>
    <r>
      <rPr>
        <sz val="10"/>
        <rFont val="Calibri"/>
        <family val="2"/>
        <scheme val="minor"/>
      </rPr>
      <t>) of thermal mass for every 1 square foot (0.0929 m</t>
    </r>
    <r>
      <rPr>
        <vertAlign val="superscript"/>
        <sz val="10"/>
        <rFont val="Calibri"/>
        <family val="2"/>
        <scheme val="minor"/>
      </rPr>
      <t>2</t>
    </r>
    <r>
      <rPr>
        <sz val="10"/>
        <rFont val="Calibri"/>
        <family val="2"/>
        <scheme val="minor"/>
      </rPr>
      <t>) of south-facing glazing.</t>
    </r>
  </si>
  <si>
    <t>(iii)</t>
  </si>
  <si>
    <r>
      <t>Latitude 25 degrees to 30 degrees: 6 square feet (0.557 m</t>
    </r>
    <r>
      <rPr>
        <vertAlign val="superscript"/>
        <sz val="10"/>
        <rFont val="Calibri"/>
        <family val="2"/>
        <scheme val="minor"/>
      </rPr>
      <t>2</t>
    </r>
    <r>
      <rPr>
        <sz val="10"/>
        <rFont val="Calibri"/>
        <family val="2"/>
        <scheme val="minor"/>
      </rPr>
      <t>) of thermal mass for every 1 square foot (0.0929 m</t>
    </r>
    <r>
      <rPr>
        <vertAlign val="superscript"/>
        <sz val="10"/>
        <rFont val="Calibri"/>
        <family val="2"/>
        <scheme val="minor"/>
      </rPr>
      <t>2</t>
    </r>
    <r>
      <rPr>
        <sz val="10"/>
        <rFont val="Calibri"/>
        <family val="2"/>
        <scheme val="minor"/>
      </rPr>
      <t>) of south-facing glazing.</t>
    </r>
  </si>
  <si>
    <r>
      <t>Thermal mass not directly exposed to sunlight is permitted to be used to achieve thermal mass requirements of Section 11.703.7.4 (2) based on a ratio of 40 square feet (3.72 m</t>
    </r>
    <r>
      <rPr>
        <vertAlign val="superscript"/>
        <sz val="10"/>
        <rFont val="Calibri"/>
        <family val="2"/>
        <scheme val="minor"/>
      </rPr>
      <t>2</t>
    </r>
    <r>
      <rPr>
        <sz val="10"/>
        <rFont val="Calibri"/>
        <family val="2"/>
        <scheme val="minor"/>
      </rPr>
      <t>) of thermal mass for every 1 square foot (0.0929 m</t>
    </r>
    <r>
      <rPr>
        <vertAlign val="superscript"/>
        <sz val="10"/>
        <rFont val="Calibri"/>
        <family val="2"/>
        <scheme val="minor"/>
      </rPr>
      <t>2</t>
    </r>
    <r>
      <rPr>
        <sz val="10"/>
        <rFont val="Calibri"/>
        <family val="2"/>
        <scheme val="minor"/>
      </rPr>
      <t>) of south-facing glazing.</t>
    </r>
  </si>
  <si>
    <t xml:space="preserve">In addition to return air or transfer grilles/ducts required by Section 11.703.7.1(9), provisions for forced airflow to adjoining areas are implemented as needed. </t>
  </si>
  <si>
    <t>11.705  ADDITIONAL PRACTICES</t>
  </si>
  <si>
    <t>11.705.2</t>
  </si>
  <si>
    <t>11.705.2 Lighting</t>
  </si>
  <si>
    <t>11.705.2.1</t>
  </si>
  <si>
    <r>
      <t xml:space="preserve">11.705.2.1 Lighting controls
</t>
    </r>
    <r>
      <rPr>
        <i/>
        <sz val="10"/>
        <rFont val="Calibri"/>
        <family val="2"/>
        <scheme val="minor"/>
      </rPr>
      <t>[Percentages for point thresholds are based on lighting not required for means of egress or security lighting as defined by local building codes.]</t>
    </r>
  </si>
  <si>
    <t>11.705.2.1.1</t>
  </si>
  <si>
    <r>
      <t xml:space="preserve">11.705.2.1.1 Interior lighting. </t>
    </r>
    <r>
      <rPr>
        <sz val="10"/>
        <rFont val="Calibri"/>
        <family val="2"/>
        <scheme val="minor"/>
      </rPr>
      <t>In dwelling units or sleeping units, permanently installed interior lighting fixtures are controlled with an occupancy sensor, or dimmer:</t>
    </r>
  </si>
  <si>
    <t xml:space="preserve">50 percent to less than 75 percent of lighting fixtures. </t>
  </si>
  <si>
    <t xml:space="preserve">A minimum of 75 percent of lighting fixtures. </t>
  </si>
  <si>
    <t>11.705.2.1.2</t>
  </si>
  <si>
    <r>
      <t xml:space="preserve">11.705.2.1.2 Exterior lighting. </t>
    </r>
    <r>
      <rPr>
        <sz val="10"/>
        <rFont val="Calibri"/>
        <family val="2"/>
        <scheme val="minor"/>
      </rPr>
      <t xml:space="preserve">Photo or motion sensors are installed on 75 percent of outdoor lighting fixtures to control lighting. </t>
    </r>
    <r>
      <rPr>
        <i/>
        <sz val="10"/>
        <rFont val="Calibri"/>
        <family val="2"/>
        <scheme val="minor"/>
      </rPr>
      <t xml:space="preserve"> 
[Percentages for point thresholds does not include lighting equipped with photovoltaics.]</t>
    </r>
  </si>
  <si>
    <t>11.705.2.1.3</t>
  </si>
  <si>
    <t>11.705.2.1.3 Multifamily common areas</t>
  </si>
  <si>
    <t>In a multifamily building, occupancy sensors, or dimmers are installed in common areas (except corridors and stairwells).</t>
  </si>
  <si>
    <t>In a multifamily building, occupancy controls are installed to automatically reduce light levels in interior corridors and exit stairwells when the space is unoccupied. Light levels are reduced by:</t>
  </si>
  <si>
    <t xml:space="preserve">50 percent to less than 75 percent or to local minimum requirements </t>
  </si>
  <si>
    <t xml:space="preserve">A minimum of 75 percent  </t>
  </si>
  <si>
    <t>11.705.2.1.4</t>
  </si>
  <si>
    <r>
      <t xml:space="preserve">11.705.2.1.4 </t>
    </r>
    <r>
      <rPr>
        <sz val="10"/>
        <rFont val="Calibri"/>
        <family val="2"/>
        <scheme val="minor"/>
      </rPr>
      <t>In a multifamily building, occupancy controls are installed to automatically reduce light levels in garages and parking structures when the space is unoccupied. Light levels are reduced by:</t>
    </r>
  </si>
  <si>
    <t xml:space="preserve">A minimum of 75 percent </t>
  </si>
  <si>
    <t>11.705.2.2</t>
  </si>
  <si>
    <r>
      <t>11.705.2.2 TDDs and skylights.</t>
    </r>
    <r>
      <rPr>
        <sz val="10"/>
        <rFont val="Calibri"/>
        <family val="2"/>
        <scheme val="minor"/>
      </rPr>
      <t xml:space="preserve"> A tubular daylighting device (TDD) or a skylight that meets the requirements of Table 703.2.5.2(a) is installed in rooms without windows. </t>
    </r>
    <r>
      <rPr>
        <i/>
        <sz val="10"/>
        <rFont val="Calibri"/>
        <family val="2"/>
        <scheme val="minor"/>
      </rPr>
      <t xml:space="preserve">[Points awarded per building.] </t>
    </r>
  </si>
  <si>
    <t>11.705.2.3</t>
  </si>
  <si>
    <r>
      <t>11.705.2.3 Lighting outlets.</t>
    </r>
    <r>
      <rPr>
        <sz val="10"/>
        <rFont val="Calibri"/>
        <family val="2"/>
        <scheme val="minor"/>
      </rPr>
      <t xml:space="preserve"> Occupancy sensors are installed for a minimum of 80 percent of hard-wired lighting outlets in the interior living space. </t>
    </r>
  </si>
  <si>
    <t>11.705.2.4</t>
  </si>
  <si>
    <r>
      <t xml:space="preserve">11.705.2.4 Recessed luminaires. </t>
    </r>
    <r>
      <rPr>
        <sz val="10"/>
        <rFont val="Calibri"/>
        <family val="2"/>
        <scheme val="minor"/>
      </rPr>
      <t>The number of recessed luminaires that penetrates the thermal envelope is less than 1 per 400 square feet (37.16 m</t>
    </r>
    <r>
      <rPr>
        <vertAlign val="superscript"/>
        <sz val="10"/>
        <rFont val="Calibri"/>
        <family val="2"/>
        <scheme val="minor"/>
      </rPr>
      <t>2</t>
    </r>
    <r>
      <rPr>
        <sz val="10"/>
        <rFont val="Calibri"/>
        <family val="2"/>
        <scheme val="minor"/>
      </rPr>
      <t xml:space="preserve">) of total conditioned floor area and they are in accordance with Section 11.701.4.3.5. </t>
    </r>
  </si>
  <si>
    <t>11.705.3</t>
  </si>
  <si>
    <r>
      <t xml:space="preserve">11.705.3 Induction cooktop. </t>
    </r>
    <r>
      <rPr>
        <sz val="10"/>
        <rFont val="Calibri"/>
        <family val="2"/>
        <scheme val="minor"/>
      </rPr>
      <t xml:space="preserve">Induction cooktop is installed. </t>
    </r>
  </si>
  <si>
    <t>11.705.4</t>
  </si>
  <si>
    <r>
      <t xml:space="preserve">11.705.4 Return ducts and transfer grilles. </t>
    </r>
    <r>
      <rPr>
        <sz val="10"/>
        <rFont val="Calibri"/>
        <family val="2"/>
        <scheme val="minor"/>
      </rPr>
      <t xml:space="preserve">Return ducts or transfer grilles are installed in every room with a door. Return ducts or transfer grilles are not required for bathrooms, kitchens, closets, pantries, and laundry rooms.  </t>
    </r>
  </si>
  <si>
    <t>11.705.5</t>
  </si>
  <si>
    <t>11.705.5 HVAC design and installation</t>
  </si>
  <si>
    <t>11.705.5.1</t>
  </si>
  <si>
    <r>
      <t>11.705.5.1</t>
    </r>
    <r>
      <rPr>
        <sz val="10"/>
        <rFont val="Calibri"/>
        <family val="2"/>
        <scheme val="minor"/>
      </rPr>
      <t xml:space="preserve"> Meet one or both of the following:</t>
    </r>
  </si>
  <si>
    <t xml:space="preserve">HVAC contractor is certified by the Air Conditioning Contractors of Americas Quality Assured Program (ACCA/QA) or by an EPA-recognized HVAC Quality Installation Training Oversight Organization (H-QUITO) or equivalent. </t>
  </si>
  <si>
    <t xml:space="preserve">HVAC installation technician(s) is certified by North American Technician Excellence, Inc. (NATE) or equivalent. </t>
  </si>
  <si>
    <t>11.705.5.2</t>
  </si>
  <si>
    <r>
      <t>11.705.5.2</t>
    </r>
    <r>
      <rPr>
        <sz val="10"/>
        <rFont val="Calibri"/>
        <family val="2"/>
        <scheme val="minor"/>
      </rPr>
      <t xml:space="preserve"> Performance of the heating and/or cooling system is verified by the HVAC contractor in accordance with all of the following:  </t>
    </r>
  </si>
  <si>
    <t>Start-up procedure is performed in accordance with the manufacturer’s instructions.</t>
  </si>
  <si>
    <t>Refrigerant charge is verified by super-heat and/or sub-cooling method.</t>
  </si>
  <si>
    <t xml:space="preserve">Burner is set to fire at input level listed on nameplate. </t>
  </si>
  <si>
    <t>Air handler setting/fan speed is set in accordance with manufacturer’s instructions.</t>
  </si>
  <si>
    <t>Total airflow is within 10 percent of design flow.</t>
  </si>
  <si>
    <t xml:space="preserve">Total external system static does not exceed equipment capability at rated airflow. </t>
  </si>
  <si>
    <r>
      <t>11.705.5.3</t>
    </r>
    <r>
      <rPr>
        <sz val="10"/>
        <rFont val="Calibri"/>
        <family val="2"/>
        <scheme val="minor"/>
      </rPr>
      <t xml:space="preserve"> HVAC Design is verified by 3rd party as follows:</t>
    </r>
  </si>
  <si>
    <t xml:space="preserve">The ENERGY STAR HVAC Design and Rater Design Review Checklists are completed and correct. </t>
  </si>
  <si>
    <t>HVAC Installation is inspected and conforms to HVAC design documents and plans.</t>
  </si>
  <si>
    <t>11.705.6</t>
  </si>
  <si>
    <t>11.705.6 Installation and performance verification</t>
  </si>
  <si>
    <t>11.705.6.1</t>
  </si>
  <si>
    <r>
      <t>11.705.6.1</t>
    </r>
    <r>
      <rPr>
        <sz val="10"/>
        <rFont val="Calibri"/>
        <family val="2"/>
        <scheme val="minor"/>
      </rPr>
      <t xml:space="preserve"> Third-party on-site inspection is conducted to verify compliance with all of the following, as applicable. Minimum of two inspections are performed: one inspection after insulation is installed and prior to covering, and another inspection upon completion of the building. Where multiple buildings or dwelling units of the same model or sleeping units of the same model are built by the same builder, a representative sample inspection of a minimum of 15 percent of the buildings or dwelling units or sleeping units is permitted.  </t>
    </r>
  </si>
  <si>
    <t>Ducts are installed in accordance with the ICC IRC or IMC and ducts are sealed.</t>
  </si>
  <si>
    <t>Building envelope air sealing is installed.</t>
  </si>
  <si>
    <t>Insulation is installed in accordance with Section 11.701.4.3.2.1.</t>
  </si>
  <si>
    <t>Windows, skylights, and doors are flashed, caulked, and sealed in accordance with manufacturer’s instructions and in accordance with Section 11.701.4.3.</t>
  </si>
  <si>
    <t>11.705.6.2</t>
  </si>
  <si>
    <r>
      <t xml:space="preserve">11.705.6.2 Testing. </t>
    </r>
    <r>
      <rPr>
        <sz val="10"/>
        <rFont val="Calibri"/>
        <family val="2"/>
        <scheme val="minor"/>
      </rPr>
      <t>Testing is conducted to verify performance.</t>
    </r>
  </si>
  <si>
    <t>11.705.6.2.1</t>
  </si>
  <si>
    <r>
      <t>11.705.6.2.1 Air leakage validation of building or dwelling units</t>
    </r>
    <r>
      <rPr>
        <sz val="10"/>
        <rFont val="Calibri"/>
        <family val="2"/>
        <scheme val="minor"/>
      </rPr>
      <t xml:space="preserve"> </t>
    </r>
    <r>
      <rPr>
        <b/>
        <sz val="10"/>
        <rFont val="Calibri"/>
        <family val="2"/>
        <scheme val="minor"/>
      </rPr>
      <t>or sleeping units.</t>
    </r>
    <r>
      <rPr>
        <sz val="10"/>
        <rFont val="Calibri"/>
        <family val="2"/>
        <scheme val="minor"/>
      </rPr>
      <t xml:space="preserve"> A visual inspection is performed as described in 11.701.4.3.2(2) and air leakage testing is performed in accordance with ASTM E779, ASTM E1827, or ANSI 380.
</t>
    </r>
    <r>
      <rPr>
        <i/>
        <sz val="10"/>
        <rFont val="Calibri"/>
        <family val="2"/>
        <scheme val="minor"/>
      </rPr>
      <t>[Points awarded only for buildings where building envelope leakage testing is not required by ICC IECC.] [Points not awarded if points are taken under Section 11.703.2.4]</t>
    </r>
  </si>
  <si>
    <t xml:space="preserve">A blower door test. </t>
  </si>
  <si>
    <t xml:space="preserve">Third-party verification is completed. </t>
  </si>
  <si>
    <t>11.705.6.2.2</t>
  </si>
  <si>
    <r>
      <t xml:space="preserve">11.705.6.2.2 HVAC airflow testing. </t>
    </r>
    <r>
      <rPr>
        <sz val="10"/>
        <rFont val="Calibri"/>
        <family val="2"/>
        <scheme val="minor"/>
      </rPr>
      <t>Balanced HVAC airflows are demonstrated by flow hood or other acceptable flow measurement tool by a third party. Test results are in accordance with the following:</t>
    </r>
  </si>
  <si>
    <t xml:space="preserve">Measured flow at each supply and return register meets or exceeds the requirements in ACCA 5 QI‑2010, Section 5.2. </t>
  </si>
  <si>
    <t xml:space="preserve">Total airflow meets or exceeds the requirements in ACCA 5 QI-2010, Section 5.2. </t>
  </si>
  <si>
    <t>11.705.6.2.3</t>
  </si>
  <si>
    <r>
      <t xml:space="preserve">11.705.6.2.3 HVAC duct leakage testing. </t>
    </r>
    <r>
      <rPr>
        <sz val="10"/>
        <rFont val="Calibri"/>
        <family val="2"/>
        <scheme val="minor"/>
      </rPr>
      <t>One of the following is achieved:</t>
    </r>
    <r>
      <rPr>
        <b/>
        <sz val="10"/>
        <rFont val="Calibri"/>
        <family val="2"/>
        <scheme val="minor"/>
      </rPr>
      <t xml:space="preserve">
</t>
    </r>
    <r>
      <rPr>
        <i/>
        <sz val="10"/>
        <rFont val="Calibri"/>
        <family val="2"/>
        <scheme val="minor"/>
      </rPr>
      <t>[Points awarded only for buildings where duct leakage testing is not required by IECC.]
[Points not awarded if points are taken under Section 11.703.4.4]</t>
    </r>
  </si>
  <si>
    <t xml:space="preserve">Duct leakage is in accordance with IECC R403.3.3 and R403.3.4. </t>
  </si>
  <si>
    <t xml:space="preserve">Duct leakage is in accordance with IECC R403.3.3 and R403.3.4, and testing is conducted by an independent third party. </t>
  </si>
  <si>
    <t>11.705.6.3</t>
  </si>
  <si>
    <r>
      <t>11.705.6.3 Insulating hot water pipes.</t>
    </r>
    <r>
      <rPr>
        <sz val="10"/>
        <rFont val="Calibri"/>
        <family val="2"/>
        <scheme val="minor"/>
      </rPr>
      <t xml:space="preserve"> Insulation with a minimum thermal resistance (R-value) of at least R‑3 is applied to the following, as applicable:  
</t>
    </r>
    <r>
      <rPr>
        <i/>
        <sz val="10"/>
        <rFont val="Calibri"/>
        <family val="2"/>
        <scheme val="minor"/>
      </rPr>
      <t>[Points awarded only where these practices are not required by IECC.]</t>
    </r>
  </si>
  <si>
    <t xml:space="preserve">piping 3/4-inch and larger in outside diameter </t>
  </si>
  <si>
    <t>piping serving more than one dwelling unit or sleeping unit</t>
  </si>
  <si>
    <t xml:space="preserve">piping located outside the conditioned space </t>
  </si>
  <si>
    <t xml:space="preserve">piping from the water heater to a distribution manifold </t>
  </si>
  <si>
    <t xml:space="preserve">piping located under a floor slab </t>
  </si>
  <si>
    <t xml:space="preserve">buried piping </t>
  </si>
  <si>
    <t>supply and return piping in recirculation systems other than demand recirculation systems</t>
  </si>
  <si>
    <t>11.705.6.4</t>
  </si>
  <si>
    <t xml:space="preserve">11.705.6.4 Potable hot water demand re-circulation system. </t>
  </si>
  <si>
    <t>11.705.6.4.1</t>
  </si>
  <si>
    <r>
      <t>11.705.6.4.1</t>
    </r>
    <r>
      <rPr>
        <sz val="10"/>
        <rFont val="Calibri"/>
        <family val="2"/>
        <scheme val="minor"/>
      </rPr>
      <t xml:space="preserve"> Potable hot water demand re-circulation system is installed in a single-family unit. </t>
    </r>
  </si>
  <si>
    <t>11.705.6.4.2</t>
  </si>
  <si>
    <r>
      <t>11.705.6.4.2</t>
    </r>
    <r>
      <rPr>
        <sz val="10"/>
        <rFont val="Calibri"/>
        <family val="2"/>
        <scheme val="minor"/>
      </rPr>
      <t xml:space="preserve"> Potable hot water demand re-circulation system(s) that serves every unit in a multifamily building is installed in place of a standard circulation pump and control. </t>
    </r>
  </si>
  <si>
    <t>11.705.7</t>
  </si>
  <si>
    <r>
      <t>11.705.7 Submetering system.</t>
    </r>
    <r>
      <rPr>
        <sz val="10"/>
        <rFont val="Calibri"/>
        <family val="2"/>
        <scheme val="minor"/>
      </rPr>
      <t xml:space="preserve"> In multifamily buildings, an advanced electric and fossil fuel submetering system is installed to monitor electricity and fossil fuel consumption for each unit. The device provides consumption information on a monthly or near real-time basis. The information is available to the occupants at a minimum on a monthly basis. </t>
    </r>
  </si>
  <si>
    <t>11.706  INNOVATIVE PRACTICES</t>
  </si>
  <si>
    <t>11.706.1</t>
  </si>
  <si>
    <r>
      <t>11.706.1 Energy consumption control.</t>
    </r>
    <r>
      <rPr>
        <sz val="10"/>
        <rFont val="Calibri"/>
        <family val="2"/>
        <scheme val="minor"/>
      </rPr>
      <t xml:space="preserve"> A whole-building or whole-dwelling unit or whole-sleeping unit device or system is installed that controls or monitors energy consumption.  </t>
    </r>
  </si>
  <si>
    <t xml:space="preserve">programmable communicating thermostat with the capability to be controlled remotely </t>
  </si>
  <si>
    <t xml:space="preserve">energy-monitoring device or system </t>
  </si>
  <si>
    <t xml:space="preserve">energy management control system </t>
  </si>
  <si>
    <t xml:space="preserve">programmable thermostat with control capability based on occupant presence or usage pattern </t>
  </si>
  <si>
    <t xml:space="preserve">lighting control system </t>
  </si>
  <si>
    <t>11.706.2</t>
  </si>
  <si>
    <r>
      <t>11.706.2 Renewable energy service plan.</t>
    </r>
    <r>
      <rPr>
        <sz val="10"/>
        <rFont val="Calibri"/>
        <family val="2"/>
        <scheme val="minor"/>
      </rPr>
      <t xml:space="preserve"> Renewable energy service plan is provided as follows:</t>
    </r>
  </si>
  <si>
    <t xml:space="preserve">Builder selects a renewable energy service plan provided by the local electrical utility for interim (temporary) electric service, or purchases renewable energy certificates (RECs) to cover electricity used. The builder’s local administrative office has renewable energy service or has otherwise been paired with RECs. Green-ecertified (or equivalent) is required for renewable electricity purchases. </t>
  </si>
  <si>
    <t>The buyer of the building selects one of the following renewable energy service plans provided by the utility prior to occupancy of the building with a minimum two-year commitment.</t>
  </si>
  <si>
    <t xml:space="preserve">less than half of the dwelling’s projected electricity and gas use is provided by renewable energy </t>
  </si>
  <si>
    <t xml:space="preserve">half or more of the of the dwelling’s projected electricity and gas use is provided by renewable energy </t>
  </si>
  <si>
    <t>11.706.3</t>
  </si>
  <si>
    <r>
      <t>11.706.3 Smart appliances and systems.</t>
    </r>
    <r>
      <rPr>
        <sz val="10"/>
        <rFont val="Calibri"/>
        <family val="2"/>
        <scheme val="minor"/>
      </rPr>
      <t xml:space="preserve"> Smart appliances and systems are installed as follows:</t>
    </r>
  </si>
  <si>
    <t>Freezer</t>
  </si>
  <si>
    <t>Clothes Dryer</t>
  </si>
  <si>
    <t>Clothes Washer</t>
  </si>
  <si>
    <t>Room Air Conditioner</t>
  </si>
  <si>
    <t>HVAC Systems</t>
  </si>
  <si>
    <t>Service Hot Water Heating Systems</t>
  </si>
  <si>
    <t>Three to five smart appliances installed</t>
  </si>
  <si>
    <t>Six or more smart appliances installed</t>
  </si>
  <si>
    <t>[Items (7) and (8) are permitted to count as two appliances each for the purpose of awarding points.]</t>
  </si>
  <si>
    <t>11.706.4</t>
  </si>
  <si>
    <t>11.706.4 Pumps</t>
  </si>
  <si>
    <t>11.706.4.1</t>
  </si>
  <si>
    <r>
      <t xml:space="preserve">11.706.4.1 </t>
    </r>
    <r>
      <rPr>
        <sz val="10"/>
        <rFont val="Calibri"/>
        <family val="2"/>
        <scheme val="minor"/>
      </rPr>
      <t>Pool, spa, and water features equipped with filtration pumps as follows:</t>
    </r>
  </si>
  <si>
    <t xml:space="preserve">Electronically controlled variable-speed pump(s) is installed (full load efficiency of 90 percent or greater). </t>
  </si>
  <si>
    <t xml:space="preserve">Electronically controlled variable-speed pump(s) is installed (full load efficiency of 90 percent or greater) in a pool </t>
  </si>
  <si>
    <t>11.706.4.2</t>
  </si>
  <si>
    <r>
      <t>11.706.4.2</t>
    </r>
    <r>
      <rPr>
        <sz val="10"/>
        <rFont val="Calibri"/>
        <family val="2"/>
        <scheme val="minor"/>
      </rPr>
      <t xml:space="preserve"> Sump pump(s) with electrically commutated motors (ECMs) or permanent split capacitor (PSC) motors is installed (full load efficiency of 90 percent or greater). </t>
    </r>
  </si>
  <si>
    <t>11.706.5</t>
  </si>
  <si>
    <r>
      <t>11.706.5 On-site renewable energy system.</t>
    </r>
    <r>
      <rPr>
        <sz val="10"/>
        <rFont val="Calibri"/>
        <family val="2"/>
        <scheme val="minor"/>
      </rPr>
      <t xml:space="preserve"> One of the following options is implemented</t>
    </r>
  </si>
  <si>
    <t xml:space="preserve">Building is Solar-Ready in compliance with IECC Appendix A Solar Ready Provisions. </t>
  </si>
  <si>
    <t xml:space="preserve">An on-site renewable energy system(s) is installed on the property. </t>
  </si>
  <si>
    <t xml:space="preserve">An on-site renewable energy system(s) and a battery energy storage system are installed on the property. </t>
  </si>
  <si>
    <r>
      <t xml:space="preserve">Multifamily Building Note: </t>
    </r>
    <r>
      <rPr>
        <i/>
        <sz val="10"/>
        <color rgb="FF000000"/>
        <rFont val="Calibri"/>
        <family val="2"/>
        <scheme val="minor"/>
      </rPr>
      <t>Conditioned common area and non-residential space is excluded for the purpose of calculating number of units.</t>
    </r>
  </si>
  <si>
    <t>11.706.6</t>
  </si>
  <si>
    <r>
      <t xml:space="preserve">11.706.6 Parking garage efficiency. </t>
    </r>
    <r>
      <rPr>
        <sz val="10"/>
        <rFont val="Calibri"/>
        <family val="2"/>
        <scheme val="minor"/>
      </rPr>
      <t xml:space="preserve">Structured parking garages are designed to require no mechanical ventilation for fresh air requirements. </t>
    </r>
  </si>
  <si>
    <t>11.706.7</t>
  </si>
  <si>
    <t xml:space="preserve">Grid-Interactive Water Heating System </t>
  </si>
  <si>
    <t xml:space="preserve">Grid-Interactive Space Heating and cooling System </t>
  </si>
  <si>
    <t>11.706.8</t>
  </si>
  <si>
    <r>
      <t xml:space="preserve">11.706.8 Electrical vehicle charging station. </t>
    </r>
    <r>
      <rPr>
        <sz val="10"/>
        <rFont val="Calibri"/>
        <family val="2"/>
        <scheme val="minor"/>
      </rPr>
      <t xml:space="preserve">A Level 2 (208/240V 40-80 amp) or Level 3 electric vehicle charging station is installed on the building site. (Note: Charging station shall not be included in the building energy consumption.) </t>
    </r>
  </si>
  <si>
    <t>11.706.9</t>
  </si>
  <si>
    <r>
      <t xml:space="preserve">11.706.9 CNG vehicle fueling station. </t>
    </r>
    <r>
      <rPr>
        <sz val="10"/>
        <rFont val="Calibri"/>
        <family val="2"/>
        <scheme val="minor"/>
      </rPr>
      <t xml:space="preserve">A CNG vehicle residential fueling appliance is installed on the building site. The CNG fueling appliances shall be listed in accordance with ANSI/CSA NGV 5.1 and installed in accordance to the appliance manufacturer’s installation instructions. (Note: The fueling appliance shall not be included in the building energy consumption.) </t>
    </r>
  </si>
  <si>
    <t>11.706.10</t>
  </si>
  <si>
    <t>11.706.11</t>
  </si>
  <si>
    <r>
      <t xml:space="preserve">11.706.11 Grid-interactive battery storage system. </t>
    </r>
    <r>
      <rPr>
        <sz val="10"/>
        <rFont val="Calibri"/>
        <family val="2"/>
        <scheme val="minor"/>
      </rPr>
      <t xml:space="preserve">A grid-interactive battery storage system of not less than 6 kWh of available capacity is installed. </t>
    </r>
  </si>
  <si>
    <t>11.706.12</t>
  </si>
  <si>
    <r>
      <t xml:space="preserve">11.706.12 Smart ventilation. </t>
    </r>
    <r>
      <rPr>
        <sz val="10"/>
        <rFont val="Calibri"/>
        <family val="2"/>
        <scheme val="minor"/>
      </rPr>
      <t xml:space="preserve">A whole-building ventilation systems is installed with automatic ventilation controls to limit ventilation during periods of extreme temperature, extreme humidity, and/or during times of peak utility loads and is in accordance with the specifications of Appendix B. </t>
    </r>
  </si>
  <si>
    <t>11.706.13</t>
  </si>
  <si>
    <r>
      <t xml:space="preserve">11.706.13 Alternative refrigerant. </t>
    </r>
    <r>
      <rPr>
        <sz val="10"/>
        <rFont val="Calibri"/>
        <family val="2"/>
        <scheme val="minor"/>
      </rPr>
      <t>Use of the following in mechanical space cooling systems for dwellings.</t>
    </r>
  </si>
  <si>
    <t xml:space="preserve">Use alternative refrigerant with a GWP &lt; 1000 </t>
  </si>
  <si>
    <t xml:space="preserve">Do not use refrigerants </t>
  </si>
  <si>
    <t>11.706.14</t>
  </si>
  <si>
    <t>11.706.14 Third-party utility benchmarking service.</t>
  </si>
  <si>
    <t xml:space="preserve">For a multifamily building, the owner has contracted with a third-party utility benchmarking service with at least five (5) years of experience in utility data management and analysis to perform a monthly analysis of whole-building energy and water consumption for a minimum of 1 year. </t>
  </si>
  <si>
    <t xml:space="preserve">The building owner commits to reporting energy data using U.S. Environmental Protection Agency’s ENERGY STAR Portfolio Manager for a minimum of three years. </t>
  </si>
  <si>
    <t>11.706.15</t>
  </si>
  <si>
    <r>
      <t xml:space="preserve">11.706.15 Entryway air seal. </t>
    </r>
    <r>
      <rPr>
        <sz val="10"/>
        <rFont val="Calibri"/>
        <family val="2"/>
        <scheme val="minor"/>
      </rPr>
      <t>For multifamily buildings, where not required by the building or energy code, to slow the movement of unconditioned air from outdoors to indoors at the main building entrance, the following is installed:</t>
    </r>
  </si>
  <si>
    <t xml:space="preserve">Building entry vestibule. </t>
  </si>
  <si>
    <t xml:space="preserve">Revolving entrance doors. </t>
  </si>
  <si>
    <t>Gas and propane heaters:</t>
  </si>
  <si>
    <t>Oil furnace:</t>
  </si>
  <si>
    <t>Gas boiler:</t>
  </si>
  <si>
    <t>Oil boiler:</t>
  </si>
  <si>
    <t>703.1.1</t>
  </si>
  <si>
    <t>703.1.1.1</t>
  </si>
  <si>
    <t>703.1.1.2</t>
  </si>
  <si>
    <t>703.1.2</t>
  </si>
  <si>
    <t>703.1.3</t>
  </si>
  <si>
    <t>703.2.1</t>
  </si>
  <si>
    <t>703.2.2</t>
  </si>
  <si>
    <t>703.2.3</t>
  </si>
  <si>
    <t>703.2.4</t>
  </si>
  <si>
    <t>703.2.5</t>
  </si>
  <si>
    <t>703.2.5.1</t>
  </si>
  <si>
    <t>703.2.5.1.1</t>
  </si>
  <si>
    <t>703.2.5.2</t>
  </si>
  <si>
    <t>703.2.5.2.1</t>
  </si>
  <si>
    <t>703.3.0</t>
  </si>
  <si>
    <t>703.3.1</t>
  </si>
  <si>
    <t>703.3.2</t>
  </si>
  <si>
    <t>703.3.3</t>
  </si>
  <si>
    <t>703.3.4</t>
  </si>
  <si>
    <t>703.3.5</t>
  </si>
  <si>
    <t>703.3.6</t>
  </si>
  <si>
    <t>703.3.7</t>
  </si>
  <si>
    <t>703.3.8</t>
  </si>
  <si>
    <t>703.4.1</t>
  </si>
  <si>
    <t>703.4.2</t>
  </si>
  <si>
    <t>703.4.3</t>
  </si>
  <si>
    <t>703.4.4</t>
  </si>
  <si>
    <t>703.5.1</t>
  </si>
  <si>
    <t>703.5.2</t>
  </si>
  <si>
    <t>703.5.3</t>
  </si>
  <si>
    <t>703.5.4</t>
  </si>
  <si>
    <t>703.5.5</t>
  </si>
  <si>
    <t>703.6.1</t>
  </si>
  <si>
    <t>703.6.2</t>
  </si>
  <si>
    <t>703.7.1</t>
  </si>
  <si>
    <t>703.7.2</t>
  </si>
  <si>
    <t>703.7.3</t>
  </si>
  <si>
    <t>703.7.4</t>
  </si>
  <si>
    <t>705.2.1</t>
  </si>
  <si>
    <t>705.2.1.1</t>
  </si>
  <si>
    <t>705.2.1.2</t>
  </si>
  <si>
    <t>705.2.1.3</t>
  </si>
  <si>
    <t>705.2.1.4</t>
  </si>
  <si>
    <t>705.2.2</t>
  </si>
  <si>
    <t>705.2.3</t>
  </si>
  <si>
    <t>705.2.4</t>
  </si>
  <si>
    <t>705.5.1</t>
  </si>
  <si>
    <t>705.5.2</t>
  </si>
  <si>
    <t>705.6.1</t>
  </si>
  <si>
    <t>705.6.2</t>
  </si>
  <si>
    <t>705.6.2.1</t>
  </si>
  <si>
    <t>705.6.2.2</t>
  </si>
  <si>
    <t>705.6.2.3</t>
  </si>
  <si>
    <t>705.6.3</t>
  </si>
  <si>
    <t>705.6.4</t>
  </si>
  <si>
    <t>705.6.4.1</t>
  </si>
  <si>
    <t>705.6.4.2</t>
  </si>
  <si>
    <t>706.4.1</t>
  </si>
  <si>
    <t>706.4.2</t>
  </si>
  <si>
    <t>Exception: Section 11.703.1.1 is not required for Tropical Climate Zone.</t>
  </si>
  <si>
    <r>
      <t xml:space="preserve">11.703.1.2 Building envelope leakage. </t>
    </r>
    <r>
      <rPr>
        <sz val="10"/>
        <rFont val="Calibri"/>
        <family val="2"/>
        <scheme val="minor"/>
      </rPr>
      <t>The building thermal envelope is in accordance with 2018 IECC R502.1.1.1 or R503.1.1 as applicable.</t>
    </r>
  </si>
  <si>
    <t>Exception: Section 11.703.1.2 is not required for Tropical Climate Zone.</t>
  </si>
  <si>
    <t>path:</t>
  </si>
  <si>
    <t>zone:</t>
  </si>
  <si>
    <t>tropical:</t>
  </si>
  <si>
    <t>UA:</t>
  </si>
  <si>
    <t>row:</t>
  </si>
  <si>
    <t>T</t>
  </si>
  <si>
    <t>points:</t>
  </si>
  <si>
    <t>points</t>
  </si>
  <si>
    <t>CZ:</t>
  </si>
  <si>
    <t>&gt;4 story MF:</t>
  </si>
  <si>
    <t>count:</t>
  </si>
  <si>
    <t>3 Max</t>
  </si>
  <si>
    <t>(1)(a)</t>
  </si>
  <si>
    <t>(1)(b)</t>
  </si>
  <si>
    <t>(1)(c)</t>
  </si>
  <si>
    <t>(1)(d)</t>
  </si>
  <si>
    <t>(1)(e)</t>
  </si>
  <si>
    <t>(2)(a)</t>
  </si>
  <si>
    <t>(2)(b)</t>
  </si>
  <si>
    <t>(2)(c)</t>
  </si>
  <si>
    <t>(2)(d)</t>
  </si>
  <si>
    <t>(2)(e)</t>
  </si>
  <si>
    <t>UA Improvement:</t>
  </si>
  <si>
    <t>Mass thickness:</t>
  </si>
  <si>
    <t>Min. or Average AFUE:</t>
  </si>
  <si>
    <t>Min. or Average HSPF:</t>
  </si>
  <si>
    <t>Min. or Average COP:</t>
  </si>
  <si>
    <t>Min. or Average SEER:</t>
  </si>
  <si>
    <t>Min. or Average EER:</t>
  </si>
  <si>
    <t>SEF:</t>
  </si>
  <si>
    <t># of luminaires:</t>
  </si>
  <si>
    <t>11.705.5.3</t>
  </si>
  <si>
    <t>705.5.3</t>
  </si>
  <si>
    <t>By using this tool, this project automatically qualifies for this practice.</t>
  </si>
  <si>
    <t>efficiency:</t>
  </si>
  <si>
    <t>required by IECC:</t>
  </si>
  <si>
    <t>2 per kW</t>
  </si>
  <si>
    <t>2 per kW,
1 per 2 kWh</t>
  </si>
  <si>
    <t>11.703 PRESCRIPTIVE PATH</t>
  </si>
  <si>
    <t>703</t>
  </si>
  <si>
    <t>multiple heating sys.?</t>
  </si>
  <si>
    <t>type:</t>
  </si>
  <si>
    <t>706.10</t>
  </si>
  <si>
    <t>Electric Heat Pump Heating for Multifamily Buildings Four or More Stories in Height</t>
  </si>
  <si>
    <t>11.801  INDOOR AND OUTDOOR WATER USE</t>
  </si>
  <si>
    <t>11.801.0</t>
  </si>
  <si>
    <r>
      <t>11.801.0 Intent.</t>
    </r>
    <r>
      <rPr>
        <sz val="10"/>
        <rFont val="Calibri"/>
        <family val="2"/>
        <scheme val="minor"/>
      </rPr>
      <t xml:space="preserve"> Implement measures that reduce indoor and outdoor water usage. Implement measures that include collection and use of alternative sources of water. Implement measures that treat water on site.</t>
    </r>
  </si>
  <si>
    <t>11.801.1</t>
  </si>
  <si>
    <t>11.802  PRESCRIPTIVE PATH</t>
  </si>
  <si>
    <t>11.802.1</t>
  </si>
  <si>
    <t xml:space="preserve">The maximum volume from the water heater to the termination of the fixture supply at furthest fixture is 128 ounces (1 gallon or 3.78 liters). </t>
  </si>
  <si>
    <t xml:space="preserve">The maximum volume from the water heater to the termination of the fixture supply at furthest fixture is 64 ounces (0.5 gallon or 1.89 liters). </t>
  </si>
  <si>
    <t xml:space="preserve">The maximum volume from the water heater to the termination of the fixture supply at furthest fixture is 32 ounces (0.25 gallon or 0.945 liters). </t>
  </si>
  <si>
    <t xml:space="preserve">A demand controlled hot water priming pump is installed on the main supply pipe of the circulation loop and the maximum volume from this supply pipe to the furthest fixture is 24 ounces (0.19 gallons or 0.71 liters). </t>
  </si>
  <si>
    <t xml:space="preserve">The volume in the circulation loop (supply) from the water heater or boiler to the branch for the furthest fixture is no more than 128 ounces (1 gallon or 3.78 liters). </t>
  </si>
  <si>
    <t xml:space="preserve">A central hot water recirculation system is implemented in multifamily buildings in which the hot water line distance from the recirculating loop to the engineered parallel piping system (i.e., manifold system) is less than 30 feet (9,144 mm) and the parallel piping to the fixture fittings contains a maximum of 64 ounces (1.89 liters) (115.50 cubic inches) (0.50 gallons). </t>
  </si>
  <si>
    <t xml:space="preserve">Tankless water heater(s) with at least 0.5 gallon (1.89 liters) of storage are installed, or a tankless water heater that ramps up to at least 110F within 5 seconds is installed. The storage may be internal or external to the tankless water heater. </t>
  </si>
  <si>
    <t>11.802.2</t>
  </si>
  <si>
    <r>
      <t>11.802.2 Water-conserving appliances.</t>
    </r>
    <r>
      <rPr>
        <sz val="10"/>
        <rFont val="Calibri"/>
        <family val="2"/>
        <scheme val="minor"/>
      </rPr>
      <t xml:space="preserve"> Energy Star or equivalent water-conserving appliances are installed.</t>
    </r>
  </si>
  <si>
    <t xml:space="preserve">clothes washer, or </t>
  </si>
  <si>
    <t xml:space="preserve">clothes washer with an Integrated Water Factor of 3.8 or less </t>
  </si>
  <si>
    <t>11.802.3</t>
  </si>
  <si>
    <r>
      <t>11.802.3 Water usage metering.</t>
    </r>
    <r>
      <rPr>
        <sz val="10"/>
        <rFont val="Calibri"/>
        <family val="2"/>
        <scheme val="minor"/>
      </rPr>
      <t xml:space="preserve"> Water meters are installed meeting the following:</t>
    </r>
  </si>
  <si>
    <t xml:space="preserve">Single-Family Buildings: Water Usage Metering: </t>
  </si>
  <si>
    <t xml:space="preserve">Where not otherwise required by the local AHJ, installation of a meter for water consumed from any source associated with the building or building site. </t>
  </si>
  <si>
    <t xml:space="preserve">Each water meter shall be capable of communicating water consumption data remotely for the dwelling unit occupant and be capable of providing daily data with electronic data storage and reporting capability that can produce reports for daily, monthly, and yearly water consumption. (Fire sprinkler systems are not required to be metered). </t>
  </si>
  <si>
    <r>
      <t xml:space="preserve">Multi-Family Buildings: Water Usage Metering: 
</t>
    </r>
    <r>
      <rPr>
        <i/>
        <sz val="10"/>
        <rFont val="Calibri"/>
        <family val="2"/>
        <scheme val="minor"/>
      </rPr>
      <t>[Points earned in Section 11.802.3(2) shall not exceed 50% of the total points earned for the Indoor and Outdoor Water Use Category]</t>
    </r>
  </si>
  <si>
    <r>
      <t>11.802.4 Showerheads.</t>
    </r>
    <r>
      <rPr>
        <sz val="10"/>
        <rFont val="Calibri"/>
        <family val="2"/>
        <scheme val="minor"/>
      </rPr>
      <t xml:space="preserve"> Showerheads are in accordance with the following:</t>
    </r>
  </si>
  <si>
    <t>The total maximum combined flow rate of all showerheads in a shower compartment with floor area of 2600 square inches or less is equal or less than 2.0 gpm. For each additional 1300 square inches or any portion thereof of shower compartment floor area, an additional 2.0 gpm combined showerhead flow rate is allowed. Showerheads shall comply with ASME A112.18.1/CSA B125.1 and shall meet the performance criteria of the U.S. EPA WaterSense Specification for showerheads. Showerheads shall be served by an automatic compensating valve that complies with ASSE 1016/ASME A112.1016/CSA B125.16 or ASME A112.18.1/CSA B125.1 and specifically designed to provide thermal shock and scald protection at the flow rate of the showerhead.</t>
  </si>
  <si>
    <t xml:space="preserve">[Points awarded per shower compartment. In multifamily buildings, the average of the points assigned to individual dwelling units or sleeping units may be used as the number of points awarded for this practice, rounded to the nearest whole number.] </t>
  </si>
  <si>
    <t xml:space="preserve">maximum of 1.8 gpm </t>
  </si>
  <si>
    <t xml:space="preserve">maximum of 1.5 gpm </t>
  </si>
  <si>
    <r>
      <t xml:space="preserve">Any shower control that can shut off water flow without affecting temperature is installed. </t>
    </r>
    <r>
      <rPr>
        <i/>
        <sz val="10"/>
        <rFont val="Calibri"/>
        <family val="2"/>
        <scheme val="minor"/>
      </rPr>
      <t>[Points awarded per shower control.]</t>
    </r>
    <r>
      <rPr>
        <sz val="10"/>
        <rFont val="Calibri"/>
        <family val="2"/>
        <scheme val="minor"/>
      </rPr>
      <t xml:space="preserve">
 For SI: 1 gallon per minute = 3.785 L/m</t>
    </r>
  </si>
  <si>
    <t>11.802.5</t>
  </si>
  <si>
    <t>11.802.5 Faucets</t>
  </si>
  <si>
    <t>11.802.5.1</t>
  </si>
  <si>
    <r>
      <t>11.802.5.1</t>
    </r>
    <r>
      <rPr>
        <sz val="10"/>
        <rFont val="Calibri"/>
        <family val="2"/>
        <scheme val="minor"/>
      </rPr>
      <t xml:space="preserve"> Install water-efficient lavatory faucets with flow rates not more than 1.5 gpm (5.7 L/min), tested in compliance with ASME A112.18.1/CSA B125.1 and meeting the performance criteria of the EPA WaterSense High-Efficiency Lavatory Faucet Specification:</t>
    </r>
  </si>
  <si>
    <r>
      <t xml:space="preserve">Flow rate ≤ 1.5 gpm </t>
    </r>
    <r>
      <rPr>
        <i/>
        <sz val="10"/>
        <rFont val="Calibri"/>
        <family val="2"/>
        <scheme val="minor"/>
      </rPr>
      <t>[*all faucets in a bathroom are in compliance]</t>
    </r>
    <r>
      <rPr>
        <sz val="10"/>
        <rFont val="Calibri"/>
        <family val="2"/>
        <scheme val="minor"/>
      </rPr>
      <t xml:space="preserve"> </t>
    </r>
  </si>
  <si>
    <t>[Points awarded for each bathroom. In multifamily buildings, the average of the points assigned to individual dwelling units or sleeping units may be used as the number of points awarded for this practice, rounded to the nearest whole number.]</t>
  </si>
  <si>
    <r>
      <t xml:space="preserve">Flow rate ≤ 1.20 gpm </t>
    </r>
    <r>
      <rPr>
        <i/>
        <sz val="10"/>
        <rFont val="Calibri"/>
        <family val="2"/>
        <scheme val="minor"/>
      </rPr>
      <t>[*all faucets in a bathroom are in compliance]</t>
    </r>
    <r>
      <rPr>
        <sz val="10"/>
        <rFont val="Calibri"/>
        <family val="2"/>
        <scheme val="minor"/>
      </rPr>
      <t xml:space="preserve"> </t>
    </r>
  </si>
  <si>
    <t xml:space="preserve">Flow rate ≤ 1.5 gpm for all lavatory faucets in the dwelling unit(s) or sleeping unit(s) </t>
  </si>
  <si>
    <t xml:space="preserve">Flow rate ≤ 1.5 gpm for all lavatory faucets in the dwelling unit(s), and at least one bathroom has faucets with flow rates ≤ 1.20 gpm </t>
  </si>
  <si>
    <t xml:space="preserve">Flow rate ≤ 1.20 gpm for all lavatory faucets in the dwelling unit(s) </t>
  </si>
  <si>
    <t>11.802.5.2</t>
  </si>
  <si>
    <r>
      <t xml:space="preserve">11.802.5.2 </t>
    </r>
    <r>
      <rPr>
        <sz val="10"/>
        <rFont val="Calibri"/>
        <family val="2"/>
        <scheme val="minor"/>
      </rPr>
      <t>Water-efficient residential kitchen faucets are installed in accordance with ASME A112.18.1/CSA B125.1. Residential kitchen faucets may temporarily increase the flow above the maximum rate but not to exceed 2.2 gpm.</t>
    </r>
  </si>
  <si>
    <t xml:space="preserve">All residential kitchen faucets have a maximum flow rate of 1.8 gpm. </t>
  </si>
  <si>
    <t xml:space="preserve">All residential kitchen faucets have a maximum flow rate of 1.5 gpm. </t>
  </si>
  <si>
    <t>11.802.5.3</t>
  </si>
  <si>
    <r>
      <t xml:space="preserve">11.802.5.3 </t>
    </r>
    <r>
      <rPr>
        <sz val="10"/>
        <rFont val="Calibri"/>
        <family val="2"/>
        <scheme val="minor"/>
      </rPr>
      <t xml:space="preserve">Self-closing valve, motion sensor, metering, or pedal-activated faucet is installed to enable intermittent on/off operation. </t>
    </r>
    <r>
      <rPr>
        <i/>
        <sz val="10"/>
        <rFont val="Calibri"/>
        <family val="2"/>
        <scheme val="minor"/>
      </rPr>
      <t xml:space="preserve">[Points awarded per fixture.] </t>
    </r>
  </si>
  <si>
    <t>11.802.5.4</t>
  </si>
  <si>
    <r>
      <t xml:space="preserve">Water closets that have an effective flush volume of 1.2 gallons or less. 
</t>
    </r>
    <r>
      <rPr>
        <i/>
        <sz val="10"/>
        <rFont val="Calibri"/>
        <family val="2"/>
        <scheme val="minor"/>
      </rPr>
      <t>[Points awarded per toilet. In multifamily buildings, the average of the points assigned to individual dwelling units or sleeping units may be used as the number of points awarded for this practice, rounded to the nearest whole number.]</t>
    </r>
  </si>
  <si>
    <t xml:space="preserve">One or more urinals with a flush volume of 0.5 gallons (1.9L) or less when tested in accordance with ASME A112.19.2/CSA B45.1. </t>
  </si>
  <si>
    <t xml:space="preserve">One or more composting or waterless toilets and/or nonwater urinals. Nonwater urinals shall be tested in accordance with ASME A112.19.2/CSA B45.1. </t>
  </si>
  <si>
    <t>11.802.6</t>
  </si>
  <si>
    <r>
      <t>11.802.6</t>
    </r>
    <r>
      <rPr>
        <sz val="10"/>
        <rFont val="Calibri"/>
        <family val="2"/>
        <scheme val="minor"/>
      </rPr>
      <t xml:space="preserve"> </t>
    </r>
    <r>
      <rPr>
        <b/>
        <sz val="10"/>
        <rFont val="Calibri"/>
        <family val="2"/>
        <scheme val="minor"/>
      </rPr>
      <t>Irrigation systems</t>
    </r>
  </si>
  <si>
    <t>11.802.6.1</t>
  </si>
  <si>
    <r>
      <t xml:space="preserve">11.802.6.1 </t>
    </r>
    <r>
      <rPr>
        <sz val="10"/>
        <rFont val="Calibri"/>
        <family val="2"/>
        <scheme val="minor"/>
      </rPr>
      <t xml:space="preserve">Where an irrigation system is installed, an irrigation plan and implementation are executed by a qualified professional or equivalent. </t>
    </r>
  </si>
  <si>
    <t>11.802.6.2</t>
  </si>
  <si>
    <r>
      <t xml:space="preserve">11.802.6.2 </t>
    </r>
    <r>
      <rPr>
        <sz val="10"/>
        <rFont val="Calibri"/>
        <family val="2"/>
        <scheme val="minor"/>
      </rPr>
      <t xml:space="preserve">Irrigation sprinkler nozzles shall be tested according to ANSI standard ASABE/ICC 802-2014 Landscape Irrigation Sprinkler and Emitter Standard by an accredited third party laboratory. </t>
    </r>
  </si>
  <si>
    <t>11.802.6.3</t>
  </si>
  <si>
    <r>
      <t xml:space="preserve">11.802.6.3 </t>
    </r>
    <r>
      <rPr>
        <sz val="10"/>
        <rFont val="Calibri"/>
        <family val="2"/>
        <scheme val="minor"/>
      </rPr>
      <t xml:space="preserve">Drip irrigation is installed. </t>
    </r>
  </si>
  <si>
    <t>Drip irrigation is installed for all landscape beds.</t>
  </si>
  <si>
    <t>Subsurface drip is installed for all turf grass areas.</t>
  </si>
  <si>
    <r>
      <t xml:space="preserve">Drip irrigation zones specifications show plant type by name and water use/need for each emitter </t>
    </r>
    <r>
      <rPr>
        <i/>
        <sz val="10"/>
        <rFont val="Calibri"/>
        <family val="2"/>
        <scheme val="minor"/>
      </rPr>
      <t xml:space="preserve">[Points awarded only if specifications are implemented.] </t>
    </r>
  </si>
  <si>
    <t>11.802.6.4</t>
  </si>
  <si>
    <r>
      <t>11.802.6.4</t>
    </r>
    <r>
      <rPr>
        <sz val="10"/>
        <rFont val="Calibri"/>
        <family val="2"/>
        <scheme val="minor"/>
      </rPr>
      <t xml:space="preserve"> The irrigation system(s) is controlled by a smart controller or no irrigation is installed. </t>
    </r>
    <r>
      <rPr>
        <i/>
        <sz val="10"/>
        <rFont val="Calibri"/>
        <family val="2"/>
        <scheme val="minor"/>
      </rPr>
      <t>[Points are not additive.]</t>
    </r>
  </si>
  <si>
    <t xml:space="preserve">Irrigation controllers shall be in accordance with the performance criteria of the EPA WaterSense program  </t>
  </si>
  <si>
    <t xml:space="preserve">No irrigation is installed and a landscape plan is developed in accordance with Section 11.503.5, as applicable. </t>
  </si>
  <si>
    <t>11.802.6.5</t>
  </si>
  <si>
    <t>11.802.6.5 Commissioning and water use reduction for irrigation systems.</t>
  </si>
  <si>
    <t>[Points are not additive per each section.]</t>
  </si>
  <si>
    <t xml:space="preserve">All irrigation zones utilize pressure regulation so emission devices (sprinklers and drip emitters) operate at manufacturer’s recommended operating pressure. </t>
  </si>
  <si>
    <t xml:space="preserve">Where dripline tubing is installed, a filter with mesh size in accordance with the manufacturer’s recommendation is installed on all drip zones. </t>
  </si>
  <si>
    <t xml:space="preserve">Utilize spray bodies that incorporate an in-stem or external flow shut-off device. </t>
  </si>
  <si>
    <t xml:space="preserve">For irrigation systems installed on sloped sites, either an in-stem or external check valve is utilized for each spray body. </t>
  </si>
  <si>
    <t xml:space="preserve">Where an irrigation system is installed, a flow sensing device is installed to monitor and alert the controller when flows are outside design range. </t>
  </si>
  <si>
    <t>11.802.7</t>
  </si>
  <si>
    <r>
      <t>11.802.7 Rainwater collection and distribution.</t>
    </r>
    <r>
      <rPr>
        <sz val="10"/>
        <rFont val="Calibri"/>
        <family val="2"/>
        <scheme val="minor"/>
      </rPr>
      <t xml:space="preserve"> Rainwater collection and distribution is provided.</t>
    </r>
  </si>
  <si>
    <t>11.802.7.1</t>
  </si>
  <si>
    <r>
      <t>11.802.7.1</t>
    </r>
    <r>
      <rPr>
        <sz val="10"/>
        <rFont val="Calibri"/>
        <family val="2"/>
        <scheme val="minor"/>
      </rPr>
      <t xml:space="preserve"> Rainwater is used for irrigation in accordance with one of the following:</t>
    </r>
  </si>
  <si>
    <t xml:space="preserve">Rainwater is diverted for landscape irrigation without impermeable water storage </t>
  </si>
  <si>
    <t>Rainwater is diverted for landscape irrigation with impermeable water storage in accordance with one of the following:</t>
  </si>
  <si>
    <t xml:space="preserve">50 – 499 gallon storage capacity </t>
  </si>
  <si>
    <t xml:space="preserve">500 – 2499 gallon storage capacity </t>
  </si>
  <si>
    <t xml:space="preserve">2500 gallon or larger storage capacity (system is designed by a professional certified by The American Rainwater Catchment Systems Association or equivalent) </t>
  </si>
  <si>
    <t xml:space="preserve">All irrigation demands are met by rainwater capture (documentation demonstrating the water needs of the landscape is provided and the system is designed by a professional certified by The American Rainwater Catchment Systems Association or equivalent). </t>
  </si>
  <si>
    <t>11.802.7.2</t>
  </si>
  <si>
    <r>
      <t>11.802.7.2</t>
    </r>
    <r>
      <rPr>
        <sz val="10"/>
        <rFont val="Calibri"/>
        <family val="2"/>
        <scheme val="minor"/>
      </rPr>
      <t xml:space="preserve"> Rainwater is used for indoor domestic demand as follows. The system is designed by a professional certified by The American Rainwater Catchment Systems Association or equivalent.</t>
    </r>
  </si>
  <si>
    <r>
      <t xml:space="preserve">Rainwater is used to supply an indoor appliance or fixture for any locally approved use. </t>
    </r>
    <r>
      <rPr>
        <i/>
        <sz val="10"/>
        <rFont val="Calibri"/>
        <family val="2"/>
        <scheme val="minor"/>
      </rPr>
      <t>[Points awarded per appliance or fixture.]</t>
    </r>
    <r>
      <rPr>
        <sz val="10"/>
        <rFont val="Calibri"/>
        <family val="2"/>
        <scheme val="minor"/>
      </rPr>
      <t xml:space="preserve"> </t>
    </r>
  </si>
  <si>
    <t>Rainwater provides for total domestic demand. Where rainwater is used as potable water the potable rainwater system shall meet the requirements of IRC Sections P2906 and Section P2912. 
The following shall also apply:</t>
  </si>
  <si>
    <t>The following roof materials shall not be used to collect rainwater: shingles with fire retardant, copper, and materials that contain asbestos. Materials that contain lead, including but not limited to flashings and roof jacks, shall be prohibited.</t>
  </si>
  <si>
    <t>Potable water supplies shall be protected against cross connection with rainwater as specified in IRC Section P2902.1.</t>
  </si>
  <si>
    <t>Disinfection shall be provided by at least one of the following:</t>
  </si>
  <si>
    <t>Ultraviolet (UV) light providing at least 40 mJ/cm2 at 254 nm for the highest water flow rate. A UV sensor with visible alarm, audible alarm, or water shutoff shall be triggered when the UV light is below the minimum at the sensor. In addition filtration no greater than 5 µm shall be located upstream of the UV light or</t>
  </si>
  <si>
    <t>filtration no greater than 0.2 µm, or</t>
  </si>
  <si>
    <t>other approved disinfection</t>
  </si>
  <si>
    <t>Materials and systems that collect, convey, pump, or store rainwater for potable rainwater systems shall comply with NSF 53, NSF 61 or equivalent.</t>
  </si>
  <si>
    <t>The quality of the water at the point of use shall be verified in accordance with the requirements of the jurisdiction.</t>
  </si>
  <si>
    <t>The rainwater storage shall not admit sunlight.</t>
  </si>
  <si>
    <t>Potable rainwater pipe shall not be required to be purple after the point that the water is disinfected.</t>
  </si>
  <si>
    <t>11.802.8</t>
  </si>
  <si>
    <r>
      <t>11.802.8 Sediment filters.</t>
    </r>
    <r>
      <rPr>
        <sz val="10"/>
        <rFont val="Calibri"/>
        <family val="2"/>
        <scheme val="minor"/>
      </rPr>
      <t xml:space="preserve"> Water filter is installed to reduce sediment and protect plumbing fixtures for the whole building or the entire dwelling unit or the sleeping unit.  </t>
    </r>
  </si>
  <si>
    <t>11.802.9</t>
  </si>
  <si>
    <t>11.802.9 Water treatment devices.</t>
  </si>
  <si>
    <t>11.802.9.1</t>
  </si>
  <si>
    <r>
      <t xml:space="preserve">11.802.9.1 </t>
    </r>
    <r>
      <rPr>
        <sz val="10"/>
        <rFont val="Calibri"/>
        <family val="2"/>
        <scheme val="minor"/>
      </rPr>
      <t>Water Softeners shall not be installed where the supplied water hardness is less than 8.0 grains per gallon measured as total calcium carbonate equivalents. Water softeners shall be listed to NSF 44 and a rated salt efficiency of 3400 grains of total hardness per 1.0 pound of salt based on sodium chloride equivalency. Devices shall not discharge more than 4.0 gallons of water per 1000 grains of hardness removed during the service or recharge cycle.</t>
    </r>
  </si>
  <si>
    <t xml:space="preserve">No water softener. </t>
  </si>
  <si>
    <t xml:space="preserve">Water softener installed to supply softened water only to domestic water heater. </t>
  </si>
  <si>
    <t>11.802.9.2</t>
  </si>
  <si>
    <r>
      <t xml:space="preserve">11.802.9.2 </t>
    </r>
    <r>
      <rPr>
        <sz val="10"/>
        <rFont val="Calibri"/>
        <family val="2"/>
        <scheme val="minor"/>
      </rPr>
      <t>Reverse Osmosis (R/O) water treatment systems shall be listed to NSF 58 and shall include automatic shut-off valve to prevent water discharge when storage tank is full.</t>
    </r>
  </si>
  <si>
    <t xml:space="preserve">No R/O system. </t>
  </si>
  <si>
    <t xml:space="preserve">Combined capacity of all R/O systems does not exceed 0.75 gallons. </t>
  </si>
  <si>
    <t>11.802.10</t>
  </si>
  <si>
    <t>11.802.10 Pools and spas.</t>
  </si>
  <si>
    <t>11.802.10.1</t>
  </si>
  <si>
    <r>
      <t xml:space="preserve">11.802.10.1 </t>
    </r>
    <r>
      <rPr>
        <sz val="10"/>
        <rFont val="Calibri"/>
        <family val="2"/>
        <scheme val="minor"/>
      </rPr>
      <t>Pools and Spas with water surface area greater than 36 square feet and connected to a water supply shall have a dedicated meter to measure the amount of water supplied to the pool or spa.</t>
    </r>
  </si>
  <si>
    <t xml:space="preserve">Automated motorized non-permeable pool cover that covers the entire pool surface. </t>
  </si>
  <si>
    <t>11.803  INNOVATIVE PRACTICES</t>
  </si>
  <si>
    <t>11.803.1</t>
  </si>
  <si>
    <r>
      <t xml:space="preserve">each water closet flushed by reclaimed, gray, or recycled water
</t>
    </r>
    <r>
      <rPr>
        <i/>
        <sz val="10"/>
        <rFont val="Calibri"/>
        <family val="2"/>
        <scheme val="minor"/>
      </rPr>
      <t xml:space="preserve">[Points awarded per fixture or appliance.] </t>
    </r>
  </si>
  <si>
    <t xml:space="preserve">irrigation from reclaimed, gray, or recycled water on-site </t>
  </si>
  <si>
    <t>11.803.2</t>
  </si>
  <si>
    <r>
      <t xml:space="preserve">11.803.2 Reclaimed water, greywater, or rainwater pre-piping. </t>
    </r>
    <r>
      <rPr>
        <sz val="10"/>
        <rFont val="Calibri"/>
        <family val="2"/>
        <scheme val="minor"/>
      </rPr>
      <t xml:space="preserve">Reclaimed, graywater, or rainwater systems are rough plumbed (and permanently marked, tagged or labeled) into buildings for future use. </t>
    </r>
  </si>
  <si>
    <t>11.803.3</t>
  </si>
  <si>
    <r>
      <t xml:space="preserve">11.803.3 Automatic leak detection and control devices. </t>
    </r>
    <r>
      <rPr>
        <sz val="10"/>
        <rFont val="Calibri"/>
        <family val="2"/>
        <scheme val="minor"/>
      </rPr>
      <t xml:space="preserve">One of the following devices is installed. Where a fire sprinkler system is present, the device will be installed to not interfere with the operation of the fire sprinkler system.  </t>
    </r>
  </si>
  <si>
    <t>automatic water leak detection and control devices</t>
  </si>
  <si>
    <t>automatic water leak detection and shutoff devices</t>
  </si>
  <si>
    <t>11.803.4</t>
  </si>
  <si>
    <r>
      <t>11.803.4 Engineered biological system or intensive bioremediation system.</t>
    </r>
    <r>
      <rPr>
        <sz val="10"/>
        <rFont val="Calibri"/>
        <family val="2"/>
        <scheme val="minor"/>
      </rPr>
      <t xml:space="preserve"> An engineered biological system or intensive bioremediation system is installed and the treated water is used on site. Design and implementation are approved by appropriate regional authority. </t>
    </r>
  </si>
  <si>
    <t>11.803.5</t>
  </si>
  <si>
    <r>
      <t xml:space="preserve">11.803.5 Recirculating humidifier. </t>
    </r>
    <r>
      <rPr>
        <sz val="10"/>
        <rFont val="Calibri"/>
        <family val="2"/>
        <scheme val="minor"/>
      </rPr>
      <t xml:space="preserve">Where a humidifier is required, a recirculating humidifier is used in lieu of a traditional “flow through” type. </t>
    </r>
  </si>
  <si>
    <t>11.803.6</t>
  </si>
  <si>
    <t>11.802.4</t>
  </si>
  <si>
    <t>802.5.1</t>
  </si>
  <si>
    <t>802.5.2</t>
  </si>
  <si>
    <t>802.5.3</t>
  </si>
  <si>
    <t>802.5.4</t>
  </si>
  <si>
    <t>802.6.1</t>
  </si>
  <si>
    <t>802.6.2</t>
  </si>
  <si>
    <t>802.6.3</t>
  </si>
  <si>
    <t>802.6.4</t>
  </si>
  <si>
    <t>802.6.5</t>
  </si>
  <si>
    <t>802.7.1</t>
  </si>
  <si>
    <t>802.7.2</t>
  </si>
  <si>
    <t>802.9.1</t>
  </si>
  <si>
    <t>802.9.2</t>
  </si>
  <si>
    <t>802.10.1</t>
  </si>
  <si>
    <t>4 Additional</t>
  </si>
  <si>
    <t># of compartments:</t>
  </si>
  <si>
    <t xml:space="preserve">4 for first compartment </t>
  </si>
  <si>
    <t>1 for each additional compartment in dwelling</t>
  </si>
  <si>
    <t>7 Max</t>
  </si>
  <si>
    <t xml:space="preserve">6 Additional </t>
  </si>
  <si>
    <t xml:space="preserve">10 Additional </t>
  </si>
  <si>
    <t>1
3 Max</t>
  </si>
  <si>
    <t>2 
6 Max</t>
  </si>
  <si>
    <t>1 Additional
3 Max</t>
  </si>
  <si>
    <t>1 Additional</t>
  </si>
  <si>
    <t>6 Additional</t>
  </si>
  <si>
    <t>5
15 Max</t>
  </si>
  <si>
    <t>5
20 Max</t>
  </si>
  <si>
    <t>3 per roughed in system</t>
  </si>
  <si>
    <t># of systems:</t>
  </si>
  <si>
    <t>Ch. 8</t>
  </si>
  <si>
    <t>(4)(a)</t>
  </si>
  <si>
    <t>1 compartment</t>
  </si>
  <si>
    <t>2 compartments</t>
  </si>
  <si>
    <t>3 compartments</t>
  </si>
  <si>
    <t>4+ compartments</t>
  </si>
  <si>
    <t>2 per unique meter</t>
  </si>
  <si>
    <t>2 per sensor package</t>
  </si>
  <si>
    <t>2 per unique use meter</t>
  </si>
  <si>
    <t>Performance Path</t>
  </si>
  <si>
    <t>1 control</t>
  </si>
  <si>
    <t>2 controls</t>
  </si>
  <si>
    <t>3+ controls</t>
  </si>
  <si>
    <t>1 fixture</t>
  </si>
  <si>
    <t>2 fixtures</t>
  </si>
  <si>
    <t>3+ fixtures</t>
  </si>
  <si>
    <t>1 appl./fixture</t>
  </si>
  <si>
    <t>2 appl./fixtures</t>
  </si>
  <si>
    <t>3+ appl./fixtures</t>
  </si>
  <si>
    <t>3 appl./fixtures</t>
  </si>
  <si>
    <t>4+ appl./fixtures</t>
  </si>
  <si>
    <t>801.0</t>
  </si>
  <si>
    <t>Water consumption shall be based on the estimated annual use as determined by a third-party audit and analysis or use of utility consumption data. The reduction shall be the percentage difference between the consumption before and after the remodel calculated as follows:</t>
  </si>
  <si>
    <r>
      <rPr>
        <b/>
        <sz val="10"/>
        <color theme="1"/>
        <rFont val="Calibri"/>
        <family val="2"/>
        <scheme val="minor"/>
      </rPr>
      <t>305.2.6.1</t>
    </r>
    <r>
      <rPr>
        <sz val="10"/>
        <color theme="1"/>
        <rFont val="Calibri"/>
        <family val="2"/>
        <scheme val="minor"/>
      </rPr>
      <t xml:space="preserve"> Water consumption reduction path. The water efficiency rating level shall be based on the reduction in water consumption resulting from the remodel in accordance with Table 305.2.6.1.</t>
    </r>
  </si>
  <si>
    <t>305.2.6.1</t>
  </si>
  <si>
    <t>1 [3 max*]</t>
  </si>
  <si>
    <t>2 [6 max*]</t>
  </si>
  <si>
    <t xml:space="preserve">8 Additional </t>
  </si>
  <si>
    <t xml:space="preserve">12 Additional </t>
  </si>
  <si>
    <t xml:space="preserve">Gold and emerald levels: All water closets and urinals are in accordance with Section 11.802.5.4. </t>
  </si>
  <si>
    <r>
      <t xml:space="preserve">Table </t>
    </r>
    <r>
      <rPr>
        <b/>
        <sz val="10"/>
        <color rgb="FF000000"/>
        <rFont val="Calibri"/>
        <family val="2"/>
      </rPr>
      <t>11.703.7.1(7)</t>
    </r>
  </si>
  <si>
    <t>South-Facing Window Overhang Depth</t>
  </si>
  <si>
    <t>Vertical distance between bottom of overhang and
top of window sill</t>
  </si>
  <si>
    <t>≤7' 4"</t>
  </si>
  <si>
    <t>≤6' 4"</t>
  </si>
  <si>
    <t>≤5' 4"</t>
  </si>
  <si>
    <t>≤4' 4"</t>
  </si>
  <si>
    <t>≤3' 4"</t>
  </si>
  <si>
    <t>Climate Zone</t>
  </si>
  <si>
    <t>1 &amp; 2 &amp; 3</t>
  </si>
  <si>
    <t>2' 8"</t>
  </si>
  <si>
    <t>2' 4"</t>
  </si>
  <si>
    <t>2' 0"</t>
  </si>
  <si>
    <t>4 &amp; 5 &amp; 6</t>
  </si>
  <si>
    <t>1' 8"</t>
  </si>
  <si>
    <t>7 &amp; 8</t>
  </si>
  <si>
    <t>1' 4"</t>
  </si>
  <si>
    <t>1' 0"</t>
  </si>
  <si>
    <t>For SI: 1 inch = 25.4 mm</t>
  </si>
  <si>
    <t>Table 11.703.2.1(a)</t>
  </si>
  <si>
    <r>
      <t>Baseline U-Factors</t>
    </r>
    <r>
      <rPr>
        <b/>
        <vertAlign val="superscript"/>
        <sz val="10"/>
        <color theme="1"/>
        <rFont val="Calibri"/>
        <family val="2"/>
      </rPr>
      <t>a</t>
    </r>
  </si>
  <si>
    <t>Fenestration U-Factor</t>
  </si>
  <si>
    <t>Skylight U-Factor</t>
  </si>
  <si>
    <t>Ceiling U‑Factor</t>
  </si>
  <si>
    <t>Frame Wall</t>
  </si>
  <si>
    <t>Mass Wall</t>
  </si>
  <si>
    <t>Floor</t>
  </si>
  <si>
    <t>Basement Wall</t>
  </si>
  <si>
    <r>
      <t>Crawlspace Wall U-Factor</t>
    </r>
    <r>
      <rPr>
        <b/>
        <vertAlign val="superscript"/>
        <sz val="10"/>
        <color rgb="FF000000"/>
        <rFont val="Arial Narrow"/>
        <family val="2"/>
      </rPr>
      <t>c</t>
    </r>
  </si>
  <si>
    <t>U-Factor</t>
  </si>
  <si>
    <r>
      <t>U-Factor</t>
    </r>
    <r>
      <rPr>
        <b/>
        <vertAlign val="superscript"/>
        <sz val="10"/>
        <color rgb="FF000000"/>
        <rFont val="Arial Narrow"/>
        <family val="2"/>
      </rPr>
      <t>b</t>
    </r>
  </si>
  <si>
    <r>
      <t>0.091</t>
    </r>
    <r>
      <rPr>
        <vertAlign val="superscript"/>
        <sz val="8"/>
        <color rgb="FF000000"/>
        <rFont val="Arial"/>
        <family val="2"/>
      </rPr>
      <t>C</t>
    </r>
  </si>
  <si>
    <t>4 except Marine</t>
  </si>
  <si>
    <t>5 and Marine 4</t>
  </si>
  <si>
    <t>7 and 8</t>
  </si>
  <si>
    <r>
      <t>a.</t>
    </r>
    <r>
      <rPr>
        <sz val="7"/>
        <color rgb="FF000000"/>
        <rFont val="Times New Roman"/>
        <family val="1"/>
      </rPr>
      <t xml:space="preserve">  </t>
    </r>
    <r>
      <rPr>
        <sz val="8"/>
        <color rgb="FF000000"/>
        <rFont val="Arial"/>
        <family val="2"/>
      </rPr>
      <t>Non-fenestration U-factors shall be obtained from measurement, calculation, or an approved source.</t>
    </r>
  </si>
  <si>
    <r>
      <t>b.</t>
    </r>
    <r>
      <rPr>
        <sz val="7"/>
        <color rgb="FF000000"/>
        <rFont val="Times New Roman"/>
        <family val="1"/>
      </rPr>
      <t xml:space="preserve">  </t>
    </r>
    <r>
      <rPr>
        <sz val="8"/>
        <color rgb="FF000000"/>
        <rFont val="Arial"/>
        <family val="2"/>
      </rPr>
      <t>Where more the half the insulation is on the interior, the mass wall U-factors is a maximum of 0.17 in Zone 1, 0.14 in Zone 2, 0.12 in Zone 3, 0.10 in Zone 4 except in Marine, and the same as the frame wall U-factor in Marine Zone 4 and Zones 5 through 8.</t>
    </r>
  </si>
  <si>
    <r>
      <t>c.</t>
    </r>
    <r>
      <rPr>
        <sz val="7"/>
        <color rgb="FF000000"/>
        <rFont val="Times New Roman"/>
        <family val="1"/>
      </rPr>
      <t xml:space="preserve">  </t>
    </r>
    <r>
      <rPr>
        <sz val="8"/>
        <color rgb="FF000000"/>
        <rFont val="Arial"/>
        <family val="2"/>
      </rPr>
      <t>Basement wall U-factor of 0.360 in warm-humid locations.</t>
    </r>
  </si>
  <si>
    <t>Table 11.703.2.1(b)</t>
  </si>
  <si>
    <t>Points for Improvement in Total Building Thermal Envelope UA</t>
  </si>
  <si>
    <t>Compared to Baseline UA</t>
  </si>
  <si>
    <t>Minimum UA Improvement</t>
  </si>
  <si>
    <r>
      <t>1</t>
    </r>
    <r>
      <rPr>
        <b/>
        <vertAlign val="superscript"/>
        <sz val="10"/>
        <color theme="1"/>
        <rFont val="Calibri"/>
        <family val="2"/>
        <scheme val="minor"/>
      </rPr>
      <t>a</t>
    </r>
  </si>
  <si>
    <t>0 to &lt;5%</t>
  </si>
  <si>
    <t>5% to &lt;10%</t>
  </si>
  <si>
    <t>10% to &lt;15%</t>
  </si>
  <si>
    <t>15% to &lt;20%</t>
  </si>
  <si>
    <t>20% to &lt;25%</t>
  </si>
  <si>
    <t>25% to &lt;30%</t>
  </si>
  <si>
    <t>30% to &lt;35%</t>
  </si>
  <si>
    <t>≥35%</t>
  </si>
  <si>
    <r>
      <t xml:space="preserve">a. </t>
    </r>
    <r>
      <rPr>
        <sz val="8"/>
        <color rgb="FF000000"/>
        <rFont val="Calibri"/>
        <family val="2"/>
        <scheme val="minor"/>
      </rPr>
      <t>Tropical Climate Zone: Points are Climate Zone 1 points divided by 2 and rounded down</t>
    </r>
  </si>
  <si>
    <t>Exception: For the Tropical Climate Zone, crawl space, basement, and floor u-factors are excluded from the total building thermal envelope UA improvement calculation.</t>
  </si>
  <si>
    <t>&gt;6 inch</t>
  </si>
  <si>
    <t>≥3 inch to &lt;6 inch</t>
  </si>
  <si>
    <t>7-8</t>
  </si>
  <si>
    <t>1-4</t>
  </si>
  <si>
    <t>Mass thickness</t>
  </si>
  <si>
    <t>Exterior Mass Walls</t>
  </si>
  <si>
    <r>
      <t xml:space="preserve">Table </t>
    </r>
    <r>
      <rPr>
        <b/>
        <sz val="10"/>
        <color rgb="FF000000"/>
        <rFont val="Calibri"/>
        <family val="2"/>
      </rPr>
      <t>11.703.2.2</t>
    </r>
  </si>
  <si>
    <r>
      <t xml:space="preserve">Table </t>
    </r>
    <r>
      <rPr>
        <b/>
        <sz val="10"/>
        <color rgb="FF000000"/>
        <rFont val="Calibri"/>
        <family val="2"/>
        <scheme val="minor"/>
      </rPr>
      <t>11.703.2.4(a)</t>
    </r>
  </si>
  <si>
    <t>Building Envelope Leakage</t>
  </si>
  <si>
    <t>Max Envelope Leakage Rate
(ACH50)</t>
  </si>
  <si>
    <t>-</t>
  </si>
  <si>
    <r>
      <t xml:space="preserve">Table </t>
    </r>
    <r>
      <rPr>
        <b/>
        <sz val="10"/>
        <color rgb="FF000000"/>
        <rFont val="Calibri"/>
        <family val="2"/>
        <scheme val="minor"/>
      </rPr>
      <t>11.703.2.4(b)</t>
    </r>
  </si>
  <si>
    <t>Max Envelope Leakage Rate
(ELR50)</t>
  </si>
  <si>
    <t>Where ELR50 = CFM50 / Shell Area</t>
  </si>
  <si>
    <r>
      <t xml:space="preserve">Table </t>
    </r>
    <r>
      <rPr>
        <b/>
        <sz val="10"/>
        <color rgb="FF000000"/>
        <rFont val="Calibri"/>
        <family val="2"/>
      </rPr>
      <t>11.703.2.5.1</t>
    </r>
  </si>
  <si>
    <t>Fenestration Specifications</t>
  </si>
  <si>
    <t>Climate Zones</t>
  </si>
  <si>
    <t>SHGC</t>
  </si>
  <si>
    <t>Windows and Exterior Doors
(maximum certified ratings)</t>
  </si>
  <si>
    <t>5 to 8</t>
  </si>
  <si>
    <t>0.30*</t>
  </si>
  <si>
    <t>Any</t>
  </si>
  <si>
    <t>Skylights and TDDs
(maximum certified ratings)</t>
  </si>
  <si>
    <t>Exception: For Sun-tempered designs meeting the requirements of Section 11.703.7.1, the SHGC is permitted to be 0.40 or higher on south facing glass.</t>
  </si>
  <si>
    <t>*Exception: A maximum U-factor of 0.32 shall apply in climate zones 5-8 to vertical fenestration products installed in buildings located: (i) above 4000 feet in elevation above sea level or (ii) in windborne debris regions where protection of openings is provided by fenestration as required under IRC section R301.2.1.2.</t>
  </si>
  <si>
    <r>
      <t xml:space="preserve">Table </t>
    </r>
    <r>
      <rPr>
        <b/>
        <sz val="10"/>
        <color rgb="FF000000"/>
        <rFont val="Calibri"/>
        <family val="2"/>
        <scheme val="minor"/>
      </rPr>
      <t>11.703.2.5.2(a)</t>
    </r>
  </si>
  <si>
    <t>Enhanced Fenestration Specifications</t>
  </si>
  <si>
    <t>U-Factor Windows &amp; Exterior Doors</t>
  </si>
  <si>
    <t>SHGC
Windows &amp; Exterior Doors</t>
  </si>
  <si>
    <t>U-Factor Skylights &amp; TDDs</t>
  </si>
  <si>
    <t>SHGC
Skylights &amp; TDDs</t>
  </si>
  <si>
    <r>
      <t xml:space="preserve">Table </t>
    </r>
    <r>
      <rPr>
        <b/>
        <sz val="10"/>
        <color rgb="FF000000"/>
        <rFont val="Calibri"/>
        <family val="2"/>
        <scheme val="minor"/>
      </rPr>
      <t>11.703.2.5.2(b)</t>
    </r>
  </si>
  <si>
    <r>
      <t xml:space="preserve">Table </t>
    </r>
    <r>
      <rPr>
        <b/>
        <sz val="10"/>
        <color rgb="FF000000"/>
        <rFont val="Calibri"/>
        <family val="2"/>
        <scheme val="minor"/>
      </rPr>
      <t>11.703.2.5.2(c)</t>
    </r>
  </si>
  <si>
    <t>5-8</t>
  </si>
  <si>
    <r>
      <t>b.</t>
    </r>
    <r>
      <rPr>
        <sz val="7"/>
        <color theme="1"/>
        <rFont val="Times New Roman"/>
        <family val="1"/>
      </rPr>
      <t xml:space="preserve">   </t>
    </r>
    <r>
      <rPr>
        <sz val="8"/>
        <color theme="1"/>
        <rFont val="Calibri"/>
        <family val="2"/>
      </rPr>
      <t>The maximum flow rate through 1/4 inch nominal piping shall not exceed 0.5 gpm. The maximum flow rate through 5/16 inch nominal piping shall not exceed 1 gpm. The maximum flow rate through 3/8 inch nominal piping shall not exceed 1.5 gpm.</t>
    </r>
  </si>
  <si>
    <t>7/8</t>
  </si>
  <si>
    <t>3/4</t>
  </si>
  <si>
    <t>5/8</t>
  </si>
  <si>
    <t>1/2</t>
  </si>
  <si>
    <r>
      <t>3/8</t>
    </r>
    <r>
      <rPr>
        <vertAlign val="superscript"/>
        <sz val="9"/>
        <color theme="1"/>
        <rFont val="Calibri"/>
        <family val="2"/>
        <scheme val="minor"/>
      </rPr>
      <t>b</t>
    </r>
  </si>
  <si>
    <r>
      <t>5/16</t>
    </r>
    <r>
      <rPr>
        <vertAlign val="superscript"/>
        <sz val="9"/>
        <color theme="1"/>
        <rFont val="Calibri"/>
        <family val="2"/>
        <scheme val="minor"/>
      </rPr>
      <t>b</t>
    </r>
  </si>
  <si>
    <r>
      <t>1/4</t>
    </r>
    <r>
      <rPr>
        <vertAlign val="superscript"/>
        <sz val="9"/>
        <color theme="1"/>
        <rFont val="Calibri"/>
        <family val="2"/>
        <scheme val="minor"/>
      </rPr>
      <t>b</t>
    </r>
  </si>
  <si>
    <t>Maximum Pipe Length (feet)</t>
  </si>
  <si>
    <t>(0.19 gallon)</t>
  </si>
  <si>
    <t>(0.25 gallon)</t>
  </si>
  <si>
    <t>(0.5 gallon)</t>
  </si>
  <si>
    <t>(1 gallons)</t>
  </si>
  <si>
    <t>24 ounces</t>
  </si>
  <si>
    <t>32 ounces</t>
  </si>
  <si>
    <t>64 ounces</t>
  </si>
  <si>
    <t>128 ounces</t>
  </si>
  <si>
    <t>Branch and Fixture Supply Volume from Circulation Loop</t>
  </si>
  <si>
    <t>Main, Branch, and Fixture Supply System Volume Category</t>
  </si>
  <si>
    <t>Liquid Ounces per Foot of Length</t>
  </si>
  <si>
    <t>Nominal Pipe Size (inch)</t>
  </si>
  <si>
    <r>
      <t>Maximum Pipe Length Conversion Table</t>
    </r>
    <r>
      <rPr>
        <b/>
        <vertAlign val="superscript"/>
        <sz val="9"/>
        <color rgb="FF000000"/>
        <rFont val="Calibri"/>
        <family val="2"/>
        <scheme val="minor"/>
      </rPr>
      <t>a</t>
    </r>
  </si>
  <si>
    <t>Common Hot Water Pipe Internal Volumes</t>
  </si>
  <si>
    <t>OUNCES OF WATER PER FOOT OF PIPE</t>
  </si>
  <si>
    <t>Size Nominal, Inch</t>
  </si>
  <si>
    <t>Copper Type M</t>
  </si>
  <si>
    <t>Copper Type L</t>
  </si>
  <si>
    <t>Copper Type K</t>
  </si>
  <si>
    <t>CPVC 
CTS SDR 11</t>
  </si>
  <si>
    <t>CPVC 
SCH 40</t>
  </si>
  <si>
    <t>CPVC
 SCH 80</t>
  </si>
  <si>
    <t>PE-RT 
SDR 9</t>
  </si>
  <si>
    <t>Composite ASTM F 1281</t>
  </si>
  <si>
    <t>PEX
CTS
SDR 9</t>
  </si>
  <si>
    <t>PP 
SDR 7.4 F2389</t>
  </si>
  <si>
    <t>PP 
SDR 9 F2389</t>
  </si>
  <si>
    <t>3/8</t>
  </si>
  <si>
    <t>1 ¼</t>
  </si>
  <si>
    <t>1 ½</t>
  </si>
  <si>
    <t>Table 305.2.5.1</t>
  </si>
  <si>
    <t>Energy Rating Reduction Level Thresholds</t>
  </si>
  <si>
    <t>Table 305.2.6.1</t>
  </si>
  <si>
    <t>Water Rating Reduction Level Thresholds</t>
  </si>
  <si>
    <t>Per Table 11.703.2.1(b)</t>
  </si>
  <si>
    <t>See Table 11.703.2.1(a)</t>
  </si>
  <si>
    <t>Per Table 11.703.2.2</t>
  </si>
  <si>
    <t>Per Table 11.703.2.4</t>
  </si>
  <si>
    <t>Per Table 11.703.2.5.2(a) or
11.703.2.5.2(b) or 
11.703.2.5.2(c)</t>
  </si>
  <si>
    <r>
      <t xml:space="preserve">11.703.2.5.2 </t>
    </r>
    <r>
      <rPr>
        <sz val="10"/>
        <rFont val="Calibri"/>
        <family val="2"/>
        <scheme val="minor"/>
      </rPr>
      <t>The NFRC-certified (or equivalent) U-factor and SHGC of windows, exterior doors, skylights, and tubular daylighting devices (TDDs) are in accordance with Table 11.703.2.5.2(a), (b), or (c). Decorative fenestration elements with a combined total maximum area of 15 square feet (1.39 m</t>
    </r>
    <r>
      <rPr>
        <vertAlign val="superscript"/>
        <sz val="10"/>
        <rFont val="Calibri"/>
        <family val="2"/>
        <scheme val="minor"/>
      </rPr>
      <t>2</t>
    </r>
    <r>
      <rPr>
        <sz val="10"/>
        <rFont val="Calibri"/>
        <family val="2"/>
        <scheme val="minor"/>
      </rPr>
      <t>) or 10 percent of the total glazing area, whichever is less, are not required to comply with this practice.</t>
    </r>
  </si>
  <si>
    <t>[Points for multifamily buildings four or more stories in height are awarded at 3 times the point value listed in Table 703.2.5.2(c)]</t>
  </si>
  <si>
    <t>Table 703.2.5.2(a)</t>
  </si>
  <si>
    <t>Table 703.2.5.2(b)</t>
  </si>
  <si>
    <t>Table 703.2.5.2(c)</t>
  </si>
  <si>
    <t>NOTE: For multi-unit buildings, each dwelling unit must comply to claim this point.</t>
  </si>
  <si>
    <t>NOTE: For multi-unit buildings, each dwelling unit must have compliant whole-dwelling unit fans installed to claim these points.</t>
  </si>
  <si>
    <t>Multifamily Building Note: Washing machines in ALL units must comply.</t>
  </si>
  <si>
    <t>Multifamily Building Note: The site is designed such that at least 40 percent of the multifamily dwelling or sleeping units have one south facing wall (within 15 degrees) containing at least 50 percent of glazing for entire unit, Effective shading is required for passive solar control on all south facing glazing. The floor area of at least 15 feet from the south facing perimeter glazing is massive and exposed to capture solar heat during the day and reradiate at night.</t>
  </si>
  <si>
    <t>NOTE: Specify name of person or company conducting blower door test in the assigned Notes area.</t>
  </si>
  <si>
    <t>NOTE: Specify name of person or company conducting HVAC airflow test in the assigned Notes area.</t>
  </si>
  <si>
    <t>multiple cooling sys.?</t>
  </si>
  <si>
    <t>[where points awarded in Section 11.706.3, points shall not be awarded in Section 11.706.7 and 11.706.10]</t>
  </si>
  <si>
    <r>
      <t xml:space="preserve">11.706.7 Grid-interactive electric thermal storage system. </t>
    </r>
    <r>
      <rPr>
        <sz val="10"/>
        <rFont val="Calibri"/>
        <family val="2"/>
        <scheme val="minor"/>
      </rPr>
      <t>A grid-interactive electric thermal storage system is installed.</t>
    </r>
    <r>
      <rPr>
        <b/>
        <sz val="10"/>
        <rFont val="Calibri"/>
        <family val="2"/>
        <scheme val="minor"/>
      </rPr>
      <t xml:space="preserve">
</t>
    </r>
    <r>
      <rPr>
        <i/>
        <sz val="10"/>
        <rFont val="Calibri"/>
        <family val="2"/>
        <scheme val="minor"/>
      </rPr>
      <t>[where points awarded in Section 11.706.7, points shall not be awarded in Section 11.706.3 and 11.706.10]</t>
    </r>
  </si>
  <si>
    <r>
      <t xml:space="preserve">11.706.10 Automatic demand response. </t>
    </r>
    <r>
      <rPr>
        <sz val="10"/>
        <rFont val="Calibri"/>
        <family val="2"/>
        <scheme val="minor"/>
      </rPr>
      <t xml:space="preserve">Automatic demand response system is installed that curtails energy usage upon a signal from the utility or an energy service provider is installed. 
</t>
    </r>
    <r>
      <rPr>
        <i/>
        <sz val="10"/>
        <rFont val="Calibri"/>
        <family val="2"/>
        <scheme val="minor"/>
      </rPr>
      <t>[where points awarded in Section 11.706.10, points shall not be awarded in Section 11.706.3 and 11.706.7]</t>
    </r>
  </si>
  <si>
    <r>
      <t>11.802.5.4 Water closets and urinals.</t>
    </r>
    <r>
      <rPr>
        <sz val="10"/>
        <rFont val="Calibri"/>
        <family val="2"/>
        <scheme val="minor"/>
      </rPr>
      <t xml:space="preserve"> Water closets and urinals are in accordance with the following:</t>
    </r>
  </si>
  <si>
    <t xml:space="preserve">All water closets are in accordance with Section 11.802.5(2).  </t>
  </si>
  <si>
    <t xml:space="preserve">All water closets are in accordance with Section 11.802.5(2) and one or more of the following are installed: </t>
  </si>
  <si>
    <r>
      <t>11.802.1 Indoor hot water usage.</t>
    </r>
    <r>
      <rPr>
        <sz val="10"/>
        <rFont val="Calibri"/>
        <family val="2"/>
        <scheme val="minor"/>
      </rPr>
      <t xml:space="preserve"> Indoor hot water supply system is in accordance with one of the practices listed in items (1) through (5). The maximum water volume from the source of hot water to the termination of the fixture supply is determined in accordance with Tables 11.802.1(1) or11. 802.1(2). The maximum pipe length from the source of hot water to the termination of the fixture supply is 50 feet.
</t>
    </r>
    <r>
      <rPr>
        <i/>
        <sz val="10"/>
        <rFont val="Calibri"/>
        <family val="2"/>
        <scheme val="minor"/>
      </rPr>
      <t>[Where more than one water heater is used or where more than one type of hot water supply system, including multiple circulation loops, is used, points are awarded only for the system that qualifies for the minimum number of points.]
[Systems with circulation loops are eligible for points only if pumps are demand controlled. Circulation systems with timers or aquastats and constant-on circulation systems are not eligible to receive points.]
[Points awarded only if the pipes are insulated in accordance with Section 11.705.6.3.]</t>
    </r>
  </si>
  <si>
    <t>All shower compartments in the dwelling unit(s) or sleeping unit(s) and common areas meet the requirements of 11.802.3(1) and all showerheads are in accordance with one of the following:</t>
  </si>
  <si>
    <r>
      <t>11.803.1 Reclaimed, gray, or recycled water.</t>
    </r>
    <r>
      <rPr>
        <sz val="10"/>
        <rFont val="Calibri"/>
        <family val="2"/>
        <scheme val="minor"/>
      </rPr>
      <t xml:space="preserve"> Reclaimed, gray, or recycled water is used as permitted by applicable code.
</t>
    </r>
    <r>
      <rPr>
        <i/>
        <sz val="10"/>
        <rFont val="Calibri"/>
        <family val="2"/>
        <scheme val="minor"/>
      </rPr>
      <t>[Points awarded for either Section 11.803.1(1) or 11.803.1(2), not both.]
[Points awarded for either Section11.803.6 or 11.803.1, not both.]</t>
    </r>
  </si>
  <si>
    <r>
      <t xml:space="preserve">11.803.6 Advanced wastewater treatment system. </t>
    </r>
    <r>
      <rPr>
        <sz val="10"/>
        <rFont val="Calibri"/>
        <family val="2"/>
        <scheme val="minor"/>
      </rPr>
      <t xml:space="preserve">Advanced wastewater (aerobic) </t>
    </r>
    <r>
      <rPr>
        <i/>
        <sz val="10"/>
        <rFont val="Calibri"/>
        <family val="2"/>
        <scheme val="minor"/>
      </rPr>
      <t xml:space="preserve">treatment system is installed and treated water is used on site.
[Points awarded for either Section 11.803.6 or11. 803.1, not both.] </t>
    </r>
  </si>
  <si>
    <t xml:space="preserve">Multifamily Building Note: Washing machines are installed in individual units or provided in common areas of multifamily buildings. </t>
  </si>
  <si>
    <r>
      <t>11.701.4.3.5 Lighting and building thermal envelope.</t>
    </r>
    <r>
      <rPr>
        <sz val="10"/>
        <color theme="1"/>
        <rFont val="Calibri"/>
        <family val="2"/>
        <scheme val="minor"/>
      </rPr>
      <t xml:space="preserve"> Newly installed luminaires installed in the building thermal envelope which penetrate the air barrier are sealed to limit air leakage between conditioned and unconditioned spaces. All luminaires are IC-rated and labeled as meeting ASTM E283 when tested at 1.57 psf (75 Pa) pressure differential with no more than 2.0 cfm (0.944 L/s) of air movement from the conditioned space to the ceiling cavity. All luminaires installed in the building thermal envelope which penetrate the air barrier are sealed with a gasket or caulk between the housing and the interior of the wall or ceiling covering.</t>
    </r>
  </si>
  <si>
    <r>
      <t>11.701.4.5 Boiler piping.</t>
    </r>
    <r>
      <rPr>
        <sz val="10"/>
        <color theme="1"/>
        <rFont val="Calibri"/>
        <family val="2"/>
        <scheme val="minor"/>
      </rPr>
      <t xml:space="preserve"> Boiler piping in unconditioned space supplying and returning heated water or steam that is accessible during the remodel is insulated. Exception: where condensing boilers are installed, insulation is not required for return piping.</t>
    </r>
  </si>
  <si>
    <t>See 11.703.4.3.1</t>
  </si>
  <si>
    <r>
      <t xml:space="preserve">11.901.1.4 </t>
    </r>
    <r>
      <rPr>
        <sz val="10"/>
        <rFont val="Calibri"/>
        <family val="2"/>
        <scheme val="minor"/>
      </rPr>
      <t>Newly installed</t>
    </r>
    <r>
      <rPr>
        <b/>
        <sz val="10"/>
        <rFont val="Calibri"/>
        <family val="2"/>
        <scheme val="minor"/>
      </rPr>
      <t xml:space="preserve"> </t>
    </r>
    <r>
      <rPr>
        <sz val="10"/>
        <rFont val="Calibri"/>
        <family val="2"/>
        <scheme val="minor"/>
      </rPr>
      <t xml:space="preserve">gas-fired fireplaces and direct heating equipment is listed and is installed in accordance with the NFPA 54, ICC IFGC, or the applicable local gas appliance installation code. Gas-fired fireplaces within dwelling units or sleeping units and direct heating equipment are vented to the outdoors. Alcohol burning devices and kerosene heaters are vented to the outdoors. </t>
    </r>
  </si>
  <si>
    <t xml:space="preserve">Factory-built, wood-burning fireplaces are in accordance with the certification requirements of UL 127 and are an EPA Phase 2 Emission Level Qualified Model. </t>
  </si>
  <si>
    <r>
      <t xml:space="preserve">11.901.12 Furniture and Furnishings. </t>
    </r>
    <r>
      <rPr>
        <sz val="10"/>
        <rFont val="Calibri"/>
        <family val="2"/>
        <scheme val="minor"/>
      </rPr>
      <t xml:space="preserve">In a multifamily building, all furniture in common areas shall have VOC emission levels in accordance with ANSI/BIFMA e3-Furniture Sustainability Standard sections 7.6.1 and 7.6.2, tested in accordance with ANSI/BIFMA Standard Method M7.1. Emission levels are determined by a laboratory accredited to ISO/IEC 17025 and the ANSI/BIFMA Standard Method M7.1 is in its scope of accreditation. Furniture and Furnishings are certified by a third-party program accredited to ISO 17065, such as, but not limited to, those in Appendix D. </t>
    </r>
  </si>
  <si>
    <t>11.901.16</t>
  </si>
  <si>
    <r>
      <t>11.901.16 Lead-safe work practices.</t>
    </r>
    <r>
      <rPr>
        <sz val="10"/>
        <color theme="1"/>
        <rFont val="Calibri"/>
        <family val="2"/>
        <scheme val="minor"/>
      </rPr>
      <t xml:space="preserve"> For buildings constructed before 1978, lead-safe work practices are used during the remodeling.</t>
    </r>
  </si>
  <si>
    <r>
      <t>11.901.15 Non-smoking areas.</t>
    </r>
    <r>
      <rPr>
        <sz val="10"/>
        <color theme="1"/>
        <rFont val="Calibri"/>
        <family val="2"/>
        <scheme val="minor"/>
      </rPr>
      <t xml:space="preserve"> Environmental tobacco smoke is minimized by one or more of the following:</t>
    </r>
  </si>
  <si>
    <r>
      <t>11.901.14 Building entrance pollutants control.</t>
    </r>
    <r>
      <rPr>
        <sz val="10"/>
        <color theme="1"/>
        <rFont val="Calibri"/>
        <family val="2"/>
        <scheme val="minor"/>
      </rPr>
      <t xml:space="preserve"> Pollutants are controlled at all main building entrances by one of the following methods: </t>
    </r>
  </si>
  <si>
    <r>
      <t>11.901.13 Carbon monoxide (CO) alarms.</t>
    </r>
    <r>
      <rPr>
        <sz val="10"/>
        <color theme="1"/>
        <rFont val="Calibri"/>
        <family val="2"/>
        <scheme val="minor"/>
      </rPr>
      <t xml:space="preserve"> A carbon monoxide (CO) alarm is provided in accordance with the IRC Section R315.</t>
    </r>
  </si>
  <si>
    <t>901.16</t>
  </si>
  <si>
    <t>Operable windows, operable skylights, or sliding glass doors with a total area of at least 15 percent of the total conditioned floor area are provided.</t>
  </si>
  <si>
    <t>11.902.1.6</t>
  </si>
  <si>
    <r>
      <rPr>
        <b/>
        <sz val="10"/>
        <color theme="1"/>
        <rFont val="Calibri"/>
        <family val="2"/>
        <scheme val="minor"/>
      </rPr>
      <t>11.902.1.6 Ventilation for Multifamily Common Spaces.</t>
    </r>
    <r>
      <rPr>
        <sz val="10"/>
        <color theme="1"/>
        <rFont val="Calibri"/>
        <family val="2"/>
        <scheme val="minor"/>
      </rPr>
      <t xml:space="preserve"> Systems are implemented and are in accordance with the specifications of ASHRAE 62.1 and an explanation of the operation and importance of the ventilation system is included in 1002.1 and 1002.2 of NGBS.</t>
    </r>
  </si>
  <si>
    <t>902.1.6</t>
  </si>
  <si>
    <t xml:space="preserve">Ventilation air is preconditioned by a system not specified above </t>
  </si>
  <si>
    <r>
      <t>11.902.2.2</t>
    </r>
    <r>
      <rPr>
        <sz val="10"/>
        <color theme="1"/>
        <rFont val="Calibri"/>
        <family val="2"/>
        <scheme val="minor"/>
      </rPr>
      <t xml:space="preserve"> Ventilation airflow is tested to achieve the design fan airflow in accordance with ANSI/RESNET/ICC 380 and Section 11.902.2.1.  </t>
    </r>
  </si>
  <si>
    <t>11.902.2.5</t>
  </si>
  <si>
    <r>
      <t>11.902.2.5</t>
    </r>
    <r>
      <rPr>
        <sz val="10"/>
        <rFont val="Calibri"/>
        <family val="2"/>
        <scheme val="minor"/>
      </rPr>
      <t xml:space="preserve"> All HVAC filter locations are designed such that they are readily accessible to the occupant. </t>
    </r>
  </si>
  <si>
    <t>ICC IRC F</t>
  </si>
  <si>
    <t>11.902.3.2</t>
  </si>
  <si>
    <t xml:space="preserve">a passive radon system is installed </t>
  </si>
  <si>
    <t xml:space="preserve">an active radon system is installed </t>
  </si>
  <si>
    <t xml:space="preserve">a passive or active radon system is installed </t>
  </si>
  <si>
    <t>Testing is performed after the residence passes its airtightness test.</t>
  </si>
  <si>
    <t>Testing is performed after the radon control system installation is complete. If the system has an active fan, the residence shall be tested with the fan operating.</t>
  </si>
  <si>
    <t>Testing is performed at the lowest level within a dwelling unit which will be occupied, even if the space is not finished.</t>
  </si>
  <si>
    <t>Testing is not performed in a closet, hallway, stairway, laundry room, furnace room, kitchen, or bathroom.</t>
  </si>
  <si>
    <t>Testing is performed with a commercially available test kit or with a continuous radon monitor that can be calibrated. Testing shall be in accordance with the testing device manufacturer’s instructions.</t>
  </si>
  <si>
    <t>Testing shall be performed by the builder, a registered design professional, or an approved third party.</t>
  </si>
  <si>
    <t xml:space="preserve">Testing shall extend at least 48 hours or to the minimum specified by the manufacturer, which ever is longer. </t>
  </si>
  <si>
    <t>Written radon test results shall be provided by the test lab or testing party. Written test results shall be included with construction documents.</t>
  </si>
  <si>
    <t xml:space="preserve">An additional pre-paid test kit shall be provided for the homeowner to use when they choose. The test kit shall include mailing or emailing the results from the testing lab to the homeowner. </t>
  </si>
  <si>
    <t>Where the radon test result is 4 pCi/L or greater, the fan for the radon vent pipe shall be installed.</t>
  </si>
  <si>
    <t>11.902.3.1</t>
  </si>
  <si>
    <t>Exception:</t>
  </si>
  <si>
    <t>If HVAC systems are to be operated, during construction, all return grilles have a temporary MERV 8 or higher filter installed in a manner ensuring no leakage around the filter.</t>
  </si>
  <si>
    <t>11.904.3</t>
  </si>
  <si>
    <r>
      <t xml:space="preserve">11.904.3 Microbial growth &amp; moisture inspection and remediation. </t>
    </r>
    <r>
      <rPr>
        <sz val="10"/>
        <rFont val="Calibri"/>
        <family val="2"/>
        <scheme val="minor"/>
      </rPr>
      <t>A visual inspection is performed to confirm the following:</t>
    </r>
  </si>
  <si>
    <t xml:space="preserve">Verify that no visible signs of discoloration and microbial growth on ceilings, walls or floors, or other building assemblies Or If minor microbial growth is observed (less than within a total area of 25 square feet) in homes or multifamily buildings, reference EPA Document 402-K-02-003 (A Brief Guide to Mold, Moisture, and Your Home) for guidance on how to properly remediate the issue. If microbial growth is observed, on a larger scale in homes or multifamily buildings (greater than 25 sq ft), reference EPA document 402-k-01-001 (Mold Remediation in Schools and Commercial Buildings) for guidance on how to properly remediate the issue. </t>
  </si>
  <si>
    <t xml:space="preserve">Verify that there are no visible signs of water damage or pooling. If signs of water damage or pooling are observed, verify that the source of the leak has been repaired, and that damaged materials are either properly dried or replaced as needed. </t>
  </si>
  <si>
    <t>11.905.3</t>
  </si>
  <si>
    <r>
      <t>11.905.3 Enhanced air filtration.</t>
    </r>
    <r>
      <rPr>
        <sz val="10"/>
        <rFont val="Calibri"/>
        <family val="2"/>
        <scheme val="minor"/>
      </rPr>
      <t xml:space="preserve"> Meet all of the following. </t>
    </r>
  </si>
  <si>
    <t>Design for and install a secondary filter rack space for activated carbon filters.</t>
  </si>
  <si>
    <t>Provide the manufacturer’s recommended filter maintenance schedule to the homeowner or building manager.</t>
  </si>
  <si>
    <t>11.905.4</t>
  </si>
  <si>
    <r>
      <t>11.905.4 Sound barrier.</t>
    </r>
    <r>
      <rPr>
        <sz val="10"/>
        <rFont val="Calibri"/>
        <family val="2"/>
        <scheme val="minor"/>
      </rPr>
      <t xml:space="preserve"> Provide room-to-room privacy between bedrooms and adjacent living spaces within dwelling units or homes by achieving an articulation index (AI) between 0 and 0.15 per the criteria below. </t>
    </r>
  </si>
  <si>
    <t>11.905.5</t>
  </si>
  <si>
    <r>
      <t>11.905.5 Evaporative coil mold prevention.</t>
    </r>
    <r>
      <rPr>
        <sz val="10"/>
        <rFont val="Calibri"/>
        <family val="2"/>
        <scheme val="minor"/>
      </rPr>
      <t xml:space="preserve"> For buildings with a mechanical system for cooling, ultraviolet lamps are installed on the cooling coils and drain pans of the mechanical system supplies. Lamps produce ultraviolet radiation at a wavelength of 254 nm so as not to generate ozone. Lamps have ballasts housed in a NEMA-rated enclosure. </t>
    </r>
  </si>
  <si>
    <t>11.905.6</t>
  </si>
  <si>
    <r>
      <t>11.905.6 Isolation of areas to be remodeled.</t>
    </r>
    <r>
      <rPr>
        <sz val="10"/>
        <rFont val="Calibri"/>
        <family val="2"/>
        <scheme val="minor"/>
      </rPr>
      <t xml:space="preserve"> To protect unrenovated spaces, meet one of the following:</t>
    </r>
  </si>
  <si>
    <t>3 max</t>
  </si>
  <si>
    <t xml:space="preserve">Remodeled space is isolated from unrenovated space by masking of openings and hvac returns and providing strip doors. </t>
  </si>
  <si>
    <t xml:space="preserve">Remodeled space is isolated from unrenovated space by masking of openings and hvac returns, and providing strip doors and the space is negatively pressurized by ducting exhaust to the exterior. </t>
  </si>
  <si>
    <t xml:space="preserve">Remodeled space is isolated from unrenovated space by masking of openings and hvac returns, and providing strip doors and a dedicated HEPA filtration system is installed. </t>
  </si>
  <si>
    <t>905.3</t>
  </si>
  <si>
    <t>905.4</t>
  </si>
  <si>
    <t>905.5</t>
  </si>
  <si>
    <t>905.6</t>
  </si>
  <si>
    <t>Whole-dwelling mechanical ventilation systems</t>
  </si>
  <si>
    <t>A maintenance plan for active recreation and play spaces (e.g., playgrounds, ground markings, exercise equipment.</t>
  </si>
  <si>
    <t>Whole-dwelling mechanical ventilation system</t>
  </si>
  <si>
    <t>11.1002.5</t>
  </si>
  <si>
    <r>
      <t>11.1002.5 Multifamily occupant manual.</t>
    </r>
    <r>
      <rPr>
        <sz val="10"/>
        <rFont val="Calibri"/>
        <family val="2"/>
        <scheme val="minor"/>
      </rPr>
      <t xml:space="preserve"> An occupant manual is compiled and distributed in accordance with Section 1002.0. </t>
    </r>
    <r>
      <rPr>
        <i/>
        <sz val="10"/>
        <rFont val="Calibri"/>
        <family val="2"/>
        <scheme val="minor"/>
      </rPr>
      <t xml:space="preserve">[Points awarded for non-mandatory items.] </t>
    </r>
  </si>
  <si>
    <t xml:space="preserve">NGBS certificate </t>
  </si>
  <si>
    <t xml:space="preserve">List of green building features </t>
  </si>
  <si>
    <t xml:space="preserve">Operations manuals for all appliances and occupant operated equipment including lighting and ventilation controls, thermostats, etc. </t>
  </si>
  <si>
    <t>Information on recycling and composting programs</t>
  </si>
  <si>
    <t>Information on purchasing renewable energy from utility</t>
  </si>
  <si>
    <t>Information on energy efficient replacement lamps</t>
  </si>
  <si>
    <t>List of practices to save water and energy</t>
  </si>
  <si>
    <t>Local public transportation options</t>
  </si>
  <si>
    <t>Explanation of benefits of green cleaning</t>
  </si>
  <si>
    <t>11.1002.6</t>
  </si>
  <si>
    <r>
      <t>11.1002.6 Training of multifamily occupants.</t>
    </r>
    <r>
      <rPr>
        <sz val="10"/>
        <rFont val="Calibri"/>
        <family val="2"/>
        <scheme val="minor"/>
      </rPr>
      <t xml:space="preserve"> Prepare a training outline, video or website that familiarizes occupants with their role in maintaining the green goals of the project. Include all equipment that the occupant(s) is expected to operate including but not limited. </t>
    </r>
  </si>
  <si>
    <t>Lighting controls</t>
  </si>
  <si>
    <t>Ventilation controls</t>
  </si>
  <si>
    <t>Thermostat operation and programming</t>
  </si>
  <si>
    <t>Appliances operation</t>
  </si>
  <si>
    <t>Recycling and composting</t>
  </si>
  <si>
    <t>Water heater setting and hot water use</t>
  </si>
  <si>
    <t>1002.5</t>
  </si>
  <si>
    <t>1002.6</t>
  </si>
  <si>
    <t>1 per 2 items</t>
  </si>
  <si>
    <t>11.1005.1</t>
  </si>
  <si>
    <r>
      <t xml:space="preserve">11.1005.1 Appraisals. </t>
    </r>
    <r>
      <rPr>
        <sz val="10"/>
        <rFont val="Calibri"/>
        <family val="2"/>
        <scheme val="minor"/>
      </rPr>
      <t>One or more of the following is implemented:</t>
    </r>
  </si>
  <si>
    <t xml:space="preserve">Energy rating or projected usage data is posted in an appropriate location in the home, or public posting so that an appraiser can access the energy data for an energy efficiency property valuation. </t>
  </si>
  <si>
    <t xml:space="preserve">An Appraisal Institute Form 820.05 “Residential Green and Energy Addendum” or Form 821 “Commercial Green and energy Efficient Addendum” that consider NGBS, LEED, ENERGY STAR certifications and equivalent programs, is completed for the appraiser by a qualified professional or builder to use in performing the valuation of the property. </t>
  </si>
  <si>
    <t xml:space="preserve">NGBS certification information or one of the Appraisal Institute Forms cited in (2) above is uploaded to a multiple listing service (MLS) or equivalent database so that appraisers can access it to compare property valuations. </t>
  </si>
  <si>
    <t>11.1005 INNOVATIVE PRACTICES</t>
  </si>
  <si>
    <t>Home Innovation makes key certification details available, but MLS organizations need to take affirmative action to ensure data is received and made publicly available. Contact us for more details.</t>
  </si>
  <si>
    <r>
      <t xml:space="preserve">11.901.1.4 </t>
    </r>
    <r>
      <rPr>
        <sz val="10"/>
        <color theme="1"/>
        <rFont val="Calibri"/>
        <family val="2"/>
        <scheme val="minor"/>
      </rPr>
      <t xml:space="preserve">Newly installed gas-fired fireplaces and direct heating equipment is listed and is installed in accordance with the NFPA 54, ICC IFGC, or the applicable local gas appliance installation code. Gas-fired fireplaces within dwelling units or sleeping units and direct heating equipment are vented to the outdoors. Alcohol burning devices and kerosene heaters are vented to the outdoors. </t>
    </r>
  </si>
  <si>
    <r>
      <t>11.902.2.2</t>
    </r>
    <r>
      <rPr>
        <sz val="10"/>
        <color theme="1"/>
        <rFont val="Calibri"/>
        <family val="2"/>
        <scheme val="minor"/>
      </rPr>
      <t xml:space="preserve"> Ventilation airflow is tested to achieve the design fan airflow in accordance with ANSI/RESNET/ICC 380 and Section 11.902.2.1.</t>
    </r>
  </si>
  <si>
    <t>902.2.5</t>
  </si>
  <si>
    <t>902.3.1</t>
  </si>
  <si>
    <t>902.3.2</t>
  </si>
  <si>
    <t>904.3</t>
  </si>
  <si>
    <t>1005</t>
  </si>
  <si>
    <t>6</t>
  </si>
  <si>
    <t>back to 11.703.2.1</t>
  </si>
  <si>
    <t>back to 11.703.2.2</t>
  </si>
  <si>
    <t>back to 11.703.2.4</t>
  </si>
  <si>
    <t>back to 11.703.2.5.2</t>
  </si>
  <si>
    <t>back to 11.703.7.1(7)</t>
  </si>
  <si>
    <r>
      <t xml:space="preserve">Table </t>
    </r>
    <r>
      <rPr>
        <b/>
        <sz val="9"/>
        <color rgb="FF000000"/>
        <rFont val="Calibri"/>
        <family val="2"/>
        <scheme val="minor"/>
      </rPr>
      <t>11.802.1(1)</t>
    </r>
  </si>
  <si>
    <r>
      <t xml:space="preserve">Table </t>
    </r>
    <r>
      <rPr>
        <b/>
        <sz val="9"/>
        <color rgb="FF000000"/>
        <rFont val="Calibri"/>
        <family val="2"/>
        <scheme val="minor"/>
      </rPr>
      <t>11.802.1(2)</t>
    </r>
  </si>
  <si>
    <t>Energy Reduction:</t>
  </si>
  <si>
    <t>Building cannot have been constructed in the last 5 years.</t>
  </si>
  <si>
    <t>Energy Baseline Year:</t>
  </si>
  <si>
    <t>Water Baseline Year:</t>
  </si>
  <si>
    <t>dstEnergyBLYear</t>
  </si>
  <si>
    <t>dstWaterBLYear</t>
  </si>
  <si>
    <t>When pursuing the performance pathways for energy and water efficiency calculations, baselines can be calculated based on data and building systems that existed in the building up to 3 years prior to project registration.</t>
  </si>
  <si>
    <t xml:space="preserve">Project Description: </t>
  </si>
  <si>
    <t>Describe overall project, including building characteristics, project timeline, and key renovation efforts.</t>
  </si>
  <si>
    <t>2015 IECC</t>
  </si>
  <si>
    <t>2018 IECC</t>
  </si>
  <si>
    <t>2015 IRC</t>
  </si>
  <si>
    <t>2018 IRC</t>
  </si>
  <si>
    <t>Selected Energy Compliance Path:</t>
  </si>
  <si>
    <t>Selected Water Compliance Path:</t>
  </si>
  <si>
    <t>dstEnergyPath</t>
  </si>
  <si>
    <t>dstWaterPath</t>
  </si>
  <si>
    <t>ddEnergyPath</t>
  </si>
  <si>
    <t>ddWaterPath</t>
  </si>
  <si>
    <t>Performance</t>
  </si>
  <si>
    <t>Prescriptive</t>
  </si>
  <si>
    <t>verEnergyPath</t>
  </si>
  <si>
    <t>verWaterPath</t>
  </si>
  <si>
    <t>verEnergyBLYear</t>
  </si>
  <si>
    <t>verWaterBLYear</t>
  </si>
  <si>
    <t>Primary Heating Fuel:</t>
  </si>
  <si>
    <t>Testing specifications. Testing is performance as specified in (a) through (j). Testing of
a representative sample shall be permitted for multifamily buildings only.</t>
  </si>
  <si>
    <t>• A batch can either consist of single-family homes or multifamily buildings; however, only NGBS Green Master Verifiers can batch multifamily.</t>
  </si>
  <si>
    <t>• A batch can consist of 2-20 buildings.</t>
  </si>
  <si>
    <t xml:space="preserve">• Batch submission is at the discretion of the verifier. A building can be removed from a batch at any time and submitted separately. Except for buildings that are removed for individual report submission, buildings should be grouped within the same batch for both rough and/or final submissions. </t>
  </si>
  <si>
    <t>• All buildings within a batch must be built by the same builder.</t>
  </si>
  <si>
    <t>• Single-family homes must be located within the same community. Multifamily buildings must be within the same registered project.</t>
  </si>
  <si>
    <t>• All buildings must have substantially the same construction type and the same heating and cooling systems.</t>
  </si>
  <si>
    <t xml:space="preserve">• The standard inspection notification process must be followed for each building.	</t>
  </si>
  <si>
    <t>• All inspections of the same type (rough or final) must be completed before submitting the report. All buildings must be inspected, and the inspection dates need to be included for each address.</t>
  </si>
  <si>
    <t>• All buildings within a batch listed earn the same certification level. Mandatory practices and points are only awarded for items that all buildings meet. Where applicable, the energy efficiency report for the worst-case in the batch must be submitted and values entered within the verification report.</t>
  </si>
  <si>
    <t xml:space="preserve">• Photos for each building are to be submitted, each titled with their respective Project ID.	</t>
  </si>
  <si>
    <t>See Table 305.2.6.1</t>
  </si>
  <si>
    <t>Where a building can demonstrate through documentation approved by the Adopting Entity that the remodel activities started prior to project registration, the water baseline (consumption before remodel) shall be calculated based on data and building systems that existed in the building up to 3 years prior to project registration.</t>
  </si>
  <si>
    <r>
      <t>11.801.1 Mandatory requirements.</t>
    </r>
    <r>
      <rPr>
        <sz val="10"/>
        <rFont val="Calibri"/>
        <family val="2"/>
        <scheme val="minor"/>
      </rPr>
      <t xml:space="preserve"> The building shall comply with Section 11.802 (Prescriptive Path) and 11.803 (Innovative Practices) or Section 305.2.6.1 (Performance Path). Points from Section 305.2.6.1 (Performance Path) shall not be combined with points from Section 11.802 (Prescriptive Path) or Section 11.803 (Innovative Practices). The mandatory provisions of Section 11.802 (Prescriptive Path) are required when using Section 305.2.6.1 (Performance Path) for Chapter 11.8 Water Efficiency compliance.</t>
    </r>
  </si>
  <si>
    <t xml:space="preserve">Energy Reduction: </t>
  </si>
  <si>
    <t>See Table 305.2.5.1</t>
  </si>
  <si>
    <t>If a building can demonstrate through documentation approved by the Adopting Entity that the remodel activities started prior to project registration, the energy baseline (consumption per square foot before remodel) can be calculated based on data and building systems that was existing in the building up to 3 years prior to project registration.</t>
  </si>
  <si>
    <t xml:space="preserve">Water Reduction: </t>
  </si>
  <si>
    <t>other points:</t>
  </si>
  <si>
    <t>temp points:</t>
  </si>
  <si>
    <t>Points Reduced</t>
  </si>
  <si>
    <t>reduced:</t>
  </si>
  <si>
    <t>Batch Submission:</t>
  </si>
  <si>
    <t>dstBatch</t>
  </si>
  <si>
    <t>Enter on Rough Signature page</t>
  </si>
  <si>
    <t>Verifier to email this Excel Workbook, photo and scan and email signature page to VerificationReport@homeinnovation.com 
Where applicable, please submit a copy of the energy performance report per the Energy Modeling Policy.</t>
  </si>
  <si>
    <t>floors:</t>
  </si>
  <si>
    <t>from overview:</t>
  </si>
  <si>
    <t>2 Practices from 11.705 required</t>
  </si>
  <si>
    <t>DNext</t>
  </si>
  <si>
    <t>VNext</t>
  </si>
  <si>
    <t>ELR:</t>
  </si>
  <si>
    <t>2009 IBC</t>
  </si>
  <si>
    <t>2012 IBC</t>
  </si>
  <si>
    <t>2015 IBC</t>
  </si>
  <si>
    <t>2018 IBC</t>
  </si>
  <si>
    <t>ddBuildingCodeMF</t>
  </si>
  <si>
    <t>11.611 PRODUCT DECLARATIONS</t>
  </si>
  <si>
    <t>ICC IRC F plus fan</t>
  </si>
  <si>
    <t>© Home Innovation Research Labs, Inc., 2020. All rights reserved.</t>
  </si>
  <si>
    <r>
      <t>11.503.3</t>
    </r>
    <r>
      <rPr>
        <sz val="10"/>
        <color theme="1"/>
        <rFont val="Calibri"/>
        <family val="2"/>
        <scheme val="minor"/>
      </rPr>
      <t xml:space="preserve"> </t>
    </r>
    <r>
      <rPr>
        <b/>
        <sz val="10"/>
        <color theme="1"/>
        <rFont val="Calibri"/>
        <family val="2"/>
        <scheme val="minor"/>
      </rPr>
      <t>Soil disturbance and erosion.</t>
    </r>
    <r>
      <rPr>
        <sz val="10"/>
        <color theme="1"/>
        <rFont val="Calibri"/>
        <family val="2"/>
        <scheme val="minor"/>
      </rPr>
      <t xml:space="preserve"> Soil disturbance and erosion are minimized by one or more of the following: (also see § 11.504.3)</t>
    </r>
  </si>
  <si>
    <t>CFM50 = cubic feet per minute at 50 Pa</t>
  </si>
  <si>
    <t>Exception: For Sun-tempered designs meeting the requirements of § 703.7.1, the SHGC is permitted to be 0.40 or higher on south facing glass.</t>
  </si>
  <si>
    <t>902.3.1.1</t>
  </si>
  <si>
    <t>902.3.1.2</t>
  </si>
  <si>
    <t>902.3.1.3</t>
  </si>
  <si>
    <t>902.3.1.4</t>
  </si>
  <si>
    <t>902.3.1.5</t>
  </si>
  <si>
    <t>902.3.1.6</t>
  </si>
  <si>
    <t>902.3.1.7</t>
  </si>
  <si>
    <t>11.902.3.1.7</t>
  </si>
  <si>
    <t>11.902.3.1.6</t>
  </si>
  <si>
    <t>11.902.3.1.5</t>
  </si>
  <si>
    <t>11.902.3.1.4</t>
  </si>
  <si>
    <t>11.902.3.1.3</t>
  </si>
  <si>
    <t>11.902.3.1.2</t>
  </si>
  <si>
    <t>11.902.3.1.1</t>
  </si>
  <si>
    <r>
      <t>11.902.3.1 Radon reduction option.</t>
    </r>
    <r>
      <rPr>
        <sz val="10"/>
        <rFont val="Calibri"/>
        <family val="2"/>
        <scheme val="minor"/>
      </rPr>
      <t xml:space="preserve"> This option requires section 11.902.3.1.1 through 11.902.3.1.7.</t>
    </r>
  </si>
  <si>
    <r>
      <t>11.902.3.1.1 Soil-gas barriers and base course.</t>
    </r>
    <r>
      <rPr>
        <sz val="10"/>
        <rFont val="Calibri"/>
        <family val="2"/>
        <scheme val="minor"/>
      </rPr>
      <t xml:space="preserve"> A base course in accordance with Section 506.2.2 of the IRC shall be installed below slabs and foundations. There shall be a continuous gas-permeable base course under each soil-gas retarder that is separated by foundation walls or footings. Between slabs and the base course, damp proofing or water proofing shall be installed in accordance with Section 406 of the IRC. Punctures, tears and gaps around penetrations of the soil-gas retarder shall be repaired or covered with an additional soil-gas retarder. The soil-gas retarder shall be a continuous6-mil (0.15 mm) polyethylene or an approved equivalent.</t>
    </r>
  </si>
  <si>
    <r>
      <t>11.902.3.1.2 Soil gas collection.</t>
    </r>
    <r>
      <rPr>
        <sz val="10"/>
        <rFont val="Calibri"/>
        <family val="2"/>
        <scheme val="minor"/>
      </rPr>
      <t xml:space="preserve"> There shall be an unobstructed path for soil gas flow between the void space installed in the base course and the vent through the roof. Soil gases below the foundation shall be collected by a perforated pipe with a diameter of not less than 4 inches (10 cm) and not less than 5 feet (1.5 m) in total length. A tee fitting or equivalent method shall provide two horizontal openings to the radon collection. The tee fitting shall be designed to prevent clogging of the radon collection path. Alternately the soil gas collection shall be by approved radon collection mats or an equivalent approved method.</t>
    </r>
  </si>
  <si>
    <r>
      <t>11.902.3.1.3 Soil gas entry routes.</t>
    </r>
    <r>
      <rPr>
        <sz val="10"/>
        <rFont val="Calibri"/>
        <family val="2"/>
        <scheme val="minor"/>
      </rPr>
      <t xml:space="preserve"> Openings in slabs, soil-gas retarders, and joints such as, but not limited to, plumbing, ground water control systems, soil-gas vent pipes, piping and structural supports, shall be sealed against air leakage at the penetrations. The sealant shall be a polyurethane caulk, expanding foam or other approved method. Foundation walls shall comply with Section 103.2.3 of the IRC. Sumps shall be sealed in accordance with Section 103.2.2 of the IRC. Sump pits and sump lids intended for ground water control shall not be connected to the sub-slab soil-gas exhaust system.</t>
    </r>
  </si>
  <si>
    <r>
      <t>11.902.3.1.4 Soil gas vent.</t>
    </r>
    <r>
      <rPr>
        <sz val="10"/>
        <rFont val="Calibri"/>
        <family val="2"/>
        <scheme val="minor"/>
      </rPr>
      <t xml:space="preserve"> A gas-tight pipe vent shall extend from the soil gas permeable layer though the roof. The vent pipe size shall not be reduced at any location as it goes from gas collection to the roof. Exposed and visible interior vent pipes shall be identified with not less than one label reading “Radon Reduction System” on each floor and in habitable attics.</t>
    </r>
  </si>
  <si>
    <r>
      <t>11.902.3.1.5 Vent pipe diameter.</t>
    </r>
    <r>
      <rPr>
        <sz val="10"/>
        <rFont val="Calibri"/>
        <family val="2"/>
        <scheme val="minor"/>
      </rPr>
      <t xml:space="preserve"> The minimum vent pipe diameter shall be as specified in Table 11.902.3.1.5.</t>
    </r>
  </si>
  <si>
    <r>
      <t>11.902.3.1.6 Multiple vented areas.</t>
    </r>
    <r>
      <rPr>
        <sz val="10"/>
        <rFont val="Calibri"/>
        <family val="2"/>
        <scheme val="minor"/>
      </rPr>
      <t xml:space="preserve"> In dwellings where interior footings or other barriers separate the soil-gas permeable layer, each area shall be fitted with an individual vent pipe. Vent pipes shall connect to a single vent that terminates above the roof or each individual vent pipe shall terminate separately above the roof.</t>
    </r>
  </si>
  <si>
    <r>
      <t>11.902.3.1.7 Fan.</t>
    </r>
    <r>
      <rPr>
        <sz val="10"/>
        <rFont val="Calibri"/>
        <family val="2"/>
        <scheme val="minor"/>
      </rPr>
      <t xml:space="preserve"> Each sub-slab soil-gas exhaust system shall include a fan, or dedicated space for the post-construction installation of a fan. The electrical supply for the fan shall be located within 6 feet (1.8 m) of the fan. Fan is not required to be on a dedicated circuit.</t>
    </r>
  </si>
  <si>
    <r>
      <t>11.902.3.2 Radon testing.</t>
    </r>
    <r>
      <rPr>
        <sz val="10"/>
        <rFont val="Calibri"/>
        <family val="2"/>
        <scheme val="minor"/>
      </rPr>
      <t xml:space="preserve"> Radon testing is mandatory for Zone 1.
</t>
    </r>
    <r>
      <rPr>
        <b/>
        <sz val="10"/>
        <rFont val="Calibri"/>
        <family val="2"/>
        <scheme val="minor"/>
      </rPr>
      <t>Exceptions:</t>
    </r>
    <r>
      <rPr>
        <sz val="10"/>
        <rFont val="Calibri"/>
        <family val="2"/>
        <scheme val="minor"/>
      </rPr>
      <t xml:space="preserve">
(2) Testing is not mandatory where the occupied space is located above an unenclosed open space.</t>
    </r>
  </si>
  <si>
    <t xml:space="preserve">Testing results. A radon test done in accordance with 11.902.3 and completed before occupancy receives a results of 2 pCi/L or less. </t>
  </si>
  <si>
    <r>
      <t>11.902.3 Radon reduction measures.</t>
    </r>
    <r>
      <rPr>
        <sz val="10"/>
        <rFont val="Calibri"/>
        <family val="2"/>
        <scheme val="minor"/>
      </rPr>
      <t xml:space="preserve"> Radon reduction measures are in accordance with IRC Appendix F or § 11.902.3.1. Radon Zones as identified by the AHJ or, if the zone is not identified by the AHJ, as defined in Figure 9(1). This practice is not mandatory if the existing building has been tested for radon and is accordance with federal and local acceptable limits.</t>
    </r>
  </si>
  <si>
    <t>For a component to comply with this practice, a minimum of 75 percent of all products in that component category must be sourced regionally, e.g., stone veneer category – 75 percent or more of the stone veneer on a project must be sourced regionally.</t>
  </si>
  <si>
    <t>Major component</t>
  </si>
  <si>
    <t>Minor component</t>
  </si>
  <si>
    <t>2 per each component</t>
  </si>
  <si>
    <t>1 per each component</t>
  </si>
  <si>
    <t>Points shall not be awarded in this section for solar thermal or geothermal systems that provide space heating, space cooling, or water heating, points for these systems are awarded in § 11.703. Points awarded in this section shall not be combined with points for renewable energy in another section of this chapter. The solar-ready zone roof area in #1 is area per dwelling unit. Points in item #2 and #3 shall be divided by the number of dwelling units.</t>
  </si>
  <si>
    <t>[per 11.802.1(1)]</t>
  </si>
  <si>
    <t>[per 11.802.1(2)]</t>
  </si>
  <si>
    <t>[per 11.802.1(3)]</t>
  </si>
  <si>
    <t>[per 11.802.1(4)]</t>
  </si>
  <si>
    <r>
      <t>a.</t>
    </r>
    <r>
      <rPr>
        <sz val="7"/>
        <color theme="1"/>
        <rFont val="Times New Roman"/>
        <family val="1"/>
      </rPr>
      <t xml:space="preserve">   </t>
    </r>
    <r>
      <rPr>
        <sz val="8"/>
        <color theme="1"/>
        <rFont val="Calibri"/>
        <family val="2"/>
      </rPr>
      <t>Maximum pipe length figures apply when the entire pipe run is one nominal diameter only. Where multiple pipe diameters are used, the combined volume shall not exceed the volume limitation in § 11.802.1.</t>
    </r>
  </si>
  <si>
    <t>1 SF / 4 MF</t>
  </si>
  <si>
    <t>Articulation Index 0 to 0.05 = STC greater than 55 (NIC greater than 47)</t>
  </si>
  <si>
    <t>Articulation Index 0.05 to 0.15 = STC 52 to 55 (NIC 44 to 47)</t>
  </si>
  <si>
    <t>NOTE: Identify the LCA tool utilized and the person who completed the analysis.</t>
  </si>
  <si>
    <t>This tool follows 3 distinct phases: the Design phase, Rough Verification, and Final Verification.
While the Design Phase is not required to earn certification, it is helpful in the overall process.
Two Verification phases ARE required, with one occurring following rough-in and the second occurring after construction is complete.</t>
  </si>
  <si>
    <t>A readily accessible space(s) for recyclable material containers is provided and identified on the floorplan of the house or dwelling unitor a readily accessible area(s) outside the living space is provided for recyclable material containers and identified on the site plan for the house or building. The area outside the living space shall accommodate recycling bin(s) for recyclable materials accepted in local recycling programs</t>
  </si>
  <si>
    <t>Joints of framing members at rim joists.</t>
  </si>
  <si>
    <t xml:space="preserve">    ductwork entirely inside the building's thermal envelope</t>
  </si>
  <si>
    <t xml:space="preserve">dishwasher </t>
  </si>
  <si>
    <r>
      <t xml:space="preserve">A water closet is installed with an effective flush volume of 1.28 gallons (4.85 L) or less in accordance with ASME A112.19.2/CSA B45.1 or ASME A112.19.14 as applicable. Tank-type water closets shall be in accordance with the performance criteria of the U.S. EPA WaterSense Specification for Tank-Type Toilets 
</t>
    </r>
    <r>
      <rPr>
        <i/>
        <sz val="10"/>
        <rFont val="Calibri"/>
        <family val="2"/>
        <scheme val="minor"/>
      </rPr>
      <t>[Points awarded per fixture. In multifamily buildings, the average of the points assigned to individual dwelling units or sleeping units may be used as the number of points awarded for this practice, rounded to the nearest whole number.]</t>
    </r>
  </si>
  <si>
    <t>I have personally verified by inspection and/or document review the green practices for which I have awarded points during this rough inspection on this building following the guidance in the Verifier Agreement and Verifiers Resource Guide.  My company is not supplying product, participating in the physical construction of this project, or affiliated in any other way that would compromise the independence of my verification services.</t>
  </si>
  <si>
    <r>
      <t xml:space="preserve">11.703.1.1 Building thermal envelope compliance. </t>
    </r>
    <r>
      <rPr>
        <sz val="10"/>
        <rFont val="Calibri"/>
        <family val="2"/>
        <scheme val="minor"/>
      </rPr>
      <t>The building thermal envelope is in compliance with Section 11.703.1.1.1 or 11.703.1.1.2.</t>
    </r>
  </si>
  <si>
    <t>11.613 RESILIENT CONSTRUCTION</t>
  </si>
  <si>
    <t>613</t>
  </si>
  <si>
    <t>No affected areas:</t>
  </si>
  <si>
    <t>See Table 11.703.2.5.1</t>
  </si>
  <si>
    <t>back to 11.700</t>
  </si>
  <si>
    <t xml:space="preserve">    UEF: 0.65 to &lt;0.78</t>
  </si>
  <si>
    <t xml:space="preserve">    UEF: ≥0.78</t>
  </si>
  <si>
    <t xml:space="preserve">    UEF: 0.89 to &lt; 0.94</t>
  </si>
  <si>
    <t xml:space="preserve">    UEF: ≥0.94</t>
  </si>
  <si>
    <t xml:space="preserve">    UEF: 0.94 to &lt;1.0</t>
  </si>
  <si>
    <t xml:space="preserve">    UEF: 1.0 to &lt;1.5</t>
  </si>
  <si>
    <t xml:space="preserve">    UEF: 1.5 to &lt;2.0</t>
  </si>
  <si>
    <t xml:space="preserve">    UEF: 2.0 to &lt;2.2</t>
  </si>
  <si>
    <t xml:space="preserve">    UEF: 2.2 to &lt;2.5</t>
  </si>
  <si>
    <t xml:space="preserve">    UEF: 2.5 to &lt;3.0</t>
  </si>
  <si>
    <t xml:space="preserve">    UEF: ≥3.0</t>
  </si>
  <si>
    <t xml:space="preserve">    UEF: 3.0 to &lt;3.5</t>
  </si>
  <si>
    <t xml:space="preserve">    UEF: ≥3.5</t>
  </si>
  <si>
    <t>Sys. Design Flow Rate:</t>
  </si>
  <si>
    <t>Building Leakage:</t>
  </si>
  <si>
    <t>Leakage greater than 6% of design</t>
  </si>
  <si>
    <t>%:</t>
  </si>
  <si>
    <t>Majority Unconditioned</t>
  </si>
  <si>
    <t xml:space="preserve">NGBS Green is a site-verified certification. All homes or buildings seeking certification must undergo visually inspection and testing by an accredited NGBS Green Verifier. Each building typically has two inspections—a rough inspection before drywall is installed and another once construction has been completed. Some practices will require site inspection, while others require a combination of site inspection and documentation or testing by a qualified professional. Documents, plans, and specifications are required for verification. See below for the documentation that the verifier will need to award points toward certification. </t>
  </si>
  <si>
    <t>Map showing location of transportation relative to the building on the lot.</t>
  </si>
  <si>
    <t>Map showing distance is based driving from the lot and not from the community entrance.</t>
  </si>
  <si>
    <t>Map or approved site plan showing location of committed community resources relative to lot.</t>
  </si>
  <si>
    <t>Documentation: Go to EPA Points for Smart Location Practices. Click OPEN IN MAP VIEWER box in upper right. Enter home address for property seeking certification search box in upper right. Make sure LEGEND button clicked on left side. Use Legend to determine points based on color of the address on map.</t>
  </si>
  <si>
    <t>Site plan showing location of designated bicycle parking and racks.</t>
  </si>
  <si>
    <t>Map that shows bike sharing docks are within ½ mile from site OR confirmation that dockless bikes are available to residents. If the latter, please confirm that the dockless bikes are not merely a pilot that might not be continued in the future. Access to scooters are an acceptable alternative to bike sharing.</t>
  </si>
  <si>
    <t>Site plan showing location of car-share services and/or shuttle and possibly contracts or commitment from car sharing companies.</t>
  </si>
  <si>
    <t>Written project mission statement, goals, and specific team member roles identified. Points can be awarded if the developer of the community establishes a team for this purpose with identified roles and written goals, objectives, and a mission statement, and the covenants for homes built in the community support the mission. 
Verify mission statement includes goals and team member roles. When applicable, it must be subdivision or lot specific. The mission statement may include other green objectives such as energy, but it must include lot design objectives. For lots without environmentally sensitive areas, if a project team is established with identified roles and a written goals, objective, and mission statement, and the building covenants in the community support the mission, points may be awarded.</t>
  </si>
  <si>
    <t>Natural resource inventory signed by qualified professional.</t>
  </si>
  <si>
    <t>Written conservation plan that includes the lot. There must be high priority resources on the lot or in the development. Examples of high priority resources include trees, waterways, snags, micro-habitats, etc.</t>
  </si>
  <si>
    <t>Evidence of site supervisor training. Review builder’s standard written training program and/or training certificate.</t>
  </si>
  <si>
    <t xml:space="preserve">Review plan for compliance. </t>
  </si>
  <si>
    <t>Hydrological study report applicable to the lot and statement that the intent of the requirement has been met.</t>
  </si>
  <si>
    <t>Report from qualified professional stating intent of the requirement has been met through the site plan.</t>
  </si>
  <si>
    <t>Construction schedule. Verify that schedule limited soil exposure to 14-day EPA guideline or less. Verify visually that the state of the lot is consistent with the schedule. Un-stabilized soil exposure should be limited to 14 days or less if that area will not be further disturbed during a 21-day period. The construction schedule must include specific activities at specific stages to address stabilization.</t>
  </si>
  <si>
    <t>Plans &amp; scopes of work showing alternative means used.</t>
  </si>
  <si>
    <r>
      <rPr>
        <sz val="10"/>
        <rFont val="Calibri"/>
        <family val="2"/>
        <scheme val="minor"/>
      </rPr>
      <t>Hydrologic study report verifying the intent of the requirement has been met</t>
    </r>
    <r>
      <rPr>
        <b/>
        <sz val="10"/>
        <rFont val="Calibri"/>
        <family val="2"/>
        <scheme val="minor"/>
      </rPr>
      <t>.</t>
    </r>
  </si>
  <si>
    <t>Engineer's report showing storm event for which points are claimed will not result in rainwater leaving the lot</t>
  </si>
  <si>
    <t>Lot specific plan by qualified landscape professional for any of these sub practices.</t>
  </si>
  <si>
    <t>The tool, available both online and as a Microsoft Excel spreadsheet format on the WaterSense website (https://www.epa.gov/watersense/water-budget-tool), guides the user through the water budget calculation in three parts. The final part of the tool displays the water allowance and water requirement calculated for the designed landscape. The LWR must be less than the allotted amount for the landscape design to meet the criterion in the specification.</t>
  </si>
  <si>
    <t>Confirm that turf planted is compliant. List of TWCA grasses is available here (https://www.tgwca.org/list-of-qualified-products.html).</t>
  </si>
  <si>
    <t xml:space="preserve">Calculation showing % of lot (minus building footprint &amp; hardscape) that is turf. </t>
  </si>
  <si>
    <t>Landscape plan by qualified landscape professional showing plants and their respective watering needs.</t>
  </si>
  <si>
    <t>Landscape plan by qualified landscape professional. The wind breaks are intended to protect the lot.</t>
  </si>
  <si>
    <t>Pest management plan.</t>
  </si>
  <si>
    <t xml:space="preserve">Lot specific plan showing no sensitive areas. </t>
  </si>
  <si>
    <t xml:space="preserve">Lot specific plan showing original location of sensitive areas. Plan by qualified professional showing appropriate mitigation or restoration steps. </t>
  </si>
  <si>
    <t>Review list of practices implemented from 11.503.3.</t>
  </si>
  <si>
    <t>Review landscape plan to determine which trees and vegetation are designation for preservation.</t>
  </si>
  <si>
    <t xml:space="preserve">Landscape plan. </t>
  </si>
  <si>
    <t xml:space="preserve">Invoice or other evidence from qualified arborist. </t>
  </si>
  <si>
    <t>Storm water pollution prevention plan.</t>
  </si>
  <si>
    <t xml:space="preserve">None. </t>
  </si>
  <si>
    <t xml:space="preserve">As-built construction schedule. </t>
  </si>
  <si>
    <t xml:space="preserve">Invoice or evidence from landscape contractor. </t>
  </si>
  <si>
    <t xml:space="preserve">Plans and scope of work showing alternative means used. </t>
  </si>
  <si>
    <t>Document with local regulations.</t>
  </si>
  <si>
    <t>Calculation showing percent of hardscape on the lot included in heat island minimization. Manufacturer’s literature with SRI data.</t>
  </si>
  <si>
    <t>Manufacture’s literature regarding vegetated roof product and/or SRI data.</t>
  </si>
  <si>
    <t xml:space="preserve">Site and/or landscape plan. For (b) verify operation months for any farmers market and/or farm stand. </t>
  </si>
  <si>
    <t>Plan specs. These points are only available for multifamily.</t>
  </si>
  <si>
    <t xml:space="preserve">Intersection Density = Total number of intersections, including dead ends / Area in square miles. </t>
  </si>
  <si>
    <t>Plan specs showing signage.</t>
  </si>
  <si>
    <t>Manufacturer's literature confirming capacity, storage, and grid-interaction.</t>
  </si>
  <si>
    <t>Plans review.</t>
  </si>
  <si>
    <t>Detailed framing or structural plans, material quantity lists and on-site cut lists for framing, structural materials, and sheathing materials are provided.</t>
  </si>
  <si>
    <t>Plans showing exterior drain tile for foundation, if applicable. Photo(s) showing installation.</t>
  </si>
  <si>
    <t>Hygrothermal analysis, such as WUFI.</t>
  </si>
  <si>
    <t>Plans, specification, or scope of work showing WRB or drainage plane.</t>
  </si>
  <si>
    <t>Plans/construction documents showing flashing details at all required locations.</t>
  </si>
  <si>
    <t xml:space="preserve">Manufacturer’s literature/specification/labeling showing ASTM compliance. Plans/specifications and scope of work showing installation. </t>
  </si>
  <si>
    <t>Plans showing ice barrier.</t>
  </si>
  <si>
    <t>Manufacturer’s literature demonstrating compliance.</t>
  </si>
  <si>
    <t>Manufacturer’s literature showing ENERGY STAR Cool Roof or equivalent.</t>
  </si>
  <si>
    <t>LCA report.</t>
  </si>
  <si>
    <t>Documented whole-building LCA report.</t>
  </si>
  <si>
    <t>Type III industry-wide environmental product declaration for each product.</t>
  </si>
  <si>
    <t>Type III Environmental Product Declaration for each product.</t>
  </si>
  <si>
    <t>Signed statement and plans by a licensed design professional (such as an architect or an engineer) or equivalent that the design and construction practices implemented in the building enhance the resilience and durability of the structure by designing and building to forces generated by; flooding, snow, wind or seismic (as applicable) to the desired level above the base design.</t>
  </si>
  <si>
    <t>Software output report for this building using ACCA Manual J AND Manual S or equivalent.</t>
  </si>
  <si>
    <t>When primary heat source in the building is a radiant or hydronic heating system, a statement from qualified professional of system design using industry-approved guidelines.</t>
  </si>
  <si>
    <t>For buildings with ducted systems, provide product spec or trade contractor's scope of work to confirm use of duct sealing using UL 181 tape, mastic, gaskets, or an IRC or ICC/IMC approved system.</t>
  </si>
  <si>
    <t>Software output report for this building using ACCA Manual D or equivalent.</t>
  </si>
  <si>
    <t>Blower door report by qualified professional, signed by the party conducting the test.</t>
  </si>
  <si>
    <t>COMcheck.</t>
  </si>
  <si>
    <t>Labels on units.</t>
  </si>
  <si>
    <t>Completed optional green remodel calculator or other (Excel or PDF) analysis showing before and after energy use. Utility bills and/or energy model complying with Energy Efficiency Model Policy.</t>
  </si>
  <si>
    <t>RESCheck or COMCheck or other equivalent analysis method showing the percent improvement for UA improvement over an analysis using the values provided in Table 703.1.1(a).</t>
  </si>
  <si>
    <t>RESCheck or COMCheck or other equivalent analysis method demonstrating compliance.</t>
  </si>
  <si>
    <t>R402.4.1.2 Testing. The building or dwelling unit shall be tested and verified as having an air leakage rate of not exceeding 5 air changes per hour in Climate Zones 1 and 2, and 3 air changes per hour in Climate Zones 3 through 8. Testing shall be conducted with a blower door at a pressure of 0.2 inches w.g. (50 Pascals).</t>
  </si>
  <si>
    <t>RESCheck 4.0.1 or other equivalent analysis method showing the percent improvement for UA improvement over an analysis using the values provided in Table 703.2.1(a). Documentation of 3rd party insulation installation grading results.</t>
  </si>
  <si>
    <t>Manufacturer’s literature indicating conformance to ASTM C1371.</t>
  </si>
  <si>
    <t>Test report showing ACH50 or ELR50.</t>
  </si>
  <si>
    <t xml:space="preserve">Labels on units. </t>
  </si>
  <si>
    <t>Manufacturer’s specification for combo system showing combined annual efficiency of at least 0.80 and a minimum water heating recovery efficiency of 0.87.</t>
  </si>
  <si>
    <t>Manufacturer’s specification for equipment that is installed.</t>
  </si>
  <si>
    <t>Manufacturer’s literature. For products to comply, it is not simply enough for them to have an ENERGY STAR label. The product must meet the ENERGY STAR product specifications in Chapter 14. Verifiers must ensure that the products/appliances installed meet these eligibility criteria.</t>
  </si>
  <si>
    <t>3rd party duct leakage test report.</t>
  </si>
  <si>
    <t>Manufacturer's literature.</t>
  </si>
  <si>
    <t>Manufacturer’s literature showing factory installation or invoice/statement of work by qualified installer.</t>
  </si>
  <si>
    <t>Manufacturer's literature for installed equipment.</t>
  </si>
  <si>
    <t>Manufacturer’s literature or labels, or documentation demonstrating equivalent to ENERGY STAR requirements. For products to comply, it is not simply enough for them to have an ENERGY STAR label. The product must meet the ENERGY STAR product specifications in Chapter 14. Verifiers must ensure that the products/appliances installed meet these eligibility criteria.</t>
  </si>
  <si>
    <t>Manufacturer’s literature or labels. For products to comply, it is not simply enough for them to have an ENERGY STAR label. The product must meet the ENERGY STAR product specifications in Chapter 14. Verifiers must ensure that the products/appliances installed meet these eligibility criteria.</t>
  </si>
  <si>
    <t>Window label or other documentation showing glazing.</t>
  </si>
  <si>
    <t>When thermal mass is claimed provide calculation for ratio of exposed thermal mass to conditioned floor space.</t>
  </si>
  <si>
    <t>Calculations for ratio of south glazing to floor area and ratio of exposed thermal mass to conditioned floor space.</t>
  </si>
  <si>
    <t>Building plans.</t>
  </si>
  <si>
    <t>Certificate.</t>
  </si>
  <si>
    <t>Start-up checklist signed by contractor.</t>
  </si>
  <si>
    <t>Completed ENERGY STAR checklists.</t>
  </si>
  <si>
    <t>HVAC design documents and plans.</t>
  </si>
  <si>
    <t>Blower door test report. 701.4.3.2 visual inspection report.</t>
  </si>
  <si>
    <t>Report signed by qualified 3rd party showing design and actual flows at each supply and return indicating compliance with balanced flow requirement.</t>
  </si>
  <si>
    <t>Manufacturer’s product specification(s).</t>
  </si>
  <si>
    <t>Evidence (e.g., utility bills) builder has selected renewable energy service for both construction and local office for temporary electric service during construction.</t>
  </si>
  <si>
    <t>Service agreement that owner has selected renewable energy service plan for permanent service after completion.</t>
  </si>
  <si>
    <t>Manufacturer’s literature or installer certification showing number of watts produced by installed system.</t>
  </si>
  <si>
    <t>Building plan review.</t>
  </si>
  <si>
    <t>For (1) contract with benchmarking service at least 1 year in duration.</t>
  </si>
  <si>
    <t>For (2) proof of a Portfolio Manager account for the building.</t>
  </si>
  <si>
    <t>Calculation showing maximum amount of water in the piping between heater and any fixture.</t>
  </si>
  <si>
    <t>For products to comply, it is not enough solely to have an ENERGY STAR label. The product must meet the ENERGY STAR product specifications in Chapter 14 REFERENCED DOCUMENTS. Verifiers must ensure that the products/appliances installed meet the program performance criteria.</t>
  </si>
  <si>
    <t>Manufacturer’s specifications showing compliance.</t>
  </si>
  <si>
    <t>Manufacturer’s specifications or literature.</t>
  </si>
  <si>
    <t>Review irrigation plan and confirm prepared by qualified professional.</t>
  </si>
  <si>
    <t>Nozzle performance test results by an accredited third-party laboratory and results are posted on Smart Water Application Technologies (https://www.epa.gov/watersense/water-budget-tool) website or similar.</t>
  </si>
  <si>
    <t>Plan and statement from WaterSense professional indicating compliance.</t>
  </si>
  <si>
    <t>Written report from a qualified water commissioning agent that the irrigation system meets any of the above practices.</t>
  </si>
  <si>
    <t>Building and/or site plan.</t>
  </si>
  <si>
    <t>Manufacturer’s specifications.</t>
  </si>
  <si>
    <t>Confirm greywater reclaimed or recycled is compliant with IRC Appendix O and as permitted by local building code.</t>
  </si>
  <si>
    <t>Plans and specs showing rough plumbed systems.</t>
  </si>
  <si>
    <t>When fire sprinkler system present, provide installer’s certification that shutoff does not interfere with sprinklers.</t>
  </si>
  <si>
    <t>Local jurisdiction approval.</t>
  </si>
  <si>
    <t>Documentation describing advanced features of the system.</t>
  </si>
  <si>
    <t>Manufacturer’s literature or label on product.</t>
  </si>
  <si>
    <t>Scope of work or specification showing products to be installed.</t>
  </si>
  <si>
    <t>Scope of work or specification showing products to be installed. Manufacturer's literature showing 3rd party certification.</t>
  </si>
  <si>
    <r>
      <t>Manufacturer’s literature showing</t>
    </r>
    <r>
      <rPr>
        <vertAlign val="superscript"/>
        <sz val="10"/>
        <color theme="1"/>
        <rFont val="Calibri"/>
        <family val="2"/>
        <scheme val="minor"/>
      </rPr>
      <t xml:space="preserve"> </t>
    </r>
    <r>
      <rPr>
        <sz val="10"/>
        <color theme="1"/>
        <rFont val="Calibri"/>
        <family val="2"/>
        <scheme val="minor"/>
      </rPr>
      <t>3</t>
    </r>
    <r>
      <rPr>
        <vertAlign val="superscript"/>
        <sz val="10"/>
        <color theme="1"/>
        <rFont val="Calibri"/>
        <family val="2"/>
        <scheme val="minor"/>
      </rPr>
      <t>rd</t>
    </r>
    <r>
      <rPr>
        <sz val="10"/>
        <color theme="1"/>
        <rFont val="Calibri"/>
        <family val="2"/>
        <scheme val="minor"/>
      </rPr>
      <t xml:space="preserve"> party certification for other materials. Scope of work or specification showing products to be installed.</t>
    </r>
  </si>
  <si>
    <t>Manufacturer’s literature or product marking showing compliance.</t>
  </si>
  <si>
    <t>Manufacturer’s literature or product marking showing compliance with UL 2034 and UL 217.</t>
  </si>
  <si>
    <t>Signed and dated documents from contractor regarding conduct of renovation and the lead-safe practices followed.</t>
  </si>
  <si>
    <t>ENERGY STAR label or literature for basic fans or fans below 1 sone. For products to comply, it is not enough to have an ENERGY STAR label. The product must meet the ENERGY STAR product specifications in Chapter 14. Verifiers must ensure that the products/appliances installed meet these eligibility criteria.</t>
  </si>
  <si>
    <t xml:space="preserve">Review building plans and confirm that the calculations on the plan. </t>
  </si>
  <si>
    <t>Statement from qualified professional indicating system complies with Appendix B. Confirm that relevant building manual includes explanation of the operation and importance of the ventilation system.</t>
  </si>
  <si>
    <t>None for passive system. Plans/specifications for active systems.</t>
  </si>
  <si>
    <t>Review completed radon test results and ensure that the result is included with the construction documents in the building manual. Verifier must confirm that radon test complies with all requirements of practice.</t>
  </si>
  <si>
    <t>Review plans for location of secondary filter rack.</t>
  </si>
  <si>
    <t>Building plans should confirm the intent to have a sound barrier that meets the criteria above.</t>
  </si>
  <si>
    <t>Confirm on building plans and check manufacturer literature to confirm lamp enclosure is NEMA-rated.</t>
  </si>
  <si>
    <t>Verifier should review homeowner’s manual that addresses the required 3 items and any of the listed additional optional items.</t>
  </si>
  <si>
    <t>Verifier must review building construction manual that addresses the mandatory 3 items (a certificate placeholder is acceptable) plus at least 2 of the listed additional optional items. Verify the expected process to deliver manual(s) to the responsible party.</t>
  </si>
  <si>
    <t>Review the operations manual that includes both mandatory items and at least 2 from the list of optional items.</t>
  </si>
  <si>
    <t>Review the maintenance manual that addresses the mandatory item and at least 4 of the optional items.</t>
  </si>
  <si>
    <t>Review of the manual that addresses the mandatory items and the additional items for points.</t>
  </si>
  <si>
    <t xml:space="preserve">Review of training outline, video, or website for occupants. </t>
  </si>
  <si>
    <t>Review of Form 820.05.</t>
  </si>
  <si>
    <t>Use best judgment to confirm slope angle.</t>
  </si>
  <si>
    <t>Look for retaining walls and similar.</t>
  </si>
  <si>
    <t>For single-family, look for downspout system. (Multifamily buildings may not have visible system.)</t>
  </si>
  <si>
    <t>Does the photo show that plants have been installed? Do the plants look reasonable for the local climate (use your best judgment)?</t>
  </si>
  <si>
    <t xml:space="preserve">Does the photo show that plants have been installed? </t>
  </si>
  <si>
    <t>Does the photo show that turf has been installed?</t>
  </si>
  <si>
    <t>Are similar plants grouped?</t>
  </si>
  <si>
    <t>Do you see shade trees installed near building walls?</t>
  </si>
  <si>
    <t xml:space="preserve">Do you see trees installed as wind break? </t>
  </si>
  <si>
    <t>At rough, is a mulch pile or similar evident?</t>
  </si>
  <si>
    <t>Can you see any wildlife habitat, gardens, or outdoor lighting?</t>
  </si>
  <si>
    <t>Can you see any environmentally sensitive areas that may have been impacted by construction?</t>
  </si>
  <si>
    <t>Look for fencing around trees. Look at condition of preserved trees.</t>
  </si>
  <si>
    <t>Look for silt fence. Is it present? Does it appear damaged?</t>
  </si>
  <si>
    <t>Look for silt fence and safety fencing. Is it present? Does it appear damaged?</t>
  </si>
  <si>
    <t>Can you see a pile of topsoil?</t>
  </si>
  <si>
    <t>Look at length of driveway in photo or Google Maps.</t>
  </si>
  <si>
    <t>Look for parking garage.</t>
  </si>
  <si>
    <t>Look for trees or other shading.</t>
  </si>
  <si>
    <t>Look for concrete driveway.</t>
  </si>
  <si>
    <t>Look for white or light colored roof.</t>
  </si>
  <si>
    <t>Look at photo and the number of units entered on the 'Overview' tab. Does the number of units seem reasonable based on the photo?</t>
  </si>
  <si>
    <t>Look at the size of the building and, if multifamily, the number of units. Does the unit size seem reasonable?</t>
  </si>
  <si>
    <t>Is the building 2 or more stories in height?</t>
  </si>
  <si>
    <t>Look for Tyvek or green OSB walls with tape.</t>
  </si>
  <si>
    <t>Look for flashing around windows, doors, and other locations.</t>
  </si>
  <si>
    <t>Look at front door and estimate # covered doors. (Garage entrance should not be counted.)</t>
  </si>
  <si>
    <t>Look for roof overhangs.</t>
  </si>
  <si>
    <t>Do you see any flat surfaces where water may pool?</t>
  </si>
  <si>
    <t>Look for a vegetated roof system.</t>
  </si>
  <si>
    <t>Look for gutters and downspouts.</t>
  </si>
  <si>
    <t>Look at the slope and confirm (use your best judgment).</t>
  </si>
  <si>
    <t>Look for drains and swales.</t>
  </si>
  <si>
    <t>Look for steps at entry doors.</t>
  </si>
  <si>
    <t>Look for window shades.</t>
  </si>
  <si>
    <t>Look for trellises, awnings, and other shading.</t>
  </si>
  <si>
    <t>Look for overhangs.</t>
  </si>
  <si>
    <t>Look for outdoor lighting.</t>
  </si>
  <si>
    <t>Look for solar panels or other renewable energy system.</t>
  </si>
  <si>
    <t>Look for chimney.</t>
  </si>
  <si>
    <t>Look for garage.</t>
  </si>
  <si>
    <t>Look for mat at entrance. Does it appear to be affixed?</t>
  </si>
  <si>
    <t>_m</t>
  </si>
  <si>
    <t>902.1.1</t>
  </si>
  <si>
    <t>802.10</t>
  </si>
  <si>
    <t>701.4.2.1</t>
  </si>
  <si>
    <t>701.4.3.3</t>
  </si>
  <si>
    <t>701.4.3.4</t>
  </si>
  <si>
    <t>701.4.3.5</t>
  </si>
  <si>
    <t>504</t>
  </si>
  <si>
    <r>
      <t xml:space="preserve">This workbook allows you to score a renovated single-family home to the ICC 700-2020 National Green Building Standard®. Use of the NGBS Green Scoring Tool is the required entry point for Home Innovation's NGBS Green Certification. This workbook is intended to be used in conjunction with the publication ICC 700-2020 National Green Building Standard®. Please read the instructions below. </t>
    </r>
    <r>
      <rPr>
        <b/>
        <sz val="11"/>
        <color rgb="FFFF0000"/>
        <rFont val="Calibri"/>
        <family val="2"/>
        <scheme val="minor"/>
      </rPr>
      <t>Excel 2013 or 2016 is required.</t>
    </r>
  </si>
  <si>
    <r>
      <t xml:space="preserve">This workbook allows you to score a renovated multifamily or mixed-use building  to the ICC 700-2020 National Green Building Standard®. </t>
    </r>
    <r>
      <rPr>
        <u/>
        <sz val="11"/>
        <color theme="1"/>
        <rFont val="Calibri"/>
        <family val="2"/>
        <scheme val="minor"/>
      </rPr>
      <t>This workbook includes sections for the residential portions of the building, as well as a section for use when commercial space certification is being pursued</t>
    </r>
    <r>
      <rPr>
        <sz val="11"/>
        <color theme="1"/>
        <rFont val="Calibri"/>
        <family val="2"/>
        <scheme val="minor"/>
      </rPr>
      <t xml:space="preserve">. Use of the NGBS Green Scoring Tool is the required entry point for Home Innovation's NGBS Green Certification. This workbook is intended to be used in conjunction with the publication ICC 700-2020 National Green Building Standard®. Please read the instructions below. </t>
    </r>
    <r>
      <rPr>
        <b/>
        <sz val="11"/>
        <color rgb="FFFF0000"/>
        <rFont val="Calibri"/>
        <family val="2"/>
        <scheme val="minor"/>
      </rPr>
      <t>Excel 2013 or 2016 is required.</t>
    </r>
  </si>
  <si>
    <t>NGBS Scoring for Remodeling
ICC 700-2020 National Green Building Standard®</t>
  </si>
  <si>
    <t>There is mandatory information or practices missing from this Page!</t>
  </si>
  <si>
    <t>F/C&amp;S</t>
  </si>
  <si>
    <t>C&amp;S Mand:</t>
  </si>
  <si>
    <t>CS</t>
  </si>
  <si>
    <t>CHAPTER 13: COMMERCIAL SPACES NEW CONSTRUCTION</t>
  </si>
  <si>
    <t>13.101.1</t>
  </si>
  <si>
    <r>
      <t xml:space="preserve">13.101.1 Intent. </t>
    </r>
    <r>
      <rPr>
        <sz val="10"/>
        <rFont val="Calibri"/>
        <family val="2"/>
        <scheme val="minor"/>
      </rPr>
      <t>This chapter shall provide green requirements for the non-residential portion(s) of a mixed-use building.</t>
    </r>
  </si>
  <si>
    <t>13.101.2</t>
  </si>
  <si>
    <r>
      <t>13.101.2 Scope.</t>
    </r>
    <r>
      <rPr>
        <sz val="10"/>
        <rFont val="Calibri"/>
        <family val="2"/>
        <scheme val="minor"/>
      </rPr>
      <t xml:space="preserve"> The provisions of this Chapter shall apply to the design, construction, addition, and alteration of non-residential portion(s) of a mixed-use building.</t>
    </r>
  </si>
  <si>
    <t>13.102.1</t>
  </si>
  <si>
    <r>
      <t>13.102.1 Compliance.</t>
    </r>
    <r>
      <rPr>
        <sz val="10"/>
        <rFont val="Calibri"/>
        <family val="2"/>
        <scheme val="minor"/>
      </rPr>
      <t xml:space="preserve"> The non-residential portion(s) of a mixed-use building shall comply with all of the provisions of this chapter as applicable. The provisions of this Chapter are mandatory.</t>
    </r>
  </si>
  <si>
    <t>13.102.1.1</t>
  </si>
  <si>
    <r>
      <t>13.102.1.1 Core and shell compliance.</t>
    </r>
    <r>
      <rPr>
        <sz val="10"/>
        <rFont val="Calibri"/>
        <family val="2"/>
        <scheme val="minor"/>
      </rPr>
      <t xml:space="preserve"> The exterior air barrier, insulation, air sealing, and fenestration, are verified to the requirements of this chapter at the time of certification.</t>
    </r>
  </si>
  <si>
    <t>13.102.1.2</t>
  </si>
  <si>
    <r>
      <t>13.102.1.2 Full mixed-use building compliance.</t>
    </r>
    <r>
      <rPr>
        <sz val="10"/>
        <rFont val="Calibri"/>
        <family val="2"/>
        <scheme val="minor"/>
      </rPr>
      <t xml:space="preserve"> Residential and non-residential spaces are verified to the requirements of this standard at the time of certification. The residential portions of the building are verified to the requirements of Chapters 5 through 10 of this standard. The non-residential portion(s) of the building must comply with the requirements of this chapter.</t>
    </r>
  </si>
  <si>
    <t>13.102.1.3</t>
  </si>
  <si>
    <r>
      <t>13.102.1.3 Additions and alterations.</t>
    </r>
    <r>
      <rPr>
        <sz val="10"/>
        <rFont val="Calibri"/>
        <family val="2"/>
        <scheme val="minor"/>
      </rPr>
      <t xml:space="preserve"> The provisions of this Chapter shall only apply to areas of the building that are exposed or created during the remodel of mixed-use building(s) complying with Section 305, Green Remodeling.</t>
    </r>
  </si>
  <si>
    <t>13.103.1</t>
  </si>
  <si>
    <r>
      <t xml:space="preserve">13.103.1 Bicycle parking. </t>
    </r>
    <r>
      <rPr>
        <sz val="10"/>
        <rFont val="Calibri"/>
        <family val="2"/>
        <scheme val="minor"/>
      </rPr>
      <t>Bicycle parking shall comply with section 103.1.1 through 103.1.2</t>
    </r>
  </si>
  <si>
    <t>13.103.1.1</t>
  </si>
  <si>
    <r>
      <t xml:space="preserve">13.103.1.1 Minimum number of spaces. </t>
    </r>
    <r>
      <rPr>
        <sz val="10"/>
        <rFont val="Calibri"/>
        <family val="2"/>
        <scheme val="minor"/>
      </rPr>
      <t>The minimum number of required bicycle parking spaces shall be 4 parking spaces.</t>
    </r>
  </si>
  <si>
    <r>
      <t>Exceptions:</t>
    </r>
    <r>
      <rPr>
        <sz val="10"/>
        <rFont val="Calibri"/>
        <family val="2"/>
        <scheme val="minor"/>
      </rPr>
      <t xml:space="preserve"> </t>
    </r>
  </si>
  <si>
    <t>The number of bicycle parking spaces shall be allowed to be reduced subject to Adopting Entity approval,</t>
  </si>
  <si>
    <t>Bicycle parking shall not be required where the total non-residential conditioned space in the building is less than 1,000 square feet.</t>
  </si>
  <si>
    <t>The minimum number of spaces shall be permitted to be reduced by the authority having jurisdiction based on the occupants expected use of public transit or walking to the building.</t>
  </si>
  <si>
    <t>13.103.1.2</t>
  </si>
  <si>
    <r>
      <t xml:space="preserve">13.103.1.2 Location. </t>
    </r>
    <r>
      <rPr>
        <sz val="10"/>
        <rFont val="Calibri"/>
        <family val="2"/>
        <scheme val="minor"/>
      </rPr>
      <t>The bicycle parking must be located on the same building site or within the building. It must be located within 100 ft. of, and visible from the main entrance.</t>
    </r>
  </si>
  <si>
    <t>13.104</t>
  </si>
  <si>
    <t xml:space="preserve">13.104 Resource Efficiency. </t>
  </si>
  <si>
    <t>13.104.1</t>
  </si>
  <si>
    <t xml:space="preserve">13.104.1 Enhanced Durability. </t>
  </si>
  <si>
    <t>13.104.1.1</t>
  </si>
  <si>
    <r>
      <t xml:space="preserve">13.104.1.1 Capillary Break. </t>
    </r>
    <r>
      <rPr>
        <sz val="10"/>
        <rFont val="Calibri"/>
        <family val="2"/>
        <scheme val="minor"/>
      </rPr>
      <t>A capillary break and vapor retarder shall be installed under the concrete slabs in accordance with ICC IBC Sections 1907, excluding exception #3 and 1805.2.1.</t>
    </r>
  </si>
  <si>
    <t>13.104.1.2</t>
  </si>
  <si>
    <r>
      <t xml:space="preserve">13.104.1.2 Foundation drainage. </t>
    </r>
    <r>
      <rPr>
        <sz val="10"/>
        <rFont val="Calibri"/>
        <family val="2"/>
        <scheme val="minor"/>
      </rPr>
      <t>Where required by the ICC IBC for habitable and usable spaces below grade, exterior drain tile is installed.</t>
    </r>
  </si>
  <si>
    <t>13.104.1.3</t>
  </si>
  <si>
    <r>
      <t xml:space="preserve">13.104.1.3 Dampproof walls. </t>
    </r>
    <r>
      <rPr>
        <sz val="10"/>
        <rFont val="Calibri"/>
        <family val="2"/>
        <scheme val="minor"/>
      </rPr>
      <t>Walls that retain earth, and encloses interior space are required to be dampproof per ICC IBC Section 1805.</t>
    </r>
  </si>
  <si>
    <t>13.104.1.4</t>
  </si>
  <si>
    <r>
      <t xml:space="preserve">13.104.1.4 Water-resistive barrier. </t>
    </r>
    <r>
      <rPr>
        <sz val="10"/>
        <rFont val="Calibri"/>
        <family val="2"/>
        <scheme val="minor"/>
      </rPr>
      <t>Where required by the ICC IBC, a water-resistive barrier and/or drainage plane system is installed behind exterior cladding.</t>
    </r>
  </si>
  <si>
    <t>note mand:</t>
  </si>
  <si>
    <t>Note: Explain N/A</t>
  </si>
  <si>
    <t>13.104.1.5</t>
  </si>
  <si>
    <r>
      <t xml:space="preserve">13.104.1.5 Flashing. </t>
    </r>
    <r>
      <rPr>
        <sz val="10"/>
        <rFont val="Calibri"/>
        <family val="2"/>
        <scheme val="minor"/>
      </rPr>
      <t xml:space="preserve">Flashing is provided as follows to minimize water entry into wall and roof assemblies and to direct water to exterior surfaces or exterior water-resistive barriers for drainage. Flashing details are provided in the construction documents and are in accordance with the fenestration manufacturer’s instructions, the flashing manufacturer’s instructions, or as detailed by a registered design professional. </t>
    </r>
    <r>
      <rPr>
        <b/>
        <sz val="10"/>
        <rFont val="Calibri"/>
        <family val="2"/>
        <scheme val="minor"/>
      </rPr>
      <t xml:space="preserve">
</t>
    </r>
    <r>
      <rPr>
        <sz val="10"/>
        <rFont val="Calibri"/>
        <family val="2"/>
        <scheme val="minor"/>
      </rPr>
      <t>Flashing is installed at the following locations, as applicable unless in conflict with manufacturer’s installation instructions:</t>
    </r>
  </si>
  <si>
    <t>Around exterior fenestrations, skylights, and doors</t>
  </si>
  <si>
    <t>At roof valleys</t>
  </si>
  <si>
    <t>At all building-to-deck, -balcony, -porch, and -stair intersections</t>
  </si>
  <si>
    <t>At roof-to-wall intersections, at roof-to-chimney intersections, at wall-to-chimney intersections, and at parapets</t>
  </si>
  <si>
    <t>At ends of and under masonry, wood, or metal copings and sills</t>
  </si>
  <si>
    <t>Above projecting wood trim</t>
  </si>
  <si>
    <t>At built-in roof gutters, and</t>
  </si>
  <si>
    <t>Drip edge is installed at eave and rake edges</t>
  </si>
  <si>
    <t>Window and door head and jamb flashing is either self-adhered or liquid applied</t>
  </si>
  <si>
    <t>Flashing is installed at exterior windows and doors</t>
  </si>
  <si>
    <t>Through-wall flashing is installed at transitions between wall cladding materials or wall construction types</t>
  </si>
  <si>
    <t>Flashing is installed at the expansion joint in stucco walls</t>
  </si>
  <si>
    <t>13.104.1.6</t>
  </si>
  <si>
    <r>
      <t xml:space="preserve">13.104.1.6 Tile backing materials. </t>
    </r>
    <r>
      <rPr>
        <sz val="10"/>
        <rFont val="Calibri"/>
        <family val="2"/>
        <scheme val="minor"/>
      </rPr>
      <t>Tile backing materials installed under tiled surfaces in wet areas are in accordance with ASTM C1178, C1278, C1288, or C1325. Tile shall not be installed over paper-faced gypsum board in wet areas.</t>
    </r>
  </si>
  <si>
    <t>13.104.1.7</t>
  </si>
  <si>
    <r>
      <t xml:space="preserve">13.104.1.7 Ice barrier. </t>
    </r>
    <r>
      <rPr>
        <sz val="10"/>
        <rFont val="Calibri"/>
        <family val="2"/>
        <scheme val="minor"/>
      </rPr>
      <t>In areas where there has been a history of ice forming along the eaves causing a backup of water, an ice barrier is installed in accordance with the ICC IBC at roof eaves of pitched roofs and extends a minimum of 24 inches (610 mm) inside the exterior wall line of the building.</t>
    </r>
  </si>
  <si>
    <t>13.104.1.8</t>
  </si>
  <si>
    <r>
      <t xml:space="preserve">13.104.1.8 Architectural features. </t>
    </r>
    <r>
      <rPr>
        <sz val="10"/>
        <rFont val="Calibri"/>
        <family val="2"/>
        <scheme val="minor"/>
      </rPr>
      <t>Architectural features that increase the potential for water intrusion are avoided, and must comply with the following:</t>
    </r>
  </si>
  <si>
    <t>Horizontal ledgers are sloped away to provide gravity drainage as appropriate for the application.</t>
  </si>
  <si>
    <t>No roof configurations that create horizontal valleys in roof design, unless directed to a drain on a flat roof.</t>
  </si>
  <si>
    <t>No recessed windows and architectural features that trap water on horizontal surfaces</t>
  </si>
  <si>
    <t>13.104.1.9</t>
  </si>
  <si>
    <r>
      <t xml:space="preserve">13.104.1.9 Moisture control measures. </t>
    </r>
    <r>
      <rPr>
        <sz val="10"/>
        <rFont val="Calibri"/>
        <family val="2"/>
        <scheme val="minor"/>
      </rPr>
      <t>Moisture control measures for newly installed materials are in accordance with the following:</t>
    </r>
  </si>
  <si>
    <t>Building materials with visible mold are not installed or are cleaned or encapsulated prior to concealment and closing</t>
  </si>
  <si>
    <t>Insulation in cavities is dry in accordance with manufacturer’s installation instructions when enclosed (e.g., with drywall)</t>
  </si>
  <si>
    <t>13.104.2</t>
  </si>
  <si>
    <r>
      <t xml:space="preserve">13.104.2 Construction material and waste management plan. </t>
    </r>
    <r>
      <rPr>
        <sz val="10"/>
        <rFont val="Calibri"/>
        <family val="2"/>
        <scheme val="minor"/>
      </rPr>
      <t>A written construction waste management plan is posted at the jobsite, and implemented.</t>
    </r>
  </si>
  <si>
    <t>13.104.3</t>
  </si>
  <si>
    <r>
      <t xml:space="preserve">13.104.3 Core and shell material selection. </t>
    </r>
    <r>
      <rPr>
        <sz val="10"/>
        <rFont val="Calibri"/>
        <family val="2"/>
        <scheme val="minor"/>
      </rPr>
      <t>The core and shell of the non-residential portion of the building must contain similar green material selections of the residential portion of the building, and must comply with the additional provisions of this section.</t>
    </r>
  </si>
  <si>
    <t>13.104.3.1</t>
  </si>
  <si>
    <r>
      <t xml:space="preserve">13.104.3.1 Material selection. </t>
    </r>
    <r>
      <rPr>
        <sz val="10"/>
        <rFont val="Calibri"/>
        <family val="2"/>
        <scheme val="minor"/>
      </rPr>
      <t>At least six of these sections must be met from the following:</t>
    </r>
  </si>
  <si>
    <r>
      <t>606.1 Biobased products.</t>
    </r>
    <r>
      <rPr>
        <sz val="10"/>
        <color theme="1"/>
        <rFont val="Calibri"/>
        <family val="2"/>
        <scheme val="minor"/>
      </rPr>
      <t xml:space="preserve"> The following biobased products are used:</t>
    </r>
  </si>
  <si>
    <t>certified solid wood in accordance with Section 606.2</t>
  </si>
  <si>
    <r>
      <t>606.2 Wood-based products.</t>
    </r>
    <r>
      <rPr>
        <sz val="10"/>
        <color theme="1"/>
        <rFont val="Calibri"/>
        <family val="2"/>
        <scheme val="minor"/>
      </rPr>
      <t xml:space="preserve"> Wood or wood-based products are certified to the requirements of one of the following: </t>
    </r>
  </si>
  <si>
    <t>A manufacturer’s fiber procurement system that has been audited by an approved agency as compliant with the provisions of ASTM D7612 as a responsible or certified source. Government or tribal forestlands whose water protection programs have been evaluated by an approved agency as compliant with the responsible source designation of ASTM D7612 are exempt from auditing in the manufacturers’ fiber procurement system.</t>
  </si>
  <si>
    <t xml:space="preserve">A minimum of two responsible or certified wood-based products are used for minor components of the building. </t>
  </si>
  <si>
    <t xml:space="preserve">A minimum of two responsible or certified wood-based products are used in major components of the building. </t>
  </si>
  <si>
    <r>
      <t>606.3 Manufacturing energy.</t>
    </r>
    <r>
      <rPr>
        <sz val="10"/>
        <color theme="1"/>
        <rFont val="Calibri"/>
        <family val="2"/>
        <scheme val="minor"/>
      </rPr>
      <t xml:space="preserve"> Materials manufactured using a minimum of 33 percent of the primary manufacturing process energy derived from (1) renewable sources, (2) combustible waste sources, or (3) renewable energy credits (RECs) are used for major components of the building.</t>
    </r>
  </si>
  <si>
    <r>
      <t>608.1</t>
    </r>
    <r>
      <rPr>
        <sz val="10"/>
        <color theme="1"/>
        <rFont val="Calibri"/>
        <family val="2"/>
        <scheme val="minor"/>
      </rPr>
      <t xml:space="preserve"> </t>
    </r>
    <r>
      <rPr>
        <b/>
        <sz val="10"/>
        <color theme="1"/>
        <rFont val="Calibri"/>
        <family val="2"/>
        <scheme val="minor"/>
      </rPr>
      <t xml:space="preserve">Resource-efficient materials. </t>
    </r>
    <r>
      <rPr>
        <sz val="10"/>
        <color theme="1"/>
        <rFont val="Calibri"/>
        <family val="2"/>
        <scheme val="minor"/>
      </rPr>
      <t>Products containing fewer materials are used to achieve the same end-use requirements as conventional products, including but not limited to:</t>
    </r>
  </si>
  <si>
    <t>NOTE: In the assigned Notes area, describe the types of products that comply with 608.1.</t>
  </si>
  <si>
    <r>
      <t>609.1</t>
    </r>
    <r>
      <rPr>
        <sz val="10"/>
        <color theme="1"/>
        <rFont val="Calibri"/>
        <family val="2"/>
        <scheme val="minor"/>
      </rPr>
      <t xml:space="preserve"> </t>
    </r>
    <r>
      <rPr>
        <b/>
        <sz val="10"/>
        <color theme="1"/>
        <rFont val="Calibri"/>
        <family val="2"/>
        <scheme val="minor"/>
      </rPr>
      <t xml:space="preserve">Regional materials. </t>
    </r>
    <r>
      <rPr>
        <sz val="10"/>
        <color theme="1"/>
        <rFont val="Calibri"/>
        <family val="2"/>
        <scheme val="minor"/>
      </rPr>
      <t>Regional materials are used for major and/or minor components of the building.</t>
    </r>
  </si>
  <si>
    <t>10 Max
2 per each major comp. 
and 
1 per each minor comp.</t>
  </si>
  <si>
    <t>For a component to comply with this practice, a minimum of 75% of all products in that component category must be sourced regionally, e.g., stone veneer category – 75 percent or more of the stone veneer on a project must be sourced regionally.</t>
  </si>
  <si>
    <t>NOTE: In the assigned Notes areas, list major and minor materials used that comply with 609.1.</t>
  </si>
  <si>
    <r>
      <t xml:space="preserve">610.1.2 Life cycle assessment for a product or assembly. </t>
    </r>
    <r>
      <rPr>
        <sz val="10"/>
        <color theme="1"/>
        <rFont val="Calibri"/>
        <family val="2"/>
        <scheme val="minor"/>
      </rPr>
      <t>An environmentally preferable product or assembly is selected for an application based upon the use of an LCA tool that incorporates data methods compliant with ISO 14044 or other recognized standards that compare the environmental impact of products or assemblies.</t>
    </r>
  </si>
  <si>
    <r>
      <t xml:space="preserve">610.1.2.1 Product LCA. </t>
    </r>
    <r>
      <rPr>
        <sz val="10"/>
        <color theme="1"/>
        <rFont val="Calibri"/>
        <family val="2"/>
        <scheme val="minor"/>
      </rPr>
      <t>A product with improved environmental impact measures compared to another product(s) intended for the same use is selected. The environmental impact measures used in the assessment are selected from the following:</t>
    </r>
  </si>
  <si>
    <t>per Table 610.1.2.1
10 Max</t>
  </si>
  <si>
    <r>
      <t xml:space="preserve">610.1.2.2 Building assembly LCA. </t>
    </r>
    <r>
      <rPr>
        <sz val="10"/>
        <color theme="1"/>
        <rFont val="Calibri"/>
        <family val="2"/>
        <scheme val="minor"/>
      </rPr>
      <t>A building assembly with improved environmental impact measures compared to an alternative assembly of the same function is selected. The full life cycle, from resource extraction to demolition and disposal (including but not limited to on-site construction, maintenance and replacement, material and product embodied acquisition, and process and transportation energy), is assessed. The assessment includes all structural elements, insulation, and wall coverings of the assembly. The assessment does not include electrical and mechanical equipment and controls, plumbing products, fire detection and alarm systems, elevators, and conveying systems. The following types of building assemblies are eligible for points under this practice:</t>
    </r>
  </si>
  <si>
    <t>per Table 610.1.2.2
10 Max</t>
  </si>
  <si>
    <t>(Points are awarded based on the number of types of building assemblies that improve upon environmental impact measures by an average of 15 percent.)</t>
  </si>
  <si>
    <r>
      <t>612.1 Manufacturer’s environmental management system concepts.</t>
    </r>
    <r>
      <rPr>
        <sz val="10"/>
        <color theme="1"/>
        <rFont val="Calibri"/>
        <family val="2"/>
        <scheme val="minor"/>
      </rPr>
      <t xml:space="preserve"> Product manufacturer’s operations and business practices include environmental management system concepts, and the production facility is registered to ISO 14001 or equivalent. The aggregate value of building products from registered ISO 14001 or equivalent production facilities is 1 percent or more of the estimated total building materials cost. </t>
    </r>
  </si>
  <si>
    <r>
      <t xml:space="preserve">612.2 Sustainable products. </t>
    </r>
    <r>
      <rPr>
        <sz val="10"/>
        <color theme="1"/>
        <rFont val="Calibri"/>
        <family val="2"/>
        <scheme val="minor"/>
      </rPr>
      <t>One or more of the following products are used for at least 30% of the floor or wall area of the entire dwelling unit or the sleeping unit, as applicable. Products are certified by a third-party agency accredited to ISO 17065.</t>
    </r>
  </si>
  <si>
    <t xml:space="preserve">50% or more of carpet installed (by square feet) is certified to NSF 140 or equivalent. </t>
  </si>
  <si>
    <r>
      <t>603.2 Salvaged materials.</t>
    </r>
    <r>
      <rPr>
        <sz val="10"/>
        <color theme="1"/>
        <rFont val="Calibri"/>
        <family val="2"/>
        <scheme val="minor"/>
      </rPr>
      <t xml:space="preserve"> Reclaimed and/or salvaged materials and components are used. The total material value and labor cost of salvaged materials is equal to or exceeds 1 percent of the total construction cost. </t>
    </r>
  </si>
  <si>
    <t>NOTE: Describe materials used in the assigned Notes area. Materials, elements, or components awarded points under Section 603.1 shall not be awarded points under Section 603.2.</t>
  </si>
  <si>
    <r>
      <t>611.1</t>
    </r>
    <r>
      <rPr>
        <sz val="10"/>
        <color theme="1"/>
        <rFont val="Calibri"/>
        <family val="2"/>
        <scheme val="minor"/>
      </rPr>
      <t xml:space="preserve"> </t>
    </r>
    <r>
      <rPr>
        <b/>
        <sz val="10"/>
        <color theme="1"/>
        <rFont val="Calibri"/>
        <family val="2"/>
        <scheme val="minor"/>
      </rPr>
      <t xml:space="preserve">Product declarations. </t>
    </r>
    <r>
      <rPr>
        <sz val="10"/>
        <color theme="1"/>
        <rFont val="Calibri"/>
        <family val="2"/>
        <scheme val="minor"/>
      </rPr>
      <t>A minimum of 10 different products installed in the building project, at the time of certificate of occupancy, comply with one of the following sub-sections. Declarations, reports, and assessments are submitted and contain documentation of the critical peer review by an independent third party, results from the review, the reviewer’s name, company name, contact information, and date of the review.</t>
    </r>
    <r>
      <rPr>
        <b/>
        <sz val="10"/>
        <color theme="1"/>
        <rFont val="Calibri"/>
        <family val="2"/>
        <scheme val="minor"/>
      </rPr>
      <t xml:space="preserve">  </t>
    </r>
  </si>
  <si>
    <r>
      <t xml:space="preserve">611.1.1 Industry-wide declaration. </t>
    </r>
    <r>
      <rPr>
        <sz val="10"/>
        <color theme="1"/>
        <rFont val="Calibri"/>
        <family val="2"/>
      </rPr>
      <t xml:space="preserve">A Type III industry-wide environmental product declaration (EPD) is submitted for each product. Where the program operator explicitly recognizes the EPD as representative of the product group on a National level, it is considered industry-wide. In the case where an industry-wide EPD represents only a subset of an industry group, as opposed to being industry-wide, the manufacturer is required be explicitly recognized as a participant by the EPD program operator. All EPDs are required to be consistent with ISO Standards 14025 and 21930 with at least a cradle-to-gate scope. </t>
    </r>
    <r>
      <rPr>
        <b/>
        <sz val="10"/>
        <color theme="1"/>
        <rFont val="Calibri"/>
        <family val="2"/>
      </rPr>
      <t>(Each product complying with Section 611.1.1 shall be counted as one product for compliance with Section 611.1.)</t>
    </r>
  </si>
  <si>
    <r>
      <t xml:space="preserve">611.1.2 Product Specific Declaration. </t>
    </r>
    <r>
      <rPr>
        <sz val="10"/>
        <color theme="1"/>
        <rFont val="Calibri"/>
        <family val="2"/>
      </rPr>
      <t xml:space="preserve">A product specific Type III EPD are submitted for each product. The product specific declaration shall be manufacturer specific for an individual product or product family. All Type III EPDs are required to be certified as complying, at a minimum, with the goal and scope for the cradle-to-gate requirements in accordance with ISO Standards 14025 and 21930.  </t>
    </r>
    <r>
      <rPr>
        <b/>
        <sz val="10"/>
        <color theme="1"/>
        <rFont val="Calibri"/>
        <family val="2"/>
      </rPr>
      <t>(Each product complying with Section 611.1.2 shall be counted as two products for compliance with Section 611.1.)</t>
    </r>
  </si>
  <si>
    <r>
      <t>604.1 Recycled content.</t>
    </r>
    <r>
      <rPr>
        <sz val="10"/>
        <color theme="1"/>
        <rFont val="Calibri"/>
        <family val="2"/>
        <scheme val="minor"/>
      </rPr>
      <t xml:space="preserve"> Building materials with recycled content are used for two minor and/or two major components of the building.</t>
    </r>
  </si>
  <si>
    <t>13.104.4</t>
  </si>
  <si>
    <r>
      <t xml:space="preserve">13.104.4 Recycling and composting. </t>
    </r>
    <r>
      <rPr>
        <sz val="10"/>
        <rFont val="Calibri"/>
        <family val="2"/>
        <scheme val="minor"/>
      </rPr>
      <t>A readily accessible space(s) adequate to accommodate the recycling and composting containers for materials accepted in local recycling/composting programs is provided and identified on the floorplan.</t>
    </r>
  </si>
  <si>
    <t>13.105</t>
  </si>
  <si>
    <t xml:space="preserve">13.105 Energy Efficiency. </t>
  </si>
  <si>
    <t>13.105.1</t>
  </si>
  <si>
    <r>
      <t xml:space="preserve">13.105.1 Building thermal envelope insulation. </t>
    </r>
    <r>
      <rPr>
        <sz val="10"/>
        <rFont val="Calibri"/>
        <family val="2"/>
        <scheme val="minor"/>
      </rPr>
      <t>The non-residential portion of the building must comply with the insulation requirements of Sections C402.1 through C402.3 of the ICC IECC as applicable, and Section 105.1.1. A UA tradeoff shall be allowed for sections 105.1 and 105.2 is equal to or less than the IECC UA.</t>
    </r>
  </si>
  <si>
    <r>
      <t>Maximum UA.</t>
    </r>
    <r>
      <rPr>
        <sz val="10"/>
        <rFont val="Calibri"/>
        <family val="2"/>
        <scheme val="minor"/>
      </rPr>
      <t xml:space="preserve"> For IECC residential, the total building UA is less than or equal to the total maximum UA as computed by 2015 IECC Section R02.1.5. For IECC commercial, the total UA is less than or equal to the sum of the UA for 2015 IECC Tables C402.1.4 and C402.4, including the U-factor times the area and C-factor or F-factor times the perimeter. The total UA proposed and baseline calculations are documented. REScheck or COMcheck is deemed to provide UA calculation documentation.</t>
    </r>
  </si>
  <si>
    <t>13.105.1.1</t>
  </si>
  <si>
    <r>
      <t xml:space="preserve">13.105.1.1 Insulation installation. </t>
    </r>
    <r>
      <rPr>
        <sz val="10"/>
        <rFont val="Calibri"/>
        <family val="2"/>
        <scheme val="minor"/>
      </rPr>
      <t>Insulation installed in the thermal envelope shall be visually inspected for compliance with Grade I installation. Grade II insulation is only permitted where exterior continuous insulation is installed. Grade III insulation installation is not permitted.</t>
    </r>
  </si>
  <si>
    <t>13.105.2</t>
  </si>
  <si>
    <r>
      <t xml:space="preserve">13.105.2 Building thermal envelope fenestration. </t>
    </r>
    <r>
      <rPr>
        <sz val="10"/>
        <rFont val="Calibri"/>
        <family val="2"/>
        <scheme val="minor"/>
      </rPr>
      <t>The non-residential portion of the building shall be in accordance with the requirements of Section C402.4 of the International Energy Conservation Code as applicable.</t>
    </r>
  </si>
  <si>
    <t>Section C402.4 of the IECC</t>
  </si>
  <si>
    <t>13.105.3</t>
  </si>
  <si>
    <r>
      <t xml:space="preserve">13.105.3 Building thermal envelope air sealing. </t>
    </r>
    <r>
      <rPr>
        <sz val="10"/>
        <rFont val="Calibri"/>
        <family val="2"/>
        <scheme val="minor"/>
      </rPr>
      <t>The building thermal envelope is durably sealed to limit infiltration. The sealing methods between dissimilar materials allow for differential expansion and contraction. The following are caulked, gasketed, weather-stripped or otherwise sealed with an air barrier material, suitable film, or solid material:</t>
    </r>
  </si>
  <si>
    <t>All joints, seams and penetrations</t>
  </si>
  <si>
    <t>Site-built windows, doors and skylights</t>
  </si>
  <si>
    <t>Openings between window and door assemblies and their respective jambs and framing</t>
  </si>
  <si>
    <t>Utility penetrations</t>
  </si>
  <si>
    <t>Dropped ceilings or chases adjacent to the thermal envelope</t>
  </si>
  <si>
    <t>Knee walls</t>
  </si>
  <si>
    <t>Walls and ceilings separating the garage from conditioned spaces</t>
  </si>
  <si>
    <t>Behind tubs and showers on exterior walls</t>
  </si>
  <si>
    <t>Cantilevers</t>
  </si>
  <si>
    <t>Attic access openings</t>
  </si>
  <si>
    <t>Rim joists junction</t>
  </si>
  <si>
    <t>Other sources of infiltration</t>
  </si>
  <si>
    <t>13.105.3.1</t>
  </si>
  <si>
    <r>
      <t xml:space="preserve">13.105.3.1 Air barrier verification. </t>
    </r>
    <r>
      <rPr>
        <sz val="10"/>
        <rFont val="Calibri"/>
        <family val="2"/>
        <scheme val="minor"/>
      </rPr>
      <t>If not previously verified, the air barrier shall be visually inspected to demonstrate compliance with Table 701.4.3.2(2) and shall comply with the requirements of IECC C402.5.</t>
    </r>
  </si>
  <si>
    <t>13.105.4</t>
  </si>
  <si>
    <r>
      <t xml:space="preserve">13.105.4 Energy metering. </t>
    </r>
    <r>
      <rPr>
        <sz val="10"/>
        <rFont val="Calibri"/>
        <family val="2"/>
        <scheme val="minor"/>
      </rPr>
      <t xml:space="preserve">Energy metering shall be provided for each tenant individually for the non-residential portions of the building.
</t>
    </r>
    <r>
      <rPr>
        <b/>
        <sz val="10"/>
        <rFont val="Calibri"/>
        <family val="2"/>
        <scheme val="minor"/>
      </rPr>
      <t>Exception:</t>
    </r>
    <r>
      <rPr>
        <sz val="10"/>
        <rFont val="Calibri"/>
        <family val="2"/>
        <scheme val="minor"/>
      </rPr>
      <t xml:space="preserve"> non-residential spaces under 10,000 square feet.</t>
    </r>
  </si>
  <si>
    <t>13.105.5</t>
  </si>
  <si>
    <r>
      <t xml:space="preserve">13.105.5 Efficiency of HVAC equipment. </t>
    </r>
    <r>
      <rPr>
        <sz val="10"/>
        <rFont val="Calibri"/>
        <family val="2"/>
        <scheme val="minor"/>
      </rPr>
      <t>HVAC equipment shall meet the minimum efficiency requirements listed in Tables C403.3.2(1) through C403.3.2(7) of the International Energy Conservation Code.</t>
    </r>
  </si>
  <si>
    <t>NOTE: For Code &amp; Shell projects, practice is recommended but not required.</t>
  </si>
  <si>
    <t>13.105.6</t>
  </si>
  <si>
    <r>
      <t xml:space="preserve">13.105.6 Efficiency of Service Water Heating equipment. </t>
    </r>
    <r>
      <rPr>
        <sz val="10"/>
        <rFont val="Calibri"/>
        <family val="2"/>
        <scheme val="minor"/>
      </rPr>
      <t>Service Water Heating equipment shall meet the minimum efficiency requirements listed in ICC IECC Table C404.2.</t>
    </r>
  </si>
  <si>
    <t>13.105.7</t>
  </si>
  <si>
    <r>
      <t xml:space="preserve">13.105.7 Lighting. </t>
    </r>
    <r>
      <rPr>
        <sz val="10"/>
        <rFont val="Calibri"/>
        <family val="2"/>
        <scheme val="minor"/>
      </rPr>
      <t>The total interior lighting power allowance shall be less than the total lighting power allowance in accordance with Section C405.3.2 of the International Energy Conservation Code.</t>
    </r>
  </si>
  <si>
    <t>13.105.8</t>
  </si>
  <si>
    <t xml:space="preserve">13.105.8 Commissioning. </t>
  </si>
  <si>
    <t>13.105.8.1</t>
  </si>
  <si>
    <r>
      <t xml:space="preserve">13.105.8.1 Mechanical and service water heating systems. </t>
    </r>
    <r>
      <rPr>
        <sz val="10"/>
        <rFont val="Calibri"/>
        <family val="2"/>
        <scheme val="minor"/>
      </rPr>
      <t>Mechanical and service water heating systems shall comply with ICC IECC Section C408.2.</t>
    </r>
  </si>
  <si>
    <t>13.105.9</t>
  </si>
  <si>
    <r>
      <t xml:space="preserve">13.105.9 Calculation of heating and cooling loads. </t>
    </r>
    <r>
      <rPr>
        <sz val="10"/>
        <rFont val="Calibri"/>
        <family val="2"/>
        <scheme val="minor"/>
      </rPr>
      <t>Design loads associated with heating, ventilating and air conditioning of the building shall be determined in accordance with ANSI/ASHRAE/ACCA Standard 183 or by an approved equivalent computational procedure and using the design parameters specified in Chapter 3 of the ICC IECC. Heating and cooling loads shall be adjusted to account for load reductions that are achieved where energy recovery systems are utilized in the HVAC system in accordance with the ASHRAE HVAC Systems and Equipment Handbook or an approved equivalent computational procedure.</t>
    </r>
  </si>
  <si>
    <t>13.105.10</t>
  </si>
  <si>
    <r>
      <t xml:space="preserve">13.105.10 Duct air sealing. </t>
    </r>
    <r>
      <rPr>
        <sz val="10"/>
        <rFont val="Calibri"/>
        <family val="2"/>
        <scheme val="minor"/>
      </rPr>
      <t>Ductwork shall be constructed in accordance with the ICC IMC.</t>
    </r>
  </si>
  <si>
    <t>NOTE: For Core &amp; Shell projects, practice is required if ducts are installed.</t>
  </si>
  <si>
    <t>13.105.11</t>
  </si>
  <si>
    <r>
      <t xml:space="preserve">13.105.11 Heated-water circulation and temperature maintenance. </t>
    </r>
    <r>
      <rPr>
        <sz val="10"/>
        <rFont val="Calibri"/>
        <family val="2"/>
        <scheme val="minor"/>
      </rPr>
      <t>Where installed, heated- water circulation systems shall be in accordance with Section 105.11.1. Heat trace temperature maintenance systems shall be in accordance with Section 105.11.2. Controls for hot water storage shall be in accordance with Section 105.11.3.  Automatic controls, temperature sensors, and pumps shall be in a location that is accessible. Manual controls shall be in a location with ready access.</t>
    </r>
  </si>
  <si>
    <t>13.105.11.1</t>
  </si>
  <si>
    <r>
      <t xml:space="preserve">13.105.11.1 Circulation systems. </t>
    </r>
    <r>
      <rPr>
        <sz val="10"/>
        <rFont val="Calibri"/>
        <family val="2"/>
        <scheme val="minor"/>
      </rPr>
      <t>Heated-water circulation systems shall be provided with a circulation pump. The system return pipe shall be a dedicated return pipe, or a cold water supply pipe. Gravity and thermos-syphon circulation systems shall be prohibited. Controls for circulation hot water system pumps shall start the pump based on the identification of a demand for hot water. The controls shall automatically turn off the pump when the water in the circulation loop is at the desired temperature and when there is not a demand for hot water.</t>
    </r>
  </si>
  <si>
    <t>13.105.11.2</t>
  </si>
  <si>
    <r>
      <t xml:space="preserve">13.105.11.2 Heat trace systems. </t>
    </r>
    <r>
      <rPr>
        <sz val="10"/>
        <rFont val="Calibri"/>
        <family val="2"/>
        <scheme val="minor"/>
      </rPr>
      <t>Electric heat trace systems shall comply with IECC 505.1. Controls for such systems shall be able to automatically adjust the energy input to the heat tracing to maintain the desired water temperature in the piping in accordance with the times when heated water is used in the occupancy. Heat trace shall be arranged to be turned off automatically when there is not a demand for hot water.</t>
    </r>
  </si>
  <si>
    <t>13.105.11.3</t>
  </si>
  <si>
    <r>
      <t xml:space="preserve">13.105.11.3 Controls for hot water storage. </t>
    </r>
    <r>
      <rPr>
        <sz val="10"/>
        <rFont val="Calibri"/>
        <family val="2"/>
        <scheme val="minor"/>
      </rPr>
      <t>The controls on pumps that circulate water between a water heater and a heated water storage tank shall limit the operation of the pump from the heating cycle startup to not greater than 5 minutes are the end of the cycle.</t>
    </r>
  </si>
  <si>
    <t>13.105.12</t>
  </si>
  <si>
    <r>
      <t xml:space="preserve">13.105.12 Energy options. </t>
    </r>
    <r>
      <rPr>
        <sz val="10"/>
        <rFont val="Calibri"/>
        <family val="2"/>
        <scheme val="minor"/>
      </rPr>
      <t>Non-residential portions of the building shall comply with one of the three options below:</t>
    </r>
  </si>
  <si>
    <t>13.105.12.1</t>
  </si>
  <si>
    <r>
      <t xml:space="preserve">13.105.12.1. </t>
    </r>
    <r>
      <rPr>
        <sz val="10"/>
        <rFont val="Calibri"/>
        <family val="2"/>
        <scheme val="minor"/>
      </rPr>
      <t>Energy requirements shall be met if modeling in accordance with C407 shows a 10% reduction in energy from the IECC.</t>
    </r>
  </si>
  <si>
    <t>13.105.12.2</t>
  </si>
  <si>
    <r>
      <t xml:space="preserve">13.105.12.2. </t>
    </r>
    <r>
      <rPr>
        <sz val="10"/>
        <rFont val="Calibri"/>
        <family val="2"/>
        <scheme val="minor"/>
      </rPr>
      <t>Energy requirements shall be met if modeling in accordance with ASHRAE 90.1 Appendix G shows a 10% reduction in energy cost from the prescribed levels.</t>
    </r>
  </si>
  <si>
    <t>13.105.12.3</t>
  </si>
  <si>
    <r>
      <t xml:space="preserve">13.105.12.3. </t>
    </r>
    <r>
      <rPr>
        <sz val="10"/>
        <rFont val="Calibri"/>
        <family val="2"/>
        <scheme val="minor"/>
      </rPr>
      <t>Energy requirements shall be met if at least two options in IECC Section C406 are met.</t>
    </r>
  </si>
  <si>
    <t>NOTE: List which options from C406 that were met in the assigned Notes field.</t>
  </si>
  <si>
    <t>13.106</t>
  </si>
  <si>
    <t xml:space="preserve">13.106 Water efficiency and conservation. </t>
  </si>
  <si>
    <t>13.106.1</t>
  </si>
  <si>
    <r>
      <t xml:space="preserve">13.106.1 Fitting and fixture consumption. </t>
    </r>
    <r>
      <rPr>
        <sz val="10"/>
        <rFont val="Calibri"/>
        <family val="2"/>
        <scheme val="minor"/>
      </rPr>
      <t xml:space="preserve">Plumbing fixtures and fixture fittings shall comply with the maximum flow rates specified in Table 106.1. Plumbing fixtures and fixture fittings in Table 106.1 shall have a manufacturer’s designation for flow rate.
</t>
    </r>
    <r>
      <rPr>
        <b/>
        <sz val="10"/>
        <rFont val="Calibri"/>
        <family val="2"/>
        <scheme val="minor"/>
      </rPr>
      <t>Exceptions:</t>
    </r>
    <r>
      <rPr>
        <sz val="10"/>
        <rFont val="Calibri"/>
        <family val="2"/>
        <scheme val="minor"/>
      </rPr>
      <t xml:space="preserve"> The following fixtures and devices shall not be required to comply with the reduced flow rates in Table 106.1.</t>
    </r>
  </si>
  <si>
    <t>Clinical sinks having a maximum water consumption of 4.5 gallons (17 L) per flush.</t>
  </si>
  <si>
    <t>Service sinks faucets, tub fillers, pot fillers, laboratory faucets, utility faucets, and other fittings designed primarily for filling operations.</t>
  </si>
  <si>
    <t>Fixtures, fittings, and devices whose primary purpose is safety.</t>
  </si>
  <si>
    <t>13.106.2</t>
  </si>
  <si>
    <r>
      <t xml:space="preserve">13.106.2 Once-through cooling for appliances and equipment. </t>
    </r>
    <r>
      <rPr>
        <sz val="10"/>
        <rFont val="Calibri"/>
        <family val="2"/>
        <scheme val="minor"/>
      </rPr>
      <t>Once-through or single-pass cooling with potable or municipal reclaimed water is prohibited.</t>
    </r>
  </si>
  <si>
    <t>13.106.3</t>
  </si>
  <si>
    <r>
      <t xml:space="preserve">13.106.3 Clothes washers. </t>
    </r>
    <r>
      <rPr>
        <sz val="10"/>
        <rFont val="Calibri"/>
        <family val="2"/>
        <scheme val="minor"/>
      </rPr>
      <t>Clothes washers rated with an IWF (integrated water factor), MEF (modified energy factor), or IMEF (integrated modified energy factor), shall be rated as follows:</t>
    </r>
  </si>
  <si>
    <t>Residential Clothes Washers, Front-loading, &gt; 2.5 cu-ft
maximum IWF 3.2 minimum IMEF 2.76</t>
  </si>
  <si>
    <t>Residential Clothes Washers, T op-loading, &gt; 2.5 cu-ft
maximum 4.3 IWF, minimum IMEF 2.06</t>
  </si>
  <si>
    <t>Residential Clothes Washers (≤ 2.5 cu-ft)
maximum 4.2 IWF, minimum IMEF 2.07</t>
  </si>
  <si>
    <t>Commercial Clothes Washers
maximum 4.0 IWF, minimum MEF 2.20</t>
  </si>
  <si>
    <t>13.106.4</t>
  </si>
  <si>
    <t xml:space="preserve">13.106.4 Food Service. </t>
  </si>
  <si>
    <t>13.106.4.1</t>
  </si>
  <si>
    <r>
      <t xml:space="preserve">13.106.4.1 Dipper wells. </t>
    </r>
    <r>
      <rPr>
        <sz val="10"/>
        <rFont val="Calibri"/>
        <family val="2"/>
        <scheme val="minor"/>
      </rPr>
      <t>The water supply to a dipper well shall have a shutoff valve and flow control valve. The maximum flow shall not exceed 1 gpm (3.78 lpm) at a supply pressure of 60 psi (413.7 kPa). The dipper well shall have a manufacturer’s designation of flow rate.</t>
    </r>
  </si>
  <si>
    <t>13.106.4.2</t>
  </si>
  <si>
    <r>
      <t xml:space="preserve">13.106.4.2 Food waste disposal. </t>
    </r>
    <r>
      <rPr>
        <sz val="10"/>
        <rFont val="Calibri"/>
        <family val="2"/>
        <scheme val="minor"/>
      </rPr>
      <t>The disposal of food wastes that are collected as part of preparing ware for one or more of the following shall accomplish washing:</t>
    </r>
  </si>
  <si>
    <t>A food strainer (scrapper) basket that is emptied into a trash can.</t>
  </si>
  <si>
    <t>A garbage grinder where the water flow into the food waste disposer is controlled by a load sensing device such that the water flow does not exceed 1 gpm under no-load operating conditions and 8 gpm under full-load operating conditions.</t>
  </si>
  <si>
    <t>A pulper or mechanical strainer that uses not more than 2 gpm of potable water.</t>
  </si>
  <si>
    <t>13.106.4.3</t>
  </si>
  <si>
    <r>
      <t xml:space="preserve">13.106.4.3 Pre-rinse spray heads. </t>
    </r>
    <r>
      <rPr>
        <sz val="10"/>
        <rFont val="Calibri"/>
        <family val="2"/>
        <scheme val="minor"/>
      </rPr>
      <t xml:space="preserve">Food service pre-rinse spray heads shall have a manufacturers designation of flow rate, shall comply with the maximum flow rate in Table 1305.1, and shall shut off </t>
    </r>
    <r>
      <rPr>
        <i/>
        <sz val="10"/>
        <rFont val="Calibri"/>
        <family val="2"/>
        <scheme val="minor"/>
      </rPr>
      <t>automatically</t>
    </r>
    <r>
      <rPr>
        <sz val="10"/>
        <rFont val="Calibri"/>
        <family val="2"/>
        <scheme val="minor"/>
      </rPr>
      <t xml:space="preserve"> when released.</t>
    </r>
  </si>
  <si>
    <t>13.106.4.4</t>
  </si>
  <si>
    <r>
      <t xml:space="preserve">13.106.4.4 Hand washing faucets. </t>
    </r>
    <r>
      <rPr>
        <sz val="10"/>
        <rFont val="Calibri"/>
        <family val="2"/>
        <scheme val="minor"/>
      </rPr>
      <t>Faucets for hand washing sinks in food service preparation and serving areas shall be of the self-closing type.</t>
    </r>
  </si>
  <si>
    <t>13.106.5</t>
  </si>
  <si>
    <r>
      <t xml:space="preserve">13.106.5. Water softeners. </t>
    </r>
    <r>
      <rPr>
        <sz val="10"/>
        <rFont val="Calibri"/>
        <family val="2"/>
        <scheme val="minor"/>
      </rPr>
      <t>Water softeners shall comply with Sections 13.106.5.1 through 13.106.5.3.</t>
    </r>
  </si>
  <si>
    <t>13.106.5.1</t>
  </si>
  <si>
    <r>
      <t xml:space="preserve">13.106.5.1 Demand initiated regeneration. </t>
    </r>
    <r>
      <rPr>
        <sz val="10"/>
        <rFont val="Calibri"/>
        <family val="2"/>
        <scheme val="minor"/>
      </rPr>
      <t>Water softeners shall be equipped with demand- initiated regeneration control systems. Such control systems shall automatically initiate the regeneration cycle after determining the depletion, or impending depletion of softening capacity.</t>
    </r>
  </si>
  <si>
    <t>13.106.5.2</t>
  </si>
  <si>
    <r>
      <t xml:space="preserve">13.106.5.2 Water consumption. </t>
    </r>
    <r>
      <rPr>
        <sz val="10"/>
        <rFont val="Calibri"/>
        <family val="2"/>
        <scheme val="minor"/>
      </rPr>
      <t>Water softeners shall have a maximum water consumption during regeneration of 5 gal (18.9 L) per 1000 grains of hardness removed as measured in accordance with NSF 44.</t>
    </r>
  </si>
  <si>
    <t>13.106.5.3</t>
  </si>
  <si>
    <r>
      <t xml:space="preserve">13.106.5.3 Waste connections. </t>
    </r>
    <r>
      <rPr>
        <sz val="10"/>
        <rFont val="Calibri"/>
        <family val="2"/>
        <scheme val="minor"/>
      </rPr>
      <t xml:space="preserve">Waste water from water softener regeneration shall not discharge to reclaimed, gray water or rainwater water collection systems and shall discharge in accordance with the </t>
    </r>
    <r>
      <rPr>
        <i/>
        <sz val="10"/>
        <rFont val="Calibri"/>
        <family val="2"/>
        <scheme val="minor"/>
      </rPr>
      <t>International Plumbing Code</t>
    </r>
    <r>
      <rPr>
        <sz val="10"/>
        <rFont val="Calibri"/>
        <family val="2"/>
        <scheme val="minor"/>
      </rPr>
      <t>.</t>
    </r>
  </si>
  <si>
    <t>13.106.6</t>
  </si>
  <si>
    <r>
      <t xml:space="preserve">13.106.6 Heat exchangers. </t>
    </r>
    <r>
      <rPr>
        <sz val="10"/>
        <rFont val="Calibri"/>
        <family val="2"/>
        <scheme val="minor"/>
      </rPr>
      <t>Once-through or single-pass cooling with potable or municipal reclaimed water is prohibited. Heat exchangers shall be connected to a recirculating water system such as a chilled water loop, cooling tower loop, or similar recirculating system.</t>
    </r>
  </si>
  <si>
    <t>13.107</t>
  </si>
  <si>
    <t xml:space="preserve">13.107 Indoor Air Quality. </t>
  </si>
  <si>
    <t>13.107.1</t>
  </si>
  <si>
    <r>
      <t xml:space="preserve">13.107.1 Carpets. </t>
    </r>
    <r>
      <rPr>
        <sz val="10"/>
        <rFont val="Calibri"/>
        <family val="2"/>
        <scheme val="minor"/>
      </rPr>
      <t>Carpeting is not installed adjacent to water closets and bathing and or shower fixtures.</t>
    </r>
  </si>
  <si>
    <t>13.107.1.1</t>
  </si>
  <si>
    <r>
      <t xml:space="preserve">13.107.1.1 Entry. </t>
    </r>
    <r>
      <rPr>
        <sz val="10"/>
        <rFont val="Calibri"/>
        <family val="2"/>
        <scheme val="minor"/>
      </rPr>
      <t>The primary entryway from the outdoors shall include one of the following:</t>
    </r>
  </si>
  <si>
    <t>Permanent walk-off mat that allows access for cleaning (e.g., grating with catch basin); or</t>
  </si>
  <si>
    <t>Roll-out mat that will be maintained on a weekly basis by a contracted service.</t>
  </si>
  <si>
    <t>13.107.2</t>
  </si>
  <si>
    <r>
      <t xml:space="preserve">13.107.2 Prohibited materials. </t>
    </r>
    <r>
      <rPr>
        <sz val="10"/>
        <rFont val="Calibri"/>
        <family val="2"/>
        <scheme val="minor"/>
      </rPr>
      <t>The use of the following materials shall be prohibited:</t>
    </r>
  </si>
  <si>
    <t>Asbestos-containing materials</t>
  </si>
  <si>
    <t>Urea-formaldehyde foam insulation</t>
  </si>
  <si>
    <t>13.107.3</t>
  </si>
  <si>
    <r>
      <t xml:space="preserve">13.107.3 Product emissions. </t>
    </r>
    <r>
      <rPr>
        <sz val="10"/>
        <rFont val="Calibri"/>
        <family val="2"/>
        <scheme val="minor"/>
      </rPr>
      <t>At least five types of the following product categories must meet their respective section of the Standard referenced below:</t>
    </r>
  </si>
  <si>
    <r>
      <rPr>
        <b/>
        <sz val="10"/>
        <color theme="1"/>
        <rFont val="Calibri"/>
        <family val="2"/>
        <scheme val="minor"/>
      </rPr>
      <t>901.4</t>
    </r>
    <r>
      <rPr>
        <sz val="10"/>
        <color theme="1"/>
        <rFont val="Calibri"/>
        <family val="2"/>
        <scheme val="minor"/>
      </rPr>
      <t xml:space="preserve"> Wood materials. A minimum of 85 percent of material within a product group (i.e., wood structural panels, countertops, composite trim/doors, custom woodwork, and/or component closet shelving) is manufactured in accordance with the following:</t>
    </r>
  </si>
  <si>
    <r>
      <t>901.5</t>
    </r>
    <r>
      <rPr>
        <sz val="10"/>
        <color theme="1"/>
        <rFont val="Calibri"/>
        <family val="2"/>
        <scheme val="minor"/>
      </rPr>
      <t xml:space="preserve"> </t>
    </r>
    <r>
      <rPr>
        <b/>
        <sz val="10"/>
        <color theme="1"/>
        <rFont val="Calibri"/>
        <family val="2"/>
        <scheme val="minor"/>
      </rPr>
      <t>Cabinets.</t>
    </r>
    <r>
      <rPr>
        <sz val="10"/>
        <color theme="1"/>
        <rFont val="Calibri"/>
        <family val="2"/>
        <scheme val="minor"/>
      </rPr>
      <t xml:space="preserve"> A minimum of 85 percent of installed cabinets are in accordance with one or both of the following: </t>
    </r>
  </si>
  <si>
    <r>
      <t>901.7</t>
    </r>
    <r>
      <rPr>
        <sz val="10"/>
        <color theme="1"/>
        <rFont val="Calibri"/>
        <family val="2"/>
        <scheme val="minor"/>
      </rPr>
      <t xml:space="preserve"> </t>
    </r>
    <r>
      <rPr>
        <b/>
        <sz val="10"/>
        <color theme="1"/>
        <rFont val="Calibri"/>
        <family val="2"/>
        <scheme val="minor"/>
      </rPr>
      <t>Floor materials.</t>
    </r>
    <r>
      <rPr>
        <sz val="10"/>
        <color theme="1"/>
        <rFont val="Calibri"/>
        <family val="2"/>
        <scheme val="minor"/>
      </rPr>
      <t xml:space="preserve"> The following types of finished flooring materials are used.  The materials have emission levels in accordance with CDPH/EHLB Standard Method v1.1. Product is tested by a laboratory with the CDPH/EHLB Standard Method v1.1 within the laboratory scope of accreditation to ISO/IEC 17025 and certified by a third-party program accredited to ISO 17065, such as, but not limited to, those in Appendix D. </t>
    </r>
  </si>
  <si>
    <r>
      <t>901.8</t>
    </r>
    <r>
      <rPr>
        <sz val="10"/>
        <color theme="1"/>
        <rFont val="Calibri"/>
        <family val="2"/>
        <scheme val="minor"/>
      </rPr>
      <t xml:space="preserve"> </t>
    </r>
    <r>
      <rPr>
        <b/>
        <sz val="10"/>
        <color theme="1"/>
        <rFont val="Calibri"/>
        <family val="2"/>
        <scheme val="minor"/>
      </rPr>
      <t>Wall coverings.</t>
    </r>
    <r>
      <rPr>
        <sz val="10"/>
        <color theme="1"/>
        <rFont val="Calibri"/>
        <family val="2"/>
        <scheme val="minor"/>
      </rPr>
      <t xml:space="preserve"> A minimum of 10 percent of the interior wall surfaces are covered and a minimum of 85 percent of wall coverings are in accordance with the emission concentration limits of CDPH/EHLB Standard Method v1.1. Emission levels are determined by a laboratory accredited to ISO/IEC 17025 and the CDPH/EHLB Standard Method v1.1 is in its scope. The product is certified by a third-party program accredited to ISO 17065, such as, but not limited to, those in Appendix D.</t>
    </r>
  </si>
  <si>
    <r>
      <t>901.9 Interior architectural coatings.</t>
    </r>
    <r>
      <rPr>
        <sz val="10"/>
        <color theme="1"/>
        <rFont val="Calibri"/>
        <family val="2"/>
        <scheme val="minor"/>
      </rPr>
      <t xml:space="preserve"> A minimum of 85 percent of the interior architectural coatings are in accordance with either Section 901.9.1 or Section 901.9.3, not both. A minimum of 85 percent of architectural colorants are in accordance with Section 901.9.2.</t>
    </r>
  </si>
  <si>
    <r>
      <t>901.9.1</t>
    </r>
    <r>
      <rPr>
        <sz val="10"/>
        <color theme="1"/>
        <rFont val="Calibri"/>
        <family val="2"/>
        <scheme val="minor"/>
      </rPr>
      <t xml:space="preserve"> Site-applied interior architectural coatings, which are inside the water proofing envelope, are in accordance with one or more of the following:</t>
    </r>
  </si>
  <si>
    <r>
      <t xml:space="preserve">CARB </t>
    </r>
    <r>
      <rPr>
        <i/>
        <sz val="10"/>
        <color theme="1"/>
        <rFont val="Calibri"/>
        <family val="2"/>
        <scheme val="minor"/>
      </rPr>
      <t>Suggested Control Measure for Architectural Coatings</t>
    </r>
    <r>
      <rPr>
        <sz val="10"/>
        <color theme="1"/>
        <rFont val="Calibri"/>
        <family val="2"/>
        <scheme val="minor"/>
      </rPr>
      <t xml:space="preserve"> (see Table 901.9.1).</t>
    </r>
  </si>
  <si>
    <t>See Table 901.9.1</t>
  </si>
  <si>
    <r>
      <t>901.9.2</t>
    </r>
    <r>
      <rPr>
        <sz val="10"/>
        <color theme="1"/>
        <rFont val="Calibri"/>
        <family val="2"/>
        <scheme val="minor"/>
      </rPr>
      <t xml:space="preserve"> Architectural coating colorant additive VOC content is in accordance with Table 901.9.2.</t>
    </r>
  </si>
  <si>
    <t>(Points for 901.9.2 are awarded only if base architectural coating is in accordance with 901.9.1.)</t>
  </si>
  <si>
    <t>See Table 901.9.2</t>
  </si>
  <si>
    <r>
      <t>901.9.3</t>
    </r>
    <r>
      <rPr>
        <sz val="10"/>
        <color theme="1"/>
        <rFont val="Calibri"/>
        <family val="2"/>
        <scheme val="minor"/>
      </rPr>
      <t xml:space="preserve"> Site-applied interior architectural coatings, which are inside the waterproofing envelope, are in accordance with the emission levels of CDPH/EHLB Standard Method v1.1. Emission levels are determined by a laboratory accredited to ISO/IEC 17025 and the CDPH/EHLB Standard Method v1.1 in its scope of accreditation. The product is certified by a third-party program accredited to ISO 17065, such as, but not limited to, those found in Appendix D. </t>
    </r>
  </si>
  <si>
    <r>
      <t>901.10 Interior adhesives and sealants.</t>
    </r>
    <r>
      <rPr>
        <sz val="10"/>
        <color theme="1"/>
        <rFont val="Calibri"/>
        <family val="2"/>
        <scheme val="minor"/>
      </rPr>
      <t xml:space="preserve"> A minimum of 85 percent of site-applied adhesives and sealants located inside the waterproofing envelope are in accordance with one of the following, as applicable.</t>
    </r>
  </si>
  <si>
    <t xml:space="preserve">The emission levels are in accordance with CDPH/EHLB Standard Method v1.1. Emission levels are determined by a laboratory accredited to ISO/IEC 17025 and the CDPH/EHLB Standard Method v1.1 is in its scope of accreditation. The product is certified by a third-party program accredited to ISO 17065, such as, but not limited to, those found in Appendix D. </t>
  </si>
  <si>
    <t>SCAQMD Rule 1168 in accordance with Table 901.10(3), excluding products that are sold in 16 ounce containers or less and are regulated by the California Air Resources Board (CARB) Consumer Products Regulations.</t>
  </si>
  <si>
    <t>See Table 901.10(3)</t>
  </si>
  <si>
    <r>
      <t>901.11</t>
    </r>
    <r>
      <rPr>
        <sz val="10"/>
        <color theme="1"/>
        <rFont val="Calibri"/>
        <family val="2"/>
        <scheme val="minor"/>
      </rPr>
      <t xml:space="preserve"> </t>
    </r>
    <r>
      <rPr>
        <b/>
        <sz val="10"/>
        <color theme="1"/>
        <rFont val="Calibri"/>
        <family val="2"/>
        <scheme val="minor"/>
      </rPr>
      <t>Insulation.</t>
    </r>
    <r>
      <rPr>
        <sz val="10"/>
        <color theme="1"/>
        <rFont val="Calibri"/>
        <family val="2"/>
        <scheme val="minor"/>
      </rPr>
      <t xml:space="preserve"> Emissions of 85 percent of wall, ceiling, and floor insulation materials are in accordance with the emission levels of CDPH/EHLB Standard Method v1.1. Emission levels are determined by a laboratory accredited to ISO/IEC 17025 and the CDPH/EHLB Standard Method v1.1 is in its scope of accreditation. Insulation is certified by a third-party program accredited to ISO 17065, such as, but not limited to, those in Appendix D. </t>
    </r>
  </si>
  <si>
    <t>13.107.4</t>
  </si>
  <si>
    <r>
      <t xml:space="preserve">13.107.4 Fireplaces and appliances. </t>
    </r>
    <r>
      <rPr>
        <sz val="10"/>
        <rFont val="Calibri"/>
        <family val="2"/>
        <scheme val="minor"/>
      </rPr>
      <t>Where located within buildings, fireplaces, solid fuel-burning appliances, vented decorative gas appliances, vented gas fireplace heaters and decorative gas appliances for installation in fireplaces shall comply with Sections 107.4.1 through 107.4.5.</t>
    </r>
  </si>
  <si>
    <t>13.107.4.1</t>
  </si>
  <si>
    <r>
      <t xml:space="preserve">13.107.4.1 Venting and combustion air. </t>
    </r>
    <r>
      <rPr>
        <sz val="10"/>
        <rFont val="Calibri"/>
        <family val="2"/>
        <scheme val="minor"/>
      </rPr>
      <t>Fireplaces and fuel-burning appliances shall be vented to the outdoors and shall be provided with combustion air provided from the outdoors in accordance with the International Mechanical Code and the International Fuel Gas Code. Solid-fuel-burning fireplaces shall be provided with a means to tightly close off the chimney flue and combustion air openings when the fireplace is not in use.</t>
    </r>
  </si>
  <si>
    <t>13.107.4.2</t>
  </si>
  <si>
    <r>
      <t xml:space="preserve">13.107.4.2 Wood-fired appliances. </t>
    </r>
    <r>
      <rPr>
        <sz val="10"/>
        <rFont val="Calibri"/>
        <family val="2"/>
        <scheme val="minor"/>
      </rPr>
      <t>Wood stoves and wood-burning fireplace inserts shall be listed and, additionally, shall be labeled in accordance with the applicable requirement.</t>
    </r>
  </si>
  <si>
    <t>Factory-built, wood-burning fireplaces are in accordance with the certification requirements of UL 127.</t>
  </si>
  <si>
    <t>Wood stove and fireplace inserts, as defined in UL 1482 Section 3.8, are in accordance with the certification requirements of UL 1482.</t>
  </si>
  <si>
    <t>13.107.4.3</t>
  </si>
  <si>
    <r>
      <t xml:space="preserve">13.107.4.3 Biomass appliances. </t>
    </r>
    <r>
      <rPr>
        <sz val="10"/>
        <rFont val="Calibri"/>
        <family val="2"/>
        <scheme val="minor"/>
      </rPr>
      <t>Biomass fireplaces, stoves and inserts shall be listed and labeled in accordance with ASTM E 1509 or UL 1482. Biomass furnaces shall be listed and labeled in accordance with CSA B366.1 or UL 391. Biomass boilers shall be listed and labeled in accordance with CSA B366.1 or UL 2523.</t>
    </r>
  </si>
  <si>
    <t>13.107.4.4</t>
  </si>
  <si>
    <r>
      <t xml:space="preserve">13.107.4.4 Gas-fireplaces. </t>
    </r>
    <r>
      <rPr>
        <sz val="10"/>
        <rFont val="Calibri"/>
        <family val="2"/>
        <scheme val="minor"/>
      </rPr>
      <t>Gas-fired fireplaces and direct heating equipment is listed and is installed in accordance with the NFPA 54, ICC IFGC, or the applicable local gas appliance installation code. Gas-fired fireplaces within dwelling units and direct heating equipment are vented to the outdoors.</t>
    </r>
  </si>
  <si>
    <t>13.107.4.5</t>
  </si>
  <si>
    <r>
      <t xml:space="preserve">13.107.4.5 Unvented. </t>
    </r>
    <r>
      <rPr>
        <sz val="10"/>
        <rFont val="Calibri"/>
        <family val="2"/>
        <scheme val="minor"/>
      </rPr>
      <t>Unvented room heaters and unvented decorative appliances, including alcohol burning, shall be prohibited.</t>
    </r>
  </si>
  <si>
    <t>13.107.5</t>
  </si>
  <si>
    <r>
      <t xml:space="preserve">13.107.5 Protection of HVAC system openings. </t>
    </r>
    <r>
      <rPr>
        <sz val="10"/>
        <rFont val="Calibri"/>
        <family val="2"/>
        <scheme val="minor"/>
      </rPr>
      <t>HVAC supply and return duct and equipment openings shall be protected during dust-producing operations of construction.</t>
    </r>
  </si>
  <si>
    <t>13.107.6</t>
  </si>
  <si>
    <r>
      <t xml:space="preserve">13.107.6 Garages. </t>
    </r>
    <r>
      <rPr>
        <sz val="10"/>
        <rFont val="Calibri"/>
        <family val="2"/>
        <scheme val="minor"/>
      </rPr>
      <t>Attached garages are in accordance with the following:</t>
    </r>
  </si>
  <si>
    <t>Doors installed in the common wall between the attached garage and conditioned space are tightly sealed and gasketed.</t>
  </si>
  <si>
    <t>A continuous air barrier is provided separating the garage space from the conditioned spaces.</t>
  </si>
  <si>
    <t>13.107.7</t>
  </si>
  <si>
    <r>
      <t xml:space="preserve">13.107.7 Spot Ventilation. </t>
    </r>
    <r>
      <rPr>
        <sz val="10"/>
        <rFont val="Calibri"/>
        <family val="2"/>
        <scheme val="minor"/>
      </rPr>
      <t>Exhaust systems shall be provided in accordance with Chapter 5 of the ICC IMC or ASHRAE 62.1.</t>
    </r>
  </si>
  <si>
    <t>13.107.8</t>
  </si>
  <si>
    <t xml:space="preserve">13.107.8 Building Ventilation Systems. </t>
  </si>
  <si>
    <t>13.107.8.1</t>
  </si>
  <si>
    <r>
      <t xml:space="preserve">13.107.8.1 Building Ventilation. </t>
    </r>
    <r>
      <rPr>
        <sz val="10"/>
        <rFont val="Calibri"/>
        <family val="2"/>
        <scheme val="minor"/>
      </rPr>
      <t>Ventilation shall be provided to non-residential spaces in accordance with Chapter 4 of the ICC IMC or ASHRAE 62.1.</t>
    </r>
  </si>
  <si>
    <t>13.107.8.2</t>
  </si>
  <si>
    <r>
      <t xml:space="preserve">13.107.8.2 Air filters. </t>
    </r>
    <r>
      <rPr>
        <sz val="10"/>
        <rFont val="Calibri"/>
        <family val="2"/>
        <scheme val="minor"/>
      </rPr>
      <t>Air filters with a minimum MERV rating of 6 are installed on central forced air systems and are accessible.</t>
    </r>
  </si>
  <si>
    <t>13.107.9</t>
  </si>
  <si>
    <r>
      <t xml:space="preserve">13.107.9 Radon system. </t>
    </r>
    <r>
      <rPr>
        <sz val="10"/>
        <rFont val="Calibri"/>
        <family val="2"/>
        <scheme val="minor"/>
      </rPr>
      <t>Commercial spaces in building located in Zone 1 shall comply with section 902.3.</t>
    </r>
  </si>
  <si>
    <t>902.3</t>
  </si>
  <si>
    <r>
      <t>902.3 Radon reduction measures.</t>
    </r>
    <r>
      <rPr>
        <sz val="10"/>
        <rFont val="Calibri"/>
        <family val="2"/>
        <scheme val="minor"/>
      </rPr>
      <t xml:space="preserve"> Radon reduction measures are in accordance with ICC IRC Appendix F or 902.3.1. Radon Zones as identified by the AHJ or, if the zone is not identified by the AHJ, as defined in Figure 9(1).</t>
    </r>
  </si>
  <si>
    <r>
      <t>902.3.1 Radon reduction option.</t>
    </r>
    <r>
      <rPr>
        <sz val="10"/>
        <rFont val="Calibri"/>
        <family val="2"/>
        <scheme val="minor"/>
      </rPr>
      <t xml:space="preserve"> This option requires section 902.3.1.1 through 902.3.1.7.</t>
    </r>
  </si>
  <si>
    <r>
      <t>902.3.1.1 Soil-gas barriers and base course.</t>
    </r>
    <r>
      <rPr>
        <sz val="10"/>
        <rFont val="Calibri"/>
        <family val="2"/>
        <scheme val="minor"/>
      </rPr>
      <t xml:space="preserve"> A base course in accordance with Section 506.2.2 of the IRC shall be installed below slabs and foundations. There shall be a continuous gas-permeable base course under each soil-gas retarder that is separated by foundation walls or footings. Between slabs and the base course, damp proofing or water proofing shall be installed in accordance with Section 406 of the IRC. Punctures, tears and gaps around penetrations of the soil-gas retarder shall be repaired or covered with an additional soil-gas retarder. The soil-gas retarder shall be a continuous6-mil (0.15 mm) polyethylene or an approved equivalent.</t>
    </r>
  </si>
  <si>
    <r>
      <t>902.3.1.2 Soil gas collection.</t>
    </r>
    <r>
      <rPr>
        <sz val="10"/>
        <rFont val="Calibri"/>
        <family val="2"/>
        <scheme val="minor"/>
      </rPr>
      <t xml:space="preserve"> There shall be an unobstructed path for soil gas flow between the void space installed in the base course and the vent through the roof. Soil gases below the foundation shall be collected by a perforated pipe with a diameter of not less than 4 inches (10 cm) and not less than 5 feet (1.5 m) in total length. A tee fitting or equivalent method shall provide two horizontal openings to the radon collection. The tee fitting shall be designed to prevent clogging of the radon collection path. Alternately the soil gas collection shall be by approved radon collection mats or an equivalent approved method.</t>
    </r>
  </si>
  <si>
    <r>
      <t>902.3.1.3 Soil gas entry routes.</t>
    </r>
    <r>
      <rPr>
        <sz val="10"/>
        <rFont val="Calibri"/>
        <family val="2"/>
        <scheme val="minor"/>
      </rPr>
      <t xml:space="preserve"> Openings in slabs, soil-gas retarders, and joints such as, but not limited to, plumbing, ground water control systems, soil-gas vent pipes, piping and structural supports, shall be sealed against air leakage at the penetrations. The sealant shall be a polyurethane caulk, expanding foam or other approved method. Foundation walls shall comply with Section 103.2.3 of the IRC. Sumps shall be sealed in accordance with Section 103.2.2 of the IRC. Sump pits and sump lids intended for ground water control shall not be connected to the sub-slab soil-gas exhaust system.</t>
    </r>
  </si>
  <si>
    <r>
      <t>902.3.1.4 Soil gas vent.</t>
    </r>
    <r>
      <rPr>
        <sz val="10"/>
        <rFont val="Calibri"/>
        <family val="2"/>
        <scheme val="minor"/>
      </rPr>
      <t xml:space="preserve"> A gas-tight pipe vent shall extend from the soil gas permeable layer though the roof. The vent pipe size shall not be reduced at any location as it goes from gas collection to the roof. Exposed and visible interior vent pipes shall be identified with not less than one label reading “Radon Reduction System” on each floor and in habitable attics.</t>
    </r>
  </si>
  <si>
    <r>
      <t>902.3.1.5 Vent pipe diameter.</t>
    </r>
    <r>
      <rPr>
        <sz val="10"/>
        <rFont val="Calibri"/>
        <family val="2"/>
        <scheme val="minor"/>
      </rPr>
      <t xml:space="preserve"> The minimum vent pipe diameter shall be as specified in Table 902.3.2.5.</t>
    </r>
  </si>
  <si>
    <r>
      <t>902.3.1.6 Multiple vented areas.</t>
    </r>
    <r>
      <rPr>
        <sz val="10"/>
        <rFont val="Calibri"/>
        <family val="2"/>
        <scheme val="minor"/>
      </rPr>
      <t xml:space="preserve"> In dwellings where interior footings or other barriers separate the soil-gas permeable layer, each area shall be fitted with an individual vent pipe. Vent pipes shall connect to a single vent that terminates above the roof or each individual vent pipe shall terminate separately above the roof.</t>
    </r>
  </si>
  <si>
    <r>
      <t>902.3.1.7 Fan.</t>
    </r>
    <r>
      <rPr>
        <sz val="10"/>
        <rFont val="Calibri"/>
        <family val="2"/>
        <scheme val="minor"/>
      </rPr>
      <t xml:space="preserve"> Each sub-slab soil-gas exhaust system shall include a fan, or dedicated space for the post-construction installation of a fan. The electrical supply for the fan shall be located within 6 feet (1.8 m) of the fan. Fan is not required to be on a dedicated circuit.</t>
    </r>
  </si>
  <si>
    <r>
      <t>902.3.2 Radon testing.</t>
    </r>
    <r>
      <rPr>
        <sz val="10"/>
        <rFont val="Calibri"/>
        <family val="2"/>
        <scheme val="minor"/>
      </rPr>
      <t xml:space="preserve"> Radon testing is mandatory for Zone 1.</t>
    </r>
  </si>
  <si>
    <t>(2) Testing is not mandatory where the occupied space is located above an unenclosed open space.</t>
  </si>
  <si>
    <t xml:space="preserve">Testing specifications. Testing is performance as specified in (a) through (j). </t>
  </si>
  <si>
    <t>Testing is not performed in a closet, hallway, stairway, laundry room, furnace room, kitchen or bathroom.</t>
  </si>
  <si>
    <t>13.108</t>
  </si>
  <si>
    <t xml:space="preserve">13.108 Operation, Maintenance, and Building Owner Education. </t>
  </si>
  <si>
    <t>13.108.1</t>
  </si>
  <si>
    <r>
      <t xml:space="preserve">13.108.1 OPERATION AND MAINTENANCE MANUALS FOR TENANTS. </t>
    </r>
    <r>
      <rPr>
        <sz val="10"/>
        <rFont val="Calibri"/>
        <family val="2"/>
        <scheme val="minor"/>
      </rPr>
      <t>Manuals are provided to the initial tenants of the non-residential space regarding the operation, and maintenance of the building. Paper or digital format manuals are to include information regarding those aspects of the building’s maintenance, and operation that are within the area of responsibilities of the respective tenant. One or more responsible parties are to receive a copy of all documentation for archival purposes.</t>
    </r>
  </si>
  <si>
    <t>A narrative detailing the importance of operating in a green building. This narrative is included in all responsible parties’ manuals.</t>
  </si>
  <si>
    <t>A list of practices to conserve water and energy which require maintenance.</t>
  </si>
  <si>
    <t>Information on opportunities to purchase renewable energy from local utilities or national green power providers.</t>
  </si>
  <si>
    <t>Information on local and on-site recycling and hazardous waste disposal programs.</t>
  </si>
  <si>
    <t>Local public transportation options for employees.</t>
  </si>
  <si>
    <t>13.108.2</t>
  </si>
  <si>
    <r>
      <t xml:space="preserve">13.108.2 TENANT FINISH-OUT MANUAL. </t>
    </r>
    <r>
      <rPr>
        <sz val="10"/>
        <rFont val="Calibri"/>
        <family val="2"/>
        <scheme val="minor"/>
      </rPr>
      <t>Manuals are provided to the tenants of the non-residential space prior to the start of construction regarding the design and construction of the non-residential portion of the building. Paper or digital format manuals are to include information regarding those aspects of the design and construction that are within the area of responsibilities of the respective tenant. One or more responsible parties are to receive a copy of all documentation for archival purposes.</t>
    </r>
  </si>
  <si>
    <t>Provisions of this Chapter verified at the time of building Certification for the respective space that shall be maintained as part of the Tenant Finish Out</t>
  </si>
  <si>
    <t>Provisions of this Chapter NOT verified at the time of building Certification for the respective space that shall be included in the Tenant Finish Out Construction Documents.</t>
  </si>
  <si>
    <t>A list of minimum green building material specifications that are to be included in the Tenant Finish Out Construction Documents based on the materials that were installed in the residential portion of the building.</t>
  </si>
  <si>
    <t>Sign Off After ROUGH Inspection For Commercial Spaces</t>
  </si>
  <si>
    <t>Comm. Space pathway selected:</t>
  </si>
  <si>
    <r>
      <t xml:space="preserve">Client Rep. Signature: </t>
    </r>
    <r>
      <rPr>
        <b/>
        <sz val="11"/>
        <color theme="0" tint="-0.24994659260841701"/>
        <rFont val="Calibri"/>
        <family val="2"/>
        <scheme val="minor"/>
      </rPr>
      <t>(Optional)</t>
    </r>
  </si>
  <si>
    <t>Client Signature Release:</t>
  </si>
  <si>
    <t>Client Comments:</t>
  </si>
  <si>
    <t>I have personally verified by inspection and/or document review the green practices for which I have awarded points during this rough inspection on this building following the guidance in theVerifier Agreement and Verifiers Resource Guide.  My company is not supplying product, participating in the physical construction of this project, or affiliated in any other way that would compromise the independence of my verification services.</t>
  </si>
  <si>
    <t>Sign Off After FINAL Inspection For Commercial Spaces</t>
  </si>
  <si>
    <t>Client Rep. Signature:</t>
  </si>
  <si>
    <t>Ch. 13</t>
  </si>
  <si>
    <t>Full</t>
  </si>
  <si>
    <t>Core &amp; Shell</t>
  </si>
  <si>
    <t>Building includes commercial space pursuing Commercial Space certification?</t>
  </si>
  <si>
    <t>ddCommercial</t>
  </si>
  <si>
    <t>dstCommercial</t>
  </si>
  <si>
    <t>verCommercial</t>
  </si>
  <si>
    <t>Plan review.</t>
  </si>
  <si>
    <t>Plans/specifications AND scope of work(s) detailing how requirement has been met. Photo(s) showing installation. Report from certified professional when the building code exceptions are used.</t>
  </si>
  <si>
    <t>Plans/specifications showing damp-proofing.</t>
  </si>
  <si>
    <t>Manufacturer’s literature/specification/labeling showing ASTM or other compliance. Plans/specifications and scope of work showing installation.</t>
  </si>
  <si>
    <r>
      <rPr>
        <b/>
        <sz val="10"/>
        <color theme="1"/>
        <rFont val="Calibri"/>
        <family val="2"/>
        <scheme val="minor"/>
      </rPr>
      <t xml:space="preserve">REQUIRED FOR CORE &amp; SHELL. </t>
    </r>
    <r>
      <rPr>
        <sz val="10"/>
        <color theme="1"/>
        <rFont val="Calibri"/>
        <family val="2"/>
        <scheme val="minor"/>
      </rPr>
      <t>None.</t>
    </r>
  </si>
  <si>
    <t>Review construction waste management plan.</t>
  </si>
  <si>
    <r>
      <rPr>
        <b/>
        <sz val="10"/>
        <color theme="1"/>
        <rFont val="Calibri"/>
        <family val="2"/>
        <scheme val="minor"/>
      </rPr>
      <t xml:space="preserve">REQUIRED FOR CORE &amp; SHELL. </t>
    </r>
    <r>
      <rPr>
        <sz val="10"/>
        <color theme="1"/>
        <rFont val="Calibri"/>
        <family val="2"/>
        <scheme val="minor"/>
      </rPr>
      <t>See corresponding Chapter 6 practice.</t>
    </r>
  </si>
  <si>
    <r>
      <rPr>
        <b/>
        <sz val="10"/>
        <color theme="1"/>
        <rFont val="Calibri"/>
        <family val="2"/>
        <scheme val="minor"/>
      </rPr>
      <t xml:space="preserve">REQUIRED FOR CORE &amp; SHELL. </t>
    </r>
    <r>
      <rPr>
        <sz val="10"/>
        <color theme="1"/>
        <rFont val="Calibri"/>
        <family val="2"/>
        <scheme val="minor"/>
      </rPr>
      <t>COMcheck analysis.</t>
    </r>
  </si>
  <si>
    <t>REScheck or COMcheck output, for either full building or commercial space.</t>
  </si>
  <si>
    <r>
      <t xml:space="preserve">REQUIRED FOR CORE &amp; SHELL. </t>
    </r>
    <r>
      <rPr>
        <sz val="10"/>
        <color theme="1"/>
        <rFont val="Calibri"/>
        <family val="2"/>
        <scheme val="minor"/>
      </rPr>
      <t>COMcheck or other equivalent analysis method demonstrating compliance.</t>
    </r>
  </si>
  <si>
    <r>
      <rPr>
        <b/>
        <sz val="10"/>
        <color theme="1"/>
        <rFont val="Calibri"/>
        <family val="2"/>
        <scheme val="minor"/>
      </rPr>
      <t>REQUIRED FOR CORE &amp; SHELL.</t>
    </r>
    <r>
      <rPr>
        <sz val="10"/>
        <color theme="1"/>
        <rFont val="Calibri"/>
        <family val="2"/>
        <scheme val="minor"/>
      </rPr>
      <t xml:space="preserve"> Drawing, specifications, scopes of work detailing air sealing that is not readily inspected during the rough inspection.</t>
    </r>
  </si>
  <si>
    <r>
      <rPr>
        <b/>
        <sz val="10"/>
        <color theme="1"/>
        <rFont val="Calibri"/>
        <family val="2"/>
        <scheme val="minor"/>
      </rPr>
      <t>REQUIRED FOR CORE &amp; SHELL.</t>
    </r>
    <r>
      <rPr>
        <sz val="10"/>
        <color theme="1"/>
        <rFont val="Calibri"/>
        <family val="2"/>
        <scheme val="minor"/>
      </rPr>
      <t xml:space="preserve"> None.</t>
    </r>
  </si>
  <si>
    <t>Plan review and manufacturer’s literature.</t>
  </si>
  <si>
    <t>Software output report for this building.</t>
  </si>
  <si>
    <r>
      <rPr>
        <b/>
        <sz val="10"/>
        <color theme="1"/>
        <rFont val="Calibri"/>
        <family val="2"/>
        <scheme val="minor"/>
      </rPr>
      <t xml:space="preserve">REQUIRED FOR CORE &amp; SHELL. </t>
    </r>
    <r>
      <rPr>
        <sz val="10"/>
        <color theme="1"/>
        <rFont val="Calibri"/>
        <family val="2"/>
        <scheme val="minor"/>
      </rPr>
      <t>Plan review.</t>
    </r>
  </si>
  <si>
    <t>Energy performance report showing energy savings levels above ICC IECC. See Energy Efficiency Modeling Policy in VRG Part I for details on eligible software and accepted approaches. This can be submitted as an Excel table or another file format. The 2018 IECC must be the basis for this analysis.</t>
  </si>
  <si>
    <t>Energy performance report showing energy savings levels.</t>
  </si>
  <si>
    <t>Review of manufacturer’s literature for fixtures.</t>
  </si>
  <si>
    <t>Review of manufacturer’s literature.</t>
  </si>
  <si>
    <t>(1) None or (2) review contract.</t>
  </si>
  <si>
    <r>
      <rPr>
        <b/>
        <sz val="10"/>
        <color theme="1"/>
        <rFont val="Calibri"/>
        <family val="2"/>
        <scheme val="minor"/>
      </rPr>
      <t>REQUIRED FOR CORE &amp; SHELL.</t>
    </r>
    <r>
      <rPr>
        <sz val="10"/>
        <color theme="1"/>
        <rFont val="Calibri"/>
        <family val="2"/>
        <scheme val="minor"/>
      </rPr>
      <t xml:space="preserve"> Plan review.</t>
    </r>
  </si>
  <si>
    <t>Refer to the Chapter 9 requirements for the relevant practice.</t>
  </si>
  <si>
    <t>Refer to 902.3 for instructions and guidance. Also see Multifamily Radon Testing Policy.</t>
  </si>
  <si>
    <t>Review manual to make sure it is compliant with sub-practices.</t>
  </si>
  <si>
    <t>4.0.1</t>
  </si>
  <si>
    <t>bug fixes, 703.1.2 now unavailable with exception</t>
  </si>
  <si>
    <t>4.0.2</t>
  </si>
  <si>
    <t>Not Relevant</t>
  </si>
  <si>
    <t>Exempt</t>
  </si>
  <si>
    <r>
      <t>A minimum percent (</t>
    </r>
    <r>
      <rPr>
        <i/>
        <sz val="10"/>
        <rFont val="Calibri"/>
        <family val="2"/>
        <scheme val="minor"/>
      </rPr>
      <t>95%</t>
    </r>
    <r>
      <rPr>
        <sz val="10"/>
        <rFont val="Calibri"/>
        <family val="2"/>
        <scheme val="minor"/>
      </rPr>
      <t>) of the total hard-wired interior luminaires or lamps qualify as ENERGY STAR, DesignLights Consortium (DLC), or applicable equivalent.</t>
    </r>
  </si>
  <si>
    <r>
      <t>A minimum (</t>
    </r>
    <r>
      <rPr>
        <i/>
        <sz val="10"/>
        <rFont val="Calibri"/>
        <family val="2"/>
        <scheme val="minor"/>
      </rPr>
      <t>95%</t>
    </r>
    <r>
      <rPr>
        <sz val="10"/>
        <rFont val="Calibri"/>
        <family val="2"/>
        <scheme val="minor"/>
      </rPr>
      <t>) percent of the total hard-wired interior luminaires or lamps qualify as ENERGY STAR, DesignLights Consortium (DLC), or applicable equivalent.</t>
    </r>
  </si>
  <si>
    <t>fixed rough comm. sig. dropdowns, added "Exempt" to 703.4.4, changed text of 703.6.1, 802.10.1 added.</t>
  </si>
  <si>
    <t>All rights reserved.  This document is protected by U.S. copyright law. Requirements from ICC 700-2020 National Green Building Standard® © 2020 National Association of Home Builders of the U.S. - used by permission.  Home Innovation authorizes use of this document only by those individuals/organizations participating in Home Innovation's NGBS Green program and solely for purpose of seeking NGBS Green certification from the Home Innovation Research Labs.</t>
  </si>
  <si>
    <t>Atlanta</t>
  </si>
  <si>
    <t>30311</t>
  </si>
  <si>
    <t>Hamilton E. Holmes MARTA Station</t>
  </si>
  <si>
    <t>No new insulation in cavities</t>
  </si>
  <si>
    <t>no newly installed exterior veneer</t>
  </si>
  <si>
    <t>framing, foundation, walls, floors</t>
  </si>
  <si>
    <t>No new structural plywood</t>
  </si>
  <si>
    <t>42 units per acre</t>
  </si>
  <si>
    <t>TWG Development</t>
  </si>
  <si>
    <t>330 Brownlee Road SW</t>
  </si>
  <si>
    <t>Joe Baumann, SK Collaborative</t>
  </si>
  <si>
    <t>pre finished vinyl windows, LVT flooring on 50% of floor area</t>
  </si>
  <si>
    <t>Will not be exposed during renovation</t>
  </si>
  <si>
    <t>Nathan Vannatter</t>
  </si>
  <si>
    <t>Joe Baumann</t>
  </si>
  <si>
    <t>joe@skcollaborative.com</t>
  </si>
  <si>
    <t>678-698-4565</t>
  </si>
  <si>
    <t>09:00 AM</t>
  </si>
  <si>
    <t>05:00 PM</t>
  </si>
  <si>
    <t>12/6/2021</t>
  </si>
  <si>
    <t>Andrew Doetsch</t>
  </si>
  <si>
    <t>Green Verifier</t>
  </si>
  <si>
    <t>Multiple</t>
  </si>
  <si>
    <t>330 Brownlee Road SW, Building F</t>
  </si>
  <si>
    <t>330 Brownlee Road SW, Building G</t>
  </si>
  <si>
    <t>330 Brownlee Road SW, Building H</t>
  </si>
  <si>
    <t>330 Brownlee Road SW, Building I</t>
  </si>
  <si>
    <t>nvannatter@twgdev.com</t>
  </si>
  <si>
    <t>785-717-4966</t>
  </si>
  <si>
    <t>Georgia QAP Testing and Inspection</t>
  </si>
  <si>
    <t>n/a</t>
  </si>
  <si>
    <t>No existing moisture problem</t>
  </si>
  <si>
    <t>No newly-installed exterior veneer</t>
  </si>
  <si>
    <t>Framing, foundation, walls, floors</t>
  </si>
  <si>
    <t>Not exposed during renovation</t>
  </si>
  <si>
    <t>Tested and passed</t>
  </si>
  <si>
    <t>Towne West Manor</t>
  </si>
  <si>
    <t>PRJEPKDMnz</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</si>
</sst>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4">
    <numFmt numFmtId="164" formatCode="_(&quot;$&quot;* #,##0_);_(&quot;$&quot;* \(#,##0\);_(&quot;$&quot;* &quot;-&quot;_);_(@_)"/>
    <numFmt numFmtId="165" formatCode="_(* #,##0_);_(* \(#,##0\);_(* &quot;-&quot;_);_(@_)"/>
    <numFmt numFmtId="166" formatCode="_(&quot;$&quot;* #,##0.00_);_(&quot;$&quot;* \(#,##0.00\);_(&quot;$&quot;* &quot;-&quot;??_);_(@_)"/>
    <numFmt numFmtId="167" formatCode="_(* #,##0.00_);_(* \(#,##0.00\);_(* &quot;-&quot;??_);_(@_)"/>
    <numFmt numFmtId="168" formatCode="&quot;(&quot;#&quot;)&quot;"/>
    <numFmt numFmtId="169" formatCode="0&quot; square feet&quot;"/>
    <numFmt numFmtId="170" formatCode="0.0%"/>
    <numFmt numFmtId="171" formatCode="0&quot; products&quot;"/>
    <numFmt numFmtId="172" formatCode="0.0"/>
    <numFmt numFmtId="173" formatCode="0&quot; timer(s)&quot;"/>
    <numFmt numFmtId="174" formatCode="0&quot; humidistat(s)&quot;"/>
    <numFmt numFmtId="175" formatCode="0&quot; fan(s)&quot;"/>
    <numFmt numFmtId="176" formatCode="mm/dd/yy;@"/>
    <numFmt numFmtId="177" formatCode="0&quot; inches&quot;"/>
    <numFmt numFmtId="178" formatCode="0.00&quot; cfm/100 sf&quot;"/>
    <numFmt numFmtId="179" formatCode="0&quot; luminaires&quot;"/>
    <numFmt numFmtId="180" formatCode="&quot;per &quot;0&quot; square feet&quot;"/>
    <numFmt numFmtId="181" formatCode="0&quot; kW&quot;"/>
    <numFmt numFmtId="182" formatCode="0&quot; kWh&quot;"/>
    <numFmt numFmtId="183" formatCode="0&quot; Additional&quot;"/>
    <numFmt numFmtId="184" formatCode="0&quot; system(s)&quot;"/>
    <numFmt numFmtId="185" formatCode="0&quot; meter(s)&quot;"/>
    <numFmt numFmtId="186" formatCode="0&quot; sensor package(s)&quot;"/>
    <numFmt numFmtId="187" formatCode="0&quot; met&quot;"/>
  </numFmts>
  <fonts count="113"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10"/>
      <color theme="1"/>
      <name val="Calibri"/>
      <family val="2"/>
      <scheme val="minor"/>
    </font>
    <font>
      <b/>
      <sz val="14"/>
      <color theme="1"/>
      <name val="Calibri"/>
      <family val="2"/>
      <scheme val="minor"/>
    </font>
    <font>
      <u/>
      <sz val="10"/>
      <color indexed="12"/>
      <name val="Calibri"/>
      <family val="2"/>
      <scheme val="minor"/>
    </font>
    <font>
      <sz val="14"/>
      <color theme="0"/>
      <name val="Calibri"/>
      <family val="2"/>
      <scheme val="minor"/>
    </font>
    <font>
      <u/>
      <sz val="11"/>
      <color theme="11"/>
      <name val="Calibri"/>
      <family val="2"/>
      <scheme val="minor"/>
    </font>
    <font>
      <b/>
      <sz val="11"/>
      <color rgb="FFFF0000"/>
      <name val="Calibri"/>
      <family val="2"/>
      <scheme val="minor"/>
    </font>
    <font>
      <sz val="9"/>
      <color theme="0"/>
      <name val="Calibri"/>
      <family val="2"/>
      <scheme val="minor"/>
    </font>
    <font>
      <b/>
      <sz val="10"/>
      <color theme="1"/>
      <name val="Calibri"/>
      <family val="2"/>
      <scheme val="minor"/>
    </font>
    <font>
      <b/>
      <sz val="10"/>
      <color theme="1"/>
      <name val="Calibri"/>
      <family val="2"/>
    </font>
    <font>
      <sz val="10"/>
      <color theme="1"/>
      <name val="Calibri"/>
      <family val="2"/>
    </font>
    <font>
      <sz val="11"/>
      <color rgb="FF37CBFF"/>
      <name val="Calibri"/>
      <family val="2"/>
      <scheme val="minor"/>
    </font>
    <font>
      <sz val="10"/>
      <name val="Calibri"/>
      <family val="2"/>
    </font>
    <font>
      <sz val="12"/>
      <color theme="0"/>
      <name val="Calibri"/>
      <family val="2"/>
      <scheme val="minor"/>
    </font>
    <font>
      <i/>
      <sz val="10"/>
      <color theme="1"/>
      <name val="Calibri"/>
      <family val="2"/>
      <scheme val="minor"/>
    </font>
    <font>
      <b/>
      <sz val="12"/>
      <name val="Calibri"/>
      <family val="2"/>
    </font>
    <font>
      <vertAlign val="superscript"/>
      <sz val="10"/>
      <color theme="1"/>
      <name val="Calibri"/>
      <family val="2"/>
      <scheme val="minor"/>
    </font>
    <font>
      <b/>
      <vertAlign val="superscript"/>
      <sz val="10"/>
      <color theme="1"/>
      <name val="Calibri"/>
      <family val="2"/>
      <scheme val="minor"/>
    </font>
    <font>
      <b/>
      <i/>
      <sz val="10"/>
      <color theme="1"/>
      <name val="Calibri"/>
      <family val="2"/>
      <scheme val="minor"/>
    </font>
    <font>
      <sz val="7"/>
      <color theme="1"/>
      <name val="Times New Roman"/>
      <family val="1"/>
    </font>
    <font>
      <sz val="10"/>
      <color rgb="FF000000"/>
      <name val="Calibri"/>
      <family val="2"/>
      <scheme val="minor"/>
    </font>
    <font>
      <u/>
      <sz val="10"/>
      <color theme="1"/>
      <name val="Calibri"/>
      <family val="2"/>
      <scheme val="minor"/>
    </font>
    <font>
      <i/>
      <sz val="10"/>
      <color theme="1"/>
      <name val="Symbol"/>
      <family val="1"/>
      <charset val="2"/>
    </font>
    <font>
      <b/>
      <sz val="10"/>
      <color rgb="FFFF0000"/>
      <name val="Calibri"/>
      <family val="2"/>
      <scheme val="minor"/>
    </font>
    <font>
      <b/>
      <sz val="10"/>
      <color theme="0"/>
      <name val="Calibri"/>
      <family val="2"/>
      <scheme val="minor"/>
    </font>
    <font>
      <b/>
      <sz val="10"/>
      <color theme="0"/>
      <name val="Calibri"/>
      <family val="2"/>
    </font>
    <font>
      <sz val="11"/>
      <name val="Calibri"/>
      <family val="2"/>
      <scheme val="minor"/>
    </font>
    <font>
      <i/>
      <vertAlign val="superscript"/>
      <sz val="10"/>
      <color theme="1"/>
      <name val="Calibri"/>
      <family val="2"/>
      <scheme val="minor"/>
    </font>
    <font>
      <sz val="10"/>
      <color rgb="FFFF0000"/>
      <name val="Calibri"/>
      <family val="2"/>
      <scheme val="minor"/>
    </font>
    <font>
      <vertAlign val="superscript"/>
      <sz val="10"/>
      <color theme="1"/>
      <name val="Calibri"/>
      <family val="2"/>
    </font>
    <font>
      <b/>
      <sz val="10"/>
      <name val="Calibri"/>
      <family val="2"/>
      <scheme val="minor"/>
    </font>
    <font>
      <b/>
      <vertAlign val="superscript"/>
      <sz val="10"/>
      <color theme="1"/>
      <name val="Calibri"/>
      <family val="2"/>
    </font>
    <font>
      <sz val="8"/>
      <color theme="1"/>
      <name val="Calibri"/>
      <family val="2"/>
    </font>
    <font>
      <u/>
      <sz val="10"/>
      <color theme="10"/>
      <name val="Calibri"/>
      <family val="2"/>
      <scheme val="minor"/>
    </font>
    <font>
      <sz val="10"/>
      <color theme="0"/>
      <name val="Calibri"/>
      <family val="2"/>
      <scheme val="minor"/>
    </font>
    <font>
      <b/>
      <sz val="16"/>
      <color theme="1"/>
      <name val="Calibri"/>
      <family val="2"/>
      <scheme val="minor"/>
    </font>
    <font>
      <sz val="8"/>
      <color theme="0" tint="-0.499984740745262"/>
      <name val="Calibri"/>
      <family val="2"/>
      <scheme val="minor"/>
    </font>
    <font>
      <i/>
      <sz val="8"/>
      <color theme="1"/>
      <name val="Calibri"/>
      <family val="2"/>
      <scheme val="minor"/>
    </font>
    <font>
      <i/>
      <sz val="8"/>
      <color theme="0" tint="-0.499984740745262"/>
      <name val="Calibri"/>
      <family val="2"/>
      <scheme val="minor"/>
    </font>
    <font>
      <i/>
      <sz val="9"/>
      <color theme="2" tint="-0.499984740745262"/>
      <name val="Calibri"/>
      <family val="2"/>
      <scheme val="minor"/>
    </font>
    <font>
      <i/>
      <sz val="11"/>
      <color theme="1"/>
      <name val="Calibri"/>
      <family val="2"/>
      <scheme val="minor"/>
    </font>
    <font>
      <sz val="10"/>
      <name val="Calibri"/>
      <family val="2"/>
      <scheme val="minor"/>
    </font>
    <font>
      <u/>
      <sz val="14"/>
      <color theme="0"/>
      <name val="Calibri"/>
      <family val="2"/>
      <scheme val="minor"/>
    </font>
    <font>
      <b/>
      <u/>
      <sz val="11"/>
      <color theme="1"/>
      <name val="Calibri"/>
      <family val="2"/>
      <scheme val="minor"/>
    </font>
    <font>
      <u/>
      <sz val="11"/>
      <color theme="10"/>
      <name val="Calibri"/>
      <family val="2"/>
      <scheme val="minor"/>
    </font>
    <font>
      <sz val="8"/>
      <color theme="1"/>
      <name val="Calibri"/>
      <family val="2"/>
      <scheme val="minor"/>
    </font>
    <font>
      <b/>
      <sz val="11"/>
      <color theme="0" tint="-0.24994659260841701"/>
      <name val="Calibri"/>
      <family val="2"/>
      <scheme val="minor"/>
    </font>
    <font>
      <sz val="8"/>
      <color theme="1"/>
      <name val="Arial"/>
      <family val="2"/>
    </font>
    <font>
      <sz val="10"/>
      <color theme="1"/>
      <name val="Arial"/>
      <family val="2"/>
    </font>
    <font>
      <b/>
      <sz val="10"/>
      <color theme="1"/>
      <name val="Arial"/>
      <family val="2"/>
    </font>
    <font>
      <b/>
      <sz val="10"/>
      <color theme="0"/>
      <name val="Arial"/>
      <family val="2"/>
    </font>
    <font>
      <i/>
      <sz val="10"/>
      <color theme="1"/>
      <name val="Arial"/>
      <family val="2"/>
    </font>
    <font>
      <b/>
      <sz val="16"/>
      <color theme="1"/>
      <name val="Arial"/>
      <family val="2"/>
    </font>
    <font>
      <b/>
      <sz val="12"/>
      <color theme="1"/>
      <name val="Arial"/>
      <family val="2"/>
    </font>
    <font>
      <sz val="12"/>
      <color theme="1"/>
      <name val="Times New Roman"/>
      <family val="1"/>
    </font>
    <font>
      <vertAlign val="superscript"/>
      <sz val="10"/>
      <color theme="1"/>
      <name val="Arial"/>
      <family val="2"/>
    </font>
    <font>
      <b/>
      <vertAlign val="subscript"/>
      <sz val="10"/>
      <color theme="1"/>
      <name val="Arial"/>
      <family val="2"/>
    </font>
    <font>
      <i/>
      <sz val="10"/>
      <color theme="1"/>
      <name val="Times New Roman"/>
      <family val="1"/>
    </font>
    <font>
      <i/>
      <vertAlign val="subscript"/>
      <sz val="10"/>
      <color theme="1"/>
      <name val="Times New Roman"/>
      <family val="1"/>
    </font>
    <font>
      <vertAlign val="superscript"/>
      <sz val="12"/>
      <color theme="1"/>
      <name val="Arial"/>
      <family val="2"/>
    </font>
    <font>
      <sz val="12"/>
      <color theme="1"/>
      <name val="Arial"/>
      <family val="2"/>
    </font>
    <font>
      <i/>
      <sz val="9"/>
      <color theme="1"/>
      <name val="Arial"/>
      <family val="2"/>
    </font>
    <font>
      <sz val="9"/>
      <color theme="1"/>
      <name val="Arial"/>
      <family val="2"/>
    </font>
    <font>
      <b/>
      <vertAlign val="superscript"/>
      <sz val="10"/>
      <color theme="1"/>
      <name val="Arial"/>
      <family val="2"/>
    </font>
    <font>
      <b/>
      <sz val="14"/>
      <color theme="0"/>
      <name val="Calibri"/>
      <family val="2"/>
      <scheme val="minor"/>
    </font>
    <font>
      <b/>
      <sz val="16"/>
      <color theme="0"/>
      <name val="Calibri"/>
      <family val="2"/>
      <scheme val="minor"/>
    </font>
    <font>
      <sz val="16"/>
      <color theme="0"/>
      <name val="Calibri"/>
      <family val="2"/>
      <scheme val="minor"/>
    </font>
    <font>
      <i/>
      <sz val="10"/>
      <name val="Calibri"/>
      <family val="2"/>
      <scheme val="minor"/>
    </font>
    <font>
      <vertAlign val="superscript"/>
      <sz val="10"/>
      <name val="Calibri"/>
      <family val="2"/>
      <scheme val="minor"/>
    </font>
    <font>
      <vertAlign val="subscript"/>
      <sz val="10"/>
      <name val="Calibri"/>
      <family val="2"/>
      <scheme val="minor"/>
    </font>
    <font>
      <i/>
      <vertAlign val="subscript"/>
      <sz val="10"/>
      <name val="Calibri"/>
      <family val="2"/>
      <scheme val="minor"/>
    </font>
    <font>
      <b/>
      <i/>
      <sz val="10"/>
      <color rgb="FF000000"/>
      <name val="Calibri"/>
      <family val="2"/>
      <scheme val="minor"/>
    </font>
    <font>
      <i/>
      <sz val="10"/>
      <color rgb="FF000000"/>
      <name val="Calibri"/>
      <family val="2"/>
      <scheme val="minor"/>
    </font>
    <font>
      <b/>
      <sz val="10"/>
      <color rgb="FFFFFFFF"/>
      <name val="Calibri"/>
      <family val="2"/>
      <scheme val="minor"/>
    </font>
    <font>
      <sz val="11"/>
      <name val="Calibri"/>
      <family val="2"/>
    </font>
    <font>
      <b/>
      <sz val="10"/>
      <color rgb="FF000000"/>
      <name val="Calibri"/>
      <family val="2"/>
      <scheme val="minor"/>
    </font>
    <font>
      <b/>
      <sz val="10"/>
      <color rgb="FF000000"/>
      <name val="Calibri"/>
      <family val="2"/>
    </font>
    <font>
      <b/>
      <sz val="8"/>
      <color rgb="FF000000"/>
      <name val="Arial Narrow"/>
      <family val="2"/>
    </font>
    <font>
      <b/>
      <vertAlign val="superscript"/>
      <sz val="10"/>
      <color rgb="FF000000"/>
      <name val="Arial Narrow"/>
      <family val="2"/>
    </font>
    <font>
      <sz val="8"/>
      <color rgb="FF000000"/>
      <name val="Arial"/>
      <family val="2"/>
    </font>
    <font>
      <vertAlign val="superscript"/>
      <sz val="8"/>
      <color rgb="FF000000"/>
      <name val="Arial"/>
      <family val="2"/>
    </font>
    <font>
      <sz val="7"/>
      <color rgb="FF000000"/>
      <name val="Times New Roman"/>
      <family val="1"/>
    </font>
    <font>
      <sz val="8"/>
      <color rgb="FF000000"/>
      <name val="Calibri"/>
      <family val="2"/>
      <scheme val="minor"/>
    </font>
    <font>
      <sz val="11"/>
      <color rgb="FFC00000"/>
      <name val="Calibri"/>
      <family val="2"/>
      <scheme val="minor"/>
    </font>
    <font>
      <sz val="9"/>
      <color theme="1"/>
      <name val="Calibri"/>
      <family val="2"/>
      <scheme val="minor"/>
    </font>
    <font>
      <vertAlign val="superscript"/>
      <sz val="9"/>
      <color theme="1"/>
      <name val="Calibri"/>
      <family val="2"/>
      <scheme val="minor"/>
    </font>
    <font>
      <b/>
      <sz val="9"/>
      <color theme="1"/>
      <name val="Calibri"/>
      <family val="2"/>
      <scheme val="minor"/>
    </font>
    <font>
      <b/>
      <sz val="9"/>
      <color rgb="FF000000"/>
      <name val="Calibri"/>
      <family val="2"/>
      <scheme val="minor"/>
    </font>
    <font>
      <b/>
      <vertAlign val="superscript"/>
      <sz val="9"/>
      <color rgb="FF000000"/>
      <name val="Calibri"/>
      <family val="2"/>
      <scheme val="minor"/>
    </font>
    <font>
      <b/>
      <sz val="8"/>
      <color theme="1"/>
      <name val="Calibri"/>
      <family val="2"/>
      <scheme val="minor"/>
    </font>
    <font>
      <b/>
      <sz val="8"/>
      <color rgb="FF000000"/>
      <name val="Calibri"/>
      <family val="2"/>
      <scheme val="minor"/>
    </font>
    <font>
      <b/>
      <sz val="10"/>
      <color theme="0" tint="-0.14996795556505021"/>
      <name val="Calibri"/>
      <family val="2"/>
      <scheme val="minor"/>
    </font>
    <font>
      <b/>
      <i/>
      <sz val="10"/>
      <name val="Calibri"/>
      <family val="2"/>
      <scheme val="minor"/>
    </font>
    <font>
      <u/>
      <sz val="11"/>
      <color theme="1"/>
      <name val="Calibri"/>
      <family val="2"/>
      <scheme val="minor"/>
    </font>
    <font>
      <b/>
      <sz val="18"/>
      <color theme="1"/>
      <name val="Calibri"/>
      <family val="2"/>
      <scheme val="minor"/>
    </font>
    <font>
      <b/>
      <u/>
      <sz val="10"/>
      <color theme="10"/>
      <name val="Calibri"/>
      <family val="2"/>
      <scheme val="minor"/>
    </font>
  </fonts>
  <fills count="53">
    <fill>
      <patternFill patternType="none"/>
    </fill>
    <fill>
      <patternFill patternType="gray125"/>
    </fill>
    <fill>
      <patternFill patternType="solid">
        <fgColor rgb="FFFFFF00"/>
        <bgColor indexed="64"/>
      </patternFill>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002060"/>
        <bgColor indexed="64"/>
      </patternFill>
    </fill>
    <fill>
      <patternFill patternType="solid">
        <fgColor rgb="FF92D050"/>
        <bgColor indexed="64"/>
      </patternFill>
    </fill>
    <fill>
      <patternFill patternType="solid">
        <fgColor rgb="FFFF0000"/>
        <bgColor indexed="64"/>
      </patternFill>
    </fill>
    <fill>
      <patternFill patternType="solid">
        <fgColor theme="4" tint="0.79998168889431442"/>
        <bgColor indexed="64"/>
      </patternFill>
    </fill>
    <fill>
      <patternFill patternType="solid">
        <fgColor rgb="FFFFFF99"/>
        <bgColor indexed="64"/>
      </patternFill>
    </fill>
    <fill>
      <patternFill patternType="solid">
        <fgColor rgb="FF37CBFF"/>
        <bgColor indexed="64"/>
      </patternFill>
    </fill>
    <fill>
      <patternFill patternType="darkDown">
        <fgColor theme="0"/>
        <bgColor rgb="FFFFFF00"/>
      </patternFill>
    </fill>
    <fill>
      <patternFill patternType="solid">
        <fgColor theme="0"/>
        <bgColor indexed="64"/>
      </patternFill>
    </fill>
    <fill>
      <patternFill patternType="darkGrid">
        <bgColor rgb="FF37CBFF"/>
      </patternFill>
    </fill>
    <fill>
      <patternFill patternType="solid">
        <fgColor theme="1"/>
        <bgColor indexed="64"/>
      </patternFill>
    </fill>
    <fill>
      <patternFill patternType="solid">
        <fgColor rgb="FFD9D9D9"/>
        <bgColor indexed="64"/>
      </patternFill>
    </fill>
    <fill>
      <patternFill patternType="darkGrid"/>
    </fill>
    <fill>
      <patternFill patternType="solid">
        <fgColor rgb="FFE6E6E6"/>
        <bgColor indexed="64"/>
      </patternFill>
    </fill>
    <fill>
      <patternFill patternType="solid">
        <fgColor rgb="FF000000"/>
        <bgColor indexed="64"/>
      </patternFill>
    </fill>
    <fill>
      <patternFill patternType="solid">
        <fgColor rgb="FFFFC000"/>
        <bgColor indexed="64"/>
      </patternFill>
    </fill>
    <fill>
      <patternFill patternType="solid">
        <fgColor rgb="FFFFD700"/>
        <bgColor indexed="64"/>
      </patternFill>
    </fill>
    <fill>
      <patternFill patternType="solid">
        <fgColor rgb="FFFFFFFF"/>
        <bgColor indexed="64"/>
      </patternFill>
    </fill>
    <fill>
      <patternFill patternType="solid">
        <fgColor rgb="FF7030A0"/>
        <bgColor indexed="64"/>
      </patternFill>
    </fill>
    <fill>
      <patternFill patternType="solid">
        <fgColor theme="0" tint="-0.499984740745262"/>
        <bgColor indexed="64"/>
      </patternFill>
    </fill>
  </fills>
  <borders count="152">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auto="1"/>
      </left>
      <right style="thin">
        <color auto="1"/>
      </right>
      <top style="thin">
        <color auto="1"/>
      </top>
      <bottom style="thin">
        <color auto="1"/>
      </bottom>
      <diagonal/>
    </border>
    <border>
      <left style="thin">
        <color rgb="FF002060"/>
      </left>
      <right style="thin">
        <color rgb="FF002060"/>
      </right>
      <top style="thin">
        <color rgb="FF002060"/>
      </top>
      <bottom style="thin">
        <color rgb="FF002060"/>
      </bottom>
      <diagonal/>
    </border>
    <border>
      <left style="thin">
        <color auto="1"/>
      </left>
      <right/>
      <top style="thin">
        <color auto="1"/>
      </top>
      <bottom style="thin">
        <color auto="1"/>
      </bottom>
      <diagonal/>
    </border>
    <border>
      <left/>
      <right style="thin">
        <color auto="1"/>
      </right>
      <top style="thin">
        <color auto="1"/>
      </top>
      <bottom style="thin">
        <color auto="1"/>
      </bottom>
      <diagonal/>
    </border>
    <border>
      <left style="thin">
        <color rgb="FFFFC000"/>
      </left>
      <right style="thin">
        <color rgb="FFFFC000"/>
      </right>
      <top style="thin">
        <color rgb="FFFFC000"/>
      </top>
      <bottom style="thin">
        <color rgb="FFFFC000"/>
      </bottom>
      <diagonal/>
    </border>
    <border>
      <left style="thin">
        <color auto="1"/>
      </left>
      <right style="thin">
        <color auto="1"/>
      </right>
      <top style="thin">
        <color auto="1"/>
      </top>
      <bottom/>
      <diagonal/>
    </border>
    <border>
      <left style="thin">
        <color auto="1"/>
      </left>
      <right style="thin">
        <color auto="1"/>
      </right>
      <top/>
      <bottom/>
      <diagonal/>
    </border>
    <border>
      <left style="thin">
        <color auto="1"/>
      </left>
      <right style="thin">
        <color auto="1"/>
      </right>
      <top/>
      <bottom style="thin">
        <color auto="1"/>
      </bottom>
      <diagonal/>
    </border>
    <border>
      <left style="thin">
        <color theme="0"/>
      </left>
      <right style="thin">
        <color theme="0"/>
      </right>
      <top/>
      <bottom/>
      <diagonal/>
    </border>
    <border>
      <left style="thin">
        <color theme="0"/>
      </left>
      <right/>
      <top/>
      <bottom/>
      <diagonal/>
    </border>
    <border>
      <left/>
      <right style="thin">
        <color theme="0"/>
      </right>
      <top/>
      <bottom/>
      <diagonal/>
    </border>
    <border>
      <left/>
      <right/>
      <top style="thin">
        <color auto="1"/>
      </top>
      <bottom style="thin">
        <color auto="1"/>
      </bottom>
      <diagonal/>
    </border>
    <border>
      <left style="thin">
        <color auto="1"/>
      </left>
      <right/>
      <top style="thin">
        <color auto="1"/>
      </top>
      <bottom/>
      <diagonal/>
    </border>
    <border>
      <left/>
      <right/>
      <top style="thin">
        <color auto="1"/>
      </top>
      <bottom/>
      <diagonal/>
    </border>
    <border>
      <left/>
      <right style="thin">
        <color auto="1"/>
      </right>
      <top style="thin">
        <color auto="1"/>
      </top>
      <bottom/>
      <diagonal/>
    </border>
    <border>
      <left style="thin">
        <color auto="1"/>
      </left>
      <right/>
      <top/>
      <bottom style="thin">
        <color auto="1"/>
      </bottom>
      <diagonal/>
    </border>
    <border>
      <left/>
      <right/>
      <top/>
      <bottom style="thin">
        <color auto="1"/>
      </bottom>
      <diagonal/>
    </border>
    <border>
      <left/>
      <right style="thin">
        <color auto="1"/>
      </right>
      <top/>
      <bottom style="thin">
        <color auto="1"/>
      </bottom>
      <diagonal/>
    </border>
    <border>
      <left/>
      <right style="thin">
        <color auto="1"/>
      </right>
      <top/>
      <bottom/>
      <diagonal/>
    </border>
    <border>
      <left style="thin">
        <color auto="1"/>
      </left>
      <right/>
      <top/>
      <bottom/>
      <diagonal/>
    </border>
    <border>
      <left/>
      <right style="thin">
        <color auto="1"/>
      </right>
      <top/>
      <bottom style="double">
        <color indexed="64"/>
      </bottom>
      <diagonal/>
    </border>
    <border>
      <left/>
      <right/>
      <top/>
      <bottom style="double">
        <color indexed="64"/>
      </bottom>
      <diagonal/>
    </border>
    <border>
      <left style="thin">
        <color auto="1"/>
      </left>
      <right style="thin">
        <color auto="1"/>
      </right>
      <top style="thin">
        <color auto="1"/>
      </top>
      <bottom style="double">
        <color indexed="64"/>
      </bottom>
      <diagonal/>
    </border>
    <border>
      <left/>
      <right/>
      <top style="double">
        <color indexed="64"/>
      </top>
      <bottom/>
      <diagonal/>
    </border>
    <border>
      <left style="thin">
        <color auto="1"/>
      </left>
      <right style="thin">
        <color auto="1"/>
      </right>
      <top style="double">
        <color indexed="64"/>
      </top>
      <bottom style="thin">
        <color auto="1"/>
      </bottom>
      <diagonal/>
    </border>
    <border>
      <left/>
      <right/>
      <top style="double">
        <color indexed="64"/>
      </top>
      <bottom style="double">
        <color indexed="64"/>
      </bottom>
      <diagonal/>
    </border>
    <border>
      <left style="thin">
        <color auto="1"/>
      </left>
      <right style="thin">
        <color auto="1"/>
      </right>
      <top style="double">
        <color indexed="64"/>
      </top>
      <bottom style="double">
        <color indexed="64"/>
      </bottom>
      <diagonal/>
    </border>
    <border>
      <left style="thin">
        <color auto="1"/>
      </left>
      <right style="thin">
        <color auto="1"/>
      </right>
      <top style="double">
        <color indexed="64"/>
      </top>
      <bottom/>
      <diagonal/>
    </border>
    <border>
      <left style="thick">
        <color theme="9" tint="-0.24994659260841701"/>
      </left>
      <right/>
      <top style="thick">
        <color theme="9" tint="-0.24994659260841701"/>
      </top>
      <bottom/>
      <diagonal/>
    </border>
    <border>
      <left/>
      <right/>
      <top style="thick">
        <color theme="9" tint="-0.24994659260841701"/>
      </top>
      <bottom/>
      <diagonal/>
    </border>
    <border>
      <left/>
      <right style="thick">
        <color theme="9" tint="-0.24994659260841701"/>
      </right>
      <top style="thick">
        <color theme="9" tint="-0.24994659260841701"/>
      </top>
      <bottom/>
      <diagonal/>
    </border>
    <border>
      <left style="thick">
        <color theme="9" tint="-0.24994659260841701"/>
      </left>
      <right/>
      <top/>
      <bottom/>
      <diagonal/>
    </border>
    <border>
      <left/>
      <right style="thick">
        <color theme="9" tint="-0.24994659260841701"/>
      </right>
      <top/>
      <bottom/>
      <diagonal/>
    </border>
    <border>
      <left style="thick">
        <color theme="9" tint="-0.24994659260841701"/>
      </left>
      <right/>
      <top/>
      <bottom style="thick">
        <color theme="9" tint="-0.24994659260841701"/>
      </bottom>
      <diagonal/>
    </border>
    <border>
      <left/>
      <right/>
      <top/>
      <bottom style="thick">
        <color theme="9" tint="-0.24994659260841701"/>
      </bottom>
      <diagonal/>
    </border>
    <border>
      <left/>
      <right style="thick">
        <color theme="9" tint="-0.24994659260841701"/>
      </right>
      <top/>
      <bottom style="thick">
        <color theme="9" tint="-0.24994659260841701"/>
      </bottom>
      <diagonal/>
    </border>
    <border>
      <left style="thin">
        <color theme="9" tint="-0.249977111117893"/>
      </left>
      <right style="thin">
        <color theme="9" tint="-0.249977111117893"/>
      </right>
      <top style="thin">
        <color theme="9" tint="-0.249977111117893"/>
      </top>
      <bottom style="thin">
        <color theme="9" tint="-0.249977111117893"/>
      </bottom>
      <diagonal/>
    </border>
    <border>
      <left style="thin">
        <color rgb="FFFFC000"/>
      </left>
      <right style="thin">
        <color rgb="FFFFC000"/>
      </right>
      <top style="thin">
        <color rgb="FFFFC000"/>
      </top>
      <bottom/>
      <diagonal/>
    </border>
    <border>
      <left style="thin">
        <color rgb="FFFFC000"/>
      </left>
      <right style="thin">
        <color rgb="FFFFC000"/>
      </right>
      <top/>
      <bottom/>
      <diagonal/>
    </border>
    <border>
      <left style="thin">
        <color rgb="FFFFC000"/>
      </left>
      <right style="thin">
        <color rgb="FFFFC000"/>
      </right>
      <top/>
      <bottom style="thin">
        <color rgb="FFFFC000"/>
      </bottom>
      <diagonal/>
    </border>
    <border>
      <left style="thin">
        <color rgb="FFFFC000"/>
      </left>
      <right style="thin">
        <color rgb="FFFFC000"/>
      </right>
      <top style="thin">
        <color rgb="FFFFC000"/>
      </top>
      <bottom style="thin">
        <color auto="1"/>
      </bottom>
      <diagonal/>
    </border>
    <border>
      <left style="thin">
        <color rgb="FFFFC000"/>
      </left>
      <right style="thin">
        <color rgb="FFFFC000"/>
      </right>
      <top style="thin">
        <color rgb="FFFFC000"/>
      </top>
      <bottom style="double">
        <color auto="1"/>
      </bottom>
      <diagonal/>
    </border>
    <border>
      <left/>
      <right style="thin">
        <color auto="1"/>
      </right>
      <top style="double">
        <color auto="1"/>
      </top>
      <bottom/>
      <diagonal/>
    </border>
    <border>
      <left style="thin">
        <color auto="1"/>
      </left>
      <right style="thin">
        <color auto="1"/>
      </right>
      <top/>
      <bottom style="double">
        <color indexed="64"/>
      </bottom>
      <diagonal/>
    </border>
    <border>
      <left/>
      <right style="thin">
        <color auto="1"/>
      </right>
      <top style="thin">
        <color auto="1"/>
      </top>
      <bottom style="double">
        <color indexed="64"/>
      </bottom>
      <diagonal/>
    </border>
    <border>
      <left style="thin">
        <color indexed="64"/>
      </left>
      <right style="thin">
        <color theme="0" tint="-0.14996795556505021"/>
      </right>
      <top style="thin">
        <color indexed="64"/>
      </top>
      <bottom style="thin">
        <color theme="0" tint="-0.14996795556505021"/>
      </bottom>
      <diagonal/>
    </border>
    <border>
      <left style="thin">
        <color theme="0" tint="-0.14996795556505021"/>
      </left>
      <right style="thin">
        <color theme="0" tint="-0.14996795556505021"/>
      </right>
      <top style="thin">
        <color indexed="64"/>
      </top>
      <bottom style="thin">
        <color theme="0" tint="-0.14996795556505021"/>
      </bottom>
      <diagonal/>
    </border>
    <border>
      <left style="thin">
        <color theme="0" tint="-0.14996795556505021"/>
      </left>
      <right style="thin">
        <color indexed="64"/>
      </right>
      <top style="thin">
        <color indexed="64"/>
      </top>
      <bottom style="thin">
        <color theme="0" tint="-0.14996795556505021"/>
      </bottom>
      <diagonal/>
    </border>
    <border>
      <left style="thin">
        <color indexed="64"/>
      </left>
      <right style="thin">
        <color theme="0" tint="-0.14996795556505021"/>
      </right>
      <top style="thin">
        <color theme="0" tint="-0.14996795556505021"/>
      </top>
      <bottom style="thin">
        <color indexed="64"/>
      </bottom>
      <diagonal/>
    </border>
    <border>
      <left style="thin">
        <color theme="0" tint="-0.14996795556505021"/>
      </left>
      <right style="thin">
        <color theme="0" tint="-0.14996795556505021"/>
      </right>
      <top style="thin">
        <color theme="0" tint="-0.14996795556505021"/>
      </top>
      <bottom style="thin">
        <color indexed="64"/>
      </bottom>
      <diagonal/>
    </border>
    <border>
      <left style="thin">
        <color theme="0" tint="-0.14996795556505021"/>
      </left>
      <right style="thin">
        <color indexed="64"/>
      </right>
      <top style="thin">
        <color theme="0" tint="-0.14996795556505021"/>
      </top>
      <bottom style="thin">
        <color indexed="64"/>
      </bottom>
      <diagonal/>
    </border>
    <border>
      <left style="thin">
        <color theme="0"/>
      </left>
      <right style="thin">
        <color indexed="64"/>
      </right>
      <top style="thin">
        <color auto="1"/>
      </top>
      <bottom/>
      <diagonal/>
    </border>
    <border>
      <left style="thin">
        <color theme="0"/>
      </left>
      <right style="thin">
        <color indexed="64"/>
      </right>
      <top/>
      <bottom/>
      <diagonal/>
    </border>
    <border>
      <left/>
      <right/>
      <top style="double">
        <color indexed="64"/>
      </top>
      <bottom style="thin">
        <color indexed="64"/>
      </bottom>
      <diagonal/>
    </border>
    <border>
      <left/>
      <right style="medium">
        <color indexed="64"/>
      </right>
      <top/>
      <bottom style="medium">
        <color indexed="64"/>
      </bottom>
      <diagonal/>
    </border>
    <border>
      <left style="medium">
        <color indexed="64"/>
      </left>
      <right style="medium">
        <color indexed="64"/>
      </right>
      <top/>
      <bottom style="medium">
        <color indexed="64"/>
      </bottom>
      <diagonal/>
    </border>
    <border>
      <left style="medium">
        <color indexed="64"/>
      </left>
      <right style="medium">
        <color indexed="64"/>
      </right>
      <top/>
      <bottom/>
      <diagonal/>
    </border>
    <border>
      <left style="medium">
        <color indexed="64"/>
      </left>
      <right/>
      <top/>
      <bottom style="medium">
        <color indexed="64"/>
      </bottom>
      <diagonal/>
    </border>
    <border>
      <left/>
      <right style="medium">
        <color indexed="64"/>
      </right>
      <top style="medium">
        <color indexed="64"/>
      </top>
      <bottom style="medium">
        <color indexed="64"/>
      </bottom>
      <diagonal/>
    </border>
    <border>
      <left/>
      <right/>
      <top style="medium">
        <color indexed="64"/>
      </top>
      <bottom style="medium">
        <color indexed="64"/>
      </bottom>
      <diagonal/>
    </border>
    <border>
      <left style="medium">
        <color indexed="64"/>
      </left>
      <right/>
      <top style="medium">
        <color indexed="64"/>
      </top>
      <bottom style="medium">
        <color indexed="64"/>
      </bottom>
      <diagonal/>
    </border>
    <border>
      <left/>
      <right style="medium">
        <color indexed="64"/>
      </right>
      <top style="medium">
        <color indexed="64"/>
      </top>
      <bottom/>
      <diagonal/>
    </border>
    <border>
      <left style="medium">
        <color indexed="64"/>
      </left>
      <right/>
      <top style="medium">
        <color indexed="64"/>
      </top>
      <bottom/>
      <diagonal/>
    </border>
    <border>
      <left/>
      <right/>
      <top/>
      <bottom style="medium">
        <color indexed="64"/>
      </bottom>
      <diagonal/>
    </border>
    <border>
      <left/>
      <right style="medium">
        <color indexed="64"/>
      </right>
      <top/>
      <bottom/>
      <diagonal/>
    </border>
    <border>
      <left style="thin">
        <color theme="9" tint="-0.249977111117893"/>
      </left>
      <right/>
      <top style="thin">
        <color theme="9" tint="-0.249977111117893"/>
      </top>
      <bottom style="thin">
        <color theme="9" tint="-0.249977111117893"/>
      </bottom>
      <diagonal/>
    </border>
    <border>
      <left/>
      <right/>
      <top style="thin">
        <color theme="9" tint="-0.249977111117893"/>
      </top>
      <bottom style="thin">
        <color theme="9" tint="-0.249977111117893"/>
      </bottom>
      <diagonal/>
    </border>
    <border>
      <left/>
      <right style="thin">
        <color theme="9" tint="-0.249977111117893"/>
      </right>
      <top style="thin">
        <color theme="9" tint="-0.249977111117893"/>
      </top>
      <bottom style="thin">
        <color theme="9" tint="-0.249977111117893"/>
      </bottom>
      <diagonal/>
    </border>
    <border>
      <left style="medium">
        <color indexed="64"/>
      </left>
      <right style="medium">
        <color indexed="64"/>
      </right>
      <top style="medium">
        <color indexed="64"/>
      </top>
      <bottom style="medium">
        <color indexed="64"/>
      </bottom>
      <diagonal/>
    </border>
    <border>
      <left style="thin">
        <color theme="0" tint="-0.14996795556505021"/>
      </left>
      <right style="thin">
        <color auto="1"/>
      </right>
      <top/>
      <bottom/>
      <diagonal/>
    </border>
    <border>
      <left style="thin">
        <color indexed="64"/>
      </left>
      <right style="medium">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double">
        <color indexed="64"/>
      </top>
      <bottom style="thin">
        <color indexed="64"/>
      </bottom>
      <diagonal/>
    </border>
    <border>
      <left style="medium">
        <color indexed="64"/>
      </left>
      <right style="thin">
        <color indexed="64"/>
      </right>
      <top style="double">
        <color indexed="64"/>
      </top>
      <bottom style="thin">
        <color indexed="64"/>
      </bottom>
      <diagonal/>
    </border>
    <border>
      <left style="thin">
        <color indexed="64"/>
      </left>
      <right style="medium">
        <color indexed="64"/>
      </right>
      <top style="medium">
        <color indexed="64"/>
      </top>
      <bottom style="double">
        <color indexed="64"/>
      </bottom>
      <diagonal/>
    </border>
    <border>
      <left style="thin">
        <color indexed="64"/>
      </left>
      <right style="thin">
        <color indexed="64"/>
      </right>
      <top style="medium">
        <color indexed="64"/>
      </top>
      <bottom style="double">
        <color indexed="64"/>
      </bottom>
      <diagonal/>
    </border>
    <border>
      <left style="medium">
        <color indexed="64"/>
      </left>
      <right style="thin">
        <color indexed="64"/>
      </right>
      <top style="medium">
        <color indexed="64"/>
      </top>
      <bottom style="double">
        <color indexed="64"/>
      </bottom>
      <diagonal/>
    </border>
    <border>
      <left style="medium">
        <color indexed="64"/>
      </left>
      <right/>
      <top/>
      <bottom/>
      <diagonal/>
    </border>
    <border>
      <left/>
      <right style="medium">
        <color indexed="64"/>
      </right>
      <top/>
      <bottom style="double">
        <color rgb="FF000000"/>
      </bottom>
      <diagonal/>
    </border>
    <border>
      <left/>
      <right style="medium">
        <color indexed="64"/>
      </right>
      <top/>
      <bottom style="double">
        <color indexed="64"/>
      </bottom>
      <diagonal/>
    </border>
    <border>
      <left style="medium">
        <color indexed="64"/>
      </left>
      <right/>
      <top/>
      <bottom style="double">
        <color indexed="64"/>
      </bottom>
      <diagonal/>
    </border>
    <border>
      <left/>
      <right/>
      <top style="medium">
        <color indexed="64"/>
      </top>
      <bottom/>
      <diagonal/>
    </border>
    <border>
      <left style="thin">
        <color indexed="64"/>
      </left>
      <right style="medium">
        <color indexed="64"/>
      </right>
      <top/>
      <bottom style="thin">
        <color indexed="64"/>
      </bottom>
      <diagonal/>
    </border>
    <border>
      <left style="medium">
        <color indexed="64"/>
      </left>
      <right style="thin">
        <color indexed="64"/>
      </right>
      <top/>
      <bottom style="thin">
        <color indexed="64"/>
      </bottom>
      <diagonal/>
    </border>
    <border>
      <left style="thin">
        <color indexed="64"/>
      </left>
      <right style="medium">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medium">
        <color indexed="64"/>
      </left>
      <right style="thin">
        <color indexed="64"/>
      </right>
      <top style="medium">
        <color indexed="64"/>
      </top>
      <bottom style="medium">
        <color indexed="64"/>
      </bottom>
      <diagonal/>
    </border>
    <border>
      <left style="thin">
        <color indexed="64"/>
      </left>
      <right/>
      <top/>
      <bottom style="medium">
        <color indexed="64"/>
      </bottom>
      <diagonal/>
    </border>
    <border>
      <left style="thin">
        <color indexed="64"/>
      </left>
      <right style="thin">
        <color indexed="64"/>
      </right>
      <top/>
      <bottom style="medium">
        <color indexed="64"/>
      </bottom>
      <diagonal/>
    </border>
    <border>
      <left/>
      <right style="thin">
        <color indexed="64"/>
      </right>
      <top/>
      <bottom style="medium">
        <color indexed="64"/>
      </bottom>
      <diagonal/>
    </border>
    <border>
      <left style="thin">
        <color indexed="64"/>
      </left>
      <right style="medium">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medium">
        <color indexed="64"/>
      </left>
      <right style="thin">
        <color indexed="64"/>
      </right>
      <top style="medium">
        <color indexed="64"/>
      </top>
      <bottom style="thin">
        <color indexed="64"/>
      </bottom>
      <diagonal/>
    </border>
    <border>
      <left/>
      <right/>
      <top style="thin">
        <color auto="1"/>
      </top>
      <bottom style="double">
        <color auto="1"/>
      </bottom>
      <diagonal/>
    </border>
    <border>
      <left/>
      <right/>
      <top/>
      <bottom style="thin">
        <color rgb="FFFFC000"/>
      </bottom>
      <diagonal/>
    </border>
    <border>
      <left/>
      <right style="thick">
        <color rgb="FFFFFFFF"/>
      </right>
      <top/>
      <bottom/>
      <diagonal/>
    </border>
    <border>
      <left/>
      <right/>
      <top/>
      <bottom style="thick">
        <color rgb="FF666666"/>
      </bottom>
      <diagonal/>
    </border>
    <border>
      <left/>
      <right style="thin">
        <color rgb="FF666666"/>
      </right>
      <top style="thick">
        <color rgb="FF666666"/>
      </top>
      <bottom style="thin">
        <color rgb="FF666666"/>
      </bottom>
      <diagonal/>
    </border>
    <border>
      <left style="thin">
        <color rgb="FF666666"/>
      </left>
      <right style="thin">
        <color rgb="FF666666"/>
      </right>
      <top style="thick">
        <color rgb="FF666666"/>
      </top>
      <bottom style="thin">
        <color rgb="FF666666"/>
      </bottom>
      <diagonal/>
    </border>
    <border>
      <left style="thin">
        <color rgb="FF666666"/>
      </left>
      <right/>
      <top style="thick">
        <color rgb="FF666666"/>
      </top>
      <bottom style="thin">
        <color rgb="FF666666"/>
      </bottom>
      <diagonal/>
    </border>
    <border>
      <left/>
      <right style="thin">
        <color rgb="FF666666"/>
      </right>
      <top style="thin">
        <color rgb="FF666666"/>
      </top>
      <bottom style="thin">
        <color rgb="FF666666"/>
      </bottom>
      <diagonal/>
    </border>
    <border>
      <left style="thin">
        <color rgb="FF666666"/>
      </left>
      <right style="thin">
        <color rgb="FF666666"/>
      </right>
      <top style="thin">
        <color rgb="FF666666"/>
      </top>
      <bottom style="thin">
        <color rgb="FF666666"/>
      </bottom>
      <diagonal/>
    </border>
    <border>
      <left style="thin">
        <color rgb="FF666666"/>
      </left>
      <right/>
      <top style="thin">
        <color rgb="FF666666"/>
      </top>
      <bottom style="thin">
        <color rgb="FF666666"/>
      </bottom>
      <diagonal/>
    </border>
    <border>
      <left/>
      <right style="thin">
        <color rgb="FF666666"/>
      </right>
      <top style="thin">
        <color rgb="FF666666"/>
      </top>
      <bottom style="medium">
        <color rgb="FF666666"/>
      </bottom>
      <diagonal/>
    </border>
    <border>
      <left style="thin">
        <color rgb="FF666666"/>
      </left>
      <right style="thin">
        <color rgb="FF666666"/>
      </right>
      <top style="thin">
        <color rgb="FF666666"/>
      </top>
      <bottom style="medium">
        <color rgb="FF666666"/>
      </bottom>
      <diagonal/>
    </border>
    <border>
      <left style="thin">
        <color rgb="FF666666"/>
      </left>
      <right/>
      <top style="thin">
        <color rgb="FF666666"/>
      </top>
      <bottom style="medium">
        <color rgb="FF666666"/>
      </bottom>
      <diagonal/>
    </border>
    <border>
      <left/>
      <right/>
      <top style="medium">
        <color rgb="FF666666"/>
      </top>
      <bottom style="medium">
        <color rgb="FF666666"/>
      </bottom>
      <diagonal/>
    </border>
    <border>
      <left/>
      <right/>
      <top/>
      <bottom style="thick">
        <color rgb="FF7E7E7E"/>
      </bottom>
      <diagonal/>
    </border>
    <border>
      <left/>
      <right style="thin">
        <color rgb="FF7E7E7E"/>
      </right>
      <top style="thick">
        <color rgb="FF7E7E7E"/>
      </top>
      <bottom style="thin">
        <color rgb="FF7E7E7E"/>
      </bottom>
      <diagonal/>
    </border>
    <border>
      <left style="thin">
        <color rgb="FF7E7E7E"/>
      </left>
      <right style="thin">
        <color rgb="FF7E7E7E"/>
      </right>
      <top style="thick">
        <color rgb="FF7E7E7E"/>
      </top>
      <bottom style="thin">
        <color rgb="FF7E7E7E"/>
      </bottom>
      <diagonal/>
    </border>
    <border>
      <left style="thin">
        <color rgb="FF7E7E7E"/>
      </left>
      <right/>
      <top style="thick">
        <color rgb="FF7E7E7E"/>
      </top>
      <bottom style="thin">
        <color rgb="FF7E7E7E"/>
      </bottom>
      <diagonal/>
    </border>
    <border>
      <left/>
      <right style="thin">
        <color rgb="FF7E7E7E"/>
      </right>
      <top style="thin">
        <color rgb="FF7E7E7E"/>
      </top>
      <bottom style="thin">
        <color rgb="FF7E7E7E"/>
      </bottom>
      <diagonal/>
    </border>
    <border>
      <left style="thin">
        <color rgb="FF7E7E7E"/>
      </left>
      <right style="thin">
        <color rgb="FF7E7E7E"/>
      </right>
      <top style="thin">
        <color rgb="FF7E7E7E"/>
      </top>
      <bottom style="thin">
        <color rgb="FF7E7E7E"/>
      </bottom>
      <diagonal/>
    </border>
    <border>
      <left style="thin">
        <color rgb="FF7E7E7E"/>
      </left>
      <right/>
      <top style="thin">
        <color rgb="FF7E7E7E"/>
      </top>
      <bottom style="thin">
        <color rgb="FF7E7E7E"/>
      </bottom>
      <diagonal/>
    </border>
    <border>
      <left/>
      <right style="thin">
        <color rgb="FF7E7E7E"/>
      </right>
      <top style="thin">
        <color rgb="FF7E7E7E"/>
      </top>
      <bottom style="medium">
        <color indexed="64"/>
      </bottom>
      <diagonal/>
    </border>
    <border>
      <left style="thin">
        <color rgb="FF7E7E7E"/>
      </left>
      <right style="thin">
        <color rgb="FF7E7E7E"/>
      </right>
      <top style="thin">
        <color rgb="FF7E7E7E"/>
      </top>
      <bottom style="medium">
        <color indexed="64"/>
      </bottom>
      <diagonal/>
    </border>
    <border>
      <left style="thin">
        <color rgb="FF7E7E7E"/>
      </left>
      <right/>
      <top style="thin">
        <color rgb="FF7E7E7E"/>
      </top>
      <bottom style="medium">
        <color indexed="64"/>
      </bottom>
      <diagonal/>
    </border>
    <border>
      <left style="thick">
        <color rgb="FFFFFFFF"/>
      </left>
      <right/>
      <top/>
      <bottom/>
      <diagonal/>
    </border>
    <border>
      <left style="thick">
        <color rgb="FFFFFFFF"/>
      </left>
      <right/>
      <top/>
      <bottom style="thick">
        <color rgb="FF666666"/>
      </bottom>
      <diagonal/>
    </border>
    <border>
      <left/>
      <right/>
      <top style="medium">
        <color rgb="FF666666"/>
      </top>
      <bottom style="thin">
        <color rgb="FF666666"/>
      </bottom>
      <diagonal/>
    </border>
    <border>
      <left/>
      <right/>
      <top style="thin">
        <color rgb="FF666666"/>
      </top>
      <bottom style="medium">
        <color rgb="FF666666"/>
      </bottom>
      <diagonal/>
    </border>
    <border>
      <left/>
      <right style="thin">
        <color rgb="FF666666"/>
      </right>
      <top style="thin">
        <color rgb="FF666666"/>
      </top>
      <bottom/>
      <diagonal/>
    </border>
    <border>
      <left style="thin">
        <color rgb="FF666666"/>
      </left>
      <right style="thin">
        <color rgb="FF666666"/>
      </right>
      <top style="thin">
        <color rgb="FF666666"/>
      </top>
      <bottom/>
      <diagonal/>
    </border>
    <border>
      <left style="thin">
        <color rgb="FF666666"/>
      </left>
      <right/>
      <top style="thin">
        <color rgb="FF666666"/>
      </top>
      <bottom/>
      <diagonal/>
    </border>
    <border>
      <left/>
      <right/>
      <top/>
      <bottom style="medium">
        <color rgb="FF666666"/>
      </bottom>
      <diagonal/>
    </border>
    <border>
      <left/>
      <right/>
      <top style="medium">
        <color rgb="FF666666"/>
      </top>
      <bottom/>
      <diagonal/>
    </border>
    <border>
      <left style="thin">
        <color rgb="FF666666"/>
      </left>
      <right/>
      <top/>
      <bottom style="thin">
        <color rgb="FF666666"/>
      </bottom>
      <diagonal/>
    </border>
    <border>
      <left style="thin">
        <color rgb="FF666666"/>
      </left>
      <right style="thin">
        <color rgb="FF666666"/>
      </right>
      <top/>
      <bottom style="thin">
        <color rgb="FF666666"/>
      </bottom>
      <diagonal/>
    </border>
    <border>
      <left style="thin">
        <color rgb="FF666666"/>
      </left>
      <right/>
      <top/>
      <bottom/>
      <diagonal/>
    </border>
    <border>
      <left style="thin">
        <color rgb="FF666666"/>
      </left>
      <right style="thin">
        <color rgb="FF666666"/>
      </right>
      <top/>
      <bottom/>
      <diagonal/>
    </border>
    <border>
      <left/>
      <right/>
      <top style="thin">
        <color rgb="FFFFC000"/>
      </top>
      <bottom/>
      <diagonal/>
    </border>
    <border>
      <left style="thin">
        <color theme="0"/>
      </left>
      <right style="thin">
        <color theme="0"/>
      </right>
      <top style="thin">
        <color auto="1"/>
      </top>
      <bottom/>
      <diagonal/>
    </border>
    <border>
      <left style="thin">
        <color rgb="FFFFC000"/>
      </left>
      <right/>
      <top style="thin">
        <color rgb="FFFFC000"/>
      </top>
      <bottom style="thin">
        <color rgb="FFFFC000"/>
      </bottom>
      <diagonal/>
    </border>
    <border>
      <left style="thin">
        <color rgb="FFFFC000"/>
      </left>
      <right/>
      <top style="thin">
        <color rgb="FFFFC000"/>
      </top>
      <bottom/>
      <diagonal/>
    </border>
    <border>
      <left style="thin">
        <color rgb="FFFFC000"/>
      </left>
      <right/>
      <top/>
      <bottom/>
      <diagonal/>
    </border>
    <border>
      <left style="thin">
        <color rgb="FFFFC000"/>
      </left>
      <right/>
      <top/>
      <bottom style="thin">
        <color rgb="FFFFC000"/>
      </bottom>
      <diagonal/>
    </border>
    <border>
      <left style="thin">
        <color rgb="FFFFC000"/>
      </left>
      <right/>
      <top style="thin">
        <color rgb="FFFFC000"/>
      </top>
      <bottom style="double">
        <color auto="1"/>
      </bottom>
      <diagonal/>
    </border>
    <border>
      <left style="thin">
        <color rgb="FFFFC000"/>
      </left>
      <right/>
      <top style="thin">
        <color rgb="FFFFC000"/>
      </top>
      <bottom style="thin">
        <color auto="1"/>
      </bottom>
      <diagonal/>
    </border>
    <border>
      <left style="thin">
        <color rgb="FFFFC000"/>
      </left>
      <right style="thin">
        <color rgb="FFFFC000"/>
      </right>
      <top/>
      <bottom style="double">
        <color indexed="64"/>
      </bottom>
      <diagonal/>
    </border>
  </borders>
  <cellStyleXfs count="68">
    <xf numFmtId="0" fontId="0" fillId="0" borderId="0"/>
    <xf numFmtId="167" fontId="1" fillId="0" borderId="0" applyFont="0" applyFill="0" applyBorder="0" applyAlignment="0" applyProtection="0"/>
    <xf numFmtId="165" fontId="1" fillId="0" borderId="0" applyFont="0" applyFill="0" applyBorder="0" applyAlignment="0" applyProtection="0"/>
    <xf numFmtId="166" fontId="1" fillId="0" borderId="0" applyFont="0" applyFill="0" applyBorder="0" applyAlignment="0" applyProtection="0"/>
    <xf numFmtId="164" fontId="1" fillId="0" borderId="0" applyFont="0" applyFill="0" applyBorder="0" applyAlignment="0" applyProtection="0"/>
    <xf numFmtId="9" fontId="1" fillId="0" borderId="0" applyFont="0" applyFill="0" applyBorder="0" applyAlignment="0" applyProtection="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3" borderId="0" applyNumberFormat="0" applyBorder="0" applyAlignment="0" applyProtection="0"/>
    <xf numFmtId="0" fontId="7" fillId="4" borderId="0" applyNumberFormat="0" applyBorder="0" applyAlignment="0" applyProtection="0"/>
    <xf numFmtId="0" fontId="8" fillId="5" borderId="0" applyNumberFormat="0" applyBorder="0" applyAlignment="0" applyProtection="0"/>
    <xf numFmtId="0" fontId="9" fillId="6" borderId="4" applyNumberFormat="0" applyAlignment="0" applyProtection="0"/>
    <xf numFmtId="0" fontId="10" fillId="7" borderId="5" applyNumberFormat="0" applyAlignment="0" applyProtection="0"/>
    <xf numFmtId="0" fontId="11" fillId="7" borderId="4" applyNumberFormat="0" applyAlignment="0" applyProtection="0"/>
    <xf numFmtId="0" fontId="12" fillId="0" borderId="6" applyNumberFormat="0" applyFill="0" applyAlignment="0" applyProtection="0"/>
    <xf numFmtId="0" fontId="13" fillId="8" borderId="7" applyNumberFormat="0" applyAlignment="0" applyProtection="0"/>
    <xf numFmtId="0" fontId="14" fillId="0" borderId="0" applyNumberFormat="0" applyFill="0" applyBorder="0" applyAlignment="0" applyProtection="0"/>
    <xf numFmtId="0" fontId="1" fillId="9"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7"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7"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7"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7"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7"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0" fontId="17" fillId="33" borderId="0" applyNumberFormat="0" applyBorder="0" applyAlignment="0" applyProtection="0"/>
    <xf numFmtId="0" fontId="1" fillId="38" borderId="10" applyNumberFormat="0" applyFont="0" applyAlignment="0">
      <protection locked="0"/>
    </xf>
    <xf numFmtId="0" fontId="1" fillId="39" borderId="10" applyNumberFormat="0" applyFont="0" applyAlignment="0">
      <protection locked="0"/>
    </xf>
    <xf numFmtId="0" fontId="20" fillId="0" borderId="0" applyNumberFormat="0" applyFill="0" applyBorder="0" applyAlignment="0" applyProtection="0"/>
    <xf numFmtId="0" fontId="21" fillId="34" borderId="0" applyNumberFormat="0" applyBorder="0" applyAlignment="0"/>
    <xf numFmtId="0" fontId="1" fillId="35" borderId="10" applyNumberFormat="0" applyFont="0" applyAlignment="0">
      <alignment horizontal="center" vertical="center"/>
    </xf>
    <xf numFmtId="0" fontId="1" fillId="36" borderId="10" applyNumberFormat="0" applyFont="0" applyAlignment="0"/>
    <xf numFmtId="0" fontId="1" fillId="37" borderId="10" applyNumberFormat="0" applyFont="0" applyAlignment="0">
      <protection locked="0"/>
    </xf>
    <xf numFmtId="0" fontId="1" fillId="37" borderId="10" applyFont="0">
      <alignment horizontal="left" vertical="top" wrapText="1"/>
      <protection locked="0"/>
    </xf>
    <xf numFmtId="0" fontId="20" fillId="0" borderId="0" applyNumberFormat="0" applyFill="0" applyBorder="0" applyAlignment="0" applyProtection="0"/>
    <xf numFmtId="0" fontId="22" fillId="0" borderId="0" applyNumberFormat="0" applyFill="0" applyBorder="0" applyAlignment="0" applyProtection="0"/>
    <xf numFmtId="0" fontId="50" fillId="0" borderId="0" applyNumberFormat="0" applyFill="0" applyBorder="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13" fillId="0" borderId="0" applyNumberFormat="0" applyBorder="0" applyAlignment="0" applyProtection="0">
      <alignment horizontal="left"/>
    </xf>
    <xf numFmtId="0" fontId="22" fillId="0" borderId="0" applyNumberFormat="0" applyFill="0" applyBorder="0" applyAlignment="0" applyProtection="0"/>
    <xf numFmtId="0" fontId="1" fillId="0" borderId="0" applyFont="0" applyFill="0" applyBorder="0">
      <alignment horizontal="center" vertical="center"/>
    </xf>
    <xf numFmtId="0" fontId="24" fillId="34" borderId="18">
      <alignment vertical="center" wrapText="1"/>
    </xf>
    <xf numFmtId="0" fontId="1" fillId="35" borderId="10" applyFont="0" applyAlignment="0">
      <alignment horizontal="center" vertical="center"/>
    </xf>
    <xf numFmtId="168" fontId="29" fillId="40" borderId="14">
      <alignment horizontal="left" vertical="top" wrapText="1"/>
    </xf>
    <xf numFmtId="0" fontId="1" fillId="37" borderId="10" applyFont="0">
      <alignment horizontal="left" vertical="top" wrapText="1"/>
    </xf>
    <xf numFmtId="0" fontId="61" fillId="0" borderId="0" applyNumberFormat="0" applyFill="0" applyBorder="0" applyAlignment="0" applyProtection="0"/>
  </cellStyleXfs>
  <cellXfs count="2239">
    <xf numFmtId="0" fontId="0" fillId="0" borderId="0" xfId="0"/>
    <xf numFmtId="0" fontId="0" fillId="2" borderId="0" xfId="0" applyFill="1"/>
    <xf numFmtId="0" fontId="0" fillId="0" borderId="0" xfId="0" applyAlignment="1">
      <alignment horizontal="left"/>
    </xf>
    <xf numFmtId="0" fontId="0" fillId="0" borderId="0" xfId="0" applyBorder="1" applyAlignment="1">
      <alignment horizontal="left" vertical="top"/>
    </xf>
    <xf numFmtId="0" fontId="18" fillId="0" borderId="0" xfId="0" applyFont="1"/>
    <xf numFmtId="0" fontId="0" fillId="0" borderId="0" xfId="0" applyAlignment="1">
      <alignment horizontal="left"/>
    </xf>
    <xf numFmtId="0" fontId="0" fillId="2" borderId="0" xfId="0" applyFill="1" applyAlignment="1">
      <alignment horizontal="left"/>
    </xf>
    <xf numFmtId="0" fontId="0" fillId="0" borderId="0" xfId="0" applyAlignment="1">
      <alignment horizontal="right"/>
    </xf>
    <xf numFmtId="0" fontId="0" fillId="0" borderId="0" xfId="0" applyAlignment="1"/>
    <xf numFmtId="0" fontId="0" fillId="0" borderId="0" xfId="0"/>
    <xf numFmtId="0" fontId="0" fillId="38" borderId="10" xfId="47" applyFont="1" applyAlignment="1">
      <alignment horizontal="left"/>
      <protection locked="0"/>
    </xf>
    <xf numFmtId="0" fontId="0" fillId="39" borderId="10" xfId="48" applyFont="1" applyAlignment="1">
      <alignment horizontal="left"/>
      <protection locked="0"/>
    </xf>
    <xf numFmtId="0" fontId="0" fillId="39" borderId="10" xfId="48" applyFont="1">
      <protection locked="0"/>
    </xf>
    <xf numFmtId="0" fontId="0" fillId="0" borderId="0" xfId="0"/>
    <xf numFmtId="0" fontId="21" fillId="34" borderId="0" xfId="50" applyAlignment="1">
      <alignment horizontal="left"/>
    </xf>
    <xf numFmtId="0" fontId="21" fillId="34" borderId="0" xfId="50" applyAlignment="1"/>
    <xf numFmtId="0" fontId="0" fillId="0" borderId="0" xfId="0"/>
    <xf numFmtId="0" fontId="0" fillId="0" borderId="0" xfId="0"/>
    <xf numFmtId="0" fontId="13" fillId="0" borderId="0" xfId="60" applyAlignment="1"/>
    <xf numFmtId="0" fontId="13" fillId="0" borderId="0" xfId="60" applyAlignment="1">
      <alignment horizontal="left"/>
    </xf>
    <xf numFmtId="49" fontId="0" fillId="0" borderId="0" xfId="0" applyNumberFormat="1"/>
    <xf numFmtId="0" fontId="0" fillId="0" borderId="0" xfId="0" applyAlignment="1">
      <alignment horizontal="right"/>
    </xf>
    <xf numFmtId="0" fontId="0" fillId="0" borderId="0" xfId="0"/>
    <xf numFmtId="49" fontId="18" fillId="0" borderId="0" xfId="0" applyNumberFormat="1" applyFont="1"/>
    <xf numFmtId="49" fontId="21" fillId="34" borderId="0" xfId="50" applyNumberFormat="1"/>
    <xf numFmtId="0" fontId="21" fillId="34" borderId="0" xfId="50"/>
    <xf numFmtId="49" fontId="21" fillId="34" borderId="0" xfId="50" applyNumberFormat="1" applyAlignment="1">
      <alignment horizontal="center" vertical="center"/>
    </xf>
    <xf numFmtId="0" fontId="28" fillId="39" borderId="10" xfId="48" applyFont="1">
      <protection locked="0"/>
    </xf>
    <xf numFmtId="49" fontId="18" fillId="0" borderId="0" xfId="0" quotePrefix="1" applyNumberFormat="1" applyFont="1"/>
    <xf numFmtId="49" fontId="25" fillId="0" borderId="0" xfId="0" applyNumberFormat="1" applyFont="1"/>
    <xf numFmtId="0" fontId="0" fillId="0" borderId="10" xfId="0" applyBorder="1" applyAlignment="1">
      <alignment horizontal="center"/>
    </xf>
    <xf numFmtId="0" fontId="0" fillId="0" borderId="0" xfId="0" applyAlignment="1">
      <alignment horizontal="center"/>
    </xf>
    <xf numFmtId="0" fontId="0" fillId="0" borderId="0" xfId="0" applyAlignment="1">
      <alignment horizontal="left"/>
    </xf>
    <xf numFmtId="0" fontId="0" fillId="0" borderId="0" xfId="0" applyAlignment="1">
      <alignment horizontal="right"/>
    </xf>
    <xf numFmtId="0" fontId="0" fillId="0" borderId="0" xfId="0"/>
    <xf numFmtId="0" fontId="24" fillId="34" borderId="18" xfId="63" applyAlignment="1">
      <alignment vertical="center"/>
    </xf>
    <xf numFmtId="0" fontId="24" fillId="34" borderId="18" xfId="63" applyAlignment="1">
      <alignment horizontal="center" vertical="center" wrapText="1"/>
    </xf>
    <xf numFmtId="0" fontId="0" fillId="0" borderId="0" xfId="0"/>
    <xf numFmtId="0" fontId="24" fillId="34" borderId="18" xfId="63" applyAlignment="1">
      <alignment vertical="center"/>
    </xf>
    <xf numFmtId="0" fontId="0" fillId="0" borderId="0" xfId="0" applyAlignment="1">
      <alignment horizontal="center"/>
    </xf>
    <xf numFmtId="0" fontId="0" fillId="0" borderId="0" xfId="0" applyAlignment="1">
      <alignment horizontal="left"/>
    </xf>
    <xf numFmtId="0" fontId="0" fillId="0" borderId="0" xfId="0" applyAlignment="1">
      <alignment horizontal="right"/>
    </xf>
    <xf numFmtId="0" fontId="0" fillId="0" borderId="0" xfId="0"/>
    <xf numFmtId="0" fontId="0" fillId="0" borderId="0" xfId="62" applyFont="1">
      <alignment horizontal="center" vertical="center"/>
    </xf>
    <xf numFmtId="0" fontId="0" fillId="0" borderId="0" xfId="0" applyAlignment="1">
      <alignment horizontal="left"/>
    </xf>
    <xf numFmtId="0" fontId="0" fillId="0" borderId="0" xfId="0" applyAlignment="1">
      <alignment horizontal="right"/>
    </xf>
    <xf numFmtId="0" fontId="0" fillId="0" borderId="0" xfId="0"/>
    <xf numFmtId="0" fontId="0" fillId="0" borderId="0" xfId="0" applyProtection="1"/>
    <xf numFmtId="0" fontId="13" fillId="0" borderId="0" xfId="60" applyAlignment="1" applyProtection="1"/>
    <xf numFmtId="0" fontId="13" fillId="0" borderId="0" xfId="60" applyAlignment="1" applyProtection="1">
      <alignment horizontal="left"/>
    </xf>
    <xf numFmtId="0" fontId="0" fillId="41" borderId="10" xfId="48" applyFont="1" applyFill="1" applyAlignment="1" applyProtection="1">
      <alignment horizontal="left"/>
    </xf>
    <xf numFmtId="0" fontId="0" fillId="0" borderId="0" xfId="0" applyAlignment="1" applyProtection="1">
      <alignment horizontal="left"/>
    </xf>
    <xf numFmtId="0" fontId="0" fillId="41" borderId="10" xfId="47" applyFont="1" applyFill="1" applyAlignment="1" applyProtection="1">
      <alignment horizontal="left"/>
    </xf>
    <xf numFmtId="0" fontId="0" fillId="0" borderId="0" xfId="0" applyBorder="1" applyAlignment="1" applyProtection="1">
      <alignment horizontal="left" vertical="top"/>
    </xf>
    <xf numFmtId="0" fontId="0" fillId="41" borderId="10" xfId="48" applyFont="1" applyFill="1" applyProtection="1"/>
    <xf numFmtId="0" fontId="28" fillId="38" borderId="10" xfId="47" applyFont="1">
      <protection locked="0"/>
    </xf>
    <xf numFmtId="0" fontId="30" fillId="34" borderId="19" xfId="50" applyFont="1" applyBorder="1" applyAlignment="1"/>
    <xf numFmtId="0" fontId="0" fillId="0" borderId="0" xfId="0"/>
    <xf numFmtId="0" fontId="0" fillId="0" borderId="0" xfId="0" applyAlignment="1">
      <alignment horizontal="right"/>
    </xf>
    <xf numFmtId="0" fontId="0" fillId="0" borderId="0" xfId="0"/>
    <xf numFmtId="0" fontId="0" fillId="0" borderId="0" xfId="0"/>
    <xf numFmtId="0" fontId="0" fillId="38" borderId="10" xfId="47" applyFont="1" applyBorder="1" applyAlignment="1">
      <alignment horizontal="center"/>
      <protection locked="0"/>
    </xf>
    <xf numFmtId="0" fontId="16" fillId="39" borderId="10" xfId="48" applyFont="1" applyBorder="1" applyAlignment="1">
      <alignment horizontal="center"/>
      <protection locked="0"/>
    </xf>
    <xf numFmtId="0" fontId="0" fillId="0" borderId="0" xfId="0" applyAlignment="1">
      <alignment horizontal="center"/>
    </xf>
    <xf numFmtId="0" fontId="0" fillId="0" borderId="0" xfId="0" applyAlignment="1">
      <alignment horizontal="left"/>
    </xf>
    <xf numFmtId="0" fontId="0" fillId="0" borderId="0" xfId="0" applyAlignment="1">
      <alignment horizontal="right"/>
    </xf>
    <xf numFmtId="0" fontId="0" fillId="0" borderId="0" xfId="0"/>
    <xf numFmtId="0" fontId="25" fillId="0" borderId="0" xfId="0" applyFont="1" applyAlignment="1">
      <alignment horizontal="left"/>
    </xf>
    <xf numFmtId="0" fontId="25" fillId="0" borderId="0" xfId="0" applyFont="1" applyAlignment="1">
      <alignment horizontal="left" vertical="top"/>
    </xf>
    <xf numFmtId="0" fontId="25" fillId="0" borderId="0" xfId="0" applyFont="1"/>
    <xf numFmtId="0" fontId="0" fillId="0" borderId="0" xfId="0" applyAlignment="1">
      <alignment vertical="center"/>
    </xf>
    <xf numFmtId="0" fontId="21" fillId="34" borderId="0" xfId="50" applyAlignment="1">
      <alignment horizontal="center" vertical="center"/>
    </xf>
    <xf numFmtId="0" fontId="21" fillId="34" borderId="0" xfId="50" applyAlignment="1">
      <alignment horizontal="left" vertical="top"/>
    </xf>
    <xf numFmtId="0" fontId="0" fillId="0" borderId="0" xfId="0"/>
    <xf numFmtId="0" fontId="0" fillId="37" borderId="10" xfId="54" applyFont="1">
      <alignment horizontal="left" vertical="top" wrapText="1"/>
      <protection locked="0"/>
    </xf>
    <xf numFmtId="0" fontId="0" fillId="0" borderId="0" xfId="0" applyAlignment="1">
      <alignment horizontal="center"/>
    </xf>
    <xf numFmtId="0" fontId="0" fillId="0" borderId="0" xfId="0" applyAlignment="1">
      <alignment horizontal="left"/>
    </xf>
    <xf numFmtId="0" fontId="0" fillId="0" borderId="0" xfId="0" applyAlignment="1">
      <alignment horizontal="right"/>
    </xf>
    <xf numFmtId="0" fontId="0" fillId="0" borderId="0" xfId="0"/>
    <xf numFmtId="49" fontId="18" fillId="0" borderId="0" xfId="0" applyNumberFormat="1" applyFont="1" applyAlignment="1">
      <alignment horizontal="left"/>
    </xf>
    <xf numFmtId="49" fontId="25" fillId="0" borderId="0" xfId="0" applyNumberFormat="1" applyFont="1" applyAlignment="1">
      <alignment horizontal="left"/>
    </xf>
    <xf numFmtId="49" fontId="21" fillId="34" borderId="0" xfId="50" applyNumberFormat="1" applyAlignment="1">
      <alignment horizontal="left" vertical="top"/>
    </xf>
    <xf numFmtId="0" fontId="25" fillId="0" borderId="0" xfId="0" applyFont="1" applyAlignment="1">
      <alignment horizontal="center" vertical="center"/>
    </xf>
    <xf numFmtId="0" fontId="0" fillId="0" borderId="0" xfId="0" applyAlignment="1">
      <alignment horizontal="center" vertical="center"/>
    </xf>
    <xf numFmtId="0" fontId="21" fillId="34" borderId="0" xfId="50" applyAlignment="1">
      <alignment vertical="top"/>
    </xf>
    <xf numFmtId="0" fontId="18" fillId="0" borderId="0" xfId="0" applyFont="1" applyAlignment="1">
      <alignment vertical="top"/>
    </xf>
    <xf numFmtId="0" fontId="21" fillId="34" borderId="0" xfId="50" applyAlignment="1">
      <alignment vertical="top" wrapText="1"/>
    </xf>
    <xf numFmtId="0" fontId="25" fillId="0" borderId="0" xfId="0" applyFont="1" applyAlignment="1">
      <alignment vertical="top"/>
    </xf>
    <xf numFmtId="0" fontId="0" fillId="0" borderId="0" xfId="0" applyAlignment="1">
      <alignment vertical="top"/>
    </xf>
    <xf numFmtId="49" fontId="25" fillId="0" borderId="0" xfId="0" applyNumberFormat="1" applyFont="1" applyAlignment="1">
      <alignment vertical="top"/>
    </xf>
    <xf numFmtId="49" fontId="21" fillId="34" borderId="0" xfId="50" applyNumberFormat="1" applyAlignment="1">
      <alignment vertical="top"/>
    </xf>
    <xf numFmtId="49" fontId="25" fillId="0" borderId="0" xfId="0" quotePrefix="1" applyNumberFormat="1" applyFont="1" applyAlignment="1">
      <alignment vertical="top"/>
    </xf>
    <xf numFmtId="49" fontId="18" fillId="0" borderId="0" xfId="0" applyNumberFormat="1" applyFont="1" applyAlignment="1">
      <alignment vertical="top"/>
    </xf>
    <xf numFmtId="49" fontId="25" fillId="0" borderId="0" xfId="0" applyNumberFormat="1" applyFont="1" applyBorder="1" applyAlignment="1">
      <alignment vertical="top"/>
    </xf>
    <xf numFmtId="0" fontId="0" fillId="0" borderId="0" xfId="62" applyFont="1" applyBorder="1">
      <alignment horizontal="center" vertical="center"/>
    </xf>
    <xf numFmtId="0" fontId="0" fillId="0" borderId="0" xfId="62" applyNumberFormat="1" applyFont="1" applyBorder="1">
      <alignment horizontal="center" vertical="center"/>
    </xf>
    <xf numFmtId="0" fontId="0" fillId="0" borderId="0" xfId="0" applyBorder="1"/>
    <xf numFmtId="0" fontId="18" fillId="0" borderId="0" xfId="0" applyFont="1" applyBorder="1" applyAlignment="1">
      <alignment vertical="top"/>
    </xf>
    <xf numFmtId="49" fontId="25" fillId="0" borderId="31" xfId="0" applyNumberFormat="1" applyFont="1" applyBorder="1" applyAlignment="1">
      <alignment vertical="top"/>
    </xf>
    <xf numFmtId="0" fontId="18" fillId="0" borderId="31" xfId="0" applyFont="1" applyBorder="1" applyAlignment="1">
      <alignment vertical="top"/>
    </xf>
    <xf numFmtId="0" fontId="0" fillId="0" borderId="31" xfId="0" applyBorder="1"/>
    <xf numFmtId="0" fontId="28" fillId="39" borderId="32" xfId="48" applyFont="1" applyBorder="1">
      <protection locked="0"/>
    </xf>
    <xf numFmtId="0" fontId="25" fillId="0" borderId="0" xfId="0" applyFont="1" applyBorder="1" applyAlignment="1">
      <alignment horizontal="left" vertical="top"/>
    </xf>
    <xf numFmtId="49" fontId="18" fillId="0" borderId="0" xfId="0" applyNumberFormat="1" applyFont="1" applyBorder="1" applyAlignment="1">
      <alignment vertical="top"/>
    </xf>
    <xf numFmtId="49" fontId="18" fillId="0" borderId="31" xfId="0" applyNumberFormat="1" applyFont="1" applyBorder="1" applyAlignment="1">
      <alignment vertical="top"/>
    </xf>
    <xf numFmtId="0" fontId="25" fillId="0" borderId="31" xfId="0" applyFont="1" applyBorder="1" applyAlignment="1">
      <alignment vertical="top"/>
    </xf>
    <xf numFmtId="0" fontId="0" fillId="0" borderId="33" xfId="0" applyBorder="1"/>
    <xf numFmtId="0" fontId="25" fillId="0" borderId="33" xfId="0" applyFont="1" applyBorder="1" applyAlignment="1">
      <alignment horizontal="left" vertical="top"/>
    </xf>
    <xf numFmtId="49" fontId="18" fillId="0" borderId="33" xfId="0" applyNumberFormat="1" applyFont="1" applyBorder="1" applyAlignment="1">
      <alignment vertical="top"/>
    </xf>
    <xf numFmtId="9" fontId="1" fillId="39" borderId="10" xfId="48" applyNumberFormat="1" applyFont="1" applyBorder="1" applyAlignment="1">
      <alignment horizontal="center" vertical="center"/>
      <protection locked="0"/>
    </xf>
    <xf numFmtId="0" fontId="0" fillId="39" borderId="10" xfId="48" applyFont="1" applyBorder="1">
      <protection locked="0"/>
    </xf>
    <xf numFmtId="49" fontId="25" fillId="0" borderId="0" xfId="0" quotePrefix="1" applyNumberFormat="1" applyFont="1" applyBorder="1" applyAlignment="1">
      <alignment vertical="top"/>
    </xf>
    <xf numFmtId="49" fontId="25" fillId="0" borderId="31" xfId="0" quotePrefix="1" applyNumberFormat="1" applyFont="1" applyBorder="1" applyAlignment="1">
      <alignment vertical="top"/>
    </xf>
    <xf numFmtId="0" fontId="0" fillId="0" borderId="30" xfId="0" applyBorder="1"/>
    <xf numFmtId="0" fontId="0" fillId="0" borderId="28" xfId="0" applyBorder="1"/>
    <xf numFmtId="49" fontId="25" fillId="0" borderId="33" xfId="0" applyNumberFormat="1" applyFont="1" applyBorder="1" applyAlignment="1">
      <alignment vertical="top"/>
    </xf>
    <xf numFmtId="0" fontId="0" fillId="0" borderId="31" xfId="0" applyBorder="1" applyAlignment="1">
      <alignment vertical="top"/>
    </xf>
    <xf numFmtId="0" fontId="25" fillId="0" borderId="35" xfId="0" applyFont="1" applyBorder="1" applyAlignment="1">
      <alignment vertical="top"/>
    </xf>
    <xf numFmtId="0" fontId="0" fillId="0" borderId="35" xfId="0" applyBorder="1"/>
    <xf numFmtId="0" fontId="28" fillId="39" borderId="17" xfId="48" applyFont="1" applyBorder="1">
      <protection locked="0"/>
    </xf>
    <xf numFmtId="0" fontId="28" fillId="39" borderId="36" xfId="48" applyFont="1" applyBorder="1">
      <protection locked="0"/>
    </xf>
    <xf numFmtId="0" fontId="0" fillId="0" borderId="0" xfId="0" quotePrefix="1"/>
    <xf numFmtId="0" fontId="0" fillId="39" borderId="10" xfId="48" applyFont="1" applyAlignment="1">
      <alignment horizontal="left"/>
      <protection locked="0"/>
    </xf>
    <xf numFmtId="0" fontId="0" fillId="0" borderId="0" xfId="0"/>
    <xf numFmtId="0" fontId="0" fillId="37" borderId="10" xfId="54" applyFont="1">
      <alignment horizontal="left" vertical="top" wrapText="1"/>
      <protection locked="0"/>
    </xf>
    <xf numFmtId="0" fontId="25" fillId="0" borderId="33" xfId="0" applyFont="1" applyBorder="1" applyAlignment="1">
      <alignment vertical="top"/>
    </xf>
    <xf numFmtId="0" fontId="0" fillId="0" borderId="0" xfId="0"/>
    <xf numFmtId="0" fontId="0" fillId="0" borderId="0" xfId="0" applyAlignment="1">
      <alignment horizontal="center" vertical="center"/>
    </xf>
    <xf numFmtId="0" fontId="0" fillId="37" borderId="36" xfId="54" applyFont="1" applyBorder="1">
      <alignment horizontal="left" vertical="top" wrapText="1"/>
      <protection locked="0"/>
    </xf>
    <xf numFmtId="0" fontId="18" fillId="0" borderId="0" xfId="0" applyFont="1" applyBorder="1"/>
    <xf numFmtId="0" fontId="25" fillId="0" borderId="0" xfId="0" applyFont="1" applyBorder="1" applyAlignment="1">
      <alignment horizontal="left"/>
    </xf>
    <xf numFmtId="0" fontId="0" fillId="0" borderId="0" xfId="0"/>
    <xf numFmtId="0" fontId="0" fillId="0" borderId="0" xfId="0"/>
    <xf numFmtId="0" fontId="0" fillId="0" borderId="0" xfId="0"/>
    <xf numFmtId="0" fontId="0" fillId="0" borderId="0" xfId="0"/>
    <xf numFmtId="0" fontId="0" fillId="0" borderId="0" xfId="0" applyAlignment="1">
      <alignment horizontal="center" vertical="center"/>
    </xf>
    <xf numFmtId="0" fontId="25" fillId="0" borderId="0" xfId="0" applyFont="1" applyAlignment="1">
      <alignment horizontal="left" vertical="top"/>
    </xf>
    <xf numFmtId="0" fontId="0" fillId="0" borderId="0" xfId="0"/>
    <xf numFmtId="0" fontId="18" fillId="0" borderId="0" xfId="0" applyFont="1" applyAlignment="1">
      <alignment horizontal="center" vertical="center"/>
    </xf>
    <xf numFmtId="0" fontId="26" fillId="0" borderId="21" xfId="0" applyFont="1" applyBorder="1" applyAlignment="1">
      <alignment horizontal="center" vertical="center" wrapText="1"/>
    </xf>
    <xf numFmtId="0" fontId="26" fillId="0" borderId="10" xfId="0" applyFont="1" applyBorder="1" applyAlignment="1">
      <alignment horizontal="center" vertical="center"/>
    </xf>
    <xf numFmtId="0" fontId="21" fillId="34" borderId="38" xfId="50" applyBorder="1" applyAlignment="1">
      <alignment vertical="center"/>
    </xf>
    <xf numFmtId="0" fontId="21" fillId="34" borderId="39" xfId="50" applyBorder="1" applyAlignment="1">
      <alignment vertical="center"/>
    </xf>
    <xf numFmtId="0" fontId="21" fillId="34" borderId="40" xfId="50" applyBorder="1" applyAlignment="1">
      <alignment vertical="center"/>
    </xf>
    <xf numFmtId="0" fontId="0" fillId="0" borderId="41" xfId="0" applyBorder="1"/>
    <xf numFmtId="0" fontId="0" fillId="0" borderId="42" xfId="0" applyBorder="1"/>
    <xf numFmtId="0" fontId="0" fillId="0" borderId="43" xfId="0" applyBorder="1"/>
    <xf numFmtId="0" fontId="0" fillId="0" borderId="44" xfId="0" applyBorder="1"/>
    <xf numFmtId="0" fontId="0" fillId="0" borderId="45" xfId="0" applyBorder="1"/>
    <xf numFmtId="0" fontId="0" fillId="0" borderId="0" xfId="0" applyBorder="1" applyAlignment="1">
      <alignment horizontal="right"/>
    </xf>
    <xf numFmtId="0" fontId="50" fillId="0" borderId="0" xfId="57" applyBorder="1"/>
    <xf numFmtId="0" fontId="0" fillId="0" borderId="0" xfId="0"/>
    <xf numFmtId="0" fontId="0" fillId="37" borderId="10" xfId="54" applyFont="1">
      <alignment horizontal="left" vertical="top" wrapText="1"/>
      <protection locked="0"/>
    </xf>
    <xf numFmtId="0" fontId="31" fillId="0" borderId="0" xfId="0" applyFont="1" applyAlignment="1">
      <alignment vertical="top"/>
    </xf>
    <xf numFmtId="0" fontId="18" fillId="0" borderId="0" xfId="0" applyFont="1" applyAlignment="1">
      <alignment horizontal="right" vertical="top"/>
    </xf>
    <xf numFmtId="0" fontId="0" fillId="0" borderId="0" xfId="0"/>
    <xf numFmtId="0" fontId="0" fillId="37" borderId="10" xfId="54" applyFont="1">
      <alignment horizontal="left" vertical="top" wrapText="1"/>
      <protection locked="0"/>
    </xf>
    <xf numFmtId="0" fontId="18" fillId="0" borderId="0" xfId="0" applyFont="1" applyBorder="1" applyAlignment="1">
      <alignment horizontal="left" vertical="top" wrapText="1"/>
    </xf>
    <xf numFmtId="0" fontId="18" fillId="0" borderId="0" xfId="0" applyFont="1" applyAlignment="1">
      <alignment vertical="top" wrapText="1"/>
    </xf>
    <xf numFmtId="168" fontId="29" fillId="40" borderId="14" xfId="65">
      <alignment horizontal="left" vertical="top" wrapText="1"/>
    </xf>
    <xf numFmtId="0" fontId="25" fillId="0" borderId="0" xfId="0" applyFont="1" applyAlignment="1">
      <alignment horizontal="right" vertical="top" wrapText="1"/>
    </xf>
    <xf numFmtId="0" fontId="18" fillId="0" borderId="0" xfId="0" applyFont="1" applyAlignment="1">
      <alignment horizontal="left"/>
    </xf>
    <xf numFmtId="0" fontId="25" fillId="0" borderId="0" xfId="0" applyFont="1" applyAlignment="1">
      <alignment vertical="top" wrapText="1"/>
    </xf>
    <xf numFmtId="0" fontId="0" fillId="37" borderId="15" xfId="54" applyFont="1" applyBorder="1">
      <alignment horizontal="left" vertical="top" wrapText="1"/>
      <protection locked="0"/>
    </xf>
    <xf numFmtId="170" fontId="43" fillId="39" borderId="10" xfId="48" applyNumberFormat="1" applyFont="1">
      <protection locked="0"/>
    </xf>
    <xf numFmtId="0" fontId="0" fillId="0" borderId="0" xfId="0"/>
    <xf numFmtId="0" fontId="0" fillId="37" borderId="10" xfId="54" applyFont="1">
      <alignment horizontal="left" vertical="top" wrapText="1"/>
      <protection locked="0"/>
    </xf>
    <xf numFmtId="0" fontId="0" fillId="0" borderId="0" xfId="0" quotePrefix="1" applyNumberFormat="1"/>
    <xf numFmtId="171" fontId="43" fillId="39" borderId="10" xfId="48" applyNumberFormat="1" applyFont="1">
      <protection locked="0"/>
    </xf>
    <xf numFmtId="49" fontId="25" fillId="0" borderId="26" xfId="0" applyNumberFormat="1" applyFont="1" applyBorder="1" applyAlignment="1">
      <alignment vertical="top"/>
    </xf>
    <xf numFmtId="0" fontId="18" fillId="0" borderId="26" xfId="0" applyFont="1" applyBorder="1" applyAlignment="1">
      <alignment vertical="top"/>
    </xf>
    <xf numFmtId="0" fontId="0" fillId="0" borderId="26" xfId="62" applyFont="1" applyBorder="1">
      <alignment horizontal="center" vertical="center"/>
    </xf>
    <xf numFmtId="49" fontId="18" fillId="0" borderId="26" xfId="0" applyNumberFormat="1" applyFont="1" applyBorder="1" applyAlignment="1">
      <alignment vertical="top"/>
    </xf>
    <xf numFmtId="0" fontId="0" fillId="0" borderId="26" xfId="0" applyBorder="1"/>
    <xf numFmtId="49" fontId="25" fillId="0" borderId="26" xfId="0" quotePrefix="1" applyNumberFormat="1" applyFont="1" applyBorder="1" applyAlignment="1">
      <alignment vertical="top"/>
    </xf>
    <xf numFmtId="168" fontId="29" fillId="40" borderId="50" xfId="65" applyBorder="1">
      <alignment horizontal="left" vertical="top" wrapText="1"/>
    </xf>
    <xf numFmtId="168" fontId="29" fillId="40" borderId="51" xfId="65" applyBorder="1">
      <alignment horizontal="left" vertical="top" wrapText="1"/>
    </xf>
    <xf numFmtId="0" fontId="25" fillId="0" borderId="33" xfId="0" applyFont="1" applyBorder="1" applyAlignment="1">
      <alignment horizontal="left"/>
    </xf>
    <xf numFmtId="0" fontId="18" fillId="0" borderId="33" xfId="0" applyFont="1" applyBorder="1"/>
    <xf numFmtId="0" fontId="18" fillId="0" borderId="33" xfId="0" applyFont="1" applyBorder="1" applyAlignment="1">
      <alignment vertical="top"/>
    </xf>
    <xf numFmtId="49" fontId="25" fillId="0" borderId="0" xfId="0" applyNumberFormat="1" applyFont="1" applyBorder="1"/>
    <xf numFmtId="0" fontId="18" fillId="0" borderId="0" xfId="0" applyFont="1" applyBorder="1" applyAlignment="1">
      <alignment horizontal="left" vertical="top"/>
    </xf>
    <xf numFmtId="0" fontId="41" fillId="0" borderId="0" xfId="0" applyFont="1" applyBorder="1" applyAlignment="1">
      <alignment horizontal="center" vertical="center"/>
    </xf>
    <xf numFmtId="0" fontId="0" fillId="0" borderId="52" xfId="0" applyBorder="1"/>
    <xf numFmtId="0" fontId="28" fillId="39" borderId="15" xfId="48" applyFont="1" applyBorder="1">
      <protection locked="0"/>
    </xf>
    <xf numFmtId="0" fontId="25" fillId="0" borderId="0" xfId="0" applyFont="1" applyBorder="1" applyAlignment="1">
      <alignment horizontal="right" vertical="top"/>
    </xf>
    <xf numFmtId="0" fontId="36" fillId="0" borderId="0" xfId="0" applyFont="1" applyBorder="1" applyAlignment="1">
      <alignment horizontal="justify" vertical="top"/>
    </xf>
    <xf numFmtId="0" fontId="25" fillId="0" borderId="0" xfId="0" applyFont="1" applyBorder="1" applyAlignment="1">
      <alignment vertical="top"/>
    </xf>
    <xf numFmtId="0" fontId="0" fillId="39" borderId="34" xfId="48" applyFont="1" applyBorder="1">
      <protection locked="0"/>
    </xf>
    <xf numFmtId="0" fontId="25" fillId="0" borderId="31" xfId="0" applyFont="1" applyBorder="1" applyAlignment="1">
      <alignment horizontal="left"/>
    </xf>
    <xf numFmtId="49" fontId="25" fillId="0" borderId="31" xfId="0" applyNumberFormat="1" applyFont="1" applyBorder="1"/>
    <xf numFmtId="169" fontId="43" fillId="39" borderId="34" xfId="48" applyNumberFormat="1" applyFont="1" applyBorder="1">
      <protection locked="0"/>
    </xf>
    <xf numFmtId="0" fontId="25" fillId="0" borderId="23" xfId="0" applyFont="1" applyBorder="1" applyAlignment="1">
      <alignment horizontal="left"/>
    </xf>
    <xf numFmtId="0" fontId="18" fillId="0" borderId="23" xfId="0" applyFont="1" applyBorder="1"/>
    <xf numFmtId="0" fontId="18" fillId="0" borderId="23" xfId="0" applyFont="1" applyBorder="1" applyAlignment="1">
      <alignment vertical="top"/>
    </xf>
    <xf numFmtId="0" fontId="0" fillId="0" borderId="23" xfId="0" applyBorder="1"/>
    <xf numFmtId="0" fontId="26" fillId="0" borderId="0" xfId="0" applyFont="1" applyBorder="1" applyAlignment="1">
      <alignment horizontal="right" vertical="top" wrapText="1"/>
    </xf>
    <xf numFmtId="170" fontId="43" fillId="39" borderId="34" xfId="48" applyNumberFormat="1" applyFont="1" applyBorder="1">
      <protection locked="0"/>
    </xf>
    <xf numFmtId="0" fontId="0" fillId="2" borderId="0" xfId="0" applyFill="1" applyBorder="1"/>
    <xf numFmtId="49" fontId="25" fillId="0" borderId="33" xfId="0" applyNumberFormat="1" applyFont="1" applyBorder="1"/>
    <xf numFmtId="171" fontId="43" fillId="39" borderId="10" xfId="48" applyNumberFormat="1" applyFont="1" applyBorder="1">
      <protection locked="0"/>
    </xf>
    <xf numFmtId="0" fontId="16" fillId="35" borderId="35" xfId="0" applyFont="1" applyFill="1" applyBorder="1"/>
    <xf numFmtId="0" fontId="0" fillId="35" borderId="35" xfId="0" applyFill="1" applyBorder="1"/>
    <xf numFmtId="0" fontId="0" fillId="35" borderId="35" xfId="0" applyFill="1" applyBorder="1" applyAlignment="1">
      <alignment vertical="center"/>
    </xf>
    <xf numFmtId="0" fontId="0" fillId="35" borderId="35" xfId="0" applyFill="1" applyBorder="1" applyAlignment="1">
      <alignment horizontal="center" vertical="center"/>
    </xf>
    <xf numFmtId="0" fontId="50" fillId="35" borderId="35" xfId="57" applyFill="1" applyBorder="1"/>
    <xf numFmtId="0" fontId="35" fillId="0" borderId="0" xfId="0" applyFont="1" applyBorder="1" applyAlignment="1">
      <alignment horizontal="left" vertical="top" wrapText="1"/>
    </xf>
    <xf numFmtId="49" fontId="25" fillId="0" borderId="26" xfId="0" applyNumberFormat="1" applyFont="1" applyBorder="1"/>
    <xf numFmtId="0" fontId="18" fillId="0" borderId="26" xfId="0" applyFont="1" applyBorder="1" applyAlignment="1">
      <alignment horizontal="left" vertical="top"/>
    </xf>
    <xf numFmtId="49" fontId="25" fillId="0" borderId="21" xfId="0" applyNumberFormat="1" applyFont="1" applyBorder="1"/>
    <xf numFmtId="0" fontId="18" fillId="0" borderId="21" xfId="0" applyFont="1" applyBorder="1" applyAlignment="1">
      <alignment vertical="top"/>
    </xf>
    <xf numFmtId="0" fontId="18" fillId="0" borderId="21" xfId="0" applyFont="1" applyBorder="1" applyAlignment="1">
      <alignment horizontal="left" vertical="top"/>
    </xf>
    <xf numFmtId="49" fontId="25" fillId="0" borderId="23" xfId="0" applyNumberFormat="1" applyFont="1" applyBorder="1"/>
    <xf numFmtId="0" fontId="18" fillId="0" borderId="26" xfId="0" applyFont="1" applyBorder="1"/>
    <xf numFmtId="0" fontId="0" fillId="0" borderId="21" xfId="0" applyBorder="1"/>
    <xf numFmtId="0" fontId="0" fillId="0" borderId="21" xfId="0" applyBorder="1" applyAlignment="1">
      <alignment horizontal="center" vertical="center"/>
    </xf>
    <xf numFmtId="49" fontId="25" fillId="0" borderId="21" xfId="0" applyNumberFormat="1" applyFont="1" applyBorder="1" applyAlignment="1">
      <alignment vertical="top"/>
    </xf>
    <xf numFmtId="49" fontId="25" fillId="0" borderId="23" xfId="0" quotePrefix="1" applyNumberFormat="1" applyFont="1" applyBorder="1" applyAlignment="1">
      <alignment vertical="top"/>
    </xf>
    <xf numFmtId="0" fontId="25" fillId="0" borderId="23" xfId="0" applyFont="1" applyBorder="1" applyAlignment="1">
      <alignment vertical="top"/>
    </xf>
    <xf numFmtId="0" fontId="25" fillId="0" borderId="26" xfId="0" applyFont="1" applyBorder="1" applyAlignment="1">
      <alignment horizontal="left"/>
    </xf>
    <xf numFmtId="168" fontId="29" fillId="40" borderId="50" xfId="65" applyBorder="1" applyAlignment="1">
      <alignment horizontal="left" vertical="top" wrapText="1"/>
    </xf>
    <xf numFmtId="0" fontId="25" fillId="0" borderId="26" xfId="0" applyFont="1" applyBorder="1" applyAlignment="1">
      <alignment vertical="top"/>
    </xf>
    <xf numFmtId="49" fontId="25" fillId="0" borderId="21" xfId="0" quotePrefix="1" applyNumberFormat="1" applyFont="1" applyBorder="1" applyAlignment="1">
      <alignment vertical="top"/>
    </xf>
    <xf numFmtId="0" fontId="25" fillId="0" borderId="21" xfId="0" applyFont="1" applyBorder="1" applyAlignment="1">
      <alignment vertical="top"/>
    </xf>
    <xf numFmtId="0" fontId="25" fillId="0" borderId="0" xfId="0" applyFont="1" applyBorder="1" applyAlignment="1">
      <alignment horizontal="right" vertical="top" wrapText="1"/>
    </xf>
    <xf numFmtId="0" fontId="25" fillId="0" borderId="26" xfId="0" applyFont="1" applyBorder="1" applyAlignment="1">
      <alignment horizontal="right" vertical="top" wrapText="1"/>
    </xf>
    <xf numFmtId="2" fontId="25" fillId="0" borderId="0" xfId="0" applyNumberFormat="1" applyFont="1" applyAlignment="1">
      <alignment horizontal="left"/>
    </xf>
    <xf numFmtId="0" fontId="27" fillId="0" borderId="0" xfId="0" applyFont="1" applyAlignment="1">
      <alignment horizontal="right" wrapText="1"/>
    </xf>
    <xf numFmtId="0" fontId="18" fillId="0" borderId="0" xfId="0" applyFont="1" applyAlignment="1">
      <alignment wrapText="1"/>
    </xf>
    <xf numFmtId="0" fontId="26" fillId="0" borderId="0" xfId="0" applyFont="1" applyAlignment="1">
      <alignment horizontal="right" vertical="center" wrapText="1"/>
    </xf>
    <xf numFmtId="0" fontId="26" fillId="0" borderId="0" xfId="0" applyFont="1" applyAlignment="1">
      <alignment horizontal="right" wrapText="1"/>
    </xf>
    <xf numFmtId="0" fontId="25" fillId="0" borderId="0" xfId="0" applyFont="1" applyAlignment="1">
      <alignment wrapText="1"/>
    </xf>
    <xf numFmtId="0" fontId="21" fillId="34" borderId="0" xfId="50" applyAlignment="1">
      <alignment horizontal="left" vertical="top" wrapText="1"/>
    </xf>
    <xf numFmtId="49" fontId="21" fillId="34" borderId="0" xfId="50" applyNumberFormat="1" applyAlignment="1">
      <alignment horizontal="left" vertical="top" wrapText="1"/>
    </xf>
    <xf numFmtId="49" fontId="25" fillId="0" borderId="0" xfId="0" applyNumberFormat="1" applyFont="1" applyAlignment="1">
      <alignment vertical="top" wrapText="1"/>
    </xf>
    <xf numFmtId="49" fontId="25" fillId="0" borderId="0" xfId="0" quotePrefix="1" applyNumberFormat="1" applyFont="1" applyAlignment="1">
      <alignment vertical="top" wrapText="1"/>
    </xf>
    <xf numFmtId="0" fontId="31" fillId="0" borderId="0" xfId="0" applyFont="1" applyAlignment="1">
      <alignment vertical="top" wrapText="1"/>
    </xf>
    <xf numFmtId="172" fontId="25" fillId="0" borderId="0" xfId="0" applyNumberFormat="1" applyFont="1" applyBorder="1" applyAlignment="1">
      <alignment horizontal="left"/>
    </xf>
    <xf numFmtId="0" fontId="18" fillId="0" borderId="0" xfId="0" applyFont="1" applyBorder="1" applyAlignment="1">
      <alignment horizontal="center" vertical="center"/>
    </xf>
    <xf numFmtId="0" fontId="18" fillId="0" borderId="31" xfId="0" applyFont="1" applyBorder="1"/>
    <xf numFmtId="0" fontId="18" fillId="0" borderId="31" xfId="0" applyFont="1" applyBorder="1" applyAlignment="1">
      <alignment horizontal="center" vertical="center"/>
    </xf>
    <xf numFmtId="0" fontId="18" fillId="0" borderId="26" xfId="0" applyFont="1" applyBorder="1" applyAlignment="1">
      <alignment wrapText="1"/>
    </xf>
    <xf numFmtId="0" fontId="18" fillId="0" borderId="21" xfId="0" applyFont="1" applyBorder="1"/>
    <xf numFmtId="0" fontId="18" fillId="0" borderId="21" xfId="0" applyFont="1" applyBorder="1" applyAlignment="1">
      <alignment wrapText="1"/>
    </xf>
    <xf numFmtId="0" fontId="18" fillId="0" borderId="0" xfId="0" applyFont="1" applyBorder="1" applyAlignment="1">
      <alignment wrapText="1"/>
    </xf>
    <xf numFmtId="0" fontId="18" fillId="0" borderId="23" xfId="0" applyFont="1" applyBorder="1" applyAlignment="1">
      <alignment horizontal="center" vertical="center"/>
    </xf>
    <xf numFmtId="0" fontId="18" fillId="0" borderId="23" xfId="0" applyFont="1" applyBorder="1" applyAlignment="1">
      <alignment wrapText="1"/>
    </xf>
    <xf numFmtId="0" fontId="0" fillId="0" borderId="0" xfId="0" applyAlignment="1">
      <alignment horizontal="right"/>
    </xf>
    <xf numFmtId="0" fontId="0" fillId="0" borderId="0" xfId="0"/>
    <xf numFmtId="0" fontId="0" fillId="37" borderId="10" xfId="54" applyFont="1">
      <alignment horizontal="left" vertical="top" wrapText="1"/>
      <protection locked="0"/>
    </xf>
    <xf numFmtId="0" fontId="0" fillId="0" borderId="0" xfId="0" applyAlignment="1">
      <alignment horizontal="center" vertical="center"/>
    </xf>
    <xf numFmtId="0" fontId="0" fillId="0" borderId="0" xfId="0" applyBorder="1" applyAlignment="1">
      <alignment horizontal="center" vertical="center"/>
    </xf>
    <xf numFmtId="0" fontId="0" fillId="0" borderId="26" xfId="0" applyBorder="1" applyAlignment="1">
      <alignment horizontal="center" vertical="center"/>
    </xf>
    <xf numFmtId="0" fontId="0" fillId="0" borderId="31" xfId="0" applyBorder="1" applyAlignment="1">
      <alignment horizontal="center" vertical="center"/>
    </xf>
    <xf numFmtId="0" fontId="18" fillId="0" borderId="26" xfId="0" applyFont="1" applyBorder="1" applyAlignment="1">
      <alignment horizontal="left" vertical="top" wrapText="1"/>
    </xf>
    <xf numFmtId="168" fontId="29" fillId="40" borderId="14" xfId="65">
      <alignment horizontal="left" vertical="top" wrapText="1"/>
    </xf>
    <xf numFmtId="0" fontId="0" fillId="0" borderId="33" xfId="0" applyBorder="1" applyAlignment="1">
      <alignment horizontal="center" vertical="center"/>
    </xf>
    <xf numFmtId="0" fontId="0" fillId="37" borderId="15" xfId="54" applyFont="1" applyBorder="1">
      <alignment horizontal="left" vertical="top" wrapText="1"/>
      <protection locked="0"/>
    </xf>
    <xf numFmtId="168" fontId="29" fillId="40" borderId="47" xfId="65" applyBorder="1">
      <alignment horizontal="left" vertical="top" wrapText="1"/>
    </xf>
    <xf numFmtId="0" fontId="25" fillId="0" borderId="0" xfId="0" applyFont="1" applyBorder="1" applyAlignment="1">
      <alignment horizontal="right" vertical="top" wrapText="1"/>
    </xf>
    <xf numFmtId="168" fontId="29" fillId="40" borderId="14" xfId="65" applyBorder="1">
      <alignment horizontal="left" vertical="top" wrapText="1"/>
    </xf>
    <xf numFmtId="168" fontId="29" fillId="40" borderId="50" xfId="65" applyBorder="1">
      <alignment horizontal="left" vertical="top" wrapText="1"/>
    </xf>
    <xf numFmtId="168" fontId="29" fillId="40" borderId="14" xfId="65" applyBorder="1" applyAlignment="1">
      <alignment horizontal="left" vertical="top" wrapText="1"/>
    </xf>
    <xf numFmtId="168" fontId="29" fillId="40" borderId="47" xfId="65" applyBorder="1" applyAlignment="1">
      <alignment horizontal="left" vertical="top" wrapText="1"/>
    </xf>
    <xf numFmtId="0" fontId="35" fillId="0" borderId="0" xfId="0" applyFont="1" applyBorder="1" applyAlignment="1">
      <alignment horizontal="left" vertical="top" wrapText="1"/>
    </xf>
    <xf numFmtId="0" fontId="0" fillId="0" borderId="0" xfId="62" applyNumberFormat="1" applyFont="1">
      <alignment horizontal="center" vertical="center"/>
    </xf>
    <xf numFmtId="0" fontId="0" fillId="0" borderId="0" xfId="0" applyNumberFormat="1"/>
    <xf numFmtId="0" fontId="0" fillId="37" borderId="10" xfId="66" applyFont="1">
      <alignment horizontal="left" vertical="top" wrapText="1"/>
    </xf>
    <xf numFmtId="0" fontId="0" fillId="37" borderId="32" xfId="66" applyFont="1" applyBorder="1">
      <alignment horizontal="left" vertical="top" wrapText="1"/>
    </xf>
    <xf numFmtId="0" fontId="0" fillId="39" borderId="17" xfId="48" applyFont="1" applyBorder="1">
      <protection locked="0"/>
    </xf>
    <xf numFmtId="0" fontId="0" fillId="0" borderId="54" xfId="0" applyBorder="1"/>
    <xf numFmtId="0" fontId="0" fillId="0" borderId="0" xfId="0"/>
    <xf numFmtId="0" fontId="0" fillId="0" borderId="0" xfId="0"/>
    <xf numFmtId="0" fontId="0" fillId="0" borderId="0" xfId="0" applyAlignment="1">
      <alignment horizontal="right"/>
    </xf>
    <xf numFmtId="0" fontId="0" fillId="0" borderId="0" xfId="0"/>
    <xf numFmtId="0" fontId="0" fillId="0" borderId="0" xfId="0"/>
    <xf numFmtId="0" fontId="0" fillId="37" borderId="10" xfId="54" applyFont="1" applyBorder="1">
      <alignment horizontal="left" vertical="top" wrapText="1"/>
      <protection locked="0"/>
    </xf>
    <xf numFmtId="0" fontId="0" fillId="37" borderId="10" xfId="66" applyFont="1">
      <alignment horizontal="left" vertical="top" wrapText="1"/>
    </xf>
    <xf numFmtId="0" fontId="50" fillId="35" borderId="35" xfId="57" applyFill="1" applyBorder="1" applyProtection="1">
      <protection locked="0"/>
    </xf>
    <xf numFmtId="0" fontId="50" fillId="0" borderId="0" xfId="57" applyAlignment="1" applyProtection="1">
      <alignment horizontal="left" vertical="top" wrapText="1"/>
      <protection locked="0"/>
    </xf>
    <xf numFmtId="168" fontId="50" fillId="40" borderId="47" xfId="57" applyNumberFormat="1" applyFill="1" applyBorder="1" applyAlignment="1" applyProtection="1">
      <alignment horizontal="left" vertical="top" wrapText="1"/>
      <protection locked="0"/>
    </xf>
    <xf numFmtId="168" fontId="50" fillId="40" borderId="14" xfId="57" applyNumberFormat="1" applyFill="1" applyBorder="1" applyAlignment="1" applyProtection="1">
      <alignment horizontal="left" vertical="top" wrapText="1"/>
      <protection locked="0"/>
    </xf>
    <xf numFmtId="0" fontId="50" fillId="0" borderId="0" xfId="57" applyBorder="1" applyProtection="1">
      <protection locked="0"/>
    </xf>
    <xf numFmtId="0" fontId="26" fillId="0" borderId="33" xfId="0" applyFont="1" applyBorder="1" applyAlignment="1">
      <alignment horizontal="left" vertical="top" wrapText="1"/>
    </xf>
    <xf numFmtId="0" fontId="0" fillId="0" borderId="63" xfId="0" applyBorder="1"/>
    <xf numFmtId="0" fontId="0" fillId="0" borderId="0" xfId="0"/>
    <xf numFmtId="0" fontId="0" fillId="0" borderId="0" xfId="0" applyAlignment="1">
      <alignment horizontal="left"/>
    </xf>
    <xf numFmtId="0" fontId="0" fillId="0" borderId="0" xfId="0"/>
    <xf numFmtId="0" fontId="0" fillId="0" borderId="0" xfId="0" applyAlignment="1">
      <alignment horizontal="left"/>
    </xf>
    <xf numFmtId="0" fontId="0" fillId="0" borderId="0" xfId="0"/>
    <xf numFmtId="0" fontId="0" fillId="0" borderId="0" xfId="0"/>
    <xf numFmtId="0" fontId="0" fillId="0" borderId="0" xfId="0" applyBorder="1" applyAlignment="1">
      <alignment horizontal="center" vertical="center"/>
    </xf>
    <xf numFmtId="0" fontId="18" fillId="0" borderId="0" xfId="0" applyFont="1" applyBorder="1" applyAlignment="1">
      <alignment horizontal="left" vertical="top" wrapText="1"/>
    </xf>
    <xf numFmtId="0" fontId="18" fillId="0" borderId="26" xfId="0" applyFont="1" applyBorder="1" applyAlignment="1">
      <alignment horizontal="left" vertical="top" wrapText="1"/>
    </xf>
    <xf numFmtId="0" fontId="25" fillId="0" borderId="33" xfId="0" applyFont="1" applyBorder="1" applyAlignment="1">
      <alignment horizontal="left" vertical="top" wrapText="1"/>
    </xf>
    <xf numFmtId="0" fontId="18" fillId="0" borderId="0" xfId="0" applyFont="1" applyBorder="1" applyAlignment="1">
      <alignment vertical="top" wrapText="1"/>
    </xf>
    <xf numFmtId="0" fontId="18" fillId="0" borderId="26" xfId="0" applyFont="1" applyBorder="1" applyAlignment="1">
      <alignment vertical="top" wrapText="1"/>
    </xf>
    <xf numFmtId="0" fontId="25" fillId="0" borderId="0" xfId="0" applyFont="1" applyBorder="1" applyAlignment="1">
      <alignment horizontal="right" vertical="top" wrapText="1"/>
    </xf>
    <xf numFmtId="0" fontId="0" fillId="0" borderId="0" xfId="0" applyAlignment="1">
      <alignment wrapText="1"/>
    </xf>
    <xf numFmtId="0" fontId="18" fillId="0" borderId="0" xfId="0" applyFont="1" applyAlignment="1">
      <alignment vertical="top" wrapText="1"/>
    </xf>
    <xf numFmtId="168" fontId="29" fillId="40" borderId="14" xfId="65" applyBorder="1" applyAlignment="1">
      <alignment horizontal="left" vertical="top" wrapText="1"/>
    </xf>
    <xf numFmtId="168" fontId="29" fillId="40" borderId="47" xfId="65" applyBorder="1" applyAlignment="1">
      <alignment horizontal="left" vertical="top" wrapText="1"/>
    </xf>
    <xf numFmtId="168" fontId="29" fillId="40" borderId="14" xfId="65" applyAlignment="1">
      <alignment horizontal="left" vertical="top" wrapText="1"/>
    </xf>
    <xf numFmtId="0" fontId="18" fillId="0" borderId="0" xfId="0" applyFont="1" applyAlignment="1">
      <alignment horizontal="right" vertical="top" wrapText="1"/>
    </xf>
    <xf numFmtId="0" fontId="25" fillId="0" borderId="0" xfId="0" applyFont="1" applyAlignment="1">
      <alignment vertical="top" wrapText="1"/>
    </xf>
    <xf numFmtId="0" fontId="50" fillId="0" borderId="0" xfId="57" applyAlignment="1" applyProtection="1">
      <alignment horizontal="left" vertical="top" wrapText="1"/>
      <protection locked="0"/>
    </xf>
    <xf numFmtId="0" fontId="0" fillId="0" borderId="0" xfId="0" applyAlignment="1">
      <alignment horizontal="left"/>
    </xf>
    <xf numFmtId="0" fontId="0" fillId="0" borderId="0" xfId="0"/>
    <xf numFmtId="0" fontId="0" fillId="38" borderId="10" xfId="47" applyFont="1" applyAlignment="1">
      <alignment horizontal="left"/>
      <protection locked="0"/>
    </xf>
    <xf numFmtId="0" fontId="0" fillId="0" borderId="0" xfId="0" applyAlignment="1">
      <alignment horizontal="left" wrapText="1"/>
    </xf>
    <xf numFmtId="0" fontId="18" fillId="0" borderId="21" xfId="0" applyFont="1" applyBorder="1" applyAlignment="1">
      <alignment horizontal="left" vertical="top" wrapText="1"/>
    </xf>
    <xf numFmtId="0" fontId="18" fillId="0" borderId="21" xfId="0" applyFont="1" applyBorder="1" applyAlignment="1">
      <alignment vertical="top" wrapText="1"/>
    </xf>
    <xf numFmtId="0" fontId="36" fillId="0" borderId="0" xfId="0" applyFont="1" applyBorder="1" applyAlignment="1">
      <alignment horizontal="justify" vertical="top" wrapText="1"/>
    </xf>
    <xf numFmtId="0" fontId="25" fillId="0" borderId="33" xfId="0" applyFont="1" applyBorder="1" applyAlignment="1">
      <alignment vertical="top" wrapText="1"/>
    </xf>
    <xf numFmtId="0" fontId="18" fillId="0" borderId="31" xfId="0" applyFont="1" applyBorder="1" applyAlignment="1">
      <alignment vertical="top" wrapText="1"/>
    </xf>
    <xf numFmtId="0" fontId="25" fillId="0" borderId="0" xfId="0" applyFont="1" applyBorder="1" applyAlignment="1">
      <alignment vertical="top" wrapText="1"/>
    </xf>
    <xf numFmtId="168" fontId="29" fillId="40" borderId="51" xfId="65" applyBorder="1" applyAlignment="1">
      <alignment horizontal="left" vertical="top" wrapText="1"/>
    </xf>
    <xf numFmtId="0" fontId="27" fillId="0" borderId="10" xfId="0" applyFont="1" applyBorder="1" applyAlignment="1">
      <alignment horizontal="center" vertical="center" wrapText="1"/>
    </xf>
    <xf numFmtId="0" fontId="26" fillId="0" borderId="64" xfId="0" applyFont="1" applyBorder="1" applyAlignment="1">
      <alignment horizontal="center" vertical="center" wrapText="1"/>
    </xf>
    <xf numFmtId="49" fontId="0" fillId="39" borderId="10" xfId="48" applyNumberFormat="1" applyFont="1" applyAlignment="1">
      <alignment horizontal="left"/>
      <protection locked="0"/>
    </xf>
    <xf numFmtId="0" fontId="0" fillId="0" borderId="0" xfId="0" applyAlignment="1">
      <alignment horizontal="left"/>
    </xf>
    <xf numFmtId="0" fontId="0" fillId="0" borderId="0" xfId="0"/>
    <xf numFmtId="0" fontId="0" fillId="38" borderId="10" xfId="47" applyFont="1" applyAlignment="1">
      <alignment horizontal="left"/>
      <protection locked="0"/>
    </xf>
    <xf numFmtId="0" fontId="0" fillId="0" borderId="0" xfId="0"/>
    <xf numFmtId="0" fontId="16" fillId="0" borderId="25" xfId="0" applyFont="1" applyBorder="1" applyAlignment="1">
      <alignment horizontal="right" vertical="center"/>
    </xf>
    <xf numFmtId="0" fontId="16" fillId="0" borderId="12" xfId="0" applyFont="1" applyBorder="1" applyAlignment="1">
      <alignment horizontal="right" vertical="center"/>
    </xf>
    <xf numFmtId="0" fontId="0" fillId="0" borderId="0" xfId="0" applyAlignment="1">
      <alignment horizontal="center"/>
    </xf>
    <xf numFmtId="0" fontId="0" fillId="0" borderId="0" xfId="0"/>
    <xf numFmtId="0" fontId="0" fillId="0" borderId="0" xfId="0" applyFill="1" applyBorder="1" applyAlignment="1">
      <alignment horizontal="left"/>
    </xf>
    <xf numFmtId="0" fontId="0" fillId="0" borderId="0" xfId="0"/>
    <xf numFmtId="0" fontId="0" fillId="0" borderId="0" xfId="0" applyFill="1"/>
    <xf numFmtId="0" fontId="16" fillId="0" borderId="0" xfId="0" applyFont="1"/>
    <xf numFmtId="0" fontId="0" fillId="0" borderId="0" xfId="0"/>
    <xf numFmtId="0" fontId="28" fillId="39" borderId="10" xfId="48" applyFont="1" applyBorder="1">
      <protection locked="0"/>
    </xf>
    <xf numFmtId="0" fontId="28" fillId="39" borderId="34" xfId="48" applyFont="1" applyBorder="1">
      <protection locked="0"/>
    </xf>
    <xf numFmtId="0" fontId="0" fillId="0" borderId="0" xfId="0" applyAlignment="1">
      <alignment horizontal="right"/>
    </xf>
    <xf numFmtId="2" fontId="43" fillId="39" borderId="10" xfId="48" applyNumberFormat="1" applyFont="1" applyBorder="1">
      <protection locked="0"/>
    </xf>
    <xf numFmtId="0" fontId="0" fillId="0" borderId="0" xfId="0"/>
    <xf numFmtId="0" fontId="0" fillId="0" borderId="0" xfId="0"/>
    <xf numFmtId="0" fontId="41" fillId="34" borderId="0" xfId="50" applyFont="1" applyAlignment="1">
      <alignment horizontal="center" vertical="center"/>
    </xf>
    <xf numFmtId="0" fontId="0" fillId="0" borderId="0" xfId="0"/>
    <xf numFmtId="0" fontId="0" fillId="0" borderId="0" xfId="0"/>
    <xf numFmtId="0" fontId="26" fillId="0" borderId="68" xfId="0" applyFont="1" applyBorder="1" applyAlignment="1">
      <alignment horizontal="center" vertical="center" wrapText="1"/>
    </xf>
    <xf numFmtId="0" fontId="0" fillId="0" borderId="0" xfId="0"/>
    <xf numFmtId="9" fontId="1" fillId="39" borderId="10" xfId="48" applyNumberFormat="1" applyFont="1" applyBorder="1" applyAlignment="1">
      <alignment horizontal="right" vertical="center"/>
      <protection locked="0"/>
    </xf>
    <xf numFmtId="0" fontId="27" fillId="0" borderId="64" xfId="0" applyFont="1" applyBorder="1" applyAlignment="1">
      <alignment horizontal="center" vertical="center" wrapText="1"/>
    </xf>
    <xf numFmtId="0" fontId="27" fillId="0" borderId="65" xfId="0" applyFont="1" applyBorder="1" applyAlignment="1">
      <alignment horizontal="left" vertical="center" wrapText="1" indent="1"/>
    </xf>
    <xf numFmtId="0" fontId="27" fillId="0" borderId="68" xfId="0" applyFont="1" applyBorder="1" applyAlignment="1">
      <alignment horizontal="center" vertical="center" wrapText="1"/>
    </xf>
    <xf numFmtId="0" fontId="27" fillId="0" borderId="78" xfId="0" applyFont="1" applyBorder="1" applyAlignment="1">
      <alignment horizontal="left" vertical="center" wrapText="1" indent="1"/>
    </xf>
    <xf numFmtId="0" fontId="27" fillId="0" borderId="74" xfId="0" applyFont="1" applyBorder="1" applyAlignment="1">
      <alignment horizontal="center" vertical="center" wrapText="1"/>
    </xf>
    <xf numFmtId="0" fontId="27" fillId="0" borderId="66" xfId="0" applyFont="1" applyBorder="1" applyAlignment="1">
      <alignment horizontal="left" vertical="center" wrapText="1" indent="1"/>
    </xf>
    <xf numFmtId="0" fontId="26" fillId="0" borderId="65" xfId="0" applyFont="1" applyBorder="1" applyAlignment="1">
      <alignment horizontal="center" vertical="center" wrapText="1"/>
    </xf>
    <xf numFmtId="0" fontId="27" fillId="44" borderId="64" xfId="0" applyFont="1" applyFill="1" applyBorder="1" applyAlignment="1">
      <alignment horizontal="center" vertical="center" wrapText="1"/>
    </xf>
    <xf numFmtId="0" fontId="27" fillId="44" borderId="65" xfId="0" applyFont="1" applyFill="1" applyBorder="1" applyAlignment="1">
      <alignment vertical="center" wrapText="1"/>
    </xf>
    <xf numFmtId="0" fontId="27" fillId="0" borderId="65" xfId="0" applyFont="1" applyBorder="1" applyAlignment="1">
      <alignment vertical="center" wrapText="1"/>
    </xf>
    <xf numFmtId="0" fontId="26" fillId="0" borderId="78" xfId="0" applyFont="1" applyBorder="1" applyAlignment="1">
      <alignment horizontal="center" vertical="center" wrapText="1"/>
    </xf>
    <xf numFmtId="0" fontId="27" fillId="0" borderId="65" xfId="0" applyFont="1" applyBorder="1" applyAlignment="1">
      <alignment horizontal="center" vertical="center" wrapText="1"/>
    </xf>
    <xf numFmtId="0" fontId="27" fillId="0" borderId="10" xfId="0" applyFont="1" applyBorder="1" applyAlignment="1">
      <alignment vertical="center" wrapText="1"/>
    </xf>
    <xf numFmtId="0" fontId="27" fillId="0" borderId="17" xfId="0" applyFont="1" applyBorder="1" applyAlignment="1">
      <alignment horizontal="center" vertical="center" wrapText="1"/>
    </xf>
    <xf numFmtId="0" fontId="27" fillId="0" borderId="16" xfId="0" applyFont="1" applyBorder="1" applyAlignment="1">
      <alignment horizontal="center" vertical="center" wrapText="1"/>
    </xf>
    <xf numFmtId="0" fontId="27" fillId="0" borderId="15" xfId="0" applyFont="1" applyBorder="1" applyAlignment="1">
      <alignment horizontal="center" vertical="center" wrapText="1"/>
    </xf>
    <xf numFmtId="0" fontId="26" fillId="0" borderId="10" xfId="0" applyFont="1" applyBorder="1" applyAlignment="1">
      <alignment horizontal="center" vertical="center" wrapText="1"/>
    </xf>
    <xf numFmtId="0" fontId="27" fillId="0" borderId="15" xfId="0" applyFont="1" applyBorder="1" applyAlignment="1">
      <alignment vertical="center" wrapText="1"/>
    </xf>
    <xf numFmtId="0" fontId="27" fillId="0" borderId="17" xfId="0" applyFont="1" applyBorder="1" applyAlignment="1">
      <alignment vertical="center" wrapText="1"/>
    </xf>
    <xf numFmtId="0" fontId="27" fillId="0" borderId="16" xfId="0" applyFont="1" applyBorder="1" applyAlignment="1">
      <alignment vertical="center" wrapText="1"/>
    </xf>
    <xf numFmtId="0" fontId="0" fillId="0" borderId="0" xfId="0"/>
    <xf numFmtId="0" fontId="0" fillId="37" borderId="10" xfId="54" applyFont="1">
      <alignment horizontal="left" vertical="top" wrapText="1"/>
      <protection locked="0"/>
    </xf>
    <xf numFmtId="0" fontId="0" fillId="37" borderId="32" xfId="54" applyFont="1" applyBorder="1">
      <alignment horizontal="left" vertical="top" wrapText="1"/>
      <protection locked="0"/>
    </xf>
    <xf numFmtId="0" fontId="18" fillId="0" borderId="0" xfId="0" applyFont="1" applyBorder="1" applyAlignment="1">
      <alignment vertical="top" wrapText="1"/>
    </xf>
    <xf numFmtId="0" fontId="18" fillId="0" borderId="26" xfId="0" applyFont="1" applyBorder="1" applyAlignment="1">
      <alignment vertical="top" wrapText="1"/>
    </xf>
    <xf numFmtId="0" fontId="25" fillId="0" borderId="33" xfId="0" applyFont="1" applyBorder="1" applyAlignment="1">
      <alignment horizontal="center" vertical="center"/>
    </xf>
    <xf numFmtId="0" fontId="25" fillId="0" borderId="0" xfId="0" applyFont="1" applyBorder="1" applyAlignment="1">
      <alignment horizontal="center" vertical="center"/>
    </xf>
    <xf numFmtId="0" fontId="18" fillId="0" borderId="31" xfId="0" applyFont="1" applyBorder="1" applyAlignment="1">
      <alignment vertical="top" wrapText="1"/>
    </xf>
    <xf numFmtId="0" fontId="25" fillId="0" borderId="26" xfId="0" applyFont="1" applyBorder="1" applyAlignment="1">
      <alignment horizontal="center" vertical="center"/>
    </xf>
    <xf numFmtId="0" fontId="25" fillId="0" borderId="0" xfId="0" applyFont="1" applyAlignment="1">
      <alignment horizontal="center" vertical="center"/>
    </xf>
    <xf numFmtId="0" fontId="25" fillId="0" borderId="31" xfId="0" applyFont="1" applyBorder="1" applyAlignment="1">
      <alignment horizontal="center" vertical="center"/>
    </xf>
    <xf numFmtId="0" fontId="25" fillId="0" borderId="33" xfId="0" applyFont="1" applyBorder="1" applyAlignment="1">
      <alignment vertical="top" wrapText="1"/>
    </xf>
    <xf numFmtId="0" fontId="25" fillId="0" borderId="31" xfId="0" applyFont="1" applyBorder="1" applyAlignment="1">
      <alignment vertical="top" wrapText="1"/>
    </xf>
    <xf numFmtId="0" fontId="18" fillId="0" borderId="21" xfId="0" applyFont="1" applyBorder="1" applyAlignment="1">
      <alignment horizontal="center" vertical="center"/>
    </xf>
    <xf numFmtId="0" fontId="25" fillId="0" borderId="21" xfId="0" applyFont="1" applyBorder="1" applyAlignment="1">
      <alignment horizontal="center" vertical="center"/>
    </xf>
    <xf numFmtId="0" fontId="0" fillId="0" borderId="0" xfId="0" applyAlignment="1">
      <alignment horizontal="left"/>
    </xf>
    <xf numFmtId="0" fontId="0" fillId="0" borderId="0" xfId="0" applyAlignment="1">
      <alignment horizontal="right"/>
    </xf>
    <xf numFmtId="0" fontId="0" fillId="0" borderId="0" xfId="0"/>
    <xf numFmtId="0" fontId="0" fillId="37" borderId="10" xfId="54" applyFont="1" applyBorder="1">
      <alignment horizontal="left" vertical="top" wrapText="1"/>
      <protection locked="0"/>
    </xf>
    <xf numFmtId="0" fontId="0" fillId="37" borderId="53" xfId="54" applyFont="1" applyBorder="1">
      <alignment horizontal="left" vertical="top" wrapText="1"/>
      <protection locked="0"/>
    </xf>
    <xf numFmtId="0" fontId="18" fillId="0" borderId="0" xfId="0" applyFont="1" applyBorder="1" applyAlignment="1">
      <alignment vertical="top" wrapText="1"/>
    </xf>
    <xf numFmtId="0" fontId="18" fillId="0" borderId="26" xfId="0" applyFont="1" applyBorder="1" applyAlignment="1">
      <alignment vertical="top" wrapText="1"/>
    </xf>
    <xf numFmtId="0" fontId="25" fillId="0" borderId="0" xfId="0" applyFont="1" applyAlignment="1">
      <alignment horizontal="center" vertical="center"/>
    </xf>
    <xf numFmtId="0" fontId="25" fillId="0" borderId="33" xfId="0" applyFont="1" applyBorder="1" applyAlignment="1">
      <alignment horizontal="center" vertical="center"/>
    </xf>
    <xf numFmtId="0" fontId="25" fillId="0" borderId="0" xfId="0" applyFont="1" applyBorder="1" applyAlignment="1">
      <alignment horizontal="center" vertical="center"/>
    </xf>
    <xf numFmtId="0" fontId="25" fillId="0" borderId="26" xfId="0" applyFont="1" applyBorder="1" applyAlignment="1">
      <alignment horizontal="center" vertical="center"/>
    </xf>
    <xf numFmtId="0" fontId="25" fillId="0" borderId="23" xfId="0" applyFont="1" applyBorder="1" applyAlignment="1">
      <alignment horizontal="center" vertical="center"/>
    </xf>
    <xf numFmtId="0" fontId="25" fillId="0" borderId="31" xfId="0" applyFont="1" applyBorder="1" applyAlignment="1">
      <alignment horizontal="center" vertical="center"/>
    </xf>
    <xf numFmtId="0" fontId="18" fillId="0" borderId="23" xfId="0" applyFont="1" applyBorder="1" applyAlignment="1">
      <alignment vertical="top" wrapText="1"/>
    </xf>
    <xf numFmtId="0" fontId="25" fillId="0" borderId="0" xfId="0" applyFont="1" applyAlignment="1">
      <alignment vertical="top" wrapText="1"/>
    </xf>
    <xf numFmtId="0" fontId="25" fillId="0" borderId="26" xfId="0" applyFont="1" applyBorder="1" applyAlignment="1">
      <alignment horizontal="right" vertical="top" wrapText="1"/>
    </xf>
    <xf numFmtId="0" fontId="25" fillId="0" borderId="33" xfId="0" applyFont="1" applyBorder="1" applyAlignment="1">
      <alignment vertical="top" wrapText="1"/>
    </xf>
    <xf numFmtId="0" fontId="0" fillId="0" borderId="12" xfId="0" applyBorder="1" applyAlignment="1">
      <alignment horizontal="left"/>
    </xf>
    <xf numFmtId="0" fontId="0" fillId="0" borderId="21" xfId="0" applyBorder="1" applyAlignment="1">
      <alignment horizontal="left"/>
    </xf>
    <xf numFmtId="0" fontId="0" fillId="0" borderId="13" xfId="0" applyBorder="1" applyAlignment="1">
      <alignment horizontal="left"/>
    </xf>
    <xf numFmtId="0" fontId="0" fillId="41" borderId="10" xfId="48" applyFont="1" applyFill="1" applyAlignment="1" applyProtection="1">
      <alignment horizontal="left"/>
    </xf>
    <xf numFmtId="0" fontId="0" fillId="0" borderId="0" xfId="0" applyAlignment="1" applyProtection="1">
      <alignment horizontal="left" wrapText="1"/>
    </xf>
    <xf numFmtId="168" fontId="29" fillId="40" borderId="50" xfId="65" applyBorder="1">
      <alignment horizontal="left" vertical="top" wrapText="1"/>
    </xf>
    <xf numFmtId="0" fontId="25" fillId="0" borderId="0" xfId="0" applyFont="1" applyBorder="1" applyAlignment="1">
      <alignment horizontal="center"/>
    </xf>
    <xf numFmtId="172" fontId="25" fillId="0" borderId="31" xfId="0" applyNumberFormat="1" applyFont="1" applyBorder="1" applyAlignment="1">
      <alignment horizontal="left"/>
    </xf>
    <xf numFmtId="172" fontId="25" fillId="0" borderId="33" xfId="0" applyNumberFormat="1" applyFont="1" applyBorder="1" applyAlignment="1">
      <alignment horizontal="left"/>
    </xf>
    <xf numFmtId="0" fontId="18" fillId="0" borderId="0" xfId="0" applyFont="1" applyBorder="1" applyAlignment="1">
      <alignment horizontal="left"/>
    </xf>
    <xf numFmtId="0" fontId="18" fillId="0" borderId="31" xfId="0" applyFont="1" applyBorder="1" applyAlignment="1">
      <alignment horizontal="left"/>
    </xf>
    <xf numFmtId="0" fontId="50" fillId="0" borderId="31" xfId="57" applyBorder="1" applyAlignment="1" applyProtection="1">
      <alignment horizontal="left" vertical="top" wrapText="1"/>
      <protection locked="0"/>
    </xf>
    <xf numFmtId="173" fontId="43" fillId="39" borderId="10" xfId="48" applyNumberFormat="1" applyFont="1" applyBorder="1">
      <protection locked="0"/>
    </xf>
    <xf numFmtId="175" fontId="43" fillId="39" borderId="10" xfId="48" applyNumberFormat="1" applyFont="1" applyBorder="1">
      <protection locked="0"/>
    </xf>
    <xf numFmtId="0" fontId="0" fillId="2" borderId="0" xfId="0" applyFill="1" applyBorder="1" applyAlignment="1">
      <alignment horizontal="right"/>
    </xf>
    <xf numFmtId="2" fontId="0" fillId="2" borderId="0" xfId="0" applyNumberFormat="1" applyFill="1" applyBorder="1"/>
    <xf numFmtId="9" fontId="43" fillId="39" borderId="10" xfId="48" applyNumberFormat="1" applyFont="1" applyBorder="1">
      <protection locked="0"/>
    </xf>
    <xf numFmtId="0" fontId="18" fillId="0" borderId="0" xfId="0" applyFont="1" applyAlignment="1">
      <alignment vertical="center"/>
    </xf>
    <xf numFmtId="0" fontId="51" fillId="34" borderId="0" xfId="50" applyFont="1" applyAlignment="1">
      <alignment vertical="center"/>
    </xf>
    <xf numFmtId="0" fontId="25" fillId="0" borderId="0" xfId="62" applyFont="1" applyAlignment="1">
      <alignment horizontal="center" vertical="center"/>
    </xf>
    <xf numFmtId="0" fontId="25" fillId="0" borderId="0" xfId="0" applyNumberFormat="1" applyFont="1" applyAlignment="1">
      <alignment horizontal="center" vertical="center"/>
    </xf>
    <xf numFmtId="0" fontId="25" fillId="0" borderId="26" xfId="0" applyNumberFormat="1" applyFont="1" applyBorder="1" applyAlignment="1">
      <alignment horizontal="center" vertical="center"/>
    </xf>
    <xf numFmtId="0" fontId="51" fillId="34" borderId="0" xfId="50" applyFont="1" applyAlignment="1">
      <alignment horizontal="center" vertical="center"/>
    </xf>
    <xf numFmtId="0" fontId="18" fillId="0" borderId="0" xfId="0" applyFont="1" applyAlignment="1">
      <alignment horizontal="center" vertical="center"/>
    </xf>
    <xf numFmtId="0" fontId="18" fillId="0" borderId="33" xfId="0" applyFont="1" applyBorder="1" applyAlignment="1">
      <alignment horizontal="center" vertical="center"/>
    </xf>
    <xf numFmtId="0" fontId="18" fillId="0" borderId="26" xfId="0" applyFont="1" applyBorder="1" applyAlignment="1">
      <alignment horizontal="center" vertical="center"/>
    </xf>
    <xf numFmtId="0" fontId="18" fillId="0" borderId="0" xfId="0" applyFont="1" applyBorder="1" applyAlignment="1">
      <alignment horizontal="center" vertical="center"/>
    </xf>
    <xf numFmtId="0" fontId="18" fillId="0" borderId="26" xfId="0" applyFont="1" applyBorder="1" applyAlignment="1">
      <alignment horizontal="center" vertical="center"/>
    </xf>
    <xf numFmtId="0" fontId="18" fillId="0" borderId="31" xfId="0" applyFont="1" applyBorder="1" applyAlignment="1">
      <alignment horizontal="center" vertical="center"/>
    </xf>
    <xf numFmtId="0" fontId="18" fillId="0" borderId="23" xfId="0" applyFont="1" applyBorder="1" applyAlignment="1">
      <alignment horizontal="center" vertical="center"/>
    </xf>
    <xf numFmtId="0" fontId="18" fillId="0" borderId="33" xfId="0" applyFont="1" applyBorder="1" applyAlignment="1">
      <alignment horizontal="center" vertical="center"/>
    </xf>
    <xf numFmtId="0" fontId="51" fillId="34" borderId="0" xfId="50" applyFont="1"/>
    <xf numFmtId="0" fontId="25" fillId="0" borderId="33" xfId="0" applyFont="1" applyBorder="1"/>
    <xf numFmtId="0" fontId="25" fillId="0" borderId="0" xfId="0" applyFont="1" applyBorder="1"/>
    <xf numFmtId="0" fontId="18" fillId="0" borderId="31" xfId="0" applyFont="1" applyBorder="1" applyAlignment="1">
      <alignment vertical="center"/>
    </xf>
    <xf numFmtId="0" fontId="0" fillId="0" borderId="0" xfId="0" applyAlignment="1">
      <alignment horizontal="left"/>
    </xf>
    <xf numFmtId="0" fontId="0" fillId="0" borderId="0" xfId="0" applyAlignment="1">
      <alignment horizontal="right"/>
    </xf>
    <xf numFmtId="0" fontId="0" fillId="0" borderId="0" xfId="0"/>
    <xf numFmtId="0" fontId="0" fillId="41" borderId="10" xfId="48" applyFont="1" applyFill="1" applyAlignment="1" applyProtection="1">
      <alignment horizontal="left"/>
    </xf>
    <xf numFmtId="49" fontId="25" fillId="0" borderId="0" xfId="0" applyNumberFormat="1" applyFont="1" applyBorder="1" applyAlignment="1">
      <alignment vertical="top" wrapText="1"/>
    </xf>
    <xf numFmtId="0" fontId="18" fillId="0" borderId="33" xfId="0" applyFont="1" applyBorder="1" applyAlignment="1">
      <alignment vertical="top" wrapText="1"/>
    </xf>
    <xf numFmtId="0" fontId="18" fillId="0" borderId="26" xfId="0" applyFont="1" applyBorder="1" applyAlignment="1">
      <alignment horizontal="left"/>
    </xf>
    <xf numFmtId="0" fontId="26" fillId="0" borderId="31" xfId="0" applyFont="1" applyBorder="1" applyAlignment="1">
      <alignment horizontal="justify" vertical="top" wrapText="1"/>
    </xf>
    <xf numFmtId="0" fontId="28" fillId="39" borderId="53" xfId="48" applyFont="1" applyBorder="1">
      <protection locked="0"/>
    </xf>
    <xf numFmtId="0" fontId="50" fillId="0" borderId="26" xfId="57" applyBorder="1" applyAlignment="1" applyProtection="1">
      <alignment horizontal="left" vertical="top" wrapText="1"/>
      <protection locked="0"/>
    </xf>
    <xf numFmtId="174" fontId="43" fillId="39" borderId="10" xfId="48" applyNumberFormat="1" applyFont="1" applyBorder="1">
      <protection locked="0"/>
    </xf>
    <xf numFmtId="0" fontId="25" fillId="0" borderId="23" xfId="0" applyFont="1" applyBorder="1" applyAlignment="1">
      <alignment vertical="top" wrapText="1"/>
    </xf>
    <xf numFmtId="49" fontId="25" fillId="0" borderId="26" xfId="0" applyNumberFormat="1" applyFont="1" applyBorder="1" applyAlignment="1">
      <alignment vertical="top" wrapText="1"/>
    </xf>
    <xf numFmtId="0" fontId="25" fillId="0" borderId="26" xfId="0" applyFont="1" applyBorder="1" applyAlignment="1">
      <alignment vertical="top" wrapText="1"/>
    </xf>
    <xf numFmtId="0" fontId="25" fillId="0" borderId="23" xfId="0" applyFont="1" applyBorder="1"/>
    <xf numFmtId="0" fontId="25" fillId="0" borderId="26" xfId="0" applyFont="1" applyBorder="1"/>
    <xf numFmtId="0" fontId="0" fillId="0" borderId="0" xfId="0" applyBorder="1" applyAlignment="1">
      <alignment vertical="top" wrapText="1"/>
    </xf>
    <xf numFmtId="0" fontId="0" fillId="0" borderId="26" xfId="0" applyBorder="1" applyAlignment="1">
      <alignment vertical="top" wrapText="1"/>
    </xf>
    <xf numFmtId="49" fontId="25" fillId="0" borderId="23" xfId="0" applyNumberFormat="1" applyFont="1" applyBorder="1" applyAlignment="1">
      <alignment vertical="top" wrapText="1"/>
    </xf>
    <xf numFmtId="49" fontId="25" fillId="0" borderId="21" xfId="0" applyNumberFormat="1" applyFont="1" applyBorder="1" applyAlignment="1">
      <alignment vertical="top" wrapText="1"/>
    </xf>
    <xf numFmtId="0" fontId="0" fillId="39" borderId="10" xfId="48" applyFont="1" applyAlignment="1">
      <alignment horizontal="left"/>
      <protection locked="0"/>
    </xf>
    <xf numFmtId="0" fontId="0" fillId="0" borderId="0" xfId="0" applyAlignment="1">
      <alignment horizontal="center"/>
    </xf>
    <xf numFmtId="0" fontId="0" fillId="0" borderId="0" xfId="0" applyAlignment="1">
      <alignment horizontal="right"/>
    </xf>
    <xf numFmtId="0" fontId="0" fillId="0" borderId="0" xfId="0"/>
    <xf numFmtId="0" fontId="0" fillId="0" borderId="10" xfId="0" applyBorder="1"/>
    <xf numFmtId="0" fontId="16" fillId="0" borderId="10" xfId="0" applyFont="1" applyBorder="1" applyAlignment="1">
      <alignment horizontal="center" vertical="center"/>
    </xf>
    <xf numFmtId="0" fontId="16" fillId="0" borderId="10" xfId="0" applyFont="1" applyBorder="1" applyAlignment="1">
      <alignment horizontal="center"/>
    </xf>
    <xf numFmtId="0" fontId="35" fillId="0" borderId="0" xfId="0" applyFont="1" applyBorder="1" applyAlignment="1">
      <alignment horizontal="left" vertical="top" wrapText="1"/>
    </xf>
    <xf numFmtId="0" fontId="0" fillId="0" borderId="0" xfId="0" applyBorder="1" applyAlignment="1">
      <alignment horizontal="center" vertical="center"/>
    </xf>
    <xf numFmtId="0" fontId="0" fillId="0" borderId="0" xfId="0" applyBorder="1" applyAlignment="1">
      <alignment horizontal="center"/>
    </xf>
    <xf numFmtId="0" fontId="52" fillId="0" borderId="0" xfId="0" applyFont="1"/>
    <xf numFmtId="0" fontId="16" fillId="0" borderId="10" xfId="0" applyFont="1" applyBorder="1"/>
    <xf numFmtId="0" fontId="0" fillId="0" borderId="0" xfId="0" applyFill="1" applyBorder="1"/>
    <xf numFmtId="0" fontId="0" fillId="0" borderId="0" xfId="64" applyFont="1" applyFill="1" applyBorder="1" applyAlignment="1">
      <alignment horizontal="left"/>
    </xf>
    <xf numFmtId="0" fontId="0" fillId="0" borderId="0" xfId="64" applyFont="1" applyFill="1" applyBorder="1" applyAlignment="1">
      <alignment horizontal="center"/>
    </xf>
    <xf numFmtId="0" fontId="0" fillId="41" borderId="0" xfId="0" applyFill="1"/>
    <xf numFmtId="0" fontId="16" fillId="0" borderId="10" xfId="0" applyFont="1" applyBorder="1" applyAlignment="1">
      <alignment horizontal="center" vertical="center" wrapText="1"/>
    </xf>
    <xf numFmtId="0" fontId="0" fillId="41" borderId="0" xfId="0" applyFill="1" applyBorder="1"/>
    <xf numFmtId="0" fontId="0" fillId="0" borderId="0" xfId="0" applyBorder="1" applyAlignment="1">
      <alignment horizontal="left"/>
    </xf>
    <xf numFmtId="0" fontId="0" fillId="0" borderId="15" xfId="0" applyBorder="1" applyAlignment="1">
      <alignment horizontal="left" vertical="center"/>
    </xf>
    <xf numFmtId="0" fontId="0" fillId="0" borderId="15" xfId="0" applyBorder="1" applyAlignment="1">
      <alignment horizontal="center" vertical="center"/>
    </xf>
    <xf numFmtId="0" fontId="0" fillId="0" borderId="15" xfId="0" applyBorder="1" applyAlignment="1">
      <alignment horizontal="center"/>
    </xf>
    <xf numFmtId="0" fontId="0" fillId="0" borderId="16" xfId="0" applyBorder="1" applyAlignment="1">
      <alignment horizontal="left" vertical="center"/>
    </xf>
    <xf numFmtId="0" fontId="0" fillId="0" borderId="16" xfId="0" applyBorder="1" applyAlignment="1">
      <alignment horizontal="center" vertical="center"/>
    </xf>
    <xf numFmtId="0" fontId="0" fillId="0" borderId="16" xfId="0" applyBorder="1" applyAlignment="1">
      <alignment horizontal="center"/>
    </xf>
    <xf numFmtId="0" fontId="0" fillId="0" borderId="17" xfId="0" applyBorder="1" applyAlignment="1">
      <alignment horizontal="left" vertical="center" wrapText="1"/>
    </xf>
    <xf numFmtId="0" fontId="0" fillId="0" borderId="17" xfId="0" applyBorder="1" applyAlignment="1">
      <alignment horizontal="center" vertical="center"/>
    </xf>
    <xf numFmtId="0" fontId="0" fillId="41" borderId="0" xfId="0" applyFill="1" applyBorder="1" applyAlignment="1">
      <alignment horizontal="left"/>
    </xf>
    <xf numFmtId="0" fontId="0" fillId="41" borderId="0" xfId="0" applyFill="1" applyBorder="1" applyAlignment="1">
      <alignment horizontal="center"/>
    </xf>
    <xf numFmtId="0" fontId="0" fillId="36" borderId="10" xfId="52" applyFont="1"/>
    <xf numFmtId="0" fontId="16" fillId="0" borderId="0" xfId="0" applyFont="1" applyAlignment="1">
      <alignment horizontal="right"/>
    </xf>
    <xf numFmtId="0" fontId="16" fillId="0" borderId="0" xfId="0" applyFont="1" applyFill="1" applyBorder="1" applyAlignment="1">
      <alignment horizontal="right"/>
    </xf>
    <xf numFmtId="0" fontId="16" fillId="0" borderId="0" xfId="0" applyFont="1" applyBorder="1"/>
    <xf numFmtId="0" fontId="0" fillId="0" borderId="0" xfId="0" applyBorder="1" applyAlignment="1"/>
    <xf numFmtId="0" fontId="0" fillId="0" borderId="0" xfId="0" applyBorder="1" applyAlignment="1">
      <alignment vertical="center"/>
    </xf>
    <xf numFmtId="0" fontId="0" fillId="0" borderId="0" xfId="0" applyFill="1" applyBorder="1" applyAlignment="1"/>
    <xf numFmtId="0" fontId="0" fillId="38" borderId="10" xfId="47" applyFont="1" applyAlignment="1">
      <protection locked="0"/>
    </xf>
    <xf numFmtId="0" fontId="55" fillId="0" borderId="0" xfId="0" applyFont="1" applyAlignment="1">
      <alignment horizontal="left" vertical="center"/>
    </xf>
    <xf numFmtId="0" fontId="55" fillId="0" borderId="0" xfId="0" applyFont="1" applyAlignment="1">
      <alignment vertical="center"/>
    </xf>
    <xf numFmtId="0" fontId="16" fillId="0" borderId="0" xfId="0" applyFont="1" applyAlignment="1">
      <alignment horizontal="center"/>
    </xf>
    <xf numFmtId="0" fontId="16" fillId="0" borderId="10" xfId="0" applyFont="1" applyBorder="1" applyAlignment="1">
      <alignment horizontal="center" wrapText="1"/>
    </xf>
    <xf numFmtId="0" fontId="16" fillId="0" borderId="0" xfId="0" applyFont="1" applyFill="1" applyBorder="1" applyAlignment="1"/>
    <xf numFmtId="176" fontId="0" fillId="0" borderId="0" xfId="0" applyNumberFormat="1" applyFill="1" applyBorder="1" applyAlignment="1"/>
    <xf numFmtId="0" fontId="16" fillId="41" borderId="0" xfId="0" quotePrefix="1" applyFont="1" applyFill="1" applyBorder="1"/>
    <xf numFmtId="0" fontId="0" fillId="41" borderId="0" xfId="0" applyFill="1" applyBorder="1" applyAlignment="1">
      <alignment horizontal="left" indent="1"/>
    </xf>
    <xf numFmtId="0" fontId="0" fillId="0" borderId="0" xfId="0" applyFill="1" applyBorder="1" applyAlignment="1">
      <alignment wrapText="1"/>
    </xf>
    <xf numFmtId="0" fontId="0" fillId="0" borderId="0" xfId="0" applyFill="1" applyBorder="1" applyAlignment="1">
      <alignment vertical="center" wrapText="1"/>
    </xf>
    <xf numFmtId="0" fontId="16" fillId="0" borderId="0" xfId="0" applyFont="1" applyFill="1"/>
    <xf numFmtId="0" fontId="0" fillId="0" borderId="0" xfId="0" applyFill="1" applyAlignment="1">
      <alignment horizontal="left"/>
    </xf>
    <xf numFmtId="0" fontId="0" fillId="0" borderId="0" xfId="64" applyFont="1" applyFill="1" applyBorder="1" applyAlignment="1"/>
    <xf numFmtId="0" fontId="0" fillId="0" borderId="0" xfId="52" applyFont="1" applyFill="1" applyBorder="1" applyAlignment="1"/>
    <xf numFmtId="0" fontId="54" fillId="0" borderId="0" xfId="54" applyFont="1" applyFill="1" applyBorder="1">
      <alignment horizontal="left" vertical="top" wrapText="1"/>
      <protection locked="0"/>
    </xf>
    <xf numFmtId="0" fontId="54" fillId="38" borderId="10" xfId="47" applyFont="1" applyAlignment="1">
      <alignment horizontal="left" vertical="top" wrapText="1"/>
      <protection locked="0"/>
    </xf>
    <xf numFmtId="0" fontId="0" fillId="39" borderId="10" xfId="48" applyFont="1" applyProtection="1"/>
    <xf numFmtId="0" fontId="0" fillId="38" borderId="10" xfId="47" applyFont="1" applyProtection="1"/>
    <xf numFmtId="0" fontId="0" fillId="35" borderId="10" xfId="64" applyFont="1" applyAlignment="1" applyProtection="1"/>
    <xf numFmtId="0" fontId="0" fillId="36" borderId="11" xfId="0" applyFill="1" applyBorder="1" applyProtection="1"/>
    <xf numFmtId="0" fontId="0" fillId="37" borderId="10" xfId="54" applyFont="1" applyProtection="1">
      <alignment horizontal="left" vertical="top" wrapText="1"/>
    </xf>
    <xf numFmtId="0" fontId="0" fillId="42" borderId="10" xfId="48" applyFont="1" applyFill="1" applyProtection="1"/>
    <xf numFmtId="0" fontId="0" fillId="0" borderId="0" xfId="0"/>
    <xf numFmtId="0" fontId="0" fillId="0" borderId="0" xfId="0"/>
    <xf numFmtId="0" fontId="0" fillId="0" borderId="0" xfId="0" applyFill="1" applyBorder="1" applyAlignment="1">
      <alignment horizontal="left" vertical="top"/>
    </xf>
    <xf numFmtId="0" fontId="0" fillId="0" borderId="0" xfId="64" applyFont="1" applyFill="1" applyBorder="1" applyAlignment="1">
      <alignment horizontal="left" vertical="top"/>
    </xf>
    <xf numFmtId="0" fontId="16" fillId="0" borderId="0" xfId="0" applyFont="1" applyAlignment="1">
      <alignment horizontal="right"/>
    </xf>
    <xf numFmtId="0" fontId="16" fillId="0" borderId="0" xfId="0" applyFont="1" applyAlignment="1"/>
    <xf numFmtId="0" fontId="16" fillId="0" borderId="12" xfId="0" applyFont="1" applyBorder="1" applyAlignment="1">
      <alignment horizontal="right"/>
    </xf>
    <xf numFmtId="0" fontId="16" fillId="0" borderId="21" xfId="0" applyFont="1" applyBorder="1"/>
    <xf numFmtId="0" fontId="16" fillId="0" borderId="13" xfId="0" applyFont="1" applyBorder="1"/>
    <xf numFmtId="0" fontId="13" fillId="0" borderId="10" xfId="60" applyBorder="1" applyAlignment="1"/>
    <xf numFmtId="0" fontId="0" fillId="0" borderId="0" xfId="0"/>
    <xf numFmtId="0" fontId="0" fillId="0" borderId="0" xfId="0"/>
    <xf numFmtId="0" fontId="0" fillId="0" borderId="0" xfId="0"/>
    <xf numFmtId="0" fontId="0" fillId="0" borderId="0" xfId="0" applyAlignment="1">
      <alignment horizontal="center"/>
    </xf>
    <xf numFmtId="0" fontId="0" fillId="0" borderId="0" xfId="0" applyAlignment="1">
      <alignment horizontal="right"/>
    </xf>
    <xf numFmtId="0" fontId="0" fillId="37" borderId="10" xfId="54" applyFont="1" applyBorder="1">
      <alignment horizontal="left" vertical="top" wrapText="1"/>
      <protection locked="0"/>
    </xf>
    <xf numFmtId="0" fontId="0" fillId="37" borderId="10" xfId="54" applyFont="1">
      <alignment horizontal="left" vertical="top" wrapText="1"/>
      <protection locked="0"/>
    </xf>
    <xf numFmtId="0" fontId="18" fillId="0" borderId="0" xfId="0" applyFont="1" applyBorder="1" applyAlignment="1">
      <alignment vertical="top" wrapText="1"/>
    </xf>
    <xf numFmtId="0" fontId="18" fillId="0" borderId="26" xfId="0" applyFont="1" applyBorder="1" applyAlignment="1">
      <alignment vertical="top" wrapText="1"/>
    </xf>
    <xf numFmtId="0" fontId="18" fillId="0" borderId="0" xfId="0" applyFont="1" applyAlignment="1">
      <alignment vertical="top" wrapText="1"/>
    </xf>
    <xf numFmtId="0" fontId="18" fillId="0" borderId="23" xfId="0" applyFont="1" applyBorder="1" applyAlignment="1">
      <alignment vertical="top" wrapText="1"/>
    </xf>
    <xf numFmtId="0" fontId="25" fillId="0" borderId="0" xfId="0" applyFont="1" applyAlignment="1">
      <alignment vertical="top" wrapText="1"/>
    </xf>
    <xf numFmtId="0" fontId="25" fillId="0" borderId="0" xfId="0" applyFont="1" applyBorder="1" applyAlignment="1">
      <alignment vertical="top" wrapText="1"/>
    </xf>
    <xf numFmtId="0" fontId="25" fillId="0" borderId="26" xfId="0" applyFont="1" applyBorder="1" applyAlignment="1">
      <alignment vertical="top" wrapText="1"/>
    </xf>
    <xf numFmtId="0" fontId="25" fillId="0" borderId="23" xfId="0" applyFont="1" applyBorder="1" applyAlignment="1">
      <alignment vertical="top" wrapText="1"/>
    </xf>
    <xf numFmtId="0" fontId="0" fillId="37" borderId="10" xfId="66" applyFont="1">
      <alignment horizontal="left" vertical="top" wrapText="1"/>
    </xf>
    <xf numFmtId="0" fontId="0" fillId="0" borderId="0" xfId="0" applyAlignment="1">
      <alignment horizontal="center"/>
    </xf>
    <xf numFmtId="0" fontId="0" fillId="0" borderId="0" xfId="0"/>
    <xf numFmtId="0" fontId="0" fillId="0" borderId="0" xfId="0" applyAlignment="1">
      <alignment horizontal="right"/>
    </xf>
    <xf numFmtId="0" fontId="18" fillId="0" borderId="0" xfId="0" applyFont="1" applyAlignment="1">
      <alignment horizontal="center" vertical="center"/>
    </xf>
    <xf numFmtId="0" fontId="0" fillId="37" borderId="10" xfId="54" applyFont="1">
      <alignment horizontal="left" vertical="top" wrapText="1"/>
      <protection locked="0"/>
    </xf>
    <xf numFmtId="0" fontId="0" fillId="37" borderId="32" xfId="54" applyFont="1" applyBorder="1">
      <alignment horizontal="left" vertical="top" wrapText="1"/>
      <protection locked="0"/>
    </xf>
    <xf numFmtId="0" fontId="18" fillId="0" borderId="0" xfId="0" applyFont="1" applyBorder="1" applyAlignment="1">
      <alignment horizontal="center" vertical="center"/>
    </xf>
    <xf numFmtId="0" fontId="18" fillId="0" borderId="26" xfId="0" applyFont="1" applyBorder="1" applyAlignment="1">
      <alignment horizontal="center" vertical="center"/>
    </xf>
    <xf numFmtId="0" fontId="25" fillId="0" borderId="0" xfId="0" applyFont="1" applyBorder="1" applyAlignment="1">
      <alignment horizontal="center" vertical="center"/>
    </xf>
    <xf numFmtId="0" fontId="25" fillId="0" borderId="26" xfId="0" applyFont="1" applyBorder="1" applyAlignment="1">
      <alignment horizontal="center" vertical="center"/>
    </xf>
    <xf numFmtId="0" fontId="18" fillId="0" borderId="31" xfId="0" applyFont="1" applyBorder="1" applyAlignment="1">
      <alignment horizontal="center" vertical="center"/>
    </xf>
    <xf numFmtId="0" fontId="18" fillId="0" borderId="33" xfId="0" applyFont="1" applyBorder="1" applyAlignment="1">
      <alignment horizontal="center" vertical="center"/>
    </xf>
    <xf numFmtId="0" fontId="18" fillId="0" borderId="0" xfId="0" applyFont="1" applyBorder="1" applyAlignment="1">
      <alignment vertical="top" wrapText="1"/>
    </xf>
    <xf numFmtId="0" fontId="18" fillId="0" borderId="26" xfId="0" applyFont="1" applyBorder="1" applyAlignment="1">
      <alignment vertical="top" wrapText="1"/>
    </xf>
    <xf numFmtId="0" fontId="25" fillId="0" borderId="23" xfId="0" applyFont="1" applyBorder="1" applyAlignment="1">
      <alignment horizontal="center" vertical="center"/>
    </xf>
    <xf numFmtId="0" fontId="18" fillId="0" borderId="23" xfId="0" applyFont="1" applyBorder="1" applyAlignment="1">
      <alignment horizontal="center" vertical="center"/>
    </xf>
    <xf numFmtId="0" fontId="25" fillId="0" borderId="31" xfId="0" applyFont="1" applyBorder="1" applyAlignment="1">
      <alignment horizontal="center" vertical="center"/>
    </xf>
    <xf numFmtId="0" fontId="25" fillId="0" borderId="0" xfId="0" applyFont="1" applyAlignment="1">
      <alignment horizontal="center" vertical="center"/>
    </xf>
    <xf numFmtId="0" fontId="0" fillId="37" borderId="53" xfId="54" applyFont="1" applyBorder="1">
      <alignment horizontal="left" vertical="top" wrapText="1"/>
      <protection locked="0"/>
    </xf>
    <xf numFmtId="0" fontId="25" fillId="0" borderId="33" xfId="0" applyFont="1" applyBorder="1" applyAlignment="1">
      <alignment horizontal="center" vertical="center"/>
    </xf>
    <xf numFmtId="0" fontId="18" fillId="0" borderId="31" xfId="0" applyFont="1" applyBorder="1" applyAlignment="1">
      <alignment vertical="top" wrapText="1"/>
    </xf>
    <xf numFmtId="0" fontId="25" fillId="0" borderId="0" xfId="0" applyFont="1" applyAlignment="1">
      <alignment horizontal="right" vertical="top" wrapText="1"/>
    </xf>
    <xf numFmtId="0" fontId="18" fillId="0" borderId="0" xfId="0" applyFont="1" applyAlignment="1">
      <alignment vertical="top" wrapText="1"/>
    </xf>
    <xf numFmtId="0" fontId="25" fillId="0" borderId="0" xfId="0" applyFont="1" applyAlignment="1">
      <alignment vertical="top" wrapText="1"/>
    </xf>
    <xf numFmtId="168" fontId="29" fillId="40" borderId="50" xfId="65" applyBorder="1">
      <alignment horizontal="left" vertical="top" wrapText="1"/>
    </xf>
    <xf numFmtId="0" fontId="25" fillId="0" borderId="0" xfId="0" applyFont="1" applyBorder="1" applyAlignment="1">
      <alignment vertical="top" wrapText="1"/>
    </xf>
    <xf numFmtId="0" fontId="25" fillId="0" borderId="23" xfId="0" applyFont="1" applyBorder="1" applyAlignment="1">
      <alignment vertical="top" wrapText="1"/>
    </xf>
    <xf numFmtId="0" fontId="26" fillId="0" borderId="0" xfId="0" applyFont="1" applyBorder="1" applyAlignment="1">
      <alignment horizontal="center" vertical="center"/>
    </xf>
    <xf numFmtId="0" fontId="25" fillId="0" borderId="26" xfId="0" applyFont="1" applyBorder="1" applyAlignment="1">
      <alignment horizontal="right" vertical="top" wrapText="1"/>
    </xf>
    <xf numFmtId="0" fontId="25" fillId="0" borderId="33" xfId="0" applyFont="1" applyBorder="1" applyAlignment="1">
      <alignment vertical="top" wrapText="1"/>
    </xf>
    <xf numFmtId="0" fontId="25" fillId="0" borderId="31" xfId="0" applyFont="1" applyBorder="1" applyAlignment="1">
      <alignment vertical="top" wrapText="1"/>
    </xf>
    <xf numFmtId="0" fontId="18" fillId="0" borderId="0" xfId="0" applyFont="1" applyBorder="1" applyAlignment="1">
      <alignment wrapText="1"/>
    </xf>
    <xf numFmtId="0" fontId="18" fillId="0" borderId="0" xfId="0" applyFont="1" applyAlignment="1">
      <alignment wrapText="1"/>
    </xf>
    <xf numFmtId="0" fontId="18" fillId="0" borderId="23" xfId="0" applyFont="1" applyBorder="1" applyAlignment="1">
      <alignment wrapText="1"/>
    </xf>
    <xf numFmtId="0" fontId="18" fillId="0" borderId="26" xfId="0" applyFont="1" applyBorder="1" applyAlignment="1">
      <alignment wrapText="1"/>
    </xf>
    <xf numFmtId="0" fontId="0" fillId="37" borderId="10" xfId="66" applyFont="1">
      <alignment horizontal="left" vertical="top" wrapText="1"/>
    </xf>
    <xf numFmtId="0" fontId="0" fillId="37" borderId="32" xfId="66" applyFont="1" applyBorder="1">
      <alignment horizontal="left" vertical="top" wrapText="1"/>
    </xf>
    <xf numFmtId="0" fontId="25" fillId="0" borderId="0" xfId="0" applyFont="1" applyAlignment="1">
      <alignment horizontal="center"/>
    </xf>
    <xf numFmtId="0" fontId="25" fillId="0" borderId="0" xfId="0" applyFont="1" applyBorder="1" applyAlignment="1">
      <alignment horizontal="center"/>
    </xf>
    <xf numFmtId="0" fontId="0" fillId="0" borderId="0" xfId="0"/>
    <xf numFmtId="0" fontId="18" fillId="0" borderId="31" xfId="0" applyFont="1" applyBorder="1" applyAlignment="1">
      <alignment horizontal="center" vertical="center"/>
    </xf>
    <xf numFmtId="0" fontId="18" fillId="0" borderId="0" xfId="0" applyFont="1" applyBorder="1" applyAlignment="1">
      <alignment horizontal="center" vertical="center"/>
    </xf>
    <xf numFmtId="0" fontId="25" fillId="0" borderId="0" xfId="0" applyFont="1" applyBorder="1" applyAlignment="1">
      <alignment horizontal="center"/>
    </xf>
    <xf numFmtId="0" fontId="25" fillId="0" borderId="31" xfId="0" applyFont="1" applyBorder="1" applyAlignment="1">
      <alignment horizontal="center"/>
    </xf>
    <xf numFmtId="0" fontId="0" fillId="0" borderId="0" xfId="0" applyAlignment="1">
      <alignment horizontal="left" vertical="top" wrapText="1"/>
    </xf>
    <xf numFmtId="0" fontId="21" fillId="34" borderId="0" xfId="50" applyAlignment="1"/>
    <xf numFmtId="0" fontId="0" fillId="0" borderId="0" xfId="0"/>
    <xf numFmtId="0" fontId="0" fillId="0" borderId="0" xfId="0" applyFont="1" applyAlignment="1">
      <alignment horizontal="left" vertical="top" wrapText="1"/>
    </xf>
    <xf numFmtId="0" fontId="0" fillId="0" borderId="0" xfId="0" applyAlignment="1">
      <alignment horizontal="right"/>
    </xf>
    <xf numFmtId="0" fontId="0" fillId="0" borderId="0" xfId="0" applyAlignment="1">
      <alignment horizontal="center" vertical="top" textRotation="90"/>
    </xf>
    <xf numFmtId="0" fontId="0" fillId="0" borderId="0" xfId="0" applyFont="1"/>
    <xf numFmtId="0" fontId="18" fillId="0" borderId="0" xfId="0" applyFont="1" applyAlignment="1">
      <alignment horizontal="left" vertical="top"/>
    </xf>
    <xf numFmtId="49" fontId="25" fillId="0" borderId="0" xfId="0" applyNumberFormat="1" applyFont="1" applyAlignment="1">
      <alignment horizontal="left" vertical="top"/>
    </xf>
    <xf numFmtId="49" fontId="25" fillId="0" borderId="0" xfId="0" applyNumberFormat="1" applyFont="1" applyBorder="1" applyAlignment="1">
      <alignment horizontal="left" vertical="top"/>
    </xf>
    <xf numFmtId="0" fontId="25" fillId="0" borderId="26" xfId="0" applyFont="1" applyBorder="1" applyAlignment="1">
      <alignment horizontal="left" vertical="top"/>
    </xf>
    <xf numFmtId="0" fontId="25" fillId="0" borderId="31" xfId="0" applyFont="1" applyBorder="1" applyAlignment="1">
      <alignment horizontal="left" vertical="top"/>
    </xf>
    <xf numFmtId="0" fontId="25" fillId="0" borderId="23" xfId="0" applyFont="1" applyBorder="1" applyAlignment="1">
      <alignment horizontal="left" vertical="top"/>
    </xf>
    <xf numFmtId="49" fontId="25" fillId="0" borderId="31" xfId="0" applyNumberFormat="1" applyFont="1" applyBorder="1" applyAlignment="1">
      <alignment horizontal="left" vertical="top"/>
    </xf>
    <xf numFmtId="172" fontId="25" fillId="0" borderId="0" xfId="0" applyNumberFormat="1" applyFont="1" applyBorder="1" applyAlignment="1">
      <alignment horizontal="left" vertical="top"/>
    </xf>
    <xf numFmtId="0" fontId="18" fillId="0" borderId="31" xfId="0" applyFont="1" applyBorder="1" applyAlignment="1">
      <alignment horizontal="left" vertical="top"/>
    </xf>
    <xf numFmtId="2" fontId="25" fillId="0" borderId="0" xfId="0" applyNumberFormat="1" applyFont="1" applyAlignment="1">
      <alignment horizontal="left" vertical="top"/>
    </xf>
    <xf numFmtId="172" fontId="25" fillId="0" borderId="31" xfId="0" applyNumberFormat="1" applyFont="1" applyBorder="1" applyAlignment="1">
      <alignment horizontal="left" vertical="top"/>
    </xf>
    <xf numFmtId="172" fontId="25" fillId="0" borderId="33" xfId="0" applyNumberFormat="1" applyFont="1" applyBorder="1" applyAlignment="1">
      <alignment horizontal="left" vertical="top"/>
    </xf>
    <xf numFmtId="49" fontId="18" fillId="0" borderId="0" xfId="0" applyNumberFormat="1" applyFont="1" applyAlignment="1">
      <alignment horizontal="left" vertical="top"/>
    </xf>
    <xf numFmtId="49" fontId="18" fillId="0" borderId="0" xfId="0" applyNumberFormat="1" applyFont="1" applyBorder="1" applyAlignment="1">
      <alignment horizontal="left" vertical="top"/>
    </xf>
    <xf numFmtId="49" fontId="18" fillId="0" borderId="31" xfId="0" applyNumberFormat="1" applyFont="1" applyBorder="1" applyAlignment="1">
      <alignment horizontal="left" vertical="top"/>
    </xf>
    <xf numFmtId="49" fontId="25" fillId="0" borderId="33" xfId="0" applyNumberFormat="1" applyFont="1" applyBorder="1" applyAlignment="1">
      <alignment horizontal="left" vertical="top"/>
    </xf>
    <xf numFmtId="0" fontId="0" fillId="0" borderId="31" xfId="0" applyBorder="1" applyAlignment="1">
      <alignment horizontal="left" vertical="top"/>
    </xf>
    <xf numFmtId="49" fontId="25" fillId="0" borderId="35" xfId="0" applyNumberFormat="1" applyFont="1" applyBorder="1" applyAlignment="1">
      <alignment horizontal="left" vertical="top"/>
    </xf>
    <xf numFmtId="49" fontId="25" fillId="0" borderId="26" xfId="0" applyNumberFormat="1" applyFont="1" applyBorder="1" applyAlignment="1">
      <alignment horizontal="left" vertical="top"/>
    </xf>
    <xf numFmtId="49" fontId="25" fillId="0" borderId="21" xfId="0" applyNumberFormat="1" applyFont="1" applyBorder="1" applyAlignment="1">
      <alignment horizontal="left" vertical="top"/>
    </xf>
    <xf numFmtId="49" fontId="25" fillId="0" borderId="23" xfId="0" applyNumberFormat="1" applyFont="1" applyBorder="1" applyAlignment="1">
      <alignment horizontal="left" vertical="top"/>
    </xf>
    <xf numFmtId="0" fontId="18" fillId="0" borderId="0" xfId="0" applyFont="1" applyBorder="1" applyAlignment="1">
      <alignment horizontal="left" vertical="top"/>
    </xf>
    <xf numFmtId="0" fontId="18" fillId="0" borderId="0" xfId="0" applyFont="1" applyAlignment="1">
      <alignment horizontal="center" vertical="center"/>
    </xf>
    <xf numFmtId="0" fontId="0" fillId="0" borderId="0" xfId="0"/>
    <xf numFmtId="0" fontId="16" fillId="0" borderId="0" xfId="0" applyFont="1" applyAlignment="1">
      <alignment horizontal="right"/>
    </xf>
    <xf numFmtId="0" fontId="0" fillId="0" borderId="0" xfId="0" applyAlignment="1">
      <alignment horizontal="right"/>
    </xf>
    <xf numFmtId="0" fontId="16" fillId="0" borderId="0" xfId="0" applyFont="1"/>
    <xf numFmtId="0" fontId="16" fillId="0" borderId="0" xfId="0" applyFont="1" applyAlignment="1">
      <alignment horizontal="right" vertical="center"/>
    </xf>
    <xf numFmtId="0" fontId="0" fillId="0" borderId="0" xfId="0" applyAlignment="1">
      <alignment horizontal="center"/>
    </xf>
    <xf numFmtId="0" fontId="0" fillId="0" borderId="0" xfId="0"/>
    <xf numFmtId="0" fontId="16" fillId="0" borderId="0" xfId="0" applyFont="1" applyAlignment="1">
      <alignment horizontal="right"/>
    </xf>
    <xf numFmtId="0" fontId="0" fillId="0" borderId="0" xfId="0" applyAlignment="1">
      <alignment horizontal="right"/>
    </xf>
    <xf numFmtId="0" fontId="0" fillId="0" borderId="10" xfId="0" applyBorder="1"/>
    <xf numFmtId="0" fontId="16" fillId="0" borderId="0" xfId="0" applyFont="1" applyFill="1" applyBorder="1"/>
    <xf numFmtId="0" fontId="21" fillId="34" borderId="0" xfId="50" applyAlignment="1">
      <alignment horizontal="center"/>
    </xf>
    <xf numFmtId="0" fontId="0" fillId="0" borderId="0" xfId="0" applyFill="1" applyAlignment="1">
      <alignment horizontal="center"/>
    </xf>
    <xf numFmtId="49" fontId="0" fillId="39" borderId="10" xfId="48" applyNumberFormat="1" applyFont="1">
      <protection locked="0"/>
    </xf>
    <xf numFmtId="14" fontId="0" fillId="39" borderId="10" xfId="48" applyNumberFormat="1" applyFont="1">
      <protection locked="0"/>
    </xf>
    <xf numFmtId="0" fontId="35" fillId="0" borderId="10" xfId="0" applyFont="1" applyBorder="1" applyAlignment="1">
      <alignment horizontal="left" vertical="top" wrapText="1"/>
    </xf>
    <xf numFmtId="0" fontId="0" fillId="0" borderId="0" xfId="0"/>
    <xf numFmtId="0" fontId="0" fillId="0" borderId="0" xfId="0" applyFont="1" applyAlignment="1">
      <alignment horizontal="left" vertical="top" wrapText="1"/>
    </xf>
    <xf numFmtId="0" fontId="0" fillId="0" borderId="0" xfId="0" applyAlignment="1">
      <alignment horizontal="center" vertical="center"/>
    </xf>
    <xf numFmtId="0" fontId="65" fillId="0" borderId="80" xfId="0" applyFont="1" applyBorder="1" applyAlignment="1">
      <alignment horizontal="center" vertical="top" wrapText="1"/>
    </xf>
    <xf numFmtId="0" fontId="65" fillId="0" borderId="81" xfId="0" applyFont="1" applyBorder="1" applyAlignment="1">
      <alignment horizontal="center" vertical="top" wrapText="1"/>
    </xf>
    <xf numFmtId="0" fontId="65" fillId="0" borderId="83" xfId="0" applyFont="1" applyBorder="1" applyAlignment="1">
      <alignment horizontal="center" vertical="top" wrapText="1"/>
    </xf>
    <xf numFmtId="0" fontId="65" fillId="0" borderId="10" xfId="0" applyFont="1" applyBorder="1" applyAlignment="1">
      <alignment horizontal="center" vertical="top" wrapText="1"/>
    </xf>
    <xf numFmtId="0" fontId="65" fillId="0" borderId="85" xfId="0" applyFont="1" applyBorder="1" applyAlignment="1">
      <alignment horizontal="center" vertical="top" wrapText="1"/>
    </xf>
    <xf numFmtId="0" fontId="65" fillId="0" borderId="34" xfId="0" applyFont="1" applyBorder="1" applyAlignment="1">
      <alignment horizontal="center" vertical="top" wrapText="1"/>
    </xf>
    <xf numFmtId="0" fontId="65" fillId="0" borderId="0" xfId="0" applyFont="1" applyAlignment="1">
      <alignment horizontal="justify" vertical="top" wrapText="1"/>
    </xf>
    <xf numFmtId="0" fontId="66" fillId="0" borderId="0" xfId="0" applyFont="1" applyAlignment="1">
      <alignment horizontal="justify" vertical="center" wrapText="1"/>
    </xf>
    <xf numFmtId="0" fontId="66" fillId="0" borderId="0" xfId="0" applyFont="1" applyAlignment="1">
      <alignment horizontal="justify" vertical="top" wrapText="1"/>
    </xf>
    <xf numFmtId="0" fontId="65" fillId="0" borderId="0" xfId="0" applyFont="1" applyAlignment="1">
      <alignment horizontal="justify" vertical="center"/>
    </xf>
    <xf numFmtId="0" fontId="69" fillId="0" borderId="0" xfId="0" applyFont="1" applyAlignment="1">
      <alignment horizontal="left" vertical="center"/>
    </xf>
    <xf numFmtId="0" fontId="70" fillId="0" borderId="0" xfId="0" applyFont="1" applyAlignment="1">
      <alignment horizontal="center" vertical="center"/>
    </xf>
    <xf numFmtId="0" fontId="70" fillId="0" borderId="0" xfId="0" applyFont="1" applyAlignment="1">
      <alignment horizontal="left" vertical="center"/>
    </xf>
    <xf numFmtId="0" fontId="71" fillId="0" borderId="0" xfId="0" applyFont="1" applyAlignment="1">
      <alignment vertical="top" wrapText="1"/>
    </xf>
    <xf numFmtId="0" fontId="65" fillId="0" borderId="64" xfId="0" applyFont="1" applyBorder="1" applyAlignment="1">
      <alignment horizontal="center" vertical="top" wrapText="1"/>
    </xf>
    <xf numFmtId="0" fontId="65" fillId="0" borderId="73" xfId="0" applyFont="1" applyBorder="1" applyAlignment="1">
      <alignment horizontal="center" vertical="top" wrapText="1"/>
    </xf>
    <xf numFmtId="0" fontId="65" fillId="0" borderId="74" xfId="0" applyFont="1" applyBorder="1" applyAlignment="1">
      <alignment horizontal="center" vertical="top" wrapText="1"/>
    </xf>
    <xf numFmtId="0" fontId="65" fillId="0" borderId="0" xfId="0" applyFont="1" applyBorder="1" applyAlignment="1">
      <alignment horizontal="center" vertical="top" wrapText="1"/>
    </xf>
    <xf numFmtId="0" fontId="66" fillId="0" borderId="91" xfId="0" applyFont="1" applyBorder="1" applyAlignment="1">
      <alignment horizontal="center" vertical="top" wrapText="1"/>
    </xf>
    <xf numFmtId="0" fontId="65" fillId="0" borderId="0" xfId="0" applyFont="1" applyAlignment="1">
      <alignment vertical="top" wrapText="1"/>
    </xf>
    <xf numFmtId="0" fontId="74" fillId="0" borderId="0" xfId="0" applyFont="1" applyAlignment="1">
      <alignment horizontal="left" vertical="top" wrapText="1"/>
    </xf>
    <xf numFmtId="0" fontId="76" fillId="0" borderId="0" xfId="0" applyFont="1"/>
    <xf numFmtId="0" fontId="65" fillId="0" borderId="0" xfId="0" applyFont="1" applyBorder="1" applyAlignment="1">
      <alignment vertical="top" wrapText="1"/>
    </xf>
    <xf numFmtId="0" fontId="66" fillId="0" borderId="92" xfId="0" applyFont="1" applyBorder="1" applyAlignment="1">
      <alignment horizontal="center" vertical="top" wrapText="1"/>
    </xf>
    <xf numFmtId="0" fontId="66" fillId="0" borderId="31" xfId="0" applyFont="1" applyBorder="1" applyAlignment="1">
      <alignment horizontal="center" vertical="top" wrapText="1"/>
    </xf>
    <xf numFmtId="0" fontId="65" fillId="0" borderId="0" xfId="0" applyFont="1" applyBorder="1" applyAlignment="1">
      <alignment horizontal="left" vertical="top" wrapText="1"/>
    </xf>
    <xf numFmtId="0" fontId="65" fillId="0" borderId="67" xfId="0" applyFont="1" applyBorder="1" applyAlignment="1">
      <alignment horizontal="left" vertical="top" wrapText="1"/>
    </xf>
    <xf numFmtId="0" fontId="65" fillId="0" borderId="90" xfId="0" applyFont="1" applyBorder="1" applyAlignment="1">
      <alignment horizontal="left" vertical="top" wrapText="1"/>
    </xf>
    <xf numFmtId="0" fontId="64" fillId="0" borderId="0" xfId="0" applyFont="1" applyAlignment="1">
      <alignment vertical="top" wrapText="1"/>
    </xf>
    <xf numFmtId="0" fontId="64" fillId="0" borderId="0" xfId="0" applyFont="1" applyAlignment="1">
      <alignment horizontal="justify" vertical="top" wrapText="1"/>
    </xf>
    <xf numFmtId="0" fontId="65" fillId="0" borderId="0" xfId="0" applyFont="1" applyAlignment="1">
      <alignment horizontal="justify" vertical="top"/>
    </xf>
    <xf numFmtId="0" fontId="0" fillId="0" borderId="0" xfId="0" applyAlignment="1">
      <alignment horizontal="center" vertical="top"/>
    </xf>
    <xf numFmtId="0" fontId="70" fillId="0" borderId="0" xfId="0" applyFont="1" applyAlignment="1">
      <alignment horizontal="left" vertical="top"/>
    </xf>
    <xf numFmtId="0" fontId="0" fillId="38" borderId="10" xfId="47" applyFont="1" applyAlignment="1">
      <alignment horizontal="left"/>
      <protection locked="0"/>
    </xf>
    <xf numFmtId="0" fontId="0" fillId="0" borderId="0" xfId="0"/>
    <xf numFmtId="0" fontId="0" fillId="38" borderId="10" xfId="47" applyFont="1">
      <protection locked="0"/>
    </xf>
    <xf numFmtId="49" fontId="0" fillId="38" borderId="10" xfId="47" applyNumberFormat="1" applyFont="1" applyAlignment="1">
      <alignment horizontal="left"/>
      <protection locked="0"/>
    </xf>
    <xf numFmtId="0" fontId="0" fillId="0" borderId="0" xfId="0" applyFill="1" applyBorder="1" applyAlignment="1">
      <alignment vertical="top"/>
    </xf>
    <xf numFmtId="0" fontId="16" fillId="0" borderId="0" xfId="0" applyFont="1" applyFill="1" applyBorder="1" applyAlignment="1">
      <alignment vertical="top"/>
    </xf>
    <xf numFmtId="49" fontId="21" fillId="34" borderId="0" xfId="50" applyNumberFormat="1" applyAlignment="1">
      <alignment horizontal="left"/>
    </xf>
    <xf numFmtId="0" fontId="0" fillId="0" borderId="0" xfId="0" applyProtection="1">
      <protection locked="0"/>
    </xf>
    <xf numFmtId="0" fontId="0" fillId="0" borderId="0" xfId="0"/>
    <xf numFmtId="14" fontId="0" fillId="0" borderId="0" xfId="0" applyNumberFormat="1"/>
    <xf numFmtId="49" fontId="0" fillId="0" borderId="0" xfId="0" applyNumberFormat="1" applyAlignment="1"/>
    <xf numFmtId="49" fontId="18" fillId="0" borderId="0" xfId="0" applyNumberFormat="1" applyFont="1" applyAlignment="1"/>
    <xf numFmtId="49" fontId="18" fillId="0" borderId="0" xfId="0" quotePrefix="1" applyNumberFormat="1" applyFont="1" applyAlignment="1">
      <alignment horizontal="left" vertical="top"/>
    </xf>
    <xf numFmtId="0" fontId="0" fillId="0" borderId="0" xfId="0"/>
    <xf numFmtId="0" fontId="0" fillId="0" borderId="0" xfId="0"/>
    <xf numFmtId="0" fontId="18" fillId="0" borderId="0" xfId="0" applyFont="1" applyAlignment="1">
      <alignment horizontal="center" vertical="center"/>
    </xf>
    <xf numFmtId="0" fontId="18" fillId="0" borderId="0" xfId="0" applyFont="1" applyBorder="1" applyAlignment="1">
      <alignment vertical="top" wrapText="1"/>
    </xf>
    <xf numFmtId="0" fontId="18" fillId="0" borderId="26" xfId="0" applyFont="1" applyBorder="1" applyAlignment="1">
      <alignment vertical="top" wrapText="1"/>
    </xf>
    <xf numFmtId="0" fontId="18" fillId="0" borderId="23" xfId="0" applyFont="1" applyBorder="1" applyAlignment="1">
      <alignment vertical="top" wrapText="1"/>
    </xf>
    <xf numFmtId="0" fontId="18" fillId="0" borderId="0" xfId="0" applyFont="1" applyAlignment="1">
      <alignment vertical="top" wrapText="1"/>
    </xf>
    <xf numFmtId="0" fontId="0" fillId="0" borderId="0" xfId="0" applyAlignment="1">
      <alignment horizontal="center"/>
    </xf>
    <xf numFmtId="0" fontId="0" fillId="0" borderId="0" xfId="0" applyAlignment="1">
      <alignment horizontal="left"/>
    </xf>
    <xf numFmtId="0" fontId="0" fillId="0" borderId="0" xfId="0"/>
    <xf numFmtId="0" fontId="24" fillId="34" borderId="18" xfId="63" applyAlignment="1">
      <alignment vertical="center"/>
    </xf>
    <xf numFmtId="0" fontId="24" fillId="34" borderId="0" xfId="63" applyBorder="1" applyAlignment="1">
      <alignment vertical="center"/>
    </xf>
    <xf numFmtId="0" fontId="24" fillId="34" borderId="18" xfId="63" applyAlignment="1">
      <alignment horizontal="center" vertical="center"/>
    </xf>
    <xf numFmtId="0" fontId="0" fillId="0" borderId="0" xfId="0"/>
    <xf numFmtId="0" fontId="0" fillId="0" borderId="0" xfId="0"/>
    <xf numFmtId="49" fontId="18" fillId="0" borderId="0" xfId="0" applyNumberFormat="1" applyFont="1" applyProtection="1">
      <protection locked="0"/>
    </xf>
    <xf numFmtId="49" fontId="18" fillId="0" borderId="0" xfId="0" quotePrefix="1" applyNumberFormat="1" applyFont="1" applyProtection="1">
      <protection locked="0"/>
    </xf>
    <xf numFmtId="49" fontId="0" fillId="0" borderId="0" xfId="0" applyNumberFormat="1" applyProtection="1">
      <protection locked="0"/>
    </xf>
    <xf numFmtId="49" fontId="18" fillId="0" borderId="0" xfId="0" applyNumberFormat="1" applyFont="1" applyAlignment="1" applyProtection="1">
      <alignment horizontal="left"/>
      <protection locked="0"/>
    </xf>
    <xf numFmtId="49" fontId="25" fillId="0" borderId="0" xfId="0" applyNumberFormat="1" applyFont="1" applyAlignment="1" applyProtection="1">
      <alignment horizontal="left"/>
      <protection locked="0"/>
    </xf>
    <xf numFmtId="0" fontId="40" fillId="2" borderId="26" xfId="0" applyFont="1" applyFill="1" applyBorder="1" applyAlignment="1">
      <alignment horizontal="center" vertical="center"/>
    </xf>
    <xf numFmtId="0" fontId="40" fillId="2" borderId="0" xfId="0" applyFont="1" applyFill="1" applyBorder="1" applyAlignment="1">
      <alignment horizontal="center" vertical="center"/>
    </xf>
    <xf numFmtId="0" fontId="0" fillId="0" borderId="0" xfId="0" applyAlignment="1">
      <alignment horizontal="left"/>
    </xf>
    <xf numFmtId="0" fontId="0" fillId="0" borderId="0" xfId="0" applyAlignment="1">
      <alignment horizontal="center"/>
    </xf>
    <xf numFmtId="0" fontId="0" fillId="0" borderId="0" xfId="0" applyAlignment="1">
      <alignment horizontal="left"/>
    </xf>
    <xf numFmtId="0" fontId="0" fillId="0" borderId="0" xfId="0"/>
    <xf numFmtId="49" fontId="0" fillId="39" borderId="10" xfId="48" applyNumberFormat="1" applyFont="1" applyAlignment="1">
      <protection locked="0"/>
    </xf>
    <xf numFmtId="0" fontId="0" fillId="0" borderId="0" xfId="0" applyAlignment="1">
      <alignment horizontal="center"/>
    </xf>
    <xf numFmtId="0" fontId="0" fillId="0" borderId="0" xfId="0"/>
    <xf numFmtId="0" fontId="0" fillId="0" borderId="0" xfId="0" applyAlignment="1">
      <alignment horizontal="center"/>
    </xf>
    <xf numFmtId="0" fontId="0" fillId="0" borderId="0" xfId="0" applyAlignment="1">
      <alignment horizontal="left"/>
    </xf>
    <xf numFmtId="0" fontId="0" fillId="0" borderId="0" xfId="0"/>
    <xf numFmtId="0" fontId="25" fillId="0" borderId="26" xfId="0" applyFont="1" applyBorder="1" applyAlignment="1">
      <alignment vertical="top" wrapText="1"/>
    </xf>
    <xf numFmtId="168" fontId="29" fillId="40" borderId="51" xfId="65" applyBorder="1">
      <alignment horizontal="left" vertical="top" wrapText="1"/>
    </xf>
    <xf numFmtId="0" fontId="25" fillId="0" borderId="26" xfId="0" applyFont="1" applyBorder="1" applyAlignment="1">
      <alignment horizontal="right" vertical="top" wrapText="1"/>
    </xf>
    <xf numFmtId="0" fontId="25" fillId="0" borderId="0" xfId="0" applyFont="1" applyAlignment="1">
      <alignment horizontal="center"/>
    </xf>
    <xf numFmtId="0" fontId="13" fillId="0" borderId="0" xfId="60" applyBorder="1" applyAlignment="1"/>
    <xf numFmtId="0" fontId="0" fillId="0" borderId="0" xfId="0" applyBorder="1" applyAlignment="1">
      <alignment horizontal="left" vertical="center"/>
    </xf>
    <xf numFmtId="0" fontId="21" fillId="34" borderId="0" xfId="50" applyProtection="1">
      <protection locked="0"/>
    </xf>
    <xf numFmtId="0" fontId="0" fillId="37" borderId="10" xfId="66" applyFont="1" applyProtection="1">
      <alignment horizontal="left" vertical="top" wrapText="1"/>
      <protection locked="0"/>
    </xf>
    <xf numFmtId="0" fontId="0" fillId="0" borderId="31" xfId="0" applyBorder="1" applyProtection="1">
      <protection locked="0"/>
    </xf>
    <xf numFmtId="0" fontId="0" fillId="37" borderId="32" xfId="66" applyFont="1" applyBorder="1" applyProtection="1">
      <alignment horizontal="left" vertical="top" wrapText="1"/>
      <protection locked="0"/>
    </xf>
    <xf numFmtId="0" fontId="0" fillId="0" borderId="0" xfId="0" applyBorder="1" applyProtection="1">
      <protection locked="0"/>
    </xf>
    <xf numFmtId="0" fontId="43" fillId="34" borderId="0" xfId="50" applyFont="1"/>
    <xf numFmtId="0" fontId="0" fillId="0" borderId="0" xfId="0"/>
    <xf numFmtId="0" fontId="0" fillId="0" borderId="0" xfId="0"/>
    <xf numFmtId="0" fontId="0" fillId="48" borderId="0" xfId="0" applyFill="1"/>
    <xf numFmtId="0" fontId="0" fillId="48" borderId="23" xfId="0" applyFill="1" applyBorder="1"/>
    <xf numFmtId="0" fontId="0" fillId="48" borderId="0" xfId="0" applyFill="1" applyBorder="1"/>
    <xf numFmtId="0" fontId="0" fillId="48" borderId="21" xfId="0" applyFill="1" applyBorder="1"/>
    <xf numFmtId="0" fontId="0" fillId="0" borderId="0" xfId="0"/>
    <xf numFmtId="0" fontId="0" fillId="37" borderId="32" xfId="54" applyFont="1" applyBorder="1">
      <alignment horizontal="left" vertical="top" wrapText="1"/>
      <protection locked="0"/>
    </xf>
    <xf numFmtId="0" fontId="0" fillId="37" borderId="10" xfId="54" applyFont="1">
      <alignment horizontal="left" vertical="top" wrapText="1"/>
      <protection locked="0"/>
    </xf>
    <xf numFmtId="0" fontId="18" fillId="0" borderId="0" xfId="0" applyFont="1" applyAlignment="1">
      <alignment horizontal="center" vertical="center"/>
    </xf>
    <xf numFmtId="0" fontId="18" fillId="0" borderId="31" xfId="0" applyFont="1" applyBorder="1" applyAlignment="1">
      <alignment horizontal="center" vertical="center"/>
    </xf>
    <xf numFmtId="0" fontId="18" fillId="0" borderId="31" xfId="0" applyFont="1" applyBorder="1" applyAlignment="1">
      <alignment vertical="top" wrapText="1"/>
    </xf>
    <xf numFmtId="0" fontId="0" fillId="37" borderId="10" xfId="66" applyFont="1">
      <alignment horizontal="left" vertical="top" wrapText="1"/>
    </xf>
    <xf numFmtId="0" fontId="0" fillId="37" borderId="10" xfId="66" applyFont="1" applyProtection="1">
      <alignment horizontal="left" vertical="top" wrapText="1"/>
      <protection locked="0"/>
    </xf>
    <xf numFmtId="0" fontId="0" fillId="37" borderId="32" xfId="66" applyFont="1" applyBorder="1" applyProtection="1">
      <alignment horizontal="left" vertical="top" wrapText="1"/>
      <protection locked="0"/>
    </xf>
    <xf numFmtId="0" fontId="0" fillId="0" borderId="0" xfId="0"/>
    <xf numFmtId="0" fontId="18" fillId="0" borderId="106" xfId="0" applyFont="1" applyBorder="1" applyAlignment="1">
      <alignment vertical="top" wrapText="1"/>
    </xf>
    <xf numFmtId="0" fontId="0" fillId="0" borderId="0" xfId="0"/>
    <xf numFmtId="0" fontId="18" fillId="0" borderId="0" xfId="0" applyFont="1" applyBorder="1" applyAlignment="1">
      <alignment vertical="top" wrapText="1"/>
    </xf>
    <xf numFmtId="9" fontId="0" fillId="0" borderId="0" xfId="0" applyNumberFormat="1"/>
    <xf numFmtId="2" fontId="0" fillId="0" borderId="0" xfId="0" applyNumberFormat="1"/>
    <xf numFmtId="9" fontId="0" fillId="0" borderId="0" xfId="0" applyNumberFormat="1" applyFill="1"/>
    <xf numFmtId="0" fontId="0" fillId="0" borderId="0" xfId="0"/>
    <xf numFmtId="0" fontId="16" fillId="0" borderId="10" xfId="0" applyFont="1" applyBorder="1" applyAlignment="1">
      <alignment horizontal="center"/>
    </xf>
    <xf numFmtId="1" fontId="43" fillId="39" borderId="10" xfId="48" applyNumberFormat="1" applyFont="1" applyBorder="1">
      <protection locked="0"/>
    </xf>
    <xf numFmtId="9" fontId="0" fillId="0" borderId="10" xfId="0" applyNumberFormat="1" applyBorder="1" applyAlignment="1">
      <alignment horizontal="center"/>
    </xf>
    <xf numFmtId="0" fontId="0" fillId="0" borderId="0" xfId="0"/>
    <xf numFmtId="0" fontId="25" fillId="0" borderId="0" xfId="0" applyFont="1" applyBorder="1" applyAlignment="1">
      <alignment horizontal="center" vertical="center"/>
    </xf>
    <xf numFmtId="0" fontId="18" fillId="0" borderId="0" xfId="0" applyFont="1" applyAlignment="1">
      <alignment horizontal="center" vertical="center"/>
    </xf>
    <xf numFmtId="0" fontId="18" fillId="0" borderId="0" xfId="0" applyFont="1" applyBorder="1" applyAlignment="1">
      <alignment horizontal="center" vertical="center"/>
    </xf>
    <xf numFmtId="0" fontId="0" fillId="0" borderId="0" xfId="0" applyBorder="1" applyAlignment="1">
      <alignment horizontal="center" vertical="center"/>
    </xf>
    <xf numFmtId="0" fontId="0" fillId="0" borderId="0" xfId="0"/>
    <xf numFmtId="0" fontId="18" fillId="0" borderId="0" xfId="0" applyFont="1" applyAlignment="1">
      <alignment horizontal="center" vertical="center"/>
    </xf>
    <xf numFmtId="0" fontId="0" fillId="0" borderId="0" xfId="0" applyAlignment="1">
      <alignment horizontal="center" vertical="center"/>
    </xf>
    <xf numFmtId="0" fontId="40" fillId="0" borderId="26" xfId="0" applyFont="1" applyFill="1" applyBorder="1" applyAlignment="1">
      <alignment horizontal="center" vertical="center"/>
    </xf>
    <xf numFmtId="0" fontId="0" fillId="0" borderId="0" xfId="0"/>
    <xf numFmtId="0" fontId="25" fillId="0" borderId="0" xfId="0" applyFont="1" applyBorder="1" applyAlignment="1">
      <alignment horizontal="center" vertical="center"/>
    </xf>
    <xf numFmtId="0" fontId="18" fillId="0" borderId="0" xfId="0" applyFont="1" applyAlignment="1">
      <alignment horizontal="center" vertical="center"/>
    </xf>
    <xf numFmtId="0" fontId="18" fillId="0" borderId="0" xfId="0" applyFont="1" applyBorder="1" applyAlignment="1">
      <alignment horizontal="center" vertical="center"/>
    </xf>
    <xf numFmtId="0" fontId="18" fillId="0" borderId="0" xfId="0" applyFont="1" applyBorder="1" applyAlignment="1">
      <alignment vertical="top" wrapText="1"/>
    </xf>
    <xf numFmtId="0" fontId="40" fillId="2" borderId="0" xfId="0" applyFont="1" applyFill="1" applyBorder="1" applyAlignment="1">
      <alignment horizontal="center" vertical="center"/>
    </xf>
    <xf numFmtId="0" fontId="0" fillId="0" borderId="0" xfId="0" applyBorder="1" applyAlignment="1">
      <alignment horizontal="center" vertical="center"/>
    </xf>
    <xf numFmtId="0" fontId="0" fillId="0" borderId="0" xfId="0" applyAlignment="1">
      <alignment horizontal="center" vertical="center"/>
    </xf>
    <xf numFmtId="0" fontId="0" fillId="0" borderId="0" xfId="0" applyAlignment="1">
      <alignment horizontal="right"/>
    </xf>
    <xf numFmtId="0" fontId="0" fillId="0" borderId="0" xfId="0"/>
    <xf numFmtId="0" fontId="18" fillId="0" borderId="0" xfId="0" applyFont="1" applyBorder="1" applyAlignment="1">
      <alignment vertical="top" wrapText="1"/>
    </xf>
    <xf numFmtId="0" fontId="18" fillId="0" borderId="26" xfId="0" applyFont="1" applyBorder="1" applyAlignment="1">
      <alignment vertical="top" wrapText="1"/>
    </xf>
    <xf numFmtId="0" fontId="18" fillId="0" borderId="0" xfId="0" applyFont="1" applyBorder="1" applyAlignment="1">
      <alignment horizontal="center" vertical="center"/>
    </xf>
    <xf numFmtId="0" fontId="18" fillId="0" borderId="0" xfId="0" applyFont="1" applyAlignment="1">
      <alignment horizontal="center" vertical="center"/>
    </xf>
    <xf numFmtId="0" fontId="18" fillId="0" borderId="23" xfId="0" applyFont="1" applyBorder="1" applyAlignment="1">
      <alignment horizontal="center" vertical="center"/>
    </xf>
    <xf numFmtId="0" fontId="18" fillId="0" borderId="33" xfId="0" applyFont="1" applyBorder="1" applyAlignment="1">
      <alignment horizontal="center" vertical="center"/>
    </xf>
    <xf numFmtId="0" fontId="18" fillId="0" borderId="0" xfId="0" applyFont="1" applyAlignment="1">
      <alignment vertical="top" wrapText="1"/>
    </xf>
    <xf numFmtId="0" fontId="18" fillId="0" borderId="23" xfId="0" applyFont="1" applyBorder="1" applyAlignment="1">
      <alignment vertical="top" wrapText="1"/>
    </xf>
    <xf numFmtId="0" fontId="40" fillId="0" borderId="0" xfId="0" applyFont="1" applyFill="1" applyAlignment="1">
      <alignment horizontal="center" vertical="center"/>
    </xf>
    <xf numFmtId="0" fontId="0" fillId="39" borderId="12" xfId="48" applyFont="1" applyBorder="1">
      <protection locked="0"/>
    </xf>
    <xf numFmtId="0" fontId="40" fillId="0" borderId="0" xfId="0" applyFont="1" applyFill="1" applyBorder="1" applyAlignment="1">
      <alignment horizontal="center" vertical="center"/>
    </xf>
    <xf numFmtId="0" fontId="0" fillId="0" borderId="24" xfId="0" applyBorder="1"/>
    <xf numFmtId="49" fontId="25" fillId="0" borderId="33" xfId="0" applyNumberFormat="1" applyFont="1" applyBorder="1" applyAlignment="1">
      <alignment horizontal="left"/>
    </xf>
    <xf numFmtId="0" fontId="0" fillId="49" borderId="33" xfId="0" applyFill="1" applyBorder="1"/>
    <xf numFmtId="0" fontId="0" fillId="49" borderId="0" xfId="0" applyFill="1"/>
    <xf numFmtId="0" fontId="27" fillId="0" borderId="0" xfId="0" applyFont="1" applyBorder="1" applyAlignment="1">
      <alignment horizontal="center" vertical="center"/>
    </xf>
    <xf numFmtId="0" fontId="28" fillId="39" borderId="12" xfId="48" applyFont="1" applyBorder="1">
      <protection locked="0"/>
    </xf>
    <xf numFmtId="0" fontId="0" fillId="0" borderId="0" xfId="0"/>
    <xf numFmtId="0" fontId="18" fillId="0" borderId="0" xfId="0" applyFont="1" applyBorder="1" applyAlignment="1">
      <alignment vertical="top" wrapText="1"/>
    </xf>
    <xf numFmtId="0" fontId="18" fillId="0" borderId="26" xfId="0" applyFont="1" applyBorder="1" applyAlignment="1">
      <alignment vertical="top" wrapText="1"/>
    </xf>
    <xf numFmtId="0" fontId="18" fillId="0" borderId="0" xfId="0" applyFont="1" applyBorder="1" applyAlignment="1">
      <alignment horizontal="center" vertical="center"/>
    </xf>
    <xf numFmtId="0" fontId="18" fillId="0" borderId="0" xfId="0" applyFont="1" applyAlignment="1">
      <alignment horizontal="center" vertical="center"/>
    </xf>
    <xf numFmtId="0" fontId="25" fillId="0" borderId="0" xfId="0" applyFont="1" applyBorder="1" applyAlignment="1">
      <alignment horizontal="center" vertical="center"/>
    </xf>
    <xf numFmtId="0" fontId="25" fillId="0" borderId="0" xfId="0" applyFont="1" applyAlignment="1">
      <alignment horizontal="center" vertical="center"/>
    </xf>
    <xf numFmtId="0" fontId="0" fillId="0" borderId="0" xfId="0"/>
    <xf numFmtId="0" fontId="18" fillId="0" borderId="33" xfId="0" applyFont="1" applyBorder="1" applyAlignment="1">
      <alignment horizontal="center" vertical="center"/>
    </xf>
    <xf numFmtId="0" fontId="18" fillId="0" borderId="0" xfId="0" applyFont="1" applyAlignment="1">
      <alignment horizontal="center" vertical="center"/>
    </xf>
    <xf numFmtId="0" fontId="18" fillId="0" borderId="0" xfId="0" applyFont="1" applyBorder="1" applyAlignment="1">
      <alignment horizontal="center" vertical="center"/>
    </xf>
    <xf numFmtId="0" fontId="25" fillId="0" borderId="0" xfId="0" applyFont="1" applyAlignment="1">
      <alignment horizontal="center" vertical="center"/>
    </xf>
    <xf numFmtId="0" fontId="0" fillId="0" borderId="0" xfId="0"/>
    <xf numFmtId="0" fontId="18" fillId="0" borderId="0" xfId="0" applyFont="1" applyBorder="1" applyAlignment="1">
      <alignment horizontal="center" vertical="center"/>
    </xf>
    <xf numFmtId="0" fontId="18" fillId="0" borderId="0" xfId="0" applyFont="1" applyAlignment="1">
      <alignment horizontal="center" vertical="center"/>
    </xf>
    <xf numFmtId="0" fontId="25" fillId="0" borderId="0" xfId="0" applyFont="1" applyAlignment="1">
      <alignment horizontal="center" vertical="center"/>
    </xf>
    <xf numFmtId="0" fontId="18" fillId="0" borderId="23" xfId="0" applyFont="1" applyBorder="1" applyAlignment="1">
      <alignment horizontal="center" vertical="center"/>
    </xf>
    <xf numFmtId="0" fontId="18" fillId="0" borderId="31" xfId="0" applyFont="1" applyBorder="1" applyAlignment="1">
      <alignment horizontal="center" vertical="center"/>
    </xf>
    <xf numFmtId="0" fontId="18" fillId="0" borderId="0" xfId="0" applyFont="1" applyAlignment="1">
      <alignment vertical="top" wrapText="1"/>
    </xf>
    <xf numFmtId="0" fontId="0" fillId="0" borderId="0" xfId="0" applyBorder="1" applyAlignment="1">
      <alignment horizontal="center" vertical="center"/>
    </xf>
    <xf numFmtId="0" fontId="0" fillId="0" borderId="0" xfId="0" applyAlignment="1">
      <alignment horizontal="center" vertical="center"/>
    </xf>
    <xf numFmtId="9" fontId="0" fillId="2" borderId="0" xfId="0" applyNumberFormat="1" applyFill="1"/>
    <xf numFmtId="0" fontId="0" fillId="49" borderId="0" xfId="0" applyFill="1" applyBorder="1"/>
    <xf numFmtId="0" fontId="0" fillId="0" borderId="0" xfId="0" applyAlignment="1">
      <alignment horizontal="left"/>
    </xf>
    <xf numFmtId="0" fontId="0" fillId="38" borderId="10" xfId="47" applyFont="1" applyAlignment="1">
      <alignment horizontal="left"/>
      <protection locked="0"/>
    </xf>
    <xf numFmtId="0" fontId="0" fillId="0" borderId="0" xfId="0" applyAlignment="1">
      <alignment horizontal="right"/>
    </xf>
    <xf numFmtId="0" fontId="0" fillId="0" borderId="0" xfId="0"/>
    <xf numFmtId="0" fontId="0" fillId="41" borderId="10" xfId="47" applyFont="1" applyFill="1" applyAlignment="1" applyProtection="1">
      <alignment horizontal="left"/>
    </xf>
    <xf numFmtId="49" fontId="0" fillId="38" borderId="10" xfId="47" applyNumberFormat="1" applyFont="1" applyAlignment="1">
      <alignment horizontal="left" vertical="center"/>
      <protection locked="0"/>
    </xf>
    <xf numFmtId="49" fontId="0" fillId="38" borderId="10" xfId="47" applyNumberFormat="1" applyFont="1" applyAlignment="1">
      <alignment vertical="center"/>
      <protection locked="0"/>
    </xf>
    <xf numFmtId="0" fontId="0" fillId="0" borderId="0" xfId="0"/>
    <xf numFmtId="0" fontId="18" fillId="0" borderId="0" xfId="0" applyFont="1" applyBorder="1" applyAlignment="1">
      <alignment vertical="top" wrapText="1"/>
    </xf>
    <xf numFmtId="0" fontId="18" fillId="0" borderId="0" xfId="0" applyFont="1" applyBorder="1" applyAlignment="1">
      <alignment horizontal="center" vertical="center"/>
    </xf>
    <xf numFmtId="0" fontId="25" fillId="0" borderId="0" xfId="0" applyFont="1" applyBorder="1" applyAlignment="1">
      <alignment horizontal="center" vertical="center"/>
    </xf>
    <xf numFmtId="0" fontId="26" fillId="0" borderId="0" xfId="0" applyFont="1" applyBorder="1" applyAlignment="1">
      <alignment horizontal="left" vertical="top" wrapText="1"/>
    </xf>
    <xf numFmtId="0" fontId="25" fillId="0" borderId="0" xfId="0" applyFont="1" applyBorder="1" applyAlignment="1">
      <alignment vertical="top" wrapText="1"/>
    </xf>
    <xf numFmtId="0" fontId="0" fillId="0" borderId="27" xfId="0" applyBorder="1"/>
    <xf numFmtId="0" fontId="25" fillId="0" borderId="0" xfId="0" applyNumberFormat="1" applyFont="1" applyBorder="1" applyAlignment="1">
      <alignment horizontal="left"/>
    </xf>
    <xf numFmtId="0" fontId="25" fillId="0" borderId="31" xfId="0" applyNumberFormat="1" applyFont="1" applyBorder="1" applyAlignment="1">
      <alignment horizontal="left"/>
    </xf>
    <xf numFmtId="0" fontId="25" fillId="0" borderId="0" xfId="0" applyNumberFormat="1" applyFont="1" applyAlignment="1">
      <alignment horizontal="left"/>
    </xf>
    <xf numFmtId="0" fontId="0" fillId="0" borderId="0" xfId="0" applyAlignment="1">
      <alignment horizontal="right"/>
    </xf>
    <xf numFmtId="0" fontId="0" fillId="0" borderId="0" xfId="0"/>
    <xf numFmtId="0" fontId="25" fillId="0" borderId="0" xfId="62" applyFont="1" applyBorder="1" applyAlignment="1">
      <alignment horizontal="center" vertical="center"/>
    </xf>
    <xf numFmtId="0" fontId="25" fillId="0" borderId="26" xfId="62" applyFont="1" applyBorder="1" applyAlignment="1">
      <alignment horizontal="center" vertical="center"/>
    </xf>
    <xf numFmtId="0" fontId="25" fillId="0" borderId="0" xfId="0" applyFont="1" applyAlignment="1">
      <alignment horizontal="left" vertical="top" wrapText="1"/>
    </xf>
    <xf numFmtId="0" fontId="0" fillId="37" borderId="10" xfId="54" applyFont="1">
      <alignment horizontal="left" vertical="top" wrapText="1"/>
      <protection locked="0"/>
    </xf>
    <xf numFmtId="0" fontId="18" fillId="0" borderId="0" xfId="0" applyFont="1" applyBorder="1" applyAlignment="1">
      <alignment horizontal="center" vertical="center"/>
    </xf>
    <xf numFmtId="0" fontId="18" fillId="0" borderId="0" xfId="0" applyFont="1" applyAlignment="1">
      <alignment horizontal="center" vertical="center"/>
    </xf>
    <xf numFmtId="0" fontId="0" fillId="37" borderId="16" xfId="54" applyFont="1" applyBorder="1">
      <alignment horizontal="left" vertical="top" wrapText="1"/>
      <protection locked="0"/>
    </xf>
    <xf numFmtId="0" fontId="0" fillId="37" borderId="32" xfId="54" applyFont="1" applyBorder="1">
      <alignment horizontal="left" vertical="top" wrapText="1"/>
      <protection locked="0"/>
    </xf>
    <xf numFmtId="0" fontId="25" fillId="0" borderId="0" xfId="0" applyFont="1" applyBorder="1" applyAlignment="1">
      <alignment horizontal="center" vertical="center"/>
    </xf>
    <xf numFmtId="0" fontId="18" fillId="0" borderId="0" xfId="62" applyNumberFormat="1" applyFont="1" applyBorder="1" applyAlignment="1">
      <alignment horizontal="center" vertical="center"/>
    </xf>
    <xf numFmtId="0" fontId="18" fillId="0" borderId="26" xfId="62" applyNumberFormat="1" applyFont="1" applyBorder="1" applyAlignment="1">
      <alignment horizontal="center" vertical="center"/>
    </xf>
    <xf numFmtId="0" fontId="25" fillId="0" borderId="31" xfId="0" applyFont="1" applyBorder="1" applyAlignment="1">
      <alignment horizontal="center" vertical="center"/>
    </xf>
    <xf numFmtId="0" fontId="25" fillId="0" borderId="0" xfId="0" applyFont="1" applyAlignment="1">
      <alignment horizontal="center" vertical="center"/>
    </xf>
    <xf numFmtId="168" fontId="29" fillId="40" borderId="14" xfId="65">
      <alignment horizontal="left" vertical="top" wrapText="1"/>
    </xf>
    <xf numFmtId="0" fontId="18" fillId="0" borderId="31" xfId="0" applyFont="1" applyBorder="1" applyAlignment="1">
      <alignment horizontal="center" vertical="center"/>
    </xf>
    <xf numFmtId="168" fontId="29" fillId="40" borderId="47" xfId="65" applyBorder="1" applyAlignment="1">
      <alignment horizontal="left" vertical="top" wrapText="1"/>
    </xf>
    <xf numFmtId="168" fontId="29" fillId="40" borderId="14" xfId="65" applyBorder="1">
      <alignment horizontal="left" vertical="top" wrapText="1"/>
    </xf>
    <xf numFmtId="0" fontId="0" fillId="0" borderId="0" xfId="0" applyAlignment="1">
      <alignment horizontal="center" vertical="center"/>
    </xf>
    <xf numFmtId="168" fontId="29" fillId="40" borderId="47" xfId="65" applyBorder="1">
      <alignment horizontal="left" vertical="top" wrapText="1"/>
    </xf>
    <xf numFmtId="0" fontId="0" fillId="0" borderId="0" xfId="0"/>
    <xf numFmtId="0" fontId="0" fillId="37" borderId="10" xfId="54" applyFont="1" applyBorder="1">
      <alignment horizontal="left" vertical="top" wrapText="1"/>
      <protection locked="0"/>
    </xf>
    <xf numFmtId="0" fontId="25" fillId="0" borderId="0" xfId="0" applyFont="1" applyBorder="1" applyAlignment="1">
      <alignment horizontal="center" vertical="center"/>
    </xf>
    <xf numFmtId="0" fontId="18" fillId="0" borderId="0" xfId="0" applyFont="1" applyBorder="1" applyAlignment="1">
      <alignment horizontal="center" vertical="center"/>
    </xf>
    <xf numFmtId="0" fontId="18" fillId="0" borderId="0" xfId="0" applyFont="1" applyAlignment="1">
      <alignment horizontal="center" vertical="center"/>
    </xf>
    <xf numFmtId="0" fontId="18" fillId="0" borderId="26" xfId="0" applyFont="1" applyBorder="1" applyAlignment="1">
      <alignment horizontal="center" vertical="center"/>
    </xf>
    <xf numFmtId="0" fontId="25" fillId="0" borderId="33" xfId="0" applyFont="1" applyBorder="1" applyAlignment="1">
      <alignment horizontal="left" vertical="top" wrapText="1"/>
    </xf>
    <xf numFmtId="0" fontId="0" fillId="37" borderId="10" xfId="54" applyFont="1">
      <alignment horizontal="left" vertical="top" wrapText="1"/>
      <protection locked="0"/>
    </xf>
    <xf numFmtId="0" fontId="25" fillId="0" borderId="0" xfId="0" applyFont="1" applyAlignment="1">
      <alignment horizontal="center" vertical="center"/>
    </xf>
    <xf numFmtId="0" fontId="18" fillId="0" borderId="0" xfId="0" applyFont="1" applyBorder="1" applyAlignment="1">
      <alignment vertical="top" wrapText="1"/>
    </xf>
    <xf numFmtId="0" fontId="18" fillId="0" borderId="26" xfId="0" applyFont="1" applyBorder="1" applyAlignment="1">
      <alignment vertical="top" wrapText="1"/>
    </xf>
    <xf numFmtId="0" fontId="18" fillId="0" borderId="23" xfId="0" applyFont="1" applyBorder="1" applyAlignment="1">
      <alignment vertical="top" wrapText="1"/>
    </xf>
    <xf numFmtId="0" fontId="18" fillId="0" borderId="0" xfId="0" applyFont="1" applyAlignment="1">
      <alignment vertical="top" wrapText="1"/>
    </xf>
    <xf numFmtId="0" fontId="40" fillId="2" borderId="0" xfId="0" applyFont="1" applyFill="1" applyAlignment="1">
      <alignment horizontal="center" vertical="center"/>
    </xf>
    <xf numFmtId="0" fontId="25" fillId="0" borderId="0" xfId="0" applyFont="1" applyBorder="1" applyAlignment="1">
      <alignment vertical="top" wrapText="1"/>
    </xf>
    <xf numFmtId="49" fontId="18" fillId="0" borderId="0" xfId="0" applyNumberFormat="1" applyFont="1" applyAlignment="1">
      <alignment horizontal="right" vertical="top"/>
    </xf>
    <xf numFmtId="0" fontId="58" fillId="0" borderId="108" xfId="0" applyFont="1" applyBorder="1" applyAlignment="1">
      <alignment horizontal="left" vertical="top" wrapText="1"/>
    </xf>
    <xf numFmtId="49" fontId="25" fillId="0" borderId="23" xfId="0" applyNumberFormat="1" applyFont="1" applyBorder="1" applyAlignment="1">
      <alignment vertical="top"/>
    </xf>
    <xf numFmtId="0" fontId="0" fillId="0" borderId="23" xfId="62" applyFont="1" applyBorder="1">
      <alignment horizontal="center" vertical="center"/>
    </xf>
    <xf numFmtId="0" fontId="58" fillId="0" borderId="0" xfId="0" applyFont="1" applyBorder="1" applyAlignment="1">
      <alignment horizontal="left" vertical="top" wrapText="1"/>
    </xf>
    <xf numFmtId="0" fontId="58" fillId="0" borderId="0" xfId="0" applyFont="1" applyBorder="1" applyAlignment="1">
      <alignment horizontal="left" vertical="top" wrapText="1"/>
    </xf>
    <xf numFmtId="0" fontId="0" fillId="0" borderId="0" xfId="62" applyNumberFormat="1" applyFont="1" applyFill="1" applyBorder="1">
      <alignment horizontal="center" vertical="center"/>
    </xf>
    <xf numFmtId="49" fontId="18" fillId="0" borderId="23" xfId="0" applyNumberFormat="1" applyFont="1" applyBorder="1" applyAlignment="1">
      <alignment vertical="top"/>
    </xf>
    <xf numFmtId="0" fontId="0" fillId="0" borderId="0" xfId="0" applyBorder="1" applyAlignment="1">
      <alignment vertical="top"/>
    </xf>
    <xf numFmtId="0" fontId="0" fillId="0" borderId="0" xfId="0" applyFont="1" applyAlignment="1">
      <alignment horizontal="center" vertical="center"/>
    </xf>
    <xf numFmtId="169" fontId="43" fillId="39" borderId="10" xfId="48" applyNumberFormat="1" applyFont="1">
      <protection locked="0"/>
    </xf>
    <xf numFmtId="0" fontId="47" fillId="0" borderId="0" xfId="0" applyFont="1" applyBorder="1" applyAlignment="1">
      <alignment horizontal="left" vertical="top" wrapText="1"/>
    </xf>
    <xf numFmtId="0" fontId="50" fillId="0" borderId="0" xfId="57" applyBorder="1" applyAlignment="1" applyProtection="1">
      <alignment horizontal="left" vertical="top" wrapText="1"/>
      <protection locked="0"/>
    </xf>
    <xf numFmtId="49" fontId="21" fillId="34" borderId="26" xfId="50" applyNumberFormat="1" applyBorder="1" applyAlignment="1">
      <alignment horizontal="center" vertical="center"/>
    </xf>
    <xf numFmtId="0" fontId="84" fillId="0" borderId="0" xfId="0" applyFont="1" applyBorder="1" applyAlignment="1">
      <alignment horizontal="left" vertical="top" wrapText="1"/>
    </xf>
    <xf numFmtId="49" fontId="25" fillId="0" borderId="0" xfId="0" applyNumberFormat="1" applyFont="1" applyAlignment="1">
      <alignment horizontal="right" vertical="top"/>
    </xf>
    <xf numFmtId="0" fontId="47" fillId="0" borderId="23" xfId="0" applyFont="1" applyBorder="1" applyAlignment="1">
      <alignment horizontal="left" vertical="top" wrapText="1"/>
    </xf>
    <xf numFmtId="0" fontId="0" fillId="2" borderId="33" xfId="0" applyFill="1" applyBorder="1"/>
    <xf numFmtId="0" fontId="0" fillId="2" borderId="33" xfId="0" applyFill="1" applyBorder="1" applyAlignment="1">
      <alignment horizontal="right"/>
    </xf>
    <xf numFmtId="0" fontId="0" fillId="0" borderId="0" xfId="0" applyAlignment="1">
      <alignment horizontal="center"/>
    </xf>
    <xf numFmtId="0" fontId="0" fillId="0" borderId="0" xfId="0" applyAlignment="1">
      <alignment horizontal="left"/>
    </xf>
    <xf numFmtId="0" fontId="0" fillId="0" borderId="0" xfId="0" applyAlignment="1">
      <alignment horizontal="right"/>
    </xf>
    <xf numFmtId="0" fontId="16" fillId="0" borderId="0" xfId="0" applyFont="1"/>
    <xf numFmtId="0" fontId="0" fillId="0" borderId="0" xfId="0"/>
    <xf numFmtId="0" fontId="25" fillId="0" borderId="0" xfId="0" applyFont="1" applyBorder="1" applyAlignment="1">
      <alignment horizontal="center" vertical="center"/>
    </xf>
    <xf numFmtId="0" fontId="25" fillId="0" borderId="26" xfId="0" applyFont="1" applyBorder="1" applyAlignment="1">
      <alignment horizontal="center" vertical="center"/>
    </xf>
    <xf numFmtId="0" fontId="25" fillId="0" borderId="31" xfId="0" applyFont="1" applyBorder="1" applyAlignment="1">
      <alignment horizontal="center" vertical="center"/>
    </xf>
    <xf numFmtId="0" fontId="18" fillId="0" borderId="0" xfId="0" applyFont="1" applyAlignment="1">
      <alignment horizontal="center" vertical="center"/>
    </xf>
    <xf numFmtId="0" fontId="18" fillId="0" borderId="0" xfId="0" applyFont="1" applyBorder="1" applyAlignment="1">
      <alignment horizontal="center" vertical="center"/>
    </xf>
    <xf numFmtId="0" fontId="18" fillId="0" borderId="31" xfId="0" applyFont="1" applyBorder="1" applyAlignment="1">
      <alignment horizontal="center" vertical="center"/>
    </xf>
    <xf numFmtId="0" fontId="18" fillId="0" borderId="26" xfId="0" applyFont="1" applyBorder="1" applyAlignment="1">
      <alignment horizontal="center" vertical="center"/>
    </xf>
    <xf numFmtId="0" fontId="0" fillId="37" borderId="10" xfId="54" applyFont="1">
      <alignment horizontal="left" vertical="top" wrapText="1"/>
      <protection locked="0"/>
    </xf>
    <xf numFmtId="0" fontId="25" fillId="0" borderId="0" xfId="0" applyFont="1" applyAlignment="1">
      <alignment horizontal="center" vertical="center"/>
    </xf>
    <xf numFmtId="168" fontId="29" fillId="40" borderId="14" xfId="65">
      <alignment horizontal="left" vertical="top" wrapText="1"/>
    </xf>
    <xf numFmtId="0" fontId="24" fillId="34" borderId="18" xfId="63" applyAlignment="1">
      <alignment vertical="center"/>
    </xf>
    <xf numFmtId="0" fontId="24" fillId="34" borderId="0" xfId="63" applyBorder="1" applyAlignment="1">
      <alignment vertical="center"/>
    </xf>
    <xf numFmtId="0" fontId="0" fillId="0" borderId="0" xfId="0" applyAlignment="1">
      <alignment horizontal="center" vertical="center"/>
    </xf>
    <xf numFmtId="0" fontId="58" fillId="0" borderId="0" xfId="0" applyFont="1" applyBorder="1" applyAlignment="1">
      <alignment horizontal="left" vertical="top" wrapText="1"/>
    </xf>
    <xf numFmtId="0" fontId="26" fillId="0" borderId="0" xfId="0" applyFont="1" applyBorder="1" applyAlignment="1">
      <alignment horizontal="center" vertical="center" wrapText="1"/>
    </xf>
    <xf numFmtId="0" fontId="47" fillId="0" borderId="0" xfId="0" applyFont="1" applyBorder="1" applyAlignment="1">
      <alignment horizontal="left" vertical="top" wrapText="1"/>
    </xf>
    <xf numFmtId="0" fontId="84" fillId="0" borderId="0" xfId="0" applyFont="1" applyBorder="1" applyAlignment="1">
      <alignment horizontal="left" vertical="top" wrapText="1"/>
    </xf>
    <xf numFmtId="0" fontId="24" fillId="34" borderId="18" xfId="63" applyAlignment="1">
      <alignment horizontal="center" vertical="center"/>
    </xf>
    <xf numFmtId="0" fontId="0" fillId="0" borderId="0" xfId="0" applyBorder="1" applyAlignment="1">
      <alignment horizontal="center"/>
    </xf>
    <xf numFmtId="0" fontId="16" fillId="0" borderId="31" xfId="0" applyFont="1" applyBorder="1" applyAlignment="1">
      <alignment horizontal="center" vertical="center"/>
    </xf>
    <xf numFmtId="0" fontId="0" fillId="0" borderId="0" xfId="0" applyAlignment="1">
      <alignment horizontal="left" vertical="top"/>
    </xf>
    <xf numFmtId="0" fontId="0" fillId="0" borderId="0" xfId="0" applyAlignment="1">
      <alignment horizontal="left"/>
    </xf>
    <xf numFmtId="0" fontId="0" fillId="0" borderId="0" xfId="0" applyAlignment="1">
      <alignment horizontal="right"/>
    </xf>
    <xf numFmtId="0" fontId="0" fillId="0" borderId="0" xfId="0"/>
    <xf numFmtId="0" fontId="0" fillId="37" borderId="10" xfId="54" applyFont="1">
      <alignment horizontal="left" vertical="top" wrapText="1"/>
      <protection locked="0"/>
    </xf>
    <xf numFmtId="0" fontId="18" fillId="0" borderId="0" xfId="0" applyFont="1" applyFill="1" applyBorder="1" applyAlignment="1">
      <alignment horizontal="center" vertical="center"/>
    </xf>
    <xf numFmtId="0" fontId="18" fillId="0" borderId="0" xfId="0" applyFont="1" applyBorder="1" applyAlignment="1">
      <alignment horizontal="center" vertical="center"/>
    </xf>
    <xf numFmtId="0" fontId="18" fillId="0" borderId="26" xfId="0" applyFont="1" applyBorder="1" applyAlignment="1">
      <alignment horizontal="center" vertical="center"/>
    </xf>
    <xf numFmtId="0" fontId="0" fillId="37" borderId="15" xfId="54" applyFont="1" applyBorder="1">
      <alignment horizontal="left" vertical="top" wrapText="1"/>
      <protection locked="0"/>
    </xf>
    <xf numFmtId="0" fontId="25" fillId="0" borderId="0" xfId="0" applyFont="1" applyAlignment="1">
      <alignment horizontal="center" vertical="center"/>
    </xf>
    <xf numFmtId="0" fontId="0" fillId="0" borderId="0" xfId="0" applyFont="1" applyAlignment="1">
      <alignment horizontal="center" vertical="center"/>
    </xf>
    <xf numFmtId="0" fontId="25" fillId="0" borderId="0" xfId="0" applyFont="1" applyBorder="1" applyAlignment="1">
      <alignment horizontal="center" vertical="center"/>
    </xf>
    <xf numFmtId="0" fontId="25" fillId="0" borderId="31" xfId="0" applyFont="1" applyBorder="1" applyAlignment="1">
      <alignment horizontal="center" vertical="center"/>
    </xf>
    <xf numFmtId="0" fontId="18" fillId="0" borderId="0" xfId="0" applyFont="1" applyBorder="1" applyAlignment="1">
      <alignment horizontal="left" vertical="top" wrapText="1"/>
    </xf>
    <xf numFmtId="0" fontId="25" fillId="0" borderId="0" xfId="0" applyFont="1" applyAlignment="1">
      <alignment horizontal="left" vertical="top" wrapText="1"/>
    </xf>
    <xf numFmtId="0" fontId="58" fillId="0" borderId="0" xfId="0" applyFont="1" applyBorder="1" applyAlignment="1">
      <alignment horizontal="left" vertical="top" wrapText="1"/>
    </xf>
    <xf numFmtId="0" fontId="18" fillId="0" borderId="23" xfId="0" applyFont="1" applyBorder="1" applyAlignment="1">
      <alignment horizontal="center" vertical="center"/>
    </xf>
    <xf numFmtId="0" fontId="58" fillId="0" borderId="23" xfId="0" applyFont="1" applyBorder="1" applyAlignment="1">
      <alignment horizontal="left" vertical="top" wrapText="1"/>
    </xf>
    <xf numFmtId="0" fontId="58" fillId="0" borderId="31" xfId="0" applyFont="1" applyBorder="1" applyAlignment="1">
      <alignment horizontal="left" vertical="top" wrapText="1"/>
    </xf>
    <xf numFmtId="0" fontId="25" fillId="0" borderId="23" xfId="0" applyFont="1" applyBorder="1" applyAlignment="1">
      <alignment horizontal="center" vertical="center"/>
    </xf>
    <xf numFmtId="0" fontId="18" fillId="0" borderId="31" xfId="0" applyFont="1" applyBorder="1" applyAlignment="1">
      <alignment horizontal="center" vertical="center"/>
    </xf>
    <xf numFmtId="0" fontId="58" fillId="0" borderId="26" xfId="0" applyFont="1" applyBorder="1" applyAlignment="1">
      <alignment horizontal="left" vertical="top" wrapText="1"/>
    </xf>
    <xf numFmtId="0" fontId="25" fillId="0" borderId="0" xfId="62" applyFont="1" applyBorder="1" applyAlignment="1">
      <alignment horizontal="center" vertical="center"/>
    </xf>
    <xf numFmtId="168" fontId="29" fillId="40" borderId="14" xfId="65">
      <alignment horizontal="left" vertical="top" wrapText="1"/>
    </xf>
    <xf numFmtId="0" fontId="25" fillId="0" borderId="0" xfId="62" applyFont="1" applyAlignment="1">
      <alignment horizontal="center" vertical="center"/>
    </xf>
    <xf numFmtId="0" fontId="25" fillId="0" borderId="26" xfId="62" applyFont="1" applyBorder="1" applyAlignment="1">
      <alignment horizontal="center" vertical="center"/>
    </xf>
    <xf numFmtId="0" fontId="18" fillId="0" borderId="0" xfId="0" applyFont="1" applyBorder="1" applyAlignment="1">
      <alignment vertical="top" wrapText="1"/>
    </xf>
    <xf numFmtId="0" fontId="18" fillId="0" borderId="26" xfId="0" applyFont="1" applyBorder="1" applyAlignment="1">
      <alignment vertical="top" wrapText="1"/>
    </xf>
    <xf numFmtId="0" fontId="0" fillId="0" borderId="0" xfId="0" applyAlignment="1">
      <alignment horizontal="center" vertical="center"/>
    </xf>
    <xf numFmtId="0" fontId="0" fillId="0" borderId="31" xfId="0" applyBorder="1" applyAlignment="1">
      <alignment horizontal="center" vertical="center"/>
    </xf>
    <xf numFmtId="0" fontId="26" fillId="0" borderId="33" xfId="0" applyFont="1" applyBorder="1" applyAlignment="1">
      <alignment horizontal="left" vertical="top" wrapText="1"/>
    </xf>
    <xf numFmtId="0" fontId="26" fillId="0" borderId="0" xfId="0" applyFont="1" applyBorder="1" applyAlignment="1">
      <alignment horizontal="left" vertical="top" wrapText="1"/>
    </xf>
    <xf numFmtId="0" fontId="58" fillId="0" borderId="108" xfId="0" applyFont="1" applyBorder="1" applyAlignment="1">
      <alignment horizontal="left" vertical="top" wrapText="1"/>
    </xf>
    <xf numFmtId="0" fontId="18" fillId="0" borderId="0" xfId="0" applyFont="1" applyAlignment="1">
      <alignment horizontal="center" vertical="center"/>
    </xf>
    <xf numFmtId="0" fontId="0" fillId="37" borderId="10" xfId="54" applyFont="1" applyBorder="1">
      <alignment horizontal="left" vertical="top" wrapText="1"/>
      <protection locked="0"/>
    </xf>
    <xf numFmtId="0" fontId="25" fillId="0" borderId="26" xfId="0" applyFont="1" applyBorder="1" applyAlignment="1">
      <alignment horizontal="center" vertical="center"/>
    </xf>
    <xf numFmtId="0" fontId="0" fillId="37" borderId="32" xfId="54" applyFont="1" applyBorder="1">
      <alignment horizontal="left" vertical="top" wrapText="1"/>
      <protection locked="0"/>
    </xf>
    <xf numFmtId="0" fontId="25" fillId="0" borderId="26" xfId="0" applyNumberFormat="1" applyFont="1" applyBorder="1" applyAlignment="1">
      <alignment horizontal="center" vertical="center"/>
    </xf>
    <xf numFmtId="0" fontId="18" fillId="0" borderId="0" xfId="0" applyNumberFormat="1" applyFont="1" applyAlignment="1">
      <alignment horizontal="center" vertical="center"/>
    </xf>
    <xf numFmtId="0" fontId="18" fillId="0" borderId="0" xfId="62" applyNumberFormat="1" applyFont="1" applyBorder="1" applyAlignment="1">
      <alignment horizontal="center" vertical="center"/>
    </xf>
    <xf numFmtId="0" fontId="18" fillId="0" borderId="26" xfId="62" applyNumberFormat="1" applyFont="1" applyBorder="1" applyAlignment="1">
      <alignment horizontal="center" vertical="center"/>
    </xf>
    <xf numFmtId="0" fontId="18" fillId="0" borderId="33" xfId="0" applyFont="1" applyBorder="1" applyAlignment="1">
      <alignment horizontal="center" vertical="center"/>
    </xf>
    <xf numFmtId="0" fontId="18" fillId="0" borderId="23" xfId="0" applyFont="1" applyBorder="1" applyAlignment="1">
      <alignment vertical="top" wrapText="1"/>
    </xf>
    <xf numFmtId="0" fontId="25" fillId="0" borderId="33" xfId="0" applyFont="1" applyBorder="1" applyAlignment="1">
      <alignment horizontal="center" vertical="center"/>
    </xf>
    <xf numFmtId="0" fontId="47" fillId="0" borderId="0" xfId="0" applyFont="1" applyBorder="1" applyAlignment="1">
      <alignment horizontal="left" vertical="top" wrapText="1"/>
    </xf>
    <xf numFmtId="0" fontId="18" fillId="0" borderId="0" xfId="0" applyFont="1" applyAlignment="1">
      <alignment vertical="top" wrapText="1"/>
    </xf>
    <xf numFmtId="0" fontId="40" fillId="2" borderId="0" xfId="0" applyFont="1" applyFill="1" applyBorder="1" applyAlignment="1">
      <alignment horizontal="center" vertical="center"/>
    </xf>
    <xf numFmtId="168" fontId="29" fillId="40" borderId="47" xfId="65" applyBorder="1" applyAlignment="1">
      <alignment horizontal="left" vertical="top" wrapText="1"/>
    </xf>
    <xf numFmtId="0" fontId="40" fillId="2" borderId="0" xfId="0" applyFont="1" applyFill="1" applyAlignment="1">
      <alignment horizontal="center" vertical="center"/>
    </xf>
    <xf numFmtId="168" fontId="29" fillId="40" borderId="50" xfId="65" applyBorder="1" applyAlignment="1">
      <alignment horizontal="left" vertical="top" wrapText="1"/>
    </xf>
    <xf numFmtId="0" fontId="50" fillId="0" borderId="26" xfId="57" applyBorder="1" applyAlignment="1" applyProtection="1">
      <alignment horizontal="center" vertical="center" wrapText="1"/>
      <protection locked="0"/>
    </xf>
    <xf numFmtId="0" fontId="26" fillId="0" borderId="0" xfId="0" applyFont="1" applyBorder="1" applyAlignment="1">
      <alignment horizontal="center" vertical="center" wrapText="1"/>
    </xf>
    <xf numFmtId="0" fontId="25" fillId="0" borderId="26" xfId="0" applyFont="1" applyBorder="1" applyAlignment="1">
      <alignment horizontal="right" vertical="top" wrapText="1"/>
    </xf>
    <xf numFmtId="0" fontId="26" fillId="0" borderId="0" xfId="0" applyFont="1" applyAlignment="1">
      <alignment horizontal="center" vertical="center" wrapText="1"/>
    </xf>
    <xf numFmtId="0" fontId="25" fillId="0" borderId="0" xfId="0" applyFont="1" applyBorder="1" applyAlignment="1">
      <alignment vertical="top" wrapText="1"/>
    </xf>
    <xf numFmtId="0" fontId="25" fillId="0" borderId="26" xfId="0" applyFont="1" applyBorder="1" applyAlignment="1">
      <alignment vertical="top" wrapText="1"/>
    </xf>
    <xf numFmtId="168" fontId="29" fillId="40" borderId="14" xfId="65" applyBorder="1">
      <alignment horizontal="left" vertical="top" wrapText="1"/>
    </xf>
    <xf numFmtId="168" fontId="29" fillId="40" borderId="50" xfId="65" applyBorder="1">
      <alignment horizontal="left" vertical="top" wrapText="1"/>
    </xf>
    <xf numFmtId="0" fontId="84" fillId="0" borderId="0" xfId="0" applyFont="1" applyBorder="1" applyAlignment="1">
      <alignment horizontal="left" vertical="top" wrapText="1"/>
    </xf>
    <xf numFmtId="0" fontId="25" fillId="0" borderId="0" xfId="0" applyFont="1" applyAlignment="1">
      <alignment vertical="top" wrapText="1"/>
    </xf>
    <xf numFmtId="0" fontId="18" fillId="0" borderId="0" xfId="0" applyFont="1" applyBorder="1" applyAlignment="1">
      <alignment wrapText="1"/>
    </xf>
    <xf numFmtId="0" fontId="18" fillId="0" borderId="31" xfId="0" applyFont="1" applyBorder="1" applyAlignment="1">
      <alignment wrapText="1"/>
    </xf>
    <xf numFmtId="0" fontId="18" fillId="0" borderId="0" xfId="0" applyFont="1" applyAlignment="1">
      <alignment wrapText="1"/>
    </xf>
    <xf numFmtId="0" fontId="0" fillId="0" borderId="13" xfId="0" applyBorder="1"/>
    <xf numFmtId="0" fontId="0" fillId="0" borderId="0" xfId="0" applyBorder="1" applyAlignment="1">
      <alignment horizontal="center" vertical="center"/>
    </xf>
    <xf numFmtId="0" fontId="0" fillId="37" borderId="10" xfId="66" applyFont="1" applyBorder="1">
      <alignment horizontal="left" vertical="top" wrapText="1"/>
    </xf>
    <xf numFmtId="0" fontId="0" fillId="37" borderId="10" xfId="66" applyFont="1" applyBorder="1" applyProtection="1">
      <alignment horizontal="left" vertical="top" wrapText="1"/>
      <protection locked="0"/>
    </xf>
    <xf numFmtId="0" fontId="0" fillId="37" borderId="10" xfId="66" applyFont="1" applyProtection="1">
      <alignment horizontal="left" vertical="top" wrapText="1"/>
      <protection locked="0"/>
    </xf>
    <xf numFmtId="168" fontId="29" fillId="40" borderId="47" xfId="65" applyBorder="1">
      <alignment horizontal="left" vertical="top" wrapText="1"/>
    </xf>
    <xf numFmtId="0" fontId="16" fillId="0" borderId="0" xfId="0" applyFont="1" applyAlignment="1">
      <alignment horizontal="center" vertical="center"/>
    </xf>
    <xf numFmtId="0" fontId="16" fillId="0" borderId="26" xfId="0" applyFont="1" applyBorder="1" applyAlignment="1">
      <alignment horizontal="center" vertical="center"/>
    </xf>
    <xf numFmtId="0" fontId="0" fillId="0" borderId="23" xfId="0" applyBorder="1" applyAlignment="1">
      <alignment horizontal="center"/>
    </xf>
    <xf numFmtId="0" fontId="0" fillId="0" borderId="0" xfId="0" applyBorder="1" applyAlignment="1">
      <alignment horizontal="center"/>
    </xf>
    <xf numFmtId="0" fontId="26" fillId="0" borderId="26" xfId="0" applyFont="1" applyBorder="1" applyAlignment="1">
      <alignment horizontal="center" vertical="center" wrapText="1"/>
    </xf>
    <xf numFmtId="2" fontId="0" fillId="0" borderId="0" xfId="0" applyNumberFormat="1" applyFill="1"/>
    <xf numFmtId="170" fontId="43" fillId="39" borderId="10" xfId="48" applyNumberFormat="1" applyFont="1" applyBorder="1">
      <protection locked="0"/>
    </xf>
    <xf numFmtId="177" fontId="43" fillId="39" borderId="10" xfId="48" applyNumberFormat="1" applyFont="1" applyBorder="1">
      <protection locked="0"/>
    </xf>
    <xf numFmtId="172" fontId="43" fillId="39" borderId="10" xfId="48" applyNumberFormat="1" applyFont="1" applyBorder="1">
      <protection locked="0"/>
    </xf>
    <xf numFmtId="178" fontId="43" fillId="39" borderId="10" xfId="48" applyNumberFormat="1" applyFont="1" applyBorder="1">
      <protection locked="0"/>
    </xf>
    <xf numFmtId="179" fontId="43" fillId="39" borderId="10" xfId="48" applyNumberFormat="1" applyFont="1" applyBorder="1">
      <protection locked="0"/>
    </xf>
    <xf numFmtId="180" fontId="0" fillId="0" borderId="31" xfId="0" applyNumberFormat="1" applyBorder="1" applyAlignment="1">
      <alignment horizontal="left"/>
    </xf>
    <xf numFmtId="181" fontId="43" fillId="39" borderId="10" xfId="48" applyNumberFormat="1" applyFont="1" applyBorder="1">
      <protection locked="0"/>
    </xf>
    <xf numFmtId="182" fontId="43" fillId="39" borderId="10" xfId="48" applyNumberFormat="1" applyFont="1" applyBorder="1">
      <protection locked="0"/>
    </xf>
    <xf numFmtId="0" fontId="0" fillId="35" borderId="31" xfId="0" applyFill="1" applyBorder="1" applyAlignment="1">
      <alignment vertical="center"/>
    </xf>
    <xf numFmtId="0" fontId="0" fillId="35" borderId="31" xfId="0" applyFill="1" applyBorder="1"/>
    <xf numFmtId="0" fontId="0" fillId="35" borderId="31" xfId="0" applyFill="1" applyBorder="1" applyAlignment="1">
      <alignment horizontal="center" vertical="center"/>
    </xf>
    <xf numFmtId="168" fontId="91" fillId="40" borderId="0" xfId="65" applyFont="1" applyBorder="1" applyAlignment="1">
      <alignment horizontal="center" vertical="top" wrapText="1"/>
    </xf>
    <xf numFmtId="0" fontId="16" fillId="0" borderId="0" xfId="0" applyFont="1" applyBorder="1" applyAlignment="1">
      <alignment horizontal="center"/>
    </xf>
    <xf numFmtId="0" fontId="25" fillId="0" borderId="0" xfId="62" applyFont="1" applyBorder="1">
      <alignment horizontal="center" vertical="center"/>
    </xf>
    <xf numFmtId="0" fontId="0" fillId="0" borderId="0" xfId="0" applyBorder="1"/>
    <xf numFmtId="0" fontId="62" fillId="0" borderId="0" xfId="0" applyFont="1" applyBorder="1" applyAlignment="1">
      <alignment horizontal="center" vertical="center" wrapText="1"/>
    </xf>
    <xf numFmtId="0" fontId="0" fillId="0" borderId="31" xfId="0" applyFill="1" applyBorder="1"/>
    <xf numFmtId="0" fontId="21" fillId="34" borderId="0" xfId="50" applyBorder="1"/>
    <xf numFmtId="49" fontId="0" fillId="0" borderId="0" xfId="0" applyNumberFormat="1" applyAlignment="1">
      <alignment horizontal="left" vertical="top"/>
    </xf>
    <xf numFmtId="0" fontId="0" fillId="39" borderId="10" xfId="48" applyFont="1" applyAlignment="1">
      <protection locked="0"/>
    </xf>
    <xf numFmtId="0" fontId="25" fillId="0" borderId="26" xfId="0" applyFont="1" applyBorder="1" applyAlignment="1">
      <alignment horizontal="center"/>
    </xf>
    <xf numFmtId="183" fontId="25" fillId="0" borderId="26" xfId="0" applyNumberFormat="1" applyFont="1" applyBorder="1" applyAlignment="1">
      <alignment horizontal="center" vertical="center"/>
    </xf>
    <xf numFmtId="0" fontId="26" fillId="0" borderId="0" xfId="0" applyFont="1" applyBorder="1" applyAlignment="1">
      <alignment horizontal="center" vertical="center"/>
    </xf>
    <xf numFmtId="0" fontId="26" fillId="0" borderId="26" xfId="0" applyFont="1" applyBorder="1" applyAlignment="1">
      <alignment horizontal="center" vertical="center"/>
    </xf>
    <xf numFmtId="184" fontId="43" fillId="39" borderId="10" xfId="48" applyNumberFormat="1" applyFont="1" applyBorder="1">
      <protection locked="0"/>
    </xf>
    <xf numFmtId="185" fontId="43" fillId="39" borderId="10" xfId="48" applyNumberFormat="1" applyFont="1" applyBorder="1">
      <protection locked="0"/>
    </xf>
    <xf numFmtId="49" fontId="21" fillId="34" borderId="0" xfId="50" applyNumberFormat="1" applyAlignment="1">
      <alignment horizontal="right" vertical="top"/>
    </xf>
    <xf numFmtId="0" fontId="21" fillId="34" borderId="0" xfId="50" applyBorder="1" applyAlignment="1">
      <alignment horizontal="left" vertical="top"/>
    </xf>
    <xf numFmtId="0" fontId="25" fillId="0" borderId="114" xfId="0" applyFont="1" applyBorder="1" applyAlignment="1">
      <alignment horizontal="center" vertical="center" wrapText="1"/>
    </xf>
    <xf numFmtId="0" fontId="25" fillId="0" borderId="114" xfId="0" applyFont="1" applyBorder="1" applyAlignment="1">
      <alignment horizontal="center" vertical="center"/>
    </xf>
    <xf numFmtId="0" fontId="25" fillId="0" borderId="115" xfId="0" applyFont="1" applyBorder="1" applyAlignment="1">
      <alignment horizontal="center" vertical="center"/>
    </xf>
    <xf numFmtId="0" fontId="18" fillId="0" borderId="114" xfId="0" applyFont="1" applyBorder="1" applyAlignment="1">
      <alignment horizontal="center" vertical="center"/>
    </xf>
    <xf numFmtId="0" fontId="18" fillId="0" borderId="115" xfId="0" applyFont="1" applyBorder="1" applyAlignment="1">
      <alignment horizontal="center" vertical="center"/>
    </xf>
    <xf numFmtId="0" fontId="25" fillId="0" borderId="117" xfId="0" applyFont="1" applyBorder="1" applyAlignment="1">
      <alignment horizontal="center" vertical="center"/>
    </xf>
    <xf numFmtId="0" fontId="18" fillId="0" borderId="117" xfId="0" applyFont="1" applyBorder="1" applyAlignment="1">
      <alignment horizontal="center" vertical="center"/>
    </xf>
    <xf numFmtId="0" fontId="18" fillId="0" borderId="118" xfId="0" applyFont="1" applyBorder="1" applyAlignment="1">
      <alignment horizontal="center" vertical="center"/>
    </xf>
    <xf numFmtId="0" fontId="94" fillId="0" borderId="122" xfId="0" applyFont="1" applyBorder="1" applyAlignment="1">
      <alignment horizontal="center" vertical="center" wrapText="1"/>
    </xf>
    <xf numFmtId="0" fontId="94" fillId="0" borderId="125" xfId="0" applyFont="1" applyBorder="1" applyAlignment="1">
      <alignment horizontal="center" vertical="center" wrapText="1"/>
    </xf>
    <xf numFmtId="0" fontId="96" fillId="0" borderId="124" xfId="0" applyFont="1" applyBorder="1" applyAlignment="1">
      <alignment horizontal="center" vertical="center" wrapText="1"/>
    </xf>
    <xf numFmtId="0" fontId="96" fillId="0" borderId="125" xfId="0" applyFont="1" applyBorder="1" applyAlignment="1">
      <alignment horizontal="center" vertical="center" wrapText="1"/>
    </xf>
    <xf numFmtId="0" fontId="96" fillId="0" borderId="126" xfId="0" applyFont="1" applyBorder="1" applyAlignment="1">
      <alignment horizontal="center" vertical="center" wrapText="1"/>
    </xf>
    <xf numFmtId="0" fontId="96" fillId="0" borderId="127" xfId="0" applyFont="1" applyBorder="1" applyAlignment="1">
      <alignment horizontal="center" vertical="center" wrapText="1"/>
    </xf>
    <xf numFmtId="0" fontId="96" fillId="0" borderId="128" xfId="0" applyFont="1" applyBorder="1" applyAlignment="1">
      <alignment horizontal="center" vertical="center" wrapText="1"/>
    </xf>
    <xf numFmtId="0" fontId="96" fillId="0" borderId="129" xfId="0" applyFont="1" applyBorder="1" applyAlignment="1">
      <alignment horizontal="center" vertical="center" wrapText="1"/>
    </xf>
    <xf numFmtId="0" fontId="37" fillId="0" borderId="114" xfId="0" applyFont="1" applyBorder="1" applyAlignment="1">
      <alignment horizontal="center" vertical="center" wrapText="1"/>
    </xf>
    <xf numFmtId="0" fontId="37" fillId="0" borderId="115" xfId="0" applyFont="1" applyBorder="1" applyAlignment="1">
      <alignment horizontal="center" vertical="center" wrapText="1"/>
    </xf>
    <xf numFmtId="0" fontId="37" fillId="0" borderId="113" xfId="0" applyFont="1" applyBorder="1" applyAlignment="1">
      <alignment horizontal="center" vertical="center" wrapText="1"/>
    </xf>
    <xf numFmtId="0" fontId="92" fillId="0" borderId="114" xfId="0" applyFont="1" applyBorder="1" applyAlignment="1">
      <alignment horizontal="center" vertical="center" wrapText="1"/>
    </xf>
    <xf numFmtId="0" fontId="92" fillId="0" borderId="115" xfId="0" applyFont="1" applyBorder="1" applyAlignment="1">
      <alignment horizontal="center" vertical="center" wrapText="1"/>
    </xf>
    <xf numFmtId="0" fontId="37" fillId="0" borderId="116" xfId="0" applyFont="1" applyBorder="1" applyAlignment="1">
      <alignment horizontal="center" vertical="center" wrapText="1"/>
    </xf>
    <xf numFmtId="0" fontId="92" fillId="0" borderId="117" xfId="0" applyFont="1" applyBorder="1" applyAlignment="1">
      <alignment horizontal="center" vertical="center" wrapText="1"/>
    </xf>
    <xf numFmtId="0" fontId="25" fillId="0" borderId="117" xfId="0" applyFont="1" applyBorder="1" applyAlignment="1">
      <alignment horizontal="center" vertical="center" wrapText="1"/>
    </xf>
    <xf numFmtId="0" fontId="92" fillId="0" borderId="118" xfId="0" applyFont="1" applyBorder="1" applyAlignment="1">
      <alignment horizontal="center" vertical="center" wrapText="1"/>
    </xf>
    <xf numFmtId="0" fontId="25" fillId="0" borderId="118" xfId="0" applyFont="1" applyBorder="1" applyAlignment="1">
      <alignment horizontal="center" vertical="center" wrapText="1"/>
    </xf>
    <xf numFmtId="0" fontId="25" fillId="0" borderId="115" xfId="0" applyFont="1" applyBorder="1" applyAlignment="1">
      <alignment horizontal="center" vertical="center" wrapText="1"/>
    </xf>
    <xf numFmtId="0" fontId="18" fillId="0" borderId="113" xfId="0" applyFont="1" applyBorder="1" applyAlignment="1">
      <alignment horizontal="center" vertical="center" wrapText="1"/>
    </xf>
    <xf numFmtId="49" fontId="37" fillId="0" borderId="115" xfId="0" applyNumberFormat="1" applyFont="1" applyBorder="1" applyAlignment="1">
      <alignment horizontal="center" vertical="center" wrapText="1"/>
    </xf>
    <xf numFmtId="49" fontId="37" fillId="0" borderId="114" xfId="0" applyNumberFormat="1" applyFont="1" applyBorder="1" applyAlignment="1">
      <alignment horizontal="center" vertical="center" wrapText="1"/>
    </xf>
    <xf numFmtId="0" fontId="100" fillId="0" borderId="0" xfId="0" applyFont="1"/>
    <xf numFmtId="0" fontId="18" fillId="0" borderId="111" xfId="0" applyFont="1" applyBorder="1" applyAlignment="1">
      <alignment horizontal="center" vertical="center" wrapText="1"/>
    </xf>
    <xf numFmtId="0" fontId="18" fillId="0" borderId="112" xfId="0" applyFont="1" applyBorder="1" applyAlignment="1">
      <alignment horizontal="center" vertical="center" wrapText="1"/>
    </xf>
    <xf numFmtId="0" fontId="18" fillId="0" borderId="114" xfId="0" applyFont="1" applyBorder="1" applyAlignment="1">
      <alignment horizontal="center" vertical="center" wrapText="1"/>
    </xf>
    <xf numFmtId="0" fontId="18" fillId="0" borderId="115" xfId="0" applyFont="1" applyBorder="1" applyAlignment="1">
      <alignment horizontal="center" vertical="center" wrapText="1"/>
    </xf>
    <xf numFmtId="0" fontId="18" fillId="0" borderId="110" xfId="0" applyFont="1" applyBorder="1" applyAlignment="1">
      <alignment horizontal="center" vertical="center" wrapText="1"/>
    </xf>
    <xf numFmtId="0" fontId="90" fillId="47" borderId="112" xfId="0" applyFont="1" applyFill="1" applyBorder="1" applyAlignment="1">
      <alignment horizontal="center" vertical="center" wrapText="1"/>
    </xf>
    <xf numFmtId="49" fontId="18" fillId="0" borderId="116" xfId="0" applyNumberFormat="1" applyFont="1" applyBorder="1" applyAlignment="1">
      <alignment horizontal="center" vertical="center" wrapText="1"/>
    </xf>
    <xf numFmtId="0" fontId="18" fillId="0" borderId="117" xfId="0" applyFont="1" applyBorder="1" applyAlignment="1">
      <alignment horizontal="center" vertical="center" wrapText="1"/>
    </xf>
    <xf numFmtId="0" fontId="101" fillId="0" borderId="118" xfId="0" applyFont="1" applyBorder="1" applyAlignment="1">
      <alignment horizontal="center" vertical="center"/>
    </xf>
    <xf numFmtId="0" fontId="101" fillId="0" borderId="117" xfId="0" applyFont="1" applyBorder="1" applyAlignment="1">
      <alignment horizontal="center" vertical="center"/>
    </xf>
    <xf numFmtId="0" fontId="101" fillId="0" borderId="116" xfId="0" applyFont="1" applyBorder="1" applyAlignment="1">
      <alignment horizontal="center" vertical="center"/>
    </xf>
    <xf numFmtId="0" fontId="101" fillId="0" borderId="115" xfId="0" applyFont="1" applyBorder="1" applyAlignment="1">
      <alignment horizontal="center" vertical="center"/>
    </xf>
    <xf numFmtId="0" fontId="101" fillId="0" borderId="114" xfId="0" applyFont="1" applyBorder="1" applyAlignment="1">
      <alignment horizontal="center" vertical="center"/>
    </xf>
    <xf numFmtId="12" fontId="101" fillId="0" borderId="113" xfId="0" applyNumberFormat="1" applyFont="1" applyBorder="1" applyAlignment="1">
      <alignment horizontal="center" vertical="center"/>
    </xf>
    <xf numFmtId="0" fontId="101" fillId="0" borderId="113" xfId="0" applyFont="1" applyBorder="1" applyAlignment="1">
      <alignment horizontal="center" vertical="center"/>
    </xf>
    <xf numFmtId="49" fontId="101" fillId="0" borderId="113" xfId="0" applyNumberFormat="1" applyFont="1" applyBorder="1" applyAlignment="1">
      <alignment horizontal="center" vertical="center"/>
    </xf>
    <xf numFmtId="0" fontId="103" fillId="0" borderId="139" xfId="0" applyFont="1" applyBorder="1" applyAlignment="1">
      <alignment horizontal="center" vertical="center" wrapText="1"/>
    </xf>
    <xf numFmtId="0" fontId="103" fillId="0" borderId="140" xfId="0" applyFont="1" applyBorder="1" applyAlignment="1">
      <alignment horizontal="center" vertical="center" wrapText="1"/>
    </xf>
    <xf numFmtId="0" fontId="103" fillId="0" borderId="141" xfId="0" applyFont="1" applyBorder="1" applyAlignment="1">
      <alignment horizontal="center" vertical="center" wrapText="1"/>
    </xf>
    <xf numFmtId="0" fontId="103" fillId="0" borderId="142" xfId="0" applyFont="1" applyBorder="1" applyAlignment="1">
      <alignment horizontal="center" vertical="center" wrapText="1"/>
    </xf>
    <xf numFmtId="0" fontId="103" fillId="0" borderId="136" xfId="0" applyFont="1" applyBorder="1" applyAlignment="1">
      <alignment horizontal="center" vertical="center" wrapText="1"/>
    </xf>
    <xf numFmtId="0" fontId="103" fillId="0" borderId="135" xfId="0" applyFont="1" applyBorder="1" applyAlignment="1">
      <alignment horizontal="center" vertical="center" wrapText="1"/>
    </xf>
    <xf numFmtId="0" fontId="103" fillId="0" borderId="112" xfId="0" applyFont="1" applyBorder="1" applyAlignment="1">
      <alignment horizontal="center" vertical="center" wrapText="1"/>
    </xf>
    <xf numFmtId="0" fontId="107" fillId="0" borderId="113" xfId="0" applyFont="1" applyBorder="1" applyAlignment="1">
      <alignment horizontal="center" vertical="center" wrapText="1"/>
    </xf>
    <xf numFmtId="0" fontId="107" fillId="0" borderId="114" xfId="0" applyFont="1" applyBorder="1" applyAlignment="1">
      <alignment horizontal="center" vertical="center" wrapText="1"/>
    </xf>
    <xf numFmtId="0" fontId="107" fillId="0" borderId="115" xfId="0" applyFont="1" applyBorder="1" applyAlignment="1">
      <alignment horizontal="center" vertical="center" wrapText="1"/>
    </xf>
    <xf numFmtId="49" fontId="99" fillId="0" borderId="113" xfId="0" applyNumberFormat="1" applyFont="1" applyBorder="1" applyAlignment="1">
      <alignment horizontal="center" vertical="center" wrapText="1"/>
    </xf>
    <xf numFmtId="0" fontId="99" fillId="0" borderId="114" xfId="0" applyFont="1" applyBorder="1" applyAlignment="1">
      <alignment horizontal="right" vertical="center" wrapText="1"/>
    </xf>
    <xf numFmtId="0" fontId="99" fillId="0" borderId="115" xfId="0" applyFont="1" applyBorder="1" applyAlignment="1">
      <alignment horizontal="right" vertical="center" wrapText="1"/>
    </xf>
    <xf numFmtId="49" fontId="99" fillId="0" borderId="116" xfId="0" applyNumberFormat="1" applyFont="1" applyBorder="1" applyAlignment="1">
      <alignment horizontal="center" vertical="center" wrapText="1"/>
    </xf>
    <xf numFmtId="0" fontId="99" fillId="0" borderId="117" xfId="0" applyFont="1" applyBorder="1" applyAlignment="1">
      <alignment horizontal="right" vertical="center" wrapText="1"/>
    </xf>
    <xf numFmtId="0" fontId="99" fillId="0" borderId="118" xfId="0" applyFont="1" applyBorder="1" applyAlignment="1">
      <alignment horizontal="right" vertical="center" wrapText="1"/>
    </xf>
    <xf numFmtId="49" fontId="25" fillId="0" borderId="0" xfId="0" applyNumberFormat="1" applyFont="1" applyBorder="1" applyAlignment="1">
      <alignment horizontal="right" vertical="top"/>
    </xf>
    <xf numFmtId="49" fontId="25" fillId="0" borderId="31" xfId="0" applyNumberFormat="1" applyFont="1" applyBorder="1" applyAlignment="1">
      <alignment horizontal="right" vertical="top"/>
    </xf>
    <xf numFmtId="49" fontId="25" fillId="0" borderId="33" xfId="0" applyNumberFormat="1" applyFont="1" applyBorder="1" applyAlignment="1">
      <alignment horizontal="right" vertical="top"/>
    </xf>
    <xf numFmtId="0" fontId="0" fillId="0" borderId="33" xfId="0" applyFont="1" applyBorder="1"/>
    <xf numFmtId="49" fontId="25" fillId="0" borderId="26" xfId="0" applyNumberFormat="1" applyFont="1" applyBorder="1" applyAlignment="1">
      <alignment horizontal="right" vertical="top"/>
    </xf>
    <xf numFmtId="49" fontId="25" fillId="0" borderId="23" xfId="0" applyNumberFormat="1" applyFont="1" applyBorder="1" applyAlignment="1">
      <alignment horizontal="right" vertical="top"/>
    </xf>
    <xf numFmtId="49" fontId="25" fillId="0" borderId="21" xfId="0" applyNumberFormat="1" applyFont="1" applyBorder="1" applyAlignment="1">
      <alignment horizontal="right" vertical="top"/>
    </xf>
    <xf numFmtId="0" fontId="58" fillId="0" borderId="21" xfId="0" applyFont="1" applyBorder="1" applyAlignment="1">
      <alignment horizontal="left" vertical="top" wrapText="1"/>
    </xf>
    <xf numFmtId="49" fontId="25" fillId="0" borderId="63" xfId="0" applyNumberFormat="1" applyFont="1" applyBorder="1" applyAlignment="1">
      <alignment horizontal="left" vertical="top"/>
    </xf>
    <xf numFmtId="49" fontId="25" fillId="0" borderId="63" xfId="0" applyNumberFormat="1" applyFont="1" applyBorder="1" applyAlignment="1">
      <alignment horizontal="right" vertical="top"/>
    </xf>
    <xf numFmtId="0" fontId="47" fillId="0" borderId="63" xfId="0" applyFont="1" applyBorder="1" applyAlignment="1">
      <alignment horizontal="left" vertical="top" wrapText="1"/>
    </xf>
    <xf numFmtId="0" fontId="25" fillId="0" borderId="63" xfId="0" applyFont="1" applyBorder="1" applyAlignment="1">
      <alignment horizontal="center" vertical="center"/>
    </xf>
    <xf numFmtId="0" fontId="18" fillId="0" borderId="63" xfId="0" applyFont="1" applyBorder="1"/>
    <xf numFmtId="0" fontId="18" fillId="0" borderId="63" xfId="0" applyFont="1" applyBorder="1" applyAlignment="1">
      <alignment horizontal="center" vertical="center"/>
    </xf>
    <xf numFmtId="0" fontId="25" fillId="0" borderId="31" xfId="0" applyFont="1" applyBorder="1"/>
    <xf numFmtId="0" fontId="25" fillId="0" borderId="31" xfId="0" applyFont="1" applyFill="1" applyBorder="1" applyAlignment="1">
      <alignment horizontal="center" vertical="center"/>
    </xf>
    <xf numFmtId="0" fontId="18" fillId="0" borderId="31" xfId="0" applyFont="1" applyFill="1" applyBorder="1" applyAlignment="1">
      <alignment horizontal="center" vertical="center"/>
    </xf>
    <xf numFmtId="0" fontId="0" fillId="0" borderId="0" xfId="0" applyFont="1" applyBorder="1" applyAlignment="1">
      <alignment horizontal="center" vertical="center"/>
    </xf>
    <xf numFmtId="0" fontId="0" fillId="0" borderId="31" xfId="0" applyFont="1" applyBorder="1" applyAlignment="1">
      <alignment horizontal="center" vertical="center"/>
    </xf>
    <xf numFmtId="0" fontId="25" fillId="0" borderId="35" xfId="0" applyFont="1" applyBorder="1"/>
    <xf numFmtId="0" fontId="18" fillId="0" borderId="35" xfId="0" applyFont="1" applyBorder="1" applyAlignment="1">
      <alignment horizontal="left" vertical="top"/>
    </xf>
    <xf numFmtId="0" fontId="25" fillId="0" borderId="35" xfId="0" applyFont="1" applyFill="1" applyBorder="1" applyAlignment="1">
      <alignment horizontal="center" vertical="center"/>
    </xf>
    <xf numFmtId="0" fontId="18" fillId="0" borderId="35" xfId="0" applyFont="1" applyFill="1" applyBorder="1" applyAlignment="1">
      <alignment horizontal="center" vertical="center"/>
    </xf>
    <xf numFmtId="0" fontId="25" fillId="0" borderId="21" xfId="0" applyFont="1" applyBorder="1"/>
    <xf numFmtId="0" fontId="25" fillId="0" borderId="21" xfId="0" applyFont="1" applyFill="1" applyBorder="1" applyAlignment="1">
      <alignment horizontal="center" vertical="center"/>
    </xf>
    <xf numFmtId="0" fontId="18" fillId="0" borderId="21" xfId="0" applyFont="1" applyFill="1" applyBorder="1" applyAlignment="1">
      <alignment horizontal="center" vertical="center"/>
    </xf>
    <xf numFmtId="0" fontId="47" fillId="0" borderId="21" xfId="0" applyFont="1" applyBorder="1" applyAlignment="1">
      <alignment horizontal="left" vertical="top" wrapText="1"/>
    </xf>
    <xf numFmtId="2" fontId="0" fillId="0" borderId="28" xfId="0" applyNumberFormat="1" applyBorder="1"/>
    <xf numFmtId="0" fontId="84" fillId="0" borderId="26" xfId="0" applyFont="1" applyBorder="1" applyAlignment="1">
      <alignment horizontal="left" vertical="top" wrapText="1"/>
    </xf>
    <xf numFmtId="0" fontId="16" fillId="0" borderId="26" xfId="0" applyFont="1" applyBorder="1" applyAlignment="1">
      <alignment horizontal="center"/>
    </xf>
    <xf numFmtId="0" fontId="47" fillId="0" borderId="26" xfId="0" applyFont="1" applyBorder="1" applyAlignment="1">
      <alignment horizontal="left" vertical="top" wrapText="1"/>
    </xf>
    <xf numFmtId="0" fontId="25" fillId="0" borderId="26" xfId="62" applyFont="1" applyBorder="1">
      <alignment horizontal="center" vertical="center"/>
    </xf>
    <xf numFmtId="0" fontId="25" fillId="0" borderId="31" xfId="62" applyFont="1" applyBorder="1">
      <alignment horizontal="center" vertical="center"/>
    </xf>
    <xf numFmtId="0" fontId="47" fillId="0" borderId="35" xfId="0" applyFont="1" applyBorder="1" applyAlignment="1">
      <alignment horizontal="left" vertical="top" wrapText="1"/>
    </xf>
    <xf numFmtId="0" fontId="25" fillId="0" borderId="35" xfId="0" applyFont="1" applyBorder="1" applyAlignment="1">
      <alignment horizontal="center" vertical="center"/>
    </xf>
    <xf numFmtId="0" fontId="18" fillId="0" borderId="35" xfId="0" applyFont="1" applyBorder="1"/>
    <xf numFmtId="0" fontId="18" fillId="0" borderId="35" xfId="0" applyFont="1" applyBorder="1" applyAlignment="1">
      <alignment horizontal="center" vertical="center"/>
    </xf>
    <xf numFmtId="0" fontId="0" fillId="0" borderId="33" xfId="0" applyFill="1" applyBorder="1"/>
    <xf numFmtId="0" fontId="16" fillId="0" borderId="31" xfId="0" applyFont="1" applyBorder="1" applyAlignment="1">
      <alignment horizontal="center"/>
    </xf>
    <xf numFmtId="49" fontId="25" fillId="0" borderId="26" xfId="0" applyNumberFormat="1" applyFont="1" applyBorder="1" applyAlignment="1">
      <alignment horizontal="left"/>
    </xf>
    <xf numFmtId="169" fontId="0" fillId="39" borderId="10" xfId="48" applyNumberFormat="1" applyFont="1">
      <protection locked="0"/>
    </xf>
    <xf numFmtId="170" fontId="0" fillId="39" borderId="10" xfId="48" applyNumberFormat="1" applyFont="1">
      <protection locked="0"/>
    </xf>
    <xf numFmtId="0" fontId="16" fillId="0" borderId="21" xfId="0" applyFont="1" applyBorder="1" applyAlignment="1">
      <alignment horizontal="center" vertical="center"/>
    </xf>
    <xf numFmtId="49" fontId="18" fillId="0" borderId="0" xfId="0" applyNumberFormat="1" applyFont="1" applyBorder="1" applyAlignment="1">
      <alignment horizontal="right" vertical="top"/>
    </xf>
    <xf numFmtId="49" fontId="18" fillId="0" borderId="31" xfId="0" applyNumberFormat="1" applyFont="1" applyBorder="1" applyAlignment="1">
      <alignment horizontal="right" vertical="top"/>
    </xf>
    <xf numFmtId="0" fontId="21" fillId="34" borderId="23" xfId="50" applyBorder="1"/>
    <xf numFmtId="0" fontId="21" fillId="34" borderId="23" xfId="50" applyBorder="1" applyAlignment="1">
      <alignment horizontal="left"/>
    </xf>
    <xf numFmtId="0" fontId="21" fillId="34" borderId="23" xfId="50" applyBorder="1" applyAlignment="1">
      <alignment vertical="top" wrapText="1"/>
    </xf>
    <xf numFmtId="0" fontId="51" fillId="34" borderId="23" xfId="50" applyFont="1" applyBorder="1" applyAlignment="1">
      <alignment horizontal="center" vertical="center"/>
    </xf>
    <xf numFmtId="0" fontId="51" fillId="34" borderId="23" xfId="50" applyFont="1" applyBorder="1"/>
    <xf numFmtId="49" fontId="18" fillId="0" borderId="26" xfId="0" applyNumberFormat="1" applyFont="1" applyBorder="1" applyAlignment="1">
      <alignment horizontal="right" vertical="top"/>
    </xf>
    <xf numFmtId="49" fontId="18" fillId="0" borderId="33" xfId="0" applyNumberFormat="1" applyFont="1" applyBorder="1" applyAlignment="1">
      <alignment horizontal="right" vertical="top"/>
    </xf>
    <xf numFmtId="49" fontId="18" fillId="0" borderId="23" xfId="0" applyNumberFormat="1" applyFont="1" applyBorder="1" applyAlignment="1">
      <alignment horizontal="right" vertical="top"/>
    </xf>
    <xf numFmtId="0" fontId="28" fillId="39" borderId="13" xfId="48" applyFont="1" applyBorder="1">
      <protection locked="0"/>
    </xf>
    <xf numFmtId="0" fontId="0" fillId="0" borderId="0" xfId="0"/>
    <xf numFmtId="0" fontId="0" fillId="37" borderId="10" xfId="54" applyFont="1">
      <alignment horizontal="left" vertical="top" wrapText="1"/>
      <protection locked="0"/>
    </xf>
    <xf numFmtId="0" fontId="0" fillId="37" borderId="32" xfId="54" applyFont="1" applyBorder="1">
      <alignment horizontal="left" vertical="top" wrapText="1"/>
      <protection locked="0"/>
    </xf>
    <xf numFmtId="0" fontId="18" fillId="0" borderId="0" xfId="0" applyFont="1" applyBorder="1" applyAlignment="1">
      <alignment horizontal="center" vertical="center"/>
    </xf>
    <xf numFmtId="0" fontId="18" fillId="0" borderId="26" xfId="0" applyFont="1" applyBorder="1" applyAlignment="1">
      <alignment horizontal="center" vertical="center"/>
    </xf>
    <xf numFmtId="0" fontId="0" fillId="37" borderId="15" xfId="54" applyFont="1" applyBorder="1">
      <alignment horizontal="left" vertical="top" wrapText="1"/>
      <protection locked="0"/>
    </xf>
    <xf numFmtId="0" fontId="25" fillId="0" borderId="0" xfId="0" applyFont="1" applyBorder="1" applyAlignment="1">
      <alignment horizontal="center" vertical="center"/>
    </xf>
    <xf numFmtId="0" fontId="25" fillId="0" borderId="26" xfId="0" applyFont="1" applyBorder="1" applyAlignment="1">
      <alignment horizontal="center" vertical="center"/>
    </xf>
    <xf numFmtId="0" fontId="0" fillId="37" borderId="16" xfId="54" applyFont="1" applyBorder="1">
      <alignment horizontal="left" vertical="top" wrapText="1"/>
      <protection locked="0"/>
    </xf>
    <xf numFmtId="0" fontId="18" fillId="0" borderId="31" xfId="0" applyFont="1" applyBorder="1" applyAlignment="1">
      <alignment horizontal="center" vertical="center"/>
    </xf>
    <xf numFmtId="0" fontId="0" fillId="0" borderId="0" xfId="0" applyAlignment="1">
      <alignment horizontal="center" vertical="center"/>
    </xf>
    <xf numFmtId="0" fontId="18" fillId="0" borderId="26" xfId="0" applyFont="1" applyBorder="1" applyAlignment="1">
      <alignment vertical="top" wrapText="1"/>
    </xf>
    <xf numFmtId="0" fontId="18" fillId="0" borderId="0" xfId="0" applyFont="1" applyAlignment="1">
      <alignment horizontal="center" vertical="center"/>
    </xf>
    <xf numFmtId="0" fontId="0" fillId="0" borderId="0" xfId="0" applyBorder="1"/>
    <xf numFmtId="0" fontId="0" fillId="37" borderId="10" xfId="66" applyFont="1" applyBorder="1">
      <alignment horizontal="left" vertical="top" wrapText="1"/>
    </xf>
    <xf numFmtId="0" fontId="0" fillId="37" borderId="32" xfId="66" applyFont="1" applyBorder="1">
      <alignment horizontal="left" vertical="top" wrapText="1"/>
    </xf>
    <xf numFmtId="0" fontId="0" fillId="37" borderId="32" xfId="66" applyFont="1" applyBorder="1" applyProtection="1">
      <alignment horizontal="left" vertical="top" wrapText="1"/>
      <protection locked="0"/>
    </xf>
    <xf numFmtId="0" fontId="0" fillId="37" borderId="10" xfId="66" applyFont="1">
      <alignment horizontal="left" vertical="top" wrapText="1"/>
    </xf>
    <xf numFmtId="0" fontId="0" fillId="0" borderId="26" xfId="0" applyBorder="1" applyAlignment="1">
      <alignment vertical="top"/>
    </xf>
    <xf numFmtId="0" fontId="0" fillId="37" borderId="36" xfId="66" applyFont="1" applyBorder="1">
      <alignment horizontal="left" vertical="top" wrapText="1"/>
    </xf>
    <xf numFmtId="0" fontId="21" fillId="34" borderId="26" xfId="50" applyBorder="1" applyAlignment="1">
      <alignment horizontal="left"/>
    </xf>
    <xf numFmtId="0" fontId="21" fillId="34" borderId="26" xfId="50" applyBorder="1"/>
    <xf numFmtId="0" fontId="21" fillId="34" borderId="26" xfId="50" applyBorder="1" applyAlignment="1">
      <alignment vertical="top"/>
    </xf>
    <xf numFmtId="49" fontId="21" fillId="34" borderId="26" xfId="50" applyNumberFormat="1" applyBorder="1" applyAlignment="1">
      <alignment horizontal="left" vertical="top"/>
    </xf>
    <xf numFmtId="0" fontId="41" fillId="34" borderId="26" xfId="50" applyFont="1" applyBorder="1" applyAlignment="1">
      <alignment horizontal="center" vertical="center"/>
    </xf>
    <xf numFmtId="0" fontId="21" fillId="34" borderId="26" xfId="50" applyBorder="1" applyAlignment="1">
      <alignment horizontal="center" vertical="center"/>
    </xf>
    <xf numFmtId="0" fontId="51" fillId="34" borderId="26" xfId="50" applyFont="1" applyBorder="1" applyAlignment="1">
      <alignment horizontal="center" vertical="center"/>
    </xf>
    <xf numFmtId="0" fontId="21" fillId="34" borderId="26" xfId="50" applyBorder="1" applyProtection="1">
      <protection locked="0"/>
    </xf>
    <xf numFmtId="0" fontId="0" fillId="0" borderId="0" xfId="0"/>
    <xf numFmtId="0" fontId="18" fillId="0" borderId="0" xfId="0" applyFont="1" applyBorder="1" applyAlignment="1">
      <alignment horizontal="left" vertical="top" wrapText="1"/>
    </xf>
    <xf numFmtId="0" fontId="18" fillId="0" borderId="23" xfId="0" applyFont="1" applyBorder="1" applyAlignment="1">
      <alignment horizontal="left" vertical="top" wrapText="1"/>
    </xf>
    <xf numFmtId="0" fontId="18" fillId="0" borderId="0" xfId="0" applyFont="1" applyBorder="1" applyAlignment="1">
      <alignment horizontal="center" vertical="center"/>
    </xf>
    <xf numFmtId="0" fontId="18" fillId="0" borderId="26" xfId="0" applyFont="1" applyBorder="1" applyAlignment="1">
      <alignment horizontal="center" vertical="center"/>
    </xf>
    <xf numFmtId="0" fontId="25" fillId="0" borderId="0" xfId="0" applyFont="1" applyBorder="1" applyAlignment="1">
      <alignment horizontal="center" vertical="center"/>
    </xf>
    <xf numFmtId="0" fontId="25" fillId="0" borderId="26" xfId="0" applyFont="1" applyBorder="1" applyAlignment="1">
      <alignment horizontal="center" vertical="center"/>
    </xf>
    <xf numFmtId="0" fontId="25" fillId="0" borderId="23" xfId="0" applyFont="1" applyBorder="1" applyAlignment="1">
      <alignment horizontal="center" vertical="center"/>
    </xf>
    <xf numFmtId="0" fontId="18" fillId="0" borderId="23" xfId="0" applyFont="1" applyBorder="1" applyAlignment="1">
      <alignment horizontal="center" vertical="center"/>
    </xf>
    <xf numFmtId="168" fontId="29" fillId="40" borderId="14" xfId="65">
      <alignment horizontal="left" vertical="top" wrapText="1"/>
    </xf>
    <xf numFmtId="0" fontId="0" fillId="0" borderId="0" xfId="0" applyAlignment="1">
      <alignment horizontal="left"/>
    </xf>
    <xf numFmtId="0" fontId="0" fillId="38" borderId="10" xfId="47" applyFont="1" applyAlignment="1">
      <alignment horizontal="left"/>
      <protection locked="0"/>
    </xf>
    <xf numFmtId="0" fontId="0" fillId="0" borderId="0" xfId="0"/>
    <xf numFmtId="0" fontId="57" fillId="0" borderId="0" xfId="0" applyFont="1" applyAlignment="1">
      <alignment wrapText="1"/>
    </xf>
    <xf numFmtId="0" fontId="0" fillId="0" borderId="0" xfId="0" applyAlignment="1">
      <alignment horizontal="left"/>
    </xf>
    <xf numFmtId="0" fontId="16" fillId="0" borderId="0" xfId="0" applyFont="1" applyAlignment="1">
      <alignment horizontal="right"/>
    </xf>
    <xf numFmtId="0" fontId="0" fillId="38" borderId="10" xfId="47" applyFont="1" applyAlignment="1">
      <alignment horizontal="left"/>
      <protection locked="0"/>
    </xf>
    <xf numFmtId="0" fontId="0" fillId="0" borderId="0" xfId="0" applyAlignment="1">
      <alignment horizontal="right"/>
    </xf>
    <xf numFmtId="0" fontId="0" fillId="0" borderId="0" xfId="0"/>
    <xf numFmtId="0" fontId="0" fillId="0" borderId="0" xfId="0" applyAlignment="1">
      <alignment horizontal="right"/>
    </xf>
    <xf numFmtId="0" fontId="0" fillId="0" borderId="0" xfId="0"/>
    <xf numFmtId="0" fontId="18" fillId="0" borderId="0" xfId="0" applyFont="1" applyBorder="1" applyAlignment="1">
      <alignment horizontal="center" vertical="center"/>
    </xf>
    <xf numFmtId="0" fontId="0" fillId="0" borderId="10" xfId="0" applyBorder="1"/>
    <xf numFmtId="0" fontId="0" fillId="0" borderId="0" xfId="0" applyAlignment="1">
      <alignment horizontal="center" vertical="center"/>
    </xf>
    <xf numFmtId="0" fontId="0" fillId="0" borderId="0" xfId="0" applyBorder="1"/>
    <xf numFmtId="0" fontId="16" fillId="0" borderId="0" xfId="0" applyFont="1" applyAlignment="1">
      <alignment horizontal="center" vertical="center"/>
    </xf>
    <xf numFmtId="0" fontId="0" fillId="41" borderId="10" xfId="47" applyFont="1" applyFill="1" applyAlignment="1" applyProtection="1">
      <alignment horizontal="left"/>
    </xf>
    <xf numFmtId="49" fontId="0" fillId="39" borderId="10" xfId="48" applyNumberFormat="1" applyFont="1">
      <protection locked="0"/>
    </xf>
    <xf numFmtId="0" fontId="0" fillId="48" borderId="26" xfId="0" applyFill="1" applyBorder="1"/>
    <xf numFmtId="0" fontId="0" fillId="0" borderId="0" xfId="0"/>
    <xf numFmtId="0" fontId="0" fillId="0" borderId="0" xfId="0" applyBorder="1"/>
    <xf numFmtId="0" fontId="0" fillId="0" borderId="34" xfId="0" applyBorder="1"/>
    <xf numFmtId="0" fontId="16" fillId="0" borderId="32" xfId="0" applyFont="1" applyBorder="1"/>
    <xf numFmtId="0" fontId="0" fillId="0" borderId="17" xfId="0" applyBorder="1"/>
    <xf numFmtId="0" fontId="0" fillId="0" borderId="0" xfId="0"/>
    <xf numFmtId="0" fontId="0" fillId="0" borderId="0" xfId="0"/>
    <xf numFmtId="0" fontId="25" fillId="0" borderId="0" xfId="0" applyFont="1" applyBorder="1" applyAlignment="1">
      <alignment horizontal="center" vertical="center"/>
    </xf>
    <xf numFmtId="0" fontId="25" fillId="0" borderId="26" xfId="0" applyFont="1" applyBorder="1" applyAlignment="1">
      <alignment horizontal="center" vertical="center"/>
    </xf>
    <xf numFmtId="0" fontId="18" fillId="0" borderId="0" xfId="0" applyFont="1" applyBorder="1" applyAlignment="1">
      <alignment horizontal="center" vertical="center"/>
    </xf>
    <xf numFmtId="0" fontId="18" fillId="0" borderId="26" xfId="0" applyFont="1" applyBorder="1" applyAlignment="1">
      <alignment horizontal="center" vertical="center"/>
    </xf>
    <xf numFmtId="0" fontId="25" fillId="0" borderId="0" xfId="0" applyFont="1" applyAlignment="1">
      <alignment horizontal="center" vertical="center"/>
    </xf>
    <xf numFmtId="0" fontId="40" fillId="2" borderId="0" xfId="0" applyFont="1" applyFill="1" applyAlignment="1">
      <alignment horizontal="center" vertical="center"/>
    </xf>
    <xf numFmtId="0" fontId="0" fillId="0" borderId="0" xfId="0" applyBorder="1"/>
    <xf numFmtId="0" fontId="0" fillId="0" borderId="0" xfId="0"/>
    <xf numFmtId="0" fontId="0" fillId="0" borderId="0" xfId="0" applyBorder="1"/>
    <xf numFmtId="185" fontId="43" fillId="39" borderId="10" xfId="48" applyNumberFormat="1" applyFont="1">
      <protection locked="0"/>
    </xf>
    <xf numFmtId="186" fontId="43" fillId="39" borderId="10" xfId="48" applyNumberFormat="1" applyFont="1">
      <protection locked="0"/>
    </xf>
    <xf numFmtId="0" fontId="0" fillId="0" borderId="0" xfId="0" applyAlignment="1">
      <alignment horizontal="left"/>
    </xf>
    <xf numFmtId="0" fontId="0" fillId="0" borderId="0" xfId="0"/>
    <xf numFmtId="0" fontId="25" fillId="0" borderId="0" xfId="0" applyFont="1" applyBorder="1" applyAlignment="1">
      <alignment horizontal="center" vertical="center"/>
    </xf>
    <xf numFmtId="0" fontId="25" fillId="0" borderId="26" xfId="0" applyFont="1" applyBorder="1" applyAlignment="1">
      <alignment horizontal="center" vertical="center"/>
    </xf>
    <xf numFmtId="0" fontId="18" fillId="0" borderId="0" xfId="0" applyFont="1" applyBorder="1" applyAlignment="1">
      <alignment horizontal="center" vertical="center"/>
    </xf>
    <xf numFmtId="0" fontId="18" fillId="0" borderId="26" xfId="0" applyFont="1" applyBorder="1" applyAlignment="1">
      <alignment horizontal="center" vertical="center"/>
    </xf>
    <xf numFmtId="0" fontId="0" fillId="37" borderId="10" xfId="54" applyFont="1">
      <alignment horizontal="left" vertical="top" wrapText="1"/>
      <protection locked="0"/>
    </xf>
    <xf numFmtId="0" fontId="0" fillId="0" borderId="10" xfId="0" applyBorder="1"/>
    <xf numFmtId="0" fontId="18" fillId="0" borderId="0" xfId="0" applyFont="1" applyBorder="1" applyAlignment="1">
      <alignment vertical="top" wrapText="1"/>
    </xf>
    <xf numFmtId="0" fontId="0" fillId="0" borderId="0" xfId="0" applyAlignment="1">
      <alignment horizontal="center" vertical="center"/>
    </xf>
    <xf numFmtId="0" fontId="58" fillId="0" borderId="26" xfId="0" applyFont="1" applyBorder="1" applyAlignment="1">
      <alignment horizontal="left" vertical="top" wrapText="1"/>
    </xf>
    <xf numFmtId="0" fontId="0" fillId="0" borderId="0" xfId="0" applyBorder="1"/>
    <xf numFmtId="0" fontId="0" fillId="37" borderId="32" xfId="66" applyFont="1" applyBorder="1">
      <alignment horizontal="left" vertical="top" wrapText="1"/>
    </xf>
    <xf numFmtId="0" fontId="0" fillId="37" borderId="10" xfId="66" applyFont="1">
      <alignment horizontal="left" vertical="top" wrapText="1"/>
    </xf>
    <xf numFmtId="0" fontId="0" fillId="0" borderId="0" xfId="0" applyAlignment="1">
      <alignment horizontal="left" vertical="top"/>
    </xf>
    <xf numFmtId="0" fontId="0" fillId="0" borderId="0" xfId="0" applyFont="1" applyAlignment="1">
      <alignment horizontal="right"/>
    </xf>
    <xf numFmtId="0" fontId="0" fillId="2" borderId="0" xfId="0" applyFill="1" applyBorder="1" applyAlignment="1">
      <alignment horizontal="left"/>
    </xf>
    <xf numFmtId="0" fontId="13" fillId="0" borderId="0" xfId="60">
      <alignment horizontal="left"/>
    </xf>
    <xf numFmtId="0" fontId="19" fillId="0" borderId="0" xfId="0" applyFont="1"/>
    <xf numFmtId="0" fontId="0" fillId="0" borderId="0" xfId="0"/>
    <xf numFmtId="0" fontId="58" fillId="0" borderId="0" xfId="0" applyFont="1" applyBorder="1" applyAlignment="1">
      <alignment horizontal="left" vertical="top" wrapText="1"/>
    </xf>
    <xf numFmtId="0" fontId="58" fillId="0" borderId="26" xfId="0" applyFont="1" applyBorder="1" applyAlignment="1">
      <alignment horizontal="left" vertical="top" wrapText="1"/>
    </xf>
    <xf numFmtId="0" fontId="0" fillId="0" borderId="0" xfId="0" applyBorder="1"/>
    <xf numFmtId="0" fontId="0" fillId="2" borderId="0" xfId="0" applyFill="1" applyAlignment="1">
      <alignment horizontal="right"/>
    </xf>
    <xf numFmtId="2" fontId="0" fillId="2" borderId="0" xfId="0" applyNumberFormat="1" applyFill="1"/>
    <xf numFmtId="0" fontId="0" fillId="0" borderId="0" xfId="0" applyAlignment="1">
      <alignment horizontal="left"/>
    </xf>
    <xf numFmtId="0" fontId="0" fillId="0" borderId="0" xfId="0"/>
    <xf numFmtId="0" fontId="0" fillId="0" borderId="0" xfId="0"/>
    <xf numFmtId="0" fontId="0" fillId="0" borderId="10" xfId="0" applyBorder="1"/>
    <xf numFmtId="0" fontId="0" fillId="0" borderId="0" xfId="0"/>
    <xf numFmtId="0" fontId="25" fillId="0" borderId="26" xfId="0" applyFont="1" applyBorder="1" applyAlignment="1">
      <alignment horizontal="center" vertical="center"/>
    </xf>
    <xf numFmtId="0" fontId="18" fillId="0" borderId="0" xfId="0" applyFont="1" applyBorder="1" applyAlignment="1">
      <alignment horizontal="center" vertical="center"/>
    </xf>
    <xf numFmtId="0" fontId="18" fillId="0" borderId="26" xfId="0" applyFont="1" applyBorder="1" applyAlignment="1">
      <alignment horizontal="center" vertical="center"/>
    </xf>
    <xf numFmtId="0" fontId="18" fillId="0" borderId="33" xfId="0" applyFont="1" applyBorder="1" applyAlignment="1">
      <alignment horizontal="center" vertical="center"/>
    </xf>
    <xf numFmtId="0" fontId="25" fillId="0" borderId="0" xfId="0" applyFont="1" applyAlignment="1">
      <alignment horizontal="center" vertical="center"/>
    </xf>
    <xf numFmtId="0" fontId="40" fillId="2" borderId="0" xfId="0" applyFont="1" applyFill="1" applyAlignment="1">
      <alignment horizontal="center" vertical="center"/>
    </xf>
    <xf numFmtId="0" fontId="0" fillId="0" borderId="0" xfId="0" applyBorder="1"/>
    <xf numFmtId="0" fontId="0" fillId="0" borderId="0" xfId="0"/>
    <xf numFmtId="0" fontId="18" fillId="0" borderId="0" xfId="0" applyFont="1" applyBorder="1" applyAlignment="1">
      <alignment horizontal="center" vertical="center"/>
    </xf>
    <xf numFmtId="0" fontId="58" fillId="0" borderId="0" xfId="0" applyFont="1" applyBorder="1" applyAlignment="1">
      <alignment horizontal="left" vertical="top" wrapText="1"/>
    </xf>
    <xf numFmtId="0" fontId="0" fillId="0" borderId="0" xfId="0" applyAlignment="1">
      <alignment horizontal="center" vertical="center"/>
    </xf>
    <xf numFmtId="0" fontId="18" fillId="0" borderId="0" xfId="0" applyFont="1" applyAlignment="1">
      <alignment horizontal="center" vertical="center"/>
    </xf>
    <xf numFmtId="0" fontId="26" fillId="0" borderId="0" xfId="0" applyFont="1" applyAlignment="1">
      <alignment horizontal="center" vertical="center" wrapText="1"/>
    </xf>
    <xf numFmtId="0" fontId="0" fillId="0" borderId="0" xfId="0" applyBorder="1"/>
    <xf numFmtId="0" fontId="0" fillId="0" borderId="0" xfId="0"/>
    <xf numFmtId="0" fontId="18" fillId="0" borderId="0" xfId="0" applyFont="1" applyAlignment="1">
      <alignment horizontal="center" vertical="center"/>
    </xf>
    <xf numFmtId="0" fontId="0" fillId="0" borderId="0" xfId="0" applyAlignment="1">
      <alignment horizontal="center" vertical="center"/>
    </xf>
    <xf numFmtId="168" fontId="29" fillId="40" borderId="50" xfId="65" applyBorder="1">
      <alignment horizontal="left" vertical="top" wrapText="1"/>
    </xf>
    <xf numFmtId="0" fontId="109" fillId="0" borderId="0" xfId="0" applyFont="1" applyBorder="1" applyAlignment="1">
      <alignment horizontal="left" vertical="top" wrapText="1"/>
    </xf>
    <xf numFmtId="0" fontId="109" fillId="0" borderId="31" xfId="0" applyFont="1" applyBorder="1" applyAlignment="1">
      <alignment horizontal="left" vertical="top" wrapText="1"/>
    </xf>
    <xf numFmtId="0" fontId="0" fillId="0" borderId="0" xfId="0"/>
    <xf numFmtId="0" fontId="0" fillId="0" borderId="0" xfId="0"/>
    <xf numFmtId="0" fontId="0" fillId="0" borderId="0" xfId="0" applyBorder="1"/>
    <xf numFmtId="0" fontId="0" fillId="0" borderId="0" xfId="0"/>
    <xf numFmtId="0" fontId="18" fillId="0" borderId="0" xfId="0" applyFont="1" applyBorder="1" applyAlignment="1">
      <alignment vertical="top" wrapText="1"/>
    </xf>
    <xf numFmtId="0" fontId="18" fillId="0" borderId="26" xfId="0" applyFont="1" applyBorder="1" applyAlignment="1">
      <alignment vertical="top" wrapText="1"/>
    </xf>
    <xf numFmtId="0" fontId="0" fillId="0" borderId="0" xfId="0" applyBorder="1"/>
    <xf numFmtId="0" fontId="21" fillId="34" borderId="0" xfId="50" applyBorder="1" applyAlignment="1">
      <alignment horizontal="left"/>
    </xf>
    <xf numFmtId="0" fontId="21" fillId="34" borderId="0" xfId="50" applyBorder="1" applyAlignment="1">
      <alignment vertical="top"/>
    </xf>
    <xf numFmtId="49" fontId="21" fillId="34" borderId="0" xfId="50" applyNumberFormat="1" applyBorder="1" applyAlignment="1">
      <alignment horizontal="left" vertical="top" wrapText="1"/>
    </xf>
    <xf numFmtId="0" fontId="41" fillId="34" borderId="0" xfId="50" applyFont="1" applyBorder="1" applyAlignment="1">
      <alignment horizontal="center" vertical="center"/>
    </xf>
    <xf numFmtId="0" fontId="51" fillId="34" borderId="0" xfId="50" applyFont="1" applyBorder="1"/>
    <xf numFmtId="0" fontId="51" fillId="34" borderId="0" xfId="50" applyFont="1" applyBorder="1" applyAlignment="1">
      <alignment horizontal="center" vertical="center"/>
    </xf>
    <xf numFmtId="0" fontId="21" fillId="34" borderId="21" xfId="50" applyBorder="1" applyAlignment="1">
      <alignment horizontal="left"/>
    </xf>
    <xf numFmtId="0" fontId="21" fillId="34" borderId="21" xfId="50" applyBorder="1"/>
    <xf numFmtId="0" fontId="21" fillId="34" borderId="21" xfId="50" applyBorder="1" applyAlignment="1">
      <alignment vertical="top"/>
    </xf>
    <xf numFmtId="49" fontId="21" fillId="34" borderId="21" xfId="50" applyNumberFormat="1" applyBorder="1" applyAlignment="1">
      <alignment horizontal="left" vertical="top" wrapText="1"/>
    </xf>
    <xf numFmtId="0" fontId="41" fillId="34" borderId="21" xfId="50" applyFont="1" applyBorder="1" applyAlignment="1">
      <alignment horizontal="center" vertical="center"/>
    </xf>
    <xf numFmtId="0" fontId="51" fillId="34" borderId="21" xfId="50" applyFont="1" applyBorder="1"/>
    <xf numFmtId="0" fontId="51" fillId="34" borderId="21" xfId="50" applyFont="1" applyBorder="1" applyAlignment="1">
      <alignment horizontal="center" vertical="center"/>
    </xf>
    <xf numFmtId="0" fontId="0" fillId="0" borderId="0" xfId="0"/>
    <xf numFmtId="0" fontId="0" fillId="0" borderId="0" xfId="0" applyBorder="1"/>
    <xf numFmtId="0" fontId="0" fillId="0" borderId="0" xfId="0"/>
    <xf numFmtId="0" fontId="58" fillId="0" borderId="23" xfId="0" applyFont="1" applyBorder="1" applyAlignment="1">
      <alignment horizontal="left" vertical="top" wrapText="1"/>
    </xf>
    <xf numFmtId="0" fontId="58" fillId="0" borderId="0" xfId="0" applyFont="1" applyBorder="1" applyAlignment="1">
      <alignment horizontal="left" vertical="top" wrapText="1"/>
    </xf>
    <xf numFmtId="0" fontId="58" fillId="0" borderId="26" xfId="0" applyFont="1" applyBorder="1" applyAlignment="1">
      <alignment horizontal="left" vertical="top" wrapText="1"/>
    </xf>
    <xf numFmtId="0" fontId="0" fillId="0" borderId="0" xfId="0" applyBorder="1"/>
    <xf numFmtId="0" fontId="0" fillId="0" borderId="0" xfId="0"/>
    <xf numFmtId="0" fontId="0" fillId="0" borderId="0" xfId="0" applyBorder="1"/>
    <xf numFmtId="0" fontId="0" fillId="0" borderId="0" xfId="0"/>
    <xf numFmtId="0" fontId="0" fillId="0" borderId="0" xfId="0" applyBorder="1"/>
    <xf numFmtId="0" fontId="0" fillId="0" borderId="0" xfId="0"/>
    <xf numFmtId="0" fontId="0" fillId="0" borderId="0" xfId="0" applyBorder="1"/>
    <xf numFmtId="0" fontId="0" fillId="0" borderId="0" xfId="0"/>
    <xf numFmtId="0" fontId="18" fillId="0" borderId="0" xfId="0" applyFont="1" applyBorder="1" applyAlignment="1">
      <alignment horizontal="left" vertical="top" wrapText="1"/>
    </xf>
    <xf numFmtId="0" fontId="25" fillId="0" borderId="0" xfId="0" applyFont="1" applyAlignment="1">
      <alignment horizontal="left" vertical="top" wrapText="1"/>
    </xf>
    <xf numFmtId="0" fontId="18" fillId="0" borderId="26" xfId="0" applyFont="1" applyBorder="1" applyAlignment="1">
      <alignment horizontal="left" vertical="top" wrapText="1"/>
    </xf>
    <xf numFmtId="0" fontId="18" fillId="0" borderId="23" xfId="0" applyFont="1" applyBorder="1" applyAlignment="1">
      <alignment vertical="top" wrapText="1"/>
    </xf>
    <xf numFmtId="0" fontId="18" fillId="0" borderId="26" xfId="0" applyFont="1" applyBorder="1" applyAlignment="1">
      <alignment vertical="top" wrapText="1"/>
    </xf>
    <xf numFmtId="0" fontId="18" fillId="0" borderId="23" xfId="0" applyFont="1" applyBorder="1" applyAlignment="1">
      <alignment horizontal="left" vertical="top" wrapText="1"/>
    </xf>
    <xf numFmtId="0" fontId="18" fillId="0" borderId="0" xfId="0" applyFont="1" applyBorder="1" applyAlignment="1">
      <alignment vertical="top" wrapText="1"/>
    </xf>
    <xf numFmtId="0" fontId="26" fillId="0" borderId="33" xfId="0" applyFont="1" applyBorder="1" applyAlignment="1">
      <alignment horizontal="left" vertical="top" wrapText="1"/>
    </xf>
    <xf numFmtId="0" fontId="26" fillId="0" borderId="0" xfId="0" applyFont="1" applyBorder="1" applyAlignment="1">
      <alignment horizontal="left" vertical="top" wrapText="1"/>
    </xf>
    <xf numFmtId="0" fontId="58" fillId="0" borderId="0" xfId="0" applyFont="1" applyBorder="1" applyAlignment="1">
      <alignment horizontal="left" vertical="top" wrapText="1"/>
    </xf>
    <xf numFmtId="0" fontId="58" fillId="0" borderId="26" xfId="0" applyFont="1" applyBorder="1" applyAlignment="1">
      <alignment horizontal="left" vertical="top" wrapText="1"/>
    </xf>
    <xf numFmtId="0" fontId="58" fillId="0" borderId="23" xfId="0" applyFont="1" applyBorder="1" applyAlignment="1">
      <alignment horizontal="left" vertical="top" wrapText="1"/>
    </xf>
    <xf numFmtId="0" fontId="58" fillId="0" borderId="31" xfId="0" applyFont="1" applyBorder="1" applyAlignment="1">
      <alignment horizontal="left" vertical="top" wrapText="1"/>
    </xf>
    <xf numFmtId="0" fontId="18" fillId="0" borderId="0" xfId="0" applyFont="1" applyAlignment="1">
      <alignment vertical="top" wrapText="1"/>
    </xf>
    <xf numFmtId="0" fontId="18" fillId="0" borderId="31" xfId="0" applyFont="1" applyBorder="1" applyAlignment="1">
      <alignment vertical="top" wrapText="1"/>
    </xf>
    <xf numFmtId="0" fontId="25" fillId="0" borderId="0" xfId="0" applyFont="1" applyAlignment="1">
      <alignment horizontal="right" vertical="top" wrapText="1"/>
    </xf>
    <xf numFmtId="0" fontId="25" fillId="0" borderId="0" xfId="0" applyFont="1" applyBorder="1" applyAlignment="1">
      <alignment horizontal="right" vertical="top" wrapText="1"/>
    </xf>
    <xf numFmtId="0" fontId="25" fillId="0" borderId="26" xfId="0" applyFont="1" applyBorder="1" applyAlignment="1">
      <alignment horizontal="right" vertical="top" wrapText="1"/>
    </xf>
    <xf numFmtId="0" fontId="25" fillId="0" borderId="23" xfId="0" applyFont="1" applyBorder="1" applyAlignment="1">
      <alignment vertical="top" wrapText="1"/>
    </xf>
    <xf numFmtId="0" fontId="25" fillId="0" borderId="0" xfId="0" applyFont="1" applyAlignment="1">
      <alignment vertical="top" wrapText="1"/>
    </xf>
    <xf numFmtId="0" fontId="47" fillId="0" borderId="0" xfId="0" applyFont="1" applyBorder="1" applyAlignment="1">
      <alignment horizontal="left" vertical="top" wrapText="1"/>
    </xf>
    <xf numFmtId="0" fontId="47" fillId="0" borderId="26" xfId="0" applyFont="1" applyBorder="1" applyAlignment="1">
      <alignment horizontal="left" vertical="top" wrapText="1"/>
    </xf>
    <xf numFmtId="0" fontId="47" fillId="0" borderId="23" xfId="0" applyFont="1" applyBorder="1" applyAlignment="1">
      <alignment horizontal="left" vertical="top" wrapText="1"/>
    </xf>
    <xf numFmtId="0" fontId="0" fillId="0" borderId="0" xfId="0" applyBorder="1"/>
    <xf numFmtId="0" fontId="84" fillId="0" borderId="0" xfId="0" applyFont="1" applyBorder="1" applyAlignment="1">
      <alignment horizontal="left" vertical="top" wrapText="1"/>
    </xf>
    <xf numFmtId="0" fontId="25" fillId="0" borderId="0" xfId="0" applyFont="1" applyBorder="1" applyAlignment="1">
      <alignment vertical="top" wrapText="1"/>
    </xf>
    <xf numFmtId="0" fontId="25" fillId="0" borderId="31" xfId="0" applyFont="1" applyBorder="1" applyAlignment="1">
      <alignment vertical="top" wrapText="1"/>
    </xf>
    <xf numFmtId="0" fontId="25" fillId="0" borderId="26" xfId="0" applyFont="1" applyBorder="1" applyAlignment="1">
      <alignment vertical="top" wrapText="1"/>
    </xf>
    <xf numFmtId="0" fontId="109" fillId="0" borderId="0" xfId="0" applyFont="1" applyBorder="1" applyAlignment="1">
      <alignment horizontal="left" vertical="top" wrapText="1"/>
    </xf>
    <xf numFmtId="0" fontId="84" fillId="0" borderId="26" xfId="0" applyFont="1" applyBorder="1" applyAlignment="1">
      <alignment horizontal="left" vertical="top" wrapText="1"/>
    </xf>
    <xf numFmtId="0" fontId="26" fillId="0" borderId="0" xfId="0" applyFont="1" applyBorder="1" applyAlignment="1">
      <alignment horizontal="right" vertical="top" wrapText="1"/>
    </xf>
    <xf numFmtId="0" fontId="18" fillId="0" borderId="10" xfId="0" applyFont="1" applyBorder="1" applyAlignment="1">
      <alignment horizontal="left" vertical="top" wrapText="1"/>
    </xf>
    <xf numFmtId="0" fontId="58" fillId="0" borderId="10" xfId="0" applyFont="1" applyBorder="1" applyAlignment="1">
      <alignment horizontal="left" vertical="top" wrapText="1"/>
    </xf>
    <xf numFmtId="0" fontId="18" fillId="0" borderId="10" xfId="0" applyFont="1" applyBorder="1" applyAlignment="1">
      <alignment horizontal="left" vertical="top"/>
    </xf>
    <xf numFmtId="0" fontId="25" fillId="0" borderId="10" xfId="0" applyFont="1" applyBorder="1" applyAlignment="1">
      <alignment horizontal="left" vertical="top" wrapText="1"/>
    </xf>
    <xf numFmtId="0" fontId="18" fillId="0" borderId="0" xfId="0" applyFont="1" applyAlignment="1">
      <alignment wrapText="1"/>
    </xf>
    <xf numFmtId="0" fontId="18" fillId="0" borderId="23" xfId="0" applyFont="1" applyBorder="1" applyAlignment="1">
      <alignment wrapText="1"/>
    </xf>
    <xf numFmtId="0" fontId="18" fillId="0" borderId="26" xfId="0" applyFont="1" applyBorder="1" applyAlignment="1">
      <alignment wrapText="1"/>
    </xf>
    <xf numFmtId="0" fontId="18" fillId="0" borderId="0" xfId="0" applyFont="1" applyBorder="1" applyAlignment="1">
      <alignment wrapText="1"/>
    </xf>
    <xf numFmtId="0" fontId="18" fillId="0" borderId="31" xfId="0" applyFont="1" applyBorder="1" applyAlignment="1">
      <alignment wrapText="1"/>
    </xf>
    <xf numFmtId="0" fontId="25" fillId="0" borderId="33" xfId="0" applyFont="1" applyBorder="1" applyAlignment="1">
      <alignment vertical="top" wrapText="1"/>
    </xf>
    <xf numFmtId="0" fontId="0" fillId="0" borderId="0" xfId="0" applyAlignment="1">
      <alignment horizontal="left" vertical="top"/>
    </xf>
    <xf numFmtId="0" fontId="50" fillId="0" borderId="0" xfId="57" applyAlignment="1" applyProtection="1">
      <alignment horizontal="left" vertical="top" wrapText="1"/>
      <protection locked="0"/>
    </xf>
    <xf numFmtId="0" fontId="0" fillId="0" borderId="0" xfId="0"/>
    <xf numFmtId="0" fontId="58" fillId="0" borderId="0" xfId="0" applyFont="1" applyBorder="1" applyAlignment="1">
      <alignment horizontal="left" vertical="top" wrapText="1"/>
    </xf>
    <xf numFmtId="0" fontId="0" fillId="0" borderId="0" xfId="0" applyBorder="1"/>
    <xf numFmtId="0" fontId="18" fillId="0" borderId="10" xfId="0" applyFont="1" applyBorder="1" applyAlignment="1">
      <alignment vertical="top" wrapText="1"/>
    </xf>
    <xf numFmtId="0" fontId="21" fillId="34" borderId="26" xfId="50" applyBorder="1" applyAlignment="1">
      <alignment horizontal="left" vertical="top"/>
    </xf>
    <xf numFmtId="0" fontId="25" fillId="0" borderId="0" xfId="0" applyNumberFormat="1" applyFont="1" applyAlignment="1">
      <alignment horizontal="left" vertical="top"/>
    </xf>
    <xf numFmtId="0" fontId="25" fillId="0" borderId="31" xfId="0" applyNumberFormat="1" applyFont="1" applyBorder="1" applyAlignment="1">
      <alignment horizontal="left" vertical="top"/>
    </xf>
    <xf numFmtId="0" fontId="25" fillId="0" borderId="0" xfId="0" applyNumberFormat="1" applyFont="1" applyBorder="1" applyAlignment="1">
      <alignment horizontal="left" vertical="top"/>
    </xf>
    <xf numFmtId="0" fontId="25" fillId="0" borderId="0" xfId="0" applyFont="1" applyBorder="1" applyAlignment="1">
      <alignment horizontal="center" vertical="top"/>
    </xf>
    <xf numFmtId="0" fontId="25" fillId="0" borderId="31" xfId="0" applyFont="1" applyBorder="1" applyAlignment="1">
      <alignment horizontal="center" vertical="top"/>
    </xf>
    <xf numFmtId="0" fontId="25" fillId="0" borderId="0" xfId="0" applyFont="1" applyAlignment="1">
      <alignment horizontal="center" vertical="top"/>
    </xf>
    <xf numFmtId="0" fontId="0" fillId="0" borderId="23" xfId="0" applyBorder="1" applyAlignment="1">
      <alignment vertical="top"/>
    </xf>
    <xf numFmtId="0" fontId="0" fillId="0" borderId="10" xfId="0" applyBorder="1" applyAlignment="1">
      <alignment horizontal="left" vertical="top" wrapText="1"/>
    </xf>
    <xf numFmtId="168" fontId="29" fillId="40" borderId="145" xfId="65" applyBorder="1">
      <alignment horizontal="left" vertical="top" wrapText="1"/>
    </xf>
    <xf numFmtId="168" fontId="29" fillId="40" borderId="146" xfId="65" applyBorder="1">
      <alignment horizontal="left" vertical="top" wrapText="1"/>
    </xf>
    <xf numFmtId="168" fontId="29" fillId="40" borderId="149" xfId="65" applyBorder="1">
      <alignment horizontal="left" vertical="top" wrapText="1"/>
    </xf>
    <xf numFmtId="168" fontId="29" fillId="40" borderId="150" xfId="65" applyBorder="1">
      <alignment horizontal="left" vertical="top" wrapText="1"/>
    </xf>
    <xf numFmtId="0" fontId="28" fillId="39" borderId="0" xfId="48" applyFont="1" applyBorder="1" applyProtection="1"/>
    <xf numFmtId="168" fontId="29" fillId="40" borderId="150" xfId="65" applyBorder="1" applyAlignment="1">
      <alignment horizontal="left" vertical="top" wrapText="1"/>
    </xf>
    <xf numFmtId="168" fontId="29" fillId="40" borderId="146" xfId="65" applyBorder="1" applyAlignment="1">
      <alignment horizontal="left" vertical="top" wrapText="1"/>
    </xf>
    <xf numFmtId="168" fontId="29" fillId="40" borderId="145" xfId="65" applyBorder="1" applyAlignment="1">
      <alignment horizontal="left" vertical="top" wrapText="1"/>
    </xf>
    <xf numFmtId="168" fontId="50" fillId="40" borderId="146" xfId="57" applyNumberFormat="1" applyFill="1" applyBorder="1" applyAlignment="1" applyProtection="1">
      <alignment horizontal="left" vertical="top" wrapText="1"/>
      <protection locked="0"/>
    </xf>
    <xf numFmtId="168" fontId="50" fillId="40" borderId="145" xfId="57" applyNumberFormat="1" applyFill="1" applyBorder="1" applyAlignment="1" applyProtection="1">
      <alignment horizontal="left" vertical="top" wrapText="1"/>
      <protection locked="0"/>
    </xf>
    <xf numFmtId="168" fontId="29" fillId="40" borderId="149" xfId="65" applyBorder="1" applyAlignment="1">
      <alignment horizontal="left" vertical="top" wrapText="1"/>
    </xf>
    <xf numFmtId="0" fontId="0" fillId="0" borderId="0" xfId="0" applyFont="1" applyBorder="1" applyAlignment="1">
      <alignment horizontal="right"/>
    </xf>
    <xf numFmtId="2" fontId="0" fillId="0" borderId="0" xfId="0" applyNumberFormat="1" applyBorder="1"/>
    <xf numFmtId="180" fontId="0" fillId="0" borderId="0" xfId="0" applyNumberFormat="1" applyBorder="1" applyAlignment="1">
      <alignment horizontal="left"/>
    </xf>
    <xf numFmtId="0" fontId="0" fillId="0" borderId="0" xfId="0" applyAlignment="1">
      <alignment horizontal="center"/>
    </xf>
    <xf numFmtId="0" fontId="0" fillId="0" borderId="0" xfId="0"/>
    <xf numFmtId="0" fontId="18" fillId="0" borderId="0" xfId="0" applyFont="1" applyBorder="1" applyAlignment="1">
      <alignment horizontal="left" vertical="top" wrapText="1"/>
    </xf>
    <xf numFmtId="0" fontId="18" fillId="0" borderId="26" xfId="0" applyFont="1" applyBorder="1" applyAlignment="1">
      <alignment horizontal="left" vertical="top" wrapText="1"/>
    </xf>
    <xf numFmtId="0" fontId="18" fillId="0" borderId="23" xfId="0" applyFont="1" applyBorder="1" applyAlignment="1">
      <alignment horizontal="left" vertical="top" wrapText="1"/>
    </xf>
    <xf numFmtId="0" fontId="18" fillId="0" borderId="0" xfId="0" applyFont="1" applyBorder="1" applyAlignment="1">
      <alignment horizontal="center" vertical="center"/>
    </xf>
    <xf numFmtId="0" fontId="25" fillId="0" borderId="0" xfId="0" applyFont="1" applyAlignment="1">
      <alignment horizontal="left" vertical="top" wrapText="1"/>
    </xf>
    <xf numFmtId="0" fontId="58" fillId="0" borderId="23" xfId="0" applyFont="1" applyBorder="1" applyAlignment="1">
      <alignment horizontal="left" vertical="top" wrapText="1"/>
    </xf>
    <xf numFmtId="0" fontId="58" fillId="0" borderId="0" xfId="0" applyFont="1" applyBorder="1" applyAlignment="1">
      <alignment horizontal="left" vertical="top" wrapText="1"/>
    </xf>
    <xf numFmtId="0" fontId="58" fillId="0" borderId="31" xfId="0" applyFont="1" applyBorder="1" applyAlignment="1">
      <alignment horizontal="left" vertical="top" wrapText="1"/>
    </xf>
    <xf numFmtId="0" fontId="58" fillId="0" borderId="26" xfId="0" applyFont="1" applyBorder="1" applyAlignment="1">
      <alignment horizontal="left" vertical="top" wrapText="1"/>
    </xf>
    <xf numFmtId="0" fontId="26" fillId="0" borderId="33" xfId="0" applyFont="1" applyBorder="1" applyAlignment="1">
      <alignment horizontal="left" vertical="top" wrapText="1"/>
    </xf>
    <xf numFmtId="0" fontId="26" fillId="0" borderId="0" xfId="0" applyFont="1" applyBorder="1" applyAlignment="1">
      <alignment horizontal="left" vertical="top" wrapText="1"/>
    </xf>
    <xf numFmtId="0" fontId="18" fillId="0" borderId="23" xfId="0" applyFont="1" applyBorder="1" applyAlignment="1">
      <alignment vertical="top" wrapText="1"/>
    </xf>
    <xf numFmtId="0" fontId="18" fillId="0" borderId="26" xfId="0" applyFont="1" applyBorder="1" applyAlignment="1">
      <alignment vertical="top" wrapText="1"/>
    </xf>
    <xf numFmtId="0" fontId="18" fillId="0" borderId="0" xfId="0" applyFont="1" applyBorder="1" applyAlignment="1">
      <alignment vertical="top" wrapText="1"/>
    </xf>
    <xf numFmtId="168" fontId="29" fillId="40" borderId="14" xfId="65">
      <alignment horizontal="left" vertical="top" wrapText="1"/>
    </xf>
    <xf numFmtId="0" fontId="58" fillId="0" borderId="108" xfId="0" applyFont="1" applyBorder="1" applyAlignment="1">
      <alignment horizontal="left" vertical="top" wrapText="1"/>
    </xf>
    <xf numFmtId="0" fontId="47" fillId="0" borderId="23" xfId="0" applyFont="1" applyBorder="1" applyAlignment="1">
      <alignment horizontal="left" vertical="top" wrapText="1"/>
    </xf>
    <xf numFmtId="0" fontId="47" fillId="0" borderId="0" xfId="0" applyFont="1" applyBorder="1" applyAlignment="1">
      <alignment horizontal="left" vertical="top" wrapText="1"/>
    </xf>
    <xf numFmtId="0" fontId="47" fillId="0" borderId="26" xfId="0" applyFont="1" applyBorder="1" applyAlignment="1">
      <alignment horizontal="left" vertical="top" wrapText="1"/>
    </xf>
    <xf numFmtId="168" fontId="29" fillId="40" borderId="47" xfId="65" applyBorder="1" applyAlignment="1">
      <alignment horizontal="left" vertical="top" wrapText="1"/>
    </xf>
    <xf numFmtId="0" fontId="40" fillId="2" borderId="26" xfId="0" applyFont="1" applyFill="1" applyBorder="1" applyAlignment="1">
      <alignment horizontal="center" vertical="center"/>
    </xf>
    <xf numFmtId="0" fontId="25" fillId="0" borderId="23" xfId="0" applyFont="1" applyBorder="1" applyAlignment="1">
      <alignment vertical="top" wrapText="1"/>
    </xf>
    <xf numFmtId="0" fontId="25" fillId="0" borderId="0" xfId="0" applyFont="1" applyAlignment="1">
      <alignment vertical="top" wrapText="1"/>
    </xf>
    <xf numFmtId="168" fontId="29" fillId="40" borderId="14" xfId="65" applyBorder="1" applyAlignment="1">
      <alignment horizontal="left" vertical="top" wrapText="1"/>
    </xf>
    <xf numFmtId="0" fontId="25" fillId="0" borderId="0" xfId="0" applyFont="1" applyBorder="1" applyAlignment="1">
      <alignment horizontal="right" vertical="top" wrapText="1"/>
    </xf>
    <xf numFmtId="0" fontId="25" fillId="0" borderId="0" xfId="0" applyFont="1" applyAlignment="1">
      <alignment horizontal="right" vertical="top" wrapText="1"/>
    </xf>
    <xf numFmtId="0" fontId="25" fillId="0" borderId="26" xfId="0" applyFont="1" applyBorder="1" applyAlignment="1">
      <alignment horizontal="right" vertical="top" wrapText="1"/>
    </xf>
    <xf numFmtId="0" fontId="18" fillId="0" borderId="31" xfId="0" applyFont="1" applyBorder="1" applyAlignment="1">
      <alignment vertical="top" wrapText="1"/>
    </xf>
    <xf numFmtId="0" fontId="18" fillId="0" borderId="0" xfId="0" applyFont="1" applyAlignment="1">
      <alignment vertical="top" wrapText="1"/>
    </xf>
    <xf numFmtId="168" fontId="29" fillId="40" borderId="50" xfId="65" applyBorder="1" applyAlignment="1">
      <alignment horizontal="left" vertical="top" wrapText="1"/>
    </xf>
    <xf numFmtId="0" fontId="109" fillId="0" borderId="0" xfId="0" applyFont="1" applyBorder="1" applyAlignment="1">
      <alignment horizontal="left" vertical="top" wrapText="1"/>
    </xf>
    <xf numFmtId="0" fontId="25" fillId="0" borderId="0" xfId="0" applyFont="1" applyBorder="1" applyAlignment="1">
      <alignment vertical="top" wrapText="1"/>
    </xf>
    <xf numFmtId="0" fontId="25" fillId="0" borderId="26" xfId="0" applyFont="1" applyBorder="1" applyAlignment="1">
      <alignment vertical="top" wrapText="1"/>
    </xf>
    <xf numFmtId="168" fontId="29" fillId="40" borderId="14" xfId="65" applyBorder="1">
      <alignment horizontal="left" vertical="top" wrapText="1"/>
    </xf>
    <xf numFmtId="168" fontId="29" fillId="40" borderId="50" xfId="65" applyBorder="1">
      <alignment horizontal="left" vertical="top" wrapText="1"/>
    </xf>
    <xf numFmtId="0" fontId="25" fillId="0" borderId="31" xfId="0" applyFont="1" applyBorder="1" applyAlignment="1">
      <alignment vertical="top" wrapText="1"/>
    </xf>
    <xf numFmtId="168" fontId="29" fillId="40" borderId="51" xfId="65" applyBorder="1">
      <alignment horizontal="left" vertical="top" wrapText="1"/>
    </xf>
    <xf numFmtId="0" fontId="84" fillId="0" borderId="0" xfId="0" applyFont="1" applyBorder="1" applyAlignment="1">
      <alignment horizontal="left" vertical="top" wrapText="1"/>
    </xf>
    <xf numFmtId="0" fontId="0" fillId="0" borderId="0" xfId="0" applyBorder="1"/>
    <xf numFmtId="0" fontId="84" fillId="0" borderId="26" xfId="0" applyFont="1" applyBorder="1" applyAlignment="1">
      <alignment horizontal="left" vertical="top" wrapText="1"/>
    </xf>
    <xf numFmtId="0" fontId="26" fillId="0" borderId="0" xfId="0" applyFont="1" applyBorder="1" applyAlignment="1">
      <alignment horizontal="right" vertical="top" wrapText="1"/>
    </xf>
    <xf numFmtId="0" fontId="25" fillId="0" borderId="33" xfId="0" applyFont="1" applyBorder="1" applyAlignment="1">
      <alignment vertical="top" wrapText="1"/>
    </xf>
    <xf numFmtId="168" fontId="29" fillId="40" borderId="47" xfId="65" applyBorder="1">
      <alignment horizontal="left" vertical="top" wrapText="1"/>
    </xf>
    <xf numFmtId="0" fontId="50" fillId="0" borderId="0" xfId="57" applyAlignment="1" applyProtection="1">
      <alignment horizontal="left" vertical="top" wrapText="1"/>
      <protection locked="0"/>
    </xf>
    <xf numFmtId="0" fontId="0" fillId="35" borderId="0" xfId="0" applyFill="1"/>
    <xf numFmtId="0" fontId="0" fillId="39" borderId="0" xfId="0" applyFill="1"/>
    <xf numFmtId="0" fontId="0" fillId="51" borderId="0" xfId="0" applyFill="1"/>
    <xf numFmtId="0" fontId="0" fillId="36" borderId="0" xfId="0" quotePrefix="1" applyFill="1"/>
    <xf numFmtId="0" fontId="18" fillId="0" borderId="10" xfId="0" applyFont="1" applyBorder="1" applyAlignment="1">
      <alignment vertical="top"/>
    </xf>
    <xf numFmtId="0" fontId="0" fillId="0" borderId="10" xfId="0" applyBorder="1" applyAlignment="1">
      <alignment vertical="top"/>
    </xf>
    <xf numFmtId="0" fontId="0" fillId="37" borderId="13" xfId="54" applyFont="1" applyBorder="1">
      <alignment horizontal="left" vertical="top" wrapText="1"/>
      <protection locked="0"/>
    </xf>
    <xf numFmtId="0" fontId="18" fillId="0" borderId="23" xfId="0" applyFont="1" applyBorder="1" applyAlignment="1">
      <alignment horizontal="left" vertical="top"/>
    </xf>
    <xf numFmtId="49" fontId="18" fillId="0" borderId="23" xfId="0" applyNumberFormat="1" applyFont="1" applyBorder="1" applyAlignment="1">
      <alignment horizontal="left" vertical="top"/>
    </xf>
    <xf numFmtId="0" fontId="18" fillId="0" borderId="33" xfId="0" applyFont="1" applyBorder="1" applyAlignment="1">
      <alignment horizontal="left" vertical="top"/>
    </xf>
    <xf numFmtId="49" fontId="18" fillId="0" borderId="26" xfId="0" applyNumberFormat="1" applyFont="1" applyBorder="1" applyAlignment="1">
      <alignment horizontal="left" vertical="top"/>
    </xf>
    <xf numFmtId="0" fontId="0" fillId="0" borderId="23" xfId="0" applyFont="1" applyBorder="1"/>
    <xf numFmtId="0" fontId="0" fillId="0" borderId="0" xfId="0" applyFont="1" applyBorder="1"/>
    <xf numFmtId="0" fontId="0" fillId="0" borderId="26" xfId="0" applyFont="1" applyBorder="1"/>
    <xf numFmtId="0" fontId="18" fillId="0" borderId="26" xfId="0" applyFont="1" applyBorder="1" applyAlignment="1">
      <alignment horizontal="center" vertical="center"/>
    </xf>
    <xf numFmtId="0" fontId="58" fillId="0" borderId="26" xfId="0" applyFont="1" applyBorder="1" applyAlignment="1">
      <alignment horizontal="left" vertical="top" wrapText="1"/>
    </xf>
    <xf numFmtId="0" fontId="0" fillId="0" borderId="0" xfId="0" applyAlignment="1">
      <alignment wrapText="1"/>
    </xf>
    <xf numFmtId="0" fontId="0" fillId="0" borderId="0" xfId="0" applyAlignment="1">
      <alignment horizontal="center"/>
    </xf>
    <xf numFmtId="0" fontId="0" fillId="0" borderId="0" xfId="0" applyAlignment="1">
      <alignment horizontal="left"/>
    </xf>
    <xf numFmtId="0" fontId="16" fillId="0" borderId="0" xfId="0" applyFont="1" applyAlignment="1">
      <alignment horizontal="right"/>
    </xf>
    <xf numFmtId="0" fontId="0" fillId="39" borderId="10" xfId="48" applyFont="1" applyAlignment="1">
      <alignment horizontal="left"/>
      <protection locked="0"/>
    </xf>
    <xf numFmtId="0" fontId="0" fillId="38" borderId="10" xfId="47" applyFont="1" applyAlignment="1">
      <alignment horizontal="left"/>
      <protection locked="0"/>
    </xf>
    <xf numFmtId="0" fontId="0" fillId="0" borderId="0" xfId="0" applyAlignment="1">
      <alignment horizontal="right"/>
    </xf>
    <xf numFmtId="0" fontId="16" fillId="0" borderId="0" xfId="0" applyFont="1"/>
    <xf numFmtId="0" fontId="0" fillId="0" borderId="0" xfId="0"/>
    <xf numFmtId="0" fontId="13" fillId="0" borderId="0" xfId="60" applyBorder="1" applyAlignment="1"/>
    <xf numFmtId="0" fontId="0" fillId="37" borderId="32" xfId="54" applyFont="1" applyBorder="1">
      <alignment horizontal="left" vertical="top" wrapText="1"/>
      <protection locked="0"/>
    </xf>
    <xf numFmtId="0" fontId="25" fillId="0" borderId="26" xfId="0" applyFont="1" applyBorder="1" applyAlignment="1">
      <alignment horizontal="center" vertical="center"/>
    </xf>
    <xf numFmtId="0" fontId="25" fillId="0" borderId="33" xfId="0" applyFont="1" applyBorder="1" applyAlignment="1">
      <alignment horizontal="center" vertical="center"/>
    </xf>
    <xf numFmtId="0" fontId="25" fillId="0" borderId="31" xfId="0" applyFont="1" applyBorder="1" applyAlignment="1">
      <alignment horizontal="center" vertical="center"/>
    </xf>
    <xf numFmtId="0" fontId="18" fillId="0" borderId="0" xfId="0" applyFont="1" applyAlignment="1">
      <alignment horizontal="center" vertical="center"/>
    </xf>
    <xf numFmtId="0" fontId="18" fillId="0" borderId="31" xfId="0" applyFont="1" applyBorder="1" applyAlignment="1">
      <alignment horizontal="center" vertical="center"/>
    </xf>
    <xf numFmtId="0" fontId="18" fillId="0" borderId="26" xfId="0" applyFont="1" applyBorder="1" applyAlignment="1">
      <alignment horizontal="center" vertical="center"/>
    </xf>
    <xf numFmtId="0" fontId="18" fillId="0" borderId="26" xfId="0" applyFont="1" applyBorder="1" applyAlignment="1">
      <alignment vertical="top" wrapText="1"/>
    </xf>
    <xf numFmtId="168" fontId="29" fillId="40" borderId="14" xfId="65">
      <alignment horizontal="left" vertical="top" wrapText="1"/>
    </xf>
    <xf numFmtId="0" fontId="0" fillId="37" borderId="10" xfId="54" applyFont="1">
      <alignment horizontal="left" vertical="top" wrapText="1"/>
      <protection locked="0"/>
    </xf>
    <xf numFmtId="0" fontId="25" fillId="0" borderId="0" xfId="0" applyFont="1" applyAlignment="1">
      <alignment horizontal="center" vertical="center"/>
    </xf>
    <xf numFmtId="0" fontId="0" fillId="0" borderId="10" xfId="0" applyBorder="1"/>
    <xf numFmtId="0" fontId="24" fillId="34" borderId="18" xfId="63" applyAlignment="1">
      <alignment vertical="center"/>
    </xf>
    <xf numFmtId="0" fontId="0" fillId="0" borderId="0" xfId="0" applyAlignment="1">
      <alignment horizontal="center" vertical="center"/>
    </xf>
    <xf numFmtId="0" fontId="0" fillId="0" borderId="31" xfId="0" applyBorder="1" applyAlignment="1">
      <alignment horizontal="center" vertical="center"/>
    </xf>
    <xf numFmtId="0" fontId="58" fillId="0" borderId="26" xfId="0" applyFont="1" applyBorder="1" applyAlignment="1">
      <alignment horizontal="left" vertical="top" wrapText="1"/>
    </xf>
    <xf numFmtId="0" fontId="58" fillId="0" borderId="31" xfId="0" applyFont="1" applyBorder="1" applyAlignment="1">
      <alignment horizontal="left" vertical="top" wrapText="1"/>
    </xf>
    <xf numFmtId="0" fontId="40" fillId="2" borderId="31" xfId="0" applyFont="1" applyFill="1" applyBorder="1" applyAlignment="1">
      <alignment horizontal="center" vertical="center"/>
    </xf>
    <xf numFmtId="0" fontId="18" fillId="0" borderId="0" xfId="0" applyFont="1" applyAlignment="1">
      <alignment vertical="top" wrapText="1"/>
    </xf>
    <xf numFmtId="0" fontId="18" fillId="0" borderId="31" xfId="0" applyFont="1" applyBorder="1" applyAlignment="1">
      <alignment vertical="top" wrapText="1"/>
    </xf>
    <xf numFmtId="0" fontId="25" fillId="0" borderId="0" xfId="0" applyFont="1" applyAlignment="1">
      <alignment horizontal="right" vertical="top" wrapText="1"/>
    </xf>
    <xf numFmtId="0" fontId="40" fillId="2" borderId="0" xfId="0" applyFont="1" applyFill="1" applyAlignment="1">
      <alignment horizontal="center" vertical="center"/>
    </xf>
    <xf numFmtId="0" fontId="25" fillId="0" borderId="26" xfId="0" applyFont="1" applyBorder="1" applyAlignment="1">
      <alignment horizontal="right" vertical="top" wrapText="1"/>
    </xf>
    <xf numFmtId="0" fontId="47" fillId="0" borderId="26" xfId="0" applyFont="1" applyBorder="1" applyAlignment="1">
      <alignment horizontal="left" vertical="top" wrapText="1"/>
    </xf>
    <xf numFmtId="0" fontId="40" fillId="2" borderId="26" xfId="0" applyFont="1" applyFill="1" applyBorder="1" applyAlignment="1">
      <alignment horizontal="center" vertical="center"/>
    </xf>
    <xf numFmtId="0" fontId="0" fillId="0" borderId="26" xfId="0" applyBorder="1" applyAlignment="1">
      <alignment horizontal="center" vertical="center"/>
    </xf>
    <xf numFmtId="0" fontId="47" fillId="0" borderId="33" xfId="0" applyFont="1" applyBorder="1" applyAlignment="1">
      <alignment horizontal="left" vertical="top" wrapText="1"/>
    </xf>
    <xf numFmtId="168" fontId="29" fillId="40" borderId="50" xfId="65" applyBorder="1">
      <alignment horizontal="left" vertical="top" wrapText="1"/>
    </xf>
    <xf numFmtId="168" fontId="29" fillId="40" borderId="51" xfId="65" applyBorder="1">
      <alignment horizontal="left" vertical="top" wrapText="1"/>
    </xf>
    <xf numFmtId="0" fontId="16" fillId="0" borderId="0" xfId="0" applyFont="1" applyAlignment="1">
      <alignment horizontal="center" vertical="center"/>
    </xf>
    <xf numFmtId="0" fontId="18" fillId="0" borderId="10" xfId="0" applyFont="1" applyBorder="1" applyAlignment="1">
      <alignment vertical="top" wrapText="1"/>
    </xf>
    <xf numFmtId="0" fontId="18" fillId="0" borderId="15" xfId="0" applyFont="1" applyBorder="1" applyAlignment="1">
      <alignment vertical="top" wrapText="1"/>
    </xf>
    <xf numFmtId="0" fontId="0" fillId="0" borderId="0" xfId="0" applyAlignment="1">
      <alignment textRotation="90"/>
    </xf>
    <xf numFmtId="0" fontId="0" fillId="41" borderId="10" xfId="48" applyFont="1" applyFill="1" applyAlignment="1" applyProtection="1">
      <alignment horizontal="left"/>
    </xf>
    <xf numFmtId="0" fontId="0" fillId="0" borderId="0" xfId="0" applyAlignment="1">
      <alignment horizontal="center" vertical="center" textRotation="90"/>
    </xf>
    <xf numFmtId="0" fontId="0" fillId="0" borderId="13" xfId="0" applyBorder="1" applyAlignment="1">
      <alignment horizontal="left" vertical="center"/>
    </xf>
    <xf numFmtId="0" fontId="0" fillId="0" borderId="27" xfId="0" applyBorder="1" applyAlignment="1">
      <alignment horizontal="left" vertical="center"/>
    </xf>
    <xf numFmtId="168" fontId="29" fillId="40" borderId="47" xfId="65" applyBorder="1">
      <alignment horizontal="left" vertical="top" wrapText="1"/>
    </xf>
    <xf numFmtId="49" fontId="0" fillId="39" borderId="10" xfId="48" applyNumberFormat="1" applyFont="1">
      <protection locked="0"/>
    </xf>
    <xf numFmtId="0" fontId="0" fillId="0" borderId="0" xfId="0" applyAlignment="1">
      <alignment horizontal="left" vertical="top"/>
    </xf>
    <xf numFmtId="0" fontId="16" fillId="0" borderId="0" xfId="0" applyFont="1" applyAlignment="1">
      <alignment horizontal="right" vertical="center"/>
    </xf>
    <xf numFmtId="0" fontId="16" fillId="0" borderId="10" xfId="0" applyFont="1" applyBorder="1" applyAlignment="1">
      <alignment horizontal="center"/>
    </xf>
    <xf numFmtId="0" fontId="55" fillId="0" borderId="0" xfId="0" applyFont="1" applyAlignment="1">
      <alignment horizontal="left" vertical="center"/>
    </xf>
    <xf numFmtId="0" fontId="16" fillId="0" borderId="0" xfId="0" applyFont="1" applyAlignment="1">
      <alignment horizontal="center"/>
    </xf>
    <xf numFmtId="0" fontId="26" fillId="0" borderId="0" xfId="0" applyFont="1" applyAlignment="1">
      <alignment horizontal="center" vertical="center"/>
    </xf>
    <xf numFmtId="0" fontId="0" fillId="0" borderId="0" xfId="0" applyAlignment="1">
      <alignment horizontal="left" vertical="center"/>
    </xf>
    <xf numFmtId="0" fontId="0" fillId="38" borderId="10" xfId="47" applyFont="1" applyAlignment="1">
      <alignment horizontal="center" wrapText="1"/>
      <protection locked="0"/>
    </xf>
    <xf numFmtId="0" fontId="47" fillId="0" borderId="0" xfId="0" applyFont="1" applyAlignment="1">
      <alignment horizontal="left" vertical="top" wrapText="1"/>
    </xf>
    <xf numFmtId="0" fontId="40" fillId="2" borderId="21" xfId="0" applyFont="1" applyFill="1" applyBorder="1" applyAlignment="1">
      <alignment horizontal="center" vertical="center"/>
    </xf>
    <xf numFmtId="0" fontId="0" fillId="2" borderId="26" xfId="0" applyFill="1" applyBorder="1" applyAlignment="1">
      <alignment horizontal="right"/>
    </xf>
    <xf numFmtId="0" fontId="0" fillId="2" borderId="26" xfId="0" applyFill="1" applyBorder="1"/>
    <xf numFmtId="0" fontId="25" fillId="0" borderId="0" xfId="0" applyFont="1" applyAlignment="1">
      <alignment horizontal="right" vertical="top"/>
    </xf>
    <xf numFmtId="0" fontId="25" fillId="52" borderId="26" xfId="0" applyFont="1" applyFill="1" applyBorder="1" applyAlignment="1">
      <alignment horizontal="center" vertical="center"/>
    </xf>
    <xf numFmtId="0" fontId="26" fillId="0" borderId="0" xfId="0" applyFont="1" applyAlignment="1">
      <alignment horizontal="right" vertical="top" wrapText="1"/>
    </xf>
    <xf numFmtId="0" fontId="25" fillId="52" borderId="31" xfId="0" applyFont="1" applyFill="1" applyBorder="1" applyAlignment="1">
      <alignment horizontal="center" vertical="center"/>
    </xf>
    <xf numFmtId="9" fontId="43" fillId="39" borderId="10" xfId="48" applyNumberFormat="1" applyFont="1">
      <protection locked="0"/>
    </xf>
    <xf numFmtId="0" fontId="110" fillId="0" borderId="0" xfId="0" applyFont="1"/>
    <xf numFmtId="0" fontId="58" fillId="0" borderId="0" xfId="0" applyFont="1" applyAlignment="1">
      <alignment vertical="top" wrapText="1"/>
    </xf>
    <xf numFmtId="0" fontId="58" fillId="0" borderId="26" xfId="0" applyFont="1" applyBorder="1" applyAlignment="1">
      <alignment vertical="top" wrapText="1"/>
    </xf>
    <xf numFmtId="0" fontId="47" fillId="0" borderId="0" xfId="0" applyFont="1" applyAlignment="1">
      <alignment vertical="top" wrapText="1"/>
    </xf>
    <xf numFmtId="0" fontId="16" fillId="0" borderId="0" xfId="0" applyFont="1" applyAlignment="1">
      <alignment vertical="top"/>
    </xf>
    <xf numFmtId="0" fontId="0" fillId="41" borderId="0" xfId="0" applyFill="1" applyAlignment="1">
      <alignment horizontal="left"/>
    </xf>
    <xf numFmtId="0" fontId="0" fillId="41" borderId="0" xfId="0" applyFill="1" applyAlignment="1">
      <alignment horizontal="center"/>
    </xf>
    <xf numFmtId="176" fontId="0" fillId="0" borderId="0" xfId="0" applyNumberFormat="1"/>
    <xf numFmtId="0" fontId="16" fillId="41" borderId="0" xfId="0" quotePrefix="1" applyFont="1" applyFill="1"/>
    <xf numFmtId="0" fontId="0" fillId="41" borderId="0" xfId="0" applyFill="1" applyAlignment="1">
      <alignment horizontal="left" indent="1"/>
    </xf>
    <xf numFmtId="0" fontId="0" fillId="0" borderId="0" xfId="0" applyAlignment="1">
      <alignment vertical="center" wrapText="1"/>
    </xf>
    <xf numFmtId="49" fontId="0" fillId="38" borderId="10" xfId="47" applyNumberFormat="1" applyFont="1" applyAlignment="1">
      <protection locked="0"/>
    </xf>
    <xf numFmtId="49" fontId="81" fillId="34" borderId="0" xfId="50" applyNumberFormat="1" applyFont="1"/>
    <xf numFmtId="0" fontId="16" fillId="0" borderId="26" xfId="0" applyFont="1" applyBorder="1"/>
    <xf numFmtId="0" fontId="16" fillId="0" borderId="31" xfId="0" applyFont="1" applyBorder="1"/>
    <xf numFmtId="0" fontId="0" fillId="0" borderId="0" xfId="0" applyAlignment="1">
      <alignment horizontal="left"/>
    </xf>
    <xf numFmtId="0" fontId="0" fillId="0" borderId="0" xfId="0"/>
    <xf numFmtId="49" fontId="0" fillId="0" borderId="0" xfId="0" applyNumberFormat="1" applyAlignment="1">
      <alignment horizontal="left"/>
    </xf>
    <xf numFmtId="49" fontId="0" fillId="0" borderId="0" xfId="0" applyNumberFormat="1" applyAlignment="1">
      <alignment horizontal="left" vertical="center"/>
    </xf>
    <xf numFmtId="0" fontId="0" fillId="0" borderId="0" xfId="0"/>
    <xf numFmtId="0" fontId="25" fillId="0" borderId="0" xfId="0" applyFont="1" applyBorder="1" applyAlignment="1">
      <alignment horizontal="center" vertical="center"/>
    </xf>
    <xf numFmtId="0" fontId="18" fillId="0" borderId="0" xfId="0" applyFont="1" applyAlignment="1">
      <alignment horizontal="center" vertical="center"/>
    </xf>
    <xf numFmtId="0" fontId="0" fillId="0" borderId="0" xfId="0" applyBorder="1"/>
    <xf numFmtId="0" fontId="17" fillId="41" borderId="0" xfId="0" applyFont="1" applyFill="1" applyAlignment="1">
      <alignment horizontal="right"/>
    </xf>
    <xf numFmtId="0" fontId="0" fillId="41" borderId="0" xfId="0" quotePrefix="1" applyFill="1"/>
    <xf numFmtId="0" fontId="0" fillId="41" borderId="0" xfId="0" applyFill="1" applyAlignment="1">
      <alignment horizontal="center" vertical="center" textRotation="90"/>
    </xf>
    <xf numFmtId="0" fontId="0" fillId="41" borderId="0" xfId="0" applyFill="1" applyAlignment="1">
      <alignment horizontal="center" vertical="top" textRotation="90"/>
    </xf>
    <xf numFmtId="0" fontId="0" fillId="41" borderId="0" xfId="0" applyFill="1" applyAlignment="1">
      <alignment textRotation="90"/>
    </xf>
    <xf numFmtId="49" fontId="0" fillId="41" borderId="0" xfId="0" applyNumberFormat="1" applyFont="1" applyFill="1" applyAlignment="1">
      <alignment horizontal="right"/>
    </xf>
    <xf numFmtId="0" fontId="16" fillId="41" borderId="0" xfId="0" applyNumberFormat="1" applyFont="1" applyFill="1"/>
    <xf numFmtId="0" fontId="0" fillId="41" borderId="0" xfId="0" applyNumberFormat="1" applyFont="1" applyFill="1"/>
    <xf numFmtId="0" fontId="0" fillId="41" borderId="0" xfId="0" applyFont="1" applyFill="1"/>
    <xf numFmtId="49" fontId="18" fillId="41" borderId="0" xfId="0" applyNumberFormat="1" applyFont="1" applyFill="1"/>
    <xf numFmtId="49" fontId="0" fillId="41" borderId="0" xfId="0" applyNumberFormat="1" applyFont="1" applyFill="1"/>
    <xf numFmtId="0" fontId="0" fillId="41" borderId="0" xfId="0" quotePrefix="1" applyNumberFormat="1" applyFont="1" applyFill="1"/>
    <xf numFmtId="49" fontId="18" fillId="41" borderId="0" xfId="0" applyNumberFormat="1" applyFont="1" applyFill="1" applyProtection="1">
      <protection locked="0"/>
    </xf>
    <xf numFmtId="49" fontId="0" fillId="41" borderId="0" xfId="0" applyNumberFormat="1" applyFill="1" applyAlignment="1">
      <alignment horizontal="right"/>
    </xf>
    <xf numFmtId="49" fontId="18" fillId="41" borderId="0" xfId="0" applyNumberFormat="1" applyFont="1" applyFill="1" applyAlignment="1">
      <alignment horizontal="left" vertical="top"/>
    </xf>
    <xf numFmtId="49" fontId="18" fillId="41" borderId="0" xfId="0" applyNumberFormat="1" applyFont="1" applyFill="1" applyAlignment="1">
      <alignment horizontal="right" vertical="top"/>
    </xf>
    <xf numFmtId="49" fontId="18" fillId="41" borderId="0" xfId="0" quotePrefix="1" applyNumberFormat="1" applyFont="1" applyFill="1"/>
    <xf numFmtId="49" fontId="18" fillId="41" borderId="0" xfId="0" quotePrefix="1" applyNumberFormat="1" applyFont="1" applyFill="1" applyProtection="1">
      <protection locked="0"/>
    </xf>
    <xf numFmtId="49" fontId="0" fillId="41" borderId="0" xfId="0" quotePrefix="1" applyNumberFormat="1" applyFont="1" applyFill="1"/>
    <xf numFmtId="49" fontId="0" fillId="41" borderId="0" xfId="0" applyNumberFormat="1" applyFill="1"/>
    <xf numFmtId="49" fontId="0" fillId="41" borderId="0" xfId="0" applyNumberFormat="1" applyFill="1" applyProtection="1">
      <protection locked="0"/>
    </xf>
    <xf numFmtId="0" fontId="18" fillId="41" borderId="0" xfId="0" applyFont="1" applyFill="1"/>
    <xf numFmtId="49" fontId="18" fillId="41" borderId="0" xfId="0" applyNumberFormat="1" applyFont="1" applyFill="1" applyAlignment="1">
      <alignment horizontal="left"/>
    </xf>
    <xf numFmtId="49" fontId="18" fillId="41" borderId="0" xfId="0" applyNumberFormat="1" applyFont="1" applyFill="1" applyAlignment="1"/>
    <xf numFmtId="49" fontId="18" fillId="41" borderId="0" xfId="0" applyNumberFormat="1" applyFont="1" applyFill="1" applyAlignment="1" applyProtection="1">
      <alignment horizontal="left"/>
      <protection locked="0"/>
    </xf>
    <xf numFmtId="0" fontId="0" fillId="41" borderId="0" xfId="0" applyFont="1" applyFill="1" applyAlignment="1">
      <alignment horizontal="left"/>
    </xf>
    <xf numFmtId="49" fontId="25" fillId="41" borderId="0" xfId="0" applyNumberFormat="1" applyFont="1" applyFill="1" applyAlignment="1">
      <alignment horizontal="left"/>
    </xf>
    <xf numFmtId="49" fontId="25" fillId="41" borderId="0" xfId="0" applyNumberFormat="1" applyFont="1" applyFill="1" applyAlignment="1" applyProtection="1">
      <alignment horizontal="left"/>
      <protection locked="0"/>
    </xf>
    <xf numFmtId="49" fontId="0" fillId="41" borderId="0" xfId="0" applyNumberFormat="1" applyFont="1" applyFill="1" applyProtection="1">
      <protection locked="0"/>
    </xf>
    <xf numFmtId="49" fontId="0" fillId="41" borderId="0" xfId="0" applyNumberFormat="1" applyFont="1" applyFill="1" applyBorder="1" applyAlignment="1">
      <alignment horizontal="right"/>
    </xf>
    <xf numFmtId="49" fontId="0" fillId="41" borderId="0" xfId="0" applyNumberFormat="1" applyFont="1" applyFill="1" applyBorder="1"/>
    <xf numFmtId="49" fontId="0" fillId="41" borderId="0" xfId="0" applyNumberFormat="1" applyFont="1" applyFill="1" applyBorder="1" applyProtection="1">
      <protection locked="0"/>
    </xf>
    <xf numFmtId="0" fontId="0" fillId="41" borderId="0" xfId="0" applyNumberFormat="1" applyFont="1" applyFill="1" applyAlignment="1">
      <alignment horizontal="left" vertical="top"/>
    </xf>
    <xf numFmtId="49" fontId="18" fillId="41" borderId="0" xfId="0" quotePrefix="1" applyNumberFormat="1" applyFont="1" applyFill="1" applyAlignment="1">
      <alignment horizontal="left" vertical="top"/>
    </xf>
    <xf numFmtId="0" fontId="0" fillId="41" borderId="0" xfId="0" applyFill="1" applyAlignment="1">
      <alignment horizontal="left" vertical="top"/>
    </xf>
    <xf numFmtId="49" fontId="0" fillId="41" borderId="0" xfId="0" applyNumberFormat="1" applyFill="1" applyAlignment="1">
      <alignment horizontal="left" vertical="top"/>
    </xf>
    <xf numFmtId="49" fontId="0" fillId="41" borderId="0" xfId="0" applyNumberFormat="1" applyFont="1" applyFill="1" applyAlignment="1">
      <alignment horizontal="left"/>
    </xf>
    <xf numFmtId="0" fontId="0" fillId="41" borderId="0" xfId="0" applyNumberFormat="1" applyFill="1"/>
    <xf numFmtId="0" fontId="0" fillId="0" borderId="0" xfId="0" applyFont="1" applyAlignment="1">
      <alignment horizontal="left" vertical="top" wrapText="1"/>
    </xf>
    <xf numFmtId="0" fontId="23" fillId="0" borderId="0" xfId="0" applyFont="1" applyAlignment="1">
      <alignment horizontal="left" vertical="top" wrapText="1"/>
    </xf>
    <xf numFmtId="0" fontId="21" fillId="34" borderId="0" xfId="50" applyAlignment="1"/>
    <xf numFmtId="0" fontId="0" fillId="0" borderId="10" xfId="0" applyBorder="1" applyAlignment="1">
      <alignment horizontal="center" vertical="center"/>
    </xf>
    <xf numFmtId="0" fontId="19" fillId="0" borderId="10" xfId="0" applyFont="1" applyBorder="1" applyAlignment="1">
      <alignment horizontal="center" vertical="center" wrapText="1"/>
    </xf>
    <xf numFmtId="0" fontId="31" fillId="0" borderId="10" xfId="0" applyFont="1" applyBorder="1" applyAlignment="1">
      <alignment horizontal="center" vertical="top" wrapText="1"/>
    </xf>
    <xf numFmtId="0" fontId="0" fillId="0" borderId="0" xfId="0" applyAlignment="1">
      <alignment horizontal="center"/>
    </xf>
    <xf numFmtId="0" fontId="21" fillId="34" borderId="0" xfId="50" applyAlignment="1">
      <alignment horizontal="right"/>
    </xf>
    <xf numFmtId="14" fontId="21" fillId="34" borderId="23" xfId="50" applyNumberFormat="1" applyBorder="1" applyAlignment="1">
      <alignment horizontal="left"/>
    </xf>
    <xf numFmtId="0" fontId="0" fillId="0" borderId="0" xfId="0" applyAlignment="1">
      <alignment horizontal="left" vertical="top" wrapText="1"/>
    </xf>
    <xf numFmtId="0" fontId="0" fillId="0" borderId="0" xfId="0" applyAlignment="1">
      <alignment horizontal="left"/>
    </xf>
    <xf numFmtId="0" fontId="61" fillId="0" borderId="0" xfId="57" applyFont="1" applyAlignment="1" applyProtection="1">
      <alignment horizontal="left"/>
      <protection locked="0"/>
    </xf>
    <xf numFmtId="0" fontId="59" fillId="34" borderId="0" xfId="50" applyFont="1" applyAlignment="1" applyProtection="1">
      <protection locked="0"/>
    </xf>
    <xf numFmtId="0" fontId="23" fillId="0" borderId="0" xfId="0" applyFont="1"/>
    <xf numFmtId="0" fontId="0" fillId="0" borderId="0" xfId="0" applyAlignment="1">
      <alignment wrapText="1"/>
    </xf>
    <xf numFmtId="0" fontId="60" fillId="0" borderId="0" xfId="0" applyFont="1" applyAlignment="1">
      <alignment horizontal="left" vertical="top" wrapText="1"/>
    </xf>
    <xf numFmtId="0" fontId="61" fillId="0" borderId="0" xfId="57" applyFont="1" applyAlignment="1" applyProtection="1">
      <alignment horizontal="left" vertical="top" wrapText="1"/>
      <protection locked="0"/>
    </xf>
    <xf numFmtId="0" fontId="57" fillId="0" borderId="22" xfId="0" applyFont="1" applyBorder="1" applyAlignment="1">
      <alignment wrapText="1"/>
    </xf>
    <xf numFmtId="0" fontId="57" fillId="0" borderId="23" xfId="0" applyFont="1" applyBorder="1" applyAlignment="1">
      <alignment wrapText="1"/>
    </xf>
    <xf numFmtId="0" fontId="57" fillId="0" borderId="24" xfId="0" applyFont="1" applyBorder="1" applyAlignment="1">
      <alignment wrapText="1"/>
    </xf>
    <xf numFmtId="0" fontId="57" fillId="0" borderId="25" xfId="0" applyFont="1" applyBorder="1" applyAlignment="1">
      <alignment wrapText="1"/>
    </xf>
    <xf numFmtId="0" fontId="57" fillId="0" borderId="26" xfId="0" applyFont="1" applyBorder="1" applyAlignment="1">
      <alignment wrapText="1"/>
    </xf>
    <xf numFmtId="0" fontId="57" fillId="0" borderId="27" xfId="0" applyFont="1" applyBorder="1" applyAlignment="1">
      <alignment wrapText="1"/>
    </xf>
    <xf numFmtId="0" fontId="16" fillId="0" borderId="0" xfId="0" applyFont="1" applyAlignment="1">
      <alignment horizontal="right"/>
    </xf>
    <xf numFmtId="0" fontId="1" fillId="38" borderId="12" xfId="47" applyFont="1" applyBorder="1" applyAlignment="1">
      <alignment horizontal="left"/>
      <protection locked="0"/>
    </xf>
    <xf numFmtId="0" fontId="1" fillId="38" borderId="13" xfId="47" applyFont="1" applyBorder="1" applyAlignment="1">
      <alignment horizontal="left"/>
      <protection locked="0"/>
    </xf>
    <xf numFmtId="0" fontId="13" fillId="0" borderId="0" xfId="60" applyBorder="1" applyAlignment="1"/>
    <xf numFmtId="0" fontId="0" fillId="39" borderId="10" xfId="48" applyFont="1" applyAlignment="1">
      <alignment horizontal="left"/>
      <protection locked="0"/>
    </xf>
    <xf numFmtId="0" fontId="0" fillId="38" borderId="10" xfId="47" applyFont="1" applyAlignment="1">
      <alignment horizontal="left"/>
      <protection locked="0"/>
    </xf>
    <xf numFmtId="0" fontId="16" fillId="0" borderId="0" xfId="0" applyFont="1" applyBorder="1" applyAlignment="1">
      <alignment horizontal="right" vertical="center"/>
    </xf>
    <xf numFmtId="0" fontId="16" fillId="0" borderId="0" xfId="0" applyFont="1"/>
    <xf numFmtId="0" fontId="16" fillId="0" borderId="0" xfId="0" applyFont="1" applyBorder="1" applyAlignment="1">
      <alignment horizontal="right" vertical="center" wrapText="1"/>
    </xf>
    <xf numFmtId="0" fontId="0" fillId="39" borderId="17" xfId="48" applyFont="1" applyBorder="1" applyAlignment="1">
      <alignment horizontal="left"/>
      <protection locked="0"/>
    </xf>
    <xf numFmtId="0" fontId="0" fillId="38" borderId="12" xfId="47" applyFont="1" applyBorder="1" applyAlignment="1">
      <alignment horizontal="left"/>
      <protection locked="0"/>
    </xf>
    <xf numFmtId="0" fontId="0" fillId="38" borderId="21" xfId="47" applyFont="1" applyBorder="1" applyAlignment="1">
      <alignment horizontal="left"/>
      <protection locked="0"/>
    </xf>
    <xf numFmtId="0" fontId="0" fillId="38" borderId="13" xfId="47" applyFont="1" applyBorder="1" applyAlignment="1">
      <alignment horizontal="left"/>
      <protection locked="0"/>
    </xf>
    <xf numFmtId="0" fontId="0" fillId="0" borderId="0" xfId="0" applyAlignment="1">
      <alignment horizontal="right"/>
    </xf>
    <xf numFmtId="0" fontId="0" fillId="38" borderId="10" xfId="47" applyFont="1" applyAlignment="1">
      <alignment horizontal="left" vertical="top" wrapText="1"/>
      <protection locked="0"/>
    </xf>
    <xf numFmtId="0" fontId="13" fillId="0" borderId="0" xfId="60" applyAlignment="1">
      <alignment horizontal="right"/>
    </xf>
    <xf numFmtId="0" fontId="13" fillId="0" borderId="0" xfId="60" applyAlignment="1">
      <alignment horizontal="right" wrapText="1"/>
    </xf>
    <xf numFmtId="0" fontId="0" fillId="0" borderId="22" xfId="0" applyBorder="1" applyAlignment="1">
      <alignment horizontal="left" wrapText="1"/>
    </xf>
    <xf numFmtId="0" fontId="0" fillId="0" borderId="23" xfId="0" applyBorder="1" applyAlignment="1">
      <alignment horizontal="left" wrapText="1"/>
    </xf>
    <xf numFmtId="0" fontId="0" fillId="0" borderId="24" xfId="0" applyBorder="1" applyAlignment="1">
      <alignment horizontal="left" wrapText="1"/>
    </xf>
    <xf numFmtId="0" fontId="0" fillId="0" borderId="25" xfId="0" applyBorder="1" applyAlignment="1">
      <alignment horizontal="left" wrapText="1"/>
    </xf>
    <xf numFmtId="0" fontId="0" fillId="0" borderId="26" xfId="0" applyBorder="1" applyAlignment="1">
      <alignment horizontal="left" wrapText="1"/>
    </xf>
    <xf numFmtId="0" fontId="0" fillId="0" borderId="27" xfId="0" applyBorder="1" applyAlignment="1">
      <alignment horizontal="left" wrapText="1"/>
    </xf>
    <xf numFmtId="0" fontId="0" fillId="0" borderId="0" xfId="0"/>
    <xf numFmtId="0" fontId="0" fillId="39" borderId="12" xfId="48" applyFont="1" applyBorder="1" applyAlignment="1">
      <alignment horizontal="left"/>
      <protection locked="0"/>
    </xf>
    <xf numFmtId="0" fontId="0" fillId="39" borderId="21" xfId="48" applyFont="1" applyBorder="1" applyAlignment="1">
      <alignment horizontal="left"/>
      <protection locked="0"/>
    </xf>
    <xf numFmtId="0" fontId="0" fillId="39" borderId="13" xfId="48" applyFont="1" applyBorder="1" applyAlignment="1">
      <alignment horizontal="left"/>
      <protection locked="0"/>
    </xf>
    <xf numFmtId="0" fontId="0" fillId="38" borderId="10" xfId="47" applyFont="1" applyBorder="1" applyAlignment="1">
      <alignment horizontal="left"/>
      <protection locked="0"/>
    </xf>
    <xf numFmtId="0" fontId="0" fillId="0" borderId="22" xfId="0" applyBorder="1" applyAlignment="1">
      <alignment wrapText="1"/>
    </xf>
    <xf numFmtId="0" fontId="0" fillId="0" borderId="24" xfId="0" applyBorder="1" applyAlignment="1">
      <alignment wrapText="1"/>
    </xf>
    <xf numFmtId="0" fontId="0" fillId="0" borderId="29" xfId="0" applyBorder="1" applyAlignment="1">
      <alignment wrapText="1"/>
    </xf>
    <xf numFmtId="0" fontId="0" fillId="0" borderId="28" xfId="0" applyBorder="1" applyAlignment="1">
      <alignment wrapText="1"/>
    </xf>
    <xf numFmtId="0" fontId="0" fillId="0" borderId="25" xfId="0" applyBorder="1" applyAlignment="1">
      <alignment wrapText="1"/>
    </xf>
    <xf numFmtId="0" fontId="0" fillId="0" borderId="27" xfId="0" applyBorder="1" applyAlignment="1">
      <alignment wrapText="1"/>
    </xf>
    <xf numFmtId="0" fontId="16" fillId="0" borderId="22" xfId="0" applyFont="1" applyBorder="1" applyAlignment="1">
      <alignment horizontal="right"/>
    </xf>
    <xf numFmtId="0" fontId="16" fillId="0" borderId="24" xfId="0" applyFont="1" applyBorder="1" applyAlignment="1">
      <alignment horizontal="right"/>
    </xf>
    <xf numFmtId="0" fontId="0" fillId="37" borderId="17" xfId="54" applyFont="1" applyBorder="1">
      <alignment horizontal="left" vertical="top" wrapText="1"/>
      <protection locked="0"/>
    </xf>
    <xf numFmtId="0" fontId="0" fillId="37" borderId="10" xfId="54" applyFont="1">
      <alignment horizontal="left" vertical="top" wrapText="1"/>
      <protection locked="0"/>
    </xf>
    <xf numFmtId="0" fontId="0" fillId="37" borderId="10" xfId="54" applyFont="1" applyBorder="1">
      <alignment horizontal="left" vertical="top" wrapText="1"/>
      <protection locked="0"/>
    </xf>
    <xf numFmtId="0" fontId="0" fillId="37" borderId="32" xfId="54" applyFont="1" applyBorder="1">
      <alignment horizontal="left" vertical="top" wrapText="1"/>
      <protection locked="0"/>
    </xf>
    <xf numFmtId="0" fontId="0" fillId="37" borderId="34" xfId="54" applyFont="1" applyBorder="1">
      <alignment horizontal="left" vertical="top" wrapText="1"/>
      <protection locked="0"/>
    </xf>
    <xf numFmtId="0" fontId="18" fillId="0" borderId="0" xfId="0" applyFont="1" applyFill="1" applyBorder="1" applyAlignment="1">
      <alignment horizontal="center" vertical="center"/>
    </xf>
    <xf numFmtId="0" fontId="18" fillId="0" borderId="31" xfId="0" applyFont="1" applyFill="1" applyBorder="1" applyAlignment="1">
      <alignment horizontal="center" vertical="center"/>
    </xf>
    <xf numFmtId="0" fontId="18" fillId="0" borderId="26" xfId="0" applyFont="1" applyFill="1" applyBorder="1" applyAlignment="1">
      <alignment horizontal="center" vertical="center"/>
    </xf>
    <xf numFmtId="0" fontId="18" fillId="0" borderId="23" xfId="0" applyFont="1" applyFill="1" applyBorder="1" applyAlignment="1">
      <alignment horizontal="center" vertical="center"/>
    </xf>
    <xf numFmtId="0" fontId="18" fillId="0" borderId="33" xfId="0" applyFont="1" applyBorder="1" applyAlignment="1">
      <alignment horizontal="left" vertical="top" wrapText="1"/>
    </xf>
    <xf numFmtId="0" fontId="18" fillId="0" borderId="0" xfId="0" applyFont="1" applyBorder="1" applyAlignment="1">
      <alignment horizontal="left" vertical="top" wrapText="1"/>
    </xf>
    <xf numFmtId="0" fontId="18" fillId="0" borderId="31" xfId="0" applyFont="1" applyBorder="1" applyAlignment="1">
      <alignment horizontal="left" vertical="top" wrapText="1"/>
    </xf>
    <xf numFmtId="0" fontId="18" fillId="0" borderId="0" xfId="0" applyFont="1" applyAlignment="1">
      <alignment horizontal="left" vertical="top" wrapText="1"/>
    </xf>
    <xf numFmtId="0" fontId="18" fillId="0" borderId="26" xfId="0" applyFont="1" applyBorder="1" applyAlignment="1">
      <alignment horizontal="left" vertical="top" wrapText="1"/>
    </xf>
    <xf numFmtId="0" fontId="18" fillId="0" borderId="23" xfId="0" applyFont="1" applyBorder="1" applyAlignment="1">
      <alignment horizontal="left" vertical="top" wrapText="1"/>
    </xf>
    <xf numFmtId="0" fontId="25" fillId="0" borderId="23" xfId="0" applyFont="1" applyFill="1" applyBorder="1" applyAlignment="1">
      <alignment horizontal="center" vertical="center"/>
    </xf>
    <xf numFmtId="0" fontId="25" fillId="0" borderId="0" xfId="0" applyFont="1" applyFill="1" applyBorder="1" applyAlignment="1">
      <alignment horizontal="center" vertical="center"/>
    </xf>
    <xf numFmtId="0" fontId="25" fillId="0" borderId="26" xfId="0" applyFont="1" applyFill="1" applyBorder="1" applyAlignment="1">
      <alignment horizontal="center" vertical="center"/>
    </xf>
    <xf numFmtId="0" fontId="25" fillId="0" borderId="33" xfId="0" applyFont="1" applyFill="1" applyBorder="1" applyAlignment="1">
      <alignment horizontal="center" vertical="center"/>
    </xf>
    <xf numFmtId="0" fontId="25" fillId="0" borderId="31" xfId="0" applyFont="1" applyFill="1" applyBorder="1" applyAlignment="1">
      <alignment horizontal="center" vertical="center"/>
    </xf>
    <xf numFmtId="0" fontId="18" fillId="0" borderId="0" xfId="0" applyFont="1" applyBorder="1" applyAlignment="1">
      <alignment horizontal="center" vertical="center"/>
    </xf>
    <xf numFmtId="0" fontId="18" fillId="0" borderId="26" xfId="0" applyFont="1" applyBorder="1" applyAlignment="1">
      <alignment horizontal="center" vertical="center"/>
    </xf>
    <xf numFmtId="0" fontId="0" fillId="37" borderId="15" xfId="54" applyFont="1" applyBorder="1">
      <alignment horizontal="left" vertical="top" wrapText="1"/>
      <protection locked="0"/>
    </xf>
    <xf numFmtId="0" fontId="18" fillId="0" borderId="33" xfId="0" applyFont="1" applyFill="1" applyBorder="1" applyAlignment="1">
      <alignment horizontal="center" vertical="center"/>
    </xf>
    <xf numFmtId="0" fontId="25" fillId="0" borderId="0" xfId="0" applyFont="1" applyBorder="1" applyAlignment="1">
      <alignment horizontal="center" vertical="center"/>
    </xf>
    <xf numFmtId="0" fontId="25" fillId="0" borderId="26" xfId="0" applyFont="1" applyBorder="1" applyAlignment="1">
      <alignment horizontal="center" vertical="center"/>
    </xf>
    <xf numFmtId="0" fontId="0" fillId="0" borderId="0" xfId="0" applyFont="1" applyBorder="1" applyAlignment="1">
      <alignment horizontal="center" vertical="center"/>
    </xf>
    <xf numFmtId="0" fontId="0" fillId="0" borderId="26" xfId="0" applyFont="1" applyBorder="1" applyAlignment="1">
      <alignment horizontal="center" vertical="center"/>
    </xf>
    <xf numFmtId="0" fontId="25" fillId="0" borderId="31" xfId="0" applyFont="1" applyBorder="1" applyAlignment="1">
      <alignment horizontal="center" vertical="center"/>
    </xf>
    <xf numFmtId="0" fontId="25" fillId="0" borderId="0" xfId="0" applyFont="1" applyAlignment="1">
      <alignment horizontal="center" vertical="center"/>
    </xf>
    <xf numFmtId="0" fontId="25" fillId="0" borderId="0" xfId="0" applyFont="1" applyBorder="1" applyAlignment="1">
      <alignment horizontal="left" vertical="top" wrapText="1"/>
    </xf>
    <xf numFmtId="0" fontId="25" fillId="0" borderId="31" xfId="0" applyFont="1" applyBorder="1" applyAlignment="1">
      <alignment horizontal="left" vertical="top" wrapText="1"/>
    </xf>
    <xf numFmtId="0" fontId="25" fillId="0" borderId="0" xfId="0" applyFont="1" applyAlignment="1">
      <alignment horizontal="left" vertical="top" wrapText="1"/>
    </xf>
    <xf numFmtId="0" fontId="0" fillId="37" borderId="16" xfId="54" applyFont="1" applyBorder="1">
      <alignment horizontal="left" vertical="top" wrapText="1"/>
      <protection locked="0"/>
    </xf>
    <xf numFmtId="0" fontId="58" fillId="0" borderId="23" xfId="0" applyFont="1" applyBorder="1" applyAlignment="1">
      <alignment horizontal="left" vertical="top" wrapText="1"/>
    </xf>
    <xf numFmtId="0" fontId="58" fillId="0" borderId="0" xfId="0" applyFont="1" applyBorder="1" applyAlignment="1">
      <alignment horizontal="left" vertical="top" wrapText="1"/>
    </xf>
    <xf numFmtId="0" fontId="58" fillId="0" borderId="31" xfId="0" applyFont="1" applyBorder="1" applyAlignment="1">
      <alignment horizontal="left" vertical="top" wrapText="1"/>
    </xf>
    <xf numFmtId="0" fontId="25" fillId="0" borderId="23" xfId="0" applyFont="1" applyBorder="1" applyAlignment="1">
      <alignment horizontal="center" vertical="center"/>
    </xf>
    <xf numFmtId="0" fontId="18" fillId="0" borderId="23" xfId="0" applyFont="1" applyBorder="1" applyAlignment="1">
      <alignment horizontal="center" vertical="center"/>
    </xf>
    <xf numFmtId="0" fontId="18" fillId="0" borderId="31" xfId="0" applyFont="1" applyBorder="1" applyAlignment="1">
      <alignment horizontal="center" vertical="center"/>
    </xf>
    <xf numFmtId="0" fontId="58" fillId="0" borderId="26" xfId="0" applyFont="1" applyBorder="1" applyAlignment="1">
      <alignment horizontal="left" vertical="top" wrapText="1"/>
    </xf>
    <xf numFmtId="0" fontId="25" fillId="0" borderId="23" xfId="62" applyFont="1" applyBorder="1" applyAlignment="1">
      <alignment horizontal="center" vertical="center"/>
    </xf>
    <xf numFmtId="0" fontId="25" fillId="0" borderId="0" xfId="62" applyFont="1" applyBorder="1" applyAlignment="1">
      <alignment horizontal="center" vertical="center"/>
    </xf>
    <xf numFmtId="0" fontId="25" fillId="0" borderId="0" xfId="62" applyFont="1" applyAlignment="1">
      <alignment horizontal="center" vertical="center" wrapText="1"/>
    </xf>
    <xf numFmtId="0" fontId="25" fillId="0" borderId="26" xfId="62" applyFont="1" applyBorder="1" applyAlignment="1">
      <alignment horizontal="center" vertical="center" wrapText="1"/>
    </xf>
    <xf numFmtId="0" fontId="0" fillId="0" borderId="0" xfId="0" applyAlignment="1">
      <alignment horizontal="center" vertical="center"/>
    </xf>
    <xf numFmtId="0" fontId="0" fillId="0" borderId="31" xfId="0" applyBorder="1" applyAlignment="1">
      <alignment horizontal="center" vertical="center"/>
    </xf>
    <xf numFmtId="0" fontId="26" fillId="0" borderId="33" xfId="0" applyFont="1" applyBorder="1" applyAlignment="1">
      <alignment horizontal="left" vertical="top" wrapText="1"/>
    </xf>
    <xf numFmtId="0" fontId="26" fillId="0" borderId="0" xfId="0" applyFont="1" applyBorder="1" applyAlignment="1">
      <alignment horizontal="left" vertical="top" wrapText="1"/>
    </xf>
    <xf numFmtId="0" fontId="0" fillId="37" borderId="53" xfId="54" applyFont="1" applyBorder="1">
      <alignment horizontal="left" vertical="top" wrapText="1"/>
      <protection locked="0"/>
    </xf>
    <xf numFmtId="0" fontId="18" fillId="0" borderId="23" xfId="0" applyFont="1" applyBorder="1" applyAlignment="1">
      <alignment vertical="top" wrapText="1"/>
    </xf>
    <xf numFmtId="0" fontId="18" fillId="0" borderId="26" xfId="0" applyFont="1" applyBorder="1" applyAlignment="1">
      <alignment vertical="top" wrapText="1"/>
    </xf>
    <xf numFmtId="0" fontId="16" fillId="0" borderId="10" xfId="0" applyFont="1" applyBorder="1" applyAlignment="1">
      <alignment horizontal="left" vertical="center" indent="10"/>
    </xf>
    <xf numFmtId="0" fontId="16" fillId="0" borderId="10" xfId="0" applyFont="1" applyBorder="1" applyAlignment="1">
      <alignment horizontal="left" indent="10"/>
    </xf>
    <xf numFmtId="0" fontId="24" fillId="34" borderId="61" xfId="63" applyBorder="1" applyAlignment="1">
      <alignment vertical="center"/>
    </xf>
    <xf numFmtId="0" fontId="24" fillId="34" borderId="62" xfId="63" applyBorder="1" applyAlignment="1">
      <alignment vertical="center"/>
    </xf>
    <xf numFmtId="0" fontId="25" fillId="0" borderId="0" xfId="62" applyFont="1" applyAlignment="1">
      <alignment horizontal="center" vertical="center"/>
    </xf>
    <xf numFmtId="0" fontId="25" fillId="0" borderId="26" xfId="62" applyFont="1" applyBorder="1" applyAlignment="1">
      <alignment horizontal="center" vertical="center"/>
    </xf>
    <xf numFmtId="0" fontId="18" fillId="0" borderId="0" xfId="0" applyFont="1" applyBorder="1" applyAlignment="1">
      <alignment vertical="top" wrapText="1"/>
    </xf>
    <xf numFmtId="0" fontId="16" fillId="0" borderId="12" xfId="0" applyFont="1" applyBorder="1" applyAlignment="1">
      <alignment horizontal="left" vertical="center" indent="10"/>
    </xf>
    <xf numFmtId="0" fontId="16" fillId="0" borderId="21" xfId="0" applyFont="1" applyBorder="1" applyAlignment="1">
      <alignment horizontal="left" vertical="center" indent="10"/>
    </xf>
    <xf numFmtId="0" fontId="16" fillId="0" borderId="13" xfId="0" applyFont="1" applyBorder="1" applyAlignment="1">
      <alignment horizontal="left" vertical="center" indent="10"/>
    </xf>
    <xf numFmtId="14" fontId="0" fillId="0" borderId="12" xfId="0" applyNumberFormat="1" applyBorder="1" applyAlignment="1">
      <alignment horizontal="center" vertical="center"/>
    </xf>
    <xf numFmtId="0" fontId="0" fillId="0" borderId="21" xfId="0" applyBorder="1" applyAlignment="1">
      <alignment horizontal="center" vertical="center"/>
    </xf>
    <xf numFmtId="0" fontId="0" fillId="0" borderId="13" xfId="0" applyBorder="1" applyAlignment="1">
      <alignment horizontal="center" vertical="center"/>
    </xf>
    <xf numFmtId="0" fontId="24" fillId="34" borderId="18" xfId="63" applyBorder="1" applyAlignment="1">
      <alignment vertical="center"/>
    </xf>
    <xf numFmtId="0" fontId="24" fillId="34" borderId="18" xfId="63" applyAlignment="1">
      <alignment vertical="center"/>
    </xf>
    <xf numFmtId="0" fontId="24" fillId="34" borderId="19" xfId="63" applyBorder="1" applyAlignment="1">
      <alignment vertical="center"/>
    </xf>
    <xf numFmtId="0" fontId="24" fillId="34" borderId="0" xfId="63" applyBorder="1" applyAlignment="1">
      <alignment vertical="center"/>
    </xf>
    <xf numFmtId="0" fontId="24" fillId="34" borderId="20" xfId="63" applyBorder="1" applyAlignment="1">
      <alignment vertical="center"/>
    </xf>
    <xf numFmtId="0" fontId="18" fillId="0" borderId="0" xfId="0" applyFont="1" applyAlignment="1">
      <alignment horizontal="center" vertical="center"/>
    </xf>
    <xf numFmtId="0" fontId="0" fillId="37" borderId="37" xfId="54" applyFont="1" applyBorder="1">
      <alignment horizontal="left" vertical="top" wrapText="1"/>
      <protection locked="0"/>
    </xf>
    <xf numFmtId="0" fontId="25" fillId="0" borderId="0" xfId="0" applyNumberFormat="1" applyFont="1" applyBorder="1" applyAlignment="1">
      <alignment horizontal="center" vertical="center"/>
    </xf>
    <xf numFmtId="0" fontId="25" fillId="0" borderId="26" xfId="0" applyNumberFormat="1" applyFont="1" applyBorder="1" applyAlignment="1">
      <alignment horizontal="center" vertical="center"/>
    </xf>
    <xf numFmtId="168" fontId="29" fillId="40" borderId="14" xfId="65">
      <alignment horizontal="left" vertical="top" wrapText="1"/>
    </xf>
    <xf numFmtId="49" fontId="16" fillId="0" borderId="0" xfId="0" applyNumberFormat="1" applyFont="1" applyAlignment="1">
      <alignment horizontal="center" textRotation="90"/>
    </xf>
    <xf numFmtId="0" fontId="0" fillId="0" borderId="10" xfId="0" applyBorder="1"/>
    <xf numFmtId="0" fontId="18" fillId="0" borderId="0" xfId="0" applyNumberFormat="1" applyFont="1" applyAlignment="1">
      <alignment horizontal="center" vertical="center"/>
    </xf>
    <xf numFmtId="0" fontId="18" fillId="0" borderId="0" xfId="62" applyNumberFormat="1" applyFont="1" applyBorder="1" applyAlignment="1">
      <alignment horizontal="center" vertical="center"/>
    </xf>
    <xf numFmtId="0" fontId="18" fillId="0" borderId="26" xfId="62" applyNumberFormat="1" applyFont="1" applyBorder="1" applyAlignment="1">
      <alignment horizontal="center" vertical="center"/>
    </xf>
    <xf numFmtId="0" fontId="18" fillId="0" borderId="0" xfId="62" applyNumberFormat="1" applyFont="1" applyAlignment="1">
      <alignment horizontal="center" vertical="center"/>
    </xf>
    <xf numFmtId="0" fontId="58" fillId="0" borderId="108" xfId="0" applyFont="1" applyBorder="1" applyAlignment="1">
      <alignment horizontal="left" vertical="top" wrapText="1"/>
    </xf>
    <xf numFmtId="0" fontId="18" fillId="0" borderId="23" xfId="62" applyNumberFormat="1" applyFont="1" applyBorder="1" applyAlignment="1">
      <alignment horizontal="center" vertical="center"/>
    </xf>
    <xf numFmtId="0" fontId="18" fillId="0" borderId="33" xfId="0" applyFont="1" applyBorder="1" applyAlignment="1">
      <alignment horizontal="center" vertical="center"/>
    </xf>
    <xf numFmtId="0" fontId="25" fillId="0" borderId="33" xfId="0" applyFont="1" applyBorder="1" applyAlignment="1">
      <alignment horizontal="left" vertical="top" wrapText="1"/>
    </xf>
    <xf numFmtId="0" fontId="25" fillId="0" borderId="23" xfId="0" applyNumberFormat="1" applyFont="1" applyBorder="1" applyAlignment="1">
      <alignment horizontal="center" vertical="center"/>
    </xf>
    <xf numFmtId="0" fontId="25" fillId="0" borderId="33" xfId="0" applyFont="1" applyBorder="1" applyAlignment="1">
      <alignment horizontal="center" vertical="center"/>
    </xf>
    <xf numFmtId="0" fontId="47" fillId="0" borderId="23" xfId="0" applyFont="1" applyBorder="1" applyAlignment="1">
      <alignment horizontal="left" vertical="top" wrapText="1"/>
    </xf>
    <xf numFmtId="0" fontId="47" fillId="0" borderId="0" xfId="0" applyFont="1" applyBorder="1" applyAlignment="1">
      <alignment horizontal="left" vertical="top" wrapText="1"/>
    </xf>
    <xf numFmtId="0" fontId="47" fillId="0" borderId="26" xfId="0" applyFont="1" applyBorder="1" applyAlignment="1">
      <alignment horizontal="left" vertical="top" wrapText="1"/>
    </xf>
    <xf numFmtId="168" fontId="29" fillId="40" borderId="47" xfId="65" applyBorder="1" applyAlignment="1">
      <alignment horizontal="left" vertical="top" wrapText="1"/>
    </xf>
    <xf numFmtId="168" fontId="29" fillId="40" borderId="48" xfId="65" applyBorder="1" applyAlignment="1">
      <alignment horizontal="left" vertical="top" wrapText="1"/>
    </xf>
    <xf numFmtId="0" fontId="25" fillId="0" borderId="33" xfId="0" applyFont="1" applyBorder="1" applyAlignment="1">
      <alignment horizontal="center" vertical="center" wrapText="1"/>
    </xf>
    <xf numFmtId="0" fontId="25" fillId="0" borderId="0" xfId="0" applyFont="1" applyBorder="1" applyAlignment="1">
      <alignment horizontal="center" vertical="center" wrapText="1"/>
    </xf>
    <xf numFmtId="0" fontId="50" fillId="0" borderId="23" xfId="57" applyBorder="1" applyAlignment="1" applyProtection="1">
      <alignment horizontal="center" vertical="center" wrapText="1"/>
      <protection locked="0"/>
    </xf>
    <xf numFmtId="0" fontId="50" fillId="0" borderId="0" xfId="57" applyBorder="1" applyAlignment="1" applyProtection="1">
      <alignment horizontal="center" vertical="center" wrapText="1"/>
      <protection locked="0"/>
    </xf>
    <xf numFmtId="0" fontId="50" fillId="0" borderId="26" xfId="57" applyBorder="1" applyAlignment="1" applyProtection="1">
      <alignment horizontal="center" vertical="center" wrapText="1"/>
      <protection locked="0"/>
    </xf>
    <xf numFmtId="0" fontId="25" fillId="0" borderId="26" xfId="0" applyFont="1" applyBorder="1" applyAlignment="1">
      <alignment horizontal="left" vertical="top" wrapText="1"/>
    </xf>
    <xf numFmtId="0" fontId="40" fillId="2" borderId="0" xfId="0" applyFont="1" applyFill="1" applyBorder="1" applyAlignment="1">
      <alignment horizontal="center" vertical="center"/>
    </xf>
    <xf numFmtId="0" fontId="40" fillId="2" borderId="26" xfId="0" applyFont="1" applyFill="1" applyBorder="1" applyAlignment="1">
      <alignment horizontal="center" vertical="center"/>
    </xf>
    <xf numFmtId="0" fontId="25" fillId="0" borderId="23" xfId="0" applyFont="1" applyBorder="1" applyAlignment="1">
      <alignment vertical="top" wrapText="1"/>
    </xf>
    <xf numFmtId="0" fontId="25" fillId="0" borderId="0" xfId="0" applyFont="1" applyAlignment="1">
      <alignment vertical="top" wrapText="1"/>
    </xf>
    <xf numFmtId="0" fontId="40" fillId="2" borderId="33" xfId="0" applyFont="1" applyFill="1" applyBorder="1" applyAlignment="1">
      <alignment horizontal="center" vertical="center"/>
    </xf>
    <xf numFmtId="168" fontId="29" fillId="40" borderId="14" xfId="65" applyBorder="1" applyAlignment="1">
      <alignment horizontal="left" vertical="top" wrapText="1"/>
    </xf>
    <xf numFmtId="0" fontId="26" fillId="0" borderId="33" xfId="0" applyFont="1" applyBorder="1" applyAlignment="1">
      <alignment horizontal="center" vertical="center" wrapText="1"/>
    </xf>
    <xf numFmtId="0" fontId="26" fillId="0" borderId="0" xfId="0" applyFont="1" applyBorder="1" applyAlignment="1">
      <alignment horizontal="center" vertical="center" wrapText="1"/>
    </xf>
    <xf numFmtId="0" fontId="25" fillId="0" borderId="0" xfId="0" applyFont="1" applyBorder="1" applyAlignment="1">
      <alignment horizontal="right" vertical="top" wrapText="1"/>
    </xf>
    <xf numFmtId="0" fontId="25" fillId="0" borderId="31" xfId="0" applyFont="1" applyBorder="1" applyAlignment="1">
      <alignment horizontal="right" vertical="top" wrapText="1"/>
    </xf>
    <xf numFmtId="0" fontId="25" fillId="0" borderId="0" xfId="0" applyFont="1" applyAlignment="1">
      <alignment horizontal="right" vertical="top" wrapText="1"/>
    </xf>
    <xf numFmtId="0" fontId="40" fillId="2" borderId="0" xfId="0" applyFont="1" applyFill="1" applyBorder="1" applyAlignment="1">
      <alignment horizontal="center" vertical="center" wrapText="1"/>
    </xf>
    <xf numFmtId="0" fontId="40" fillId="2" borderId="26" xfId="0" applyFont="1" applyFill="1" applyBorder="1" applyAlignment="1">
      <alignment horizontal="center" vertical="center" wrapText="1"/>
    </xf>
    <xf numFmtId="0" fontId="25" fillId="0" borderId="26" xfId="0" applyFont="1" applyBorder="1" applyAlignment="1">
      <alignment horizontal="right" vertical="top" wrapText="1"/>
    </xf>
    <xf numFmtId="0" fontId="25" fillId="0" borderId="26" xfId="0" applyFont="1" applyBorder="1" applyAlignment="1">
      <alignment horizontal="center" vertical="center" wrapText="1"/>
    </xf>
    <xf numFmtId="0" fontId="25" fillId="0" borderId="23" xfId="0" applyFont="1" applyBorder="1" applyAlignment="1">
      <alignment horizontal="left" vertical="top" wrapText="1"/>
    </xf>
    <xf numFmtId="0" fontId="18" fillId="0" borderId="31" xfId="0" applyFont="1" applyBorder="1" applyAlignment="1">
      <alignment vertical="top" wrapText="1"/>
    </xf>
    <xf numFmtId="0" fontId="40" fillId="2" borderId="0" xfId="0" applyFont="1" applyFill="1" applyAlignment="1">
      <alignment horizontal="center" vertical="center"/>
    </xf>
    <xf numFmtId="0" fontId="25" fillId="0" borderId="0" xfId="0" applyFont="1" applyAlignment="1">
      <alignment horizontal="center" vertical="center" wrapText="1"/>
    </xf>
    <xf numFmtId="0" fontId="50" fillId="0" borderId="0" xfId="57" applyAlignment="1" applyProtection="1">
      <alignment horizontal="center" vertical="center" wrapText="1"/>
      <protection locked="0"/>
    </xf>
    <xf numFmtId="0" fontId="18" fillId="0" borderId="0" xfId="0" applyFont="1" applyAlignment="1">
      <alignment vertical="top" wrapText="1"/>
    </xf>
    <xf numFmtId="168" fontId="29" fillId="40" borderId="14" xfId="65" applyAlignment="1">
      <alignment horizontal="left" vertical="top" wrapText="1"/>
    </xf>
    <xf numFmtId="168" fontId="29" fillId="40" borderId="50" xfId="65" applyBorder="1" applyAlignment="1">
      <alignment horizontal="left" vertical="top" wrapText="1"/>
    </xf>
    <xf numFmtId="0" fontId="27" fillId="0" borderId="23" xfId="0" applyFont="1" applyBorder="1" applyAlignment="1">
      <alignment horizontal="left" vertical="top" wrapText="1"/>
    </xf>
    <xf numFmtId="0" fontId="27" fillId="0" borderId="0" xfId="0" applyFont="1" applyBorder="1" applyAlignment="1">
      <alignment horizontal="left" vertical="top" wrapText="1"/>
    </xf>
    <xf numFmtId="0" fontId="26" fillId="0" borderId="0" xfId="0" applyFont="1" applyAlignment="1">
      <alignment horizontal="center" vertical="center" wrapText="1"/>
    </xf>
    <xf numFmtId="168" fontId="29" fillId="40" borderId="49" xfId="65" applyBorder="1" applyAlignment="1">
      <alignment horizontal="left" vertical="top" wrapText="1"/>
    </xf>
    <xf numFmtId="0" fontId="0" fillId="0" borderId="0" xfId="0" applyBorder="1" applyAlignment="1">
      <alignment wrapText="1"/>
    </xf>
    <xf numFmtId="0" fontId="26" fillId="0" borderId="0" xfId="0" applyFont="1" applyAlignment="1">
      <alignment horizontal="left" vertical="top" wrapText="1"/>
    </xf>
    <xf numFmtId="0" fontId="40" fillId="2" borderId="31" xfId="0" applyFont="1" applyFill="1" applyBorder="1" applyAlignment="1">
      <alignment horizontal="center" vertical="center"/>
    </xf>
    <xf numFmtId="0" fontId="109" fillId="0" borderId="0" xfId="0" applyFont="1" applyBorder="1" applyAlignment="1">
      <alignment horizontal="left" vertical="top" wrapText="1"/>
    </xf>
    <xf numFmtId="0" fontId="25" fillId="0" borderId="0" xfId="0" applyFont="1" applyBorder="1" applyAlignment="1">
      <alignment vertical="top" wrapText="1"/>
    </xf>
    <xf numFmtId="0" fontId="25" fillId="0" borderId="26" xfId="0" applyFont="1" applyBorder="1" applyAlignment="1">
      <alignment vertical="top" wrapText="1"/>
    </xf>
    <xf numFmtId="168" fontId="29" fillId="40" borderId="14" xfId="65" applyBorder="1">
      <alignment horizontal="left" vertical="top" wrapText="1"/>
    </xf>
    <xf numFmtId="168" fontId="29" fillId="40" borderId="50" xfId="65" applyBorder="1">
      <alignment horizontal="left" vertical="top" wrapText="1"/>
    </xf>
    <xf numFmtId="0" fontId="40" fillId="2" borderId="23" xfId="0" applyFont="1" applyFill="1" applyBorder="1" applyAlignment="1">
      <alignment horizontal="center" vertical="center"/>
    </xf>
    <xf numFmtId="0" fontId="18" fillId="0" borderId="0" xfId="0" applyFont="1" applyBorder="1" applyAlignment="1">
      <alignment horizontal="center" vertical="top" wrapText="1"/>
    </xf>
    <xf numFmtId="0" fontId="25" fillId="0" borderId="23" xfId="0" applyFont="1" applyBorder="1" applyAlignment="1">
      <alignment horizontal="center" vertical="center" wrapText="1"/>
    </xf>
    <xf numFmtId="0" fontId="24" fillId="34" borderId="18" xfId="63" applyBorder="1" applyAlignment="1">
      <alignment horizontal="center" vertical="center"/>
    </xf>
    <xf numFmtId="0" fontId="24" fillId="34" borderId="18" xfId="63" applyAlignment="1">
      <alignment horizontal="center" vertical="center"/>
    </xf>
    <xf numFmtId="0" fontId="25" fillId="0" borderId="31" xfId="0" applyFont="1" applyBorder="1" applyAlignment="1">
      <alignment vertical="top" wrapText="1"/>
    </xf>
    <xf numFmtId="0" fontId="47" fillId="0" borderId="31" xfId="0" applyFont="1" applyBorder="1" applyAlignment="1">
      <alignment horizontal="left" vertical="top" wrapText="1"/>
    </xf>
    <xf numFmtId="168" fontId="29" fillId="40" borderId="51" xfId="65" applyBorder="1">
      <alignment horizontal="left" vertical="top" wrapText="1"/>
    </xf>
    <xf numFmtId="0" fontId="47" fillId="0" borderId="33" xfId="0" applyFont="1" applyBorder="1" applyAlignment="1">
      <alignment horizontal="left" vertical="top" wrapText="1"/>
    </xf>
    <xf numFmtId="0" fontId="40" fillId="2" borderId="23" xfId="0" applyFont="1" applyFill="1" applyBorder="1" applyAlignment="1">
      <alignment horizontal="center" vertical="center" wrapText="1"/>
    </xf>
    <xf numFmtId="0" fontId="40" fillId="2" borderId="31" xfId="0" applyFont="1" applyFill="1" applyBorder="1" applyAlignment="1">
      <alignment horizontal="center" vertical="center" wrapText="1"/>
    </xf>
    <xf numFmtId="0" fontId="88" fillId="44" borderId="0" xfId="0" applyFont="1" applyFill="1" applyBorder="1" applyAlignment="1">
      <alignment horizontal="left" vertical="top" wrapText="1"/>
    </xf>
    <xf numFmtId="0" fontId="88" fillId="44" borderId="31" xfId="0" applyFont="1" applyFill="1" applyBorder="1" applyAlignment="1">
      <alignment horizontal="left" vertical="top" wrapText="1"/>
    </xf>
    <xf numFmtId="0" fontId="84" fillId="0" borderId="0" xfId="0" applyFont="1" applyBorder="1" applyAlignment="1">
      <alignment horizontal="left" vertical="top" wrapText="1"/>
    </xf>
    <xf numFmtId="0" fontId="84" fillId="0" borderId="31" xfId="0" applyFont="1" applyBorder="1" applyAlignment="1">
      <alignment horizontal="left" vertical="top" wrapText="1"/>
    </xf>
    <xf numFmtId="0" fontId="13" fillId="0" borderId="0" xfId="60" applyBorder="1" applyAlignment="1">
      <alignment horizontal="center" vertical="center" wrapText="1"/>
    </xf>
    <xf numFmtId="0" fontId="25" fillId="0" borderId="23" xfId="62" applyFont="1" applyBorder="1">
      <alignment horizontal="center" vertical="center"/>
    </xf>
    <xf numFmtId="0" fontId="25" fillId="0" borderId="26" xfId="62" applyFont="1" applyBorder="1">
      <alignment horizontal="center" vertical="center"/>
    </xf>
    <xf numFmtId="0" fontId="0" fillId="0" borderId="0" xfId="0" applyBorder="1"/>
    <xf numFmtId="0" fontId="0" fillId="0" borderId="0" xfId="0" applyBorder="1" applyAlignment="1">
      <alignment horizontal="center" vertical="center" wrapText="1"/>
    </xf>
    <xf numFmtId="0" fontId="16" fillId="0" borderId="0" xfId="0" applyFont="1" applyBorder="1" applyAlignment="1">
      <alignment horizontal="center" vertical="center"/>
    </xf>
    <xf numFmtId="0" fontId="16" fillId="0" borderId="31" xfId="0" applyFont="1" applyBorder="1" applyAlignment="1">
      <alignment horizontal="center" vertical="center"/>
    </xf>
    <xf numFmtId="0" fontId="16" fillId="0" borderId="26" xfId="0" applyFont="1" applyBorder="1" applyAlignment="1">
      <alignment horizontal="center" vertical="center"/>
    </xf>
    <xf numFmtId="0" fontId="0" fillId="0" borderId="0" xfId="0" applyBorder="1" applyAlignment="1">
      <alignment horizontal="center" vertical="center"/>
    </xf>
    <xf numFmtId="0" fontId="0" fillId="0" borderId="26" xfId="0" applyBorder="1" applyAlignment="1">
      <alignment horizontal="center" vertical="center"/>
    </xf>
    <xf numFmtId="0" fontId="16" fillId="0" borderId="23" xfId="0" applyFont="1" applyBorder="1" applyAlignment="1">
      <alignment horizontal="center" vertical="center"/>
    </xf>
    <xf numFmtId="0" fontId="0" fillId="0" borderId="23" xfId="0" applyBorder="1" applyAlignment="1">
      <alignment horizontal="center" vertical="center"/>
    </xf>
    <xf numFmtId="0" fontId="18" fillId="0" borderId="0" xfId="0" applyFont="1" applyAlignment="1">
      <alignment horizontal="center" vertical="top" wrapText="1"/>
    </xf>
    <xf numFmtId="0" fontId="84" fillId="0" borderId="26" xfId="0" applyFont="1" applyBorder="1" applyAlignment="1">
      <alignment horizontal="left" vertical="top" wrapText="1"/>
    </xf>
    <xf numFmtId="0" fontId="24" fillId="34" borderId="144" xfId="63" applyBorder="1" applyAlignment="1">
      <alignment vertical="center"/>
    </xf>
    <xf numFmtId="0" fontId="24" fillId="34" borderId="144" xfId="63" applyBorder="1" applyAlignment="1">
      <alignment horizontal="center" vertical="center"/>
    </xf>
    <xf numFmtId="0" fontId="25" fillId="0" borderId="31" xfId="0" applyFont="1" applyBorder="1" applyAlignment="1">
      <alignment horizontal="center" vertical="center" wrapText="1"/>
    </xf>
    <xf numFmtId="0" fontId="47" fillId="0" borderId="0" xfId="0" applyFont="1" applyBorder="1" applyAlignment="1">
      <alignment horizontal="center" vertical="center" wrapText="1"/>
    </xf>
    <xf numFmtId="0" fontId="47" fillId="0" borderId="26" xfId="0" applyFont="1" applyBorder="1" applyAlignment="1">
      <alignment horizontal="center" vertical="center" wrapText="1"/>
    </xf>
    <xf numFmtId="0" fontId="26" fillId="0" borderId="0" xfId="0" applyFont="1" applyBorder="1" applyAlignment="1">
      <alignment horizontal="center" vertical="center"/>
    </xf>
    <xf numFmtId="0" fontId="26" fillId="0" borderId="26" xfId="0" applyFont="1" applyBorder="1" applyAlignment="1">
      <alignment horizontal="center" vertical="center"/>
    </xf>
    <xf numFmtId="0" fontId="108" fillId="0" borderId="0" xfId="60" applyFont="1" applyBorder="1" applyAlignment="1">
      <alignment horizontal="center" vertical="center" wrapText="1"/>
    </xf>
    <xf numFmtId="0" fontId="16" fillId="0" borderId="0" xfId="0" applyFont="1" applyAlignment="1">
      <alignment horizontal="center" vertical="center"/>
    </xf>
    <xf numFmtId="0" fontId="0" fillId="0" borderId="33" xfId="0" applyBorder="1" applyAlignment="1">
      <alignment horizontal="center" vertical="center"/>
    </xf>
    <xf numFmtId="0" fontId="0" fillId="37" borderId="28" xfId="54" applyFont="1" applyBorder="1">
      <alignment horizontal="left" vertical="top" wrapText="1"/>
      <protection locked="0"/>
    </xf>
    <xf numFmtId="0" fontId="26" fillId="0" borderId="0" xfId="0" applyFont="1" applyBorder="1" applyAlignment="1">
      <alignment horizontal="right" vertical="top" wrapText="1"/>
    </xf>
    <xf numFmtId="0" fontId="26" fillId="0" borderId="26" xfId="0" applyFont="1" applyBorder="1" applyAlignment="1">
      <alignment horizontal="right" vertical="top" wrapText="1"/>
    </xf>
    <xf numFmtId="0" fontId="16" fillId="0" borderId="33" xfId="0" applyFont="1" applyBorder="1" applyAlignment="1">
      <alignment horizontal="center" vertical="center"/>
    </xf>
    <xf numFmtId="0" fontId="0" fillId="0" borderId="0" xfId="0" applyFont="1" applyAlignment="1">
      <alignment wrapText="1"/>
    </xf>
    <xf numFmtId="0" fontId="0" fillId="0" borderId="31" xfId="0" applyFont="1" applyBorder="1" applyAlignment="1">
      <alignment wrapText="1"/>
    </xf>
    <xf numFmtId="0" fontId="0" fillId="0" borderId="23" xfId="0" applyFont="1" applyBorder="1" applyAlignment="1">
      <alignment horizontal="center" vertical="center"/>
    </xf>
    <xf numFmtId="0" fontId="18" fillId="38" borderId="0" xfId="0" applyFont="1" applyFill="1" applyAlignment="1">
      <alignment horizontal="center" vertical="center"/>
    </xf>
    <xf numFmtId="0" fontId="18" fillId="0" borderId="10" xfId="0" applyFont="1" applyBorder="1" applyAlignment="1">
      <alignment horizontal="left" vertical="top" wrapText="1"/>
    </xf>
    <xf numFmtId="168" fontId="29" fillId="40" borderId="145" xfId="65" applyBorder="1" applyAlignment="1">
      <alignment horizontal="left" vertical="top" wrapText="1"/>
    </xf>
    <xf numFmtId="168" fontId="29" fillId="40" borderId="146" xfId="65" applyBorder="1" applyAlignment="1">
      <alignment horizontal="left" vertical="top" wrapText="1"/>
    </xf>
    <xf numFmtId="168" fontId="29" fillId="40" borderId="145" xfId="65" applyBorder="1">
      <alignment horizontal="left" vertical="top" wrapText="1"/>
    </xf>
    <xf numFmtId="168" fontId="29" fillId="40" borderId="150" xfId="65" applyBorder="1">
      <alignment horizontal="left" vertical="top" wrapText="1"/>
    </xf>
    <xf numFmtId="0" fontId="25" fillId="0" borderId="10" xfId="0" applyFont="1" applyBorder="1" applyAlignment="1">
      <alignment horizontal="left" vertical="top" wrapText="1"/>
    </xf>
    <xf numFmtId="168" fontId="29" fillId="40" borderId="146" xfId="65" applyBorder="1">
      <alignment horizontal="left" vertical="top" wrapText="1"/>
    </xf>
    <xf numFmtId="0" fontId="25" fillId="0" borderId="107" xfId="0" applyFont="1" applyBorder="1" applyAlignment="1">
      <alignment horizontal="left" vertical="top" wrapText="1"/>
    </xf>
    <xf numFmtId="168" fontId="29" fillId="40" borderId="148" xfId="65" applyBorder="1">
      <alignment horizontal="left" vertical="top" wrapText="1"/>
    </xf>
    <xf numFmtId="0" fontId="0" fillId="41" borderId="0" xfId="0" applyFill="1" applyAlignment="1">
      <alignment textRotation="90"/>
    </xf>
    <xf numFmtId="0" fontId="18" fillId="0" borderId="143" xfId="0" applyFont="1" applyBorder="1" applyAlignment="1">
      <alignment horizontal="left" vertical="top" wrapText="1"/>
    </xf>
    <xf numFmtId="0" fontId="0" fillId="0" borderId="0" xfId="0" applyAlignment="1">
      <alignment textRotation="90"/>
    </xf>
    <xf numFmtId="168" fontId="29" fillId="40" borderId="147" xfId="65" applyBorder="1">
      <alignment horizontal="left" vertical="top" wrapText="1"/>
    </xf>
    <xf numFmtId="0" fontId="62" fillId="0" borderId="0" xfId="0" applyFont="1" applyAlignment="1">
      <alignment horizontal="center" vertical="center" wrapText="1"/>
    </xf>
    <xf numFmtId="168" fontId="29" fillId="40" borderId="148" xfId="65" applyBorder="1" applyAlignment="1">
      <alignment horizontal="left" vertical="top" wrapText="1"/>
    </xf>
    <xf numFmtId="0" fontId="25" fillId="0" borderId="107" xfId="0" applyFont="1" applyBorder="1" applyAlignment="1">
      <alignment horizontal="right" vertical="top" wrapText="1"/>
    </xf>
    <xf numFmtId="168" fontId="29" fillId="40" borderId="149" xfId="65" applyBorder="1">
      <alignment horizontal="left" vertical="top" wrapText="1"/>
    </xf>
    <xf numFmtId="0" fontId="25" fillId="0" borderId="33" xfId="0" applyFont="1" applyBorder="1" applyAlignment="1">
      <alignment vertical="top" wrapText="1"/>
    </xf>
    <xf numFmtId="0" fontId="0" fillId="0" borderId="10" xfId="0" applyBorder="1" applyAlignment="1">
      <alignment horizontal="left" vertical="top" wrapText="1"/>
    </xf>
    <xf numFmtId="0" fontId="47" fillId="0" borderId="10" xfId="0" applyFont="1" applyBorder="1" applyAlignment="1">
      <alignment horizontal="left" vertical="top" wrapText="1"/>
    </xf>
    <xf numFmtId="0" fontId="58" fillId="0" borderId="10" xfId="0" applyFont="1" applyBorder="1" applyAlignment="1">
      <alignment horizontal="left" vertical="top" wrapText="1"/>
    </xf>
    <xf numFmtId="49" fontId="18" fillId="0" borderId="10" xfId="0" applyNumberFormat="1" applyFont="1" applyBorder="1" applyAlignment="1">
      <alignment horizontal="left" vertical="top" wrapText="1"/>
    </xf>
    <xf numFmtId="0" fontId="18" fillId="0" borderId="10" xfId="0" applyFont="1" applyBorder="1" applyAlignment="1">
      <alignment vertical="top" wrapText="1"/>
    </xf>
    <xf numFmtId="0" fontId="18" fillId="0" borderId="15" xfId="0" applyFont="1" applyBorder="1" applyAlignment="1">
      <alignment horizontal="left" vertical="top" wrapText="1"/>
    </xf>
    <xf numFmtId="0" fontId="18" fillId="0" borderId="17" xfId="0" applyFont="1" applyBorder="1" applyAlignment="1">
      <alignment horizontal="left" vertical="top" wrapText="1"/>
    </xf>
    <xf numFmtId="0" fontId="18" fillId="0" borderId="15" xfId="0" applyFont="1" applyBorder="1" applyAlignment="1">
      <alignment vertical="top" wrapText="1"/>
    </xf>
    <xf numFmtId="0" fontId="18" fillId="0" borderId="17" xfId="0" applyFont="1" applyBorder="1" applyAlignment="1">
      <alignment vertical="top" wrapText="1"/>
    </xf>
    <xf numFmtId="0" fontId="18" fillId="0" borderId="16" xfId="0" applyFont="1" applyBorder="1" applyAlignment="1">
      <alignment horizontal="left" vertical="top" wrapText="1"/>
    </xf>
    <xf numFmtId="0" fontId="47" fillId="0" borderId="0" xfId="0" applyFont="1" applyAlignment="1">
      <alignment horizontal="left" vertical="top" wrapText="1"/>
    </xf>
    <xf numFmtId="0" fontId="58" fillId="0" borderId="0" xfId="0" applyFont="1" applyAlignment="1">
      <alignment horizontal="left" vertical="top" wrapText="1"/>
    </xf>
    <xf numFmtId="0" fontId="18" fillId="0" borderId="16" xfId="0" applyFont="1" applyBorder="1" applyAlignment="1">
      <alignment vertical="top" wrapText="1"/>
    </xf>
    <xf numFmtId="168" fontId="29" fillId="40" borderId="47" xfId="65" applyBorder="1">
      <alignment horizontal="left" vertical="top" wrapText="1"/>
    </xf>
    <xf numFmtId="168" fontId="29" fillId="40" borderId="49" xfId="65" applyBorder="1">
      <alignment horizontal="left" vertical="top" wrapText="1"/>
    </xf>
    <xf numFmtId="168" fontId="29" fillId="40" borderId="151" xfId="65" applyBorder="1">
      <alignment horizontal="left" vertical="top" wrapText="1"/>
    </xf>
    <xf numFmtId="168" fontId="29" fillId="40" borderId="48" xfId="65" applyBorder="1">
      <alignment horizontal="left" vertical="top" wrapText="1"/>
    </xf>
    <xf numFmtId="0" fontId="25" fillId="0" borderId="15" xfId="0" applyFont="1" applyBorder="1" applyAlignment="1">
      <alignment vertical="top" wrapText="1"/>
    </xf>
    <xf numFmtId="0" fontId="25" fillId="0" borderId="17" xfId="0" applyFont="1" applyBorder="1" applyAlignment="1">
      <alignment vertical="top" wrapText="1"/>
    </xf>
    <xf numFmtId="0" fontId="26" fillId="0" borderId="0" xfId="0" applyFont="1" applyAlignment="1">
      <alignment horizontal="right" vertical="top" wrapText="1"/>
    </xf>
    <xf numFmtId="0" fontId="47" fillId="0" borderId="0" xfId="0" applyFont="1" applyAlignment="1">
      <alignment vertical="top" wrapText="1"/>
    </xf>
    <xf numFmtId="0" fontId="47" fillId="0" borderId="26" xfId="0" applyFont="1" applyBorder="1" applyAlignment="1">
      <alignment vertical="top" wrapText="1"/>
    </xf>
    <xf numFmtId="0" fontId="47" fillId="0" borderId="23" xfId="0" applyFont="1" applyBorder="1" applyAlignment="1">
      <alignment vertical="top" wrapText="1"/>
    </xf>
    <xf numFmtId="0" fontId="58" fillId="0" borderId="0" xfId="0" applyFont="1" applyAlignment="1">
      <alignment vertical="top" wrapText="1"/>
    </xf>
    <xf numFmtId="0" fontId="58" fillId="0" borderId="31" xfId="0" applyFont="1" applyBorder="1" applyAlignment="1">
      <alignment vertical="top" wrapText="1"/>
    </xf>
    <xf numFmtId="0" fontId="0" fillId="0" borderId="10" xfId="0" applyBorder="1" applyProtection="1"/>
    <xf numFmtId="0" fontId="0" fillId="0" borderId="26" xfId="0" applyBorder="1" applyAlignment="1" applyProtection="1">
      <alignment horizontal="center"/>
    </xf>
    <xf numFmtId="0" fontId="0" fillId="38" borderId="10" xfId="47" applyFont="1">
      <protection locked="0"/>
    </xf>
    <xf numFmtId="0" fontId="0" fillId="0" borderId="12" xfId="0" applyBorder="1"/>
    <xf numFmtId="0" fontId="0" fillId="0" borderId="13" xfId="0" applyBorder="1"/>
    <xf numFmtId="0" fontId="0" fillId="41" borderId="10" xfId="48" applyFont="1" applyFill="1" applyAlignment="1" applyProtection="1">
      <alignment horizontal="left"/>
    </xf>
    <xf numFmtId="0" fontId="0" fillId="0" borderId="12" xfId="0" applyBorder="1" applyAlignment="1">
      <alignment horizontal="left"/>
    </xf>
    <xf numFmtId="0" fontId="0" fillId="0" borderId="21" xfId="0" applyBorder="1" applyAlignment="1">
      <alignment horizontal="left"/>
    </xf>
    <xf numFmtId="0" fontId="0" fillId="0" borderId="13" xfId="0" applyBorder="1" applyAlignment="1">
      <alignment horizontal="left"/>
    </xf>
    <xf numFmtId="0" fontId="13" fillId="0" borderId="0" xfId="60" applyBorder="1" applyAlignment="1">
      <alignment horizontal="right"/>
    </xf>
    <xf numFmtId="0" fontId="13" fillId="0" borderId="79" xfId="60" applyBorder="1" applyAlignment="1">
      <alignment horizontal="right"/>
    </xf>
    <xf numFmtId="0" fontId="1" fillId="38" borderId="10" xfId="47" applyFont="1" applyAlignment="1">
      <alignment horizontal="left"/>
      <protection locked="0"/>
    </xf>
    <xf numFmtId="0" fontId="16" fillId="0" borderId="28" xfId="0" applyFont="1" applyBorder="1" applyAlignment="1">
      <alignment horizontal="right"/>
    </xf>
    <xf numFmtId="0" fontId="0" fillId="41" borderId="10" xfId="47" applyFont="1" applyFill="1" applyAlignment="1" applyProtection="1">
      <alignment horizontal="left"/>
    </xf>
    <xf numFmtId="168" fontId="32" fillId="40" borderId="29" xfId="65" applyFont="1" applyBorder="1" applyAlignment="1">
      <alignment horizontal="center" vertical="center" wrapText="1"/>
    </xf>
    <xf numFmtId="168" fontId="32" fillId="40" borderId="0" xfId="65" applyFont="1" applyBorder="1" applyAlignment="1">
      <alignment horizontal="center" vertical="center" wrapText="1"/>
    </xf>
    <xf numFmtId="168" fontId="32" fillId="40" borderId="28" xfId="65" applyFont="1" applyBorder="1" applyAlignment="1">
      <alignment horizontal="center" vertical="center" wrapText="1"/>
    </xf>
    <xf numFmtId="168" fontId="32" fillId="40" borderId="25" xfId="65" applyFont="1" applyBorder="1" applyAlignment="1">
      <alignment horizontal="center" vertical="center" wrapText="1"/>
    </xf>
    <xf numFmtId="168" fontId="32" fillId="40" borderId="26" xfId="65" applyFont="1" applyBorder="1" applyAlignment="1">
      <alignment horizontal="center" vertical="center" wrapText="1"/>
    </xf>
    <xf numFmtId="168" fontId="32" fillId="40" borderId="27" xfId="65" applyFont="1" applyBorder="1" applyAlignment="1">
      <alignment horizontal="center" vertical="center" wrapText="1"/>
    </xf>
    <xf numFmtId="0" fontId="81" fillId="0" borderId="55" xfId="60" applyFont="1" applyBorder="1" applyAlignment="1">
      <alignment horizontal="center" vertical="center"/>
    </xf>
    <xf numFmtId="0" fontId="81" fillId="0" borderId="56" xfId="60" applyFont="1" applyBorder="1" applyAlignment="1">
      <alignment horizontal="center" vertical="center"/>
    </xf>
    <xf numFmtId="0" fontId="81" fillId="0" borderId="57" xfId="60" applyFont="1" applyBorder="1" applyAlignment="1">
      <alignment horizontal="center" vertical="center"/>
    </xf>
    <xf numFmtId="0" fontId="81" fillId="0" borderId="58" xfId="60" applyFont="1" applyBorder="1" applyAlignment="1">
      <alignment horizontal="center" vertical="center"/>
    </xf>
    <xf numFmtId="0" fontId="81" fillId="0" borderId="59" xfId="60" applyFont="1" applyBorder="1" applyAlignment="1">
      <alignment horizontal="center" vertical="center"/>
    </xf>
    <xf numFmtId="0" fontId="81" fillId="0" borderId="60" xfId="60" applyFont="1" applyBorder="1" applyAlignment="1">
      <alignment horizontal="center" vertical="center"/>
    </xf>
    <xf numFmtId="0" fontId="0" fillId="0" borderId="22" xfId="0" applyBorder="1" applyAlignment="1">
      <alignment horizontal="center" vertical="center"/>
    </xf>
    <xf numFmtId="0" fontId="0" fillId="0" borderId="24" xfId="0" applyBorder="1" applyAlignment="1">
      <alignment horizontal="center" vertical="center"/>
    </xf>
    <xf numFmtId="0" fontId="0" fillId="0" borderId="29" xfId="0" applyBorder="1" applyAlignment="1">
      <alignment horizontal="center" vertical="center"/>
    </xf>
    <xf numFmtId="0" fontId="0" fillId="0" borderId="28" xfId="0" applyBorder="1" applyAlignment="1">
      <alignment horizontal="center" vertical="center"/>
    </xf>
    <xf numFmtId="0" fontId="0" fillId="0" borderId="25" xfId="0" applyBorder="1" applyAlignment="1">
      <alignment horizontal="center" vertical="center"/>
    </xf>
    <xf numFmtId="0" fontId="0" fillId="0" borderId="27" xfId="0" applyBorder="1" applyAlignment="1">
      <alignment horizontal="center" vertical="center"/>
    </xf>
    <xf numFmtId="0" fontId="1" fillId="41" borderId="12" xfId="47" applyFont="1" applyFill="1" applyBorder="1" applyAlignment="1" applyProtection="1">
      <alignment horizontal="left"/>
    </xf>
    <xf numFmtId="0" fontId="1" fillId="41" borderId="13" xfId="47" applyFont="1" applyFill="1" applyBorder="1" applyAlignment="1" applyProtection="1">
      <alignment horizontal="left"/>
    </xf>
    <xf numFmtId="0" fontId="21" fillId="34" borderId="19" xfId="50" applyBorder="1" applyAlignment="1"/>
    <xf numFmtId="0" fontId="21" fillId="34" borderId="0" xfId="50" applyBorder="1" applyAlignment="1"/>
    <xf numFmtId="0" fontId="21" fillId="34" borderId="20" xfId="50" applyBorder="1" applyAlignment="1"/>
    <xf numFmtId="0" fontId="0" fillId="38" borderId="10" xfId="47" applyFont="1" applyAlignment="1">
      <alignment horizontal="left" vertical="top"/>
      <protection locked="0"/>
    </xf>
    <xf numFmtId="0" fontId="0" fillId="0" borderId="22" xfId="0" applyBorder="1" applyAlignment="1">
      <alignment horizontal="left" vertical="top" wrapText="1"/>
    </xf>
    <xf numFmtId="0" fontId="0" fillId="0" borderId="23" xfId="0" applyBorder="1" applyAlignment="1">
      <alignment horizontal="left" vertical="top" wrapText="1"/>
    </xf>
    <xf numFmtId="0" fontId="0" fillId="0" borderId="24" xfId="0" applyBorder="1" applyAlignment="1">
      <alignment horizontal="left" vertical="top" wrapText="1"/>
    </xf>
    <xf numFmtId="0" fontId="0" fillId="0" borderId="25" xfId="0" applyBorder="1" applyAlignment="1">
      <alignment horizontal="left" vertical="top" wrapText="1"/>
    </xf>
    <xf numFmtId="0" fontId="0" fillId="0" borderId="26" xfId="0" applyBorder="1" applyAlignment="1">
      <alignment horizontal="left" vertical="top" wrapText="1"/>
    </xf>
    <xf numFmtId="0" fontId="0" fillId="0" borderId="27" xfId="0" applyBorder="1" applyAlignment="1">
      <alignment horizontal="left" vertical="top" wrapText="1"/>
    </xf>
    <xf numFmtId="0" fontId="0" fillId="41" borderId="22" xfId="48" applyFont="1" applyFill="1" applyBorder="1" applyAlignment="1" applyProtection="1">
      <alignment horizontal="left" vertical="top" wrapText="1"/>
    </xf>
    <xf numFmtId="0" fontId="0" fillId="41" borderId="23" xfId="48" applyFont="1" applyFill="1" applyBorder="1" applyAlignment="1" applyProtection="1">
      <alignment horizontal="left" vertical="top" wrapText="1"/>
    </xf>
    <xf numFmtId="0" fontId="0" fillId="41" borderId="24" xfId="48" applyFont="1" applyFill="1" applyBorder="1" applyAlignment="1" applyProtection="1">
      <alignment horizontal="left" vertical="top" wrapText="1"/>
    </xf>
    <xf numFmtId="0" fontId="0" fillId="41" borderId="25" xfId="48" applyFont="1" applyFill="1" applyBorder="1" applyAlignment="1" applyProtection="1">
      <alignment horizontal="left" vertical="top" wrapText="1"/>
    </xf>
    <xf numFmtId="0" fontId="0" fillId="41" borderId="26" xfId="48" applyFont="1" applyFill="1" applyBorder="1" applyAlignment="1" applyProtection="1">
      <alignment horizontal="left" vertical="top" wrapText="1"/>
    </xf>
    <xf numFmtId="0" fontId="0" fillId="41" borderId="27" xfId="48" applyFont="1" applyFill="1" applyBorder="1" applyAlignment="1" applyProtection="1">
      <alignment horizontal="left" vertical="top" wrapText="1"/>
    </xf>
    <xf numFmtId="0" fontId="0" fillId="0" borderId="0" xfId="0" applyAlignment="1" applyProtection="1">
      <alignment horizontal="left" wrapText="1"/>
    </xf>
    <xf numFmtId="0" fontId="0" fillId="41" borderId="10" xfId="47" applyFont="1" applyFill="1" applyBorder="1" applyAlignment="1" applyProtection="1">
      <alignment horizontal="left"/>
    </xf>
    <xf numFmtId="0" fontId="0" fillId="37" borderId="10" xfId="66" applyFont="1">
      <alignment horizontal="left" vertical="top" wrapText="1"/>
    </xf>
    <xf numFmtId="0" fontId="0" fillId="37" borderId="15" xfId="66" applyFont="1" applyBorder="1">
      <alignment horizontal="left" vertical="top" wrapText="1"/>
    </xf>
    <xf numFmtId="0" fontId="0" fillId="37" borderId="16" xfId="66" applyFont="1" applyBorder="1">
      <alignment horizontal="left" vertical="top" wrapText="1"/>
    </xf>
    <xf numFmtId="0" fontId="0" fillId="37" borderId="17" xfId="66" applyFont="1" applyBorder="1">
      <alignment horizontal="left" vertical="top" wrapText="1"/>
    </xf>
    <xf numFmtId="0" fontId="0" fillId="37" borderId="15" xfId="66" applyFont="1" applyBorder="1" applyProtection="1">
      <alignment horizontal="left" vertical="top" wrapText="1"/>
      <protection locked="0"/>
    </xf>
    <xf numFmtId="0" fontId="0" fillId="37" borderId="16" xfId="66" applyFont="1" applyBorder="1" applyProtection="1">
      <alignment horizontal="left" vertical="top" wrapText="1"/>
      <protection locked="0"/>
    </xf>
    <xf numFmtId="0" fontId="0" fillId="37" borderId="17" xfId="66" applyFont="1" applyBorder="1" applyProtection="1">
      <alignment horizontal="left" vertical="top" wrapText="1"/>
      <protection locked="0"/>
    </xf>
    <xf numFmtId="0" fontId="0" fillId="37" borderId="10" xfId="66" applyFont="1" applyBorder="1">
      <alignment horizontal="left" vertical="top" wrapText="1"/>
    </xf>
    <xf numFmtId="0" fontId="0" fillId="37" borderId="32" xfId="66" applyFont="1" applyBorder="1">
      <alignment horizontal="left" vertical="top" wrapText="1"/>
    </xf>
    <xf numFmtId="0" fontId="0" fillId="37" borderId="34" xfId="66" applyFont="1" applyBorder="1">
      <alignment horizontal="left" vertical="top" wrapText="1"/>
    </xf>
    <xf numFmtId="0" fontId="0" fillId="37" borderId="37" xfId="66" applyFont="1" applyBorder="1">
      <alignment horizontal="left" vertical="top" wrapText="1"/>
    </xf>
    <xf numFmtId="0" fontId="0" fillId="37" borderId="53" xfId="66" applyFont="1" applyBorder="1">
      <alignment horizontal="left" vertical="top" wrapText="1"/>
    </xf>
    <xf numFmtId="0" fontId="0" fillId="37" borderId="33" xfId="66" applyFont="1" applyBorder="1">
      <alignment horizontal="left" vertical="top" wrapText="1"/>
    </xf>
    <xf numFmtId="0" fontId="0" fillId="37" borderId="0" xfId="66" applyFont="1" applyBorder="1">
      <alignment horizontal="left" vertical="top" wrapText="1"/>
    </xf>
    <xf numFmtId="0" fontId="0" fillId="37" borderId="31" xfId="66" applyFont="1" applyBorder="1">
      <alignment horizontal="left" vertical="top" wrapText="1"/>
    </xf>
    <xf numFmtId="0" fontId="0" fillId="37" borderId="10" xfId="66" applyFont="1" applyProtection="1">
      <alignment horizontal="left" vertical="top" wrapText="1"/>
      <protection locked="0"/>
    </xf>
    <xf numFmtId="0" fontId="0" fillId="0" borderId="0" xfId="0" applyFont="1" applyBorder="1" applyAlignment="1">
      <alignment wrapText="1"/>
    </xf>
    <xf numFmtId="0" fontId="0" fillId="37" borderId="10" xfId="66" applyFont="1" applyBorder="1" applyProtection="1">
      <alignment horizontal="left" vertical="top" wrapText="1"/>
      <protection locked="0"/>
    </xf>
    <xf numFmtId="0" fontId="0" fillId="37" borderId="32" xfId="66" applyFont="1" applyBorder="1" applyProtection="1">
      <alignment horizontal="left" vertical="top" wrapText="1"/>
      <protection locked="0"/>
    </xf>
    <xf numFmtId="0" fontId="0" fillId="37" borderId="22" xfId="66" applyFont="1" applyBorder="1">
      <alignment horizontal="left" vertical="top" wrapText="1"/>
    </xf>
    <xf numFmtId="0" fontId="0" fillId="37" borderId="25" xfId="66" applyFont="1" applyBorder="1">
      <alignment horizontal="left" vertical="top" wrapText="1"/>
    </xf>
    <xf numFmtId="0" fontId="0" fillId="37" borderId="29" xfId="66" applyFont="1" applyBorder="1">
      <alignment horizontal="left" vertical="top" wrapText="1"/>
    </xf>
    <xf numFmtId="0" fontId="0" fillId="37" borderId="37" xfId="66" applyFont="1" applyBorder="1" applyProtection="1">
      <alignment horizontal="left" vertical="top" wrapText="1"/>
      <protection locked="0"/>
    </xf>
    <xf numFmtId="0" fontId="0" fillId="37" borderId="53" xfId="66" applyFont="1" applyBorder="1" applyProtection="1">
      <alignment horizontal="left" vertical="top" wrapText="1"/>
      <protection locked="0"/>
    </xf>
    <xf numFmtId="0" fontId="18" fillId="0" borderId="16" xfId="0" applyFont="1" applyBorder="1" applyAlignment="1">
      <alignment horizontal="left" vertical="center" wrapText="1"/>
    </xf>
    <xf numFmtId="0" fontId="18" fillId="0" borderId="17" xfId="0" applyFont="1" applyBorder="1" applyAlignment="1">
      <alignment horizontal="left" vertical="center" wrapText="1"/>
    </xf>
    <xf numFmtId="0" fontId="13" fillId="0" borderId="12" xfId="60" applyBorder="1" applyAlignment="1"/>
    <xf numFmtId="0" fontId="13" fillId="0" borderId="13" xfId="60" applyBorder="1" applyAlignment="1"/>
    <xf numFmtId="0" fontId="0" fillId="41" borderId="0" xfId="0" applyFill="1" applyAlignment="1">
      <alignment horizontal="center" vertical="center" textRotation="90"/>
    </xf>
    <xf numFmtId="0" fontId="0" fillId="41" borderId="28" xfId="0" applyFill="1" applyBorder="1" applyAlignment="1">
      <alignment horizontal="center" vertical="center" textRotation="90"/>
    </xf>
    <xf numFmtId="0" fontId="0" fillId="41" borderId="0" xfId="0" applyNumberFormat="1" applyFill="1" applyAlignment="1">
      <alignment textRotation="90"/>
    </xf>
    <xf numFmtId="0" fontId="24" fillId="34" borderId="18" xfId="63">
      <alignment vertical="center" wrapText="1"/>
    </xf>
    <xf numFmtId="0" fontId="0" fillId="0" borderId="21" xfId="0" applyBorder="1" applyAlignment="1">
      <alignment horizontal="left" vertical="center"/>
    </xf>
    <xf numFmtId="0" fontId="0" fillId="0" borderId="13" xfId="0" applyBorder="1" applyAlignment="1">
      <alignment horizontal="left" vertical="center"/>
    </xf>
    <xf numFmtId="0" fontId="0" fillId="0" borderId="26" xfId="0" applyBorder="1" applyAlignment="1">
      <alignment horizontal="left" vertical="center"/>
    </xf>
    <xf numFmtId="0" fontId="0" fillId="0" borderId="27" xfId="0" applyBorder="1" applyAlignment="1">
      <alignment horizontal="left" vertical="center"/>
    </xf>
    <xf numFmtId="0" fontId="16" fillId="0" borderId="10" xfId="0" applyFont="1" applyBorder="1" applyAlignment="1">
      <alignment horizontal="right"/>
    </xf>
    <xf numFmtId="0" fontId="16" fillId="0" borderId="10" xfId="0" applyFont="1" applyFill="1" applyBorder="1" applyAlignment="1">
      <alignment horizontal="right"/>
    </xf>
    <xf numFmtId="0" fontId="0" fillId="0" borderId="22" xfId="0" applyBorder="1" applyAlignment="1">
      <alignment horizontal="center"/>
    </xf>
    <xf numFmtId="0" fontId="0" fillId="0" borderId="23" xfId="0" applyBorder="1" applyAlignment="1">
      <alignment horizontal="center"/>
    </xf>
    <xf numFmtId="0" fontId="0" fillId="0" borderId="24" xfId="0" applyBorder="1" applyAlignment="1">
      <alignment horizontal="center"/>
    </xf>
    <xf numFmtId="0" fontId="0" fillId="0" borderId="29" xfId="0" applyBorder="1" applyAlignment="1">
      <alignment horizontal="center"/>
    </xf>
    <xf numFmtId="0" fontId="0" fillId="0" borderId="0" xfId="0" applyBorder="1" applyAlignment="1">
      <alignment horizontal="center"/>
    </xf>
    <xf numFmtId="0" fontId="0" fillId="0" borderId="28" xfId="0" applyBorder="1" applyAlignment="1">
      <alignment horizontal="center"/>
    </xf>
    <xf numFmtId="0" fontId="0" fillId="0" borderId="25" xfId="0" applyBorder="1" applyAlignment="1">
      <alignment horizontal="center"/>
    </xf>
    <xf numFmtId="0" fontId="0" fillId="0" borderId="26" xfId="0" applyBorder="1" applyAlignment="1">
      <alignment horizontal="center"/>
    </xf>
    <xf numFmtId="0" fontId="0" fillId="0" borderId="27" xfId="0" applyBorder="1" applyAlignment="1">
      <alignment horizontal="center"/>
    </xf>
    <xf numFmtId="0" fontId="0" fillId="0" borderId="10" xfId="0" applyFont="1" applyBorder="1" applyAlignment="1">
      <alignment horizontal="left" vertical="center"/>
    </xf>
    <xf numFmtId="0" fontId="0" fillId="0" borderId="10" xfId="0" applyFont="1" applyFill="1" applyBorder="1" applyAlignment="1">
      <alignment horizontal="left"/>
    </xf>
    <xf numFmtId="0" fontId="0" fillId="37" borderId="34" xfId="66" applyFont="1" applyBorder="1" applyProtection="1">
      <alignment horizontal="left" vertical="top" wrapText="1"/>
      <protection locked="0"/>
    </xf>
    <xf numFmtId="0" fontId="82" fillId="34" borderId="61" xfId="63" applyFont="1" applyBorder="1" applyAlignment="1">
      <alignment horizontal="center" vertical="center"/>
    </xf>
    <xf numFmtId="0" fontId="83" fillId="34" borderId="62" xfId="63" applyFont="1" applyBorder="1" applyAlignment="1">
      <alignment horizontal="center" vertical="center"/>
    </xf>
    <xf numFmtId="0" fontId="0" fillId="0" borderId="0" xfId="0" applyAlignment="1">
      <alignment horizontal="center" vertical="center" textRotation="90"/>
    </xf>
    <xf numFmtId="0" fontId="111" fillId="0" borderId="22" xfId="0" applyFont="1" applyBorder="1" applyAlignment="1">
      <alignment horizontal="center" vertical="center" wrapText="1"/>
    </xf>
    <xf numFmtId="0" fontId="111" fillId="0" borderId="23" xfId="0" applyFont="1" applyBorder="1" applyAlignment="1">
      <alignment horizontal="center" vertical="center" wrapText="1"/>
    </xf>
    <xf numFmtId="0" fontId="111" fillId="0" borderId="24" xfId="0" applyFont="1" applyBorder="1" applyAlignment="1">
      <alignment horizontal="center" vertical="center" wrapText="1"/>
    </xf>
    <xf numFmtId="0" fontId="111" fillId="0" borderId="29" xfId="0" applyFont="1" applyBorder="1" applyAlignment="1">
      <alignment horizontal="center" vertical="center" wrapText="1"/>
    </xf>
    <xf numFmtId="0" fontId="111" fillId="0" borderId="0" xfId="0" applyFont="1" applyAlignment="1">
      <alignment horizontal="center" vertical="center" wrapText="1"/>
    </xf>
    <xf numFmtId="0" fontId="111" fillId="0" borderId="28" xfId="0" applyFont="1" applyBorder="1" applyAlignment="1">
      <alignment horizontal="center" vertical="center" wrapText="1"/>
    </xf>
    <xf numFmtId="0" fontId="111" fillId="0" borderId="25" xfId="0" applyFont="1" applyBorder="1" applyAlignment="1">
      <alignment horizontal="center" vertical="center" wrapText="1"/>
    </xf>
    <xf numFmtId="0" fontId="111" fillId="0" borderId="26" xfId="0" applyFont="1" applyBorder="1" applyAlignment="1">
      <alignment horizontal="center" vertical="center" wrapText="1"/>
    </xf>
    <xf numFmtId="0" fontId="111" fillId="0" borderId="27" xfId="0" applyFont="1" applyBorder="1" applyAlignment="1">
      <alignment horizontal="center" vertical="center" wrapText="1"/>
    </xf>
    <xf numFmtId="187" fontId="0" fillId="2" borderId="26" xfId="0" applyNumberFormat="1" applyFill="1" applyBorder="1" applyAlignment="1">
      <alignment horizontal="center"/>
    </xf>
    <xf numFmtId="0" fontId="25" fillId="52" borderId="0" xfId="0" applyFont="1" applyFill="1" applyAlignment="1">
      <alignment horizontal="center" vertical="center"/>
    </xf>
    <xf numFmtId="0" fontId="25" fillId="52" borderId="26" xfId="0" applyFont="1" applyFill="1" applyBorder="1" applyAlignment="1">
      <alignment horizontal="center" vertical="center"/>
    </xf>
    <xf numFmtId="0" fontId="18" fillId="52" borderId="0" xfId="0" applyFont="1" applyFill="1" applyAlignment="1">
      <alignment horizontal="center" vertical="center"/>
    </xf>
    <xf numFmtId="0" fontId="18" fillId="52" borderId="26" xfId="0" applyFont="1" applyFill="1" applyBorder="1" applyAlignment="1">
      <alignment horizontal="center" vertical="center"/>
    </xf>
    <xf numFmtId="0" fontId="25" fillId="52" borderId="23" xfId="0" applyFont="1" applyFill="1" applyBorder="1" applyAlignment="1">
      <alignment horizontal="center" vertical="center"/>
    </xf>
    <xf numFmtId="0" fontId="25" fillId="52" borderId="0" xfId="0" applyFont="1" applyFill="1" applyAlignment="1">
      <alignment horizontal="center" vertical="center" wrapText="1"/>
    </xf>
    <xf numFmtId="0" fontId="25" fillId="52" borderId="33" xfId="0" applyFont="1" applyFill="1" applyBorder="1" applyAlignment="1">
      <alignment horizontal="center" vertical="center"/>
    </xf>
    <xf numFmtId="0" fontId="25" fillId="52" borderId="31" xfId="0" applyFont="1" applyFill="1" applyBorder="1" applyAlignment="1">
      <alignment horizontal="center" vertical="center"/>
    </xf>
    <xf numFmtId="0" fontId="26" fillId="52" borderId="0" xfId="0" applyFont="1" applyFill="1" applyAlignment="1">
      <alignment horizontal="center" vertical="center" wrapText="1"/>
    </xf>
    <xf numFmtId="0" fontId="26" fillId="52" borderId="31" xfId="0" applyFont="1" applyFill="1" applyBorder="1" applyAlignment="1">
      <alignment horizontal="center" vertical="center" wrapText="1"/>
    </xf>
    <xf numFmtId="0" fontId="112" fillId="52" borderId="23" xfId="57" applyFont="1" applyFill="1" applyBorder="1" applyAlignment="1" applyProtection="1">
      <alignment horizontal="center" vertical="center" wrapText="1"/>
      <protection locked="0"/>
    </xf>
    <xf numFmtId="0" fontId="112" fillId="52" borderId="0" xfId="57" applyFont="1" applyFill="1" applyAlignment="1" applyProtection="1">
      <alignment horizontal="center" vertical="center" wrapText="1"/>
      <protection locked="0"/>
    </xf>
    <xf numFmtId="0" fontId="112" fillId="52" borderId="26" xfId="57" applyFont="1" applyFill="1" applyBorder="1" applyAlignment="1" applyProtection="1">
      <alignment horizontal="center" vertical="center" wrapText="1"/>
      <protection locked="0"/>
    </xf>
    <xf numFmtId="0" fontId="112" fillId="52" borderId="0" xfId="57" applyFont="1" applyFill="1" applyBorder="1" applyAlignment="1" applyProtection="1">
      <alignment horizontal="center" vertical="center" wrapText="1"/>
      <protection locked="0"/>
    </xf>
    <xf numFmtId="0" fontId="112" fillId="52" borderId="31" xfId="57" applyFont="1" applyFill="1" applyBorder="1" applyAlignment="1" applyProtection="1">
      <alignment horizontal="center" vertical="center" wrapText="1"/>
      <protection locked="0"/>
    </xf>
    <xf numFmtId="0" fontId="25" fillId="52" borderId="33" xfId="0" applyFont="1" applyFill="1" applyBorder="1" applyAlignment="1">
      <alignment horizontal="center" vertical="center" wrapText="1"/>
    </xf>
    <xf numFmtId="0" fontId="25" fillId="52" borderId="31" xfId="0" applyFont="1" applyFill="1" applyBorder="1" applyAlignment="1">
      <alignment horizontal="center" vertical="center" wrapText="1"/>
    </xf>
    <xf numFmtId="187" fontId="0" fillId="2" borderId="33" xfId="0" applyNumberFormat="1" applyFill="1" applyBorder="1" applyAlignment="1">
      <alignment horizontal="center" vertical="center"/>
    </xf>
    <xf numFmtId="187" fontId="0" fillId="2" borderId="26" xfId="0" applyNumberFormat="1" applyFill="1" applyBorder="1" applyAlignment="1">
      <alignment horizontal="center" vertical="center"/>
    </xf>
    <xf numFmtId="0" fontId="18" fillId="52" borderId="31" xfId="0" applyFont="1" applyFill="1" applyBorder="1" applyAlignment="1">
      <alignment horizontal="center" vertical="center"/>
    </xf>
    <xf numFmtId="0" fontId="18" fillId="52" borderId="23" xfId="0" applyFont="1" applyFill="1" applyBorder="1" applyAlignment="1">
      <alignment horizontal="center" vertical="center"/>
    </xf>
    <xf numFmtId="0" fontId="58" fillId="0" borderId="26" xfId="0" applyFont="1" applyBorder="1" applyAlignment="1">
      <alignment vertical="top" wrapText="1"/>
    </xf>
    <xf numFmtId="0" fontId="52" fillId="0" borderId="15" xfId="0" applyFont="1" applyBorder="1" applyAlignment="1">
      <alignment horizontal="center" vertical="center" wrapText="1"/>
    </xf>
    <xf numFmtId="0" fontId="52" fillId="0" borderId="16" xfId="0" applyFont="1" applyBorder="1" applyAlignment="1">
      <alignment horizontal="center" vertical="center" wrapText="1"/>
    </xf>
    <xf numFmtId="0" fontId="24" fillId="34" borderId="19" xfId="63" applyBorder="1">
      <alignment vertical="center" wrapText="1"/>
    </xf>
    <xf numFmtId="168" fontId="29" fillId="40" borderId="14" xfId="65" applyBorder="1" applyAlignment="1">
      <alignment horizontal="center" vertical="center" wrapText="1"/>
    </xf>
    <xf numFmtId="49" fontId="0" fillId="39" borderId="10" xfId="48" applyNumberFormat="1" applyFont="1">
      <protection locked="0"/>
    </xf>
    <xf numFmtId="0" fontId="56" fillId="37" borderId="10" xfId="66" applyFont="1">
      <alignment horizontal="left" vertical="top" wrapText="1"/>
    </xf>
    <xf numFmtId="0" fontId="0" fillId="41" borderId="0" xfId="0" applyFill="1" applyBorder="1" applyAlignment="1">
      <alignment horizontal="left" wrapText="1" indent="1"/>
    </xf>
    <xf numFmtId="0" fontId="0" fillId="41" borderId="0" xfId="0" applyFill="1" applyBorder="1" applyAlignment="1">
      <alignment horizontal="left" vertical="center" wrapText="1" indent="1"/>
    </xf>
    <xf numFmtId="0" fontId="16" fillId="0" borderId="0" xfId="0" applyFont="1" applyAlignment="1">
      <alignment horizontal="left"/>
    </xf>
    <xf numFmtId="0" fontId="54" fillId="37" borderId="10" xfId="66" applyFont="1">
      <alignment horizontal="left" vertical="top" wrapText="1"/>
    </xf>
    <xf numFmtId="0" fontId="43" fillId="0" borderId="0" xfId="0" applyFont="1" applyAlignment="1">
      <alignment horizontal="left"/>
    </xf>
    <xf numFmtId="0" fontId="16" fillId="0" borderId="0" xfId="0" applyFont="1" applyBorder="1" applyAlignment="1">
      <alignment horizontal="left"/>
    </xf>
    <xf numFmtId="0" fontId="0" fillId="0" borderId="0" xfId="0" applyAlignment="1">
      <alignment horizontal="left" vertical="top"/>
    </xf>
    <xf numFmtId="0" fontId="55" fillId="0" borderId="0" xfId="0" applyFont="1" applyAlignment="1">
      <alignment horizontal="left" vertical="center"/>
    </xf>
    <xf numFmtId="49" fontId="0" fillId="39" borderId="10" xfId="48" applyNumberFormat="1" applyFont="1" applyAlignment="1">
      <alignment horizontal="left"/>
      <protection locked="0"/>
    </xf>
    <xf numFmtId="49" fontId="0" fillId="38" borderId="22" xfId="47" applyNumberFormat="1" applyFont="1" applyBorder="1" applyAlignment="1">
      <alignment horizontal="left" vertical="top" wrapText="1"/>
      <protection locked="0"/>
    </xf>
    <xf numFmtId="49" fontId="0" fillId="38" borderId="23" xfId="47" applyNumberFormat="1" applyFont="1" applyBorder="1" applyAlignment="1">
      <alignment horizontal="left" vertical="top" wrapText="1"/>
      <protection locked="0"/>
    </xf>
    <xf numFmtId="49" fontId="0" fillId="38" borderId="24" xfId="47" applyNumberFormat="1" applyFont="1" applyBorder="1" applyAlignment="1">
      <alignment horizontal="left" vertical="top" wrapText="1"/>
      <protection locked="0"/>
    </xf>
    <xf numFmtId="49" fontId="0" fillId="38" borderId="29" xfId="47" applyNumberFormat="1" applyFont="1" applyBorder="1" applyAlignment="1">
      <alignment horizontal="left" vertical="top" wrapText="1"/>
      <protection locked="0"/>
    </xf>
    <xf numFmtId="49" fontId="0" fillId="38" borderId="0" xfId="47" applyNumberFormat="1" applyFont="1" applyBorder="1" applyAlignment="1">
      <alignment horizontal="left" vertical="top" wrapText="1"/>
      <protection locked="0"/>
    </xf>
    <xf numFmtId="49" fontId="0" fillId="38" borderId="28" xfId="47" applyNumberFormat="1" applyFont="1" applyBorder="1" applyAlignment="1">
      <alignment horizontal="left" vertical="top" wrapText="1"/>
      <protection locked="0"/>
    </xf>
    <xf numFmtId="49" fontId="0" fillId="38" borderId="25" xfId="47" applyNumberFormat="1" applyFont="1" applyBorder="1" applyAlignment="1">
      <alignment horizontal="left" vertical="top" wrapText="1"/>
      <protection locked="0"/>
    </xf>
    <xf numFmtId="49" fontId="0" fillId="38" borderId="26" xfId="47" applyNumberFormat="1" applyFont="1" applyBorder="1" applyAlignment="1">
      <alignment horizontal="left" vertical="top" wrapText="1"/>
      <protection locked="0"/>
    </xf>
    <xf numFmtId="49" fontId="0" fillId="38" borderId="27" xfId="47" applyNumberFormat="1" applyFont="1" applyBorder="1" applyAlignment="1">
      <alignment horizontal="left" vertical="top" wrapText="1"/>
      <protection locked="0"/>
    </xf>
    <xf numFmtId="0" fontId="16" fillId="0" borderId="0" xfId="0" applyFont="1" applyAlignment="1">
      <alignment horizontal="right" vertical="center" wrapText="1"/>
    </xf>
    <xf numFmtId="0" fontId="16" fillId="0" borderId="0" xfId="0" applyFont="1" applyAlignment="1">
      <alignment horizontal="right" vertical="center"/>
    </xf>
    <xf numFmtId="49" fontId="0" fillId="38" borderId="22" xfId="47" applyNumberFormat="1" applyFont="1" applyBorder="1" applyAlignment="1">
      <alignment horizontal="left" vertical="top"/>
      <protection locked="0"/>
    </xf>
    <xf numFmtId="49" fontId="0" fillId="38" borderId="24" xfId="47" applyNumberFormat="1" applyFont="1" applyBorder="1" applyAlignment="1">
      <alignment horizontal="left" vertical="top"/>
      <protection locked="0"/>
    </xf>
    <xf numFmtId="49" fontId="0" fillId="38" borderId="25" xfId="47" applyNumberFormat="1" applyFont="1" applyBorder="1" applyAlignment="1">
      <alignment horizontal="left" vertical="top"/>
      <protection locked="0"/>
    </xf>
    <xf numFmtId="49" fontId="0" fillId="38" borderId="27" xfId="47" applyNumberFormat="1" applyFont="1" applyBorder="1" applyAlignment="1">
      <alignment horizontal="left" vertical="top"/>
      <protection locked="0"/>
    </xf>
    <xf numFmtId="0" fontId="0" fillId="0" borderId="0" xfId="0" applyAlignment="1">
      <alignment horizontal="center" wrapText="1"/>
    </xf>
    <xf numFmtId="0" fontId="16" fillId="0" borderId="10" xfId="0" applyFont="1" applyBorder="1" applyAlignment="1">
      <alignment horizontal="center"/>
    </xf>
    <xf numFmtId="0" fontId="16" fillId="0" borderId="12" xfId="0" applyFont="1" applyBorder="1" applyAlignment="1">
      <alignment horizontal="center"/>
    </xf>
    <xf numFmtId="0" fontId="16" fillId="0" borderId="13" xfId="0" applyFont="1" applyBorder="1" applyAlignment="1">
      <alignment horizontal="center"/>
    </xf>
    <xf numFmtId="0" fontId="16" fillId="0" borderId="0" xfId="0" applyFont="1" applyBorder="1" applyAlignment="1">
      <alignment horizontal="right" vertical="top"/>
    </xf>
    <xf numFmtId="49" fontId="0" fillId="39" borderId="10" xfId="48" applyNumberFormat="1" applyFont="1" applyAlignment="1">
      <alignment horizontal="left" vertical="top" wrapText="1"/>
      <protection locked="0"/>
    </xf>
    <xf numFmtId="0" fontId="13" fillId="0" borderId="0" xfId="60" applyBorder="1" applyAlignment="1">
      <alignment vertical="center"/>
    </xf>
    <xf numFmtId="0" fontId="16" fillId="0" borderId="15" xfId="0" applyFont="1" applyBorder="1" applyAlignment="1">
      <alignment horizontal="center" wrapText="1"/>
    </xf>
    <xf numFmtId="0" fontId="16" fillId="0" borderId="17" xfId="0" applyFont="1" applyBorder="1" applyAlignment="1">
      <alignment horizontal="center" wrapText="1"/>
    </xf>
    <xf numFmtId="0" fontId="0" fillId="0" borderId="0" xfId="0" applyFill="1" applyAlignment="1">
      <alignment horizontal="left" vertical="top"/>
    </xf>
    <xf numFmtId="0" fontId="0" fillId="39" borderId="22" xfId="48" applyNumberFormat="1" applyFont="1" applyBorder="1" applyAlignment="1">
      <alignment horizontal="center" vertical="center"/>
      <protection locked="0"/>
    </xf>
    <xf numFmtId="0" fontId="0" fillId="39" borderId="24" xfId="48" applyNumberFormat="1" applyFont="1" applyBorder="1" applyAlignment="1">
      <alignment horizontal="center" vertical="center"/>
      <protection locked="0"/>
    </xf>
    <xf numFmtId="0" fontId="0" fillId="39" borderId="29" xfId="48" applyNumberFormat="1" applyFont="1" applyBorder="1" applyAlignment="1">
      <alignment horizontal="center" vertical="center"/>
      <protection locked="0"/>
    </xf>
    <xf numFmtId="0" fontId="0" fillId="39" borderId="28" xfId="48" applyNumberFormat="1" applyFont="1" applyBorder="1" applyAlignment="1">
      <alignment horizontal="center" vertical="center"/>
      <protection locked="0"/>
    </xf>
    <xf numFmtId="0" fontId="0" fillId="39" borderId="25" xfId="48" applyNumberFormat="1" applyFont="1" applyBorder="1" applyAlignment="1">
      <alignment horizontal="center" vertical="center"/>
      <protection locked="0"/>
    </xf>
    <xf numFmtId="0" fontId="0" fillId="39" borderId="27" xfId="48" applyNumberFormat="1" applyFont="1" applyBorder="1" applyAlignment="1">
      <alignment horizontal="center" vertical="center"/>
      <protection locked="0"/>
    </xf>
    <xf numFmtId="0" fontId="16" fillId="0" borderId="0" xfId="0" applyFont="1" applyAlignment="1">
      <alignment horizontal="right" vertical="top"/>
    </xf>
    <xf numFmtId="0" fontId="0" fillId="0" borderId="0" xfId="0" applyAlignment="1">
      <alignment horizontal="left" wrapText="1"/>
    </xf>
    <xf numFmtId="0" fontId="0" fillId="41" borderId="0" xfId="0" applyFill="1" applyAlignment="1">
      <alignment horizontal="left" vertical="center" wrapText="1" indent="1"/>
    </xf>
    <xf numFmtId="0" fontId="0" fillId="41" borderId="0" xfId="0" applyFill="1" applyAlignment="1">
      <alignment horizontal="left" wrapText="1" indent="1"/>
    </xf>
    <xf numFmtId="0" fontId="16" fillId="0" borderId="0" xfId="64" applyFont="1" applyFill="1" applyBorder="1" applyAlignment="1">
      <alignment horizontal="right" wrapText="1"/>
    </xf>
    <xf numFmtId="0" fontId="16" fillId="0" borderId="0" xfId="0" applyFont="1" applyBorder="1" applyAlignment="1">
      <alignment horizontal="right" wrapText="1"/>
    </xf>
    <xf numFmtId="0" fontId="57" fillId="0" borderId="0" xfId="54" applyFont="1" applyFill="1" applyBorder="1" applyAlignment="1">
      <alignment horizontal="center" vertical="top" wrapText="1"/>
      <protection locked="0"/>
    </xf>
    <xf numFmtId="0" fontId="0" fillId="45" borderId="22" xfId="0" applyFill="1" applyBorder="1" applyAlignment="1" applyProtection="1">
      <alignment wrapText="1"/>
      <protection locked="0"/>
    </xf>
    <xf numFmtId="0" fontId="0" fillId="45" borderId="23" xfId="0" applyFill="1" applyBorder="1" applyAlignment="1" applyProtection="1">
      <alignment wrapText="1"/>
      <protection locked="0"/>
    </xf>
    <xf numFmtId="0" fontId="0" fillId="45" borderId="24" xfId="0" applyFill="1" applyBorder="1" applyAlignment="1" applyProtection="1">
      <alignment wrapText="1"/>
      <protection locked="0"/>
    </xf>
    <xf numFmtId="0" fontId="0" fillId="45" borderId="29" xfId="0" applyFill="1" applyBorder="1" applyAlignment="1" applyProtection="1">
      <alignment wrapText="1"/>
      <protection locked="0"/>
    </xf>
    <xf numFmtId="0" fontId="0" fillId="45" borderId="0" xfId="0" applyFill="1" applyBorder="1" applyAlignment="1" applyProtection="1">
      <alignment wrapText="1"/>
      <protection locked="0"/>
    </xf>
    <xf numFmtId="0" fontId="0" fillId="45" borderId="28" xfId="0" applyFill="1" applyBorder="1" applyAlignment="1" applyProtection="1">
      <alignment wrapText="1"/>
      <protection locked="0"/>
    </xf>
    <xf numFmtId="0" fontId="0" fillId="45" borderId="25" xfId="0" applyFill="1" applyBorder="1" applyAlignment="1" applyProtection="1">
      <alignment wrapText="1"/>
      <protection locked="0"/>
    </xf>
    <xf numFmtId="0" fontId="0" fillId="45" borderId="26" xfId="0" applyFill="1" applyBorder="1" applyAlignment="1" applyProtection="1">
      <alignment wrapText="1"/>
      <protection locked="0"/>
    </xf>
    <xf numFmtId="0" fontId="0" fillId="45" borderId="27" xfId="0" applyFill="1" applyBorder="1" applyAlignment="1" applyProtection="1">
      <alignment wrapText="1"/>
      <protection locked="0"/>
    </xf>
    <xf numFmtId="49" fontId="0" fillId="38" borderId="10" xfId="47" applyNumberFormat="1" applyFont="1" applyAlignment="1">
      <alignment horizontal="left" vertical="center"/>
      <protection locked="0"/>
    </xf>
    <xf numFmtId="0" fontId="16" fillId="0" borderId="0" xfId="0" applyFont="1" applyAlignment="1">
      <alignment horizontal="center" vertical="top" wrapText="1"/>
    </xf>
    <xf numFmtId="0" fontId="16" fillId="0" borderId="0" xfId="0" applyFont="1" applyBorder="1" applyAlignment="1">
      <alignment horizontal="right"/>
    </xf>
    <xf numFmtId="0" fontId="16" fillId="0" borderId="28" xfId="0" applyFont="1" applyBorder="1" applyAlignment="1">
      <alignment horizontal="right" vertical="center" wrapText="1"/>
    </xf>
    <xf numFmtId="0" fontId="55" fillId="0" borderId="0" xfId="0" applyFont="1"/>
    <xf numFmtId="0" fontId="16" fillId="0" borderId="0" xfId="0" applyFont="1" applyBorder="1" applyAlignment="1">
      <alignment horizontal="left" vertical="center"/>
    </xf>
    <xf numFmtId="49" fontId="0" fillId="38" borderId="22" xfId="47" applyNumberFormat="1" applyFont="1" applyBorder="1" applyAlignment="1">
      <alignment horizontal="center"/>
      <protection locked="0"/>
    </xf>
    <xf numFmtId="49" fontId="0" fillId="38" borderId="24" xfId="47" applyNumberFormat="1" applyFont="1" applyBorder="1" applyAlignment="1">
      <alignment horizontal="center"/>
      <protection locked="0"/>
    </xf>
    <xf numFmtId="49" fontId="0" fillId="38" borderId="25" xfId="47" applyNumberFormat="1" applyFont="1" applyBorder="1" applyAlignment="1">
      <alignment horizontal="center"/>
      <protection locked="0"/>
    </xf>
    <xf numFmtId="49" fontId="0" fillId="38" borderId="27" xfId="47" applyNumberFormat="1" applyFont="1" applyBorder="1" applyAlignment="1">
      <alignment horizontal="center"/>
      <protection locked="0"/>
    </xf>
    <xf numFmtId="49" fontId="0" fillId="38" borderId="22" xfId="47" applyNumberFormat="1" applyFont="1" applyBorder="1" applyAlignment="1">
      <alignment horizontal="center" wrapText="1"/>
      <protection locked="0"/>
    </xf>
    <xf numFmtId="49" fontId="0" fillId="38" borderId="23" xfId="47" applyNumberFormat="1" applyFont="1" applyBorder="1" applyAlignment="1">
      <alignment horizontal="center" wrapText="1"/>
      <protection locked="0"/>
    </xf>
    <xf numFmtId="49" fontId="0" fillId="38" borderId="24" xfId="47" applyNumberFormat="1" applyFont="1" applyBorder="1" applyAlignment="1">
      <alignment horizontal="center" wrapText="1"/>
      <protection locked="0"/>
    </xf>
    <xf numFmtId="49" fontId="0" fillId="38" borderId="29" xfId="47" applyNumberFormat="1" applyFont="1" applyBorder="1" applyAlignment="1">
      <alignment horizontal="center" wrapText="1"/>
      <protection locked="0"/>
    </xf>
    <xf numFmtId="49" fontId="0" fillId="38" borderId="0" xfId="47" applyNumberFormat="1" applyFont="1" applyBorder="1" applyAlignment="1">
      <alignment horizontal="center" wrapText="1"/>
      <protection locked="0"/>
    </xf>
    <xf numFmtId="49" fontId="0" fillId="38" borderId="28" xfId="47" applyNumberFormat="1" applyFont="1" applyBorder="1" applyAlignment="1">
      <alignment horizontal="center" wrapText="1"/>
      <protection locked="0"/>
    </xf>
    <xf numFmtId="49" fontId="0" fillId="38" borderId="25" xfId="47" applyNumberFormat="1" applyFont="1" applyBorder="1" applyAlignment="1">
      <alignment horizontal="center" wrapText="1"/>
      <protection locked="0"/>
    </xf>
    <xf numFmtId="49" fontId="0" fillId="38" borderId="26" xfId="47" applyNumberFormat="1" applyFont="1" applyBorder="1" applyAlignment="1">
      <alignment horizontal="center" wrapText="1"/>
      <protection locked="0"/>
    </xf>
    <xf numFmtId="49" fontId="0" fillId="38" borderId="27" xfId="47" applyNumberFormat="1" applyFont="1" applyBorder="1" applyAlignment="1">
      <alignment horizontal="center" wrapText="1"/>
      <protection locked="0"/>
    </xf>
    <xf numFmtId="49" fontId="0" fillId="38" borderId="10" xfId="47" applyNumberFormat="1" applyFont="1" applyAlignment="1">
      <alignment horizontal="center"/>
      <protection locked="0"/>
    </xf>
    <xf numFmtId="0" fontId="16" fillId="0" borderId="0" xfId="0" applyFont="1" applyAlignment="1">
      <alignment horizontal="right" wrapText="1"/>
    </xf>
    <xf numFmtId="0" fontId="0" fillId="45" borderId="0" xfId="0" applyFill="1" applyAlignment="1" applyProtection="1">
      <alignment wrapText="1"/>
      <protection locked="0"/>
    </xf>
    <xf numFmtId="0" fontId="66" fillId="0" borderId="88" xfId="0" applyFont="1" applyBorder="1" applyAlignment="1">
      <alignment horizontal="center" vertical="top" wrapText="1"/>
    </xf>
    <xf numFmtId="0" fontId="66" fillId="0" borderId="87" xfId="0" applyFont="1" applyBorder="1" applyAlignment="1">
      <alignment horizontal="center" vertical="top" wrapText="1"/>
    </xf>
    <xf numFmtId="0" fontId="65" fillId="46" borderId="89" xfId="0" applyFont="1" applyFill="1" applyBorder="1" applyAlignment="1">
      <alignment horizontal="center" vertical="top" wrapText="1"/>
    </xf>
    <xf numFmtId="0" fontId="65" fillId="46" borderId="88" xfId="0" applyFont="1" applyFill="1" applyBorder="1" applyAlignment="1">
      <alignment horizontal="center" vertical="top" wrapText="1"/>
    </xf>
    <xf numFmtId="0" fontId="66" fillId="0" borderId="0" xfId="0" applyFont="1" applyBorder="1" applyAlignment="1">
      <alignment horizontal="justify" vertical="top" wrapText="1"/>
    </xf>
    <xf numFmtId="0" fontId="67" fillId="47" borderId="90" xfId="0" applyFont="1" applyFill="1" applyBorder="1" applyAlignment="1">
      <alignment vertical="center" wrapText="1"/>
    </xf>
    <xf numFmtId="0" fontId="67" fillId="47" borderId="0" xfId="0" applyFont="1" applyFill="1" applyBorder="1" applyAlignment="1">
      <alignment vertical="center" wrapText="1"/>
    </xf>
    <xf numFmtId="0" fontId="66" fillId="0" borderId="0" xfId="0" applyFont="1" applyAlignment="1">
      <alignment horizontal="justify" vertical="center" wrapText="1"/>
    </xf>
    <xf numFmtId="0" fontId="66" fillId="0" borderId="0" xfId="0" applyFont="1" applyAlignment="1">
      <alignment horizontal="center" vertical="top" wrapText="1"/>
    </xf>
    <xf numFmtId="0" fontId="66" fillId="0" borderId="0" xfId="0" applyFont="1" applyBorder="1" applyAlignment="1">
      <alignment horizontal="center" vertical="top" wrapText="1"/>
    </xf>
    <xf numFmtId="0" fontId="65" fillId="0" borderId="0" xfId="0" applyFont="1" applyAlignment="1">
      <alignment horizontal="justify" vertical="center" wrapText="1"/>
    </xf>
    <xf numFmtId="0" fontId="65" fillId="0" borderId="82" xfId="0" applyFont="1" applyBorder="1" applyAlignment="1">
      <alignment horizontal="center" vertical="top" wrapText="1"/>
    </xf>
    <xf numFmtId="0" fontId="65" fillId="0" borderId="81" xfId="0" applyFont="1" applyBorder="1" applyAlignment="1">
      <alignment horizontal="center" vertical="top" wrapText="1"/>
    </xf>
    <xf numFmtId="0" fontId="64" fillId="0" borderId="0" xfId="0" applyFont="1" applyAlignment="1">
      <alignment vertical="center" wrapText="1"/>
    </xf>
    <xf numFmtId="0" fontId="66" fillId="0" borderId="86" xfId="0" applyFont="1" applyBorder="1" applyAlignment="1">
      <alignment horizontal="center" vertical="top" wrapText="1"/>
    </xf>
    <xf numFmtId="0" fontId="66" fillId="0" borderId="34" xfId="0" applyFont="1" applyBorder="1" applyAlignment="1">
      <alignment horizontal="center" vertical="top" wrapText="1"/>
    </xf>
    <xf numFmtId="0" fontId="65" fillId="0" borderId="84" xfId="0" applyFont="1" applyBorder="1" applyAlignment="1">
      <alignment horizontal="center" vertical="top" wrapText="1"/>
    </xf>
    <xf numFmtId="0" fontId="65" fillId="0" borderId="10" xfId="0" applyFont="1" applyBorder="1" applyAlignment="1">
      <alignment horizontal="center" vertical="top" wrapText="1"/>
    </xf>
    <xf numFmtId="0" fontId="66" fillId="0" borderId="89" xfId="0" applyFont="1" applyBorder="1" applyAlignment="1">
      <alignment horizontal="center" vertical="top" wrapText="1"/>
    </xf>
    <xf numFmtId="0" fontId="65" fillId="0" borderId="86" xfId="0" applyFont="1" applyBorder="1" applyAlignment="1">
      <alignment horizontal="center" vertical="top" wrapText="1"/>
    </xf>
    <xf numFmtId="0" fontId="65" fillId="0" borderId="34" xfId="0" applyFont="1" applyBorder="1" applyAlignment="1">
      <alignment horizontal="center" vertical="top" wrapText="1"/>
    </xf>
    <xf numFmtId="0" fontId="66" fillId="0" borderId="85" xfId="0" applyFont="1" applyBorder="1" applyAlignment="1">
      <alignment horizontal="center" vertical="top" wrapText="1"/>
    </xf>
    <xf numFmtId="0" fontId="64" fillId="0" borderId="0" xfId="0" applyFont="1" applyBorder="1" applyAlignment="1">
      <alignment vertical="center" wrapText="1"/>
    </xf>
    <xf numFmtId="0" fontId="65" fillId="0" borderId="0" xfId="0" applyFont="1" applyAlignment="1">
      <alignment vertical="top" wrapText="1"/>
    </xf>
    <xf numFmtId="0" fontId="65" fillId="0" borderId="0" xfId="0" applyFont="1" applyAlignment="1">
      <alignment horizontal="justify" vertical="top" wrapText="1"/>
    </xf>
    <xf numFmtId="0" fontId="66" fillId="0" borderId="94" xfId="0" applyFont="1" applyBorder="1" applyAlignment="1">
      <alignment horizontal="center" vertical="top" wrapText="1"/>
    </xf>
    <xf numFmtId="0" fontId="66" fillId="0" borderId="71" xfId="0" applyFont="1" applyBorder="1" applyAlignment="1">
      <alignment horizontal="center" vertical="top" wrapText="1"/>
    </xf>
    <xf numFmtId="0" fontId="76" fillId="0" borderId="0" xfId="0" applyFont="1" applyAlignment="1">
      <alignment wrapText="1"/>
    </xf>
    <xf numFmtId="0" fontId="65" fillId="0" borderId="90" xfId="0" applyFont="1" applyBorder="1" applyAlignment="1">
      <alignment vertical="top" wrapText="1"/>
    </xf>
    <xf numFmtId="0" fontId="65" fillId="0" borderId="0" xfId="0" applyFont="1" applyBorder="1" applyAlignment="1">
      <alignment vertical="top" wrapText="1"/>
    </xf>
    <xf numFmtId="0" fontId="65" fillId="0" borderId="67" xfId="0" applyFont="1" applyBorder="1" applyAlignment="1">
      <alignment vertical="top" wrapText="1"/>
    </xf>
    <xf numFmtId="0" fontId="65" fillId="0" borderId="73" xfId="0" applyFont="1" applyBorder="1" applyAlignment="1">
      <alignment vertical="top" wrapText="1"/>
    </xf>
    <xf numFmtId="0" fontId="66" fillId="0" borderId="0" xfId="0" applyFont="1" applyAlignment="1">
      <alignment horizontal="justify" vertical="top" wrapText="1"/>
    </xf>
    <xf numFmtId="0" fontId="66" fillId="0" borderId="72" xfId="0" applyFont="1" applyBorder="1" applyAlignment="1">
      <alignment horizontal="center" vertical="top" wrapText="1"/>
    </xf>
    <xf numFmtId="0" fontId="66" fillId="0" borderId="93" xfId="0" applyFont="1" applyBorder="1" applyAlignment="1">
      <alignment horizontal="center" vertical="top" wrapText="1"/>
    </xf>
    <xf numFmtId="0" fontId="66" fillId="0" borderId="31" xfId="0" applyFont="1" applyBorder="1" applyAlignment="1">
      <alignment horizontal="center" vertical="top" wrapText="1"/>
    </xf>
    <xf numFmtId="0" fontId="66" fillId="0" borderId="73" xfId="0" applyFont="1" applyBorder="1" applyAlignment="1">
      <alignment horizontal="center" vertical="top" wrapText="1"/>
    </xf>
    <xf numFmtId="0" fontId="69" fillId="0" borderId="0" xfId="0" applyFont="1" applyAlignment="1">
      <alignment horizontal="left" vertical="top"/>
    </xf>
    <xf numFmtId="0" fontId="71" fillId="0" borderId="0" xfId="0" applyFont="1" applyAlignment="1">
      <alignment vertical="top" wrapText="1"/>
    </xf>
    <xf numFmtId="0" fontId="68" fillId="0" borderId="0" xfId="0" applyFont="1" applyAlignment="1">
      <alignment horizontal="justify" vertical="top" wrapText="1"/>
    </xf>
    <xf numFmtId="0" fontId="65" fillId="0" borderId="0" xfId="0" applyFont="1" applyAlignment="1">
      <alignment horizontal="left" vertical="top" wrapText="1"/>
    </xf>
    <xf numFmtId="0" fontId="65" fillId="0" borderId="90" xfId="0" applyFont="1" applyBorder="1" applyAlignment="1">
      <alignment horizontal="center" vertical="top" wrapText="1"/>
    </xf>
    <xf numFmtId="0" fontId="65" fillId="0" borderId="74" xfId="0" applyFont="1" applyBorder="1" applyAlignment="1">
      <alignment horizontal="center" vertical="top" wrapText="1"/>
    </xf>
    <xf numFmtId="0" fontId="66" fillId="0" borderId="72" xfId="0" applyFont="1" applyBorder="1" applyAlignment="1">
      <alignment horizontal="left" vertical="top" wrapText="1"/>
    </xf>
    <xf numFmtId="0" fontId="66" fillId="0" borderId="71" xfId="0" applyFont="1" applyBorder="1" applyAlignment="1">
      <alignment horizontal="left" vertical="top" wrapText="1"/>
    </xf>
    <xf numFmtId="0" fontId="66" fillId="0" borderId="93" xfId="0" applyFont="1" applyBorder="1" applyAlignment="1">
      <alignment horizontal="left" vertical="top" wrapText="1"/>
    </xf>
    <xf numFmtId="0" fontId="66" fillId="0" borderId="92" xfId="0" applyFont="1" applyBorder="1" applyAlignment="1">
      <alignment horizontal="left" vertical="top" wrapText="1"/>
    </xf>
    <xf numFmtId="0" fontId="66" fillId="0" borderId="70" xfId="0" applyFont="1" applyBorder="1" applyAlignment="1">
      <alignment horizontal="center" vertical="top" wrapText="1"/>
    </xf>
    <xf numFmtId="0" fontId="66" fillId="0" borderId="69" xfId="0" applyFont="1" applyBorder="1" applyAlignment="1">
      <alignment horizontal="center" vertical="top" wrapText="1"/>
    </xf>
    <xf numFmtId="0" fontId="66" fillId="0" borderId="68" xfId="0" applyFont="1" applyBorder="1" applyAlignment="1">
      <alignment horizontal="center" vertical="top" wrapText="1"/>
    </xf>
    <xf numFmtId="0" fontId="65" fillId="0" borderId="67" xfId="0" applyFont="1" applyBorder="1" applyAlignment="1">
      <alignment horizontal="center" vertical="top" wrapText="1"/>
    </xf>
    <xf numFmtId="0" fontId="65" fillId="0" borderId="64" xfId="0" applyFont="1" applyBorder="1" applyAlignment="1">
      <alignment horizontal="center" vertical="top" wrapText="1"/>
    </xf>
    <xf numFmtId="0" fontId="65" fillId="0" borderId="84" xfId="0" applyFont="1" applyBorder="1" applyAlignment="1">
      <alignment vertical="center" wrapText="1"/>
    </xf>
    <xf numFmtId="0" fontId="65" fillId="0" borderId="10" xfId="0" applyFont="1" applyBorder="1" applyAlignment="1">
      <alignment vertical="center" wrapText="1"/>
    </xf>
    <xf numFmtId="0" fontId="66" fillId="0" borderId="0" xfId="0" applyFont="1" applyBorder="1" applyAlignment="1">
      <alignment horizontal="center" vertical="center" wrapText="1"/>
    </xf>
    <xf numFmtId="0" fontId="65" fillId="0" borderId="83" xfId="0" applyFont="1" applyBorder="1" applyAlignment="1">
      <alignment vertical="center" wrapText="1"/>
    </xf>
    <xf numFmtId="0" fontId="65" fillId="0" borderId="104" xfId="0" applyFont="1" applyBorder="1" applyAlignment="1">
      <alignment vertical="center" wrapText="1"/>
    </xf>
    <xf numFmtId="0" fontId="65" fillId="0" borderId="103" xfId="0" applyFont="1" applyBorder="1" applyAlignment="1">
      <alignment vertical="center" wrapText="1"/>
    </xf>
    <xf numFmtId="0" fontId="65" fillId="0" borderId="81" xfId="0" applyFont="1" applyBorder="1" applyAlignment="1">
      <alignment vertical="center" wrapText="1"/>
    </xf>
    <xf numFmtId="0" fontId="65" fillId="0" borderId="80" xfId="0" applyFont="1" applyBorder="1" applyAlignment="1">
      <alignment vertical="center" wrapText="1"/>
    </xf>
    <xf numFmtId="0" fontId="66" fillId="0" borderId="0" xfId="0" applyFont="1" applyBorder="1" applyAlignment="1">
      <alignment horizontal="justify" vertical="center" wrapText="1"/>
    </xf>
    <xf numFmtId="0" fontId="66" fillId="0" borderId="73" xfId="0" applyFont="1" applyBorder="1" applyAlignment="1">
      <alignment horizontal="center" vertical="center" wrapText="1"/>
    </xf>
    <xf numFmtId="0" fontId="65" fillId="0" borderId="0" xfId="0" applyFont="1" applyBorder="1" applyAlignment="1">
      <alignment horizontal="justify" vertical="center" wrapText="1"/>
    </xf>
    <xf numFmtId="0" fontId="66" fillId="0" borderId="72" xfId="0" applyFont="1" applyBorder="1" applyAlignment="1">
      <alignment horizontal="center" vertical="center" wrapText="1"/>
    </xf>
    <xf numFmtId="0" fontId="66" fillId="0" borderId="94" xfId="0" applyFont="1" applyBorder="1" applyAlignment="1">
      <alignment horizontal="center" vertical="center" wrapText="1"/>
    </xf>
    <xf numFmtId="0" fontId="66" fillId="0" borderId="71" xfId="0" applyFont="1" applyBorder="1" applyAlignment="1">
      <alignment horizontal="center" vertical="center" wrapText="1"/>
    </xf>
    <xf numFmtId="0" fontId="66" fillId="0" borderId="67" xfId="0" applyFont="1" applyBorder="1" applyAlignment="1">
      <alignment horizontal="center" vertical="center" wrapText="1"/>
    </xf>
    <xf numFmtId="0" fontId="66" fillId="0" borderId="64" xfId="0" applyFont="1" applyBorder="1" applyAlignment="1">
      <alignment horizontal="center" vertical="center" wrapText="1"/>
    </xf>
    <xf numFmtId="0" fontId="66" fillId="0" borderId="99" xfId="0" applyFont="1" applyBorder="1" applyAlignment="1">
      <alignment horizontal="center" vertical="center" wrapText="1"/>
    </xf>
    <xf numFmtId="0" fontId="66" fillId="0" borderId="98" xfId="0" applyFont="1" applyBorder="1" applyAlignment="1">
      <alignment horizontal="center" vertical="center" wrapText="1"/>
    </xf>
    <xf numFmtId="0" fontId="66" fillId="0" borderId="97" xfId="0" applyFont="1" applyBorder="1" applyAlignment="1">
      <alignment horizontal="center" vertical="center" wrapText="1"/>
    </xf>
    <xf numFmtId="0" fontId="65" fillId="0" borderId="96" xfId="0" applyFont="1" applyBorder="1" applyAlignment="1">
      <alignment vertical="center" wrapText="1"/>
    </xf>
    <xf numFmtId="0" fontId="65" fillId="0" borderId="17" xfId="0" applyFont="1" applyBorder="1" applyAlignment="1">
      <alignment vertical="center" wrapText="1"/>
    </xf>
    <xf numFmtId="0" fontId="65" fillId="0" borderId="82" xfId="0" applyFont="1" applyBorder="1" applyAlignment="1">
      <alignment vertical="center" wrapText="1"/>
    </xf>
    <xf numFmtId="0" fontId="68" fillId="0" borderId="10" xfId="0" applyFont="1" applyBorder="1" applyAlignment="1">
      <alignment vertical="center" wrapText="1"/>
    </xf>
    <xf numFmtId="0" fontId="68" fillId="0" borderId="83" xfId="0" applyFont="1" applyBorder="1" applyAlignment="1">
      <alignment vertical="center" wrapText="1"/>
    </xf>
    <xf numFmtId="0" fontId="61" fillId="0" borderId="10" xfId="67" applyBorder="1" applyAlignment="1">
      <alignment vertical="center" wrapText="1"/>
    </xf>
    <xf numFmtId="0" fontId="61" fillId="0" borderId="83" xfId="67" applyBorder="1" applyAlignment="1">
      <alignment vertical="center" wrapText="1"/>
    </xf>
    <xf numFmtId="0" fontId="68" fillId="0" borderId="17" xfId="0" applyFont="1" applyBorder="1" applyAlignment="1">
      <alignment vertical="center" wrapText="1"/>
    </xf>
    <xf numFmtId="0" fontId="68" fillId="0" borderId="95" xfId="0" applyFont="1" applyBorder="1" applyAlignment="1">
      <alignment vertical="center" wrapText="1"/>
    </xf>
    <xf numFmtId="0" fontId="69" fillId="0" borderId="0" xfId="0" applyFont="1" applyAlignment="1">
      <alignment horizontal="left" vertical="center" wrapText="1"/>
    </xf>
    <xf numFmtId="0" fontId="68" fillId="0" borderId="81" xfId="0" applyFont="1" applyBorder="1" applyAlignment="1">
      <alignment vertical="center" wrapText="1"/>
    </xf>
    <xf numFmtId="0" fontId="68" fillId="0" borderId="80" xfId="0" applyFont="1" applyBorder="1" applyAlignment="1">
      <alignment vertical="center" wrapText="1"/>
    </xf>
    <xf numFmtId="0" fontId="66" fillId="0" borderId="28" xfId="0" applyFont="1" applyBorder="1" applyAlignment="1">
      <alignment horizontal="center" vertical="center" wrapText="1"/>
    </xf>
    <xf numFmtId="0" fontId="66" fillId="0" borderId="16" xfId="0" applyFont="1" applyBorder="1" applyAlignment="1">
      <alignment horizontal="center" vertical="center" wrapText="1"/>
    </xf>
    <xf numFmtId="0" fontId="66" fillId="0" borderId="29" xfId="0" applyFont="1" applyBorder="1" applyAlignment="1">
      <alignment horizontal="center" vertical="center" wrapText="1"/>
    </xf>
    <xf numFmtId="0" fontId="66" fillId="0" borderId="102" xfId="0" applyFont="1" applyBorder="1" applyAlignment="1">
      <alignment horizontal="center" vertical="center" wrapText="1"/>
    </xf>
    <xf numFmtId="0" fontId="66" fillId="0" borderId="101" xfId="0" applyFont="1" applyBorder="1" applyAlignment="1">
      <alignment horizontal="center" vertical="center" wrapText="1"/>
    </xf>
    <xf numFmtId="0" fontId="66" fillId="0" borderId="100" xfId="0" applyFont="1" applyBorder="1" applyAlignment="1">
      <alignment horizontal="center" vertical="center" wrapText="1"/>
    </xf>
    <xf numFmtId="0" fontId="65" fillId="0" borderId="105" xfId="0" applyFont="1" applyBorder="1" applyAlignment="1">
      <alignment vertical="center" wrapText="1"/>
    </xf>
    <xf numFmtId="0" fontId="50" fillId="37" borderId="46" xfId="57" applyFill="1" applyBorder="1" applyAlignment="1" applyProtection="1">
      <alignment horizontal="center"/>
      <protection locked="0"/>
    </xf>
    <xf numFmtId="0" fontId="50" fillId="37" borderId="75" xfId="57" applyFill="1" applyBorder="1" applyAlignment="1" applyProtection="1">
      <alignment horizontal="center"/>
      <protection locked="0"/>
    </xf>
    <xf numFmtId="0" fontId="50" fillId="37" borderId="76" xfId="57" applyFill="1" applyBorder="1" applyAlignment="1" applyProtection="1">
      <alignment horizontal="center"/>
      <protection locked="0"/>
    </xf>
    <xf numFmtId="0" fontId="50" fillId="37" borderId="77" xfId="57" applyFill="1" applyBorder="1" applyAlignment="1" applyProtection="1">
      <alignment horizontal="center"/>
      <protection locked="0"/>
    </xf>
    <xf numFmtId="0" fontId="0" fillId="0" borderId="10" xfId="0" applyBorder="1" applyAlignment="1">
      <alignment horizontal="left"/>
    </xf>
    <xf numFmtId="0" fontId="16" fillId="0" borderId="0" xfId="0" applyFont="1" applyAlignment="1">
      <alignment horizontal="center"/>
    </xf>
    <xf numFmtId="0" fontId="27" fillId="0" borderId="12" xfId="0" applyFont="1" applyBorder="1" applyAlignment="1">
      <alignment horizontal="center" vertical="center"/>
    </xf>
    <xf numFmtId="0" fontId="27" fillId="0" borderId="13" xfId="0" applyFont="1" applyBorder="1" applyAlignment="1">
      <alignment horizontal="center" vertical="center"/>
    </xf>
    <xf numFmtId="0" fontId="27" fillId="0" borderId="0" xfId="0" applyFont="1" applyAlignment="1">
      <alignment vertical="center" wrapText="1"/>
    </xf>
    <xf numFmtId="0" fontId="26" fillId="0" borderId="0" xfId="0" applyFont="1" applyAlignment="1">
      <alignment horizontal="center" vertical="center"/>
    </xf>
    <xf numFmtId="0" fontId="26" fillId="0" borderId="12" xfId="0" applyFont="1" applyBorder="1" applyAlignment="1">
      <alignment horizontal="center" vertical="center" wrapText="1"/>
    </xf>
    <xf numFmtId="0" fontId="26" fillId="0" borderId="13" xfId="0" applyFont="1" applyBorder="1" applyAlignment="1">
      <alignment horizontal="center" vertical="center" wrapText="1"/>
    </xf>
    <xf numFmtId="0" fontId="26" fillId="0" borderId="10" xfId="0" applyFont="1" applyBorder="1" applyAlignment="1">
      <alignment horizontal="center" vertical="center"/>
    </xf>
    <xf numFmtId="0" fontId="27" fillId="0" borderId="10" xfId="0" applyFont="1" applyBorder="1" applyAlignment="1">
      <alignment horizontal="center" vertical="center"/>
    </xf>
    <xf numFmtId="0" fontId="26" fillId="0" borderId="26" xfId="0" applyFont="1" applyBorder="1" applyAlignment="1">
      <alignment horizontal="center" vertical="center" wrapText="1"/>
    </xf>
    <xf numFmtId="0" fontId="50" fillId="0" borderId="0" xfId="57" applyAlignment="1" applyProtection="1">
      <alignment horizontal="left" vertical="top" wrapText="1"/>
      <protection locked="0"/>
    </xf>
    <xf numFmtId="0" fontId="26" fillId="0" borderId="12" xfId="0" applyFont="1" applyBorder="1" applyAlignment="1">
      <alignment horizontal="center" vertical="center"/>
    </xf>
    <xf numFmtId="0" fontId="26" fillId="0" borderId="13" xfId="0" applyFont="1" applyBorder="1" applyAlignment="1">
      <alignment horizontal="center" vertical="center"/>
    </xf>
    <xf numFmtId="0" fontId="42" fillId="43" borderId="12" xfId="0" applyFont="1" applyFill="1" applyBorder="1" applyAlignment="1">
      <alignment horizontal="center" vertical="center" wrapText="1"/>
    </xf>
    <xf numFmtId="0" fontId="42" fillId="43" borderId="21" xfId="0" applyFont="1" applyFill="1" applyBorder="1" applyAlignment="1">
      <alignment horizontal="center" vertical="center" wrapText="1"/>
    </xf>
    <xf numFmtId="0" fontId="42" fillId="43" borderId="13" xfId="0" applyFont="1" applyFill="1" applyBorder="1" applyAlignment="1">
      <alignment horizontal="center" vertical="center" wrapText="1"/>
    </xf>
    <xf numFmtId="0" fontId="27" fillId="0" borderId="15" xfId="0" applyFont="1" applyBorder="1" applyAlignment="1">
      <alignment horizontal="center" vertical="center" wrapText="1"/>
    </xf>
    <xf numFmtId="0" fontId="27" fillId="0" borderId="17" xfId="0" applyFont="1" applyBorder="1" applyAlignment="1">
      <alignment horizontal="center" vertical="center" wrapText="1"/>
    </xf>
    <xf numFmtId="0" fontId="26" fillId="0" borderId="15" xfId="0" applyFont="1" applyBorder="1" applyAlignment="1">
      <alignment horizontal="center" vertical="center"/>
    </xf>
    <xf numFmtId="0" fontId="26" fillId="0" borderId="17" xfId="0" applyFont="1" applyBorder="1" applyAlignment="1">
      <alignment horizontal="center" vertical="center"/>
    </xf>
    <xf numFmtId="0" fontId="42" fillId="43" borderId="21" xfId="0" applyFont="1" applyFill="1" applyBorder="1" applyAlignment="1">
      <alignment horizontal="center" vertical="top" wrapText="1"/>
    </xf>
    <xf numFmtId="0" fontId="26" fillId="0" borderId="15" xfId="0" applyFont="1" applyBorder="1" applyAlignment="1">
      <alignment horizontal="center" vertical="center" wrapText="1"/>
    </xf>
    <xf numFmtId="0" fontId="26" fillId="0" borderId="17" xfId="0" applyFont="1" applyBorder="1" applyAlignment="1">
      <alignment horizontal="center" vertical="center" wrapText="1"/>
    </xf>
    <xf numFmtId="0" fontId="50" fillId="37" borderId="10" xfId="57" applyFill="1" applyBorder="1" applyAlignment="1" applyProtection="1">
      <alignment horizontal="center"/>
      <protection locked="0"/>
    </xf>
    <xf numFmtId="0" fontId="50" fillId="0" borderId="41" xfId="57" applyBorder="1" applyAlignment="1" applyProtection="1">
      <alignment horizontal="center"/>
    </xf>
    <xf numFmtId="0" fontId="50" fillId="0" borderId="0" xfId="57" applyBorder="1" applyAlignment="1" applyProtection="1">
      <alignment horizontal="center"/>
    </xf>
    <xf numFmtId="0" fontId="21" fillId="34" borderId="38" xfId="50" applyBorder="1" applyAlignment="1">
      <alignment vertical="center"/>
    </xf>
    <xf numFmtId="0" fontId="21" fillId="34" borderId="39" xfId="50" applyBorder="1" applyAlignment="1">
      <alignment vertical="center"/>
    </xf>
    <xf numFmtId="0" fontId="21" fillId="34" borderId="40" xfId="50" applyBorder="1" applyAlignment="1">
      <alignment vertical="center"/>
    </xf>
    <xf numFmtId="0" fontId="96" fillId="0" borderId="94" xfId="0" applyFont="1" applyBorder="1" applyAlignment="1">
      <alignment horizontal="left" vertical="center" wrapText="1" indent="1"/>
    </xf>
    <xf numFmtId="0" fontId="96" fillId="0" borderId="0" xfId="0" applyFont="1" applyAlignment="1">
      <alignment horizontal="left" vertical="center" wrapText="1" indent="1"/>
    </xf>
    <xf numFmtId="0" fontId="96" fillId="0" borderId="73" xfId="0" applyFont="1" applyBorder="1" applyAlignment="1">
      <alignment horizontal="left" vertical="center" wrapText="1" indent="1"/>
    </xf>
    <xf numFmtId="0" fontId="26" fillId="0" borderId="120" xfId="0" applyFont="1" applyBorder="1" applyAlignment="1">
      <alignment horizontal="center" vertical="center" wrapText="1"/>
    </xf>
    <xf numFmtId="0" fontId="94" fillId="0" borderId="121" xfId="0" applyFont="1" applyBorder="1" applyAlignment="1">
      <alignment horizontal="center" vertical="center" wrapText="1"/>
    </xf>
    <xf numFmtId="0" fontId="94" fillId="0" borderId="124" xfId="0" applyFont="1" applyBorder="1" applyAlignment="1">
      <alignment horizontal="center" vertical="center" wrapText="1"/>
    </xf>
    <xf numFmtId="0" fontId="94" fillId="0" borderId="122" xfId="0" applyFont="1" applyBorder="1" applyAlignment="1">
      <alignment horizontal="center" vertical="center" wrapText="1"/>
    </xf>
    <xf numFmtId="0" fontId="94" fillId="0" borderId="125" xfId="0" applyFont="1" applyBorder="1" applyAlignment="1">
      <alignment horizontal="center" vertical="center" wrapText="1"/>
    </xf>
    <xf numFmtId="0" fontId="94" fillId="0" borderId="123" xfId="0" applyFont="1" applyBorder="1" applyAlignment="1">
      <alignment horizontal="center" vertical="center" wrapText="1"/>
    </xf>
    <xf numFmtId="0" fontId="94" fillId="0" borderId="126" xfId="0" applyFont="1" applyBorder="1" applyAlignment="1">
      <alignment horizontal="center" vertical="center" wrapText="1"/>
    </xf>
    <xf numFmtId="0" fontId="62" fillId="0" borderId="132" xfId="0" applyFont="1" applyBorder="1" applyAlignment="1">
      <alignment vertical="center" wrapText="1"/>
    </xf>
    <xf numFmtId="0" fontId="62" fillId="0" borderId="133" xfId="0" applyFont="1" applyBorder="1" applyAlignment="1">
      <alignment vertical="center" wrapText="1"/>
    </xf>
    <xf numFmtId="0" fontId="92" fillId="50" borderId="130" xfId="0" applyFont="1" applyFill="1" applyBorder="1" applyAlignment="1">
      <alignment horizontal="center" vertical="center" wrapText="1"/>
    </xf>
    <xf numFmtId="0" fontId="92" fillId="50" borderId="0" xfId="0" applyFont="1" applyFill="1" applyBorder="1" applyAlignment="1">
      <alignment horizontal="center" vertical="center" wrapText="1"/>
    </xf>
    <xf numFmtId="0" fontId="92" fillId="50" borderId="131" xfId="0" applyFont="1" applyFill="1" applyBorder="1" applyAlignment="1">
      <alignment horizontal="center" vertical="center" wrapText="1"/>
    </xf>
    <xf numFmtId="0" fontId="92" fillId="50" borderId="109" xfId="0" applyFont="1" applyFill="1" applyBorder="1" applyAlignment="1">
      <alignment horizontal="center" vertical="center" wrapText="1"/>
    </xf>
    <xf numFmtId="0" fontId="37" fillId="0" borderId="110" xfId="0" applyFont="1" applyBorder="1" applyAlignment="1">
      <alignment horizontal="center" vertical="center" wrapText="1"/>
    </xf>
    <xf numFmtId="0" fontId="37" fillId="0" borderId="113" xfId="0" applyFont="1" applyBorder="1" applyAlignment="1">
      <alignment horizontal="center" vertical="center" wrapText="1"/>
    </xf>
    <xf numFmtId="0" fontId="37" fillId="0" borderId="111" xfId="0" applyFont="1" applyBorder="1" applyAlignment="1">
      <alignment horizontal="center" vertical="center" wrapText="1"/>
    </xf>
    <xf numFmtId="0" fontId="37" fillId="0" borderId="112" xfId="0" applyFont="1" applyBorder="1" applyAlignment="1">
      <alignment horizontal="center" vertical="center" wrapText="1"/>
    </xf>
    <xf numFmtId="0" fontId="90" fillId="47" borderId="114" xfId="0" applyFont="1" applyFill="1" applyBorder="1" applyAlignment="1">
      <alignment horizontal="center" vertical="center" wrapText="1"/>
    </xf>
    <xf numFmtId="0" fontId="90" fillId="47" borderId="115" xfId="0" applyFont="1" applyFill="1" applyBorder="1" applyAlignment="1">
      <alignment horizontal="center" vertical="center" wrapText="1"/>
    </xf>
    <xf numFmtId="0" fontId="26" fillId="50" borderId="0" xfId="0" applyFont="1" applyFill="1" applyAlignment="1">
      <alignment horizontal="center" vertical="center" wrapText="1"/>
    </xf>
    <xf numFmtId="0" fontId="18" fillId="0" borderId="137" xfId="0" applyFont="1" applyBorder="1" applyAlignment="1">
      <alignment vertical="center" wrapText="1"/>
    </xf>
    <xf numFmtId="0" fontId="92" fillId="0" borderId="110" xfId="0" applyFont="1" applyBorder="1" applyAlignment="1">
      <alignment horizontal="center" vertical="center" wrapText="1"/>
    </xf>
    <xf numFmtId="0" fontId="92" fillId="0" borderId="113" xfId="0" applyFont="1" applyBorder="1" applyAlignment="1">
      <alignment horizontal="center" vertical="center" wrapText="1"/>
    </xf>
    <xf numFmtId="0" fontId="92" fillId="0" borderId="111" xfId="0" applyFont="1" applyBorder="1" applyAlignment="1">
      <alignment horizontal="center" vertical="center" wrapText="1"/>
    </xf>
    <xf numFmtId="0" fontId="92" fillId="0" borderId="112" xfId="0" applyFont="1" applyBorder="1" applyAlignment="1">
      <alignment horizontal="center" vertical="center" wrapText="1"/>
    </xf>
    <xf numFmtId="0" fontId="18" fillId="0" borderId="138" xfId="0" applyFont="1" applyBorder="1" applyAlignment="1">
      <alignment vertical="center" wrapText="1"/>
    </xf>
    <xf numFmtId="0" fontId="25" fillId="50" borderId="0" xfId="0" applyFont="1" applyFill="1" applyAlignment="1">
      <alignment horizontal="center" vertical="center" wrapText="1"/>
    </xf>
    <xf numFmtId="0" fontId="54" fillId="0" borderId="137" xfId="0" applyFont="1" applyBorder="1" applyAlignment="1">
      <alignment vertical="center" wrapText="1"/>
    </xf>
    <xf numFmtId="0" fontId="18" fillId="0" borderId="110" xfId="0" applyFont="1" applyBorder="1" applyAlignment="1">
      <alignment horizontal="center" vertical="center" wrapText="1"/>
    </xf>
    <xf numFmtId="0" fontId="18" fillId="0" borderId="113" xfId="0" applyFont="1" applyBorder="1" applyAlignment="1">
      <alignment horizontal="center" vertical="center" wrapText="1"/>
    </xf>
    <xf numFmtId="0" fontId="18" fillId="0" borderId="114" xfId="0" applyFont="1" applyBorder="1" applyAlignment="1">
      <alignment horizontal="center" vertical="center" wrapText="1"/>
    </xf>
    <xf numFmtId="0" fontId="18" fillId="0" borderId="115" xfId="0" applyFont="1" applyBorder="1" applyAlignment="1">
      <alignment horizontal="center" vertical="center" wrapText="1"/>
    </xf>
    <xf numFmtId="0" fontId="62" fillId="0" borderId="134" xfId="0" applyFont="1" applyBorder="1" applyAlignment="1">
      <alignment vertical="center" wrapText="1"/>
    </xf>
    <xf numFmtId="0" fontId="62" fillId="0" borderId="135" xfId="0" applyFont="1" applyBorder="1" applyAlignment="1">
      <alignment vertical="center" wrapText="1"/>
    </xf>
    <xf numFmtId="0" fontId="62" fillId="0" borderId="136" xfId="0" applyFont="1" applyBorder="1" applyAlignment="1">
      <alignment vertical="center" wrapText="1"/>
    </xf>
    <xf numFmtId="0" fontId="62" fillId="0" borderId="116" xfId="0" applyFont="1" applyBorder="1" applyAlignment="1">
      <alignment vertical="center" wrapText="1"/>
    </xf>
    <xf numFmtId="0" fontId="62" fillId="0" borderId="117" xfId="0" applyFont="1" applyBorder="1" applyAlignment="1">
      <alignment vertical="center" wrapText="1"/>
    </xf>
    <xf numFmtId="0" fontId="62" fillId="0" borderId="118" xfId="0" applyFont="1" applyBorder="1" applyAlignment="1">
      <alignment vertical="center" wrapText="1"/>
    </xf>
    <xf numFmtId="0" fontId="62" fillId="0" borderId="119" xfId="0" applyFont="1" applyBorder="1" applyAlignment="1">
      <alignment vertical="center" wrapText="1"/>
    </xf>
    <xf numFmtId="0" fontId="26" fillId="50" borderId="0" xfId="0" applyFont="1" applyFill="1" applyAlignment="1">
      <alignment horizontal="center" vertical="center"/>
    </xf>
    <xf numFmtId="0" fontId="92" fillId="50" borderId="109" xfId="0" applyFont="1" applyFill="1" applyBorder="1" applyAlignment="1">
      <alignment horizontal="center" vertical="center"/>
    </xf>
    <xf numFmtId="0" fontId="25" fillId="44" borderId="110" xfId="0" applyFont="1" applyFill="1" applyBorder="1" applyAlignment="1">
      <alignment horizontal="center" vertical="center"/>
    </xf>
    <xf numFmtId="0" fontId="25" fillId="44" borderId="111" xfId="0" applyFont="1" applyFill="1" applyBorder="1" applyAlignment="1">
      <alignment horizontal="center" vertical="center"/>
    </xf>
    <xf numFmtId="0" fontId="25" fillId="44" borderId="113" xfId="0" applyFont="1" applyFill="1" applyBorder="1" applyAlignment="1">
      <alignment horizontal="center" vertical="center"/>
    </xf>
    <xf numFmtId="0" fontId="25" fillId="44" borderId="114" xfId="0" applyFont="1" applyFill="1" applyBorder="1" applyAlignment="1">
      <alignment horizontal="center" vertical="center"/>
    </xf>
    <xf numFmtId="0" fontId="25" fillId="0" borderId="111" xfId="0" applyFont="1" applyBorder="1" applyAlignment="1">
      <alignment horizontal="center" vertical="center" wrapText="1"/>
    </xf>
    <xf numFmtId="0" fontId="25" fillId="0" borderId="112" xfId="0" applyFont="1" applyBorder="1" applyAlignment="1">
      <alignment horizontal="center" vertical="center" wrapText="1"/>
    </xf>
    <xf numFmtId="0" fontId="25" fillId="0" borderId="113" xfId="0" applyFont="1" applyBorder="1" applyAlignment="1">
      <alignment horizontal="center" vertical="center" textRotation="90" wrapText="1"/>
    </xf>
    <xf numFmtId="0" fontId="25" fillId="0" borderId="116" xfId="0" applyFont="1" applyBorder="1" applyAlignment="1">
      <alignment horizontal="center" vertical="center" textRotation="90" wrapText="1"/>
    </xf>
    <xf numFmtId="0" fontId="49" fillId="0" borderId="138" xfId="0" applyFont="1" applyBorder="1" applyAlignment="1">
      <alignment horizontal="left" vertical="center" wrapText="1" indent="1"/>
    </xf>
    <xf numFmtId="0" fontId="49" fillId="0" borderId="137" xfId="0" applyFont="1" applyBorder="1" applyAlignment="1">
      <alignment horizontal="left" vertical="center" wrapText="1" indent="1"/>
    </xf>
    <xf numFmtId="0" fontId="103" fillId="50" borderId="0" xfId="0" applyFont="1" applyFill="1" applyAlignment="1">
      <alignment horizontal="center" vertical="center"/>
    </xf>
    <xf numFmtId="0" fontId="104" fillId="50" borderId="109" xfId="0" applyFont="1" applyFill="1" applyBorder="1" applyAlignment="1">
      <alignment horizontal="center" vertical="center"/>
    </xf>
    <xf numFmtId="0" fontId="103" fillId="0" borderId="110" xfId="0" applyFont="1" applyBorder="1" applyAlignment="1">
      <alignment horizontal="center" vertical="center" wrapText="1"/>
    </xf>
    <xf numFmtId="0" fontId="103" fillId="0" borderId="113" xfId="0" applyFont="1" applyBorder="1" applyAlignment="1">
      <alignment horizontal="center" vertical="center" wrapText="1"/>
    </xf>
    <xf numFmtId="0" fontId="103" fillId="0" borderId="111" xfId="0" applyFont="1" applyBorder="1" applyAlignment="1">
      <alignment horizontal="center" vertical="center" wrapText="1"/>
    </xf>
    <xf numFmtId="0" fontId="103" fillId="0" borderId="114" xfId="0" applyFont="1" applyBorder="1" applyAlignment="1">
      <alignment horizontal="center" vertical="center" wrapText="1"/>
    </xf>
    <xf numFmtId="0" fontId="103" fillId="0" borderId="114" xfId="0" applyFont="1" applyBorder="1" applyAlignment="1">
      <alignment horizontal="center" vertical="center"/>
    </xf>
    <xf numFmtId="0" fontId="103" fillId="0" borderId="115" xfId="0" applyFont="1" applyBorder="1" applyAlignment="1">
      <alignment horizontal="center" vertical="center"/>
    </xf>
    <xf numFmtId="0" fontId="103" fillId="50" borderId="0" xfId="0" applyFont="1" applyFill="1" applyAlignment="1">
      <alignment horizontal="center" vertical="center" wrapText="1"/>
    </xf>
    <xf numFmtId="0" fontId="104" fillId="50" borderId="109" xfId="0" applyFont="1" applyFill="1" applyBorder="1" applyAlignment="1">
      <alignment horizontal="center" vertical="center" wrapText="1"/>
    </xf>
    <xf numFmtId="0" fontId="106" fillId="0" borderId="110" xfId="0" applyFont="1" applyBorder="1" applyAlignment="1">
      <alignment horizontal="center" vertical="center" wrapText="1"/>
    </xf>
    <xf numFmtId="0" fontId="106" fillId="0" borderId="111" xfId="0" applyFont="1" applyBorder="1" applyAlignment="1">
      <alignment horizontal="center" vertical="center" wrapText="1"/>
    </xf>
    <xf numFmtId="0" fontId="106" fillId="0" borderId="112" xfId="0" applyFont="1" applyBorder="1" applyAlignment="1">
      <alignment horizontal="center" vertical="center" wrapText="1"/>
    </xf>
    <xf numFmtId="0" fontId="27" fillId="0" borderId="0" xfId="0" applyFont="1" applyAlignment="1">
      <alignment horizontal="left" vertical="center"/>
    </xf>
    <xf numFmtId="0" fontId="27" fillId="0" borderId="0" xfId="0" applyFont="1" applyAlignment="1">
      <alignment horizontal="left" vertical="top" wrapText="1"/>
    </xf>
    <xf numFmtId="0" fontId="26" fillId="0" borderId="73" xfId="0" applyFont="1" applyBorder="1" applyAlignment="1">
      <alignment horizontal="center" vertical="center"/>
    </xf>
    <xf numFmtId="0" fontId="26" fillId="0" borderId="73" xfId="0" applyFont="1" applyBorder="1" applyAlignment="1">
      <alignment horizontal="center" vertical="center" wrapText="1"/>
    </xf>
    <xf numFmtId="0" fontId="49" fillId="0" borderId="0" xfId="0" applyFont="1" applyBorder="1" applyAlignment="1">
      <alignment horizontal="left" vertical="top" wrapText="1"/>
    </xf>
  </cellXfs>
  <cellStyles count="68">
    <cellStyle name="20% - Accent1" xfId="24" builtinId="30" hidden="1"/>
    <cellStyle name="20% - Accent2" xfId="28" builtinId="34" hidden="1"/>
    <cellStyle name="20% - Accent3" xfId="32" builtinId="38" hidden="1"/>
    <cellStyle name="20% - Accent4" xfId="36" builtinId="42" hidden="1"/>
    <cellStyle name="20% - Accent5" xfId="40" builtinId="46" hidden="1"/>
    <cellStyle name="20% - Accent6" xfId="44" builtinId="50" hidden="1"/>
    <cellStyle name="40% - Accent1" xfId="25" builtinId="31" hidden="1"/>
    <cellStyle name="40% - Accent2" xfId="29" builtinId="35" hidden="1"/>
    <cellStyle name="40% - Accent3" xfId="33" builtinId="39" hidden="1"/>
    <cellStyle name="40% - Accent4" xfId="37" builtinId="43" hidden="1"/>
    <cellStyle name="40% - Accent5" xfId="41" builtinId="47" hidden="1"/>
    <cellStyle name="40% - Accent6" xfId="45" builtinId="51" hidden="1"/>
    <cellStyle name="60% - Accent1" xfId="26" builtinId="32" hidden="1"/>
    <cellStyle name="60% - Accent2" xfId="30" builtinId="36" hidden="1"/>
    <cellStyle name="60% - Accent3" xfId="34" builtinId="40" hidden="1"/>
    <cellStyle name="60% - Accent4" xfId="38" builtinId="44" hidden="1"/>
    <cellStyle name="60% - Accent5" xfId="42" builtinId="48" hidden="1"/>
    <cellStyle name="60% - Accent6" xfId="46" builtinId="52" hidden="1"/>
    <cellStyle name="Accent1" xfId="23" builtinId="29" hidden="1"/>
    <cellStyle name="Accent2" xfId="27" builtinId="33" hidden="1"/>
    <cellStyle name="Accent3" xfId="31" builtinId="37" hidden="1"/>
    <cellStyle name="Accent4" xfId="35" builtinId="41" hidden="1"/>
    <cellStyle name="Accent5" xfId="39" builtinId="45" hidden="1"/>
    <cellStyle name="Accent6" xfId="43" builtinId="49" hidden="1"/>
    <cellStyle name="Answered" xfId="64" xr:uid="{00000000-0005-0000-0000-000018000000}"/>
    <cellStyle name="Bad" xfId="12" builtinId="27" hidden="1"/>
    <cellStyle name="Calculation" xfId="16" builtinId="22" hidden="1"/>
    <cellStyle name="Calculation" xfId="51" builtinId="22" hidden="1" customBuiltin="1"/>
    <cellStyle name="Check Cell" xfId="18" builtinId="23" hidden="1"/>
    <cellStyle name="Comma" xfId="1" builtinId="3" hidden="1"/>
    <cellStyle name="Comma [0]" xfId="2" builtinId="6" hidden="1"/>
    <cellStyle name="Currency" xfId="3" builtinId="4" hidden="1"/>
    <cellStyle name="Currency [0]" xfId="4" builtinId="7" hidden="1"/>
    <cellStyle name="Explanatory Text" xfId="21" builtinId="53" hidden="1"/>
    <cellStyle name="Followed Hyperlink" xfId="56" builtinId="9" hidden="1"/>
    <cellStyle name="Followed Hyperlink" xfId="58" builtinId="9" hidden="1"/>
    <cellStyle name="Followed Hyperlink" xfId="59" builtinId="9" hidden="1"/>
    <cellStyle name="Followed Hyperlink" xfId="61" builtinId="9" hidden="1"/>
    <cellStyle name="Good" xfId="11" builtinId="26" hidden="1"/>
    <cellStyle name="Heading 1" xfId="7" builtinId="16" hidden="1"/>
    <cellStyle name="Heading 2" xfId="8" builtinId="17" hidden="1"/>
    <cellStyle name="Heading 3" xfId="9" builtinId="18" hidden="1"/>
    <cellStyle name="Heading 4" xfId="10" builtinId="19" hidden="1"/>
    <cellStyle name="Hidden" xfId="60" xr:uid="{00000000-0005-0000-0000-00002B000000}"/>
    <cellStyle name="Hyperlink" xfId="49" builtinId="8" hidden="1"/>
    <cellStyle name="Hyperlink" xfId="55" builtinId="8" hidden="1"/>
    <cellStyle name="Hyperlink" xfId="57" builtinId="8" customBuiltin="1"/>
    <cellStyle name="Hyperlink 2" xfId="67" xr:uid="{00000000-0005-0000-0000-00002F000000}"/>
    <cellStyle name="Input" xfId="14" builtinId="20" hidden="1"/>
    <cellStyle name="Linked Cell" xfId="17" builtinId="24" hidden="1"/>
    <cellStyle name="Main Title" xfId="50" xr:uid="{00000000-0005-0000-0000-000032000000}"/>
    <cellStyle name="Mandatory" xfId="47" xr:uid="{00000000-0005-0000-0000-000033000000}"/>
    <cellStyle name="Neutral" xfId="13" builtinId="28" hidden="1"/>
    <cellStyle name="Normal" xfId="0" builtinId="0"/>
    <cellStyle name="Normal Entry" xfId="48" xr:uid="{00000000-0005-0000-0000-000036000000}"/>
    <cellStyle name="Note" xfId="20" builtinId="10" hidden="1"/>
    <cellStyle name="Note" xfId="53" builtinId="10" hidden="1" customBuiltin="1"/>
    <cellStyle name="Note Entry" xfId="54" xr:uid="{00000000-0005-0000-0000-000039000000}"/>
    <cellStyle name="Note Entry 2" xfId="66" xr:uid="{00000000-0005-0000-0000-00003A000000}"/>
    <cellStyle name="Output" xfId="15" builtinId="21" hidden="1"/>
    <cellStyle name="Per cent" xfId="5" builtinId="5" hidden="1"/>
    <cellStyle name="Points" xfId="62" xr:uid="{00000000-0005-0000-0000-00003D000000}"/>
    <cellStyle name="Section Header" xfId="63" xr:uid="{00000000-0005-0000-0000-00003E000000}"/>
    <cellStyle name="Title" xfId="6" builtinId="15" hidden="1"/>
    <cellStyle name="Total" xfId="22" builtinId="25" hidden="1"/>
    <cellStyle name="Warning" xfId="52" xr:uid="{00000000-0005-0000-0000-000041000000}"/>
    <cellStyle name="Warning Text" xfId="19" builtinId="11" hidden="1"/>
    <cellStyle name="Warnings" xfId="65" xr:uid="{00000000-0005-0000-0000-000043000000}"/>
  </cellStyles>
  <dxfs count="5797">
    <dxf>
      <font>
        <b/>
        <i val="0"/>
        <color theme="1"/>
      </font>
      <fill>
        <patternFill>
          <bgColor rgb="FFFF0000"/>
        </patternFill>
      </fill>
    </dxf>
    <dxf>
      <fill>
        <patternFill patternType="solid">
          <bgColor rgb="FFFFFF99"/>
        </patternFill>
      </fill>
    </dxf>
    <dxf>
      <font>
        <strike/>
      </font>
      <fill>
        <patternFill patternType="none">
          <bgColor auto="1"/>
        </patternFill>
      </fill>
    </dxf>
    <dxf>
      <fill>
        <patternFill>
          <bgColor rgb="FF92D050"/>
        </patternFill>
      </fill>
    </dxf>
    <dxf>
      <fill>
        <patternFill>
          <bgColor rgb="FFFF0000"/>
        </patternFill>
      </fill>
    </dxf>
    <dxf>
      <font>
        <strike/>
      </font>
      <fill>
        <patternFill patternType="none">
          <bgColor auto="1"/>
        </patternFill>
      </fill>
    </dxf>
    <dxf>
      <fill>
        <patternFill>
          <bgColor rgb="FF92D050"/>
        </patternFill>
      </fill>
    </dxf>
    <dxf>
      <fill>
        <patternFill>
          <bgColor rgb="FFFF0000"/>
        </patternFill>
      </fill>
    </dxf>
    <dxf>
      <font>
        <strike/>
      </font>
      <fill>
        <patternFill patternType="none">
          <bgColor auto="1"/>
        </patternFill>
      </fill>
    </dxf>
    <dxf>
      <fill>
        <patternFill>
          <bgColor rgb="FF92D050"/>
        </patternFill>
      </fill>
    </dxf>
    <dxf>
      <font>
        <b/>
        <i val="0"/>
        <color theme="1"/>
      </font>
      <fill>
        <patternFill>
          <bgColor rgb="FFFF0000"/>
        </patternFill>
      </fill>
    </dxf>
    <dxf>
      <fill>
        <patternFill>
          <bgColor rgb="FF92D050"/>
        </patternFill>
      </fill>
    </dxf>
    <dxf>
      <font>
        <color rgb="FF92D050"/>
      </font>
      <fill>
        <patternFill>
          <bgColor rgb="FF92D050"/>
        </patternFill>
      </fill>
    </dxf>
    <dxf>
      <fill>
        <patternFill patternType="lightGray"/>
      </fill>
    </dxf>
    <dxf>
      <fill>
        <patternFill patternType="lightGray"/>
      </fill>
    </dxf>
    <dxf>
      <font>
        <b/>
        <i val="0"/>
        <color theme="1"/>
      </font>
      <fill>
        <patternFill>
          <bgColor rgb="FFFF0000"/>
        </patternFill>
      </fill>
    </dxf>
    <dxf>
      <fill>
        <patternFill patternType="solid">
          <bgColor rgb="FFFFFF99"/>
        </patternFill>
      </fill>
    </dxf>
    <dxf>
      <fill>
        <patternFill>
          <bgColor rgb="FFFF0000"/>
        </patternFill>
      </fill>
    </dxf>
    <dxf>
      <font>
        <strike/>
      </font>
      <fill>
        <patternFill patternType="none">
          <bgColor auto="1"/>
        </patternFill>
      </fill>
    </dxf>
    <dxf>
      <fill>
        <patternFill>
          <bgColor rgb="FFFFFF99"/>
        </patternFill>
      </fill>
    </dxf>
    <dxf>
      <fill>
        <patternFill>
          <bgColor rgb="FF92D050"/>
        </patternFill>
      </fill>
    </dxf>
    <dxf>
      <fill>
        <patternFill>
          <bgColor rgb="FF00B050"/>
        </patternFill>
      </fill>
    </dxf>
    <dxf>
      <fill>
        <patternFill>
          <bgColor rgb="FFCC6600"/>
        </patternFill>
      </fill>
    </dxf>
    <dxf>
      <fill>
        <patternFill>
          <bgColor rgb="FFEAEAEA"/>
        </patternFill>
      </fill>
    </dxf>
    <dxf>
      <fill>
        <patternFill>
          <bgColor rgb="FFFFD700"/>
        </patternFill>
      </fill>
    </dxf>
    <dxf>
      <fill>
        <patternFill>
          <bgColor rgb="FFFF0000"/>
        </patternFill>
      </fill>
    </dxf>
    <dxf>
      <font>
        <strike/>
      </font>
      <fill>
        <patternFill patternType="none">
          <bgColor auto="1"/>
        </patternFill>
      </fill>
    </dxf>
    <dxf>
      <fill>
        <patternFill>
          <bgColor rgb="FFFFFF99"/>
        </patternFill>
      </fill>
    </dxf>
    <dxf>
      <fill>
        <patternFill>
          <bgColor rgb="FF92D050"/>
        </patternFill>
      </fill>
    </dxf>
    <dxf>
      <font>
        <b/>
        <i val="0"/>
        <color theme="1"/>
      </font>
      <fill>
        <patternFill>
          <bgColor rgb="FFFF0000"/>
        </patternFill>
      </fill>
    </dxf>
    <dxf>
      <fill>
        <patternFill>
          <bgColor rgb="FF00B050"/>
        </patternFill>
      </fill>
    </dxf>
    <dxf>
      <fill>
        <patternFill>
          <bgColor rgb="FFCC6600"/>
        </patternFill>
      </fill>
    </dxf>
    <dxf>
      <fill>
        <patternFill>
          <bgColor rgb="FFEAEAEA"/>
        </patternFill>
      </fill>
    </dxf>
    <dxf>
      <fill>
        <patternFill>
          <bgColor rgb="FFFFD700"/>
        </patternFill>
      </fill>
    </dxf>
    <dxf>
      <fill>
        <patternFill>
          <bgColor rgb="FF92D050"/>
        </patternFill>
      </fill>
    </dxf>
    <dxf>
      <font>
        <color rgb="FF92D050"/>
      </font>
      <fill>
        <patternFill>
          <bgColor rgb="FF92D050"/>
        </patternFill>
      </fill>
    </dxf>
    <dxf>
      <fill>
        <patternFill>
          <bgColor rgb="FF92D050"/>
        </patternFill>
      </fill>
    </dxf>
    <dxf>
      <font>
        <b/>
        <i val="0"/>
        <color theme="1"/>
      </font>
      <fill>
        <patternFill>
          <bgColor rgb="FFFF0000"/>
        </patternFill>
      </fill>
    </dxf>
    <dxf>
      <font>
        <b/>
        <i val="0"/>
        <color theme="1"/>
      </font>
      <fill>
        <patternFill>
          <bgColor rgb="FFFF0000"/>
        </patternFill>
      </fill>
    </dxf>
    <dxf>
      <font>
        <color rgb="FF92D050"/>
      </font>
      <fill>
        <patternFill>
          <bgColor rgb="FF92D050"/>
        </patternFill>
      </fill>
    </dxf>
    <dxf>
      <fill>
        <patternFill patternType="lightGray"/>
      </fill>
    </dxf>
    <dxf>
      <fill>
        <patternFill patternType="lightGray"/>
      </fill>
    </dxf>
    <dxf>
      <font>
        <b/>
        <i val="0"/>
        <color theme="1"/>
      </font>
      <fill>
        <patternFill>
          <bgColor rgb="FFFF0000"/>
        </patternFill>
      </fill>
    </dxf>
    <dxf>
      <fill>
        <patternFill>
          <bgColor rgb="FFFFFF99"/>
        </patternFill>
      </fill>
    </dxf>
    <dxf>
      <fill>
        <patternFill>
          <bgColor rgb="FF92D050"/>
        </patternFill>
      </fill>
    </dxf>
    <dxf>
      <fill>
        <patternFill>
          <bgColor rgb="FFFFFF99"/>
        </patternFill>
      </fill>
    </dxf>
    <dxf>
      <fill>
        <patternFill>
          <bgColor rgb="FF92D050"/>
        </patternFill>
      </fill>
    </dxf>
    <dxf>
      <font>
        <b/>
        <i val="0"/>
        <color theme="1"/>
      </font>
      <fill>
        <patternFill>
          <bgColor rgb="FFFF0000"/>
        </patternFill>
      </fill>
    </dxf>
    <dxf>
      <fill>
        <patternFill>
          <bgColor rgb="FF00B050"/>
        </patternFill>
      </fill>
    </dxf>
    <dxf>
      <fill>
        <patternFill>
          <bgColor rgb="FFCC6600"/>
        </patternFill>
      </fill>
    </dxf>
    <dxf>
      <fill>
        <patternFill>
          <bgColor rgb="FFEAEAEA"/>
        </patternFill>
      </fill>
    </dxf>
    <dxf>
      <fill>
        <patternFill>
          <bgColor rgb="FFFFD700"/>
        </patternFill>
      </fill>
    </dxf>
    <dxf>
      <fill>
        <patternFill>
          <bgColor rgb="FF92D050"/>
        </patternFill>
      </fill>
    </dxf>
    <dxf>
      <font>
        <color rgb="FF92D050"/>
      </font>
      <fill>
        <patternFill>
          <bgColor rgb="FF92D05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92D050"/>
        </patternFill>
      </fill>
    </dxf>
    <dxf>
      <fill>
        <patternFill>
          <bgColor rgb="FFFFFF99"/>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ont>
        <color theme="1"/>
      </font>
      <fill>
        <patternFill>
          <bgColor rgb="FFFF0000"/>
        </patternFill>
      </fill>
    </dxf>
    <dxf>
      <font>
        <color theme="1"/>
      </font>
      <fill>
        <patternFill>
          <bgColor rgb="FFFF0000"/>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FF99"/>
        </patternFill>
      </fill>
    </dxf>
    <dxf>
      <fill>
        <patternFill>
          <bgColor rgb="FF92D050"/>
        </patternFill>
      </fill>
    </dxf>
    <dxf>
      <fill>
        <patternFill patternType="darkGrid">
          <fgColor indexed="64"/>
        </patternFill>
      </fill>
    </dxf>
    <dxf>
      <fill>
        <patternFill>
          <bgColor rgb="FFFF0000"/>
        </patternFill>
      </fill>
    </dxf>
    <dxf>
      <fill>
        <patternFill>
          <bgColor rgb="FF92D050"/>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auto="1"/>
      </font>
      <fill>
        <patternFill>
          <bgColor rgb="FFFFFF99"/>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auto="1"/>
      </font>
      <fill>
        <patternFill>
          <bgColor rgb="FFFFFF99"/>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auto="1"/>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FF99"/>
        </patternFill>
      </fill>
    </dxf>
    <dxf>
      <fill>
        <patternFill>
          <bgColor rgb="FFFFFF99"/>
        </patternFill>
      </fill>
    </dxf>
    <dxf>
      <fill>
        <patternFill>
          <bgColor rgb="FF92D050"/>
        </patternFill>
      </fill>
    </dxf>
    <dxf>
      <fill>
        <patternFill patternType="darkGrid">
          <fgColor indexed="64"/>
        </patternFill>
      </fill>
    </dxf>
    <dxf>
      <fill>
        <patternFill>
          <bgColor rgb="FFFF0000"/>
        </patternFill>
      </fill>
    </dxf>
    <dxf>
      <fill>
        <patternFill>
          <bgColor rgb="FFFFFF99"/>
        </patternFill>
      </fill>
    </dxf>
    <dxf>
      <fill>
        <patternFill>
          <bgColor rgb="FF92D050"/>
        </patternFill>
      </fill>
    </dxf>
    <dxf>
      <fill>
        <patternFill patternType="darkGrid">
          <fgColor indexed="64"/>
        </patternFill>
      </fill>
    </dxf>
    <dxf>
      <fill>
        <patternFill>
          <bgColor rgb="FFFF0000"/>
        </patternFill>
      </fill>
    </dxf>
    <dxf>
      <fill>
        <patternFill>
          <bgColor rgb="FFFFFF99"/>
        </patternFill>
      </fill>
    </dxf>
    <dxf>
      <fill>
        <patternFill>
          <bgColor rgb="FF92D050"/>
        </patternFill>
      </fill>
    </dxf>
    <dxf>
      <fill>
        <patternFill patternType="darkGrid">
          <fgColor indexed="64"/>
        </patternFill>
      </fill>
    </dxf>
    <dxf>
      <fill>
        <patternFill>
          <bgColor rgb="FFFF0000"/>
        </patternFill>
      </fill>
    </dxf>
    <dxf>
      <fill>
        <patternFill>
          <bgColor rgb="FF92D050"/>
        </patternFill>
      </fill>
    </dxf>
    <dxf>
      <fill>
        <patternFill>
          <bgColor rgb="FFFFFF99"/>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rgb="FFFFFF99"/>
      </font>
      <fill>
        <patternFill>
          <bgColor rgb="FFFFFF99"/>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rgb="FFFFFF99"/>
      </font>
      <fill>
        <patternFill>
          <bgColor rgb="FFFFFF99"/>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rgb="FFFFFF99"/>
      </font>
      <fill>
        <patternFill>
          <bgColor rgb="FFFFFF99"/>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rgb="FFFFFF99"/>
      </font>
      <fill>
        <patternFill>
          <bgColor rgb="FFFFFF99"/>
        </patternFill>
      </fill>
    </dxf>
    <dxf>
      <fill>
        <patternFill patternType="darkGrid">
          <fgColor indexed="64"/>
        </patternFill>
      </fill>
    </dxf>
    <dxf>
      <fill>
        <patternFill patternType="darkGrid">
          <fgColor indexed="64"/>
        </patternFill>
      </fill>
    </dxf>
    <dxf>
      <font>
        <color auto="1"/>
      </font>
      <fill>
        <patternFill>
          <bgColor rgb="FFFF0000"/>
        </patternFill>
      </fill>
    </dxf>
    <dxf>
      <font>
        <color auto="1"/>
      </font>
      <fill>
        <patternFill>
          <bgColor rgb="FF92D050"/>
        </patternFill>
      </fill>
    </dxf>
    <dxf>
      <font>
        <color auto="1"/>
      </font>
      <fill>
        <patternFill>
          <bgColor rgb="FFFFFF99"/>
        </patternFill>
      </fill>
    </dxf>
    <dxf>
      <font>
        <color auto="1"/>
      </font>
      <fill>
        <patternFill>
          <bgColor rgb="FFFF0000"/>
        </patternFill>
      </fill>
    </dxf>
    <dxf>
      <font>
        <color auto="1"/>
      </font>
      <fill>
        <patternFill>
          <bgColor rgb="FF92D050"/>
        </patternFill>
      </fill>
    </dxf>
    <dxf>
      <font>
        <color auto="1"/>
      </font>
      <fill>
        <patternFill>
          <bgColor rgb="FFFFFF99"/>
        </patternFill>
      </fill>
    </dxf>
    <dxf>
      <fill>
        <patternFill>
          <bgColor rgb="FFFFFF99"/>
        </patternFill>
      </fill>
    </dxf>
    <dxf>
      <fill>
        <patternFill>
          <bgColor rgb="FFFFFF99"/>
        </patternFill>
      </fill>
    </dxf>
    <dxf>
      <fill>
        <patternFill>
          <bgColor rgb="FFFFFF99"/>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FF99"/>
        </patternFill>
      </fill>
    </dxf>
    <dxf>
      <fill>
        <patternFill>
          <bgColor rgb="FFFFFF99"/>
        </patternFill>
      </fill>
    </dxf>
    <dxf>
      <fill>
        <patternFill>
          <bgColor rgb="FFFFFF99"/>
        </patternFill>
      </fill>
    </dxf>
    <dxf>
      <fill>
        <patternFill>
          <bgColor rgb="FFFFFF99"/>
        </patternFill>
      </fill>
    </dxf>
    <dxf>
      <fill>
        <patternFill>
          <bgColor rgb="FFFFFF99"/>
        </patternFill>
      </fill>
    </dxf>
    <dxf>
      <fill>
        <patternFill>
          <bgColor rgb="FFFFFF99"/>
        </patternFill>
      </fill>
    </dxf>
    <dxf>
      <fill>
        <patternFill>
          <bgColor rgb="FFFFFF99"/>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FF99"/>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FF99"/>
      </font>
      <fill>
        <patternFill>
          <bgColor rgb="FFFFFF99"/>
        </patternFill>
      </fill>
    </dxf>
    <dxf>
      <font>
        <color rgb="FF92D050"/>
      </font>
      <fill>
        <patternFill>
          <bgColor rgb="FF92D050"/>
        </patternFill>
      </fill>
    </dxf>
    <dxf>
      <fill>
        <patternFill patternType="darkGrid">
          <fgColor indexed="64"/>
        </patternFill>
      </fill>
    </dxf>
    <dxf>
      <font>
        <color rgb="FFFF0000"/>
      </font>
      <fill>
        <patternFill>
          <bgColor rgb="FFFF0000"/>
        </patternFill>
      </fill>
    </dxf>
    <dxf>
      <font>
        <color rgb="FFFFFF99"/>
      </font>
      <fill>
        <patternFill>
          <bgColor rgb="FFFFFF99"/>
        </patternFill>
      </fill>
    </dxf>
    <dxf>
      <font>
        <color rgb="FF92D050"/>
      </font>
      <fill>
        <patternFill>
          <bgColor rgb="FF92D050"/>
        </patternFill>
      </fill>
    </dxf>
    <dxf>
      <fill>
        <patternFill patternType="darkGrid">
          <fgColor indexed="64"/>
        </patternFill>
      </fill>
    </dxf>
    <dxf>
      <font>
        <color rgb="FFFF0000"/>
      </font>
      <fill>
        <patternFill>
          <bgColor rgb="FFFF0000"/>
        </patternFill>
      </fill>
    </dxf>
    <dxf>
      <font>
        <color rgb="FFFFFF99"/>
      </font>
      <fill>
        <patternFill>
          <bgColor rgb="FFFFFF99"/>
        </patternFill>
      </fill>
    </dxf>
    <dxf>
      <font>
        <color rgb="FF92D050"/>
      </font>
      <fill>
        <patternFill>
          <bgColor rgb="FF92D050"/>
        </patternFill>
      </fill>
    </dxf>
    <dxf>
      <fill>
        <patternFill patternType="darkGrid">
          <fgColor indexed="64"/>
        </patternFill>
      </fill>
    </dxf>
    <dxf>
      <font>
        <color rgb="FFFF0000"/>
      </font>
      <fill>
        <patternFill>
          <bgColor rgb="FFFF0000"/>
        </patternFill>
      </fill>
    </dxf>
    <dxf>
      <font>
        <color rgb="FFFFFF99"/>
      </font>
      <fill>
        <patternFill>
          <bgColor rgb="FFFFFF99"/>
        </patternFill>
      </fill>
    </dxf>
    <dxf>
      <font>
        <color rgb="FF92D050"/>
      </font>
      <fill>
        <patternFill>
          <bgColor rgb="FF92D050"/>
        </patternFill>
      </fill>
    </dxf>
    <dxf>
      <fill>
        <patternFill patternType="darkGrid">
          <fgColor indexed="64"/>
        </patternFill>
      </fill>
    </dxf>
    <dxf>
      <font>
        <color rgb="FFFF0000"/>
      </font>
      <fill>
        <patternFill>
          <bgColor rgb="FFFF0000"/>
        </patternFill>
      </fill>
    </dxf>
    <dxf>
      <font>
        <color rgb="FFFFFF99"/>
      </font>
      <fill>
        <patternFill>
          <bgColor rgb="FFFFFF99"/>
        </patternFill>
      </fill>
    </dxf>
    <dxf>
      <font>
        <color rgb="FF92D050"/>
      </font>
      <fill>
        <patternFill>
          <bgColor rgb="FF92D050"/>
        </patternFill>
      </fill>
    </dxf>
    <dxf>
      <fill>
        <patternFill patternType="darkGrid">
          <fgColor indexed="64"/>
        </patternFill>
      </fill>
    </dxf>
    <dxf>
      <font>
        <color rgb="FFFF0000"/>
      </font>
      <fill>
        <patternFill>
          <bgColor rgb="FFFF0000"/>
        </patternFill>
      </fill>
    </dxf>
    <dxf>
      <font>
        <color rgb="FFFFFF99"/>
      </font>
      <fill>
        <patternFill>
          <bgColor rgb="FFFFFF99"/>
        </patternFill>
      </fill>
    </dxf>
    <dxf>
      <font>
        <color rgb="FF92D050"/>
      </font>
      <fill>
        <patternFill>
          <bgColor rgb="FF92D050"/>
        </patternFill>
      </fill>
    </dxf>
    <dxf>
      <fill>
        <patternFill patternType="darkGrid">
          <fgColor indexed="64"/>
        </patternFill>
      </fill>
    </dxf>
    <dxf>
      <font>
        <color rgb="FFFF0000"/>
      </font>
      <fill>
        <patternFill>
          <bgColor rgb="FFFF0000"/>
        </patternFill>
      </fill>
    </dxf>
    <dxf>
      <font>
        <color rgb="FFFFFF99"/>
      </font>
      <fill>
        <patternFill>
          <bgColor rgb="FFFFFF99"/>
        </patternFill>
      </fill>
    </dxf>
    <dxf>
      <font>
        <color rgb="FF92D050"/>
      </font>
      <fill>
        <patternFill>
          <bgColor rgb="FF92D050"/>
        </patternFill>
      </fill>
    </dxf>
    <dxf>
      <fill>
        <patternFill patternType="darkGrid">
          <fgColor indexed="64"/>
        </patternFill>
      </fill>
    </dxf>
    <dxf>
      <font>
        <color rgb="FFFF0000"/>
      </font>
      <fill>
        <patternFill>
          <bgColor rgb="FFFF0000"/>
        </patternFill>
      </fill>
    </dxf>
    <dxf>
      <font>
        <color rgb="FFFFFF99"/>
      </font>
      <fill>
        <patternFill>
          <bgColor rgb="FFFFFF99"/>
        </patternFill>
      </fill>
    </dxf>
    <dxf>
      <font>
        <color rgb="FF92D050"/>
      </font>
      <fill>
        <patternFill>
          <bgColor rgb="FF92D050"/>
        </patternFill>
      </fill>
    </dxf>
    <dxf>
      <fill>
        <patternFill patternType="darkGrid">
          <fgColor indexed="64"/>
        </patternFill>
      </fill>
    </dxf>
    <dxf>
      <font>
        <color rgb="FFFF0000"/>
      </font>
      <fill>
        <patternFill>
          <bgColor rgb="FFFF0000"/>
        </patternFill>
      </fill>
    </dxf>
    <dxf>
      <font>
        <color rgb="FFFFFF99"/>
      </font>
      <fill>
        <patternFill>
          <bgColor rgb="FFFFFF99"/>
        </patternFill>
      </fill>
    </dxf>
    <dxf>
      <font>
        <color rgb="FF92D050"/>
      </font>
      <fill>
        <patternFill>
          <bgColor rgb="FF92D050"/>
        </patternFill>
      </fill>
    </dxf>
    <dxf>
      <fill>
        <patternFill patternType="darkGrid">
          <fgColor indexed="64"/>
        </patternFill>
      </fill>
    </dxf>
    <dxf>
      <font>
        <color rgb="FFFF0000"/>
      </font>
      <fill>
        <patternFill>
          <bgColor rgb="FFFF0000"/>
        </patternFill>
      </fill>
    </dxf>
    <dxf>
      <font>
        <color rgb="FFFFFF99"/>
      </font>
      <fill>
        <patternFill>
          <bgColor rgb="FFFFFF99"/>
        </patternFill>
      </fill>
    </dxf>
    <dxf>
      <font>
        <color rgb="FF92D050"/>
      </font>
      <fill>
        <patternFill>
          <bgColor rgb="FF92D050"/>
        </patternFill>
      </fill>
    </dxf>
    <dxf>
      <fill>
        <patternFill patternType="darkGrid">
          <fgColor indexed="64"/>
        </patternFill>
      </fill>
    </dxf>
    <dxf>
      <font>
        <color rgb="FFFF0000"/>
      </font>
      <fill>
        <patternFill>
          <bgColor rgb="FFFF0000"/>
        </patternFill>
      </fill>
    </dxf>
    <dxf>
      <font>
        <color rgb="FFFFFF99"/>
      </font>
      <fill>
        <patternFill>
          <bgColor rgb="FFFFFF99"/>
        </patternFill>
      </fill>
    </dxf>
    <dxf>
      <font>
        <color rgb="FF92D050"/>
      </font>
      <fill>
        <patternFill>
          <bgColor rgb="FF92D050"/>
        </patternFill>
      </fill>
    </dxf>
    <dxf>
      <fill>
        <patternFill patternType="darkGrid">
          <fgColor indexed="64"/>
        </patternFill>
      </fill>
    </dxf>
    <dxf>
      <font>
        <color rgb="FFFF0000"/>
      </font>
      <fill>
        <patternFill>
          <bgColor rgb="FFFF0000"/>
        </patternFill>
      </fill>
    </dxf>
    <dxf>
      <font>
        <color rgb="FFFFFF99"/>
      </font>
      <fill>
        <patternFill>
          <bgColor rgb="FFFFFF99"/>
        </patternFill>
      </fill>
    </dxf>
    <dxf>
      <font>
        <color rgb="FF92D050"/>
      </font>
      <fill>
        <patternFill>
          <bgColor rgb="FF92D050"/>
        </patternFill>
      </fill>
    </dxf>
    <dxf>
      <fill>
        <patternFill patternType="darkGrid">
          <fgColor indexed="64"/>
        </patternFill>
      </fill>
    </dxf>
    <dxf>
      <font>
        <color rgb="FFFF0000"/>
      </font>
      <fill>
        <patternFill>
          <bgColor rgb="FFFF0000"/>
        </patternFill>
      </fill>
    </dxf>
    <dxf>
      <font>
        <color rgb="FFFFFF99"/>
      </font>
      <fill>
        <patternFill>
          <bgColor rgb="FFFFFF99"/>
        </patternFill>
      </fill>
    </dxf>
    <dxf>
      <font>
        <color rgb="FF92D050"/>
      </font>
      <fill>
        <patternFill>
          <bgColor rgb="FF92D050"/>
        </patternFill>
      </fill>
    </dxf>
    <dxf>
      <fill>
        <patternFill patternType="darkGrid">
          <fgColor indexed="64"/>
        </patternFill>
      </fill>
    </dxf>
    <dxf>
      <font>
        <color rgb="FFFF0000"/>
      </font>
      <fill>
        <patternFill>
          <bgColor rgb="FFFF0000"/>
        </patternFill>
      </fill>
    </dxf>
    <dxf>
      <font>
        <color rgb="FFFFFF99"/>
      </font>
      <fill>
        <patternFill>
          <bgColor rgb="FFFFFF99"/>
        </patternFill>
      </fill>
    </dxf>
    <dxf>
      <font>
        <color rgb="FF92D050"/>
      </font>
      <fill>
        <patternFill>
          <bgColor rgb="FF92D050"/>
        </patternFill>
      </fill>
    </dxf>
    <dxf>
      <fill>
        <patternFill patternType="darkGrid">
          <fgColor indexed="64"/>
        </patternFill>
      </fill>
    </dxf>
    <dxf>
      <font>
        <color rgb="FFFF0000"/>
      </font>
      <fill>
        <patternFill>
          <bgColor rgb="FFFF0000"/>
        </patternFill>
      </fill>
    </dxf>
    <dxf>
      <font>
        <color theme="1"/>
      </font>
      <fill>
        <patternFill>
          <bgColor rgb="FFFF000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theme="7" tint="0.59996337778862885"/>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auto="1"/>
      </font>
      <fill>
        <patternFill>
          <bgColor rgb="FFFFFF99"/>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auto="1"/>
      </font>
      <fill>
        <patternFill>
          <bgColor rgb="FFFFFF99"/>
        </patternFill>
      </fill>
    </dxf>
    <dxf>
      <font>
        <b/>
        <i val="0"/>
        <color theme="1"/>
      </font>
      <fill>
        <patternFill>
          <bgColor rgb="FFFF0000"/>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FF99"/>
        </patternFill>
      </fill>
    </dxf>
    <dxf>
      <fill>
        <patternFill>
          <bgColor rgb="FFFFFF99"/>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auto="1"/>
      </font>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ont>
        <color rgb="FFFF0000"/>
      </font>
      <fill>
        <patternFill>
          <bgColor rgb="FFFFFF00"/>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auto="1"/>
      </font>
      <fill>
        <patternFill>
          <bgColor rgb="FFFFFF99"/>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auto="1"/>
      </font>
      <fill>
        <patternFill>
          <bgColor rgb="FFFFFF99"/>
        </patternFill>
      </fill>
    </dxf>
    <dxf>
      <fill>
        <patternFill>
          <bgColor rgb="FFFF0000"/>
        </patternFill>
      </fill>
    </dxf>
    <dxf>
      <fill>
        <patternFill>
          <bgColor rgb="FFFF0000"/>
        </patternFill>
      </fill>
    </dxf>
    <dxf>
      <font>
        <color rgb="FFFF0000"/>
      </font>
      <fill>
        <patternFill>
          <bgColor rgb="FFFFFF00"/>
        </patternFill>
      </fill>
    </dxf>
    <dxf>
      <font>
        <color rgb="FFFF0000"/>
      </font>
      <fill>
        <patternFill>
          <bgColor rgb="FFFFFF00"/>
        </patternFill>
      </fill>
    </dxf>
    <dxf>
      <fill>
        <patternFill>
          <bgColor rgb="FFFFFF99"/>
        </patternFill>
      </fill>
    </dxf>
    <dxf>
      <fill>
        <patternFill>
          <bgColor rgb="FFFFFF99"/>
        </patternFill>
      </fill>
    </dxf>
    <dxf>
      <fill>
        <patternFill>
          <bgColor rgb="FFFFFF99"/>
        </patternFill>
      </fill>
    </dxf>
    <dxf>
      <fill>
        <patternFill>
          <bgColor rgb="FFFFFF99"/>
        </patternFill>
      </fill>
    </dxf>
    <dxf>
      <fill>
        <patternFill>
          <bgColor rgb="FFFFFF99"/>
        </patternFill>
      </fill>
    </dxf>
    <dxf>
      <fill>
        <patternFill>
          <bgColor rgb="FFFFFF99"/>
        </patternFill>
      </fill>
    </dxf>
    <dxf>
      <fill>
        <patternFill>
          <bgColor rgb="FFFFFF99"/>
        </patternFill>
      </fill>
    </dxf>
    <dxf>
      <fill>
        <patternFill>
          <bgColor rgb="FFFFFF99"/>
        </patternFill>
      </fill>
    </dxf>
    <dxf>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auto="1"/>
      </font>
      <fill>
        <patternFill>
          <bgColor rgb="FFFFFF99"/>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auto="1"/>
      </font>
      <fill>
        <patternFill>
          <bgColor rgb="FFFFFF99"/>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auto="1"/>
      </font>
      <fill>
        <patternFill>
          <bgColor rgb="FFFFFF99"/>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auto="1"/>
      </font>
      <fill>
        <patternFill>
          <bgColor rgb="FFFFFF99"/>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auto="1"/>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ont>
        <color theme="1"/>
      </font>
      <fill>
        <patternFill>
          <bgColor rgb="FFFF0000"/>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auto="1"/>
      </font>
      <fill>
        <patternFill>
          <bgColor rgb="FFFFFF99"/>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auto="1"/>
      </font>
      <fill>
        <patternFill>
          <bgColor rgb="FFFFFF99"/>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auto="1"/>
      </font>
      <fill>
        <patternFill>
          <bgColor rgb="FFFFFF99"/>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auto="1"/>
      </font>
      <fill>
        <patternFill>
          <bgColor rgb="FFFFFF99"/>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auto="1"/>
      </font>
      <fill>
        <patternFill>
          <bgColor rgb="FFFFFF99"/>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auto="1"/>
      </font>
      <fill>
        <patternFill>
          <bgColor rgb="FFFFFF99"/>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auto="1"/>
      </font>
      <fill>
        <patternFill>
          <bgColor rgb="FFFFFF99"/>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auto="1"/>
      </font>
      <fill>
        <patternFill>
          <bgColor rgb="FFFFFF99"/>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auto="1"/>
      </font>
      <fill>
        <patternFill>
          <bgColor rgb="FFFFFF99"/>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auto="1"/>
      </font>
      <fill>
        <patternFill>
          <bgColor rgb="FFFFFF99"/>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auto="1"/>
      </font>
      <fill>
        <patternFill>
          <bgColor rgb="FFFFFF99"/>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auto="1"/>
      </font>
      <fill>
        <patternFill>
          <bgColor rgb="FFFFFF99"/>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auto="1"/>
      </font>
      <fill>
        <patternFill>
          <bgColor rgb="FFFFFF99"/>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auto="1"/>
      </font>
      <fill>
        <patternFill>
          <bgColor rgb="FFFFFF99"/>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auto="1"/>
      </font>
      <fill>
        <patternFill>
          <bgColor rgb="FFFFFF99"/>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auto="1"/>
      </font>
      <fill>
        <patternFill>
          <bgColor rgb="FFFFFF99"/>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auto="1"/>
      </font>
      <fill>
        <patternFill>
          <bgColor rgb="FFFFFF99"/>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auto="1"/>
      </font>
      <fill>
        <patternFill>
          <bgColor rgb="FFFFFF99"/>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auto="1"/>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patternType="darkGrid">
          <fgColor indexed="64"/>
        </patternFill>
      </fill>
    </dxf>
    <dxf>
      <fill>
        <patternFill patternType="darkGrid">
          <fgColor indexed="64"/>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auto="1"/>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theme="1"/>
      </font>
      <fill>
        <patternFill>
          <bgColor rgb="FFFF0000"/>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auto="1"/>
      </font>
      <fill>
        <patternFill>
          <bgColor rgb="FFFFFF99"/>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auto="1"/>
      </font>
      <fill>
        <patternFill>
          <bgColor rgb="FFFFFF99"/>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auto="1"/>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ill>
        <patternFill>
          <bgColor rgb="FF92D050"/>
        </patternFill>
      </fill>
    </dxf>
    <dxf>
      <fill>
        <patternFill>
          <bgColor rgb="FF92D050"/>
        </patternFill>
      </fill>
    </dxf>
    <dxf>
      <fill>
        <patternFill>
          <bgColor rgb="FF92D050"/>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ill>
        <patternFill>
          <bgColor rgb="FFFFFF99"/>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auto="1"/>
      </font>
      <fill>
        <patternFill>
          <bgColor rgb="FFFFFF99"/>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auto="1"/>
      </font>
      <fill>
        <patternFill>
          <bgColor rgb="FFFFFF99"/>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auto="1"/>
      </font>
      <fill>
        <patternFill>
          <bgColor rgb="FFFFFF99"/>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auto="1"/>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auto="1"/>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FF99"/>
      </font>
      <fill>
        <patternFill>
          <bgColor rgb="FFFFFF99"/>
        </patternFill>
      </fill>
    </dxf>
    <dxf>
      <font>
        <color rgb="FF92D050"/>
      </font>
      <fill>
        <patternFill>
          <bgColor rgb="FF92D050"/>
        </patternFill>
      </fill>
    </dxf>
    <dxf>
      <fill>
        <patternFill patternType="darkGrid">
          <fgColor indexed="64"/>
        </patternFill>
      </fill>
    </dxf>
    <dxf>
      <font>
        <color rgb="FFFF0000"/>
      </font>
      <fill>
        <patternFill>
          <bgColor rgb="FFFF0000"/>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FF99"/>
        </patternFill>
      </fill>
    </dxf>
    <dxf>
      <font>
        <color auto="1"/>
      </font>
      <fill>
        <patternFill>
          <bgColor rgb="FFFF0000"/>
        </patternFill>
      </fill>
    </dxf>
    <dxf>
      <font>
        <color auto="1"/>
      </font>
      <fill>
        <patternFill>
          <bgColor rgb="FF92D050"/>
        </patternFill>
      </fill>
    </dxf>
    <dxf>
      <font>
        <color auto="1"/>
      </font>
      <fill>
        <patternFill>
          <bgColor rgb="FFFFFF99"/>
        </patternFill>
      </fill>
    </dxf>
    <dxf>
      <font>
        <color auto="1"/>
      </font>
      <fill>
        <patternFill>
          <bgColor rgb="FFFF0000"/>
        </patternFill>
      </fill>
    </dxf>
    <dxf>
      <font>
        <color auto="1"/>
      </font>
      <fill>
        <patternFill>
          <bgColor rgb="FF92D050"/>
        </patternFill>
      </fill>
    </dxf>
    <dxf>
      <font>
        <color auto="1"/>
      </font>
      <fill>
        <patternFill>
          <bgColor rgb="FFFFFF99"/>
        </patternFill>
      </fill>
    </dxf>
    <dxf>
      <fill>
        <patternFill>
          <bgColor rgb="FFFFFF99"/>
        </patternFill>
      </fill>
    </dxf>
    <dxf>
      <fill>
        <patternFill>
          <bgColor rgb="FFFFFF99"/>
        </patternFill>
      </fill>
    </dxf>
    <dxf>
      <fill>
        <patternFill>
          <bgColor rgb="FFFFFF99"/>
        </patternFill>
      </fill>
    </dxf>
    <dxf>
      <fill>
        <patternFill>
          <bgColor rgb="FFFFFF99"/>
        </patternFill>
      </fill>
    </dxf>
    <dxf>
      <fill>
        <patternFill>
          <bgColor rgb="FFFFFF99"/>
        </patternFill>
      </fill>
    </dxf>
    <dxf>
      <fill>
        <patternFill>
          <bgColor rgb="FFFFFF99"/>
        </patternFill>
      </fill>
    </dxf>
    <dxf>
      <fill>
        <patternFill>
          <bgColor rgb="FFFFFF99"/>
        </patternFill>
      </fill>
    </dxf>
    <dxf>
      <fill>
        <patternFill>
          <bgColor rgb="FFFFFF99"/>
        </patternFill>
      </fill>
    </dxf>
    <dxf>
      <fill>
        <patternFill>
          <bgColor rgb="FFFFFF99"/>
        </patternFill>
      </fill>
    </dxf>
    <dxf>
      <fill>
        <patternFill>
          <bgColor rgb="FFFFFF99"/>
        </patternFill>
      </fill>
    </dxf>
    <dxf>
      <fill>
        <patternFill>
          <bgColor rgb="FFFFFF99"/>
        </patternFill>
      </fill>
    </dxf>
    <dxf>
      <fill>
        <patternFill>
          <bgColor rgb="FFFFFF99"/>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rgb="FFFFFF99"/>
      </font>
      <fill>
        <patternFill>
          <bgColor rgb="FFFFFF99"/>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rgb="FFFFFF99"/>
      </font>
      <fill>
        <patternFill>
          <bgColor rgb="FFFFFF99"/>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rgb="FFFFFF99"/>
      </font>
      <fill>
        <patternFill>
          <bgColor rgb="FFFFFF99"/>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rgb="FFFFFF99"/>
      </font>
      <fill>
        <patternFill>
          <bgColor rgb="FFFFFF99"/>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rgb="FFFFFF99"/>
      </font>
      <fill>
        <patternFill>
          <bgColor rgb="FFFFFF99"/>
        </patternFill>
      </fill>
    </dxf>
    <dxf>
      <fill>
        <patternFill>
          <bgColor rgb="FFFFFF99"/>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rgb="FFFFFF99"/>
      </font>
      <fill>
        <patternFill>
          <bgColor rgb="FFFFFF99"/>
        </patternFill>
      </fill>
    </dxf>
    <dxf>
      <fill>
        <patternFill>
          <bgColor rgb="FFFFFF99"/>
        </patternFill>
      </fill>
    </dxf>
    <dxf>
      <fill>
        <patternFill>
          <bgColor rgb="FFFFFF99"/>
        </patternFill>
      </fill>
    </dxf>
    <dxf>
      <fill>
        <patternFill>
          <bgColor rgb="FFFFFF99"/>
        </patternFill>
      </fill>
    </dxf>
    <dxf>
      <fill>
        <patternFill>
          <bgColor rgb="FFFFFF99"/>
        </patternFill>
      </fill>
    </dxf>
    <dxf>
      <fill>
        <patternFill>
          <bgColor rgb="FFFFFF99"/>
        </patternFill>
      </fill>
    </dxf>
    <dxf>
      <fill>
        <patternFill>
          <bgColor rgb="FFFFFF99"/>
        </patternFill>
      </fill>
    </dxf>
    <dxf>
      <fill>
        <patternFill>
          <bgColor rgb="FFFFFF99"/>
        </patternFill>
      </fill>
    </dxf>
    <dxf>
      <font>
        <color auto="1"/>
      </font>
      <fill>
        <patternFill>
          <bgColor rgb="FF92D050"/>
        </patternFill>
      </fill>
    </dxf>
    <dxf>
      <fill>
        <patternFill>
          <bgColor rgb="FF92D050"/>
        </patternFill>
      </fill>
    </dxf>
    <dxf>
      <fill>
        <patternFill>
          <bgColor rgb="FF92D050"/>
        </patternFill>
      </fill>
    </dxf>
    <dxf>
      <fill>
        <patternFill>
          <bgColor rgb="FF00B050"/>
        </patternFill>
      </fill>
    </dxf>
    <dxf>
      <fill>
        <patternFill>
          <bgColor rgb="FFCC6600"/>
        </patternFill>
      </fill>
    </dxf>
    <dxf>
      <fill>
        <patternFill>
          <bgColor rgb="FFEAEAEA"/>
        </patternFill>
      </fill>
    </dxf>
    <dxf>
      <fill>
        <patternFill>
          <bgColor rgb="FFFFD700"/>
        </patternFill>
      </fill>
    </dxf>
    <dxf>
      <font>
        <color theme="1"/>
      </font>
      <fill>
        <patternFill>
          <bgColor rgb="FFFF0000"/>
        </patternFill>
      </fill>
    </dxf>
    <dxf>
      <font>
        <color theme="1"/>
      </font>
      <fill>
        <patternFill>
          <bgColor rgb="FFFF0000"/>
        </patternFill>
      </fill>
    </dxf>
    <dxf>
      <fill>
        <patternFill patternType="darkGrid">
          <bgColor theme="0"/>
        </patternFill>
      </fill>
    </dxf>
    <dxf>
      <font>
        <color theme="1"/>
      </font>
    </dxf>
    <dxf>
      <font>
        <color rgb="FF92D050"/>
      </font>
      <fill>
        <patternFill>
          <bgColor rgb="FF92D050"/>
        </patternFill>
      </fill>
    </dxf>
    <dxf>
      <fill>
        <patternFill>
          <bgColor rgb="FF92D050"/>
        </patternFill>
      </fill>
    </dxf>
    <dxf>
      <fill>
        <patternFill>
          <bgColor rgb="FF92D050"/>
        </patternFill>
      </fill>
    </dxf>
    <dxf>
      <fill>
        <patternFill patternType="darkGrid"/>
      </fill>
    </dxf>
    <dxf>
      <fill>
        <patternFill>
          <bgColor rgb="FFFF0000"/>
        </patternFill>
      </fill>
    </dxf>
    <dxf>
      <font>
        <color rgb="FFFF0000"/>
      </font>
    </dxf>
    <dxf>
      <font>
        <color rgb="FFFF0000"/>
      </font>
    </dxf>
    <dxf>
      <font>
        <color rgb="FFFF0000"/>
      </font>
    </dxf>
    <dxf>
      <fill>
        <patternFill>
          <bgColor rgb="FF92D050"/>
        </patternFill>
      </fill>
    </dxf>
    <dxf>
      <fill>
        <patternFill>
          <bgColor rgb="FF92D050"/>
        </patternFill>
      </fill>
    </dxf>
    <dxf>
      <fill>
        <patternFill>
          <bgColor rgb="FF92D050"/>
        </patternFill>
      </fill>
    </dxf>
    <dxf>
      <fill>
        <patternFill>
          <bgColor rgb="FF92D050"/>
        </patternFill>
      </fill>
    </dxf>
    <dxf>
      <font>
        <color rgb="FF92D050"/>
      </font>
      <fill>
        <patternFill>
          <bgColor rgb="FF92D050"/>
        </patternFill>
      </fill>
    </dxf>
    <dxf>
      <font>
        <color rgb="FF92D050"/>
      </font>
      <fill>
        <patternFill>
          <bgColor rgb="FF92D050"/>
        </patternFill>
      </fill>
    </dxf>
    <dxf>
      <font>
        <color rgb="FF92D050"/>
      </font>
      <fill>
        <patternFill>
          <bgColor rgb="FF92D050"/>
        </patternFill>
      </fill>
    </dxf>
    <dxf>
      <font>
        <color rgb="FF92D050"/>
      </font>
      <fill>
        <patternFill>
          <bgColor rgb="FF92D050"/>
        </patternFill>
      </fill>
    </dxf>
    <dxf>
      <fill>
        <patternFill patternType="darkGrid"/>
      </fill>
    </dxf>
    <dxf>
      <fill>
        <patternFill>
          <bgColor rgb="FFFFFF99"/>
        </patternFill>
      </fill>
    </dxf>
    <dxf>
      <fill>
        <patternFill>
          <bgColor rgb="FF92D050"/>
        </patternFill>
      </fill>
    </dxf>
    <dxf>
      <fill>
        <patternFill patternType="darkGrid"/>
      </fill>
    </dxf>
    <dxf>
      <fill>
        <patternFill>
          <bgColor rgb="FFFFFF99"/>
        </patternFill>
      </fill>
    </dxf>
    <dxf>
      <fill>
        <patternFill>
          <bgColor rgb="FF92D050"/>
        </patternFill>
      </fill>
    </dxf>
    <dxf>
      <fill>
        <patternFill patternType="darkGrid"/>
      </fill>
    </dxf>
    <dxf>
      <fill>
        <patternFill>
          <bgColor rgb="FFFFFF99"/>
        </patternFill>
      </fill>
    </dxf>
    <dxf>
      <fill>
        <patternFill>
          <bgColor rgb="FF92D050"/>
        </patternFill>
      </fill>
    </dxf>
    <dxf>
      <fill>
        <patternFill patternType="darkGrid"/>
      </fill>
    </dxf>
    <dxf>
      <fill>
        <patternFill>
          <bgColor rgb="FFFFFF99"/>
        </patternFill>
      </fill>
    </dxf>
    <dxf>
      <fill>
        <patternFill>
          <bgColor rgb="FF92D050"/>
        </patternFill>
      </fill>
    </dxf>
    <dxf>
      <fill>
        <patternFill patternType="darkGrid"/>
      </fill>
    </dxf>
    <dxf>
      <fill>
        <patternFill>
          <bgColor rgb="FFFFFF99"/>
        </patternFill>
      </fill>
    </dxf>
    <dxf>
      <fill>
        <patternFill>
          <bgColor rgb="FF92D050"/>
        </patternFill>
      </fill>
    </dxf>
    <dxf>
      <fill>
        <patternFill patternType="darkGrid"/>
      </fill>
    </dxf>
    <dxf>
      <fill>
        <patternFill>
          <bgColor rgb="FFFFFF99"/>
        </patternFill>
      </fill>
    </dxf>
    <dxf>
      <fill>
        <patternFill>
          <bgColor rgb="FF92D050"/>
        </patternFill>
      </fill>
    </dxf>
    <dxf>
      <font>
        <color rgb="FF92D050"/>
      </font>
      <fill>
        <patternFill>
          <bgColor rgb="FF92D050"/>
        </patternFill>
      </fill>
    </dxf>
    <dxf>
      <fill>
        <patternFill>
          <bgColor rgb="FF92D050"/>
        </patternFill>
      </fill>
    </dxf>
    <dxf>
      <fill>
        <patternFill>
          <bgColor rgb="FF92D050"/>
        </patternFill>
      </fill>
    </dxf>
    <dxf>
      <fill>
        <patternFill patternType="darkGrid"/>
      </fill>
    </dxf>
    <dxf>
      <fill>
        <patternFill>
          <bgColor rgb="FFFFFF99"/>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ont>
        <color rgb="FF92D050"/>
      </font>
      <fill>
        <patternFill>
          <bgColor rgb="FF92D050"/>
        </patternFill>
      </fill>
    </dxf>
    <dxf>
      <font>
        <color rgb="FF92D050"/>
      </font>
      <fill>
        <patternFill>
          <bgColor rgb="FF92D050"/>
        </patternFill>
      </fill>
    </dxf>
    <dxf>
      <font>
        <color rgb="FF92D050"/>
      </font>
      <fill>
        <patternFill>
          <bgColor rgb="FF92D050"/>
        </patternFill>
      </fill>
    </dxf>
    <dxf>
      <font>
        <color rgb="FF92D050"/>
      </font>
      <fill>
        <patternFill>
          <bgColor rgb="FF92D050"/>
        </patternFill>
      </fill>
    </dxf>
    <dxf>
      <font>
        <color rgb="FF92D050"/>
      </font>
      <fill>
        <patternFill>
          <bgColor rgb="FF92D050"/>
        </patternFill>
      </fill>
    </dxf>
    <dxf>
      <font>
        <color rgb="FF92D050"/>
      </font>
      <fill>
        <patternFill>
          <bgColor rgb="FF92D050"/>
        </patternFill>
      </fill>
    </dxf>
    <dxf>
      <font>
        <color rgb="FF92D050"/>
      </font>
      <fill>
        <patternFill>
          <bgColor rgb="FF92D050"/>
        </patternFill>
      </fill>
    </dxf>
    <dxf>
      <font>
        <color rgb="FF92D050"/>
      </font>
      <fill>
        <patternFill>
          <bgColor rgb="FF92D050"/>
        </patternFill>
      </fill>
    </dxf>
    <dxf>
      <font>
        <color rgb="FF92D050"/>
      </font>
      <fill>
        <patternFill>
          <bgColor rgb="FF92D050"/>
        </patternFill>
      </fill>
    </dxf>
    <dxf>
      <font>
        <color rgb="FF92D050"/>
      </font>
      <fill>
        <patternFill>
          <bgColor rgb="FF92D050"/>
        </patternFill>
      </fill>
    </dxf>
    <dxf>
      <font>
        <color rgb="FF92D050"/>
      </font>
      <fill>
        <patternFill>
          <bgColor rgb="FF92D050"/>
        </patternFill>
      </fill>
    </dxf>
    <dxf>
      <font>
        <color rgb="FF92D050"/>
      </font>
      <fill>
        <patternFill>
          <bgColor rgb="FF92D050"/>
        </patternFill>
      </fill>
    </dxf>
    <dxf>
      <font>
        <color rgb="FF92D050"/>
      </font>
      <fill>
        <patternFill>
          <bgColor rgb="FF92D050"/>
        </patternFill>
      </fill>
    </dxf>
    <dxf>
      <font>
        <color rgb="FF92D050"/>
      </font>
      <fill>
        <patternFill>
          <bgColor rgb="FF92D050"/>
        </patternFill>
      </fill>
    </dxf>
    <dxf>
      <font>
        <color rgb="FF92D050"/>
      </font>
      <fill>
        <patternFill>
          <bgColor rgb="FF92D050"/>
        </patternFill>
      </fill>
    </dxf>
    <dxf>
      <font>
        <color rgb="FF92D050"/>
      </font>
      <fill>
        <patternFill>
          <bgColor rgb="FF92D050"/>
        </patternFill>
      </fill>
    </dxf>
    <dxf>
      <font>
        <color rgb="FF92D050"/>
      </font>
      <fill>
        <patternFill>
          <bgColor rgb="FF92D050"/>
        </patternFill>
      </fill>
    </dxf>
    <dxf>
      <font>
        <color rgb="FF92D050"/>
      </font>
      <fill>
        <patternFill>
          <bgColor rgb="FF92D050"/>
        </patternFill>
      </fill>
    </dxf>
    <dxf>
      <font>
        <color rgb="FF92D050"/>
      </font>
      <fill>
        <patternFill>
          <bgColor rgb="FF92D050"/>
        </patternFill>
      </fill>
    </dxf>
    <dxf>
      <font>
        <color rgb="FF92D050"/>
      </font>
      <fill>
        <patternFill>
          <bgColor rgb="FF92D050"/>
        </patternFill>
      </fill>
    </dxf>
    <dxf>
      <font>
        <color rgb="FF92D050"/>
      </font>
      <fill>
        <patternFill>
          <bgColor rgb="FF92D050"/>
        </patternFill>
      </fill>
    </dxf>
    <dxf>
      <font>
        <color rgb="FF92D050"/>
      </font>
      <fill>
        <patternFill>
          <bgColor rgb="FF92D050"/>
        </patternFill>
      </fill>
    </dxf>
    <dxf>
      <font>
        <color rgb="FF92D050"/>
      </font>
      <fill>
        <patternFill>
          <bgColor rgb="FF92D050"/>
        </patternFill>
      </fill>
    </dxf>
    <dxf>
      <font>
        <color rgb="FF92D050"/>
      </font>
      <fill>
        <patternFill>
          <bgColor rgb="FF92D050"/>
        </patternFill>
      </fill>
    </dxf>
    <dxf>
      <font>
        <color rgb="FF92D050"/>
      </font>
      <fill>
        <patternFill>
          <bgColor rgb="FF92D050"/>
        </patternFill>
      </fill>
    </dxf>
    <dxf>
      <font>
        <color rgb="FF92D050"/>
      </font>
      <fill>
        <patternFill>
          <bgColor rgb="FF92D050"/>
        </patternFill>
      </fill>
    </dxf>
    <dxf>
      <font>
        <color rgb="FF92D050"/>
      </font>
      <fill>
        <patternFill>
          <bgColor rgb="FF92D050"/>
        </patternFill>
      </fill>
    </dxf>
    <dxf>
      <font>
        <color rgb="FF92D050"/>
      </font>
      <fill>
        <patternFill>
          <bgColor rgb="FF92D050"/>
        </patternFill>
      </fill>
    </dxf>
    <dxf>
      <font>
        <color rgb="FF92D050"/>
      </font>
      <fill>
        <patternFill>
          <bgColor rgb="FF92D050"/>
        </patternFill>
      </fill>
    </dxf>
    <dxf>
      <font>
        <color rgb="FF92D050"/>
      </font>
      <fill>
        <patternFill>
          <bgColor rgb="FF92D050"/>
        </patternFill>
      </fill>
    </dxf>
    <dxf>
      <font>
        <color rgb="FF92D050"/>
      </font>
      <fill>
        <patternFill>
          <bgColor rgb="FF92D050"/>
        </patternFill>
      </fill>
    </dxf>
    <dxf>
      <font>
        <color rgb="FF92D050"/>
      </font>
      <fill>
        <patternFill>
          <bgColor rgb="FF92D050"/>
        </patternFill>
      </fill>
    </dxf>
    <dxf>
      <font>
        <color rgb="FF92D050"/>
      </font>
      <fill>
        <patternFill>
          <bgColor rgb="FF92D050"/>
        </patternFill>
      </fill>
    </dxf>
    <dxf>
      <font>
        <color rgb="FF92D050"/>
      </font>
      <fill>
        <patternFill>
          <bgColor rgb="FF92D050"/>
        </patternFill>
      </fill>
    </dxf>
    <dxf>
      <font>
        <color rgb="FF92D050"/>
      </font>
      <fill>
        <patternFill>
          <bgColor rgb="FF92D050"/>
        </patternFill>
      </fill>
    </dxf>
    <dxf>
      <font>
        <color rgb="FF92D050"/>
      </font>
      <fill>
        <patternFill>
          <bgColor rgb="FF92D050"/>
        </patternFill>
      </fill>
    </dxf>
    <dxf>
      <font>
        <color rgb="FF92D050"/>
      </font>
      <fill>
        <patternFill>
          <bgColor rgb="FF92D050"/>
        </patternFill>
      </fill>
    </dxf>
    <dxf>
      <font>
        <color rgb="FF92D050"/>
      </font>
      <fill>
        <patternFill>
          <bgColor rgb="FF92D050"/>
        </patternFill>
      </fill>
    </dxf>
    <dxf>
      <font>
        <color rgb="FF92D050"/>
      </font>
      <fill>
        <patternFill>
          <bgColor rgb="FF92D050"/>
        </patternFill>
      </fill>
    </dxf>
    <dxf>
      <font>
        <color rgb="FF92D050"/>
      </font>
      <fill>
        <patternFill>
          <bgColor rgb="FF92D050"/>
        </patternFill>
      </fill>
    </dxf>
    <dxf>
      <font>
        <b/>
        <i val="0"/>
        <color theme="1"/>
      </font>
      <fill>
        <patternFill>
          <bgColor rgb="FFFF0000"/>
        </patternFill>
      </fill>
    </dxf>
    <dxf>
      <fill>
        <patternFill patternType="darkGrid"/>
      </fill>
    </dxf>
    <dxf>
      <fill>
        <patternFill>
          <bgColor rgb="FFFFFF99"/>
        </patternFill>
      </fill>
    </dxf>
    <dxf>
      <fill>
        <patternFill>
          <bgColor rgb="FF92D050"/>
        </patternFill>
      </fill>
    </dxf>
    <dxf>
      <fill>
        <patternFill>
          <bgColor rgb="FF92D050"/>
        </patternFill>
      </fill>
    </dxf>
    <dxf>
      <font>
        <color rgb="FFFF0000"/>
      </font>
      <fill>
        <patternFill>
          <bgColor rgb="FFFFFF00"/>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ill>
        <patternFill>
          <bgColor rgb="FF00B050"/>
        </patternFill>
      </fill>
    </dxf>
    <dxf>
      <fill>
        <patternFill>
          <bgColor rgb="FFCC6600"/>
        </patternFill>
      </fill>
    </dxf>
    <dxf>
      <fill>
        <patternFill>
          <bgColor rgb="FFEAEAEA"/>
        </patternFill>
      </fill>
    </dxf>
    <dxf>
      <fill>
        <patternFill>
          <bgColor rgb="FFFFD7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ont>
        <color theme="1"/>
      </font>
      <fill>
        <patternFill>
          <bgColor rgb="FFFF0000"/>
        </patternFill>
      </fill>
    </dxf>
    <dxf>
      <font>
        <color rgb="FFFFFF99"/>
      </font>
      <fill>
        <patternFill>
          <bgColor rgb="FFFFFF99"/>
        </patternFill>
      </fill>
    </dxf>
    <dxf>
      <font>
        <color rgb="FF92D050"/>
      </font>
      <fill>
        <patternFill>
          <bgColor rgb="FF92D050"/>
        </patternFill>
      </fill>
    </dxf>
    <dxf>
      <fill>
        <patternFill patternType="darkGrid">
          <fgColor indexed="64"/>
        </patternFill>
      </fill>
    </dxf>
    <dxf>
      <font>
        <color rgb="FFFF0000"/>
      </font>
      <fill>
        <patternFill>
          <bgColor rgb="FFFF0000"/>
        </patternFill>
      </fill>
    </dxf>
    <dxf>
      <font>
        <color rgb="FFFFFF99"/>
      </font>
      <fill>
        <patternFill>
          <bgColor rgb="FFFFFF99"/>
        </patternFill>
      </fill>
    </dxf>
    <dxf>
      <font>
        <color rgb="FF92D050"/>
      </font>
      <fill>
        <patternFill>
          <bgColor rgb="FF92D050"/>
        </patternFill>
      </fill>
    </dxf>
    <dxf>
      <fill>
        <patternFill patternType="darkGrid">
          <fgColor indexed="64"/>
        </patternFill>
      </fill>
    </dxf>
    <dxf>
      <font>
        <color rgb="FFFF0000"/>
      </font>
      <fill>
        <patternFill>
          <bgColor rgb="FFFF0000"/>
        </patternFill>
      </fill>
    </dxf>
    <dxf>
      <font>
        <color rgb="FFFFFF99"/>
      </font>
      <fill>
        <patternFill>
          <bgColor rgb="FFFFFF99"/>
        </patternFill>
      </fill>
    </dxf>
    <dxf>
      <font>
        <color rgb="FF92D050"/>
      </font>
      <fill>
        <patternFill>
          <bgColor rgb="FF92D050"/>
        </patternFill>
      </fill>
    </dxf>
    <dxf>
      <fill>
        <patternFill patternType="darkGrid">
          <fgColor indexed="64"/>
        </patternFill>
      </fill>
    </dxf>
    <dxf>
      <font>
        <color rgb="FFFF0000"/>
      </font>
      <fill>
        <patternFill>
          <bgColor rgb="FFFF0000"/>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FF99"/>
      </font>
      <fill>
        <patternFill>
          <bgColor rgb="FFFFFF99"/>
        </patternFill>
      </fill>
    </dxf>
    <dxf>
      <font>
        <color rgb="FF92D050"/>
      </font>
      <fill>
        <patternFill>
          <bgColor rgb="FF92D050"/>
        </patternFill>
      </fill>
    </dxf>
    <dxf>
      <fill>
        <patternFill patternType="darkGrid">
          <fgColor indexed="64"/>
        </patternFill>
      </fill>
    </dxf>
    <dxf>
      <font>
        <color rgb="FFFF0000"/>
      </font>
      <fill>
        <patternFill>
          <bgColor rgb="FFFF0000"/>
        </patternFill>
      </fill>
    </dxf>
    <dxf>
      <font>
        <color rgb="FFFFFF99"/>
      </font>
      <fill>
        <patternFill>
          <bgColor rgb="FFFFFF99"/>
        </patternFill>
      </fill>
    </dxf>
    <dxf>
      <font>
        <color rgb="FF92D050"/>
      </font>
      <fill>
        <patternFill>
          <bgColor rgb="FF92D050"/>
        </patternFill>
      </fill>
    </dxf>
    <dxf>
      <fill>
        <patternFill patternType="darkGrid">
          <fgColor indexed="64"/>
        </patternFill>
      </fill>
    </dxf>
    <dxf>
      <font>
        <color rgb="FFFF0000"/>
      </font>
      <fill>
        <patternFill>
          <bgColor rgb="FFFF0000"/>
        </patternFill>
      </fill>
    </dxf>
    <dxf>
      <font>
        <color rgb="FFFFFF99"/>
      </font>
      <fill>
        <patternFill>
          <bgColor rgb="FFFFFF99"/>
        </patternFill>
      </fill>
    </dxf>
    <dxf>
      <font>
        <color rgb="FF92D050"/>
      </font>
      <fill>
        <patternFill>
          <bgColor rgb="FF92D050"/>
        </patternFill>
      </fill>
    </dxf>
    <dxf>
      <fill>
        <patternFill patternType="darkGrid">
          <fgColor indexed="64"/>
        </patternFill>
      </fill>
    </dxf>
    <dxf>
      <font>
        <color rgb="FFFF0000"/>
      </font>
      <fill>
        <patternFill>
          <bgColor rgb="FFFF0000"/>
        </patternFill>
      </fill>
    </dxf>
    <dxf>
      <fill>
        <patternFill>
          <bgColor rgb="FF92D050"/>
        </patternFill>
      </fill>
    </dxf>
    <dxf>
      <fill>
        <patternFill>
          <bgColor rgb="FF92D050"/>
        </patternFill>
      </fill>
    </dxf>
    <dxf>
      <fill>
        <patternFill>
          <bgColor rgb="FF92D050"/>
        </patternFill>
      </fill>
    </dxf>
    <dxf>
      <font>
        <color theme="1"/>
      </font>
      <fill>
        <patternFill>
          <bgColor rgb="FFFF0000"/>
        </patternFill>
      </fill>
    </dxf>
    <dxf>
      <font>
        <color theme="1"/>
      </font>
      <fill>
        <patternFill>
          <bgColor rgb="FFFF0000"/>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00B050"/>
        </patternFill>
      </fill>
    </dxf>
    <dxf>
      <fill>
        <patternFill>
          <bgColor rgb="FFCC6600"/>
        </patternFill>
      </fill>
    </dxf>
    <dxf>
      <fill>
        <patternFill>
          <bgColor rgb="FFEAEAEA"/>
        </patternFill>
      </fill>
    </dxf>
    <dxf>
      <fill>
        <patternFill>
          <bgColor rgb="FFFFD700"/>
        </patternFill>
      </fill>
    </dxf>
    <dxf>
      <font>
        <color theme="1"/>
      </font>
      <fill>
        <patternFill>
          <bgColor rgb="FFFF0000"/>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FF99"/>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auto="1"/>
      </font>
      <fill>
        <patternFill>
          <bgColor rgb="FFFFFF99"/>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auto="1"/>
      </font>
      <fill>
        <patternFill>
          <bgColor rgb="FFFFFF99"/>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auto="1"/>
      </font>
      <fill>
        <patternFill>
          <bgColor rgb="FFFFFF99"/>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auto="1"/>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auto="1"/>
      </font>
      <fill>
        <patternFill>
          <bgColor rgb="FF92D050"/>
        </patternFill>
      </fill>
    </dxf>
    <dxf>
      <fill>
        <patternFill>
          <bgColor rgb="FFFF0000"/>
        </patternFill>
      </fill>
    </dxf>
    <dxf>
      <font>
        <color auto="1"/>
      </font>
      <fill>
        <patternFill>
          <bgColor rgb="FF92D050"/>
        </patternFill>
      </fill>
    </dxf>
    <dxf>
      <fill>
        <patternFill>
          <bgColor rgb="FFFF0000"/>
        </patternFill>
      </fill>
    </dxf>
    <dxf>
      <font>
        <color auto="1"/>
      </font>
      <fill>
        <patternFill>
          <bgColor rgb="FF92D050"/>
        </patternFill>
      </fill>
    </dxf>
    <dxf>
      <fill>
        <patternFill>
          <bgColor rgb="FFFF0000"/>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ill>
        <patternFill>
          <bgColor rgb="FFFFFF99"/>
        </patternFill>
      </fill>
    </dxf>
    <dxf>
      <fill>
        <patternFill>
          <bgColor rgb="FF92D050"/>
        </patternFill>
      </fill>
    </dxf>
    <dxf>
      <fill>
        <patternFill patternType="darkGrid">
          <fgColor indexed="64"/>
        </patternFill>
      </fill>
    </dxf>
    <dxf>
      <fill>
        <patternFill>
          <bgColor rgb="FFFF0000"/>
        </patternFill>
      </fill>
    </dxf>
    <dxf>
      <fill>
        <patternFill>
          <bgColor rgb="FFFFFF99"/>
        </patternFill>
      </fill>
    </dxf>
    <dxf>
      <fill>
        <patternFill>
          <bgColor rgb="FF92D050"/>
        </patternFill>
      </fill>
    </dxf>
    <dxf>
      <fill>
        <patternFill patternType="darkGrid">
          <fgColor indexed="64"/>
        </patternFill>
      </fill>
    </dxf>
    <dxf>
      <fill>
        <patternFill>
          <bgColor rgb="FFFF0000"/>
        </patternFill>
      </fill>
    </dxf>
    <dxf>
      <font>
        <color rgb="FFFFFF99"/>
      </font>
      <fill>
        <patternFill>
          <bgColor rgb="FFFFFF99"/>
        </patternFill>
      </fill>
    </dxf>
    <dxf>
      <font>
        <color rgb="FF92D050"/>
      </font>
      <fill>
        <patternFill>
          <bgColor rgb="FF92D050"/>
        </patternFill>
      </fill>
    </dxf>
    <dxf>
      <fill>
        <patternFill patternType="darkGrid">
          <fgColor indexed="64"/>
        </patternFill>
      </fill>
    </dxf>
    <dxf>
      <font>
        <color rgb="FFFF0000"/>
      </font>
      <fill>
        <patternFill>
          <bgColor rgb="FFFF0000"/>
        </patternFill>
      </fill>
    </dxf>
    <dxf>
      <font>
        <color rgb="FFFFFF99"/>
      </font>
      <fill>
        <patternFill>
          <bgColor rgb="FFFFFF99"/>
        </patternFill>
      </fill>
    </dxf>
    <dxf>
      <font>
        <color rgb="FF92D050"/>
      </font>
      <fill>
        <patternFill>
          <bgColor rgb="FF92D050"/>
        </patternFill>
      </fill>
    </dxf>
    <dxf>
      <fill>
        <patternFill patternType="darkGrid">
          <fgColor indexed="64"/>
        </patternFill>
      </fill>
    </dxf>
    <dxf>
      <font>
        <color rgb="FFFF0000"/>
      </font>
      <fill>
        <patternFill>
          <bgColor rgb="FFFF0000"/>
        </patternFill>
      </fill>
    </dxf>
    <dxf>
      <fill>
        <patternFill>
          <bgColor rgb="FFFFFF99"/>
        </patternFill>
      </fill>
    </dxf>
    <dxf>
      <fill>
        <patternFill>
          <bgColor rgb="FF92D050"/>
        </patternFill>
      </fill>
    </dxf>
    <dxf>
      <fill>
        <patternFill patternType="darkGrid">
          <fgColor indexed="64"/>
        </patternFill>
      </fill>
    </dxf>
    <dxf>
      <fill>
        <patternFill>
          <bgColor rgb="FFFF0000"/>
        </patternFill>
      </fill>
    </dxf>
    <dxf>
      <fill>
        <patternFill>
          <bgColor rgb="FFFFFF99"/>
        </patternFill>
      </fill>
    </dxf>
    <dxf>
      <fill>
        <patternFill>
          <bgColor rgb="FF92D050"/>
        </patternFill>
      </fill>
    </dxf>
    <dxf>
      <fill>
        <patternFill patternType="darkGrid">
          <fgColor indexed="64"/>
        </patternFill>
      </fill>
    </dxf>
    <dxf>
      <fill>
        <patternFill>
          <bgColor rgb="FFFF0000"/>
        </patternFill>
      </fill>
    </dxf>
    <dxf>
      <fill>
        <patternFill>
          <bgColor rgb="FFFFFF99"/>
        </patternFill>
      </fill>
    </dxf>
    <dxf>
      <fill>
        <patternFill>
          <bgColor rgb="FF92D050"/>
        </patternFill>
      </fill>
    </dxf>
    <dxf>
      <fill>
        <patternFill patternType="darkGrid">
          <fgColor indexed="64"/>
        </patternFill>
      </fill>
    </dxf>
    <dxf>
      <fill>
        <patternFill>
          <bgColor rgb="FFFF0000"/>
        </patternFill>
      </fill>
    </dxf>
    <dxf>
      <fill>
        <patternFill>
          <bgColor rgb="FFFFFF99"/>
        </patternFill>
      </fill>
    </dxf>
    <dxf>
      <fill>
        <patternFill>
          <bgColor rgb="FF92D050"/>
        </patternFill>
      </fill>
    </dxf>
    <dxf>
      <fill>
        <patternFill patternType="darkGrid">
          <fgColor indexed="64"/>
        </patternFill>
      </fill>
    </dxf>
    <dxf>
      <fill>
        <patternFill>
          <bgColor rgb="FFFF0000"/>
        </patternFill>
      </fill>
    </dxf>
    <dxf>
      <fill>
        <patternFill>
          <bgColor rgb="FFFFFF99"/>
        </patternFill>
      </fill>
    </dxf>
    <dxf>
      <fill>
        <patternFill>
          <bgColor rgb="FF92D050"/>
        </patternFill>
      </fill>
    </dxf>
    <dxf>
      <fill>
        <patternFill patternType="darkGrid">
          <fgColor indexed="64"/>
        </patternFill>
      </fill>
    </dxf>
    <dxf>
      <fill>
        <patternFill>
          <bgColor rgb="FFFF0000"/>
        </patternFill>
      </fill>
    </dxf>
    <dxf>
      <fill>
        <patternFill>
          <bgColor rgb="FFFFFF99"/>
        </patternFill>
      </fill>
    </dxf>
    <dxf>
      <fill>
        <patternFill>
          <bgColor rgb="FF92D050"/>
        </patternFill>
      </fill>
    </dxf>
    <dxf>
      <fill>
        <patternFill patternType="darkGrid">
          <fgColor indexed="64"/>
        </patternFill>
      </fill>
    </dxf>
    <dxf>
      <fill>
        <patternFill>
          <bgColor rgb="FFFF0000"/>
        </patternFill>
      </fill>
    </dxf>
    <dxf>
      <font>
        <color rgb="FFFFFF99"/>
      </font>
      <fill>
        <patternFill>
          <bgColor rgb="FFFFFF99"/>
        </patternFill>
      </fill>
    </dxf>
    <dxf>
      <font>
        <color rgb="FF92D050"/>
      </font>
      <fill>
        <patternFill>
          <bgColor rgb="FF92D050"/>
        </patternFill>
      </fill>
    </dxf>
    <dxf>
      <fill>
        <patternFill patternType="darkGrid">
          <fgColor indexed="64"/>
        </patternFill>
      </fill>
    </dxf>
    <dxf>
      <font>
        <color rgb="FFFF0000"/>
      </font>
      <fill>
        <patternFill>
          <bgColor rgb="FFFF0000"/>
        </patternFill>
      </fill>
    </dxf>
    <dxf>
      <fill>
        <patternFill>
          <bgColor rgb="FFFFFF99"/>
        </patternFill>
      </fill>
    </dxf>
    <dxf>
      <fill>
        <patternFill>
          <bgColor rgb="FF92D050"/>
        </patternFill>
      </fill>
    </dxf>
    <dxf>
      <fill>
        <patternFill patternType="darkGrid">
          <fgColor indexed="64"/>
        </patternFill>
      </fill>
    </dxf>
    <dxf>
      <fill>
        <patternFill>
          <bgColor rgb="FFFF0000"/>
        </patternFill>
      </fill>
    </dxf>
    <dxf>
      <fill>
        <patternFill>
          <bgColor rgb="FFFFFF99"/>
        </patternFill>
      </fill>
    </dxf>
    <dxf>
      <fill>
        <patternFill>
          <bgColor rgb="FF92D050"/>
        </patternFill>
      </fill>
    </dxf>
    <dxf>
      <fill>
        <patternFill patternType="darkGrid">
          <fgColor indexed="64"/>
        </patternFill>
      </fill>
    </dxf>
    <dxf>
      <fill>
        <patternFill>
          <bgColor rgb="FFFF0000"/>
        </patternFill>
      </fill>
    </dxf>
    <dxf>
      <fill>
        <patternFill>
          <bgColor rgb="FFFFFF99"/>
        </patternFill>
      </fill>
    </dxf>
    <dxf>
      <fill>
        <patternFill>
          <bgColor rgb="FF92D050"/>
        </patternFill>
      </fill>
    </dxf>
    <dxf>
      <fill>
        <patternFill patternType="darkGrid">
          <fgColor indexed="64"/>
        </patternFill>
      </fill>
    </dxf>
    <dxf>
      <fill>
        <patternFill>
          <bgColor rgb="FFFF0000"/>
        </patternFill>
      </fill>
    </dxf>
    <dxf>
      <font>
        <color rgb="FFFFFF99"/>
      </font>
      <fill>
        <patternFill>
          <bgColor rgb="FFFFFF99"/>
        </patternFill>
      </fill>
    </dxf>
    <dxf>
      <font>
        <color rgb="FF92D050"/>
      </font>
      <fill>
        <patternFill>
          <bgColor rgb="FF92D050"/>
        </patternFill>
      </fill>
    </dxf>
    <dxf>
      <fill>
        <patternFill patternType="darkGrid">
          <fgColor indexed="64"/>
        </patternFill>
      </fill>
    </dxf>
    <dxf>
      <font>
        <color rgb="FFFF0000"/>
      </font>
      <fill>
        <patternFill>
          <bgColor rgb="FFFF0000"/>
        </patternFill>
      </fill>
    </dxf>
    <dxf>
      <font>
        <color rgb="FFFFFF99"/>
      </font>
      <fill>
        <patternFill>
          <bgColor rgb="FFFFFF99"/>
        </patternFill>
      </fill>
    </dxf>
    <dxf>
      <font>
        <color rgb="FF92D050"/>
      </font>
      <fill>
        <patternFill>
          <bgColor rgb="FF92D050"/>
        </patternFill>
      </fill>
    </dxf>
    <dxf>
      <fill>
        <patternFill patternType="darkGrid">
          <fgColor indexed="64"/>
        </patternFill>
      </fill>
    </dxf>
    <dxf>
      <font>
        <color rgb="FFFF0000"/>
      </font>
      <fill>
        <patternFill>
          <bgColor rgb="FFFF0000"/>
        </patternFill>
      </fill>
    </dxf>
    <dxf>
      <font>
        <color theme="1"/>
      </font>
      <fill>
        <patternFill>
          <bgColor rgb="FFFF0000"/>
        </patternFill>
      </fill>
    </dxf>
    <dxf>
      <font>
        <color theme="1"/>
      </font>
      <fill>
        <patternFill>
          <bgColor rgb="FFFF0000"/>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ont>
        <color rgb="FFFF0000"/>
      </font>
      <fill>
        <patternFill>
          <bgColor rgb="FFFFFF00"/>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auto="1"/>
      </font>
      <fill>
        <patternFill>
          <bgColor rgb="FFFFFF99"/>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auto="1"/>
      </font>
      <fill>
        <patternFill>
          <bgColor rgb="FFFFFF99"/>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auto="1"/>
      </font>
      <fill>
        <patternFill>
          <bgColor rgb="FFFFFF99"/>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auto="1"/>
      </font>
      <fill>
        <patternFill>
          <bgColor rgb="FFFFFF99"/>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auto="1"/>
      </font>
      <fill>
        <patternFill>
          <bgColor rgb="FFFFFF99"/>
        </patternFill>
      </fill>
    </dxf>
    <dxf>
      <fill>
        <patternFill>
          <bgColor rgb="FFFF0000"/>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FF99"/>
        </patternFill>
      </fill>
    </dxf>
    <dxf>
      <fill>
        <patternFill>
          <bgColor rgb="FF92D050"/>
        </patternFill>
      </fill>
    </dxf>
    <dxf>
      <fill>
        <patternFill patternType="darkGrid">
          <fgColor indexed="64"/>
        </patternFill>
      </fill>
    </dxf>
    <dxf>
      <fill>
        <patternFill>
          <bgColor rgb="FFFF0000"/>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auto="1"/>
      </font>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ont>
        <color theme="1"/>
      </font>
      <fill>
        <patternFill>
          <bgColor rgb="FFFF0000"/>
        </patternFill>
      </fill>
    </dxf>
    <dxf>
      <fill>
        <patternFill>
          <bgColor rgb="FFFFFF99"/>
        </patternFill>
      </fill>
    </dxf>
    <dxf>
      <fill>
        <patternFill>
          <bgColor rgb="FF92D050"/>
        </patternFill>
      </fill>
    </dxf>
    <dxf>
      <fill>
        <patternFill patternType="darkGrid">
          <fgColor indexed="64"/>
        </patternFill>
      </fill>
    </dxf>
    <dxf>
      <fill>
        <patternFill>
          <bgColor rgb="FFFF0000"/>
        </patternFill>
      </fill>
    </dxf>
    <dxf>
      <fill>
        <patternFill>
          <bgColor rgb="FFFFFF99"/>
        </patternFill>
      </fill>
    </dxf>
    <dxf>
      <fill>
        <patternFill>
          <bgColor rgb="FF92D050"/>
        </patternFill>
      </fill>
    </dxf>
    <dxf>
      <fill>
        <patternFill patternType="darkGrid">
          <fgColor indexed="64"/>
        </patternFill>
      </fill>
    </dxf>
    <dxf>
      <fill>
        <patternFill>
          <bgColor rgb="FFFF0000"/>
        </patternFill>
      </fill>
    </dxf>
    <dxf>
      <fill>
        <patternFill>
          <bgColor rgb="FFFFFF99"/>
        </patternFill>
      </fill>
    </dxf>
    <dxf>
      <fill>
        <patternFill>
          <bgColor rgb="FF92D050"/>
        </patternFill>
      </fill>
    </dxf>
    <dxf>
      <fill>
        <patternFill patternType="darkGrid">
          <fgColor indexed="64"/>
        </patternFill>
      </fill>
    </dxf>
    <dxf>
      <fill>
        <patternFill>
          <bgColor rgb="FFFF0000"/>
        </patternFill>
      </fill>
    </dxf>
    <dxf>
      <fill>
        <patternFill>
          <bgColor rgb="FFFFFF99"/>
        </patternFill>
      </fill>
    </dxf>
    <dxf>
      <fill>
        <patternFill>
          <bgColor rgb="FF92D050"/>
        </patternFill>
      </fill>
    </dxf>
    <dxf>
      <fill>
        <patternFill patternType="darkGrid">
          <fgColor indexed="64"/>
        </patternFill>
      </fill>
    </dxf>
    <dxf>
      <fill>
        <patternFill>
          <bgColor rgb="FFFF0000"/>
        </patternFill>
      </fill>
    </dxf>
    <dxf>
      <fill>
        <patternFill>
          <bgColor rgb="FF00B050"/>
        </patternFill>
      </fill>
    </dxf>
    <dxf>
      <fill>
        <patternFill>
          <bgColor rgb="FFCC6600"/>
        </patternFill>
      </fill>
    </dxf>
    <dxf>
      <fill>
        <patternFill>
          <bgColor rgb="FFEAEAEA"/>
        </patternFill>
      </fill>
    </dxf>
    <dxf>
      <fill>
        <patternFill>
          <bgColor rgb="FFFFD700"/>
        </patternFill>
      </fill>
    </dxf>
    <dxf>
      <font>
        <color theme="1"/>
      </font>
      <fill>
        <patternFill>
          <bgColor rgb="FFFF0000"/>
        </patternFill>
      </fill>
    </dxf>
    <dxf>
      <font>
        <color theme="1"/>
      </font>
      <fill>
        <patternFill>
          <bgColor rgb="FFFF0000"/>
        </patternFill>
      </fill>
    </dxf>
    <dxf>
      <font>
        <color theme="1"/>
      </font>
      <fill>
        <patternFill>
          <bgColor rgb="FFFF0000"/>
        </patternFill>
      </fill>
    </dxf>
    <dxf>
      <fill>
        <patternFill>
          <bgColor theme="7" tint="0.59996337778862885"/>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ont>
        <b/>
        <i val="0"/>
        <color theme="1"/>
      </font>
      <fill>
        <patternFill>
          <bgColor rgb="FFFF0000"/>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auto="1"/>
      </font>
      <fill>
        <patternFill>
          <bgColor rgb="FFFFFF99"/>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auto="1"/>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auto="1"/>
      </font>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auto="1"/>
      </font>
      <fill>
        <patternFill>
          <bgColor rgb="FFFFFF99"/>
        </patternFill>
      </fill>
    </dxf>
    <dxf>
      <fill>
        <patternFill>
          <bgColor rgb="FFFF0000"/>
        </patternFill>
      </fill>
    </dxf>
    <dxf>
      <fill>
        <patternFill>
          <bgColor rgb="FFFFFF99"/>
        </patternFill>
      </fill>
    </dxf>
    <dxf>
      <fill>
        <patternFill>
          <bgColor rgb="FFFFFF99"/>
        </patternFill>
      </fill>
    </dxf>
    <dxf>
      <fill>
        <patternFill>
          <bgColor rgb="FFFFFF99"/>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auto="1"/>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auto="1"/>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auto="1"/>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auto="1"/>
      </font>
      <fill>
        <patternFill>
          <bgColor rgb="FFFFFF99"/>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auto="1"/>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auto="1"/>
      </font>
      <fill>
        <patternFill>
          <bgColor rgb="FFFFFF99"/>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auto="1"/>
      </font>
      <fill>
        <patternFill>
          <bgColor rgb="FFFFFF99"/>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auto="1"/>
      </font>
      <fill>
        <patternFill>
          <bgColor rgb="FFFFFF99"/>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auto="1"/>
      </font>
      <fill>
        <patternFill>
          <bgColor rgb="FFFFFF99"/>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auto="1"/>
      </font>
      <fill>
        <patternFill>
          <bgColor rgb="FFFFFF99"/>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auto="1"/>
      </font>
      <fill>
        <patternFill>
          <bgColor rgb="FFFFFF99"/>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auto="1"/>
      </font>
      <fill>
        <patternFill>
          <bgColor rgb="FFFFFF99"/>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auto="1"/>
      </font>
      <fill>
        <patternFill>
          <bgColor rgb="FFFFFF99"/>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auto="1"/>
      </font>
      <fill>
        <patternFill>
          <bgColor rgb="FFFFFF99"/>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auto="1"/>
      </font>
      <fill>
        <patternFill>
          <bgColor rgb="FFFFFF99"/>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auto="1"/>
      </font>
      <fill>
        <patternFill>
          <bgColor rgb="FFFFFF99"/>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auto="1"/>
      </font>
      <fill>
        <patternFill>
          <bgColor rgb="FFFFFF99"/>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auto="1"/>
      </font>
      <fill>
        <patternFill>
          <bgColor rgb="FFFFFF99"/>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auto="1"/>
      </font>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FF99"/>
      </font>
      <fill>
        <patternFill>
          <bgColor rgb="FFFFFF99"/>
        </patternFill>
      </fill>
    </dxf>
    <dxf>
      <font>
        <color rgb="FF92D050"/>
      </font>
      <fill>
        <patternFill>
          <bgColor rgb="FF92D050"/>
        </patternFill>
      </fill>
    </dxf>
    <dxf>
      <fill>
        <patternFill patternType="darkGrid">
          <fgColor indexed="64"/>
        </patternFill>
      </fill>
    </dxf>
    <dxf>
      <font>
        <color rgb="FFFF0000"/>
      </font>
      <fill>
        <patternFill>
          <bgColor rgb="FFFF0000"/>
        </patternFill>
      </fill>
    </dxf>
    <dxf>
      <fill>
        <patternFill>
          <bgColor rgb="FF00B050"/>
        </patternFill>
      </fill>
    </dxf>
    <dxf>
      <fill>
        <patternFill>
          <bgColor rgb="FFCC6600"/>
        </patternFill>
      </fill>
    </dxf>
    <dxf>
      <fill>
        <patternFill>
          <bgColor rgb="FFEAEAEA"/>
        </patternFill>
      </fill>
    </dxf>
    <dxf>
      <fill>
        <patternFill>
          <bgColor rgb="FFFFD700"/>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auto="1"/>
      </font>
      <fill>
        <patternFill>
          <bgColor rgb="FFFFFF99"/>
        </patternFill>
      </fill>
    </dxf>
    <dxf>
      <font>
        <color theme="1"/>
      </font>
      <fill>
        <patternFill>
          <bgColor rgb="FFFF0000"/>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auto="1"/>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FF99"/>
      </font>
      <fill>
        <patternFill>
          <bgColor rgb="FFFFFF99"/>
        </patternFill>
      </fill>
    </dxf>
    <dxf>
      <font>
        <color rgb="FF92D050"/>
      </font>
      <fill>
        <patternFill>
          <bgColor rgb="FF92D050"/>
        </patternFill>
      </fill>
    </dxf>
    <dxf>
      <fill>
        <patternFill patternType="darkGrid">
          <fgColor indexed="64"/>
        </patternFill>
      </fill>
    </dxf>
    <dxf>
      <font>
        <color rgb="FFFF0000"/>
      </font>
      <fill>
        <patternFill>
          <bgColor rgb="FFFF0000"/>
        </patternFill>
      </fill>
    </dxf>
    <dxf>
      <fill>
        <patternFill>
          <bgColor rgb="FFFFFF99"/>
        </patternFill>
      </fill>
    </dxf>
    <dxf>
      <fill>
        <patternFill>
          <bgColor rgb="FF92D050"/>
        </patternFill>
      </fill>
    </dxf>
    <dxf>
      <fill>
        <patternFill patternType="darkGrid">
          <fgColor indexed="64"/>
        </patternFill>
      </fill>
    </dxf>
    <dxf>
      <fill>
        <patternFill>
          <bgColor rgb="FFFF0000"/>
        </patternFill>
      </fill>
    </dxf>
    <dxf>
      <font>
        <color rgb="FFFFFF99"/>
      </font>
      <fill>
        <patternFill>
          <bgColor rgb="FFFFFF99"/>
        </patternFill>
      </fill>
    </dxf>
    <dxf>
      <font>
        <color rgb="FF92D050"/>
      </font>
      <fill>
        <patternFill>
          <bgColor rgb="FF92D050"/>
        </patternFill>
      </fill>
    </dxf>
    <dxf>
      <fill>
        <patternFill patternType="darkGrid">
          <fgColor indexed="64"/>
        </patternFill>
      </fill>
    </dxf>
    <dxf>
      <font>
        <color rgb="FFFF0000"/>
      </font>
      <fill>
        <patternFill>
          <bgColor rgb="FFFF0000"/>
        </patternFill>
      </fill>
    </dxf>
    <dxf>
      <font>
        <color theme="1"/>
      </font>
      <fill>
        <patternFill>
          <bgColor rgb="FFFF0000"/>
        </patternFill>
      </fill>
    </dxf>
    <dxf>
      <font>
        <color theme="1"/>
      </font>
      <fill>
        <patternFill>
          <bgColor rgb="FFFF0000"/>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00B050"/>
        </patternFill>
      </fill>
    </dxf>
    <dxf>
      <fill>
        <patternFill>
          <bgColor rgb="FFCC6600"/>
        </patternFill>
      </fill>
    </dxf>
    <dxf>
      <fill>
        <patternFill>
          <bgColor rgb="FFEAEAEA"/>
        </patternFill>
      </fill>
    </dxf>
    <dxf>
      <fill>
        <patternFill>
          <bgColor rgb="FFFFD700"/>
        </patternFill>
      </fill>
    </dxf>
    <dxf>
      <font>
        <color theme="1"/>
      </font>
      <fill>
        <patternFill>
          <bgColor rgb="FFFF0000"/>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FF99"/>
      </font>
      <fill>
        <patternFill>
          <bgColor rgb="FFFFFF99"/>
        </patternFill>
      </fill>
    </dxf>
    <dxf>
      <font>
        <color rgb="FF92D050"/>
      </font>
      <fill>
        <patternFill>
          <bgColor rgb="FF92D050"/>
        </patternFill>
      </fill>
    </dxf>
    <dxf>
      <fill>
        <patternFill patternType="darkGrid">
          <fgColor indexed="64"/>
        </patternFill>
      </fill>
    </dxf>
    <dxf>
      <font>
        <color rgb="FFFF0000"/>
      </font>
      <fill>
        <patternFill>
          <bgColor rgb="FFFF0000"/>
        </patternFill>
      </fill>
    </dxf>
    <dxf>
      <font>
        <color rgb="FFFFFF99"/>
      </font>
      <fill>
        <patternFill>
          <bgColor rgb="FFFFFF99"/>
        </patternFill>
      </fill>
    </dxf>
    <dxf>
      <font>
        <color rgb="FF92D050"/>
      </font>
      <fill>
        <patternFill>
          <bgColor rgb="FF92D050"/>
        </patternFill>
      </fill>
    </dxf>
    <dxf>
      <fill>
        <patternFill patternType="darkGrid">
          <fgColor indexed="64"/>
        </patternFill>
      </fill>
    </dxf>
    <dxf>
      <font>
        <color rgb="FFFF0000"/>
      </font>
      <fill>
        <patternFill>
          <bgColor rgb="FFFF0000"/>
        </patternFill>
      </fill>
    </dxf>
    <dxf>
      <font>
        <color rgb="FFFFFF99"/>
      </font>
      <fill>
        <patternFill>
          <bgColor rgb="FFFFFF99"/>
        </patternFill>
      </fill>
    </dxf>
    <dxf>
      <font>
        <color rgb="FF92D050"/>
      </font>
      <fill>
        <patternFill>
          <bgColor rgb="FF92D050"/>
        </patternFill>
      </fill>
    </dxf>
    <dxf>
      <fill>
        <patternFill patternType="darkGrid">
          <fgColor indexed="64"/>
        </patternFill>
      </fill>
    </dxf>
    <dxf>
      <font>
        <color rgb="FFFF0000"/>
      </font>
      <fill>
        <patternFill>
          <bgColor rgb="FFFF0000"/>
        </patternFill>
      </fill>
    </dxf>
    <dxf>
      <font>
        <color rgb="FFFFFF99"/>
      </font>
      <fill>
        <patternFill>
          <bgColor rgb="FFFFFF99"/>
        </patternFill>
      </fill>
    </dxf>
    <dxf>
      <font>
        <color rgb="FF92D050"/>
      </font>
      <fill>
        <patternFill>
          <bgColor rgb="FF92D050"/>
        </patternFill>
      </fill>
    </dxf>
    <dxf>
      <fill>
        <patternFill patternType="darkGrid">
          <fgColor indexed="64"/>
        </patternFill>
      </fill>
    </dxf>
    <dxf>
      <font>
        <color rgb="FFFF0000"/>
      </font>
      <fill>
        <patternFill>
          <bgColor rgb="FFFF0000"/>
        </patternFill>
      </fill>
    </dxf>
    <dxf>
      <font>
        <color rgb="FFFFFF99"/>
      </font>
      <fill>
        <patternFill>
          <bgColor rgb="FFFFFF99"/>
        </patternFill>
      </fill>
    </dxf>
    <dxf>
      <font>
        <color rgb="FF92D050"/>
      </font>
      <fill>
        <patternFill>
          <bgColor rgb="FF92D050"/>
        </patternFill>
      </fill>
    </dxf>
    <dxf>
      <fill>
        <patternFill patternType="darkGrid">
          <fgColor indexed="64"/>
        </patternFill>
      </fill>
    </dxf>
    <dxf>
      <font>
        <color rgb="FFFF0000"/>
      </font>
      <fill>
        <patternFill>
          <bgColor rgb="FFFF0000"/>
        </patternFill>
      </fill>
    </dxf>
    <dxf>
      <font>
        <color rgb="FFFFFF99"/>
      </font>
      <fill>
        <patternFill>
          <bgColor rgb="FFFFFF99"/>
        </patternFill>
      </fill>
    </dxf>
    <dxf>
      <font>
        <color rgb="FF92D050"/>
      </font>
      <fill>
        <patternFill>
          <bgColor rgb="FF92D050"/>
        </patternFill>
      </fill>
    </dxf>
    <dxf>
      <fill>
        <patternFill patternType="darkGrid">
          <fgColor indexed="64"/>
        </patternFill>
      </fill>
    </dxf>
    <dxf>
      <font>
        <color rgb="FFFF0000"/>
      </font>
      <fill>
        <patternFill>
          <bgColor rgb="FFFF0000"/>
        </patternFill>
      </fill>
    </dxf>
    <dxf>
      <font>
        <color rgb="FFFFFF99"/>
      </font>
      <fill>
        <patternFill>
          <bgColor rgb="FFFFFF99"/>
        </patternFill>
      </fill>
    </dxf>
    <dxf>
      <font>
        <color rgb="FF92D050"/>
      </font>
      <fill>
        <patternFill>
          <bgColor rgb="FF92D050"/>
        </patternFill>
      </fill>
    </dxf>
    <dxf>
      <fill>
        <patternFill patternType="darkGrid">
          <fgColor indexed="64"/>
        </patternFill>
      </fill>
    </dxf>
    <dxf>
      <font>
        <color rgb="FFFF0000"/>
      </font>
      <fill>
        <patternFill>
          <bgColor rgb="FFFF0000"/>
        </patternFill>
      </fill>
    </dxf>
    <dxf>
      <font>
        <color rgb="FFFFFF99"/>
      </font>
      <fill>
        <patternFill>
          <bgColor rgb="FFFFFF99"/>
        </patternFill>
      </fill>
    </dxf>
    <dxf>
      <font>
        <color rgb="FF92D050"/>
      </font>
      <fill>
        <patternFill>
          <bgColor rgb="FF92D050"/>
        </patternFill>
      </fill>
    </dxf>
    <dxf>
      <fill>
        <patternFill patternType="darkGrid">
          <fgColor indexed="64"/>
        </patternFill>
      </fill>
    </dxf>
    <dxf>
      <font>
        <color rgb="FFFF0000"/>
      </font>
      <fill>
        <patternFill>
          <bgColor rgb="FFFF0000"/>
        </patternFill>
      </fill>
    </dxf>
    <dxf>
      <font>
        <color rgb="FFFFFF99"/>
      </font>
      <fill>
        <patternFill>
          <bgColor rgb="FFFFFF99"/>
        </patternFill>
      </fill>
    </dxf>
    <dxf>
      <font>
        <color rgb="FF92D050"/>
      </font>
      <fill>
        <patternFill>
          <bgColor rgb="FF92D050"/>
        </patternFill>
      </fill>
    </dxf>
    <dxf>
      <fill>
        <patternFill patternType="darkGrid">
          <fgColor indexed="64"/>
        </patternFill>
      </fill>
    </dxf>
    <dxf>
      <font>
        <color rgb="FFFF0000"/>
      </font>
      <fill>
        <patternFill>
          <bgColor rgb="FFFF0000"/>
        </patternFill>
      </fill>
    </dxf>
    <dxf>
      <font>
        <color rgb="FFFFFF99"/>
      </font>
      <fill>
        <patternFill>
          <bgColor rgb="FFFFFF99"/>
        </patternFill>
      </fill>
    </dxf>
    <dxf>
      <font>
        <color rgb="FF92D050"/>
      </font>
      <fill>
        <patternFill>
          <bgColor rgb="FF92D050"/>
        </patternFill>
      </fill>
    </dxf>
    <dxf>
      <fill>
        <patternFill patternType="darkGrid">
          <fgColor indexed="64"/>
        </patternFill>
      </fill>
    </dxf>
    <dxf>
      <font>
        <color rgb="FFFF0000"/>
      </font>
      <fill>
        <patternFill>
          <bgColor rgb="FFFF0000"/>
        </patternFill>
      </fill>
    </dxf>
    <dxf>
      <font>
        <color rgb="FFFFFF99"/>
      </font>
      <fill>
        <patternFill>
          <bgColor rgb="FFFFFF99"/>
        </patternFill>
      </fill>
    </dxf>
    <dxf>
      <font>
        <color rgb="FF92D050"/>
      </font>
      <fill>
        <patternFill>
          <bgColor rgb="FF92D050"/>
        </patternFill>
      </fill>
    </dxf>
    <dxf>
      <fill>
        <patternFill patternType="darkGrid">
          <fgColor indexed="64"/>
        </patternFill>
      </fill>
    </dxf>
    <dxf>
      <font>
        <color rgb="FFFF0000"/>
      </font>
      <fill>
        <patternFill>
          <bgColor rgb="FFFF0000"/>
        </patternFill>
      </fill>
    </dxf>
    <dxf>
      <font>
        <color rgb="FFFFFF99"/>
      </font>
      <fill>
        <patternFill>
          <bgColor rgb="FFFFFF99"/>
        </patternFill>
      </fill>
    </dxf>
    <dxf>
      <font>
        <color rgb="FF92D050"/>
      </font>
      <fill>
        <patternFill>
          <bgColor rgb="FF92D050"/>
        </patternFill>
      </fill>
    </dxf>
    <dxf>
      <fill>
        <patternFill patternType="darkGrid">
          <fgColor indexed="64"/>
        </patternFill>
      </fill>
    </dxf>
    <dxf>
      <font>
        <color rgb="FFFF0000"/>
      </font>
      <fill>
        <patternFill>
          <bgColor rgb="FFFF0000"/>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FF99"/>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auto="1"/>
      </font>
      <fill>
        <patternFill>
          <bgColor rgb="FFFFFF99"/>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auto="1"/>
      </font>
      <fill>
        <patternFill>
          <bgColor rgb="FFFFFF99"/>
        </patternFill>
      </fill>
    </dxf>
    <dxf>
      <fill>
        <patternFill>
          <bgColor rgb="FFFFFF99"/>
        </patternFill>
      </fill>
    </dxf>
    <dxf>
      <fill>
        <patternFill>
          <bgColor rgb="FFFF0000"/>
        </patternFill>
      </fill>
    </dxf>
    <dxf>
      <fill>
        <patternFill>
          <bgColor rgb="FF92D050"/>
        </patternFill>
      </fill>
    </dxf>
    <dxf>
      <fill>
        <patternFill>
          <bgColor rgb="FFFFFF99"/>
        </patternFill>
      </fill>
    </dxf>
    <dxf>
      <fill>
        <patternFill patternType="darkGrid">
          <fgColor indexed="64"/>
        </patternFill>
      </fill>
    </dxf>
    <dxf>
      <fill>
        <patternFill>
          <bgColor rgb="FFFFFF99"/>
        </patternFill>
      </fill>
    </dxf>
    <dxf>
      <fill>
        <patternFill>
          <bgColor rgb="FFFFFF99"/>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FF99"/>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FF99"/>
        </patternFill>
      </fill>
    </dxf>
    <dxf>
      <fill>
        <patternFill>
          <bgColor rgb="FFFFFF99"/>
        </patternFill>
      </fill>
    </dxf>
    <dxf>
      <fill>
        <patternFill>
          <bgColor rgb="FFFFFF99"/>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rgb="FFFFFF99"/>
      </font>
      <fill>
        <patternFill>
          <bgColor rgb="FFFFFF99"/>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rgb="FFFFFF99"/>
      </font>
      <fill>
        <patternFill>
          <bgColor rgb="FFFFFF99"/>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rgb="FFFFFF99"/>
      </font>
      <fill>
        <patternFill>
          <bgColor rgb="FFFFFF99"/>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rgb="FFFFFF99"/>
      </font>
      <fill>
        <patternFill>
          <bgColor rgb="FFFFFF99"/>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rgb="FFFFFF99"/>
      </font>
      <fill>
        <patternFill>
          <bgColor rgb="FFFFFF99"/>
        </patternFill>
      </fill>
    </dxf>
    <dxf>
      <fill>
        <patternFill>
          <bgColor rgb="FFFFFF99"/>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rgb="FFFFFF99"/>
      </font>
      <fill>
        <patternFill>
          <bgColor rgb="FFFFFF99"/>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FF99"/>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FF99"/>
        </patternFill>
      </fill>
    </dxf>
    <dxf>
      <font>
        <color rgb="FFFF0000"/>
      </font>
      <fill>
        <patternFill>
          <bgColor rgb="FFFFFF00"/>
        </patternFill>
      </fill>
    </dxf>
    <dxf>
      <font>
        <color rgb="FFFF0000"/>
      </font>
      <fill>
        <patternFill>
          <bgColor rgb="FFFFFF00"/>
        </patternFill>
      </fill>
    </dxf>
    <dxf>
      <font>
        <color theme="1"/>
      </font>
      <fill>
        <patternFill>
          <bgColor rgb="FFFF0000"/>
        </patternFill>
      </fill>
    </dxf>
    <dxf>
      <font>
        <color theme="1"/>
      </font>
      <fill>
        <patternFill>
          <bgColor rgb="FFFF0000"/>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rgb="FFFFFF99"/>
      </font>
      <fill>
        <patternFill>
          <bgColor rgb="FFFFFF99"/>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ill>
        <patternFill>
          <bgColor rgb="FFFFFF99"/>
        </patternFill>
      </fill>
    </dxf>
    <dxf>
      <fill>
        <patternFill>
          <bgColor rgb="FFFFFF99"/>
        </patternFill>
      </fill>
    </dxf>
    <dxf>
      <font>
        <color rgb="FFFFFF99"/>
      </font>
      <fill>
        <patternFill>
          <bgColor rgb="FFFFFF99"/>
        </patternFill>
      </fill>
    </dxf>
    <dxf>
      <font>
        <color rgb="FF92D050"/>
      </font>
      <fill>
        <patternFill>
          <bgColor rgb="FF92D050"/>
        </patternFill>
      </fill>
    </dxf>
    <dxf>
      <fill>
        <patternFill patternType="darkGrid">
          <fgColor indexed="64"/>
        </patternFill>
      </fill>
    </dxf>
    <dxf>
      <font>
        <color rgb="FFFF0000"/>
      </font>
      <fill>
        <patternFill>
          <bgColor rgb="FFFF0000"/>
        </patternFill>
      </fill>
    </dxf>
    <dxf>
      <font>
        <color rgb="FFFFFF99"/>
      </font>
      <fill>
        <patternFill>
          <bgColor rgb="FFFFFF99"/>
        </patternFill>
      </fill>
    </dxf>
    <dxf>
      <font>
        <color rgb="FF92D050"/>
      </font>
      <fill>
        <patternFill>
          <bgColor rgb="FF92D050"/>
        </patternFill>
      </fill>
    </dxf>
    <dxf>
      <fill>
        <patternFill patternType="darkGrid">
          <fgColor indexed="64"/>
        </patternFill>
      </fill>
    </dxf>
    <dxf>
      <font>
        <color rgb="FFFF0000"/>
      </font>
      <fill>
        <patternFill>
          <bgColor rgb="FFFF0000"/>
        </patternFill>
      </fill>
    </dxf>
    <dxf>
      <font>
        <color rgb="FFFFFF99"/>
      </font>
      <fill>
        <patternFill>
          <bgColor rgb="FFFFFF99"/>
        </patternFill>
      </fill>
    </dxf>
    <dxf>
      <font>
        <color rgb="FF92D050"/>
      </font>
      <fill>
        <patternFill>
          <bgColor rgb="FF92D050"/>
        </patternFill>
      </fill>
    </dxf>
    <dxf>
      <fill>
        <patternFill patternType="darkGrid">
          <fgColor indexed="64"/>
        </patternFill>
      </fill>
    </dxf>
    <dxf>
      <font>
        <color rgb="FFFF0000"/>
      </font>
      <fill>
        <patternFill>
          <bgColor rgb="FFFF0000"/>
        </patternFill>
      </fill>
    </dxf>
    <dxf>
      <fill>
        <patternFill>
          <bgColor rgb="FFFFFF99"/>
        </patternFill>
      </fill>
    </dxf>
    <dxf>
      <fill>
        <patternFill>
          <bgColor rgb="FF92D050"/>
        </patternFill>
      </fill>
    </dxf>
    <dxf>
      <fill>
        <patternFill patternType="darkGrid">
          <fgColor indexed="64"/>
        </patternFill>
      </fill>
    </dxf>
    <dxf>
      <fill>
        <patternFill>
          <bgColor rgb="FFFF0000"/>
        </patternFill>
      </fill>
    </dxf>
    <dxf>
      <fill>
        <patternFill>
          <bgColor rgb="FFFFFF99"/>
        </patternFill>
      </fill>
    </dxf>
    <dxf>
      <font>
        <color theme="1"/>
      </font>
      <fill>
        <patternFill>
          <bgColor rgb="FFFF0000"/>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FF99"/>
      </font>
      <fill>
        <patternFill>
          <bgColor rgb="FFFFFF99"/>
        </patternFill>
      </fill>
    </dxf>
    <dxf>
      <font>
        <color rgb="FF92D050"/>
      </font>
      <fill>
        <patternFill>
          <bgColor rgb="FF92D050"/>
        </patternFill>
      </fill>
    </dxf>
    <dxf>
      <fill>
        <patternFill patternType="darkGrid">
          <fgColor indexed="64"/>
        </patternFill>
      </fill>
    </dxf>
    <dxf>
      <font>
        <color rgb="FFFF0000"/>
      </font>
      <fill>
        <patternFill>
          <bgColor rgb="FFFF0000"/>
        </patternFill>
      </fill>
    </dxf>
    <dxf>
      <font>
        <color rgb="FFFFFF99"/>
      </font>
      <fill>
        <patternFill>
          <bgColor rgb="FFFFFF99"/>
        </patternFill>
      </fill>
    </dxf>
    <dxf>
      <font>
        <color rgb="FF92D050"/>
      </font>
      <fill>
        <patternFill>
          <bgColor rgb="FF92D050"/>
        </patternFill>
      </fill>
    </dxf>
    <dxf>
      <fill>
        <patternFill patternType="darkGrid">
          <fgColor indexed="64"/>
        </patternFill>
      </fill>
    </dxf>
    <dxf>
      <font>
        <color rgb="FFFF0000"/>
      </font>
      <fill>
        <patternFill>
          <bgColor rgb="FFFF0000"/>
        </patternFill>
      </fill>
    </dxf>
    <dxf>
      <font>
        <color rgb="FFFFFF99"/>
      </font>
      <fill>
        <patternFill>
          <bgColor rgb="FFFFFF99"/>
        </patternFill>
      </fill>
    </dxf>
    <dxf>
      <font>
        <color rgb="FF92D050"/>
      </font>
      <fill>
        <patternFill>
          <bgColor rgb="FF92D050"/>
        </patternFill>
      </fill>
    </dxf>
    <dxf>
      <fill>
        <patternFill patternType="darkGrid">
          <fgColor indexed="64"/>
        </patternFill>
      </fill>
    </dxf>
    <dxf>
      <font>
        <color rgb="FFFF0000"/>
      </font>
      <fill>
        <patternFill>
          <bgColor rgb="FFFF0000"/>
        </patternFill>
      </fill>
    </dxf>
    <dxf>
      <font>
        <color rgb="FFFFFF99"/>
      </font>
      <fill>
        <patternFill>
          <bgColor rgb="FFFFFF99"/>
        </patternFill>
      </fill>
    </dxf>
    <dxf>
      <font>
        <color rgb="FF92D050"/>
      </font>
      <fill>
        <patternFill>
          <bgColor rgb="FF92D050"/>
        </patternFill>
      </fill>
    </dxf>
    <dxf>
      <fill>
        <patternFill patternType="darkGrid">
          <fgColor indexed="64"/>
        </patternFill>
      </fill>
    </dxf>
    <dxf>
      <font>
        <color rgb="FFFF0000"/>
      </font>
      <fill>
        <patternFill>
          <bgColor rgb="FFFF0000"/>
        </patternFill>
      </fill>
    </dxf>
    <dxf>
      <font>
        <color rgb="FFFFFF99"/>
      </font>
      <fill>
        <patternFill>
          <bgColor rgb="FFFFFF99"/>
        </patternFill>
      </fill>
    </dxf>
    <dxf>
      <font>
        <color rgb="FF92D050"/>
      </font>
      <fill>
        <patternFill>
          <bgColor rgb="FF92D050"/>
        </patternFill>
      </fill>
    </dxf>
    <dxf>
      <fill>
        <patternFill patternType="darkGrid">
          <fgColor indexed="64"/>
        </patternFill>
      </fill>
    </dxf>
    <dxf>
      <font>
        <color rgb="FFFF0000"/>
      </font>
      <fill>
        <patternFill>
          <bgColor rgb="FFFF0000"/>
        </patternFill>
      </fill>
    </dxf>
    <dxf>
      <font>
        <color rgb="FFFFFF99"/>
      </font>
      <fill>
        <patternFill>
          <bgColor rgb="FFFFFF99"/>
        </patternFill>
      </fill>
    </dxf>
    <dxf>
      <font>
        <color rgb="FF92D050"/>
      </font>
      <fill>
        <patternFill>
          <bgColor rgb="FF92D050"/>
        </patternFill>
      </fill>
    </dxf>
    <dxf>
      <fill>
        <patternFill patternType="darkGrid">
          <fgColor indexed="64"/>
        </patternFill>
      </fill>
    </dxf>
    <dxf>
      <font>
        <color rgb="FFFF0000"/>
      </font>
      <fill>
        <patternFill>
          <bgColor rgb="FFFF0000"/>
        </patternFill>
      </fill>
    </dxf>
    <dxf>
      <font>
        <color rgb="FFFFFF99"/>
      </font>
      <fill>
        <patternFill>
          <bgColor rgb="FFFFFF99"/>
        </patternFill>
      </fill>
    </dxf>
    <dxf>
      <font>
        <color rgb="FF92D050"/>
      </font>
      <fill>
        <patternFill>
          <bgColor rgb="FF92D050"/>
        </patternFill>
      </fill>
    </dxf>
    <dxf>
      <fill>
        <patternFill patternType="darkGrid">
          <fgColor indexed="64"/>
        </patternFill>
      </fill>
    </dxf>
    <dxf>
      <font>
        <color rgb="FFFF0000"/>
      </font>
      <fill>
        <patternFill>
          <bgColor rgb="FFFF0000"/>
        </patternFill>
      </fill>
    </dxf>
    <dxf>
      <font>
        <color rgb="FFFFFF99"/>
      </font>
      <fill>
        <patternFill>
          <bgColor rgb="FFFFFF99"/>
        </patternFill>
      </fill>
    </dxf>
    <dxf>
      <font>
        <color rgb="FF92D050"/>
      </font>
      <fill>
        <patternFill>
          <bgColor rgb="FF92D050"/>
        </patternFill>
      </fill>
    </dxf>
    <dxf>
      <fill>
        <patternFill patternType="darkGrid">
          <fgColor indexed="64"/>
        </patternFill>
      </fill>
    </dxf>
    <dxf>
      <font>
        <color rgb="FFFF0000"/>
      </font>
      <fill>
        <patternFill>
          <bgColor rgb="FFFF0000"/>
        </patternFill>
      </fill>
    </dxf>
    <dxf>
      <fill>
        <patternFill>
          <bgColor rgb="FFFFFF99"/>
        </patternFill>
      </fill>
    </dxf>
    <dxf>
      <fill>
        <patternFill>
          <bgColor rgb="FFFFFF99"/>
        </patternFill>
      </fill>
    </dxf>
    <dxf>
      <fill>
        <patternFill>
          <bgColor rgb="FF92D050"/>
        </patternFill>
      </fill>
    </dxf>
    <dxf>
      <fill>
        <patternFill patternType="darkTrellis">
          <fgColor indexed="64"/>
        </patternFill>
      </fill>
    </dxf>
    <dxf>
      <fill>
        <patternFill>
          <bgColor rgb="FFFF0000"/>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ont>
        <color auto="1"/>
      </font>
      <fill>
        <patternFill>
          <bgColor rgb="FF92D050"/>
        </patternFill>
      </fill>
    </dxf>
    <dxf>
      <fill>
        <patternFill>
          <bgColor rgb="FFFFFF99"/>
        </patternFill>
      </fill>
    </dxf>
    <dxf>
      <fill>
        <patternFill>
          <bgColor rgb="FF92D050"/>
        </patternFill>
      </fill>
    </dxf>
    <dxf>
      <fill>
        <patternFill patternType="darkGrid">
          <fgColor indexed="64"/>
        </patternFill>
      </fill>
    </dxf>
    <dxf>
      <fill>
        <patternFill>
          <bgColor rgb="FFFF0000"/>
        </patternFill>
      </fill>
    </dxf>
    <dxf>
      <font>
        <color theme="1"/>
      </font>
      <fill>
        <patternFill>
          <bgColor rgb="FFFF0000"/>
        </patternFill>
      </fill>
    </dxf>
    <dxf>
      <fill>
        <patternFill>
          <bgColor rgb="FF00B050"/>
        </patternFill>
      </fill>
    </dxf>
    <dxf>
      <fill>
        <patternFill>
          <bgColor rgb="FFCC6600"/>
        </patternFill>
      </fill>
    </dxf>
    <dxf>
      <fill>
        <patternFill>
          <bgColor rgb="FFEAEAEA"/>
        </patternFill>
      </fill>
    </dxf>
    <dxf>
      <fill>
        <patternFill>
          <bgColor rgb="FFFFD700"/>
        </patternFill>
      </fill>
    </dxf>
    <dxf>
      <font>
        <color theme="1"/>
      </font>
      <fill>
        <patternFill>
          <bgColor rgb="FFFF0000"/>
        </patternFill>
      </fill>
    </dxf>
    <dxf>
      <fill>
        <patternFill>
          <bgColor rgb="FF92D050"/>
        </patternFill>
      </fill>
    </dxf>
    <dxf>
      <fill>
        <patternFill patternType="lightGray"/>
      </fill>
    </dxf>
    <dxf>
      <fill>
        <patternFill>
          <bgColor rgb="FF92D050"/>
        </patternFill>
      </fill>
    </dxf>
    <dxf>
      <fill>
        <patternFill>
          <bgColor rgb="FFFF0000"/>
        </patternFill>
      </fill>
    </dxf>
    <dxf>
      <font>
        <color theme="1"/>
      </font>
    </dxf>
    <dxf>
      <font>
        <color rgb="FF92D050"/>
      </font>
      <fill>
        <patternFill>
          <bgColor rgb="FF92D050"/>
        </patternFill>
      </fill>
    </dxf>
    <dxf>
      <font>
        <color rgb="FFFF0000"/>
      </font>
    </dxf>
    <dxf>
      <fill>
        <patternFill>
          <bgColor rgb="FF92D050"/>
        </patternFill>
      </fill>
    </dxf>
    <dxf>
      <fill>
        <patternFill patternType="lightGray"/>
      </fill>
    </dxf>
    <dxf>
      <fill>
        <patternFill patternType="lightGray"/>
      </fill>
    </dxf>
    <dxf>
      <font>
        <color theme="1"/>
      </font>
    </dxf>
    <dxf>
      <font>
        <color theme="1"/>
      </font>
    </dxf>
    <dxf>
      <font>
        <color auto="1"/>
      </font>
      <fill>
        <patternFill>
          <bgColor rgb="FFFFFF99"/>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FF0000"/>
        </patternFill>
      </fill>
    </dxf>
    <dxf>
      <fill>
        <patternFill>
          <bgColor rgb="FFFF000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FF0000"/>
        </patternFill>
      </fill>
    </dxf>
    <dxf>
      <fill>
        <patternFill>
          <bgColor rgb="FF92D050"/>
        </patternFill>
      </fill>
    </dxf>
    <dxf>
      <fill>
        <patternFill>
          <bgColor rgb="FFFF000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s>
  <tableStyles count="0" defaultTableStyle="TableStyleMedium2" defaultPivotStyle="PivotStyleLight16"/>
  <colors>
    <mruColors>
      <color rgb="FFFFFF99"/>
      <color rgb="FFFFFFCC"/>
      <color rgb="FFFFD700"/>
      <color rgb="FF37CBFF"/>
      <color rgb="FF8FE2FF"/>
      <color rgb="FFCC6600"/>
      <color rgb="FFCCFF66"/>
      <color rgb="FFEAEAEA"/>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externalLink" Target="externalLinks/externalLink1.xml"/><Relationship Id="rId50" Type="http://schemas.openxmlformats.org/officeDocument/2006/relationships/sharedStrings" Target="sharedStrings.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styles" Target="styles.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worksheet" Target="worksheets/sheet44.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theme" Target="theme/theme1.xml"/><Relationship Id="rId8" Type="http://schemas.openxmlformats.org/officeDocument/2006/relationships/worksheet" Target="worksheets/sheet8.xml"/><Relationship Id="rId51" Type="http://schemas.openxmlformats.org/officeDocument/2006/relationships/calcChain" Target="calcChain.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20" Type="http://schemas.openxmlformats.org/officeDocument/2006/relationships/worksheet" Target="worksheets/sheet20.xml"/><Relationship Id="rId41" Type="http://schemas.openxmlformats.org/officeDocument/2006/relationships/worksheet" Target="worksheets/sheet41.xml"/><Relationship Id="rId1" Type="http://schemas.openxmlformats.org/officeDocument/2006/relationships/worksheet" Target="worksheets/sheet1.xml"/><Relationship Id="rId6" Type="http://schemas.openxmlformats.org/officeDocument/2006/relationships/worksheet" Target="worksheets/sheet6.xml"/></Relationships>
</file>

<file path=xl/ctrlProps/ctrlProp1.xml><?xml version="1.0" encoding="utf-8"?>
<formControlPr xmlns="http://schemas.microsoft.com/office/spreadsheetml/2009/9/main" objectType="CheckBox" checked="Checked" fmlaLink="$G$8" lockText="1" noThreeD="1"/>
</file>

<file path=xl/ctrlProps/ctrlProp2.xml><?xml version="1.0" encoding="utf-8"?>
<formControlPr xmlns="http://schemas.microsoft.com/office/spreadsheetml/2009/9/main" objectType="CheckBox" checked="Checked" fmlaLink="$G$8" lockText="1" noThreeD="1"/>
</file>

<file path=xl/ctrlProps/ctrlProp3.xml><?xml version="1.0" encoding="utf-8"?>
<formControlPr xmlns="http://schemas.microsoft.com/office/spreadsheetml/2009/9/main" objectType="CheckBox" fmlaLink="$W$16" lockText="1" noThreeD="1"/>
</file>

<file path=xl/ctrlProps/ctrlProp4.xml><?xml version="1.0" encoding="utf-8"?>
<formControlPr xmlns="http://schemas.microsoft.com/office/spreadsheetml/2009/9/main" objectType="CheckBox" checked="Checked" fmlaLink="$W$18" lockText="1" noThreeD="1"/>
</file>

<file path=xl/ctrlProps/ctrlProp5.xml><?xml version="1.0" encoding="utf-8"?>
<formControlPr xmlns="http://schemas.microsoft.com/office/spreadsheetml/2009/9/main" objectType="CheckBox" fmlaLink="$W$20" lockText="1" noThreeD="1"/>
</file>

<file path=xl/ctrlProps/ctrlProp6.xml><?xml version="1.0" encoding="utf-8"?>
<formControlPr xmlns="http://schemas.microsoft.com/office/spreadsheetml/2009/9/main" objectType="CheckBox" fmlaLink="$W$35" lockText="1" noThreeD="1"/>
</file>

<file path=xl/ctrlProps/ctrlProp7.xml><?xml version="1.0" encoding="utf-8"?>
<formControlPr xmlns="http://schemas.microsoft.com/office/spreadsheetml/2009/9/main" objectType="CheckBox" fmlaLink="$W$52" lockText="1" noThreeD="1"/>
</file>

<file path=xl/ctrlProps/ctrlProp8.xml><?xml version="1.0" encoding="utf-8"?>
<formControlPr xmlns="http://schemas.microsoft.com/office/spreadsheetml/2009/9/main" objectType="CheckBox" fmlaLink="$W$64" lockText="1" noThreeD="1"/>
</file>

<file path=xl/ctrlProps/ctrlProp9.xml><?xml version="1.0" encoding="utf-8"?>
<formControlPr xmlns="http://schemas.microsoft.com/office/spreadsheetml/2009/9/main" objectType="CheckBox" fmlaLink="$W$65" lockText="1" noThreeD="1"/>
</file>

<file path=xl/ctrlProps/ctrlProp10.xml><?xml version="1.0" encoding="utf-8"?>
<formControlPr xmlns="http://schemas.microsoft.com/office/spreadsheetml/2009/9/main" objectType="CheckBox" fmlaLink="$W$67" lockText="1" noThreeD="1"/>
</file>

<file path=xl/ctrlProps/ctrlProp11.xml><?xml version="1.0" encoding="utf-8"?>
<formControlPr xmlns="http://schemas.microsoft.com/office/spreadsheetml/2009/9/main" objectType="CheckBox" fmlaLink="$W$69" lockText="1" noThreeD="1"/>
</file>

<file path=xl/ctrlProps/ctrlProp12.xml><?xml version="1.0" encoding="utf-8"?>
<formControlPr xmlns="http://schemas.microsoft.com/office/spreadsheetml/2009/9/main" objectType="CheckBox" fmlaLink="$W$71" lockText="1" noThreeD="1"/>
</file>

<file path=xl/ctrlProps/ctrlProp13.xml><?xml version="1.0" encoding="utf-8"?>
<formControlPr xmlns="http://schemas.microsoft.com/office/spreadsheetml/2009/9/main" objectType="CheckBox" fmlaLink="$W$72" lockText="1" noThreeD="1"/>
</file>

<file path=xl/ctrlProps/ctrlProp14.xml><?xml version="1.0" encoding="utf-8"?>
<formControlPr xmlns="http://schemas.microsoft.com/office/spreadsheetml/2009/9/main" objectType="CheckBox" fmlaLink="$W$74" lockText="1" noThreeD="1"/>
</file>

<file path=xl/ctrlProps/ctrlProp15.xml><?xml version="1.0" encoding="utf-8"?>
<formControlPr xmlns="http://schemas.microsoft.com/office/spreadsheetml/2009/9/main" objectType="CheckBox" fmlaLink="$W$83" lockText="1" noThreeD="1"/>
</file>

<file path=xl/ctrlProps/ctrlProp16.xml><?xml version="1.0" encoding="utf-8"?>
<formControlPr xmlns="http://schemas.microsoft.com/office/spreadsheetml/2009/9/main" objectType="CheckBox" fmlaLink="$W$84" lockText="1" noThreeD="1"/>
</file>

<file path=xl/ctrlProps/ctrlProp17.xml><?xml version="1.0" encoding="utf-8"?>
<formControlPr xmlns="http://schemas.microsoft.com/office/spreadsheetml/2009/9/main" objectType="CheckBox" fmlaLink="$W$91" lockText="1" noThreeD="1"/>
</file>

<file path=xl/ctrlProps/ctrlProp18.xml><?xml version="1.0" encoding="utf-8"?>
<formControlPr xmlns="http://schemas.microsoft.com/office/spreadsheetml/2009/9/main" objectType="CheckBox" fmlaLink="$W$93" lockText="1" noThreeD="1"/>
</file>

<file path=xl/ctrlProps/ctrlProp19.xml><?xml version="1.0" encoding="utf-8"?>
<formControlPr xmlns="http://schemas.microsoft.com/office/spreadsheetml/2009/9/main" objectType="CheckBox" fmlaLink="$W$97" lockText="1" noThreeD="1"/>
</file>

<file path=xl/ctrlProps/ctrlProp20.xml><?xml version="1.0" encoding="utf-8"?>
<formControlPr xmlns="http://schemas.microsoft.com/office/spreadsheetml/2009/9/main" objectType="CheckBox" fmlaLink="$W$100" lockText="1" noThreeD="1"/>
</file>

<file path=xl/ctrlProps/ctrlProp21.xml><?xml version="1.0" encoding="utf-8"?>
<formControlPr xmlns="http://schemas.microsoft.com/office/spreadsheetml/2009/9/main" objectType="CheckBox" fmlaLink="$W$101" lockText="1" noThreeD="1"/>
</file>

<file path=xl/ctrlProps/ctrlProp22.xml><?xml version="1.0" encoding="utf-8"?>
<formControlPr xmlns="http://schemas.microsoft.com/office/spreadsheetml/2009/9/main" objectType="CheckBox" fmlaLink="$W$103" lockText="1" noThreeD="1"/>
</file>

<file path=xl/ctrlProps/ctrlProp23.xml><?xml version="1.0" encoding="utf-8"?>
<formControlPr xmlns="http://schemas.microsoft.com/office/spreadsheetml/2009/9/main" objectType="CheckBox" fmlaLink="$W$104" lockText="1" noThreeD="1"/>
</file>

<file path=xl/ctrlProps/ctrlProp24.xml><?xml version="1.0" encoding="utf-8"?>
<formControlPr xmlns="http://schemas.microsoft.com/office/spreadsheetml/2009/9/main" objectType="CheckBox" fmlaLink="$W$105" lockText="1" noThreeD="1"/>
</file>

<file path=xl/ctrlProps/ctrlProp25.xml><?xml version="1.0" encoding="utf-8"?>
<formControlPr xmlns="http://schemas.microsoft.com/office/spreadsheetml/2009/9/main" objectType="CheckBox" fmlaLink="$W$113" lockText="1" noThreeD="1"/>
</file>

<file path=xl/ctrlProps/ctrlProp26.xml><?xml version="1.0" encoding="utf-8"?>
<formControlPr xmlns="http://schemas.microsoft.com/office/spreadsheetml/2009/9/main" objectType="CheckBox" fmlaLink="$W$143" lockText="1" noThreeD="1"/>
</file>

<file path=xl/ctrlProps/ctrlProp27.xml><?xml version="1.0" encoding="utf-8"?>
<formControlPr xmlns="http://schemas.microsoft.com/office/spreadsheetml/2009/9/main" objectType="CheckBox" fmlaLink="$W$145" lockText="1" noThreeD="1"/>
</file>

<file path=xl/ctrlProps/ctrlProp28.xml><?xml version="1.0" encoding="utf-8"?>
<formControlPr xmlns="http://schemas.microsoft.com/office/spreadsheetml/2009/9/main" objectType="CheckBox" fmlaLink="$W$148" lockText="1" noThreeD="1"/>
</file>

<file path=xl/ctrlProps/ctrlProp29.xml><?xml version="1.0" encoding="utf-8"?>
<formControlPr xmlns="http://schemas.microsoft.com/office/spreadsheetml/2009/9/main" objectType="CheckBox" fmlaLink="$W$157" lockText="1" noThreeD="1"/>
</file>

<file path=xl/ctrlProps/ctrlProp30.xml><?xml version="1.0" encoding="utf-8"?>
<formControlPr xmlns="http://schemas.microsoft.com/office/spreadsheetml/2009/9/main" objectType="CheckBox" fmlaLink="$W$158" lockText="1" noThreeD="1"/>
</file>

<file path=xl/ctrlProps/ctrlProp31.xml><?xml version="1.0" encoding="utf-8"?>
<formControlPr xmlns="http://schemas.microsoft.com/office/spreadsheetml/2009/9/main" objectType="CheckBox" fmlaLink="$W$163" lockText="1" noThreeD="1"/>
</file>

<file path=xl/ctrlProps/ctrlProp32.xml><?xml version="1.0" encoding="utf-8"?>
<formControlPr xmlns="http://schemas.microsoft.com/office/spreadsheetml/2009/9/main" objectType="CheckBox" fmlaLink="$W$165" lockText="1" noThreeD="1"/>
</file>

<file path=xl/ctrlProps/ctrlProp33.xml><?xml version="1.0" encoding="utf-8"?>
<formControlPr xmlns="http://schemas.microsoft.com/office/spreadsheetml/2009/9/main" objectType="CheckBox" fmlaLink="$W$168" lockText="1" noThreeD="1"/>
</file>

<file path=xl/ctrlProps/ctrlProp34.xml><?xml version="1.0" encoding="utf-8"?>
<formControlPr xmlns="http://schemas.microsoft.com/office/spreadsheetml/2009/9/main" objectType="CheckBox" fmlaLink="$W$170" lockText="1" noThreeD="1"/>
</file>

<file path=xl/ctrlProps/ctrlProp35.xml><?xml version="1.0" encoding="utf-8"?>
<formControlPr xmlns="http://schemas.microsoft.com/office/spreadsheetml/2009/9/main" objectType="CheckBox" fmlaLink="$W$172" lockText="1" noThreeD="1"/>
</file>

<file path=xl/ctrlProps/ctrlProp36.xml><?xml version="1.0" encoding="utf-8"?>
<formControlPr xmlns="http://schemas.microsoft.com/office/spreadsheetml/2009/9/main" objectType="CheckBox" fmlaLink="$W$176" lockText="1" noThreeD="1"/>
</file>

<file path=xl/ctrlProps/ctrlProp37.xml><?xml version="1.0" encoding="utf-8"?>
<formControlPr xmlns="http://schemas.microsoft.com/office/spreadsheetml/2009/9/main" objectType="CheckBox" fmlaLink="$W$177" lockText="1" noThreeD="1"/>
</file>

<file path=xl/ctrlProps/ctrlProp38.xml><?xml version="1.0" encoding="utf-8"?>
<formControlPr xmlns="http://schemas.microsoft.com/office/spreadsheetml/2009/9/main" objectType="CheckBox" fmlaLink="$W$178" lockText="1" noThreeD="1"/>
</file>

<file path=xl/ctrlProps/ctrlProp39.xml><?xml version="1.0" encoding="utf-8"?>
<formControlPr xmlns="http://schemas.microsoft.com/office/spreadsheetml/2009/9/main" objectType="CheckBox" fmlaLink="$W$180" lockText="1" noThreeD="1"/>
</file>

<file path=xl/ctrlProps/ctrlProp40.xml><?xml version="1.0" encoding="utf-8"?>
<formControlPr xmlns="http://schemas.microsoft.com/office/spreadsheetml/2009/9/main" objectType="CheckBox" checked="Checked" fmlaLink="$W$183" lockText="1" noThreeD="1"/>
</file>

<file path=xl/ctrlProps/ctrlProp41.xml><?xml version="1.0" encoding="utf-8"?>
<formControlPr xmlns="http://schemas.microsoft.com/office/spreadsheetml/2009/9/main" objectType="CheckBox" fmlaLink="$W$185" lockText="1" noThreeD="1"/>
</file>

<file path=xl/ctrlProps/ctrlProp42.xml><?xml version="1.0" encoding="utf-8"?>
<formControlPr xmlns="http://schemas.microsoft.com/office/spreadsheetml/2009/9/main" objectType="CheckBox" fmlaLink="$W$190" lockText="1" noThreeD="1"/>
</file>

<file path=xl/ctrlProps/ctrlProp43.xml><?xml version="1.0" encoding="utf-8"?>
<formControlPr xmlns="http://schemas.microsoft.com/office/spreadsheetml/2009/9/main" objectType="CheckBox" fmlaLink="$W$197" lockText="1" noThreeD="1"/>
</file>

<file path=xl/ctrlProps/ctrlProp44.xml><?xml version="1.0" encoding="utf-8"?>
<formControlPr xmlns="http://schemas.microsoft.com/office/spreadsheetml/2009/9/main" objectType="CheckBox" fmlaLink="$W$198" lockText="1" noThreeD="1"/>
</file>

<file path=xl/ctrlProps/ctrlProp45.xml><?xml version="1.0" encoding="utf-8"?>
<formControlPr xmlns="http://schemas.microsoft.com/office/spreadsheetml/2009/9/main" objectType="CheckBox" fmlaLink="$W$200" lockText="1" noThreeD="1"/>
</file>

<file path=xl/ctrlProps/ctrlProp46.xml><?xml version="1.0" encoding="utf-8"?>
<formControlPr xmlns="http://schemas.microsoft.com/office/spreadsheetml/2009/9/main" objectType="CheckBox" fmlaLink="$W$205" lockText="1" noThreeD="1"/>
</file>

<file path=xl/ctrlProps/ctrlProp47.xml><?xml version="1.0" encoding="utf-8"?>
<formControlPr xmlns="http://schemas.microsoft.com/office/spreadsheetml/2009/9/main" objectType="CheckBox" fmlaLink="$W$207" lockText="1" noThreeD="1"/>
</file>

<file path=xl/ctrlProps/ctrlProp48.xml><?xml version="1.0" encoding="utf-8"?>
<formControlPr xmlns="http://schemas.microsoft.com/office/spreadsheetml/2009/9/main" objectType="CheckBox" fmlaLink="$W$208" lockText="1" noThreeD="1"/>
</file>

<file path=xl/ctrlProps/ctrlProp49.xml><?xml version="1.0" encoding="utf-8"?>
<formControlPr xmlns="http://schemas.microsoft.com/office/spreadsheetml/2009/9/main" objectType="CheckBox" fmlaLink="$W$210" lockText="1" noThreeD="1"/>
</file>

<file path=xl/ctrlProps/ctrlProp50.xml><?xml version="1.0" encoding="utf-8"?>
<formControlPr xmlns="http://schemas.microsoft.com/office/spreadsheetml/2009/9/main" objectType="CheckBox" fmlaLink="$W$212" lockText="1" noThreeD="1"/>
</file>

<file path=xl/ctrlProps/ctrlProp51.xml><?xml version="1.0" encoding="utf-8"?>
<formControlPr xmlns="http://schemas.microsoft.com/office/spreadsheetml/2009/9/main" objectType="CheckBox" fmlaLink="$W$216" lockText="1" noThreeD="1"/>
</file>

<file path=xl/ctrlProps/ctrlProp52.xml><?xml version="1.0" encoding="utf-8"?>
<formControlPr xmlns="http://schemas.microsoft.com/office/spreadsheetml/2009/9/main" objectType="CheckBox" fmlaLink="$W$219" lockText="1" noThreeD="1"/>
</file>

<file path=xl/ctrlProps/ctrlProp53.xml><?xml version="1.0" encoding="utf-8"?>
<formControlPr xmlns="http://schemas.microsoft.com/office/spreadsheetml/2009/9/main" objectType="CheckBox" fmlaLink="$W$221" lockText="1" noThreeD="1"/>
</file>

<file path=xl/ctrlProps/ctrlProp54.xml><?xml version="1.0" encoding="utf-8"?>
<formControlPr xmlns="http://schemas.microsoft.com/office/spreadsheetml/2009/9/main" objectType="CheckBox" fmlaLink="$W$222" lockText="1" noThreeD="1"/>
</file>

<file path=xl/ctrlProps/ctrlProp55.xml><?xml version="1.0" encoding="utf-8"?>
<formControlPr xmlns="http://schemas.microsoft.com/office/spreadsheetml/2009/9/main" objectType="CheckBox" fmlaLink="$W$223" lockText="1" noThreeD="1"/>
</file>

<file path=xl/ctrlProps/ctrlProp56.xml><?xml version="1.0" encoding="utf-8"?>
<formControlPr xmlns="http://schemas.microsoft.com/office/spreadsheetml/2009/9/main" objectType="CheckBox" fmlaLink="$W$224" lockText="1" noThreeD="1"/>
</file>

<file path=xl/ctrlProps/ctrlProp57.xml><?xml version="1.0" encoding="utf-8"?>
<formControlPr xmlns="http://schemas.microsoft.com/office/spreadsheetml/2009/9/main" objectType="CheckBox" fmlaLink="$W$225" lockText="1" noThreeD="1"/>
</file>

<file path=xl/ctrlProps/ctrlProp58.xml><?xml version="1.0" encoding="utf-8"?>
<formControlPr xmlns="http://schemas.microsoft.com/office/spreadsheetml/2009/9/main" objectType="CheckBox" fmlaLink="$W$226" lockText="1" noThreeD="1"/>
</file>

<file path=xl/ctrlProps/ctrlProp59.xml><?xml version="1.0" encoding="utf-8"?>
<formControlPr xmlns="http://schemas.microsoft.com/office/spreadsheetml/2009/9/main" objectType="CheckBox" fmlaLink="$W$234" lockText="1" noThreeD="1"/>
</file>

<file path=xl/ctrlProps/ctrlProp60.xml><?xml version="1.0" encoding="utf-8"?>
<formControlPr xmlns="http://schemas.microsoft.com/office/spreadsheetml/2009/9/main" objectType="CheckBox" fmlaLink="$W$236" lockText="1" noThreeD="1"/>
</file>

<file path=xl/ctrlProps/ctrlProp61.xml><?xml version="1.0" encoding="utf-8"?>
<formControlPr xmlns="http://schemas.microsoft.com/office/spreadsheetml/2009/9/main" objectType="CheckBox" fmlaLink="$W$244" lockText="1" noThreeD="1"/>
</file>

<file path=xl/ctrlProps/ctrlProp62.xml><?xml version="1.0" encoding="utf-8"?>
<formControlPr xmlns="http://schemas.microsoft.com/office/spreadsheetml/2009/9/main" objectType="CheckBox" fmlaLink="$W$247" lockText="1" noThreeD="1"/>
</file>

<file path=xl/ctrlProps/ctrlProp63.xml><?xml version="1.0" encoding="utf-8"?>
<formControlPr xmlns="http://schemas.microsoft.com/office/spreadsheetml/2009/9/main" objectType="CheckBox" fmlaLink="$W$251" lockText="1" noThreeD="1"/>
</file>

<file path=xl/ctrlProps/ctrlProp64.xml><?xml version="1.0" encoding="utf-8"?>
<formControlPr xmlns="http://schemas.microsoft.com/office/spreadsheetml/2009/9/main" objectType="CheckBox" fmlaLink="$W$252" lockText="1" noThreeD="1"/>
</file>

<file path=xl/ctrlProps/ctrlProp65.xml><?xml version="1.0" encoding="utf-8"?>
<formControlPr xmlns="http://schemas.microsoft.com/office/spreadsheetml/2009/9/main" objectType="CheckBox" fmlaLink="$W$43" lockText="1" noThreeD="1"/>
</file>

<file path=xl/ctrlProps/ctrlProp66.xml><?xml version="1.0" encoding="utf-8"?>
<formControlPr xmlns="http://schemas.microsoft.com/office/spreadsheetml/2009/9/main" objectType="CheckBox" fmlaLink="$W$45" lockText="1" noThreeD="1"/>
</file>

<file path=xl/ctrlProps/ctrlProp67.xml><?xml version="1.0" encoding="utf-8"?>
<formControlPr xmlns="http://schemas.microsoft.com/office/spreadsheetml/2009/9/main" objectType="CheckBox" fmlaLink="$W$48" lockText="1" noThreeD="1"/>
</file>

<file path=xl/ctrlProps/ctrlProp68.xml><?xml version="1.0" encoding="utf-8"?>
<formControlPr xmlns="http://schemas.microsoft.com/office/spreadsheetml/2009/9/main" objectType="CheckBox" fmlaLink="$W$76" lockText="1" noThreeD="1"/>
</file>

<file path=xl/ctrlProps/ctrlProp69.xml><?xml version="1.0" encoding="utf-8"?>
<formControlPr xmlns="http://schemas.microsoft.com/office/spreadsheetml/2009/9/main" objectType="CheckBox" fmlaLink="$W$128" lockText="1" noThreeD="1"/>
</file>

<file path=xl/ctrlProps/ctrlProp70.xml><?xml version="1.0" encoding="utf-8"?>
<formControlPr xmlns="http://schemas.microsoft.com/office/spreadsheetml/2009/9/main" objectType="CheckBox" fmlaLink="$W$130" lockText="1" noThreeD="1"/>
</file>

<file path=xl/ctrlProps/ctrlProp71.xml><?xml version="1.0" encoding="utf-8"?>
<formControlPr xmlns="http://schemas.microsoft.com/office/spreadsheetml/2009/9/main" objectType="CheckBox" fmlaLink="$W$150" lockText="1" noThreeD="1"/>
</file>

<file path=xl/ctrlProps/ctrlProp72.xml><?xml version="1.0" encoding="utf-8"?>
<formControlPr xmlns="http://schemas.microsoft.com/office/spreadsheetml/2009/9/main" objectType="CheckBox" fmlaLink="$W$271" lockText="1" noThreeD="1"/>
</file>

<file path=xl/ctrlProps/ctrlProp73.xml><?xml version="1.0" encoding="utf-8"?>
<formControlPr xmlns="http://schemas.microsoft.com/office/spreadsheetml/2009/9/main" objectType="CheckBox" fmlaLink="$W$270" lockText="1" noThreeD="1"/>
</file>

<file path=xl/ctrlProps/ctrlProp74.xml><?xml version="1.0" encoding="utf-8"?>
<formControlPr xmlns="http://schemas.microsoft.com/office/spreadsheetml/2009/9/main" objectType="CheckBox" fmlaLink="$W$267" lockText="1" noThreeD="1"/>
</file>

<file path=xl/ctrlProps/ctrlProp75.xml><?xml version="1.0" encoding="utf-8"?>
<formControlPr xmlns="http://schemas.microsoft.com/office/spreadsheetml/2009/9/main" objectType="CheckBox" fmlaLink="$W$262" lockText="1" noThreeD="1"/>
</file>

<file path=xl/ctrlProps/ctrlProp76.xml><?xml version="1.0" encoding="utf-8"?>
<formControlPr xmlns="http://schemas.microsoft.com/office/spreadsheetml/2009/9/main" objectType="CheckBox" fmlaLink="$W$283" lockText="1" noThreeD="1"/>
</file>

<file path=xl/ctrlProps/ctrlProp77.xml><?xml version="1.0" encoding="utf-8"?>
<formControlPr xmlns="http://schemas.microsoft.com/office/spreadsheetml/2009/9/main" objectType="CheckBox" fmlaLink="$W$287" lockText="1" noThreeD="1"/>
</file>

<file path=xl/ctrlProps/ctrlProp78.xml><?xml version="1.0" encoding="utf-8"?>
<formControlPr xmlns="http://schemas.microsoft.com/office/spreadsheetml/2009/9/main" objectType="CheckBox" fmlaLink="$W$290" lockText="1" noThreeD="1"/>
</file>

<file path=xl/ctrlProps/ctrlProp79.xml><?xml version="1.0" encoding="utf-8"?>
<formControlPr xmlns="http://schemas.microsoft.com/office/spreadsheetml/2009/9/main" objectType="CheckBox" fmlaLink="$W$293" lockText="1" noThreeD="1"/>
</file>

<file path=xl/ctrlProps/ctrlProp80.xml><?xml version="1.0" encoding="utf-8"?>
<formControlPr xmlns="http://schemas.microsoft.com/office/spreadsheetml/2009/9/main" objectType="CheckBox" fmlaLink="$W$294" lockText="1" noThreeD="1"/>
</file>

<file path=xl/ctrlProps/ctrlProp81.xml><?xml version="1.0" encoding="utf-8"?>
<formControlPr xmlns="http://schemas.microsoft.com/office/spreadsheetml/2009/9/main" objectType="CheckBox" fmlaLink="$W$299" lockText="1" noThreeD="1"/>
</file>

<file path=xl/ctrlProps/ctrlProp82.xml><?xml version="1.0" encoding="utf-8"?>
<formControlPr xmlns="http://schemas.microsoft.com/office/spreadsheetml/2009/9/main" objectType="CheckBox" fmlaLink="$W$301" lockText="1" noThreeD="1"/>
</file>

<file path=xl/ctrlProps/ctrlProp83.xml><?xml version="1.0" encoding="utf-8"?>
<formControlPr xmlns="http://schemas.microsoft.com/office/spreadsheetml/2009/9/main" objectType="CheckBox" fmlaLink="$W$303" lockText="1" noThreeD="1"/>
</file>

<file path=xl/ctrlProps/ctrlProp84.xml><?xml version="1.0" encoding="utf-8"?>
<formControlPr xmlns="http://schemas.microsoft.com/office/spreadsheetml/2009/9/main" objectType="CheckBox" fmlaLink="$W$305" lockText="1" noThreeD="1"/>
</file>

<file path=xl/ctrlProps/ctrlProp85.xml><?xml version="1.0" encoding="utf-8"?>
<formControlPr xmlns="http://schemas.microsoft.com/office/spreadsheetml/2009/9/main" objectType="CheckBox" fmlaLink="$W$32" lockText="1" noThreeD="1"/>
</file>

<file path=xl/ctrlProps/ctrlProp86.xml><?xml version="1.0" encoding="utf-8"?>
<formControlPr xmlns="http://schemas.microsoft.com/office/spreadsheetml/2009/9/main" objectType="CheckBox" fmlaLink="$W$35" lockText="1" noThreeD="1"/>
</file>

<file path=xl/ctrlProps/ctrlProp87.xml><?xml version="1.0" encoding="utf-8"?>
<formControlPr xmlns="http://schemas.microsoft.com/office/spreadsheetml/2009/9/main" objectType="CheckBox" fmlaLink="$W$38" lockText="1" noThreeD="1"/>
</file>

<file path=xl/ctrlProps/ctrlProp88.xml><?xml version="1.0" encoding="utf-8"?>
<formControlPr xmlns="http://schemas.microsoft.com/office/spreadsheetml/2009/9/main" objectType="CheckBox" fmlaLink="$W$44" lockText="1" noThreeD="1"/>
</file>

<file path=xl/ctrlProps/ctrlProp89.xml><?xml version="1.0" encoding="utf-8"?>
<formControlPr xmlns="http://schemas.microsoft.com/office/spreadsheetml/2009/9/main" objectType="CheckBox" fmlaLink="$W$45" lockText="1" noThreeD="1"/>
</file>

<file path=xl/ctrlProps/ctrlProp90.xml><?xml version="1.0" encoding="utf-8"?>
<formControlPr xmlns="http://schemas.microsoft.com/office/spreadsheetml/2009/9/main" objectType="CheckBox" fmlaLink="$W$46" lockText="1" noThreeD="1"/>
</file>

<file path=xl/ctrlProps/ctrlProp91.xml><?xml version="1.0" encoding="utf-8"?>
<formControlPr xmlns="http://schemas.microsoft.com/office/spreadsheetml/2009/9/main" objectType="CheckBox" fmlaLink="$W$47" lockText="1" noThreeD="1"/>
</file>

<file path=xl/ctrlProps/ctrlProp92.xml><?xml version="1.0" encoding="utf-8"?>
<formControlPr xmlns="http://schemas.microsoft.com/office/spreadsheetml/2009/9/main" objectType="CheckBox" fmlaLink="$W$48" lockText="1" noThreeD="1"/>
</file>

<file path=xl/ctrlProps/ctrlProp93.xml><?xml version="1.0" encoding="utf-8"?>
<formControlPr xmlns="http://schemas.microsoft.com/office/spreadsheetml/2009/9/main" objectType="CheckBox" fmlaLink="$W$49" lockText="1" noThreeD="1"/>
</file>

<file path=xl/ctrlProps/ctrlProp94.xml><?xml version="1.0" encoding="utf-8"?>
<formControlPr xmlns="http://schemas.microsoft.com/office/spreadsheetml/2009/9/main" objectType="CheckBox" fmlaLink="$W$57" lockText="1" noThreeD="1"/>
</file>

<file path=xl/ctrlProps/ctrlProp95.xml><?xml version="1.0" encoding="utf-8"?>
<formControlPr xmlns="http://schemas.microsoft.com/office/spreadsheetml/2009/9/main" objectType="CheckBox" fmlaLink="$W$58" lockText="1" noThreeD="1"/>
</file>

<file path=xl/ctrlProps/ctrlProp96.xml><?xml version="1.0" encoding="utf-8"?>
<formControlPr xmlns="http://schemas.microsoft.com/office/spreadsheetml/2009/9/main" objectType="CheckBox" fmlaLink="$W$59" lockText="1" noThreeD="1"/>
</file>

<file path=xl/ctrlProps/ctrlProp97.xml><?xml version="1.0" encoding="utf-8"?>
<formControlPr xmlns="http://schemas.microsoft.com/office/spreadsheetml/2009/9/main" objectType="CheckBox" fmlaLink="$W$60" lockText="1" noThreeD="1"/>
</file>

<file path=xl/ctrlProps/ctrlProp98.xml><?xml version="1.0" encoding="utf-8"?>
<formControlPr xmlns="http://schemas.microsoft.com/office/spreadsheetml/2009/9/main" objectType="CheckBox" fmlaLink="$W$85" lockText="1" noThreeD="1"/>
</file>

<file path=xl/ctrlProps/ctrlProp99.xml><?xml version="1.0" encoding="utf-8"?>
<formControlPr xmlns="http://schemas.microsoft.com/office/spreadsheetml/2009/9/main" objectType="CheckBox" fmlaLink="$W$102" lockText="1" noThreeD="1"/>
</file>

<file path=xl/ctrlProps/ctrlProp100.xml><?xml version="1.0" encoding="utf-8"?>
<formControlPr xmlns="http://schemas.microsoft.com/office/spreadsheetml/2009/9/main" objectType="CheckBox" fmlaLink="$W$108" lockText="1" noThreeD="1"/>
</file>

<file path=xl/ctrlProps/ctrlProp101.xml><?xml version="1.0" encoding="utf-8"?>
<formControlPr xmlns="http://schemas.microsoft.com/office/spreadsheetml/2009/9/main" objectType="CheckBox" fmlaLink="$W$109" lockText="1" noThreeD="1"/>
</file>

<file path=xl/ctrlProps/ctrlProp102.xml><?xml version="1.0" encoding="utf-8"?>
<formControlPr xmlns="http://schemas.microsoft.com/office/spreadsheetml/2009/9/main" objectType="CheckBox" fmlaLink="$W$114" lockText="1" noThreeD="1"/>
</file>

<file path=xl/ctrlProps/ctrlProp103.xml><?xml version="1.0" encoding="utf-8"?>
<formControlPr xmlns="http://schemas.microsoft.com/office/spreadsheetml/2009/9/main" objectType="CheckBox" fmlaLink="$W$122" lockText="1" noThreeD="1"/>
</file>

<file path=xl/ctrlProps/ctrlProp104.xml><?xml version="1.0" encoding="utf-8"?>
<formControlPr xmlns="http://schemas.microsoft.com/office/spreadsheetml/2009/9/main" objectType="CheckBox" fmlaLink="$W$131" lockText="1" noThreeD="1"/>
</file>

<file path=xl/ctrlProps/ctrlProp105.xml><?xml version="1.0" encoding="utf-8"?>
<formControlPr xmlns="http://schemas.microsoft.com/office/spreadsheetml/2009/9/main" objectType="CheckBox" fmlaLink="$W$139" lockText="1" noThreeD="1"/>
</file>

<file path=xl/ctrlProps/ctrlProp106.xml><?xml version="1.0" encoding="utf-8"?>
<formControlPr xmlns="http://schemas.microsoft.com/office/spreadsheetml/2009/9/main" objectType="CheckBox" fmlaLink="$W$141" lockText="1" noThreeD="1"/>
</file>

<file path=xl/ctrlProps/ctrlProp107.xml><?xml version="1.0" encoding="utf-8"?>
<formControlPr xmlns="http://schemas.microsoft.com/office/spreadsheetml/2009/9/main" objectType="CheckBox" fmlaLink="$W$147" lockText="1" noThreeD="1"/>
</file>

<file path=xl/ctrlProps/ctrlProp108.xml><?xml version="1.0" encoding="utf-8"?>
<formControlPr xmlns="http://schemas.microsoft.com/office/spreadsheetml/2009/9/main" objectType="CheckBox" fmlaLink="$W$151" lockText="1" noThreeD="1"/>
</file>

<file path=xl/ctrlProps/ctrlProp109.xml><?xml version="1.0" encoding="utf-8"?>
<formControlPr xmlns="http://schemas.microsoft.com/office/spreadsheetml/2009/9/main" objectType="CheckBox" fmlaLink="$W$155" lockText="1" noThreeD="1"/>
</file>

<file path=xl/ctrlProps/ctrlProp110.xml><?xml version="1.0" encoding="utf-8"?>
<formControlPr xmlns="http://schemas.microsoft.com/office/spreadsheetml/2009/9/main" objectType="CheckBox" checked="Checked" fmlaLink="$W$160" lockText="1" noThreeD="1"/>
</file>

<file path=xl/ctrlProps/ctrlProp111.xml><?xml version="1.0" encoding="utf-8"?>
<formControlPr xmlns="http://schemas.microsoft.com/office/spreadsheetml/2009/9/main" objectType="CheckBox" fmlaLink="$W$165" lockText="1" noThreeD="1"/>
</file>

<file path=xl/ctrlProps/ctrlProp112.xml><?xml version="1.0" encoding="utf-8"?>
<formControlPr xmlns="http://schemas.microsoft.com/office/spreadsheetml/2009/9/main" objectType="CheckBox" fmlaLink="$W$167" lockText="1" noThreeD="1"/>
</file>

<file path=xl/ctrlProps/ctrlProp113.xml><?xml version="1.0" encoding="utf-8"?>
<formControlPr xmlns="http://schemas.microsoft.com/office/spreadsheetml/2009/9/main" objectType="CheckBox" fmlaLink="$W$169" lockText="1" noThreeD="1"/>
</file>

<file path=xl/ctrlProps/ctrlProp114.xml><?xml version="1.0" encoding="utf-8"?>
<formControlPr xmlns="http://schemas.microsoft.com/office/spreadsheetml/2009/9/main" objectType="CheckBox" fmlaLink="$W$197" lockText="1" noThreeD="1"/>
</file>

<file path=xl/ctrlProps/ctrlProp115.xml><?xml version="1.0" encoding="utf-8"?>
<formControlPr xmlns="http://schemas.microsoft.com/office/spreadsheetml/2009/9/main" objectType="CheckBox" fmlaLink="$W$200" lockText="1" noThreeD="1"/>
</file>

<file path=xl/ctrlProps/ctrlProp116.xml><?xml version="1.0" encoding="utf-8"?>
<formControlPr xmlns="http://schemas.microsoft.com/office/spreadsheetml/2009/9/main" objectType="CheckBox" fmlaLink="$W$201" lockText="1" noThreeD="1"/>
</file>

<file path=xl/ctrlProps/ctrlProp117.xml><?xml version="1.0" encoding="utf-8"?>
<formControlPr xmlns="http://schemas.microsoft.com/office/spreadsheetml/2009/9/main" objectType="CheckBox" fmlaLink="$W$211" lockText="1" noThreeD="1"/>
</file>

<file path=xl/ctrlProps/ctrlProp118.xml><?xml version="1.0" encoding="utf-8"?>
<formControlPr xmlns="http://schemas.microsoft.com/office/spreadsheetml/2009/9/main" objectType="CheckBox" fmlaLink="$W$213" lockText="1" noThreeD="1"/>
</file>

<file path=xl/ctrlProps/ctrlProp119.xml><?xml version="1.0" encoding="utf-8"?>
<formControlPr xmlns="http://schemas.microsoft.com/office/spreadsheetml/2009/9/main" objectType="CheckBox" checked="Checked" fmlaLink="$W$231" lockText="1" noThreeD="1"/>
</file>

<file path=xl/ctrlProps/ctrlProp120.xml><?xml version="1.0" encoding="utf-8"?>
<formControlPr xmlns="http://schemas.microsoft.com/office/spreadsheetml/2009/9/main" objectType="CheckBox" checked="Checked" fmlaLink="$W$242" lockText="1" noThreeD="1"/>
</file>

<file path=xl/ctrlProps/ctrlProp121.xml><?xml version="1.0" encoding="utf-8"?>
<formControlPr xmlns="http://schemas.microsoft.com/office/spreadsheetml/2009/9/main" objectType="CheckBox" checked="Checked" fmlaLink="$W$243" lockText="1" noThreeD="1"/>
</file>

<file path=xl/ctrlProps/ctrlProp122.xml><?xml version="1.0" encoding="utf-8"?>
<formControlPr xmlns="http://schemas.microsoft.com/office/spreadsheetml/2009/9/main" objectType="CheckBox" fmlaLink="$W$251" lockText="1" noThreeD="1"/>
</file>

<file path=xl/ctrlProps/ctrlProp123.xml><?xml version="1.0" encoding="utf-8"?>
<formControlPr xmlns="http://schemas.microsoft.com/office/spreadsheetml/2009/9/main" objectType="CheckBox" fmlaLink="$W$253" lockText="1" noThreeD="1"/>
</file>

<file path=xl/ctrlProps/ctrlProp124.xml><?xml version="1.0" encoding="utf-8"?>
<formControlPr xmlns="http://schemas.microsoft.com/office/spreadsheetml/2009/9/main" objectType="CheckBox" fmlaLink="$W$254" lockText="1" noThreeD="1"/>
</file>

<file path=xl/ctrlProps/ctrlProp125.xml><?xml version="1.0" encoding="utf-8"?>
<formControlPr xmlns="http://schemas.microsoft.com/office/spreadsheetml/2009/9/main" objectType="CheckBox" fmlaLink="$W$257" lockText="1" noThreeD="1"/>
</file>

<file path=xl/ctrlProps/ctrlProp126.xml><?xml version="1.0" encoding="utf-8"?>
<formControlPr xmlns="http://schemas.microsoft.com/office/spreadsheetml/2009/9/main" objectType="CheckBox" fmlaLink="$W$266" lockText="1" noThreeD="1"/>
</file>

<file path=xl/ctrlProps/ctrlProp127.xml><?xml version="1.0" encoding="utf-8"?>
<formControlPr xmlns="http://schemas.microsoft.com/office/spreadsheetml/2009/9/main" objectType="CheckBox" fmlaLink="$W$268" lockText="1" noThreeD="1"/>
</file>

<file path=xl/ctrlProps/ctrlProp128.xml><?xml version="1.0" encoding="utf-8"?>
<formControlPr xmlns="http://schemas.microsoft.com/office/spreadsheetml/2009/9/main" objectType="CheckBox" fmlaLink="$W$286" lockText="1" noThreeD="1"/>
</file>

<file path=xl/ctrlProps/ctrlProp129.xml><?xml version="1.0" encoding="utf-8"?>
<formControlPr xmlns="http://schemas.microsoft.com/office/spreadsheetml/2009/9/main" objectType="CheckBox" fmlaLink="$W$303" lockText="1" noThreeD="1"/>
</file>

<file path=xl/ctrlProps/ctrlProp130.xml><?xml version="1.0" encoding="utf-8"?>
<formControlPr xmlns="http://schemas.microsoft.com/office/spreadsheetml/2009/9/main" objectType="CheckBox" fmlaLink="$W$316" lockText="1" noThreeD="1"/>
</file>

<file path=xl/ctrlProps/ctrlProp131.xml><?xml version="1.0" encoding="utf-8"?>
<formControlPr xmlns="http://schemas.microsoft.com/office/spreadsheetml/2009/9/main" objectType="CheckBox" fmlaLink="$W$318" lockText="1" noThreeD="1"/>
</file>

<file path=xl/ctrlProps/ctrlProp132.xml><?xml version="1.0" encoding="utf-8"?>
<formControlPr xmlns="http://schemas.microsoft.com/office/spreadsheetml/2009/9/main" objectType="CheckBox" fmlaLink="$W$331" lockText="1" noThreeD="1"/>
</file>

<file path=xl/ctrlProps/ctrlProp133.xml><?xml version="1.0" encoding="utf-8"?>
<formControlPr xmlns="http://schemas.microsoft.com/office/spreadsheetml/2009/9/main" objectType="CheckBox" fmlaLink="$W$332" lockText="1" noThreeD="1"/>
</file>

<file path=xl/ctrlProps/ctrlProp134.xml><?xml version="1.0" encoding="utf-8"?>
<formControlPr xmlns="http://schemas.microsoft.com/office/spreadsheetml/2009/9/main" objectType="CheckBox" fmlaLink="$W$333" lockText="1" noThreeD="1"/>
</file>

<file path=xl/ctrlProps/ctrlProp135.xml><?xml version="1.0" encoding="utf-8"?>
<formControlPr xmlns="http://schemas.microsoft.com/office/spreadsheetml/2009/9/main" objectType="CheckBox" fmlaLink="$W$334" lockText="1" noThreeD="1"/>
</file>

<file path=xl/ctrlProps/ctrlProp136.xml><?xml version="1.0" encoding="utf-8"?>
<formControlPr xmlns="http://schemas.microsoft.com/office/spreadsheetml/2009/9/main" objectType="CheckBox" fmlaLink="$W$335" lockText="1" noThreeD="1"/>
</file>

<file path=xl/ctrlProps/ctrlProp137.xml><?xml version="1.0" encoding="utf-8"?>
<formControlPr xmlns="http://schemas.microsoft.com/office/spreadsheetml/2009/9/main" objectType="CheckBox" fmlaLink="$W$336" lockText="1" noThreeD="1"/>
</file>

<file path=xl/ctrlProps/ctrlProp138.xml><?xml version="1.0" encoding="utf-8"?>
<formControlPr xmlns="http://schemas.microsoft.com/office/spreadsheetml/2009/9/main" objectType="CheckBox" fmlaLink="$W$337" lockText="1" noThreeD="1"/>
</file>

<file path=xl/ctrlProps/ctrlProp139.xml><?xml version="1.0" encoding="utf-8"?>
<formControlPr xmlns="http://schemas.microsoft.com/office/spreadsheetml/2009/9/main" objectType="CheckBox" fmlaLink="$W$338" lockText="1" noThreeD="1"/>
</file>

<file path=xl/ctrlProps/ctrlProp140.xml><?xml version="1.0" encoding="utf-8"?>
<formControlPr xmlns="http://schemas.microsoft.com/office/spreadsheetml/2009/9/main" objectType="CheckBox" fmlaLink="$W$339" lockText="1" noThreeD="1"/>
</file>

<file path=xl/ctrlProps/ctrlProp141.xml><?xml version="1.0" encoding="utf-8"?>
<formControlPr xmlns="http://schemas.microsoft.com/office/spreadsheetml/2009/9/main" objectType="CheckBox" fmlaLink="$W$390" lockText="1" noThreeD="1"/>
</file>

<file path=xl/ctrlProps/ctrlProp142.xml><?xml version="1.0" encoding="utf-8"?>
<formControlPr xmlns="http://schemas.microsoft.com/office/spreadsheetml/2009/9/main" objectType="CheckBox" fmlaLink="$W$395" lockText="1" noThreeD="1"/>
</file>

<file path=xl/ctrlProps/ctrlProp143.xml><?xml version="1.0" encoding="utf-8"?>
<formControlPr xmlns="http://schemas.microsoft.com/office/spreadsheetml/2009/9/main" objectType="CheckBox" fmlaLink="$W$401" lockText="1" noThreeD="1"/>
</file>

<file path=xl/ctrlProps/ctrlProp144.xml><?xml version="1.0" encoding="utf-8"?>
<formControlPr xmlns="http://schemas.microsoft.com/office/spreadsheetml/2009/9/main" objectType="CheckBox" fmlaLink="$W$435" lockText="1" noThreeD="1"/>
</file>

<file path=xl/ctrlProps/ctrlProp145.xml><?xml version="1.0" encoding="utf-8"?>
<formControlPr xmlns="http://schemas.microsoft.com/office/spreadsheetml/2009/9/main" objectType="CheckBox" fmlaLink="$W$444" lockText="1" noThreeD="1"/>
</file>

<file path=xl/ctrlProps/ctrlProp146.xml><?xml version="1.0" encoding="utf-8"?>
<formControlPr xmlns="http://schemas.microsoft.com/office/spreadsheetml/2009/9/main" objectType="CheckBox" fmlaLink="$W$451" lockText="1" noThreeD="1"/>
</file>

<file path=xl/ctrlProps/ctrlProp147.xml><?xml version="1.0" encoding="utf-8"?>
<formControlPr xmlns="http://schemas.microsoft.com/office/spreadsheetml/2009/9/main" objectType="CheckBox" fmlaLink="$W$530" lockText="1" noThreeD="1"/>
</file>

<file path=xl/ctrlProps/ctrlProp148.xml><?xml version="1.0" encoding="utf-8"?>
<formControlPr xmlns="http://schemas.microsoft.com/office/spreadsheetml/2009/9/main" objectType="CheckBox" fmlaLink="$W$531" lockText="1" noThreeD="1"/>
</file>

<file path=xl/ctrlProps/ctrlProp149.xml><?xml version="1.0" encoding="utf-8"?>
<formControlPr xmlns="http://schemas.microsoft.com/office/spreadsheetml/2009/9/main" objectType="CheckBox" fmlaLink="$W$533" lockText="1" noThreeD="1"/>
</file>

<file path=xl/ctrlProps/ctrlProp150.xml><?xml version="1.0" encoding="utf-8"?>
<formControlPr xmlns="http://schemas.microsoft.com/office/spreadsheetml/2009/9/main" objectType="CheckBox" fmlaLink="$W$535" lockText="1" noThreeD="1"/>
</file>

<file path=xl/ctrlProps/ctrlProp151.xml><?xml version="1.0" encoding="utf-8"?>
<formControlPr xmlns="http://schemas.microsoft.com/office/spreadsheetml/2009/9/main" objectType="CheckBox" fmlaLink="$W$537" lockText="1" noThreeD="1"/>
</file>

<file path=xl/ctrlProps/ctrlProp152.xml><?xml version="1.0" encoding="utf-8"?>
<formControlPr xmlns="http://schemas.microsoft.com/office/spreadsheetml/2009/9/main" objectType="CheckBox" fmlaLink="$W$539" lockText="1" noThreeD="1"/>
</file>

<file path=xl/ctrlProps/ctrlProp153.xml><?xml version="1.0" encoding="utf-8"?>
<formControlPr xmlns="http://schemas.microsoft.com/office/spreadsheetml/2009/9/main" objectType="CheckBox" fmlaLink="$W$541" lockText="1" noThreeD="1"/>
</file>

<file path=xl/ctrlProps/ctrlProp154.xml><?xml version="1.0" encoding="utf-8"?>
<formControlPr xmlns="http://schemas.microsoft.com/office/spreadsheetml/2009/9/main" objectType="CheckBox" fmlaLink="$W$545" lockText="1" noThreeD="1"/>
</file>

<file path=xl/ctrlProps/ctrlProp155.xml><?xml version="1.0" encoding="utf-8"?>
<formControlPr xmlns="http://schemas.microsoft.com/office/spreadsheetml/2009/9/main" objectType="CheckBox" fmlaLink="$W$550" lockText="1" noThreeD="1"/>
</file>

<file path=xl/ctrlProps/ctrlProp156.xml><?xml version="1.0" encoding="utf-8"?>
<formControlPr xmlns="http://schemas.microsoft.com/office/spreadsheetml/2009/9/main" objectType="CheckBox" fmlaLink="$W$554" lockText="1" noThreeD="1"/>
</file>

<file path=xl/ctrlProps/ctrlProp157.xml><?xml version="1.0" encoding="utf-8"?>
<formControlPr xmlns="http://schemas.microsoft.com/office/spreadsheetml/2009/9/main" objectType="CheckBox" fmlaLink="$W$556" lockText="1" noThreeD="1"/>
</file>

<file path=xl/ctrlProps/ctrlProp158.xml><?xml version="1.0" encoding="utf-8"?>
<formControlPr xmlns="http://schemas.microsoft.com/office/spreadsheetml/2009/9/main" objectType="CheckBox" fmlaLink="$W$558" lockText="1" noThreeD="1"/>
</file>

<file path=xl/ctrlProps/ctrlProp159.xml><?xml version="1.0" encoding="utf-8"?>
<formControlPr xmlns="http://schemas.microsoft.com/office/spreadsheetml/2009/9/main" objectType="CheckBox" fmlaLink="$W$559" lockText="1" noThreeD="1"/>
</file>

<file path=xl/ctrlProps/ctrlProp160.xml><?xml version="1.0" encoding="utf-8"?>
<formControlPr xmlns="http://schemas.microsoft.com/office/spreadsheetml/2009/9/main" objectType="CheckBox" fmlaLink="$W$560" lockText="1" noThreeD="1"/>
</file>

<file path=xl/ctrlProps/ctrlProp161.xml><?xml version="1.0" encoding="utf-8"?>
<formControlPr xmlns="http://schemas.microsoft.com/office/spreadsheetml/2009/9/main" objectType="CheckBox" fmlaLink="$W$564" lockText="1" noThreeD="1"/>
</file>

<file path=xl/ctrlProps/ctrlProp162.xml><?xml version="1.0" encoding="utf-8"?>
<formControlPr xmlns="http://schemas.microsoft.com/office/spreadsheetml/2009/9/main" objectType="CheckBox" checked="Checked" fmlaLink="$W$300" lockText="1" noThreeD="1"/>
</file>

<file path=xl/ctrlProps/ctrlProp163.xml><?xml version="1.0" encoding="utf-8"?>
<formControlPr xmlns="http://schemas.microsoft.com/office/spreadsheetml/2009/9/main" objectType="CheckBox" fmlaLink="$W$244" lockText="1" noThreeD="1"/>
</file>

<file path=xl/ctrlProps/ctrlProp164.xml><?xml version="1.0" encoding="utf-8"?>
<formControlPr xmlns="http://schemas.microsoft.com/office/spreadsheetml/2009/9/main" objectType="CheckBox" checked="Checked" fmlaLink="$W$19" lockText="1" noThreeD="1"/>
</file>

<file path=xl/ctrlProps/ctrlProp165.xml><?xml version="1.0" encoding="utf-8"?>
<formControlPr xmlns="http://schemas.microsoft.com/office/spreadsheetml/2009/9/main" objectType="CheckBox" fmlaLink="$W$38" lockText="1" noThreeD="1"/>
</file>

<file path=xl/ctrlProps/ctrlProp166.xml><?xml version="1.0" encoding="utf-8"?>
<formControlPr xmlns="http://schemas.microsoft.com/office/spreadsheetml/2009/9/main" objectType="CheckBox" checked="Checked" fmlaLink="$W$28" lockText="1" noThreeD="1"/>
</file>

<file path=xl/ctrlProps/ctrlProp167.xml><?xml version="1.0" encoding="utf-8"?>
<formControlPr xmlns="http://schemas.microsoft.com/office/spreadsheetml/2009/9/main" objectType="CheckBox" checked="Checked" fmlaLink="$W$31" lockText="1" noThreeD="1"/>
</file>

<file path=xl/ctrlProps/ctrlProp168.xml><?xml version="1.0" encoding="utf-8"?>
<formControlPr xmlns="http://schemas.microsoft.com/office/spreadsheetml/2009/9/main" objectType="CheckBox" checked="Checked" fmlaLink="$W$34" lockText="1" noThreeD="1"/>
</file>

<file path=xl/ctrlProps/ctrlProp169.xml><?xml version="1.0" encoding="utf-8"?>
<formControlPr xmlns="http://schemas.microsoft.com/office/spreadsheetml/2009/9/main" objectType="CheckBox" fmlaLink="$W$78" lockText="1" noThreeD="1"/>
</file>

<file path=xl/ctrlProps/ctrlProp170.xml><?xml version="1.0" encoding="utf-8"?>
<formControlPr xmlns="http://schemas.microsoft.com/office/spreadsheetml/2009/9/main" objectType="CheckBox" fmlaLink="$W$81" lockText="1" noThreeD="1"/>
</file>

<file path=xl/ctrlProps/ctrlProp171.xml><?xml version="1.0" encoding="utf-8"?>
<formControlPr xmlns="http://schemas.microsoft.com/office/spreadsheetml/2009/9/main" objectType="CheckBox" fmlaLink="$W$126" lockText="1" noThreeD="1"/>
</file>

<file path=xl/ctrlProps/ctrlProp172.xml><?xml version="1.0" encoding="utf-8"?>
<formControlPr xmlns="http://schemas.microsoft.com/office/spreadsheetml/2009/9/main" objectType="CheckBox" checked="Checked" fmlaLink="$W$12" lockText="1" noThreeD="1"/>
</file>

<file path=xl/ctrlProps/ctrlProp173.xml><?xml version="1.0" encoding="utf-8"?>
<formControlPr xmlns="http://schemas.microsoft.com/office/spreadsheetml/2009/9/main" objectType="CheckBox" checked="Checked" fmlaLink="$W$124" lockText="1" noThreeD="1"/>
</file>

<file path=xl/ctrlProps/ctrlProp174.xml><?xml version="1.0" encoding="utf-8"?>
<formControlPr xmlns="http://schemas.microsoft.com/office/spreadsheetml/2009/9/main" objectType="CheckBox" fmlaLink="$W$178" lockText="1" noThreeD="1"/>
</file>

<file path=xl/ctrlProps/ctrlProp175.xml><?xml version="1.0" encoding="utf-8"?>
<formControlPr xmlns="http://schemas.microsoft.com/office/spreadsheetml/2009/9/main" objectType="CheckBox" fmlaLink="$W$187" lockText="1" noThreeD="1"/>
</file>

<file path=xl/ctrlProps/ctrlProp176.xml><?xml version="1.0" encoding="utf-8"?>
<formControlPr xmlns="http://schemas.microsoft.com/office/spreadsheetml/2009/9/main" objectType="CheckBox" fmlaLink="$W$245" lockText="1" noThreeD="1"/>
</file>

<file path=xl/ctrlProps/ctrlProp177.xml><?xml version="1.0" encoding="utf-8"?>
<formControlPr xmlns="http://schemas.microsoft.com/office/spreadsheetml/2009/9/main" objectType="CheckBox" fmlaLink="$W$289" lockText="1" noThreeD="1"/>
</file>

<file path=xl/ctrlProps/ctrlProp178.xml><?xml version="1.0" encoding="utf-8"?>
<formControlPr xmlns="http://schemas.microsoft.com/office/spreadsheetml/2009/9/main" objectType="CheckBox" fmlaLink="$W$292" lockText="1" noThreeD="1"/>
</file>

<file path=xl/ctrlProps/ctrlProp179.xml><?xml version="1.0" encoding="utf-8"?>
<formControlPr xmlns="http://schemas.microsoft.com/office/spreadsheetml/2009/9/main" objectType="CheckBox" fmlaLink="$W$302" lockText="1" noThreeD="1"/>
</file>

<file path=xl/ctrlProps/ctrlProp180.xml><?xml version="1.0" encoding="utf-8"?>
<formControlPr xmlns="http://schemas.microsoft.com/office/spreadsheetml/2009/9/main" objectType="CheckBox" fmlaLink="$W$309" lockText="1" noThreeD="1"/>
</file>

<file path=xl/ctrlProps/ctrlProp181.xml><?xml version="1.0" encoding="utf-8"?>
<formControlPr xmlns="http://schemas.microsoft.com/office/spreadsheetml/2009/9/main" objectType="CheckBox" fmlaLink="$W$314" lockText="1" noThreeD="1"/>
</file>

<file path=xl/ctrlProps/ctrlProp182.xml><?xml version="1.0" encoding="utf-8"?>
<formControlPr xmlns="http://schemas.microsoft.com/office/spreadsheetml/2009/9/main" objectType="CheckBox" fmlaLink="$W$315" lockText="1" noThreeD="1"/>
</file>

<file path=xl/ctrlProps/ctrlProp183.xml><?xml version="1.0" encoding="utf-8"?>
<formControlPr xmlns="http://schemas.microsoft.com/office/spreadsheetml/2009/9/main" objectType="CheckBox" fmlaLink="$W$317" lockText="1" noThreeD="1"/>
</file>

<file path=xl/ctrlProps/ctrlProp184.xml><?xml version="1.0" encoding="utf-8"?>
<formControlPr xmlns="http://schemas.microsoft.com/office/spreadsheetml/2009/9/main" objectType="CheckBox" fmlaLink="$W$318" lockText="1" noThreeD="1"/>
</file>

<file path=xl/ctrlProps/ctrlProp185.xml><?xml version="1.0" encoding="utf-8"?>
<formControlPr xmlns="http://schemas.microsoft.com/office/spreadsheetml/2009/9/main" objectType="CheckBox" fmlaLink="$W$320" lockText="1" noThreeD="1"/>
</file>

<file path=xl/ctrlProps/ctrlProp186.xml><?xml version="1.0" encoding="utf-8"?>
<formControlPr xmlns="http://schemas.microsoft.com/office/spreadsheetml/2009/9/main" objectType="CheckBox" fmlaLink="$W$380" lockText="1" noThreeD="1"/>
</file>

<file path=xl/ctrlProps/ctrlProp187.xml><?xml version="1.0" encoding="utf-8"?>
<formControlPr xmlns="http://schemas.microsoft.com/office/spreadsheetml/2009/9/main" objectType="CheckBox" fmlaLink="$W$382" lockText="1" noThreeD="1"/>
</file>

<file path=xl/ctrlProps/ctrlProp188.xml><?xml version="1.0" encoding="utf-8"?>
<formControlPr xmlns="http://schemas.microsoft.com/office/spreadsheetml/2009/9/main" objectType="CheckBox" fmlaLink="$W$384" lockText="1" noThreeD="1"/>
</file>

<file path=xl/ctrlProps/ctrlProp189.xml><?xml version="1.0" encoding="utf-8"?>
<formControlPr xmlns="http://schemas.microsoft.com/office/spreadsheetml/2009/9/main" objectType="CheckBox" fmlaLink="$W$407" lockText="1" noThreeD="1"/>
</file>

<file path=xl/ctrlProps/ctrlProp190.xml><?xml version="1.0" encoding="utf-8"?>
<formControlPr xmlns="http://schemas.microsoft.com/office/spreadsheetml/2009/9/main" objectType="CheckBox" fmlaLink="$W$409" lockText="1" noThreeD="1"/>
</file>

<file path=xl/ctrlProps/ctrlProp191.xml><?xml version="1.0" encoding="utf-8"?>
<formControlPr xmlns="http://schemas.microsoft.com/office/spreadsheetml/2009/9/main" objectType="CheckBox" fmlaLink="$W$411" lockText="1" noThreeD="1"/>
</file>

<file path=xl/ctrlProps/ctrlProp192.xml><?xml version="1.0" encoding="utf-8"?>
<formControlPr xmlns="http://schemas.microsoft.com/office/spreadsheetml/2009/9/main" objectType="CheckBox" fmlaLink="$W$414" lockText="1" noThreeD="1"/>
</file>

<file path=xl/ctrlProps/ctrlProp193.xml><?xml version="1.0" encoding="utf-8"?>
<formControlPr xmlns="http://schemas.microsoft.com/office/spreadsheetml/2009/9/main" objectType="CheckBox" fmlaLink="$W$415" lockText="1" noThreeD="1"/>
</file>

<file path=xl/ctrlProps/ctrlProp194.xml><?xml version="1.0" encoding="utf-8"?>
<formControlPr xmlns="http://schemas.microsoft.com/office/spreadsheetml/2009/9/main" objectType="CheckBox" fmlaLink="$W$416" lockText="1" noThreeD="1"/>
</file>

<file path=xl/ctrlProps/ctrlProp195.xml><?xml version="1.0" encoding="utf-8"?>
<formControlPr xmlns="http://schemas.microsoft.com/office/spreadsheetml/2009/9/main" objectType="CheckBox" fmlaLink="$W$419" lockText="1" noThreeD="1"/>
</file>

<file path=xl/ctrlProps/ctrlProp196.xml><?xml version="1.0" encoding="utf-8"?>
<formControlPr xmlns="http://schemas.microsoft.com/office/spreadsheetml/2009/9/main" objectType="CheckBox" fmlaLink="$W$447" lockText="1" noThreeD="1"/>
</file>

<file path=xl/ctrlProps/ctrlProp197.xml><?xml version="1.0" encoding="utf-8"?>
<formControlPr xmlns="http://schemas.microsoft.com/office/spreadsheetml/2009/9/main" objectType="CheckBox" fmlaLink="$W$455" lockText="1" noThreeD="1"/>
</file>

<file path=xl/ctrlProps/ctrlProp198.xml><?xml version="1.0" encoding="utf-8"?>
<formControlPr xmlns="http://schemas.microsoft.com/office/spreadsheetml/2009/9/main" objectType="CheckBox" fmlaLink="$W$457" lockText="1" noThreeD="1"/>
</file>

<file path=xl/ctrlProps/ctrlProp199.xml><?xml version="1.0" encoding="utf-8"?>
<formControlPr xmlns="http://schemas.microsoft.com/office/spreadsheetml/2009/9/main" objectType="CheckBox" fmlaLink="$W$458" lockText="1" noThreeD="1"/>
</file>

<file path=xl/ctrlProps/ctrlProp200.xml><?xml version="1.0" encoding="utf-8"?>
<formControlPr xmlns="http://schemas.microsoft.com/office/spreadsheetml/2009/9/main" objectType="CheckBox" fmlaLink="$W$459" lockText="1" noThreeD="1"/>
</file>

<file path=xl/ctrlProps/ctrlProp201.xml><?xml version="1.0" encoding="utf-8"?>
<formControlPr xmlns="http://schemas.microsoft.com/office/spreadsheetml/2009/9/main" objectType="CheckBox" fmlaLink="$W$461" lockText="1" noThreeD="1"/>
</file>

<file path=xl/ctrlProps/ctrlProp202.xml><?xml version="1.0" encoding="utf-8"?>
<formControlPr xmlns="http://schemas.microsoft.com/office/spreadsheetml/2009/9/main" objectType="CheckBox" fmlaLink="$W$463" lockText="1" noThreeD="1"/>
</file>

<file path=xl/ctrlProps/ctrlProp203.xml><?xml version="1.0" encoding="utf-8"?>
<formControlPr xmlns="http://schemas.microsoft.com/office/spreadsheetml/2009/9/main" objectType="CheckBox" fmlaLink="$W$465" lockText="1" noThreeD="1"/>
</file>

<file path=xl/ctrlProps/ctrlProp204.xml><?xml version="1.0" encoding="utf-8"?>
<formControlPr xmlns="http://schemas.microsoft.com/office/spreadsheetml/2009/9/main" objectType="CheckBox" fmlaLink="$W$470" lockText="1" noThreeD="1"/>
</file>

<file path=xl/ctrlProps/ctrlProp205.xml><?xml version="1.0" encoding="utf-8"?>
<formControlPr xmlns="http://schemas.microsoft.com/office/spreadsheetml/2009/9/main" objectType="CheckBox" fmlaLink="$W$472" lockText="1" noThreeD="1"/>
</file>

<file path=xl/ctrlProps/ctrlProp206.xml><?xml version="1.0" encoding="utf-8"?>
<formControlPr xmlns="http://schemas.microsoft.com/office/spreadsheetml/2009/9/main" objectType="CheckBox" fmlaLink="$W$474" lockText="1" noThreeD="1"/>
</file>

<file path=xl/ctrlProps/ctrlProp207.xml><?xml version="1.0" encoding="utf-8"?>
<formControlPr xmlns="http://schemas.microsoft.com/office/spreadsheetml/2009/9/main" objectType="CheckBox" fmlaLink="$W$476" lockText="1" noThreeD="1"/>
</file>

<file path=xl/ctrlProps/ctrlProp208.xml><?xml version="1.0" encoding="utf-8"?>
<formControlPr xmlns="http://schemas.microsoft.com/office/spreadsheetml/2009/9/main" objectType="CheckBox" fmlaLink="$W$509" lockText="1" noThreeD="1"/>
</file>

<file path=xl/ctrlProps/ctrlProp209.xml><?xml version="1.0" encoding="utf-8"?>
<formControlPr xmlns="http://schemas.microsoft.com/office/spreadsheetml/2009/9/main" objectType="CheckBox" fmlaLink="$W$527" lockText="1" noThreeD="1"/>
</file>

<file path=xl/ctrlProps/ctrlProp210.xml><?xml version="1.0" encoding="utf-8"?>
<formControlPr xmlns="http://schemas.microsoft.com/office/spreadsheetml/2009/9/main" objectType="CheckBox" fmlaLink="$W$530" lockText="1" noThreeD="1"/>
</file>

<file path=xl/ctrlProps/ctrlProp211.xml><?xml version="1.0" encoding="utf-8"?>
<formControlPr xmlns="http://schemas.microsoft.com/office/spreadsheetml/2009/9/main" objectType="CheckBox" fmlaLink="$W$535" lockText="1" noThreeD="1"/>
</file>

<file path=xl/ctrlProps/ctrlProp212.xml><?xml version="1.0" encoding="utf-8"?>
<formControlPr xmlns="http://schemas.microsoft.com/office/spreadsheetml/2009/9/main" objectType="CheckBox" fmlaLink="$W$536" lockText="1" noThreeD="1"/>
</file>

<file path=xl/ctrlProps/ctrlProp213.xml><?xml version="1.0" encoding="utf-8"?>
<formControlPr xmlns="http://schemas.microsoft.com/office/spreadsheetml/2009/9/main" objectType="CheckBox" fmlaLink="$W$546" lockText="1" noThreeD="1"/>
</file>

<file path=xl/ctrlProps/ctrlProp214.xml><?xml version="1.0" encoding="utf-8"?>
<formControlPr xmlns="http://schemas.microsoft.com/office/spreadsheetml/2009/9/main" objectType="CheckBox" fmlaLink="$W$579" lockText="1" noThreeD="1"/>
</file>

<file path=xl/ctrlProps/ctrlProp215.xml><?xml version="1.0" encoding="utf-8"?>
<formControlPr xmlns="http://schemas.microsoft.com/office/spreadsheetml/2009/9/main" objectType="CheckBox" fmlaLink="$W$596" lockText="1" noThreeD="1"/>
</file>

<file path=xl/ctrlProps/ctrlProp216.xml><?xml version="1.0" encoding="utf-8"?>
<formControlPr xmlns="http://schemas.microsoft.com/office/spreadsheetml/2009/9/main" objectType="CheckBox" fmlaLink="$W$598" lockText="1" noThreeD="1"/>
</file>

<file path=xl/ctrlProps/ctrlProp217.xml><?xml version="1.0" encoding="utf-8"?>
<formControlPr xmlns="http://schemas.microsoft.com/office/spreadsheetml/2009/9/main" objectType="CheckBox" fmlaLink="$W$608" lockText="1" noThreeD="1"/>
</file>

<file path=xl/ctrlProps/ctrlProp218.xml><?xml version="1.0" encoding="utf-8"?>
<formControlPr xmlns="http://schemas.microsoft.com/office/spreadsheetml/2009/9/main" objectType="CheckBox" fmlaLink="$W$610" lockText="1" noThreeD="1"/>
</file>

<file path=xl/ctrlProps/ctrlProp219.xml><?xml version="1.0" encoding="utf-8"?>
<formControlPr xmlns="http://schemas.microsoft.com/office/spreadsheetml/2009/9/main" objectType="CheckBox" fmlaLink="$W$612" lockText="1" noThreeD="1"/>
</file>

<file path=xl/ctrlProps/ctrlProp220.xml><?xml version="1.0" encoding="utf-8"?>
<formControlPr xmlns="http://schemas.microsoft.com/office/spreadsheetml/2009/9/main" objectType="CheckBox" fmlaLink="$W$619" lockText="1" noThreeD="1"/>
</file>

<file path=xl/ctrlProps/ctrlProp221.xml><?xml version="1.0" encoding="utf-8"?>
<formControlPr xmlns="http://schemas.microsoft.com/office/spreadsheetml/2009/9/main" objectType="CheckBox" fmlaLink="$W$620" lockText="1" noThreeD="1"/>
</file>

<file path=xl/ctrlProps/ctrlProp222.xml><?xml version="1.0" encoding="utf-8"?>
<formControlPr xmlns="http://schemas.microsoft.com/office/spreadsheetml/2009/9/main" objectType="CheckBox" fmlaLink="$W$621" lockText="1" noThreeD="1"/>
</file>

<file path=xl/ctrlProps/ctrlProp223.xml><?xml version="1.0" encoding="utf-8"?>
<formControlPr xmlns="http://schemas.microsoft.com/office/spreadsheetml/2009/9/main" objectType="CheckBox" fmlaLink="$W$622" lockText="1" noThreeD="1"/>
</file>

<file path=xl/ctrlProps/ctrlProp224.xml><?xml version="1.0" encoding="utf-8"?>
<formControlPr xmlns="http://schemas.microsoft.com/office/spreadsheetml/2009/9/main" objectType="CheckBox" fmlaLink="$W$624" lockText="1" noThreeD="1"/>
</file>

<file path=xl/ctrlProps/ctrlProp225.xml><?xml version="1.0" encoding="utf-8"?>
<formControlPr xmlns="http://schemas.microsoft.com/office/spreadsheetml/2009/9/main" objectType="CheckBox" fmlaLink="$W$627" lockText="1" noThreeD="1"/>
</file>

<file path=xl/ctrlProps/ctrlProp226.xml><?xml version="1.0" encoding="utf-8"?>
<formControlPr xmlns="http://schemas.microsoft.com/office/spreadsheetml/2009/9/main" objectType="CheckBox" fmlaLink="$W$643" lockText="1" noThreeD="1"/>
</file>

<file path=xl/ctrlProps/ctrlProp227.xml><?xml version="1.0" encoding="utf-8"?>
<formControlPr xmlns="http://schemas.microsoft.com/office/spreadsheetml/2009/9/main" objectType="CheckBox" fmlaLink="$W$644" lockText="1" noThreeD="1"/>
</file>

<file path=xl/ctrlProps/ctrlProp228.xml><?xml version="1.0" encoding="utf-8"?>
<formControlPr xmlns="http://schemas.microsoft.com/office/spreadsheetml/2009/9/main" objectType="CheckBox" fmlaLink="$W$645" lockText="1" noThreeD="1"/>
</file>

<file path=xl/ctrlProps/ctrlProp229.xml><?xml version="1.0" encoding="utf-8"?>
<formControlPr xmlns="http://schemas.microsoft.com/office/spreadsheetml/2009/9/main" objectType="CheckBox" fmlaLink="$W$646" lockText="1" noThreeD="1"/>
</file>

<file path=xl/ctrlProps/ctrlProp230.xml><?xml version="1.0" encoding="utf-8"?>
<formControlPr xmlns="http://schemas.microsoft.com/office/spreadsheetml/2009/9/main" objectType="CheckBox" fmlaLink="$W$647" lockText="1" noThreeD="1"/>
</file>

<file path=xl/ctrlProps/ctrlProp231.xml><?xml version="1.0" encoding="utf-8"?>
<formControlPr xmlns="http://schemas.microsoft.com/office/spreadsheetml/2009/9/main" objectType="CheckBox" fmlaLink="$W$648" lockText="1" noThreeD="1"/>
</file>

<file path=xl/ctrlProps/ctrlProp232.xml><?xml version="1.0" encoding="utf-8"?>
<formControlPr xmlns="http://schemas.microsoft.com/office/spreadsheetml/2009/9/main" objectType="CheckBox" fmlaLink="$W$649" lockText="1" noThreeD="1"/>
</file>

<file path=xl/ctrlProps/ctrlProp233.xml><?xml version="1.0" encoding="utf-8"?>
<formControlPr xmlns="http://schemas.microsoft.com/office/spreadsheetml/2009/9/main" objectType="CheckBox" fmlaLink="$W$650" lockText="1" noThreeD="1"/>
</file>

<file path=xl/ctrlProps/ctrlProp234.xml><?xml version="1.0" encoding="utf-8"?>
<formControlPr xmlns="http://schemas.microsoft.com/office/spreadsheetml/2009/9/main" objectType="CheckBox" fmlaLink="$W$657" lockText="1" noThreeD="1"/>
</file>

<file path=xl/ctrlProps/ctrlProp235.xml><?xml version="1.0" encoding="utf-8"?>
<formControlPr xmlns="http://schemas.microsoft.com/office/spreadsheetml/2009/9/main" objectType="CheckBox" fmlaLink="$W$659" lockText="1" noThreeD="1"/>
</file>

<file path=xl/ctrlProps/ctrlProp236.xml><?xml version="1.0" encoding="utf-8"?>
<formControlPr xmlns="http://schemas.microsoft.com/office/spreadsheetml/2009/9/main" objectType="CheckBox" fmlaLink="$W$661" lockText="1" noThreeD="1"/>
</file>

<file path=xl/ctrlProps/ctrlProp237.xml><?xml version="1.0" encoding="utf-8"?>
<formControlPr xmlns="http://schemas.microsoft.com/office/spreadsheetml/2009/9/main" objectType="CheckBox" fmlaLink="$W$678" lockText="1" noThreeD="1"/>
</file>

<file path=xl/ctrlProps/ctrlProp238.xml><?xml version="1.0" encoding="utf-8"?>
<formControlPr xmlns="http://schemas.microsoft.com/office/spreadsheetml/2009/9/main" objectType="CheckBox" fmlaLink="$W$684" lockText="1" noThreeD="1"/>
</file>

<file path=xl/ctrlProps/ctrlProp239.xml><?xml version="1.0" encoding="utf-8"?>
<formControlPr xmlns="http://schemas.microsoft.com/office/spreadsheetml/2009/9/main" objectType="CheckBox" fmlaLink="$W$685" lockText="1" noThreeD="1"/>
</file>

<file path=xl/ctrlProps/ctrlProp240.xml><?xml version="1.0" encoding="utf-8"?>
<formControlPr xmlns="http://schemas.microsoft.com/office/spreadsheetml/2009/9/main" objectType="CheckBox" fmlaLink="$W$686" lockText="1" noThreeD="1"/>
</file>

<file path=xl/ctrlProps/ctrlProp241.xml><?xml version="1.0" encoding="utf-8"?>
<formControlPr xmlns="http://schemas.microsoft.com/office/spreadsheetml/2009/9/main" objectType="CheckBox" fmlaLink="$W$694" lockText="1" noThreeD="1"/>
</file>

<file path=xl/ctrlProps/ctrlProp242.xml><?xml version="1.0" encoding="utf-8"?>
<formControlPr xmlns="http://schemas.microsoft.com/office/spreadsheetml/2009/9/main" objectType="CheckBox" fmlaLink="$W$541" lockText="1" noThreeD="1"/>
</file>

<file path=xl/ctrlProps/ctrlProp243.xml><?xml version="1.0" encoding="utf-8"?>
<formControlPr xmlns="http://schemas.microsoft.com/office/spreadsheetml/2009/9/main" objectType="CheckBox" fmlaLink="$W$544" lockText="1" noThreeD="1"/>
</file>

<file path=xl/ctrlProps/ctrlProp244.xml><?xml version="1.0" encoding="utf-8"?>
<formControlPr xmlns="http://schemas.microsoft.com/office/spreadsheetml/2009/9/main" objectType="CheckBox" fmlaLink="$W$555" lockText="1" noThreeD="1"/>
</file>

<file path=xl/ctrlProps/ctrlProp245.xml><?xml version="1.0" encoding="utf-8"?>
<formControlPr xmlns="http://schemas.microsoft.com/office/spreadsheetml/2009/9/main" objectType="CheckBox" fmlaLink="$W$557" lockText="1" noThreeD="1"/>
</file>

<file path=xl/ctrlProps/ctrlProp246.xml><?xml version="1.0" encoding="utf-8"?>
<formControlPr xmlns="http://schemas.microsoft.com/office/spreadsheetml/2009/9/main" objectType="CheckBox" fmlaLink="$W$664" lockText="1" noThreeD="1"/>
</file>

<file path=xl/ctrlProps/ctrlProp247.xml><?xml version="1.0" encoding="utf-8"?>
<formControlPr xmlns="http://schemas.microsoft.com/office/spreadsheetml/2009/9/main" objectType="CheckBox" fmlaLink="$W$689" lockText="1" noThreeD="1"/>
</file>

<file path=xl/ctrlProps/ctrlProp248.xml><?xml version="1.0" encoding="utf-8"?>
<formControlPr xmlns="http://schemas.microsoft.com/office/spreadsheetml/2009/9/main" objectType="CheckBox" fmlaLink="$W$699" lockText="1" noThreeD="1"/>
</file>

<file path=xl/ctrlProps/ctrlProp249.xml><?xml version="1.0" encoding="utf-8"?>
<formControlPr xmlns="http://schemas.microsoft.com/office/spreadsheetml/2009/9/main" objectType="CheckBox" fmlaLink="$W$701" lockText="1" noThreeD="1"/>
</file>

<file path=xl/ctrlProps/ctrlProp250.xml><?xml version="1.0" encoding="utf-8"?>
<formControlPr xmlns="http://schemas.microsoft.com/office/spreadsheetml/2009/9/main" objectType="CheckBox" fmlaLink="$W$710" lockText="1" noThreeD="1"/>
</file>

<file path=xl/ctrlProps/ctrlProp251.xml><?xml version="1.0" encoding="utf-8"?>
<formControlPr xmlns="http://schemas.microsoft.com/office/spreadsheetml/2009/9/main" objectType="CheckBox" fmlaLink="$W$714" lockText="1" noThreeD="1"/>
</file>

<file path=xl/ctrlProps/ctrlProp252.xml><?xml version="1.0" encoding="utf-8"?>
<formControlPr xmlns="http://schemas.microsoft.com/office/spreadsheetml/2009/9/main" objectType="CheckBox" fmlaLink="$W$719" lockText="1" noThreeD="1"/>
</file>

<file path=xl/ctrlProps/ctrlProp253.xml><?xml version="1.0" encoding="utf-8"?>
<formControlPr xmlns="http://schemas.microsoft.com/office/spreadsheetml/2009/9/main" objectType="CheckBox" fmlaLink="$W$720" lockText="1" noThreeD="1"/>
</file>

<file path=xl/ctrlProps/ctrlProp254.xml><?xml version="1.0" encoding="utf-8"?>
<formControlPr xmlns="http://schemas.microsoft.com/office/spreadsheetml/2009/9/main" objectType="CheckBox" fmlaLink="$W$585" lockText="1" noThreeD="1"/>
</file>

<file path=xl/ctrlProps/ctrlProp255.xml><?xml version="1.0" encoding="utf-8"?>
<formControlPr xmlns="http://schemas.microsoft.com/office/spreadsheetml/2009/9/main" objectType="CheckBox" fmlaLink="$W$587" lockText="1" noThreeD="1"/>
</file>

<file path=xl/ctrlProps/ctrlProp256.xml><?xml version="1.0" encoding="utf-8"?>
<formControlPr xmlns="http://schemas.microsoft.com/office/spreadsheetml/2009/9/main" objectType="CheckBox" checked="Checked" fmlaLink="$W$56" lockText="1" noThreeD="1"/>
</file>

<file path=xl/ctrlProps/ctrlProp257.xml><?xml version="1.0" encoding="utf-8"?>
<formControlPr xmlns="http://schemas.microsoft.com/office/spreadsheetml/2009/9/main" objectType="CheckBox" fmlaLink="$W$262" lockText="1" noThreeD="1"/>
</file>

<file path=xl/ctrlProps/ctrlProp258.xml><?xml version="1.0" encoding="utf-8"?>
<formControlPr xmlns="http://schemas.microsoft.com/office/spreadsheetml/2009/9/main" objectType="CheckBox" fmlaLink="$W$265" lockText="1" noThreeD="1"/>
</file>

<file path=xl/ctrlProps/ctrlProp259.xml><?xml version="1.0" encoding="utf-8"?>
<formControlPr xmlns="http://schemas.microsoft.com/office/spreadsheetml/2009/9/main" objectType="CheckBox" fmlaLink="$W$267" lockText="1" noThreeD="1"/>
</file>

<file path=xl/ctrlProps/ctrlProp260.xml><?xml version="1.0" encoding="utf-8"?>
<formControlPr xmlns="http://schemas.microsoft.com/office/spreadsheetml/2009/9/main" objectType="CheckBox" fmlaLink="$W$253" lockText="1" noThreeD="1"/>
</file>

<file path=xl/ctrlProps/ctrlProp261.xml><?xml version="1.0" encoding="utf-8"?>
<formControlPr xmlns="http://schemas.microsoft.com/office/spreadsheetml/2009/9/main" objectType="CheckBox" fmlaLink="$W$225" lockText="1" noThreeD="1"/>
</file>

<file path=xl/ctrlProps/ctrlProp262.xml><?xml version="1.0" encoding="utf-8"?>
<formControlPr xmlns="http://schemas.microsoft.com/office/spreadsheetml/2009/9/main" objectType="CheckBox" fmlaLink="$W$202" lockText="1" noThreeD="1"/>
</file>

<file path=xl/ctrlProps/ctrlProp263.xml><?xml version="1.0" encoding="utf-8"?>
<formControlPr xmlns="http://schemas.microsoft.com/office/spreadsheetml/2009/9/main" objectType="CheckBox" fmlaLink="$W$175" lockText="1" noThreeD="1"/>
</file>

<file path=xl/ctrlProps/ctrlProp264.xml><?xml version="1.0" encoding="utf-8"?>
<formControlPr xmlns="http://schemas.microsoft.com/office/spreadsheetml/2009/9/main" objectType="CheckBox" fmlaLink="$W$171" lockText="1" noThreeD="1"/>
</file>

<file path=xl/ctrlProps/ctrlProp265.xml><?xml version="1.0" encoding="utf-8"?>
<formControlPr xmlns="http://schemas.microsoft.com/office/spreadsheetml/2009/9/main" objectType="CheckBox" fmlaLink="$W$169" lockText="1" noThreeD="1"/>
</file>

<file path=xl/ctrlProps/ctrlProp266.xml><?xml version="1.0" encoding="utf-8"?>
<formControlPr xmlns="http://schemas.microsoft.com/office/spreadsheetml/2009/9/main" objectType="CheckBox" fmlaLink="$W$165" lockText="1" noThreeD="1"/>
</file>

<file path=xl/ctrlProps/ctrlProp267.xml><?xml version="1.0" encoding="utf-8"?>
<formControlPr xmlns="http://schemas.microsoft.com/office/spreadsheetml/2009/9/main" objectType="CheckBox" fmlaLink="$W$164" lockText="1" noThreeD="1"/>
</file>

<file path=xl/ctrlProps/ctrlProp268.xml><?xml version="1.0" encoding="utf-8"?>
<formControlPr xmlns="http://schemas.microsoft.com/office/spreadsheetml/2009/9/main" objectType="CheckBox" fmlaLink="$W$163" lockText="1" noThreeD="1"/>
</file>

<file path=xl/ctrlProps/ctrlProp269.xml><?xml version="1.0" encoding="utf-8"?>
<formControlPr xmlns="http://schemas.microsoft.com/office/spreadsheetml/2009/9/main" objectType="CheckBox" fmlaLink="$W$159" lockText="1" noThreeD="1"/>
</file>

<file path=xl/ctrlProps/ctrlProp270.xml><?xml version="1.0" encoding="utf-8"?>
<formControlPr xmlns="http://schemas.microsoft.com/office/spreadsheetml/2009/9/main" objectType="CheckBox" fmlaLink="$W$154" lockText="1" noThreeD="1"/>
</file>

<file path=xl/ctrlProps/ctrlProp271.xml><?xml version="1.0" encoding="utf-8"?>
<formControlPr xmlns="http://schemas.microsoft.com/office/spreadsheetml/2009/9/main" objectType="CheckBox" fmlaLink="$W$152" lockText="1" noThreeD="1"/>
</file>

<file path=xl/ctrlProps/ctrlProp272.xml><?xml version="1.0" encoding="utf-8"?>
<formControlPr xmlns="http://schemas.microsoft.com/office/spreadsheetml/2009/9/main" objectType="CheckBox" checked="Checked" fmlaLink="$W$145" lockText="1" noThreeD="1"/>
</file>

<file path=xl/ctrlProps/ctrlProp273.xml><?xml version="1.0" encoding="utf-8"?>
<formControlPr xmlns="http://schemas.microsoft.com/office/spreadsheetml/2009/9/main" objectType="CheckBox" checked="Checked" fmlaLink="$W$72" lockText="1" noThreeD="1"/>
</file>

<file path=xl/ctrlProps/ctrlProp274.xml><?xml version="1.0" encoding="utf-8"?>
<formControlPr xmlns="http://schemas.microsoft.com/office/spreadsheetml/2009/9/main" objectType="CheckBox" fmlaLink="$W$67" lockText="1" noThreeD="1"/>
</file>

<file path=xl/ctrlProps/ctrlProp275.xml><?xml version="1.0" encoding="utf-8"?>
<formControlPr xmlns="http://schemas.microsoft.com/office/spreadsheetml/2009/9/main" objectType="CheckBox" fmlaLink="$W$177" lockText="1" noThreeD="1"/>
</file>

<file path=xl/ctrlProps/ctrlProp276.xml><?xml version="1.0" encoding="utf-8"?>
<formControlPr xmlns="http://schemas.microsoft.com/office/spreadsheetml/2009/9/main" objectType="CheckBox" fmlaLink="$W$179" lockText="1" noThreeD="1"/>
</file>

<file path=xl/ctrlProps/ctrlProp277.xml><?xml version="1.0" encoding="utf-8"?>
<formControlPr xmlns="http://schemas.microsoft.com/office/spreadsheetml/2009/9/main" objectType="CheckBox" fmlaLink="$W$180" lockText="1" noThreeD="1"/>
</file>

<file path=xl/ctrlProps/ctrlProp278.xml><?xml version="1.0" encoding="utf-8"?>
<formControlPr xmlns="http://schemas.microsoft.com/office/spreadsheetml/2009/9/main" objectType="CheckBox" fmlaLink="$W$182" lockText="1" noThreeD="1"/>
</file>

<file path=xl/ctrlProps/ctrlProp279.xml><?xml version="1.0" encoding="utf-8"?>
<formControlPr xmlns="http://schemas.microsoft.com/office/spreadsheetml/2009/9/main" objectType="CheckBox" fmlaLink="$W$245" lockText="1" noThreeD="1"/>
</file>

<file path=xl/ctrlProps/ctrlProp280.xml><?xml version="1.0" encoding="utf-8"?>
<formControlPr xmlns="http://schemas.microsoft.com/office/spreadsheetml/2009/9/main" objectType="CheckBox" fmlaLink="$W$12" lockText="1" noThreeD="1"/>
</file>

<file path=xl/ctrlProps/ctrlProp281.xml><?xml version="1.0" encoding="utf-8"?>
<formControlPr xmlns="http://schemas.microsoft.com/office/spreadsheetml/2009/9/main" objectType="CheckBox" fmlaLink="$W$18" lockText="1" noThreeD="1"/>
</file>

<file path=xl/ctrlProps/ctrlProp282.xml><?xml version="1.0" encoding="utf-8"?>
<formControlPr xmlns="http://schemas.microsoft.com/office/spreadsheetml/2009/9/main" objectType="CheckBox" fmlaLink="$W$34" lockText="1" noThreeD="1"/>
</file>

<file path=xl/ctrlProps/ctrlProp283.xml><?xml version="1.0" encoding="utf-8"?>
<formControlPr xmlns="http://schemas.microsoft.com/office/spreadsheetml/2009/9/main" objectType="CheckBox" checked="Checked" fmlaLink="$W$55" lockText="1" noThreeD="1"/>
</file>

<file path=xl/ctrlProps/ctrlProp284.xml><?xml version="1.0" encoding="utf-8"?>
<formControlPr xmlns="http://schemas.microsoft.com/office/spreadsheetml/2009/9/main" objectType="CheckBox" checked="Checked" fmlaLink="$W$68" lockText="1" noThreeD="1"/>
</file>

<file path=xl/ctrlProps/ctrlProp285.xml><?xml version="1.0" encoding="utf-8"?>
<formControlPr xmlns="http://schemas.microsoft.com/office/spreadsheetml/2009/9/main" objectType="CheckBox" fmlaLink="$W$62" lockText="1" noThreeD="1"/>
</file>

<file path=xl/ctrlProps/ctrlProp286.xml><?xml version="1.0" encoding="utf-8"?>
<formControlPr xmlns="http://schemas.microsoft.com/office/spreadsheetml/2009/9/main" objectType="CheckBox" fmlaLink="$W$92" lockText="1" noThreeD="1"/>
</file>

<file path=xl/ctrlProps/ctrlProp287.xml><?xml version="1.0" encoding="utf-8"?>
<formControlPr xmlns="http://schemas.microsoft.com/office/spreadsheetml/2009/9/main" objectType="CheckBox" fmlaLink="$W$94" lockText="1" noThreeD="1"/>
</file>

<file path=xl/ctrlProps/ctrlProp288.xml><?xml version="1.0" encoding="utf-8"?>
<formControlPr xmlns="http://schemas.microsoft.com/office/spreadsheetml/2009/9/main" objectType="CheckBox" checked="Checked" fmlaLink="$W$97" lockText="1" noThreeD="1"/>
</file>

<file path=xl/ctrlProps/ctrlProp289.xml><?xml version="1.0" encoding="utf-8"?>
<formControlPr xmlns="http://schemas.microsoft.com/office/spreadsheetml/2009/9/main" objectType="CheckBox" fmlaLink="$W$121" lockText="1" noThreeD="1"/>
</file>

<file path=xl/ctrlProps/ctrlProp290.xml><?xml version="1.0" encoding="utf-8"?>
<formControlPr xmlns="http://schemas.microsoft.com/office/spreadsheetml/2009/9/main" objectType="CheckBox" fmlaLink="$W$133" lockText="1" noThreeD="1"/>
</file>

<file path=xl/ctrlProps/ctrlProp291.xml><?xml version="1.0" encoding="utf-8"?>
<formControlPr xmlns="http://schemas.microsoft.com/office/spreadsheetml/2009/9/main" objectType="CheckBox" fmlaLink="$W$135" lockText="1" noThreeD="1"/>
</file>

<file path=xl/ctrlProps/ctrlProp292.xml><?xml version="1.0" encoding="utf-8"?>
<formControlPr xmlns="http://schemas.microsoft.com/office/spreadsheetml/2009/9/main" objectType="CheckBox" checked="Checked" fmlaLink="$W$136" lockText="1" noThreeD="1"/>
</file>

<file path=xl/ctrlProps/ctrlProp293.xml><?xml version="1.0" encoding="utf-8"?>
<formControlPr xmlns="http://schemas.microsoft.com/office/spreadsheetml/2009/9/main" objectType="CheckBox" fmlaLink="$W$143" lockText="1" noThreeD="1"/>
</file>

<file path=xl/ctrlProps/ctrlProp294.xml><?xml version="1.0" encoding="utf-8"?>
<formControlPr xmlns="http://schemas.microsoft.com/office/spreadsheetml/2009/9/main" objectType="CheckBox" fmlaLink="$W$156" lockText="1" noThreeD="1"/>
</file>

<file path=xl/ctrlProps/ctrlProp295.xml><?xml version="1.0" encoding="utf-8"?>
<formControlPr xmlns="http://schemas.microsoft.com/office/spreadsheetml/2009/9/main" objectType="CheckBox" fmlaLink="$W$161" lockText="1" noThreeD="1"/>
</file>

<file path=xl/ctrlProps/ctrlProp296.xml><?xml version="1.0" encoding="utf-8"?>
<formControlPr xmlns="http://schemas.microsoft.com/office/spreadsheetml/2009/9/main" objectType="CheckBox" fmlaLink="$W$162" lockText="1" noThreeD="1"/>
</file>

<file path=xl/ctrlProps/ctrlProp297.xml><?xml version="1.0" encoding="utf-8"?>
<formControlPr xmlns="http://schemas.microsoft.com/office/spreadsheetml/2009/9/main" objectType="CheckBox" fmlaLink="$W$166" lockText="1" noThreeD="1"/>
</file>

<file path=xl/ctrlProps/ctrlProp298.xml><?xml version="1.0" encoding="utf-8"?>
<formControlPr xmlns="http://schemas.microsoft.com/office/spreadsheetml/2009/9/main" objectType="CheckBox" fmlaLink="$W$181" lockText="1" noThreeD="1"/>
</file>

<file path=xl/ctrlProps/ctrlProp299.xml><?xml version="1.0" encoding="utf-8"?>
<formControlPr xmlns="http://schemas.microsoft.com/office/spreadsheetml/2009/9/main" objectType="CheckBox" fmlaLink="$W$182" lockText="1" noThreeD="1"/>
</file>

<file path=xl/ctrlProps/ctrlProp300.xml><?xml version="1.0" encoding="utf-8"?>
<formControlPr xmlns="http://schemas.microsoft.com/office/spreadsheetml/2009/9/main" objectType="CheckBox" fmlaLink="$W$185" lockText="1" noThreeD="1"/>
</file>

<file path=xl/ctrlProps/ctrlProp301.xml><?xml version="1.0" encoding="utf-8"?>
<formControlPr xmlns="http://schemas.microsoft.com/office/spreadsheetml/2009/9/main" objectType="CheckBox" fmlaLink="$W$187" lockText="1" noThreeD="1"/>
</file>

<file path=xl/ctrlProps/ctrlProp302.xml><?xml version="1.0" encoding="utf-8"?>
<formControlPr xmlns="http://schemas.microsoft.com/office/spreadsheetml/2009/9/main" objectType="CheckBox" checked="Checked" fmlaLink="$W$195" lockText="1" noThreeD="1"/>
</file>

<file path=xl/ctrlProps/ctrlProp303.xml><?xml version="1.0" encoding="utf-8"?>
<formControlPr xmlns="http://schemas.microsoft.com/office/spreadsheetml/2009/9/main" objectType="CheckBox" fmlaLink="$W$197" lockText="1" noThreeD="1"/>
</file>

<file path=xl/ctrlProps/ctrlProp304.xml><?xml version="1.0" encoding="utf-8"?>
<formControlPr xmlns="http://schemas.microsoft.com/office/spreadsheetml/2009/9/main" objectType="CheckBox" fmlaLink="$W$201" lockText="1" noThreeD="1"/>
</file>

<file path=xl/ctrlProps/ctrlProp305.xml><?xml version="1.0" encoding="utf-8"?>
<formControlPr xmlns="http://schemas.microsoft.com/office/spreadsheetml/2009/9/main" objectType="CheckBox" fmlaLink="$W$208" lockText="1" noThreeD="1"/>
</file>

<file path=xl/ctrlProps/ctrlProp306.xml><?xml version="1.0" encoding="utf-8"?>
<formControlPr xmlns="http://schemas.microsoft.com/office/spreadsheetml/2009/9/main" objectType="CheckBox" fmlaLink="$W$219" lockText="1" noThreeD="1"/>
</file>

<file path=xl/ctrlProps/ctrlProp307.xml><?xml version="1.0" encoding="utf-8"?>
<formControlPr xmlns="http://schemas.microsoft.com/office/spreadsheetml/2009/9/main" objectType="CheckBox" fmlaLink="$W$221" lockText="1" noThreeD="1"/>
</file>

<file path=xl/ctrlProps/ctrlProp308.xml><?xml version="1.0" encoding="utf-8"?>
<formControlPr xmlns="http://schemas.microsoft.com/office/spreadsheetml/2009/9/main" objectType="CheckBox" fmlaLink="$W$223" lockText="1" noThreeD="1"/>
</file>

<file path=xl/ctrlProps/ctrlProp309.xml><?xml version="1.0" encoding="utf-8"?>
<formControlPr xmlns="http://schemas.microsoft.com/office/spreadsheetml/2009/9/main" objectType="CheckBox" fmlaLink="$W$241" lockText="1" noThreeD="1"/>
</file>

<file path=xl/ctrlProps/ctrlProp310.xml><?xml version="1.0" encoding="utf-8"?>
<formControlPr xmlns="http://schemas.microsoft.com/office/spreadsheetml/2009/9/main" objectType="CheckBox" fmlaLink="$W$243" lockText="1" noThreeD="1"/>
</file>

<file path=xl/ctrlProps/ctrlProp311.xml><?xml version="1.0" encoding="utf-8"?>
<formControlPr xmlns="http://schemas.microsoft.com/office/spreadsheetml/2009/9/main" objectType="CheckBox" fmlaLink="$W$246" lockText="1" noThreeD="1"/>
</file>

<file path=xl/ctrlProps/ctrlProp312.xml><?xml version="1.0" encoding="utf-8"?>
<formControlPr xmlns="http://schemas.microsoft.com/office/spreadsheetml/2009/9/main" objectType="CheckBox" fmlaLink="$W$329" lockText="1" noThreeD="1"/>
</file>

<file path=xl/ctrlProps/ctrlProp313.xml><?xml version="1.0" encoding="utf-8"?>
<formControlPr xmlns="http://schemas.microsoft.com/office/spreadsheetml/2009/9/main" objectType="CheckBox" fmlaLink="$W$331" lockText="1" noThreeD="1"/>
</file>

<file path=xl/ctrlProps/ctrlProp314.xml><?xml version="1.0" encoding="utf-8"?>
<formControlPr xmlns="http://schemas.microsoft.com/office/spreadsheetml/2009/9/main" objectType="CheckBox" fmlaLink="$W$337" lockText="1" noThreeD="1"/>
</file>

<file path=xl/ctrlProps/ctrlProp315.xml><?xml version="1.0" encoding="utf-8"?>
<formControlPr xmlns="http://schemas.microsoft.com/office/spreadsheetml/2009/9/main" objectType="CheckBox" checked="Checked" fmlaLink="$W$339" lockText="1" noThreeD="1"/>
</file>

<file path=xl/ctrlProps/ctrlProp316.xml><?xml version="1.0" encoding="utf-8"?>
<formControlPr xmlns="http://schemas.microsoft.com/office/spreadsheetml/2009/9/main" objectType="CheckBox" fmlaLink="$W$353" lockText="1" noThreeD="1"/>
</file>

<file path=xl/ctrlProps/ctrlProp317.xml><?xml version="1.0" encoding="utf-8"?>
<formControlPr xmlns="http://schemas.microsoft.com/office/spreadsheetml/2009/9/main" objectType="CheckBox" fmlaLink="$W$354" lockText="1" noThreeD="1"/>
</file>

<file path=xl/ctrlProps/ctrlProp318.xml><?xml version="1.0" encoding="utf-8"?>
<formControlPr xmlns="http://schemas.microsoft.com/office/spreadsheetml/2009/9/main" objectType="CheckBox" fmlaLink="$W$359" lockText="1" noThreeD="1"/>
</file>

<file path=xl/ctrlProps/ctrlProp319.xml><?xml version="1.0" encoding="utf-8"?>
<formControlPr xmlns="http://schemas.microsoft.com/office/spreadsheetml/2009/9/main" objectType="CheckBox" fmlaLink="$W$364" lockText="1" noThreeD="1"/>
</file>

<file path=xl/ctrlProps/ctrlProp320.xml><?xml version="1.0" encoding="utf-8"?>
<formControlPr xmlns="http://schemas.microsoft.com/office/spreadsheetml/2009/9/main" objectType="CheckBox" fmlaLink="$W$380" lockText="1" noThreeD="1"/>
</file>

<file path=xl/ctrlProps/ctrlProp321.xml><?xml version="1.0" encoding="utf-8"?>
<formControlPr xmlns="http://schemas.microsoft.com/office/spreadsheetml/2009/9/main" objectType="CheckBox" fmlaLink="$W$385" lockText="1" noThreeD="1"/>
</file>

<file path=xl/ctrlProps/ctrlProp322.xml><?xml version="1.0" encoding="utf-8"?>
<formControlPr xmlns="http://schemas.microsoft.com/office/spreadsheetml/2009/9/main" objectType="CheckBox" fmlaLink="$W$138" lockText="1" noThreeD="1"/>
</file>

<file path=xl/ctrlProps/ctrlProp323.xml><?xml version="1.0" encoding="utf-8"?>
<formControlPr xmlns="http://schemas.microsoft.com/office/spreadsheetml/2009/9/main" objectType="CheckBox" checked="Checked" fmlaLink="$W$189" lockText="1" noThreeD="1"/>
</file>

<file path=xl/ctrlProps/ctrlProp324.xml><?xml version="1.0" encoding="utf-8"?>
<formControlPr xmlns="http://schemas.microsoft.com/office/spreadsheetml/2009/9/main" objectType="CheckBox" fmlaLink="$W$226" lockText="1" noThreeD="1"/>
</file>

<file path=xl/ctrlProps/ctrlProp325.xml><?xml version="1.0" encoding="utf-8"?>
<formControlPr xmlns="http://schemas.microsoft.com/office/spreadsheetml/2009/9/main" objectType="CheckBox" checked="Checked" fmlaLink="$W$249" lockText="1" noThreeD="1"/>
</file>

<file path=xl/ctrlProps/ctrlProp326.xml><?xml version="1.0" encoding="utf-8"?>
<formControlPr xmlns="http://schemas.microsoft.com/office/spreadsheetml/2009/9/main" objectType="CheckBox" fmlaLink="$W$300" lockText="1" noThreeD="1"/>
</file>

<file path=xl/ctrlProps/ctrlProp327.xml><?xml version="1.0" encoding="utf-8"?>
<formControlPr xmlns="http://schemas.microsoft.com/office/spreadsheetml/2009/9/main" objectType="CheckBox" fmlaLink="$W$302" lockText="1" noThreeD="1"/>
</file>

<file path=xl/ctrlProps/ctrlProp328.xml><?xml version="1.0" encoding="utf-8"?>
<formControlPr xmlns="http://schemas.microsoft.com/office/spreadsheetml/2009/9/main" objectType="CheckBox" fmlaLink="$W$325" lockText="1" noThreeD="1"/>
</file>

<file path=xl/ctrlProps/ctrlProp329.xml><?xml version="1.0" encoding="utf-8"?>
<formControlPr xmlns="http://schemas.microsoft.com/office/spreadsheetml/2009/9/main" objectType="CheckBox" fmlaLink="$W$334" lockText="1" noThreeD="1"/>
</file>

<file path=xl/ctrlProps/ctrlProp330.xml><?xml version="1.0" encoding="utf-8"?>
<formControlPr xmlns="http://schemas.microsoft.com/office/spreadsheetml/2009/9/main" objectType="CheckBox" checked="Checked" fmlaLink="$W$369" lockText="1" noThreeD="1"/>
</file>

<file path=xl/ctrlProps/ctrlProp331.xml><?xml version="1.0" encoding="utf-8"?>
<formControlPr xmlns="http://schemas.microsoft.com/office/spreadsheetml/2009/9/main" objectType="CheckBox" checked="Checked" fmlaLink="$W$376" lockText="1" noThreeD="1"/>
</file>

<file path=xl/ctrlProps/ctrlProp332.xml><?xml version="1.0" encoding="utf-8"?>
<formControlPr xmlns="http://schemas.microsoft.com/office/spreadsheetml/2009/9/main" objectType="CheckBox" fmlaLink="$W$388" lockText="1" noThreeD="1"/>
</file>

<file path=xl/ctrlProps/ctrlProp333.xml><?xml version="1.0" encoding="utf-8"?>
<formControlPr xmlns="http://schemas.microsoft.com/office/spreadsheetml/2009/9/main" objectType="CheckBox" fmlaLink="$W$389" lockText="1" noThreeD="1"/>
</file>

<file path=xl/ctrlProps/ctrlProp334.xml><?xml version="1.0" encoding="utf-8"?>
<formControlPr xmlns="http://schemas.microsoft.com/office/spreadsheetml/2009/9/main" objectType="CheckBox" fmlaLink="$W$391" lockText="1" noThreeD="1"/>
</file>

<file path=xl/ctrlProps/ctrlProp335.xml><?xml version="1.0" encoding="utf-8"?>
<formControlPr xmlns="http://schemas.microsoft.com/office/spreadsheetml/2009/9/main" objectType="CheckBox" fmlaLink="$W$396" lockText="1" noThreeD="1"/>
</file>

<file path=xl/ctrlProps/ctrlProp336.xml><?xml version="1.0" encoding="utf-8"?>
<formControlPr xmlns="http://schemas.microsoft.com/office/spreadsheetml/2009/9/main" objectType="CheckBox" fmlaLink="$W$171" lockText="1" noThreeD="1"/>
</file>

<file path=xl/ctrlProps/ctrlProp337.xml><?xml version="1.0" encoding="utf-8"?>
<formControlPr xmlns="http://schemas.microsoft.com/office/spreadsheetml/2009/9/main" objectType="CheckBox" fmlaLink="$W$15" lockText="1" noThreeD="1"/>
</file>

<file path=xl/ctrlProps/ctrlProp338.xml><?xml version="1.0" encoding="utf-8"?>
<formControlPr xmlns="http://schemas.microsoft.com/office/spreadsheetml/2009/9/main" objectType="CheckBox" fmlaLink="$W$16" lockText="1" noThreeD="1"/>
</file>

<file path=xl/ctrlProps/ctrlProp339.xml><?xml version="1.0" encoding="utf-8"?>
<formControlPr xmlns="http://schemas.microsoft.com/office/spreadsheetml/2009/9/main" objectType="CheckBox" fmlaLink="$W$17" lockText="1" noThreeD="1"/>
</file>

<file path=xl/ctrlProps/ctrlProp340.xml><?xml version="1.0" encoding="utf-8"?>
<formControlPr xmlns="http://schemas.microsoft.com/office/spreadsheetml/2009/9/main" objectType="CheckBox" fmlaLink="$W$21" lockText="1" noThreeD="1"/>
</file>

<file path=xl/ctrlProps/ctrlProp341.xml><?xml version="1.0" encoding="utf-8"?>
<formControlPr xmlns="http://schemas.microsoft.com/office/spreadsheetml/2009/9/main" objectType="CheckBox" fmlaLink="$W$22" lockText="1" noThreeD="1"/>
</file>

<file path=xl/ctrlProps/ctrlProp342.xml><?xml version="1.0" encoding="utf-8"?>
<formControlPr xmlns="http://schemas.microsoft.com/office/spreadsheetml/2009/9/main" objectType="CheckBox" fmlaLink="$W$23" lockText="1" noThreeD="1"/>
</file>

<file path=xl/ctrlProps/ctrlProp343.xml><?xml version="1.0" encoding="utf-8"?>
<formControlPr xmlns="http://schemas.microsoft.com/office/spreadsheetml/2009/9/main" objectType="CheckBox" fmlaLink="$W$25" lockText="1" noThreeD="1"/>
</file>

<file path=xl/ctrlProps/ctrlProp344.xml><?xml version="1.0" encoding="utf-8"?>
<formControlPr xmlns="http://schemas.microsoft.com/office/spreadsheetml/2009/9/main" objectType="CheckBox" fmlaLink="$W$27" lockText="1" noThreeD="1"/>
</file>

<file path=xl/ctrlProps/ctrlProp345.xml><?xml version="1.0" encoding="utf-8"?>
<formControlPr xmlns="http://schemas.microsoft.com/office/spreadsheetml/2009/9/main" objectType="CheckBox" fmlaLink="$W$28" lockText="1" noThreeD="1"/>
</file>

<file path=xl/ctrlProps/ctrlProp346.xml><?xml version="1.0" encoding="utf-8"?>
<formControlPr xmlns="http://schemas.microsoft.com/office/spreadsheetml/2009/9/main" objectType="CheckBox" fmlaLink="$W$30" lockText="1" noThreeD="1"/>
</file>

<file path=xl/ctrlProps/ctrlProp347.xml><?xml version="1.0" encoding="utf-8"?>
<formControlPr xmlns="http://schemas.microsoft.com/office/spreadsheetml/2009/9/main" objectType="CheckBox" fmlaLink="$W$31" lockText="1" noThreeD="1"/>
</file>

<file path=xl/ctrlProps/ctrlProp348.xml><?xml version="1.0" encoding="utf-8"?>
<formControlPr xmlns="http://schemas.microsoft.com/office/spreadsheetml/2009/9/main" objectType="CheckBox" fmlaLink="$W$32" lockText="1" noThreeD="1"/>
</file>

<file path=xl/ctrlProps/ctrlProp349.xml><?xml version="1.0" encoding="utf-8"?>
<formControlPr xmlns="http://schemas.microsoft.com/office/spreadsheetml/2009/9/main" objectType="CheckBox" fmlaLink="$W$38" lockText="1" noThreeD="1"/>
</file>

<file path=xl/ctrlProps/ctrlProp350.xml><?xml version="1.0" encoding="utf-8"?>
<formControlPr xmlns="http://schemas.microsoft.com/office/spreadsheetml/2009/9/main" objectType="CheckBox" fmlaLink="$W$42" lockText="1" noThreeD="1"/>
</file>

<file path=xl/ctrlProps/ctrlProp351.xml><?xml version="1.0" encoding="utf-8"?>
<formControlPr xmlns="http://schemas.microsoft.com/office/spreadsheetml/2009/9/main" objectType="CheckBox" fmlaLink="$W$44" lockText="1" noThreeD="1"/>
</file>

<file path=xl/ctrlProps/ctrlProp352.xml><?xml version="1.0" encoding="utf-8"?>
<formControlPr xmlns="http://schemas.microsoft.com/office/spreadsheetml/2009/9/main" objectType="CheckBox" fmlaLink="$W$46" lockText="1" noThreeD="1"/>
</file>

<file path=xl/ctrlProps/ctrlProp353.xml><?xml version="1.0" encoding="utf-8"?>
<formControlPr xmlns="http://schemas.microsoft.com/office/spreadsheetml/2009/9/main" objectType="CheckBox" fmlaLink="$W$47" lockText="1" noThreeD="1"/>
</file>

<file path=xl/ctrlProps/ctrlProp354.xml><?xml version="1.0" encoding="utf-8"?>
<formControlPr xmlns="http://schemas.microsoft.com/office/spreadsheetml/2009/9/main" objectType="CheckBox" fmlaLink="$W$49" lockText="1" noThreeD="1"/>
</file>

<file path=xl/ctrlProps/ctrlProp355.xml><?xml version="1.0" encoding="utf-8"?>
<formControlPr xmlns="http://schemas.microsoft.com/office/spreadsheetml/2009/9/main" objectType="CheckBox" fmlaLink="$W$51" lockText="1" noThreeD="1"/>
</file>

<file path=xl/ctrlProps/ctrlProp356.xml><?xml version="1.0" encoding="utf-8"?>
<formControlPr xmlns="http://schemas.microsoft.com/office/spreadsheetml/2009/9/main" objectType="CheckBox" fmlaLink="$W$52" lockText="1" noThreeD="1"/>
</file>

<file path=xl/ctrlProps/ctrlProp357.xml><?xml version="1.0" encoding="utf-8"?>
<formControlPr xmlns="http://schemas.microsoft.com/office/spreadsheetml/2009/9/main" objectType="CheckBox" fmlaLink="$W$54" lockText="1" noThreeD="1"/>
</file>

<file path=xl/ctrlProps/ctrlProp358.xml><?xml version="1.0" encoding="utf-8"?>
<formControlPr xmlns="http://schemas.microsoft.com/office/spreadsheetml/2009/9/main" objectType="CheckBox" fmlaLink="$W$56" lockText="1" noThreeD="1"/>
</file>

<file path=xl/ctrlProps/ctrlProp359.xml><?xml version="1.0" encoding="utf-8"?>
<formControlPr xmlns="http://schemas.microsoft.com/office/spreadsheetml/2009/9/main" objectType="CheckBox" fmlaLink="$W$62" lockText="1" noThreeD="1"/>
</file>

<file path=xl/ctrlProps/ctrlProp360.xml><?xml version="1.0" encoding="utf-8"?>
<formControlPr xmlns="http://schemas.microsoft.com/office/spreadsheetml/2009/9/main" objectType="CheckBox" checked="Checked" fmlaLink="$W$84" lockText="1" noThreeD="1"/>
</file>

<file path=xl/ctrlProps/ctrlProp361.xml><?xml version="1.0" encoding="utf-8"?>
<formControlPr xmlns="http://schemas.microsoft.com/office/spreadsheetml/2009/9/main" objectType="CheckBox" checked="Checked" fmlaLink="$W$87" lockText="1" noThreeD="1"/>
</file>

<file path=xl/ctrlProps/ctrlProp362.xml><?xml version="1.0" encoding="utf-8"?>
<formControlPr xmlns="http://schemas.microsoft.com/office/spreadsheetml/2009/9/main" objectType="CheckBox" checked="Checked" fmlaLink="$W$90" lockText="1" noThreeD="1"/>
</file>

<file path=xl/ctrlProps/ctrlProp363.xml><?xml version="1.0" encoding="utf-8"?>
<formControlPr xmlns="http://schemas.microsoft.com/office/spreadsheetml/2009/9/main" objectType="CheckBox" fmlaLink="$W$92" lockText="1" noThreeD="1"/>
</file>

<file path=xl/ctrlProps/ctrlProp364.xml><?xml version="1.0" encoding="utf-8"?>
<formControlPr xmlns="http://schemas.microsoft.com/office/spreadsheetml/2009/9/main" objectType="CheckBox" fmlaLink="$W$93" lockText="1" noThreeD="1"/>
</file>

<file path=xl/ctrlProps/ctrlProp365.xml><?xml version="1.0" encoding="utf-8"?>
<formControlPr xmlns="http://schemas.microsoft.com/office/spreadsheetml/2009/9/main" objectType="CheckBox" checked="Checked" fmlaLink="$W$95" lockText="1" noThreeD="1"/>
</file>

<file path=xl/ctrlProps/ctrlProp366.xml><?xml version="1.0" encoding="utf-8"?>
<formControlPr xmlns="http://schemas.microsoft.com/office/spreadsheetml/2009/9/main" objectType="CheckBox" checked="Checked" fmlaLink="$W$96" lockText="1" noThreeD="1"/>
</file>

<file path=xl/ctrlProps/ctrlProp367.xml><?xml version="1.0" encoding="utf-8"?>
<formControlPr xmlns="http://schemas.microsoft.com/office/spreadsheetml/2009/9/main" objectType="CheckBox" fmlaLink="$W$97" lockText="1" noThreeD="1"/>
</file>

<file path=xl/ctrlProps/ctrlProp368.xml><?xml version="1.0" encoding="utf-8"?>
<formControlPr xmlns="http://schemas.microsoft.com/office/spreadsheetml/2009/9/main" objectType="CheckBox" checked="Checked" fmlaLink="$W$103" lockText="1" noThreeD="1"/>
</file>

<file path=xl/ctrlProps/ctrlProp369.xml><?xml version="1.0" encoding="utf-8"?>
<formControlPr xmlns="http://schemas.microsoft.com/office/spreadsheetml/2009/9/main" objectType="CheckBox" checked="Checked" fmlaLink="$W$105" lockText="1" noThreeD="1"/>
</file>

<file path=xl/ctrlProps/ctrlProp370.xml><?xml version="1.0" encoding="utf-8"?>
<formControlPr xmlns="http://schemas.microsoft.com/office/spreadsheetml/2009/9/main" objectType="CheckBox" checked="Checked" fmlaLink="$W$108" lockText="1" noThreeD="1"/>
</file>

<file path=xl/ctrlProps/ctrlProp371.xml><?xml version="1.0" encoding="utf-8"?>
<formControlPr xmlns="http://schemas.microsoft.com/office/spreadsheetml/2009/9/main" objectType="CheckBox" checked="Checked" fmlaLink="$W$110" lockText="1" noThreeD="1"/>
</file>

<file path=xl/ctrlProps/ctrlProp372.xml><?xml version="1.0" encoding="utf-8"?>
<formControlPr xmlns="http://schemas.microsoft.com/office/spreadsheetml/2009/9/main" objectType="CheckBox" checked="Checked" fmlaLink="$W$113" lockText="1" noThreeD="1"/>
</file>

<file path=xl/ctrlProps/ctrlProp373.xml><?xml version="1.0" encoding="utf-8"?>
<formControlPr xmlns="http://schemas.microsoft.com/office/spreadsheetml/2009/9/main" objectType="CheckBox" checked="Checked" fmlaLink="$W$115" lockText="1" noThreeD="1"/>
</file>

<file path=xl/ctrlProps/ctrlProp374.xml><?xml version="1.0" encoding="utf-8"?>
<formControlPr xmlns="http://schemas.microsoft.com/office/spreadsheetml/2009/9/main" objectType="CheckBox" checked="Checked" fmlaLink="$W$116" lockText="1" noThreeD="1"/>
</file>

<file path=xl/ctrlProps/ctrlProp375.xml><?xml version="1.0" encoding="utf-8"?>
<formControlPr xmlns="http://schemas.microsoft.com/office/spreadsheetml/2009/9/main" objectType="CheckBox" checked="Checked" fmlaLink="$W$118" lockText="1" noThreeD="1"/>
</file>

<file path=xl/ctrlProps/ctrlProp376.xml><?xml version="1.0" encoding="utf-8"?>
<formControlPr xmlns="http://schemas.microsoft.com/office/spreadsheetml/2009/9/main" objectType="CheckBox" checked="Checked" fmlaLink="$W$120" lockText="1" noThreeD="1"/>
</file>

<file path=xl/ctrlProps/ctrlProp377.xml><?xml version="1.0" encoding="utf-8"?>
<formControlPr xmlns="http://schemas.microsoft.com/office/spreadsheetml/2009/9/main" objectType="CheckBox" checked="Checked" fmlaLink="$W$121" lockText="1" noThreeD="1"/>
</file>

<file path=xl/ctrlProps/ctrlProp378.xml><?xml version="1.0" encoding="utf-8"?>
<formControlPr xmlns="http://schemas.microsoft.com/office/spreadsheetml/2009/9/main" objectType="CheckBox" fmlaLink="$W$124" lockText="1" noThreeD="1"/>
</file>

<file path=xl/ctrlProps/ctrlProp379.xml><?xml version="1.0" encoding="utf-8"?>
<formControlPr xmlns="http://schemas.microsoft.com/office/spreadsheetml/2009/9/main" objectType="CheckBox" checked="Checked" fmlaLink="$W$130" lockText="1" noThreeD="1"/>
</file>

<file path=xl/ctrlProps/ctrlProp380.xml><?xml version="1.0" encoding="utf-8"?>
<formControlPr xmlns="http://schemas.microsoft.com/office/spreadsheetml/2009/9/main" objectType="CheckBox" checked="Checked" fmlaLink="$W$132" lockText="1" noThreeD="1"/>
</file>

<file path=xl/ctrlProps/ctrlProp381.xml><?xml version="1.0" encoding="utf-8"?>
<formControlPr xmlns="http://schemas.microsoft.com/office/spreadsheetml/2009/9/main" objectType="CheckBox" checked="Checked" fmlaLink="$W$136" lockText="1" noThreeD="1"/>
</file>

<file path=xl/ctrlProps/ctrlProp382.xml><?xml version="1.0" encoding="utf-8"?>
<formControlPr xmlns="http://schemas.microsoft.com/office/spreadsheetml/2009/9/main" objectType="CheckBox" checked="Checked" fmlaLink="$W$143" lockText="1" noThreeD="1"/>
</file>

<file path=xl/ctrlProps/ctrlProp383.xml><?xml version="1.0" encoding="utf-8"?>
<formControlPr xmlns="http://schemas.microsoft.com/office/spreadsheetml/2009/9/main" objectType="CheckBox" checked="Checked" fmlaLink="$W$145" lockText="1" noThreeD="1"/>
</file>

<file path=xl/ctrlProps/ctrlProp384.xml><?xml version="1.0" encoding="utf-8"?>
<formControlPr xmlns="http://schemas.microsoft.com/office/spreadsheetml/2009/9/main" objectType="CheckBox" checked="Checked" fmlaLink="$W$146" lockText="1" noThreeD="1"/>
</file>

<file path=xl/ctrlProps/ctrlProp385.xml><?xml version="1.0" encoding="utf-8"?>
<formControlPr xmlns="http://schemas.microsoft.com/office/spreadsheetml/2009/9/main" objectType="CheckBox" checked="Checked" fmlaLink="$W$148" lockText="1" noThreeD="1"/>
</file>

<file path=xl/ctrlProps/ctrlProp386.xml><?xml version="1.0" encoding="utf-8"?>
<formControlPr xmlns="http://schemas.microsoft.com/office/spreadsheetml/2009/9/main" objectType="CheckBox" checked="Checked" fmlaLink="$W$149" lockText="1" noThreeD="1"/>
</file>

<file path=xl/ctrlProps/ctrlProp387.xml><?xml version="1.0" encoding="utf-8"?>
<formControlPr xmlns="http://schemas.microsoft.com/office/spreadsheetml/2009/9/main" objectType="CheckBox" checked="Checked" fmlaLink="$W$150" lockText="1" noThreeD="1"/>
</file>

<file path=xl/ctrlProps/ctrlProp388.xml><?xml version="1.0" encoding="utf-8"?>
<formControlPr xmlns="http://schemas.microsoft.com/office/spreadsheetml/2009/9/main" objectType="CheckBox" checked="Checked" fmlaLink="$W$151" lockText="1" noThreeD="1"/>
</file>

<file path=xl/ctrlProps/ctrlProp389.xml><?xml version="1.0" encoding="utf-8"?>
<formControlPr xmlns="http://schemas.microsoft.com/office/spreadsheetml/2009/9/main" objectType="CheckBox" checked="Checked" fmlaLink="$W$154" lockText="1" noThreeD="1"/>
</file>

<file path=xl/ctrlProps/ctrlProp390.xml><?xml version="1.0" encoding="utf-8"?>
<formControlPr xmlns="http://schemas.microsoft.com/office/spreadsheetml/2009/9/main" objectType="CheckBox" fmlaLink="$W$195" lockText="1" noThreeD="1"/>
</file>

<file path=xl/ctrlProps/ctrlProp391.xml><?xml version="1.0" encoding="utf-8"?>
<formControlPr xmlns="http://schemas.microsoft.com/office/spreadsheetml/2009/9/main" objectType="CheckBox" fmlaLink="$W$197" lockText="1" noThreeD="1"/>
</file>

<file path=xl/ctrlProps/ctrlProp392.xml><?xml version="1.0" encoding="utf-8"?>
<formControlPr xmlns="http://schemas.microsoft.com/office/spreadsheetml/2009/9/main" objectType="CheckBox" fmlaLink="$W$200" lockText="1" noThreeD="1"/>
</file>

<file path=xl/ctrlProps/ctrlProp393.xml><?xml version="1.0" encoding="utf-8"?>
<formControlPr xmlns="http://schemas.microsoft.com/office/spreadsheetml/2009/9/main" objectType="CheckBox" fmlaLink="$W$60" lockText="1" noThreeD="1"/>
</file>

<file path=xl/ctrlProps/ctrlProp394.xml><?xml version="1.0" encoding="utf-8"?>
<formControlPr xmlns="http://schemas.microsoft.com/office/spreadsheetml/2009/9/main" objectType="CheckBox" fmlaLink="$W$61" lockText="1" noThreeD="1"/>
</file>

<file path=xl/ctrlProps/ctrlProp395.xml><?xml version="1.0" encoding="utf-8"?>
<formControlPr xmlns="http://schemas.microsoft.com/office/spreadsheetml/2009/9/main" objectType="CheckBox" fmlaLink="$W$58" lockText="1" noThreeD="1"/>
</file>

<file path=xl/ctrlProps/ctrlProp396.xml><?xml version="1.0" encoding="utf-8"?>
<formControlPr xmlns="http://schemas.microsoft.com/office/spreadsheetml/2009/9/main" objectType="CheckBox" fmlaLink="$W$152" lockText="1" noThreeD="1"/>
</file>

<file path=xl/ctrlProps/ctrlProp397.xml><?xml version="1.0" encoding="utf-8"?>
<formControlPr xmlns="http://schemas.microsoft.com/office/spreadsheetml/2009/9/main" objectType="CheckBox" checked="Checked" fmlaLink="$W$169" lockText="1" noThreeD="1"/>
</file>

<file path=xl/ctrlProps/ctrlProp398.xml><?xml version="1.0" encoding="utf-8"?>
<formControlPr xmlns="http://schemas.microsoft.com/office/spreadsheetml/2009/9/main" objectType="CheckBox" checked="Checked" fmlaLink="$W$170" lockText="1" noThreeD="1"/>
</file>

<file path=xl/ctrlProps/ctrlProp399.xml><?xml version="1.0" encoding="utf-8"?>
<formControlPr xmlns="http://schemas.microsoft.com/office/spreadsheetml/2009/9/main" objectType="CheckBox" checked="Checked" fmlaLink="$W$171" lockText="1" noThreeD="1"/>
</file>

<file path=xl/ctrlProps/ctrlProp400.xml><?xml version="1.0" encoding="utf-8"?>
<formControlPr xmlns="http://schemas.microsoft.com/office/spreadsheetml/2009/9/main" objectType="CheckBox" checked="Checked" fmlaLink="$W$173" lockText="1" noThreeD="1"/>
</file>

<file path=xl/ctrlProps/ctrlProp401.xml><?xml version="1.0" encoding="utf-8"?>
<formControlPr xmlns="http://schemas.microsoft.com/office/spreadsheetml/2009/9/main" objectType="CheckBox" checked="Checked" fmlaLink="$W$174" lockText="1" noThreeD="1"/>
</file>

<file path=xl/ctrlProps/ctrlProp402.xml><?xml version="1.0" encoding="utf-8"?>
<formControlPr xmlns="http://schemas.microsoft.com/office/spreadsheetml/2009/9/main" objectType="CheckBox" checked="Checked" fmlaLink="$W$175" lockText="1" noThreeD="1"/>
</file>

<file path=xl/ctrlProps/ctrlProp403.xml><?xml version="1.0" encoding="utf-8"?>
<formControlPr xmlns="http://schemas.microsoft.com/office/spreadsheetml/2009/9/main" objectType="CheckBox" checked="Checked" fmlaLink="$W$176" lockText="1" noThreeD="1"/>
</file>

<file path=xl/ctrlProps/ctrlProp404.xml><?xml version="1.0" encoding="utf-8"?>
<formControlPr xmlns="http://schemas.microsoft.com/office/spreadsheetml/2009/9/main" objectType="CheckBox" checked="Checked" fmlaLink="$W$177" lockText="1" noThreeD="1"/>
</file>

<file path=xl/ctrlProps/ctrlProp405.xml><?xml version="1.0" encoding="utf-8"?>
<formControlPr xmlns="http://schemas.microsoft.com/office/spreadsheetml/2009/9/main" objectType="CheckBox" checked="Checked" fmlaLink="$W$178" lockText="1" noThreeD="1"/>
</file>

<file path=xl/ctrlProps/ctrlProp406.xml><?xml version="1.0" encoding="utf-8"?>
<formControlPr xmlns="http://schemas.microsoft.com/office/spreadsheetml/2009/9/main" objectType="CheckBox" fmlaLink="$W$183" lockText="1" noThreeD="1"/>
</file>

<file path=xl/ctrlProps/ctrlProp407.xml><?xml version="1.0" encoding="utf-8"?>
<formControlPr xmlns="http://schemas.microsoft.com/office/spreadsheetml/2009/9/main" objectType="CheckBox" fmlaLink="$W$184" lockText="1" noThreeD="1"/>
</file>

<file path=xl/ctrlProps/ctrlProp408.xml><?xml version="1.0" encoding="utf-8"?>
<formControlPr xmlns="http://schemas.microsoft.com/office/spreadsheetml/2009/9/main" objectType="CheckBox" fmlaLink="$W$185" lockText="1" noThreeD="1"/>
</file>

<file path=xl/ctrlProps/ctrlProp409.xml><?xml version="1.0" encoding="utf-8"?>
<formControlPr xmlns="http://schemas.microsoft.com/office/spreadsheetml/2009/9/main" objectType="CheckBox" fmlaLink="$W$186" lockText="1" noThreeD="1"/>
</file>

<file path=xl/ctrlProps/ctrlProp410.xml><?xml version="1.0" encoding="utf-8"?>
<formControlPr xmlns="http://schemas.microsoft.com/office/spreadsheetml/2009/9/main" objectType="CheckBox" fmlaLink="$W$187" lockText="1" noThreeD="1"/>
</file>

<file path=xl/ctrlProps/ctrlProp411.xml><?xml version="1.0" encoding="utf-8"?>
<formControlPr xmlns="http://schemas.microsoft.com/office/spreadsheetml/2009/9/main" objectType="CheckBox" fmlaLink="$W$188" lockText="1" noThreeD="1"/>
</file>

<file path=xl/ctrlProps/ctrlProp412.xml><?xml version="1.0" encoding="utf-8"?>
<formControlPr xmlns="http://schemas.microsoft.com/office/spreadsheetml/2009/9/main" objectType="CheckBox" fmlaLink="$W$189" lockText="1" noThreeD="1"/>
</file>

<file path=xl/ctrlProps/ctrlProp413.xml><?xml version="1.0" encoding="utf-8"?>
<formControlPr xmlns="http://schemas.microsoft.com/office/spreadsheetml/2009/9/main" objectType="CheckBox" fmlaLink="$W$208" lockText="1" noThreeD="1"/>
</file>

<file path=xl/ctrlProps/ctrlProp414.xml><?xml version="1.0" encoding="utf-8"?>
<formControlPr xmlns="http://schemas.microsoft.com/office/spreadsheetml/2009/9/main" objectType="CheckBox" fmlaLink="$W$205" lockText="1" noThreeD="1"/>
</file>

<file path=xl/ctrlProps/ctrlProp415.xml><?xml version="1.0" encoding="utf-8"?>
<formControlPr xmlns="http://schemas.microsoft.com/office/spreadsheetml/2009/9/main" objectType="CheckBox" checked="Checked" fmlaLink="$I$10" lockText="1" noThreeD="1"/>
</file>

<file path=xl/ctrlProps/ctrlProp416.xml><?xml version="1.0" encoding="utf-8"?>
<formControlPr xmlns="http://schemas.microsoft.com/office/spreadsheetml/2009/9/main" objectType="CheckBox" checked="Checked" fmlaLink="$I$11" lockText="1" noThreeD="1"/>
</file>

<file path=xl/ctrlProps/ctrlProp417.xml><?xml version="1.0" encoding="utf-8"?>
<formControlPr xmlns="http://schemas.microsoft.com/office/spreadsheetml/2009/9/main" objectType="CheckBox" checked="Checked" fmlaLink="$I$12" lockText="1" noThreeD="1"/>
</file>

<file path=xl/ctrlProps/ctrlProp418.xml><?xml version="1.0" encoding="utf-8"?>
<formControlPr xmlns="http://schemas.microsoft.com/office/spreadsheetml/2009/9/main" objectType="CheckBox" checked="Checked" fmlaLink="$I$13" lockText="1" noThreeD="1"/>
</file>

<file path=xl/ctrlProps/ctrlProp419.xml><?xml version="1.0" encoding="utf-8"?>
<formControlPr xmlns="http://schemas.microsoft.com/office/spreadsheetml/2009/9/main" objectType="CheckBox" checked="Checked" fmlaLink="$I$14" lockText="1" noThreeD="1"/>
</file>

<file path=xl/ctrlProps/ctrlProp420.xml><?xml version="1.0" encoding="utf-8"?>
<formControlPr xmlns="http://schemas.microsoft.com/office/spreadsheetml/2009/9/main" objectType="CheckBox" checked="Checked" fmlaLink="$I$15" lockText="1" noThreeD="1"/>
</file>

<file path=xl/ctrlProps/ctrlProp421.xml><?xml version="1.0" encoding="utf-8"?>
<formControlPr xmlns="http://schemas.microsoft.com/office/spreadsheetml/2009/9/main" objectType="CheckBox" checked="Checked" fmlaLink="$I$16" lockText="1" noThreeD="1"/>
</file>

<file path=xl/ctrlProps/ctrlProp422.xml><?xml version="1.0" encoding="utf-8"?>
<formControlPr xmlns="http://schemas.microsoft.com/office/spreadsheetml/2009/9/main" objectType="CheckBox" checked="Checked" fmlaLink="$I$18" lockText="1" noThreeD="1"/>
</file>

<file path=xl/ctrlProps/ctrlProp423.xml><?xml version="1.0" encoding="utf-8"?>
<formControlPr xmlns="http://schemas.microsoft.com/office/spreadsheetml/2009/9/main" objectType="CheckBox" checked="Checked" fmlaLink="$I$19" lockText="1" noThreeD="1"/>
</file>

<file path=xl/ctrlProps/ctrlProp424.xml><?xml version="1.0" encoding="utf-8"?>
<formControlPr xmlns="http://schemas.microsoft.com/office/spreadsheetml/2009/9/main" objectType="CheckBox" checked="Checked" fmlaLink="$I$23" lockText="1" noThreeD="1"/>
</file>

<file path=xl/ctrlProps/ctrlProp425.xml><?xml version="1.0" encoding="utf-8"?>
<formControlPr xmlns="http://schemas.microsoft.com/office/spreadsheetml/2009/9/main" objectType="CheckBox" checked="Checked" fmlaLink="$I$25" lockText="1" noThreeD="1"/>
</file>

<file path=xl/ctrlProps/ctrlProp426.xml><?xml version="1.0" encoding="utf-8"?>
<formControlPr xmlns="http://schemas.microsoft.com/office/spreadsheetml/2009/9/main" objectType="CheckBox" checked="Checked" fmlaLink="$I$26" lockText="1" noThreeD="1"/>
</file>

<file path=xl/ctrlProps/ctrlProp427.xml><?xml version="1.0" encoding="utf-8"?>
<formControlPr xmlns="http://schemas.microsoft.com/office/spreadsheetml/2009/9/main" objectType="CheckBox" checked="Checked" fmlaLink="$I$32" lockText="1" noThreeD="1"/>
</file>

<file path=xl/ctrlProps/ctrlProp428.xml><?xml version="1.0" encoding="utf-8"?>
<formControlPr xmlns="http://schemas.microsoft.com/office/spreadsheetml/2009/9/main" objectType="CheckBox" checked="Checked" fmlaLink="$I$36" lockText="1" noThreeD="1"/>
</file>

<file path=xl/ctrlProps/ctrlProp429.xml><?xml version="1.0" encoding="utf-8"?>
<formControlPr xmlns="http://schemas.microsoft.com/office/spreadsheetml/2009/9/main" objectType="CheckBox" checked="Checked" fmlaLink="$I$38" lockText="1" noThreeD="1"/>
</file>

<file path=xl/ctrlProps/ctrlProp430.xml><?xml version="1.0" encoding="utf-8"?>
<formControlPr xmlns="http://schemas.microsoft.com/office/spreadsheetml/2009/9/main" objectType="CheckBox" checked="Checked" fmlaLink="$I$39" lockText="1" noThreeD="1"/>
</file>

<file path=xl/ctrlProps/ctrlProp431.xml><?xml version="1.0" encoding="utf-8"?>
<formControlPr xmlns="http://schemas.microsoft.com/office/spreadsheetml/2009/9/main" objectType="CheckBox" checked="Checked" fmlaLink="$I$40" lockText="1" noThreeD="1"/>
</file>

<file path=xl/ctrlProps/ctrlProp432.xml><?xml version="1.0" encoding="utf-8"?>
<formControlPr xmlns="http://schemas.microsoft.com/office/spreadsheetml/2009/9/main" objectType="CheckBox" checked="Checked" fmlaLink="$I$41" lockText="1" noThreeD="1"/>
</file>

<file path=xl/ctrlProps/ctrlProp433.xml><?xml version="1.0" encoding="utf-8"?>
<formControlPr xmlns="http://schemas.microsoft.com/office/spreadsheetml/2009/9/main" objectType="CheckBox" checked="Checked" fmlaLink="$I$52" lockText="1" noThreeD="1"/>
</file>

<file path=xl/ctrlProps/ctrlProp434.xml><?xml version="1.0" encoding="utf-8"?>
<formControlPr xmlns="http://schemas.microsoft.com/office/spreadsheetml/2009/9/main" objectType="CheckBox" checked="Checked" fmlaLink="$I$53" lockText="1" noThreeD="1"/>
</file>

<file path=xl/ctrlProps/ctrlProp435.xml><?xml version="1.0" encoding="utf-8"?>
<formControlPr xmlns="http://schemas.microsoft.com/office/spreadsheetml/2009/9/main" objectType="CheckBox" checked="Checked" fmlaLink="$I$54" lockText="1" noThreeD="1"/>
</file>

<file path=xl/ctrlProps/ctrlProp436.xml><?xml version="1.0" encoding="utf-8"?>
<formControlPr xmlns="http://schemas.microsoft.com/office/spreadsheetml/2009/9/main" objectType="CheckBox" checked="Checked" fmlaLink="$I$55" lockText="1" noThreeD="1"/>
</file>

<file path=xl/ctrlProps/ctrlProp437.xml><?xml version="1.0" encoding="utf-8"?>
<formControlPr xmlns="http://schemas.microsoft.com/office/spreadsheetml/2009/9/main" objectType="CheckBox" checked="Checked" fmlaLink="$I$56" lockText="1" noThreeD="1"/>
</file>

<file path=xl/ctrlProps/ctrlProp438.xml><?xml version="1.0" encoding="utf-8"?>
<formControlPr xmlns="http://schemas.microsoft.com/office/spreadsheetml/2009/9/main" objectType="CheckBox" checked="Checked" fmlaLink="$I$59" lockText="1" noThreeD="1"/>
</file>

<file path=xl/ctrlProps/ctrlProp439.xml><?xml version="1.0" encoding="utf-8"?>
<formControlPr xmlns="http://schemas.microsoft.com/office/spreadsheetml/2009/9/main" objectType="CheckBox" checked="Checked" fmlaLink="$I$60" lockText="1" noThreeD="1"/>
</file>

<file path=xl/ctrlProps/ctrlProp440.xml><?xml version="1.0" encoding="utf-8"?>
<formControlPr xmlns="http://schemas.microsoft.com/office/spreadsheetml/2009/9/main" objectType="CheckBox" checked="Checked" fmlaLink="$I$61" lockText="1" noThreeD="1"/>
</file>

<file path=xl/ctrlProps/ctrlProp441.xml><?xml version="1.0" encoding="utf-8"?>
<formControlPr xmlns="http://schemas.microsoft.com/office/spreadsheetml/2009/9/main" objectType="CheckBox" checked="Checked" fmlaLink="$I$62" lockText="1" noThreeD="1"/>
</file>

<file path=xl/ctrlProps/ctrlProp442.xml><?xml version="1.0" encoding="utf-8"?>
<formControlPr xmlns="http://schemas.microsoft.com/office/spreadsheetml/2009/9/main" objectType="CheckBox" checked="Checked" fmlaLink="$I$63" lockText="1" noThreeD="1"/>
</file>

<file path=xl/ctrlProps/ctrlProp443.xml><?xml version="1.0" encoding="utf-8"?>
<formControlPr xmlns="http://schemas.microsoft.com/office/spreadsheetml/2009/9/main" objectType="CheckBox" checked="Checked" fmlaLink="$I$65" lockText="1" noThreeD="1"/>
</file>

<file path=xl/ctrlProps/ctrlProp444.xml><?xml version="1.0" encoding="utf-8"?>
<formControlPr xmlns="http://schemas.microsoft.com/office/spreadsheetml/2009/9/main" objectType="CheckBox" checked="Checked" fmlaLink="$I$66" lockText="1" noThreeD="1"/>
</file>

<file path=xl/ctrlProps/ctrlProp445.xml><?xml version="1.0" encoding="utf-8"?>
<formControlPr xmlns="http://schemas.microsoft.com/office/spreadsheetml/2009/9/main" objectType="CheckBox" checked="Checked" fmlaLink="$I$27" lockText="1" noThreeD="1"/>
</file>

<file path=xl/ctrlProps/ctrlProp446.xml><?xml version="1.0" encoding="utf-8"?>
<formControlPr xmlns="http://schemas.microsoft.com/office/spreadsheetml/2009/9/main" objectType="CheckBox" checked="Checked" fmlaLink="$I$42" lockText="1" noThreeD="1"/>
</file>

<file path=xl/ctrlProps/ctrlProp447.xml><?xml version="1.0" encoding="utf-8"?>
<formControlPr xmlns="http://schemas.microsoft.com/office/spreadsheetml/2009/9/main" objectType="CheckBox" checked="Checked" fmlaLink="$I$43" lockText="1" noThreeD="1"/>
</file>

<file path=xl/ctrlProps/ctrlProp448.xml><?xml version="1.0" encoding="utf-8"?>
<formControlPr xmlns="http://schemas.microsoft.com/office/spreadsheetml/2009/9/main" objectType="CheckBox" checked="Checked" fmlaLink="$I$44" lockText="1" noThreeD="1"/>
</file>

<file path=xl/ctrlProps/ctrlProp449.xml><?xml version="1.0" encoding="utf-8"?>
<formControlPr xmlns="http://schemas.microsoft.com/office/spreadsheetml/2009/9/main" objectType="CheckBox" checked="Checked" fmlaLink="$I$45" lockText="1" noThreeD="1"/>
</file>

<file path=xl/ctrlProps/ctrlProp450.xml><?xml version="1.0" encoding="utf-8"?>
<formControlPr xmlns="http://schemas.microsoft.com/office/spreadsheetml/2009/9/main" objectType="CheckBox" checked="Checked" fmlaLink="$I$46" lockText="1" noThreeD="1"/>
</file>

<file path=xl/ctrlProps/ctrlProp451.xml><?xml version="1.0" encoding="utf-8"?>
<formControlPr xmlns="http://schemas.microsoft.com/office/spreadsheetml/2009/9/main" objectType="CheckBox" checked="Checked" fmlaLink="$I$48" lockText="1" noThreeD="1"/>
</file>

<file path=xl/ctrlProps/ctrlProp452.xml><?xml version="1.0" encoding="utf-8"?>
<formControlPr xmlns="http://schemas.microsoft.com/office/spreadsheetml/2009/9/main" objectType="CheckBox" checked="Checked" fmlaLink="$I$49" lockText="1" noThreeD="1"/>
</file>

<file path=xl/ctrlProps/ctrlProp453.xml><?xml version="1.0" encoding="utf-8"?>
<formControlPr xmlns="http://schemas.microsoft.com/office/spreadsheetml/2009/9/main" objectType="CheckBox" checked="Checked" fmlaLink="$I$50" lockText="1" noThreeD="1"/>
</file>

<file path=xl/ctrlProps/ctrlProp454.xml><?xml version="1.0" encoding="utf-8"?>
<formControlPr xmlns="http://schemas.microsoft.com/office/spreadsheetml/2009/9/main" objectType="CheckBox" checked="Checked" fmlaLink="$I$51" lockText="1" noThreeD="1"/>
</file>

<file path=xl/ctrlProps/ctrlProp455.xml><?xml version="1.0" encoding="utf-8"?>
<formControlPr xmlns="http://schemas.microsoft.com/office/spreadsheetml/2009/9/main" objectType="CheckBox" checked="Checked" fmlaLink="$I$29" lockText="1" noThreeD="1"/>
</file>

<file path=xl/ctrlProps/ctrlProp456.xml><?xml version="1.0" encoding="utf-8"?>
<formControlPr xmlns="http://schemas.microsoft.com/office/spreadsheetml/2009/9/main" objectType="CheckBox" checked="Checked" fmlaLink="$I$34" lockText="1" noThreeD="1"/>
</file>

<file path=xl/ctrlProps/ctrlProp457.xml><?xml version="1.0" encoding="utf-8"?>
<formControlPr xmlns="http://schemas.microsoft.com/office/spreadsheetml/2009/9/main" objectType="CheckBox" checked="Checked" fmlaLink="$I$35" lockText="1" noThreeD="1"/>
</file>

<file path=xl/ctrlProps/ctrlProp458.xml><?xml version="1.0" encoding="utf-8"?>
<formControlPr xmlns="http://schemas.microsoft.com/office/spreadsheetml/2009/9/main" objectType="CheckBox" checked="Checked" fmlaLink="$I$30" lockText="1" noThreeD="1"/>
</file>

<file path=xl/ctrlProps/ctrlProp459.xml><?xml version="1.0" encoding="utf-8"?>
<formControlPr xmlns="http://schemas.microsoft.com/office/spreadsheetml/2009/9/main" objectType="CheckBox" checked="Checked" fmlaLink="$I$31" lockText="1" noThreeD="1"/>
</file>

<file path=xl/ctrlProps/ctrlProp460.xml><?xml version="1.0" encoding="utf-8"?>
<formControlPr xmlns="http://schemas.microsoft.com/office/spreadsheetml/2009/9/main" objectType="CheckBox" checked="Checked" fmlaLink="$I$20" lockText="1" noThreeD="1"/>
</file>

<file path=xl/ctrlProps/ctrlProp461.xml><?xml version="1.0" encoding="utf-8"?>
<formControlPr xmlns="http://schemas.microsoft.com/office/spreadsheetml/2009/9/main" objectType="CheckBox" fmlaLink="$W$15" lockText="1" noThreeD="1"/>
</file>

<file path=xl/ctrlProps/ctrlProp462.xml><?xml version="1.0" encoding="utf-8"?>
<formControlPr xmlns="http://schemas.microsoft.com/office/spreadsheetml/2009/9/main" objectType="CheckBox" checked="Checked" fmlaLink="$W$17" lockText="1" noThreeD="1"/>
</file>

<file path=xl/ctrlProps/ctrlProp463.xml><?xml version="1.0" encoding="utf-8"?>
<formControlPr xmlns="http://schemas.microsoft.com/office/spreadsheetml/2009/9/main" objectType="CheckBox" fmlaLink="$W$19" lockText="1" noThreeD="1"/>
</file>

<file path=xl/ctrlProps/ctrlProp464.xml><?xml version="1.0" encoding="utf-8"?>
<formControlPr xmlns="http://schemas.microsoft.com/office/spreadsheetml/2009/9/main" objectType="CheckBox" fmlaLink="$W$34" lockText="1" noThreeD="1"/>
</file>

<file path=xl/ctrlProps/ctrlProp465.xml><?xml version="1.0" encoding="utf-8"?>
<formControlPr xmlns="http://schemas.microsoft.com/office/spreadsheetml/2009/9/main" objectType="CheckBox" fmlaLink="$W$51" lockText="1" noThreeD="1"/>
</file>

<file path=xl/ctrlProps/ctrlProp466.xml><?xml version="1.0" encoding="utf-8"?>
<formControlPr xmlns="http://schemas.microsoft.com/office/spreadsheetml/2009/9/main" objectType="CheckBox" fmlaLink="$W$63" lockText="1" noThreeD="1"/>
</file>

<file path=xl/ctrlProps/ctrlProp467.xml><?xml version="1.0" encoding="utf-8"?>
<formControlPr xmlns="http://schemas.microsoft.com/office/spreadsheetml/2009/9/main" objectType="CheckBox" fmlaLink="$W$64" lockText="1" noThreeD="1"/>
</file>

<file path=xl/ctrlProps/ctrlProp468.xml><?xml version="1.0" encoding="utf-8"?>
<formControlPr xmlns="http://schemas.microsoft.com/office/spreadsheetml/2009/9/main" objectType="CheckBox" fmlaLink="$W$66" lockText="1" noThreeD="1"/>
</file>

<file path=xl/ctrlProps/ctrlProp469.xml><?xml version="1.0" encoding="utf-8"?>
<formControlPr xmlns="http://schemas.microsoft.com/office/spreadsheetml/2009/9/main" objectType="CheckBox" fmlaLink="$W$68" lockText="1" noThreeD="1"/>
</file>

<file path=xl/ctrlProps/ctrlProp470.xml><?xml version="1.0" encoding="utf-8"?>
<formControlPr xmlns="http://schemas.microsoft.com/office/spreadsheetml/2009/9/main" objectType="CheckBox" fmlaLink="$W$70" lockText="1" noThreeD="1"/>
</file>

<file path=xl/ctrlProps/ctrlProp471.xml><?xml version="1.0" encoding="utf-8"?>
<formControlPr xmlns="http://schemas.microsoft.com/office/spreadsheetml/2009/9/main" objectType="CheckBox" fmlaLink="$W$71" lockText="1" noThreeD="1"/>
</file>

<file path=xl/ctrlProps/ctrlProp472.xml><?xml version="1.0" encoding="utf-8"?>
<formControlPr xmlns="http://schemas.microsoft.com/office/spreadsheetml/2009/9/main" objectType="CheckBox" fmlaLink="$W$73" lockText="1" noThreeD="1"/>
</file>

<file path=xl/ctrlProps/ctrlProp473.xml><?xml version="1.0" encoding="utf-8"?>
<formControlPr xmlns="http://schemas.microsoft.com/office/spreadsheetml/2009/9/main" objectType="CheckBox" fmlaLink="$W$82" lockText="1" noThreeD="1"/>
</file>

<file path=xl/ctrlProps/ctrlProp474.xml><?xml version="1.0" encoding="utf-8"?>
<formControlPr xmlns="http://schemas.microsoft.com/office/spreadsheetml/2009/9/main" objectType="CheckBox" fmlaLink="$W$83" lockText="1" noThreeD="1"/>
</file>

<file path=xl/ctrlProps/ctrlProp475.xml><?xml version="1.0" encoding="utf-8"?>
<formControlPr xmlns="http://schemas.microsoft.com/office/spreadsheetml/2009/9/main" objectType="CheckBox" fmlaLink="$W$90" lockText="1" noThreeD="1"/>
</file>

<file path=xl/ctrlProps/ctrlProp476.xml><?xml version="1.0" encoding="utf-8"?>
<formControlPr xmlns="http://schemas.microsoft.com/office/spreadsheetml/2009/9/main" objectType="CheckBox" fmlaLink="$W$92" lockText="1" noThreeD="1"/>
</file>

<file path=xl/ctrlProps/ctrlProp477.xml><?xml version="1.0" encoding="utf-8"?>
<formControlPr xmlns="http://schemas.microsoft.com/office/spreadsheetml/2009/9/main" objectType="CheckBox" fmlaLink="$W$96" lockText="1" noThreeD="1"/>
</file>

<file path=xl/ctrlProps/ctrlProp478.xml><?xml version="1.0" encoding="utf-8"?>
<formControlPr xmlns="http://schemas.microsoft.com/office/spreadsheetml/2009/9/main" objectType="CheckBox" fmlaLink="$W$99" lockText="1" noThreeD="1"/>
</file>

<file path=xl/ctrlProps/ctrlProp479.xml><?xml version="1.0" encoding="utf-8"?>
<formControlPr xmlns="http://schemas.microsoft.com/office/spreadsheetml/2009/9/main" objectType="CheckBox" fmlaLink="$W$100" lockText="1" noThreeD="1"/>
</file>

<file path=xl/ctrlProps/ctrlProp480.xml><?xml version="1.0" encoding="utf-8"?>
<formControlPr xmlns="http://schemas.microsoft.com/office/spreadsheetml/2009/9/main" objectType="CheckBox" fmlaLink="$W$102" lockText="1" noThreeD="1"/>
</file>

<file path=xl/ctrlProps/ctrlProp481.xml><?xml version="1.0" encoding="utf-8"?>
<formControlPr xmlns="http://schemas.microsoft.com/office/spreadsheetml/2009/9/main" objectType="CheckBox" fmlaLink="$W$103" lockText="1" noThreeD="1"/>
</file>

<file path=xl/ctrlProps/ctrlProp482.xml><?xml version="1.0" encoding="utf-8"?>
<formControlPr xmlns="http://schemas.microsoft.com/office/spreadsheetml/2009/9/main" objectType="CheckBox" fmlaLink="$W$104" lockText="1" noThreeD="1"/>
</file>

<file path=xl/ctrlProps/ctrlProp483.xml><?xml version="1.0" encoding="utf-8"?>
<formControlPr xmlns="http://schemas.microsoft.com/office/spreadsheetml/2009/9/main" objectType="CheckBox" fmlaLink="$W$112" lockText="1" noThreeD="1"/>
</file>

<file path=xl/ctrlProps/ctrlProp484.xml><?xml version="1.0" encoding="utf-8"?>
<formControlPr xmlns="http://schemas.microsoft.com/office/spreadsheetml/2009/9/main" objectType="CheckBox" fmlaLink="$W$142" lockText="1" noThreeD="1"/>
</file>

<file path=xl/ctrlProps/ctrlProp485.xml><?xml version="1.0" encoding="utf-8"?>
<formControlPr xmlns="http://schemas.microsoft.com/office/spreadsheetml/2009/9/main" objectType="CheckBox" fmlaLink="$W$144" lockText="1" noThreeD="1"/>
</file>

<file path=xl/ctrlProps/ctrlProp486.xml><?xml version="1.0" encoding="utf-8"?>
<formControlPr xmlns="http://schemas.microsoft.com/office/spreadsheetml/2009/9/main" objectType="CheckBox" fmlaLink="$W$147" lockText="1" noThreeD="1"/>
</file>

<file path=xl/ctrlProps/ctrlProp487.xml><?xml version="1.0" encoding="utf-8"?>
<formControlPr xmlns="http://schemas.microsoft.com/office/spreadsheetml/2009/9/main" objectType="CheckBox" fmlaLink="$W$156" lockText="1" noThreeD="1"/>
</file>

<file path=xl/ctrlProps/ctrlProp488.xml><?xml version="1.0" encoding="utf-8"?>
<formControlPr xmlns="http://schemas.microsoft.com/office/spreadsheetml/2009/9/main" objectType="CheckBox" fmlaLink="$W$157" lockText="1" noThreeD="1"/>
</file>

<file path=xl/ctrlProps/ctrlProp489.xml><?xml version="1.0" encoding="utf-8"?>
<formControlPr xmlns="http://schemas.microsoft.com/office/spreadsheetml/2009/9/main" objectType="CheckBox" fmlaLink="$W$162" lockText="1" noThreeD="1"/>
</file>

<file path=xl/ctrlProps/ctrlProp490.xml><?xml version="1.0" encoding="utf-8"?>
<formControlPr xmlns="http://schemas.microsoft.com/office/spreadsheetml/2009/9/main" objectType="CheckBox" fmlaLink="$W$164" lockText="1" noThreeD="1"/>
</file>

<file path=xl/ctrlProps/ctrlProp491.xml><?xml version="1.0" encoding="utf-8"?>
<formControlPr xmlns="http://schemas.microsoft.com/office/spreadsheetml/2009/9/main" objectType="CheckBox" fmlaLink="$W$167" lockText="1" noThreeD="1"/>
</file>

<file path=xl/ctrlProps/ctrlProp492.xml><?xml version="1.0" encoding="utf-8"?>
<formControlPr xmlns="http://schemas.microsoft.com/office/spreadsheetml/2009/9/main" objectType="CheckBox" fmlaLink="$W$169" lockText="1" noThreeD="1"/>
</file>

<file path=xl/ctrlProps/ctrlProp493.xml><?xml version="1.0" encoding="utf-8"?>
<formControlPr xmlns="http://schemas.microsoft.com/office/spreadsheetml/2009/9/main" objectType="CheckBox" fmlaLink="$W$171" lockText="1" noThreeD="1"/>
</file>

<file path=xl/ctrlProps/ctrlProp494.xml><?xml version="1.0" encoding="utf-8"?>
<formControlPr xmlns="http://schemas.microsoft.com/office/spreadsheetml/2009/9/main" objectType="CheckBox" fmlaLink="$W$175" lockText="1" noThreeD="1"/>
</file>

<file path=xl/ctrlProps/ctrlProp495.xml><?xml version="1.0" encoding="utf-8"?>
<formControlPr xmlns="http://schemas.microsoft.com/office/spreadsheetml/2009/9/main" objectType="CheckBox" fmlaLink="$W$176" lockText="1" noThreeD="1"/>
</file>

<file path=xl/ctrlProps/ctrlProp496.xml><?xml version="1.0" encoding="utf-8"?>
<formControlPr xmlns="http://schemas.microsoft.com/office/spreadsheetml/2009/9/main" objectType="CheckBox" fmlaLink="$W$177" lockText="1" noThreeD="1"/>
</file>

<file path=xl/ctrlProps/ctrlProp497.xml><?xml version="1.0" encoding="utf-8"?>
<formControlPr xmlns="http://schemas.microsoft.com/office/spreadsheetml/2009/9/main" objectType="CheckBox" fmlaLink="$W$179" lockText="1" noThreeD="1"/>
</file>

<file path=xl/ctrlProps/ctrlProp498.xml><?xml version="1.0" encoding="utf-8"?>
<formControlPr xmlns="http://schemas.microsoft.com/office/spreadsheetml/2009/9/main" objectType="CheckBox" checked="Checked" fmlaLink="$W$182" lockText="1" noThreeD="1"/>
</file>

<file path=xl/ctrlProps/ctrlProp499.xml><?xml version="1.0" encoding="utf-8"?>
<formControlPr xmlns="http://schemas.microsoft.com/office/spreadsheetml/2009/9/main" objectType="CheckBox" fmlaLink="$W$184" lockText="1" noThreeD="1"/>
</file>

<file path=xl/ctrlProps/ctrlProp500.xml><?xml version="1.0" encoding="utf-8"?>
<formControlPr xmlns="http://schemas.microsoft.com/office/spreadsheetml/2009/9/main" objectType="CheckBox" fmlaLink="$W$189" lockText="1" noThreeD="1"/>
</file>

<file path=xl/ctrlProps/ctrlProp501.xml><?xml version="1.0" encoding="utf-8"?>
<formControlPr xmlns="http://schemas.microsoft.com/office/spreadsheetml/2009/9/main" objectType="CheckBox" fmlaLink="$W$196" lockText="1" noThreeD="1"/>
</file>

<file path=xl/ctrlProps/ctrlProp502.xml><?xml version="1.0" encoding="utf-8"?>
<formControlPr xmlns="http://schemas.microsoft.com/office/spreadsheetml/2009/9/main" objectType="CheckBox" fmlaLink="$W$197" lockText="1" noThreeD="1"/>
</file>

<file path=xl/ctrlProps/ctrlProp503.xml><?xml version="1.0" encoding="utf-8"?>
<formControlPr xmlns="http://schemas.microsoft.com/office/spreadsheetml/2009/9/main" objectType="CheckBox" fmlaLink="$W$199" lockText="1" noThreeD="1"/>
</file>

<file path=xl/ctrlProps/ctrlProp504.xml><?xml version="1.0" encoding="utf-8"?>
<formControlPr xmlns="http://schemas.microsoft.com/office/spreadsheetml/2009/9/main" objectType="CheckBox" fmlaLink="$W$204" lockText="1" noThreeD="1"/>
</file>

<file path=xl/ctrlProps/ctrlProp505.xml><?xml version="1.0" encoding="utf-8"?>
<formControlPr xmlns="http://schemas.microsoft.com/office/spreadsheetml/2009/9/main" objectType="CheckBox" fmlaLink="$W$206" lockText="1" noThreeD="1"/>
</file>

<file path=xl/ctrlProps/ctrlProp506.xml><?xml version="1.0" encoding="utf-8"?>
<formControlPr xmlns="http://schemas.microsoft.com/office/spreadsheetml/2009/9/main" objectType="CheckBox" fmlaLink="$W$207" lockText="1" noThreeD="1"/>
</file>

<file path=xl/ctrlProps/ctrlProp507.xml><?xml version="1.0" encoding="utf-8"?>
<formControlPr xmlns="http://schemas.microsoft.com/office/spreadsheetml/2009/9/main" objectType="CheckBox" fmlaLink="$W$209" lockText="1" noThreeD="1"/>
</file>

<file path=xl/ctrlProps/ctrlProp508.xml><?xml version="1.0" encoding="utf-8"?>
<formControlPr xmlns="http://schemas.microsoft.com/office/spreadsheetml/2009/9/main" objectType="CheckBox" fmlaLink="$W$211" lockText="1" noThreeD="1"/>
</file>

<file path=xl/ctrlProps/ctrlProp509.xml><?xml version="1.0" encoding="utf-8"?>
<formControlPr xmlns="http://schemas.microsoft.com/office/spreadsheetml/2009/9/main" objectType="CheckBox" fmlaLink="$W$215" lockText="1" noThreeD="1"/>
</file>

<file path=xl/ctrlProps/ctrlProp510.xml><?xml version="1.0" encoding="utf-8"?>
<formControlPr xmlns="http://schemas.microsoft.com/office/spreadsheetml/2009/9/main" objectType="CheckBox" fmlaLink="$W$218" lockText="1" noThreeD="1"/>
</file>

<file path=xl/ctrlProps/ctrlProp511.xml><?xml version="1.0" encoding="utf-8"?>
<formControlPr xmlns="http://schemas.microsoft.com/office/spreadsheetml/2009/9/main" objectType="CheckBox" fmlaLink="$W$220" lockText="1" noThreeD="1"/>
</file>

<file path=xl/ctrlProps/ctrlProp512.xml><?xml version="1.0" encoding="utf-8"?>
<formControlPr xmlns="http://schemas.microsoft.com/office/spreadsheetml/2009/9/main" objectType="CheckBox" fmlaLink="$W$221" lockText="1" noThreeD="1"/>
</file>

<file path=xl/ctrlProps/ctrlProp513.xml><?xml version="1.0" encoding="utf-8"?>
<formControlPr xmlns="http://schemas.microsoft.com/office/spreadsheetml/2009/9/main" objectType="CheckBox" fmlaLink="$W$222" lockText="1" noThreeD="1"/>
</file>

<file path=xl/ctrlProps/ctrlProp514.xml><?xml version="1.0" encoding="utf-8"?>
<formControlPr xmlns="http://schemas.microsoft.com/office/spreadsheetml/2009/9/main" objectType="CheckBox" fmlaLink="$W$223" lockText="1" noThreeD="1"/>
</file>

<file path=xl/ctrlProps/ctrlProp515.xml><?xml version="1.0" encoding="utf-8"?>
<formControlPr xmlns="http://schemas.microsoft.com/office/spreadsheetml/2009/9/main" objectType="CheckBox" fmlaLink="$W$224" lockText="1" noThreeD="1"/>
</file>

<file path=xl/ctrlProps/ctrlProp516.xml><?xml version="1.0" encoding="utf-8"?>
<formControlPr xmlns="http://schemas.microsoft.com/office/spreadsheetml/2009/9/main" objectType="CheckBox" fmlaLink="$W$225" lockText="1" noThreeD="1"/>
</file>

<file path=xl/ctrlProps/ctrlProp517.xml><?xml version="1.0" encoding="utf-8"?>
<formControlPr xmlns="http://schemas.microsoft.com/office/spreadsheetml/2009/9/main" objectType="CheckBox" fmlaLink="$W$233" lockText="1" noThreeD="1"/>
</file>

<file path=xl/ctrlProps/ctrlProp518.xml><?xml version="1.0" encoding="utf-8"?>
<formControlPr xmlns="http://schemas.microsoft.com/office/spreadsheetml/2009/9/main" objectType="CheckBox" fmlaLink="$W$235" lockText="1" noThreeD="1"/>
</file>

<file path=xl/ctrlProps/ctrlProp519.xml><?xml version="1.0" encoding="utf-8"?>
<formControlPr xmlns="http://schemas.microsoft.com/office/spreadsheetml/2009/9/main" objectType="CheckBox" fmlaLink="$W$243" lockText="1" noThreeD="1"/>
</file>

<file path=xl/ctrlProps/ctrlProp520.xml><?xml version="1.0" encoding="utf-8"?>
<formControlPr xmlns="http://schemas.microsoft.com/office/spreadsheetml/2009/9/main" objectType="CheckBox" fmlaLink="$W$246" lockText="1" noThreeD="1"/>
</file>

<file path=xl/ctrlProps/ctrlProp521.xml><?xml version="1.0" encoding="utf-8"?>
<formControlPr xmlns="http://schemas.microsoft.com/office/spreadsheetml/2009/9/main" objectType="CheckBox" fmlaLink="$W$250" lockText="1" noThreeD="1"/>
</file>

<file path=xl/ctrlProps/ctrlProp522.xml><?xml version="1.0" encoding="utf-8"?>
<formControlPr xmlns="http://schemas.microsoft.com/office/spreadsheetml/2009/9/main" objectType="CheckBox" fmlaLink="$W$251" lockText="1" noThreeD="1"/>
</file>

<file path=xl/ctrlProps/ctrlProp523.xml><?xml version="1.0" encoding="utf-8"?>
<formControlPr xmlns="http://schemas.microsoft.com/office/spreadsheetml/2009/9/main" objectType="CheckBox" fmlaLink="$W$330" lockText="1" noThreeD="1"/>
</file>

<file path=xl/ctrlProps/ctrlProp524.xml><?xml version="1.0" encoding="utf-8"?>
<formControlPr xmlns="http://schemas.microsoft.com/office/spreadsheetml/2009/9/main" objectType="CheckBox" fmlaLink="$W$333" lockText="1" noThreeD="1"/>
</file>

<file path=xl/ctrlProps/ctrlProp525.xml><?xml version="1.0" encoding="utf-8"?>
<formControlPr xmlns="http://schemas.microsoft.com/office/spreadsheetml/2009/9/main" objectType="CheckBox" fmlaLink="$W$336" lockText="1" noThreeD="1"/>
</file>

<file path=xl/ctrlProps/ctrlProp526.xml><?xml version="1.0" encoding="utf-8"?>
<formControlPr xmlns="http://schemas.microsoft.com/office/spreadsheetml/2009/9/main" objectType="CheckBox" fmlaLink="$W$342" lockText="1" noThreeD="1"/>
</file>

<file path=xl/ctrlProps/ctrlProp527.xml><?xml version="1.0" encoding="utf-8"?>
<formControlPr xmlns="http://schemas.microsoft.com/office/spreadsheetml/2009/9/main" objectType="CheckBox" fmlaLink="$W$343" lockText="1" noThreeD="1"/>
</file>

<file path=xl/ctrlProps/ctrlProp528.xml><?xml version="1.0" encoding="utf-8"?>
<formControlPr xmlns="http://schemas.microsoft.com/office/spreadsheetml/2009/9/main" objectType="CheckBox" fmlaLink="$W$344" lockText="1" noThreeD="1"/>
</file>

<file path=xl/ctrlProps/ctrlProp529.xml><?xml version="1.0" encoding="utf-8"?>
<formControlPr xmlns="http://schemas.microsoft.com/office/spreadsheetml/2009/9/main" objectType="CheckBox" fmlaLink="$W$345" lockText="1" noThreeD="1"/>
</file>

<file path=xl/ctrlProps/ctrlProp530.xml><?xml version="1.0" encoding="utf-8"?>
<formControlPr xmlns="http://schemas.microsoft.com/office/spreadsheetml/2009/9/main" objectType="CheckBox" fmlaLink="$W$346" lockText="1" noThreeD="1"/>
</file>

<file path=xl/ctrlProps/ctrlProp531.xml><?xml version="1.0" encoding="utf-8"?>
<formControlPr xmlns="http://schemas.microsoft.com/office/spreadsheetml/2009/9/main" objectType="CheckBox" fmlaLink="$W$347" lockText="1" noThreeD="1"/>
</file>

<file path=xl/ctrlProps/ctrlProp532.xml><?xml version="1.0" encoding="utf-8"?>
<formControlPr xmlns="http://schemas.microsoft.com/office/spreadsheetml/2009/9/main" objectType="CheckBox" fmlaLink="$W$355" lockText="1" noThreeD="1"/>
</file>

<file path=xl/ctrlProps/ctrlProp533.xml><?xml version="1.0" encoding="utf-8"?>
<formControlPr xmlns="http://schemas.microsoft.com/office/spreadsheetml/2009/9/main" objectType="CheckBox" fmlaLink="$W$356" lockText="1" noThreeD="1"/>
</file>

<file path=xl/ctrlProps/ctrlProp534.xml><?xml version="1.0" encoding="utf-8"?>
<formControlPr xmlns="http://schemas.microsoft.com/office/spreadsheetml/2009/9/main" objectType="CheckBox" fmlaLink="$W$357" lockText="1" noThreeD="1"/>
</file>

<file path=xl/ctrlProps/ctrlProp535.xml><?xml version="1.0" encoding="utf-8"?>
<formControlPr xmlns="http://schemas.microsoft.com/office/spreadsheetml/2009/9/main" objectType="CheckBox" fmlaLink="$W$358" lockText="1" noThreeD="1"/>
</file>

<file path=xl/ctrlProps/ctrlProp536.xml><?xml version="1.0" encoding="utf-8"?>
<formControlPr xmlns="http://schemas.microsoft.com/office/spreadsheetml/2009/9/main" objectType="CheckBox" fmlaLink="$W$383" lockText="1" noThreeD="1"/>
</file>

<file path=xl/ctrlProps/ctrlProp537.xml><?xml version="1.0" encoding="utf-8"?>
<formControlPr xmlns="http://schemas.microsoft.com/office/spreadsheetml/2009/9/main" objectType="CheckBox" fmlaLink="$W$400" lockText="1" noThreeD="1"/>
</file>

<file path=xl/ctrlProps/ctrlProp538.xml><?xml version="1.0" encoding="utf-8"?>
<formControlPr xmlns="http://schemas.microsoft.com/office/spreadsheetml/2009/9/main" objectType="CheckBox" fmlaLink="$W$406" lockText="1" noThreeD="1"/>
</file>

<file path=xl/ctrlProps/ctrlProp539.xml><?xml version="1.0" encoding="utf-8"?>
<formControlPr xmlns="http://schemas.microsoft.com/office/spreadsheetml/2009/9/main" objectType="CheckBox" fmlaLink="$W$407" lockText="1" noThreeD="1"/>
</file>

<file path=xl/ctrlProps/ctrlProp540.xml><?xml version="1.0" encoding="utf-8"?>
<formControlPr xmlns="http://schemas.microsoft.com/office/spreadsheetml/2009/9/main" objectType="CheckBox" fmlaLink="$W$412" lockText="1" noThreeD="1"/>
</file>

<file path=xl/ctrlProps/ctrlProp541.xml><?xml version="1.0" encoding="utf-8"?>
<formControlPr xmlns="http://schemas.microsoft.com/office/spreadsheetml/2009/9/main" objectType="CheckBox" fmlaLink="$W$420" lockText="1" noThreeD="1"/>
</file>

<file path=xl/ctrlProps/ctrlProp542.xml><?xml version="1.0" encoding="utf-8"?>
<formControlPr xmlns="http://schemas.microsoft.com/office/spreadsheetml/2009/9/main" objectType="CheckBox" fmlaLink="$W$429" lockText="1" noThreeD="1"/>
</file>

<file path=xl/ctrlProps/ctrlProp543.xml><?xml version="1.0" encoding="utf-8"?>
<formControlPr xmlns="http://schemas.microsoft.com/office/spreadsheetml/2009/9/main" objectType="CheckBox" fmlaLink="$W$437" lockText="1" noThreeD="1"/>
</file>

<file path=xl/ctrlProps/ctrlProp544.xml><?xml version="1.0" encoding="utf-8"?>
<formControlPr xmlns="http://schemas.microsoft.com/office/spreadsheetml/2009/9/main" objectType="CheckBox" fmlaLink="$W$439" lockText="1" noThreeD="1"/>
</file>

<file path=xl/ctrlProps/ctrlProp545.xml><?xml version="1.0" encoding="utf-8"?>
<formControlPr xmlns="http://schemas.microsoft.com/office/spreadsheetml/2009/9/main" objectType="CheckBox" fmlaLink="$W$445" lockText="1" noThreeD="1"/>
</file>

<file path=xl/ctrlProps/ctrlProp546.xml><?xml version="1.0" encoding="utf-8"?>
<formControlPr xmlns="http://schemas.microsoft.com/office/spreadsheetml/2009/9/main" objectType="CheckBox" fmlaLink="$W$449" lockText="1" noThreeD="1"/>
</file>

<file path=xl/ctrlProps/ctrlProp547.xml><?xml version="1.0" encoding="utf-8"?>
<formControlPr xmlns="http://schemas.microsoft.com/office/spreadsheetml/2009/9/main" objectType="CheckBox" fmlaLink="$W$453" lockText="1" noThreeD="1"/>
</file>

<file path=xl/ctrlProps/ctrlProp548.xml><?xml version="1.0" encoding="utf-8"?>
<formControlPr xmlns="http://schemas.microsoft.com/office/spreadsheetml/2009/9/main" objectType="CheckBox" checked="Checked" fmlaLink="$W$458" lockText="1" noThreeD="1"/>
</file>

<file path=xl/ctrlProps/ctrlProp549.xml><?xml version="1.0" encoding="utf-8"?>
<formControlPr xmlns="http://schemas.microsoft.com/office/spreadsheetml/2009/9/main" objectType="CheckBox" fmlaLink="$W$463" lockText="1" noThreeD="1"/>
</file>

<file path=xl/ctrlProps/ctrlProp550.xml><?xml version="1.0" encoding="utf-8"?>
<formControlPr xmlns="http://schemas.microsoft.com/office/spreadsheetml/2009/9/main" objectType="CheckBox" fmlaLink="$W$465" lockText="1" noThreeD="1"/>
</file>

<file path=xl/ctrlProps/ctrlProp551.xml><?xml version="1.0" encoding="utf-8"?>
<formControlPr xmlns="http://schemas.microsoft.com/office/spreadsheetml/2009/9/main" objectType="CheckBox" fmlaLink="$W$467" lockText="1" noThreeD="1"/>
</file>

<file path=xl/ctrlProps/ctrlProp552.xml><?xml version="1.0" encoding="utf-8"?>
<formControlPr xmlns="http://schemas.microsoft.com/office/spreadsheetml/2009/9/main" objectType="CheckBox" fmlaLink="$W$495" lockText="1" noThreeD="1"/>
</file>

<file path=xl/ctrlProps/ctrlProp553.xml><?xml version="1.0" encoding="utf-8"?>
<formControlPr xmlns="http://schemas.microsoft.com/office/spreadsheetml/2009/9/main" objectType="CheckBox" fmlaLink="$W$498" lockText="1" noThreeD="1"/>
</file>

<file path=xl/ctrlProps/ctrlProp554.xml><?xml version="1.0" encoding="utf-8"?>
<formControlPr xmlns="http://schemas.microsoft.com/office/spreadsheetml/2009/9/main" objectType="CheckBox" fmlaLink="$W$499" lockText="1" noThreeD="1"/>
</file>

<file path=xl/ctrlProps/ctrlProp555.xml><?xml version="1.0" encoding="utf-8"?>
<formControlPr xmlns="http://schemas.microsoft.com/office/spreadsheetml/2009/9/main" objectType="CheckBox" fmlaLink="$W$509" lockText="1" noThreeD="1"/>
</file>

<file path=xl/ctrlProps/ctrlProp556.xml><?xml version="1.0" encoding="utf-8"?>
<formControlPr xmlns="http://schemas.microsoft.com/office/spreadsheetml/2009/9/main" objectType="CheckBox" fmlaLink="$W$511" lockText="1" noThreeD="1"/>
</file>

<file path=xl/ctrlProps/ctrlProp557.xml><?xml version="1.0" encoding="utf-8"?>
<formControlPr xmlns="http://schemas.microsoft.com/office/spreadsheetml/2009/9/main" objectType="CheckBox" checked="Checked" fmlaLink="$W$529" lockText="1" noThreeD="1"/>
</file>

<file path=xl/ctrlProps/ctrlProp558.xml><?xml version="1.0" encoding="utf-8"?>
<formControlPr xmlns="http://schemas.microsoft.com/office/spreadsheetml/2009/9/main" objectType="CheckBox" checked="Checked" fmlaLink="$W$540" lockText="1" noThreeD="1"/>
</file>

<file path=xl/ctrlProps/ctrlProp559.xml><?xml version="1.0" encoding="utf-8"?>
<formControlPr xmlns="http://schemas.microsoft.com/office/spreadsheetml/2009/9/main" objectType="CheckBox" checked="Checked" fmlaLink="$W$541" lockText="1" noThreeD="1"/>
</file>

<file path=xl/ctrlProps/ctrlProp560.xml><?xml version="1.0" encoding="utf-8"?>
<formControlPr xmlns="http://schemas.microsoft.com/office/spreadsheetml/2009/9/main" objectType="CheckBox" fmlaLink="$W$549" lockText="1" noThreeD="1"/>
</file>

<file path=xl/ctrlProps/ctrlProp561.xml><?xml version="1.0" encoding="utf-8"?>
<formControlPr xmlns="http://schemas.microsoft.com/office/spreadsheetml/2009/9/main" objectType="CheckBox" fmlaLink="$W$551" lockText="1" noThreeD="1"/>
</file>

<file path=xl/ctrlProps/ctrlProp562.xml><?xml version="1.0" encoding="utf-8"?>
<formControlPr xmlns="http://schemas.microsoft.com/office/spreadsheetml/2009/9/main" objectType="CheckBox" fmlaLink="$W$552" lockText="1" noThreeD="1"/>
</file>

<file path=xl/ctrlProps/ctrlProp563.xml><?xml version="1.0" encoding="utf-8"?>
<formControlPr xmlns="http://schemas.microsoft.com/office/spreadsheetml/2009/9/main" objectType="CheckBox" fmlaLink="$W$555" lockText="1" noThreeD="1"/>
</file>

<file path=xl/ctrlProps/ctrlProp564.xml><?xml version="1.0" encoding="utf-8"?>
<formControlPr xmlns="http://schemas.microsoft.com/office/spreadsheetml/2009/9/main" objectType="CheckBox" fmlaLink="$W$564" lockText="1" noThreeD="1"/>
</file>

<file path=xl/ctrlProps/ctrlProp565.xml><?xml version="1.0" encoding="utf-8"?>
<formControlPr xmlns="http://schemas.microsoft.com/office/spreadsheetml/2009/9/main" objectType="CheckBox" fmlaLink="$W$566" lockText="1" noThreeD="1"/>
</file>

<file path=xl/ctrlProps/ctrlProp566.xml><?xml version="1.0" encoding="utf-8"?>
<formControlPr xmlns="http://schemas.microsoft.com/office/spreadsheetml/2009/9/main" objectType="CheckBox" fmlaLink="$W$584" lockText="1" noThreeD="1"/>
</file>

<file path=xl/ctrlProps/ctrlProp567.xml><?xml version="1.0" encoding="utf-8"?>
<formControlPr xmlns="http://schemas.microsoft.com/office/spreadsheetml/2009/9/main" objectType="CheckBox" fmlaLink="$W$601" lockText="1" noThreeD="1"/>
</file>

<file path=xl/ctrlProps/ctrlProp568.xml><?xml version="1.0" encoding="utf-8"?>
<formControlPr xmlns="http://schemas.microsoft.com/office/spreadsheetml/2009/9/main" objectType="CheckBox" fmlaLink="$W$614" lockText="1" noThreeD="1"/>
</file>

<file path=xl/ctrlProps/ctrlProp569.xml><?xml version="1.0" encoding="utf-8"?>
<formControlPr xmlns="http://schemas.microsoft.com/office/spreadsheetml/2009/9/main" objectType="CheckBox" fmlaLink="$W$616" lockText="1" noThreeD="1"/>
</file>

<file path=xl/ctrlProps/ctrlProp570.xml><?xml version="1.0" encoding="utf-8"?>
<formControlPr xmlns="http://schemas.microsoft.com/office/spreadsheetml/2009/9/main" objectType="CheckBox" fmlaLink="$W$629" lockText="1" noThreeD="1"/>
</file>

<file path=xl/ctrlProps/ctrlProp571.xml><?xml version="1.0" encoding="utf-8"?>
<formControlPr xmlns="http://schemas.microsoft.com/office/spreadsheetml/2009/9/main" objectType="CheckBox" fmlaLink="$W$630" lockText="1" noThreeD="1"/>
</file>

<file path=xl/ctrlProps/ctrlProp572.xml><?xml version="1.0" encoding="utf-8"?>
<formControlPr xmlns="http://schemas.microsoft.com/office/spreadsheetml/2009/9/main" objectType="CheckBox" fmlaLink="$W$631" lockText="1" noThreeD="1"/>
</file>

<file path=xl/ctrlProps/ctrlProp573.xml><?xml version="1.0" encoding="utf-8"?>
<formControlPr xmlns="http://schemas.microsoft.com/office/spreadsheetml/2009/9/main" objectType="CheckBox" fmlaLink="$W$632" lockText="1" noThreeD="1"/>
</file>

<file path=xl/ctrlProps/ctrlProp574.xml><?xml version="1.0" encoding="utf-8"?>
<formControlPr xmlns="http://schemas.microsoft.com/office/spreadsheetml/2009/9/main" objectType="CheckBox" fmlaLink="$W$633" lockText="1" noThreeD="1"/>
</file>

<file path=xl/ctrlProps/ctrlProp575.xml><?xml version="1.0" encoding="utf-8"?>
<formControlPr xmlns="http://schemas.microsoft.com/office/spreadsheetml/2009/9/main" objectType="CheckBox" fmlaLink="$W$634" lockText="1" noThreeD="1"/>
</file>

<file path=xl/ctrlProps/ctrlProp576.xml><?xml version="1.0" encoding="utf-8"?>
<formControlPr xmlns="http://schemas.microsoft.com/office/spreadsheetml/2009/9/main" objectType="CheckBox" fmlaLink="$W$635" lockText="1" noThreeD="1"/>
</file>

<file path=xl/ctrlProps/ctrlProp577.xml><?xml version="1.0" encoding="utf-8"?>
<formControlPr xmlns="http://schemas.microsoft.com/office/spreadsheetml/2009/9/main" objectType="CheckBox" fmlaLink="$W$636" lockText="1" noThreeD="1"/>
</file>

<file path=xl/ctrlProps/ctrlProp578.xml><?xml version="1.0" encoding="utf-8"?>
<formControlPr xmlns="http://schemas.microsoft.com/office/spreadsheetml/2009/9/main" objectType="CheckBox" fmlaLink="$W$637" lockText="1" noThreeD="1"/>
</file>

<file path=xl/ctrlProps/ctrlProp579.xml><?xml version="1.0" encoding="utf-8"?>
<formControlPr xmlns="http://schemas.microsoft.com/office/spreadsheetml/2009/9/main" objectType="CheckBox" fmlaLink="$W$688" lockText="1" noThreeD="1"/>
</file>

<file path=xl/ctrlProps/ctrlProp580.xml><?xml version="1.0" encoding="utf-8"?>
<formControlPr xmlns="http://schemas.microsoft.com/office/spreadsheetml/2009/9/main" objectType="CheckBox" fmlaLink="$W$693" lockText="1" noThreeD="1"/>
</file>

<file path=xl/ctrlProps/ctrlProp581.xml><?xml version="1.0" encoding="utf-8"?>
<formControlPr xmlns="http://schemas.microsoft.com/office/spreadsheetml/2009/9/main" objectType="CheckBox" fmlaLink="$W$699" lockText="1" noThreeD="1"/>
</file>

<file path=xl/ctrlProps/ctrlProp582.xml><?xml version="1.0" encoding="utf-8"?>
<formControlPr xmlns="http://schemas.microsoft.com/office/spreadsheetml/2009/9/main" objectType="CheckBox" fmlaLink="$W$733" lockText="1" noThreeD="1"/>
</file>

<file path=xl/ctrlProps/ctrlProp583.xml><?xml version="1.0" encoding="utf-8"?>
<formControlPr xmlns="http://schemas.microsoft.com/office/spreadsheetml/2009/9/main" objectType="CheckBox" fmlaLink="$W$742" lockText="1" noThreeD="1"/>
</file>

<file path=xl/ctrlProps/ctrlProp584.xml><?xml version="1.0" encoding="utf-8"?>
<formControlPr xmlns="http://schemas.microsoft.com/office/spreadsheetml/2009/9/main" objectType="CheckBox" fmlaLink="$W$749" lockText="1" noThreeD="1"/>
</file>

<file path=xl/ctrlProps/ctrlProp585.xml><?xml version="1.0" encoding="utf-8"?>
<formControlPr xmlns="http://schemas.microsoft.com/office/spreadsheetml/2009/9/main" objectType="CheckBox" fmlaLink="$W$828" lockText="1" noThreeD="1"/>
</file>

<file path=xl/ctrlProps/ctrlProp586.xml><?xml version="1.0" encoding="utf-8"?>
<formControlPr xmlns="http://schemas.microsoft.com/office/spreadsheetml/2009/9/main" objectType="CheckBox" fmlaLink="$W$829" lockText="1" noThreeD="1"/>
</file>

<file path=xl/ctrlProps/ctrlProp587.xml><?xml version="1.0" encoding="utf-8"?>
<formControlPr xmlns="http://schemas.microsoft.com/office/spreadsheetml/2009/9/main" objectType="CheckBox" fmlaLink="$W$833" lockText="1" noThreeD="1"/>
</file>

<file path=xl/ctrlProps/ctrlProp588.xml><?xml version="1.0" encoding="utf-8"?>
<formControlPr xmlns="http://schemas.microsoft.com/office/spreadsheetml/2009/9/main" objectType="CheckBox" fmlaLink="$W$831" lockText="1" noThreeD="1"/>
</file>

<file path=xl/ctrlProps/ctrlProp589.xml><?xml version="1.0" encoding="utf-8"?>
<formControlPr xmlns="http://schemas.microsoft.com/office/spreadsheetml/2009/9/main" objectType="CheckBox" fmlaLink="$W$835" lockText="1" noThreeD="1"/>
</file>

<file path=xl/ctrlProps/ctrlProp590.xml><?xml version="1.0" encoding="utf-8"?>
<formControlPr xmlns="http://schemas.microsoft.com/office/spreadsheetml/2009/9/main" objectType="CheckBox" fmlaLink="$W$837" lockText="1" noThreeD="1"/>
</file>

<file path=xl/ctrlProps/ctrlProp591.xml><?xml version="1.0" encoding="utf-8"?>
<formControlPr xmlns="http://schemas.microsoft.com/office/spreadsheetml/2009/9/main" objectType="CheckBox" fmlaLink="$W$839" lockText="1" noThreeD="1"/>
</file>

<file path=xl/ctrlProps/ctrlProp592.xml><?xml version="1.0" encoding="utf-8"?>
<formControlPr xmlns="http://schemas.microsoft.com/office/spreadsheetml/2009/9/main" objectType="CheckBox" fmlaLink="$W$843" lockText="1" noThreeD="1"/>
</file>

<file path=xl/ctrlProps/ctrlProp593.xml><?xml version="1.0" encoding="utf-8"?>
<formControlPr xmlns="http://schemas.microsoft.com/office/spreadsheetml/2009/9/main" objectType="CheckBox" fmlaLink="$W$848" lockText="1" noThreeD="1"/>
</file>

<file path=xl/ctrlProps/ctrlProp594.xml><?xml version="1.0" encoding="utf-8"?>
<formControlPr xmlns="http://schemas.microsoft.com/office/spreadsheetml/2009/9/main" objectType="CheckBox" fmlaLink="$W$852" lockText="1" noThreeD="1"/>
</file>

<file path=xl/ctrlProps/ctrlProp595.xml><?xml version="1.0" encoding="utf-8"?>
<formControlPr xmlns="http://schemas.microsoft.com/office/spreadsheetml/2009/9/main" objectType="CheckBox" fmlaLink="$W$854" lockText="1" noThreeD="1"/>
</file>

<file path=xl/ctrlProps/ctrlProp596.xml><?xml version="1.0" encoding="utf-8"?>
<formControlPr xmlns="http://schemas.microsoft.com/office/spreadsheetml/2009/9/main" objectType="CheckBox" fmlaLink="$W$856" lockText="1" noThreeD="1"/>
</file>

<file path=xl/ctrlProps/ctrlProp597.xml><?xml version="1.0" encoding="utf-8"?>
<formControlPr xmlns="http://schemas.microsoft.com/office/spreadsheetml/2009/9/main" objectType="CheckBox" fmlaLink="$W$857" lockText="1" noThreeD="1"/>
</file>

<file path=xl/ctrlProps/ctrlProp598.xml><?xml version="1.0" encoding="utf-8"?>
<formControlPr xmlns="http://schemas.microsoft.com/office/spreadsheetml/2009/9/main" objectType="CheckBox" fmlaLink="$W$858" lockText="1" noThreeD="1"/>
</file>

<file path=xl/ctrlProps/ctrlProp599.xml><?xml version="1.0" encoding="utf-8"?>
<formControlPr xmlns="http://schemas.microsoft.com/office/spreadsheetml/2009/9/main" objectType="CheckBox" fmlaLink="$W$862" lockText="1" noThreeD="1"/>
</file>

<file path=xl/ctrlProps/ctrlProp600.xml><?xml version="1.0" encoding="utf-8"?>
<formControlPr xmlns="http://schemas.microsoft.com/office/spreadsheetml/2009/9/main" objectType="CheckBox" checked="Checked" fmlaLink="$W$893" lockText="1" noThreeD="1"/>
</file>

<file path=xl/ctrlProps/ctrlProp601.xml><?xml version="1.0" encoding="utf-8"?>
<formControlPr xmlns="http://schemas.microsoft.com/office/spreadsheetml/2009/9/main" objectType="CheckBox" checked="Checked" fmlaLink="$W$902" lockText="1" noThreeD="1"/>
</file>

<file path=xl/ctrlProps/ctrlProp602.xml><?xml version="1.0" encoding="utf-8"?>
<formControlPr xmlns="http://schemas.microsoft.com/office/spreadsheetml/2009/9/main" objectType="CheckBox" checked="Checked" fmlaLink="$W$905" lockText="1" noThreeD="1"/>
</file>

<file path=xl/ctrlProps/ctrlProp603.xml><?xml version="1.0" encoding="utf-8"?>
<formControlPr xmlns="http://schemas.microsoft.com/office/spreadsheetml/2009/9/main" objectType="CheckBox" checked="Checked" fmlaLink="$W$908" lockText="1" noThreeD="1"/>
</file>

<file path=xl/ctrlProps/ctrlProp604.xml><?xml version="1.0" encoding="utf-8"?>
<formControlPr xmlns="http://schemas.microsoft.com/office/spreadsheetml/2009/9/main" objectType="CheckBox" fmlaLink="$W$912" lockText="1" noThreeD="1"/>
</file>

<file path=xl/ctrlProps/ctrlProp605.xml><?xml version="1.0" encoding="utf-8"?>
<formControlPr xmlns="http://schemas.microsoft.com/office/spreadsheetml/2009/9/main" objectType="CheckBox" checked="Checked" fmlaLink="$W$952" lockText="1" noThreeD="1"/>
</file>

<file path=xl/ctrlProps/ctrlProp606.xml><?xml version="1.0" encoding="utf-8"?>
<formControlPr xmlns="http://schemas.microsoft.com/office/spreadsheetml/2009/9/main" objectType="CheckBox" checked="Checked" fmlaLink="$W$955" lockText="1" noThreeD="1"/>
</file>

<file path=xl/ctrlProps/ctrlProp607.xml><?xml version="1.0" encoding="utf-8"?>
<formControlPr xmlns="http://schemas.microsoft.com/office/spreadsheetml/2009/9/main" objectType="CheckBox" fmlaLink="$W$1000" lockText="1" noThreeD="1"/>
</file>

<file path=xl/ctrlProps/ctrlProp608.xml><?xml version="1.0" encoding="utf-8"?>
<formControlPr xmlns="http://schemas.microsoft.com/office/spreadsheetml/2009/9/main" objectType="CheckBox" fmlaLink="$W$1859" lockText="1" noThreeD="1"/>
</file>

<file path=xl/ctrlProps/ctrlProp609.xml><?xml version="1.0" encoding="utf-8"?>
<formControlPr xmlns="http://schemas.microsoft.com/office/spreadsheetml/2009/9/main" objectType="CheckBox" fmlaLink="$W$1865" lockText="1" noThreeD="1"/>
</file>

<file path=xl/ctrlProps/ctrlProp610.xml><?xml version="1.0" encoding="utf-8"?>
<formControlPr xmlns="http://schemas.microsoft.com/office/spreadsheetml/2009/9/main" objectType="CheckBox" fmlaLink="$W$1881" lockText="1" noThreeD="1"/>
</file>

<file path=xl/ctrlProps/ctrlProp611.xml><?xml version="1.0" encoding="utf-8"?>
<formControlPr xmlns="http://schemas.microsoft.com/office/spreadsheetml/2009/9/main" objectType="CheckBox" fmlaLink="$W$1909" lockText="1" noThreeD="1"/>
</file>

<file path=xl/ctrlProps/ctrlProp612.xml><?xml version="1.0" encoding="utf-8"?>
<formControlPr xmlns="http://schemas.microsoft.com/office/spreadsheetml/2009/9/main" objectType="CheckBox" checked="Checked" fmlaLink="$W$1915" lockText="1" noThreeD="1"/>
</file>

<file path=xl/ctrlProps/ctrlProp613.xml><?xml version="1.0" encoding="utf-8"?>
<formControlPr xmlns="http://schemas.microsoft.com/office/spreadsheetml/2009/9/main" objectType="CheckBox" fmlaLink="$W$1939" lockText="1" noThreeD="1"/>
</file>

<file path=xl/ctrlProps/ctrlProp614.xml><?xml version="1.0" encoding="utf-8"?>
<formControlPr xmlns="http://schemas.microsoft.com/office/spreadsheetml/2009/9/main" objectType="CheckBox" fmlaLink="$W$1941" lockText="1" noThreeD="1"/>
</file>

<file path=xl/ctrlProps/ctrlProp615.xml><?xml version="1.0" encoding="utf-8"?>
<formControlPr xmlns="http://schemas.microsoft.com/office/spreadsheetml/2009/9/main" objectType="CheckBox" checked="Checked" fmlaLink="$W$1944" lockText="1" noThreeD="1"/>
</file>

<file path=xl/ctrlProps/ctrlProp616.xml><?xml version="1.0" encoding="utf-8"?>
<formControlPr xmlns="http://schemas.microsoft.com/office/spreadsheetml/2009/9/main" objectType="CheckBox" fmlaLink="$W$1968" lockText="1" noThreeD="1"/>
</file>

<file path=xl/ctrlProps/ctrlProp617.xml><?xml version="1.0" encoding="utf-8"?>
<formControlPr xmlns="http://schemas.microsoft.com/office/spreadsheetml/2009/9/main" objectType="CheckBox" fmlaLink="$W$1980" lockText="1" noThreeD="1"/>
</file>

<file path=xl/ctrlProps/ctrlProp618.xml><?xml version="1.0" encoding="utf-8"?>
<formControlPr xmlns="http://schemas.microsoft.com/office/spreadsheetml/2009/9/main" objectType="CheckBox" fmlaLink="$W$1982" lockText="1" noThreeD="1"/>
</file>

<file path=xl/ctrlProps/ctrlProp619.xml><?xml version="1.0" encoding="utf-8"?>
<formControlPr xmlns="http://schemas.microsoft.com/office/spreadsheetml/2009/9/main" objectType="CheckBox" checked="Checked" fmlaLink="$W$1983" lockText="1" noThreeD="1"/>
</file>

<file path=xl/ctrlProps/ctrlProp620.xml><?xml version="1.0" encoding="utf-8"?>
<formControlPr xmlns="http://schemas.microsoft.com/office/spreadsheetml/2009/9/main" objectType="CheckBox" fmlaLink="$W$1985" lockText="1" noThreeD="1"/>
</file>

<file path=xl/ctrlProps/ctrlProp621.xml><?xml version="1.0" encoding="utf-8"?>
<formControlPr xmlns="http://schemas.microsoft.com/office/spreadsheetml/2009/9/main" objectType="CheckBox" fmlaLink="$W$1990" lockText="1" noThreeD="1"/>
</file>

<file path=xl/ctrlProps/ctrlProp622.xml><?xml version="1.0" encoding="utf-8"?>
<formControlPr xmlns="http://schemas.microsoft.com/office/spreadsheetml/2009/9/main" objectType="CheckBox" fmlaLink="$W$2003" lockText="1" noThreeD="1"/>
</file>

<file path=xl/ctrlProps/ctrlProp623.xml><?xml version="1.0" encoding="utf-8"?>
<formControlPr xmlns="http://schemas.microsoft.com/office/spreadsheetml/2009/9/main" objectType="CheckBox" fmlaLink="$W$2008" lockText="1" noThreeD="1"/>
</file>

<file path=xl/ctrlProps/ctrlProp624.xml><?xml version="1.0" encoding="utf-8"?>
<formControlPr xmlns="http://schemas.microsoft.com/office/spreadsheetml/2009/9/main" objectType="CheckBox" fmlaLink="$W$2009" lockText="1" noThreeD="1"/>
</file>

<file path=xl/ctrlProps/ctrlProp625.xml><?xml version="1.0" encoding="utf-8"?>
<formControlPr xmlns="http://schemas.microsoft.com/office/spreadsheetml/2009/9/main" objectType="CheckBox" fmlaLink="$W$2013" lockText="1" noThreeD="1"/>
</file>

<file path=xl/ctrlProps/ctrlProp626.xml><?xml version="1.0" encoding="utf-8"?>
<formControlPr xmlns="http://schemas.microsoft.com/office/spreadsheetml/2009/9/main" objectType="CheckBox" fmlaLink="$W$2028" lockText="1" noThreeD="1"/>
</file>

<file path=xl/ctrlProps/ctrlProp627.xml><?xml version="1.0" encoding="utf-8"?>
<formControlPr xmlns="http://schemas.microsoft.com/office/spreadsheetml/2009/9/main" objectType="CheckBox" fmlaLink="$W$2029" lockText="1" noThreeD="1"/>
</file>

<file path=xl/ctrlProps/ctrlProp628.xml><?xml version="1.0" encoding="utf-8"?>
<formControlPr xmlns="http://schemas.microsoft.com/office/spreadsheetml/2009/9/main" objectType="CheckBox" fmlaLink="$W$2032" lockText="1" noThreeD="1"/>
</file>

<file path=xl/ctrlProps/ctrlProp629.xml><?xml version="1.0" encoding="utf-8"?>
<formControlPr xmlns="http://schemas.microsoft.com/office/spreadsheetml/2009/9/main" objectType="CheckBox" fmlaLink="$W$2034" lockText="1" noThreeD="1"/>
</file>

<file path=xl/ctrlProps/ctrlProp630.xml><?xml version="1.0" encoding="utf-8"?>
<formControlPr xmlns="http://schemas.microsoft.com/office/spreadsheetml/2009/9/main" objectType="CheckBox" checked="Checked" fmlaLink="$W$2042" lockText="1" noThreeD="1"/>
</file>

<file path=xl/ctrlProps/ctrlProp631.xml><?xml version="1.0" encoding="utf-8"?>
<formControlPr xmlns="http://schemas.microsoft.com/office/spreadsheetml/2009/9/main" objectType="CheckBox" fmlaLink="$W$2044" lockText="1" noThreeD="1"/>
</file>

<file path=xl/ctrlProps/ctrlProp632.xml><?xml version="1.0" encoding="utf-8"?>
<formControlPr xmlns="http://schemas.microsoft.com/office/spreadsheetml/2009/9/main" objectType="CheckBox" fmlaLink="$W$2048" lockText="1" noThreeD="1"/>
</file>

<file path=xl/ctrlProps/ctrlProp633.xml><?xml version="1.0" encoding="utf-8"?>
<formControlPr xmlns="http://schemas.microsoft.com/office/spreadsheetml/2009/9/main" objectType="CheckBox" fmlaLink="$W$2055" lockText="1" noThreeD="1"/>
</file>

<file path=xl/ctrlProps/ctrlProp634.xml><?xml version="1.0" encoding="utf-8"?>
<formControlPr xmlns="http://schemas.microsoft.com/office/spreadsheetml/2009/9/main" objectType="CheckBox" fmlaLink="$W$2066" lockText="1" noThreeD="1"/>
</file>

<file path=xl/ctrlProps/ctrlProp635.xml><?xml version="1.0" encoding="utf-8"?>
<formControlPr xmlns="http://schemas.microsoft.com/office/spreadsheetml/2009/9/main" objectType="CheckBox" fmlaLink="$W$2068" lockText="1" noThreeD="1"/>
</file>

<file path=xl/ctrlProps/ctrlProp636.xml><?xml version="1.0" encoding="utf-8"?>
<formControlPr xmlns="http://schemas.microsoft.com/office/spreadsheetml/2009/9/main" objectType="CheckBox" fmlaLink="$W$2070" lockText="1" noThreeD="1"/>
</file>

<file path=xl/ctrlProps/ctrlProp637.xml><?xml version="1.0" encoding="utf-8"?>
<formControlPr xmlns="http://schemas.microsoft.com/office/spreadsheetml/2009/9/main" objectType="CheckBox" fmlaLink="$W$2088" lockText="1" noThreeD="1"/>
</file>

<file path=xl/ctrlProps/ctrlProp638.xml><?xml version="1.0" encoding="utf-8"?>
<formControlPr xmlns="http://schemas.microsoft.com/office/spreadsheetml/2009/9/main" objectType="CheckBox" fmlaLink="$W$2090" lockText="1" noThreeD="1"/>
</file>

<file path=xl/ctrlProps/ctrlProp639.xml><?xml version="1.0" encoding="utf-8"?>
<formControlPr xmlns="http://schemas.microsoft.com/office/spreadsheetml/2009/9/main" objectType="CheckBox" fmlaLink="$W$2093" lockText="1" noThreeD="1"/>
</file>

<file path=xl/ctrlProps/ctrlProp640.xml><?xml version="1.0" encoding="utf-8"?>
<formControlPr xmlns="http://schemas.microsoft.com/office/spreadsheetml/2009/9/main" objectType="CheckBox" fmlaLink="$W$2176" lockText="1" noThreeD="1"/>
</file>

<file path=xl/ctrlProps/ctrlProp641.xml><?xml version="1.0" encoding="utf-8"?>
<formControlPr xmlns="http://schemas.microsoft.com/office/spreadsheetml/2009/9/main" objectType="CheckBox" fmlaLink="$W$2178" lockText="1" noThreeD="1"/>
</file>

<file path=xl/ctrlProps/ctrlProp642.xml><?xml version="1.0" encoding="utf-8"?>
<formControlPr xmlns="http://schemas.microsoft.com/office/spreadsheetml/2009/9/main" objectType="CheckBox" fmlaLink="$W$2184" lockText="1" noThreeD="1"/>
</file>

<file path=xl/ctrlProps/ctrlProp643.xml><?xml version="1.0" encoding="utf-8"?>
<formControlPr xmlns="http://schemas.microsoft.com/office/spreadsheetml/2009/9/main" objectType="CheckBox" checked="Checked" fmlaLink="$W$2186" lockText="1" noThreeD="1"/>
</file>

<file path=xl/ctrlProps/ctrlProp644.xml><?xml version="1.0" encoding="utf-8"?>
<formControlPr xmlns="http://schemas.microsoft.com/office/spreadsheetml/2009/9/main" objectType="CheckBox" fmlaLink="$W$2200" lockText="1" noThreeD="1"/>
</file>

<file path=xl/ctrlProps/ctrlProp645.xml><?xml version="1.0" encoding="utf-8"?>
<formControlPr xmlns="http://schemas.microsoft.com/office/spreadsheetml/2009/9/main" objectType="CheckBox" fmlaLink="$W$2201" lockText="1" noThreeD="1"/>
</file>

<file path=xl/ctrlProps/ctrlProp646.xml><?xml version="1.0" encoding="utf-8"?>
<formControlPr xmlns="http://schemas.microsoft.com/office/spreadsheetml/2009/9/main" objectType="CheckBox" fmlaLink="$W$2206" lockText="1" noThreeD="1"/>
</file>

<file path=xl/ctrlProps/ctrlProp647.xml><?xml version="1.0" encoding="utf-8"?>
<formControlPr xmlns="http://schemas.microsoft.com/office/spreadsheetml/2009/9/main" objectType="CheckBox" fmlaLink="$W$2211" lockText="1" noThreeD="1"/>
</file>

<file path=xl/ctrlProps/ctrlProp648.xml><?xml version="1.0" encoding="utf-8"?>
<formControlPr xmlns="http://schemas.microsoft.com/office/spreadsheetml/2009/9/main" objectType="CheckBox" fmlaLink="$W$2227" lockText="1" noThreeD="1"/>
</file>

<file path=xl/ctrlProps/ctrlProp649.xml><?xml version="1.0" encoding="utf-8"?>
<formControlPr xmlns="http://schemas.microsoft.com/office/spreadsheetml/2009/9/main" objectType="CheckBox" fmlaLink="$W$2232" lockText="1" noThreeD="1"/>
</file>

<file path=xl/ctrlProps/ctrlProp650.xml><?xml version="1.0" encoding="utf-8"?>
<formControlPr xmlns="http://schemas.microsoft.com/office/spreadsheetml/2009/9/main" objectType="CheckBox" fmlaLink="$W$2262" lockText="1" noThreeD="1"/>
</file>

<file path=xl/ctrlProps/ctrlProp651.xml><?xml version="1.0" encoding="utf-8"?>
<formControlPr xmlns="http://schemas.microsoft.com/office/spreadsheetml/2009/9/main" objectType="CheckBox" fmlaLink="$W$2263" lockText="1" noThreeD="1"/>
</file>

<file path=xl/ctrlProps/ctrlProp652.xml><?xml version="1.0" encoding="utf-8"?>
<formControlPr xmlns="http://schemas.microsoft.com/office/spreadsheetml/2009/9/main" objectType="CheckBox" fmlaLink="$W$2264" lockText="1" noThreeD="1"/>
</file>

<file path=xl/ctrlProps/ctrlProp653.xml><?xml version="1.0" encoding="utf-8"?>
<formControlPr xmlns="http://schemas.microsoft.com/office/spreadsheetml/2009/9/main" objectType="CheckBox" fmlaLink="$W$2268" lockText="1" noThreeD="1"/>
</file>

<file path=xl/ctrlProps/ctrlProp654.xml><?xml version="1.0" encoding="utf-8"?>
<formControlPr xmlns="http://schemas.microsoft.com/office/spreadsheetml/2009/9/main" objectType="CheckBox" fmlaLink="$W$2269" lockText="1" noThreeD="1"/>
</file>

<file path=xl/ctrlProps/ctrlProp655.xml><?xml version="1.0" encoding="utf-8"?>
<formControlPr xmlns="http://schemas.microsoft.com/office/spreadsheetml/2009/9/main" objectType="CheckBox" fmlaLink="$W$2270" lockText="1" noThreeD="1"/>
</file>

<file path=xl/ctrlProps/ctrlProp656.xml><?xml version="1.0" encoding="utf-8"?>
<formControlPr xmlns="http://schemas.microsoft.com/office/spreadsheetml/2009/9/main" objectType="CheckBox" fmlaLink="$W$2272" lockText="1" noThreeD="1"/>
</file>

<file path=xl/ctrlProps/ctrlProp657.xml><?xml version="1.0" encoding="utf-8"?>
<formControlPr xmlns="http://schemas.microsoft.com/office/spreadsheetml/2009/9/main" objectType="CheckBox" fmlaLink="$W$2274" lockText="1" noThreeD="1"/>
</file>

<file path=xl/ctrlProps/ctrlProp658.xml><?xml version="1.0" encoding="utf-8"?>
<formControlPr xmlns="http://schemas.microsoft.com/office/spreadsheetml/2009/9/main" objectType="CheckBox" fmlaLink="$W$2275" lockText="1" noThreeD="1"/>
</file>

<file path=xl/ctrlProps/ctrlProp659.xml><?xml version="1.0" encoding="utf-8"?>
<formControlPr xmlns="http://schemas.microsoft.com/office/spreadsheetml/2009/9/main" objectType="CheckBox" fmlaLink="$W$2277" lockText="1" noThreeD="1"/>
</file>

<file path=xl/ctrlProps/ctrlProp660.xml><?xml version="1.0" encoding="utf-8"?>
<formControlPr xmlns="http://schemas.microsoft.com/office/spreadsheetml/2009/9/main" objectType="CheckBox" fmlaLink="$W$2278" lockText="1" noThreeD="1"/>
</file>

<file path=xl/ctrlProps/ctrlProp661.xml><?xml version="1.0" encoding="utf-8"?>
<formControlPr xmlns="http://schemas.microsoft.com/office/spreadsheetml/2009/9/main" objectType="CheckBox" fmlaLink="$W$2279" lockText="1" noThreeD="1"/>
</file>

<file path=xl/ctrlProps/ctrlProp662.xml><?xml version="1.0" encoding="utf-8"?>
<formControlPr xmlns="http://schemas.microsoft.com/office/spreadsheetml/2009/9/main" objectType="CheckBox" fmlaLink="$W$2285" lockText="1" noThreeD="1"/>
</file>

<file path=xl/ctrlProps/ctrlProp663.xml><?xml version="1.0" encoding="utf-8"?>
<formControlPr xmlns="http://schemas.microsoft.com/office/spreadsheetml/2009/9/main" objectType="CheckBox" fmlaLink="$W$2289" lockText="1" noThreeD="1"/>
</file>

<file path=xl/ctrlProps/ctrlProp664.xml><?xml version="1.0" encoding="utf-8"?>
<formControlPr xmlns="http://schemas.microsoft.com/office/spreadsheetml/2009/9/main" objectType="CheckBox" fmlaLink="$W$2291" lockText="1" noThreeD="1"/>
</file>

<file path=xl/ctrlProps/ctrlProp665.xml><?xml version="1.0" encoding="utf-8"?>
<formControlPr xmlns="http://schemas.microsoft.com/office/spreadsheetml/2009/9/main" objectType="CheckBox" fmlaLink="$W$2293" lockText="1" noThreeD="1"/>
</file>

<file path=xl/ctrlProps/ctrlProp666.xml><?xml version="1.0" encoding="utf-8"?>
<formControlPr xmlns="http://schemas.microsoft.com/office/spreadsheetml/2009/9/main" objectType="CheckBox" fmlaLink="$W$2294" lockText="1" noThreeD="1"/>
</file>

<file path=xl/ctrlProps/ctrlProp667.xml><?xml version="1.0" encoding="utf-8"?>
<formControlPr xmlns="http://schemas.microsoft.com/office/spreadsheetml/2009/9/main" objectType="CheckBox" fmlaLink="$W$2296" lockText="1" noThreeD="1"/>
</file>

<file path=xl/ctrlProps/ctrlProp668.xml><?xml version="1.0" encoding="utf-8"?>
<formControlPr xmlns="http://schemas.microsoft.com/office/spreadsheetml/2009/9/main" objectType="CheckBox" fmlaLink="$W$2298" lockText="1" noThreeD="1"/>
</file>

<file path=xl/ctrlProps/ctrlProp669.xml><?xml version="1.0" encoding="utf-8"?>
<formControlPr xmlns="http://schemas.microsoft.com/office/spreadsheetml/2009/9/main" objectType="CheckBox" fmlaLink="$W$2299" lockText="1" noThreeD="1"/>
</file>

<file path=xl/ctrlProps/ctrlProp670.xml><?xml version="1.0" encoding="utf-8"?>
<formControlPr xmlns="http://schemas.microsoft.com/office/spreadsheetml/2009/9/main" objectType="CheckBox" fmlaLink="$W$2301" lockText="1" noThreeD="1"/>
</file>

<file path=xl/ctrlProps/ctrlProp671.xml><?xml version="1.0" encoding="utf-8"?>
<formControlPr xmlns="http://schemas.microsoft.com/office/spreadsheetml/2009/9/main" objectType="CheckBox" fmlaLink="$W$2303" lockText="1" noThreeD="1"/>
</file>

<file path=xl/ctrlProps/ctrlProp672.xml><?xml version="1.0" encoding="utf-8"?>
<formControlPr xmlns="http://schemas.microsoft.com/office/spreadsheetml/2009/9/main" objectType="CheckBox" fmlaLink="$W$2309" lockText="1" noThreeD="1"/>
</file>

<file path=xl/ctrlProps/ctrlProp673.xml><?xml version="1.0" encoding="utf-8"?>
<formControlPr xmlns="http://schemas.microsoft.com/office/spreadsheetml/2009/9/main" objectType="CheckBox" checked="Checked" fmlaLink="$W$2331" lockText="1" noThreeD="1"/>
</file>

<file path=xl/ctrlProps/ctrlProp674.xml><?xml version="1.0" encoding="utf-8"?>
<formControlPr xmlns="http://schemas.microsoft.com/office/spreadsheetml/2009/9/main" objectType="CheckBox" checked="Checked" fmlaLink="$W$2334" lockText="1" noThreeD="1"/>
</file>

<file path=xl/ctrlProps/ctrlProp675.xml><?xml version="1.0" encoding="utf-8"?>
<formControlPr xmlns="http://schemas.microsoft.com/office/spreadsheetml/2009/9/main" objectType="CheckBox" checked="Checked" fmlaLink="$W$2337" lockText="1" noThreeD="1"/>
</file>

<file path=xl/ctrlProps/ctrlProp676.xml><?xml version="1.0" encoding="utf-8"?>
<formControlPr xmlns="http://schemas.microsoft.com/office/spreadsheetml/2009/9/main" objectType="CheckBox" fmlaLink="$W$2339" lockText="1" noThreeD="1"/>
</file>

<file path=xl/ctrlProps/ctrlProp677.xml><?xml version="1.0" encoding="utf-8"?>
<formControlPr xmlns="http://schemas.microsoft.com/office/spreadsheetml/2009/9/main" objectType="CheckBox" fmlaLink="$W$2340" lockText="1" noThreeD="1"/>
</file>

<file path=xl/ctrlProps/ctrlProp678.xml><?xml version="1.0" encoding="utf-8"?>
<formControlPr xmlns="http://schemas.microsoft.com/office/spreadsheetml/2009/9/main" objectType="CheckBox" checked="Checked" fmlaLink="$W$2342" lockText="1" noThreeD="1"/>
</file>

<file path=xl/ctrlProps/ctrlProp679.xml><?xml version="1.0" encoding="utf-8"?>
<formControlPr xmlns="http://schemas.microsoft.com/office/spreadsheetml/2009/9/main" objectType="CheckBox" checked="Checked" fmlaLink="$W$2343" lockText="1" noThreeD="1"/>
</file>

<file path=xl/ctrlProps/ctrlProp680.xml><?xml version="1.0" encoding="utf-8"?>
<formControlPr xmlns="http://schemas.microsoft.com/office/spreadsheetml/2009/9/main" objectType="CheckBox" fmlaLink="$W$2344" lockText="1" noThreeD="1"/>
</file>

<file path=xl/ctrlProps/ctrlProp681.xml><?xml version="1.0" encoding="utf-8"?>
<formControlPr xmlns="http://schemas.microsoft.com/office/spreadsheetml/2009/9/main" objectType="CheckBox" checked="Checked" fmlaLink="$W$2350" lockText="1" noThreeD="1"/>
</file>

<file path=xl/ctrlProps/ctrlProp682.xml><?xml version="1.0" encoding="utf-8"?>
<formControlPr xmlns="http://schemas.microsoft.com/office/spreadsheetml/2009/9/main" objectType="CheckBox" checked="Checked" fmlaLink="$W$2352" lockText="1" noThreeD="1"/>
</file>

<file path=xl/ctrlProps/ctrlProp683.xml><?xml version="1.0" encoding="utf-8"?>
<formControlPr xmlns="http://schemas.microsoft.com/office/spreadsheetml/2009/9/main" objectType="CheckBox" checked="Checked" fmlaLink="$W$2355" lockText="1" noThreeD="1"/>
</file>

<file path=xl/ctrlProps/ctrlProp684.xml><?xml version="1.0" encoding="utf-8"?>
<formControlPr xmlns="http://schemas.microsoft.com/office/spreadsheetml/2009/9/main" objectType="CheckBox" checked="Checked" fmlaLink="$W$2357" lockText="1" noThreeD="1"/>
</file>

<file path=xl/ctrlProps/ctrlProp685.xml><?xml version="1.0" encoding="utf-8"?>
<formControlPr xmlns="http://schemas.microsoft.com/office/spreadsheetml/2009/9/main" objectType="CheckBox" checked="Checked" fmlaLink="$W$2360" lockText="1" noThreeD="1"/>
</file>

<file path=xl/ctrlProps/ctrlProp686.xml><?xml version="1.0" encoding="utf-8"?>
<formControlPr xmlns="http://schemas.microsoft.com/office/spreadsheetml/2009/9/main" objectType="CheckBox" checked="Checked" fmlaLink="$W$2362" lockText="1" noThreeD="1"/>
</file>

<file path=xl/ctrlProps/ctrlProp687.xml><?xml version="1.0" encoding="utf-8"?>
<formControlPr xmlns="http://schemas.microsoft.com/office/spreadsheetml/2009/9/main" objectType="CheckBox" checked="Checked" fmlaLink="$W$2363" lockText="1" noThreeD="1"/>
</file>

<file path=xl/ctrlProps/ctrlProp688.xml><?xml version="1.0" encoding="utf-8"?>
<formControlPr xmlns="http://schemas.microsoft.com/office/spreadsheetml/2009/9/main" objectType="CheckBox" checked="Checked" fmlaLink="$W$2365" lockText="1" noThreeD="1"/>
</file>

<file path=xl/ctrlProps/ctrlProp689.xml><?xml version="1.0" encoding="utf-8"?>
<formControlPr xmlns="http://schemas.microsoft.com/office/spreadsheetml/2009/9/main" objectType="CheckBox" checked="Checked" fmlaLink="$W$2367" lockText="1" noThreeD="1"/>
</file>

<file path=xl/ctrlProps/ctrlProp690.xml><?xml version="1.0" encoding="utf-8"?>
<formControlPr xmlns="http://schemas.microsoft.com/office/spreadsheetml/2009/9/main" objectType="CheckBox" checked="Checked" fmlaLink="$W$2368" lockText="1" noThreeD="1"/>
</file>

<file path=xl/ctrlProps/ctrlProp691.xml><?xml version="1.0" encoding="utf-8"?>
<formControlPr xmlns="http://schemas.microsoft.com/office/spreadsheetml/2009/9/main" objectType="CheckBox" fmlaLink="$W$2371" lockText="1" noThreeD="1"/>
</file>

<file path=xl/ctrlProps/ctrlProp692.xml><?xml version="1.0" encoding="utf-8"?>
<formControlPr xmlns="http://schemas.microsoft.com/office/spreadsheetml/2009/9/main" objectType="CheckBox" checked="Checked" fmlaLink="$W$2377" lockText="1" noThreeD="1"/>
</file>

<file path=xl/ctrlProps/ctrlProp693.xml><?xml version="1.0" encoding="utf-8"?>
<formControlPr xmlns="http://schemas.microsoft.com/office/spreadsheetml/2009/9/main" objectType="CheckBox" checked="Checked" fmlaLink="$W$2379" lockText="1" noThreeD="1"/>
</file>

<file path=xl/ctrlProps/ctrlProp694.xml><?xml version="1.0" encoding="utf-8"?>
<formControlPr xmlns="http://schemas.microsoft.com/office/spreadsheetml/2009/9/main" objectType="CheckBox" checked="Checked" fmlaLink="$W$2383" lockText="1" noThreeD="1"/>
</file>

<file path=xl/ctrlProps/ctrlProp695.xml><?xml version="1.0" encoding="utf-8"?>
<formControlPr xmlns="http://schemas.microsoft.com/office/spreadsheetml/2009/9/main" objectType="CheckBox" checked="Checked" fmlaLink="$W$2390" lockText="1" noThreeD="1"/>
</file>

<file path=xl/ctrlProps/ctrlProp696.xml><?xml version="1.0" encoding="utf-8"?>
<formControlPr xmlns="http://schemas.microsoft.com/office/spreadsheetml/2009/9/main" objectType="CheckBox" checked="Checked" fmlaLink="$W$2392" lockText="1" noThreeD="1"/>
</file>

<file path=xl/ctrlProps/ctrlProp697.xml><?xml version="1.0" encoding="utf-8"?>
<formControlPr xmlns="http://schemas.microsoft.com/office/spreadsheetml/2009/9/main" objectType="CheckBox" checked="Checked" fmlaLink="$W$2393" lockText="1" noThreeD="1"/>
</file>

<file path=xl/ctrlProps/ctrlProp698.xml><?xml version="1.0" encoding="utf-8"?>
<formControlPr xmlns="http://schemas.microsoft.com/office/spreadsheetml/2009/9/main" objectType="CheckBox" checked="Checked" fmlaLink="$W$2395" lockText="1" noThreeD="1"/>
</file>

<file path=xl/ctrlProps/ctrlProp699.xml><?xml version="1.0" encoding="utf-8"?>
<formControlPr xmlns="http://schemas.microsoft.com/office/spreadsheetml/2009/9/main" objectType="CheckBox" checked="Checked" fmlaLink="$W$2396" lockText="1" noThreeD="1"/>
</file>

<file path=xl/ctrlProps/ctrlProp700.xml><?xml version="1.0" encoding="utf-8"?>
<formControlPr xmlns="http://schemas.microsoft.com/office/spreadsheetml/2009/9/main" objectType="CheckBox" checked="Checked" fmlaLink="$W$2397" lockText="1" noThreeD="1"/>
</file>

<file path=xl/ctrlProps/ctrlProp701.xml><?xml version="1.0" encoding="utf-8"?>
<formControlPr xmlns="http://schemas.microsoft.com/office/spreadsheetml/2009/9/main" objectType="CheckBox" checked="Checked" fmlaLink="$W$2398" lockText="1" noThreeD="1"/>
</file>

<file path=xl/ctrlProps/ctrlProp702.xml><?xml version="1.0" encoding="utf-8"?>
<formControlPr xmlns="http://schemas.microsoft.com/office/spreadsheetml/2009/9/main" objectType="CheckBox" checked="Checked" fmlaLink="$W$2401" lockText="1" noThreeD="1"/>
</file>

<file path=xl/ctrlProps/ctrlProp703.xml><?xml version="1.0" encoding="utf-8"?>
<formControlPr xmlns="http://schemas.microsoft.com/office/spreadsheetml/2009/9/main" objectType="CheckBox" fmlaLink="$W$2442" lockText="1" noThreeD="1"/>
</file>

<file path=xl/ctrlProps/ctrlProp704.xml><?xml version="1.0" encoding="utf-8"?>
<formControlPr xmlns="http://schemas.microsoft.com/office/spreadsheetml/2009/9/main" objectType="CheckBox" fmlaLink="$W$2444" lockText="1" noThreeD="1"/>
</file>

<file path=xl/ctrlProps/ctrlProp705.xml><?xml version="1.0" encoding="utf-8"?>
<formControlPr xmlns="http://schemas.microsoft.com/office/spreadsheetml/2009/9/main" objectType="CheckBox" fmlaLink="$W$2447" lockText="1" noThreeD="1"/>
</file>

<file path=xl/ctrlProps/ctrlProp706.xml><?xml version="1.0" encoding="utf-8"?>
<formControlPr xmlns="http://schemas.microsoft.com/office/spreadsheetml/2009/9/main" objectType="CheckBox" checked="Checked" fmlaLink="$W$1902" lockText="1" noThreeD="1"/>
</file>

<file path=xl/ctrlProps/ctrlProp707.xml><?xml version="1.0" encoding="utf-8"?>
<formControlPr xmlns="http://schemas.microsoft.com/office/spreadsheetml/2009/9/main" objectType="CheckBox" fmlaLink="$W$2307" lockText="1" noThreeD="1"/>
</file>

<file path=xl/ctrlProps/ctrlProp708.xml><?xml version="1.0" encoding="utf-8"?>
<formControlPr xmlns="http://schemas.microsoft.com/office/spreadsheetml/2009/9/main" objectType="CheckBox" fmlaLink="$W$2308" lockText="1" noThreeD="1"/>
</file>

<file path=xl/ctrlProps/ctrlProp709.xml><?xml version="1.0" encoding="utf-8"?>
<formControlPr xmlns="http://schemas.microsoft.com/office/spreadsheetml/2009/9/main" objectType="CheckBox" checked="Checked" fmlaLink="$W$598" lockText="1" noThreeD="1"/>
</file>

<file path=xl/ctrlProps/ctrlProp710.xml><?xml version="1.0" encoding="utf-8"?>
<formControlPr xmlns="http://schemas.microsoft.com/office/spreadsheetml/2009/9/main" objectType="CheckBox" checked="Checked" fmlaLink="$W$886" lockText="1" noThreeD="1"/>
</file>

<file path=xl/ctrlProps/ctrlProp711.xml><?xml version="1.0" encoding="utf-8"?>
<formControlPr xmlns="http://schemas.microsoft.com/office/spreadsheetml/2009/9/main" objectType="CheckBox" fmlaLink="$W$2305" lockText="1" noThreeD="1"/>
</file>

<file path=xl/ctrlProps/ctrlProp712.xml><?xml version="1.0" encoding="utf-8"?>
<formControlPr xmlns="http://schemas.microsoft.com/office/spreadsheetml/2009/9/main" objectType="CheckBox" checked="Checked" fmlaLink="$W$2036" lockText="1" noThreeD="1"/>
</file>

<file path=xl/ctrlProps/ctrlProp713.xml><?xml version="1.0" encoding="utf-8"?>
<formControlPr xmlns="http://schemas.microsoft.com/office/spreadsheetml/2009/9/main" objectType="CheckBox" fmlaLink="$W$42" lockText="1" noThreeD="1"/>
</file>

<file path=xl/ctrlProps/ctrlProp714.xml><?xml version="1.0" encoding="utf-8"?>
<formControlPr xmlns="http://schemas.microsoft.com/office/spreadsheetml/2009/9/main" objectType="CheckBox" fmlaLink="$W$44" lockText="1" noThreeD="1"/>
</file>

<file path=xl/ctrlProps/ctrlProp715.xml><?xml version="1.0" encoding="utf-8"?>
<formControlPr xmlns="http://schemas.microsoft.com/office/spreadsheetml/2009/9/main" objectType="CheckBox" fmlaLink="$W$47" lockText="1" noThreeD="1"/>
</file>

<file path=xl/ctrlProps/ctrlProp716.xml><?xml version="1.0" encoding="utf-8"?>
<formControlPr xmlns="http://schemas.microsoft.com/office/spreadsheetml/2009/9/main" objectType="CheckBox" fmlaLink="$W$75" lockText="1" noThreeD="1"/>
</file>

<file path=xl/ctrlProps/ctrlProp717.xml><?xml version="1.0" encoding="utf-8"?>
<formControlPr xmlns="http://schemas.microsoft.com/office/spreadsheetml/2009/9/main" objectType="CheckBox" fmlaLink="$W$127" lockText="1" noThreeD="1"/>
</file>

<file path=xl/ctrlProps/ctrlProp718.xml><?xml version="1.0" encoding="utf-8"?>
<formControlPr xmlns="http://schemas.microsoft.com/office/spreadsheetml/2009/9/main" objectType="CheckBox" fmlaLink="$W$129" lockText="1" noThreeD="1"/>
</file>

<file path=xl/ctrlProps/ctrlProp719.xml><?xml version="1.0" encoding="utf-8"?>
<formControlPr xmlns="http://schemas.microsoft.com/office/spreadsheetml/2009/9/main" objectType="CheckBox" fmlaLink="$W$149" lockText="1" noThreeD="1"/>
</file>

<file path=xl/ctrlProps/ctrlProp720.xml><?xml version="1.0" encoding="utf-8"?>
<formControlPr xmlns="http://schemas.microsoft.com/office/spreadsheetml/2009/9/main" objectType="CheckBox" fmlaLink="$W$261" lockText="1" noThreeD="1"/>
</file>

<file path=xl/ctrlProps/ctrlProp721.xml><?xml version="1.0" encoding="utf-8"?>
<formControlPr xmlns="http://schemas.microsoft.com/office/spreadsheetml/2009/9/main" objectType="CheckBox" fmlaLink="$W$266" lockText="1" noThreeD="1"/>
</file>

<file path=xl/ctrlProps/ctrlProp722.xml><?xml version="1.0" encoding="utf-8"?>
<formControlPr xmlns="http://schemas.microsoft.com/office/spreadsheetml/2009/9/main" objectType="CheckBox" fmlaLink="$W$269" lockText="1" noThreeD="1"/>
</file>

<file path=xl/ctrlProps/ctrlProp723.xml><?xml version="1.0" encoding="utf-8"?>
<formControlPr xmlns="http://schemas.microsoft.com/office/spreadsheetml/2009/9/main" objectType="CheckBox" fmlaLink="$W$270" lockText="1" noThreeD="1"/>
</file>

<file path=xl/ctrlProps/ctrlProp724.xml><?xml version="1.0" encoding="utf-8"?>
<formControlPr xmlns="http://schemas.microsoft.com/office/spreadsheetml/2009/9/main" objectType="CheckBox" fmlaLink="$W$282" lockText="1" noThreeD="1"/>
</file>

<file path=xl/ctrlProps/ctrlProp725.xml><?xml version="1.0" encoding="utf-8"?>
<formControlPr xmlns="http://schemas.microsoft.com/office/spreadsheetml/2009/9/main" objectType="CheckBox" fmlaLink="$W$286" lockText="1" noThreeD="1"/>
</file>

<file path=xl/ctrlProps/ctrlProp726.xml><?xml version="1.0" encoding="utf-8"?>
<formControlPr xmlns="http://schemas.microsoft.com/office/spreadsheetml/2009/9/main" objectType="CheckBox" fmlaLink="$W$289" lockText="1" noThreeD="1"/>
</file>

<file path=xl/ctrlProps/ctrlProp727.xml><?xml version="1.0" encoding="utf-8"?>
<formControlPr xmlns="http://schemas.microsoft.com/office/spreadsheetml/2009/9/main" objectType="CheckBox" fmlaLink="$W$292" lockText="1" noThreeD="1"/>
</file>

<file path=xl/ctrlProps/ctrlProp728.xml><?xml version="1.0" encoding="utf-8"?>
<formControlPr xmlns="http://schemas.microsoft.com/office/spreadsheetml/2009/9/main" objectType="CheckBox" fmlaLink="$W$293" lockText="1" noThreeD="1"/>
</file>

<file path=xl/ctrlProps/ctrlProp729.xml><?xml version="1.0" encoding="utf-8"?>
<formControlPr xmlns="http://schemas.microsoft.com/office/spreadsheetml/2009/9/main" objectType="CheckBox" fmlaLink="$W$298" lockText="1" noThreeD="1"/>
</file>

<file path=xl/ctrlProps/ctrlProp730.xml><?xml version="1.0" encoding="utf-8"?>
<formControlPr xmlns="http://schemas.microsoft.com/office/spreadsheetml/2009/9/main" objectType="CheckBox" fmlaLink="$W$300" lockText="1" noThreeD="1"/>
</file>

<file path=xl/ctrlProps/ctrlProp731.xml><?xml version="1.0" encoding="utf-8"?>
<formControlPr xmlns="http://schemas.microsoft.com/office/spreadsheetml/2009/9/main" objectType="CheckBox" fmlaLink="$W$302" lockText="1" noThreeD="1"/>
</file>

<file path=xl/ctrlProps/ctrlProp732.xml><?xml version="1.0" encoding="utf-8"?>
<formControlPr xmlns="http://schemas.microsoft.com/office/spreadsheetml/2009/9/main" objectType="CheckBox" fmlaLink="$W$304" lockText="1" noThreeD="1"/>
</file>

<file path=xl/ctrlProps/ctrlProp733.xml><?xml version="1.0" encoding="utf-8"?>
<formControlPr xmlns="http://schemas.microsoft.com/office/spreadsheetml/2009/9/main" objectType="CheckBox" fmlaLink="$W$542" lockText="1" noThreeD="1"/>
</file>

<file path=xl/ctrlProps/ctrlProp734.xml><?xml version="1.0" encoding="utf-8"?>
<formControlPr xmlns="http://schemas.microsoft.com/office/spreadsheetml/2009/9/main" objectType="CheckBox" fmlaLink="$W$1052" lockText="1" noThreeD="1"/>
</file>

<file path=xl/ctrlProps/ctrlProp735.xml><?xml version="1.0" encoding="utf-8"?>
<formControlPr xmlns="http://schemas.microsoft.com/office/spreadsheetml/2009/9/main" objectType="CheckBox" fmlaLink="$W$1061" lockText="1" noThreeD="1"/>
</file>

<file path=xl/ctrlProps/ctrlProp736.xml><?xml version="1.0" encoding="utf-8"?>
<formControlPr xmlns="http://schemas.microsoft.com/office/spreadsheetml/2009/9/main" objectType="CheckBox" fmlaLink="$W$1119" lockText="1" noThreeD="1"/>
</file>

<file path=xl/ctrlProps/ctrlProp737.xml><?xml version="1.0" encoding="utf-8"?>
<formControlPr xmlns="http://schemas.microsoft.com/office/spreadsheetml/2009/9/main" objectType="CheckBox" fmlaLink="$W$1163" lockText="1" noThreeD="1"/>
</file>

<file path=xl/ctrlProps/ctrlProp738.xml><?xml version="1.0" encoding="utf-8"?>
<formControlPr xmlns="http://schemas.microsoft.com/office/spreadsheetml/2009/9/main" objectType="CheckBox" fmlaLink="$W$1166" lockText="1" noThreeD="1"/>
</file>

<file path=xl/ctrlProps/ctrlProp739.xml><?xml version="1.0" encoding="utf-8"?>
<formControlPr xmlns="http://schemas.microsoft.com/office/spreadsheetml/2009/9/main" objectType="CheckBox" fmlaLink="$W$1176" lockText="1" noThreeD="1"/>
</file>

<file path=xl/ctrlProps/ctrlProp740.xml><?xml version="1.0" encoding="utf-8"?>
<formControlPr xmlns="http://schemas.microsoft.com/office/spreadsheetml/2009/9/main" objectType="CheckBox" fmlaLink="$W$1183" lockText="1" noThreeD="1"/>
</file>

<file path=xl/ctrlProps/ctrlProp741.xml><?xml version="1.0" encoding="utf-8"?>
<formControlPr xmlns="http://schemas.microsoft.com/office/spreadsheetml/2009/9/main" objectType="CheckBox" fmlaLink="$W$1188" lockText="1" noThreeD="1"/>
</file>

<file path=xl/ctrlProps/ctrlProp742.xml><?xml version="1.0" encoding="utf-8"?>
<formControlPr xmlns="http://schemas.microsoft.com/office/spreadsheetml/2009/9/main" objectType="CheckBox" fmlaLink="$W$1189" lockText="1" noThreeD="1"/>
</file>

<file path=xl/ctrlProps/ctrlProp743.xml><?xml version="1.0" encoding="utf-8"?>
<formControlPr xmlns="http://schemas.microsoft.com/office/spreadsheetml/2009/9/main" objectType="CheckBox" fmlaLink="$W$1191" lockText="1" noThreeD="1"/>
</file>

<file path=xl/ctrlProps/ctrlProp744.xml><?xml version="1.0" encoding="utf-8"?>
<formControlPr xmlns="http://schemas.microsoft.com/office/spreadsheetml/2009/9/main" objectType="CheckBox" fmlaLink="$W$1192" lockText="1" noThreeD="1"/>
</file>

<file path=xl/ctrlProps/ctrlProp745.xml><?xml version="1.0" encoding="utf-8"?>
<formControlPr xmlns="http://schemas.microsoft.com/office/spreadsheetml/2009/9/main" objectType="CheckBox" fmlaLink="$W$1194" lockText="1" noThreeD="1"/>
</file>

<file path=xl/ctrlProps/ctrlProp746.xml><?xml version="1.0" encoding="utf-8"?>
<formControlPr xmlns="http://schemas.microsoft.com/office/spreadsheetml/2009/9/main" objectType="CheckBox" fmlaLink="$W$1254" lockText="1" noThreeD="1"/>
</file>

<file path=xl/ctrlProps/ctrlProp747.xml><?xml version="1.0" encoding="utf-8"?>
<formControlPr xmlns="http://schemas.microsoft.com/office/spreadsheetml/2009/9/main" objectType="CheckBox" fmlaLink="$W$1256" lockText="1" noThreeD="1"/>
</file>

<file path=xl/ctrlProps/ctrlProp748.xml><?xml version="1.0" encoding="utf-8"?>
<formControlPr xmlns="http://schemas.microsoft.com/office/spreadsheetml/2009/9/main" objectType="CheckBox" fmlaLink="$W$1258" lockText="1" noThreeD="1"/>
</file>

<file path=xl/ctrlProps/ctrlProp749.xml><?xml version="1.0" encoding="utf-8"?>
<formControlPr xmlns="http://schemas.microsoft.com/office/spreadsheetml/2009/9/main" objectType="CheckBox" fmlaLink="$W$1281" lockText="1" noThreeD="1"/>
</file>

<file path=xl/ctrlProps/ctrlProp750.xml><?xml version="1.0" encoding="utf-8"?>
<formControlPr xmlns="http://schemas.microsoft.com/office/spreadsheetml/2009/9/main" objectType="CheckBox" fmlaLink="$W$1283" lockText="1" noThreeD="1"/>
</file>

<file path=xl/ctrlProps/ctrlProp751.xml><?xml version="1.0" encoding="utf-8"?>
<formControlPr xmlns="http://schemas.microsoft.com/office/spreadsheetml/2009/9/main" objectType="CheckBox" fmlaLink="$W$1285" lockText="1" noThreeD="1"/>
</file>

<file path=xl/ctrlProps/ctrlProp752.xml><?xml version="1.0" encoding="utf-8"?>
<formControlPr xmlns="http://schemas.microsoft.com/office/spreadsheetml/2009/9/main" objectType="CheckBox" fmlaLink="$W$1288" lockText="1" noThreeD="1"/>
</file>

<file path=xl/ctrlProps/ctrlProp753.xml><?xml version="1.0" encoding="utf-8"?>
<formControlPr xmlns="http://schemas.microsoft.com/office/spreadsheetml/2009/9/main" objectType="CheckBox" fmlaLink="$W$1289" lockText="1" noThreeD="1"/>
</file>

<file path=xl/ctrlProps/ctrlProp754.xml><?xml version="1.0" encoding="utf-8"?>
<formControlPr xmlns="http://schemas.microsoft.com/office/spreadsheetml/2009/9/main" objectType="CheckBox" fmlaLink="$W$1290" lockText="1" noThreeD="1"/>
</file>

<file path=xl/ctrlProps/ctrlProp755.xml><?xml version="1.0" encoding="utf-8"?>
<formControlPr xmlns="http://schemas.microsoft.com/office/spreadsheetml/2009/9/main" objectType="CheckBox" fmlaLink="$W$1293" lockText="1" noThreeD="1"/>
</file>

<file path=xl/ctrlProps/ctrlProp756.xml><?xml version="1.0" encoding="utf-8"?>
<formControlPr xmlns="http://schemas.microsoft.com/office/spreadsheetml/2009/9/main" objectType="CheckBox" fmlaLink="$W$1321" lockText="1" noThreeD="1"/>
</file>

<file path=xl/ctrlProps/ctrlProp757.xml><?xml version="1.0" encoding="utf-8"?>
<formControlPr xmlns="http://schemas.microsoft.com/office/spreadsheetml/2009/9/main" objectType="CheckBox" fmlaLink="$W$1329" lockText="1" noThreeD="1"/>
</file>

<file path=xl/ctrlProps/ctrlProp758.xml><?xml version="1.0" encoding="utf-8"?>
<formControlPr xmlns="http://schemas.microsoft.com/office/spreadsheetml/2009/9/main" objectType="CheckBox" fmlaLink="$W$1331" lockText="1" noThreeD="1"/>
</file>

<file path=xl/ctrlProps/ctrlProp759.xml><?xml version="1.0" encoding="utf-8"?>
<formControlPr xmlns="http://schemas.microsoft.com/office/spreadsheetml/2009/9/main" objectType="CheckBox" fmlaLink="$W$1332" lockText="1" noThreeD="1"/>
</file>

<file path=xl/ctrlProps/ctrlProp760.xml><?xml version="1.0" encoding="utf-8"?>
<formControlPr xmlns="http://schemas.microsoft.com/office/spreadsheetml/2009/9/main" objectType="CheckBox" fmlaLink="$W$1333" lockText="1" noThreeD="1"/>
</file>

<file path=xl/ctrlProps/ctrlProp761.xml><?xml version="1.0" encoding="utf-8"?>
<formControlPr xmlns="http://schemas.microsoft.com/office/spreadsheetml/2009/9/main" objectType="CheckBox" fmlaLink="$W$1335" lockText="1" noThreeD="1"/>
</file>

<file path=xl/ctrlProps/ctrlProp762.xml><?xml version="1.0" encoding="utf-8"?>
<formControlPr xmlns="http://schemas.microsoft.com/office/spreadsheetml/2009/9/main" objectType="CheckBox" fmlaLink="$W$1337" lockText="1" noThreeD="1"/>
</file>

<file path=xl/ctrlProps/ctrlProp763.xml><?xml version="1.0" encoding="utf-8"?>
<formControlPr xmlns="http://schemas.microsoft.com/office/spreadsheetml/2009/9/main" objectType="CheckBox" fmlaLink="$W$1339" lockText="1" noThreeD="1"/>
</file>

<file path=xl/ctrlProps/ctrlProp764.xml><?xml version="1.0" encoding="utf-8"?>
<formControlPr xmlns="http://schemas.microsoft.com/office/spreadsheetml/2009/9/main" objectType="CheckBox" fmlaLink="$W$1344" lockText="1" noThreeD="1"/>
</file>

<file path=xl/ctrlProps/ctrlProp765.xml><?xml version="1.0" encoding="utf-8"?>
<formControlPr xmlns="http://schemas.microsoft.com/office/spreadsheetml/2009/9/main" objectType="CheckBox" fmlaLink="$W$1346" lockText="1" noThreeD="1"/>
</file>

<file path=xl/ctrlProps/ctrlProp766.xml><?xml version="1.0" encoding="utf-8"?>
<formControlPr xmlns="http://schemas.microsoft.com/office/spreadsheetml/2009/9/main" objectType="CheckBox" fmlaLink="$W$1348" lockText="1" noThreeD="1"/>
</file>

<file path=xl/ctrlProps/ctrlProp767.xml><?xml version="1.0" encoding="utf-8"?>
<formControlPr xmlns="http://schemas.microsoft.com/office/spreadsheetml/2009/9/main" objectType="CheckBox" fmlaLink="$W$1350" lockText="1" noThreeD="1"/>
</file>

<file path=xl/ctrlProps/ctrlProp768.xml><?xml version="1.0" encoding="utf-8"?>
<formControlPr xmlns="http://schemas.microsoft.com/office/spreadsheetml/2009/9/main" objectType="CheckBox" fmlaLink="$W$1383" lockText="1" noThreeD="1"/>
</file>

<file path=xl/ctrlProps/ctrlProp769.xml><?xml version="1.0" encoding="utf-8"?>
<formControlPr xmlns="http://schemas.microsoft.com/office/spreadsheetml/2009/9/main" objectType="CheckBox" fmlaLink="$W$1401" lockText="1" noThreeD="1"/>
</file>

<file path=xl/ctrlProps/ctrlProp770.xml><?xml version="1.0" encoding="utf-8"?>
<formControlPr xmlns="http://schemas.microsoft.com/office/spreadsheetml/2009/9/main" objectType="CheckBox" fmlaLink="$W$1404" lockText="1" noThreeD="1"/>
</file>

<file path=xl/ctrlProps/ctrlProp771.xml><?xml version="1.0" encoding="utf-8"?>
<formControlPr xmlns="http://schemas.microsoft.com/office/spreadsheetml/2009/9/main" objectType="CheckBox" fmlaLink="$W$1409" lockText="1" noThreeD="1"/>
</file>

<file path=xl/ctrlProps/ctrlProp772.xml><?xml version="1.0" encoding="utf-8"?>
<formControlPr xmlns="http://schemas.microsoft.com/office/spreadsheetml/2009/9/main" objectType="CheckBox" fmlaLink="$W$1410" lockText="1" noThreeD="1"/>
</file>

<file path=xl/ctrlProps/ctrlProp773.xml><?xml version="1.0" encoding="utf-8"?>
<formControlPr xmlns="http://schemas.microsoft.com/office/spreadsheetml/2009/9/main" objectType="CheckBox" fmlaLink="$W$1415" lockText="1" noThreeD="1"/>
</file>

<file path=xl/ctrlProps/ctrlProp774.xml><?xml version="1.0" encoding="utf-8"?>
<formControlPr xmlns="http://schemas.microsoft.com/office/spreadsheetml/2009/9/main" objectType="CheckBox" fmlaLink="$W$1418" lockText="1" noThreeD="1"/>
</file>

<file path=xl/ctrlProps/ctrlProp775.xml><?xml version="1.0" encoding="utf-8"?>
<formControlPr xmlns="http://schemas.microsoft.com/office/spreadsheetml/2009/9/main" objectType="CheckBox" fmlaLink="$W$1420" lockText="1" noThreeD="1"/>
</file>

<file path=xl/ctrlProps/ctrlProp776.xml><?xml version="1.0" encoding="utf-8"?>
<formControlPr xmlns="http://schemas.microsoft.com/office/spreadsheetml/2009/9/main" objectType="CheckBox" fmlaLink="$W$1429" lockText="1" noThreeD="1"/>
</file>

<file path=xl/ctrlProps/ctrlProp777.xml><?xml version="1.0" encoding="utf-8"?>
<formControlPr xmlns="http://schemas.microsoft.com/office/spreadsheetml/2009/9/main" objectType="CheckBox" fmlaLink="$W$1431" lockText="1" noThreeD="1"/>
</file>

<file path=xl/ctrlProps/ctrlProp778.xml><?xml version="1.0" encoding="utf-8"?>
<formControlPr xmlns="http://schemas.microsoft.com/office/spreadsheetml/2009/9/main" objectType="CheckBox" fmlaLink="$W$1453" lockText="1" noThreeD="1"/>
</file>

<file path=xl/ctrlProps/ctrlProp779.xml><?xml version="1.0" encoding="utf-8"?>
<formControlPr xmlns="http://schemas.microsoft.com/office/spreadsheetml/2009/9/main" objectType="CheckBox" fmlaLink="$W$1459" lockText="1" noThreeD="1"/>
</file>

<file path=xl/ctrlProps/ctrlProp780.xml><?xml version="1.0" encoding="utf-8"?>
<formControlPr xmlns="http://schemas.microsoft.com/office/spreadsheetml/2009/9/main" objectType="CheckBox" fmlaLink="$W$1461" lockText="1" noThreeD="1"/>
</file>

<file path=xl/ctrlProps/ctrlProp781.xml><?xml version="1.0" encoding="utf-8"?>
<formControlPr xmlns="http://schemas.microsoft.com/office/spreadsheetml/2009/9/main" objectType="CheckBox" fmlaLink="$W$1470" lockText="1" noThreeD="1"/>
</file>

<file path=xl/ctrlProps/ctrlProp782.xml><?xml version="1.0" encoding="utf-8"?>
<formControlPr xmlns="http://schemas.microsoft.com/office/spreadsheetml/2009/9/main" objectType="CheckBox" fmlaLink="$W$1472" lockText="1" noThreeD="1"/>
</file>

<file path=xl/ctrlProps/ctrlProp783.xml><?xml version="1.0" encoding="utf-8"?>
<formControlPr xmlns="http://schemas.microsoft.com/office/spreadsheetml/2009/9/main" objectType="CheckBox" fmlaLink="$W$1482" lockText="1" noThreeD="1"/>
</file>

<file path=xl/ctrlProps/ctrlProp784.xml><?xml version="1.0" encoding="utf-8"?>
<formControlPr xmlns="http://schemas.microsoft.com/office/spreadsheetml/2009/9/main" objectType="CheckBox" fmlaLink="$W$1484" lockText="1" noThreeD="1"/>
</file>

<file path=xl/ctrlProps/ctrlProp785.xml><?xml version="1.0" encoding="utf-8"?>
<formControlPr xmlns="http://schemas.microsoft.com/office/spreadsheetml/2009/9/main" objectType="CheckBox" fmlaLink="$W$1486" lockText="1" noThreeD="1"/>
</file>

<file path=xl/ctrlProps/ctrlProp786.xml><?xml version="1.0" encoding="utf-8"?>
<formControlPr xmlns="http://schemas.microsoft.com/office/spreadsheetml/2009/9/main" objectType="CheckBox" fmlaLink="$W$1493" lockText="1" noThreeD="1"/>
</file>

<file path=xl/ctrlProps/ctrlProp787.xml><?xml version="1.0" encoding="utf-8"?>
<formControlPr xmlns="http://schemas.microsoft.com/office/spreadsheetml/2009/9/main" objectType="CheckBox" fmlaLink="$W$1494" lockText="1" noThreeD="1"/>
</file>

<file path=xl/ctrlProps/ctrlProp788.xml><?xml version="1.0" encoding="utf-8"?>
<formControlPr xmlns="http://schemas.microsoft.com/office/spreadsheetml/2009/9/main" objectType="CheckBox" fmlaLink="$W$1495" lockText="1" noThreeD="1"/>
</file>

<file path=xl/ctrlProps/ctrlProp789.xml><?xml version="1.0" encoding="utf-8"?>
<formControlPr xmlns="http://schemas.microsoft.com/office/spreadsheetml/2009/9/main" objectType="CheckBox" fmlaLink="$W$1496" lockText="1" noThreeD="1"/>
</file>

<file path=xl/ctrlProps/ctrlProp790.xml><?xml version="1.0" encoding="utf-8"?>
<formControlPr xmlns="http://schemas.microsoft.com/office/spreadsheetml/2009/9/main" objectType="CheckBox" fmlaLink="$W$1498" lockText="1" noThreeD="1"/>
</file>

<file path=xl/ctrlProps/ctrlProp791.xml><?xml version="1.0" encoding="utf-8"?>
<formControlPr xmlns="http://schemas.microsoft.com/office/spreadsheetml/2009/9/main" objectType="CheckBox" fmlaLink="$W$1501" lockText="1" noThreeD="1"/>
</file>

<file path=xl/ctrlProps/ctrlProp792.xml><?xml version="1.0" encoding="utf-8"?>
<formControlPr xmlns="http://schemas.microsoft.com/office/spreadsheetml/2009/9/main" objectType="CheckBox" fmlaLink="$W$1517" lockText="1" noThreeD="1"/>
</file>

<file path=xl/ctrlProps/ctrlProp793.xml><?xml version="1.0" encoding="utf-8"?>
<formControlPr xmlns="http://schemas.microsoft.com/office/spreadsheetml/2009/9/main" objectType="CheckBox" fmlaLink="$W$1518" lockText="1" noThreeD="1"/>
</file>

<file path=xl/ctrlProps/ctrlProp794.xml><?xml version="1.0" encoding="utf-8"?>
<formControlPr xmlns="http://schemas.microsoft.com/office/spreadsheetml/2009/9/main" objectType="CheckBox" fmlaLink="$W$1519" lockText="1" noThreeD="1"/>
</file>

<file path=xl/ctrlProps/ctrlProp795.xml><?xml version="1.0" encoding="utf-8"?>
<formControlPr xmlns="http://schemas.microsoft.com/office/spreadsheetml/2009/9/main" objectType="CheckBox" fmlaLink="$W$1520" lockText="1" noThreeD="1"/>
</file>

<file path=xl/ctrlProps/ctrlProp796.xml><?xml version="1.0" encoding="utf-8"?>
<formControlPr xmlns="http://schemas.microsoft.com/office/spreadsheetml/2009/9/main" objectType="CheckBox" fmlaLink="$W$1521" lockText="1" noThreeD="1"/>
</file>

<file path=xl/ctrlProps/ctrlProp797.xml><?xml version="1.0" encoding="utf-8"?>
<formControlPr xmlns="http://schemas.microsoft.com/office/spreadsheetml/2009/9/main" objectType="CheckBox" fmlaLink="$W$1522" lockText="1" noThreeD="1"/>
</file>

<file path=xl/ctrlProps/ctrlProp798.xml><?xml version="1.0" encoding="utf-8"?>
<formControlPr xmlns="http://schemas.microsoft.com/office/spreadsheetml/2009/9/main" objectType="CheckBox" fmlaLink="$W$1523" lockText="1" noThreeD="1"/>
</file>

<file path=xl/ctrlProps/ctrlProp799.xml><?xml version="1.0" encoding="utf-8"?>
<formControlPr xmlns="http://schemas.microsoft.com/office/spreadsheetml/2009/9/main" objectType="CheckBox" fmlaLink="$W$1524" lockText="1" noThreeD="1"/>
</file>

<file path=xl/ctrlProps/ctrlProp800.xml><?xml version="1.0" encoding="utf-8"?>
<formControlPr xmlns="http://schemas.microsoft.com/office/spreadsheetml/2009/9/main" objectType="CheckBox" fmlaLink="$W$1531" lockText="1" noThreeD="1"/>
</file>

<file path=xl/ctrlProps/ctrlProp801.xml><?xml version="1.0" encoding="utf-8"?>
<formControlPr xmlns="http://schemas.microsoft.com/office/spreadsheetml/2009/9/main" objectType="CheckBox" fmlaLink="$W$1533" lockText="1" noThreeD="1"/>
</file>

<file path=xl/ctrlProps/ctrlProp802.xml><?xml version="1.0" encoding="utf-8"?>
<formControlPr xmlns="http://schemas.microsoft.com/office/spreadsheetml/2009/9/main" objectType="CheckBox" fmlaLink="$W$1535" lockText="1" noThreeD="1"/>
</file>

<file path=xl/ctrlProps/ctrlProp803.xml><?xml version="1.0" encoding="utf-8"?>
<formControlPr xmlns="http://schemas.microsoft.com/office/spreadsheetml/2009/9/main" objectType="CheckBox" fmlaLink="$W$1538" lockText="1" noThreeD="1"/>
</file>

<file path=xl/ctrlProps/ctrlProp804.xml><?xml version="1.0" encoding="utf-8"?>
<formControlPr xmlns="http://schemas.microsoft.com/office/spreadsheetml/2009/9/main" objectType="CheckBox" fmlaLink="$W$1552" lockText="1" noThreeD="1"/>
</file>

<file path=xl/ctrlProps/ctrlProp805.xml><?xml version="1.0" encoding="utf-8"?>
<formControlPr xmlns="http://schemas.microsoft.com/office/spreadsheetml/2009/9/main" objectType="CheckBox" fmlaLink="$W$1558" lockText="1" noThreeD="1"/>
</file>

<file path=xl/ctrlProps/ctrlProp806.xml><?xml version="1.0" encoding="utf-8"?>
<formControlPr xmlns="http://schemas.microsoft.com/office/spreadsheetml/2009/9/main" objectType="CheckBox" fmlaLink="$W$1559" lockText="1" noThreeD="1"/>
</file>

<file path=xl/ctrlProps/ctrlProp807.xml><?xml version="1.0" encoding="utf-8"?>
<formControlPr xmlns="http://schemas.microsoft.com/office/spreadsheetml/2009/9/main" objectType="CheckBox" fmlaLink="$W$1560" lockText="1" noThreeD="1"/>
</file>

<file path=xl/ctrlProps/ctrlProp808.xml><?xml version="1.0" encoding="utf-8"?>
<formControlPr xmlns="http://schemas.microsoft.com/office/spreadsheetml/2009/9/main" objectType="CheckBox" fmlaLink="$W$1563" lockText="1" noThreeD="1"/>
</file>

<file path=xl/ctrlProps/ctrlProp809.xml><?xml version="1.0" encoding="utf-8"?>
<formControlPr xmlns="http://schemas.microsoft.com/office/spreadsheetml/2009/9/main" objectType="CheckBox" fmlaLink="$W$1568" lockText="1" noThreeD="1"/>
</file>

<file path=xl/ctrlProps/ctrlProp810.xml><?xml version="1.0" encoding="utf-8"?>
<formControlPr xmlns="http://schemas.microsoft.com/office/spreadsheetml/2009/9/main" objectType="CheckBox" fmlaLink="$W$1573" lockText="1" noThreeD="1"/>
</file>

<file path=xl/ctrlProps/ctrlProp811.xml><?xml version="1.0" encoding="utf-8"?>
<formControlPr xmlns="http://schemas.microsoft.com/office/spreadsheetml/2009/9/main" objectType="CheckBox" fmlaLink="$W$1575" lockText="1" noThreeD="1"/>
</file>

<file path=xl/ctrlProps/ctrlProp812.xml><?xml version="1.0" encoding="utf-8"?>
<formControlPr xmlns="http://schemas.microsoft.com/office/spreadsheetml/2009/9/main" objectType="CheckBox" fmlaLink="$W$1584" lockText="1" noThreeD="1"/>
</file>

<file path=xl/ctrlProps/ctrlProp813.xml><?xml version="1.0" encoding="utf-8"?>
<formControlPr xmlns="http://schemas.microsoft.com/office/spreadsheetml/2009/9/main" objectType="CheckBox" fmlaLink="$W$1588" lockText="1" noThreeD="1"/>
</file>

<file path=xl/ctrlProps/ctrlProp814.xml><?xml version="1.0" encoding="utf-8"?>
<formControlPr xmlns="http://schemas.microsoft.com/office/spreadsheetml/2009/9/main" objectType="CheckBox" fmlaLink="$W$1593" lockText="1" noThreeD="1"/>
</file>

<file path=xl/ctrlProps/ctrlProp815.xml><?xml version="1.0" encoding="utf-8"?>
<formControlPr xmlns="http://schemas.microsoft.com/office/spreadsheetml/2009/9/main" objectType="CheckBox" fmlaLink="$W$1594" lockText="1" noThreeD="1"/>
</file>

<file path=xl/ctrlProps/ctrlProp816.xml><?xml version="1.0" encoding="utf-8"?>
<formControlPr xmlns="http://schemas.microsoft.com/office/spreadsheetml/2009/9/main" objectType="CheckBox" checked="Checked" fmlaLink="$W$998" lockText="1" noThreeD="1"/>
</file>

<file path=xl/ctrlProps/ctrlProp817.xml><?xml version="1.0" encoding="utf-8"?>
<formControlPr xmlns="http://schemas.microsoft.com/office/spreadsheetml/2009/9/main" objectType="CheckBox" fmlaLink="$W$1653" lockText="1" noThreeD="1"/>
</file>

<file path=xl/ctrlProps/ctrlProp818.xml><?xml version="1.0" encoding="utf-8"?>
<formControlPr xmlns="http://schemas.microsoft.com/office/spreadsheetml/2009/9/main" objectType="CheckBox" fmlaLink="$W$1658" lockText="1" noThreeD="1"/>
</file>

<file path=xl/ctrlProps/ctrlProp819.xml><?xml version="1.0" encoding="utf-8"?>
<formControlPr xmlns="http://schemas.microsoft.com/office/spreadsheetml/2009/9/main" objectType="CheckBox" checked="Checked" fmlaLink="$W$1731" lockText="1" noThreeD="1"/>
</file>

<file path=xl/ctrlProps/ctrlProp820.xml><?xml version="1.0" encoding="utf-8"?>
<formControlPr xmlns="http://schemas.microsoft.com/office/spreadsheetml/2009/9/main" objectType="CheckBox" fmlaLink="$W$1738" lockText="1" noThreeD="1"/>
</file>

<file path=xl/ctrlProps/ctrlProp821.xml><?xml version="1.0" encoding="utf-8"?>
<formControlPr xmlns="http://schemas.microsoft.com/office/spreadsheetml/2009/9/main" objectType="CheckBox" fmlaLink="$W$1740" lockText="1" noThreeD="1"/>
</file>

<file path=xl/ctrlProps/ctrlProp822.xml><?xml version="1.0" encoding="utf-8"?>
<formControlPr xmlns="http://schemas.microsoft.com/office/spreadsheetml/2009/9/main" objectType="CheckBox" fmlaLink="$W$1745" lockText="1" noThreeD="1"/>
</file>

<file path=xl/ctrlProps/ctrlProp823.xml><?xml version="1.0" encoding="utf-8"?>
<formControlPr xmlns="http://schemas.microsoft.com/office/spreadsheetml/2009/9/main" objectType="CheckBox" fmlaLink="$W$1749" lockText="1" noThreeD="1"/>
</file>

<file path=xl/ctrlProps/ctrlProp824.xml><?xml version="1.0" encoding="utf-8"?>
<formControlPr xmlns="http://schemas.microsoft.com/office/spreadsheetml/2009/9/main" objectType="CheckBox" fmlaLink="$W$1750" lockText="1" noThreeD="1"/>
</file>

<file path=xl/ctrlProps/ctrlProp825.xml><?xml version="1.0" encoding="utf-8"?>
<formControlPr xmlns="http://schemas.microsoft.com/office/spreadsheetml/2009/9/main" objectType="CheckBox" fmlaLink="$W$1751" lockText="1" noThreeD="1"/>
</file>

<file path=xl/ctrlProps/ctrlProp826.xml><?xml version="1.0" encoding="utf-8"?>
<formControlPr xmlns="http://schemas.microsoft.com/office/spreadsheetml/2009/9/main" objectType="CheckBox" fmlaLink="$W$1755" lockText="1" noThreeD="1"/>
</file>

<file path=xl/ctrlProps/ctrlProp827.xml><?xml version="1.0" encoding="utf-8"?>
<formControlPr xmlns="http://schemas.microsoft.com/office/spreadsheetml/2009/9/main" objectType="CheckBox" fmlaLink="$W$1757" lockText="1" noThreeD="1"/>
</file>

<file path=xl/ctrlProps/ctrlProp828.xml><?xml version="1.0" encoding="utf-8"?>
<formControlPr xmlns="http://schemas.microsoft.com/office/spreadsheetml/2009/9/main" objectType="CheckBox" fmlaLink="$W$1761" lockText="1" noThreeD="1"/>
</file>

<file path=xl/ctrlProps/ctrlProp829.xml><?xml version="1.0" encoding="utf-8"?>
<formControlPr xmlns="http://schemas.microsoft.com/office/spreadsheetml/2009/9/main" objectType="CheckBox" fmlaLink="$W$1763" lockText="1" noThreeD="1"/>
</file>

<file path=xl/ctrlProps/ctrlProp830.xml><?xml version="1.0" encoding="utf-8"?>
<formControlPr xmlns="http://schemas.microsoft.com/office/spreadsheetml/2009/9/main" objectType="CheckBox" fmlaLink="$W$1765" lockText="1" noThreeD="1"/>
</file>

<file path=xl/ctrlProps/ctrlProp831.xml><?xml version="1.0" encoding="utf-8"?>
<formControlPr xmlns="http://schemas.microsoft.com/office/spreadsheetml/2009/9/main" objectType="CheckBox" fmlaLink="$W$1766" lockText="1" noThreeD="1"/>
</file>

<file path=xl/ctrlProps/ctrlProp832.xml><?xml version="1.0" encoding="utf-8"?>
<formControlPr xmlns="http://schemas.microsoft.com/office/spreadsheetml/2009/9/main" objectType="CheckBox" fmlaLink="$W$1768" lockText="1" noThreeD="1"/>
</file>

<file path=xl/ctrlProps/ctrlProp833.xml><?xml version="1.0" encoding="utf-8"?>
<formControlPr xmlns="http://schemas.microsoft.com/office/spreadsheetml/2009/9/main" objectType="CheckBox" fmlaLink="$W$1788" lockText="1" noThreeD="1"/>
</file>

<file path=xl/ctrlProps/ctrlProp834.xml><?xml version="1.0" encoding="utf-8"?>
<formControlPr xmlns="http://schemas.microsoft.com/office/spreadsheetml/2009/9/main" objectType="CheckBox" fmlaLink="$W$1811" lockText="1" noThreeD="1"/>
</file>

<file path=xl/ctrlProps/ctrlProp835.xml><?xml version="1.0" encoding="utf-8"?>
<formControlPr xmlns="http://schemas.microsoft.com/office/spreadsheetml/2009/9/main" objectType="CheckBox" fmlaLink="$W$1831" lockText="1" noThreeD="1"/>
</file>

<file path=xl/ctrlProps/ctrlProp836.xml><?xml version="1.0" encoding="utf-8"?>
<formControlPr xmlns="http://schemas.microsoft.com/office/spreadsheetml/2009/9/main" objectType="CheckBox" fmlaLink="$W$1839" lockText="1" noThreeD="1"/>
</file>

<file path=xl/ctrlProps/ctrlProp837.xml><?xml version="1.0" encoding="utf-8"?>
<formControlPr xmlns="http://schemas.microsoft.com/office/spreadsheetml/2009/9/main" objectType="CheckBox" fmlaLink="$W$1848" lockText="1" noThreeD="1"/>
</file>

<file path=xl/ctrlProps/ctrlProp838.xml><?xml version="1.0" encoding="utf-8"?>
<formControlPr xmlns="http://schemas.microsoft.com/office/spreadsheetml/2009/9/main" objectType="CheckBox" fmlaLink="$W$1851" lockText="1" noThreeD="1"/>
</file>

<file path=xl/ctrlProps/ctrlProp839.xml><?xml version="1.0" encoding="utf-8"?>
<formControlPr xmlns="http://schemas.microsoft.com/office/spreadsheetml/2009/9/main" objectType="CheckBox" fmlaLink="$W$1853" lockText="1" noThreeD="1"/>
</file>

<file path=xl/ctrlProps/ctrlProp840.xml><?xml version="1.0" encoding="utf-8"?>
<formControlPr xmlns="http://schemas.microsoft.com/office/spreadsheetml/2009/9/main" objectType="CheckBox" fmlaLink="$W$2018" lockText="1" noThreeD="1"/>
</file>

<file path=xl/ctrlProps/ctrlProp841.xml><?xml version="1.0" encoding="utf-8"?>
<formControlPr xmlns="http://schemas.microsoft.com/office/spreadsheetml/2009/9/main" objectType="CheckBox" fmlaLink="$W$2073" lockText="1" noThreeD="1"/>
</file>

<file path=xl/ctrlProps/ctrlProp842.xml><?xml version="1.0" encoding="utf-8"?>
<formControlPr xmlns="http://schemas.microsoft.com/office/spreadsheetml/2009/9/main" objectType="CheckBox" checked="Checked" fmlaLink="$W$2096" lockText="1" noThreeD="1"/>
</file>

<file path=xl/ctrlProps/ctrlProp843.xml><?xml version="1.0" encoding="utf-8"?>
<formControlPr xmlns="http://schemas.microsoft.com/office/spreadsheetml/2009/9/main" objectType="CheckBox" fmlaLink="$W$2147" lockText="1" noThreeD="1"/>
</file>

<file path=xl/ctrlProps/ctrlProp844.xml><?xml version="1.0" encoding="utf-8"?>
<formControlPr xmlns="http://schemas.microsoft.com/office/spreadsheetml/2009/9/main" objectType="CheckBox" fmlaLink="$W$2149" lockText="1" noThreeD="1"/>
</file>

<file path=xl/ctrlProps/ctrlProp845.xml><?xml version="1.0" encoding="utf-8"?>
<formControlPr xmlns="http://schemas.microsoft.com/office/spreadsheetml/2009/9/main" objectType="CheckBox" fmlaLink="$W$2172" lockText="1" noThreeD="1"/>
</file>

<file path=xl/ctrlProps/ctrlProp846.xml><?xml version="1.0" encoding="utf-8"?>
<formControlPr xmlns="http://schemas.microsoft.com/office/spreadsheetml/2009/9/main" objectType="CheckBox" fmlaLink="$W$2181" lockText="1" noThreeD="1"/>
</file>

<file path=xl/ctrlProps/ctrlProp847.xml><?xml version="1.0" encoding="utf-8"?>
<formControlPr xmlns="http://schemas.microsoft.com/office/spreadsheetml/2009/9/main" objectType="CheckBox" checked="Checked" fmlaLink="$W$2216" lockText="1" noThreeD="1"/>
</file>

<file path=xl/ctrlProps/ctrlProp848.xml><?xml version="1.0" encoding="utf-8"?>
<formControlPr xmlns="http://schemas.microsoft.com/office/spreadsheetml/2009/9/main" objectType="CheckBox" checked="Checked" fmlaLink="$W$2223" lockText="1" noThreeD="1"/>
</file>

<file path=xl/ctrlProps/ctrlProp849.xml><?xml version="1.0" encoding="utf-8"?>
<formControlPr xmlns="http://schemas.microsoft.com/office/spreadsheetml/2009/9/main" objectType="CheckBox" fmlaLink="$W$2235" lockText="1" noThreeD="1"/>
</file>

<file path=xl/ctrlProps/ctrlProp850.xml><?xml version="1.0" encoding="utf-8"?>
<formControlPr xmlns="http://schemas.microsoft.com/office/spreadsheetml/2009/9/main" objectType="CheckBox" fmlaLink="$W$2236" lockText="1" noThreeD="1"/>
</file>

<file path=xl/ctrlProps/ctrlProp851.xml><?xml version="1.0" encoding="utf-8"?>
<formControlPr xmlns="http://schemas.microsoft.com/office/spreadsheetml/2009/9/main" objectType="CheckBox" fmlaLink="$W$2238" lockText="1" noThreeD="1"/>
</file>

<file path=xl/ctrlProps/ctrlProp852.xml><?xml version="1.0" encoding="utf-8"?>
<formControlPr xmlns="http://schemas.microsoft.com/office/spreadsheetml/2009/9/main" objectType="CheckBox" fmlaLink="$W$2243" lockText="1" noThreeD="1"/>
</file>

<file path=xl/ctrlProps/ctrlProp853.xml><?xml version="1.0" encoding="utf-8"?>
<formControlPr xmlns="http://schemas.microsoft.com/office/spreadsheetml/2009/9/main" objectType="CheckBox" checked="Checked" fmlaLink="$W$2399" lockText="1" noThreeD="1"/>
</file>

<file path=xl/ctrlProps/ctrlProp854.xml><?xml version="1.0" encoding="utf-8"?>
<formControlPr xmlns="http://schemas.microsoft.com/office/spreadsheetml/2009/9/main" objectType="CheckBox" checked="Checked" fmlaLink="$W$2416" lockText="1" noThreeD="1"/>
</file>

<file path=xl/ctrlProps/ctrlProp855.xml><?xml version="1.0" encoding="utf-8"?>
<formControlPr xmlns="http://schemas.microsoft.com/office/spreadsheetml/2009/9/main" objectType="CheckBox" checked="Checked" fmlaLink="$W$2417" lockText="1" noThreeD="1"/>
</file>

<file path=xl/ctrlProps/ctrlProp856.xml><?xml version="1.0" encoding="utf-8"?>
<formControlPr xmlns="http://schemas.microsoft.com/office/spreadsheetml/2009/9/main" objectType="CheckBox" checked="Checked" fmlaLink="$W$2418" lockText="1" noThreeD="1"/>
</file>

<file path=xl/ctrlProps/ctrlProp857.xml><?xml version="1.0" encoding="utf-8"?>
<formControlPr xmlns="http://schemas.microsoft.com/office/spreadsheetml/2009/9/main" objectType="CheckBox" checked="Checked" fmlaLink="$W$2420" lockText="1" noThreeD="1"/>
</file>

<file path=xl/ctrlProps/ctrlProp858.xml><?xml version="1.0" encoding="utf-8"?>
<formControlPr xmlns="http://schemas.microsoft.com/office/spreadsheetml/2009/9/main" objectType="CheckBox" checked="Checked" fmlaLink="$W$2421" lockText="1" noThreeD="1"/>
</file>

<file path=xl/ctrlProps/ctrlProp859.xml><?xml version="1.0" encoding="utf-8"?>
<formControlPr xmlns="http://schemas.microsoft.com/office/spreadsheetml/2009/9/main" objectType="CheckBox" checked="Checked" fmlaLink="$W$2422" lockText="1" noThreeD="1"/>
</file>

<file path=xl/ctrlProps/ctrlProp860.xml><?xml version="1.0" encoding="utf-8"?>
<formControlPr xmlns="http://schemas.microsoft.com/office/spreadsheetml/2009/9/main" objectType="CheckBox" checked="Checked" fmlaLink="$W$2423" lockText="1" noThreeD="1"/>
</file>

<file path=xl/ctrlProps/ctrlProp861.xml><?xml version="1.0" encoding="utf-8"?>
<formControlPr xmlns="http://schemas.microsoft.com/office/spreadsheetml/2009/9/main" objectType="CheckBox" checked="Checked" fmlaLink="$W$2424" lockText="1" noThreeD="1"/>
</file>

<file path=xl/ctrlProps/ctrlProp862.xml><?xml version="1.0" encoding="utf-8"?>
<formControlPr xmlns="http://schemas.microsoft.com/office/spreadsheetml/2009/9/main" objectType="CheckBox" checked="Checked" fmlaLink="$W$2425" lockText="1" noThreeD="1"/>
</file>

<file path=xl/ctrlProps/ctrlProp863.xml><?xml version="1.0" encoding="utf-8"?>
<formControlPr xmlns="http://schemas.microsoft.com/office/spreadsheetml/2009/9/main" objectType="CheckBox" fmlaLink="$W$2430" lockText="1" noThreeD="1"/>
</file>

<file path=xl/ctrlProps/ctrlProp864.xml><?xml version="1.0" encoding="utf-8"?>
<formControlPr xmlns="http://schemas.microsoft.com/office/spreadsheetml/2009/9/main" objectType="CheckBox" fmlaLink="$W$2431" lockText="1" noThreeD="1"/>
</file>

<file path=xl/ctrlProps/ctrlProp865.xml><?xml version="1.0" encoding="utf-8"?>
<formControlPr xmlns="http://schemas.microsoft.com/office/spreadsheetml/2009/9/main" objectType="CheckBox" fmlaLink="$W$2432" lockText="1" noThreeD="1"/>
</file>

<file path=xl/ctrlProps/ctrlProp866.xml><?xml version="1.0" encoding="utf-8"?>
<formControlPr xmlns="http://schemas.microsoft.com/office/spreadsheetml/2009/9/main" objectType="CheckBox" fmlaLink="$W$2433" lockText="1" noThreeD="1"/>
</file>

<file path=xl/ctrlProps/ctrlProp867.xml><?xml version="1.0" encoding="utf-8"?>
<formControlPr xmlns="http://schemas.microsoft.com/office/spreadsheetml/2009/9/main" objectType="CheckBox" fmlaLink="$W$2434" lockText="1" noThreeD="1"/>
</file>

<file path=xl/ctrlProps/ctrlProp868.xml><?xml version="1.0" encoding="utf-8"?>
<formControlPr xmlns="http://schemas.microsoft.com/office/spreadsheetml/2009/9/main" objectType="CheckBox" fmlaLink="$W$2435" lockText="1" noThreeD="1"/>
</file>

<file path=xl/ctrlProps/ctrlProp869.xml><?xml version="1.0" encoding="utf-8"?>
<formControlPr xmlns="http://schemas.microsoft.com/office/spreadsheetml/2009/9/main" objectType="CheckBox" fmlaLink="$W$2436" lockText="1" noThreeD="1"/>
</file>

<file path=xl/ctrlProps/ctrlProp870.xml><?xml version="1.0" encoding="utf-8"?>
<formControlPr xmlns="http://schemas.microsoft.com/office/spreadsheetml/2009/9/main" objectType="CheckBox" fmlaLink="$W$2452" lockText="1" noThreeD="1"/>
</file>

<file path=xl/ctrlProps/ctrlProp871.xml><?xml version="1.0" encoding="utf-8"?>
<formControlPr xmlns="http://schemas.microsoft.com/office/spreadsheetml/2009/9/main" objectType="CheckBox" fmlaLink="$W$2455" lockText="1" noThreeD="1"/>
</file>

<file path=xl/ctrlProps/ctrlProp872.xml><?xml version="1.0" encoding="utf-8"?>
<formControlPr xmlns="http://schemas.microsoft.com/office/spreadsheetml/2009/9/main" objectType="CheckBox" fmlaLink="$W$930" lockText="1" noThreeD="1"/>
</file>

<file path=xl/ctrlProps/ctrlProp873.xml><?xml version="1.0" encoding="utf-8"?>
<formControlPr xmlns="http://schemas.microsoft.com/office/spreadsheetml/2009/9/main" objectType="CheckBox" fmlaLink="$W$28" lockText="1" noThreeD="1"/>
</file>

<file path=xl/ctrlProps/ctrlProp874.xml><?xml version="1.0" encoding="utf-8"?>
<formControlPr xmlns="http://schemas.microsoft.com/office/spreadsheetml/2009/9/main" objectType="CheckBox" fmlaLink="$W$31" lockText="1" noThreeD="1"/>
</file>

<file path=xl/ctrlProps/ctrlProp875.xml><?xml version="1.0" encoding="utf-8"?>
<formControlPr xmlns="http://schemas.microsoft.com/office/spreadsheetml/2009/9/main" objectType="CheckBox" fmlaLink="$W$33" lockText="1" noThreeD="1"/>
</file>

<file path=xl/ctrlProps/ctrlProp876.xml><?xml version="1.0" encoding="utf-8"?>
<formControlPr xmlns="http://schemas.microsoft.com/office/spreadsheetml/2009/9/main" objectType="CheckBox" fmlaLink="$W$35" lockText="1" noThreeD="1"/>
</file>

<file path=xl/ctrlProps/ctrlProp877.xml><?xml version="1.0" encoding="utf-8"?>
<formControlPr xmlns="http://schemas.microsoft.com/office/spreadsheetml/2009/9/main" objectType="CheckBox" fmlaLink="$W$38" lockText="1" noThreeD="1"/>
</file>

<file path=xl/ctrlProps/ctrlProp878.xml><?xml version="1.0" encoding="utf-8"?>
<formControlPr xmlns="http://schemas.microsoft.com/office/spreadsheetml/2009/9/main" objectType="CheckBox" fmlaLink="$W$82" lockText="1" noThreeD="1"/>
</file>

<file path=xl/ctrlProps/ctrlProp879.xml><?xml version="1.0" encoding="utf-8"?>
<formControlPr xmlns="http://schemas.microsoft.com/office/spreadsheetml/2009/9/main" objectType="CheckBox" fmlaLink="$W$84" lockText="1" noThreeD="1"/>
</file>

<file path=xl/ctrlProps/ctrlProp880.xml><?xml version="1.0" encoding="utf-8"?>
<formControlPr xmlns="http://schemas.microsoft.com/office/spreadsheetml/2009/9/main" objectType="CheckBox" fmlaLink="$W$86" lockText="1" noThreeD="1"/>
</file>

<file path=xl/ctrlProps/ctrlProp881.xml><?xml version="1.0" encoding="utf-8"?>
<formControlPr xmlns="http://schemas.microsoft.com/office/spreadsheetml/2009/9/main" objectType="CheckBox" fmlaLink="$W$89" lockText="1" noThreeD="1"/>
</file>

<file path=xl/ctrlProps/ctrlProp882.xml><?xml version="1.0" encoding="utf-8"?>
<formControlPr xmlns="http://schemas.microsoft.com/office/spreadsheetml/2009/9/main" objectType="CheckBox" fmlaLink="$W$91" lockText="1" noThreeD="1"/>
</file>

<file path=xl/ctrlProps/ctrlProp883.xml><?xml version="1.0" encoding="utf-8"?>
<formControlPr xmlns="http://schemas.microsoft.com/office/spreadsheetml/2009/9/main" objectType="CheckBox" fmlaLink="$W$93" lockText="1" noThreeD="1"/>
</file>

<file path=xl/ctrlProps/ctrlProp884.xml><?xml version="1.0" encoding="utf-8"?>
<formControlPr xmlns="http://schemas.microsoft.com/office/spreadsheetml/2009/9/main" objectType="CheckBox" fmlaLink="$W$95" lockText="1" noThreeD="1"/>
</file>

<file path=xl/ctrlProps/ctrlProp885.xml><?xml version="1.0" encoding="utf-8"?>
<formControlPr xmlns="http://schemas.microsoft.com/office/spreadsheetml/2009/9/main" objectType="CheckBox" fmlaLink="$W$260" lockText="1" noThreeD="1"/>
</file>

<file path=xl/ctrlProps/ctrlProp886.xml><?xml version="1.0" encoding="utf-8"?>
<formControlPr xmlns="http://schemas.microsoft.com/office/spreadsheetml/2009/9/main" objectType="CheckBox" fmlaLink="$W$264" lockText="1" noThreeD="1"/>
</file>

<file path=xl/ctrlProps/ctrlProp887.xml><?xml version="1.0" encoding="utf-8"?>
<formControlPr xmlns="http://schemas.microsoft.com/office/spreadsheetml/2009/9/main" objectType="CheckBox" fmlaLink="$W$274" lockText="1" noThreeD="1"/>
</file>

<file path=xl/ctrlProps/ctrlProp888.xml><?xml version="1.0" encoding="utf-8"?>
<formControlPr xmlns="http://schemas.microsoft.com/office/spreadsheetml/2009/9/main" objectType="CheckBox" fmlaLink="$W$278" lockText="1" noThreeD="1"/>
</file>

<file path=xl/ctrlProps/ctrlProp889.xml><?xml version="1.0" encoding="utf-8"?>
<formControlPr xmlns="http://schemas.microsoft.com/office/spreadsheetml/2009/9/main" objectType="CheckBox" fmlaLink="$W$298" lockText="1" noThreeD="1"/>
</file>

<file path=xl/ctrlProps/ctrlProp890.xml><?xml version="1.0" encoding="utf-8"?>
<formControlPr xmlns="http://schemas.microsoft.com/office/spreadsheetml/2009/9/main" objectType="CheckBox" fmlaLink="$W$304" lockText="1" noThreeD="1"/>
</file>

<file path=xl/ctrlProps/ctrlProp891.xml><?xml version="1.0" encoding="utf-8"?>
<formControlPr xmlns="http://schemas.microsoft.com/office/spreadsheetml/2009/9/main" objectType="CheckBox" fmlaLink="$W$308" lockText="1" noThreeD="1"/>
</file>

<file path=xl/ctrlProps/ctrlProp892.xml><?xml version="1.0" encoding="utf-8"?>
<formControlPr xmlns="http://schemas.microsoft.com/office/spreadsheetml/2009/9/main" objectType="CheckBox" fmlaLink="$W$311" lockText="1" noThreeD="1"/>
</file>

<file path=xl/ctrlProps/ctrlProp893.xml><?xml version="1.0" encoding="utf-8"?>
<formControlPr xmlns="http://schemas.microsoft.com/office/spreadsheetml/2009/9/main" objectType="CheckBox" fmlaLink="$W$315" lockText="1" noThreeD="1"/>
</file>

<file path=xl/ctrlProps/ctrlProp894.xml><?xml version="1.0" encoding="utf-8"?>
<formControlPr xmlns="http://schemas.microsoft.com/office/spreadsheetml/2009/9/main" objectType="CheckBox" fmlaLink="$W$317" lockText="1" noThreeD="1"/>
</file>

<file path=xl/ctrlProps/ctrlProp895.xml><?xml version="1.0" encoding="utf-8"?>
<formControlPr xmlns="http://schemas.microsoft.com/office/spreadsheetml/2009/9/main" objectType="CheckBox" fmlaLink="$W$357" lockText="1" noThreeD="1"/>
</file>

<file path=xl/ctrlProps/ctrlProp896.xml><?xml version="1.0" encoding="utf-8"?>
<formControlPr xmlns="http://schemas.microsoft.com/office/spreadsheetml/2009/9/main" objectType="CheckBox" fmlaLink="$W$366" lockText="1" noThreeD="1"/>
</file>

<file path=xl/ctrlProps/ctrlProp897.xml><?xml version="1.0" encoding="utf-8"?>
<formControlPr xmlns="http://schemas.microsoft.com/office/spreadsheetml/2009/9/main" objectType="CheckBox" fmlaLink="$W$412" lockText="1" noThreeD="1"/>
</file>

<file path=xl/ctrlProps/ctrlProp898.xml><?xml version="1.0" encoding="utf-8"?>
<formControlPr xmlns="http://schemas.microsoft.com/office/spreadsheetml/2009/9/main" objectType="CheckBox" fmlaLink="$W$419" lockText="1" noThreeD="1"/>
</file>

<file path=xl/ctrlProps/ctrlProp899.xml><?xml version="1.0" encoding="utf-8"?>
<formControlPr xmlns="http://schemas.microsoft.com/office/spreadsheetml/2009/9/main" objectType="CheckBox" fmlaLink="$W$420" lockText="1" noThreeD="1"/>
</file>

<file path=xl/ctrlProps/ctrlProp900.xml><?xml version="1.0" encoding="utf-8"?>
<formControlPr xmlns="http://schemas.microsoft.com/office/spreadsheetml/2009/9/main" objectType="CheckBox" fmlaLink="$W$543" lockText="1" noThreeD="1"/>
</file>

<file path=xl/ctrlProps/ctrlProp901.xml><?xml version="1.0" encoding="utf-8"?>
<formControlPr xmlns="http://schemas.microsoft.com/office/spreadsheetml/2009/9/main" objectType="CheckBox" fmlaLink="$W$545" lockText="1" noThreeD="1"/>
</file>

<file path=xl/ctrlProps/ctrlProp902.xml><?xml version="1.0" encoding="utf-8"?>
<formControlPr xmlns="http://schemas.microsoft.com/office/spreadsheetml/2009/9/main" objectType="CheckBox" fmlaLink="$W$552" lockText="1" noThreeD="1"/>
</file>

<file path=xl/ctrlProps/ctrlProp903.xml><?xml version="1.0" encoding="utf-8"?>
<formControlPr xmlns="http://schemas.microsoft.com/office/spreadsheetml/2009/9/main" objectType="CheckBox" fmlaLink="$W$555" lockText="1" noThreeD="1"/>
</file>

<file path=xl/ctrlProps/ctrlProp904.xml><?xml version="1.0" encoding="utf-8"?>
<formControlPr xmlns="http://schemas.microsoft.com/office/spreadsheetml/2009/9/main" objectType="CheckBox" fmlaLink="$W$557" lockText="1" noThreeD="1"/>
</file>

<file path=xl/ctrlProps/ctrlProp905.xml><?xml version="1.0" encoding="utf-8"?>
<formControlPr xmlns="http://schemas.microsoft.com/office/spreadsheetml/2009/9/main" objectType="CheckBox" fmlaLink="$W$630" lockText="1" noThreeD="1"/>
</file>

<file path=xl/ctrlProps/ctrlProp906.xml><?xml version="1.0" encoding="utf-8"?>
<formControlPr xmlns="http://schemas.microsoft.com/office/spreadsheetml/2009/9/main" objectType="CheckBox" fmlaLink="$W$643" lockText="1" noThreeD="1"/>
</file>

<file path=xl/ctrlProps/ctrlProp907.xml><?xml version="1.0" encoding="utf-8"?>
<formControlPr xmlns="http://schemas.microsoft.com/office/spreadsheetml/2009/9/main" objectType="CheckBox" fmlaLink="$W$211" lockText="1" noThreeD="1"/>
</file>

<file path=xl/ctrlProps/ctrlProp908.xml><?xml version="1.0" encoding="utf-8"?>
<formControlPr xmlns="http://schemas.microsoft.com/office/spreadsheetml/2009/9/main" objectType="CheckBox" fmlaLink="$W$212" lockText="1" noThreeD="1"/>
</file>

<file path=xl/ctrlProps/ctrlProp909.xml><?xml version="1.0" encoding="utf-8"?>
<formControlPr xmlns="http://schemas.microsoft.com/office/spreadsheetml/2009/9/main" objectType="CheckBox" fmlaLink="$W$214" lockText="1" noThreeD="1"/>
</file>

<file path=xl/ctrlProps/ctrlProp910.xml><?xml version="1.0" encoding="utf-8"?>
<formControlPr xmlns="http://schemas.microsoft.com/office/spreadsheetml/2009/9/main" objectType="CheckBox" fmlaLink="$W$216" lockText="1" noThreeD="1"/>
</file>

<file path=xl/ctrlProps/ctrlProp911.xml><?xml version="1.0" encoding="utf-8"?>
<formControlPr xmlns="http://schemas.microsoft.com/office/spreadsheetml/2009/9/main" objectType="CheckBox" fmlaLink="$W$218" lockText="1" noThreeD="1"/>
</file>

<file path=xl/ctrlProps/ctrlProp912.xml><?xml version="1.0" encoding="utf-8"?>
<formControlPr xmlns="http://schemas.microsoft.com/office/spreadsheetml/2009/9/main" objectType="CheckBox" fmlaLink="$W$220" lockText="1" noThreeD="1"/>
</file>

<file path=xl/ctrlProps/ctrlProp913.xml><?xml version="1.0" encoding="utf-8"?>
<formControlPr xmlns="http://schemas.microsoft.com/office/spreadsheetml/2009/9/main" objectType="CheckBox" fmlaLink="$W$222" lockText="1" noThreeD="1"/>
</file>

<file path=xl/ctrlProps/ctrlProp914.xml><?xml version="1.0" encoding="utf-8"?>
<formControlPr xmlns="http://schemas.microsoft.com/office/spreadsheetml/2009/9/main" objectType="CheckBox" fmlaLink="$W$445" lockText="1" noThreeD="1"/>
</file>

<file path=xl/ctrlProps/ctrlProp915.xml><?xml version="1.0" encoding="utf-8"?>
<formControlPr xmlns="http://schemas.microsoft.com/office/spreadsheetml/2009/9/main" objectType="CheckBox" fmlaLink="$W$447" lockText="1" noThreeD="1"/>
</file>

<file path=xl/ctrlProps/ctrlProp916.xml><?xml version="1.0" encoding="utf-8"?>
<formControlPr xmlns="http://schemas.microsoft.com/office/spreadsheetml/2009/9/main" objectType="CheckBox" fmlaLink="$W$471" lockText="1" noThreeD="1"/>
</file>

<file path=xl/ctrlProps/ctrlProp917.xml><?xml version="1.0" encoding="utf-8"?>
<formControlPr xmlns="http://schemas.microsoft.com/office/spreadsheetml/2009/9/main" objectType="CheckBox" fmlaLink="$W$482" lockText="1" noThreeD="1"/>
</file>

<file path=xl/ctrlProps/ctrlProp918.xml><?xml version="1.0" encoding="utf-8"?>
<formControlPr xmlns="http://schemas.microsoft.com/office/spreadsheetml/2009/9/main" objectType="CheckBox" fmlaLink="$W$484" lockText="1" noThreeD="1"/>
</file>

<file path=xl/ctrlProps/ctrlProp919.xml><?xml version="1.0" encoding="utf-8"?>
<formControlPr xmlns="http://schemas.microsoft.com/office/spreadsheetml/2009/9/main" objectType="CheckBox" fmlaLink="$W$485" lockText="1" noThreeD="1"/>
</file>

<file path=xl/ctrlProps/ctrlProp920.xml><?xml version="1.0" encoding="utf-8"?>
<formControlPr xmlns="http://schemas.microsoft.com/office/spreadsheetml/2009/9/main" objectType="CheckBox" fmlaLink="$W$487" lockText="1" noThreeD="1"/>
</file>

<file path=xl/ctrlProps/ctrlProp921.xml><?xml version="1.0" encoding="utf-8"?>
<formControlPr xmlns="http://schemas.microsoft.com/office/spreadsheetml/2009/9/main" objectType="CheckBox" fmlaLink="$W$492" lockText="1" noThreeD="1"/>
</file>

<file path=xl/ctrlProps/ctrlProp922.xml><?xml version="1.0" encoding="utf-8"?>
<formControlPr xmlns="http://schemas.microsoft.com/office/spreadsheetml/2009/9/main" objectType="CheckBox" fmlaLink="$W$501" lockText="1" noThreeD="1"/>
</file>

<file path=xl/ctrlProps/ctrlProp923.xml><?xml version="1.0" encoding="utf-8"?>
<formControlPr xmlns="http://schemas.microsoft.com/office/spreadsheetml/2009/9/main" objectType="CheckBox" fmlaLink="$W$506" lockText="1" noThreeD="1"/>
</file>

<file path=xl/ctrlProps/ctrlProp924.xml><?xml version="1.0" encoding="utf-8"?>
<formControlPr xmlns="http://schemas.microsoft.com/office/spreadsheetml/2009/9/main" objectType="CheckBox" fmlaLink="$W$507" lockText="1" noThreeD="1"/>
</file>

<file path=xl/ctrlProps/ctrlProp925.xml><?xml version="1.0" encoding="utf-8"?>
<formControlPr xmlns="http://schemas.microsoft.com/office/spreadsheetml/2009/9/main" objectType="CheckBox" fmlaLink="$W$511" lockText="1" noThreeD="1"/>
</file>

<file path=xl/ctrlProps/ctrlProp926.xml><?xml version="1.0" encoding="utf-8"?>
<formControlPr xmlns="http://schemas.microsoft.com/office/spreadsheetml/2009/9/main" objectType="CheckBox" fmlaLink="$W$567" lockText="1" noThreeD="1"/>
</file>

<file path=xl/ctrlProps/ctrlProp927.xml><?xml version="1.0" encoding="utf-8"?>
<formControlPr xmlns="http://schemas.microsoft.com/office/spreadsheetml/2009/9/main" objectType="CheckBox" fmlaLink="$W$605" lockText="1" noThreeD="1"/>
</file>

<file path=xl/ctrlProps/ctrlProp928.xml><?xml version="1.0" encoding="utf-8"?>
<formControlPr xmlns="http://schemas.microsoft.com/office/spreadsheetml/2009/9/main" objectType="CheckBox" fmlaLink="$W$607" lockText="1" noThreeD="1"/>
</file>

<file path=xl/ctrlProps/ctrlProp929.xml><?xml version="1.0" encoding="utf-8"?>
<formControlPr xmlns="http://schemas.microsoft.com/office/spreadsheetml/2009/9/main" objectType="CheckBox" fmlaLink="$G$39" lockText="1" noThreeD="1"/>
</file>

<file path=xl/ctrlProps/ctrlProp930.xml><?xml version="1.0" encoding="utf-8"?>
<formControlPr xmlns="http://schemas.microsoft.com/office/spreadsheetml/2009/9/main" objectType="CheckBox" fmlaLink="$G$39" lockText="1" noThreeD="1"/>
</file>

<file path=xl/ctrlProps/ctrlProp931.xml><?xml version="1.0" encoding="utf-8"?>
<formControlPr xmlns="http://schemas.microsoft.com/office/spreadsheetml/2009/9/main" objectType="CheckBox" fmlaLink="$G$39" lockText="1" noThreeD="1"/>
</file>

<file path=xl/ctrlProps/ctrlProp932.xml><?xml version="1.0" encoding="utf-8"?>
<formControlPr xmlns="http://schemas.microsoft.com/office/spreadsheetml/2009/9/main" objectType="CheckBox" fmlaLink="$M$106" lockText="1" noThreeD="1"/>
</file>

<file path=xl/ctrlProps/ctrlProp933.xml><?xml version="1.0" encoding="utf-8"?>
<formControlPr xmlns="http://schemas.microsoft.com/office/spreadsheetml/2009/9/main" objectType="CheckBox" fmlaLink="$M$107" lockText="1" noThreeD="1"/>
</file>

<file path=xl/ctrlProps/ctrlProp934.xml><?xml version="1.0" encoding="utf-8"?>
<formControlPr xmlns="http://schemas.microsoft.com/office/spreadsheetml/2009/9/main" objectType="CheckBox" fmlaLink="$M$108" lockText="1" noThreeD="1"/>
</file>

<file path=xl/ctrlProps/ctrlProp935.xml><?xml version="1.0" encoding="utf-8"?>
<formControlPr xmlns="http://schemas.microsoft.com/office/spreadsheetml/2009/9/main" objectType="CheckBox" fmlaLink="$M$109" lockText="1" noThreeD="1"/>
</file>

<file path=xl/ctrlProps/ctrlProp936.xml><?xml version="1.0" encoding="utf-8"?>
<formControlPr xmlns="http://schemas.microsoft.com/office/spreadsheetml/2009/9/main" objectType="CheckBox" fmlaLink="$M$110" lockText="1" noThreeD="1"/>
</file>

<file path=xl/ctrlProps/ctrlProp937.xml><?xml version="1.0" encoding="utf-8"?>
<formControlPr xmlns="http://schemas.microsoft.com/office/spreadsheetml/2009/9/main" objectType="CheckBox" fmlaLink="$M$111" lockText="1" noThreeD="1"/>
</file>

<file path=xl/ctrlProps/ctrlProp938.xml><?xml version="1.0" encoding="utf-8"?>
<formControlPr xmlns="http://schemas.microsoft.com/office/spreadsheetml/2009/9/main" objectType="CheckBox" fmlaLink="$M$112" lockText="1" noThreeD="1"/>
</file>

<file path=xl/ctrlProps/ctrlProp939.xml><?xml version="1.0" encoding="utf-8"?>
<formControlPr xmlns="http://schemas.microsoft.com/office/spreadsheetml/2009/9/main" objectType="CheckBox" fmlaLink="$M$113" lockText="1" noThreeD="1"/>
</file>

<file path=xl/ctrlProps/ctrlProp940.xml><?xml version="1.0" encoding="utf-8"?>
<formControlPr xmlns="http://schemas.microsoft.com/office/spreadsheetml/2009/9/main" objectType="CheckBox" fmlaLink="$M$114" lockText="1" noThreeD="1"/>
</file>

<file path=xl/ctrlProps/ctrlProp941.xml><?xml version="1.0" encoding="utf-8"?>
<formControlPr xmlns="http://schemas.microsoft.com/office/spreadsheetml/2009/9/main" objectType="CheckBox" fmlaLink="$M$105" lockText="1" noThreeD="1"/>
</file>

<file path=xl/ctrlProps/ctrlProp942.xml><?xml version="1.0" encoding="utf-8"?>
<formControlPr xmlns="http://schemas.microsoft.com/office/spreadsheetml/2009/9/main" objectType="CheckBox" fmlaLink="$M$106" lockText="1" noThreeD="1"/>
</file>

<file path=xl/ctrlProps/ctrlProp943.xml><?xml version="1.0" encoding="utf-8"?>
<formControlPr xmlns="http://schemas.microsoft.com/office/spreadsheetml/2009/9/main" objectType="CheckBox" fmlaLink="$M$107" lockText="1" noThreeD="1"/>
</file>

<file path=xl/ctrlProps/ctrlProp944.xml><?xml version="1.0" encoding="utf-8"?>
<formControlPr xmlns="http://schemas.microsoft.com/office/spreadsheetml/2009/9/main" objectType="CheckBox" fmlaLink="$M$108" lockText="1" noThreeD="1"/>
</file>

<file path=xl/ctrlProps/ctrlProp945.xml><?xml version="1.0" encoding="utf-8"?>
<formControlPr xmlns="http://schemas.microsoft.com/office/spreadsheetml/2009/9/main" objectType="CheckBox" fmlaLink="$M$109" lockText="1" noThreeD="1"/>
</file>

<file path=xl/ctrlProps/ctrlProp946.xml><?xml version="1.0" encoding="utf-8"?>
<formControlPr xmlns="http://schemas.microsoft.com/office/spreadsheetml/2009/9/main" objectType="CheckBox" fmlaLink="$M$110" lockText="1" noThreeD="1"/>
</file>

<file path=xl/ctrlProps/ctrlProp947.xml><?xml version="1.0" encoding="utf-8"?>
<formControlPr xmlns="http://schemas.microsoft.com/office/spreadsheetml/2009/9/main" objectType="CheckBox" fmlaLink="$M$111" lockText="1" noThreeD="1"/>
</file>

<file path=xl/ctrlProps/ctrlProp948.xml><?xml version="1.0" encoding="utf-8"?>
<formControlPr xmlns="http://schemas.microsoft.com/office/spreadsheetml/2009/9/main" objectType="CheckBox" fmlaLink="$M$112" lockText="1" noThreeD="1"/>
</file>

<file path=xl/ctrlProps/ctrlProp949.xml><?xml version="1.0" encoding="utf-8"?>
<formControlPr xmlns="http://schemas.microsoft.com/office/spreadsheetml/2009/9/main" objectType="CheckBox" fmlaLink="$M$113" lockText="1" noThreeD="1"/>
</file>

<file path=xl/ctrlProps/ctrlProp950.xml><?xml version="1.0" encoding="utf-8"?>
<formControlPr xmlns="http://schemas.microsoft.com/office/spreadsheetml/2009/9/main" objectType="CheckBox" fmlaLink="$M$114" lockText="1" noThreeD="1"/>
</file>

<file path=xl/ctrlProps/ctrlProp951.xml><?xml version="1.0" encoding="utf-8"?>
<formControlPr xmlns="http://schemas.microsoft.com/office/spreadsheetml/2009/9/main" objectType="CheckBox" fmlaLink="$M$105" lockText="1" noThreeD="1"/>
</file>

<file path=xl/ctrlProps/ctrlProp952.xml><?xml version="1.0" encoding="utf-8"?>
<formControlPr xmlns="http://schemas.microsoft.com/office/spreadsheetml/2009/9/main" objectType="CheckBox" fmlaLink="$M$115" lockText="1" noThreeD="1"/>
</file>

<file path=xl/ctrlProps/ctrlProp953.xml><?xml version="1.0" encoding="utf-8"?>
<formControlPr xmlns="http://schemas.microsoft.com/office/spreadsheetml/2009/9/main" objectType="CheckBox" fmlaLink="$M$116" lockText="1" noThreeD="1"/>
</file>

<file path=xl/ctrlProps/ctrlProp954.xml><?xml version="1.0" encoding="utf-8"?>
<formControlPr xmlns="http://schemas.microsoft.com/office/spreadsheetml/2009/9/main" objectType="CheckBox" fmlaLink="$M$117" lockText="1" noThreeD="1"/>
</file>

<file path=xl/ctrlProps/ctrlProp955.xml><?xml version="1.0" encoding="utf-8"?>
<formControlPr xmlns="http://schemas.microsoft.com/office/spreadsheetml/2009/9/main" objectType="CheckBox" fmlaLink="$M$118" lockText="1" noThreeD="1"/>
</file>

<file path=xl/ctrlProps/ctrlProp956.xml><?xml version="1.0" encoding="utf-8"?>
<formControlPr xmlns="http://schemas.microsoft.com/office/spreadsheetml/2009/9/main" objectType="CheckBox" fmlaLink="$M$119" lockText="1" noThreeD="1"/>
</file>

<file path=xl/ctrlProps/ctrlProp957.xml><?xml version="1.0" encoding="utf-8"?>
<formControlPr xmlns="http://schemas.microsoft.com/office/spreadsheetml/2009/9/main" objectType="CheckBox" fmlaLink="$M$120" lockText="1" noThreeD="1"/>
</file>

<file path=xl/ctrlProps/ctrlProp958.xml><?xml version="1.0" encoding="utf-8"?>
<formControlPr xmlns="http://schemas.microsoft.com/office/spreadsheetml/2009/9/main" objectType="CheckBox" fmlaLink="$M$121" lockText="1" noThreeD="1"/>
</file>

<file path=xl/ctrlProps/ctrlProp959.xml><?xml version="1.0" encoding="utf-8"?>
<formControlPr xmlns="http://schemas.microsoft.com/office/spreadsheetml/2009/9/main" objectType="CheckBox" fmlaLink="$M$122" lockText="1" noThreeD="1"/>
</file>

<file path=xl/ctrlProps/ctrlProp960.xml><?xml version="1.0" encoding="utf-8"?>
<formControlPr xmlns="http://schemas.microsoft.com/office/spreadsheetml/2009/9/main" objectType="CheckBox" fmlaLink="$M$123" lockText="1" noThreeD="1"/>
</file>

<file path=xl/ctrlProps/ctrlProp961.xml><?xml version="1.0" encoding="utf-8"?>
<formControlPr xmlns="http://schemas.microsoft.com/office/spreadsheetml/2009/9/main" objectType="CheckBox" fmlaLink="$M$124" lockText="1" noThreeD="1"/>
</file>

<file path=xl/ctrlProps/ctrlProp962.xml><?xml version="1.0" encoding="utf-8"?>
<formControlPr xmlns="http://schemas.microsoft.com/office/spreadsheetml/2009/9/main" objectType="CheckBox" fmlaLink="$G$39" lockText="1" noThreeD="1"/>
</file>

<file path=xl/drawings/_rels/drawing1.xml.rels><?xml version="1.0" encoding="UTF-8" standalone="yes"?>
<Relationships xmlns="http://schemas.openxmlformats.org/package/2006/relationships"><Relationship Id="rId1" Type="http://schemas.openxmlformats.org/officeDocument/2006/relationships/image" Target="../media/image1.jpeg"/></Relationships>
</file>

<file path=xl/drawings/_rels/drawing2.xml.rels><?xml version="1.0" encoding="UTF-8" standalone="yes"?>
<Relationships xmlns="http://schemas.openxmlformats.org/package/2006/relationships"><Relationship Id="rId1" Type="http://schemas.openxmlformats.org/officeDocument/2006/relationships/image" Target="../media/image2.jpeg"/></Relationships>
</file>

<file path=xl/drawings/_rels/drawing3.xml.rels><?xml version="1.0" encoding="UTF-8" standalone="yes"?>
<Relationships xmlns="http://schemas.openxmlformats.org/package/2006/relationships"><Relationship Id="rId1" Type="http://schemas.openxmlformats.org/officeDocument/2006/relationships/image" Target="../media/image3.jpeg"/></Relationships>
</file>

<file path=xl/drawings/_rels/drawing4.xml.rels><?xml version="1.0" encoding="UTF-8" standalone="yes"?>
<Relationships xmlns="http://schemas.openxmlformats.org/package/2006/relationships"><Relationship Id="rId1" Type="http://schemas.openxmlformats.org/officeDocument/2006/relationships/image" Target="../media/image3.jpeg"/></Relationships>
</file>

<file path=xl/drawings/_rels/drawing5.xml.rels><?xml version="1.0" encoding="UTF-8" standalone="yes"?>
<Relationships xmlns="http://schemas.openxmlformats.org/package/2006/relationships"><Relationship Id="rId1" Type="http://schemas.openxmlformats.org/officeDocument/2006/relationships/image" Target="../media/image4.jpeg"/></Relationships>
</file>

<file path=xl/drawings/_rels/drawing6.xml.rels><?xml version="1.0" encoding="UTF-8" standalone="yes"?>
<Relationships xmlns="http://schemas.openxmlformats.org/package/2006/relationships"><Relationship Id="rId1" Type="http://schemas.openxmlformats.org/officeDocument/2006/relationships/image" Target="../media/image4.jpeg"/></Relationships>
</file>

<file path=xl/drawings/_rels/drawing7.xml.rels><?xml version="1.0" encoding="UTF-8" standalone="yes"?>
<Relationships xmlns="http://schemas.openxmlformats.org/package/2006/relationships"><Relationship Id="rId1" Type="http://schemas.openxmlformats.org/officeDocument/2006/relationships/image" Target="../media/image3.jpeg"/></Relationships>
</file>

<file path=xl/drawings/_rels/drawing8.xml.rels><?xml version="1.0" encoding="UTF-8" standalone="yes"?>
<Relationships xmlns="http://schemas.openxmlformats.org/package/2006/relationships"><Relationship Id="rId1" Type="http://schemas.openxmlformats.org/officeDocument/2006/relationships/image" Target="../media/image3.jpeg"/></Relationships>
</file>

<file path=xl/drawings/_rels/drawing9.xml.rels><?xml version="1.0" encoding="UTF-8" standalone="yes"?>
<Relationships xmlns="http://schemas.openxmlformats.org/package/2006/relationships"><Relationship Id="rId1" Type="http://schemas.openxmlformats.org/officeDocument/2006/relationships/image" Target="../media/image5.jpeg"/></Relationships>
</file>

<file path=xl/drawings/_rels/drawing10.xml.rels><?xml version="1.0" encoding="UTF-8" standalone="yes"?>
<Relationships xmlns="http://schemas.openxmlformats.org/package/2006/relationships"><Relationship Id="rId1" Type="http://schemas.openxmlformats.org/officeDocument/2006/relationships/image" Target="../media/image3.jpeg"/></Relationships>
</file>

<file path=xl/drawings/_rels/drawing11.xml.rels><?xml version="1.0" encoding="UTF-8" standalone="yes"?>
<Relationships xmlns="http://schemas.openxmlformats.org/package/2006/relationships"><Relationship Id="rId1" Type="http://schemas.openxmlformats.org/officeDocument/2006/relationships/image" Target="../media/image3.jpeg"/></Relationships>
</file>

<file path=xl/drawings/_rels/drawing12.xml.rels><?xml version="1.0" encoding="UTF-8" standalone="yes"?>
<Relationships xmlns="http://schemas.openxmlformats.org/package/2006/relationships"><Relationship Id="rId1" Type="http://schemas.openxmlformats.org/officeDocument/2006/relationships/image" Target="../media/image3.jpeg"/></Relationships>
</file>

<file path=xl/drawings/_rels/drawing13.xml.rels><?xml version="1.0" encoding="UTF-8" standalone="yes"?>
<Relationships xmlns="http://schemas.openxmlformats.org/package/2006/relationships"><Relationship Id="rId1" Type="http://schemas.openxmlformats.org/officeDocument/2006/relationships/image" Target="../media/image6.png"/></Relationships>
</file>

<file path=xl/drawings/_rels/drawing14.xml.rels><?xml version="1.0" encoding="UTF-8" standalone="yes"?>
<Relationships xmlns="http://schemas.openxmlformats.org/package/2006/relationships"><Relationship Id="rId2" Type="http://schemas.openxmlformats.org/officeDocument/2006/relationships/image" Target="../media/image7.png"/><Relationship Id="rId1" Type="http://schemas.openxmlformats.org/officeDocument/2006/relationships/image" Target="../media/image6.png"/></Relationships>
</file>

<file path=xl/drawings/_rels/drawing15.xml.rels><?xml version="1.0" encoding="UTF-8" standalone="yes"?>
<Relationships xmlns="http://schemas.openxmlformats.org/package/2006/relationships"><Relationship Id="rId1" Type="http://schemas.openxmlformats.org/officeDocument/2006/relationships/image" Target="../media/image6.png"/></Relationships>
</file>

<file path=xl/drawings/_rels/drawing16.xml.rels><?xml version="1.0" encoding="UTF-8" standalone="yes"?>
<Relationships xmlns="http://schemas.openxmlformats.org/package/2006/relationships"><Relationship Id="rId2" Type="http://schemas.openxmlformats.org/officeDocument/2006/relationships/image" Target="../media/image7.png"/><Relationship Id="rId1" Type="http://schemas.openxmlformats.org/officeDocument/2006/relationships/image" Target="../media/image6.png"/></Relationships>
</file>

<file path=xl/drawings/_rels/drawing17.xml.rels><?xml version="1.0" encoding="UTF-8" standalone="yes"?>
<Relationships xmlns="http://schemas.openxmlformats.org/package/2006/relationships"><Relationship Id="rId8" Type="http://schemas.openxmlformats.org/officeDocument/2006/relationships/image" Target="../media/image15.png"/><Relationship Id="rId3" Type="http://schemas.openxmlformats.org/officeDocument/2006/relationships/image" Target="../media/image10.png"/><Relationship Id="rId7" Type="http://schemas.openxmlformats.org/officeDocument/2006/relationships/image" Target="../media/image14.png"/><Relationship Id="rId12" Type="http://schemas.openxmlformats.org/officeDocument/2006/relationships/image" Target="../media/image19.png"/><Relationship Id="rId2" Type="http://schemas.openxmlformats.org/officeDocument/2006/relationships/image" Target="../media/image9.png"/><Relationship Id="rId1" Type="http://schemas.openxmlformats.org/officeDocument/2006/relationships/image" Target="../media/image8.png"/><Relationship Id="rId6" Type="http://schemas.openxmlformats.org/officeDocument/2006/relationships/image" Target="../media/image13.png"/><Relationship Id="rId11" Type="http://schemas.openxmlformats.org/officeDocument/2006/relationships/image" Target="../media/image18.png"/><Relationship Id="rId5" Type="http://schemas.openxmlformats.org/officeDocument/2006/relationships/image" Target="../media/image12.png"/><Relationship Id="rId10" Type="http://schemas.openxmlformats.org/officeDocument/2006/relationships/image" Target="../media/image17.png"/><Relationship Id="rId4" Type="http://schemas.openxmlformats.org/officeDocument/2006/relationships/image" Target="../media/image11.png"/><Relationship Id="rId9" Type="http://schemas.openxmlformats.org/officeDocument/2006/relationships/image" Target="../media/image16.png"/></Relationships>
</file>

<file path=xl/drawings/_rels/drawing18.xml.rels><?xml version="1.0" encoding="UTF-8" standalone="yes"?>
<Relationships xmlns="http://schemas.openxmlformats.org/package/2006/relationships"><Relationship Id="rId1" Type="http://schemas.openxmlformats.org/officeDocument/2006/relationships/image" Target="../media/image20.gif"/></Relationships>
</file>

<file path=xl/drawings/_rels/drawing19.xml.rels><?xml version="1.0" encoding="UTF-8" standalone="yes"?>
<Relationships xmlns="http://schemas.openxmlformats.org/package/2006/relationships"><Relationship Id="rId1" Type="http://schemas.openxmlformats.org/officeDocument/2006/relationships/image" Target="../media/image21.gif"/></Relationships>
</file>

<file path=xl/drawings/_rels/drawing20.xml.rels><?xml version="1.0" encoding="UTF-8" standalone="yes"?>
<Relationships xmlns="http://schemas.openxmlformats.org/package/2006/relationships"><Relationship Id="rId1" Type="http://schemas.openxmlformats.org/officeDocument/2006/relationships/image" Target="../media/image22.emf"/></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66675</xdr:rowOff>
    </xdr:from>
    <xdr:to>
      <xdr:col>3</xdr:col>
      <xdr:colOff>0</xdr:colOff>
      <xdr:row>5</xdr:row>
      <xdr:rowOff>141103</xdr:rowOff>
    </xdr:to>
    <xdr:pic>
      <xdr:nvPicPr>
        <xdr:cNvPr id="2" name="Picture 1">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66675"/>
          <a:ext cx="1828800" cy="988828"/>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3</xdr:col>
      <xdr:colOff>0</xdr:colOff>
      <xdr:row>4</xdr:row>
      <xdr:rowOff>141767</xdr:rowOff>
    </xdr:to>
    <xdr:pic>
      <xdr:nvPicPr>
        <xdr:cNvPr id="4" name="Picture 3">
          <a:extLst>
            <a:ext uri="{FF2B5EF4-FFF2-40B4-BE49-F238E27FC236}">
              <a16:creationId xmlns:a16="http://schemas.microsoft.com/office/drawing/2014/main" id="{00000000-0008-0000-0100-000004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0"/>
          <a:ext cx="1828800" cy="903767"/>
        </a:xfrm>
        <a:prstGeom prst="rect">
          <a:avLst/>
        </a:prstGeom>
      </xdr:spPr>
    </xdr:pic>
    <xdr:clientData/>
  </xdr:twoCellAnchor>
  <mc:AlternateContent xmlns:mc="http://schemas.openxmlformats.org/markup-compatibility/2006">
    <mc:Choice xmlns:a14="http://schemas.microsoft.com/office/drawing/2010/main" Requires="a14">
      <xdr:twoCellAnchor editAs="oneCell">
        <xdr:from>
          <xdr:col>5</xdr:col>
          <xdr:colOff>1143000</xdr:colOff>
          <xdr:row>7</xdr:row>
          <xdr:rowOff>0</xdr:rowOff>
        </xdr:from>
        <xdr:to>
          <xdr:col>6</xdr:col>
          <xdr:colOff>203200</xdr:colOff>
          <xdr:row>8</xdr:row>
          <xdr:rowOff>0</xdr:rowOff>
        </xdr:to>
        <xdr:sp macro="" textlink="">
          <xdr:nvSpPr>
            <xdr:cNvPr id="2051" name="Check Box 3" hidden="1">
              <a:extLst>
                <a:ext uri="{63B3BB69-23CF-44E3-9099-C40C66FF867C}">
                  <a14:compatExt spid="_x0000_s2051"/>
                </a:ext>
                <a:ext uri="{FF2B5EF4-FFF2-40B4-BE49-F238E27FC236}">
                  <a16:creationId xmlns:a16="http://schemas.microsoft.com/office/drawing/2014/main" id="{00000000-0008-0000-0100-00000308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5</xdr:col>
          <xdr:colOff>1143000</xdr:colOff>
          <xdr:row>7</xdr:row>
          <xdr:rowOff>0</xdr:rowOff>
        </xdr:from>
        <xdr:to>
          <xdr:col>6</xdr:col>
          <xdr:colOff>203200</xdr:colOff>
          <xdr:row>8</xdr:row>
          <xdr:rowOff>0</xdr:rowOff>
        </xdr:to>
        <xdr:sp macro="" textlink="">
          <xdr:nvSpPr>
            <xdr:cNvPr id="2052" name="Check Box 4" hidden="1">
              <a:extLst>
                <a:ext uri="{63B3BB69-23CF-44E3-9099-C40C66FF867C}">
                  <a14:compatExt spid="_x0000_s2052"/>
                </a:ext>
                <a:ext uri="{FF2B5EF4-FFF2-40B4-BE49-F238E27FC236}">
                  <a16:creationId xmlns:a16="http://schemas.microsoft.com/office/drawing/2014/main" id="{00000000-0008-0000-0100-00000408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fLocksWithSheet="0"/>
      </xdr:twoCellAnchor>
    </mc:Choice>
    <mc:Fallback/>
  </mc:AlternateContent>
</xdr:wsDr>
</file>

<file path=xl/drawings/drawing3.xml><?xml version="1.0" encoding="utf-8"?>
<xdr:wsDr xmlns:xdr="http://schemas.openxmlformats.org/drawingml/2006/spreadsheetDrawing" xmlns:a="http://schemas.openxmlformats.org/drawingml/2006/main">
  <xdr:twoCellAnchor editAs="oneCell">
    <xdr:from>
      <xdr:col>12</xdr:col>
      <xdr:colOff>476250</xdr:colOff>
      <xdr:row>0</xdr:row>
      <xdr:rowOff>0</xdr:rowOff>
    </xdr:from>
    <xdr:to>
      <xdr:col>22</xdr:col>
      <xdr:colOff>885825</xdr:colOff>
      <xdr:row>4</xdr:row>
      <xdr:rowOff>141767</xdr:rowOff>
    </xdr:to>
    <xdr:pic>
      <xdr:nvPicPr>
        <xdr:cNvPr id="3" name="Picture 2">
          <a:extLst>
            <a:ext uri="{FF2B5EF4-FFF2-40B4-BE49-F238E27FC236}">
              <a16:creationId xmlns:a16="http://schemas.microsoft.com/office/drawing/2014/main" id="{00000000-0008-0000-0300-000003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467475" y="0"/>
          <a:ext cx="1828800" cy="903767"/>
        </a:xfrm>
        <a:prstGeom prst="rect">
          <a:avLst/>
        </a:prstGeom>
      </xdr:spPr>
    </xdr:pic>
    <xdr:clientData/>
  </xdr:twoCellAnchor>
  <mc:AlternateContent xmlns:mc="http://schemas.openxmlformats.org/markup-compatibility/2006">
    <mc:Choice xmlns:a14="http://schemas.microsoft.com/office/drawing/2010/main" Requires="a14">
      <xdr:twoCellAnchor>
        <xdr:from>
          <xdr:col>22</xdr:col>
          <xdr:colOff>0</xdr:colOff>
          <xdr:row>15</xdr:row>
          <xdr:rowOff>0</xdr:rowOff>
        </xdr:from>
        <xdr:to>
          <xdr:col>22</xdr:col>
          <xdr:colOff>177800</xdr:colOff>
          <xdr:row>15</xdr:row>
          <xdr:rowOff>177800</xdr:rowOff>
        </xdr:to>
        <xdr:sp macro="" textlink="">
          <xdr:nvSpPr>
            <xdr:cNvPr id="3232" name="Check Box 160" hidden="1">
              <a:extLst>
                <a:ext uri="{63B3BB69-23CF-44E3-9099-C40C66FF867C}">
                  <a14:compatExt spid="_x0000_s3232"/>
                </a:ext>
                <a:ext uri="{FF2B5EF4-FFF2-40B4-BE49-F238E27FC236}">
                  <a16:creationId xmlns:a16="http://schemas.microsoft.com/office/drawing/2014/main" id="{00000000-0008-0000-0300-0000A00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17</xdr:row>
          <xdr:rowOff>0</xdr:rowOff>
        </xdr:from>
        <xdr:to>
          <xdr:col>22</xdr:col>
          <xdr:colOff>177800</xdr:colOff>
          <xdr:row>17</xdr:row>
          <xdr:rowOff>177800</xdr:rowOff>
        </xdr:to>
        <xdr:sp macro="" textlink="">
          <xdr:nvSpPr>
            <xdr:cNvPr id="3233" name="Check Box 161" hidden="1">
              <a:extLst>
                <a:ext uri="{63B3BB69-23CF-44E3-9099-C40C66FF867C}">
                  <a14:compatExt spid="_x0000_s3233"/>
                </a:ext>
                <a:ext uri="{FF2B5EF4-FFF2-40B4-BE49-F238E27FC236}">
                  <a16:creationId xmlns:a16="http://schemas.microsoft.com/office/drawing/2014/main" id="{00000000-0008-0000-0300-0000A10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19</xdr:row>
          <xdr:rowOff>0</xdr:rowOff>
        </xdr:from>
        <xdr:to>
          <xdr:col>22</xdr:col>
          <xdr:colOff>177800</xdr:colOff>
          <xdr:row>19</xdr:row>
          <xdr:rowOff>177800</xdr:rowOff>
        </xdr:to>
        <xdr:sp macro="" textlink="">
          <xdr:nvSpPr>
            <xdr:cNvPr id="3235" name="Check Box 163" hidden="1">
              <a:extLst>
                <a:ext uri="{63B3BB69-23CF-44E3-9099-C40C66FF867C}">
                  <a14:compatExt spid="_x0000_s3235"/>
                </a:ext>
                <a:ext uri="{FF2B5EF4-FFF2-40B4-BE49-F238E27FC236}">
                  <a16:creationId xmlns:a16="http://schemas.microsoft.com/office/drawing/2014/main" id="{00000000-0008-0000-0300-0000A30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34</xdr:row>
          <xdr:rowOff>0</xdr:rowOff>
        </xdr:from>
        <xdr:to>
          <xdr:col>22</xdr:col>
          <xdr:colOff>177800</xdr:colOff>
          <xdr:row>34</xdr:row>
          <xdr:rowOff>177800</xdr:rowOff>
        </xdr:to>
        <xdr:sp macro="" textlink="">
          <xdr:nvSpPr>
            <xdr:cNvPr id="3236" name="Check Box 164" hidden="1">
              <a:extLst>
                <a:ext uri="{63B3BB69-23CF-44E3-9099-C40C66FF867C}">
                  <a14:compatExt spid="_x0000_s3236"/>
                </a:ext>
                <a:ext uri="{FF2B5EF4-FFF2-40B4-BE49-F238E27FC236}">
                  <a16:creationId xmlns:a16="http://schemas.microsoft.com/office/drawing/2014/main" id="{00000000-0008-0000-0300-0000A40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51</xdr:row>
          <xdr:rowOff>0</xdr:rowOff>
        </xdr:from>
        <xdr:to>
          <xdr:col>22</xdr:col>
          <xdr:colOff>177800</xdr:colOff>
          <xdr:row>51</xdr:row>
          <xdr:rowOff>177800</xdr:rowOff>
        </xdr:to>
        <xdr:sp macro="" textlink="">
          <xdr:nvSpPr>
            <xdr:cNvPr id="3237" name="Check Box 165" hidden="1">
              <a:extLst>
                <a:ext uri="{63B3BB69-23CF-44E3-9099-C40C66FF867C}">
                  <a14:compatExt spid="_x0000_s3237"/>
                </a:ext>
                <a:ext uri="{FF2B5EF4-FFF2-40B4-BE49-F238E27FC236}">
                  <a16:creationId xmlns:a16="http://schemas.microsoft.com/office/drawing/2014/main" id="{00000000-0008-0000-0300-0000A50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63</xdr:row>
          <xdr:rowOff>0</xdr:rowOff>
        </xdr:from>
        <xdr:to>
          <xdr:col>22</xdr:col>
          <xdr:colOff>177800</xdr:colOff>
          <xdr:row>63</xdr:row>
          <xdr:rowOff>177800</xdr:rowOff>
        </xdr:to>
        <xdr:sp macro="" textlink="">
          <xdr:nvSpPr>
            <xdr:cNvPr id="3238" name="Check Box 166" hidden="1">
              <a:extLst>
                <a:ext uri="{63B3BB69-23CF-44E3-9099-C40C66FF867C}">
                  <a14:compatExt spid="_x0000_s3238"/>
                </a:ext>
                <a:ext uri="{FF2B5EF4-FFF2-40B4-BE49-F238E27FC236}">
                  <a16:creationId xmlns:a16="http://schemas.microsoft.com/office/drawing/2014/main" id="{00000000-0008-0000-0300-0000A60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64</xdr:row>
          <xdr:rowOff>0</xdr:rowOff>
        </xdr:from>
        <xdr:to>
          <xdr:col>22</xdr:col>
          <xdr:colOff>177800</xdr:colOff>
          <xdr:row>64</xdr:row>
          <xdr:rowOff>177800</xdr:rowOff>
        </xdr:to>
        <xdr:sp macro="" textlink="">
          <xdr:nvSpPr>
            <xdr:cNvPr id="3239" name="Check Box 167" hidden="1">
              <a:extLst>
                <a:ext uri="{63B3BB69-23CF-44E3-9099-C40C66FF867C}">
                  <a14:compatExt spid="_x0000_s3239"/>
                </a:ext>
                <a:ext uri="{FF2B5EF4-FFF2-40B4-BE49-F238E27FC236}">
                  <a16:creationId xmlns:a16="http://schemas.microsoft.com/office/drawing/2014/main" id="{00000000-0008-0000-0300-0000A70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66</xdr:row>
          <xdr:rowOff>0</xdr:rowOff>
        </xdr:from>
        <xdr:to>
          <xdr:col>22</xdr:col>
          <xdr:colOff>177800</xdr:colOff>
          <xdr:row>66</xdr:row>
          <xdr:rowOff>177800</xdr:rowOff>
        </xdr:to>
        <xdr:sp macro="" textlink="">
          <xdr:nvSpPr>
            <xdr:cNvPr id="3240" name="Check Box 168" hidden="1">
              <a:extLst>
                <a:ext uri="{63B3BB69-23CF-44E3-9099-C40C66FF867C}">
                  <a14:compatExt spid="_x0000_s3240"/>
                </a:ext>
                <a:ext uri="{FF2B5EF4-FFF2-40B4-BE49-F238E27FC236}">
                  <a16:creationId xmlns:a16="http://schemas.microsoft.com/office/drawing/2014/main" id="{00000000-0008-0000-0300-0000A80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68</xdr:row>
          <xdr:rowOff>0</xdr:rowOff>
        </xdr:from>
        <xdr:to>
          <xdr:col>22</xdr:col>
          <xdr:colOff>177800</xdr:colOff>
          <xdr:row>68</xdr:row>
          <xdr:rowOff>177800</xdr:rowOff>
        </xdr:to>
        <xdr:sp macro="" textlink="">
          <xdr:nvSpPr>
            <xdr:cNvPr id="3241" name="Check Box 169" hidden="1">
              <a:extLst>
                <a:ext uri="{63B3BB69-23CF-44E3-9099-C40C66FF867C}">
                  <a14:compatExt spid="_x0000_s3241"/>
                </a:ext>
                <a:ext uri="{FF2B5EF4-FFF2-40B4-BE49-F238E27FC236}">
                  <a16:creationId xmlns:a16="http://schemas.microsoft.com/office/drawing/2014/main" id="{00000000-0008-0000-0300-0000A90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70</xdr:row>
          <xdr:rowOff>0</xdr:rowOff>
        </xdr:from>
        <xdr:to>
          <xdr:col>22</xdr:col>
          <xdr:colOff>177800</xdr:colOff>
          <xdr:row>70</xdr:row>
          <xdr:rowOff>177800</xdr:rowOff>
        </xdr:to>
        <xdr:sp macro="" textlink="">
          <xdr:nvSpPr>
            <xdr:cNvPr id="3242" name="Check Box 170" hidden="1">
              <a:extLst>
                <a:ext uri="{63B3BB69-23CF-44E3-9099-C40C66FF867C}">
                  <a14:compatExt spid="_x0000_s3242"/>
                </a:ext>
                <a:ext uri="{FF2B5EF4-FFF2-40B4-BE49-F238E27FC236}">
                  <a16:creationId xmlns:a16="http://schemas.microsoft.com/office/drawing/2014/main" id="{00000000-0008-0000-0300-0000AA0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71</xdr:row>
          <xdr:rowOff>0</xdr:rowOff>
        </xdr:from>
        <xdr:to>
          <xdr:col>22</xdr:col>
          <xdr:colOff>177800</xdr:colOff>
          <xdr:row>71</xdr:row>
          <xdr:rowOff>177800</xdr:rowOff>
        </xdr:to>
        <xdr:sp macro="" textlink="">
          <xdr:nvSpPr>
            <xdr:cNvPr id="3243" name="Check Box 171" hidden="1">
              <a:extLst>
                <a:ext uri="{63B3BB69-23CF-44E3-9099-C40C66FF867C}">
                  <a14:compatExt spid="_x0000_s3243"/>
                </a:ext>
                <a:ext uri="{FF2B5EF4-FFF2-40B4-BE49-F238E27FC236}">
                  <a16:creationId xmlns:a16="http://schemas.microsoft.com/office/drawing/2014/main" id="{00000000-0008-0000-0300-0000AB0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73</xdr:row>
          <xdr:rowOff>0</xdr:rowOff>
        </xdr:from>
        <xdr:to>
          <xdr:col>22</xdr:col>
          <xdr:colOff>177800</xdr:colOff>
          <xdr:row>73</xdr:row>
          <xdr:rowOff>177800</xdr:rowOff>
        </xdr:to>
        <xdr:sp macro="" textlink="">
          <xdr:nvSpPr>
            <xdr:cNvPr id="3244" name="Check Box 172" hidden="1">
              <a:extLst>
                <a:ext uri="{63B3BB69-23CF-44E3-9099-C40C66FF867C}">
                  <a14:compatExt spid="_x0000_s3244"/>
                </a:ext>
                <a:ext uri="{FF2B5EF4-FFF2-40B4-BE49-F238E27FC236}">
                  <a16:creationId xmlns:a16="http://schemas.microsoft.com/office/drawing/2014/main" id="{00000000-0008-0000-0300-0000AC0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82</xdr:row>
          <xdr:rowOff>0</xdr:rowOff>
        </xdr:from>
        <xdr:to>
          <xdr:col>22</xdr:col>
          <xdr:colOff>177800</xdr:colOff>
          <xdr:row>82</xdr:row>
          <xdr:rowOff>177800</xdr:rowOff>
        </xdr:to>
        <xdr:sp macro="" textlink="">
          <xdr:nvSpPr>
            <xdr:cNvPr id="3245" name="Check Box 173" hidden="1">
              <a:extLst>
                <a:ext uri="{63B3BB69-23CF-44E3-9099-C40C66FF867C}">
                  <a14:compatExt spid="_x0000_s3245"/>
                </a:ext>
                <a:ext uri="{FF2B5EF4-FFF2-40B4-BE49-F238E27FC236}">
                  <a16:creationId xmlns:a16="http://schemas.microsoft.com/office/drawing/2014/main" id="{00000000-0008-0000-0300-0000AD0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83</xdr:row>
          <xdr:rowOff>0</xdr:rowOff>
        </xdr:from>
        <xdr:to>
          <xdr:col>22</xdr:col>
          <xdr:colOff>177800</xdr:colOff>
          <xdr:row>83</xdr:row>
          <xdr:rowOff>177800</xdr:rowOff>
        </xdr:to>
        <xdr:sp macro="" textlink="">
          <xdr:nvSpPr>
            <xdr:cNvPr id="3246" name="Check Box 174" hidden="1">
              <a:extLst>
                <a:ext uri="{63B3BB69-23CF-44E3-9099-C40C66FF867C}">
                  <a14:compatExt spid="_x0000_s3246"/>
                </a:ext>
                <a:ext uri="{FF2B5EF4-FFF2-40B4-BE49-F238E27FC236}">
                  <a16:creationId xmlns:a16="http://schemas.microsoft.com/office/drawing/2014/main" id="{00000000-0008-0000-0300-0000AE0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90</xdr:row>
          <xdr:rowOff>0</xdr:rowOff>
        </xdr:from>
        <xdr:to>
          <xdr:col>22</xdr:col>
          <xdr:colOff>177800</xdr:colOff>
          <xdr:row>90</xdr:row>
          <xdr:rowOff>177800</xdr:rowOff>
        </xdr:to>
        <xdr:sp macro="" textlink="">
          <xdr:nvSpPr>
            <xdr:cNvPr id="3248" name="Check Box 176" hidden="1">
              <a:extLst>
                <a:ext uri="{63B3BB69-23CF-44E3-9099-C40C66FF867C}">
                  <a14:compatExt spid="_x0000_s3248"/>
                </a:ext>
                <a:ext uri="{FF2B5EF4-FFF2-40B4-BE49-F238E27FC236}">
                  <a16:creationId xmlns:a16="http://schemas.microsoft.com/office/drawing/2014/main" id="{00000000-0008-0000-0300-0000B00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92</xdr:row>
          <xdr:rowOff>0</xdr:rowOff>
        </xdr:from>
        <xdr:to>
          <xdr:col>22</xdr:col>
          <xdr:colOff>177800</xdr:colOff>
          <xdr:row>92</xdr:row>
          <xdr:rowOff>177800</xdr:rowOff>
        </xdr:to>
        <xdr:sp macro="" textlink="">
          <xdr:nvSpPr>
            <xdr:cNvPr id="3249" name="Check Box 177" hidden="1">
              <a:extLst>
                <a:ext uri="{63B3BB69-23CF-44E3-9099-C40C66FF867C}">
                  <a14:compatExt spid="_x0000_s3249"/>
                </a:ext>
                <a:ext uri="{FF2B5EF4-FFF2-40B4-BE49-F238E27FC236}">
                  <a16:creationId xmlns:a16="http://schemas.microsoft.com/office/drawing/2014/main" id="{00000000-0008-0000-0300-0000B10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96</xdr:row>
          <xdr:rowOff>0</xdr:rowOff>
        </xdr:from>
        <xdr:to>
          <xdr:col>22</xdr:col>
          <xdr:colOff>177800</xdr:colOff>
          <xdr:row>96</xdr:row>
          <xdr:rowOff>177800</xdr:rowOff>
        </xdr:to>
        <xdr:sp macro="" textlink="">
          <xdr:nvSpPr>
            <xdr:cNvPr id="3250" name="Check Box 178" hidden="1">
              <a:extLst>
                <a:ext uri="{63B3BB69-23CF-44E3-9099-C40C66FF867C}">
                  <a14:compatExt spid="_x0000_s3250"/>
                </a:ext>
                <a:ext uri="{FF2B5EF4-FFF2-40B4-BE49-F238E27FC236}">
                  <a16:creationId xmlns:a16="http://schemas.microsoft.com/office/drawing/2014/main" id="{00000000-0008-0000-0300-0000B20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99</xdr:row>
          <xdr:rowOff>0</xdr:rowOff>
        </xdr:from>
        <xdr:to>
          <xdr:col>22</xdr:col>
          <xdr:colOff>177800</xdr:colOff>
          <xdr:row>99</xdr:row>
          <xdr:rowOff>177800</xdr:rowOff>
        </xdr:to>
        <xdr:sp macro="" textlink="">
          <xdr:nvSpPr>
            <xdr:cNvPr id="3251" name="Check Box 179" hidden="1">
              <a:extLst>
                <a:ext uri="{63B3BB69-23CF-44E3-9099-C40C66FF867C}">
                  <a14:compatExt spid="_x0000_s3251"/>
                </a:ext>
                <a:ext uri="{FF2B5EF4-FFF2-40B4-BE49-F238E27FC236}">
                  <a16:creationId xmlns:a16="http://schemas.microsoft.com/office/drawing/2014/main" id="{00000000-0008-0000-0300-0000B30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100</xdr:row>
          <xdr:rowOff>0</xdr:rowOff>
        </xdr:from>
        <xdr:to>
          <xdr:col>22</xdr:col>
          <xdr:colOff>177800</xdr:colOff>
          <xdr:row>100</xdr:row>
          <xdr:rowOff>177800</xdr:rowOff>
        </xdr:to>
        <xdr:sp macro="" textlink="">
          <xdr:nvSpPr>
            <xdr:cNvPr id="3252" name="Check Box 180" hidden="1">
              <a:extLst>
                <a:ext uri="{63B3BB69-23CF-44E3-9099-C40C66FF867C}">
                  <a14:compatExt spid="_x0000_s3252"/>
                </a:ext>
                <a:ext uri="{FF2B5EF4-FFF2-40B4-BE49-F238E27FC236}">
                  <a16:creationId xmlns:a16="http://schemas.microsoft.com/office/drawing/2014/main" id="{00000000-0008-0000-0300-0000B40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102</xdr:row>
          <xdr:rowOff>0</xdr:rowOff>
        </xdr:from>
        <xdr:to>
          <xdr:col>22</xdr:col>
          <xdr:colOff>177800</xdr:colOff>
          <xdr:row>102</xdr:row>
          <xdr:rowOff>177800</xdr:rowOff>
        </xdr:to>
        <xdr:sp macro="" textlink="">
          <xdr:nvSpPr>
            <xdr:cNvPr id="3253" name="Check Box 181" hidden="1">
              <a:extLst>
                <a:ext uri="{63B3BB69-23CF-44E3-9099-C40C66FF867C}">
                  <a14:compatExt spid="_x0000_s3253"/>
                </a:ext>
                <a:ext uri="{FF2B5EF4-FFF2-40B4-BE49-F238E27FC236}">
                  <a16:creationId xmlns:a16="http://schemas.microsoft.com/office/drawing/2014/main" id="{00000000-0008-0000-0300-0000B50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103</xdr:row>
          <xdr:rowOff>0</xdr:rowOff>
        </xdr:from>
        <xdr:to>
          <xdr:col>22</xdr:col>
          <xdr:colOff>177800</xdr:colOff>
          <xdr:row>103</xdr:row>
          <xdr:rowOff>177800</xdr:rowOff>
        </xdr:to>
        <xdr:sp macro="" textlink="">
          <xdr:nvSpPr>
            <xdr:cNvPr id="3254" name="Check Box 182" hidden="1">
              <a:extLst>
                <a:ext uri="{63B3BB69-23CF-44E3-9099-C40C66FF867C}">
                  <a14:compatExt spid="_x0000_s3254"/>
                </a:ext>
                <a:ext uri="{FF2B5EF4-FFF2-40B4-BE49-F238E27FC236}">
                  <a16:creationId xmlns:a16="http://schemas.microsoft.com/office/drawing/2014/main" id="{00000000-0008-0000-0300-0000B60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104</xdr:row>
          <xdr:rowOff>0</xdr:rowOff>
        </xdr:from>
        <xdr:to>
          <xdr:col>22</xdr:col>
          <xdr:colOff>177800</xdr:colOff>
          <xdr:row>104</xdr:row>
          <xdr:rowOff>177800</xdr:rowOff>
        </xdr:to>
        <xdr:sp macro="" textlink="">
          <xdr:nvSpPr>
            <xdr:cNvPr id="3255" name="Check Box 183" hidden="1">
              <a:extLst>
                <a:ext uri="{63B3BB69-23CF-44E3-9099-C40C66FF867C}">
                  <a14:compatExt spid="_x0000_s3255"/>
                </a:ext>
                <a:ext uri="{FF2B5EF4-FFF2-40B4-BE49-F238E27FC236}">
                  <a16:creationId xmlns:a16="http://schemas.microsoft.com/office/drawing/2014/main" id="{00000000-0008-0000-0300-0000B70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112</xdr:row>
          <xdr:rowOff>0</xdr:rowOff>
        </xdr:from>
        <xdr:to>
          <xdr:col>22</xdr:col>
          <xdr:colOff>177800</xdr:colOff>
          <xdr:row>112</xdr:row>
          <xdr:rowOff>177800</xdr:rowOff>
        </xdr:to>
        <xdr:sp macro="" textlink="">
          <xdr:nvSpPr>
            <xdr:cNvPr id="3256" name="Check Box 184" hidden="1">
              <a:extLst>
                <a:ext uri="{63B3BB69-23CF-44E3-9099-C40C66FF867C}">
                  <a14:compatExt spid="_x0000_s3256"/>
                </a:ext>
                <a:ext uri="{FF2B5EF4-FFF2-40B4-BE49-F238E27FC236}">
                  <a16:creationId xmlns:a16="http://schemas.microsoft.com/office/drawing/2014/main" id="{00000000-0008-0000-0300-0000B80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142</xdr:row>
          <xdr:rowOff>0</xdr:rowOff>
        </xdr:from>
        <xdr:to>
          <xdr:col>22</xdr:col>
          <xdr:colOff>177800</xdr:colOff>
          <xdr:row>142</xdr:row>
          <xdr:rowOff>177800</xdr:rowOff>
        </xdr:to>
        <xdr:sp macro="" textlink="">
          <xdr:nvSpPr>
            <xdr:cNvPr id="3260" name="Check Box 188" hidden="1">
              <a:extLst>
                <a:ext uri="{63B3BB69-23CF-44E3-9099-C40C66FF867C}">
                  <a14:compatExt spid="_x0000_s3260"/>
                </a:ext>
                <a:ext uri="{FF2B5EF4-FFF2-40B4-BE49-F238E27FC236}">
                  <a16:creationId xmlns:a16="http://schemas.microsoft.com/office/drawing/2014/main" id="{00000000-0008-0000-0300-0000BC0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144</xdr:row>
          <xdr:rowOff>0</xdr:rowOff>
        </xdr:from>
        <xdr:to>
          <xdr:col>22</xdr:col>
          <xdr:colOff>177800</xdr:colOff>
          <xdr:row>144</xdr:row>
          <xdr:rowOff>177800</xdr:rowOff>
        </xdr:to>
        <xdr:sp macro="" textlink="">
          <xdr:nvSpPr>
            <xdr:cNvPr id="3261" name="Check Box 189" hidden="1">
              <a:extLst>
                <a:ext uri="{63B3BB69-23CF-44E3-9099-C40C66FF867C}">
                  <a14:compatExt spid="_x0000_s3261"/>
                </a:ext>
                <a:ext uri="{FF2B5EF4-FFF2-40B4-BE49-F238E27FC236}">
                  <a16:creationId xmlns:a16="http://schemas.microsoft.com/office/drawing/2014/main" id="{00000000-0008-0000-0300-0000BD0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147</xdr:row>
          <xdr:rowOff>0</xdr:rowOff>
        </xdr:from>
        <xdr:to>
          <xdr:col>22</xdr:col>
          <xdr:colOff>177800</xdr:colOff>
          <xdr:row>147</xdr:row>
          <xdr:rowOff>177800</xdr:rowOff>
        </xdr:to>
        <xdr:sp macro="" textlink="">
          <xdr:nvSpPr>
            <xdr:cNvPr id="3262" name="Check Box 190" hidden="1">
              <a:extLst>
                <a:ext uri="{63B3BB69-23CF-44E3-9099-C40C66FF867C}">
                  <a14:compatExt spid="_x0000_s3262"/>
                </a:ext>
                <a:ext uri="{FF2B5EF4-FFF2-40B4-BE49-F238E27FC236}">
                  <a16:creationId xmlns:a16="http://schemas.microsoft.com/office/drawing/2014/main" id="{00000000-0008-0000-0300-0000BE0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156</xdr:row>
          <xdr:rowOff>0</xdr:rowOff>
        </xdr:from>
        <xdr:to>
          <xdr:col>22</xdr:col>
          <xdr:colOff>177800</xdr:colOff>
          <xdr:row>156</xdr:row>
          <xdr:rowOff>177800</xdr:rowOff>
        </xdr:to>
        <xdr:sp macro="" textlink="">
          <xdr:nvSpPr>
            <xdr:cNvPr id="3263" name="Check Box 191" hidden="1">
              <a:extLst>
                <a:ext uri="{63B3BB69-23CF-44E3-9099-C40C66FF867C}">
                  <a14:compatExt spid="_x0000_s3263"/>
                </a:ext>
                <a:ext uri="{FF2B5EF4-FFF2-40B4-BE49-F238E27FC236}">
                  <a16:creationId xmlns:a16="http://schemas.microsoft.com/office/drawing/2014/main" id="{00000000-0008-0000-0300-0000BF0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157</xdr:row>
          <xdr:rowOff>0</xdr:rowOff>
        </xdr:from>
        <xdr:to>
          <xdr:col>22</xdr:col>
          <xdr:colOff>177800</xdr:colOff>
          <xdr:row>157</xdr:row>
          <xdr:rowOff>177800</xdr:rowOff>
        </xdr:to>
        <xdr:sp macro="" textlink="">
          <xdr:nvSpPr>
            <xdr:cNvPr id="3264" name="Check Box 192" hidden="1">
              <a:extLst>
                <a:ext uri="{63B3BB69-23CF-44E3-9099-C40C66FF867C}">
                  <a14:compatExt spid="_x0000_s3264"/>
                </a:ext>
                <a:ext uri="{FF2B5EF4-FFF2-40B4-BE49-F238E27FC236}">
                  <a16:creationId xmlns:a16="http://schemas.microsoft.com/office/drawing/2014/main" id="{00000000-0008-0000-0300-0000C00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162</xdr:row>
          <xdr:rowOff>0</xdr:rowOff>
        </xdr:from>
        <xdr:to>
          <xdr:col>22</xdr:col>
          <xdr:colOff>177800</xdr:colOff>
          <xdr:row>162</xdr:row>
          <xdr:rowOff>177800</xdr:rowOff>
        </xdr:to>
        <xdr:sp macro="" textlink="">
          <xdr:nvSpPr>
            <xdr:cNvPr id="3265" name="Check Box 193" hidden="1">
              <a:extLst>
                <a:ext uri="{63B3BB69-23CF-44E3-9099-C40C66FF867C}">
                  <a14:compatExt spid="_x0000_s3265"/>
                </a:ext>
                <a:ext uri="{FF2B5EF4-FFF2-40B4-BE49-F238E27FC236}">
                  <a16:creationId xmlns:a16="http://schemas.microsoft.com/office/drawing/2014/main" id="{00000000-0008-0000-0300-0000C10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164</xdr:row>
          <xdr:rowOff>0</xdr:rowOff>
        </xdr:from>
        <xdr:to>
          <xdr:col>22</xdr:col>
          <xdr:colOff>177800</xdr:colOff>
          <xdr:row>164</xdr:row>
          <xdr:rowOff>177800</xdr:rowOff>
        </xdr:to>
        <xdr:sp macro="" textlink="">
          <xdr:nvSpPr>
            <xdr:cNvPr id="3266" name="Check Box 194" hidden="1">
              <a:extLst>
                <a:ext uri="{63B3BB69-23CF-44E3-9099-C40C66FF867C}">
                  <a14:compatExt spid="_x0000_s3266"/>
                </a:ext>
                <a:ext uri="{FF2B5EF4-FFF2-40B4-BE49-F238E27FC236}">
                  <a16:creationId xmlns:a16="http://schemas.microsoft.com/office/drawing/2014/main" id="{00000000-0008-0000-0300-0000C20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167</xdr:row>
          <xdr:rowOff>0</xdr:rowOff>
        </xdr:from>
        <xdr:to>
          <xdr:col>22</xdr:col>
          <xdr:colOff>177800</xdr:colOff>
          <xdr:row>167</xdr:row>
          <xdr:rowOff>177800</xdr:rowOff>
        </xdr:to>
        <xdr:sp macro="" textlink="">
          <xdr:nvSpPr>
            <xdr:cNvPr id="3267" name="Check Box 195" hidden="1">
              <a:extLst>
                <a:ext uri="{63B3BB69-23CF-44E3-9099-C40C66FF867C}">
                  <a14:compatExt spid="_x0000_s3267"/>
                </a:ext>
                <a:ext uri="{FF2B5EF4-FFF2-40B4-BE49-F238E27FC236}">
                  <a16:creationId xmlns:a16="http://schemas.microsoft.com/office/drawing/2014/main" id="{00000000-0008-0000-0300-0000C30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169</xdr:row>
          <xdr:rowOff>0</xdr:rowOff>
        </xdr:from>
        <xdr:to>
          <xdr:col>22</xdr:col>
          <xdr:colOff>177800</xdr:colOff>
          <xdr:row>169</xdr:row>
          <xdr:rowOff>177800</xdr:rowOff>
        </xdr:to>
        <xdr:sp macro="" textlink="">
          <xdr:nvSpPr>
            <xdr:cNvPr id="3268" name="Check Box 196" hidden="1">
              <a:extLst>
                <a:ext uri="{63B3BB69-23CF-44E3-9099-C40C66FF867C}">
                  <a14:compatExt spid="_x0000_s3268"/>
                </a:ext>
                <a:ext uri="{FF2B5EF4-FFF2-40B4-BE49-F238E27FC236}">
                  <a16:creationId xmlns:a16="http://schemas.microsoft.com/office/drawing/2014/main" id="{00000000-0008-0000-0300-0000C40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171</xdr:row>
          <xdr:rowOff>0</xdr:rowOff>
        </xdr:from>
        <xdr:to>
          <xdr:col>22</xdr:col>
          <xdr:colOff>177800</xdr:colOff>
          <xdr:row>171</xdr:row>
          <xdr:rowOff>177800</xdr:rowOff>
        </xdr:to>
        <xdr:sp macro="" textlink="">
          <xdr:nvSpPr>
            <xdr:cNvPr id="3269" name="Check Box 197" hidden="1">
              <a:extLst>
                <a:ext uri="{63B3BB69-23CF-44E3-9099-C40C66FF867C}">
                  <a14:compatExt spid="_x0000_s3269"/>
                </a:ext>
                <a:ext uri="{FF2B5EF4-FFF2-40B4-BE49-F238E27FC236}">
                  <a16:creationId xmlns:a16="http://schemas.microsoft.com/office/drawing/2014/main" id="{00000000-0008-0000-0300-0000C50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175</xdr:row>
          <xdr:rowOff>0</xdr:rowOff>
        </xdr:from>
        <xdr:to>
          <xdr:col>22</xdr:col>
          <xdr:colOff>177800</xdr:colOff>
          <xdr:row>175</xdr:row>
          <xdr:rowOff>177800</xdr:rowOff>
        </xdr:to>
        <xdr:sp macro="" textlink="">
          <xdr:nvSpPr>
            <xdr:cNvPr id="3270" name="Check Box 198" hidden="1">
              <a:extLst>
                <a:ext uri="{63B3BB69-23CF-44E3-9099-C40C66FF867C}">
                  <a14:compatExt spid="_x0000_s3270"/>
                </a:ext>
                <a:ext uri="{FF2B5EF4-FFF2-40B4-BE49-F238E27FC236}">
                  <a16:creationId xmlns:a16="http://schemas.microsoft.com/office/drawing/2014/main" id="{00000000-0008-0000-0300-0000C60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176</xdr:row>
          <xdr:rowOff>0</xdr:rowOff>
        </xdr:from>
        <xdr:to>
          <xdr:col>22</xdr:col>
          <xdr:colOff>177800</xdr:colOff>
          <xdr:row>176</xdr:row>
          <xdr:rowOff>177800</xdr:rowOff>
        </xdr:to>
        <xdr:sp macro="" textlink="">
          <xdr:nvSpPr>
            <xdr:cNvPr id="3271" name="Check Box 199" hidden="1">
              <a:extLst>
                <a:ext uri="{63B3BB69-23CF-44E3-9099-C40C66FF867C}">
                  <a14:compatExt spid="_x0000_s3271"/>
                </a:ext>
                <a:ext uri="{FF2B5EF4-FFF2-40B4-BE49-F238E27FC236}">
                  <a16:creationId xmlns:a16="http://schemas.microsoft.com/office/drawing/2014/main" id="{00000000-0008-0000-0300-0000C70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177</xdr:row>
          <xdr:rowOff>0</xdr:rowOff>
        </xdr:from>
        <xdr:to>
          <xdr:col>22</xdr:col>
          <xdr:colOff>177800</xdr:colOff>
          <xdr:row>177</xdr:row>
          <xdr:rowOff>177800</xdr:rowOff>
        </xdr:to>
        <xdr:sp macro="" textlink="">
          <xdr:nvSpPr>
            <xdr:cNvPr id="3272" name="Check Box 200" hidden="1">
              <a:extLst>
                <a:ext uri="{63B3BB69-23CF-44E3-9099-C40C66FF867C}">
                  <a14:compatExt spid="_x0000_s3272"/>
                </a:ext>
                <a:ext uri="{FF2B5EF4-FFF2-40B4-BE49-F238E27FC236}">
                  <a16:creationId xmlns:a16="http://schemas.microsoft.com/office/drawing/2014/main" id="{00000000-0008-0000-0300-0000C80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179</xdr:row>
          <xdr:rowOff>0</xdr:rowOff>
        </xdr:from>
        <xdr:to>
          <xdr:col>22</xdr:col>
          <xdr:colOff>177800</xdr:colOff>
          <xdr:row>179</xdr:row>
          <xdr:rowOff>177800</xdr:rowOff>
        </xdr:to>
        <xdr:sp macro="" textlink="">
          <xdr:nvSpPr>
            <xdr:cNvPr id="3273" name="Check Box 201" hidden="1">
              <a:extLst>
                <a:ext uri="{63B3BB69-23CF-44E3-9099-C40C66FF867C}">
                  <a14:compatExt spid="_x0000_s3273"/>
                </a:ext>
                <a:ext uri="{FF2B5EF4-FFF2-40B4-BE49-F238E27FC236}">
                  <a16:creationId xmlns:a16="http://schemas.microsoft.com/office/drawing/2014/main" id="{00000000-0008-0000-0300-0000C90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182</xdr:row>
          <xdr:rowOff>0</xdr:rowOff>
        </xdr:from>
        <xdr:to>
          <xdr:col>22</xdr:col>
          <xdr:colOff>177800</xdr:colOff>
          <xdr:row>182</xdr:row>
          <xdr:rowOff>177800</xdr:rowOff>
        </xdr:to>
        <xdr:sp macro="" textlink="">
          <xdr:nvSpPr>
            <xdr:cNvPr id="3274" name="Check Box 202" hidden="1">
              <a:extLst>
                <a:ext uri="{63B3BB69-23CF-44E3-9099-C40C66FF867C}">
                  <a14:compatExt spid="_x0000_s3274"/>
                </a:ext>
                <a:ext uri="{FF2B5EF4-FFF2-40B4-BE49-F238E27FC236}">
                  <a16:creationId xmlns:a16="http://schemas.microsoft.com/office/drawing/2014/main" id="{00000000-0008-0000-0300-0000CA0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184</xdr:row>
          <xdr:rowOff>0</xdr:rowOff>
        </xdr:from>
        <xdr:to>
          <xdr:col>22</xdr:col>
          <xdr:colOff>177800</xdr:colOff>
          <xdr:row>184</xdr:row>
          <xdr:rowOff>177800</xdr:rowOff>
        </xdr:to>
        <xdr:sp macro="" textlink="">
          <xdr:nvSpPr>
            <xdr:cNvPr id="3275" name="Check Box 203" hidden="1">
              <a:extLst>
                <a:ext uri="{63B3BB69-23CF-44E3-9099-C40C66FF867C}">
                  <a14:compatExt spid="_x0000_s3275"/>
                </a:ext>
                <a:ext uri="{FF2B5EF4-FFF2-40B4-BE49-F238E27FC236}">
                  <a16:creationId xmlns:a16="http://schemas.microsoft.com/office/drawing/2014/main" id="{00000000-0008-0000-0300-0000CB0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189</xdr:row>
          <xdr:rowOff>0</xdr:rowOff>
        </xdr:from>
        <xdr:to>
          <xdr:col>22</xdr:col>
          <xdr:colOff>177800</xdr:colOff>
          <xdr:row>189</xdr:row>
          <xdr:rowOff>177800</xdr:rowOff>
        </xdr:to>
        <xdr:sp macro="" textlink="">
          <xdr:nvSpPr>
            <xdr:cNvPr id="3276" name="Check Box 204" hidden="1">
              <a:extLst>
                <a:ext uri="{63B3BB69-23CF-44E3-9099-C40C66FF867C}">
                  <a14:compatExt spid="_x0000_s3276"/>
                </a:ext>
                <a:ext uri="{FF2B5EF4-FFF2-40B4-BE49-F238E27FC236}">
                  <a16:creationId xmlns:a16="http://schemas.microsoft.com/office/drawing/2014/main" id="{00000000-0008-0000-0300-0000CC0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196</xdr:row>
          <xdr:rowOff>0</xdr:rowOff>
        </xdr:from>
        <xdr:to>
          <xdr:col>22</xdr:col>
          <xdr:colOff>177800</xdr:colOff>
          <xdr:row>196</xdr:row>
          <xdr:rowOff>177800</xdr:rowOff>
        </xdr:to>
        <xdr:sp macro="" textlink="">
          <xdr:nvSpPr>
            <xdr:cNvPr id="3277" name="Check Box 205" hidden="1">
              <a:extLst>
                <a:ext uri="{63B3BB69-23CF-44E3-9099-C40C66FF867C}">
                  <a14:compatExt spid="_x0000_s3277"/>
                </a:ext>
                <a:ext uri="{FF2B5EF4-FFF2-40B4-BE49-F238E27FC236}">
                  <a16:creationId xmlns:a16="http://schemas.microsoft.com/office/drawing/2014/main" id="{00000000-0008-0000-0300-0000CD0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197</xdr:row>
          <xdr:rowOff>0</xdr:rowOff>
        </xdr:from>
        <xdr:to>
          <xdr:col>22</xdr:col>
          <xdr:colOff>177800</xdr:colOff>
          <xdr:row>197</xdr:row>
          <xdr:rowOff>177800</xdr:rowOff>
        </xdr:to>
        <xdr:sp macro="" textlink="">
          <xdr:nvSpPr>
            <xdr:cNvPr id="3278" name="Check Box 206" hidden="1">
              <a:extLst>
                <a:ext uri="{63B3BB69-23CF-44E3-9099-C40C66FF867C}">
                  <a14:compatExt spid="_x0000_s3278"/>
                </a:ext>
                <a:ext uri="{FF2B5EF4-FFF2-40B4-BE49-F238E27FC236}">
                  <a16:creationId xmlns:a16="http://schemas.microsoft.com/office/drawing/2014/main" id="{00000000-0008-0000-0300-0000CE0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199</xdr:row>
          <xdr:rowOff>0</xdr:rowOff>
        </xdr:from>
        <xdr:to>
          <xdr:col>22</xdr:col>
          <xdr:colOff>177800</xdr:colOff>
          <xdr:row>199</xdr:row>
          <xdr:rowOff>177800</xdr:rowOff>
        </xdr:to>
        <xdr:sp macro="" textlink="">
          <xdr:nvSpPr>
            <xdr:cNvPr id="3279" name="Check Box 207" hidden="1">
              <a:extLst>
                <a:ext uri="{63B3BB69-23CF-44E3-9099-C40C66FF867C}">
                  <a14:compatExt spid="_x0000_s3279"/>
                </a:ext>
                <a:ext uri="{FF2B5EF4-FFF2-40B4-BE49-F238E27FC236}">
                  <a16:creationId xmlns:a16="http://schemas.microsoft.com/office/drawing/2014/main" id="{00000000-0008-0000-0300-0000CF0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204</xdr:row>
          <xdr:rowOff>0</xdr:rowOff>
        </xdr:from>
        <xdr:to>
          <xdr:col>22</xdr:col>
          <xdr:colOff>177800</xdr:colOff>
          <xdr:row>204</xdr:row>
          <xdr:rowOff>177800</xdr:rowOff>
        </xdr:to>
        <xdr:sp macro="" textlink="">
          <xdr:nvSpPr>
            <xdr:cNvPr id="3280" name="Check Box 208" hidden="1">
              <a:extLst>
                <a:ext uri="{63B3BB69-23CF-44E3-9099-C40C66FF867C}">
                  <a14:compatExt spid="_x0000_s3280"/>
                </a:ext>
                <a:ext uri="{FF2B5EF4-FFF2-40B4-BE49-F238E27FC236}">
                  <a16:creationId xmlns:a16="http://schemas.microsoft.com/office/drawing/2014/main" id="{00000000-0008-0000-0300-0000D00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206</xdr:row>
          <xdr:rowOff>0</xdr:rowOff>
        </xdr:from>
        <xdr:to>
          <xdr:col>22</xdr:col>
          <xdr:colOff>177800</xdr:colOff>
          <xdr:row>206</xdr:row>
          <xdr:rowOff>177800</xdr:rowOff>
        </xdr:to>
        <xdr:sp macro="" textlink="">
          <xdr:nvSpPr>
            <xdr:cNvPr id="3281" name="Check Box 209" hidden="1">
              <a:extLst>
                <a:ext uri="{63B3BB69-23CF-44E3-9099-C40C66FF867C}">
                  <a14:compatExt spid="_x0000_s3281"/>
                </a:ext>
                <a:ext uri="{FF2B5EF4-FFF2-40B4-BE49-F238E27FC236}">
                  <a16:creationId xmlns:a16="http://schemas.microsoft.com/office/drawing/2014/main" id="{00000000-0008-0000-0300-0000D10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207</xdr:row>
          <xdr:rowOff>0</xdr:rowOff>
        </xdr:from>
        <xdr:to>
          <xdr:col>22</xdr:col>
          <xdr:colOff>177800</xdr:colOff>
          <xdr:row>207</xdr:row>
          <xdr:rowOff>177800</xdr:rowOff>
        </xdr:to>
        <xdr:sp macro="" textlink="">
          <xdr:nvSpPr>
            <xdr:cNvPr id="3282" name="Check Box 210" hidden="1">
              <a:extLst>
                <a:ext uri="{63B3BB69-23CF-44E3-9099-C40C66FF867C}">
                  <a14:compatExt spid="_x0000_s3282"/>
                </a:ext>
                <a:ext uri="{FF2B5EF4-FFF2-40B4-BE49-F238E27FC236}">
                  <a16:creationId xmlns:a16="http://schemas.microsoft.com/office/drawing/2014/main" id="{00000000-0008-0000-0300-0000D20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209</xdr:row>
          <xdr:rowOff>0</xdr:rowOff>
        </xdr:from>
        <xdr:to>
          <xdr:col>22</xdr:col>
          <xdr:colOff>177800</xdr:colOff>
          <xdr:row>209</xdr:row>
          <xdr:rowOff>177800</xdr:rowOff>
        </xdr:to>
        <xdr:sp macro="" textlink="">
          <xdr:nvSpPr>
            <xdr:cNvPr id="3283" name="Check Box 211" hidden="1">
              <a:extLst>
                <a:ext uri="{63B3BB69-23CF-44E3-9099-C40C66FF867C}">
                  <a14:compatExt spid="_x0000_s3283"/>
                </a:ext>
                <a:ext uri="{FF2B5EF4-FFF2-40B4-BE49-F238E27FC236}">
                  <a16:creationId xmlns:a16="http://schemas.microsoft.com/office/drawing/2014/main" id="{00000000-0008-0000-0300-0000D30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211</xdr:row>
          <xdr:rowOff>0</xdr:rowOff>
        </xdr:from>
        <xdr:to>
          <xdr:col>22</xdr:col>
          <xdr:colOff>177800</xdr:colOff>
          <xdr:row>211</xdr:row>
          <xdr:rowOff>177800</xdr:rowOff>
        </xdr:to>
        <xdr:sp macro="" textlink="">
          <xdr:nvSpPr>
            <xdr:cNvPr id="3284" name="Check Box 212" hidden="1">
              <a:extLst>
                <a:ext uri="{63B3BB69-23CF-44E3-9099-C40C66FF867C}">
                  <a14:compatExt spid="_x0000_s3284"/>
                </a:ext>
                <a:ext uri="{FF2B5EF4-FFF2-40B4-BE49-F238E27FC236}">
                  <a16:creationId xmlns:a16="http://schemas.microsoft.com/office/drawing/2014/main" id="{00000000-0008-0000-0300-0000D40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215</xdr:row>
          <xdr:rowOff>0</xdr:rowOff>
        </xdr:from>
        <xdr:to>
          <xdr:col>22</xdr:col>
          <xdr:colOff>177800</xdr:colOff>
          <xdr:row>215</xdr:row>
          <xdr:rowOff>177800</xdr:rowOff>
        </xdr:to>
        <xdr:sp macro="" textlink="">
          <xdr:nvSpPr>
            <xdr:cNvPr id="3285" name="Check Box 213" hidden="1">
              <a:extLst>
                <a:ext uri="{63B3BB69-23CF-44E3-9099-C40C66FF867C}">
                  <a14:compatExt spid="_x0000_s3285"/>
                </a:ext>
                <a:ext uri="{FF2B5EF4-FFF2-40B4-BE49-F238E27FC236}">
                  <a16:creationId xmlns:a16="http://schemas.microsoft.com/office/drawing/2014/main" id="{00000000-0008-0000-0300-0000D50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218</xdr:row>
          <xdr:rowOff>0</xdr:rowOff>
        </xdr:from>
        <xdr:to>
          <xdr:col>22</xdr:col>
          <xdr:colOff>177800</xdr:colOff>
          <xdr:row>218</xdr:row>
          <xdr:rowOff>177800</xdr:rowOff>
        </xdr:to>
        <xdr:sp macro="" textlink="">
          <xdr:nvSpPr>
            <xdr:cNvPr id="3286" name="Check Box 214" hidden="1">
              <a:extLst>
                <a:ext uri="{63B3BB69-23CF-44E3-9099-C40C66FF867C}">
                  <a14:compatExt spid="_x0000_s3286"/>
                </a:ext>
                <a:ext uri="{FF2B5EF4-FFF2-40B4-BE49-F238E27FC236}">
                  <a16:creationId xmlns:a16="http://schemas.microsoft.com/office/drawing/2014/main" id="{00000000-0008-0000-0300-0000D60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220</xdr:row>
          <xdr:rowOff>0</xdr:rowOff>
        </xdr:from>
        <xdr:to>
          <xdr:col>22</xdr:col>
          <xdr:colOff>177800</xdr:colOff>
          <xdr:row>220</xdr:row>
          <xdr:rowOff>177800</xdr:rowOff>
        </xdr:to>
        <xdr:sp macro="" textlink="">
          <xdr:nvSpPr>
            <xdr:cNvPr id="3287" name="Check Box 215" hidden="1">
              <a:extLst>
                <a:ext uri="{63B3BB69-23CF-44E3-9099-C40C66FF867C}">
                  <a14:compatExt spid="_x0000_s3287"/>
                </a:ext>
                <a:ext uri="{FF2B5EF4-FFF2-40B4-BE49-F238E27FC236}">
                  <a16:creationId xmlns:a16="http://schemas.microsoft.com/office/drawing/2014/main" id="{00000000-0008-0000-0300-0000D70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221</xdr:row>
          <xdr:rowOff>0</xdr:rowOff>
        </xdr:from>
        <xdr:to>
          <xdr:col>22</xdr:col>
          <xdr:colOff>177800</xdr:colOff>
          <xdr:row>221</xdr:row>
          <xdr:rowOff>177800</xdr:rowOff>
        </xdr:to>
        <xdr:sp macro="" textlink="">
          <xdr:nvSpPr>
            <xdr:cNvPr id="3288" name="Check Box 216" hidden="1">
              <a:extLst>
                <a:ext uri="{63B3BB69-23CF-44E3-9099-C40C66FF867C}">
                  <a14:compatExt spid="_x0000_s3288"/>
                </a:ext>
                <a:ext uri="{FF2B5EF4-FFF2-40B4-BE49-F238E27FC236}">
                  <a16:creationId xmlns:a16="http://schemas.microsoft.com/office/drawing/2014/main" id="{00000000-0008-0000-0300-0000D80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222</xdr:row>
          <xdr:rowOff>0</xdr:rowOff>
        </xdr:from>
        <xdr:to>
          <xdr:col>22</xdr:col>
          <xdr:colOff>177800</xdr:colOff>
          <xdr:row>222</xdr:row>
          <xdr:rowOff>177800</xdr:rowOff>
        </xdr:to>
        <xdr:sp macro="" textlink="">
          <xdr:nvSpPr>
            <xdr:cNvPr id="3289" name="Check Box 217" hidden="1">
              <a:extLst>
                <a:ext uri="{63B3BB69-23CF-44E3-9099-C40C66FF867C}">
                  <a14:compatExt spid="_x0000_s3289"/>
                </a:ext>
                <a:ext uri="{FF2B5EF4-FFF2-40B4-BE49-F238E27FC236}">
                  <a16:creationId xmlns:a16="http://schemas.microsoft.com/office/drawing/2014/main" id="{00000000-0008-0000-0300-0000D90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223</xdr:row>
          <xdr:rowOff>0</xdr:rowOff>
        </xdr:from>
        <xdr:to>
          <xdr:col>22</xdr:col>
          <xdr:colOff>177800</xdr:colOff>
          <xdr:row>223</xdr:row>
          <xdr:rowOff>177800</xdr:rowOff>
        </xdr:to>
        <xdr:sp macro="" textlink="">
          <xdr:nvSpPr>
            <xdr:cNvPr id="3290" name="Check Box 218" hidden="1">
              <a:extLst>
                <a:ext uri="{63B3BB69-23CF-44E3-9099-C40C66FF867C}">
                  <a14:compatExt spid="_x0000_s3290"/>
                </a:ext>
                <a:ext uri="{FF2B5EF4-FFF2-40B4-BE49-F238E27FC236}">
                  <a16:creationId xmlns:a16="http://schemas.microsoft.com/office/drawing/2014/main" id="{00000000-0008-0000-0300-0000DA0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224</xdr:row>
          <xdr:rowOff>0</xdr:rowOff>
        </xdr:from>
        <xdr:to>
          <xdr:col>22</xdr:col>
          <xdr:colOff>177800</xdr:colOff>
          <xdr:row>224</xdr:row>
          <xdr:rowOff>177800</xdr:rowOff>
        </xdr:to>
        <xdr:sp macro="" textlink="">
          <xdr:nvSpPr>
            <xdr:cNvPr id="3291" name="Check Box 219" hidden="1">
              <a:extLst>
                <a:ext uri="{63B3BB69-23CF-44E3-9099-C40C66FF867C}">
                  <a14:compatExt spid="_x0000_s3291"/>
                </a:ext>
                <a:ext uri="{FF2B5EF4-FFF2-40B4-BE49-F238E27FC236}">
                  <a16:creationId xmlns:a16="http://schemas.microsoft.com/office/drawing/2014/main" id="{00000000-0008-0000-0300-0000DB0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225</xdr:row>
          <xdr:rowOff>0</xdr:rowOff>
        </xdr:from>
        <xdr:to>
          <xdr:col>22</xdr:col>
          <xdr:colOff>177800</xdr:colOff>
          <xdr:row>225</xdr:row>
          <xdr:rowOff>177800</xdr:rowOff>
        </xdr:to>
        <xdr:sp macro="" textlink="">
          <xdr:nvSpPr>
            <xdr:cNvPr id="3292" name="Check Box 220" hidden="1">
              <a:extLst>
                <a:ext uri="{63B3BB69-23CF-44E3-9099-C40C66FF867C}">
                  <a14:compatExt spid="_x0000_s3292"/>
                </a:ext>
                <a:ext uri="{FF2B5EF4-FFF2-40B4-BE49-F238E27FC236}">
                  <a16:creationId xmlns:a16="http://schemas.microsoft.com/office/drawing/2014/main" id="{00000000-0008-0000-0300-0000DC0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233</xdr:row>
          <xdr:rowOff>0</xdr:rowOff>
        </xdr:from>
        <xdr:to>
          <xdr:col>22</xdr:col>
          <xdr:colOff>177800</xdr:colOff>
          <xdr:row>233</xdr:row>
          <xdr:rowOff>177800</xdr:rowOff>
        </xdr:to>
        <xdr:sp macro="" textlink="">
          <xdr:nvSpPr>
            <xdr:cNvPr id="3294" name="Check Box 222" hidden="1">
              <a:extLst>
                <a:ext uri="{63B3BB69-23CF-44E3-9099-C40C66FF867C}">
                  <a14:compatExt spid="_x0000_s3294"/>
                </a:ext>
                <a:ext uri="{FF2B5EF4-FFF2-40B4-BE49-F238E27FC236}">
                  <a16:creationId xmlns:a16="http://schemas.microsoft.com/office/drawing/2014/main" id="{00000000-0008-0000-0300-0000DE0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235</xdr:row>
          <xdr:rowOff>0</xdr:rowOff>
        </xdr:from>
        <xdr:to>
          <xdr:col>22</xdr:col>
          <xdr:colOff>177800</xdr:colOff>
          <xdr:row>235</xdr:row>
          <xdr:rowOff>177800</xdr:rowOff>
        </xdr:to>
        <xdr:sp macro="" textlink="">
          <xdr:nvSpPr>
            <xdr:cNvPr id="3295" name="Check Box 223" hidden="1">
              <a:extLst>
                <a:ext uri="{63B3BB69-23CF-44E3-9099-C40C66FF867C}">
                  <a14:compatExt spid="_x0000_s3295"/>
                </a:ext>
                <a:ext uri="{FF2B5EF4-FFF2-40B4-BE49-F238E27FC236}">
                  <a16:creationId xmlns:a16="http://schemas.microsoft.com/office/drawing/2014/main" id="{00000000-0008-0000-0300-0000DF0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243</xdr:row>
          <xdr:rowOff>0</xdr:rowOff>
        </xdr:from>
        <xdr:to>
          <xdr:col>22</xdr:col>
          <xdr:colOff>177800</xdr:colOff>
          <xdr:row>243</xdr:row>
          <xdr:rowOff>177800</xdr:rowOff>
        </xdr:to>
        <xdr:sp macro="" textlink="">
          <xdr:nvSpPr>
            <xdr:cNvPr id="3296" name="Check Box 224" hidden="1">
              <a:extLst>
                <a:ext uri="{63B3BB69-23CF-44E3-9099-C40C66FF867C}">
                  <a14:compatExt spid="_x0000_s3296"/>
                </a:ext>
                <a:ext uri="{FF2B5EF4-FFF2-40B4-BE49-F238E27FC236}">
                  <a16:creationId xmlns:a16="http://schemas.microsoft.com/office/drawing/2014/main" id="{00000000-0008-0000-0300-0000E00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246</xdr:row>
          <xdr:rowOff>0</xdr:rowOff>
        </xdr:from>
        <xdr:to>
          <xdr:col>22</xdr:col>
          <xdr:colOff>177800</xdr:colOff>
          <xdr:row>246</xdr:row>
          <xdr:rowOff>177800</xdr:rowOff>
        </xdr:to>
        <xdr:sp macro="" textlink="">
          <xdr:nvSpPr>
            <xdr:cNvPr id="3297" name="Check Box 225" hidden="1">
              <a:extLst>
                <a:ext uri="{63B3BB69-23CF-44E3-9099-C40C66FF867C}">
                  <a14:compatExt spid="_x0000_s3297"/>
                </a:ext>
                <a:ext uri="{FF2B5EF4-FFF2-40B4-BE49-F238E27FC236}">
                  <a16:creationId xmlns:a16="http://schemas.microsoft.com/office/drawing/2014/main" id="{00000000-0008-0000-0300-0000E10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250</xdr:row>
          <xdr:rowOff>0</xdr:rowOff>
        </xdr:from>
        <xdr:to>
          <xdr:col>22</xdr:col>
          <xdr:colOff>177800</xdr:colOff>
          <xdr:row>250</xdr:row>
          <xdr:rowOff>177800</xdr:rowOff>
        </xdr:to>
        <xdr:sp macro="" textlink="">
          <xdr:nvSpPr>
            <xdr:cNvPr id="3298" name="Check Box 226" hidden="1">
              <a:extLst>
                <a:ext uri="{63B3BB69-23CF-44E3-9099-C40C66FF867C}">
                  <a14:compatExt spid="_x0000_s3298"/>
                </a:ext>
                <a:ext uri="{FF2B5EF4-FFF2-40B4-BE49-F238E27FC236}">
                  <a16:creationId xmlns:a16="http://schemas.microsoft.com/office/drawing/2014/main" id="{00000000-0008-0000-0300-0000E20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251</xdr:row>
          <xdr:rowOff>0</xdr:rowOff>
        </xdr:from>
        <xdr:to>
          <xdr:col>22</xdr:col>
          <xdr:colOff>177800</xdr:colOff>
          <xdr:row>251</xdr:row>
          <xdr:rowOff>177800</xdr:rowOff>
        </xdr:to>
        <xdr:sp macro="" textlink="">
          <xdr:nvSpPr>
            <xdr:cNvPr id="3299" name="Check Box 227" hidden="1">
              <a:extLst>
                <a:ext uri="{63B3BB69-23CF-44E3-9099-C40C66FF867C}">
                  <a14:compatExt spid="_x0000_s3299"/>
                </a:ext>
                <a:ext uri="{FF2B5EF4-FFF2-40B4-BE49-F238E27FC236}">
                  <a16:creationId xmlns:a16="http://schemas.microsoft.com/office/drawing/2014/main" id="{00000000-0008-0000-0300-0000E30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22</xdr:col>
          <xdr:colOff>0</xdr:colOff>
          <xdr:row>42</xdr:row>
          <xdr:rowOff>0</xdr:rowOff>
        </xdr:from>
        <xdr:to>
          <xdr:col>22</xdr:col>
          <xdr:colOff>177800</xdr:colOff>
          <xdr:row>42</xdr:row>
          <xdr:rowOff>177800</xdr:rowOff>
        </xdr:to>
        <xdr:sp macro="" textlink="">
          <xdr:nvSpPr>
            <xdr:cNvPr id="3305" name="Check Box 233" hidden="1">
              <a:extLst>
                <a:ext uri="{63B3BB69-23CF-44E3-9099-C40C66FF867C}">
                  <a14:compatExt spid="_x0000_s3305"/>
                </a:ext>
                <a:ext uri="{FF2B5EF4-FFF2-40B4-BE49-F238E27FC236}">
                  <a16:creationId xmlns:a16="http://schemas.microsoft.com/office/drawing/2014/main" id="{00000000-0008-0000-0300-0000E90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22</xdr:col>
          <xdr:colOff>0</xdr:colOff>
          <xdr:row>44</xdr:row>
          <xdr:rowOff>0</xdr:rowOff>
        </xdr:from>
        <xdr:to>
          <xdr:col>22</xdr:col>
          <xdr:colOff>177800</xdr:colOff>
          <xdr:row>44</xdr:row>
          <xdr:rowOff>177800</xdr:rowOff>
        </xdr:to>
        <xdr:sp macro="" textlink="">
          <xdr:nvSpPr>
            <xdr:cNvPr id="3306" name="Check Box 234" hidden="1">
              <a:extLst>
                <a:ext uri="{63B3BB69-23CF-44E3-9099-C40C66FF867C}">
                  <a14:compatExt spid="_x0000_s3306"/>
                </a:ext>
                <a:ext uri="{FF2B5EF4-FFF2-40B4-BE49-F238E27FC236}">
                  <a16:creationId xmlns:a16="http://schemas.microsoft.com/office/drawing/2014/main" id="{00000000-0008-0000-0300-0000EA0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22</xdr:col>
          <xdr:colOff>0</xdr:colOff>
          <xdr:row>47</xdr:row>
          <xdr:rowOff>0</xdr:rowOff>
        </xdr:from>
        <xdr:to>
          <xdr:col>22</xdr:col>
          <xdr:colOff>177800</xdr:colOff>
          <xdr:row>47</xdr:row>
          <xdr:rowOff>177800</xdr:rowOff>
        </xdr:to>
        <xdr:sp macro="" textlink="">
          <xdr:nvSpPr>
            <xdr:cNvPr id="3307" name="Check Box 235" hidden="1">
              <a:extLst>
                <a:ext uri="{63B3BB69-23CF-44E3-9099-C40C66FF867C}">
                  <a14:compatExt spid="_x0000_s3307"/>
                </a:ext>
                <a:ext uri="{FF2B5EF4-FFF2-40B4-BE49-F238E27FC236}">
                  <a16:creationId xmlns:a16="http://schemas.microsoft.com/office/drawing/2014/main" id="{00000000-0008-0000-0300-0000EB0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22</xdr:col>
          <xdr:colOff>0</xdr:colOff>
          <xdr:row>75</xdr:row>
          <xdr:rowOff>0</xdr:rowOff>
        </xdr:from>
        <xdr:to>
          <xdr:col>22</xdr:col>
          <xdr:colOff>177800</xdr:colOff>
          <xdr:row>75</xdr:row>
          <xdr:rowOff>177800</xdr:rowOff>
        </xdr:to>
        <xdr:sp macro="" textlink="">
          <xdr:nvSpPr>
            <xdr:cNvPr id="3309" name="Check Box 237" hidden="1">
              <a:extLst>
                <a:ext uri="{63B3BB69-23CF-44E3-9099-C40C66FF867C}">
                  <a14:compatExt spid="_x0000_s3309"/>
                </a:ext>
                <a:ext uri="{FF2B5EF4-FFF2-40B4-BE49-F238E27FC236}">
                  <a16:creationId xmlns:a16="http://schemas.microsoft.com/office/drawing/2014/main" id="{00000000-0008-0000-0300-0000ED0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22</xdr:col>
          <xdr:colOff>0</xdr:colOff>
          <xdr:row>127</xdr:row>
          <xdr:rowOff>0</xdr:rowOff>
        </xdr:from>
        <xdr:to>
          <xdr:col>22</xdr:col>
          <xdr:colOff>177800</xdr:colOff>
          <xdr:row>127</xdr:row>
          <xdr:rowOff>177800</xdr:rowOff>
        </xdr:to>
        <xdr:sp macro="" textlink="">
          <xdr:nvSpPr>
            <xdr:cNvPr id="3311" name="Check Box 239" hidden="1">
              <a:extLst>
                <a:ext uri="{63B3BB69-23CF-44E3-9099-C40C66FF867C}">
                  <a14:compatExt spid="_x0000_s3311"/>
                </a:ext>
                <a:ext uri="{FF2B5EF4-FFF2-40B4-BE49-F238E27FC236}">
                  <a16:creationId xmlns:a16="http://schemas.microsoft.com/office/drawing/2014/main" id="{00000000-0008-0000-0300-0000EF0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22</xdr:col>
          <xdr:colOff>0</xdr:colOff>
          <xdr:row>129</xdr:row>
          <xdr:rowOff>0</xdr:rowOff>
        </xdr:from>
        <xdr:to>
          <xdr:col>22</xdr:col>
          <xdr:colOff>177800</xdr:colOff>
          <xdr:row>129</xdr:row>
          <xdr:rowOff>177800</xdr:rowOff>
        </xdr:to>
        <xdr:sp macro="" textlink="">
          <xdr:nvSpPr>
            <xdr:cNvPr id="3312" name="Check Box 240" hidden="1">
              <a:extLst>
                <a:ext uri="{63B3BB69-23CF-44E3-9099-C40C66FF867C}">
                  <a14:compatExt spid="_x0000_s3312"/>
                </a:ext>
                <a:ext uri="{FF2B5EF4-FFF2-40B4-BE49-F238E27FC236}">
                  <a16:creationId xmlns:a16="http://schemas.microsoft.com/office/drawing/2014/main" id="{00000000-0008-0000-0300-0000F00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22</xdr:col>
          <xdr:colOff>0</xdr:colOff>
          <xdr:row>149</xdr:row>
          <xdr:rowOff>0</xdr:rowOff>
        </xdr:from>
        <xdr:to>
          <xdr:col>22</xdr:col>
          <xdr:colOff>177800</xdr:colOff>
          <xdr:row>149</xdr:row>
          <xdr:rowOff>177800</xdr:rowOff>
        </xdr:to>
        <xdr:sp macro="" textlink="">
          <xdr:nvSpPr>
            <xdr:cNvPr id="3315" name="Check Box 243" hidden="1">
              <a:extLst>
                <a:ext uri="{63B3BB69-23CF-44E3-9099-C40C66FF867C}">
                  <a14:compatExt spid="_x0000_s3315"/>
                </a:ext>
                <a:ext uri="{FF2B5EF4-FFF2-40B4-BE49-F238E27FC236}">
                  <a16:creationId xmlns:a16="http://schemas.microsoft.com/office/drawing/2014/main" id="{00000000-0008-0000-0300-0000F30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22</xdr:col>
          <xdr:colOff>0</xdr:colOff>
          <xdr:row>270</xdr:row>
          <xdr:rowOff>0</xdr:rowOff>
        </xdr:from>
        <xdr:to>
          <xdr:col>22</xdr:col>
          <xdr:colOff>177800</xdr:colOff>
          <xdr:row>270</xdr:row>
          <xdr:rowOff>177800</xdr:rowOff>
        </xdr:to>
        <xdr:sp macro="" textlink="">
          <xdr:nvSpPr>
            <xdr:cNvPr id="3338" name="Check Box 266" hidden="1">
              <a:extLst>
                <a:ext uri="{63B3BB69-23CF-44E3-9099-C40C66FF867C}">
                  <a14:compatExt spid="_x0000_s3338"/>
                </a:ext>
                <a:ext uri="{FF2B5EF4-FFF2-40B4-BE49-F238E27FC236}">
                  <a16:creationId xmlns:a16="http://schemas.microsoft.com/office/drawing/2014/main" id="{00000000-0008-0000-0300-00000A0D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22</xdr:col>
          <xdr:colOff>0</xdr:colOff>
          <xdr:row>269</xdr:row>
          <xdr:rowOff>0</xdr:rowOff>
        </xdr:from>
        <xdr:to>
          <xdr:col>22</xdr:col>
          <xdr:colOff>177800</xdr:colOff>
          <xdr:row>269</xdr:row>
          <xdr:rowOff>177800</xdr:rowOff>
        </xdr:to>
        <xdr:sp macro="" textlink="">
          <xdr:nvSpPr>
            <xdr:cNvPr id="3339" name="Check Box 267" hidden="1">
              <a:extLst>
                <a:ext uri="{63B3BB69-23CF-44E3-9099-C40C66FF867C}">
                  <a14:compatExt spid="_x0000_s3339"/>
                </a:ext>
                <a:ext uri="{FF2B5EF4-FFF2-40B4-BE49-F238E27FC236}">
                  <a16:creationId xmlns:a16="http://schemas.microsoft.com/office/drawing/2014/main" id="{00000000-0008-0000-0300-00000B0D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22</xdr:col>
          <xdr:colOff>0</xdr:colOff>
          <xdr:row>266</xdr:row>
          <xdr:rowOff>0</xdr:rowOff>
        </xdr:from>
        <xdr:to>
          <xdr:col>22</xdr:col>
          <xdr:colOff>177800</xdr:colOff>
          <xdr:row>266</xdr:row>
          <xdr:rowOff>177800</xdr:rowOff>
        </xdr:to>
        <xdr:sp macro="" textlink="">
          <xdr:nvSpPr>
            <xdr:cNvPr id="3340" name="Check Box 268" hidden="1">
              <a:extLst>
                <a:ext uri="{63B3BB69-23CF-44E3-9099-C40C66FF867C}">
                  <a14:compatExt spid="_x0000_s3340"/>
                </a:ext>
                <a:ext uri="{FF2B5EF4-FFF2-40B4-BE49-F238E27FC236}">
                  <a16:creationId xmlns:a16="http://schemas.microsoft.com/office/drawing/2014/main" id="{00000000-0008-0000-0300-00000C0D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22</xdr:col>
          <xdr:colOff>0</xdr:colOff>
          <xdr:row>261</xdr:row>
          <xdr:rowOff>0</xdr:rowOff>
        </xdr:from>
        <xdr:to>
          <xdr:col>22</xdr:col>
          <xdr:colOff>177800</xdr:colOff>
          <xdr:row>261</xdr:row>
          <xdr:rowOff>177800</xdr:rowOff>
        </xdr:to>
        <xdr:sp macro="" textlink="">
          <xdr:nvSpPr>
            <xdr:cNvPr id="3341" name="Check Box 269" hidden="1">
              <a:extLst>
                <a:ext uri="{63B3BB69-23CF-44E3-9099-C40C66FF867C}">
                  <a14:compatExt spid="_x0000_s3341"/>
                </a:ext>
                <a:ext uri="{FF2B5EF4-FFF2-40B4-BE49-F238E27FC236}">
                  <a16:creationId xmlns:a16="http://schemas.microsoft.com/office/drawing/2014/main" id="{00000000-0008-0000-0300-00000D0D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22</xdr:col>
          <xdr:colOff>0</xdr:colOff>
          <xdr:row>282</xdr:row>
          <xdr:rowOff>0</xdr:rowOff>
        </xdr:from>
        <xdr:to>
          <xdr:col>22</xdr:col>
          <xdr:colOff>177800</xdr:colOff>
          <xdr:row>282</xdr:row>
          <xdr:rowOff>177800</xdr:rowOff>
        </xdr:to>
        <xdr:sp macro="" textlink="">
          <xdr:nvSpPr>
            <xdr:cNvPr id="3342" name="Check Box 270" hidden="1">
              <a:extLst>
                <a:ext uri="{63B3BB69-23CF-44E3-9099-C40C66FF867C}">
                  <a14:compatExt spid="_x0000_s3342"/>
                </a:ext>
                <a:ext uri="{FF2B5EF4-FFF2-40B4-BE49-F238E27FC236}">
                  <a16:creationId xmlns:a16="http://schemas.microsoft.com/office/drawing/2014/main" id="{00000000-0008-0000-0300-00000E0D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22</xdr:col>
          <xdr:colOff>0</xdr:colOff>
          <xdr:row>286</xdr:row>
          <xdr:rowOff>0</xdr:rowOff>
        </xdr:from>
        <xdr:to>
          <xdr:col>22</xdr:col>
          <xdr:colOff>177800</xdr:colOff>
          <xdr:row>286</xdr:row>
          <xdr:rowOff>177800</xdr:rowOff>
        </xdr:to>
        <xdr:sp macro="" textlink="">
          <xdr:nvSpPr>
            <xdr:cNvPr id="3343" name="Check Box 271" hidden="1">
              <a:extLst>
                <a:ext uri="{63B3BB69-23CF-44E3-9099-C40C66FF867C}">
                  <a14:compatExt spid="_x0000_s3343"/>
                </a:ext>
                <a:ext uri="{FF2B5EF4-FFF2-40B4-BE49-F238E27FC236}">
                  <a16:creationId xmlns:a16="http://schemas.microsoft.com/office/drawing/2014/main" id="{00000000-0008-0000-0300-00000F0D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22</xdr:col>
          <xdr:colOff>0</xdr:colOff>
          <xdr:row>289</xdr:row>
          <xdr:rowOff>0</xdr:rowOff>
        </xdr:from>
        <xdr:to>
          <xdr:col>22</xdr:col>
          <xdr:colOff>177800</xdr:colOff>
          <xdr:row>289</xdr:row>
          <xdr:rowOff>177800</xdr:rowOff>
        </xdr:to>
        <xdr:sp macro="" textlink="">
          <xdr:nvSpPr>
            <xdr:cNvPr id="3344" name="Check Box 272" hidden="1">
              <a:extLst>
                <a:ext uri="{63B3BB69-23CF-44E3-9099-C40C66FF867C}">
                  <a14:compatExt spid="_x0000_s3344"/>
                </a:ext>
                <a:ext uri="{FF2B5EF4-FFF2-40B4-BE49-F238E27FC236}">
                  <a16:creationId xmlns:a16="http://schemas.microsoft.com/office/drawing/2014/main" id="{00000000-0008-0000-0300-0000100D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22</xdr:col>
          <xdr:colOff>0</xdr:colOff>
          <xdr:row>292</xdr:row>
          <xdr:rowOff>0</xdr:rowOff>
        </xdr:from>
        <xdr:to>
          <xdr:col>22</xdr:col>
          <xdr:colOff>177800</xdr:colOff>
          <xdr:row>292</xdr:row>
          <xdr:rowOff>177800</xdr:rowOff>
        </xdr:to>
        <xdr:sp macro="" textlink="">
          <xdr:nvSpPr>
            <xdr:cNvPr id="3345" name="Check Box 273" hidden="1">
              <a:extLst>
                <a:ext uri="{63B3BB69-23CF-44E3-9099-C40C66FF867C}">
                  <a14:compatExt spid="_x0000_s3345"/>
                </a:ext>
                <a:ext uri="{FF2B5EF4-FFF2-40B4-BE49-F238E27FC236}">
                  <a16:creationId xmlns:a16="http://schemas.microsoft.com/office/drawing/2014/main" id="{00000000-0008-0000-0300-0000110D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22</xdr:col>
          <xdr:colOff>0</xdr:colOff>
          <xdr:row>293</xdr:row>
          <xdr:rowOff>0</xdr:rowOff>
        </xdr:from>
        <xdr:to>
          <xdr:col>22</xdr:col>
          <xdr:colOff>177800</xdr:colOff>
          <xdr:row>293</xdr:row>
          <xdr:rowOff>177800</xdr:rowOff>
        </xdr:to>
        <xdr:sp macro="" textlink="">
          <xdr:nvSpPr>
            <xdr:cNvPr id="3346" name="Check Box 274" hidden="1">
              <a:extLst>
                <a:ext uri="{63B3BB69-23CF-44E3-9099-C40C66FF867C}">
                  <a14:compatExt spid="_x0000_s3346"/>
                </a:ext>
                <a:ext uri="{FF2B5EF4-FFF2-40B4-BE49-F238E27FC236}">
                  <a16:creationId xmlns:a16="http://schemas.microsoft.com/office/drawing/2014/main" id="{00000000-0008-0000-0300-0000120D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22</xdr:col>
          <xdr:colOff>0</xdr:colOff>
          <xdr:row>298</xdr:row>
          <xdr:rowOff>0</xdr:rowOff>
        </xdr:from>
        <xdr:to>
          <xdr:col>22</xdr:col>
          <xdr:colOff>177800</xdr:colOff>
          <xdr:row>298</xdr:row>
          <xdr:rowOff>177800</xdr:rowOff>
        </xdr:to>
        <xdr:sp macro="" textlink="">
          <xdr:nvSpPr>
            <xdr:cNvPr id="3347" name="Check Box 275" hidden="1">
              <a:extLst>
                <a:ext uri="{63B3BB69-23CF-44E3-9099-C40C66FF867C}">
                  <a14:compatExt spid="_x0000_s3347"/>
                </a:ext>
                <a:ext uri="{FF2B5EF4-FFF2-40B4-BE49-F238E27FC236}">
                  <a16:creationId xmlns:a16="http://schemas.microsoft.com/office/drawing/2014/main" id="{00000000-0008-0000-0300-0000130D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22</xdr:col>
          <xdr:colOff>0</xdr:colOff>
          <xdr:row>300</xdr:row>
          <xdr:rowOff>0</xdr:rowOff>
        </xdr:from>
        <xdr:to>
          <xdr:col>22</xdr:col>
          <xdr:colOff>177800</xdr:colOff>
          <xdr:row>300</xdr:row>
          <xdr:rowOff>177800</xdr:rowOff>
        </xdr:to>
        <xdr:sp macro="" textlink="">
          <xdr:nvSpPr>
            <xdr:cNvPr id="3348" name="Check Box 276" hidden="1">
              <a:extLst>
                <a:ext uri="{63B3BB69-23CF-44E3-9099-C40C66FF867C}">
                  <a14:compatExt spid="_x0000_s3348"/>
                </a:ext>
                <a:ext uri="{FF2B5EF4-FFF2-40B4-BE49-F238E27FC236}">
                  <a16:creationId xmlns:a16="http://schemas.microsoft.com/office/drawing/2014/main" id="{00000000-0008-0000-0300-0000140D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22</xdr:col>
          <xdr:colOff>0</xdr:colOff>
          <xdr:row>302</xdr:row>
          <xdr:rowOff>0</xdr:rowOff>
        </xdr:from>
        <xdr:to>
          <xdr:col>22</xdr:col>
          <xdr:colOff>177800</xdr:colOff>
          <xdr:row>302</xdr:row>
          <xdr:rowOff>177800</xdr:rowOff>
        </xdr:to>
        <xdr:sp macro="" textlink="">
          <xdr:nvSpPr>
            <xdr:cNvPr id="3349" name="Check Box 277" hidden="1">
              <a:extLst>
                <a:ext uri="{63B3BB69-23CF-44E3-9099-C40C66FF867C}">
                  <a14:compatExt spid="_x0000_s3349"/>
                </a:ext>
                <a:ext uri="{FF2B5EF4-FFF2-40B4-BE49-F238E27FC236}">
                  <a16:creationId xmlns:a16="http://schemas.microsoft.com/office/drawing/2014/main" id="{00000000-0008-0000-0300-0000150D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22</xdr:col>
          <xdr:colOff>0</xdr:colOff>
          <xdr:row>304</xdr:row>
          <xdr:rowOff>0</xdr:rowOff>
        </xdr:from>
        <xdr:to>
          <xdr:col>22</xdr:col>
          <xdr:colOff>177800</xdr:colOff>
          <xdr:row>304</xdr:row>
          <xdr:rowOff>177800</xdr:rowOff>
        </xdr:to>
        <xdr:sp macro="" textlink="">
          <xdr:nvSpPr>
            <xdr:cNvPr id="3350" name="Check Box 278" hidden="1">
              <a:extLst>
                <a:ext uri="{63B3BB69-23CF-44E3-9099-C40C66FF867C}">
                  <a14:compatExt spid="_x0000_s3350"/>
                </a:ext>
                <a:ext uri="{FF2B5EF4-FFF2-40B4-BE49-F238E27FC236}">
                  <a16:creationId xmlns:a16="http://schemas.microsoft.com/office/drawing/2014/main" id="{00000000-0008-0000-0300-0000160D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xdr:wsDr>
</file>

<file path=xl/drawings/drawing4.xml><?xml version="1.0" encoding="utf-8"?>
<xdr:wsDr xmlns:xdr="http://schemas.openxmlformats.org/drawingml/2006/spreadsheetDrawing" xmlns:a="http://schemas.openxmlformats.org/drawingml/2006/main">
  <xdr:twoCellAnchor editAs="oneCell">
    <xdr:from>
      <xdr:col>12</xdr:col>
      <xdr:colOff>476250</xdr:colOff>
      <xdr:row>0</xdr:row>
      <xdr:rowOff>0</xdr:rowOff>
    </xdr:from>
    <xdr:to>
      <xdr:col>22</xdr:col>
      <xdr:colOff>885825</xdr:colOff>
      <xdr:row>4</xdr:row>
      <xdr:rowOff>141767</xdr:rowOff>
    </xdr:to>
    <xdr:pic>
      <xdr:nvPicPr>
        <xdr:cNvPr id="11" name="Picture 10">
          <a:extLst>
            <a:ext uri="{FF2B5EF4-FFF2-40B4-BE49-F238E27FC236}">
              <a16:creationId xmlns:a16="http://schemas.microsoft.com/office/drawing/2014/main" id="{00000000-0008-0000-0400-00000B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8591550" y="0"/>
          <a:ext cx="1828800" cy="903767"/>
        </a:xfrm>
        <a:prstGeom prst="rect">
          <a:avLst/>
        </a:prstGeom>
      </xdr:spPr>
    </xdr:pic>
    <xdr:clientData/>
  </xdr:twoCellAnchor>
  <mc:AlternateContent xmlns:mc="http://schemas.openxmlformats.org/markup-compatibility/2006">
    <mc:Choice xmlns:a14="http://schemas.microsoft.com/office/drawing/2010/main" Requires="a14">
      <xdr:twoCellAnchor>
        <xdr:from>
          <xdr:col>22</xdr:col>
          <xdr:colOff>0</xdr:colOff>
          <xdr:row>31</xdr:row>
          <xdr:rowOff>0</xdr:rowOff>
        </xdr:from>
        <xdr:to>
          <xdr:col>22</xdr:col>
          <xdr:colOff>177800</xdr:colOff>
          <xdr:row>31</xdr:row>
          <xdr:rowOff>177800</xdr:rowOff>
        </xdr:to>
        <xdr:sp macro="" textlink="">
          <xdr:nvSpPr>
            <xdr:cNvPr id="4202" name="Check Box 106" hidden="1">
              <a:extLst>
                <a:ext uri="{63B3BB69-23CF-44E3-9099-C40C66FF867C}">
                  <a14:compatExt spid="_x0000_s4202"/>
                </a:ext>
                <a:ext uri="{FF2B5EF4-FFF2-40B4-BE49-F238E27FC236}">
                  <a16:creationId xmlns:a16="http://schemas.microsoft.com/office/drawing/2014/main" id="{00000000-0008-0000-0400-00006A10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34</xdr:row>
          <xdr:rowOff>0</xdr:rowOff>
        </xdr:from>
        <xdr:to>
          <xdr:col>22</xdr:col>
          <xdr:colOff>177800</xdr:colOff>
          <xdr:row>34</xdr:row>
          <xdr:rowOff>177800</xdr:rowOff>
        </xdr:to>
        <xdr:sp macro="" textlink="">
          <xdr:nvSpPr>
            <xdr:cNvPr id="4203" name="Check Box 107" hidden="1">
              <a:extLst>
                <a:ext uri="{63B3BB69-23CF-44E3-9099-C40C66FF867C}">
                  <a14:compatExt spid="_x0000_s4203"/>
                </a:ext>
                <a:ext uri="{FF2B5EF4-FFF2-40B4-BE49-F238E27FC236}">
                  <a16:creationId xmlns:a16="http://schemas.microsoft.com/office/drawing/2014/main" id="{00000000-0008-0000-0400-00006B10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37</xdr:row>
          <xdr:rowOff>0</xdr:rowOff>
        </xdr:from>
        <xdr:to>
          <xdr:col>22</xdr:col>
          <xdr:colOff>177800</xdr:colOff>
          <xdr:row>37</xdr:row>
          <xdr:rowOff>177800</xdr:rowOff>
        </xdr:to>
        <xdr:sp macro="" textlink="">
          <xdr:nvSpPr>
            <xdr:cNvPr id="4204" name="Check Box 108" hidden="1">
              <a:extLst>
                <a:ext uri="{63B3BB69-23CF-44E3-9099-C40C66FF867C}">
                  <a14:compatExt spid="_x0000_s4204"/>
                </a:ext>
                <a:ext uri="{FF2B5EF4-FFF2-40B4-BE49-F238E27FC236}">
                  <a16:creationId xmlns:a16="http://schemas.microsoft.com/office/drawing/2014/main" id="{00000000-0008-0000-0400-00006C10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43</xdr:row>
          <xdr:rowOff>0</xdr:rowOff>
        </xdr:from>
        <xdr:to>
          <xdr:col>22</xdr:col>
          <xdr:colOff>177800</xdr:colOff>
          <xdr:row>43</xdr:row>
          <xdr:rowOff>177800</xdr:rowOff>
        </xdr:to>
        <xdr:sp macro="" textlink="">
          <xdr:nvSpPr>
            <xdr:cNvPr id="4205" name="Check Box 109" hidden="1">
              <a:extLst>
                <a:ext uri="{63B3BB69-23CF-44E3-9099-C40C66FF867C}">
                  <a14:compatExt spid="_x0000_s4205"/>
                </a:ext>
                <a:ext uri="{FF2B5EF4-FFF2-40B4-BE49-F238E27FC236}">
                  <a16:creationId xmlns:a16="http://schemas.microsoft.com/office/drawing/2014/main" id="{00000000-0008-0000-0400-00006D10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44</xdr:row>
          <xdr:rowOff>0</xdr:rowOff>
        </xdr:from>
        <xdr:to>
          <xdr:col>22</xdr:col>
          <xdr:colOff>177800</xdr:colOff>
          <xdr:row>44</xdr:row>
          <xdr:rowOff>177800</xdr:rowOff>
        </xdr:to>
        <xdr:sp macro="" textlink="">
          <xdr:nvSpPr>
            <xdr:cNvPr id="4206" name="Check Box 110" hidden="1">
              <a:extLst>
                <a:ext uri="{63B3BB69-23CF-44E3-9099-C40C66FF867C}">
                  <a14:compatExt spid="_x0000_s4206"/>
                </a:ext>
                <a:ext uri="{FF2B5EF4-FFF2-40B4-BE49-F238E27FC236}">
                  <a16:creationId xmlns:a16="http://schemas.microsoft.com/office/drawing/2014/main" id="{00000000-0008-0000-0400-00006E10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45</xdr:row>
          <xdr:rowOff>0</xdr:rowOff>
        </xdr:from>
        <xdr:to>
          <xdr:col>22</xdr:col>
          <xdr:colOff>177800</xdr:colOff>
          <xdr:row>45</xdr:row>
          <xdr:rowOff>177800</xdr:rowOff>
        </xdr:to>
        <xdr:sp macro="" textlink="">
          <xdr:nvSpPr>
            <xdr:cNvPr id="4207" name="Check Box 111" hidden="1">
              <a:extLst>
                <a:ext uri="{63B3BB69-23CF-44E3-9099-C40C66FF867C}">
                  <a14:compatExt spid="_x0000_s4207"/>
                </a:ext>
                <a:ext uri="{FF2B5EF4-FFF2-40B4-BE49-F238E27FC236}">
                  <a16:creationId xmlns:a16="http://schemas.microsoft.com/office/drawing/2014/main" id="{00000000-0008-0000-0400-00006F10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46</xdr:row>
          <xdr:rowOff>0</xdr:rowOff>
        </xdr:from>
        <xdr:to>
          <xdr:col>22</xdr:col>
          <xdr:colOff>177800</xdr:colOff>
          <xdr:row>46</xdr:row>
          <xdr:rowOff>177800</xdr:rowOff>
        </xdr:to>
        <xdr:sp macro="" textlink="">
          <xdr:nvSpPr>
            <xdr:cNvPr id="4208" name="Check Box 112" hidden="1">
              <a:extLst>
                <a:ext uri="{63B3BB69-23CF-44E3-9099-C40C66FF867C}">
                  <a14:compatExt spid="_x0000_s4208"/>
                </a:ext>
                <a:ext uri="{FF2B5EF4-FFF2-40B4-BE49-F238E27FC236}">
                  <a16:creationId xmlns:a16="http://schemas.microsoft.com/office/drawing/2014/main" id="{00000000-0008-0000-0400-00007010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47</xdr:row>
          <xdr:rowOff>0</xdr:rowOff>
        </xdr:from>
        <xdr:to>
          <xdr:col>22</xdr:col>
          <xdr:colOff>177800</xdr:colOff>
          <xdr:row>47</xdr:row>
          <xdr:rowOff>177800</xdr:rowOff>
        </xdr:to>
        <xdr:sp macro="" textlink="">
          <xdr:nvSpPr>
            <xdr:cNvPr id="4209" name="Check Box 113" hidden="1">
              <a:extLst>
                <a:ext uri="{63B3BB69-23CF-44E3-9099-C40C66FF867C}">
                  <a14:compatExt spid="_x0000_s4209"/>
                </a:ext>
                <a:ext uri="{FF2B5EF4-FFF2-40B4-BE49-F238E27FC236}">
                  <a16:creationId xmlns:a16="http://schemas.microsoft.com/office/drawing/2014/main" id="{00000000-0008-0000-0400-00007110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48</xdr:row>
          <xdr:rowOff>0</xdr:rowOff>
        </xdr:from>
        <xdr:to>
          <xdr:col>22</xdr:col>
          <xdr:colOff>177800</xdr:colOff>
          <xdr:row>48</xdr:row>
          <xdr:rowOff>177800</xdr:rowOff>
        </xdr:to>
        <xdr:sp macro="" textlink="">
          <xdr:nvSpPr>
            <xdr:cNvPr id="4210" name="Check Box 114" hidden="1">
              <a:extLst>
                <a:ext uri="{63B3BB69-23CF-44E3-9099-C40C66FF867C}">
                  <a14:compatExt spid="_x0000_s4210"/>
                </a:ext>
                <a:ext uri="{FF2B5EF4-FFF2-40B4-BE49-F238E27FC236}">
                  <a16:creationId xmlns:a16="http://schemas.microsoft.com/office/drawing/2014/main" id="{00000000-0008-0000-0400-00007210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56</xdr:row>
          <xdr:rowOff>0</xdr:rowOff>
        </xdr:from>
        <xdr:to>
          <xdr:col>22</xdr:col>
          <xdr:colOff>177800</xdr:colOff>
          <xdr:row>56</xdr:row>
          <xdr:rowOff>177800</xdr:rowOff>
        </xdr:to>
        <xdr:sp macro="" textlink="">
          <xdr:nvSpPr>
            <xdr:cNvPr id="4211" name="Check Box 115" hidden="1">
              <a:extLst>
                <a:ext uri="{63B3BB69-23CF-44E3-9099-C40C66FF867C}">
                  <a14:compatExt spid="_x0000_s4211"/>
                </a:ext>
                <a:ext uri="{FF2B5EF4-FFF2-40B4-BE49-F238E27FC236}">
                  <a16:creationId xmlns:a16="http://schemas.microsoft.com/office/drawing/2014/main" id="{00000000-0008-0000-0400-00007310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57</xdr:row>
          <xdr:rowOff>0</xdr:rowOff>
        </xdr:from>
        <xdr:to>
          <xdr:col>22</xdr:col>
          <xdr:colOff>177800</xdr:colOff>
          <xdr:row>57</xdr:row>
          <xdr:rowOff>177800</xdr:rowOff>
        </xdr:to>
        <xdr:sp macro="" textlink="">
          <xdr:nvSpPr>
            <xdr:cNvPr id="4212" name="Check Box 116" hidden="1">
              <a:extLst>
                <a:ext uri="{63B3BB69-23CF-44E3-9099-C40C66FF867C}">
                  <a14:compatExt spid="_x0000_s4212"/>
                </a:ext>
                <a:ext uri="{FF2B5EF4-FFF2-40B4-BE49-F238E27FC236}">
                  <a16:creationId xmlns:a16="http://schemas.microsoft.com/office/drawing/2014/main" id="{00000000-0008-0000-0400-00007410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58</xdr:row>
          <xdr:rowOff>0</xdr:rowOff>
        </xdr:from>
        <xdr:to>
          <xdr:col>22</xdr:col>
          <xdr:colOff>177800</xdr:colOff>
          <xdr:row>58</xdr:row>
          <xdr:rowOff>177800</xdr:rowOff>
        </xdr:to>
        <xdr:sp macro="" textlink="">
          <xdr:nvSpPr>
            <xdr:cNvPr id="4213" name="Check Box 117" hidden="1">
              <a:extLst>
                <a:ext uri="{63B3BB69-23CF-44E3-9099-C40C66FF867C}">
                  <a14:compatExt spid="_x0000_s4213"/>
                </a:ext>
                <a:ext uri="{FF2B5EF4-FFF2-40B4-BE49-F238E27FC236}">
                  <a16:creationId xmlns:a16="http://schemas.microsoft.com/office/drawing/2014/main" id="{00000000-0008-0000-0400-00007510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59</xdr:row>
          <xdr:rowOff>0</xdr:rowOff>
        </xdr:from>
        <xdr:to>
          <xdr:col>22</xdr:col>
          <xdr:colOff>177800</xdr:colOff>
          <xdr:row>59</xdr:row>
          <xdr:rowOff>177800</xdr:rowOff>
        </xdr:to>
        <xdr:sp macro="" textlink="">
          <xdr:nvSpPr>
            <xdr:cNvPr id="4214" name="Check Box 118" hidden="1">
              <a:extLst>
                <a:ext uri="{63B3BB69-23CF-44E3-9099-C40C66FF867C}">
                  <a14:compatExt spid="_x0000_s4214"/>
                </a:ext>
                <a:ext uri="{FF2B5EF4-FFF2-40B4-BE49-F238E27FC236}">
                  <a16:creationId xmlns:a16="http://schemas.microsoft.com/office/drawing/2014/main" id="{00000000-0008-0000-0400-00007610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84</xdr:row>
          <xdr:rowOff>0</xdr:rowOff>
        </xdr:from>
        <xdr:to>
          <xdr:col>22</xdr:col>
          <xdr:colOff>177800</xdr:colOff>
          <xdr:row>84</xdr:row>
          <xdr:rowOff>177800</xdr:rowOff>
        </xdr:to>
        <xdr:sp macro="" textlink="">
          <xdr:nvSpPr>
            <xdr:cNvPr id="4216" name="Check Box 120" hidden="1">
              <a:extLst>
                <a:ext uri="{63B3BB69-23CF-44E3-9099-C40C66FF867C}">
                  <a14:compatExt spid="_x0000_s4216"/>
                </a:ext>
                <a:ext uri="{FF2B5EF4-FFF2-40B4-BE49-F238E27FC236}">
                  <a16:creationId xmlns:a16="http://schemas.microsoft.com/office/drawing/2014/main" id="{00000000-0008-0000-0400-00007810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101</xdr:row>
          <xdr:rowOff>0</xdr:rowOff>
        </xdr:from>
        <xdr:to>
          <xdr:col>22</xdr:col>
          <xdr:colOff>177800</xdr:colOff>
          <xdr:row>101</xdr:row>
          <xdr:rowOff>177800</xdr:rowOff>
        </xdr:to>
        <xdr:sp macro="" textlink="">
          <xdr:nvSpPr>
            <xdr:cNvPr id="4219" name="Check Box 123" hidden="1">
              <a:extLst>
                <a:ext uri="{63B3BB69-23CF-44E3-9099-C40C66FF867C}">
                  <a14:compatExt spid="_x0000_s4219"/>
                </a:ext>
                <a:ext uri="{FF2B5EF4-FFF2-40B4-BE49-F238E27FC236}">
                  <a16:creationId xmlns:a16="http://schemas.microsoft.com/office/drawing/2014/main" id="{00000000-0008-0000-0400-00007B10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107</xdr:row>
          <xdr:rowOff>0</xdr:rowOff>
        </xdr:from>
        <xdr:to>
          <xdr:col>22</xdr:col>
          <xdr:colOff>177800</xdr:colOff>
          <xdr:row>107</xdr:row>
          <xdr:rowOff>177800</xdr:rowOff>
        </xdr:to>
        <xdr:sp macro="" textlink="">
          <xdr:nvSpPr>
            <xdr:cNvPr id="4220" name="Check Box 124" hidden="1">
              <a:extLst>
                <a:ext uri="{63B3BB69-23CF-44E3-9099-C40C66FF867C}">
                  <a14:compatExt spid="_x0000_s4220"/>
                </a:ext>
                <a:ext uri="{FF2B5EF4-FFF2-40B4-BE49-F238E27FC236}">
                  <a16:creationId xmlns:a16="http://schemas.microsoft.com/office/drawing/2014/main" id="{00000000-0008-0000-0400-00007C10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108</xdr:row>
          <xdr:rowOff>0</xdr:rowOff>
        </xdr:from>
        <xdr:to>
          <xdr:col>22</xdr:col>
          <xdr:colOff>177800</xdr:colOff>
          <xdr:row>108</xdr:row>
          <xdr:rowOff>177800</xdr:rowOff>
        </xdr:to>
        <xdr:sp macro="" textlink="">
          <xdr:nvSpPr>
            <xdr:cNvPr id="4221" name="Check Box 125" hidden="1">
              <a:extLst>
                <a:ext uri="{63B3BB69-23CF-44E3-9099-C40C66FF867C}">
                  <a14:compatExt spid="_x0000_s4221"/>
                </a:ext>
                <a:ext uri="{FF2B5EF4-FFF2-40B4-BE49-F238E27FC236}">
                  <a16:creationId xmlns:a16="http://schemas.microsoft.com/office/drawing/2014/main" id="{00000000-0008-0000-0400-00007D10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113</xdr:row>
          <xdr:rowOff>0</xdr:rowOff>
        </xdr:from>
        <xdr:to>
          <xdr:col>22</xdr:col>
          <xdr:colOff>177800</xdr:colOff>
          <xdr:row>113</xdr:row>
          <xdr:rowOff>177800</xdr:rowOff>
        </xdr:to>
        <xdr:sp macro="" textlink="">
          <xdr:nvSpPr>
            <xdr:cNvPr id="4223" name="Check Box 127" hidden="1">
              <a:extLst>
                <a:ext uri="{63B3BB69-23CF-44E3-9099-C40C66FF867C}">
                  <a14:compatExt spid="_x0000_s4223"/>
                </a:ext>
                <a:ext uri="{FF2B5EF4-FFF2-40B4-BE49-F238E27FC236}">
                  <a16:creationId xmlns:a16="http://schemas.microsoft.com/office/drawing/2014/main" id="{00000000-0008-0000-0400-00007F10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121</xdr:row>
          <xdr:rowOff>0</xdr:rowOff>
        </xdr:from>
        <xdr:to>
          <xdr:col>22</xdr:col>
          <xdr:colOff>177800</xdr:colOff>
          <xdr:row>121</xdr:row>
          <xdr:rowOff>177800</xdr:rowOff>
        </xdr:to>
        <xdr:sp macro="" textlink="">
          <xdr:nvSpPr>
            <xdr:cNvPr id="4224" name="Check Box 128" hidden="1">
              <a:extLst>
                <a:ext uri="{63B3BB69-23CF-44E3-9099-C40C66FF867C}">
                  <a14:compatExt spid="_x0000_s4224"/>
                </a:ext>
                <a:ext uri="{FF2B5EF4-FFF2-40B4-BE49-F238E27FC236}">
                  <a16:creationId xmlns:a16="http://schemas.microsoft.com/office/drawing/2014/main" id="{00000000-0008-0000-0400-00008010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130</xdr:row>
          <xdr:rowOff>0</xdr:rowOff>
        </xdr:from>
        <xdr:to>
          <xdr:col>22</xdr:col>
          <xdr:colOff>177800</xdr:colOff>
          <xdr:row>130</xdr:row>
          <xdr:rowOff>177800</xdr:rowOff>
        </xdr:to>
        <xdr:sp macro="" textlink="">
          <xdr:nvSpPr>
            <xdr:cNvPr id="4225" name="Check Box 129" hidden="1">
              <a:extLst>
                <a:ext uri="{63B3BB69-23CF-44E3-9099-C40C66FF867C}">
                  <a14:compatExt spid="_x0000_s4225"/>
                </a:ext>
                <a:ext uri="{FF2B5EF4-FFF2-40B4-BE49-F238E27FC236}">
                  <a16:creationId xmlns:a16="http://schemas.microsoft.com/office/drawing/2014/main" id="{00000000-0008-0000-0400-00008110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138</xdr:row>
          <xdr:rowOff>0</xdr:rowOff>
        </xdr:from>
        <xdr:to>
          <xdr:col>22</xdr:col>
          <xdr:colOff>177800</xdr:colOff>
          <xdr:row>138</xdr:row>
          <xdr:rowOff>177800</xdr:rowOff>
        </xdr:to>
        <xdr:sp macro="" textlink="">
          <xdr:nvSpPr>
            <xdr:cNvPr id="4226" name="Check Box 130" hidden="1">
              <a:extLst>
                <a:ext uri="{63B3BB69-23CF-44E3-9099-C40C66FF867C}">
                  <a14:compatExt spid="_x0000_s4226"/>
                </a:ext>
                <a:ext uri="{FF2B5EF4-FFF2-40B4-BE49-F238E27FC236}">
                  <a16:creationId xmlns:a16="http://schemas.microsoft.com/office/drawing/2014/main" id="{00000000-0008-0000-0400-00008210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140</xdr:row>
          <xdr:rowOff>0</xdr:rowOff>
        </xdr:from>
        <xdr:to>
          <xdr:col>22</xdr:col>
          <xdr:colOff>177800</xdr:colOff>
          <xdr:row>140</xdr:row>
          <xdr:rowOff>177800</xdr:rowOff>
        </xdr:to>
        <xdr:sp macro="" textlink="">
          <xdr:nvSpPr>
            <xdr:cNvPr id="4227" name="Check Box 131" hidden="1">
              <a:extLst>
                <a:ext uri="{63B3BB69-23CF-44E3-9099-C40C66FF867C}">
                  <a14:compatExt spid="_x0000_s4227"/>
                </a:ext>
                <a:ext uri="{FF2B5EF4-FFF2-40B4-BE49-F238E27FC236}">
                  <a16:creationId xmlns:a16="http://schemas.microsoft.com/office/drawing/2014/main" id="{00000000-0008-0000-0400-00008310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146</xdr:row>
          <xdr:rowOff>0</xdr:rowOff>
        </xdr:from>
        <xdr:to>
          <xdr:col>22</xdr:col>
          <xdr:colOff>177800</xdr:colOff>
          <xdr:row>146</xdr:row>
          <xdr:rowOff>177800</xdr:rowOff>
        </xdr:to>
        <xdr:sp macro="" textlink="">
          <xdr:nvSpPr>
            <xdr:cNvPr id="4228" name="Check Box 132" hidden="1">
              <a:extLst>
                <a:ext uri="{63B3BB69-23CF-44E3-9099-C40C66FF867C}">
                  <a14:compatExt spid="_x0000_s4228"/>
                </a:ext>
                <a:ext uri="{FF2B5EF4-FFF2-40B4-BE49-F238E27FC236}">
                  <a16:creationId xmlns:a16="http://schemas.microsoft.com/office/drawing/2014/main" id="{00000000-0008-0000-0400-00008410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150</xdr:row>
          <xdr:rowOff>0</xdr:rowOff>
        </xdr:from>
        <xdr:to>
          <xdr:col>22</xdr:col>
          <xdr:colOff>177800</xdr:colOff>
          <xdr:row>150</xdr:row>
          <xdr:rowOff>177800</xdr:rowOff>
        </xdr:to>
        <xdr:sp macro="" textlink="">
          <xdr:nvSpPr>
            <xdr:cNvPr id="4229" name="Check Box 133" hidden="1">
              <a:extLst>
                <a:ext uri="{63B3BB69-23CF-44E3-9099-C40C66FF867C}">
                  <a14:compatExt spid="_x0000_s4229"/>
                </a:ext>
                <a:ext uri="{FF2B5EF4-FFF2-40B4-BE49-F238E27FC236}">
                  <a16:creationId xmlns:a16="http://schemas.microsoft.com/office/drawing/2014/main" id="{00000000-0008-0000-0400-00008510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154</xdr:row>
          <xdr:rowOff>0</xdr:rowOff>
        </xdr:from>
        <xdr:to>
          <xdr:col>22</xdr:col>
          <xdr:colOff>177800</xdr:colOff>
          <xdr:row>154</xdr:row>
          <xdr:rowOff>177800</xdr:rowOff>
        </xdr:to>
        <xdr:sp macro="" textlink="">
          <xdr:nvSpPr>
            <xdr:cNvPr id="4230" name="Check Box 134" hidden="1">
              <a:extLst>
                <a:ext uri="{63B3BB69-23CF-44E3-9099-C40C66FF867C}">
                  <a14:compatExt spid="_x0000_s4230"/>
                </a:ext>
                <a:ext uri="{FF2B5EF4-FFF2-40B4-BE49-F238E27FC236}">
                  <a16:creationId xmlns:a16="http://schemas.microsoft.com/office/drawing/2014/main" id="{00000000-0008-0000-0400-00008610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159</xdr:row>
          <xdr:rowOff>0</xdr:rowOff>
        </xdr:from>
        <xdr:to>
          <xdr:col>22</xdr:col>
          <xdr:colOff>177800</xdr:colOff>
          <xdr:row>159</xdr:row>
          <xdr:rowOff>177800</xdr:rowOff>
        </xdr:to>
        <xdr:sp macro="" textlink="">
          <xdr:nvSpPr>
            <xdr:cNvPr id="4231" name="Check Box 135" hidden="1">
              <a:extLst>
                <a:ext uri="{63B3BB69-23CF-44E3-9099-C40C66FF867C}">
                  <a14:compatExt spid="_x0000_s4231"/>
                </a:ext>
                <a:ext uri="{FF2B5EF4-FFF2-40B4-BE49-F238E27FC236}">
                  <a16:creationId xmlns:a16="http://schemas.microsoft.com/office/drawing/2014/main" id="{00000000-0008-0000-0400-00008710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164</xdr:row>
          <xdr:rowOff>0</xdr:rowOff>
        </xdr:from>
        <xdr:to>
          <xdr:col>22</xdr:col>
          <xdr:colOff>177800</xdr:colOff>
          <xdr:row>164</xdr:row>
          <xdr:rowOff>177800</xdr:rowOff>
        </xdr:to>
        <xdr:sp macro="" textlink="">
          <xdr:nvSpPr>
            <xdr:cNvPr id="4232" name="Check Box 136" hidden="1">
              <a:extLst>
                <a:ext uri="{63B3BB69-23CF-44E3-9099-C40C66FF867C}">
                  <a14:compatExt spid="_x0000_s4232"/>
                </a:ext>
                <a:ext uri="{FF2B5EF4-FFF2-40B4-BE49-F238E27FC236}">
                  <a16:creationId xmlns:a16="http://schemas.microsoft.com/office/drawing/2014/main" id="{00000000-0008-0000-0400-00008810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166</xdr:row>
          <xdr:rowOff>0</xdr:rowOff>
        </xdr:from>
        <xdr:to>
          <xdr:col>22</xdr:col>
          <xdr:colOff>177800</xdr:colOff>
          <xdr:row>166</xdr:row>
          <xdr:rowOff>177800</xdr:rowOff>
        </xdr:to>
        <xdr:sp macro="" textlink="">
          <xdr:nvSpPr>
            <xdr:cNvPr id="4233" name="Check Box 137" hidden="1">
              <a:extLst>
                <a:ext uri="{63B3BB69-23CF-44E3-9099-C40C66FF867C}">
                  <a14:compatExt spid="_x0000_s4233"/>
                </a:ext>
                <a:ext uri="{FF2B5EF4-FFF2-40B4-BE49-F238E27FC236}">
                  <a16:creationId xmlns:a16="http://schemas.microsoft.com/office/drawing/2014/main" id="{00000000-0008-0000-0400-00008910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168</xdr:row>
          <xdr:rowOff>0</xdr:rowOff>
        </xdr:from>
        <xdr:to>
          <xdr:col>22</xdr:col>
          <xdr:colOff>177800</xdr:colOff>
          <xdr:row>168</xdr:row>
          <xdr:rowOff>177800</xdr:rowOff>
        </xdr:to>
        <xdr:sp macro="" textlink="">
          <xdr:nvSpPr>
            <xdr:cNvPr id="4234" name="Check Box 138" hidden="1">
              <a:extLst>
                <a:ext uri="{63B3BB69-23CF-44E3-9099-C40C66FF867C}">
                  <a14:compatExt spid="_x0000_s4234"/>
                </a:ext>
                <a:ext uri="{FF2B5EF4-FFF2-40B4-BE49-F238E27FC236}">
                  <a16:creationId xmlns:a16="http://schemas.microsoft.com/office/drawing/2014/main" id="{00000000-0008-0000-0400-00008A10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196</xdr:row>
          <xdr:rowOff>0</xdr:rowOff>
        </xdr:from>
        <xdr:to>
          <xdr:col>22</xdr:col>
          <xdr:colOff>177800</xdr:colOff>
          <xdr:row>196</xdr:row>
          <xdr:rowOff>177800</xdr:rowOff>
        </xdr:to>
        <xdr:sp macro="" textlink="">
          <xdr:nvSpPr>
            <xdr:cNvPr id="4236" name="Check Box 140" hidden="1">
              <a:extLst>
                <a:ext uri="{63B3BB69-23CF-44E3-9099-C40C66FF867C}">
                  <a14:compatExt spid="_x0000_s4236"/>
                </a:ext>
                <a:ext uri="{FF2B5EF4-FFF2-40B4-BE49-F238E27FC236}">
                  <a16:creationId xmlns:a16="http://schemas.microsoft.com/office/drawing/2014/main" id="{00000000-0008-0000-0400-00008C10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199</xdr:row>
          <xdr:rowOff>0</xdr:rowOff>
        </xdr:from>
        <xdr:to>
          <xdr:col>22</xdr:col>
          <xdr:colOff>177800</xdr:colOff>
          <xdr:row>199</xdr:row>
          <xdr:rowOff>177800</xdr:rowOff>
        </xdr:to>
        <xdr:sp macro="" textlink="">
          <xdr:nvSpPr>
            <xdr:cNvPr id="4237" name="Check Box 141" hidden="1">
              <a:extLst>
                <a:ext uri="{63B3BB69-23CF-44E3-9099-C40C66FF867C}">
                  <a14:compatExt spid="_x0000_s4237"/>
                </a:ext>
                <a:ext uri="{FF2B5EF4-FFF2-40B4-BE49-F238E27FC236}">
                  <a16:creationId xmlns:a16="http://schemas.microsoft.com/office/drawing/2014/main" id="{00000000-0008-0000-0400-00008D10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200</xdr:row>
          <xdr:rowOff>0</xdr:rowOff>
        </xdr:from>
        <xdr:to>
          <xdr:col>22</xdr:col>
          <xdr:colOff>177800</xdr:colOff>
          <xdr:row>200</xdr:row>
          <xdr:rowOff>177800</xdr:rowOff>
        </xdr:to>
        <xdr:sp macro="" textlink="">
          <xdr:nvSpPr>
            <xdr:cNvPr id="4238" name="Check Box 142" hidden="1">
              <a:extLst>
                <a:ext uri="{63B3BB69-23CF-44E3-9099-C40C66FF867C}">
                  <a14:compatExt spid="_x0000_s4238"/>
                </a:ext>
                <a:ext uri="{FF2B5EF4-FFF2-40B4-BE49-F238E27FC236}">
                  <a16:creationId xmlns:a16="http://schemas.microsoft.com/office/drawing/2014/main" id="{00000000-0008-0000-0400-00008E10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210</xdr:row>
          <xdr:rowOff>0</xdr:rowOff>
        </xdr:from>
        <xdr:to>
          <xdr:col>22</xdr:col>
          <xdr:colOff>177800</xdr:colOff>
          <xdr:row>210</xdr:row>
          <xdr:rowOff>177800</xdr:rowOff>
        </xdr:to>
        <xdr:sp macro="" textlink="">
          <xdr:nvSpPr>
            <xdr:cNvPr id="4239" name="Check Box 143" hidden="1">
              <a:extLst>
                <a:ext uri="{63B3BB69-23CF-44E3-9099-C40C66FF867C}">
                  <a14:compatExt spid="_x0000_s4239"/>
                </a:ext>
                <a:ext uri="{FF2B5EF4-FFF2-40B4-BE49-F238E27FC236}">
                  <a16:creationId xmlns:a16="http://schemas.microsoft.com/office/drawing/2014/main" id="{00000000-0008-0000-0400-00008F10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212</xdr:row>
          <xdr:rowOff>0</xdr:rowOff>
        </xdr:from>
        <xdr:to>
          <xdr:col>22</xdr:col>
          <xdr:colOff>177800</xdr:colOff>
          <xdr:row>212</xdr:row>
          <xdr:rowOff>177800</xdr:rowOff>
        </xdr:to>
        <xdr:sp macro="" textlink="">
          <xdr:nvSpPr>
            <xdr:cNvPr id="4240" name="Check Box 144" hidden="1">
              <a:extLst>
                <a:ext uri="{63B3BB69-23CF-44E3-9099-C40C66FF867C}">
                  <a14:compatExt spid="_x0000_s4240"/>
                </a:ext>
                <a:ext uri="{FF2B5EF4-FFF2-40B4-BE49-F238E27FC236}">
                  <a16:creationId xmlns:a16="http://schemas.microsoft.com/office/drawing/2014/main" id="{00000000-0008-0000-0400-00009010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230</xdr:row>
          <xdr:rowOff>0</xdr:rowOff>
        </xdr:from>
        <xdr:to>
          <xdr:col>22</xdr:col>
          <xdr:colOff>177800</xdr:colOff>
          <xdr:row>230</xdr:row>
          <xdr:rowOff>177800</xdr:rowOff>
        </xdr:to>
        <xdr:sp macro="" textlink="">
          <xdr:nvSpPr>
            <xdr:cNvPr id="4241" name="Check Box 145" hidden="1">
              <a:extLst>
                <a:ext uri="{63B3BB69-23CF-44E3-9099-C40C66FF867C}">
                  <a14:compatExt spid="_x0000_s4241"/>
                </a:ext>
                <a:ext uri="{FF2B5EF4-FFF2-40B4-BE49-F238E27FC236}">
                  <a16:creationId xmlns:a16="http://schemas.microsoft.com/office/drawing/2014/main" id="{00000000-0008-0000-0400-00009110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241</xdr:row>
          <xdr:rowOff>0</xdr:rowOff>
        </xdr:from>
        <xdr:to>
          <xdr:col>22</xdr:col>
          <xdr:colOff>177800</xdr:colOff>
          <xdr:row>241</xdr:row>
          <xdr:rowOff>177800</xdr:rowOff>
        </xdr:to>
        <xdr:sp macro="" textlink="">
          <xdr:nvSpPr>
            <xdr:cNvPr id="4242" name="Check Box 146" hidden="1">
              <a:extLst>
                <a:ext uri="{63B3BB69-23CF-44E3-9099-C40C66FF867C}">
                  <a14:compatExt spid="_x0000_s4242"/>
                </a:ext>
                <a:ext uri="{FF2B5EF4-FFF2-40B4-BE49-F238E27FC236}">
                  <a16:creationId xmlns:a16="http://schemas.microsoft.com/office/drawing/2014/main" id="{00000000-0008-0000-0400-00009210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242</xdr:row>
          <xdr:rowOff>0</xdr:rowOff>
        </xdr:from>
        <xdr:to>
          <xdr:col>22</xdr:col>
          <xdr:colOff>177800</xdr:colOff>
          <xdr:row>242</xdr:row>
          <xdr:rowOff>177800</xdr:rowOff>
        </xdr:to>
        <xdr:sp macro="" textlink="">
          <xdr:nvSpPr>
            <xdr:cNvPr id="4243" name="Check Box 147" hidden="1">
              <a:extLst>
                <a:ext uri="{63B3BB69-23CF-44E3-9099-C40C66FF867C}">
                  <a14:compatExt spid="_x0000_s4243"/>
                </a:ext>
                <a:ext uri="{FF2B5EF4-FFF2-40B4-BE49-F238E27FC236}">
                  <a16:creationId xmlns:a16="http://schemas.microsoft.com/office/drawing/2014/main" id="{00000000-0008-0000-0400-00009310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250</xdr:row>
          <xdr:rowOff>0</xdr:rowOff>
        </xdr:from>
        <xdr:to>
          <xdr:col>22</xdr:col>
          <xdr:colOff>177800</xdr:colOff>
          <xdr:row>250</xdr:row>
          <xdr:rowOff>177800</xdr:rowOff>
        </xdr:to>
        <xdr:sp macro="" textlink="">
          <xdr:nvSpPr>
            <xdr:cNvPr id="4244" name="Check Box 148" hidden="1">
              <a:extLst>
                <a:ext uri="{63B3BB69-23CF-44E3-9099-C40C66FF867C}">
                  <a14:compatExt spid="_x0000_s4244"/>
                </a:ext>
                <a:ext uri="{FF2B5EF4-FFF2-40B4-BE49-F238E27FC236}">
                  <a16:creationId xmlns:a16="http://schemas.microsoft.com/office/drawing/2014/main" id="{00000000-0008-0000-0400-00009410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252</xdr:row>
          <xdr:rowOff>0</xdr:rowOff>
        </xdr:from>
        <xdr:to>
          <xdr:col>22</xdr:col>
          <xdr:colOff>177800</xdr:colOff>
          <xdr:row>252</xdr:row>
          <xdr:rowOff>177800</xdr:rowOff>
        </xdr:to>
        <xdr:sp macro="" textlink="">
          <xdr:nvSpPr>
            <xdr:cNvPr id="4245" name="Check Box 149" hidden="1">
              <a:extLst>
                <a:ext uri="{63B3BB69-23CF-44E3-9099-C40C66FF867C}">
                  <a14:compatExt spid="_x0000_s4245"/>
                </a:ext>
                <a:ext uri="{FF2B5EF4-FFF2-40B4-BE49-F238E27FC236}">
                  <a16:creationId xmlns:a16="http://schemas.microsoft.com/office/drawing/2014/main" id="{00000000-0008-0000-0400-00009510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253</xdr:row>
          <xdr:rowOff>0</xdr:rowOff>
        </xdr:from>
        <xdr:to>
          <xdr:col>22</xdr:col>
          <xdr:colOff>177800</xdr:colOff>
          <xdr:row>253</xdr:row>
          <xdr:rowOff>177800</xdr:rowOff>
        </xdr:to>
        <xdr:sp macro="" textlink="">
          <xdr:nvSpPr>
            <xdr:cNvPr id="4246" name="Check Box 150" hidden="1">
              <a:extLst>
                <a:ext uri="{63B3BB69-23CF-44E3-9099-C40C66FF867C}">
                  <a14:compatExt spid="_x0000_s4246"/>
                </a:ext>
                <a:ext uri="{FF2B5EF4-FFF2-40B4-BE49-F238E27FC236}">
                  <a16:creationId xmlns:a16="http://schemas.microsoft.com/office/drawing/2014/main" id="{00000000-0008-0000-0400-00009610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256</xdr:row>
          <xdr:rowOff>0</xdr:rowOff>
        </xdr:from>
        <xdr:to>
          <xdr:col>22</xdr:col>
          <xdr:colOff>177800</xdr:colOff>
          <xdr:row>256</xdr:row>
          <xdr:rowOff>177800</xdr:rowOff>
        </xdr:to>
        <xdr:sp macro="" textlink="">
          <xdr:nvSpPr>
            <xdr:cNvPr id="4247" name="Check Box 151" hidden="1">
              <a:extLst>
                <a:ext uri="{63B3BB69-23CF-44E3-9099-C40C66FF867C}">
                  <a14:compatExt spid="_x0000_s4247"/>
                </a:ext>
                <a:ext uri="{FF2B5EF4-FFF2-40B4-BE49-F238E27FC236}">
                  <a16:creationId xmlns:a16="http://schemas.microsoft.com/office/drawing/2014/main" id="{00000000-0008-0000-0400-00009710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265</xdr:row>
          <xdr:rowOff>0</xdr:rowOff>
        </xdr:from>
        <xdr:to>
          <xdr:col>22</xdr:col>
          <xdr:colOff>177800</xdr:colOff>
          <xdr:row>265</xdr:row>
          <xdr:rowOff>177800</xdr:rowOff>
        </xdr:to>
        <xdr:sp macro="" textlink="">
          <xdr:nvSpPr>
            <xdr:cNvPr id="4249" name="Check Box 153" hidden="1">
              <a:extLst>
                <a:ext uri="{63B3BB69-23CF-44E3-9099-C40C66FF867C}">
                  <a14:compatExt spid="_x0000_s4249"/>
                </a:ext>
                <a:ext uri="{FF2B5EF4-FFF2-40B4-BE49-F238E27FC236}">
                  <a16:creationId xmlns:a16="http://schemas.microsoft.com/office/drawing/2014/main" id="{00000000-0008-0000-0400-00009910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267</xdr:row>
          <xdr:rowOff>0</xdr:rowOff>
        </xdr:from>
        <xdr:to>
          <xdr:col>22</xdr:col>
          <xdr:colOff>177800</xdr:colOff>
          <xdr:row>267</xdr:row>
          <xdr:rowOff>177800</xdr:rowOff>
        </xdr:to>
        <xdr:sp macro="" textlink="">
          <xdr:nvSpPr>
            <xdr:cNvPr id="4250" name="Check Box 154" hidden="1">
              <a:extLst>
                <a:ext uri="{63B3BB69-23CF-44E3-9099-C40C66FF867C}">
                  <a14:compatExt spid="_x0000_s4250"/>
                </a:ext>
                <a:ext uri="{FF2B5EF4-FFF2-40B4-BE49-F238E27FC236}">
                  <a16:creationId xmlns:a16="http://schemas.microsoft.com/office/drawing/2014/main" id="{00000000-0008-0000-0400-00009A10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285</xdr:row>
          <xdr:rowOff>0</xdr:rowOff>
        </xdr:from>
        <xdr:to>
          <xdr:col>22</xdr:col>
          <xdr:colOff>177800</xdr:colOff>
          <xdr:row>285</xdr:row>
          <xdr:rowOff>177800</xdr:rowOff>
        </xdr:to>
        <xdr:sp macro="" textlink="">
          <xdr:nvSpPr>
            <xdr:cNvPr id="4251" name="Check Box 155" hidden="1">
              <a:extLst>
                <a:ext uri="{63B3BB69-23CF-44E3-9099-C40C66FF867C}">
                  <a14:compatExt spid="_x0000_s4251"/>
                </a:ext>
                <a:ext uri="{FF2B5EF4-FFF2-40B4-BE49-F238E27FC236}">
                  <a16:creationId xmlns:a16="http://schemas.microsoft.com/office/drawing/2014/main" id="{00000000-0008-0000-0400-00009B10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302</xdr:row>
          <xdr:rowOff>0</xdr:rowOff>
        </xdr:from>
        <xdr:to>
          <xdr:col>22</xdr:col>
          <xdr:colOff>177800</xdr:colOff>
          <xdr:row>302</xdr:row>
          <xdr:rowOff>177800</xdr:rowOff>
        </xdr:to>
        <xdr:sp macro="" textlink="">
          <xdr:nvSpPr>
            <xdr:cNvPr id="4252" name="Check Box 156" hidden="1">
              <a:extLst>
                <a:ext uri="{63B3BB69-23CF-44E3-9099-C40C66FF867C}">
                  <a14:compatExt spid="_x0000_s4252"/>
                </a:ext>
                <a:ext uri="{FF2B5EF4-FFF2-40B4-BE49-F238E27FC236}">
                  <a16:creationId xmlns:a16="http://schemas.microsoft.com/office/drawing/2014/main" id="{00000000-0008-0000-0400-00009C10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315</xdr:row>
          <xdr:rowOff>0</xdr:rowOff>
        </xdr:from>
        <xdr:to>
          <xdr:col>22</xdr:col>
          <xdr:colOff>177800</xdr:colOff>
          <xdr:row>315</xdr:row>
          <xdr:rowOff>177800</xdr:rowOff>
        </xdr:to>
        <xdr:sp macro="" textlink="">
          <xdr:nvSpPr>
            <xdr:cNvPr id="4253" name="Check Box 157" hidden="1">
              <a:extLst>
                <a:ext uri="{63B3BB69-23CF-44E3-9099-C40C66FF867C}">
                  <a14:compatExt spid="_x0000_s4253"/>
                </a:ext>
                <a:ext uri="{FF2B5EF4-FFF2-40B4-BE49-F238E27FC236}">
                  <a16:creationId xmlns:a16="http://schemas.microsoft.com/office/drawing/2014/main" id="{00000000-0008-0000-0400-00009D10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317</xdr:row>
          <xdr:rowOff>0</xdr:rowOff>
        </xdr:from>
        <xdr:to>
          <xdr:col>22</xdr:col>
          <xdr:colOff>177800</xdr:colOff>
          <xdr:row>317</xdr:row>
          <xdr:rowOff>177800</xdr:rowOff>
        </xdr:to>
        <xdr:sp macro="" textlink="">
          <xdr:nvSpPr>
            <xdr:cNvPr id="4254" name="Check Box 158" hidden="1">
              <a:extLst>
                <a:ext uri="{63B3BB69-23CF-44E3-9099-C40C66FF867C}">
                  <a14:compatExt spid="_x0000_s4254"/>
                </a:ext>
                <a:ext uri="{FF2B5EF4-FFF2-40B4-BE49-F238E27FC236}">
                  <a16:creationId xmlns:a16="http://schemas.microsoft.com/office/drawing/2014/main" id="{00000000-0008-0000-0400-00009E10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330</xdr:row>
          <xdr:rowOff>0</xdr:rowOff>
        </xdr:from>
        <xdr:to>
          <xdr:col>22</xdr:col>
          <xdr:colOff>177800</xdr:colOff>
          <xdr:row>330</xdr:row>
          <xdr:rowOff>177800</xdr:rowOff>
        </xdr:to>
        <xdr:sp macro="" textlink="">
          <xdr:nvSpPr>
            <xdr:cNvPr id="4255" name="Check Box 159" hidden="1">
              <a:extLst>
                <a:ext uri="{63B3BB69-23CF-44E3-9099-C40C66FF867C}">
                  <a14:compatExt spid="_x0000_s4255"/>
                </a:ext>
                <a:ext uri="{FF2B5EF4-FFF2-40B4-BE49-F238E27FC236}">
                  <a16:creationId xmlns:a16="http://schemas.microsoft.com/office/drawing/2014/main" id="{00000000-0008-0000-0400-00009F10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331</xdr:row>
          <xdr:rowOff>0</xdr:rowOff>
        </xdr:from>
        <xdr:to>
          <xdr:col>22</xdr:col>
          <xdr:colOff>177800</xdr:colOff>
          <xdr:row>331</xdr:row>
          <xdr:rowOff>177800</xdr:rowOff>
        </xdr:to>
        <xdr:sp macro="" textlink="">
          <xdr:nvSpPr>
            <xdr:cNvPr id="4256" name="Check Box 160" hidden="1">
              <a:extLst>
                <a:ext uri="{63B3BB69-23CF-44E3-9099-C40C66FF867C}">
                  <a14:compatExt spid="_x0000_s4256"/>
                </a:ext>
                <a:ext uri="{FF2B5EF4-FFF2-40B4-BE49-F238E27FC236}">
                  <a16:creationId xmlns:a16="http://schemas.microsoft.com/office/drawing/2014/main" id="{00000000-0008-0000-0400-0000A010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332</xdr:row>
          <xdr:rowOff>0</xdr:rowOff>
        </xdr:from>
        <xdr:to>
          <xdr:col>22</xdr:col>
          <xdr:colOff>177800</xdr:colOff>
          <xdr:row>332</xdr:row>
          <xdr:rowOff>177800</xdr:rowOff>
        </xdr:to>
        <xdr:sp macro="" textlink="">
          <xdr:nvSpPr>
            <xdr:cNvPr id="4257" name="Check Box 161" hidden="1">
              <a:extLst>
                <a:ext uri="{63B3BB69-23CF-44E3-9099-C40C66FF867C}">
                  <a14:compatExt spid="_x0000_s4257"/>
                </a:ext>
                <a:ext uri="{FF2B5EF4-FFF2-40B4-BE49-F238E27FC236}">
                  <a16:creationId xmlns:a16="http://schemas.microsoft.com/office/drawing/2014/main" id="{00000000-0008-0000-0400-0000A110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333</xdr:row>
          <xdr:rowOff>0</xdr:rowOff>
        </xdr:from>
        <xdr:to>
          <xdr:col>22</xdr:col>
          <xdr:colOff>177800</xdr:colOff>
          <xdr:row>333</xdr:row>
          <xdr:rowOff>177800</xdr:rowOff>
        </xdr:to>
        <xdr:sp macro="" textlink="">
          <xdr:nvSpPr>
            <xdr:cNvPr id="4258" name="Check Box 162" hidden="1">
              <a:extLst>
                <a:ext uri="{63B3BB69-23CF-44E3-9099-C40C66FF867C}">
                  <a14:compatExt spid="_x0000_s4258"/>
                </a:ext>
                <a:ext uri="{FF2B5EF4-FFF2-40B4-BE49-F238E27FC236}">
                  <a16:creationId xmlns:a16="http://schemas.microsoft.com/office/drawing/2014/main" id="{00000000-0008-0000-0400-0000A210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334</xdr:row>
          <xdr:rowOff>0</xdr:rowOff>
        </xdr:from>
        <xdr:to>
          <xdr:col>22</xdr:col>
          <xdr:colOff>177800</xdr:colOff>
          <xdr:row>334</xdr:row>
          <xdr:rowOff>177800</xdr:rowOff>
        </xdr:to>
        <xdr:sp macro="" textlink="">
          <xdr:nvSpPr>
            <xdr:cNvPr id="4259" name="Check Box 163" hidden="1">
              <a:extLst>
                <a:ext uri="{63B3BB69-23CF-44E3-9099-C40C66FF867C}">
                  <a14:compatExt spid="_x0000_s4259"/>
                </a:ext>
                <a:ext uri="{FF2B5EF4-FFF2-40B4-BE49-F238E27FC236}">
                  <a16:creationId xmlns:a16="http://schemas.microsoft.com/office/drawing/2014/main" id="{00000000-0008-0000-0400-0000A310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335</xdr:row>
          <xdr:rowOff>0</xdr:rowOff>
        </xdr:from>
        <xdr:to>
          <xdr:col>22</xdr:col>
          <xdr:colOff>177800</xdr:colOff>
          <xdr:row>335</xdr:row>
          <xdr:rowOff>177800</xdr:rowOff>
        </xdr:to>
        <xdr:sp macro="" textlink="">
          <xdr:nvSpPr>
            <xdr:cNvPr id="4260" name="Check Box 164" hidden="1">
              <a:extLst>
                <a:ext uri="{63B3BB69-23CF-44E3-9099-C40C66FF867C}">
                  <a14:compatExt spid="_x0000_s4260"/>
                </a:ext>
                <a:ext uri="{FF2B5EF4-FFF2-40B4-BE49-F238E27FC236}">
                  <a16:creationId xmlns:a16="http://schemas.microsoft.com/office/drawing/2014/main" id="{00000000-0008-0000-0400-0000A410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336</xdr:row>
          <xdr:rowOff>0</xdr:rowOff>
        </xdr:from>
        <xdr:to>
          <xdr:col>22</xdr:col>
          <xdr:colOff>177800</xdr:colOff>
          <xdr:row>336</xdr:row>
          <xdr:rowOff>177800</xdr:rowOff>
        </xdr:to>
        <xdr:sp macro="" textlink="">
          <xdr:nvSpPr>
            <xdr:cNvPr id="4261" name="Check Box 165" hidden="1">
              <a:extLst>
                <a:ext uri="{63B3BB69-23CF-44E3-9099-C40C66FF867C}">
                  <a14:compatExt spid="_x0000_s4261"/>
                </a:ext>
                <a:ext uri="{FF2B5EF4-FFF2-40B4-BE49-F238E27FC236}">
                  <a16:creationId xmlns:a16="http://schemas.microsoft.com/office/drawing/2014/main" id="{00000000-0008-0000-0400-0000A510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337</xdr:row>
          <xdr:rowOff>0</xdr:rowOff>
        </xdr:from>
        <xdr:to>
          <xdr:col>22</xdr:col>
          <xdr:colOff>177800</xdr:colOff>
          <xdr:row>337</xdr:row>
          <xdr:rowOff>177800</xdr:rowOff>
        </xdr:to>
        <xdr:sp macro="" textlink="">
          <xdr:nvSpPr>
            <xdr:cNvPr id="4262" name="Check Box 166" hidden="1">
              <a:extLst>
                <a:ext uri="{63B3BB69-23CF-44E3-9099-C40C66FF867C}">
                  <a14:compatExt spid="_x0000_s4262"/>
                </a:ext>
                <a:ext uri="{FF2B5EF4-FFF2-40B4-BE49-F238E27FC236}">
                  <a16:creationId xmlns:a16="http://schemas.microsoft.com/office/drawing/2014/main" id="{00000000-0008-0000-0400-0000A610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338</xdr:row>
          <xdr:rowOff>0</xdr:rowOff>
        </xdr:from>
        <xdr:to>
          <xdr:col>22</xdr:col>
          <xdr:colOff>177800</xdr:colOff>
          <xdr:row>338</xdr:row>
          <xdr:rowOff>177800</xdr:rowOff>
        </xdr:to>
        <xdr:sp macro="" textlink="">
          <xdr:nvSpPr>
            <xdr:cNvPr id="4263" name="Check Box 167" hidden="1">
              <a:extLst>
                <a:ext uri="{63B3BB69-23CF-44E3-9099-C40C66FF867C}">
                  <a14:compatExt spid="_x0000_s4263"/>
                </a:ext>
                <a:ext uri="{FF2B5EF4-FFF2-40B4-BE49-F238E27FC236}">
                  <a16:creationId xmlns:a16="http://schemas.microsoft.com/office/drawing/2014/main" id="{00000000-0008-0000-0400-0000A710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389</xdr:row>
          <xdr:rowOff>0</xdr:rowOff>
        </xdr:from>
        <xdr:to>
          <xdr:col>22</xdr:col>
          <xdr:colOff>177800</xdr:colOff>
          <xdr:row>389</xdr:row>
          <xdr:rowOff>177800</xdr:rowOff>
        </xdr:to>
        <xdr:sp macro="" textlink="">
          <xdr:nvSpPr>
            <xdr:cNvPr id="4264" name="Check Box 168" hidden="1">
              <a:extLst>
                <a:ext uri="{63B3BB69-23CF-44E3-9099-C40C66FF867C}">
                  <a14:compatExt spid="_x0000_s4264"/>
                </a:ext>
                <a:ext uri="{FF2B5EF4-FFF2-40B4-BE49-F238E27FC236}">
                  <a16:creationId xmlns:a16="http://schemas.microsoft.com/office/drawing/2014/main" id="{00000000-0008-0000-0400-0000A810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394</xdr:row>
          <xdr:rowOff>0</xdr:rowOff>
        </xdr:from>
        <xdr:to>
          <xdr:col>22</xdr:col>
          <xdr:colOff>177800</xdr:colOff>
          <xdr:row>394</xdr:row>
          <xdr:rowOff>177800</xdr:rowOff>
        </xdr:to>
        <xdr:sp macro="" textlink="">
          <xdr:nvSpPr>
            <xdr:cNvPr id="4265" name="Check Box 169" hidden="1">
              <a:extLst>
                <a:ext uri="{63B3BB69-23CF-44E3-9099-C40C66FF867C}">
                  <a14:compatExt spid="_x0000_s4265"/>
                </a:ext>
                <a:ext uri="{FF2B5EF4-FFF2-40B4-BE49-F238E27FC236}">
                  <a16:creationId xmlns:a16="http://schemas.microsoft.com/office/drawing/2014/main" id="{00000000-0008-0000-0400-0000A910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400</xdr:row>
          <xdr:rowOff>0</xdr:rowOff>
        </xdr:from>
        <xdr:to>
          <xdr:col>22</xdr:col>
          <xdr:colOff>177800</xdr:colOff>
          <xdr:row>400</xdr:row>
          <xdr:rowOff>177800</xdr:rowOff>
        </xdr:to>
        <xdr:sp macro="" textlink="">
          <xdr:nvSpPr>
            <xdr:cNvPr id="4266" name="Check Box 170" hidden="1">
              <a:extLst>
                <a:ext uri="{63B3BB69-23CF-44E3-9099-C40C66FF867C}">
                  <a14:compatExt spid="_x0000_s4266"/>
                </a:ext>
                <a:ext uri="{FF2B5EF4-FFF2-40B4-BE49-F238E27FC236}">
                  <a16:creationId xmlns:a16="http://schemas.microsoft.com/office/drawing/2014/main" id="{00000000-0008-0000-0400-0000AA10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434</xdr:row>
          <xdr:rowOff>0</xdr:rowOff>
        </xdr:from>
        <xdr:to>
          <xdr:col>22</xdr:col>
          <xdr:colOff>177800</xdr:colOff>
          <xdr:row>434</xdr:row>
          <xdr:rowOff>177800</xdr:rowOff>
        </xdr:to>
        <xdr:sp macro="" textlink="">
          <xdr:nvSpPr>
            <xdr:cNvPr id="4267" name="Check Box 171" hidden="1">
              <a:extLst>
                <a:ext uri="{63B3BB69-23CF-44E3-9099-C40C66FF867C}">
                  <a14:compatExt spid="_x0000_s4267"/>
                </a:ext>
                <a:ext uri="{FF2B5EF4-FFF2-40B4-BE49-F238E27FC236}">
                  <a16:creationId xmlns:a16="http://schemas.microsoft.com/office/drawing/2014/main" id="{00000000-0008-0000-0400-0000AB10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443</xdr:row>
          <xdr:rowOff>0</xdr:rowOff>
        </xdr:from>
        <xdr:to>
          <xdr:col>22</xdr:col>
          <xdr:colOff>177800</xdr:colOff>
          <xdr:row>443</xdr:row>
          <xdr:rowOff>177800</xdr:rowOff>
        </xdr:to>
        <xdr:sp macro="" textlink="">
          <xdr:nvSpPr>
            <xdr:cNvPr id="4268" name="Check Box 172" hidden="1">
              <a:extLst>
                <a:ext uri="{63B3BB69-23CF-44E3-9099-C40C66FF867C}">
                  <a14:compatExt spid="_x0000_s4268"/>
                </a:ext>
                <a:ext uri="{FF2B5EF4-FFF2-40B4-BE49-F238E27FC236}">
                  <a16:creationId xmlns:a16="http://schemas.microsoft.com/office/drawing/2014/main" id="{00000000-0008-0000-0400-0000AC10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450</xdr:row>
          <xdr:rowOff>0</xdr:rowOff>
        </xdr:from>
        <xdr:to>
          <xdr:col>22</xdr:col>
          <xdr:colOff>177800</xdr:colOff>
          <xdr:row>450</xdr:row>
          <xdr:rowOff>177800</xdr:rowOff>
        </xdr:to>
        <xdr:sp macro="" textlink="">
          <xdr:nvSpPr>
            <xdr:cNvPr id="4269" name="Check Box 173" hidden="1">
              <a:extLst>
                <a:ext uri="{63B3BB69-23CF-44E3-9099-C40C66FF867C}">
                  <a14:compatExt spid="_x0000_s4269"/>
                </a:ext>
                <a:ext uri="{FF2B5EF4-FFF2-40B4-BE49-F238E27FC236}">
                  <a16:creationId xmlns:a16="http://schemas.microsoft.com/office/drawing/2014/main" id="{00000000-0008-0000-0400-0000AD10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529</xdr:row>
          <xdr:rowOff>0</xdr:rowOff>
        </xdr:from>
        <xdr:to>
          <xdr:col>22</xdr:col>
          <xdr:colOff>177800</xdr:colOff>
          <xdr:row>529</xdr:row>
          <xdr:rowOff>177800</xdr:rowOff>
        </xdr:to>
        <xdr:sp macro="" textlink="">
          <xdr:nvSpPr>
            <xdr:cNvPr id="4270" name="Check Box 174" hidden="1">
              <a:extLst>
                <a:ext uri="{63B3BB69-23CF-44E3-9099-C40C66FF867C}">
                  <a14:compatExt spid="_x0000_s4270"/>
                </a:ext>
                <a:ext uri="{FF2B5EF4-FFF2-40B4-BE49-F238E27FC236}">
                  <a16:creationId xmlns:a16="http://schemas.microsoft.com/office/drawing/2014/main" id="{00000000-0008-0000-0400-0000AE10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530</xdr:row>
          <xdr:rowOff>0</xdr:rowOff>
        </xdr:from>
        <xdr:to>
          <xdr:col>22</xdr:col>
          <xdr:colOff>177800</xdr:colOff>
          <xdr:row>530</xdr:row>
          <xdr:rowOff>177800</xdr:rowOff>
        </xdr:to>
        <xdr:sp macro="" textlink="">
          <xdr:nvSpPr>
            <xdr:cNvPr id="4271" name="Check Box 175" hidden="1">
              <a:extLst>
                <a:ext uri="{63B3BB69-23CF-44E3-9099-C40C66FF867C}">
                  <a14:compatExt spid="_x0000_s4271"/>
                </a:ext>
                <a:ext uri="{FF2B5EF4-FFF2-40B4-BE49-F238E27FC236}">
                  <a16:creationId xmlns:a16="http://schemas.microsoft.com/office/drawing/2014/main" id="{00000000-0008-0000-0400-0000AF10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532</xdr:row>
          <xdr:rowOff>0</xdr:rowOff>
        </xdr:from>
        <xdr:to>
          <xdr:col>22</xdr:col>
          <xdr:colOff>177800</xdr:colOff>
          <xdr:row>532</xdr:row>
          <xdr:rowOff>177800</xdr:rowOff>
        </xdr:to>
        <xdr:sp macro="" textlink="">
          <xdr:nvSpPr>
            <xdr:cNvPr id="4272" name="Check Box 176" hidden="1">
              <a:extLst>
                <a:ext uri="{63B3BB69-23CF-44E3-9099-C40C66FF867C}">
                  <a14:compatExt spid="_x0000_s4272"/>
                </a:ext>
                <a:ext uri="{FF2B5EF4-FFF2-40B4-BE49-F238E27FC236}">
                  <a16:creationId xmlns:a16="http://schemas.microsoft.com/office/drawing/2014/main" id="{00000000-0008-0000-0400-0000B010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534</xdr:row>
          <xdr:rowOff>0</xdr:rowOff>
        </xdr:from>
        <xdr:to>
          <xdr:col>22</xdr:col>
          <xdr:colOff>177800</xdr:colOff>
          <xdr:row>534</xdr:row>
          <xdr:rowOff>177800</xdr:rowOff>
        </xdr:to>
        <xdr:sp macro="" textlink="">
          <xdr:nvSpPr>
            <xdr:cNvPr id="4273" name="Check Box 177" hidden="1">
              <a:extLst>
                <a:ext uri="{63B3BB69-23CF-44E3-9099-C40C66FF867C}">
                  <a14:compatExt spid="_x0000_s4273"/>
                </a:ext>
                <a:ext uri="{FF2B5EF4-FFF2-40B4-BE49-F238E27FC236}">
                  <a16:creationId xmlns:a16="http://schemas.microsoft.com/office/drawing/2014/main" id="{00000000-0008-0000-0400-0000B110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536</xdr:row>
          <xdr:rowOff>0</xdr:rowOff>
        </xdr:from>
        <xdr:to>
          <xdr:col>22</xdr:col>
          <xdr:colOff>177800</xdr:colOff>
          <xdr:row>536</xdr:row>
          <xdr:rowOff>177800</xdr:rowOff>
        </xdr:to>
        <xdr:sp macro="" textlink="">
          <xdr:nvSpPr>
            <xdr:cNvPr id="4274" name="Check Box 178" hidden="1">
              <a:extLst>
                <a:ext uri="{63B3BB69-23CF-44E3-9099-C40C66FF867C}">
                  <a14:compatExt spid="_x0000_s4274"/>
                </a:ext>
                <a:ext uri="{FF2B5EF4-FFF2-40B4-BE49-F238E27FC236}">
                  <a16:creationId xmlns:a16="http://schemas.microsoft.com/office/drawing/2014/main" id="{00000000-0008-0000-0400-0000B210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538</xdr:row>
          <xdr:rowOff>0</xdr:rowOff>
        </xdr:from>
        <xdr:to>
          <xdr:col>22</xdr:col>
          <xdr:colOff>177800</xdr:colOff>
          <xdr:row>538</xdr:row>
          <xdr:rowOff>177800</xdr:rowOff>
        </xdr:to>
        <xdr:sp macro="" textlink="">
          <xdr:nvSpPr>
            <xdr:cNvPr id="4275" name="Check Box 179" hidden="1">
              <a:extLst>
                <a:ext uri="{63B3BB69-23CF-44E3-9099-C40C66FF867C}">
                  <a14:compatExt spid="_x0000_s4275"/>
                </a:ext>
                <a:ext uri="{FF2B5EF4-FFF2-40B4-BE49-F238E27FC236}">
                  <a16:creationId xmlns:a16="http://schemas.microsoft.com/office/drawing/2014/main" id="{00000000-0008-0000-0400-0000B310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540</xdr:row>
          <xdr:rowOff>0</xdr:rowOff>
        </xdr:from>
        <xdr:to>
          <xdr:col>22</xdr:col>
          <xdr:colOff>177800</xdr:colOff>
          <xdr:row>540</xdr:row>
          <xdr:rowOff>177800</xdr:rowOff>
        </xdr:to>
        <xdr:sp macro="" textlink="">
          <xdr:nvSpPr>
            <xdr:cNvPr id="4276" name="Check Box 180" hidden="1">
              <a:extLst>
                <a:ext uri="{63B3BB69-23CF-44E3-9099-C40C66FF867C}">
                  <a14:compatExt spid="_x0000_s4276"/>
                </a:ext>
                <a:ext uri="{FF2B5EF4-FFF2-40B4-BE49-F238E27FC236}">
                  <a16:creationId xmlns:a16="http://schemas.microsoft.com/office/drawing/2014/main" id="{00000000-0008-0000-0400-0000B410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544</xdr:row>
          <xdr:rowOff>0</xdr:rowOff>
        </xdr:from>
        <xdr:to>
          <xdr:col>22</xdr:col>
          <xdr:colOff>177800</xdr:colOff>
          <xdr:row>544</xdr:row>
          <xdr:rowOff>177800</xdr:rowOff>
        </xdr:to>
        <xdr:sp macro="" textlink="">
          <xdr:nvSpPr>
            <xdr:cNvPr id="4277" name="Check Box 181" hidden="1">
              <a:extLst>
                <a:ext uri="{63B3BB69-23CF-44E3-9099-C40C66FF867C}">
                  <a14:compatExt spid="_x0000_s4277"/>
                </a:ext>
                <a:ext uri="{FF2B5EF4-FFF2-40B4-BE49-F238E27FC236}">
                  <a16:creationId xmlns:a16="http://schemas.microsoft.com/office/drawing/2014/main" id="{00000000-0008-0000-0400-0000B510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549</xdr:row>
          <xdr:rowOff>0</xdr:rowOff>
        </xdr:from>
        <xdr:to>
          <xdr:col>22</xdr:col>
          <xdr:colOff>177800</xdr:colOff>
          <xdr:row>549</xdr:row>
          <xdr:rowOff>177800</xdr:rowOff>
        </xdr:to>
        <xdr:sp macro="" textlink="">
          <xdr:nvSpPr>
            <xdr:cNvPr id="4278" name="Check Box 182" hidden="1">
              <a:extLst>
                <a:ext uri="{63B3BB69-23CF-44E3-9099-C40C66FF867C}">
                  <a14:compatExt spid="_x0000_s4278"/>
                </a:ext>
                <a:ext uri="{FF2B5EF4-FFF2-40B4-BE49-F238E27FC236}">
                  <a16:creationId xmlns:a16="http://schemas.microsoft.com/office/drawing/2014/main" id="{00000000-0008-0000-0400-0000B610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553</xdr:row>
          <xdr:rowOff>0</xdr:rowOff>
        </xdr:from>
        <xdr:to>
          <xdr:col>22</xdr:col>
          <xdr:colOff>177800</xdr:colOff>
          <xdr:row>553</xdr:row>
          <xdr:rowOff>177800</xdr:rowOff>
        </xdr:to>
        <xdr:sp macro="" textlink="">
          <xdr:nvSpPr>
            <xdr:cNvPr id="4279" name="Check Box 183" hidden="1">
              <a:extLst>
                <a:ext uri="{63B3BB69-23CF-44E3-9099-C40C66FF867C}">
                  <a14:compatExt spid="_x0000_s4279"/>
                </a:ext>
                <a:ext uri="{FF2B5EF4-FFF2-40B4-BE49-F238E27FC236}">
                  <a16:creationId xmlns:a16="http://schemas.microsoft.com/office/drawing/2014/main" id="{00000000-0008-0000-0400-0000B710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555</xdr:row>
          <xdr:rowOff>0</xdr:rowOff>
        </xdr:from>
        <xdr:to>
          <xdr:col>22</xdr:col>
          <xdr:colOff>177800</xdr:colOff>
          <xdr:row>555</xdr:row>
          <xdr:rowOff>177800</xdr:rowOff>
        </xdr:to>
        <xdr:sp macro="" textlink="">
          <xdr:nvSpPr>
            <xdr:cNvPr id="4280" name="Check Box 184" hidden="1">
              <a:extLst>
                <a:ext uri="{63B3BB69-23CF-44E3-9099-C40C66FF867C}">
                  <a14:compatExt spid="_x0000_s4280"/>
                </a:ext>
                <a:ext uri="{FF2B5EF4-FFF2-40B4-BE49-F238E27FC236}">
                  <a16:creationId xmlns:a16="http://schemas.microsoft.com/office/drawing/2014/main" id="{00000000-0008-0000-0400-0000B810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557</xdr:row>
          <xdr:rowOff>0</xdr:rowOff>
        </xdr:from>
        <xdr:to>
          <xdr:col>22</xdr:col>
          <xdr:colOff>177800</xdr:colOff>
          <xdr:row>557</xdr:row>
          <xdr:rowOff>177800</xdr:rowOff>
        </xdr:to>
        <xdr:sp macro="" textlink="">
          <xdr:nvSpPr>
            <xdr:cNvPr id="4281" name="Check Box 185" hidden="1">
              <a:extLst>
                <a:ext uri="{63B3BB69-23CF-44E3-9099-C40C66FF867C}">
                  <a14:compatExt spid="_x0000_s4281"/>
                </a:ext>
                <a:ext uri="{FF2B5EF4-FFF2-40B4-BE49-F238E27FC236}">
                  <a16:creationId xmlns:a16="http://schemas.microsoft.com/office/drawing/2014/main" id="{00000000-0008-0000-0400-0000B910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558</xdr:row>
          <xdr:rowOff>0</xdr:rowOff>
        </xdr:from>
        <xdr:to>
          <xdr:col>22</xdr:col>
          <xdr:colOff>177800</xdr:colOff>
          <xdr:row>558</xdr:row>
          <xdr:rowOff>177800</xdr:rowOff>
        </xdr:to>
        <xdr:sp macro="" textlink="">
          <xdr:nvSpPr>
            <xdr:cNvPr id="4282" name="Check Box 186" hidden="1">
              <a:extLst>
                <a:ext uri="{63B3BB69-23CF-44E3-9099-C40C66FF867C}">
                  <a14:compatExt spid="_x0000_s4282"/>
                </a:ext>
                <a:ext uri="{FF2B5EF4-FFF2-40B4-BE49-F238E27FC236}">
                  <a16:creationId xmlns:a16="http://schemas.microsoft.com/office/drawing/2014/main" id="{00000000-0008-0000-0400-0000BA10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559</xdr:row>
          <xdr:rowOff>0</xdr:rowOff>
        </xdr:from>
        <xdr:to>
          <xdr:col>22</xdr:col>
          <xdr:colOff>177800</xdr:colOff>
          <xdr:row>559</xdr:row>
          <xdr:rowOff>177800</xdr:rowOff>
        </xdr:to>
        <xdr:sp macro="" textlink="">
          <xdr:nvSpPr>
            <xdr:cNvPr id="4283" name="Check Box 187" hidden="1">
              <a:extLst>
                <a:ext uri="{63B3BB69-23CF-44E3-9099-C40C66FF867C}">
                  <a14:compatExt spid="_x0000_s4283"/>
                </a:ext>
                <a:ext uri="{FF2B5EF4-FFF2-40B4-BE49-F238E27FC236}">
                  <a16:creationId xmlns:a16="http://schemas.microsoft.com/office/drawing/2014/main" id="{00000000-0008-0000-0400-0000BB10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563</xdr:row>
          <xdr:rowOff>0</xdr:rowOff>
        </xdr:from>
        <xdr:to>
          <xdr:col>22</xdr:col>
          <xdr:colOff>177800</xdr:colOff>
          <xdr:row>563</xdr:row>
          <xdr:rowOff>177800</xdr:rowOff>
        </xdr:to>
        <xdr:sp macro="" textlink="">
          <xdr:nvSpPr>
            <xdr:cNvPr id="4284" name="Check Box 188" hidden="1">
              <a:extLst>
                <a:ext uri="{63B3BB69-23CF-44E3-9099-C40C66FF867C}">
                  <a14:compatExt spid="_x0000_s4284"/>
                </a:ext>
                <a:ext uri="{FF2B5EF4-FFF2-40B4-BE49-F238E27FC236}">
                  <a16:creationId xmlns:a16="http://schemas.microsoft.com/office/drawing/2014/main" id="{00000000-0008-0000-0400-0000BC10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22</xdr:col>
          <xdr:colOff>0</xdr:colOff>
          <xdr:row>299</xdr:row>
          <xdr:rowOff>0</xdr:rowOff>
        </xdr:from>
        <xdr:to>
          <xdr:col>22</xdr:col>
          <xdr:colOff>177800</xdr:colOff>
          <xdr:row>299</xdr:row>
          <xdr:rowOff>177800</xdr:rowOff>
        </xdr:to>
        <xdr:sp macro="" textlink="">
          <xdr:nvSpPr>
            <xdr:cNvPr id="4287" name="Check Box 191" hidden="1">
              <a:extLst>
                <a:ext uri="{63B3BB69-23CF-44E3-9099-C40C66FF867C}">
                  <a14:compatExt spid="_x0000_s4287"/>
                </a:ext>
                <a:ext uri="{FF2B5EF4-FFF2-40B4-BE49-F238E27FC236}">
                  <a16:creationId xmlns:a16="http://schemas.microsoft.com/office/drawing/2014/main" id="{00000000-0008-0000-0400-0000BF10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22</xdr:col>
          <xdr:colOff>0</xdr:colOff>
          <xdr:row>243</xdr:row>
          <xdr:rowOff>0</xdr:rowOff>
        </xdr:from>
        <xdr:to>
          <xdr:col>22</xdr:col>
          <xdr:colOff>177800</xdr:colOff>
          <xdr:row>243</xdr:row>
          <xdr:rowOff>177800</xdr:rowOff>
        </xdr:to>
        <xdr:sp macro="" textlink="">
          <xdr:nvSpPr>
            <xdr:cNvPr id="4290" name="Check Box 194" hidden="1">
              <a:extLst>
                <a:ext uri="{63B3BB69-23CF-44E3-9099-C40C66FF867C}">
                  <a14:compatExt spid="_x0000_s4290"/>
                </a:ext>
                <a:ext uri="{FF2B5EF4-FFF2-40B4-BE49-F238E27FC236}">
                  <a16:creationId xmlns:a16="http://schemas.microsoft.com/office/drawing/2014/main" id="{00000000-0008-0000-0400-0000C210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xdr:wsDr>
</file>

<file path=xl/drawings/drawing5.xml><?xml version="1.0" encoding="utf-8"?>
<xdr:wsDr xmlns:xdr="http://schemas.openxmlformats.org/drawingml/2006/spreadsheetDrawing" xmlns:a="http://schemas.openxmlformats.org/drawingml/2006/main">
  <xdr:twoCellAnchor editAs="oneCell">
    <xdr:from>
      <xdr:col>12</xdr:col>
      <xdr:colOff>476250</xdr:colOff>
      <xdr:row>0</xdr:row>
      <xdr:rowOff>0</xdr:rowOff>
    </xdr:from>
    <xdr:to>
      <xdr:col>22</xdr:col>
      <xdr:colOff>885825</xdr:colOff>
      <xdr:row>4</xdr:row>
      <xdr:rowOff>141767</xdr:rowOff>
    </xdr:to>
    <xdr:pic>
      <xdr:nvPicPr>
        <xdr:cNvPr id="2" name="Picture 1">
          <a:extLst>
            <a:ext uri="{FF2B5EF4-FFF2-40B4-BE49-F238E27FC236}">
              <a16:creationId xmlns:a16="http://schemas.microsoft.com/office/drawing/2014/main" id="{00000000-0008-0000-05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8591550" y="0"/>
          <a:ext cx="1828800" cy="903767"/>
        </a:xfrm>
        <a:prstGeom prst="rect">
          <a:avLst/>
        </a:prstGeom>
      </xdr:spPr>
    </xdr:pic>
    <xdr:clientData/>
  </xdr:twoCellAnchor>
  <mc:AlternateContent xmlns:mc="http://schemas.openxmlformats.org/markup-compatibility/2006">
    <mc:Choice xmlns:a14="http://schemas.microsoft.com/office/drawing/2010/main" Requires="a14">
      <xdr:twoCellAnchor editAs="oneCell">
        <xdr:from>
          <xdr:col>22</xdr:col>
          <xdr:colOff>0</xdr:colOff>
          <xdr:row>18</xdr:row>
          <xdr:rowOff>0</xdr:rowOff>
        </xdr:from>
        <xdr:to>
          <xdr:col>22</xdr:col>
          <xdr:colOff>177800</xdr:colOff>
          <xdr:row>18</xdr:row>
          <xdr:rowOff>177800</xdr:rowOff>
        </xdr:to>
        <xdr:sp macro="" textlink="">
          <xdr:nvSpPr>
            <xdr:cNvPr id="5125" name="Check Box 5" hidden="1">
              <a:extLst>
                <a:ext uri="{63B3BB69-23CF-44E3-9099-C40C66FF867C}">
                  <a14:compatExt spid="_x0000_s5125"/>
                </a:ext>
                <a:ext uri="{FF2B5EF4-FFF2-40B4-BE49-F238E27FC236}">
                  <a16:creationId xmlns:a16="http://schemas.microsoft.com/office/drawing/2014/main" id="{00000000-0008-0000-0500-00000514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22</xdr:col>
          <xdr:colOff>0</xdr:colOff>
          <xdr:row>37</xdr:row>
          <xdr:rowOff>0</xdr:rowOff>
        </xdr:from>
        <xdr:to>
          <xdr:col>22</xdr:col>
          <xdr:colOff>177800</xdr:colOff>
          <xdr:row>37</xdr:row>
          <xdr:rowOff>177800</xdr:rowOff>
        </xdr:to>
        <xdr:sp macro="" textlink="">
          <xdr:nvSpPr>
            <xdr:cNvPr id="5128" name="Check Box 8" hidden="1">
              <a:extLst>
                <a:ext uri="{63B3BB69-23CF-44E3-9099-C40C66FF867C}">
                  <a14:compatExt spid="_x0000_s5128"/>
                </a:ext>
                <a:ext uri="{FF2B5EF4-FFF2-40B4-BE49-F238E27FC236}">
                  <a16:creationId xmlns:a16="http://schemas.microsoft.com/office/drawing/2014/main" id="{00000000-0008-0000-0500-00000814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22</xdr:col>
          <xdr:colOff>0</xdr:colOff>
          <xdr:row>27</xdr:row>
          <xdr:rowOff>0</xdr:rowOff>
        </xdr:from>
        <xdr:to>
          <xdr:col>22</xdr:col>
          <xdr:colOff>177800</xdr:colOff>
          <xdr:row>27</xdr:row>
          <xdr:rowOff>177800</xdr:rowOff>
        </xdr:to>
        <xdr:sp macro="" textlink="">
          <xdr:nvSpPr>
            <xdr:cNvPr id="5137" name="Check Box 17" hidden="1">
              <a:extLst>
                <a:ext uri="{63B3BB69-23CF-44E3-9099-C40C66FF867C}">
                  <a14:compatExt spid="_x0000_s5137"/>
                </a:ext>
                <a:ext uri="{FF2B5EF4-FFF2-40B4-BE49-F238E27FC236}">
                  <a16:creationId xmlns:a16="http://schemas.microsoft.com/office/drawing/2014/main" id="{00000000-0008-0000-0500-00001114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22</xdr:col>
          <xdr:colOff>0</xdr:colOff>
          <xdr:row>30</xdr:row>
          <xdr:rowOff>0</xdr:rowOff>
        </xdr:from>
        <xdr:to>
          <xdr:col>22</xdr:col>
          <xdr:colOff>177800</xdr:colOff>
          <xdr:row>30</xdr:row>
          <xdr:rowOff>177800</xdr:rowOff>
        </xdr:to>
        <xdr:sp macro="" textlink="">
          <xdr:nvSpPr>
            <xdr:cNvPr id="5138" name="Check Box 18" hidden="1">
              <a:extLst>
                <a:ext uri="{63B3BB69-23CF-44E3-9099-C40C66FF867C}">
                  <a14:compatExt spid="_x0000_s5138"/>
                </a:ext>
                <a:ext uri="{FF2B5EF4-FFF2-40B4-BE49-F238E27FC236}">
                  <a16:creationId xmlns:a16="http://schemas.microsoft.com/office/drawing/2014/main" id="{00000000-0008-0000-0500-00001214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22</xdr:col>
          <xdr:colOff>0</xdr:colOff>
          <xdr:row>33</xdr:row>
          <xdr:rowOff>0</xdr:rowOff>
        </xdr:from>
        <xdr:to>
          <xdr:col>22</xdr:col>
          <xdr:colOff>177800</xdr:colOff>
          <xdr:row>33</xdr:row>
          <xdr:rowOff>177800</xdr:rowOff>
        </xdr:to>
        <xdr:sp macro="" textlink="">
          <xdr:nvSpPr>
            <xdr:cNvPr id="5139" name="Check Box 19" hidden="1">
              <a:extLst>
                <a:ext uri="{63B3BB69-23CF-44E3-9099-C40C66FF867C}">
                  <a14:compatExt spid="_x0000_s5139"/>
                </a:ext>
                <a:ext uri="{FF2B5EF4-FFF2-40B4-BE49-F238E27FC236}">
                  <a16:creationId xmlns:a16="http://schemas.microsoft.com/office/drawing/2014/main" id="{00000000-0008-0000-0500-00001314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22</xdr:col>
          <xdr:colOff>0</xdr:colOff>
          <xdr:row>77</xdr:row>
          <xdr:rowOff>0</xdr:rowOff>
        </xdr:from>
        <xdr:to>
          <xdr:col>22</xdr:col>
          <xdr:colOff>177800</xdr:colOff>
          <xdr:row>77</xdr:row>
          <xdr:rowOff>177800</xdr:rowOff>
        </xdr:to>
        <xdr:sp macro="" textlink="">
          <xdr:nvSpPr>
            <xdr:cNvPr id="5146" name="Check Box 26" hidden="1">
              <a:extLst>
                <a:ext uri="{63B3BB69-23CF-44E3-9099-C40C66FF867C}">
                  <a14:compatExt spid="_x0000_s5146"/>
                </a:ext>
                <a:ext uri="{FF2B5EF4-FFF2-40B4-BE49-F238E27FC236}">
                  <a16:creationId xmlns:a16="http://schemas.microsoft.com/office/drawing/2014/main" id="{00000000-0008-0000-0500-00001A14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22</xdr:col>
          <xdr:colOff>0</xdr:colOff>
          <xdr:row>80</xdr:row>
          <xdr:rowOff>0</xdr:rowOff>
        </xdr:from>
        <xdr:to>
          <xdr:col>22</xdr:col>
          <xdr:colOff>177800</xdr:colOff>
          <xdr:row>80</xdr:row>
          <xdr:rowOff>177800</xdr:rowOff>
        </xdr:to>
        <xdr:sp macro="" textlink="">
          <xdr:nvSpPr>
            <xdr:cNvPr id="5148" name="Check Box 28" hidden="1">
              <a:extLst>
                <a:ext uri="{63B3BB69-23CF-44E3-9099-C40C66FF867C}">
                  <a14:compatExt spid="_x0000_s5148"/>
                </a:ext>
                <a:ext uri="{FF2B5EF4-FFF2-40B4-BE49-F238E27FC236}">
                  <a16:creationId xmlns:a16="http://schemas.microsoft.com/office/drawing/2014/main" id="{00000000-0008-0000-0500-00001C14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22</xdr:col>
          <xdr:colOff>0</xdr:colOff>
          <xdr:row>125</xdr:row>
          <xdr:rowOff>0</xdr:rowOff>
        </xdr:from>
        <xdr:to>
          <xdr:col>22</xdr:col>
          <xdr:colOff>177800</xdr:colOff>
          <xdr:row>125</xdr:row>
          <xdr:rowOff>177800</xdr:rowOff>
        </xdr:to>
        <xdr:sp macro="" textlink="">
          <xdr:nvSpPr>
            <xdr:cNvPr id="5150" name="Check Box 30" hidden="1">
              <a:extLst>
                <a:ext uri="{63B3BB69-23CF-44E3-9099-C40C66FF867C}">
                  <a14:compatExt spid="_x0000_s5150"/>
                </a:ext>
                <a:ext uri="{FF2B5EF4-FFF2-40B4-BE49-F238E27FC236}">
                  <a16:creationId xmlns:a16="http://schemas.microsoft.com/office/drawing/2014/main" id="{00000000-0008-0000-0500-00001E14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22</xdr:col>
          <xdr:colOff>0</xdr:colOff>
          <xdr:row>11</xdr:row>
          <xdr:rowOff>0</xdr:rowOff>
        </xdr:from>
        <xdr:to>
          <xdr:col>22</xdr:col>
          <xdr:colOff>177800</xdr:colOff>
          <xdr:row>11</xdr:row>
          <xdr:rowOff>177800</xdr:rowOff>
        </xdr:to>
        <xdr:sp macro="" textlink="">
          <xdr:nvSpPr>
            <xdr:cNvPr id="5155" name="Check Box 35" hidden="1">
              <a:extLst>
                <a:ext uri="{63B3BB69-23CF-44E3-9099-C40C66FF867C}">
                  <a14:compatExt spid="_x0000_s5155"/>
                </a:ext>
                <a:ext uri="{FF2B5EF4-FFF2-40B4-BE49-F238E27FC236}">
                  <a16:creationId xmlns:a16="http://schemas.microsoft.com/office/drawing/2014/main" id="{00000000-0008-0000-0500-00002314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22</xdr:col>
          <xdr:colOff>0</xdr:colOff>
          <xdr:row>123</xdr:row>
          <xdr:rowOff>0</xdr:rowOff>
        </xdr:from>
        <xdr:to>
          <xdr:col>22</xdr:col>
          <xdr:colOff>177800</xdr:colOff>
          <xdr:row>123</xdr:row>
          <xdr:rowOff>177800</xdr:rowOff>
        </xdr:to>
        <xdr:sp macro="" textlink="">
          <xdr:nvSpPr>
            <xdr:cNvPr id="5163" name="Check Box 43" hidden="1">
              <a:extLst>
                <a:ext uri="{63B3BB69-23CF-44E3-9099-C40C66FF867C}">
                  <a14:compatExt spid="_x0000_s5163"/>
                </a:ext>
                <a:ext uri="{FF2B5EF4-FFF2-40B4-BE49-F238E27FC236}">
                  <a16:creationId xmlns:a16="http://schemas.microsoft.com/office/drawing/2014/main" id="{00000000-0008-0000-0500-00002B14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22</xdr:col>
          <xdr:colOff>0</xdr:colOff>
          <xdr:row>177</xdr:row>
          <xdr:rowOff>0</xdr:rowOff>
        </xdr:from>
        <xdr:to>
          <xdr:col>22</xdr:col>
          <xdr:colOff>177800</xdr:colOff>
          <xdr:row>177</xdr:row>
          <xdr:rowOff>177800</xdr:rowOff>
        </xdr:to>
        <xdr:sp macro="" textlink="">
          <xdr:nvSpPr>
            <xdr:cNvPr id="5171" name="Check Box 51" hidden="1">
              <a:extLst>
                <a:ext uri="{63B3BB69-23CF-44E3-9099-C40C66FF867C}">
                  <a14:compatExt spid="_x0000_s5171"/>
                </a:ext>
                <a:ext uri="{FF2B5EF4-FFF2-40B4-BE49-F238E27FC236}">
                  <a16:creationId xmlns:a16="http://schemas.microsoft.com/office/drawing/2014/main" id="{00000000-0008-0000-0500-00003314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22</xdr:col>
          <xdr:colOff>0</xdr:colOff>
          <xdr:row>186</xdr:row>
          <xdr:rowOff>0</xdr:rowOff>
        </xdr:from>
        <xdr:to>
          <xdr:col>22</xdr:col>
          <xdr:colOff>177800</xdr:colOff>
          <xdr:row>186</xdr:row>
          <xdr:rowOff>177800</xdr:rowOff>
        </xdr:to>
        <xdr:sp macro="" textlink="">
          <xdr:nvSpPr>
            <xdr:cNvPr id="5173" name="Check Box 53" hidden="1">
              <a:extLst>
                <a:ext uri="{63B3BB69-23CF-44E3-9099-C40C66FF867C}">
                  <a14:compatExt spid="_x0000_s5173"/>
                </a:ext>
                <a:ext uri="{FF2B5EF4-FFF2-40B4-BE49-F238E27FC236}">
                  <a16:creationId xmlns:a16="http://schemas.microsoft.com/office/drawing/2014/main" id="{00000000-0008-0000-0500-00003514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22</xdr:col>
          <xdr:colOff>0</xdr:colOff>
          <xdr:row>244</xdr:row>
          <xdr:rowOff>0</xdr:rowOff>
        </xdr:from>
        <xdr:to>
          <xdr:col>22</xdr:col>
          <xdr:colOff>177800</xdr:colOff>
          <xdr:row>244</xdr:row>
          <xdr:rowOff>177800</xdr:rowOff>
        </xdr:to>
        <xdr:sp macro="" textlink="">
          <xdr:nvSpPr>
            <xdr:cNvPr id="5176" name="Check Box 56" hidden="1">
              <a:extLst>
                <a:ext uri="{63B3BB69-23CF-44E3-9099-C40C66FF867C}">
                  <a14:compatExt spid="_x0000_s5176"/>
                </a:ext>
                <a:ext uri="{FF2B5EF4-FFF2-40B4-BE49-F238E27FC236}">
                  <a16:creationId xmlns:a16="http://schemas.microsoft.com/office/drawing/2014/main" id="{00000000-0008-0000-0500-00003814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22</xdr:col>
          <xdr:colOff>0</xdr:colOff>
          <xdr:row>288</xdr:row>
          <xdr:rowOff>0</xdr:rowOff>
        </xdr:from>
        <xdr:to>
          <xdr:col>22</xdr:col>
          <xdr:colOff>177800</xdr:colOff>
          <xdr:row>288</xdr:row>
          <xdr:rowOff>177800</xdr:rowOff>
        </xdr:to>
        <xdr:sp macro="" textlink="">
          <xdr:nvSpPr>
            <xdr:cNvPr id="5177" name="Check Box 57" hidden="1">
              <a:extLst>
                <a:ext uri="{63B3BB69-23CF-44E3-9099-C40C66FF867C}">
                  <a14:compatExt spid="_x0000_s5177"/>
                </a:ext>
                <a:ext uri="{FF2B5EF4-FFF2-40B4-BE49-F238E27FC236}">
                  <a16:creationId xmlns:a16="http://schemas.microsoft.com/office/drawing/2014/main" id="{00000000-0008-0000-0500-00003914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22</xdr:col>
          <xdr:colOff>0</xdr:colOff>
          <xdr:row>291</xdr:row>
          <xdr:rowOff>0</xdr:rowOff>
        </xdr:from>
        <xdr:to>
          <xdr:col>22</xdr:col>
          <xdr:colOff>177800</xdr:colOff>
          <xdr:row>291</xdr:row>
          <xdr:rowOff>177800</xdr:rowOff>
        </xdr:to>
        <xdr:sp macro="" textlink="">
          <xdr:nvSpPr>
            <xdr:cNvPr id="5178" name="Check Box 58" hidden="1">
              <a:extLst>
                <a:ext uri="{63B3BB69-23CF-44E3-9099-C40C66FF867C}">
                  <a14:compatExt spid="_x0000_s5178"/>
                </a:ext>
                <a:ext uri="{FF2B5EF4-FFF2-40B4-BE49-F238E27FC236}">
                  <a16:creationId xmlns:a16="http://schemas.microsoft.com/office/drawing/2014/main" id="{00000000-0008-0000-0500-00003A14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22</xdr:col>
          <xdr:colOff>0</xdr:colOff>
          <xdr:row>301</xdr:row>
          <xdr:rowOff>0</xdr:rowOff>
        </xdr:from>
        <xdr:to>
          <xdr:col>22</xdr:col>
          <xdr:colOff>177800</xdr:colOff>
          <xdr:row>301</xdr:row>
          <xdr:rowOff>177800</xdr:rowOff>
        </xdr:to>
        <xdr:sp macro="" textlink="">
          <xdr:nvSpPr>
            <xdr:cNvPr id="5179" name="Check Box 59" hidden="1">
              <a:extLst>
                <a:ext uri="{63B3BB69-23CF-44E3-9099-C40C66FF867C}">
                  <a14:compatExt spid="_x0000_s5179"/>
                </a:ext>
                <a:ext uri="{FF2B5EF4-FFF2-40B4-BE49-F238E27FC236}">
                  <a16:creationId xmlns:a16="http://schemas.microsoft.com/office/drawing/2014/main" id="{00000000-0008-0000-0500-00003B14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22</xdr:col>
          <xdr:colOff>0</xdr:colOff>
          <xdr:row>308</xdr:row>
          <xdr:rowOff>0</xdr:rowOff>
        </xdr:from>
        <xdr:to>
          <xdr:col>22</xdr:col>
          <xdr:colOff>177800</xdr:colOff>
          <xdr:row>308</xdr:row>
          <xdr:rowOff>177800</xdr:rowOff>
        </xdr:to>
        <xdr:sp macro="" textlink="">
          <xdr:nvSpPr>
            <xdr:cNvPr id="5180" name="Check Box 60" hidden="1">
              <a:extLst>
                <a:ext uri="{63B3BB69-23CF-44E3-9099-C40C66FF867C}">
                  <a14:compatExt spid="_x0000_s5180"/>
                </a:ext>
                <a:ext uri="{FF2B5EF4-FFF2-40B4-BE49-F238E27FC236}">
                  <a16:creationId xmlns:a16="http://schemas.microsoft.com/office/drawing/2014/main" id="{00000000-0008-0000-0500-00003C14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22</xdr:col>
          <xdr:colOff>0</xdr:colOff>
          <xdr:row>313</xdr:row>
          <xdr:rowOff>0</xdr:rowOff>
        </xdr:from>
        <xdr:to>
          <xdr:col>22</xdr:col>
          <xdr:colOff>177800</xdr:colOff>
          <xdr:row>313</xdr:row>
          <xdr:rowOff>177800</xdr:rowOff>
        </xdr:to>
        <xdr:sp macro="" textlink="">
          <xdr:nvSpPr>
            <xdr:cNvPr id="5181" name="Check Box 61" hidden="1">
              <a:extLst>
                <a:ext uri="{63B3BB69-23CF-44E3-9099-C40C66FF867C}">
                  <a14:compatExt spid="_x0000_s5181"/>
                </a:ext>
                <a:ext uri="{FF2B5EF4-FFF2-40B4-BE49-F238E27FC236}">
                  <a16:creationId xmlns:a16="http://schemas.microsoft.com/office/drawing/2014/main" id="{00000000-0008-0000-0500-00003D14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22</xdr:col>
          <xdr:colOff>0</xdr:colOff>
          <xdr:row>314</xdr:row>
          <xdr:rowOff>0</xdr:rowOff>
        </xdr:from>
        <xdr:to>
          <xdr:col>22</xdr:col>
          <xdr:colOff>177800</xdr:colOff>
          <xdr:row>314</xdr:row>
          <xdr:rowOff>177800</xdr:rowOff>
        </xdr:to>
        <xdr:sp macro="" textlink="">
          <xdr:nvSpPr>
            <xdr:cNvPr id="5182" name="Check Box 62" hidden="1">
              <a:extLst>
                <a:ext uri="{63B3BB69-23CF-44E3-9099-C40C66FF867C}">
                  <a14:compatExt spid="_x0000_s5182"/>
                </a:ext>
                <a:ext uri="{FF2B5EF4-FFF2-40B4-BE49-F238E27FC236}">
                  <a16:creationId xmlns:a16="http://schemas.microsoft.com/office/drawing/2014/main" id="{00000000-0008-0000-0500-00003E14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22</xdr:col>
          <xdr:colOff>0</xdr:colOff>
          <xdr:row>316</xdr:row>
          <xdr:rowOff>0</xdr:rowOff>
        </xdr:from>
        <xdr:to>
          <xdr:col>22</xdr:col>
          <xdr:colOff>177800</xdr:colOff>
          <xdr:row>316</xdr:row>
          <xdr:rowOff>177800</xdr:rowOff>
        </xdr:to>
        <xdr:sp macro="" textlink="">
          <xdr:nvSpPr>
            <xdr:cNvPr id="5183" name="Check Box 63" hidden="1">
              <a:extLst>
                <a:ext uri="{63B3BB69-23CF-44E3-9099-C40C66FF867C}">
                  <a14:compatExt spid="_x0000_s5183"/>
                </a:ext>
                <a:ext uri="{FF2B5EF4-FFF2-40B4-BE49-F238E27FC236}">
                  <a16:creationId xmlns:a16="http://schemas.microsoft.com/office/drawing/2014/main" id="{00000000-0008-0000-0500-00003F14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22</xdr:col>
          <xdr:colOff>0</xdr:colOff>
          <xdr:row>317</xdr:row>
          <xdr:rowOff>0</xdr:rowOff>
        </xdr:from>
        <xdr:to>
          <xdr:col>22</xdr:col>
          <xdr:colOff>177800</xdr:colOff>
          <xdr:row>317</xdr:row>
          <xdr:rowOff>177800</xdr:rowOff>
        </xdr:to>
        <xdr:sp macro="" textlink="">
          <xdr:nvSpPr>
            <xdr:cNvPr id="5184" name="Check Box 64" hidden="1">
              <a:extLst>
                <a:ext uri="{63B3BB69-23CF-44E3-9099-C40C66FF867C}">
                  <a14:compatExt spid="_x0000_s5184"/>
                </a:ext>
                <a:ext uri="{FF2B5EF4-FFF2-40B4-BE49-F238E27FC236}">
                  <a16:creationId xmlns:a16="http://schemas.microsoft.com/office/drawing/2014/main" id="{00000000-0008-0000-0500-00004014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22</xdr:col>
          <xdr:colOff>0</xdr:colOff>
          <xdr:row>319</xdr:row>
          <xdr:rowOff>0</xdr:rowOff>
        </xdr:from>
        <xdr:to>
          <xdr:col>22</xdr:col>
          <xdr:colOff>177800</xdr:colOff>
          <xdr:row>319</xdr:row>
          <xdr:rowOff>177800</xdr:rowOff>
        </xdr:to>
        <xdr:sp macro="" textlink="">
          <xdr:nvSpPr>
            <xdr:cNvPr id="5185" name="Check Box 65" hidden="1">
              <a:extLst>
                <a:ext uri="{63B3BB69-23CF-44E3-9099-C40C66FF867C}">
                  <a14:compatExt spid="_x0000_s5185"/>
                </a:ext>
                <a:ext uri="{FF2B5EF4-FFF2-40B4-BE49-F238E27FC236}">
                  <a16:creationId xmlns:a16="http://schemas.microsoft.com/office/drawing/2014/main" id="{00000000-0008-0000-0500-00004114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22</xdr:col>
          <xdr:colOff>0</xdr:colOff>
          <xdr:row>379</xdr:row>
          <xdr:rowOff>0</xdr:rowOff>
        </xdr:from>
        <xdr:to>
          <xdr:col>22</xdr:col>
          <xdr:colOff>177800</xdr:colOff>
          <xdr:row>379</xdr:row>
          <xdr:rowOff>177800</xdr:rowOff>
        </xdr:to>
        <xdr:sp macro="" textlink="">
          <xdr:nvSpPr>
            <xdr:cNvPr id="5186" name="Check Box 66" hidden="1">
              <a:extLst>
                <a:ext uri="{63B3BB69-23CF-44E3-9099-C40C66FF867C}">
                  <a14:compatExt spid="_x0000_s5186"/>
                </a:ext>
                <a:ext uri="{FF2B5EF4-FFF2-40B4-BE49-F238E27FC236}">
                  <a16:creationId xmlns:a16="http://schemas.microsoft.com/office/drawing/2014/main" id="{00000000-0008-0000-0500-00004214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22</xdr:col>
          <xdr:colOff>0</xdr:colOff>
          <xdr:row>381</xdr:row>
          <xdr:rowOff>0</xdr:rowOff>
        </xdr:from>
        <xdr:to>
          <xdr:col>22</xdr:col>
          <xdr:colOff>177800</xdr:colOff>
          <xdr:row>381</xdr:row>
          <xdr:rowOff>177800</xdr:rowOff>
        </xdr:to>
        <xdr:sp macro="" textlink="">
          <xdr:nvSpPr>
            <xdr:cNvPr id="5187" name="Check Box 67" hidden="1">
              <a:extLst>
                <a:ext uri="{63B3BB69-23CF-44E3-9099-C40C66FF867C}">
                  <a14:compatExt spid="_x0000_s5187"/>
                </a:ext>
                <a:ext uri="{FF2B5EF4-FFF2-40B4-BE49-F238E27FC236}">
                  <a16:creationId xmlns:a16="http://schemas.microsoft.com/office/drawing/2014/main" id="{00000000-0008-0000-0500-00004314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22</xdr:col>
          <xdr:colOff>0</xdr:colOff>
          <xdr:row>383</xdr:row>
          <xdr:rowOff>0</xdr:rowOff>
        </xdr:from>
        <xdr:to>
          <xdr:col>22</xdr:col>
          <xdr:colOff>177800</xdr:colOff>
          <xdr:row>383</xdr:row>
          <xdr:rowOff>177800</xdr:rowOff>
        </xdr:to>
        <xdr:sp macro="" textlink="">
          <xdr:nvSpPr>
            <xdr:cNvPr id="5188" name="Check Box 68" hidden="1">
              <a:extLst>
                <a:ext uri="{63B3BB69-23CF-44E3-9099-C40C66FF867C}">
                  <a14:compatExt spid="_x0000_s5188"/>
                </a:ext>
                <a:ext uri="{FF2B5EF4-FFF2-40B4-BE49-F238E27FC236}">
                  <a16:creationId xmlns:a16="http://schemas.microsoft.com/office/drawing/2014/main" id="{00000000-0008-0000-0500-00004414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22</xdr:col>
          <xdr:colOff>0</xdr:colOff>
          <xdr:row>406</xdr:row>
          <xdr:rowOff>0</xdr:rowOff>
        </xdr:from>
        <xdr:to>
          <xdr:col>22</xdr:col>
          <xdr:colOff>177800</xdr:colOff>
          <xdr:row>406</xdr:row>
          <xdr:rowOff>177800</xdr:rowOff>
        </xdr:to>
        <xdr:sp macro="" textlink="">
          <xdr:nvSpPr>
            <xdr:cNvPr id="5189" name="Check Box 69" hidden="1">
              <a:extLst>
                <a:ext uri="{63B3BB69-23CF-44E3-9099-C40C66FF867C}">
                  <a14:compatExt spid="_x0000_s5189"/>
                </a:ext>
                <a:ext uri="{FF2B5EF4-FFF2-40B4-BE49-F238E27FC236}">
                  <a16:creationId xmlns:a16="http://schemas.microsoft.com/office/drawing/2014/main" id="{00000000-0008-0000-0500-00004514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22</xdr:col>
          <xdr:colOff>0</xdr:colOff>
          <xdr:row>408</xdr:row>
          <xdr:rowOff>0</xdr:rowOff>
        </xdr:from>
        <xdr:to>
          <xdr:col>22</xdr:col>
          <xdr:colOff>177800</xdr:colOff>
          <xdr:row>408</xdr:row>
          <xdr:rowOff>177800</xdr:rowOff>
        </xdr:to>
        <xdr:sp macro="" textlink="">
          <xdr:nvSpPr>
            <xdr:cNvPr id="5191" name="Check Box 71" hidden="1">
              <a:extLst>
                <a:ext uri="{63B3BB69-23CF-44E3-9099-C40C66FF867C}">
                  <a14:compatExt spid="_x0000_s5191"/>
                </a:ext>
                <a:ext uri="{FF2B5EF4-FFF2-40B4-BE49-F238E27FC236}">
                  <a16:creationId xmlns:a16="http://schemas.microsoft.com/office/drawing/2014/main" id="{00000000-0008-0000-0500-00004714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22</xdr:col>
          <xdr:colOff>0</xdr:colOff>
          <xdr:row>410</xdr:row>
          <xdr:rowOff>0</xdr:rowOff>
        </xdr:from>
        <xdr:to>
          <xdr:col>22</xdr:col>
          <xdr:colOff>177800</xdr:colOff>
          <xdr:row>410</xdr:row>
          <xdr:rowOff>177800</xdr:rowOff>
        </xdr:to>
        <xdr:sp macro="" textlink="">
          <xdr:nvSpPr>
            <xdr:cNvPr id="5192" name="Check Box 72" hidden="1">
              <a:extLst>
                <a:ext uri="{63B3BB69-23CF-44E3-9099-C40C66FF867C}">
                  <a14:compatExt spid="_x0000_s5192"/>
                </a:ext>
                <a:ext uri="{FF2B5EF4-FFF2-40B4-BE49-F238E27FC236}">
                  <a16:creationId xmlns:a16="http://schemas.microsoft.com/office/drawing/2014/main" id="{00000000-0008-0000-0500-00004814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22</xdr:col>
          <xdr:colOff>0</xdr:colOff>
          <xdr:row>413</xdr:row>
          <xdr:rowOff>0</xdr:rowOff>
        </xdr:from>
        <xdr:to>
          <xdr:col>22</xdr:col>
          <xdr:colOff>177800</xdr:colOff>
          <xdr:row>413</xdr:row>
          <xdr:rowOff>177800</xdr:rowOff>
        </xdr:to>
        <xdr:sp macro="" textlink="">
          <xdr:nvSpPr>
            <xdr:cNvPr id="5193" name="Check Box 73" hidden="1">
              <a:extLst>
                <a:ext uri="{63B3BB69-23CF-44E3-9099-C40C66FF867C}">
                  <a14:compatExt spid="_x0000_s5193"/>
                </a:ext>
                <a:ext uri="{FF2B5EF4-FFF2-40B4-BE49-F238E27FC236}">
                  <a16:creationId xmlns:a16="http://schemas.microsoft.com/office/drawing/2014/main" id="{00000000-0008-0000-0500-00004914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22</xdr:col>
          <xdr:colOff>0</xdr:colOff>
          <xdr:row>414</xdr:row>
          <xdr:rowOff>0</xdr:rowOff>
        </xdr:from>
        <xdr:to>
          <xdr:col>22</xdr:col>
          <xdr:colOff>177800</xdr:colOff>
          <xdr:row>414</xdr:row>
          <xdr:rowOff>177800</xdr:rowOff>
        </xdr:to>
        <xdr:sp macro="" textlink="">
          <xdr:nvSpPr>
            <xdr:cNvPr id="5194" name="Check Box 74" hidden="1">
              <a:extLst>
                <a:ext uri="{63B3BB69-23CF-44E3-9099-C40C66FF867C}">
                  <a14:compatExt spid="_x0000_s5194"/>
                </a:ext>
                <a:ext uri="{FF2B5EF4-FFF2-40B4-BE49-F238E27FC236}">
                  <a16:creationId xmlns:a16="http://schemas.microsoft.com/office/drawing/2014/main" id="{00000000-0008-0000-0500-00004A14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22</xdr:col>
          <xdr:colOff>0</xdr:colOff>
          <xdr:row>415</xdr:row>
          <xdr:rowOff>0</xdr:rowOff>
        </xdr:from>
        <xdr:to>
          <xdr:col>22</xdr:col>
          <xdr:colOff>177800</xdr:colOff>
          <xdr:row>415</xdr:row>
          <xdr:rowOff>177800</xdr:rowOff>
        </xdr:to>
        <xdr:sp macro="" textlink="">
          <xdr:nvSpPr>
            <xdr:cNvPr id="5195" name="Check Box 75" hidden="1">
              <a:extLst>
                <a:ext uri="{63B3BB69-23CF-44E3-9099-C40C66FF867C}">
                  <a14:compatExt spid="_x0000_s5195"/>
                </a:ext>
                <a:ext uri="{FF2B5EF4-FFF2-40B4-BE49-F238E27FC236}">
                  <a16:creationId xmlns:a16="http://schemas.microsoft.com/office/drawing/2014/main" id="{00000000-0008-0000-0500-00004B14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22</xdr:col>
          <xdr:colOff>0</xdr:colOff>
          <xdr:row>418</xdr:row>
          <xdr:rowOff>0</xdr:rowOff>
        </xdr:from>
        <xdr:to>
          <xdr:col>22</xdr:col>
          <xdr:colOff>177800</xdr:colOff>
          <xdr:row>418</xdr:row>
          <xdr:rowOff>177800</xdr:rowOff>
        </xdr:to>
        <xdr:sp macro="" textlink="">
          <xdr:nvSpPr>
            <xdr:cNvPr id="5196" name="Check Box 76" hidden="1">
              <a:extLst>
                <a:ext uri="{63B3BB69-23CF-44E3-9099-C40C66FF867C}">
                  <a14:compatExt spid="_x0000_s5196"/>
                </a:ext>
                <a:ext uri="{FF2B5EF4-FFF2-40B4-BE49-F238E27FC236}">
                  <a16:creationId xmlns:a16="http://schemas.microsoft.com/office/drawing/2014/main" id="{00000000-0008-0000-0500-00004C14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22</xdr:col>
          <xdr:colOff>0</xdr:colOff>
          <xdr:row>446</xdr:row>
          <xdr:rowOff>0</xdr:rowOff>
        </xdr:from>
        <xdr:to>
          <xdr:col>22</xdr:col>
          <xdr:colOff>177800</xdr:colOff>
          <xdr:row>446</xdr:row>
          <xdr:rowOff>177800</xdr:rowOff>
        </xdr:to>
        <xdr:sp macro="" textlink="">
          <xdr:nvSpPr>
            <xdr:cNvPr id="5197" name="Check Box 77" hidden="1">
              <a:extLst>
                <a:ext uri="{63B3BB69-23CF-44E3-9099-C40C66FF867C}">
                  <a14:compatExt spid="_x0000_s5197"/>
                </a:ext>
                <a:ext uri="{FF2B5EF4-FFF2-40B4-BE49-F238E27FC236}">
                  <a16:creationId xmlns:a16="http://schemas.microsoft.com/office/drawing/2014/main" id="{00000000-0008-0000-0500-00004D14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22</xdr:col>
          <xdr:colOff>0</xdr:colOff>
          <xdr:row>454</xdr:row>
          <xdr:rowOff>0</xdr:rowOff>
        </xdr:from>
        <xdr:to>
          <xdr:col>22</xdr:col>
          <xdr:colOff>177800</xdr:colOff>
          <xdr:row>454</xdr:row>
          <xdr:rowOff>177800</xdr:rowOff>
        </xdr:to>
        <xdr:sp macro="" textlink="">
          <xdr:nvSpPr>
            <xdr:cNvPr id="5198" name="Check Box 78" hidden="1">
              <a:extLst>
                <a:ext uri="{63B3BB69-23CF-44E3-9099-C40C66FF867C}">
                  <a14:compatExt spid="_x0000_s5198"/>
                </a:ext>
                <a:ext uri="{FF2B5EF4-FFF2-40B4-BE49-F238E27FC236}">
                  <a16:creationId xmlns:a16="http://schemas.microsoft.com/office/drawing/2014/main" id="{00000000-0008-0000-0500-00004E14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22</xdr:col>
          <xdr:colOff>0</xdr:colOff>
          <xdr:row>456</xdr:row>
          <xdr:rowOff>0</xdr:rowOff>
        </xdr:from>
        <xdr:to>
          <xdr:col>22</xdr:col>
          <xdr:colOff>177800</xdr:colOff>
          <xdr:row>456</xdr:row>
          <xdr:rowOff>177800</xdr:rowOff>
        </xdr:to>
        <xdr:sp macro="" textlink="">
          <xdr:nvSpPr>
            <xdr:cNvPr id="5199" name="Check Box 79" hidden="1">
              <a:extLst>
                <a:ext uri="{63B3BB69-23CF-44E3-9099-C40C66FF867C}">
                  <a14:compatExt spid="_x0000_s5199"/>
                </a:ext>
                <a:ext uri="{FF2B5EF4-FFF2-40B4-BE49-F238E27FC236}">
                  <a16:creationId xmlns:a16="http://schemas.microsoft.com/office/drawing/2014/main" id="{00000000-0008-0000-0500-00004F14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22</xdr:col>
          <xdr:colOff>0</xdr:colOff>
          <xdr:row>457</xdr:row>
          <xdr:rowOff>0</xdr:rowOff>
        </xdr:from>
        <xdr:to>
          <xdr:col>22</xdr:col>
          <xdr:colOff>177800</xdr:colOff>
          <xdr:row>457</xdr:row>
          <xdr:rowOff>177800</xdr:rowOff>
        </xdr:to>
        <xdr:sp macro="" textlink="">
          <xdr:nvSpPr>
            <xdr:cNvPr id="5200" name="Check Box 80" hidden="1">
              <a:extLst>
                <a:ext uri="{63B3BB69-23CF-44E3-9099-C40C66FF867C}">
                  <a14:compatExt spid="_x0000_s5200"/>
                </a:ext>
                <a:ext uri="{FF2B5EF4-FFF2-40B4-BE49-F238E27FC236}">
                  <a16:creationId xmlns:a16="http://schemas.microsoft.com/office/drawing/2014/main" id="{00000000-0008-0000-0500-00005014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22</xdr:col>
          <xdr:colOff>0</xdr:colOff>
          <xdr:row>458</xdr:row>
          <xdr:rowOff>0</xdr:rowOff>
        </xdr:from>
        <xdr:to>
          <xdr:col>22</xdr:col>
          <xdr:colOff>177800</xdr:colOff>
          <xdr:row>458</xdr:row>
          <xdr:rowOff>177800</xdr:rowOff>
        </xdr:to>
        <xdr:sp macro="" textlink="">
          <xdr:nvSpPr>
            <xdr:cNvPr id="5201" name="Check Box 81" hidden="1">
              <a:extLst>
                <a:ext uri="{63B3BB69-23CF-44E3-9099-C40C66FF867C}">
                  <a14:compatExt spid="_x0000_s5201"/>
                </a:ext>
                <a:ext uri="{FF2B5EF4-FFF2-40B4-BE49-F238E27FC236}">
                  <a16:creationId xmlns:a16="http://schemas.microsoft.com/office/drawing/2014/main" id="{00000000-0008-0000-0500-00005114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22</xdr:col>
          <xdr:colOff>0</xdr:colOff>
          <xdr:row>460</xdr:row>
          <xdr:rowOff>0</xdr:rowOff>
        </xdr:from>
        <xdr:to>
          <xdr:col>22</xdr:col>
          <xdr:colOff>177800</xdr:colOff>
          <xdr:row>460</xdr:row>
          <xdr:rowOff>177800</xdr:rowOff>
        </xdr:to>
        <xdr:sp macro="" textlink="">
          <xdr:nvSpPr>
            <xdr:cNvPr id="5202" name="Check Box 82" hidden="1">
              <a:extLst>
                <a:ext uri="{63B3BB69-23CF-44E3-9099-C40C66FF867C}">
                  <a14:compatExt spid="_x0000_s5202"/>
                </a:ext>
                <a:ext uri="{FF2B5EF4-FFF2-40B4-BE49-F238E27FC236}">
                  <a16:creationId xmlns:a16="http://schemas.microsoft.com/office/drawing/2014/main" id="{00000000-0008-0000-0500-00005214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22</xdr:col>
          <xdr:colOff>0</xdr:colOff>
          <xdr:row>462</xdr:row>
          <xdr:rowOff>0</xdr:rowOff>
        </xdr:from>
        <xdr:to>
          <xdr:col>22</xdr:col>
          <xdr:colOff>177800</xdr:colOff>
          <xdr:row>462</xdr:row>
          <xdr:rowOff>177800</xdr:rowOff>
        </xdr:to>
        <xdr:sp macro="" textlink="">
          <xdr:nvSpPr>
            <xdr:cNvPr id="5203" name="Check Box 83" hidden="1">
              <a:extLst>
                <a:ext uri="{63B3BB69-23CF-44E3-9099-C40C66FF867C}">
                  <a14:compatExt spid="_x0000_s5203"/>
                </a:ext>
                <a:ext uri="{FF2B5EF4-FFF2-40B4-BE49-F238E27FC236}">
                  <a16:creationId xmlns:a16="http://schemas.microsoft.com/office/drawing/2014/main" id="{00000000-0008-0000-0500-00005314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22</xdr:col>
          <xdr:colOff>0</xdr:colOff>
          <xdr:row>464</xdr:row>
          <xdr:rowOff>0</xdr:rowOff>
        </xdr:from>
        <xdr:to>
          <xdr:col>22</xdr:col>
          <xdr:colOff>177800</xdr:colOff>
          <xdr:row>464</xdr:row>
          <xdr:rowOff>177800</xdr:rowOff>
        </xdr:to>
        <xdr:sp macro="" textlink="">
          <xdr:nvSpPr>
            <xdr:cNvPr id="5204" name="Check Box 84" hidden="1">
              <a:extLst>
                <a:ext uri="{63B3BB69-23CF-44E3-9099-C40C66FF867C}">
                  <a14:compatExt spid="_x0000_s5204"/>
                </a:ext>
                <a:ext uri="{FF2B5EF4-FFF2-40B4-BE49-F238E27FC236}">
                  <a16:creationId xmlns:a16="http://schemas.microsoft.com/office/drawing/2014/main" id="{00000000-0008-0000-0500-00005414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22</xdr:col>
          <xdr:colOff>0</xdr:colOff>
          <xdr:row>469</xdr:row>
          <xdr:rowOff>0</xdr:rowOff>
        </xdr:from>
        <xdr:to>
          <xdr:col>22</xdr:col>
          <xdr:colOff>177800</xdr:colOff>
          <xdr:row>469</xdr:row>
          <xdr:rowOff>177800</xdr:rowOff>
        </xdr:to>
        <xdr:sp macro="" textlink="">
          <xdr:nvSpPr>
            <xdr:cNvPr id="5205" name="Check Box 85" hidden="1">
              <a:extLst>
                <a:ext uri="{63B3BB69-23CF-44E3-9099-C40C66FF867C}">
                  <a14:compatExt spid="_x0000_s5205"/>
                </a:ext>
                <a:ext uri="{FF2B5EF4-FFF2-40B4-BE49-F238E27FC236}">
                  <a16:creationId xmlns:a16="http://schemas.microsoft.com/office/drawing/2014/main" id="{00000000-0008-0000-0500-00005514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22</xdr:col>
          <xdr:colOff>0</xdr:colOff>
          <xdr:row>471</xdr:row>
          <xdr:rowOff>0</xdr:rowOff>
        </xdr:from>
        <xdr:to>
          <xdr:col>22</xdr:col>
          <xdr:colOff>177800</xdr:colOff>
          <xdr:row>471</xdr:row>
          <xdr:rowOff>177800</xdr:rowOff>
        </xdr:to>
        <xdr:sp macro="" textlink="">
          <xdr:nvSpPr>
            <xdr:cNvPr id="5206" name="Check Box 86" hidden="1">
              <a:extLst>
                <a:ext uri="{63B3BB69-23CF-44E3-9099-C40C66FF867C}">
                  <a14:compatExt spid="_x0000_s5206"/>
                </a:ext>
                <a:ext uri="{FF2B5EF4-FFF2-40B4-BE49-F238E27FC236}">
                  <a16:creationId xmlns:a16="http://schemas.microsoft.com/office/drawing/2014/main" id="{00000000-0008-0000-0500-00005614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22</xdr:col>
          <xdr:colOff>0</xdr:colOff>
          <xdr:row>473</xdr:row>
          <xdr:rowOff>0</xdr:rowOff>
        </xdr:from>
        <xdr:to>
          <xdr:col>22</xdr:col>
          <xdr:colOff>177800</xdr:colOff>
          <xdr:row>473</xdr:row>
          <xdr:rowOff>177800</xdr:rowOff>
        </xdr:to>
        <xdr:sp macro="" textlink="">
          <xdr:nvSpPr>
            <xdr:cNvPr id="5207" name="Check Box 87" hidden="1">
              <a:extLst>
                <a:ext uri="{63B3BB69-23CF-44E3-9099-C40C66FF867C}">
                  <a14:compatExt spid="_x0000_s5207"/>
                </a:ext>
                <a:ext uri="{FF2B5EF4-FFF2-40B4-BE49-F238E27FC236}">
                  <a16:creationId xmlns:a16="http://schemas.microsoft.com/office/drawing/2014/main" id="{00000000-0008-0000-0500-00005714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22</xdr:col>
          <xdr:colOff>0</xdr:colOff>
          <xdr:row>475</xdr:row>
          <xdr:rowOff>0</xdr:rowOff>
        </xdr:from>
        <xdr:to>
          <xdr:col>22</xdr:col>
          <xdr:colOff>177800</xdr:colOff>
          <xdr:row>475</xdr:row>
          <xdr:rowOff>177800</xdr:rowOff>
        </xdr:to>
        <xdr:sp macro="" textlink="">
          <xdr:nvSpPr>
            <xdr:cNvPr id="5208" name="Check Box 88" hidden="1">
              <a:extLst>
                <a:ext uri="{63B3BB69-23CF-44E3-9099-C40C66FF867C}">
                  <a14:compatExt spid="_x0000_s5208"/>
                </a:ext>
                <a:ext uri="{FF2B5EF4-FFF2-40B4-BE49-F238E27FC236}">
                  <a16:creationId xmlns:a16="http://schemas.microsoft.com/office/drawing/2014/main" id="{00000000-0008-0000-0500-00005814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22</xdr:col>
          <xdr:colOff>0</xdr:colOff>
          <xdr:row>508</xdr:row>
          <xdr:rowOff>0</xdr:rowOff>
        </xdr:from>
        <xdr:to>
          <xdr:col>22</xdr:col>
          <xdr:colOff>177800</xdr:colOff>
          <xdr:row>508</xdr:row>
          <xdr:rowOff>177800</xdr:rowOff>
        </xdr:to>
        <xdr:sp macro="" textlink="">
          <xdr:nvSpPr>
            <xdr:cNvPr id="5210" name="Check Box 90" hidden="1">
              <a:extLst>
                <a:ext uri="{63B3BB69-23CF-44E3-9099-C40C66FF867C}">
                  <a14:compatExt spid="_x0000_s5210"/>
                </a:ext>
                <a:ext uri="{FF2B5EF4-FFF2-40B4-BE49-F238E27FC236}">
                  <a16:creationId xmlns:a16="http://schemas.microsoft.com/office/drawing/2014/main" id="{00000000-0008-0000-0500-00005A14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22</xdr:col>
          <xdr:colOff>0</xdr:colOff>
          <xdr:row>526</xdr:row>
          <xdr:rowOff>0</xdr:rowOff>
        </xdr:from>
        <xdr:to>
          <xdr:col>22</xdr:col>
          <xdr:colOff>177800</xdr:colOff>
          <xdr:row>526</xdr:row>
          <xdr:rowOff>177800</xdr:rowOff>
        </xdr:to>
        <xdr:sp macro="" textlink="">
          <xdr:nvSpPr>
            <xdr:cNvPr id="5211" name="Check Box 91" hidden="1">
              <a:extLst>
                <a:ext uri="{63B3BB69-23CF-44E3-9099-C40C66FF867C}">
                  <a14:compatExt spid="_x0000_s5211"/>
                </a:ext>
                <a:ext uri="{FF2B5EF4-FFF2-40B4-BE49-F238E27FC236}">
                  <a16:creationId xmlns:a16="http://schemas.microsoft.com/office/drawing/2014/main" id="{00000000-0008-0000-0500-00005B14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22</xdr:col>
          <xdr:colOff>0</xdr:colOff>
          <xdr:row>529</xdr:row>
          <xdr:rowOff>0</xdr:rowOff>
        </xdr:from>
        <xdr:to>
          <xdr:col>22</xdr:col>
          <xdr:colOff>177800</xdr:colOff>
          <xdr:row>529</xdr:row>
          <xdr:rowOff>177800</xdr:rowOff>
        </xdr:to>
        <xdr:sp macro="" textlink="">
          <xdr:nvSpPr>
            <xdr:cNvPr id="5212" name="Check Box 92" hidden="1">
              <a:extLst>
                <a:ext uri="{63B3BB69-23CF-44E3-9099-C40C66FF867C}">
                  <a14:compatExt spid="_x0000_s5212"/>
                </a:ext>
                <a:ext uri="{FF2B5EF4-FFF2-40B4-BE49-F238E27FC236}">
                  <a16:creationId xmlns:a16="http://schemas.microsoft.com/office/drawing/2014/main" id="{00000000-0008-0000-0500-00005C14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22</xdr:col>
          <xdr:colOff>0</xdr:colOff>
          <xdr:row>534</xdr:row>
          <xdr:rowOff>0</xdr:rowOff>
        </xdr:from>
        <xdr:to>
          <xdr:col>22</xdr:col>
          <xdr:colOff>177800</xdr:colOff>
          <xdr:row>534</xdr:row>
          <xdr:rowOff>177800</xdr:rowOff>
        </xdr:to>
        <xdr:sp macro="" textlink="">
          <xdr:nvSpPr>
            <xdr:cNvPr id="5213" name="Check Box 93" hidden="1">
              <a:extLst>
                <a:ext uri="{63B3BB69-23CF-44E3-9099-C40C66FF867C}">
                  <a14:compatExt spid="_x0000_s5213"/>
                </a:ext>
                <a:ext uri="{FF2B5EF4-FFF2-40B4-BE49-F238E27FC236}">
                  <a16:creationId xmlns:a16="http://schemas.microsoft.com/office/drawing/2014/main" id="{00000000-0008-0000-0500-00005D14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22</xdr:col>
          <xdr:colOff>0</xdr:colOff>
          <xdr:row>535</xdr:row>
          <xdr:rowOff>0</xdr:rowOff>
        </xdr:from>
        <xdr:to>
          <xdr:col>22</xdr:col>
          <xdr:colOff>177800</xdr:colOff>
          <xdr:row>535</xdr:row>
          <xdr:rowOff>177800</xdr:rowOff>
        </xdr:to>
        <xdr:sp macro="" textlink="">
          <xdr:nvSpPr>
            <xdr:cNvPr id="5214" name="Check Box 94" hidden="1">
              <a:extLst>
                <a:ext uri="{63B3BB69-23CF-44E3-9099-C40C66FF867C}">
                  <a14:compatExt spid="_x0000_s5214"/>
                </a:ext>
                <a:ext uri="{FF2B5EF4-FFF2-40B4-BE49-F238E27FC236}">
                  <a16:creationId xmlns:a16="http://schemas.microsoft.com/office/drawing/2014/main" id="{00000000-0008-0000-0500-00005E14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22</xdr:col>
          <xdr:colOff>0</xdr:colOff>
          <xdr:row>545</xdr:row>
          <xdr:rowOff>0</xdr:rowOff>
        </xdr:from>
        <xdr:to>
          <xdr:col>22</xdr:col>
          <xdr:colOff>177800</xdr:colOff>
          <xdr:row>545</xdr:row>
          <xdr:rowOff>177800</xdr:rowOff>
        </xdr:to>
        <xdr:sp macro="" textlink="">
          <xdr:nvSpPr>
            <xdr:cNvPr id="5215" name="Check Box 95" hidden="1">
              <a:extLst>
                <a:ext uri="{63B3BB69-23CF-44E3-9099-C40C66FF867C}">
                  <a14:compatExt spid="_x0000_s5215"/>
                </a:ext>
                <a:ext uri="{FF2B5EF4-FFF2-40B4-BE49-F238E27FC236}">
                  <a16:creationId xmlns:a16="http://schemas.microsoft.com/office/drawing/2014/main" id="{00000000-0008-0000-0500-00005F14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22</xdr:col>
          <xdr:colOff>0</xdr:colOff>
          <xdr:row>578</xdr:row>
          <xdr:rowOff>0</xdr:rowOff>
        </xdr:from>
        <xdr:to>
          <xdr:col>22</xdr:col>
          <xdr:colOff>177800</xdr:colOff>
          <xdr:row>578</xdr:row>
          <xdr:rowOff>177800</xdr:rowOff>
        </xdr:to>
        <xdr:sp macro="" textlink="">
          <xdr:nvSpPr>
            <xdr:cNvPr id="5216" name="Check Box 96" hidden="1">
              <a:extLst>
                <a:ext uri="{63B3BB69-23CF-44E3-9099-C40C66FF867C}">
                  <a14:compatExt spid="_x0000_s5216"/>
                </a:ext>
                <a:ext uri="{FF2B5EF4-FFF2-40B4-BE49-F238E27FC236}">
                  <a16:creationId xmlns:a16="http://schemas.microsoft.com/office/drawing/2014/main" id="{00000000-0008-0000-0500-00006014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22</xdr:col>
          <xdr:colOff>0</xdr:colOff>
          <xdr:row>595</xdr:row>
          <xdr:rowOff>0</xdr:rowOff>
        </xdr:from>
        <xdr:to>
          <xdr:col>22</xdr:col>
          <xdr:colOff>177800</xdr:colOff>
          <xdr:row>595</xdr:row>
          <xdr:rowOff>177800</xdr:rowOff>
        </xdr:to>
        <xdr:sp macro="" textlink="">
          <xdr:nvSpPr>
            <xdr:cNvPr id="5218" name="Check Box 98" hidden="1">
              <a:extLst>
                <a:ext uri="{63B3BB69-23CF-44E3-9099-C40C66FF867C}">
                  <a14:compatExt spid="_x0000_s5218"/>
                </a:ext>
                <a:ext uri="{FF2B5EF4-FFF2-40B4-BE49-F238E27FC236}">
                  <a16:creationId xmlns:a16="http://schemas.microsoft.com/office/drawing/2014/main" id="{00000000-0008-0000-0500-00006214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22</xdr:col>
          <xdr:colOff>0</xdr:colOff>
          <xdr:row>597</xdr:row>
          <xdr:rowOff>0</xdr:rowOff>
        </xdr:from>
        <xdr:to>
          <xdr:col>22</xdr:col>
          <xdr:colOff>177800</xdr:colOff>
          <xdr:row>597</xdr:row>
          <xdr:rowOff>177800</xdr:rowOff>
        </xdr:to>
        <xdr:sp macro="" textlink="">
          <xdr:nvSpPr>
            <xdr:cNvPr id="5219" name="Check Box 99" hidden="1">
              <a:extLst>
                <a:ext uri="{63B3BB69-23CF-44E3-9099-C40C66FF867C}">
                  <a14:compatExt spid="_x0000_s5219"/>
                </a:ext>
                <a:ext uri="{FF2B5EF4-FFF2-40B4-BE49-F238E27FC236}">
                  <a16:creationId xmlns:a16="http://schemas.microsoft.com/office/drawing/2014/main" id="{00000000-0008-0000-0500-00006314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22</xdr:col>
          <xdr:colOff>0</xdr:colOff>
          <xdr:row>607</xdr:row>
          <xdr:rowOff>0</xdr:rowOff>
        </xdr:from>
        <xdr:to>
          <xdr:col>22</xdr:col>
          <xdr:colOff>177800</xdr:colOff>
          <xdr:row>607</xdr:row>
          <xdr:rowOff>177800</xdr:rowOff>
        </xdr:to>
        <xdr:sp macro="" textlink="">
          <xdr:nvSpPr>
            <xdr:cNvPr id="5220" name="Check Box 100" hidden="1">
              <a:extLst>
                <a:ext uri="{63B3BB69-23CF-44E3-9099-C40C66FF867C}">
                  <a14:compatExt spid="_x0000_s5220"/>
                </a:ext>
                <a:ext uri="{FF2B5EF4-FFF2-40B4-BE49-F238E27FC236}">
                  <a16:creationId xmlns:a16="http://schemas.microsoft.com/office/drawing/2014/main" id="{00000000-0008-0000-0500-00006414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22</xdr:col>
          <xdr:colOff>0</xdr:colOff>
          <xdr:row>609</xdr:row>
          <xdr:rowOff>0</xdr:rowOff>
        </xdr:from>
        <xdr:to>
          <xdr:col>22</xdr:col>
          <xdr:colOff>177800</xdr:colOff>
          <xdr:row>609</xdr:row>
          <xdr:rowOff>177800</xdr:rowOff>
        </xdr:to>
        <xdr:sp macro="" textlink="">
          <xdr:nvSpPr>
            <xdr:cNvPr id="5221" name="Check Box 101" hidden="1">
              <a:extLst>
                <a:ext uri="{63B3BB69-23CF-44E3-9099-C40C66FF867C}">
                  <a14:compatExt spid="_x0000_s5221"/>
                </a:ext>
                <a:ext uri="{FF2B5EF4-FFF2-40B4-BE49-F238E27FC236}">
                  <a16:creationId xmlns:a16="http://schemas.microsoft.com/office/drawing/2014/main" id="{00000000-0008-0000-0500-00006514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22</xdr:col>
          <xdr:colOff>0</xdr:colOff>
          <xdr:row>611</xdr:row>
          <xdr:rowOff>0</xdr:rowOff>
        </xdr:from>
        <xdr:to>
          <xdr:col>22</xdr:col>
          <xdr:colOff>177800</xdr:colOff>
          <xdr:row>611</xdr:row>
          <xdr:rowOff>177800</xdr:rowOff>
        </xdr:to>
        <xdr:sp macro="" textlink="">
          <xdr:nvSpPr>
            <xdr:cNvPr id="5222" name="Check Box 102" hidden="1">
              <a:extLst>
                <a:ext uri="{63B3BB69-23CF-44E3-9099-C40C66FF867C}">
                  <a14:compatExt spid="_x0000_s5222"/>
                </a:ext>
                <a:ext uri="{FF2B5EF4-FFF2-40B4-BE49-F238E27FC236}">
                  <a16:creationId xmlns:a16="http://schemas.microsoft.com/office/drawing/2014/main" id="{00000000-0008-0000-0500-00006614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22</xdr:col>
          <xdr:colOff>0</xdr:colOff>
          <xdr:row>618</xdr:row>
          <xdr:rowOff>0</xdr:rowOff>
        </xdr:from>
        <xdr:to>
          <xdr:col>22</xdr:col>
          <xdr:colOff>177800</xdr:colOff>
          <xdr:row>618</xdr:row>
          <xdr:rowOff>177800</xdr:rowOff>
        </xdr:to>
        <xdr:sp macro="" textlink="">
          <xdr:nvSpPr>
            <xdr:cNvPr id="5223" name="Check Box 103" hidden="1">
              <a:extLst>
                <a:ext uri="{63B3BB69-23CF-44E3-9099-C40C66FF867C}">
                  <a14:compatExt spid="_x0000_s5223"/>
                </a:ext>
                <a:ext uri="{FF2B5EF4-FFF2-40B4-BE49-F238E27FC236}">
                  <a16:creationId xmlns:a16="http://schemas.microsoft.com/office/drawing/2014/main" id="{00000000-0008-0000-0500-00006714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22</xdr:col>
          <xdr:colOff>0</xdr:colOff>
          <xdr:row>619</xdr:row>
          <xdr:rowOff>0</xdr:rowOff>
        </xdr:from>
        <xdr:to>
          <xdr:col>22</xdr:col>
          <xdr:colOff>177800</xdr:colOff>
          <xdr:row>619</xdr:row>
          <xdr:rowOff>177800</xdr:rowOff>
        </xdr:to>
        <xdr:sp macro="" textlink="">
          <xdr:nvSpPr>
            <xdr:cNvPr id="5224" name="Check Box 104" hidden="1">
              <a:extLst>
                <a:ext uri="{63B3BB69-23CF-44E3-9099-C40C66FF867C}">
                  <a14:compatExt spid="_x0000_s5224"/>
                </a:ext>
                <a:ext uri="{FF2B5EF4-FFF2-40B4-BE49-F238E27FC236}">
                  <a16:creationId xmlns:a16="http://schemas.microsoft.com/office/drawing/2014/main" id="{00000000-0008-0000-0500-00006814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22</xdr:col>
          <xdr:colOff>0</xdr:colOff>
          <xdr:row>620</xdr:row>
          <xdr:rowOff>0</xdr:rowOff>
        </xdr:from>
        <xdr:to>
          <xdr:col>22</xdr:col>
          <xdr:colOff>177800</xdr:colOff>
          <xdr:row>620</xdr:row>
          <xdr:rowOff>177800</xdr:rowOff>
        </xdr:to>
        <xdr:sp macro="" textlink="">
          <xdr:nvSpPr>
            <xdr:cNvPr id="5225" name="Check Box 105" hidden="1">
              <a:extLst>
                <a:ext uri="{63B3BB69-23CF-44E3-9099-C40C66FF867C}">
                  <a14:compatExt spid="_x0000_s5225"/>
                </a:ext>
                <a:ext uri="{FF2B5EF4-FFF2-40B4-BE49-F238E27FC236}">
                  <a16:creationId xmlns:a16="http://schemas.microsoft.com/office/drawing/2014/main" id="{00000000-0008-0000-0500-00006914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22</xdr:col>
          <xdr:colOff>0</xdr:colOff>
          <xdr:row>621</xdr:row>
          <xdr:rowOff>0</xdr:rowOff>
        </xdr:from>
        <xdr:to>
          <xdr:col>22</xdr:col>
          <xdr:colOff>177800</xdr:colOff>
          <xdr:row>621</xdr:row>
          <xdr:rowOff>177800</xdr:rowOff>
        </xdr:to>
        <xdr:sp macro="" textlink="">
          <xdr:nvSpPr>
            <xdr:cNvPr id="5226" name="Check Box 106" hidden="1">
              <a:extLst>
                <a:ext uri="{63B3BB69-23CF-44E3-9099-C40C66FF867C}">
                  <a14:compatExt spid="_x0000_s5226"/>
                </a:ext>
                <a:ext uri="{FF2B5EF4-FFF2-40B4-BE49-F238E27FC236}">
                  <a16:creationId xmlns:a16="http://schemas.microsoft.com/office/drawing/2014/main" id="{00000000-0008-0000-0500-00006A14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22</xdr:col>
          <xdr:colOff>0</xdr:colOff>
          <xdr:row>623</xdr:row>
          <xdr:rowOff>0</xdr:rowOff>
        </xdr:from>
        <xdr:to>
          <xdr:col>22</xdr:col>
          <xdr:colOff>177800</xdr:colOff>
          <xdr:row>623</xdr:row>
          <xdr:rowOff>177800</xdr:rowOff>
        </xdr:to>
        <xdr:sp macro="" textlink="">
          <xdr:nvSpPr>
            <xdr:cNvPr id="5227" name="Check Box 107" hidden="1">
              <a:extLst>
                <a:ext uri="{63B3BB69-23CF-44E3-9099-C40C66FF867C}">
                  <a14:compatExt spid="_x0000_s5227"/>
                </a:ext>
                <a:ext uri="{FF2B5EF4-FFF2-40B4-BE49-F238E27FC236}">
                  <a16:creationId xmlns:a16="http://schemas.microsoft.com/office/drawing/2014/main" id="{00000000-0008-0000-0500-00006B14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22</xdr:col>
          <xdr:colOff>0</xdr:colOff>
          <xdr:row>626</xdr:row>
          <xdr:rowOff>0</xdr:rowOff>
        </xdr:from>
        <xdr:to>
          <xdr:col>22</xdr:col>
          <xdr:colOff>177800</xdr:colOff>
          <xdr:row>626</xdr:row>
          <xdr:rowOff>177800</xdr:rowOff>
        </xdr:to>
        <xdr:sp macro="" textlink="">
          <xdr:nvSpPr>
            <xdr:cNvPr id="5228" name="Check Box 108" hidden="1">
              <a:extLst>
                <a:ext uri="{63B3BB69-23CF-44E3-9099-C40C66FF867C}">
                  <a14:compatExt spid="_x0000_s5228"/>
                </a:ext>
                <a:ext uri="{FF2B5EF4-FFF2-40B4-BE49-F238E27FC236}">
                  <a16:creationId xmlns:a16="http://schemas.microsoft.com/office/drawing/2014/main" id="{00000000-0008-0000-0500-00006C14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22</xdr:col>
          <xdr:colOff>0</xdr:colOff>
          <xdr:row>642</xdr:row>
          <xdr:rowOff>0</xdr:rowOff>
        </xdr:from>
        <xdr:to>
          <xdr:col>22</xdr:col>
          <xdr:colOff>177800</xdr:colOff>
          <xdr:row>642</xdr:row>
          <xdr:rowOff>177800</xdr:rowOff>
        </xdr:to>
        <xdr:sp macro="" textlink="">
          <xdr:nvSpPr>
            <xdr:cNvPr id="5229" name="Check Box 109" hidden="1">
              <a:extLst>
                <a:ext uri="{63B3BB69-23CF-44E3-9099-C40C66FF867C}">
                  <a14:compatExt spid="_x0000_s5229"/>
                </a:ext>
                <a:ext uri="{FF2B5EF4-FFF2-40B4-BE49-F238E27FC236}">
                  <a16:creationId xmlns:a16="http://schemas.microsoft.com/office/drawing/2014/main" id="{00000000-0008-0000-0500-00006D14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22</xdr:col>
          <xdr:colOff>0</xdr:colOff>
          <xdr:row>643</xdr:row>
          <xdr:rowOff>0</xdr:rowOff>
        </xdr:from>
        <xdr:to>
          <xdr:col>22</xdr:col>
          <xdr:colOff>177800</xdr:colOff>
          <xdr:row>643</xdr:row>
          <xdr:rowOff>177800</xdr:rowOff>
        </xdr:to>
        <xdr:sp macro="" textlink="">
          <xdr:nvSpPr>
            <xdr:cNvPr id="5230" name="Check Box 110" hidden="1">
              <a:extLst>
                <a:ext uri="{63B3BB69-23CF-44E3-9099-C40C66FF867C}">
                  <a14:compatExt spid="_x0000_s5230"/>
                </a:ext>
                <a:ext uri="{FF2B5EF4-FFF2-40B4-BE49-F238E27FC236}">
                  <a16:creationId xmlns:a16="http://schemas.microsoft.com/office/drawing/2014/main" id="{00000000-0008-0000-0500-00006E14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22</xdr:col>
          <xdr:colOff>0</xdr:colOff>
          <xdr:row>644</xdr:row>
          <xdr:rowOff>0</xdr:rowOff>
        </xdr:from>
        <xdr:to>
          <xdr:col>22</xdr:col>
          <xdr:colOff>177800</xdr:colOff>
          <xdr:row>644</xdr:row>
          <xdr:rowOff>177800</xdr:rowOff>
        </xdr:to>
        <xdr:sp macro="" textlink="">
          <xdr:nvSpPr>
            <xdr:cNvPr id="5231" name="Check Box 111" hidden="1">
              <a:extLst>
                <a:ext uri="{63B3BB69-23CF-44E3-9099-C40C66FF867C}">
                  <a14:compatExt spid="_x0000_s5231"/>
                </a:ext>
                <a:ext uri="{FF2B5EF4-FFF2-40B4-BE49-F238E27FC236}">
                  <a16:creationId xmlns:a16="http://schemas.microsoft.com/office/drawing/2014/main" id="{00000000-0008-0000-0500-00006F14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22</xdr:col>
          <xdr:colOff>0</xdr:colOff>
          <xdr:row>645</xdr:row>
          <xdr:rowOff>0</xdr:rowOff>
        </xdr:from>
        <xdr:to>
          <xdr:col>22</xdr:col>
          <xdr:colOff>177800</xdr:colOff>
          <xdr:row>645</xdr:row>
          <xdr:rowOff>177800</xdr:rowOff>
        </xdr:to>
        <xdr:sp macro="" textlink="">
          <xdr:nvSpPr>
            <xdr:cNvPr id="5232" name="Check Box 112" hidden="1">
              <a:extLst>
                <a:ext uri="{63B3BB69-23CF-44E3-9099-C40C66FF867C}">
                  <a14:compatExt spid="_x0000_s5232"/>
                </a:ext>
                <a:ext uri="{FF2B5EF4-FFF2-40B4-BE49-F238E27FC236}">
                  <a16:creationId xmlns:a16="http://schemas.microsoft.com/office/drawing/2014/main" id="{00000000-0008-0000-0500-00007014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22</xdr:col>
          <xdr:colOff>0</xdr:colOff>
          <xdr:row>646</xdr:row>
          <xdr:rowOff>0</xdr:rowOff>
        </xdr:from>
        <xdr:to>
          <xdr:col>22</xdr:col>
          <xdr:colOff>177800</xdr:colOff>
          <xdr:row>646</xdr:row>
          <xdr:rowOff>177800</xdr:rowOff>
        </xdr:to>
        <xdr:sp macro="" textlink="">
          <xdr:nvSpPr>
            <xdr:cNvPr id="5233" name="Check Box 113" hidden="1">
              <a:extLst>
                <a:ext uri="{63B3BB69-23CF-44E3-9099-C40C66FF867C}">
                  <a14:compatExt spid="_x0000_s5233"/>
                </a:ext>
                <a:ext uri="{FF2B5EF4-FFF2-40B4-BE49-F238E27FC236}">
                  <a16:creationId xmlns:a16="http://schemas.microsoft.com/office/drawing/2014/main" id="{00000000-0008-0000-0500-00007114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22</xdr:col>
          <xdr:colOff>0</xdr:colOff>
          <xdr:row>647</xdr:row>
          <xdr:rowOff>0</xdr:rowOff>
        </xdr:from>
        <xdr:to>
          <xdr:col>22</xdr:col>
          <xdr:colOff>177800</xdr:colOff>
          <xdr:row>647</xdr:row>
          <xdr:rowOff>177800</xdr:rowOff>
        </xdr:to>
        <xdr:sp macro="" textlink="">
          <xdr:nvSpPr>
            <xdr:cNvPr id="5234" name="Check Box 114" hidden="1">
              <a:extLst>
                <a:ext uri="{63B3BB69-23CF-44E3-9099-C40C66FF867C}">
                  <a14:compatExt spid="_x0000_s5234"/>
                </a:ext>
                <a:ext uri="{FF2B5EF4-FFF2-40B4-BE49-F238E27FC236}">
                  <a16:creationId xmlns:a16="http://schemas.microsoft.com/office/drawing/2014/main" id="{00000000-0008-0000-0500-00007214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22</xdr:col>
          <xdr:colOff>0</xdr:colOff>
          <xdr:row>648</xdr:row>
          <xdr:rowOff>0</xdr:rowOff>
        </xdr:from>
        <xdr:to>
          <xdr:col>22</xdr:col>
          <xdr:colOff>177800</xdr:colOff>
          <xdr:row>648</xdr:row>
          <xdr:rowOff>177800</xdr:rowOff>
        </xdr:to>
        <xdr:sp macro="" textlink="">
          <xdr:nvSpPr>
            <xdr:cNvPr id="5235" name="Check Box 115" hidden="1">
              <a:extLst>
                <a:ext uri="{63B3BB69-23CF-44E3-9099-C40C66FF867C}">
                  <a14:compatExt spid="_x0000_s5235"/>
                </a:ext>
                <a:ext uri="{FF2B5EF4-FFF2-40B4-BE49-F238E27FC236}">
                  <a16:creationId xmlns:a16="http://schemas.microsoft.com/office/drawing/2014/main" id="{00000000-0008-0000-0500-00007314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22</xdr:col>
          <xdr:colOff>0</xdr:colOff>
          <xdr:row>649</xdr:row>
          <xdr:rowOff>0</xdr:rowOff>
        </xdr:from>
        <xdr:to>
          <xdr:col>22</xdr:col>
          <xdr:colOff>177800</xdr:colOff>
          <xdr:row>649</xdr:row>
          <xdr:rowOff>177800</xdr:rowOff>
        </xdr:to>
        <xdr:sp macro="" textlink="">
          <xdr:nvSpPr>
            <xdr:cNvPr id="5236" name="Check Box 116" hidden="1">
              <a:extLst>
                <a:ext uri="{63B3BB69-23CF-44E3-9099-C40C66FF867C}">
                  <a14:compatExt spid="_x0000_s5236"/>
                </a:ext>
                <a:ext uri="{FF2B5EF4-FFF2-40B4-BE49-F238E27FC236}">
                  <a16:creationId xmlns:a16="http://schemas.microsoft.com/office/drawing/2014/main" id="{00000000-0008-0000-0500-00007414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22</xdr:col>
          <xdr:colOff>0</xdr:colOff>
          <xdr:row>656</xdr:row>
          <xdr:rowOff>0</xdr:rowOff>
        </xdr:from>
        <xdr:to>
          <xdr:col>22</xdr:col>
          <xdr:colOff>177800</xdr:colOff>
          <xdr:row>656</xdr:row>
          <xdr:rowOff>177800</xdr:rowOff>
        </xdr:to>
        <xdr:sp macro="" textlink="">
          <xdr:nvSpPr>
            <xdr:cNvPr id="5237" name="Check Box 117" hidden="1">
              <a:extLst>
                <a:ext uri="{63B3BB69-23CF-44E3-9099-C40C66FF867C}">
                  <a14:compatExt spid="_x0000_s5237"/>
                </a:ext>
                <a:ext uri="{FF2B5EF4-FFF2-40B4-BE49-F238E27FC236}">
                  <a16:creationId xmlns:a16="http://schemas.microsoft.com/office/drawing/2014/main" id="{00000000-0008-0000-0500-00007514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22</xdr:col>
          <xdr:colOff>0</xdr:colOff>
          <xdr:row>658</xdr:row>
          <xdr:rowOff>0</xdr:rowOff>
        </xdr:from>
        <xdr:to>
          <xdr:col>22</xdr:col>
          <xdr:colOff>177800</xdr:colOff>
          <xdr:row>658</xdr:row>
          <xdr:rowOff>177800</xdr:rowOff>
        </xdr:to>
        <xdr:sp macro="" textlink="">
          <xdr:nvSpPr>
            <xdr:cNvPr id="5238" name="Check Box 118" hidden="1">
              <a:extLst>
                <a:ext uri="{63B3BB69-23CF-44E3-9099-C40C66FF867C}">
                  <a14:compatExt spid="_x0000_s5238"/>
                </a:ext>
                <a:ext uri="{FF2B5EF4-FFF2-40B4-BE49-F238E27FC236}">
                  <a16:creationId xmlns:a16="http://schemas.microsoft.com/office/drawing/2014/main" id="{00000000-0008-0000-0500-00007614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22</xdr:col>
          <xdr:colOff>0</xdr:colOff>
          <xdr:row>660</xdr:row>
          <xdr:rowOff>0</xdr:rowOff>
        </xdr:from>
        <xdr:to>
          <xdr:col>22</xdr:col>
          <xdr:colOff>177800</xdr:colOff>
          <xdr:row>660</xdr:row>
          <xdr:rowOff>177800</xdr:rowOff>
        </xdr:to>
        <xdr:sp macro="" textlink="">
          <xdr:nvSpPr>
            <xdr:cNvPr id="5239" name="Check Box 119" hidden="1">
              <a:extLst>
                <a:ext uri="{63B3BB69-23CF-44E3-9099-C40C66FF867C}">
                  <a14:compatExt spid="_x0000_s5239"/>
                </a:ext>
                <a:ext uri="{FF2B5EF4-FFF2-40B4-BE49-F238E27FC236}">
                  <a16:creationId xmlns:a16="http://schemas.microsoft.com/office/drawing/2014/main" id="{00000000-0008-0000-0500-00007714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22</xdr:col>
          <xdr:colOff>0</xdr:colOff>
          <xdr:row>677</xdr:row>
          <xdr:rowOff>0</xdr:rowOff>
        </xdr:from>
        <xdr:to>
          <xdr:col>22</xdr:col>
          <xdr:colOff>177800</xdr:colOff>
          <xdr:row>677</xdr:row>
          <xdr:rowOff>177800</xdr:rowOff>
        </xdr:to>
        <xdr:sp macro="" textlink="">
          <xdr:nvSpPr>
            <xdr:cNvPr id="5240" name="Check Box 120" hidden="1">
              <a:extLst>
                <a:ext uri="{63B3BB69-23CF-44E3-9099-C40C66FF867C}">
                  <a14:compatExt spid="_x0000_s5240"/>
                </a:ext>
                <a:ext uri="{FF2B5EF4-FFF2-40B4-BE49-F238E27FC236}">
                  <a16:creationId xmlns:a16="http://schemas.microsoft.com/office/drawing/2014/main" id="{00000000-0008-0000-0500-00007814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22</xdr:col>
          <xdr:colOff>0</xdr:colOff>
          <xdr:row>683</xdr:row>
          <xdr:rowOff>0</xdr:rowOff>
        </xdr:from>
        <xdr:to>
          <xdr:col>22</xdr:col>
          <xdr:colOff>177800</xdr:colOff>
          <xdr:row>683</xdr:row>
          <xdr:rowOff>177800</xdr:rowOff>
        </xdr:to>
        <xdr:sp macro="" textlink="">
          <xdr:nvSpPr>
            <xdr:cNvPr id="5241" name="Check Box 121" hidden="1">
              <a:extLst>
                <a:ext uri="{63B3BB69-23CF-44E3-9099-C40C66FF867C}">
                  <a14:compatExt spid="_x0000_s5241"/>
                </a:ext>
                <a:ext uri="{FF2B5EF4-FFF2-40B4-BE49-F238E27FC236}">
                  <a16:creationId xmlns:a16="http://schemas.microsoft.com/office/drawing/2014/main" id="{00000000-0008-0000-0500-00007914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22</xdr:col>
          <xdr:colOff>0</xdr:colOff>
          <xdr:row>684</xdr:row>
          <xdr:rowOff>0</xdr:rowOff>
        </xdr:from>
        <xdr:to>
          <xdr:col>22</xdr:col>
          <xdr:colOff>177800</xdr:colOff>
          <xdr:row>684</xdr:row>
          <xdr:rowOff>177800</xdr:rowOff>
        </xdr:to>
        <xdr:sp macro="" textlink="">
          <xdr:nvSpPr>
            <xdr:cNvPr id="5242" name="Check Box 122" hidden="1">
              <a:extLst>
                <a:ext uri="{63B3BB69-23CF-44E3-9099-C40C66FF867C}">
                  <a14:compatExt spid="_x0000_s5242"/>
                </a:ext>
                <a:ext uri="{FF2B5EF4-FFF2-40B4-BE49-F238E27FC236}">
                  <a16:creationId xmlns:a16="http://schemas.microsoft.com/office/drawing/2014/main" id="{00000000-0008-0000-0500-00007A14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22</xdr:col>
          <xdr:colOff>0</xdr:colOff>
          <xdr:row>685</xdr:row>
          <xdr:rowOff>0</xdr:rowOff>
        </xdr:from>
        <xdr:to>
          <xdr:col>22</xdr:col>
          <xdr:colOff>177800</xdr:colOff>
          <xdr:row>685</xdr:row>
          <xdr:rowOff>177800</xdr:rowOff>
        </xdr:to>
        <xdr:sp macro="" textlink="">
          <xdr:nvSpPr>
            <xdr:cNvPr id="5243" name="Check Box 123" hidden="1">
              <a:extLst>
                <a:ext uri="{63B3BB69-23CF-44E3-9099-C40C66FF867C}">
                  <a14:compatExt spid="_x0000_s5243"/>
                </a:ext>
                <a:ext uri="{FF2B5EF4-FFF2-40B4-BE49-F238E27FC236}">
                  <a16:creationId xmlns:a16="http://schemas.microsoft.com/office/drawing/2014/main" id="{00000000-0008-0000-0500-00007B14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22</xdr:col>
          <xdr:colOff>0</xdr:colOff>
          <xdr:row>693</xdr:row>
          <xdr:rowOff>0</xdr:rowOff>
        </xdr:from>
        <xdr:to>
          <xdr:col>22</xdr:col>
          <xdr:colOff>177800</xdr:colOff>
          <xdr:row>693</xdr:row>
          <xdr:rowOff>177800</xdr:rowOff>
        </xdr:to>
        <xdr:sp macro="" textlink="">
          <xdr:nvSpPr>
            <xdr:cNvPr id="5244" name="Check Box 124" hidden="1">
              <a:extLst>
                <a:ext uri="{63B3BB69-23CF-44E3-9099-C40C66FF867C}">
                  <a14:compatExt spid="_x0000_s5244"/>
                </a:ext>
                <a:ext uri="{FF2B5EF4-FFF2-40B4-BE49-F238E27FC236}">
                  <a16:creationId xmlns:a16="http://schemas.microsoft.com/office/drawing/2014/main" id="{00000000-0008-0000-0500-00007C14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22</xdr:col>
          <xdr:colOff>0</xdr:colOff>
          <xdr:row>540</xdr:row>
          <xdr:rowOff>0</xdr:rowOff>
        </xdr:from>
        <xdr:to>
          <xdr:col>22</xdr:col>
          <xdr:colOff>177800</xdr:colOff>
          <xdr:row>540</xdr:row>
          <xdr:rowOff>177800</xdr:rowOff>
        </xdr:to>
        <xdr:sp macro="" textlink="">
          <xdr:nvSpPr>
            <xdr:cNvPr id="5252" name="Check Box 132" hidden="1">
              <a:extLst>
                <a:ext uri="{63B3BB69-23CF-44E3-9099-C40C66FF867C}">
                  <a14:compatExt spid="_x0000_s5252"/>
                </a:ext>
                <a:ext uri="{FF2B5EF4-FFF2-40B4-BE49-F238E27FC236}">
                  <a16:creationId xmlns:a16="http://schemas.microsoft.com/office/drawing/2014/main" id="{00000000-0008-0000-0500-00008414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22</xdr:col>
          <xdr:colOff>0</xdr:colOff>
          <xdr:row>543</xdr:row>
          <xdr:rowOff>0</xdr:rowOff>
        </xdr:from>
        <xdr:to>
          <xdr:col>22</xdr:col>
          <xdr:colOff>177800</xdr:colOff>
          <xdr:row>543</xdr:row>
          <xdr:rowOff>177800</xdr:rowOff>
        </xdr:to>
        <xdr:sp macro="" textlink="">
          <xdr:nvSpPr>
            <xdr:cNvPr id="5253" name="Check Box 133" hidden="1">
              <a:extLst>
                <a:ext uri="{63B3BB69-23CF-44E3-9099-C40C66FF867C}">
                  <a14:compatExt spid="_x0000_s5253"/>
                </a:ext>
                <a:ext uri="{FF2B5EF4-FFF2-40B4-BE49-F238E27FC236}">
                  <a16:creationId xmlns:a16="http://schemas.microsoft.com/office/drawing/2014/main" id="{00000000-0008-0000-0500-00008514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22</xdr:col>
          <xdr:colOff>0</xdr:colOff>
          <xdr:row>554</xdr:row>
          <xdr:rowOff>0</xdr:rowOff>
        </xdr:from>
        <xdr:to>
          <xdr:col>22</xdr:col>
          <xdr:colOff>177800</xdr:colOff>
          <xdr:row>554</xdr:row>
          <xdr:rowOff>177800</xdr:rowOff>
        </xdr:to>
        <xdr:sp macro="" textlink="">
          <xdr:nvSpPr>
            <xdr:cNvPr id="5255" name="Check Box 135" hidden="1">
              <a:extLst>
                <a:ext uri="{63B3BB69-23CF-44E3-9099-C40C66FF867C}">
                  <a14:compatExt spid="_x0000_s5255"/>
                </a:ext>
                <a:ext uri="{FF2B5EF4-FFF2-40B4-BE49-F238E27FC236}">
                  <a16:creationId xmlns:a16="http://schemas.microsoft.com/office/drawing/2014/main" id="{00000000-0008-0000-0500-00008714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22</xdr:col>
          <xdr:colOff>0</xdr:colOff>
          <xdr:row>556</xdr:row>
          <xdr:rowOff>0</xdr:rowOff>
        </xdr:from>
        <xdr:to>
          <xdr:col>22</xdr:col>
          <xdr:colOff>177800</xdr:colOff>
          <xdr:row>556</xdr:row>
          <xdr:rowOff>177800</xdr:rowOff>
        </xdr:to>
        <xdr:sp macro="" textlink="">
          <xdr:nvSpPr>
            <xdr:cNvPr id="5256" name="Check Box 136" hidden="1">
              <a:extLst>
                <a:ext uri="{63B3BB69-23CF-44E3-9099-C40C66FF867C}">
                  <a14:compatExt spid="_x0000_s5256"/>
                </a:ext>
                <a:ext uri="{FF2B5EF4-FFF2-40B4-BE49-F238E27FC236}">
                  <a16:creationId xmlns:a16="http://schemas.microsoft.com/office/drawing/2014/main" id="{00000000-0008-0000-0500-00008814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22</xdr:col>
          <xdr:colOff>0</xdr:colOff>
          <xdr:row>663</xdr:row>
          <xdr:rowOff>0</xdr:rowOff>
        </xdr:from>
        <xdr:to>
          <xdr:col>22</xdr:col>
          <xdr:colOff>177800</xdr:colOff>
          <xdr:row>663</xdr:row>
          <xdr:rowOff>177800</xdr:rowOff>
        </xdr:to>
        <xdr:sp macro="" textlink="">
          <xdr:nvSpPr>
            <xdr:cNvPr id="5258" name="Check Box 138" hidden="1">
              <a:extLst>
                <a:ext uri="{63B3BB69-23CF-44E3-9099-C40C66FF867C}">
                  <a14:compatExt spid="_x0000_s5258"/>
                </a:ext>
                <a:ext uri="{FF2B5EF4-FFF2-40B4-BE49-F238E27FC236}">
                  <a16:creationId xmlns:a16="http://schemas.microsoft.com/office/drawing/2014/main" id="{00000000-0008-0000-0500-00008A14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22</xdr:col>
          <xdr:colOff>0</xdr:colOff>
          <xdr:row>688</xdr:row>
          <xdr:rowOff>0</xdr:rowOff>
        </xdr:from>
        <xdr:to>
          <xdr:col>22</xdr:col>
          <xdr:colOff>177800</xdr:colOff>
          <xdr:row>688</xdr:row>
          <xdr:rowOff>177800</xdr:rowOff>
        </xdr:to>
        <xdr:sp macro="" textlink="">
          <xdr:nvSpPr>
            <xdr:cNvPr id="5260" name="Check Box 140" hidden="1">
              <a:extLst>
                <a:ext uri="{63B3BB69-23CF-44E3-9099-C40C66FF867C}">
                  <a14:compatExt spid="_x0000_s5260"/>
                </a:ext>
                <a:ext uri="{FF2B5EF4-FFF2-40B4-BE49-F238E27FC236}">
                  <a16:creationId xmlns:a16="http://schemas.microsoft.com/office/drawing/2014/main" id="{00000000-0008-0000-0500-00008C14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22</xdr:col>
          <xdr:colOff>0</xdr:colOff>
          <xdr:row>698</xdr:row>
          <xdr:rowOff>0</xdr:rowOff>
        </xdr:from>
        <xdr:to>
          <xdr:col>22</xdr:col>
          <xdr:colOff>177800</xdr:colOff>
          <xdr:row>698</xdr:row>
          <xdr:rowOff>177800</xdr:rowOff>
        </xdr:to>
        <xdr:sp macro="" textlink="">
          <xdr:nvSpPr>
            <xdr:cNvPr id="5261" name="Check Box 141" hidden="1">
              <a:extLst>
                <a:ext uri="{63B3BB69-23CF-44E3-9099-C40C66FF867C}">
                  <a14:compatExt spid="_x0000_s5261"/>
                </a:ext>
                <a:ext uri="{FF2B5EF4-FFF2-40B4-BE49-F238E27FC236}">
                  <a16:creationId xmlns:a16="http://schemas.microsoft.com/office/drawing/2014/main" id="{00000000-0008-0000-0500-00008D14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22</xdr:col>
          <xdr:colOff>0</xdr:colOff>
          <xdr:row>700</xdr:row>
          <xdr:rowOff>0</xdr:rowOff>
        </xdr:from>
        <xdr:to>
          <xdr:col>22</xdr:col>
          <xdr:colOff>177800</xdr:colOff>
          <xdr:row>700</xdr:row>
          <xdr:rowOff>177800</xdr:rowOff>
        </xdr:to>
        <xdr:sp macro="" textlink="">
          <xdr:nvSpPr>
            <xdr:cNvPr id="5262" name="Check Box 142" hidden="1">
              <a:extLst>
                <a:ext uri="{63B3BB69-23CF-44E3-9099-C40C66FF867C}">
                  <a14:compatExt spid="_x0000_s5262"/>
                </a:ext>
                <a:ext uri="{FF2B5EF4-FFF2-40B4-BE49-F238E27FC236}">
                  <a16:creationId xmlns:a16="http://schemas.microsoft.com/office/drawing/2014/main" id="{00000000-0008-0000-0500-00008E14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22</xdr:col>
          <xdr:colOff>0</xdr:colOff>
          <xdr:row>709</xdr:row>
          <xdr:rowOff>0</xdr:rowOff>
        </xdr:from>
        <xdr:to>
          <xdr:col>22</xdr:col>
          <xdr:colOff>177800</xdr:colOff>
          <xdr:row>709</xdr:row>
          <xdr:rowOff>177800</xdr:rowOff>
        </xdr:to>
        <xdr:sp macro="" textlink="">
          <xdr:nvSpPr>
            <xdr:cNvPr id="5263" name="Check Box 143" hidden="1">
              <a:extLst>
                <a:ext uri="{63B3BB69-23CF-44E3-9099-C40C66FF867C}">
                  <a14:compatExt spid="_x0000_s5263"/>
                </a:ext>
                <a:ext uri="{FF2B5EF4-FFF2-40B4-BE49-F238E27FC236}">
                  <a16:creationId xmlns:a16="http://schemas.microsoft.com/office/drawing/2014/main" id="{00000000-0008-0000-0500-00008F14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22</xdr:col>
          <xdr:colOff>0</xdr:colOff>
          <xdr:row>713</xdr:row>
          <xdr:rowOff>0</xdr:rowOff>
        </xdr:from>
        <xdr:to>
          <xdr:col>22</xdr:col>
          <xdr:colOff>177800</xdr:colOff>
          <xdr:row>713</xdr:row>
          <xdr:rowOff>177800</xdr:rowOff>
        </xdr:to>
        <xdr:sp macro="" textlink="">
          <xdr:nvSpPr>
            <xdr:cNvPr id="5264" name="Check Box 144" hidden="1">
              <a:extLst>
                <a:ext uri="{63B3BB69-23CF-44E3-9099-C40C66FF867C}">
                  <a14:compatExt spid="_x0000_s5264"/>
                </a:ext>
                <a:ext uri="{FF2B5EF4-FFF2-40B4-BE49-F238E27FC236}">
                  <a16:creationId xmlns:a16="http://schemas.microsoft.com/office/drawing/2014/main" id="{00000000-0008-0000-0500-00009014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22</xdr:col>
          <xdr:colOff>0</xdr:colOff>
          <xdr:row>718</xdr:row>
          <xdr:rowOff>0</xdr:rowOff>
        </xdr:from>
        <xdr:to>
          <xdr:col>22</xdr:col>
          <xdr:colOff>177800</xdr:colOff>
          <xdr:row>718</xdr:row>
          <xdr:rowOff>177800</xdr:rowOff>
        </xdr:to>
        <xdr:sp macro="" textlink="">
          <xdr:nvSpPr>
            <xdr:cNvPr id="5265" name="Check Box 145" hidden="1">
              <a:extLst>
                <a:ext uri="{63B3BB69-23CF-44E3-9099-C40C66FF867C}">
                  <a14:compatExt spid="_x0000_s5265"/>
                </a:ext>
                <a:ext uri="{FF2B5EF4-FFF2-40B4-BE49-F238E27FC236}">
                  <a16:creationId xmlns:a16="http://schemas.microsoft.com/office/drawing/2014/main" id="{00000000-0008-0000-0500-00009114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22</xdr:col>
          <xdr:colOff>0</xdr:colOff>
          <xdr:row>719</xdr:row>
          <xdr:rowOff>0</xdr:rowOff>
        </xdr:from>
        <xdr:to>
          <xdr:col>22</xdr:col>
          <xdr:colOff>177800</xdr:colOff>
          <xdr:row>719</xdr:row>
          <xdr:rowOff>177800</xdr:rowOff>
        </xdr:to>
        <xdr:sp macro="" textlink="">
          <xdr:nvSpPr>
            <xdr:cNvPr id="5266" name="Check Box 146" hidden="1">
              <a:extLst>
                <a:ext uri="{63B3BB69-23CF-44E3-9099-C40C66FF867C}">
                  <a14:compatExt spid="_x0000_s5266"/>
                </a:ext>
                <a:ext uri="{FF2B5EF4-FFF2-40B4-BE49-F238E27FC236}">
                  <a16:creationId xmlns:a16="http://schemas.microsoft.com/office/drawing/2014/main" id="{00000000-0008-0000-0500-00009214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22</xdr:col>
          <xdr:colOff>0</xdr:colOff>
          <xdr:row>584</xdr:row>
          <xdr:rowOff>0</xdr:rowOff>
        </xdr:from>
        <xdr:to>
          <xdr:col>22</xdr:col>
          <xdr:colOff>177800</xdr:colOff>
          <xdr:row>584</xdr:row>
          <xdr:rowOff>177800</xdr:rowOff>
        </xdr:to>
        <xdr:sp macro="" textlink="">
          <xdr:nvSpPr>
            <xdr:cNvPr id="5280" name="Check Box 160" hidden="1">
              <a:extLst>
                <a:ext uri="{63B3BB69-23CF-44E3-9099-C40C66FF867C}">
                  <a14:compatExt spid="_x0000_s5280"/>
                </a:ext>
                <a:ext uri="{FF2B5EF4-FFF2-40B4-BE49-F238E27FC236}">
                  <a16:creationId xmlns:a16="http://schemas.microsoft.com/office/drawing/2014/main" id="{00000000-0008-0000-0500-0000A014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22</xdr:col>
          <xdr:colOff>0</xdr:colOff>
          <xdr:row>586</xdr:row>
          <xdr:rowOff>0</xdr:rowOff>
        </xdr:from>
        <xdr:to>
          <xdr:col>22</xdr:col>
          <xdr:colOff>177800</xdr:colOff>
          <xdr:row>586</xdr:row>
          <xdr:rowOff>177800</xdr:rowOff>
        </xdr:to>
        <xdr:sp macro="" textlink="">
          <xdr:nvSpPr>
            <xdr:cNvPr id="5281" name="Check Box 161" hidden="1">
              <a:extLst>
                <a:ext uri="{63B3BB69-23CF-44E3-9099-C40C66FF867C}">
                  <a14:compatExt spid="_x0000_s5281"/>
                </a:ext>
                <a:ext uri="{FF2B5EF4-FFF2-40B4-BE49-F238E27FC236}">
                  <a16:creationId xmlns:a16="http://schemas.microsoft.com/office/drawing/2014/main" id="{00000000-0008-0000-0500-0000A114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22</xdr:col>
          <xdr:colOff>0</xdr:colOff>
          <xdr:row>55</xdr:row>
          <xdr:rowOff>0</xdr:rowOff>
        </xdr:from>
        <xdr:to>
          <xdr:col>22</xdr:col>
          <xdr:colOff>177800</xdr:colOff>
          <xdr:row>55</xdr:row>
          <xdr:rowOff>177800</xdr:rowOff>
        </xdr:to>
        <xdr:sp macro="" textlink="">
          <xdr:nvSpPr>
            <xdr:cNvPr id="5283" name="Check Box 163" hidden="1">
              <a:extLst>
                <a:ext uri="{63B3BB69-23CF-44E3-9099-C40C66FF867C}">
                  <a14:compatExt spid="_x0000_s5283"/>
                </a:ext>
                <a:ext uri="{FF2B5EF4-FFF2-40B4-BE49-F238E27FC236}">
                  <a16:creationId xmlns:a16="http://schemas.microsoft.com/office/drawing/2014/main" id="{00000000-0008-0000-0500-0000A314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xdr:wsDr>
</file>

<file path=xl/drawings/drawing6.xml><?xml version="1.0" encoding="utf-8"?>
<xdr:wsDr xmlns:xdr="http://schemas.openxmlformats.org/drawingml/2006/spreadsheetDrawing" xmlns:a="http://schemas.openxmlformats.org/drawingml/2006/main">
  <xdr:twoCellAnchor editAs="oneCell">
    <xdr:from>
      <xdr:col>12</xdr:col>
      <xdr:colOff>476250</xdr:colOff>
      <xdr:row>0</xdr:row>
      <xdr:rowOff>0</xdr:rowOff>
    </xdr:from>
    <xdr:to>
      <xdr:col>22</xdr:col>
      <xdr:colOff>885825</xdr:colOff>
      <xdr:row>4</xdr:row>
      <xdr:rowOff>141767</xdr:rowOff>
    </xdr:to>
    <xdr:pic>
      <xdr:nvPicPr>
        <xdr:cNvPr id="2" name="Picture 1">
          <a:extLst>
            <a:ext uri="{FF2B5EF4-FFF2-40B4-BE49-F238E27FC236}">
              <a16:creationId xmlns:a16="http://schemas.microsoft.com/office/drawing/2014/main" id="{00000000-0008-0000-06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9105900" y="0"/>
          <a:ext cx="1828800" cy="903767"/>
        </a:xfrm>
        <a:prstGeom prst="rect">
          <a:avLst/>
        </a:prstGeom>
      </xdr:spPr>
    </xdr:pic>
    <xdr:clientData/>
  </xdr:twoCellAnchor>
  <mc:AlternateContent xmlns:mc="http://schemas.openxmlformats.org/markup-compatibility/2006">
    <mc:Choice xmlns:a14="http://schemas.microsoft.com/office/drawing/2010/main" Requires="a14">
      <xdr:twoCellAnchor editAs="oneCell">
        <xdr:from>
          <xdr:col>22</xdr:col>
          <xdr:colOff>0</xdr:colOff>
          <xdr:row>261</xdr:row>
          <xdr:rowOff>0</xdr:rowOff>
        </xdr:from>
        <xdr:to>
          <xdr:col>22</xdr:col>
          <xdr:colOff>177800</xdr:colOff>
          <xdr:row>261</xdr:row>
          <xdr:rowOff>177800</xdr:rowOff>
        </xdr:to>
        <xdr:sp macro="" textlink="">
          <xdr:nvSpPr>
            <xdr:cNvPr id="57472" name="Check Box 128" hidden="1">
              <a:extLst>
                <a:ext uri="{63B3BB69-23CF-44E3-9099-C40C66FF867C}">
                  <a14:compatExt spid="_x0000_s57472"/>
                </a:ext>
                <a:ext uri="{FF2B5EF4-FFF2-40B4-BE49-F238E27FC236}">
                  <a16:creationId xmlns:a16="http://schemas.microsoft.com/office/drawing/2014/main" id="{00000000-0008-0000-0600-000080E0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22</xdr:col>
          <xdr:colOff>0</xdr:colOff>
          <xdr:row>264</xdr:row>
          <xdr:rowOff>0</xdr:rowOff>
        </xdr:from>
        <xdr:to>
          <xdr:col>22</xdr:col>
          <xdr:colOff>177800</xdr:colOff>
          <xdr:row>264</xdr:row>
          <xdr:rowOff>177800</xdr:rowOff>
        </xdr:to>
        <xdr:sp macro="" textlink="">
          <xdr:nvSpPr>
            <xdr:cNvPr id="57473" name="Check Box 129" hidden="1">
              <a:extLst>
                <a:ext uri="{63B3BB69-23CF-44E3-9099-C40C66FF867C}">
                  <a14:compatExt spid="_x0000_s57473"/>
                </a:ext>
                <a:ext uri="{FF2B5EF4-FFF2-40B4-BE49-F238E27FC236}">
                  <a16:creationId xmlns:a16="http://schemas.microsoft.com/office/drawing/2014/main" id="{00000000-0008-0000-0600-000081E0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22</xdr:col>
          <xdr:colOff>0</xdr:colOff>
          <xdr:row>266</xdr:row>
          <xdr:rowOff>0</xdr:rowOff>
        </xdr:from>
        <xdr:to>
          <xdr:col>22</xdr:col>
          <xdr:colOff>177800</xdr:colOff>
          <xdr:row>266</xdr:row>
          <xdr:rowOff>177800</xdr:rowOff>
        </xdr:to>
        <xdr:sp macro="" textlink="">
          <xdr:nvSpPr>
            <xdr:cNvPr id="57474" name="Check Box 130" hidden="1">
              <a:extLst>
                <a:ext uri="{63B3BB69-23CF-44E3-9099-C40C66FF867C}">
                  <a14:compatExt spid="_x0000_s57474"/>
                </a:ext>
                <a:ext uri="{FF2B5EF4-FFF2-40B4-BE49-F238E27FC236}">
                  <a16:creationId xmlns:a16="http://schemas.microsoft.com/office/drawing/2014/main" id="{00000000-0008-0000-0600-000082E0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22</xdr:col>
          <xdr:colOff>0</xdr:colOff>
          <xdr:row>252</xdr:row>
          <xdr:rowOff>0</xdr:rowOff>
        </xdr:from>
        <xdr:to>
          <xdr:col>22</xdr:col>
          <xdr:colOff>177800</xdr:colOff>
          <xdr:row>252</xdr:row>
          <xdr:rowOff>177800</xdr:rowOff>
        </xdr:to>
        <xdr:sp macro="" textlink="">
          <xdr:nvSpPr>
            <xdr:cNvPr id="57475" name="Check Box 131" hidden="1">
              <a:extLst>
                <a:ext uri="{63B3BB69-23CF-44E3-9099-C40C66FF867C}">
                  <a14:compatExt spid="_x0000_s57475"/>
                </a:ext>
                <a:ext uri="{FF2B5EF4-FFF2-40B4-BE49-F238E27FC236}">
                  <a16:creationId xmlns:a16="http://schemas.microsoft.com/office/drawing/2014/main" id="{00000000-0008-0000-0600-000083E0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22</xdr:col>
          <xdr:colOff>0</xdr:colOff>
          <xdr:row>224</xdr:row>
          <xdr:rowOff>0</xdr:rowOff>
        </xdr:from>
        <xdr:to>
          <xdr:col>22</xdr:col>
          <xdr:colOff>177800</xdr:colOff>
          <xdr:row>224</xdr:row>
          <xdr:rowOff>177800</xdr:rowOff>
        </xdr:to>
        <xdr:sp macro="" textlink="">
          <xdr:nvSpPr>
            <xdr:cNvPr id="57476" name="Check Box 132" hidden="1">
              <a:extLst>
                <a:ext uri="{63B3BB69-23CF-44E3-9099-C40C66FF867C}">
                  <a14:compatExt spid="_x0000_s57476"/>
                </a:ext>
                <a:ext uri="{FF2B5EF4-FFF2-40B4-BE49-F238E27FC236}">
                  <a16:creationId xmlns:a16="http://schemas.microsoft.com/office/drawing/2014/main" id="{00000000-0008-0000-0600-000084E0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22</xdr:col>
          <xdr:colOff>0</xdr:colOff>
          <xdr:row>201</xdr:row>
          <xdr:rowOff>0</xdr:rowOff>
        </xdr:from>
        <xdr:to>
          <xdr:col>22</xdr:col>
          <xdr:colOff>177800</xdr:colOff>
          <xdr:row>201</xdr:row>
          <xdr:rowOff>177800</xdr:rowOff>
        </xdr:to>
        <xdr:sp macro="" textlink="">
          <xdr:nvSpPr>
            <xdr:cNvPr id="57477" name="Check Box 133" hidden="1">
              <a:extLst>
                <a:ext uri="{63B3BB69-23CF-44E3-9099-C40C66FF867C}">
                  <a14:compatExt spid="_x0000_s57477"/>
                </a:ext>
                <a:ext uri="{FF2B5EF4-FFF2-40B4-BE49-F238E27FC236}">
                  <a16:creationId xmlns:a16="http://schemas.microsoft.com/office/drawing/2014/main" id="{00000000-0008-0000-0600-000085E0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22</xdr:col>
          <xdr:colOff>0</xdr:colOff>
          <xdr:row>174</xdr:row>
          <xdr:rowOff>0</xdr:rowOff>
        </xdr:from>
        <xdr:to>
          <xdr:col>22</xdr:col>
          <xdr:colOff>177800</xdr:colOff>
          <xdr:row>174</xdr:row>
          <xdr:rowOff>177800</xdr:rowOff>
        </xdr:to>
        <xdr:sp macro="" textlink="">
          <xdr:nvSpPr>
            <xdr:cNvPr id="57478" name="Check Box 134" hidden="1">
              <a:extLst>
                <a:ext uri="{63B3BB69-23CF-44E3-9099-C40C66FF867C}">
                  <a14:compatExt spid="_x0000_s57478"/>
                </a:ext>
                <a:ext uri="{FF2B5EF4-FFF2-40B4-BE49-F238E27FC236}">
                  <a16:creationId xmlns:a16="http://schemas.microsoft.com/office/drawing/2014/main" id="{00000000-0008-0000-0600-000086E0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22</xdr:col>
          <xdr:colOff>0</xdr:colOff>
          <xdr:row>170</xdr:row>
          <xdr:rowOff>0</xdr:rowOff>
        </xdr:from>
        <xdr:to>
          <xdr:col>22</xdr:col>
          <xdr:colOff>177800</xdr:colOff>
          <xdr:row>170</xdr:row>
          <xdr:rowOff>177800</xdr:rowOff>
        </xdr:to>
        <xdr:sp macro="" textlink="">
          <xdr:nvSpPr>
            <xdr:cNvPr id="57479" name="Check Box 135" hidden="1">
              <a:extLst>
                <a:ext uri="{63B3BB69-23CF-44E3-9099-C40C66FF867C}">
                  <a14:compatExt spid="_x0000_s57479"/>
                </a:ext>
                <a:ext uri="{FF2B5EF4-FFF2-40B4-BE49-F238E27FC236}">
                  <a16:creationId xmlns:a16="http://schemas.microsoft.com/office/drawing/2014/main" id="{00000000-0008-0000-0600-000087E0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22</xdr:col>
          <xdr:colOff>0</xdr:colOff>
          <xdr:row>168</xdr:row>
          <xdr:rowOff>0</xdr:rowOff>
        </xdr:from>
        <xdr:to>
          <xdr:col>22</xdr:col>
          <xdr:colOff>177800</xdr:colOff>
          <xdr:row>168</xdr:row>
          <xdr:rowOff>177800</xdr:rowOff>
        </xdr:to>
        <xdr:sp macro="" textlink="">
          <xdr:nvSpPr>
            <xdr:cNvPr id="57481" name="Check Box 137" hidden="1">
              <a:extLst>
                <a:ext uri="{63B3BB69-23CF-44E3-9099-C40C66FF867C}">
                  <a14:compatExt spid="_x0000_s57481"/>
                </a:ext>
                <a:ext uri="{FF2B5EF4-FFF2-40B4-BE49-F238E27FC236}">
                  <a16:creationId xmlns:a16="http://schemas.microsoft.com/office/drawing/2014/main" id="{00000000-0008-0000-0600-000089E0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22</xdr:col>
          <xdr:colOff>0</xdr:colOff>
          <xdr:row>164</xdr:row>
          <xdr:rowOff>0</xdr:rowOff>
        </xdr:from>
        <xdr:to>
          <xdr:col>22</xdr:col>
          <xdr:colOff>177800</xdr:colOff>
          <xdr:row>164</xdr:row>
          <xdr:rowOff>177800</xdr:rowOff>
        </xdr:to>
        <xdr:sp macro="" textlink="">
          <xdr:nvSpPr>
            <xdr:cNvPr id="57482" name="Check Box 138" hidden="1">
              <a:extLst>
                <a:ext uri="{63B3BB69-23CF-44E3-9099-C40C66FF867C}">
                  <a14:compatExt spid="_x0000_s57482"/>
                </a:ext>
                <a:ext uri="{FF2B5EF4-FFF2-40B4-BE49-F238E27FC236}">
                  <a16:creationId xmlns:a16="http://schemas.microsoft.com/office/drawing/2014/main" id="{00000000-0008-0000-0600-00008AE0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22</xdr:col>
          <xdr:colOff>0</xdr:colOff>
          <xdr:row>163</xdr:row>
          <xdr:rowOff>0</xdr:rowOff>
        </xdr:from>
        <xdr:to>
          <xdr:col>22</xdr:col>
          <xdr:colOff>177800</xdr:colOff>
          <xdr:row>163</xdr:row>
          <xdr:rowOff>177800</xdr:rowOff>
        </xdr:to>
        <xdr:sp macro="" textlink="">
          <xdr:nvSpPr>
            <xdr:cNvPr id="57483" name="Check Box 139" hidden="1">
              <a:extLst>
                <a:ext uri="{63B3BB69-23CF-44E3-9099-C40C66FF867C}">
                  <a14:compatExt spid="_x0000_s57483"/>
                </a:ext>
                <a:ext uri="{FF2B5EF4-FFF2-40B4-BE49-F238E27FC236}">
                  <a16:creationId xmlns:a16="http://schemas.microsoft.com/office/drawing/2014/main" id="{00000000-0008-0000-0600-00008BE0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22</xdr:col>
          <xdr:colOff>0</xdr:colOff>
          <xdr:row>162</xdr:row>
          <xdr:rowOff>0</xdr:rowOff>
        </xdr:from>
        <xdr:to>
          <xdr:col>22</xdr:col>
          <xdr:colOff>177800</xdr:colOff>
          <xdr:row>162</xdr:row>
          <xdr:rowOff>177800</xdr:rowOff>
        </xdr:to>
        <xdr:sp macro="" textlink="">
          <xdr:nvSpPr>
            <xdr:cNvPr id="57484" name="Check Box 140" hidden="1">
              <a:extLst>
                <a:ext uri="{63B3BB69-23CF-44E3-9099-C40C66FF867C}">
                  <a14:compatExt spid="_x0000_s57484"/>
                </a:ext>
                <a:ext uri="{FF2B5EF4-FFF2-40B4-BE49-F238E27FC236}">
                  <a16:creationId xmlns:a16="http://schemas.microsoft.com/office/drawing/2014/main" id="{00000000-0008-0000-0600-00008CE0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22</xdr:col>
          <xdr:colOff>0</xdr:colOff>
          <xdr:row>158</xdr:row>
          <xdr:rowOff>0</xdr:rowOff>
        </xdr:from>
        <xdr:to>
          <xdr:col>22</xdr:col>
          <xdr:colOff>177800</xdr:colOff>
          <xdr:row>158</xdr:row>
          <xdr:rowOff>177800</xdr:rowOff>
        </xdr:to>
        <xdr:sp macro="" textlink="">
          <xdr:nvSpPr>
            <xdr:cNvPr id="57485" name="Check Box 141" hidden="1">
              <a:extLst>
                <a:ext uri="{63B3BB69-23CF-44E3-9099-C40C66FF867C}">
                  <a14:compatExt spid="_x0000_s57485"/>
                </a:ext>
                <a:ext uri="{FF2B5EF4-FFF2-40B4-BE49-F238E27FC236}">
                  <a16:creationId xmlns:a16="http://schemas.microsoft.com/office/drawing/2014/main" id="{00000000-0008-0000-0600-00008DE0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22</xdr:col>
          <xdr:colOff>0</xdr:colOff>
          <xdr:row>153</xdr:row>
          <xdr:rowOff>0</xdr:rowOff>
        </xdr:from>
        <xdr:to>
          <xdr:col>22</xdr:col>
          <xdr:colOff>177800</xdr:colOff>
          <xdr:row>153</xdr:row>
          <xdr:rowOff>177800</xdr:rowOff>
        </xdr:to>
        <xdr:sp macro="" textlink="">
          <xdr:nvSpPr>
            <xdr:cNvPr id="57486" name="Check Box 142" hidden="1">
              <a:extLst>
                <a:ext uri="{63B3BB69-23CF-44E3-9099-C40C66FF867C}">
                  <a14:compatExt spid="_x0000_s57486"/>
                </a:ext>
                <a:ext uri="{FF2B5EF4-FFF2-40B4-BE49-F238E27FC236}">
                  <a16:creationId xmlns:a16="http://schemas.microsoft.com/office/drawing/2014/main" id="{00000000-0008-0000-0600-00008EE0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22</xdr:col>
          <xdr:colOff>0</xdr:colOff>
          <xdr:row>151</xdr:row>
          <xdr:rowOff>0</xdr:rowOff>
        </xdr:from>
        <xdr:to>
          <xdr:col>22</xdr:col>
          <xdr:colOff>177800</xdr:colOff>
          <xdr:row>151</xdr:row>
          <xdr:rowOff>177800</xdr:rowOff>
        </xdr:to>
        <xdr:sp macro="" textlink="">
          <xdr:nvSpPr>
            <xdr:cNvPr id="57487" name="Check Box 143" hidden="1">
              <a:extLst>
                <a:ext uri="{63B3BB69-23CF-44E3-9099-C40C66FF867C}">
                  <a14:compatExt spid="_x0000_s57487"/>
                </a:ext>
                <a:ext uri="{FF2B5EF4-FFF2-40B4-BE49-F238E27FC236}">
                  <a16:creationId xmlns:a16="http://schemas.microsoft.com/office/drawing/2014/main" id="{00000000-0008-0000-0600-00008FE0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22</xdr:col>
          <xdr:colOff>0</xdr:colOff>
          <xdr:row>144</xdr:row>
          <xdr:rowOff>0</xdr:rowOff>
        </xdr:from>
        <xdr:to>
          <xdr:col>22</xdr:col>
          <xdr:colOff>177800</xdr:colOff>
          <xdr:row>144</xdr:row>
          <xdr:rowOff>177800</xdr:rowOff>
        </xdr:to>
        <xdr:sp macro="" textlink="">
          <xdr:nvSpPr>
            <xdr:cNvPr id="57488" name="Check Box 144" hidden="1">
              <a:extLst>
                <a:ext uri="{63B3BB69-23CF-44E3-9099-C40C66FF867C}">
                  <a14:compatExt spid="_x0000_s57488"/>
                </a:ext>
                <a:ext uri="{FF2B5EF4-FFF2-40B4-BE49-F238E27FC236}">
                  <a16:creationId xmlns:a16="http://schemas.microsoft.com/office/drawing/2014/main" id="{00000000-0008-0000-0600-000090E0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22</xdr:col>
          <xdr:colOff>0</xdr:colOff>
          <xdr:row>71</xdr:row>
          <xdr:rowOff>0</xdr:rowOff>
        </xdr:from>
        <xdr:to>
          <xdr:col>22</xdr:col>
          <xdr:colOff>177800</xdr:colOff>
          <xdr:row>71</xdr:row>
          <xdr:rowOff>177800</xdr:rowOff>
        </xdr:to>
        <xdr:sp macro="" textlink="">
          <xdr:nvSpPr>
            <xdr:cNvPr id="57490" name="Check Box 146" hidden="1">
              <a:extLst>
                <a:ext uri="{63B3BB69-23CF-44E3-9099-C40C66FF867C}">
                  <a14:compatExt spid="_x0000_s57490"/>
                </a:ext>
                <a:ext uri="{FF2B5EF4-FFF2-40B4-BE49-F238E27FC236}">
                  <a16:creationId xmlns:a16="http://schemas.microsoft.com/office/drawing/2014/main" id="{00000000-0008-0000-0600-000092E0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22</xdr:col>
          <xdr:colOff>0</xdr:colOff>
          <xdr:row>66</xdr:row>
          <xdr:rowOff>0</xdr:rowOff>
        </xdr:from>
        <xdr:to>
          <xdr:col>22</xdr:col>
          <xdr:colOff>177800</xdr:colOff>
          <xdr:row>66</xdr:row>
          <xdr:rowOff>177800</xdr:rowOff>
        </xdr:to>
        <xdr:sp macro="" textlink="">
          <xdr:nvSpPr>
            <xdr:cNvPr id="57491" name="Check Box 147" hidden="1">
              <a:extLst>
                <a:ext uri="{63B3BB69-23CF-44E3-9099-C40C66FF867C}">
                  <a14:compatExt spid="_x0000_s57491"/>
                </a:ext>
                <a:ext uri="{FF2B5EF4-FFF2-40B4-BE49-F238E27FC236}">
                  <a16:creationId xmlns:a16="http://schemas.microsoft.com/office/drawing/2014/main" id="{00000000-0008-0000-0600-000093E0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22</xdr:col>
          <xdr:colOff>0</xdr:colOff>
          <xdr:row>176</xdr:row>
          <xdr:rowOff>0</xdr:rowOff>
        </xdr:from>
        <xdr:to>
          <xdr:col>22</xdr:col>
          <xdr:colOff>177800</xdr:colOff>
          <xdr:row>176</xdr:row>
          <xdr:rowOff>177800</xdr:rowOff>
        </xdr:to>
        <xdr:sp macro="" textlink="">
          <xdr:nvSpPr>
            <xdr:cNvPr id="57495" name="Check Box 151" hidden="1">
              <a:extLst>
                <a:ext uri="{63B3BB69-23CF-44E3-9099-C40C66FF867C}">
                  <a14:compatExt spid="_x0000_s57495"/>
                </a:ext>
                <a:ext uri="{FF2B5EF4-FFF2-40B4-BE49-F238E27FC236}">
                  <a16:creationId xmlns:a16="http://schemas.microsoft.com/office/drawing/2014/main" id="{00000000-0008-0000-0600-000097E0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22</xdr:col>
          <xdr:colOff>0</xdr:colOff>
          <xdr:row>178</xdr:row>
          <xdr:rowOff>0</xdr:rowOff>
        </xdr:from>
        <xdr:to>
          <xdr:col>22</xdr:col>
          <xdr:colOff>177800</xdr:colOff>
          <xdr:row>178</xdr:row>
          <xdr:rowOff>177800</xdr:rowOff>
        </xdr:to>
        <xdr:sp macro="" textlink="">
          <xdr:nvSpPr>
            <xdr:cNvPr id="57496" name="Check Box 152" hidden="1">
              <a:extLst>
                <a:ext uri="{63B3BB69-23CF-44E3-9099-C40C66FF867C}">
                  <a14:compatExt spid="_x0000_s57496"/>
                </a:ext>
                <a:ext uri="{FF2B5EF4-FFF2-40B4-BE49-F238E27FC236}">
                  <a16:creationId xmlns:a16="http://schemas.microsoft.com/office/drawing/2014/main" id="{00000000-0008-0000-0600-000098E0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22</xdr:col>
          <xdr:colOff>0</xdr:colOff>
          <xdr:row>179</xdr:row>
          <xdr:rowOff>0</xdr:rowOff>
        </xdr:from>
        <xdr:to>
          <xdr:col>22</xdr:col>
          <xdr:colOff>177800</xdr:colOff>
          <xdr:row>179</xdr:row>
          <xdr:rowOff>177800</xdr:rowOff>
        </xdr:to>
        <xdr:sp macro="" textlink="">
          <xdr:nvSpPr>
            <xdr:cNvPr id="57497" name="Check Box 153" hidden="1">
              <a:extLst>
                <a:ext uri="{63B3BB69-23CF-44E3-9099-C40C66FF867C}">
                  <a14:compatExt spid="_x0000_s57497"/>
                </a:ext>
                <a:ext uri="{FF2B5EF4-FFF2-40B4-BE49-F238E27FC236}">
                  <a16:creationId xmlns:a16="http://schemas.microsoft.com/office/drawing/2014/main" id="{00000000-0008-0000-0600-000099E0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22</xdr:col>
          <xdr:colOff>0</xdr:colOff>
          <xdr:row>181</xdr:row>
          <xdr:rowOff>0</xdr:rowOff>
        </xdr:from>
        <xdr:to>
          <xdr:col>22</xdr:col>
          <xdr:colOff>177800</xdr:colOff>
          <xdr:row>181</xdr:row>
          <xdr:rowOff>177800</xdr:rowOff>
        </xdr:to>
        <xdr:sp macro="" textlink="">
          <xdr:nvSpPr>
            <xdr:cNvPr id="57498" name="Check Box 154" hidden="1">
              <a:extLst>
                <a:ext uri="{63B3BB69-23CF-44E3-9099-C40C66FF867C}">
                  <a14:compatExt spid="_x0000_s57498"/>
                </a:ext>
                <a:ext uri="{FF2B5EF4-FFF2-40B4-BE49-F238E27FC236}">
                  <a16:creationId xmlns:a16="http://schemas.microsoft.com/office/drawing/2014/main" id="{00000000-0008-0000-0600-00009AE0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22</xdr:col>
          <xdr:colOff>0</xdr:colOff>
          <xdr:row>244</xdr:row>
          <xdr:rowOff>0</xdr:rowOff>
        </xdr:from>
        <xdr:to>
          <xdr:col>22</xdr:col>
          <xdr:colOff>177800</xdr:colOff>
          <xdr:row>244</xdr:row>
          <xdr:rowOff>177800</xdr:rowOff>
        </xdr:to>
        <xdr:sp macro="" textlink="">
          <xdr:nvSpPr>
            <xdr:cNvPr id="57500" name="Check Box 156" hidden="1">
              <a:extLst>
                <a:ext uri="{63B3BB69-23CF-44E3-9099-C40C66FF867C}">
                  <a14:compatExt spid="_x0000_s57500"/>
                </a:ext>
                <a:ext uri="{FF2B5EF4-FFF2-40B4-BE49-F238E27FC236}">
                  <a16:creationId xmlns:a16="http://schemas.microsoft.com/office/drawing/2014/main" id="{00000000-0008-0000-0600-00009CE0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xdr:wsDr>
</file>

<file path=xl/drawings/drawing7.xml><?xml version="1.0" encoding="utf-8"?>
<xdr:wsDr xmlns:xdr="http://schemas.openxmlformats.org/drawingml/2006/spreadsheetDrawing" xmlns:a="http://schemas.openxmlformats.org/drawingml/2006/main">
  <xdr:twoCellAnchor editAs="oneCell">
    <xdr:from>
      <xdr:col>12</xdr:col>
      <xdr:colOff>476250</xdr:colOff>
      <xdr:row>0</xdr:row>
      <xdr:rowOff>0</xdr:rowOff>
    </xdr:from>
    <xdr:to>
      <xdr:col>22</xdr:col>
      <xdr:colOff>885825</xdr:colOff>
      <xdr:row>4</xdr:row>
      <xdr:rowOff>141767</xdr:rowOff>
    </xdr:to>
    <xdr:pic>
      <xdr:nvPicPr>
        <xdr:cNvPr id="2" name="Picture 1">
          <a:extLst>
            <a:ext uri="{FF2B5EF4-FFF2-40B4-BE49-F238E27FC236}">
              <a16:creationId xmlns:a16="http://schemas.microsoft.com/office/drawing/2014/main" id="{00000000-0008-0000-07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467475" y="0"/>
          <a:ext cx="1828800" cy="903767"/>
        </a:xfrm>
        <a:prstGeom prst="rect">
          <a:avLst/>
        </a:prstGeom>
      </xdr:spPr>
    </xdr:pic>
    <xdr:clientData/>
  </xdr:twoCellAnchor>
  <mc:AlternateContent xmlns:mc="http://schemas.openxmlformats.org/markup-compatibility/2006">
    <mc:Choice xmlns:a14="http://schemas.microsoft.com/office/drawing/2010/main" Requires="a14">
      <xdr:twoCellAnchor editAs="oneCell">
        <xdr:from>
          <xdr:col>22</xdr:col>
          <xdr:colOff>0</xdr:colOff>
          <xdr:row>11</xdr:row>
          <xdr:rowOff>0</xdr:rowOff>
        </xdr:from>
        <xdr:to>
          <xdr:col>22</xdr:col>
          <xdr:colOff>177800</xdr:colOff>
          <xdr:row>11</xdr:row>
          <xdr:rowOff>177800</xdr:rowOff>
        </xdr:to>
        <xdr:sp macro="" textlink="">
          <xdr:nvSpPr>
            <xdr:cNvPr id="7170" name="Check Box 2" hidden="1">
              <a:extLst>
                <a:ext uri="{63B3BB69-23CF-44E3-9099-C40C66FF867C}">
                  <a14:compatExt spid="_x0000_s7170"/>
                </a:ext>
                <a:ext uri="{FF2B5EF4-FFF2-40B4-BE49-F238E27FC236}">
                  <a16:creationId xmlns:a16="http://schemas.microsoft.com/office/drawing/2014/main" id="{00000000-0008-0000-0700-0000021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22</xdr:col>
          <xdr:colOff>0</xdr:colOff>
          <xdr:row>17</xdr:row>
          <xdr:rowOff>0</xdr:rowOff>
        </xdr:from>
        <xdr:to>
          <xdr:col>22</xdr:col>
          <xdr:colOff>177800</xdr:colOff>
          <xdr:row>17</xdr:row>
          <xdr:rowOff>177800</xdr:rowOff>
        </xdr:to>
        <xdr:sp macro="" textlink="">
          <xdr:nvSpPr>
            <xdr:cNvPr id="7172" name="Check Box 4" hidden="1">
              <a:extLst>
                <a:ext uri="{63B3BB69-23CF-44E3-9099-C40C66FF867C}">
                  <a14:compatExt spid="_x0000_s7172"/>
                </a:ext>
                <a:ext uri="{FF2B5EF4-FFF2-40B4-BE49-F238E27FC236}">
                  <a16:creationId xmlns:a16="http://schemas.microsoft.com/office/drawing/2014/main" id="{00000000-0008-0000-0700-0000041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22</xdr:col>
          <xdr:colOff>0</xdr:colOff>
          <xdr:row>33</xdr:row>
          <xdr:rowOff>0</xdr:rowOff>
        </xdr:from>
        <xdr:to>
          <xdr:col>22</xdr:col>
          <xdr:colOff>177800</xdr:colOff>
          <xdr:row>33</xdr:row>
          <xdr:rowOff>177800</xdr:rowOff>
        </xdr:to>
        <xdr:sp macro="" textlink="">
          <xdr:nvSpPr>
            <xdr:cNvPr id="7174" name="Check Box 6" hidden="1">
              <a:extLst>
                <a:ext uri="{63B3BB69-23CF-44E3-9099-C40C66FF867C}">
                  <a14:compatExt spid="_x0000_s7174"/>
                </a:ext>
                <a:ext uri="{FF2B5EF4-FFF2-40B4-BE49-F238E27FC236}">
                  <a16:creationId xmlns:a16="http://schemas.microsoft.com/office/drawing/2014/main" id="{00000000-0008-0000-0700-0000061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22</xdr:col>
          <xdr:colOff>0</xdr:colOff>
          <xdr:row>54</xdr:row>
          <xdr:rowOff>0</xdr:rowOff>
        </xdr:from>
        <xdr:to>
          <xdr:col>22</xdr:col>
          <xdr:colOff>177800</xdr:colOff>
          <xdr:row>54</xdr:row>
          <xdr:rowOff>177800</xdr:rowOff>
        </xdr:to>
        <xdr:sp macro="" textlink="">
          <xdr:nvSpPr>
            <xdr:cNvPr id="7177" name="Check Box 9" hidden="1">
              <a:extLst>
                <a:ext uri="{63B3BB69-23CF-44E3-9099-C40C66FF867C}">
                  <a14:compatExt spid="_x0000_s7177"/>
                </a:ext>
                <a:ext uri="{FF2B5EF4-FFF2-40B4-BE49-F238E27FC236}">
                  <a16:creationId xmlns:a16="http://schemas.microsoft.com/office/drawing/2014/main" id="{00000000-0008-0000-0700-0000091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22</xdr:col>
          <xdr:colOff>0</xdr:colOff>
          <xdr:row>67</xdr:row>
          <xdr:rowOff>0</xdr:rowOff>
        </xdr:from>
        <xdr:to>
          <xdr:col>22</xdr:col>
          <xdr:colOff>177800</xdr:colOff>
          <xdr:row>67</xdr:row>
          <xdr:rowOff>177800</xdr:rowOff>
        </xdr:to>
        <xdr:sp macro="" textlink="">
          <xdr:nvSpPr>
            <xdr:cNvPr id="7182" name="Check Box 14" hidden="1">
              <a:extLst>
                <a:ext uri="{63B3BB69-23CF-44E3-9099-C40C66FF867C}">
                  <a14:compatExt spid="_x0000_s7182"/>
                </a:ext>
                <a:ext uri="{FF2B5EF4-FFF2-40B4-BE49-F238E27FC236}">
                  <a16:creationId xmlns:a16="http://schemas.microsoft.com/office/drawing/2014/main" id="{00000000-0008-0000-0700-00000E1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22</xdr:col>
          <xdr:colOff>0</xdr:colOff>
          <xdr:row>61</xdr:row>
          <xdr:rowOff>0</xdr:rowOff>
        </xdr:from>
        <xdr:to>
          <xdr:col>22</xdr:col>
          <xdr:colOff>177800</xdr:colOff>
          <xdr:row>61</xdr:row>
          <xdr:rowOff>177800</xdr:rowOff>
        </xdr:to>
        <xdr:sp macro="" textlink="">
          <xdr:nvSpPr>
            <xdr:cNvPr id="7184" name="Check Box 16" hidden="1">
              <a:extLst>
                <a:ext uri="{63B3BB69-23CF-44E3-9099-C40C66FF867C}">
                  <a14:compatExt spid="_x0000_s7184"/>
                </a:ext>
                <a:ext uri="{FF2B5EF4-FFF2-40B4-BE49-F238E27FC236}">
                  <a16:creationId xmlns:a16="http://schemas.microsoft.com/office/drawing/2014/main" id="{00000000-0008-0000-0700-0000101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22</xdr:col>
          <xdr:colOff>0</xdr:colOff>
          <xdr:row>91</xdr:row>
          <xdr:rowOff>0</xdr:rowOff>
        </xdr:from>
        <xdr:to>
          <xdr:col>22</xdr:col>
          <xdr:colOff>177800</xdr:colOff>
          <xdr:row>91</xdr:row>
          <xdr:rowOff>177800</xdr:rowOff>
        </xdr:to>
        <xdr:sp macro="" textlink="">
          <xdr:nvSpPr>
            <xdr:cNvPr id="7187" name="Check Box 19" hidden="1">
              <a:extLst>
                <a:ext uri="{63B3BB69-23CF-44E3-9099-C40C66FF867C}">
                  <a14:compatExt spid="_x0000_s7187"/>
                </a:ext>
                <a:ext uri="{FF2B5EF4-FFF2-40B4-BE49-F238E27FC236}">
                  <a16:creationId xmlns:a16="http://schemas.microsoft.com/office/drawing/2014/main" id="{00000000-0008-0000-0700-0000131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22</xdr:col>
          <xdr:colOff>0</xdr:colOff>
          <xdr:row>93</xdr:row>
          <xdr:rowOff>0</xdr:rowOff>
        </xdr:from>
        <xdr:to>
          <xdr:col>22</xdr:col>
          <xdr:colOff>177800</xdr:colOff>
          <xdr:row>93</xdr:row>
          <xdr:rowOff>177800</xdr:rowOff>
        </xdr:to>
        <xdr:sp macro="" textlink="">
          <xdr:nvSpPr>
            <xdr:cNvPr id="7188" name="Check Box 20" hidden="1">
              <a:extLst>
                <a:ext uri="{63B3BB69-23CF-44E3-9099-C40C66FF867C}">
                  <a14:compatExt spid="_x0000_s7188"/>
                </a:ext>
                <a:ext uri="{FF2B5EF4-FFF2-40B4-BE49-F238E27FC236}">
                  <a16:creationId xmlns:a16="http://schemas.microsoft.com/office/drawing/2014/main" id="{00000000-0008-0000-0700-0000141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22</xdr:col>
          <xdr:colOff>0</xdr:colOff>
          <xdr:row>96</xdr:row>
          <xdr:rowOff>0</xdr:rowOff>
        </xdr:from>
        <xdr:to>
          <xdr:col>22</xdr:col>
          <xdr:colOff>177800</xdr:colOff>
          <xdr:row>96</xdr:row>
          <xdr:rowOff>177800</xdr:rowOff>
        </xdr:to>
        <xdr:sp macro="" textlink="">
          <xdr:nvSpPr>
            <xdr:cNvPr id="7189" name="Check Box 21" hidden="1">
              <a:extLst>
                <a:ext uri="{63B3BB69-23CF-44E3-9099-C40C66FF867C}">
                  <a14:compatExt spid="_x0000_s7189"/>
                </a:ext>
                <a:ext uri="{FF2B5EF4-FFF2-40B4-BE49-F238E27FC236}">
                  <a16:creationId xmlns:a16="http://schemas.microsoft.com/office/drawing/2014/main" id="{00000000-0008-0000-0700-0000151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22</xdr:col>
          <xdr:colOff>0</xdr:colOff>
          <xdr:row>120</xdr:row>
          <xdr:rowOff>0</xdr:rowOff>
        </xdr:from>
        <xdr:to>
          <xdr:col>22</xdr:col>
          <xdr:colOff>177800</xdr:colOff>
          <xdr:row>120</xdr:row>
          <xdr:rowOff>177800</xdr:rowOff>
        </xdr:to>
        <xdr:sp macro="" textlink="">
          <xdr:nvSpPr>
            <xdr:cNvPr id="7191" name="Check Box 23" hidden="1">
              <a:extLst>
                <a:ext uri="{63B3BB69-23CF-44E3-9099-C40C66FF867C}">
                  <a14:compatExt spid="_x0000_s7191"/>
                </a:ext>
                <a:ext uri="{FF2B5EF4-FFF2-40B4-BE49-F238E27FC236}">
                  <a16:creationId xmlns:a16="http://schemas.microsoft.com/office/drawing/2014/main" id="{00000000-0008-0000-0700-0000171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22</xdr:col>
          <xdr:colOff>0</xdr:colOff>
          <xdr:row>132</xdr:row>
          <xdr:rowOff>0</xdr:rowOff>
        </xdr:from>
        <xdr:to>
          <xdr:col>22</xdr:col>
          <xdr:colOff>177800</xdr:colOff>
          <xdr:row>132</xdr:row>
          <xdr:rowOff>177800</xdr:rowOff>
        </xdr:to>
        <xdr:sp macro="" textlink="">
          <xdr:nvSpPr>
            <xdr:cNvPr id="7192" name="Check Box 24" hidden="1">
              <a:extLst>
                <a:ext uri="{63B3BB69-23CF-44E3-9099-C40C66FF867C}">
                  <a14:compatExt spid="_x0000_s7192"/>
                </a:ext>
                <a:ext uri="{FF2B5EF4-FFF2-40B4-BE49-F238E27FC236}">
                  <a16:creationId xmlns:a16="http://schemas.microsoft.com/office/drawing/2014/main" id="{00000000-0008-0000-0700-0000181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22</xdr:col>
          <xdr:colOff>0</xdr:colOff>
          <xdr:row>134</xdr:row>
          <xdr:rowOff>0</xdr:rowOff>
        </xdr:from>
        <xdr:to>
          <xdr:col>22</xdr:col>
          <xdr:colOff>177800</xdr:colOff>
          <xdr:row>134</xdr:row>
          <xdr:rowOff>177800</xdr:rowOff>
        </xdr:to>
        <xdr:sp macro="" textlink="">
          <xdr:nvSpPr>
            <xdr:cNvPr id="7193" name="Check Box 25" hidden="1">
              <a:extLst>
                <a:ext uri="{63B3BB69-23CF-44E3-9099-C40C66FF867C}">
                  <a14:compatExt spid="_x0000_s7193"/>
                </a:ext>
                <a:ext uri="{FF2B5EF4-FFF2-40B4-BE49-F238E27FC236}">
                  <a16:creationId xmlns:a16="http://schemas.microsoft.com/office/drawing/2014/main" id="{00000000-0008-0000-0700-0000191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22</xdr:col>
          <xdr:colOff>0</xdr:colOff>
          <xdr:row>135</xdr:row>
          <xdr:rowOff>0</xdr:rowOff>
        </xdr:from>
        <xdr:to>
          <xdr:col>22</xdr:col>
          <xdr:colOff>177800</xdr:colOff>
          <xdr:row>135</xdr:row>
          <xdr:rowOff>177800</xdr:rowOff>
        </xdr:to>
        <xdr:sp macro="" textlink="">
          <xdr:nvSpPr>
            <xdr:cNvPr id="7194" name="Check Box 26" hidden="1">
              <a:extLst>
                <a:ext uri="{63B3BB69-23CF-44E3-9099-C40C66FF867C}">
                  <a14:compatExt spid="_x0000_s7194"/>
                </a:ext>
                <a:ext uri="{FF2B5EF4-FFF2-40B4-BE49-F238E27FC236}">
                  <a16:creationId xmlns:a16="http://schemas.microsoft.com/office/drawing/2014/main" id="{00000000-0008-0000-0700-00001A1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22</xdr:col>
          <xdr:colOff>0</xdr:colOff>
          <xdr:row>142</xdr:row>
          <xdr:rowOff>0</xdr:rowOff>
        </xdr:from>
        <xdr:to>
          <xdr:col>22</xdr:col>
          <xdr:colOff>177800</xdr:colOff>
          <xdr:row>142</xdr:row>
          <xdr:rowOff>177800</xdr:rowOff>
        </xdr:to>
        <xdr:sp macro="" textlink="">
          <xdr:nvSpPr>
            <xdr:cNvPr id="7195" name="Check Box 27" hidden="1">
              <a:extLst>
                <a:ext uri="{63B3BB69-23CF-44E3-9099-C40C66FF867C}">
                  <a14:compatExt spid="_x0000_s7195"/>
                </a:ext>
                <a:ext uri="{FF2B5EF4-FFF2-40B4-BE49-F238E27FC236}">
                  <a16:creationId xmlns:a16="http://schemas.microsoft.com/office/drawing/2014/main" id="{00000000-0008-0000-0700-00001B1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22</xdr:col>
          <xdr:colOff>0</xdr:colOff>
          <xdr:row>155</xdr:row>
          <xdr:rowOff>0</xdr:rowOff>
        </xdr:from>
        <xdr:to>
          <xdr:col>22</xdr:col>
          <xdr:colOff>177800</xdr:colOff>
          <xdr:row>155</xdr:row>
          <xdr:rowOff>177800</xdr:rowOff>
        </xdr:to>
        <xdr:sp macro="" textlink="">
          <xdr:nvSpPr>
            <xdr:cNvPr id="7196" name="Check Box 28" hidden="1">
              <a:extLst>
                <a:ext uri="{63B3BB69-23CF-44E3-9099-C40C66FF867C}">
                  <a14:compatExt spid="_x0000_s7196"/>
                </a:ext>
                <a:ext uri="{FF2B5EF4-FFF2-40B4-BE49-F238E27FC236}">
                  <a16:creationId xmlns:a16="http://schemas.microsoft.com/office/drawing/2014/main" id="{00000000-0008-0000-0700-00001C1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22</xdr:col>
          <xdr:colOff>0</xdr:colOff>
          <xdr:row>160</xdr:row>
          <xdr:rowOff>0</xdr:rowOff>
        </xdr:from>
        <xdr:to>
          <xdr:col>22</xdr:col>
          <xdr:colOff>177800</xdr:colOff>
          <xdr:row>160</xdr:row>
          <xdr:rowOff>177800</xdr:rowOff>
        </xdr:to>
        <xdr:sp macro="" textlink="">
          <xdr:nvSpPr>
            <xdr:cNvPr id="7197" name="Check Box 29" hidden="1">
              <a:extLst>
                <a:ext uri="{63B3BB69-23CF-44E3-9099-C40C66FF867C}">
                  <a14:compatExt spid="_x0000_s7197"/>
                </a:ext>
                <a:ext uri="{FF2B5EF4-FFF2-40B4-BE49-F238E27FC236}">
                  <a16:creationId xmlns:a16="http://schemas.microsoft.com/office/drawing/2014/main" id="{00000000-0008-0000-0700-00001D1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22</xdr:col>
          <xdr:colOff>0</xdr:colOff>
          <xdr:row>161</xdr:row>
          <xdr:rowOff>0</xdr:rowOff>
        </xdr:from>
        <xdr:to>
          <xdr:col>22</xdr:col>
          <xdr:colOff>177800</xdr:colOff>
          <xdr:row>161</xdr:row>
          <xdr:rowOff>177800</xdr:rowOff>
        </xdr:to>
        <xdr:sp macro="" textlink="">
          <xdr:nvSpPr>
            <xdr:cNvPr id="7198" name="Check Box 30" hidden="1">
              <a:extLst>
                <a:ext uri="{63B3BB69-23CF-44E3-9099-C40C66FF867C}">
                  <a14:compatExt spid="_x0000_s7198"/>
                </a:ext>
                <a:ext uri="{FF2B5EF4-FFF2-40B4-BE49-F238E27FC236}">
                  <a16:creationId xmlns:a16="http://schemas.microsoft.com/office/drawing/2014/main" id="{00000000-0008-0000-0700-00001E1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22</xdr:col>
          <xdr:colOff>0</xdr:colOff>
          <xdr:row>165</xdr:row>
          <xdr:rowOff>0</xdr:rowOff>
        </xdr:from>
        <xdr:to>
          <xdr:col>22</xdr:col>
          <xdr:colOff>177800</xdr:colOff>
          <xdr:row>165</xdr:row>
          <xdr:rowOff>177800</xdr:rowOff>
        </xdr:to>
        <xdr:sp macro="" textlink="">
          <xdr:nvSpPr>
            <xdr:cNvPr id="7199" name="Check Box 31" hidden="1">
              <a:extLst>
                <a:ext uri="{63B3BB69-23CF-44E3-9099-C40C66FF867C}">
                  <a14:compatExt spid="_x0000_s7199"/>
                </a:ext>
                <a:ext uri="{FF2B5EF4-FFF2-40B4-BE49-F238E27FC236}">
                  <a16:creationId xmlns:a16="http://schemas.microsoft.com/office/drawing/2014/main" id="{00000000-0008-0000-0700-00001F1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22</xdr:col>
          <xdr:colOff>0</xdr:colOff>
          <xdr:row>180</xdr:row>
          <xdr:rowOff>0</xdr:rowOff>
        </xdr:from>
        <xdr:to>
          <xdr:col>22</xdr:col>
          <xdr:colOff>177800</xdr:colOff>
          <xdr:row>180</xdr:row>
          <xdr:rowOff>177800</xdr:rowOff>
        </xdr:to>
        <xdr:sp macro="" textlink="">
          <xdr:nvSpPr>
            <xdr:cNvPr id="7201" name="Check Box 33" hidden="1">
              <a:extLst>
                <a:ext uri="{63B3BB69-23CF-44E3-9099-C40C66FF867C}">
                  <a14:compatExt spid="_x0000_s7201"/>
                </a:ext>
                <a:ext uri="{FF2B5EF4-FFF2-40B4-BE49-F238E27FC236}">
                  <a16:creationId xmlns:a16="http://schemas.microsoft.com/office/drawing/2014/main" id="{00000000-0008-0000-0700-0000211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22</xdr:col>
          <xdr:colOff>0</xdr:colOff>
          <xdr:row>181</xdr:row>
          <xdr:rowOff>0</xdr:rowOff>
        </xdr:from>
        <xdr:to>
          <xdr:col>22</xdr:col>
          <xdr:colOff>177800</xdr:colOff>
          <xdr:row>181</xdr:row>
          <xdr:rowOff>177800</xdr:rowOff>
        </xdr:to>
        <xdr:sp macro="" textlink="">
          <xdr:nvSpPr>
            <xdr:cNvPr id="7202" name="Check Box 34" hidden="1">
              <a:extLst>
                <a:ext uri="{63B3BB69-23CF-44E3-9099-C40C66FF867C}">
                  <a14:compatExt spid="_x0000_s7202"/>
                </a:ext>
                <a:ext uri="{FF2B5EF4-FFF2-40B4-BE49-F238E27FC236}">
                  <a16:creationId xmlns:a16="http://schemas.microsoft.com/office/drawing/2014/main" id="{00000000-0008-0000-0700-0000221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22</xdr:col>
          <xdr:colOff>0</xdr:colOff>
          <xdr:row>184</xdr:row>
          <xdr:rowOff>0</xdr:rowOff>
        </xdr:from>
        <xdr:to>
          <xdr:col>22</xdr:col>
          <xdr:colOff>177800</xdr:colOff>
          <xdr:row>184</xdr:row>
          <xdr:rowOff>177800</xdr:rowOff>
        </xdr:to>
        <xdr:sp macro="" textlink="">
          <xdr:nvSpPr>
            <xdr:cNvPr id="7203" name="Check Box 35" hidden="1">
              <a:extLst>
                <a:ext uri="{63B3BB69-23CF-44E3-9099-C40C66FF867C}">
                  <a14:compatExt spid="_x0000_s7203"/>
                </a:ext>
                <a:ext uri="{FF2B5EF4-FFF2-40B4-BE49-F238E27FC236}">
                  <a16:creationId xmlns:a16="http://schemas.microsoft.com/office/drawing/2014/main" id="{00000000-0008-0000-0700-0000231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22</xdr:col>
          <xdr:colOff>0</xdr:colOff>
          <xdr:row>186</xdr:row>
          <xdr:rowOff>0</xdr:rowOff>
        </xdr:from>
        <xdr:to>
          <xdr:col>22</xdr:col>
          <xdr:colOff>177800</xdr:colOff>
          <xdr:row>186</xdr:row>
          <xdr:rowOff>177800</xdr:rowOff>
        </xdr:to>
        <xdr:sp macro="" textlink="">
          <xdr:nvSpPr>
            <xdr:cNvPr id="7204" name="Check Box 36" hidden="1">
              <a:extLst>
                <a:ext uri="{63B3BB69-23CF-44E3-9099-C40C66FF867C}">
                  <a14:compatExt spid="_x0000_s7204"/>
                </a:ext>
                <a:ext uri="{FF2B5EF4-FFF2-40B4-BE49-F238E27FC236}">
                  <a16:creationId xmlns:a16="http://schemas.microsoft.com/office/drawing/2014/main" id="{00000000-0008-0000-0700-0000241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22</xdr:col>
          <xdr:colOff>0</xdr:colOff>
          <xdr:row>194</xdr:row>
          <xdr:rowOff>0</xdr:rowOff>
        </xdr:from>
        <xdr:to>
          <xdr:col>22</xdr:col>
          <xdr:colOff>177800</xdr:colOff>
          <xdr:row>194</xdr:row>
          <xdr:rowOff>177800</xdr:rowOff>
        </xdr:to>
        <xdr:sp macro="" textlink="">
          <xdr:nvSpPr>
            <xdr:cNvPr id="7205" name="Check Box 37" hidden="1">
              <a:extLst>
                <a:ext uri="{63B3BB69-23CF-44E3-9099-C40C66FF867C}">
                  <a14:compatExt spid="_x0000_s7205"/>
                </a:ext>
                <a:ext uri="{FF2B5EF4-FFF2-40B4-BE49-F238E27FC236}">
                  <a16:creationId xmlns:a16="http://schemas.microsoft.com/office/drawing/2014/main" id="{00000000-0008-0000-0700-0000251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22</xdr:col>
          <xdr:colOff>0</xdr:colOff>
          <xdr:row>196</xdr:row>
          <xdr:rowOff>0</xdr:rowOff>
        </xdr:from>
        <xdr:to>
          <xdr:col>22</xdr:col>
          <xdr:colOff>177800</xdr:colOff>
          <xdr:row>196</xdr:row>
          <xdr:rowOff>177800</xdr:rowOff>
        </xdr:to>
        <xdr:sp macro="" textlink="">
          <xdr:nvSpPr>
            <xdr:cNvPr id="7206" name="Check Box 38" hidden="1">
              <a:extLst>
                <a:ext uri="{63B3BB69-23CF-44E3-9099-C40C66FF867C}">
                  <a14:compatExt spid="_x0000_s7206"/>
                </a:ext>
                <a:ext uri="{FF2B5EF4-FFF2-40B4-BE49-F238E27FC236}">
                  <a16:creationId xmlns:a16="http://schemas.microsoft.com/office/drawing/2014/main" id="{00000000-0008-0000-0700-0000261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22</xdr:col>
          <xdr:colOff>0</xdr:colOff>
          <xdr:row>200</xdr:row>
          <xdr:rowOff>0</xdr:rowOff>
        </xdr:from>
        <xdr:to>
          <xdr:col>22</xdr:col>
          <xdr:colOff>177800</xdr:colOff>
          <xdr:row>200</xdr:row>
          <xdr:rowOff>177800</xdr:rowOff>
        </xdr:to>
        <xdr:sp macro="" textlink="">
          <xdr:nvSpPr>
            <xdr:cNvPr id="7207" name="Check Box 39" hidden="1">
              <a:extLst>
                <a:ext uri="{63B3BB69-23CF-44E3-9099-C40C66FF867C}">
                  <a14:compatExt spid="_x0000_s7207"/>
                </a:ext>
                <a:ext uri="{FF2B5EF4-FFF2-40B4-BE49-F238E27FC236}">
                  <a16:creationId xmlns:a16="http://schemas.microsoft.com/office/drawing/2014/main" id="{00000000-0008-0000-0700-0000271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22</xdr:col>
          <xdr:colOff>0</xdr:colOff>
          <xdr:row>207</xdr:row>
          <xdr:rowOff>0</xdr:rowOff>
        </xdr:from>
        <xdr:to>
          <xdr:col>22</xdr:col>
          <xdr:colOff>177800</xdr:colOff>
          <xdr:row>207</xdr:row>
          <xdr:rowOff>177800</xdr:rowOff>
        </xdr:to>
        <xdr:sp macro="" textlink="">
          <xdr:nvSpPr>
            <xdr:cNvPr id="7208" name="Check Box 40" hidden="1">
              <a:extLst>
                <a:ext uri="{63B3BB69-23CF-44E3-9099-C40C66FF867C}">
                  <a14:compatExt spid="_x0000_s7208"/>
                </a:ext>
                <a:ext uri="{FF2B5EF4-FFF2-40B4-BE49-F238E27FC236}">
                  <a16:creationId xmlns:a16="http://schemas.microsoft.com/office/drawing/2014/main" id="{00000000-0008-0000-0700-0000281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22</xdr:col>
          <xdr:colOff>0</xdr:colOff>
          <xdr:row>218</xdr:row>
          <xdr:rowOff>0</xdr:rowOff>
        </xdr:from>
        <xdr:to>
          <xdr:col>22</xdr:col>
          <xdr:colOff>177800</xdr:colOff>
          <xdr:row>218</xdr:row>
          <xdr:rowOff>177800</xdr:rowOff>
        </xdr:to>
        <xdr:sp macro="" textlink="">
          <xdr:nvSpPr>
            <xdr:cNvPr id="7209" name="Check Box 41" hidden="1">
              <a:extLst>
                <a:ext uri="{63B3BB69-23CF-44E3-9099-C40C66FF867C}">
                  <a14:compatExt spid="_x0000_s7209"/>
                </a:ext>
                <a:ext uri="{FF2B5EF4-FFF2-40B4-BE49-F238E27FC236}">
                  <a16:creationId xmlns:a16="http://schemas.microsoft.com/office/drawing/2014/main" id="{00000000-0008-0000-0700-0000291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22</xdr:col>
          <xdr:colOff>0</xdr:colOff>
          <xdr:row>220</xdr:row>
          <xdr:rowOff>0</xdr:rowOff>
        </xdr:from>
        <xdr:to>
          <xdr:col>22</xdr:col>
          <xdr:colOff>177800</xdr:colOff>
          <xdr:row>220</xdr:row>
          <xdr:rowOff>177800</xdr:rowOff>
        </xdr:to>
        <xdr:sp macro="" textlink="">
          <xdr:nvSpPr>
            <xdr:cNvPr id="7210" name="Check Box 42" hidden="1">
              <a:extLst>
                <a:ext uri="{63B3BB69-23CF-44E3-9099-C40C66FF867C}">
                  <a14:compatExt spid="_x0000_s7210"/>
                </a:ext>
                <a:ext uri="{FF2B5EF4-FFF2-40B4-BE49-F238E27FC236}">
                  <a16:creationId xmlns:a16="http://schemas.microsoft.com/office/drawing/2014/main" id="{00000000-0008-0000-0700-00002A1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22</xdr:col>
          <xdr:colOff>0</xdr:colOff>
          <xdr:row>222</xdr:row>
          <xdr:rowOff>0</xdr:rowOff>
        </xdr:from>
        <xdr:to>
          <xdr:col>22</xdr:col>
          <xdr:colOff>177800</xdr:colOff>
          <xdr:row>222</xdr:row>
          <xdr:rowOff>177800</xdr:rowOff>
        </xdr:to>
        <xdr:sp macro="" textlink="">
          <xdr:nvSpPr>
            <xdr:cNvPr id="7211" name="Check Box 43" hidden="1">
              <a:extLst>
                <a:ext uri="{63B3BB69-23CF-44E3-9099-C40C66FF867C}">
                  <a14:compatExt spid="_x0000_s7211"/>
                </a:ext>
                <a:ext uri="{FF2B5EF4-FFF2-40B4-BE49-F238E27FC236}">
                  <a16:creationId xmlns:a16="http://schemas.microsoft.com/office/drawing/2014/main" id="{00000000-0008-0000-0700-00002B1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22</xdr:col>
          <xdr:colOff>0</xdr:colOff>
          <xdr:row>240</xdr:row>
          <xdr:rowOff>0</xdr:rowOff>
        </xdr:from>
        <xdr:to>
          <xdr:col>22</xdr:col>
          <xdr:colOff>177800</xdr:colOff>
          <xdr:row>240</xdr:row>
          <xdr:rowOff>177800</xdr:rowOff>
        </xdr:to>
        <xdr:sp macro="" textlink="">
          <xdr:nvSpPr>
            <xdr:cNvPr id="7212" name="Check Box 44" hidden="1">
              <a:extLst>
                <a:ext uri="{63B3BB69-23CF-44E3-9099-C40C66FF867C}">
                  <a14:compatExt spid="_x0000_s7212"/>
                </a:ext>
                <a:ext uri="{FF2B5EF4-FFF2-40B4-BE49-F238E27FC236}">
                  <a16:creationId xmlns:a16="http://schemas.microsoft.com/office/drawing/2014/main" id="{00000000-0008-0000-0700-00002C1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22</xdr:col>
          <xdr:colOff>0</xdr:colOff>
          <xdr:row>242</xdr:row>
          <xdr:rowOff>0</xdr:rowOff>
        </xdr:from>
        <xdr:to>
          <xdr:col>22</xdr:col>
          <xdr:colOff>177800</xdr:colOff>
          <xdr:row>242</xdr:row>
          <xdr:rowOff>177800</xdr:rowOff>
        </xdr:to>
        <xdr:sp macro="" textlink="">
          <xdr:nvSpPr>
            <xdr:cNvPr id="7213" name="Check Box 45" hidden="1">
              <a:extLst>
                <a:ext uri="{63B3BB69-23CF-44E3-9099-C40C66FF867C}">
                  <a14:compatExt spid="_x0000_s7213"/>
                </a:ext>
                <a:ext uri="{FF2B5EF4-FFF2-40B4-BE49-F238E27FC236}">
                  <a16:creationId xmlns:a16="http://schemas.microsoft.com/office/drawing/2014/main" id="{00000000-0008-0000-0700-00002D1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22</xdr:col>
          <xdr:colOff>0</xdr:colOff>
          <xdr:row>245</xdr:row>
          <xdr:rowOff>0</xdr:rowOff>
        </xdr:from>
        <xdr:to>
          <xdr:col>22</xdr:col>
          <xdr:colOff>177800</xdr:colOff>
          <xdr:row>245</xdr:row>
          <xdr:rowOff>177800</xdr:rowOff>
        </xdr:to>
        <xdr:sp macro="" textlink="">
          <xdr:nvSpPr>
            <xdr:cNvPr id="7214" name="Check Box 46" hidden="1">
              <a:extLst>
                <a:ext uri="{63B3BB69-23CF-44E3-9099-C40C66FF867C}">
                  <a14:compatExt spid="_x0000_s7214"/>
                </a:ext>
                <a:ext uri="{FF2B5EF4-FFF2-40B4-BE49-F238E27FC236}">
                  <a16:creationId xmlns:a16="http://schemas.microsoft.com/office/drawing/2014/main" id="{00000000-0008-0000-0700-00002E1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22</xdr:col>
          <xdr:colOff>0</xdr:colOff>
          <xdr:row>328</xdr:row>
          <xdr:rowOff>0</xdr:rowOff>
        </xdr:from>
        <xdr:to>
          <xdr:col>22</xdr:col>
          <xdr:colOff>177800</xdr:colOff>
          <xdr:row>328</xdr:row>
          <xdr:rowOff>177800</xdr:rowOff>
        </xdr:to>
        <xdr:sp macro="" textlink="">
          <xdr:nvSpPr>
            <xdr:cNvPr id="7216" name="Check Box 48" hidden="1">
              <a:extLst>
                <a:ext uri="{63B3BB69-23CF-44E3-9099-C40C66FF867C}">
                  <a14:compatExt spid="_x0000_s7216"/>
                </a:ext>
                <a:ext uri="{FF2B5EF4-FFF2-40B4-BE49-F238E27FC236}">
                  <a16:creationId xmlns:a16="http://schemas.microsoft.com/office/drawing/2014/main" id="{00000000-0008-0000-0700-0000301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22</xdr:col>
          <xdr:colOff>0</xdr:colOff>
          <xdr:row>330</xdr:row>
          <xdr:rowOff>0</xdr:rowOff>
        </xdr:from>
        <xdr:to>
          <xdr:col>22</xdr:col>
          <xdr:colOff>177800</xdr:colOff>
          <xdr:row>330</xdr:row>
          <xdr:rowOff>177800</xdr:rowOff>
        </xdr:to>
        <xdr:sp macro="" textlink="">
          <xdr:nvSpPr>
            <xdr:cNvPr id="7217" name="Check Box 49" hidden="1">
              <a:extLst>
                <a:ext uri="{63B3BB69-23CF-44E3-9099-C40C66FF867C}">
                  <a14:compatExt spid="_x0000_s7217"/>
                </a:ext>
                <a:ext uri="{FF2B5EF4-FFF2-40B4-BE49-F238E27FC236}">
                  <a16:creationId xmlns:a16="http://schemas.microsoft.com/office/drawing/2014/main" id="{00000000-0008-0000-0700-0000311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22</xdr:col>
          <xdr:colOff>0</xdr:colOff>
          <xdr:row>336</xdr:row>
          <xdr:rowOff>0</xdr:rowOff>
        </xdr:from>
        <xdr:to>
          <xdr:col>22</xdr:col>
          <xdr:colOff>177800</xdr:colOff>
          <xdr:row>336</xdr:row>
          <xdr:rowOff>177800</xdr:rowOff>
        </xdr:to>
        <xdr:sp macro="" textlink="">
          <xdr:nvSpPr>
            <xdr:cNvPr id="7218" name="Check Box 50" hidden="1">
              <a:extLst>
                <a:ext uri="{63B3BB69-23CF-44E3-9099-C40C66FF867C}">
                  <a14:compatExt spid="_x0000_s7218"/>
                </a:ext>
                <a:ext uri="{FF2B5EF4-FFF2-40B4-BE49-F238E27FC236}">
                  <a16:creationId xmlns:a16="http://schemas.microsoft.com/office/drawing/2014/main" id="{00000000-0008-0000-0700-0000321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22</xdr:col>
          <xdr:colOff>0</xdr:colOff>
          <xdr:row>338</xdr:row>
          <xdr:rowOff>0</xdr:rowOff>
        </xdr:from>
        <xdr:to>
          <xdr:col>22</xdr:col>
          <xdr:colOff>177800</xdr:colOff>
          <xdr:row>338</xdr:row>
          <xdr:rowOff>177800</xdr:rowOff>
        </xdr:to>
        <xdr:sp macro="" textlink="">
          <xdr:nvSpPr>
            <xdr:cNvPr id="7219" name="Check Box 51" hidden="1">
              <a:extLst>
                <a:ext uri="{63B3BB69-23CF-44E3-9099-C40C66FF867C}">
                  <a14:compatExt spid="_x0000_s7219"/>
                </a:ext>
                <a:ext uri="{FF2B5EF4-FFF2-40B4-BE49-F238E27FC236}">
                  <a16:creationId xmlns:a16="http://schemas.microsoft.com/office/drawing/2014/main" id="{00000000-0008-0000-0700-0000331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22</xdr:col>
          <xdr:colOff>0</xdr:colOff>
          <xdr:row>352</xdr:row>
          <xdr:rowOff>0</xdr:rowOff>
        </xdr:from>
        <xdr:to>
          <xdr:col>22</xdr:col>
          <xdr:colOff>177800</xdr:colOff>
          <xdr:row>352</xdr:row>
          <xdr:rowOff>177800</xdr:rowOff>
        </xdr:to>
        <xdr:sp macro="" textlink="">
          <xdr:nvSpPr>
            <xdr:cNvPr id="7221" name="Check Box 53" hidden="1">
              <a:extLst>
                <a:ext uri="{63B3BB69-23CF-44E3-9099-C40C66FF867C}">
                  <a14:compatExt spid="_x0000_s7221"/>
                </a:ext>
                <a:ext uri="{FF2B5EF4-FFF2-40B4-BE49-F238E27FC236}">
                  <a16:creationId xmlns:a16="http://schemas.microsoft.com/office/drawing/2014/main" id="{00000000-0008-0000-0700-0000351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22</xdr:col>
          <xdr:colOff>0</xdr:colOff>
          <xdr:row>353</xdr:row>
          <xdr:rowOff>0</xdr:rowOff>
        </xdr:from>
        <xdr:to>
          <xdr:col>22</xdr:col>
          <xdr:colOff>177800</xdr:colOff>
          <xdr:row>353</xdr:row>
          <xdr:rowOff>177800</xdr:rowOff>
        </xdr:to>
        <xdr:sp macro="" textlink="">
          <xdr:nvSpPr>
            <xdr:cNvPr id="7222" name="Check Box 54" hidden="1">
              <a:extLst>
                <a:ext uri="{63B3BB69-23CF-44E3-9099-C40C66FF867C}">
                  <a14:compatExt spid="_x0000_s7222"/>
                </a:ext>
                <a:ext uri="{FF2B5EF4-FFF2-40B4-BE49-F238E27FC236}">
                  <a16:creationId xmlns:a16="http://schemas.microsoft.com/office/drawing/2014/main" id="{00000000-0008-0000-0700-0000361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22</xdr:col>
          <xdr:colOff>0</xdr:colOff>
          <xdr:row>358</xdr:row>
          <xdr:rowOff>0</xdr:rowOff>
        </xdr:from>
        <xdr:to>
          <xdr:col>22</xdr:col>
          <xdr:colOff>177800</xdr:colOff>
          <xdr:row>358</xdr:row>
          <xdr:rowOff>177800</xdr:rowOff>
        </xdr:to>
        <xdr:sp macro="" textlink="">
          <xdr:nvSpPr>
            <xdr:cNvPr id="7223" name="Check Box 55" hidden="1">
              <a:extLst>
                <a:ext uri="{63B3BB69-23CF-44E3-9099-C40C66FF867C}">
                  <a14:compatExt spid="_x0000_s7223"/>
                </a:ext>
                <a:ext uri="{FF2B5EF4-FFF2-40B4-BE49-F238E27FC236}">
                  <a16:creationId xmlns:a16="http://schemas.microsoft.com/office/drawing/2014/main" id="{00000000-0008-0000-0700-0000371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22</xdr:col>
          <xdr:colOff>0</xdr:colOff>
          <xdr:row>363</xdr:row>
          <xdr:rowOff>0</xdr:rowOff>
        </xdr:from>
        <xdr:to>
          <xdr:col>22</xdr:col>
          <xdr:colOff>177800</xdr:colOff>
          <xdr:row>363</xdr:row>
          <xdr:rowOff>177800</xdr:rowOff>
        </xdr:to>
        <xdr:sp macro="" textlink="">
          <xdr:nvSpPr>
            <xdr:cNvPr id="7224" name="Check Box 56" hidden="1">
              <a:extLst>
                <a:ext uri="{63B3BB69-23CF-44E3-9099-C40C66FF867C}">
                  <a14:compatExt spid="_x0000_s7224"/>
                </a:ext>
                <a:ext uri="{FF2B5EF4-FFF2-40B4-BE49-F238E27FC236}">
                  <a16:creationId xmlns:a16="http://schemas.microsoft.com/office/drawing/2014/main" id="{00000000-0008-0000-0700-0000381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22</xdr:col>
          <xdr:colOff>0</xdr:colOff>
          <xdr:row>379</xdr:row>
          <xdr:rowOff>0</xdr:rowOff>
        </xdr:from>
        <xdr:to>
          <xdr:col>22</xdr:col>
          <xdr:colOff>177800</xdr:colOff>
          <xdr:row>379</xdr:row>
          <xdr:rowOff>177800</xdr:rowOff>
        </xdr:to>
        <xdr:sp macro="" textlink="">
          <xdr:nvSpPr>
            <xdr:cNvPr id="7225" name="Check Box 57" hidden="1">
              <a:extLst>
                <a:ext uri="{63B3BB69-23CF-44E3-9099-C40C66FF867C}">
                  <a14:compatExt spid="_x0000_s7225"/>
                </a:ext>
                <a:ext uri="{FF2B5EF4-FFF2-40B4-BE49-F238E27FC236}">
                  <a16:creationId xmlns:a16="http://schemas.microsoft.com/office/drawing/2014/main" id="{00000000-0008-0000-0700-0000391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22</xdr:col>
          <xdr:colOff>0</xdr:colOff>
          <xdr:row>384</xdr:row>
          <xdr:rowOff>0</xdr:rowOff>
        </xdr:from>
        <xdr:to>
          <xdr:col>22</xdr:col>
          <xdr:colOff>177800</xdr:colOff>
          <xdr:row>384</xdr:row>
          <xdr:rowOff>177800</xdr:rowOff>
        </xdr:to>
        <xdr:sp macro="" textlink="">
          <xdr:nvSpPr>
            <xdr:cNvPr id="7226" name="Check Box 58" hidden="1">
              <a:extLst>
                <a:ext uri="{63B3BB69-23CF-44E3-9099-C40C66FF867C}">
                  <a14:compatExt spid="_x0000_s7226"/>
                </a:ext>
                <a:ext uri="{FF2B5EF4-FFF2-40B4-BE49-F238E27FC236}">
                  <a16:creationId xmlns:a16="http://schemas.microsoft.com/office/drawing/2014/main" id="{00000000-0008-0000-0700-00003A1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22</xdr:col>
          <xdr:colOff>0</xdr:colOff>
          <xdr:row>137</xdr:row>
          <xdr:rowOff>0</xdr:rowOff>
        </xdr:from>
        <xdr:to>
          <xdr:col>22</xdr:col>
          <xdr:colOff>177800</xdr:colOff>
          <xdr:row>137</xdr:row>
          <xdr:rowOff>177800</xdr:rowOff>
        </xdr:to>
        <xdr:sp macro="" textlink="">
          <xdr:nvSpPr>
            <xdr:cNvPr id="7230" name="Check Box 62" hidden="1">
              <a:extLst>
                <a:ext uri="{63B3BB69-23CF-44E3-9099-C40C66FF867C}">
                  <a14:compatExt spid="_x0000_s7230"/>
                </a:ext>
                <a:ext uri="{FF2B5EF4-FFF2-40B4-BE49-F238E27FC236}">
                  <a16:creationId xmlns:a16="http://schemas.microsoft.com/office/drawing/2014/main" id="{00000000-0008-0000-0700-00003E1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22</xdr:col>
          <xdr:colOff>0</xdr:colOff>
          <xdr:row>188</xdr:row>
          <xdr:rowOff>0</xdr:rowOff>
        </xdr:from>
        <xdr:to>
          <xdr:col>22</xdr:col>
          <xdr:colOff>177800</xdr:colOff>
          <xdr:row>188</xdr:row>
          <xdr:rowOff>177800</xdr:rowOff>
        </xdr:to>
        <xdr:sp macro="" textlink="">
          <xdr:nvSpPr>
            <xdr:cNvPr id="7232" name="Check Box 64" hidden="1">
              <a:extLst>
                <a:ext uri="{63B3BB69-23CF-44E3-9099-C40C66FF867C}">
                  <a14:compatExt spid="_x0000_s7232"/>
                </a:ext>
                <a:ext uri="{FF2B5EF4-FFF2-40B4-BE49-F238E27FC236}">
                  <a16:creationId xmlns:a16="http://schemas.microsoft.com/office/drawing/2014/main" id="{00000000-0008-0000-0700-0000401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22</xdr:col>
          <xdr:colOff>0</xdr:colOff>
          <xdr:row>225</xdr:row>
          <xdr:rowOff>0</xdr:rowOff>
        </xdr:from>
        <xdr:to>
          <xdr:col>22</xdr:col>
          <xdr:colOff>177800</xdr:colOff>
          <xdr:row>225</xdr:row>
          <xdr:rowOff>177800</xdr:rowOff>
        </xdr:to>
        <xdr:sp macro="" textlink="">
          <xdr:nvSpPr>
            <xdr:cNvPr id="7234" name="Check Box 66" hidden="1">
              <a:extLst>
                <a:ext uri="{63B3BB69-23CF-44E3-9099-C40C66FF867C}">
                  <a14:compatExt spid="_x0000_s7234"/>
                </a:ext>
                <a:ext uri="{FF2B5EF4-FFF2-40B4-BE49-F238E27FC236}">
                  <a16:creationId xmlns:a16="http://schemas.microsoft.com/office/drawing/2014/main" id="{00000000-0008-0000-0700-0000421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22</xdr:col>
          <xdr:colOff>0</xdr:colOff>
          <xdr:row>248</xdr:row>
          <xdr:rowOff>0</xdr:rowOff>
        </xdr:from>
        <xdr:to>
          <xdr:col>22</xdr:col>
          <xdr:colOff>177800</xdr:colOff>
          <xdr:row>248</xdr:row>
          <xdr:rowOff>177800</xdr:rowOff>
        </xdr:to>
        <xdr:sp macro="" textlink="">
          <xdr:nvSpPr>
            <xdr:cNvPr id="7236" name="Check Box 68" hidden="1">
              <a:extLst>
                <a:ext uri="{63B3BB69-23CF-44E3-9099-C40C66FF867C}">
                  <a14:compatExt spid="_x0000_s7236"/>
                </a:ext>
                <a:ext uri="{FF2B5EF4-FFF2-40B4-BE49-F238E27FC236}">
                  <a16:creationId xmlns:a16="http://schemas.microsoft.com/office/drawing/2014/main" id="{00000000-0008-0000-0700-0000441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22</xdr:col>
          <xdr:colOff>0</xdr:colOff>
          <xdr:row>299</xdr:row>
          <xdr:rowOff>0</xdr:rowOff>
        </xdr:from>
        <xdr:to>
          <xdr:col>22</xdr:col>
          <xdr:colOff>177800</xdr:colOff>
          <xdr:row>299</xdr:row>
          <xdr:rowOff>177800</xdr:rowOff>
        </xdr:to>
        <xdr:sp macro="" textlink="">
          <xdr:nvSpPr>
            <xdr:cNvPr id="7241" name="Check Box 73" hidden="1">
              <a:extLst>
                <a:ext uri="{63B3BB69-23CF-44E3-9099-C40C66FF867C}">
                  <a14:compatExt spid="_x0000_s7241"/>
                </a:ext>
                <a:ext uri="{FF2B5EF4-FFF2-40B4-BE49-F238E27FC236}">
                  <a16:creationId xmlns:a16="http://schemas.microsoft.com/office/drawing/2014/main" id="{00000000-0008-0000-0700-0000491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22</xdr:col>
          <xdr:colOff>0</xdr:colOff>
          <xdr:row>301</xdr:row>
          <xdr:rowOff>0</xdr:rowOff>
        </xdr:from>
        <xdr:to>
          <xdr:col>22</xdr:col>
          <xdr:colOff>177800</xdr:colOff>
          <xdr:row>301</xdr:row>
          <xdr:rowOff>177800</xdr:rowOff>
        </xdr:to>
        <xdr:sp macro="" textlink="">
          <xdr:nvSpPr>
            <xdr:cNvPr id="7242" name="Check Box 74" hidden="1">
              <a:extLst>
                <a:ext uri="{63B3BB69-23CF-44E3-9099-C40C66FF867C}">
                  <a14:compatExt spid="_x0000_s7242"/>
                </a:ext>
                <a:ext uri="{FF2B5EF4-FFF2-40B4-BE49-F238E27FC236}">
                  <a16:creationId xmlns:a16="http://schemas.microsoft.com/office/drawing/2014/main" id="{00000000-0008-0000-0700-00004A1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22</xdr:col>
          <xdr:colOff>0</xdr:colOff>
          <xdr:row>324</xdr:row>
          <xdr:rowOff>0</xdr:rowOff>
        </xdr:from>
        <xdr:to>
          <xdr:col>22</xdr:col>
          <xdr:colOff>177800</xdr:colOff>
          <xdr:row>324</xdr:row>
          <xdr:rowOff>177800</xdr:rowOff>
        </xdr:to>
        <xdr:sp macro="" textlink="">
          <xdr:nvSpPr>
            <xdr:cNvPr id="7243" name="Check Box 75" hidden="1">
              <a:extLst>
                <a:ext uri="{63B3BB69-23CF-44E3-9099-C40C66FF867C}">
                  <a14:compatExt spid="_x0000_s7243"/>
                </a:ext>
                <a:ext uri="{FF2B5EF4-FFF2-40B4-BE49-F238E27FC236}">
                  <a16:creationId xmlns:a16="http://schemas.microsoft.com/office/drawing/2014/main" id="{00000000-0008-0000-0700-00004B1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22</xdr:col>
          <xdr:colOff>0</xdr:colOff>
          <xdr:row>333</xdr:row>
          <xdr:rowOff>0</xdr:rowOff>
        </xdr:from>
        <xdr:to>
          <xdr:col>22</xdr:col>
          <xdr:colOff>177800</xdr:colOff>
          <xdr:row>333</xdr:row>
          <xdr:rowOff>177800</xdr:rowOff>
        </xdr:to>
        <xdr:sp macro="" textlink="">
          <xdr:nvSpPr>
            <xdr:cNvPr id="7245" name="Check Box 77" hidden="1">
              <a:extLst>
                <a:ext uri="{63B3BB69-23CF-44E3-9099-C40C66FF867C}">
                  <a14:compatExt spid="_x0000_s7245"/>
                </a:ext>
                <a:ext uri="{FF2B5EF4-FFF2-40B4-BE49-F238E27FC236}">
                  <a16:creationId xmlns:a16="http://schemas.microsoft.com/office/drawing/2014/main" id="{00000000-0008-0000-0700-00004D1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22</xdr:col>
          <xdr:colOff>0</xdr:colOff>
          <xdr:row>368</xdr:row>
          <xdr:rowOff>0</xdr:rowOff>
        </xdr:from>
        <xdr:to>
          <xdr:col>22</xdr:col>
          <xdr:colOff>177800</xdr:colOff>
          <xdr:row>368</xdr:row>
          <xdr:rowOff>177800</xdr:rowOff>
        </xdr:to>
        <xdr:sp macro="" textlink="">
          <xdr:nvSpPr>
            <xdr:cNvPr id="7246" name="Check Box 78" hidden="1">
              <a:extLst>
                <a:ext uri="{63B3BB69-23CF-44E3-9099-C40C66FF867C}">
                  <a14:compatExt spid="_x0000_s7246"/>
                </a:ext>
                <a:ext uri="{FF2B5EF4-FFF2-40B4-BE49-F238E27FC236}">
                  <a16:creationId xmlns:a16="http://schemas.microsoft.com/office/drawing/2014/main" id="{00000000-0008-0000-0700-00004E1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22</xdr:col>
          <xdr:colOff>0</xdr:colOff>
          <xdr:row>375</xdr:row>
          <xdr:rowOff>0</xdr:rowOff>
        </xdr:from>
        <xdr:to>
          <xdr:col>22</xdr:col>
          <xdr:colOff>177800</xdr:colOff>
          <xdr:row>375</xdr:row>
          <xdr:rowOff>177800</xdr:rowOff>
        </xdr:to>
        <xdr:sp macro="" textlink="">
          <xdr:nvSpPr>
            <xdr:cNvPr id="7247" name="Check Box 79" hidden="1">
              <a:extLst>
                <a:ext uri="{63B3BB69-23CF-44E3-9099-C40C66FF867C}">
                  <a14:compatExt spid="_x0000_s7247"/>
                </a:ext>
                <a:ext uri="{FF2B5EF4-FFF2-40B4-BE49-F238E27FC236}">
                  <a16:creationId xmlns:a16="http://schemas.microsoft.com/office/drawing/2014/main" id="{00000000-0008-0000-0700-00004F1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22</xdr:col>
          <xdr:colOff>0</xdr:colOff>
          <xdr:row>387</xdr:row>
          <xdr:rowOff>0</xdr:rowOff>
        </xdr:from>
        <xdr:to>
          <xdr:col>22</xdr:col>
          <xdr:colOff>177800</xdr:colOff>
          <xdr:row>387</xdr:row>
          <xdr:rowOff>177800</xdr:rowOff>
        </xdr:to>
        <xdr:sp macro="" textlink="">
          <xdr:nvSpPr>
            <xdr:cNvPr id="7249" name="Check Box 81" hidden="1">
              <a:extLst>
                <a:ext uri="{63B3BB69-23CF-44E3-9099-C40C66FF867C}">
                  <a14:compatExt spid="_x0000_s7249"/>
                </a:ext>
                <a:ext uri="{FF2B5EF4-FFF2-40B4-BE49-F238E27FC236}">
                  <a16:creationId xmlns:a16="http://schemas.microsoft.com/office/drawing/2014/main" id="{00000000-0008-0000-0700-0000511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22</xdr:col>
          <xdr:colOff>0</xdr:colOff>
          <xdr:row>388</xdr:row>
          <xdr:rowOff>0</xdr:rowOff>
        </xdr:from>
        <xdr:to>
          <xdr:col>22</xdr:col>
          <xdr:colOff>177800</xdr:colOff>
          <xdr:row>388</xdr:row>
          <xdr:rowOff>177800</xdr:rowOff>
        </xdr:to>
        <xdr:sp macro="" textlink="">
          <xdr:nvSpPr>
            <xdr:cNvPr id="7250" name="Check Box 82" hidden="1">
              <a:extLst>
                <a:ext uri="{63B3BB69-23CF-44E3-9099-C40C66FF867C}">
                  <a14:compatExt spid="_x0000_s7250"/>
                </a:ext>
                <a:ext uri="{FF2B5EF4-FFF2-40B4-BE49-F238E27FC236}">
                  <a16:creationId xmlns:a16="http://schemas.microsoft.com/office/drawing/2014/main" id="{00000000-0008-0000-0700-0000521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22</xdr:col>
          <xdr:colOff>0</xdr:colOff>
          <xdr:row>390</xdr:row>
          <xdr:rowOff>0</xdr:rowOff>
        </xdr:from>
        <xdr:to>
          <xdr:col>22</xdr:col>
          <xdr:colOff>177800</xdr:colOff>
          <xdr:row>390</xdr:row>
          <xdr:rowOff>177800</xdr:rowOff>
        </xdr:to>
        <xdr:sp macro="" textlink="">
          <xdr:nvSpPr>
            <xdr:cNvPr id="7251" name="Check Box 83" hidden="1">
              <a:extLst>
                <a:ext uri="{63B3BB69-23CF-44E3-9099-C40C66FF867C}">
                  <a14:compatExt spid="_x0000_s7251"/>
                </a:ext>
                <a:ext uri="{FF2B5EF4-FFF2-40B4-BE49-F238E27FC236}">
                  <a16:creationId xmlns:a16="http://schemas.microsoft.com/office/drawing/2014/main" id="{00000000-0008-0000-0700-0000531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22</xdr:col>
          <xdr:colOff>0</xdr:colOff>
          <xdr:row>395</xdr:row>
          <xdr:rowOff>0</xdr:rowOff>
        </xdr:from>
        <xdr:to>
          <xdr:col>22</xdr:col>
          <xdr:colOff>177800</xdr:colOff>
          <xdr:row>395</xdr:row>
          <xdr:rowOff>177800</xdr:rowOff>
        </xdr:to>
        <xdr:sp macro="" textlink="">
          <xdr:nvSpPr>
            <xdr:cNvPr id="7252" name="Check Box 84" hidden="1">
              <a:extLst>
                <a:ext uri="{63B3BB69-23CF-44E3-9099-C40C66FF867C}">
                  <a14:compatExt spid="_x0000_s7252"/>
                </a:ext>
                <a:ext uri="{FF2B5EF4-FFF2-40B4-BE49-F238E27FC236}">
                  <a16:creationId xmlns:a16="http://schemas.microsoft.com/office/drawing/2014/main" id="{00000000-0008-0000-0700-0000541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22</xdr:col>
          <xdr:colOff>0</xdr:colOff>
          <xdr:row>170</xdr:row>
          <xdr:rowOff>0</xdr:rowOff>
        </xdr:from>
        <xdr:to>
          <xdr:col>22</xdr:col>
          <xdr:colOff>177800</xdr:colOff>
          <xdr:row>170</xdr:row>
          <xdr:rowOff>177800</xdr:rowOff>
        </xdr:to>
        <xdr:sp macro="" textlink="">
          <xdr:nvSpPr>
            <xdr:cNvPr id="7258" name="Check Box 90" hidden="1">
              <a:extLst>
                <a:ext uri="{63B3BB69-23CF-44E3-9099-C40C66FF867C}">
                  <a14:compatExt spid="_x0000_s7258"/>
                </a:ext>
                <a:ext uri="{FF2B5EF4-FFF2-40B4-BE49-F238E27FC236}">
                  <a16:creationId xmlns:a16="http://schemas.microsoft.com/office/drawing/2014/main" id="{00000000-0008-0000-0700-00005A1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xdr:wsDr>
</file>

<file path=xl/drawings/drawing8.xml><?xml version="1.0" encoding="utf-8"?>
<xdr:wsDr xmlns:xdr="http://schemas.openxmlformats.org/drawingml/2006/spreadsheetDrawing" xmlns:a="http://schemas.openxmlformats.org/drawingml/2006/main">
  <xdr:twoCellAnchor editAs="oneCell">
    <xdr:from>
      <xdr:col>12</xdr:col>
      <xdr:colOff>476250</xdr:colOff>
      <xdr:row>0</xdr:row>
      <xdr:rowOff>0</xdr:rowOff>
    </xdr:from>
    <xdr:to>
      <xdr:col>22</xdr:col>
      <xdr:colOff>885825</xdr:colOff>
      <xdr:row>4</xdr:row>
      <xdr:rowOff>141767</xdr:rowOff>
    </xdr:to>
    <xdr:pic>
      <xdr:nvPicPr>
        <xdr:cNvPr id="2" name="Picture 1">
          <a:extLst>
            <a:ext uri="{FF2B5EF4-FFF2-40B4-BE49-F238E27FC236}">
              <a16:creationId xmlns:a16="http://schemas.microsoft.com/office/drawing/2014/main" id="{00000000-0008-0000-08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467475" y="0"/>
          <a:ext cx="1828800" cy="903767"/>
        </a:xfrm>
        <a:prstGeom prst="rect">
          <a:avLst/>
        </a:prstGeom>
      </xdr:spPr>
    </xdr:pic>
    <xdr:clientData/>
  </xdr:twoCellAnchor>
  <mc:AlternateContent xmlns:mc="http://schemas.openxmlformats.org/markup-compatibility/2006">
    <mc:Choice xmlns:a14="http://schemas.microsoft.com/office/drawing/2010/main" Requires="a14">
      <xdr:twoCellAnchor>
        <xdr:from>
          <xdr:col>22</xdr:col>
          <xdr:colOff>0</xdr:colOff>
          <xdr:row>14</xdr:row>
          <xdr:rowOff>0</xdr:rowOff>
        </xdr:from>
        <xdr:to>
          <xdr:col>22</xdr:col>
          <xdr:colOff>177800</xdr:colOff>
          <xdr:row>14</xdr:row>
          <xdr:rowOff>177800</xdr:rowOff>
        </xdr:to>
        <xdr:sp macro="" textlink="">
          <xdr:nvSpPr>
            <xdr:cNvPr id="8316" name="Check Box 124" hidden="1">
              <a:extLst>
                <a:ext uri="{63B3BB69-23CF-44E3-9099-C40C66FF867C}">
                  <a14:compatExt spid="_x0000_s8316"/>
                </a:ext>
                <a:ext uri="{FF2B5EF4-FFF2-40B4-BE49-F238E27FC236}">
                  <a16:creationId xmlns:a16="http://schemas.microsoft.com/office/drawing/2014/main" id="{00000000-0008-0000-0800-00007C20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15</xdr:row>
          <xdr:rowOff>0</xdr:rowOff>
        </xdr:from>
        <xdr:to>
          <xdr:col>22</xdr:col>
          <xdr:colOff>177800</xdr:colOff>
          <xdr:row>15</xdr:row>
          <xdr:rowOff>177800</xdr:rowOff>
        </xdr:to>
        <xdr:sp macro="" textlink="">
          <xdr:nvSpPr>
            <xdr:cNvPr id="8317" name="Check Box 125" hidden="1">
              <a:extLst>
                <a:ext uri="{63B3BB69-23CF-44E3-9099-C40C66FF867C}">
                  <a14:compatExt spid="_x0000_s8317"/>
                </a:ext>
                <a:ext uri="{FF2B5EF4-FFF2-40B4-BE49-F238E27FC236}">
                  <a16:creationId xmlns:a16="http://schemas.microsoft.com/office/drawing/2014/main" id="{00000000-0008-0000-0800-00007D20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16</xdr:row>
          <xdr:rowOff>0</xdr:rowOff>
        </xdr:from>
        <xdr:to>
          <xdr:col>22</xdr:col>
          <xdr:colOff>177800</xdr:colOff>
          <xdr:row>16</xdr:row>
          <xdr:rowOff>177800</xdr:rowOff>
        </xdr:to>
        <xdr:sp macro="" textlink="">
          <xdr:nvSpPr>
            <xdr:cNvPr id="8318" name="Check Box 126" hidden="1">
              <a:extLst>
                <a:ext uri="{63B3BB69-23CF-44E3-9099-C40C66FF867C}">
                  <a14:compatExt spid="_x0000_s8318"/>
                </a:ext>
                <a:ext uri="{FF2B5EF4-FFF2-40B4-BE49-F238E27FC236}">
                  <a16:creationId xmlns:a16="http://schemas.microsoft.com/office/drawing/2014/main" id="{00000000-0008-0000-0800-00007E20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20</xdr:row>
          <xdr:rowOff>0</xdr:rowOff>
        </xdr:from>
        <xdr:to>
          <xdr:col>22</xdr:col>
          <xdr:colOff>177800</xdr:colOff>
          <xdr:row>20</xdr:row>
          <xdr:rowOff>177800</xdr:rowOff>
        </xdr:to>
        <xdr:sp macro="" textlink="">
          <xdr:nvSpPr>
            <xdr:cNvPr id="8319" name="Check Box 127" hidden="1">
              <a:extLst>
                <a:ext uri="{63B3BB69-23CF-44E3-9099-C40C66FF867C}">
                  <a14:compatExt spid="_x0000_s8319"/>
                </a:ext>
                <a:ext uri="{FF2B5EF4-FFF2-40B4-BE49-F238E27FC236}">
                  <a16:creationId xmlns:a16="http://schemas.microsoft.com/office/drawing/2014/main" id="{00000000-0008-0000-0800-00007F20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21</xdr:row>
          <xdr:rowOff>0</xdr:rowOff>
        </xdr:from>
        <xdr:to>
          <xdr:col>22</xdr:col>
          <xdr:colOff>177800</xdr:colOff>
          <xdr:row>21</xdr:row>
          <xdr:rowOff>177800</xdr:rowOff>
        </xdr:to>
        <xdr:sp macro="" textlink="">
          <xdr:nvSpPr>
            <xdr:cNvPr id="8320" name="Check Box 128" hidden="1">
              <a:extLst>
                <a:ext uri="{63B3BB69-23CF-44E3-9099-C40C66FF867C}">
                  <a14:compatExt spid="_x0000_s8320"/>
                </a:ext>
                <a:ext uri="{FF2B5EF4-FFF2-40B4-BE49-F238E27FC236}">
                  <a16:creationId xmlns:a16="http://schemas.microsoft.com/office/drawing/2014/main" id="{00000000-0008-0000-0800-00008020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22</xdr:row>
          <xdr:rowOff>0</xdr:rowOff>
        </xdr:from>
        <xdr:to>
          <xdr:col>22</xdr:col>
          <xdr:colOff>177800</xdr:colOff>
          <xdr:row>22</xdr:row>
          <xdr:rowOff>177800</xdr:rowOff>
        </xdr:to>
        <xdr:sp macro="" textlink="">
          <xdr:nvSpPr>
            <xdr:cNvPr id="8321" name="Check Box 129" hidden="1">
              <a:extLst>
                <a:ext uri="{63B3BB69-23CF-44E3-9099-C40C66FF867C}">
                  <a14:compatExt spid="_x0000_s8321"/>
                </a:ext>
                <a:ext uri="{FF2B5EF4-FFF2-40B4-BE49-F238E27FC236}">
                  <a16:creationId xmlns:a16="http://schemas.microsoft.com/office/drawing/2014/main" id="{00000000-0008-0000-0800-00008120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24</xdr:row>
          <xdr:rowOff>0</xdr:rowOff>
        </xdr:from>
        <xdr:to>
          <xdr:col>22</xdr:col>
          <xdr:colOff>177800</xdr:colOff>
          <xdr:row>24</xdr:row>
          <xdr:rowOff>177800</xdr:rowOff>
        </xdr:to>
        <xdr:sp macro="" textlink="">
          <xdr:nvSpPr>
            <xdr:cNvPr id="8322" name="Check Box 130" hidden="1">
              <a:extLst>
                <a:ext uri="{63B3BB69-23CF-44E3-9099-C40C66FF867C}">
                  <a14:compatExt spid="_x0000_s8322"/>
                </a:ext>
                <a:ext uri="{FF2B5EF4-FFF2-40B4-BE49-F238E27FC236}">
                  <a16:creationId xmlns:a16="http://schemas.microsoft.com/office/drawing/2014/main" id="{00000000-0008-0000-0800-00008220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26</xdr:row>
          <xdr:rowOff>0</xdr:rowOff>
        </xdr:from>
        <xdr:to>
          <xdr:col>22</xdr:col>
          <xdr:colOff>177800</xdr:colOff>
          <xdr:row>26</xdr:row>
          <xdr:rowOff>177800</xdr:rowOff>
        </xdr:to>
        <xdr:sp macro="" textlink="">
          <xdr:nvSpPr>
            <xdr:cNvPr id="8323" name="Check Box 131" hidden="1">
              <a:extLst>
                <a:ext uri="{63B3BB69-23CF-44E3-9099-C40C66FF867C}">
                  <a14:compatExt spid="_x0000_s8323"/>
                </a:ext>
                <a:ext uri="{FF2B5EF4-FFF2-40B4-BE49-F238E27FC236}">
                  <a16:creationId xmlns:a16="http://schemas.microsoft.com/office/drawing/2014/main" id="{00000000-0008-0000-0800-00008320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27</xdr:row>
          <xdr:rowOff>0</xdr:rowOff>
        </xdr:from>
        <xdr:to>
          <xdr:col>22</xdr:col>
          <xdr:colOff>177800</xdr:colOff>
          <xdr:row>27</xdr:row>
          <xdr:rowOff>177800</xdr:rowOff>
        </xdr:to>
        <xdr:sp macro="" textlink="">
          <xdr:nvSpPr>
            <xdr:cNvPr id="8324" name="Check Box 132" hidden="1">
              <a:extLst>
                <a:ext uri="{63B3BB69-23CF-44E3-9099-C40C66FF867C}">
                  <a14:compatExt spid="_x0000_s8324"/>
                </a:ext>
                <a:ext uri="{FF2B5EF4-FFF2-40B4-BE49-F238E27FC236}">
                  <a16:creationId xmlns:a16="http://schemas.microsoft.com/office/drawing/2014/main" id="{00000000-0008-0000-0800-00008420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29</xdr:row>
          <xdr:rowOff>0</xdr:rowOff>
        </xdr:from>
        <xdr:to>
          <xdr:col>22</xdr:col>
          <xdr:colOff>177800</xdr:colOff>
          <xdr:row>29</xdr:row>
          <xdr:rowOff>177800</xdr:rowOff>
        </xdr:to>
        <xdr:sp macro="" textlink="">
          <xdr:nvSpPr>
            <xdr:cNvPr id="8325" name="Check Box 133" hidden="1">
              <a:extLst>
                <a:ext uri="{63B3BB69-23CF-44E3-9099-C40C66FF867C}">
                  <a14:compatExt spid="_x0000_s8325"/>
                </a:ext>
                <a:ext uri="{FF2B5EF4-FFF2-40B4-BE49-F238E27FC236}">
                  <a16:creationId xmlns:a16="http://schemas.microsoft.com/office/drawing/2014/main" id="{00000000-0008-0000-0800-00008520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30</xdr:row>
          <xdr:rowOff>0</xdr:rowOff>
        </xdr:from>
        <xdr:to>
          <xdr:col>22</xdr:col>
          <xdr:colOff>177800</xdr:colOff>
          <xdr:row>30</xdr:row>
          <xdr:rowOff>177800</xdr:rowOff>
        </xdr:to>
        <xdr:sp macro="" textlink="">
          <xdr:nvSpPr>
            <xdr:cNvPr id="8326" name="Check Box 134" hidden="1">
              <a:extLst>
                <a:ext uri="{63B3BB69-23CF-44E3-9099-C40C66FF867C}">
                  <a14:compatExt spid="_x0000_s8326"/>
                </a:ext>
                <a:ext uri="{FF2B5EF4-FFF2-40B4-BE49-F238E27FC236}">
                  <a16:creationId xmlns:a16="http://schemas.microsoft.com/office/drawing/2014/main" id="{00000000-0008-0000-0800-00008620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31</xdr:row>
          <xdr:rowOff>0</xdr:rowOff>
        </xdr:from>
        <xdr:to>
          <xdr:col>22</xdr:col>
          <xdr:colOff>177800</xdr:colOff>
          <xdr:row>31</xdr:row>
          <xdr:rowOff>177800</xdr:rowOff>
        </xdr:to>
        <xdr:sp macro="" textlink="">
          <xdr:nvSpPr>
            <xdr:cNvPr id="8327" name="Check Box 135" hidden="1">
              <a:extLst>
                <a:ext uri="{63B3BB69-23CF-44E3-9099-C40C66FF867C}">
                  <a14:compatExt spid="_x0000_s8327"/>
                </a:ext>
                <a:ext uri="{FF2B5EF4-FFF2-40B4-BE49-F238E27FC236}">
                  <a16:creationId xmlns:a16="http://schemas.microsoft.com/office/drawing/2014/main" id="{00000000-0008-0000-0800-00008720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37</xdr:row>
          <xdr:rowOff>0</xdr:rowOff>
        </xdr:from>
        <xdr:to>
          <xdr:col>22</xdr:col>
          <xdr:colOff>177800</xdr:colOff>
          <xdr:row>37</xdr:row>
          <xdr:rowOff>177800</xdr:rowOff>
        </xdr:to>
        <xdr:sp macro="" textlink="">
          <xdr:nvSpPr>
            <xdr:cNvPr id="8328" name="Check Box 136" hidden="1">
              <a:extLst>
                <a:ext uri="{63B3BB69-23CF-44E3-9099-C40C66FF867C}">
                  <a14:compatExt spid="_x0000_s8328"/>
                </a:ext>
                <a:ext uri="{FF2B5EF4-FFF2-40B4-BE49-F238E27FC236}">
                  <a16:creationId xmlns:a16="http://schemas.microsoft.com/office/drawing/2014/main" id="{00000000-0008-0000-0800-00008820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41</xdr:row>
          <xdr:rowOff>0</xdr:rowOff>
        </xdr:from>
        <xdr:to>
          <xdr:col>22</xdr:col>
          <xdr:colOff>177800</xdr:colOff>
          <xdr:row>41</xdr:row>
          <xdr:rowOff>177800</xdr:rowOff>
        </xdr:to>
        <xdr:sp macro="" textlink="">
          <xdr:nvSpPr>
            <xdr:cNvPr id="8329" name="Check Box 137" hidden="1">
              <a:extLst>
                <a:ext uri="{63B3BB69-23CF-44E3-9099-C40C66FF867C}">
                  <a14:compatExt spid="_x0000_s8329"/>
                </a:ext>
                <a:ext uri="{FF2B5EF4-FFF2-40B4-BE49-F238E27FC236}">
                  <a16:creationId xmlns:a16="http://schemas.microsoft.com/office/drawing/2014/main" id="{00000000-0008-0000-0800-00008920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43</xdr:row>
          <xdr:rowOff>0</xdr:rowOff>
        </xdr:from>
        <xdr:to>
          <xdr:col>22</xdr:col>
          <xdr:colOff>177800</xdr:colOff>
          <xdr:row>43</xdr:row>
          <xdr:rowOff>177800</xdr:rowOff>
        </xdr:to>
        <xdr:sp macro="" textlink="">
          <xdr:nvSpPr>
            <xdr:cNvPr id="8330" name="Check Box 138" hidden="1">
              <a:extLst>
                <a:ext uri="{63B3BB69-23CF-44E3-9099-C40C66FF867C}">
                  <a14:compatExt spid="_x0000_s8330"/>
                </a:ext>
                <a:ext uri="{FF2B5EF4-FFF2-40B4-BE49-F238E27FC236}">
                  <a16:creationId xmlns:a16="http://schemas.microsoft.com/office/drawing/2014/main" id="{00000000-0008-0000-0800-00008A20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45</xdr:row>
          <xdr:rowOff>0</xdr:rowOff>
        </xdr:from>
        <xdr:to>
          <xdr:col>22</xdr:col>
          <xdr:colOff>177800</xdr:colOff>
          <xdr:row>45</xdr:row>
          <xdr:rowOff>177800</xdr:rowOff>
        </xdr:to>
        <xdr:sp macro="" textlink="">
          <xdr:nvSpPr>
            <xdr:cNvPr id="8331" name="Check Box 139" hidden="1">
              <a:extLst>
                <a:ext uri="{63B3BB69-23CF-44E3-9099-C40C66FF867C}">
                  <a14:compatExt spid="_x0000_s8331"/>
                </a:ext>
                <a:ext uri="{FF2B5EF4-FFF2-40B4-BE49-F238E27FC236}">
                  <a16:creationId xmlns:a16="http://schemas.microsoft.com/office/drawing/2014/main" id="{00000000-0008-0000-0800-00008B20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46</xdr:row>
          <xdr:rowOff>0</xdr:rowOff>
        </xdr:from>
        <xdr:to>
          <xdr:col>22</xdr:col>
          <xdr:colOff>177800</xdr:colOff>
          <xdr:row>46</xdr:row>
          <xdr:rowOff>177800</xdr:rowOff>
        </xdr:to>
        <xdr:sp macro="" textlink="">
          <xdr:nvSpPr>
            <xdr:cNvPr id="8332" name="Check Box 140" hidden="1">
              <a:extLst>
                <a:ext uri="{63B3BB69-23CF-44E3-9099-C40C66FF867C}">
                  <a14:compatExt spid="_x0000_s8332"/>
                </a:ext>
                <a:ext uri="{FF2B5EF4-FFF2-40B4-BE49-F238E27FC236}">
                  <a16:creationId xmlns:a16="http://schemas.microsoft.com/office/drawing/2014/main" id="{00000000-0008-0000-0800-00008C20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48</xdr:row>
          <xdr:rowOff>0</xdr:rowOff>
        </xdr:from>
        <xdr:to>
          <xdr:col>22</xdr:col>
          <xdr:colOff>177800</xdr:colOff>
          <xdr:row>48</xdr:row>
          <xdr:rowOff>177800</xdr:rowOff>
        </xdr:to>
        <xdr:sp macro="" textlink="">
          <xdr:nvSpPr>
            <xdr:cNvPr id="8333" name="Check Box 141" hidden="1">
              <a:extLst>
                <a:ext uri="{63B3BB69-23CF-44E3-9099-C40C66FF867C}">
                  <a14:compatExt spid="_x0000_s8333"/>
                </a:ext>
                <a:ext uri="{FF2B5EF4-FFF2-40B4-BE49-F238E27FC236}">
                  <a16:creationId xmlns:a16="http://schemas.microsoft.com/office/drawing/2014/main" id="{00000000-0008-0000-0800-00008D20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50</xdr:row>
          <xdr:rowOff>0</xdr:rowOff>
        </xdr:from>
        <xdr:to>
          <xdr:col>22</xdr:col>
          <xdr:colOff>177800</xdr:colOff>
          <xdr:row>50</xdr:row>
          <xdr:rowOff>177800</xdr:rowOff>
        </xdr:to>
        <xdr:sp macro="" textlink="">
          <xdr:nvSpPr>
            <xdr:cNvPr id="8334" name="Check Box 142" hidden="1">
              <a:extLst>
                <a:ext uri="{63B3BB69-23CF-44E3-9099-C40C66FF867C}">
                  <a14:compatExt spid="_x0000_s8334"/>
                </a:ext>
                <a:ext uri="{FF2B5EF4-FFF2-40B4-BE49-F238E27FC236}">
                  <a16:creationId xmlns:a16="http://schemas.microsoft.com/office/drawing/2014/main" id="{00000000-0008-0000-0800-00008E20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51</xdr:row>
          <xdr:rowOff>0</xdr:rowOff>
        </xdr:from>
        <xdr:to>
          <xdr:col>22</xdr:col>
          <xdr:colOff>177800</xdr:colOff>
          <xdr:row>51</xdr:row>
          <xdr:rowOff>177800</xdr:rowOff>
        </xdr:to>
        <xdr:sp macro="" textlink="">
          <xdr:nvSpPr>
            <xdr:cNvPr id="8335" name="Check Box 143" hidden="1">
              <a:extLst>
                <a:ext uri="{63B3BB69-23CF-44E3-9099-C40C66FF867C}">
                  <a14:compatExt spid="_x0000_s8335"/>
                </a:ext>
                <a:ext uri="{FF2B5EF4-FFF2-40B4-BE49-F238E27FC236}">
                  <a16:creationId xmlns:a16="http://schemas.microsoft.com/office/drawing/2014/main" id="{00000000-0008-0000-0800-00008F20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53</xdr:row>
          <xdr:rowOff>0</xdr:rowOff>
        </xdr:from>
        <xdr:to>
          <xdr:col>22</xdr:col>
          <xdr:colOff>177800</xdr:colOff>
          <xdr:row>53</xdr:row>
          <xdr:rowOff>177800</xdr:rowOff>
        </xdr:to>
        <xdr:sp macro="" textlink="">
          <xdr:nvSpPr>
            <xdr:cNvPr id="8336" name="Check Box 144" hidden="1">
              <a:extLst>
                <a:ext uri="{63B3BB69-23CF-44E3-9099-C40C66FF867C}">
                  <a14:compatExt spid="_x0000_s8336"/>
                </a:ext>
                <a:ext uri="{FF2B5EF4-FFF2-40B4-BE49-F238E27FC236}">
                  <a16:creationId xmlns:a16="http://schemas.microsoft.com/office/drawing/2014/main" id="{00000000-0008-0000-0800-00009020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55</xdr:row>
          <xdr:rowOff>0</xdr:rowOff>
        </xdr:from>
        <xdr:to>
          <xdr:col>22</xdr:col>
          <xdr:colOff>177800</xdr:colOff>
          <xdr:row>55</xdr:row>
          <xdr:rowOff>177800</xdr:rowOff>
        </xdr:to>
        <xdr:sp macro="" textlink="">
          <xdr:nvSpPr>
            <xdr:cNvPr id="8337" name="Check Box 145" hidden="1">
              <a:extLst>
                <a:ext uri="{63B3BB69-23CF-44E3-9099-C40C66FF867C}">
                  <a14:compatExt spid="_x0000_s8337"/>
                </a:ext>
                <a:ext uri="{FF2B5EF4-FFF2-40B4-BE49-F238E27FC236}">
                  <a16:creationId xmlns:a16="http://schemas.microsoft.com/office/drawing/2014/main" id="{00000000-0008-0000-0800-00009120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61</xdr:row>
          <xdr:rowOff>0</xdr:rowOff>
        </xdr:from>
        <xdr:to>
          <xdr:col>22</xdr:col>
          <xdr:colOff>177800</xdr:colOff>
          <xdr:row>61</xdr:row>
          <xdr:rowOff>177800</xdr:rowOff>
        </xdr:to>
        <xdr:sp macro="" textlink="">
          <xdr:nvSpPr>
            <xdr:cNvPr id="8340" name="Check Box 148" hidden="1">
              <a:extLst>
                <a:ext uri="{63B3BB69-23CF-44E3-9099-C40C66FF867C}">
                  <a14:compatExt spid="_x0000_s8340"/>
                </a:ext>
                <a:ext uri="{FF2B5EF4-FFF2-40B4-BE49-F238E27FC236}">
                  <a16:creationId xmlns:a16="http://schemas.microsoft.com/office/drawing/2014/main" id="{00000000-0008-0000-0800-00009420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83</xdr:row>
          <xdr:rowOff>0</xdr:rowOff>
        </xdr:from>
        <xdr:to>
          <xdr:col>22</xdr:col>
          <xdr:colOff>177800</xdr:colOff>
          <xdr:row>83</xdr:row>
          <xdr:rowOff>177800</xdr:rowOff>
        </xdr:to>
        <xdr:sp macro="" textlink="">
          <xdr:nvSpPr>
            <xdr:cNvPr id="8341" name="Check Box 149" hidden="1">
              <a:extLst>
                <a:ext uri="{63B3BB69-23CF-44E3-9099-C40C66FF867C}">
                  <a14:compatExt spid="_x0000_s8341"/>
                </a:ext>
                <a:ext uri="{FF2B5EF4-FFF2-40B4-BE49-F238E27FC236}">
                  <a16:creationId xmlns:a16="http://schemas.microsoft.com/office/drawing/2014/main" id="{00000000-0008-0000-0800-00009520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86</xdr:row>
          <xdr:rowOff>0</xdr:rowOff>
        </xdr:from>
        <xdr:to>
          <xdr:col>22</xdr:col>
          <xdr:colOff>177800</xdr:colOff>
          <xdr:row>86</xdr:row>
          <xdr:rowOff>177800</xdr:rowOff>
        </xdr:to>
        <xdr:sp macro="" textlink="">
          <xdr:nvSpPr>
            <xdr:cNvPr id="8342" name="Check Box 150" hidden="1">
              <a:extLst>
                <a:ext uri="{63B3BB69-23CF-44E3-9099-C40C66FF867C}">
                  <a14:compatExt spid="_x0000_s8342"/>
                </a:ext>
                <a:ext uri="{FF2B5EF4-FFF2-40B4-BE49-F238E27FC236}">
                  <a16:creationId xmlns:a16="http://schemas.microsoft.com/office/drawing/2014/main" id="{00000000-0008-0000-0800-00009620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89</xdr:row>
          <xdr:rowOff>0</xdr:rowOff>
        </xdr:from>
        <xdr:to>
          <xdr:col>22</xdr:col>
          <xdr:colOff>177800</xdr:colOff>
          <xdr:row>89</xdr:row>
          <xdr:rowOff>177800</xdr:rowOff>
        </xdr:to>
        <xdr:sp macro="" textlink="">
          <xdr:nvSpPr>
            <xdr:cNvPr id="8343" name="Check Box 151" hidden="1">
              <a:extLst>
                <a:ext uri="{63B3BB69-23CF-44E3-9099-C40C66FF867C}">
                  <a14:compatExt spid="_x0000_s8343"/>
                </a:ext>
                <a:ext uri="{FF2B5EF4-FFF2-40B4-BE49-F238E27FC236}">
                  <a16:creationId xmlns:a16="http://schemas.microsoft.com/office/drawing/2014/main" id="{00000000-0008-0000-0800-00009720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91</xdr:row>
          <xdr:rowOff>0</xdr:rowOff>
        </xdr:from>
        <xdr:to>
          <xdr:col>22</xdr:col>
          <xdr:colOff>177800</xdr:colOff>
          <xdr:row>91</xdr:row>
          <xdr:rowOff>177800</xdr:rowOff>
        </xdr:to>
        <xdr:sp macro="" textlink="">
          <xdr:nvSpPr>
            <xdr:cNvPr id="8344" name="Check Box 152" hidden="1">
              <a:extLst>
                <a:ext uri="{63B3BB69-23CF-44E3-9099-C40C66FF867C}">
                  <a14:compatExt spid="_x0000_s8344"/>
                </a:ext>
                <a:ext uri="{FF2B5EF4-FFF2-40B4-BE49-F238E27FC236}">
                  <a16:creationId xmlns:a16="http://schemas.microsoft.com/office/drawing/2014/main" id="{00000000-0008-0000-0800-00009820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92</xdr:row>
          <xdr:rowOff>0</xdr:rowOff>
        </xdr:from>
        <xdr:to>
          <xdr:col>22</xdr:col>
          <xdr:colOff>177800</xdr:colOff>
          <xdr:row>92</xdr:row>
          <xdr:rowOff>177800</xdr:rowOff>
        </xdr:to>
        <xdr:sp macro="" textlink="">
          <xdr:nvSpPr>
            <xdr:cNvPr id="8345" name="Check Box 153" hidden="1">
              <a:extLst>
                <a:ext uri="{63B3BB69-23CF-44E3-9099-C40C66FF867C}">
                  <a14:compatExt spid="_x0000_s8345"/>
                </a:ext>
                <a:ext uri="{FF2B5EF4-FFF2-40B4-BE49-F238E27FC236}">
                  <a16:creationId xmlns:a16="http://schemas.microsoft.com/office/drawing/2014/main" id="{00000000-0008-0000-0800-00009920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94</xdr:row>
          <xdr:rowOff>0</xdr:rowOff>
        </xdr:from>
        <xdr:to>
          <xdr:col>22</xdr:col>
          <xdr:colOff>177800</xdr:colOff>
          <xdr:row>94</xdr:row>
          <xdr:rowOff>177800</xdr:rowOff>
        </xdr:to>
        <xdr:sp macro="" textlink="">
          <xdr:nvSpPr>
            <xdr:cNvPr id="8346" name="Check Box 154" hidden="1">
              <a:extLst>
                <a:ext uri="{63B3BB69-23CF-44E3-9099-C40C66FF867C}">
                  <a14:compatExt spid="_x0000_s8346"/>
                </a:ext>
                <a:ext uri="{FF2B5EF4-FFF2-40B4-BE49-F238E27FC236}">
                  <a16:creationId xmlns:a16="http://schemas.microsoft.com/office/drawing/2014/main" id="{00000000-0008-0000-0800-00009A20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95</xdr:row>
          <xdr:rowOff>0</xdr:rowOff>
        </xdr:from>
        <xdr:to>
          <xdr:col>22</xdr:col>
          <xdr:colOff>177800</xdr:colOff>
          <xdr:row>95</xdr:row>
          <xdr:rowOff>177800</xdr:rowOff>
        </xdr:to>
        <xdr:sp macro="" textlink="">
          <xdr:nvSpPr>
            <xdr:cNvPr id="8347" name="Check Box 155" hidden="1">
              <a:extLst>
                <a:ext uri="{63B3BB69-23CF-44E3-9099-C40C66FF867C}">
                  <a14:compatExt spid="_x0000_s8347"/>
                </a:ext>
                <a:ext uri="{FF2B5EF4-FFF2-40B4-BE49-F238E27FC236}">
                  <a16:creationId xmlns:a16="http://schemas.microsoft.com/office/drawing/2014/main" id="{00000000-0008-0000-0800-00009B20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96</xdr:row>
          <xdr:rowOff>0</xdr:rowOff>
        </xdr:from>
        <xdr:to>
          <xdr:col>22</xdr:col>
          <xdr:colOff>177800</xdr:colOff>
          <xdr:row>96</xdr:row>
          <xdr:rowOff>177800</xdr:rowOff>
        </xdr:to>
        <xdr:sp macro="" textlink="">
          <xdr:nvSpPr>
            <xdr:cNvPr id="8348" name="Check Box 156" hidden="1">
              <a:extLst>
                <a:ext uri="{63B3BB69-23CF-44E3-9099-C40C66FF867C}">
                  <a14:compatExt spid="_x0000_s8348"/>
                </a:ext>
                <a:ext uri="{FF2B5EF4-FFF2-40B4-BE49-F238E27FC236}">
                  <a16:creationId xmlns:a16="http://schemas.microsoft.com/office/drawing/2014/main" id="{00000000-0008-0000-0800-00009C20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102</xdr:row>
          <xdr:rowOff>0</xdr:rowOff>
        </xdr:from>
        <xdr:to>
          <xdr:col>22</xdr:col>
          <xdr:colOff>177800</xdr:colOff>
          <xdr:row>102</xdr:row>
          <xdr:rowOff>177800</xdr:rowOff>
        </xdr:to>
        <xdr:sp macro="" textlink="">
          <xdr:nvSpPr>
            <xdr:cNvPr id="8349" name="Check Box 157" hidden="1">
              <a:extLst>
                <a:ext uri="{63B3BB69-23CF-44E3-9099-C40C66FF867C}">
                  <a14:compatExt spid="_x0000_s8349"/>
                </a:ext>
                <a:ext uri="{FF2B5EF4-FFF2-40B4-BE49-F238E27FC236}">
                  <a16:creationId xmlns:a16="http://schemas.microsoft.com/office/drawing/2014/main" id="{00000000-0008-0000-0800-00009D20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104</xdr:row>
          <xdr:rowOff>0</xdr:rowOff>
        </xdr:from>
        <xdr:to>
          <xdr:col>22</xdr:col>
          <xdr:colOff>177800</xdr:colOff>
          <xdr:row>104</xdr:row>
          <xdr:rowOff>177800</xdr:rowOff>
        </xdr:to>
        <xdr:sp macro="" textlink="">
          <xdr:nvSpPr>
            <xdr:cNvPr id="8350" name="Check Box 158" hidden="1">
              <a:extLst>
                <a:ext uri="{63B3BB69-23CF-44E3-9099-C40C66FF867C}">
                  <a14:compatExt spid="_x0000_s8350"/>
                </a:ext>
                <a:ext uri="{FF2B5EF4-FFF2-40B4-BE49-F238E27FC236}">
                  <a16:creationId xmlns:a16="http://schemas.microsoft.com/office/drawing/2014/main" id="{00000000-0008-0000-0800-00009E20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107</xdr:row>
          <xdr:rowOff>0</xdr:rowOff>
        </xdr:from>
        <xdr:to>
          <xdr:col>22</xdr:col>
          <xdr:colOff>177800</xdr:colOff>
          <xdr:row>107</xdr:row>
          <xdr:rowOff>177800</xdr:rowOff>
        </xdr:to>
        <xdr:sp macro="" textlink="">
          <xdr:nvSpPr>
            <xdr:cNvPr id="8351" name="Check Box 159" hidden="1">
              <a:extLst>
                <a:ext uri="{63B3BB69-23CF-44E3-9099-C40C66FF867C}">
                  <a14:compatExt spid="_x0000_s8351"/>
                </a:ext>
                <a:ext uri="{FF2B5EF4-FFF2-40B4-BE49-F238E27FC236}">
                  <a16:creationId xmlns:a16="http://schemas.microsoft.com/office/drawing/2014/main" id="{00000000-0008-0000-0800-00009F20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109</xdr:row>
          <xdr:rowOff>0</xdr:rowOff>
        </xdr:from>
        <xdr:to>
          <xdr:col>22</xdr:col>
          <xdr:colOff>177800</xdr:colOff>
          <xdr:row>109</xdr:row>
          <xdr:rowOff>177800</xdr:rowOff>
        </xdr:to>
        <xdr:sp macro="" textlink="">
          <xdr:nvSpPr>
            <xdr:cNvPr id="8352" name="Check Box 160" hidden="1">
              <a:extLst>
                <a:ext uri="{63B3BB69-23CF-44E3-9099-C40C66FF867C}">
                  <a14:compatExt spid="_x0000_s8352"/>
                </a:ext>
                <a:ext uri="{FF2B5EF4-FFF2-40B4-BE49-F238E27FC236}">
                  <a16:creationId xmlns:a16="http://schemas.microsoft.com/office/drawing/2014/main" id="{00000000-0008-0000-0800-0000A020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112</xdr:row>
          <xdr:rowOff>0</xdr:rowOff>
        </xdr:from>
        <xdr:to>
          <xdr:col>22</xdr:col>
          <xdr:colOff>177800</xdr:colOff>
          <xdr:row>112</xdr:row>
          <xdr:rowOff>177800</xdr:rowOff>
        </xdr:to>
        <xdr:sp macro="" textlink="">
          <xdr:nvSpPr>
            <xdr:cNvPr id="8353" name="Check Box 161" hidden="1">
              <a:extLst>
                <a:ext uri="{63B3BB69-23CF-44E3-9099-C40C66FF867C}">
                  <a14:compatExt spid="_x0000_s8353"/>
                </a:ext>
                <a:ext uri="{FF2B5EF4-FFF2-40B4-BE49-F238E27FC236}">
                  <a16:creationId xmlns:a16="http://schemas.microsoft.com/office/drawing/2014/main" id="{00000000-0008-0000-0800-0000A120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114</xdr:row>
          <xdr:rowOff>0</xdr:rowOff>
        </xdr:from>
        <xdr:to>
          <xdr:col>22</xdr:col>
          <xdr:colOff>177800</xdr:colOff>
          <xdr:row>114</xdr:row>
          <xdr:rowOff>177800</xdr:rowOff>
        </xdr:to>
        <xdr:sp macro="" textlink="">
          <xdr:nvSpPr>
            <xdr:cNvPr id="8354" name="Check Box 162" hidden="1">
              <a:extLst>
                <a:ext uri="{63B3BB69-23CF-44E3-9099-C40C66FF867C}">
                  <a14:compatExt spid="_x0000_s8354"/>
                </a:ext>
                <a:ext uri="{FF2B5EF4-FFF2-40B4-BE49-F238E27FC236}">
                  <a16:creationId xmlns:a16="http://schemas.microsoft.com/office/drawing/2014/main" id="{00000000-0008-0000-0800-0000A220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115</xdr:row>
          <xdr:rowOff>0</xdr:rowOff>
        </xdr:from>
        <xdr:to>
          <xdr:col>22</xdr:col>
          <xdr:colOff>177800</xdr:colOff>
          <xdr:row>115</xdr:row>
          <xdr:rowOff>177800</xdr:rowOff>
        </xdr:to>
        <xdr:sp macro="" textlink="">
          <xdr:nvSpPr>
            <xdr:cNvPr id="8355" name="Check Box 163" hidden="1">
              <a:extLst>
                <a:ext uri="{63B3BB69-23CF-44E3-9099-C40C66FF867C}">
                  <a14:compatExt spid="_x0000_s8355"/>
                </a:ext>
                <a:ext uri="{FF2B5EF4-FFF2-40B4-BE49-F238E27FC236}">
                  <a16:creationId xmlns:a16="http://schemas.microsoft.com/office/drawing/2014/main" id="{00000000-0008-0000-0800-0000A320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117</xdr:row>
          <xdr:rowOff>0</xdr:rowOff>
        </xdr:from>
        <xdr:to>
          <xdr:col>22</xdr:col>
          <xdr:colOff>177800</xdr:colOff>
          <xdr:row>117</xdr:row>
          <xdr:rowOff>177800</xdr:rowOff>
        </xdr:to>
        <xdr:sp macro="" textlink="">
          <xdr:nvSpPr>
            <xdr:cNvPr id="8356" name="Check Box 164" hidden="1">
              <a:extLst>
                <a:ext uri="{63B3BB69-23CF-44E3-9099-C40C66FF867C}">
                  <a14:compatExt spid="_x0000_s8356"/>
                </a:ext>
                <a:ext uri="{FF2B5EF4-FFF2-40B4-BE49-F238E27FC236}">
                  <a16:creationId xmlns:a16="http://schemas.microsoft.com/office/drawing/2014/main" id="{00000000-0008-0000-0800-0000A420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119</xdr:row>
          <xdr:rowOff>0</xdr:rowOff>
        </xdr:from>
        <xdr:to>
          <xdr:col>22</xdr:col>
          <xdr:colOff>177800</xdr:colOff>
          <xdr:row>119</xdr:row>
          <xdr:rowOff>177800</xdr:rowOff>
        </xdr:to>
        <xdr:sp macro="" textlink="">
          <xdr:nvSpPr>
            <xdr:cNvPr id="8357" name="Check Box 165" hidden="1">
              <a:extLst>
                <a:ext uri="{63B3BB69-23CF-44E3-9099-C40C66FF867C}">
                  <a14:compatExt spid="_x0000_s8357"/>
                </a:ext>
                <a:ext uri="{FF2B5EF4-FFF2-40B4-BE49-F238E27FC236}">
                  <a16:creationId xmlns:a16="http://schemas.microsoft.com/office/drawing/2014/main" id="{00000000-0008-0000-0800-0000A520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120</xdr:row>
          <xdr:rowOff>0</xdr:rowOff>
        </xdr:from>
        <xdr:to>
          <xdr:col>22</xdr:col>
          <xdr:colOff>177800</xdr:colOff>
          <xdr:row>120</xdr:row>
          <xdr:rowOff>177800</xdr:rowOff>
        </xdr:to>
        <xdr:sp macro="" textlink="">
          <xdr:nvSpPr>
            <xdr:cNvPr id="8358" name="Check Box 166" hidden="1">
              <a:extLst>
                <a:ext uri="{63B3BB69-23CF-44E3-9099-C40C66FF867C}">
                  <a14:compatExt spid="_x0000_s8358"/>
                </a:ext>
                <a:ext uri="{FF2B5EF4-FFF2-40B4-BE49-F238E27FC236}">
                  <a16:creationId xmlns:a16="http://schemas.microsoft.com/office/drawing/2014/main" id="{00000000-0008-0000-0800-0000A620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123</xdr:row>
          <xdr:rowOff>0</xdr:rowOff>
        </xdr:from>
        <xdr:to>
          <xdr:col>22</xdr:col>
          <xdr:colOff>177800</xdr:colOff>
          <xdr:row>123</xdr:row>
          <xdr:rowOff>177800</xdr:rowOff>
        </xdr:to>
        <xdr:sp macro="" textlink="">
          <xdr:nvSpPr>
            <xdr:cNvPr id="8359" name="Check Box 167" hidden="1">
              <a:extLst>
                <a:ext uri="{63B3BB69-23CF-44E3-9099-C40C66FF867C}">
                  <a14:compatExt spid="_x0000_s8359"/>
                </a:ext>
                <a:ext uri="{FF2B5EF4-FFF2-40B4-BE49-F238E27FC236}">
                  <a16:creationId xmlns:a16="http://schemas.microsoft.com/office/drawing/2014/main" id="{00000000-0008-0000-0800-0000A720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129</xdr:row>
          <xdr:rowOff>0</xdr:rowOff>
        </xdr:from>
        <xdr:to>
          <xdr:col>22</xdr:col>
          <xdr:colOff>177800</xdr:colOff>
          <xdr:row>129</xdr:row>
          <xdr:rowOff>177800</xdr:rowOff>
        </xdr:to>
        <xdr:sp macro="" textlink="">
          <xdr:nvSpPr>
            <xdr:cNvPr id="8360" name="Check Box 168" hidden="1">
              <a:extLst>
                <a:ext uri="{63B3BB69-23CF-44E3-9099-C40C66FF867C}">
                  <a14:compatExt spid="_x0000_s8360"/>
                </a:ext>
                <a:ext uri="{FF2B5EF4-FFF2-40B4-BE49-F238E27FC236}">
                  <a16:creationId xmlns:a16="http://schemas.microsoft.com/office/drawing/2014/main" id="{00000000-0008-0000-0800-0000A820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131</xdr:row>
          <xdr:rowOff>0</xdr:rowOff>
        </xdr:from>
        <xdr:to>
          <xdr:col>22</xdr:col>
          <xdr:colOff>177800</xdr:colOff>
          <xdr:row>131</xdr:row>
          <xdr:rowOff>177800</xdr:rowOff>
        </xdr:to>
        <xdr:sp macro="" textlink="">
          <xdr:nvSpPr>
            <xdr:cNvPr id="8361" name="Check Box 169" hidden="1">
              <a:extLst>
                <a:ext uri="{63B3BB69-23CF-44E3-9099-C40C66FF867C}">
                  <a14:compatExt spid="_x0000_s8361"/>
                </a:ext>
                <a:ext uri="{FF2B5EF4-FFF2-40B4-BE49-F238E27FC236}">
                  <a16:creationId xmlns:a16="http://schemas.microsoft.com/office/drawing/2014/main" id="{00000000-0008-0000-0800-0000A920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135</xdr:row>
          <xdr:rowOff>0</xdr:rowOff>
        </xdr:from>
        <xdr:to>
          <xdr:col>22</xdr:col>
          <xdr:colOff>177800</xdr:colOff>
          <xdr:row>135</xdr:row>
          <xdr:rowOff>177800</xdr:rowOff>
        </xdr:to>
        <xdr:sp macro="" textlink="">
          <xdr:nvSpPr>
            <xdr:cNvPr id="8362" name="Check Box 170" hidden="1">
              <a:extLst>
                <a:ext uri="{63B3BB69-23CF-44E3-9099-C40C66FF867C}">
                  <a14:compatExt spid="_x0000_s8362"/>
                </a:ext>
                <a:ext uri="{FF2B5EF4-FFF2-40B4-BE49-F238E27FC236}">
                  <a16:creationId xmlns:a16="http://schemas.microsoft.com/office/drawing/2014/main" id="{00000000-0008-0000-0800-0000AA20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142</xdr:row>
          <xdr:rowOff>0</xdr:rowOff>
        </xdr:from>
        <xdr:to>
          <xdr:col>22</xdr:col>
          <xdr:colOff>177800</xdr:colOff>
          <xdr:row>142</xdr:row>
          <xdr:rowOff>177800</xdr:rowOff>
        </xdr:to>
        <xdr:sp macro="" textlink="">
          <xdr:nvSpPr>
            <xdr:cNvPr id="8363" name="Check Box 171" hidden="1">
              <a:extLst>
                <a:ext uri="{63B3BB69-23CF-44E3-9099-C40C66FF867C}">
                  <a14:compatExt spid="_x0000_s8363"/>
                </a:ext>
                <a:ext uri="{FF2B5EF4-FFF2-40B4-BE49-F238E27FC236}">
                  <a16:creationId xmlns:a16="http://schemas.microsoft.com/office/drawing/2014/main" id="{00000000-0008-0000-0800-0000AB20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144</xdr:row>
          <xdr:rowOff>0</xdr:rowOff>
        </xdr:from>
        <xdr:to>
          <xdr:col>22</xdr:col>
          <xdr:colOff>177800</xdr:colOff>
          <xdr:row>144</xdr:row>
          <xdr:rowOff>177800</xdr:rowOff>
        </xdr:to>
        <xdr:sp macro="" textlink="">
          <xdr:nvSpPr>
            <xdr:cNvPr id="8364" name="Check Box 172" hidden="1">
              <a:extLst>
                <a:ext uri="{63B3BB69-23CF-44E3-9099-C40C66FF867C}">
                  <a14:compatExt spid="_x0000_s8364"/>
                </a:ext>
                <a:ext uri="{FF2B5EF4-FFF2-40B4-BE49-F238E27FC236}">
                  <a16:creationId xmlns:a16="http://schemas.microsoft.com/office/drawing/2014/main" id="{00000000-0008-0000-0800-0000AC20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145</xdr:row>
          <xdr:rowOff>0</xdr:rowOff>
        </xdr:from>
        <xdr:to>
          <xdr:col>22</xdr:col>
          <xdr:colOff>177800</xdr:colOff>
          <xdr:row>145</xdr:row>
          <xdr:rowOff>177800</xdr:rowOff>
        </xdr:to>
        <xdr:sp macro="" textlink="">
          <xdr:nvSpPr>
            <xdr:cNvPr id="8365" name="Check Box 173" hidden="1">
              <a:extLst>
                <a:ext uri="{63B3BB69-23CF-44E3-9099-C40C66FF867C}">
                  <a14:compatExt spid="_x0000_s8365"/>
                </a:ext>
                <a:ext uri="{FF2B5EF4-FFF2-40B4-BE49-F238E27FC236}">
                  <a16:creationId xmlns:a16="http://schemas.microsoft.com/office/drawing/2014/main" id="{00000000-0008-0000-0800-0000AD20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147</xdr:row>
          <xdr:rowOff>0</xdr:rowOff>
        </xdr:from>
        <xdr:to>
          <xdr:col>22</xdr:col>
          <xdr:colOff>177800</xdr:colOff>
          <xdr:row>147</xdr:row>
          <xdr:rowOff>177800</xdr:rowOff>
        </xdr:to>
        <xdr:sp macro="" textlink="">
          <xdr:nvSpPr>
            <xdr:cNvPr id="8366" name="Check Box 174" hidden="1">
              <a:extLst>
                <a:ext uri="{63B3BB69-23CF-44E3-9099-C40C66FF867C}">
                  <a14:compatExt spid="_x0000_s8366"/>
                </a:ext>
                <a:ext uri="{FF2B5EF4-FFF2-40B4-BE49-F238E27FC236}">
                  <a16:creationId xmlns:a16="http://schemas.microsoft.com/office/drawing/2014/main" id="{00000000-0008-0000-0800-0000AE20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148</xdr:row>
          <xdr:rowOff>0</xdr:rowOff>
        </xdr:from>
        <xdr:to>
          <xdr:col>22</xdr:col>
          <xdr:colOff>177800</xdr:colOff>
          <xdr:row>148</xdr:row>
          <xdr:rowOff>177800</xdr:rowOff>
        </xdr:to>
        <xdr:sp macro="" textlink="">
          <xdr:nvSpPr>
            <xdr:cNvPr id="8367" name="Check Box 175" hidden="1">
              <a:extLst>
                <a:ext uri="{63B3BB69-23CF-44E3-9099-C40C66FF867C}">
                  <a14:compatExt spid="_x0000_s8367"/>
                </a:ext>
                <a:ext uri="{FF2B5EF4-FFF2-40B4-BE49-F238E27FC236}">
                  <a16:creationId xmlns:a16="http://schemas.microsoft.com/office/drawing/2014/main" id="{00000000-0008-0000-0800-0000AF20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149</xdr:row>
          <xdr:rowOff>0</xdr:rowOff>
        </xdr:from>
        <xdr:to>
          <xdr:col>22</xdr:col>
          <xdr:colOff>177800</xdr:colOff>
          <xdr:row>149</xdr:row>
          <xdr:rowOff>177800</xdr:rowOff>
        </xdr:to>
        <xdr:sp macro="" textlink="">
          <xdr:nvSpPr>
            <xdr:cNvPr id="8368" name="Check Box 176" hidden="1">
              <a:extLst>
                <a:ext uri="{63B3BB69-23CF-44E3-9099-C40C66FF867C}">
                  <a14:compatExt spid="_x0000_s8368"/>
                </a:ext>
                <a:ext uri="{FF2B5EF4-FFF2-40B4-BE49-F238E27FC236}">
                  <a16:creationId xmlns:a16="http://schemas.microsoft.com/office/drawing/2014/main" id="{00000000-0008-0000-0800-0000B020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150</xdr:row>
          <xdr:rowOff>0</xdr:rowOff>
        </xdr:from>
        <xdr:to>
          <xdr:col>22</xdr:col>
          <xdr:colOff>177800</xdr:colOff>
          <xdr:row>150</xdr:row>
          <xdr:rowOff>177800</xdr:rowOff>
        </xdr:to>
        <xdr:sp macro="" textlink="">
          <xdr:nvSpPr>
            <xdr:cNvPr id="8369" name="Check Box 177" hidden="1">
              <a:extLst>
                <a:ext uri="{63B3BB69-23CF-44E3-9099-C40C66FF867C}">
                  <a14:compatExt spid="_x0000_s8369"/>
                </a:ext>
                <a:ext uri="{FF2B5EF4-FFF2-40B4-BE49-F238E27FC236}">
                  <a16:creationId xmlns:a16="http://schemas.microsoft.com/office/drawing/2014/main" id="{00000000-0008-0000-0800-0000B120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153</xdr:row>
          <xdr:rowOff>0</xdr:rowOff>
        </xdr:from>
        <xdr:to>
          <xdr:col>22</xdr:col>
          <xdr:colOff>177800</xdr:colOff>
          <xdr:row>153</xdr:row>
          <xdr:rowOff>177800</xdr:rowOff>
        </xdr:to>
        <xdr:sp macro="" textlink="">
          <xdr:nvSpPr>
            <xdr:cNvPr id="8370" name="Check Box 178" hidden="1">
              <a:extLst>
                <a:ext uri="{63B3BB69-23CF-44E3-9099-C40C66FF867C}">
                  <a14:compatExt spid="_x0000_s8370"/>
                </a:ext>
                <a:ext uri="{FF2B5EF4-FFF2-40B4-BE49-F238E27FC236}">
                  <a16:creationId xmlns:a16="http://schemas.microsoft.com/office/drawing/2014/main" id="{00000000-0008-0000-0800-0000B220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194</xdr:row>
          <xdr:rowOff>0</xdr:rowOff>
        </xdr:from>
        <xdr:to>
          <xdr:col>22</xdr:col>
          <xdr:colOff>177800</xdr:colOff>
          <xdr:row>194</xdr:row>
          <xdr:rowOff>177800</xdr:rowOff>
        </xdr:to>
        <xdr:sp macro="" textlink="">
          <xdr:nvSpPr>
            <xdr:cNvPr id="8371" name="Check Box 179" hidden="1">
              <a:extLst>
                <a:ext uri="{63B3BB69-23CF-44E3-9099-C40C66FF867C}">
                  <a14:compatExt spid="_x0000_s8371"/>
                </a:ext>
                <a:ext uri="{FF2B5EF4-FFF2-40B4-BE49-F238E27FC236}">
                  <a16:creationId xmlns:a16="http://schemas.microsoft.com/office/drawing/2014/main" id="{00000000-0008-0000-0800-0000B320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196</xdr:row>
          <xdr:rowOff>0</xdr:rowOff>
        </xdr:from>
        <xdr:to>
          <xdr:col>22</xdr:col>
          <xdr:colOff>177800</xdr:colOff>
          <xdr:row>196</xdr:row>
          <xdr:rowOff>177800</xdr:rowOff>
        </xdr:to>
        <xdr:sp macro="" textlink="">
          <xdr:nvSpPr>
            <xdr:cNvPr id="8372" name="Check Box 180" hidden="1">
              <a:extLst>
                <a:ext uri="{63B3BB69-23CF-44E3-9099-C40C66FF867C}">
                  <a14:compatExt spid="_x0000_s8372"/>
                </a:ext>
                <a:ext uri="{FF2B5EF4-FFF2-40B4-BE49-F238E27FC236}">
                  <a16:creationId xmlns:a16="http://schemas.microsoft.com/office/drawing/2014/main" id="{00000000-0008-0000-0800-0000B420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199</xdr:row>
          <xdr:rowOff>0</xdr:rowOff>
        </xdr:from>
        <xdr:to>
          <xdr:col>22</xdr:col>
          <xdr:colOff>177800</xdr:colOff>
          <xdr:row>199</xdr:row>
          <xdr:rowOff>177800</xdr:rowOff>
        </xdr:to>
        <xdr:sp macro="" textlink="">
          <xdr:nvSpPr>
            <xdr:cNvPr id="8373" name="Check Box 181" hidden="1">
              <a:extLst>
                <a:ext uri="{63B3BB69-23CF-44E3-9099-C40C66FF867C}">
                  <a14:compatExt spid="_x0000_s8373"/>
                </a:ext>
                <a:ext uri="{FF2B5EF4-FFF2-40B4-BE49-F238E27FC236}">
                  <a16:creationId xmlns:a16="http://schemas.microsoft.com/office/drawing/2014/main" id="{00000000-0008-0000-0800-0000B520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59</xdr:row>
          <xdr:rowOff>0</xdr:rowOff>
        </xdr:from>
        <xdr:to>
          <xdr:col>22</xdr:col>
          <xdr:colOff>177800</xdr:colOff>
          <xdr:row>59</xdr:row>
          <xdr:rowOff>177800</xdr:rowOff>
        </xdr:to>
        <xdr:sp macro="" textlink="">
          <xdr:nvSpPr>
            <xdr:cNvPr id="8376" name="Check Box 184" hidden="1">
              <a:extLst>
                <a:ext uri="{63B3BB69-23CF-44E3-9099-C40C66FF867C}">
                  <a14:compatExt spid="_x0000_s8376"/>
                </a:ext>
                <a:ext uri="{FF2B5EF4-FFF2-40B4-BE49-F238E27FC236}">
                  <a16:creationId xmlns:a16="http://schemas.microsoft.com/office/drawing/2014/main" id="{00000000-0008-0000-0800-0000B820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60</xdr:row>
          <xdr:rowOff>0</xdr:rowOff>
        </xdr:from>
        <xdr:to>
          <xdr:col>22</xdr:col>
          <xdr:colOff>177800</xdr:colOff>
          <xdr:row>60</xdr:row>
          <xdr:rowOff>177800</xdr:rowOff>
        </xdr:to>
        <xdr:sp macro="" textlink="">
          <xdr:nvSpPr>
            <xdr:cNvPr id="8377" name="Check Box 185" hidden="1">
              <a:extLst>
                <a:ext uri="{63B3BB69-23CF-44E3-9099-C40C66FF867C}">
                  <a14:compatExt spid="_x0000_s8377"/>
                </a:ext>
                <a:ext uri="{FF2B5EF4-FFF2-40B4-BE49-F238E27FC236}">
                  <a16:creationId xmlns:a16="http://schemas.microsoft.com/office/drawing/2014/main" id="{00000000-0008-0000-0800-0000B920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22</xdr:col>
          <xdr:colOff>0</xdr:colOff>
          <xdr:row>57</xdr:row>
          <xdr:rowOff>0</xdr:rowOff>
        </xdr:from>
        <xdr:to>
          <xdr:col>22</xdr:col>
          <xdr:colOff>177800</xdr:colOff>
          <xdr:row>57</xdr:row>
          <xdr:rowOff>177800</xdr:rowOff>
        </xdr:to>
        <xdr:sp macro="" textlink="">
          <xdr:nvSpPr>
            <xdr:cNvPr id="8379" name="Check Box 187" hidden="1">
              <a:extLst>
                <a:ext uri="{63B3BB69-23CF-44E3-9099-C40C66FF867C}">
                  <a14:compatExt spid="_x0000_s8379"/>
                </a:ext>
                <a:ext uri="{FF2B5EF4-FFF2-40B4-BE49-F238E27FC236}">
                  <a16:creationId xmlns:a16="http://schemas.microsoft.com/office/drawing/2014/main" id="{00000000-0008-0000-0800-0000BB20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22</xdr:col>
          <xdr:colOff>0</xdr:colOff>
          <xdr:row>151</xdr:row>
          <xdr:rowOff>0</xdr:rowOff>
        </xdr:from>
        <xdr:to>
          <xdr:col>22</xdr:col>
          <xdr:colOff>177800</xdr:colOff>
          <xdr:row>151</xdr:row>
          <xdr:rowOff>177800</xdr:rowOff>
        </xdr:to>
        <xdr:sp macro="" textlink="">
          <xdr:nvSpPr>
            <xdr:cNvPr id="8381" name="Check Box 189" hidden="1">
              <a:extLst>
                <a:ext uri="{63B3BB69-23CF-44E3-9099-C40C66FF867C}">
                  <a14:compatExt spid="_x0000_s8381"/>
                </a:ext>
                <a:ext uri="{FF2B5EF4-FFF2-40B4-BE49-F238E27FC236}">
                  <a16:creationId xmlns:a16="http://schemas.microsoft.com/office/drawing/2014/main" id="{00000000-0008-0000-0800-0000BD20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22</xdr:col>
          <xdr:colOff>0</xdr:colOff>
          <xdr:row>168</xdr:row>
          <xdr:rowOff>0</xdr:rowOff>
        </xdr:from>
        <xdr:to>
          <xdr:col>22</xdr:col>
          <xdr:colOff>177800</xdr:colOff>
          <xdr:row>168</xdr:row>
          <xdr:rowOff>177800</xdr:rowOff>
        </xdr:to>
        <xdr:sp macro="" textlink="">
          <xdr:nvSpPr>
            <xdr:cNvPr id="8383" name="Check Box 191" hidden="1">
              <a:extLst>
                <a:ext uri="{63B3BB69-23CF-44E3-9099-C40C66FF867C}">
                  <a14:compatExt spid="_x0000_s8383"/>
                </a:ext>
                <a:ext uri="{FF2B5EF4-FFF2-40B4-BE49-F238E27FC236}">
                  <a16:creationId xmlns:a16="http://schemas.microsoft.com/office/drawing/2014/main" id="{00000000-0008-0000-0800-0000BF20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22</xdr:col>
          <xdr:colOff>0</xdr:colOff>
          <xdr:row>169</xdr:row>
          <xdr:rowOff>0</xdr:rowOff>
        </xdr:from>
        <xdr:to>
          <xdr:col>22</xdr:col>
          <xdr:colOff>177800</xdr:colOff>
          <xdr:row>169</xdr:row>
          <xdr:rowOff>177800</xdr:rowOff>
        </xdr:to>
        <xdr:sp macro="" textlink="">
          <xdr:nvSpPr>
            <xdr:cNvPr id="8384" name="Check Box 192" hidden="1">
              <a:extLst>
                <a:ext uri="{63B3BB69-23CF-44E3-9099-C40C66FF867C}">
                  <a14:compatExt spid="_x0000_s8384"/>
                </a:ext>
                <a:ext uri="{FF2B5EF4-FFF2-40B4-BE49-F238E27FC236}">
                  <a16:creationId xmlns:a16="http://schemas.microsoft.com/office/drawing/2014/main" id="{00000000-0008-0000-0800-0000C020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22</xdr:col>
          <xdr:colOff>0</xdr:colOff>
          <xdr:row>170</xdr:row>
          <xdr:rowOff>0</xdr:rowOff>
        </xdr:from>
        <xdr:to>
          <xdr:col>22</xdr:col>
          <xdr:colOff>177800</xdr:colOff>
          <xdr:row>170</xdr:row>
          <xdr:rowOff>177800</xdr:rowOff>
        </xdr:to>
        <xdr:sp macro="" textlink="">
          <xdr:nvSpPr>
            <xdr:cNvPr id="8385" name="Check Box 193" hidden="1">
              <a:extLst>
                <a:ext uri="{63B3BB69-23CF-44E3-9099-C40C66FF867C}">
                  <a14:compatExt spid="_x0000_s8385"/>
                </a:ext>
                <a:ext uri="{FF2B5EF4-FFF2-40B4-BE49-F238E27FC236}">
                  <a16:creationId xmlns:a16="http://schemas.microsoft.com/office/drawing/2014/main" id="{00000000-0008-0000-0800-0000C120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22</xdr:col>
          <xdr:colOff>0</xdr:colOff>
          <xdr:row>172</xdr:row>
          <xdr:rowOff>0</xdr:rowOff>
        </xdr:from>
        <xdr:to>
          <xdr:col>22</xdr:col>
          <xdr:colOff>177800</xdr:colOff>
          <xdr:row>172</xdr:row>
          <xdr:rowOff>177800</xdr:rowOff>
        </xdr:to>
        <xdr:sp macro="" textlink="">
          <xdr:nvSpPr>
            <xdr:cNvPr id="8386" name="Check Box 194" hidden="1">
              <a:extLst>
                <a:ext uri="{63B3BB69-23CF-44E3-9099-C40C66FF867C}">
                  <a14:compatExt spid="_x0000_s8386"/>
                </a:ext>
                <a:ext uri="{FF2B5EF4-FFF2-40B4-BE49-F238E27FC236}">
                  <a16:creationId xmlns:a16="http://schemas.microsoft.com/office/drawing/2014/main" id="{00000000-0008-0000-0800-0000C220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22</xdr:col>
          <xdr:colOff>0</xdr:colOff>
          <xdr:row>173</xdr:row>
          <xdr:rowOff>0</xdr:rowOff>
        </xdr:from>
        <xdr:to>
          <xdr:col>22</xdr:col>
          <xdr:colOff>177800</xdr:colOff>
          <xdr:row>173</xdr:row>
          <xdr:rowOff>177800</xdr:rowOff>
        </xdr:to>
        <xdr:sp macro="" textlink="">
          <xdr:nvSpPr>
            <xdr:cNvPr id="8387" name="Check Box 195" hidden="1">
              <a:extLst>
                <a:ext uri="{63B3BB69-23CF-44E3-9099-C40C66FF867C}">
                  <a14:compatExt spid="_x0000_s8387"/>
                </a:ext>
                <a:ext uri="{FF2B5EF4-FFF2-40B4-BE49-F238E27FC236}">
                  <a16:creationId xmlns:a16="http://schemas.microsoft.com/office/drawing/2014/main" id="{00000000-0008-0000-0800-0000C320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22</xdr:col>
          <xdr:colOff>0</xdr:colOff>
          <xdr:row>174</xdr:row>
          <xdr:rowOff>0</xdr:rowOff>
        </xdr:from>
        <xdr:to>
          <xdr:col>22</xdr:col>
          <xdr:colOff>177800</xdr:colOff>
          <xdr:row>174</xdr:row>
          <xdr:rowOff>177800</xdr:rowOff>
        </xdr:to>
        <xdr:sp macro="" textlink="">
          <xdr:nvSpPr>
            <xdr:cNvPr id="8388" name="Check Box 196" hidden="1">
              <a:extLst>
                <a:ext uri="{63B3BB69-23CF-44E3-9099-C40C66FF867C}">
                  <a14:compatExt spid="_x0000_s8388"/>
                </a:ext>
                <a:ext uri="{FF2B5EF4-FFF2-40B4-BE49-F238E27FC236}">
                  <a16:creationId xmlns:a16="http://schemas.microsoft.com/office/drawing/2014/main" id="{00000000-0008-0000-0800-0000C420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22</xdr:col>
          <xdr:colOff>0</xdr:colOff>
          <xdr:row>175</xdr:row>
          <xdr:rowOff>0</xdr:rowOff>
        </xdr:from>
        <xdr:to>
          <xdr:col>22</xdr:col>
          <xdr:colOff>177800</xdr:colOff>
          <xdr:row>175</xdr:row>
          <xdr:rowOff>177800</xdr:rowOff>
        </xdr:to>
        <xdr:sp macro="" textlink="">
          <xdr:nvSpPr>
            <xdr:cNvPr id="8389" name="Check Box 197" hidden="1">
              <a:extLst>
                <a:ext uri="{63B3BB69-23CF-44E3-9099-C40C66FF867C}">
                  <a14:compatExt spid="_x0000_s8389"/>
                </a:ext>
                <a:ext uri="{FF2B5EF4-FFF2-40B4-BE49-F238E27FC236}">
                  <a16:creationId xmlns:a16="http://schemas.microsoft.com/office/drawing/2014/main" id="{00000000-0008-0000-0800-0000C520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22</xdr:col>
          <xdr:colOff>0</xdr:colOff>
          <xdr:row>176</xdr:row>
          <xdr:rowOff>0</xdr:rowOff>
        </xdr:from>
        <xdr:to>
          <xdr:col>22</xdr:col>
          <xdr:colOff>177800</xdr:colOff>
          <xdr:row>176</xdr:row>
          <xdr:rowOff>177800</xdr:rowOff>
        </xdr:to>
        <xdr:sp macro="" textlink="">
          <xdr:nvSpPr>
            <xdr:cNvPr id="8390" name="Check Box 198" hidden="1">
              <a:extLst>
                <a:ext uri="{63B3BB69-23CF-44E3-9099-C40C66FF867C}">
                  <a14:compatExt spid="_x0000_s8390"/>
                </a:ext>
                <a:ext uri="{FF2B5EF4-FFF2-40B4-BE49-F238E27FC236}">
                  <a16:creationId xmlns:a16="http://schemas.microsoft.com/office/drawing/2014/main" id="{00000000-0008-0000-0800-0000C620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22</xdr:col>
          <xdr:colOff>0</xdr:colOff>
          <xdr:row>177</xdr:row>
          <xdr:rowOff>0</xdr:rowOff>
        </xdr:from>
        <xdr:to>
          <xdr:col>22</xdr:col>
          <xdr:colOff>177800</xdr:colOff>
          <xdr:row>177</xdr:row>
          <xdr:rowOff>177800</xdr:rowOff>
        </xdr:to>
        <xdr:sp macro="" textlink="">
          <xdr:nvSpPr>
            <xdr:cNvPr id="8391" name="Check Box 199" hidden="1">
              <a:extLst>
                <a:ext uri="{63B3BB69-23CF-44E3-9099-C40C66FF867C}">
                  <a14:compatExt spid="_x0000_s8391"/>
                </a:ext>
                <a:ext uri="{FF2B5EF4-FFF2-40B4-BE49-F238E27FC236}">
                  <a16:creationId xmlns:a16="http://schemas.microsoft.com/office/drawing/2014/main" id="{00000000-0008-0000-0800-0000C720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22</xdr:col>
          <xdr:colOff>0</xdr:colOff>
          <xdr:row>182</xdr:row>
          <xdr:rowOff>0</xdr:rowOff>
        </xdr:from>
        <xdr:to>
          <xdr:col>22</xdr:col>
          <xdr:colOff>177800</xdr:colOff>
          <xdr:row>182</xdr:row>
          <xdr:rowOff>177800</xdr:rowOff>
        </xdr:to>
        <xdr:sp macro="" textlink="">
          <xdr:nvSpPr>
            <xdr:cNvPr id="8392" name="Check Box 200" hidden="1">
              <a:extLst>
                <a:ext uri="{63B3BB69-23CF-44E3-9099-C40C66FF867C}">
                  <a14:compatExt spid="_x0000_s8392"/>
                </a:ext>
                <a:ext uri="{FF2B5EF4-FFF2-40B4-BE49-F238E27FC236}">
                  <a16:creationId xmlns:a16="http://schemas.microsoft.com/office/drawing/2014/main" id="{00000000-0008-0000-0800-0000C820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22</xdr:col>
          <xdr:colOff>0</xdr:colOff>
          <xdr:row>183</xdr:row>
          <xdr:rowOff>0</xdr:rowOff>
        </xdr:from>
        <xdr:to>
          <xdr:col>22</xdr:col>
          <xdr:colOff>177800</xdr:colOff>
          <xdr:row>183</xdr:row>
          <xdr:rowOff>177800</xdr:rowOff>
        </xdr:to>
        <xdr:sp macro="" textlink="">
          <xdr:nvSpPr>
            <xdr:cNvPr id="8393" name="Check Box 201" hidden="1">
              <a:extLst>
                <a:ext uri="{63B3BB69-23CF-44E3-9099-C40C66FF867C}">
                  <a14:compatExt spid="_x0000_s8393"/>
                </a:ext>
                <a:ext uri="{FF2B5EF4-FFF2-40B4-BE49-F238E27FC236}">
                  <a16:creationId xmlns:a16="http://schemas.microsoft.com/office/drawing/2014/main" id="{00000000-0008-0000-0800-0000C920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22</xdr:col>
          <xdr:colOff>0</xdr:colOff>
          <xdr:row>184</xdr:row>
          <xdr:rowOff>0</xdr:rowOff>
        </xdr:from>
        <xdr:to>
          <xdr:col>22</xdr:col>
          <xdr:colOff>177800</xdr:colOff>
          <xdr:row>184</xdr:row>
          <xdr:rowOff>177800</xdr:rowOff>
        </xdr:to>
        <xdr:sp macro="" textlink="">
          <xdr:nvSpPr>
            <xdr:cNvPr id="8394" name="Check Box 202" hidden="1">
              <a:extLst>
                <a:ext uri="{63B3BB69-23CF-44E3-9099-C40C66FF867C}">
                  <a14:compatExt spid="_x0000_s8394"/>
                </a:ext>
                <a:ext uri="{FF2B5EF4-FFF2-40B4-BE49-F238E27FC236}">
                  <a16:creationId xmlns:a16="http://schemas.microsoft.com/office/drawing/2014/main" id="{00000000-0008-0000-0800-0000CA20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22</xdr:col>
          <xdr:colOff>0</xdr:colOff>
          <xdr:row>185</xdr:row>
          <xdr:rowOff>0</xdr:rowOff>
        </xdr:from>
        <xdr:to>
          <xdr:col>22</xdr:col>
          <xdr:colOff>177800</xdr:colOff>
          <xdr:row>185</xdr:row>
          <xdr:rowOff>177800</xdr:rowOff>
        </xdr:to>
        <xdr:sp macro="" textlink="">
          <xdr:nvSpPr>
            <xdr:cNvPr id="8395" name="Check Box 203" hidden="1">
              <a:extLst>
                <a:ext uri="{63B3BB69-23CF-44E3-9099-C40C66FF867C}">
                  <a14:compatExt spid="_x0000_s8395"/>
                </a:ext>
                <a:ext uri="{FF2B5EF4-FFF2-40B4-BE49-F238E27FC236}">
                  <a16:creationId xmlns:a16="http://schemas.microsoft.com/office/drawing/2014/main" id="{00000000-0008-0000-0800-0000CB20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22</xdr:col>
          <xdr:colOff>0</xdr:colOff>
          <xdr:row>186</xdr:row>
          <xdr:rowOff>0</xdr:rowOff>
        </xdr:from>
        <xdr:to>
          <xdr:col>22</xdr:col>
          <xdr:colOff>177800</xdr:colOff>
          <xdr:row>186</xdr:row>
          <xdr:rowOff>177800</xdr:rowOff>
        </xdr:to>
        <xdr:sp macro="" textlink="">
          <xdr:nvSpPr>
            <xdr:cNvPr id="8396" name="Check Box 204" hidden="1">
              <a:extLst>
                <a:ext uri="{63B3BB69-23CF-44E3-9099-C40C66FF867C}">
                  <a14:compatExt spid="_x0000_s8396"/>
                </a:ext>
                <a:ext uri="{FF2B5EF4-FFF2-40B4-BE49-F238E27FC236}">
                  <a16:creationId xmlns:a16="http://schemas.microsoft.com/office/drawing/2014/main" id="{00000000-0008-0000-0800-0000CC20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22</xdr:col>
          <xdr:colOff>0</xdr:colOff>
          <xdr:row>187</xdr:row>
          <xdr:rowOff>0</xdr:rowOff>
        </xdr:from>
        <xdr:to>
          <xdr:col>22</xdr:col>
          <xdr:colOff>177800</xdr:colOff>
          <xdr:row>187</xdr:row>
          <xdr:rowOff>177800</xdr:rowOff>
        </xdr:to>
        <xdr:sp macro="" textlink="">
          <xdr:nvSpPr>
            <xdr:cNvPr id="8397" name="Check Box 205" hidden="1">
              <a:extLst>
                <a:ext uri="{63B3BB69-23CF-44E3-9099-C40C66FF867C}">
                  <a14:compatExt spid="_x0000_s8397"/>
                </a:ext>
                <a:ext uri="{FF2B5EF4-FFF2-40B4-BE49-F238E27FC236}">
                  <a16:creationId xmlns:a16="http://schemas.microsoft.com/office/drawing/2014/main" id="{00000000-0008-0000-0800-0000CD20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22</xdr:col>
          <xdr:colOff>0</xdr:colOff>
          <xdr:row>188</xdr:row>
          <xdr:rowOff>0</xdr:rowOff>
        </xdr:from>
        <xdr:to>
          <xdr:col>22</xdr:col>
          <xdr:colOff>177800</xdr:colOff>
          <xdr:row>188</xdr:row>
          <xdr:rowOff>177800</xdr:rowOff>
        </xdr:to>
        <xdr:sp macro="" textlink="">
          <xdr:nvSpPr>
            <xdr:cNvPr id="8398" name="Check Box 206" hidden="1">
              <a:extLst>
                <a:ext uri="{63B3BB69-23CF-44E3-9099-C40C66FF867C}">
                  <a14:compatExt spid="_x0000_s8398"/>
                </a:ext>
                <a:ext uri="{FF2B5EF4-FFF2-40B4-BE49-F238E27FC236}">
                  <a16:creationId xmlns:a16="http://schemas.microsoft.com/office/drawing/2014/main" id="{00000000-0008-0000-0800-0000CE20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22</xdr:col>
          <xdr:colOff>0</xdr:colOff>
          <xdr:row>207</xdr:row>
          <xdr:rowOff>0</xdr:rowOff>
        </xdr:from>
        <xdr:to>
          <xdr:col>22</xdr:col>
          <xdr:colOff>177800</xdr:colOff>
          <xdr:row>207</xdr:row>
          <xdr:rowOff>177800</xdr:rowOff>
        </xdr:to>
        <xdr:sp macro="" textlink="">
          <xdr:nvSpPr>
            <xdr:cNvPr id="8401" name="Check Box 209" hidden="1">
              <a:extLst>
                <a:ext uri="{63B3BB69-23CF-44E3-9099-C40C66FF867C}">
                  <a14:compatExt spid="_x0000_s8401"/>
                </a:ext>
                <a:ext uri="{FF2B5EF4-FFF2-40B4-BE49-F238E27FC236}">
                  <a16:creationId xmlns:a16="http://schemas.microsoft.com/office/drawing/2014/main" id="{00000000-0008-0000-0800-0000D120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22</xdr:col>
          <xdr:colOff>0</xdr:colOff>
          <xdr:row>204</xdr:row>
          <xdr:rowOff>0</xdr:rowOff>
        </xdr:from>
        <xdr:to>
          <xdr:col>22</xdr:col>
          <xdr:colOff>177800</xdr:colOff>
          <xdr:row>204</xdr:row>
          <xdr:rowOff>177800</xdr:rowOff>
        </xdr:to>
        <xdr:sp macro="" textlink="">
          <xdr:nvSpPr>
            <xdr:cNvPr id="8402" name="Check Box 210" hidden="1">
              <a:extLst>
                <a:ext uri="{63B3BB69-23CF-44E3-9099-C40C66FF867C}">
                  <a14:compatExt spid="_x0000_s8402"/>
                </a:ext>
                <a:ext uri="{FF2B5EF4-FFF2-40B4-BE49-F238E27FC236}">
                  <a16:creationId xmlns:a16="http://schemas.microsoft.com/office/drawing/2014/main" id="{00000000-0008-0000-0800-0000D220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xdr:wsDr>
</file>

<file path=xl/drawings/drawing9.xml><?xml version="1.0" encoding="utf-8"?>
<xdr:wsDr xmlns:xdr="http://schemas.openxmlformats.org/drawingml/2006/spreadsheetDrawing" xmlns:a="http://schemas.openxmlformats.org/drawingml/2006/main">
  <xdr:twoCellAnchor editAs="oneCell">
    <xdr:from>
      <xdr:col>6</xdr:col>
      <xdr:colOff>2924175</xdr:colOff>
      <xdr:row>0</xdr:row>
      <xdr:rowOff>0</xdr:rowOff>
    </xdr:from>
    <xdr:to>
      <xdr:col>6</xdr:col>
      <xdr:colOff>4752975</xdr:colOff>
      <xdr:row>4</xdr:row>
      <xdr:rowOff>141767</xdr:rowOff>
    </xdr:to>
    <xdr:pic>
      <xdr:nvPicPr>
        <xdr:cNvPr id="2" name="Picture 1">
          <a:extLst>
            <a:ext uri="{FF2B5EF4-FFF2-40B4-BE49-F238E27FC236}">
              <a16:creationId xmlns:a16="http://schemas.microsoft.com/office/drawing/2014/main" id="{00000000-0008-0000-09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419600" y="0"/>
          <a:ext cx="1828800" cy="903767"/>
        </a:xfrm>
        <a:prstGeom prst="rect">
          <a:avLst/>
        </a:prstGeom>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3</xdr:col>
      <xdr:colOff>0</xdr:colOff>
      <xdr:row>4</xdr:row>
      <xdr:rowOff>141767</xdr:rowOff>
    </xdr:to>
    <xdr:pic>
      <xdr:nvPicPr>
        <xdr:cNvPr id="2" name="Picture 1">
          <a:extLst>
            <a:ext uri="{FF2B5EF4-FFF2-40B4-BE49-F238E27FC236}">
              <a16:creationId xmlns:a16="http://schemas.microsoft.com/office/drawing/2014/main" id="{00000000-0008-0000-0D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0"/>
          <a:ext cx="1828800" cy="903767"/>
        </a:xfrm>
        <a:prstGeom prst="rect">
          <a:avLst/>
        </a:prstGeom>
      </xdr:spPr>
    </xdr:pic>
    <xdr:clientData/>
  </xdr:twoCellAnchor>
  <mc:AlternateContent xmlns:mc="http://schemas.openxmlformats.org/markup-compatibility/2006">
    <mc:Choice xmlns:a14="http://schemas.microsoft.com/office/drawing/2010/main" Requires="a14">
      <xdr:twoCellAnchor editAs="oneCell">
        <xdr:from>
          <xdr:col>8</xdr:col>
          <xdr:colOff>0</xdr:colOff>
          <xdr:row>9</xdr:row>
          <xdr:rowOff>0</xdr:rowOff>
        </xdr:from>
        <xdr:to>
          <xdr:col>8</xdr:col>
          <xdr:colOff>177800</xdr:colOff>
          <xdr:row>9</xdr:row>
          <xdr:rowOff>177800</xdr:rowOff>
        </xdr:to>
        <xdr:sp macro="" textlink="">
          <xdr:nvSpPr>
            <xdr:cNvPr id="27692" name="Check Box 44" hidden="1">
              <a:extLst>
                <a:ext uri="{63B3BB69-23CF-44E3-9099-C40C66FF867C}">
                  <a14:compatExt spid="_x0000_s27692"/>
                </a:ext>
                <a:ext uri="{FF2B5EF4-FFF2-40B4-BE49-F238E27FC236}">
                  <a16:creationId xmlns:a16="http://schemas.microsoft.com/office/drawing/2014/main" id="{00000000-0008-0000-0D00-00002C6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8</xdr:col>
          <xdr:colOff>0</xdr:colOff>
          <xdr:row>10</xdr:row>
          <xdr:rowOff>0</xdr:rowOff>
        </xdr:from>
        <xdr:to>
          <xdr:col>8</xdr:col>
          <xdr:colOff>177800</xdr:colOff>
          <xdr:row>10</xdr:row>
          <xdr:rowOff>177800</xdr:rowOff>
        </xdr:to>
        <xdr:sp macro="" textlink="">
          <xdr:nvSpPr>
            <xdr:cNvPr id="27693" name="Check Box 45" hidden="1">
              <a:extLst>
                <a:ext uri="{63B3BB69-23CF-44E3-9099-C40C66FF867C}">
                  <a14:compatExt spid="_x0000_s27693"/>
                </a:ext>
                <a:ext uri="{FF2B5EF4-FFF2-40B4-BE49-F238E27FC236}">
                  <a16:creationId xmlns:a16="http://schemas.microsoft.com/office/drawing/2014/main" id="{00000000-0008-0000-0D00-00002D6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8</xdr:col>
          <xdr:colOff>0</xdr:colOff>
          <xdr:row>11</xdr:row>
          <xdr:rowOff>0</xdr:rowOff>
        </xdr:from>
        <xdr:to>
          <xdr:col>8</xdr:col>
          <xdr:colOff>177800</xdr:colOff>
          <xdr:row>11</xdr:row>
          <xdr:rowOff>177800</xdr:rowOff>
        </xdr:to>
        <xdr:sp macro="" textlink="">
          <xdr:nvSpPr>
            <xdr:cNvPr id="27694" name="Check Box 46" hidden="1">
              <a:extLst>
                <a:ext uri="{63B3BB69-23CF-44E3-9099-C40C66FF867C}">
                  <a14:compatExt spid="_x0000_s27694"/>
                </a:ext>
                <a:ext uri="{FF2B5EF4-FFF2-40B4-BE49-F238E27FC236}">
                  <a16:creationId xmlns:a16="http://schemas.microsoft.com/office/drawing/2014/main" id="{00000000-0008-0000-0D00-00002E6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8</xdr:col>
          <xdr:colOff>0</xdr:colOff>
          <xdr:row>12</xdr:row>
          <xdr:rowOff>0</xdr:rowOff>
        </xdr:from>
        <xdr:to>
          <xdr:col>8</xdr:col>
          <xdr:colOff>177800</xdr:colOff>
          <xdr:row>12</xdr:row>
          <xdr:rowOff>177800</xdr:rowOff>
        </xdr:to>
        <xdr:sp macro="" textlink="">
          <xdr:nvSpPr>
            <xdr:cNvPr id="27695" name="Check Box 47" hidden="1">
              <a:extLst>
                <a:ext uri="{63B3BB69-23CF-44E3-9099-C40C66FF867C}">
                  <a14:compatExt spid="_x0000_s27695"/>
                </a:ext>
                <a:ext uri="{FF2B5EF4-FFF2-40B4-BE49-F238E27FC236}">
                  <a16:creationId xmlns:a16="http://schemas.microsoft.com/office/drawing/2014/main" id="{00000000-0008-0000-0D00-00002F6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8</xdr:col>
          <xdr:colOff>0</xdr:colOff>
          <xdr:row>13</xdr:row>
          <xdr:rowOff>0</xdr:rowOff>
        </xdr:from>
        <xdr:to>
          <xdr:col>8</xdr:col>
          <xdr:colOff>177800</xdr:colOff>
          <xdr:row>13</xdr:row>
          <xdr:rowOff>177800</xdr:rowOff>
        </xdr:to>
        <xdr:sp macro="" textlink="">
          <xdr:nvSpPr>
            <xdr:cNvPr id="27696" name="Check Box 48" hidden="1">
              <a:extLst>
                <a:ext uri="{63B3BB69-23CF-44E3-9099-C40C66FF867C}">
                  <a14:compatExt spid="_x0000_s27696"/>
                </a:ext>
                <a:ext uri="{FF2B5EF4-FFF2-40B4-BE49-F238E27FC236}">
                  <a16:creationId xmlns:a16="http://schemas.microsoft.com/office/drawing/2014/main" id="{00000000-0008-0000-0D00-0000306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8</xdr:col>
          <xdr:colOff>0</xdr:colOff>
          <xdr:row>14</xdr:row>
          <xdr:rowOff>0</xdr:rowOff>
        </xdr:from>
        <xdr:to>
          <xdr:col>8</xdr:col>
          <xdr:colOff>177800</xdr:colOff>
          <xdr:row>14</xdr:row>
          <xdr:rowOff>177800</xdr:rowOff>
        </xdr:to>
        <xdr:sp macro="" textlink="">
          <xdr:nvSpPr>
            <xdr:cNvPr id="27697" name="Check Box 49" hidden="1">
              <a:extLst>
                <a:ext uri="{63B3BB69-23CF-44E3-9099-C40C66FF867C}">
                  <a14:compatExt spid="_x0000_s27697"/>
                </a:ext>
                <a:ext uri="{FF2B5EF4-FFF2-40B4-BE49-F238E27FC236}">
                  <a16:creationId xmlns:a16="http://schemas.microsoft.com/office/drawing/2014/main" id="{00000000-0008-0000-0D00-0000316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8</xdr:col>
          <xdr:colOff>0</xdr:colOff>
          <xdr:row>15</xdr:row>
          <xdr:rowOff>0</xdr:rowOff>
        </xdr:from>
        <xdr:to>
          <xdr:col>8</xdr:col>
          <xdr:colOff>177800</xdr:colOff>
          <xdr:row>15</xdr:row>
          <xdr:rowOff>177800</xdr:rowOff>
        </xdr:to>
        <xdr:sp macro="" textlink="">
          <xdr:nvSpPr>
            <xdr:cNvPr id="27698" name="Check Box 50" hidden="1">
              <a:extLst>
                <a:ext uri="{63B3BB69-23CF-44E3-9099-C40C66FF867C}">
                  <a14:compatExt spid="_x0000_s27698"/>
                </a:ext>
                <a:ext uri="{FF2B5EF4-FFF2-40B4-BE49-F238E27FC236}">
                  <a16:creationId xmlns:a16="http://schemas.microsoft.com/office/drawing/2014/main" id="{00000000-0008-0000-0D00-0000326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8</xdr:col>
          <xdr:colOff>0</xdr:colOff>
          <xdr:row>17</xdr:row>
          <xdr:rowOff>0</xdr:rowOff>
        </xdr:from>
        <xdr:to>
          <xdr:col>8</xdr:col>
          <xdr:colOff>177800</xdr:colOff>
          <xdr:row>17</xdr:row>
          <xdr:rowOff>177800</xdr:rowOff>
        </xdr:to>
        <xdr:sp macro="" textlink="">
          <xdr:nvSpPr>
            <xdr:cNvPr id="27699" name="Check Box 51" hidden="1">
              <a:extLst>
                <a:ext uri="{63B3BB69-23CF-44E3-9099-C40C66FF867C}">
                  <a14:compatExt spid="_x0000_s27699"/>
                </a:ext>
                <a:ext uri="{FF2B5EF4-FFF2-40B4-BE49-F238E27FC236}">
                  <a16:creationId xmlns:a16="http://schemas.microsoft.com/office/drawing/2014/main" id="{00000000-0008-0000-0D00-0000336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8</xdr:col>
          <xdr:colOff>0</xdr:colOff>
          <xdr:row>18</xdr:row>
          <xdr:rowOff>0</xdr:rowOff>
        </xdr:from>
        <xdr:to>
          <xdr:col>8</xdr:col>
          <xdr:colOff>177800</xdr:colOff>
          <xdr:row>18</xdr:row>
          <xdr:rowOff>177800</xdr:rowOff>
        </xdr:to>
        <xdr:sp macro="" textlink="">
          <xdr:nvSpPr>
            <xdr:cNvPr id="27700" name="Check Box 52" hidden="1">
              <a:extLst>
                <a:ext uri="{63B3BB69-23CF-44E3-9099-C40C66FF867C}">
                  <a14:compatExt spid="_x0000_s27700"/>
                </a:ext>
                <a:ext uri="{FF2B5EF4-FFF2-40B4-BE49-F238E27FC236}">
                  <a16:creationId xmlns:a16="http://schemas.microsoft.com/office/drawing/2014/main" id="{00000000-0008-0000-0D00-0000346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8</xdr:col>
          <xdr:colOff>0</xdr:colOff>
          <xdr:row>22</xdr:row>
          <xdr:rowOff>0</xdr:rowOff>
        </xdr:from>
        <xdr:to>
          <xdr:col>8</xdr:col>
          <xdr:colOff>177800</xdr:colOff>
          <xdr:row>22</xdr:row>
          <xdr:rowOff>177800</xdr:rowOff>
        </xdr:to>
        <xdr:sp macro="" textlink="">
          <xdr:nvSpPr>
            <xdr:cNvPr id="27701" name="Check Box 53" hidden="1">
              <a:extLst>
                <a:ext uri="{63B3BB69-23CF-44E3-9099-C40C66FF867C}">
                  <a14:compatExt spid="_x0000_s27701"/>
                </a:ext>
                <a:ext uri="{FF2B5EF4-FFF2-40B4-BE49-F238E27FC236}">
                  <a16:creationId xmlns:a16="http://schemas.microsoft.com/office/drawing/2014/main" id="{00000000-0008-0000-0D00-0000356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8</xdr:col>
          <xdr:colOff>0</xdr:colOff>
          <xdr:row>24</xdr:row>
          <xdr:rowOff>0</xdr:rowOff>
        </xdr:from>
        <xdr:to>
          <xdr:col>8</xdr:col>
          <xdr:colOff>177800</xdr:colOff>
          <xdr:row>24</xdr:row>
          <xdr:rowOff>177800</xdr:rowOff>
        </xdr:to>
        <xdr:sp macro="" textlink="">
          <xdr:nvSpPr>
            <xdr:cNvPr id="27702" name="Check Box 54" hidden="1">
              <a:extLst>
                <a:ext uri="{63B3BB69-23CF-44E3-9099-C40C66FF867C}">
                  <a14:compatExt spid="_x0000_s27702"/>
                </a:ext>
                <a:ext uri="{FF2B5EF4-FFF2-40B4-BE49-F238E27FC236}">
                  <a16:creationId xmlns:a16="http://schemas.microsoft.com/office/drawing/2014/main" id="{00000000-0008-0000-0D00-0000366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8</xdr:col>
          <xdr:colOff>0</xdr:colOff>
          <xdr:row>25</xdr:row>
          <xdr:rowOff>0</xdr:rowOff>
        </xdr:from>
        <xdr:to>
          <xdr:col>8</xdr:col>
          <xdr:colOff>177800</xdr:colOff>
          <xdr:row>25</xdr:row>
          <xdr:rowOff>177800</xdr:rowOff>
        </xdr:to>
        <xdr:sp macro="" textlink="">
          <xdr:nvSpPr>
            <xdr:cNvPr id="27703" name="Check Box 55" hidden="1">
              <a:extLst>
                <a:ext uri="{63B3BB69-23CF-44E3-9099-C40C66FF867C}">
                  <a14:compatExt spid="_x0000_s27703"/>
                </a:ext>
                <a:ext uri="{FF2B5EF4-FFF2-40B4-BE49-F238E27FC236}">
                  <a16:creationId xmlns:a16="http://schemas.microsoft.com/office/drawing/2014/main" id="{00000000-0008-0000-0D00-0000376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8</xdr:col>
          <xdr:colOff>0</xdr:colOff>
          <xdr:row>31</xdr:row>
          <xdr:rowOff>0</xdr:rowOff>
        </xdr:from>
        <xdr:to>
          <xdr:col>8</xdr:col>
          <xdr:colOff>177800</xdr:colOff>
          <xdr:row>31</xdr:row>
          <xdr:rowOff>177800</xdr:rowOff>
        </xdr:to>
        <xdr:sp macro="" textlink="">
          <xdr:nvSpPr>
            <xdr:cNvPr id="27704" name="Check Box 56" hidden="1">
              <a:extLst>
                <a:ext uri="{63B3BB69-23CF-44E3-9099-C40C66FF867C}">
                  <a14:compatExt spid="_x0000_s27704"/>
                </a:ext>
                <a:ext uri="{FF2B5EF4-FFF2-40B4-BE49-F238E27FC236}">
                  <a16:creationId xmlns:a16="http://schemas.microsoft.com/office/drawing/2014/main" id="{00000000-0008-0000-0D00-0000386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8</xdr:col>
          <xdr:colOff>0</xdr:colOff>
          <xdr:row>35</xdr:row>
          <xdr:rowOff>0</xdr:rowOff>
        </xdr:from>
        <xdr:to>
          <xdr:col>8</xdr:col>
          <xdr:colOff>177800</xdr:colOff>
          <xdr:row>35</xdr:row>
          <xdr:rowOff>177800</xdr:rowOff>
        </xdr:to>
        <xdr:sp macro="" textlink="">
          <xdr:nvSpPr>
            <xdr:cNvPr id="27706" name="Check Box 58" hidden="1">
              <a:extLst>
                <a:ext uri="{63B3BB69-23CF-44E3-9099-C40C66FF867C}">
                  <a14:compatExt spid="_x0000_s27706"/>
                </a:ext>
                <a:ext uri="{FF2B5EF4-FFF2-40B4-BE49-F238E27FC236}">
                  <a16:creationId xmlns:a16="http://schemas.microsoft.com/office/drawing/2014/main" id="{00000000-0008-0000-0D00-00003A6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8</xdr:col>
          <xdr:colOff>0</xdr:colOff>
          <xdr:row>37</xdr:row>
          <xdr:rowOff>0</xdr:rowOff>
        </xdr:from>
        <xdr:to>
          <xdr:col>8</xdr:col>
          <xdr:colOff>177800</xdr:colOff>
          <xdr:row>37</xdr:row>
          <xdr:rowOff>177800</xdr:rowOff>
        </xdr:to>
        <xdr:sp macro="" textlink="">
          <xdr:nvSpPr>
            <xdr:cNvPr id="27707" name="Check Box 59" hidden="1">
              <a:extLst>
                <a:ext uri="{63B3BB69-23CF-44E3-9099-C40C66FF867C}">
                  <a14:compatExt spid="_x0000_s27707"/>
                </a:ext>
                <a:ext uri="{FF2B5EF4-FFF2-40B4-BE49-F238E27FC236}">
                  <a16:creationId xmlns:a16="http://schemas.microsoft.com/office/drawing/2014/main" id="{00000000-0008-0000-0D00-00003B6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8</xdr:col>
          <xdr:colOff>0</xdr:colOff>
          <xdr:row>38</xdr:row>
          <xdr:rowOff>0</xdr:rowOff>
        </xdr:from>
        <xdr:to>
          <xdr:col>8</xdr:col>
          <xdr:colOff>177800</xdr:colOff>
          <xdr:row>38</xdr:row>
          <xdr:rowOff>177800</xdr:rowOff>
        </xdr:to>
        <xdr:sp macro="" textlink="">
          <xdr:nvSpPr>
            <xdr:cNvPr id="27708" name="Check Box 60" hidden="1">
              <a:extLst>
                <a:ext uri="{63B3BB69-23CF-44E3-9099-C40C66FF867C}">
                  <a14:compatExt spid="_x0000_s27708"/>
                </a:ext>
                <a:ext uri="{FF2B5EF4-FFF2-40B4-BE49-F238E27FC236}">
                  <a16:creationId xmlns:a16="http://schemas.microsoft.com/office/drawing/2014/main" id="{00000000-0008-0000-0D00-00003C6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8</xdr:col>
          <xdr:colOff>0</xdr:colOff>
          <xdr:row>39</xdr:row>
          <xdr:rowOff>0</xdr:rowOff>
        </xdr:from>
        <xdr:to>
          <xdr:col>8</xdr:col>
          <xdr:colOff>177800</xdr:colOff>
          <xdr:row>39</xdr:row>
          <xdr:rowOff>177800</xdr:rowOff>
        </xdr:to>
        <xdr:sp macro="" textlink="">
          <xdr:nvSpPr>
            <xdr:cNvPr id="27709" name="Check Box 61" hidden="1">
              <a:extLst>
                <a:ext uri="{63B3BB69-23CF-44E3-9099-C40C66FF867C}">
                  <a14:compatExt spid="_x0000_s27709"/>
                </a:ext>
                <a:ext uri="{FF2B5EF4-FFF2-40B4-BE49-F238E27FC236}">
                  <a16:creationId xmlns:a16="http://schemas.microsoft.com/office/drawing/2014/main" id="{00000000-0008-0000-0D00-00003D6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8</xdr:col>
          <xdr:colOff>0</xdr:colOff>
          <xdr:row>40</xdr:row>
          <xdr:rowOff>0</xdr:rowOff>
        </xdr:from>
        <xdr:to>
          <xdr:col>8</xdr:col>
          <xdr:colOff>177800</xdr:colOff>
          <xdr:row>40</xdr:row>
          <xdr:rowOff>177800</xdr:rowOff>
        </xdr:to>
        <xdr:sp macro="" textlink="">
          <xdr:nvSpPr>
            <xdr:cNvPr id="27710" name="Check Box 62" hidden="1">
              <a:extLst>
                <a:ext uri="{63B3BB69-23CF-44E3-9099-C40C66FF867C}">
                  <a14:compatExt spid="_x0000_s27710"/>
                </a:ext>
                <a:ext uri="{FF2B5EF4-FFF2-40B4-BE49-F238E27FC236}">
                  <a16:creationId xmlns:a16="http://schemas.microsoft.com/office/drawing/2014/main" id="{00000000-0008-0000-0D00-00003E6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8</xdr:col>
          <xdr:colOff>0</xdr:colOff>
          <xdr:row>51</xdr:row>
          <xdr:rowOff>0</xdr:rowOff>
        </xdr:from>
        <xdr:to>
          <xdr:col>8</xdr:col>
          <xdr:colOff>177800</xdr:colOff>
          <xdr:row>51</xdr:row>
          <xdr:rowOff>177800</xdr:rowOff>
        </xdr:to>
        <xdr:sp macro="" textlink="">
          <xdr:nvSpPr>
            <xdr:cNvPr id="27711" name="Check Box 63" hidden="1">
              <a:extLst>
                <a:ext uri="{63B3BB69-23CF-44E3-9099-C40C66FF867C}">
                  <a14:compatExt spid="_x0000_s27711"/>
                </a:ext>
                <a:ext uri="{FF2B5EF4-FFF2-40B4-BE49-F238E27FC236}">
                  <a16:creationId xmlns:a16="http://schemas.microsoft.com/office/drawing/2014/main" id="{00000000-0008-0000-0D00-00003F6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8</xdr:col>
          <xdr:colOff>0</xdr:colOff>
          <xdr:row>52</xdr:row>
          <xdr:rowOff>0</xdr:rowOff>
        </xdr:from>
        <xdr:to>
          <xdr:col>8</xdr:col>
          <xdr:colOff>177800</xdr:colOff>
          <xdr:row>52</xdr:row>
          <xdr:rowOff>177800</xdr:rowOff>
        </xdr:to>
        <xdr:sp macro="" textlink="">
          <xdr:nvSpPr>
            <xdr:cNvPr id="27712" name="Check Box 64" hidden="1">
              <a:extLst>
                <a:ext uri="{63B3BB69-23CF-44E3-9099-C40C66FF867C}">
                  <a14:compatExt spid="_x0000_s27712"/>
                </a:ext>
                <a:ext uri="{FF2B5EF4-FFF2-40B4-BE49-F238E27FC236}">
                  <a16:creationId xmlns:a16="http://schemas.microsoft.com/office/drawing/2014/main" id="{00000000-0008-0000-0D00-0000406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8</xdr:col>
          <xdr:colOff>0</xdr:colOff>
          <xdr:row>53</xdr:row>
          <xdr:rowOff>0</xdr:rowOff>
        </xdr:from>
        <xdr:to>
          <xdr:col>8</xdr:col>
          <xdr:colOff>177800</xdr:colOff>
          <xdr:row>53</xdr:row>
          <xdr:rowOff>177800</xdr:rowOff>
        </xdr:to>
        <xdr:sp macro="" textlink="">
          <xdr:nvSpPr>
            <xdr:cNvPr id="27713" name="Check Box 65" hidden="1">
              <a:extLst>
                <a:ext uri="{63B3BB69-23CF-44E3-9099-C40C66FF867C}">
                  <a14:compatExt spid="_x0000_s27713"/>
                </a:ext>
                <a:ext uri="{FF2B5EF4-FFF2-40B4-BE49-F238E27FC236}">
                  <a16:creationId xmlns:a16="http://schemas.microsoft.com/office/drawing/2014/main" id="{00000000-0008-0000-0D00-0000416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8</xdr:col>
          <xdr:colOff>0</xdr:colOff>
          <xdr:row>54</xdr:row>
          <xdr:rowOff>0</xdr:rowOff>
        </xdr:from>
        <xdr:to>
          <xdr:col>8</xdr:col>
          <xdr:colOff>177800</xdr:colOff>
          <xdr:row>54</xdr:row>
          <xdr:rowOff>177800</xdr:rowOff>
        </xdr:to>
        <xdr:sp macro="" textlink="">
          <xdr:nvSpPr>
            <xdr:cNvPr id="27714" name="Check Box 66" hidden="1">
              <a:extLst>
                <a:ext uri="{63B3BB69-23CF-44E3-9099-C40C66FF867C}">
                  <a14:compatExt spid="_x0000_s27714"/>
                </a:ext>
                <a:ext uri="{FF2B5EF4-FFF2-40B4-BE49-F238E27FC236}">
                  <a16:creationId xmlns:a16="http://schemas.microsoft.com/office/drawing/2014/main" id="{00000000-0008-0000-0D00-0000426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8</xdr:col>
          <xdr:colOff>0</xdr:colOff>
          <xdr:row>55</xdr:row>
          <xdr:rowOff>0</xdr:rowOff>
        </xdr:from>
        <xdr:to>
          <xdr:col>8</xdr:col>
          <xdr:colOff>177800</xdr:colOff>
          <xdr:row>55</xdr:row>
          <xdr:rowOff>177800</xdr:rowOff>
        </xdr:to>
        <xdr:sp macro="" textlink="">
          <xdr:nvSpPr>
            <xdr:cNvPr id="27715" name="Check Box 67" hidden="1">
              <a:extLst>
                <a:ext uri="{63B3BB69-23CF-44E3-9099-C40C66FF867C}">
                  <a14:compatExt spid="_x0000_s27715"/>
                </a:ext>
                <a:ext uri="{FF2B5EF4-FFF2-40B4-BE49-F238E27FC236}">
                  <a16:creationId xmlns:a16="http://schemas.microsoft.com/office/drawing/2014/main" id="{00000000-0008-0000-0D00-0000436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8</xdr:col>
          <xdr:colOff>0</xdr:colOff>
          <xdr:row>58</xdr:row>
          <xdr:rowOff>0</xdr:rowOff>
        </xdr:from>
        <xdr:to>
          <xdr:col>8</xdr:col>
          <xdr:colOff>177800</xdr:colOff>
          <xdr:row>58</xdr:row>
          <xdr:rowOff>177800</xdr:rowOff>
        </xdr:to>
        <xdr:sp macro="" textlink="">
          <xdr:nvSpPr>
            <xdr:cNvPr id="27716" name="Check Box 68" hidden="1">
              <a:extLst>
                <a:ext uri="{63B3BB69-23CF-44E3-9099-C40C66FF867C}">
                  <a14:compatExt spid="_x0000_s27716"/>
                </a:ext>
                <a:ext uri="{FF2B5EF4-FFF2-40B4-BE49-F238E27FC236}">
                  <a16:creationId xmlns:a16="http://schemas.microsoft.com/office/drawing/2014/main" id="{00000000-0008-0000-0D00-0000446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8</xdr:col>
          <xdr:colOff>0</xdr:colOff>
          <xdr:row>59</xdr:row>
          <xdr:rowOff>0</xdr:rowOff>
        </xdr:from>
        <xdr:to>
          <xdr:col>8</xdr:col>
          <xdr:colOff>177800</xdr:colOff>
          <xdr:row>59</xdr:row>
          <xdr:rowOff>177800</xdr:rowOff>
        </xdr:to>
        <xdr:sp macro="" textlink="">
          <xdr:nvSpPr>
            <xdr:cNvPr id="27717" name="Check Box 69" hidden="1">
              <a:extLst>
                <a:ext uri="{63B3BB69-23CF-44E3-9099-C40C66FF867C}">
                  <a14:compatExt spid="_x0000_s27717"/>
                </a:ext>
                <a:ext uri="{FF2B5EF4-FFF2-40B4-BE49-F238E27FC236}">
                  <a16:creationId xmlns:a16="http://schemas.microsoft.com/office/drawing/2014/main" id="{00000000-0008-0000-0D00-0000456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8</xdr:col>
          <xdr:colOff>0</xdr:colOff>
          <xdr:row>60</xdr:row>
          <xdr:rowOff>0</xdr:rowOff>
        </xdr:from>
        <xdr:to>
          <xdr:col>8</xdr:col>
          <xdr:colOff>177800</xdr:colOff>
          <xdr:row>60</xdr:row>
          <xdr:rowOff>177800</xdr:rowOff>
        </xdr:to>
        <xdr:sp macro="" textlink="">
          <xdr:nvSpPr>
            <xdr:cNvPr id="27719" name="Check Box 71" hidden="1">
              <a:extLst>
                <a:ext uri="{63B3BB69-23CF-44E3-9099-C40C66FF867C}">
                  <a14:compatExt spid="_x0000_s27719"/>
                </a:ext>
                <a:ext uri="{FF2B5EF4-FFF2-40B4-BE49-F238E27FC236}">
                  <a16:creationId xmlns:a16="http://schemas.microsoft.com/office/drawing/2014/main" id="{00000000-0008-0000-0D00-0000476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8</xdr:col>
          <xdr:colOff>0</xdr:colOff>
          <xdr:row>61</xdr:row>
          <xdr:rowOff>0</xdr:rowOff>
        </xdr:from>
        <xdr:to>
          <xdr:col>8</xdr:col>
          <xdr:colOff>177800</xdr:colOff>
          <xdr:row>61</xdr:row>
          <xdr:rowOff>177800</xdr:rowOff>
        </xdr:to>
        <xdr:sp macro="" textlink="">
          <xdr:nvSpPr>
            <xdr:cNvPr id="27720" name="Check Box 72" hidden="1">
              <a:extLst>
                <a:ext uri="{63B3BB69-23CF-44E3-9099-C40C66FF867C}">
                  <a14:compatExt spid="_x0000_s27720"/>
                </a:ext>
                <a:ext uri="{FF2B5EF4-FFF2-40B4-BE49-F238E27FC236}">
                  <a16:creationId xmlns:a16="http://schemas.microsoft.com/office/drawing/2014/main" id="{00000000-0008-0000-0D00-0000486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8</xdr:col>
          <xdr:colOff>0</xdr:colOff>
          <xdr:row>62</xdr:row>
          <xdr:rowOff>0</xdr:rowOff>
        </xdr:from>
        <xdr:to>
          <xdr:col>8</xdr:col>
          <xdr:colOff>177800</xdr:colOff>
          <xdr:row>63</xdr:row>
          <xdr:rowOff>0</xdr:rowOff>
        </xdr:to>
        <xdr:sp macro="" textlink="">
          <xdr:nvSpPr>
            <xdr:cNvPr id="27721" name="Check Box 73" hidden="1">
              <a:extLst>
                <a:ext uri="{63B3BB69-23CF-44E3-9099-C40C66FF867C}">
                  <a14:compatExt spid="_x0000_s27721"/>
                </a:ext>
                <a:ext uri="{FF2B5EF4-FFF2-40B4-BE49-F238E27FC236}">
                  <a16:creationId xmlns:a16="http://schemas.microsoft.com/office/drawing/2014/main" id="{00000000-0008-0000-0D00-0000496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8</xdr:col>
          <xdr:colOff>0</xdr:colOff>
          <xdr:row>64</xdr:row>
          <xdr:rowOff>0</xdr:rowOff>
        </xdr:from>
        <xdr:to>
          <xdr:col>8</xdr:col>
          <xdr:colOff>177800</xdr:colOff>
          <xdr:row>64</xdr:row>
          <xdr:rowOff>177800</xdr:rowOff>
        </xdr:to>
        <xdr:sp macro="" textlink="">
          <xdr:nvSpPr>
            <xdr:cNvPr id="27722" name="Check Box 74" hidden="1">
              <a:extLst>
                <a:ext uri="{63B3BB69-23CF-44E3-9099-C40C66FF867C}">
                  <a14:compatExt spid="_x0000_s27722"/>
                </a:ext>
                <a:ext uri="{FF2B5EF4-FFF2-40B4-BE49-F238E27FC236}">
                  <a16:creationId xmlns:a16="http://schemas.microsoft.com/office/drawing/2014/main" id="{00000000-0008-0000-0D00-00004A6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8</xdr:col>
          <xdr:colOff>0</xdr:colOff>
          <xdr:row>65</xdr:row>
          <xdr:rowOff>0</xdr:rowOff>
        </xdr:from>
        <xdr:to>
          <xdr:col>8</xdr:col>
          <xdr:colOff>177800</xdr:colOff>
          <xdr:row>65</xdr:row>
          <xdr:rowOff>177800</xdr:rowOff>
        </xdr:to>
        <xdr:sp macro="" textlink="">
          <xdr:nvSpPr>
            <xdr:cNvPr id="27723" name="Check Box 75" hidden="1">
              <a:extLst>
                <a:ext uri="{63B3BB69-23CF-44E3-9099-C40C66FF867C}">
                  <a14:compatExt spid="_x0000_s27723"/>
                </a:ext>
                <a:ext uri="{FF2B5EF4-FFF2-40B4-BE49-F238E27FC236}">
                  <a16:creationId xmlns:a16="http://schemas.microsoft.com/office/drawing/2014/main" id="{00000000-0008-0000-0D00-00004B6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8</xdr:col>
          <xdr:colOff>0</xdr:colOff>
          <xdr:row>26</xdr:row>
          <xdr:rowOff>0</xdr:rowOff>
        </xdr:from>
        <xdr:to>
          <xdr:col>8</xdr:col>
          <xdr:colOff>177800</xdr:colOff>
          <xdr:row>26</xdr:row>
          <xdr:rowOff>177800</xdr:rowOff>
        </xdr:to>
        <xdr:sp macro="" textlink="">
          <xdr:nvSpPr>
            <xdr:cNvPr id="27725" name="Check Box 77" hidden="1">
              <a:extLst>
                <a:ext uri="{63B3BB69-23CF-44E3-9099-C40C66FF867C}">
                  <a14:compatExt spid="_x0000_s27725"/>
                </a:ext>
                <a:ext uri="{FF2B5EF4-FFF2-40B4-BE49-F238E27FC236}">
                  <a16:creationId xmlns:a16="http://schemas.microsoft.com/office/drawing/2014/main" id="{00000000-0008-0000-0D00-00004D6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8</xdr:col>
          <xdr:colOff>0</xdr:colOff>
          <xdr:row>41</xdr:row>
          <xdr:rowOff>0</xdr:rowOff>
        </xdr:from>
        <xdr:to>
          <xdr:col>8</xdr:col>
          <xdr:colOff>177800</xdr:colOff>
          <xdr:row>41</xdr:row>
          <xdr:rowOff>177800</xdr:rowOff>
        </xdr:to>
        <xdr:sp macro="" textlink="">
          <xdr:nvSpPr>
            <xdr:cNvPr id="27727" name="Check Box 79" hidden="1">
              <a:extLst>
                <a:ext uri="{63B3BB69-23CF-44E3-9099-C40C66FF867C}">
                  <a14:compatExt spid="_x0000_s27727"/>
                </a:ext>
                <a:ext uri="{FF2B5EF4-FFF2-40B4-BE49-F238E27FC236}">
                  <a16:creationId xmlns:a16="http://schemas.microsoft.com/office/drawing/2014/main" id="{00000000-0008-0000-0D00-00004F6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8</xdr:col>
          <xdr:colOff>0</xdr:colOff>
          <xdr:row>42</xdr:row>
          <xdr:rowOff>0</xdr:rowOff>
        </xdr:from>
        <xdr:to>
          <xdr:col>8</xdr:col>
          <xdr:colOff>177800</xdr:colOff>
          <xdr:row>42</xdr:row>
          <xdr:rowOff>177800</xdr:rowOff>
        </xdr:to>
        <xdr:sp macro="" textlink="">
          <xdr:nvSpPr>
            <xdr:cNvPr id="27728" name="Check Box 80" hidden="1">
              <a:extLst>
                <a:ext uri="{63B3BB69-23CF-44E3-9099-C40C66FF867C}">
                  <a14:compatExt spid="_x0000_s27728"/>
                </a:ext>
                <a:ext uri="{FF2B5EF4-FFF2-40B4-BE49-F238E27FC236}">
                  <a16:creationId xmlns:a16="http://schemas.microsoft.com/office/drawing/2014/main" id="{00000000-0008-0000-0D00-0000506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8</xdr:col>
          <xdr:colOff>0</xdr:colOff>
          <xdr:row>43</xdr:row>
          <xdr:rowOff>0</xdr:rowOff>
        </xdr:from>
        <xdr:to>
          <xdr:col>8</xdr:col>
          <xdr:colOff>177800</xdr:colOff>
          <xdr:row>43</xdr:row>
          <xdr:rowOff>177800</xdr:rowOff>
        </xdr:to>
        <xdr:sp macro="" textlink="">
          <xdr:nvSpPr>
            <xdr:cNvPr id="27729" name="Check Box 81" hidden="1">
              <a:extLst>
                <a:ext uri="{63B3BB69-23CF-44E3-9099-C40C66FF867C}">
                  <a14:compatExt spid="_x0000_s27729"/>
                </a:ext>
                <a:ext uri="{FF2B5EF4-FFF2-40B4-BE49-F238E27FC236}">
                  <a16:creationId xmlns:a16="http://schemas.microsoft.com/office/drawing/2014/main" id="{00000000-0008-0000-0D00-0000516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8</xdr:col>
          <xdr:colOff>0</xdr:colOff>
          <xdr:row>44</xdr:row>
          <xdr:rowOff>0</xdr:rowOff>
        </xdr:from>
        <xdr:to>
          <xdr:col>8</xdr:col>
          <xdr:colOff>177800</xdr:colOff>
          <xdr:row>44</xdr:row>
          <xdr:rowOff>177800</xdr:rowOff>
        </xdr:to>
        <xdr:sp macro="" textlink="">
          <xdr:nvSpPr>
            <xdr:cNvPr id="27730" name="Check Box 82" hidden="1">
              <a:extLst>
                <a:ext uri="{63B3BB69-23CF-44E3-9099-C40C66FF867C}">
                  <a14:compatExt spid="_x0000_s27730"/>
                </a:ext>
                <a:ext uri="{FF2B5EF4-FFF2-40B4-BE49-F238E27FC236}">
                  <a16:creationId xmlns:a16="http://schemas.microsoft.com/office/drawing/2014/main" id="{00000000-0008-0000-0D00-0000526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8</xdr:col>
          <xdr:colOff>0</xdr:colOff>
          <xdr:row>45</xdr:row>
          <xdr:rowOff>0</xdr:rowOff>
        </xdr:from>
        <xdr:to>
          <xdr:col>8</xdr:col>
          <xdr:colOff>177800</xdr:colOff>
          <xdr:row>45</xdr:row>
          <xdr:rowOff>177800</xdr:rowOff>
        </xdr:to>
        <xdr:sp macro="" textlink="">
          <xdr:nvSpPr>
            <xdr:cNvPr id="27731" name="Check Box 83" hidden="1">
              <a:extLst>
                <a:ext uri="{63B3BB69-23CF-44E3-9099-C40C66FF867C}">
                  <a14:compatExt spid="_x0000_s27731"/>
                </a:ext>
                <a:ext uri="{FF2B5EF4-FFF2-40B4-BE49-F238E27FC236}">
                  <a16:creationId xmlns:a16="http://schemas.microsoft.com/office/drawing/2014/main" id="{00000000-0008-0000-0D00-0000536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8</xdr:col>
          <xdr:colOff>0</xdr:colOff>
          <xdr:row>47</xdr:row>
          <xdr:rowOff>0</xdr:rowOff>
        </xdr:from>
        <xdr:to>
          <xdr:col>8</xdr:col>
          <xdr:colOff>177800</xdr:colOff>
          <xdr:row>47</xdr:row>
          <xdr:rowOff>177800</xdr:rowOff>
        </xdr:to>
        <xdr:sp macro="" textlink="">
          <xdr:nvSpPr>
            <xdr:cNvPr id="27733" name="Check Box 85" hidden="1">
              <a:extLst>
                <a:ext uri="{63B3BB69-23CF-44E3-9099-C40C66FF867C}">
                  <a14:compatExt spid="_x0000_s27733"/>
                </a:ext>
                <a:ext uri="{FF2B5EF4-FFF2-40B4-BE49-F238E27FC236}">
                  <a16:creationId xmlns:a16="http://schemas.microsoft.com/office/drawing/2014/main" id="{00000000-0008-0000-0D00-0000556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8</xdr:col>
          <xdr:colOff>0</xdr:colOff>
          <xdr:row>48</xdr:row>
          <xdr:rowOff>0</xdr:rowOff>
        </xdr:from>
        <xdr:to>
          <xdr:col>8</xdr:col>
          <xdr:colOff>177800</xdr:colOff>
          <xdr:row>48</xdr:row>
          <xdr:rowOff>177800</xdr:rowOff>
        </xdr:to>
        <xdr:sp macro="" textlink="">
          <xdr:nvSpPr>
            <xdr:cNvPr id="27734" name="Check Box 86" hidden="1">
              <a:extLst>
                <a:ext uri="{63B3BB69-23CF-44E3-9099-C40C66FF867C}">
                  <a14:compatExt spid="_x0000_s27734"/>
                </a:ext>
                <a:ext uri="{FF2B5EF4-FFF2-40B4-BE49-F238E27FC236}">
                  <a16:creationId xmlns:a16="http://schemas.microsoft.com/office/drawing/2014/main" id="{00000000-0008-0000-0D00-0000566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8</xdr:col>
          <xdr:colOff>0</xdr:colOff>
          <xdr:row>49</xdr:row>
          <xdr:rowOff>0</xdr:rowOff>
        </xdr:from>
        <xdr:to>
          <xdr:col>8</xdr:col>
          <xdr:colOff>177800</xdr:colOff>
          <xdr:row>49</xdr:row>
          <xdr:rowOff>177800</xdr:rowOff>
        </xdr:to>
        <xdr:sp macro="" textlink="">
          <xdr:nvSpPr>
            <xdr:cNvPr id="27735" name="Check Box 87" hidden="1">
              <a:extLst>
                <a:ext uri="{63B3BB69-23CF-44E3-9099-C40C66FF867C}">
                  <a14:compatExt spid="_x0000_s27735"/>
                </a:ext>
                <a:ext uri="{FF2B5EF4-FFF2-40B4-BE49-F238E27FC236}">
                  <a16:creationId xmlns:a16="http://schemas.microsoft.com/office/drawing/2014/main" id="{00000000-0008-0000-0D00-0000576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8</xdr:col>
          <xdr:colOff>0</xdr:colOff>
          <xdr:row>50</xdr:row>
          <xdr:rowOff>0</xdr:rowOff>
        </xdr:from>
        <xdr:to>
          <xdr:col>8</xdr:col>
          <xdr:colOff>177800</xdr:colOff>
          <xdr:row>50</xdr:row>
          <xdr:rowOff>177800</xdr:rowOff>
        </xdr:to>
        <xdr:sp macro="" textlink="">
          <xdr:nvSpPr>
            <xdr:cNvPr id="27736" name="Check Box 88" hidden="1">
              <a:extLst>
                <a:ext uri="{63B3BB69-23CF-44E3-9099-C40C66FF867C}">
                  <a14:compatExt spid="_x0000_s27736"/>
                </a:ext>
                <a:ext uri="{FF2B5EF4-FFF2-40B4-BE49-F238E27FC236}">
                  <a16:creationId xmlns:a16="http://schemas.microsoft.com/office/drawing/2014/main" id="{00000000-0008-0000-0D00-0000586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8</xdr:col>
          <xdr:colOff>0</xdr:colOff>
          <xdr:row>28</xdr:row>
          <xdr:rowOff>0</xdr:rowOff>
        </xdr:from>
        <xdr:to>
          <xdr:col>8</xdr:col>
          <xdr:colOff>177800</xdr:colOff>
          <xdr:row>28</xdr:row>
          <xdr:rowOff>177800</xdr:rowOff>
        </xdr:to>
        <xdr:sp macro="" textlink="">
          <xdr:nvSpPr>
            <xdr:cNvPr id="27739" name="Check Box 91" hidden="1">
              <a:extLst>
                <a:ext uri="{63B3BB69-23CF-44E3-9099-C40C66FF867C}">
                  <a14:compatExt spid="_x0000_s27739"/>
                </a:ext>
                <a:ext uri="{FF2B5EF4-FFF2-40B4-BE49-F238E27FC236}">
                  <a16:creationId xmlns:a16="http://schemas.microsoft.com/office/drawing/2014/main" id="{00000000-0008-0000-0D00-00005B6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8</xdr:col>
          <xdr:colOff>0</xdr:colOff>
          <xdr:row>33</xdr:row>
          <xdr:rowOff>0</xdr:rowOff>
        </xdr:from>
        <xdr:to>
          <xdr:col>8</xdr:col>
          <xdr:colOff>177800</xdr:colOff>
          <xdr:row>33</xdr:row>
          <xdr:rowOff>177800</xdr:rowOff>
        </xdr:to>
        <xdr:sp macro="" textlink="">
          <xdr:nvSpPr>
            <xdr:cNvPr id="27741" name="Check Box 93" hidden="1">
              <a:extLst>
                <a:ext uri="{63B3BB69-23CF-44E3-9099-C40C66FF867C}">
                  <a14:compatExt spid="_x0000_s27741"/>
                </a:ext>
                <a:ext uri="{FF2B5EF4-FFF2-40B4-BE49-F238E27FC236}">
                  <a16:creationId xmlns:a16="http://schemas.microsoft.com/office/drawing/2014/main" id="{00000000-0008-0000-0D00-00005D6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8</xdr:col>
          <xdr:colOff>0</xdr:colOff>
          <xdr:row>34</xdr:row>
          <xdr:rowOff>0</xdr:rowOff>
        </xdr:from>
        <xdr:to>
          <xdr:col>8</xdr:col>
          <xdr:colOff>177800</xdr:colOff>
          <xdr:row>34</xdr:row>
          <xdr:rowOff>177800</xdr:rowOff>
        </xdr:to>
        <xdr:sp macro="" textlink="">
          <xdr:nvSpPr>
            <xdr:cNvPr id="27742" name="Check Box 94" hidden="1">
              <a:extLst>
                <a:ext uri="{63B3BB69-23CF-44E3-9099-C40C66FF867C}">
                  <a14:compatExt spid="_x0000_s27742"/>
                </a:ext>
                <a:ext uri="{FF2B5EF4-FFF2-40B4-BE49-F238E27FC236}">
                  <a16:creationId xmlns:a16="http://schemas.microsoft.com/office/drawing/2014/main" id="{00000000-0008-0000-0D00-00005E6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8</xdr:col>
          <xdr:colOff>0</xdr:colOff>
          <xdr:row>29</xdr:row>
          <xdr:rowOff>0</xdr:rowOff>
        </xdr:from>
        <xdr:to>
          <xdr:col>8</xdr:col>
          <xdr:colOff>177800</xdr:colOff>
          <xdr:row>29</xdr:row>
          <xdr:rowOff>177800</xdr:rowOff>
        </xdr:to>
        <xdr:sp macro="" textlink="">
          <xdr:nvSpPr>
            <xdr:cNvPr id="27743" name="Check Box 95" hidden="1">
              <a:extLst>
                <a:ext uri="{63B3BB69-23CF-44E3-9099-C40C66FF867C}">
                  <a14:compatExt spid="_x0000_s27743"/>
                </a:ext>
                <a:ext uri="{FF2B5EF4-FFF2-40B4-BE49-F238E27FC236}">
                  <a16:creationId xmlns:a16="http://schemas.microsoft.com/office/drawing/2014/main" id="{00000000-0008-0000-0D00-00005F6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8</xdr:col>
          <xdr:colOff>0</xdr:colOff>
          <xdr:row>30</xdr:row>
          <xdr:rowOff>0</xdr:rowOff>
        </xdr:from>
        <xdr:to>
          <xdr:col>8</xdr:col>
          <xdr:colOff>177800</xdr:colOff>
          <xdr:row>30</xdr:row>
          <xdr:rowOff>177800</xdr:rowOff>
        </xdr:to>
        <xdr:sp macro="" textlink="">
          <xdr:nvSpPr>
            <xdr:cNvPr id="27744" name="Check Box 96" hidden="1">
              <a:extLst>
                <a:ext uri="{63B3BB69-23CF-44E3-9099-C40C66FF867C}">
                  <a14:compatExt spid="_x0000_s27744"/>
                </a:ext>
                <a:ext uri="{FF2B5EF4-FFF2-40B4-BE49-F238E27FC236}">
                  <a16:creationId xmlns:a16="http://schemas.microsoft.com/office/drawing/2014/main" id="{00000000-0008-0000-0D00-0000606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8</xdr:col>
          <xdr:colOff>0</xdr:colOff>
          <xdr:row>19</xdr:row>
          <xdr:rowOff>0</xdr:rowOff>
        </xdr:from>
        <xdr:to>
          <xdr:col>8</xdr:col>
          <xdr:colOff>177800</xdr:colOff>
          <xdr:row>19</xdr:row>
          <xdr:rowOff>177800</xdr:rowOff>
        </xdr:to>
        <xdr:sp macro="" textlink="">
          <xdr:nvSpPr>
            <xdr:cNvPr id="27746" name="Check Box 98" hidden="1">
              <a:extLst>
                <a:ext uri="{63B3BB69-23CF-44E3-9099-C40C66FF867C}">
                  <a14:compatExt spid="_x0000_s27746"/>
                </a:ext>
                <a:ext uri="{FF2B5EF4-FFF2-40B4-BE49-F238E27FC236}">
                  <a16:creationId xmlns:a16="http://schemas.microsoft.com/office/drawing/2014/main" id="{00000000-0008-0000-0D00-0000626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xdr:wsDr>
</file>

<file path=xl/drawings/drawing11.xml><?xml version="1.0" encoding="utf-8"?>
<xdr:wsDr xmlns:xdr="http://schemas.openxmlformats.org/drawingml/2006/spreadsheetDrawing" xmlns:a="http://schemas.openxmlformats.org/drawingml/2006/main">
  <xdr:twoCellAnchor editAs="oneCell">
    <xdr:from>
      <xdr:col>12</xdr:col>
      <xdr:colOff>38100</xdr:colOff>
      <xdr:row>0</xdr:row>
      <xdr:rowOff>0</xdr:rowOff>
    </xdr:from>
    <xdr:to>
      <xdr:col>14</xdr:col>
      <xdr:colOff>447675</xdr:colOff>
      <xdr:row>4</xdr:row>
      <xdr:rowOff>141767</xdr:rowOff>
    </xdr:to>
    <xdr:pic>
      <xdr:nvPicPr>
        <xdr:cNvPr id="2" name="Picture 1">
          <a:extLst>
            <a:ext uri="{FF2B5EF4-FFF2-40B4-BE49-F238E27FC236}">
              <a16:creationId xmlns:a16="http://schemas.microsoft.com/office/drawing/2014/main" id="{00000000-0008-0000-0E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029325" y="0"/>
          <a:ext cx="1828800" cy="903767"/>
        </a:xfrm>
        <a:prstGeom prst="rect">
          <a:avLst/>
        </a:prstGeom>
      </xdr:spPr>
    </xdr:pic>
    <xdr:clientData/>
  </xdr:twoCellAnchor>
  <mc:AlternateContent xmlns:mc="http://schemas.openxmlformats.org/markup-compatibility/2006">
    <mc:Choice xmlns:a14="http://schemas.microsoft.com/office/drawing/2010/main" Requires="a14">
      <xdr:twoCellAnchor>
        <xdr:from>
          <xdr:col>22</xdr:col>
          <xdr:colOff>0</xdr:colOff>
          <xdr:row>14</xdr:row>
          <xdr:rowOff>0</xdr:rowOff>
        </xdr:from>
        <xdr:to>
          <xdr:col>22</xdr:col>
          <xdr:colOff>177800</xdr:colOff>
          <xdr:row>14</xdr:row>
          <xdr:rowOff>177800</xdr:rowOff>
        </xdr:to>
        <xdr:sp macro="" textlink="">
          <xdr:nvSpPr>
            <xdr:cNvPr id="15564" name="Check Box 204" hidden="1">
              <a:extLst>
                <a:ext uri="{63B3BB69-23CF-44E3-9099-C40C66FF867C}">
                  <a14:compatExt spid="_x0000_s15564"/>
                </a:ext>
                <a:ext uri="{FF2B5EF4-FFF2-40B4-BE49-F238E27FC236}">
                  <a16:creationId xmlns:a16="http://schemas.microsoft.com/office/drawing/2014/main" id="{00000000-0008-0000-0E00-0000CC3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16</xdr:row>
          <xdr:rowOff>0</xdr:rowOff>
        </xdr:from>
        <xdr:to>
          <xdr:col>22</xdr:col>
          <xdr:colOff>177800</xdr:colOff>
          <xdr:row>16</xdr:row>
          <xdr:rowOff>177800</xdr:rowOff>
        </xdr:to>
        <xdr:sp macro="" textlink="">
          <xdr:nvSpPr>
            <xdr:cNvPr id="15565" name="Check Box 205" hidden="1">
              <a:extLst>
                <a:ext uri="{63B3BB69-23CF-44E3-9099-C40C66FF867C}">
                  <a14:compatExt spid="_x0000_s15565"/>
                </a:ext>
                <a:ext uri="{FF2B5EF4-FFF2-40B4-BE49-F238E27FC236}">
                  <a16:creationId xmlns:a16="http://schemas.microsoft.com/office/drawing/2014/main" id="{00000000-0008-0000-0E00-0000CD3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18</xdr:row>
          <xdr:rowOff>0</xdr:rowOff>
        </xdr:from>
        <xdr:to>
          <xdr:col>22</xdr:col>
          <xdr:colOff>177800</xdr:colOff>
          <xdr:row>18</xdr:row>
          <xdr:rowOff>177800</xdr:rowOff>
        </xdr:to>
        <xdr:sp macro="" textlink="">
          <xdr:nvSpPr>
            <xdr:cNvPr id="15567" name="Check Box 207" hidden="1">
              <a:extLst>
                <a:ext uri="{63B3BB69-23CF-44E3-9099-C40C66FF867C}">
                  <a14:compatExt spid="_x0000_s15567"/>
                </a:ext>
                <a:ext uri="{FF2B5EF4-FFF2-40B4-BE49-F238E27FC236}">
                  <a16:creationId xmlns:a16="http://schemas.microsoft.com/office/drawing/2014/main" id="{00000000-0008-0000-0E00-0000CF3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33</xdr:row>
          <xdr:rowOff>0</xdr:rowOff>
        </xdr:from>
        <xdr:to>
          <xdr:col>22</xdr:col>
          <xdr:colOff>177800</xdr:colOff>
          <xdr:row>33</xdr:row>
          <xdr:rowOff>177800</xdr:rowOff>
        </xdr:to>
        <xdr:sp macro="" textlink="">
          <xdr:nvSpPr>
            <xdr:cNvPr id="15568" name="Check Box 208" hidden="1">
              <a:extLst>
                <a:ext uri="{63B3BB69-23CF-44E3-9099-C40C66FF867C}">
                  <a14:compatExt spid="_x0000_s15568"/>
                </a:ext>
                <a:ext uri="{FF2B5EF4-FFF2-40B4-BE49-F238E27FC236}">
                  <a16:creationId xmlns:a16="http://schemas.microsoft.com/office/drawing/2014/main" id="{00000000-0008-0000-0E00-0000D03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50</xdr:row>
          <xdr:rowOff>0</xdr:rowOff>
        </xdr:from>
        <xdr:to>
          <xdr:col>22</xdr:col>
          <xdr:colOff>177800</xdr:colOff>
          <xdr:row>50</xdr:row>
          <xdr:rowOff>177800</xdr:rowOff>
        </xdr:to>
        <xdr:sp macro="" textlink="">
          <xdr:nvSpPr>
            <xdr:cNvPr id="15569" name="Check Box 209" hidden="1">
              <a:extLst>
                <a:ext uri="{63B3BB69-23CF-44E3-9099-C40C66FF867C}">
                  <a14:compatExt spid="_x0000_s15569"/>
                </a:ext>
                <a:ext uri="{FF2B5EF4-FFF2-40B4-BE49-F238E27FC236}">
                  <a16:creationId xmlns:a16="http://schemas.microsoft.com/office/drawing/2014/main" id="{00000000-0008-0000-0E00-0000D13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62</xdr:row>
          <xdr:rowOff>0</xdr:rowOff>
        </xdr:from>
        <xdr:to>
          <xdr:col>22</xdr:col>
          <xdr:colOff>177800</xdr:colOff>
          <xdr:row>62</xdr:row>
          <xdr:rowOff>177800</xdr:rowOff>
        </xdr:to>
        <xdr:sp macro="" textlink="">
          <xdr:nvSpPr>
            <xdr:cNvPr id="15570" name="Check Box 210" hidden="1">
              <a:extLst>
                <a:ext uri="{63B3BB69-23CF-44E3-9099-C40C66FF867C}">
                  <a14:compatExt spid="_x0000_s15570"/>
                </a:ext>
                <a:ext uri="{FF2B5EF4-FFF2-40B4-BE49-F238E27FC236}">
                  <a16:creationId xmlns:a16="http://schemas.microsoft.com/office/drawing/2014/main" id="{00000000-0008-0000-0E00-0000D23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63</xdr:row>
          <xdr:rowOff>0</xdr:rowOff>
        </xdr:from>
        <xdr:to>
          <xdr:col>22</xdr:col>
          <xdr:colOff>177800</xdr:colOff>
          <xdr:row>63</xdr:row>
          <xdr:rowOff>177800</xdr:rowOff>
        </xdr:to>
        <xdr:sp macro="" textlink="">
          <xdr:nvSpPr>
            <xdr:cNvPr id="15571" name="Check Box 211" hidden="1">
              <a:extLst>
                <a:ext uri="{63B3BB69-23CF-44E3-9099-C40C66FF867C}">
                  <a14:compatExt spid="_x0000_s15571"/>
                </a:ext>
                <a:ext uri="{FF2B5EF4-FFF2-40B4-BE49-F238E27FC236}">
                  <a16:creationId xmlns:a16="http://schemas.microsoft.com/office/drawing/2014/main" id="{00000000-0008-0000-0E00-0000D33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65</xdr:row>
          <xdr:rowOff>0</xdr:rowOff>
        </xdr:from>
        <xdr:to>
          <xdr:col>22</xdr:col>
          <xdr:colOff>177800</xdr:colOff>
          <xdr:row>65</xdr:row>
          <xdr:rowOff>177800</xdr:rowOff>
        </xdr:to>
        <xdr:sp macro="" textlink="">
          <xdr:nvSpPr>
            <xdr:cNvPr id="15572" name="Check Box 212" hidden="1">
              <a:extLst>
                <a:ext uri="{63B3BB69-23CF-44E3-9099-C40C66FF867C}">
                  <a14:compatExt spid="_x0000_s15572"/>
                </a:ext>
                <a:ext uri="{FF2B5EF4-FFF2-40B4-BE49-F238E27FC236}">
                  <a16:creationId xmlns:a16="http://schemas.microsoft.com/office/drawing/2014/main" id="{00000000-0008-0000-0E00-0000D43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67</xdr:row>
          <xdr:rowOff>0</xdr:rowOff>
        </xdr:from>
        <xdr:to>
          <xdr:col>22</xdr:col>
          <xdr:colOff>177800</xdr:colOff>
          <xdr:row>67</xdr:row>
          <xdr:rowOff>177800</xdr:rowOff>
        </xdr:to>
        <xdr:sp macro="" textlink="">
          <xdr:nvSpPr>
            <xdr:cNvPr id="15573" name="Check Box 213" hidden="1">
              <a:extLst>
                <a:ext uri="{63B3BB69-23CF-44E3-9099-C40C66FF867C}">
                  <a14:compatExt spid="_x0000_s15573"/>
                </a:ext>
                <a:ext uri="{FF2B5EF4-FFF2-40B4-BE49-F238E27FC236}">
                  <a16:creationId xmlns:a16="http://schemas.microsoft.com/office/drawing/2014/main" id="{00000000-0008-0000-0E00-0000D53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69</xdr:row>
          <xdr:rowOff>0</xdr:rowOff>
        </xdr:from>
        <xdr:to>
          <xdr:col>22</xdr:col>
          <xdr:colOff>177800</xdr:colOff>
          <xdr:row>69</xdr:row>
          <xdr:rowOff>177800</xdr:rowOff>
        </xdr:to>
        <xdr:sp macro="" textlink="">
          <xdr:nvSpPr>
            <xdr:cNvPr id="15574" name="Check Box 214" hidden="1">
              <a:extLst>
                <a:ext uri="{63B3BB69-23CF-44E3-9099-C40C66FF867C}">
                  <a14:compatExt spid="_x0000_s15574"/>
                </a:ext>
                <a:ext uri="{FF2B5EF4-FFF2-40B4-BE49-F238E27FC236}">
                  <a16:creationId xmlns:a16="http://schemas.microsoft.com/office/drawing/2014/main" id="{00000000-0008-0000-0E00-0000D63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70</xdr:row>
          <xdr:rowOff>0</xdr:rowOff>
        </xdr:from>
        <xdr:to>
          <xdr:col>22</xdr:col>
          <xdr:colOff>177800</xdr:colOff>
          <xdr:row>70</xdr:row>
          <xdr:rowOff>177800</xdr:rowOff>
        </xdr:to>
        <xdr:sp macro="" textlink="">
          <xdr:nvSpPr>
            <xdr:cNvPr id="15575" name="Check Box 215" hidden="1">
              <a:extLst>
                <a:ext uri="{63B3BB69-23CF-44E3-9099-C40C66FF867C}">
                  <a14:compatExt spid="_x0000_s15575"/>
                </a:ext>
                <a:ext uri="{FF2B5EF4-FFF2-40B4-BE49-F238E27FC236}">
                  <a16:creationId xmlns:a16="http://schemas.microsoft.com/office/drawing/2014/main" id="{00000000-0008-0000-0E00-0000D73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72</xdr:row>
          <xdr:rowOff>0</xdr:rowOff>
        </xdr:from>
        <xdr:to>
          <xdr:col>22</xdr:col>
          <xdr:colOff>177800</xdr:colOff>
          <xdr:row>72</xdr:row>
          <xdr:rowOff>177800</xdr:rowOff>
        </xdr:to>
        <xdr:sp macro="" textlink="">
          <xdr:nvSpPr>
            <xdr:cNvPr id="15576" name="Check Box 216" hidden="1">
              <a:extLst>
                <a:ext uri="{63B3BB69-23CF-44E3-9099-C40C66FF867C}">
                  <a14:compatExt spid="_x0000_s15576"/>
                </a:ext>
                <a:ext uri="{FF2B5EF4-FFF2-40B4-BE49-F238E27FC236}">
                  <a16:creationId xmlns:a16="http://schemas.microsoft.com/office/drawing/2014/main" id="{00000000-0008-0000-0E00-0000D83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81</xdr:row>
          <xdr:rowOff>0</xdr:rowOff>
        </xdr:from>
        <xdr:to>
          <xdr:col>22</xdr:col>
          <xdr:colOff>177800</xdr:colOff>
          <xdr:row>81</xdr:row>
          <xdr:rowOff>177800</xdr:rowOff>
        </xdr:to>
        <xdr:sp macro="" textlink="">
          <xdr:nvSpPr>
            <xdr:cNvPr id="15577" name="Check Box 217" hidden="1">
              <a:extLst>
                <a:ext uri="{63B3BB69-23CF-44E3-9099-C40C66FF867C}">
                  <a14:compatExt spid="_x0000_s15577"/>
                </a:ext>
                <a:ext uri="{FF2B5EF4-FFF2-40B4-BE49-F238E27FC236}">
                  <a16:creationId xmlns:a16="http://schemas.microsoft.com/office/drawing/2014/main" id="{00000000-0008-0000-0E00-0000D93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82</xdr:row>
          <xdr:rowOff>0</xdr:rowOff>
        </xdr:from>
        <xdr:to>
          <xdr:col>22</xdr:col>
          <xdr:colOff>177800</xdr:colOff>
          <xdr:row>82</xdr:row>
          <xdr:rowOff>177800</xdr:rowOff>
        </xdr:to>
        <xdr:sp macro="" textlink="">
          <xdr:nvSpPr>
            <xdr:cNvPr id="15578" name="Check Box 218" hidden="1">
              <a:extLst>
                <a:ext uri="{63B3BB69-23CF-44E3-9099-C40C66FF867C}">
                  <a14:compatExt spid="_x0000_s15578"/>
                </a:ext>
                <a:ext uri="{FF2B5EF4-FFF2-40B4-BE49-F238E27FC236}">
                  <a16:creationId xmlns:a16="http://schemas.microsoft.com/office/drawing/2014/main" id="{00000000-0008-0000-0E00-0000DA3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89</xdr:row>
          <xdr:rowOff>0</xdr:rowOff>
        </xdr:from>
        <xdr:to>
          <xdr:col>22</xdr:col>
          <xdr:colOff>177800</xdr:colOff>
          <xdr:row>89</xdr:row>
          <xdr:rowOff>177800</xdr:rowOff>
        </xdr:to>
        <xdr:sp macro="" textlink="">
          <xdr:nvSpPr>
            <xdr:cNvPr id="15579" name="Check Box 219" hidden="1">
              <a:extLst>
                <a:ext uri="{63B3BB69-23CF-44E3-9099-C40C66FF867C}">
                  <a14:compatExt spid="_x0000_s15579"/>
                </a:ext>
                <a:ext uri="{FF2B5EF4-FFF2-40B4-BE49-F238E27FC236}">
                  <a16:creationId xmlns:a16="http://schemas.microsoft.com/office/drawing/2014/main" id="{00000000-0008-0000-0E00-0000DB3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91</xdr:row>
          <xdr:rowOff>0</xdr:rowOff>
        </xdr:from>
        <xdr:to>
          <xdr:col>22</xdr:col>
          <xdr:colOff>177800</xdr:colOff>
          <xdr:row>91</xdr:row>
          <xdr:rowOff>177800</xdr:rowOff>
        </xdr:to>
        <xdr:sp macro="" textlink="">
          <xdr:nvSpPr>
            <xdr:cNvPr id="15580" name="Check Box 220" hidden="1">
              <a:extLst>
                <a:ext uri="{63B3BB69-23CF-44E3-9099-C40C66FF867C}">
                  <a14:compatExt spid="_x0000_s15580"/>
                </a:ext>
                <a:ext uri="{FF2B5EF4-FFF2-40B4-BE49-F238E27FC236}">
                  <a16:creationId xmlns:a16="http://schemas.microsoft.com/office/drawing/2014/main" id="{00000000-0008-0000-0E00-0000DC3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95</xdr:row>
          <xdr:rowOff>0</xdr:rowOff>
        </xdr:from>
        <xdr:to>
          <xdr:col>22</xdr:col>
          <xdr:colOff>177800</xdr:colOff>
          <xdr:row>95</xdr:row>
          <xdr:rowOff>177800</xdr:rowOff>
        </xdr:to>
        <xdr:sp macro="" textlink="">
          <xdr:nvSpPr>
            <xdr:cNvPr id="15581" name="Check Box 221" hidden="1">
              <a:extLst>
                <a:ext uri="{63B3BB69-23CF-44E3-9099-C40C66FF867C}">
                  <a14:compatExt spid="_x0000_s15581"/>
                </a:ext>
                <a:ext uri="{FF2B5EF4-FFF2-40B4-BE49-F238E27FC236}">
                  <a16:creationId xmlns:a16="http://schemas.microsoft.com/office/drawing/2014/main" id="{00000000-0008-0000-0E00-0000DD3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98</xdr:row>
          <xdr:rowOff>0</xdr:rowOff>
        </xdr:from>
        <xdr:to>
          <xdr:col>22</xdr:col>
          <xdr:colOff>177800</xdr:colOff>
          <xdr:row>98</xdr:row>
          <xdr:rowOff>177800</xdr:rowOff>
        </xdr:to>
        <xdr:sp macro="" textlink="">
          <xdr:nvSpPr>
            <xdr:cNvPr id="15582" name="Check Box 222" hidden="1">
              <a:extLst>
                <a:ext uri="{63B3BB69-23CF-44E3-9099-C40C66FF867C}">
                  <a14:compatExt spid="_x0000_s15582"/>
                </a:ext>
                <a:ext uri="{FF2B5EF4-FFF2-40B4-BE49-F238E27FC236}">
                  <a16:creationId xmlns:a16="http://schemas.microsoft.com/office/drawing/2014/main" id="{00000000-0008-0000-0E00-0000DE3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99</xdr:row>
          <xdr:rowOff>0</xdr:rowOff>
        </xdr:from>
        <xdr:to>
          <xdr:col>22</xdr:col>
          <xdr:colOff>177800</xdr:colOff>
          <xdr:row>99</xdr:row>
          <xdr:rowOff>177800</xdr:rowOff>
        </xdr:to>
        <xdr:sp macro="" textlink="">
          <xdr:nvSpPr>
            <xdr:cNvPr id="15583" name="Check Box 223" hidden="1">
              <a:extLst>
                <a:ext uri="{63B3BB69-23CF-44E3-9099-C40C66FF867C}">
                  <a14:compatExt spid="_x0000_s15583"/>
                </a:ext>
                <a:ext uri="{FF2B5EF4-FFF2-40B4-BE49-F238E27FC236}">
                  <a16:creationId xmlns:a16="http://schemas.microsoft.com/office/drawing/2014/main" id="{00000000-0008-0000-0E00-0000DF3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101</xdr:row>
          <xdr:rowOff>0</xdr:rowOff>
        </xdr:from>
        <xdr:to>
          <xdr:col>22</xdr:col>
          <xdr:colOff>177800</xdr:colOff>
          <xdr:row>101</xdr:row>
          <xdr:rowOff>177800</xdr:rowOff>
        </xdr:to>
        <xdr:sp macro="" textlink="">
          <xdr:nvSpPr>
            <xdr:cNvPr id="15584" name="Check Box 224" hidden="1">
              <a:extLst>
                <a:ext uri="{63B3BB69-23CF-44E3-9099-C40C66FF867C}">
                  <a14:compatExt spid="_x0000_s15584"/>
                </a:ext>
                <a:ext uri="{FF2B5EF4-FFF2-40B4-BE49-F238E27FC236}">
                  <a16:creationId xmlns:a16="http://schemas.microsoft.com/office/drawing/2014/main" id="{00000000-0008-0000-0E00-0000E03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102</xdr:row>
          <xdr:rowOff>0</xdr:rowOff>
        </xdr:from>
        <xdr:to>
          <xdr:col>22</xdr:col>
          <xdr:colOff>177800</xdr:colOff>
          <xdr:row>102</xdr:row>
          <xdr:rowOff>177800</xdr:rowOff>
        </xdr:to>
        <xdr:sp macro="" textlink="">
          <xdr:nvSpPr>
            <xdr:cNvPr id="15585" name="Check Box 225" hidden="1">
              <a:extLst>
                <a:ext uri="{63B3BB69-23CF-44E3-9099-C40C66FF867C}">
                  <a14:compatExt spid="_x0000_s15585"/>
                </a:ext>
                <a:ext uri="{FF2B5EF4-FFF2-40B4-BE49-F238E27FC236}">
                  <a16:creationId xmlns:a16="http://schemas.microsoft.com/office/drawing/2014/main" id="{00000000-0008-0000-0E00-0000E13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103</xdr:row>
          <xdr:rowOff>0</xdr:rowOff>
        </xdr:from>
        <xdr:to>
          <xdr:col>22</xdr:col>
          <xdr:colOff>177800</xdr:colOff>
          <xdr:row>103</xdr:row>
          <xdr:rowOff>177800</xdr:rowOff>
        </xdr:to>
        <xdr:sp macro="" textlink="">
          <xdr:nvSpPr>
            <xdr:cNvPr id="15586" name="Check Box 226" hidden="1">
              <a:extLst>
                <a:ext uri="{63B3BB69-23CF-44E3-9099-C40C66FF867C}">
                  <a14:compatExt spid="_x0000_s15586"/>
                </a:ext>
                <a:ext uri="{FF2B5EF4-FFF2-40B4-BE49-F238E27FC236}">
                  <a16:creationId xmlns:a16="http://schemas.microsoft.com/office/drawing/2014/main" id="{00000000-0008-0000-0E00-0000E23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111</xdr:row>
          <xdr:rowOff>0</xdr:rowOff>
        </xdr:from>
        <xdr:to>
          <xdr:col>22</xdr:col>
          <xdr:colOff>177800</xdr:colOff>
          <xdr:row>111</xdr:row>
          <xdr:rowOff>177800</xdr:rowOff>
        </xdr:to>
        <xdr:sp macro="" textlink="">
          <xdr:nvSpPr>
            <xdr:cNvPr id="15587" name="Check Box 227" hidden="1">
              <a:extLst>
                <a:ext uri="{63B3BB69-23CF-44E3-9099-C40C66FF867C}">
                  <a14:compatExt spid="_x0000_s15587"/>
                </a:ext>
                <a:ext uri="{FF2B5EF4-FFF2-40B4-BE49-F238E27FC236}">
                  <a16:creationId xmlns:a16="http://schemas.microsoft.com/office/drawing/2014/main" id="{00000000-0008-0000-0E00-0000E33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141</xdr:row>
          <xdr:rowOff>0</xdr:rowOff>
        </xdr:from>
        <xdr:to>
          <xdr:col>22</xdr:col>
          <xdr:colOff>177800</xdr:colOff>
          <xdr:row>141</xdr:row>
          <xdr:rowOff>177800</xdr:rowOff>
        </xdr:to>
        <xdr:sp macro="" textlink="">
          <xdr:nvSpPr>
            <xdr:cNvPr id="15589" name="Check Box 229" hidden="1">
              <a:extLst>
                <a:ext uri="{63B3BB69-23CF-44E3-9099-C40C66FF867C}">
                  <a14:compatExt spid="_x0000_s15589"/>
                </a:ext>
                <a:ext uri="{FF2B5EF4-FFF2-40B4-BE49-F238E27FC236}">
                  <a16:creationId xmlns:a16="http://schemas.microsoft.com/office/drawing/2014/main" id="{00000000-0008-0000-0E00-0000E53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143</xdr:row>
          <xdr:rowOff>0</xdr:rowOff>
        </xdr:from>
        <xdr:to>
          <xdr:col>22</xdr:col>
          <xdr:colOff>177800</xdr:colOff>
          <xdr:row>143</xdr:row>
          <xdr:rowOff>177800</xdr:rowOff>
        </xdr:to>
        <xdr:sp macro="" textlink="">
          <xdr:nvSpPr>
            <xdr:cNvPr id="15590" name="Check Box 230" hidden="1">
              <a:extLst>
                <a:ext uri="{63B3BB69-23CF-44E3-9099-C40C66FF867C}">
                  <a14:compatExt spid="_x0000_s15590"/>
                </a:ext>
                <a:ext uri="{FF2B5EF4-FFF2-40B4-BE49-F238E27FC236}">
                  <a16:creationId xmlns:a16="http://schemas.microsoft.com/office/drawing/2014/main" id="{00000000-0008-0000-0E00-0000E63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146</xdr:row>
          <xdr:rowOff>0</xdr:rowOff>
        </xdr:from>
        <xdr:to>
          <xdr:col>22</xdr:col>
          <xdr:colOff>177800</xdr:colOff>
          <xdr:row>146</xdr:row>
          <xdr:rowOff>177800</xdr:rowOff>
        </xdr:to>
        <xdr:sp macro="" textlink="">
          <xdr:nvSpPr>
            <xdr:cNvPr id="15591" name="Check Box 231" hidden="1">
              <a:extLst>
                <a:ext uri="{63B3BB69-23CF-44E3-9099-C40C66FF867C}">
                  <a14:compatExt spid="_x0000_s15591"/>
                </a:ext>
                <a:ext uri="{FF2B5EF4-FFF2-40B4-BE49-F238E27FC236}">
                  <a16:creationId xmlns:a16="http://schemas.microsoft.com/office/drawing/2014/main" id="{00000000-0008-0000-0E00-0000E73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155</xdr:row>
          <xdr:rowOff>0</xdr:rowOff>
        </xdr:from>
        <xdr:to>
          <xdr:col>22</xdr:col>
          <xdr:colOff>177800</xdr:colOff>
          <xdr:row>155</xdr:row>
          <xdr:rowOff>177800</xdr:rowOff>
        </xdr:to>
        <xdr:sp macro="" textlink="">
          <xdr:nvSpPr>
            <xdr:cNvPr id="15592" name="Check Box 232" hidden="1">
              <a:extLst>
                <a:ext uri="{63B3BB69-23CF-44E3-9099-C40C66FF867C}">
                  <a14:compatExt spid="_x0000_s15592"/>
                </a:ext>
                <a:ext uri="{FF2B5EF4-FFF2-40B4-BE49-F238E27FC236}">
                  <a16:creationId xmlns:a16="http://schemas.microsoft.com/office/drawing/2014/main" id="{00000000-0008-0000-0E00-0000E83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156</xdr:row>
          <xdr:rowOff>0</xdr:rowOff>
        </xdr:from>
        <xdr:to>
          <xdr:col>22</xdr:col>
          <xdr:colOff>177800</xdr:colOff>
          <xdr:row>156</xdr:row>
          <xdr:rowOff>177800</xdr:rowOff>
        </xdr:to>
        <xdr:sp macro="" textlink="">
          <xdr:nvSpPr>
            <xdr:cNvPr id="15593" name="Check Box 233" hidden="1">
              <a:extLst>
                <a:ext uri="{63B3BB69-23CF-44E3-9099-C40C66FF867C}">
                  <a14:compatExt spid="_x0000_s15593"/>
                </a:ext>
                <a:ext uri="{FF2B5EF4-FFF2-40B4-BE49-F238E27FC236}">
                  <a16:creationId xmlns:a16="http://schemas.microsoft.com/office/drawing/2014/main" id="{00000000-0008-0000-0E00-0000E93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161</xdr:row>
          <xdr:rowOff>0</xdr:rowOff>
        </xdr:from>
        <xdr:to>
          <xdr:col>22</xdr:col>
          <xdr:colOff>177800</xdr:colOff>
          <xdr:row>161</xdr:row>
          <xdr:rowOff>177800</xdr:rowOff>
        </xdr:to>
        <xdr:sp macro="" textlink="">
          <xdr:nvSpPr>
            <xdr:cNvPr id="15594" name="Check Box 234" hidden="1">
              <a:extLst>
                <a:ext uri="{63B3BB69-23CF-44E3-9099-C40C66FF867C}">
                  <a14:compatExt spid="_x0000_s15594"/>
                </a:ext>
                <a:ext uri="{FF2B5EF4-FFF2-40B4-BE49-F238E27FC236}">
                  <a16:creationId xmlns:a16="http://schemas.microsoft.com/office/drawing/2014/main" id="{00000000-0008-0000-0E00-0000EA3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163</xdr:row>
          <xdr:rowOff>0</xdr:rowOff>
        </xdr:from>
        <xdr:to>
          <xdr:col>22</xdr:col>
          <xdr:colOff>177800</xdr:colOff>
          <xdr:row>163</xdr:row>
          <xdr:rowOff>177800</xdr:rowOff>
        </xdr:to>
        <xdr:sp macro="" textlink="">
          <xdr:nvSpPr>
            <xdr:cNvPr id="15595" name="Check Box 235" hidden="1">
              <a:extLst>
                <a:ext uri="{63B3BB69-23CF-44E3-9099-C40C66FF867C}">
                  <a14:compatExt spid="_x0000_s15595"/>
                </a:ext>
                <a:ext uri="{FF2B5EF4-FFF2-40B4-BE49-F238E27FC236}">
                  <a16:creationId xmlns:a16="http://schemas.microsoft.com/office/drawing/2014/main" id="{00000000-0008-0000-0E00-0000EB3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166</xdr:row>
          <xdr:rowOff>0</xdr:rowOff>
        </xdr:from>
        <xdr:to>
          <xdr:col>22</xdr:col>
          <xdr:colOff>177800</xdr:colOff>
          <xdr:row>166</xdr:row>
          <xdr:rowOff>177800</xdr:rowOff>
        </xdr:to>
        <xdr:sp macro="" textlink="">
          <xdr:nvSpPr>
            <xdr:cNvPr id="15596" name="Check Box 236" hidden="1">
              <a:extLst>
                <a:ext uri="{63B3BB69-23CF-44E3-9099-C40C66FF867C}">
                  <a14:compatExt spid="_x0000_s15596"/>
                </a:ext>
                <a:ext uri="{FF2B5EF4-FFF2-40B4-BE49-F238E27FC236}">
                  <a16:creationId xmlns:a16="http://schemas.microsoft.com/office/drawing/2014/main" id="{00000000-0008-0000-0E00-0000EC3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168</xdr:row>
          <xdr:rowOff>0</xdr:rowOff>
        </xdr:from>
        <xdr:to>
          <xdr:col>22</xdr:col>
          <xdr:colOff>177800</xdr:colOff>
          <xdr:row>168</xdr:row>
          <xdr:rowOff>177800</xdr:rowOff>
        </xdr:to>
        <xdr:sp macro="" textlink="">
          <xdr:nvSpPr>
            <xdr:cNvPr id="15597" name="Check Box 237" hidden="1">
              <a:extLst>
                <a:ext uri="{63B3BB69-23CF-44E3-9099-C40C66FF867C}">
                  <a14:compatExt spid="_x0000_s15597"/>
                </a:ext>
                <a:ext uri="{FF2B5EF4-FFF2-40B4-BE49-F238E27FC236}">
                  <a16:creationId xmlns:a16="http://schemas.microsoft.com/office/drawing/2014/main" id="{00000000-0008-0000-0E00-0000ED3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170</xdr:row>
          <xdr:rowOff>0</xdr:rowOff>
        </xdr:from>
        <xdr:to>
          <xdr:col>22</xdr:col>
          <xdr:colOff>177800</xdr:colOff>
          <xdr:row>170</xdr:row>
          <xdr:rowOff>177800</xdr:rowOff>
        </xdr:to>
        <xdr:sp macro="" textlink="">
          <xdr:nvSpPr>
            <xdr:cNvPr id="15598" name="Check Box 238" hidden="1">
              <a:extLst>
                <a:ext uri="{63B3BB69-23CF-44E3-9099-C40C66FF867C}">
                  <a14:compatExt spid="_x0000_s15598"/>
                </a:ext>
                <a:ext uri="{FF2B5EF4-FFF2-40B4-BE49-F238E27FC236}">
                  <a16:creationId xmlns:a16="http://schemas.microsoft.com/office/drawing/2014/main" id="{00000000-0008-0000-0E00-0000EE3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174</xdr:row>
          <xdr:rowOff>0</xdr:rowOff>
        </xdr:from>
        <xdr:to>
          <xdr:col>22</xdr:col>
          <xdr:colOff>177800</xdr:colOff>
          <xdr:row>174</xdr:row>
          <xdr:rowOff>177800</xdr:rowOff>
        </xdr:to>
        <xdr:sp macro="" textlink="">
          <xdr:nvSpPr>
            <xdr:cNvPr id="15599" name="Check Box 239" hidden="1">
              <a:extLst>
                <a:ext uri="{63B3BB69-23CF-44E3-9099-C40C66FF867C}">
                  <a14:compatExt spid="_x0000_s15599"/>
                </a:ext>
                <a:ext uri="{FF2B5EF4-FFF2-40B4-BE49-F238E27FC236}">
                  <a16:creationId xmlns:a16="http://schemas.microsoft.com/office/drawing/2014/main" id="{00000000-0008-0000-0E00-0000EF3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175</xdr:row>
          <xdr:rowOff>0</xdr:rowOff>
        </xdr:from>
        <xdr:to>
          <xdr:col>22</xdr:col>
          <xdr:colOff>177800</xdr:colOff>
          <xdr:row>175</xdr:row>
          <xdr:rowOff>177800</xdr:rowOff>
        </xdr:to>
        <xdr:sp macro="" textlink="">
          <xdr:nvSpPr>
            <xdr:cNvPr id="15600" name="Check Box 240" hidden="1">
              <a:extLst>
                <a:ext uri="{63B3BB69-23CF-44E3-9099-C40C66FF867C}">
                  <a14:compatExt spid="_x0000_s15600"/>
                </a:ext>
                <a:ext uri="{FF2B5EF4-FFF2-40B4-BE49-F238E27FC236}">
                  <a16:creationId xmlns:a16="http://schemas.microsoft.com/office/drawing/2014/main" id="{00000000-0008-0000-0E00-0000F03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176</xdr:row>
          <xdr:rowOff>0</xdr:rowOff>
        </xdr:from>
        <xdr:to>
          <xdr:col>22</xdr:col>
          <xdr:colOff>177800</xdr:colOff>
          <xdr:row>176</xdr:row>
          <xdr:rowOff>177800</xdr:rowOff>
        </xdr:to>
        <xdr:sp macro="" textlink="">
          <xdr:nvSpPr>
            <xdr:cNvPr id="15601" name="Check Box 241" hidden="1">
              <a:extLst>
                <a:ext uri="{63B3BB69-23CF-44E3-9099-C40C66FF867C}">
                  <a14:compatExt spid="_x0000_s15601"/>
                </a:ext>
                <a:ext uri="{FF2B5EF4-FFF2-40B4-BE49-F238E27FC236}">
                  <a16:creationId xmlns:a16="http://schemas.microsoft.com/office/drawing/2014/main" id="{00000000-0008-0000-0E00-0000F13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178</xdr:row>
          <xdr:rowOff>0</xdr:rowOff>
        </xdr:from>
        <xdr:to>
          <xdr:col>22</xdr:col>
          <xdr:colOff>177800</xdr:colOff>
          <xdr:row>178</xdr:row>
          <xdr:rowOff>177800</xdr:rowOff>
        </xdr:to>
        <xdr:sp macro="" textlink="">
          <xdr:nvSpPr>
            <xdr:cNvPr id="15602" name="Check Box 242" hidden="1">
              <a:extLst>
                <a:ext uri="{63B3BB69-23CF-44E3-9099-C40C66FF867C}">
                  <a14:compatExt spid="_x0000_s15602"/>
                </a:ext>
                <a:ext uri="{FF2B5EF4-FFF2-40B4-BE49-F238E27FC236}">
                  <a16:creationId xmlns:a16="http://schemas.microsoft.com/office/drawing/2014/main" id="{00000000-0008-0000-0E00-0000F23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181</xdr:row>
          <xdr:rowOff>0</xdr:rowOff>
        </xdr:from>
        <xdr:to>
          <xdr:col>22</xdr:col>
          <xdr:colOff>177800</xdr:colOff>
          <xdr:row>181</xdr:row>
          <xdr:rowOff>177800</xdr:rowOff>
        </xdr:to>
        <xdr:sp macro="" textlink="">
          <xdr:nvSpPr>
            <xdr:cNvPr id="15603" name="Check Box 243" hidden="1">
              <a:extLst>
                <a:ext uri="{63B3BB69-23CF-44E3-9099-C40C66FF867C}">
                  <a14:compatExt spid="_x0000_s15603"/>
                </a:ext>
                <a:ext uri="{FF2B5EF4-FFF2-40B4-BE49-F238E27FC236}">
                  <a16:creationId xmlns:a16="http://schemas.microsoft.com/office/drawing/2014/main" id="{00000000-0008-0000-0E00-0000F33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183</xdr:row>
          <xdr:rowOff>0</xdr:rowOff>
        </xdr:from>
        <xdr:to>
          <xdr:col>22</xdr:col>
          <xdr:colOff>177800</xdr:colOff>
          <xdr:row>183</xdr:row>
          <xdr:rowOff>177800</xdr:rowOff>
        </xdr:to>
        <xdr:sp macro="" textlink="">
          <xdr:nvSpPr>
            <xdr:cNvPr id="15604" name="Check Box 244" hidden="1">
              <a:extLst>
                <a:ext uri="{63B3BB69-23CF-44E3-9099-C40C66FF867C}">
                  <a14:compatExt spid="_x0000_s15604"/>
                </a:ext>
                <a:ext uri="{FF2B5EF4-FFF2-40B4-BE49-F238E27FC236}">
                  <a16:creationId xmlns:a16="http://schemas.microsoft.com/office/drawing/2014/main" id="{00000000-0008-0000-0E00-0000F43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188</xdr:row>
          <xdr:rowOff>0</xdr:rowOff>
        </xdr:from>
        <xdr:to>
          <xdr:col>22</xdr:col>
          <xdr:colOff>177800</xdr:colOff>
          <xdr:row>188</xdr:row>
          <xdr:rowOff>177800</xdr:rowOff>
        </xdr:to>
        <xdr:sp macro="" textlink="">
          <xdr:nvSpPr>
            <xdr:cNvPr id="15605" name="Check Box 245" hidden="1">
              <a:extLst>
                <a:ext uri="{63B3BB69-23CF-44E3-9099-C40C66FF867C}">
                  <a14:compatExt spid="_x0000_s15605"/>
                </a:ext>
                <a:ext uri="{FF2B5EF4-FFF2-40B4-BE49-F238E27FC236}">
                  <a16:creationId xmlns:a16="http://schemas.microsoft.com/office/drawing/2014/main" id="{00000000-0008-0000-0E00-0000F53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195</xdr:row>
          <xdr:rowOff>0</xdr:rowOff>
        </xdr:from>
        <xdr:to>
          <xdr:col>22</xdr:col>
          <xdr:colOff>177800</xdr:colOff>
          <xdr:row>195</xdr:row>
          <xdr:rowOff>177800</xdr:rowOff>
        </xdr:to>
        <xdr:sp macro="" textlink="">
          <xdr:nvSpPr>
            <xdr:cNvPr id="15606" name="Check Box 246" hidden="1">
              <a:extLst>
                <a:ext uri="{63B3BB69-23CF-44E3-9099-C40C66FF867C}">
                  <a14:compatExt spid="_x0000_s15606"/>
                </a:ext>
                <a:ext uri="{FF2B5EF4-FFF2-40B4-BE49-F238E27FC236}">
                  <a16:creationId xmlns:a16="http://schemas.microsoft.com/office/drawing/2014/main" id="{00000000-0008-0000-0E00-0000F63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196</xdr:row>
          <xdr:rowOff>0</xdr:rowOff>
        </xdr:from>
        <xdr:to>
          <xdr:col>22</xdr:col>
          <xdr:colOff>177800</xdr:colOff>
          <xdr:row>196</xdr:row>
          <xdr:rowOff>177800</xdr:rowOff>
        </xdr:to>
        <xdr:sp macro="" textlink="">
          <xdr:nvSpPr>
            <xdr:cNvPr id="15607" name="Check Box 247" hidden="1">
              <a:extLst>
                <a:ext uri="{63B3BB69-23CF-44E3-9099-C40C66FF867C}">
                  <a14:compatExt spid="_x0000_s15607"/>
                </a:ext>
                <a:ext uri="{FF2B5EF4-FFF2-40B4-BE49-F238E27FC236}">
                  <a16:creationId xmlns:a16="http://schemas.microsoft.com/office/drawing/2014/main" id="{00000000-0008-0000-0E00-0000F73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198</xdr:row>
          <xdr:rowOff>0</xdr:rowOff>
        </xdr:from>
        <xdr:to>
          <xdr:col>22</xdr:col>
          <xdr:colOff>177800</xdr:colOff>
          <xdr:row>198</xdr:row>
          <xdr:rowOff>177800</xdr:rowOff>
        </xdr:to>
        <xdr:sp macro="" textlink="">
          <xdr:nvSpPr>
            <xdr:cNvPr id="15608" name="Check Box 248" hidden="1">
              <a:extLst>
                <a:ext uri="{63B3BB69-23CF-44E3-9099-C40C66FF867C}">
                  <a14:compatExt spid="_x0000_s15608"/>
                </a:ext>
                <a:ext uri="{FF2B5EF4-FFF2-40B4-BE49-F238E27FC236}">
                  <a16:creationId xmlns:a16="http://schemas.microsoft.com/office/drawing/2014/main" id="{00000000-0008-0000-0E00-0000F83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203</xdr:row>
          <xdr:rowOff>0</xdr:rowOff>
        </xdr:from>
        <xdr:to>
          <xdr:col>22</xdr:col>
          <xdr:colOff>177800</xdr:colOff>
          <xdr:row>203</xdr:row>
          <xdr:rowOff>177800</xdr:rowOff>
        </xdr:to>
        <xdr:sp macro="" textlink="">
          <xdr:nvSpPr>
            <xdr:cNvPr id="15609" name="Check Box 249" hidden="1">
              <a:extLst>
                <a:ext uri="{63B3BB69-23CF-44E3-9099-C40C66FF867C}">
                  <a14:compatExt spid="_x0000_s15609"/>
                </a:ext>
                <a:ext uri="{FF2B5EF4-FFF2-40B4-BE49-F238E27FC236}">
                  <a16:creationId xmlns:a16="http://schemas.microsoft.com/office/drawing/2014/main" id="{00000000-0008-0000-0E00-0000F93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205</xdr:row>
          <xdr:rowOff>0</xdr:rowOff>
        </xdr:from>
        <xdr:to>
          <xdr:col>22</xdr:col>
          <xdr:colOff>177800</xdr:colOff>
          <xdr:row>205</xdr:row>
          <xdr:rowOff>177800</xdr:rowOff>
        </xdr:to>
        <xdr:sp macro="" textlink="">
          <xdr:nvSpPr>
            <xdr:cNvPr id="15610" name="Check Box 250" hidden="1">
              <a:extLst>
                <a:ext uri="{63B3BB69-23CF-44E3-9099-C40C66FF867C}">
                  <a14:compatExt spid="_x0000_s15610"/>
                </a:ext>
                <a:ext uri="{FF2B5EF4-FFF2-40B4-BE49-F238E27FC236}">
                  <a16:creationId xmlns:a16="http://schemas.microsoft.com/office/drawing/2014/main" id="{00000000-0008-0000-0E00-0000FA3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206</xdr:row>
          <xdr:rowOff>0</xdr:rowOff>
        </xdr:from>
        <xdr:to>
          <xdr:col>22</xdr:col>
          <xdr:colOff>177800</xdr:colOff>
          <xdr:row>206</xdr:row>
          <xdr:rowOff>177800</xdr:rowOff>
        </xdr:to>
        <xdr:sp macro="" textlink="">
          <xdr:nvSpPr>
            <xdr:cNvPr id="15611" name="Check Box 251" hidden="1">
              <a:extLst>
                <a:ext uri="{63B3BB69-23CF-44E3-9099-C40C66FF867C}">
                  <a14:compatExt spid="_x0000_s15611"/>
                </a:ext>
                <a:ext uri="{FF2B5EF4-FFF2-40B4-BE49-F238E27FC236}">
                  <a16:creationId xmlns:a16="http://schemas.microsoft.com/office/drawing/2014/main" id="{00000000-0008-0000-0E00-0000FB3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208</xdr:row>
          <xdr:rowOff>0</xdr:rowOff>
        </xdr:from>
        <xdr:to>
          <xdr:col>22</xdr:col>
          <xdr:colOff>177800</xdr:colOff>
          <xdr:row>208</xdr:row>
          <xdr:rowOff>177800</xdr:rowOff>
        </xdr:to>
        <xdr:sp macro="" textlink="">
          <xdr:nvSpPr>
            <xdr:cNvPr id="15612" name="Check Box 252" hidden="1">
              <a:extLst>
                <a:ext uri="{63B3BB69-23CF-44E3-9099-C40C66FF867C}">
                  <a14:compatExt spid="_x0000_s15612"/>
                </a:ext>
                <a:ext uri="{FF2B5EF4-FFF2-40B4-BE49-F238E27FC236}">
                  <a16:creationId xmlns:a16="http://schemas.microsoft.com/office/drawing/2014/main" id="{00000000-0008-0000-0E00-0000FC3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210</xdr:row>
          <xdr:rowOff>0</xdr:rowOff>
        </xdr:from>
        <xdr:to>
          <xdr:col>22</xdr:col>
          <xdr:colOff>177800</xdr:colOff>
          <xdr:row>210</xdr:row>
          <xdr:rowOff>177800</xdr:rowOff>
        </xdr:to>
        <xdr:sp macro="" textlink="">
          <xdr:nvSpPr>
            <xdr:cNvPr id="15613" name="Check Box 253" hidden="1">
              <a:extLst>
                <a:ext uri="{63B3BB69-23CF-44E3-9099-C40C66FF867C}">
                  <a14:compatExt spid="_x0000_s15613"/>
                </a:ext>
                <a:ext uri="{FF2B5EF4-FFF2-40B4-BE49-F238E27FC236}">
                  <a16:creationId xmlns:a16="http://schemas.microsoft.com/office/drawing/2014/main" id="{00000000-0008-0000-0E00-0000FD3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214</xdr:row>
          <xdr:rowOff>0</xdr:rowOff>
        </xdr:from>
        <xdr:to>
          <xdr:col>22</xdr:col>
          <xdr:colOff>177800</xdr:colOff>
          <xdr:row>214</xdr:row>
          <xdr:rowOff>177800</xdr:rowOff>
        </xdr:to>
        <xdr:sp macro="" textlink="">
          <xdr:nvSpPr>
            <xdr:cNvPr id="15614" name="Check Box 254" hidden="1">
              <a:extLst>
                <a:ext uri="{63B3BB69-23CF-44E3-9099-C40C66FF867C}">
                  <a14:compatExt spid="_x0000_s15614"/>
                </a:ext>
                <a:ext uri="{FF2B5EF4-FFF2-40B4-BE49-F238E27FC236}">
                  <a16:creationId xmlns:a16="http://schemas.microsoft.com/office/drawing/2014/main" id="{00000000-0008-0000-0E00-0000FE3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217</xdr:row>
          <xdr:rowOff>0</xdr:rowOff>
        </xdr:from>
        <xdr:to>
          <xdr:col>22</xdr:col>
          <xdr:colOff>177800</xdr:colOff>
          <xdr:row>217</xdr:row>
          <xdr:rowOff>177800</xdr:rowOff>
        </xdr:to>
        <xdr:sp macro="" textlink="">
          <xdr:nvSpPr>
            <xdr:cNvPr id="15615" name="Check Box 255" hidden="1">
              <a:extLst>
                <a:ext uri="{63B3BB69-23CF-44E3-9099-C40C66FF867C}">
                  <a14:compatExt spid="_x0000_s15615"/>
                </a:ext>
                <a:ext uri="{FF2B5EF4-FFF2-40B4-BE49-F238E27FC236}">
                  <a16:creationId xmlns:a16="http://schemas.microsoft.com/office/drawing/2014/main" id="{00000000-0008-0000-0E00-0000FF3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219</xdr:row>
          <xdr:rowOff>0</xdr:rowOff>
        </xdr:from>
        <xdr:to>
          <xdr:col>22</xdr:col>
          <xdr:colOff>177800</xdr:colOff>
          <xdr:row>219</xdr:row>
          <xdr:rowOff>177800</xdr:rowOff>
        </xdr:to>
        <xdr:sp macro="" textlink="">
          <xdr:nvSpPr>
            <xdr:cNvPr id="15616" name="Check Box 256" hidden="1">
              <a:extLst>
                <a:ext uri="{63B3BB69-23CF-44E3-9099-C40C66FF867C}">
                  <a14:compatExt spid="_x0000_s15616"/>
                </a:ext>
                <a:ext uri="{FF2B5EF4-FFF2-40B4-BE49-F238E27FC236}">
                  <a16:creationId xmlns:a16="http://schemas.microsoft.com/office/drawing/2014/main" id="{00000000-0008-0000-0E00-0000003D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220</xdr:row>
          <xdr:rowOff>0</xdr:rowOff>
        </xdr:from>
        <xdr:to>
          <xdr:col>22</xdr:col>
          <xdr:colOff>177800</xdr:colOff>
          <xdr:row>220</xdr:row>
          <xdr:rowOff>177800</xdr:rowOff>
        </xdr:to>
        <xdr:sp macro="" textlink="">
          <xdr:nvSpPr>
            <xdr:cNvPr id="15617" name="Check Box 257" hidden="1">
              <a:extLst>
                <a:ext uri="{63B3BB69-23CF-44E3-9099-C40C66FF867C}">
                  <a14:compatExt spid="_x0000_s15617"/>
                </a:ext>
                <a:ext uri="{FF2B5EF4-FFF2-40B4-BE49-F238E27FC236}">
                  <a16:creationId xmlns:a16="http://schemas.microsoft.com/office/drawing/2014/main" id="{00000000-0008-0000-0E00-0000013D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221</xdr:row>
          <xdr:rowOff>0</xdr:rowOff>
        </xdr:from>
        <xdr:to>
          <xdr:col>22</xdr:col>
          <xdr:colOff>177800</xdr:colOff>
          <xdr:row>221</xdr:row>
          <xdr:rowOff>177800</xdr:rowOff>
        </xdr:to>
        <xdr:sp macro="" textlink="">
          <xdr:nvSpPr>
            <xdr:cNvPr id="15618" name="Check Box 258" hidden="1">
              <a:extLst>
                <a:ext uri="{63B3BB69-23CF-44E3-9099-C40C66FF867C}">
                  <a14:compatExt spid="_x0000_s15618"/>
                </a:ext>
                <a:ext uri="{FF2B5EF4-FFF2-40B4-BE49-F238E27FC236}">
                  <a16:creationId xmlns:a16="http://schemas.microsoft.com/office/drawing/2014/main" id="{00000000-0008-0000-0E00-0000023D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222</xdr:row>
          <xdr:rowOff>0</xdr:rowOff>
        </xdr:from>
        <xdr:to>
          <xdr:col>22</xdr:col>
          <xdr:colOff>177800</xdr:colOff>
          <xdr:row>222</xdr:row>
          <xdr:rowOff>177800</xdr:rowOff>
        </xdr:to>
        <xdr:sp macro="" textlink="">
          <xdr:nvSpPr>
            <xdr:cNvPr id="15619" name="Check Box 259" hidden="1">
              <a:extLst>
                <a:ext uri="{63B3BB69-23CF-44E3-9099-C40C66FF867C}">
                  <a14:compatExt spid="_x0000_s15619"/>
                </a:ext>
                <a:ext uri="{FF2B5EF4-FFF2-40B4-BE49-F238E27FC236}">
                  <a16:creationId xmlns:a16="http://schemas.microsoft.com/office/drawing/2014/main" id="{00000000-0008-0000-0E00-0000033D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223</xdr:row>
          <xdr:rowOff>0</xdr:rowOff>
        </xdr:from>
        <xdr:to>
          <xdr:col>22</xdr:col>
          <xdr:colOff>177800</xdr:colOff>
          <xdr:row>223</xdr:row>
          <xdr:rowOff>177800</xdr:rowOff>
        </xdr:to>
        <xdr:sp macro="" textlink="">
          <xdr:nvSpPr>
            <xdr:cNvPr id="15620" name="Check Box 260" hidden="1">
              <a:extLst>
                <a:ext uri="{63B3BB69-23CF-44E3-9099-C40C66FF867C}">
                  <a14:compatExt spid="_x0000_s15620"/>
                </a:ext>
                <a:ext uri="{FF2B5EF4-FFF2-40B4-BE49-F238E27FC236}">
                  <a16:creationId xmlns:a16="http://schemas.microsoft.com/office/drawing/2014/main" id="{00000000-0008-0000-0E00-0000043D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224</xdr:row>
          <xdr:rowOff>0</xdr:rowOff>
        </xdr:from>
        <xdr:to>
          <xdr:col>22</xdr:col>
          <xdr:colOff>177800</xdr:colOff>
          <xdr:row>224</xdr:row>
          <xdr:rowOff>177800</xdr:rowOff>
        </xdr:to>
        <xdr:sp macro="" textlink="">
          <xdr:nvSpPr>
            <xdr:cNvPr id="15621" name="Check Box 261" hidden="1">
              <a:extLst>
                <a:ext uri="{63B3BB69-23CF-44E3-9099-C40C66FF867C}">
                  <a14:compatExt spid="_x0000_s15621"/>
                </a:ext>
                <a:ext uri="{FF2B5EF4-FFF2-40B4-BE49-F238E27FC236}">
                  <a16:creationId xmlns:a16="http://schemas.microsoft.com/office/drawing/2014/main" id="{00000000-0008-0000-0E00-0000053D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232</xdr:row>
          <xdr:rowOff>0</xdr:rowOff>
        </xdr:from>
        <xdr:to>
          <xdr:col>22</xdr:col>
          <xdr:colOff>177800</xdr:colOff>
          <xdr:row>232</xdr:row>
          <xdr:rowOff>177800</xdr:rowOff>
        </xdr:to>
        <xdr:sp macro="" textlink="">
          <xdr:nvSpPr>
            <xdr:cNvPr id="15623" name="Check Box 263" hidden="1">
              <a:extLst>
                <a:ext uri="{63B3BB69-23CF-44E3-9099-C40C66FF867C}">
                  <a14:compatExt spid="_x0000_s15623"/>
                </a:ext>
                <a:ext uri="{FF2B5EF4-FFF2-40B4-BE49-F238E27FC236}">
                  <a16:creationId xmlns:a16="http://schemas.microsoft.com/office/drawing/2014/main" id="{00000000-0008-0000-0E00-0000073D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234</xdr:row>
          <xdr:rowOff>0</xdr:rowOff>
        </xdr:from>
        <xdr:to>
          <xdr:col>22</xdr:col>
          <xdr:colOff>177800</xdr:colOff>
          <xdr:row>234</xdr:row>
          <xdr:rowOff>177800</xdr:rowOff>
        </xdr:to>
        <xdr:sp macro="" textlink="">
          <xdr:nvSpPr>
            <xdr:cNvPr id="15624" name="Check Box 264" hidden="1">
              <a:extLst>
                <a:ext uri="{63B3BB69-23CF-44E3-9099-C40C66FF867C}">
                  <a14:compatExt spid="_x0000_s15624"/>
                </a:ext>
                <a:ext uri="{FF2B5EF4-FFF2-40B4-BE49-F238E27FC236}">
                  <a16:creationId xmlns:a16="http://schemas.microsoft.com/office/drawing/2014/main" id="{00000000-0008-0000-0E00-0000083D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242</xdr:row>
          <xdr:rowOff>0</xdr:rowOff>
        </xdr:from>
        <xdr:to>
          <xdr:col>22</xdr:col>
          <xdr:colOff>177800</xdr:colOff>
          <xdr:row>242</xdr:row>
          <xdr:rowOff>177800</xdr:rowOff>
        </xdr:to>
        <xdr:sp macro="" textlink="">
          <xdr:nvSpPr>
            <xdr:cNvPr id="15625" name="Check Box 265" hidden="1">
              <a:extLst>
                <a:ext uri="{63B3BB69-23CF-44E3-9099-C40C66FF867C}">
                  <a14:compatExt spid="_x0000_s15625"/>
                </a:ext>
                <a:ext uri="{FF2B5EF4-FFF2-40B4-BE49-F238E27FC236}">
                  <a16:creationId xmlns:a16="http://schemas.microsoft.com/office/drawing/2014/main" id="{00000000-0008-0000-0E00-0000093D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245</xdr:row>
          <xdr:rowOff>0</xdr:rowOff>
        </xdr:from>
        <xdr:to>
          <xdr:col>22</xdr:col>
          <xdr:colOff>177800</xdr:colOff>
          <xdr:row>245</xdr:row>
          <xdr:rowOff>177800</xdr:rowOff>
        </xdr:to>
        <xdr:sp macro="" textlink="">
          <xdr:nvSpPr>
            <xdr:cNvPr id="15626" name="Check Box 266" hidden="1">
              <a:extLst>
                <a:ext uri="{63B3BB69-23CF-44E3-9099-C40C66FF867C}">
                  <a14:compatExt spid="_x0000_s15626"/>
                </a:ext>
                <a:ext uri="{FF2B5EF4-FFF2-40B4-BE49-F238E27FC236}">
                  <a16:creationId xmlns:a16="http://schemas.microsoft.com/office/drawing/2014/main" id="{00000000-0008-0000-0E00-00000A3D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249</xdr:row>
          <xdr:rowOff>0</xdr:rowOff>
        </xdr:from>
        <xdr:to>
          <xdr:col>22</xdr:col>
          <xdr:colOff>177800</xdr:colOff>
          <xdr:row>249</xdr:row>
          <xdr:rowOff>177800</xdr:rowOff>
        </xdr:to>
        <xdr:sp macro="" textlink="">
          <xdr:nvSpPr>
            <xdr:cNvPr id="15627" name="Check Box 267" hidden="1">
              <a:extLst>
                <a:ext uri="{63B3BB69-23CF-44E3-9099-C40C66FF867C}">
                  <a14:compatExt spid="_x0000_s15627"/>
                </a:ext>
                <a:ext uri="{FF2B5EF4-FFF2-40B4-BE49-F238E27FC236}">
                  <a16:creationId xmlns:a16="http://schemas.microsoft.com/office/drawing/2014/main" id="{00000000-0008-0000-0E00-00000B3D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250</xdr:row>
          <xdr:rowOff>0</xdr:rowOff>
        </xdr:from>
        <xdr:to>
          <xdr:col>22</xdr:col>
          <xdr:colOff>177800</xdr:colOff>
          <xdr:row>250</xdr:row>
          <xdr:rowOff>177800</xdr:rowOff>
        </xdr:to>
        <xdr:sp macro="" textlink="">
          <xdr:nvSpPr>
            <xdr:cNvPr id="15628" name="Check Box 268" hidden="1">
              <a:extLst>
                <a:ext uri="{63B3BB69-23CF-44E3-9099-C40C66FF867C}">
                  <a14:compatExt spid="_x0000_s15628"/>
                </a:ext>
                <a:ext uri="{FF2B5EF4-FFF2-40B4-BE49-F238E27FC236}">
                  <a16:creationId xmlns:a16="http://schemas.microsoft.com/office/drawing/2014/main" id="{00000000-0008-0000-0E00-00000C3D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329</xdr:row>
          <xdr:rowOff>0</xdr:rowOff>
        </xdr:from>
        <xdr:to>
          <xdr:col>22</xdr:col>
          <xdr:colOff>177800</xdr:colOff>
          <xdr:row>329</xdr:row>
          <xdr:rowOff>177800</xdr:rowOff>
        </xdr:to>
        <xdr:sp macro="" textlink="">
          <xdr:nvSpPr>
            <xdr:cNvPr id="15632" name="Check Box 272" hidden="1">
              <a:extLst>
                <a:ext uri="{63B3BB69-23CF-44E3-9099-C40C66FF867C}">
                  <a14:compatExt spid="_x0000_s15632"/>
                </a:ext>
                <a:ext uri="{FF2B5EF4-FFF2-40B4-BE49-F238E27FC236}">
                  <a16:creationId xmlns:a16="http://schemas.microsoft.com/office/drawing/2014/main" id="{00000000-0008-0000-0E00-0000103D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332</xdr:row>
          <xdr:rowOff>0</xdr:rowOff>
        </xdr:from>
        <xdr:to>
          <xdr:col>22</xdr:col>
          <xdr:colOff>177800</xdr:colOff>
          <xdr:row>332</xdr:row>
          <xdr:rowOff>177800</xdr:rowOff>
        </xdr:to>
        <xdr:sp macro="" textlink="">
          <xdr:nvSpPr>
            <xdr:cNvPr id="15633" name="Check Box 273" hidden="1">
              <a:extLst>
                <a:ext uri="{63B3BB69-23CF-44E3-9099-C40C66FF867C}">
                  <a14:compatExt spid="_x0000_s15633"/>
                </a:ext>
                <a:ext uri="{FF2B5EF4-FFF2-40B4-BE49-F238E27FC236}">
                  <a16:creationId xmlns:a16="http://schemas.microsoft.com/office/drawing/2014/main" id="{00000000-0008-0000-0E00-0000113D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335</xdr:row>
          <xdr:rowOff>0</xdr:rowOff>
        </xdr:from>
        <xdr:to>
          <xdr:col>22</xdr:col>
          <xdr:colOff>177800</xdr:colOff>
          <xdr:row>335</xdr:row>
          <xdr:rowOff>177800</xdr:rowOff>
        </xdr:to>
        <xdr:sp macro="" textlink="">
          <xdr:nvSpPr>
            <xdr:cNvPr id="15634" name="Check Box 274" hidden="1">
              <a:extLst>
                <a:ext uri="{63B3BB69-23CF-44E3-9099-C40C66FF867C}">
                  <a14:compatExt spid="_x0000_s15634"/>
                </a:ext>
                <a:ext uri="{FF2B5EF4-FFF2-40B4-BE49-F238E27FC236}">
                  <a16:creationId xmlns:a16="http://schemas.microsoft.com/office/drawing/2014/main" id="{00000000-0008-0000-0E00-0000123D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341</xdr:row>
          <xdr:rowOff>0</xdr:rowOff>
        </xdr:from>
        <xdr:to>
          <xdr:col>22</xdr:col>
          <xdr:colOff>177800</xdr:colOff>
          <xdr:row>341</xdr:row>
          <xdr:rowOff>177800</xdr:rowOff>
        </xdr:to>
        <xdr:sp macro="" textlink="">
          <xdr:nvSpPr>
            <xdr:cNvPr id="15635" name="Check Box 275" hidden="1">
              <a:extLst>
                <a:ext uri="{63B3BB69-23CF-44E3-9099-C40C66FF867C}">
                  <a14:compatExt spid="_x0000_s15635"/>
                </a:ext>
                <a:ext uri="{FF2B5EF4-FFF2-40B4-BE49-F238E27FC236}">
                  <a16:creationId xmlns:a16="http://schemas.microsoft.com/office/drawing/2014/main" id="{00000000-0008-0000-0E00-0000133D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342</xdr:row>
          <xdr:rowOff>0</xdr:rowOff>
        </xdr:from>
        <xdr:to>
          <xdr:col>22</xdr:col>
          <xdr:colOff>177800</xdr:colOff>
          <xdr:row>342</xdr:row>
          <xdr:rowOff>177800</xdr:rowOff>
        </xdr:to>
        <xdr:sp macro="" textlink="">
          <xdr:nvSpPr>
            <xdr:cNvPr id="15636" name="Check Box 276" hidden="1">
              <a:extLst>
                <a:ext uri="{63B3BB69-23CF-44E3-9099-C40C66FF867C}">
                  <a14:compatExt spid="_x0000_s15636"/>
                </a:ext>
                <a:ext uri="{FF2B5EF4-FFF2-40B4-BE49-F238E27FC236}">
                  <a16:creationId xmlns:a16="http://schemas.microsoft.com/office/drawing/2014/main" id="{00000000-0008-0000-0E00-0000143D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343</xdr:row>
          <xdr:rowOff>0</xdr:rowOff>
        </xdr:from>
        <xdr:to>
          <xdr:col>22</xdr:col>
          <xdr:colOff>177800</xdr:colOff>
          <xdr:row>343</xdr:row>
          <xdr:rowOff>177800</xdr:rowOff>
        </xdr:to>
        <xdr:sp macro="" textlink="">
          <xdr:nvSpPr>
            <xdr:cNvPr id="15637" name="Check Box 277" hidden="1">
              <a:extLst>
                <a:ext uri="{63B3BB69-23CF-44E3-9099-C40C66FF867C}">
                  <a14:compatExt spid="_x0000_s15637"/>
                </a:ext>
                <a:ext uri="{FF2B5EF4-FFF2-40B4-BE49-F238E27FC236}">
                  <a16:creationId xmlns:a16="http://schemas.microsoft.com/office/drawing/2014/main" id="{00000000-0008-0000-0E00-0000153D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344</xdr:row>
          <xdr:rowOff>0</xdr:rowOff>
        </xdr:from>
        <xdr:to>
          <xdr:col>22</xdr:col>
          <xdr:colOff>177800</xdr:colOff>
          <xdr:row>344</xdr:row>
          <xdr:rowOff>177800</xdr:rowOff>
        </xdr:to>
        <xdr:sp macro="" textlink="">
          <xdr:nvSpPr>
            <xdr:cNvPr id="15638" name="Check Box 278" hidden="1">
              <a:extLst>
                <a:ext uri="{63B3BB69-23CF-44E3-9099-C40C66FF867C}">
                  <a14:compatExt spid="_x0000_s15638"/>
                </a:ext>
                <a:ext uri="{FF2B5EF4-FFF2-40B4-BE49-F238E27FC236}">
                  <a16:creationId xmlns:a16="http://schemas.microsoft.com/office/drawing/2014/main" id="{00000000-0008-0000-0E00-0000163D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345</xdr:row>
          <xdr:rowOff>0</xdr:rowOff>
        </xdr:from>
        <xdr:to>
          <xdr:col>22</xdr:col>
          <xdr:colOff>177800</xdr:colOff>
          <xdr:row>345</xdr:row>
          <xdr:rowOff>177800</xdr:rowOff>
        </xdr:to>
        <xdr:sp macro="" textlink="">
          <xdr:nvSpPr>
            <xdr:cNvPr id="15639" name="Check Box 279" hidden="1">
              <a:extLst>
                <a:ext uri="{63B3BB69-23CF-44E3-9099-C40C66FF867C}">
                  <a14:compatExt spid="_x0000_s15639"/>
                </a:ext>
                <a:ext uri="{FF2B5EF4-FFF2-40B4-BE49-F238E27FC236}">
                  <a16:creationId xmlns:a16="http://schemas.microsoft.com/office/drawing/2014/main" id="{00000000-0008-0000-0E00-0000173D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346</xdr:row>
          <xdr:rowOff>0</xdr:rowOff>
        </xdr:from>
        <xdr:to>
          <xdr:col>22</xdr:col>
          <xdr:colOff>177800</xdr:colOff>
          <xdr:row>346</xdr:row>
          <xdr:rowOff>177800</xdr:rowOff>
        </xdr:to>
        <xdr:sp macro="" textlink="">
          <xdr:nvSpPr>
            <xdr:cNvPr id="15640" name="Check Box 280" hidden="1">
              <a:extLst>
                <a:ext uri="{63B3BB69-23CF-44E3-9099-C40C66FF867C}">
                  <a14:compatExt spid="_x0000_s15640"/>
                </a:ext>
                <a:ext uri="{FF2B5EF4-FFF2-40B4-BE49-F238E27FC236}">
                  <a16:creationId xmlns:a16="http://schemas.microsoft.com/office/drawing/2014/main" id="{00000000-0008-0000-0E00-0000183D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354</xdr:row>
          <xdr:rowOff>0</xdr:rowOff>
        </xdr:from>
        <xdr:to>
          <xdr:col>22</xdr:col>
          <xdr:colOff>177800</xdr:colOff>
          <xdr:row>354</xdr:row>
          <xdr:rowOff>177800</xdr:rowOff>
        </xdr:to>
        <xdr:sp macro="" textlink="">
          <xdr:nvSpPr>
            <xdr:cNvPr id="15641" name="Check Box 281" hidden="1">
              <a:extLst>
                <a:ext uri="{63B3BB69-23CF-44E3-9099-C40C66FF867C}">
                  <a14:compatExt spid="_x0000_s15641"/>
                </a:ext>
                <a:ext uri="{FF2B5EF4-FFF2-40B4-BE49-F238E27FC236}">
                  <a16:creationId xmlns:a16="http://schemas.microsoft.com/office/drawing/2014/main" id="{00000000-0008-0000-0E00-0000193D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355</xdr:row>
          <xdr:rowOff>0</xdr:rowOff>
        </xdr:from>
        <xdr:to>
          <xdr:col>22</xdr:col>
          <xdr:colOff>177800</xdr:colOff>
          <xdr:row>355</xdr:row>
          <xdr:rowOff>177800</xdr:rowOff>
        </xdr:to>
        <xdr:sp macro="" textlink="">
          <xdr:nvSpPr>
            <xdr:cNvPr id="15642" name="Check Box 282" hidden="1">
              <a:extLst>
                <a:ext uri="{63B3BB69-23CF-44E3-9099-C40C66FF867C}">
                  <a14:compatExt spid="_x0000_s15642"/>
                </a:ext>
                <a:ext uri="{FF2B5EF4-FFF2-40B4-BE49-F238E27FC236}">
                  <a16:creationId xmlns:a16="http://schemas.microsoft.com/office/drawing/2014/main" id="{00000000-0008-0000-0E00-00001A3D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356</xdr:row>
          <xdr:rowOff>0</xdr:rowOff>
        </xdr:from>
        <xdr:to>
          <xdr:col>22</xdr:col>
          <xdr:colOff>177800</xdr:colOff>
          <xdr:row>356</xdr:row>
          <xdr:rowOff>177800</xdr:rowOff>
        </xdr:to>
        <xdr:sp macro="" textlink="">
          <xdr:nvSpPr>
            <xdr:cNvPr id="15643" name="Check Box 283" hidden="1">
              <a:extLst>
                <a:ext uri="{63B3BB69-23CF-44E3-9099-C40C66FF867C}">
                  <a14:compatExt spid="_x0000_s15643"/>
                </a:ext>
                <a:ext uri="{FF2B5EF4-FFF2-40B4-BE49-F238E27FC236}">
                  <a16:creationId xmlns:a16="http://schemas.microsoft.com/office/drawing/2014/main" id="{00000000-0008-0000-0E00-00001B3D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357</xdr:row>
          <xdr:rowOff>0</xdr:rowOff>
        </xdr:from>
        <xdr:to>
          <xdr:col>22</xdr:col>
          <xdr:colOff>177800</xdr:colOff>
          <xdr:row>357</xdr:row>
          <xdr:rowOff>177800</xdr:rowOff>
        </xdr:to>
        <xdr:sp macro="" textlink="">
          <xdr:nvSpPr>
            <xdr:cNvPr id="15644" name="Check Box 284" hidden="1">
              <a:extLst>
                <a:ext uri="{63B3BB69-23CF-44E3-9099-C40C66FF867C}">
                  <a14:compatExt spid="_x0000_s15644"/>
                </a:ext>
                <a:ext uri="{FF2B5EF4-FFF2-40B4-BE49-F238E27FC236}">
                  <a16:creationId xmlns:a16="http://schemas.microsoft.com/office/drawing/2014/main" id="{00000000-0008-0000-0E00-00001C3D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382</xdr:row>
          <xdr:rowOff>0</xdr:rowOff>
        </xdr:from>
        <xdr:to>
          <xdr:col>22</xdr:col>
          <xdr:colOff>177800</xdr:colOff>
          <xdr:row>382</xdr:row>
          <xdr:rowOff>177800</xdr:rowOff>
        </xdr:to>
        <xdr:sp macro="" textlink="">
          <xdr:nvSpPr>
            <xdr:cNvPr id="15646" name="Check Box 286" hidden="1">
              <a:extLst>
                <a:ext uri="{63B3BB69-23CF-44E3-9099-C40C66FF867C}">
                  <a14:compatExt spid="_x0000_s15646"/>
                </a:ext>
                <a:ext uri="{FF2B5EF4-FFF2-40B4-BE49-F238E27FC236}">
                  <a16:creationId xmlns:a16="http://schemas.microsoft.com/office/drawing/2014/main" id="{00000000-0008-0000-0E00-00001E3D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399</xdr:row>
          <xdr:rowOff>0</xdr:rowOff>
        </xdr:from>
        <xdr:to>
          <xdr:col>22</xdr:col>
          <xdr:colOff>177800</xdr:colOff>
          <xdr:row>399</xdr:row>
          <xdr:rowOff>177800</xdr:rowOff>
        </xdr:to>
        <xdr:sp macro="" textlink="">
          <xdr:nvSpPr>
            <xdr:cNvPr id="15649" name="Check Box 289" hidden="1">
              <a:extLst>
                <a:ext uri="{63B3BB69-23CF-44E3-9099-C40C66FF867C}">
                  <a14:compatExt spid="_x0000_s15649"/>
                </a:ext>
                <a:ext uri="{FF2B5EF4-FFF2-40B4-BE49-F238E27FC236}">
                  <a16:creationId xmlns:a16="http://schemas.microsoft.com/office/drawing/2014/main" id="{00000000-0008-0000-0E00-0000213D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405</xdr:row>
          <xdr:rowOff>0</xdr:rowOff>
        </xdr:from>
        <xdr:to>
          <xdr:col>22</xdr:col>
          <xdr:colOff>177800</xdr:colOff>
          <xdr:row>405</xdr:row>
          <xdr:rowOff>177800</xdr:rowOff>
        </xdr:to>
        <xdr:sp macro="" textlink="">
          <xdr:nvSpPr>
            <xdr:cNvPr id="15650" name="Check Box 290" hidden="1">
              <a:extLst>
                <a:ext uri="{63B3BB69-23CF-44E3-9099-C40C66FF867C}">
                  <a14:compatExt spid="_x0000_s15650"/>
                </a:ext>
                <a:ext uri="{FF2B5EF4-FFF2-40B4-BE49-F238E27FC236}">
                  <a16:creationId xmlns:a16="http://schemas.microsoft.com/office/drawing/2014/main" id="{00000000-0008-0000-0E00-0000223D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406</xdr:row>
          <xdr:rowOff>0</xdr:rowOff>
        </xdr:from>
        <xdr:to>
          <xdr:col>22</xdr:col>
          <xdr:colOff>177800</xdr:colOff>
          <xdr:row>406</xdr:row>
          <xdr:rowOff>177800</xdr:rowOff>
        </xdr:to>
        <xdr:sp macro="" textlink="">
          <xdr:nvSpPr>
            <xdr:cNvPr id="15651" name="Check Box 291" hidden="1">
              <a:extLst>
                <a:ext uri="{63B3BB69-23CF-44E3-9099-C40C66FF867C}">
                  <a14:compatExt spid="_x0000_s15651"/>
                </a:ext>
                <a:ext uri="{FF2B5EF4-FFF2-40B4-BE49-F238E27FC236}">
                  <a16:creationId xmlns:a16="http://schemas.microsoft.com/office/drawing/2014/main" id="{00000000-0008-0000-0E00-0000233D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411</xdr:row>
          <xdr:rowOff>0</xdr:rowOff>
        </xdr:from>
        <xdr:to>
          <xdr:col>22</xdr:col>
          <xdr:colOff>177800</xdr:colOff>
          <xdr:row>411</xdr:row>
          <xdr:rowOff>177800</xdr:rowOff>
        </xdr:to>
        <xdr:sp macro="" textlink="">
          <xdr:nvSpPr>
            <xdr:cNvPr id="15653" name="Check Box 293" hidden="1">
              <a:extLst>
                <a:ext uri="{63B3BB69-23CF-44E3-9099-C40C66FF867C}">
                  <a14:compatExt spid="_x0000_s15653"/>
                </a:ext>
                <a:ext uri="{FF2B5EF4-FFF2-40B4-BE49-F238E27FC236}">
                  <a16:creationId xmlns:a16="http://schemas.microsoft.com/office/drawing/2014/main" id="{00000000-0008-0000-0E00-0000253D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419</xdr:row>
          <xdr:rowOff>0</xdr:rowOff>
        </xdr:from>
        <xdr:to>
          <xdr:col>22</xdr:col>
          <xdr:colOff>177800</xdr:colOff>
          <xdr:row>419</xdr:row>
          <xdr:rowOff>177800</xdr:rowOff>
        </xdr:to>
        <xdr:sp macro="" textlink="">
          <xdr:nvSpPr>
            <xdr:cNvPr id="15654" name="Check Box 294" hidden="1">
              <a:extLst>
                <a:ext uri="{63B3BB69-23CF-44E3-9099-C40C66FF867C}">
                  <a14:compatExt spid="_x0000_s15654"/>
                </a:ext>
                <a:ext uri="{FF2B5EF4-FFF2-40B4-BE49-F238E27FC236}">
                  <a16:creationId xmlns:a16="http://schemas.microsoft.com/office/drawing/2014/main" id="{00000000-0008-0000-0E00-0000263D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428</xdr:row>
          <xdr:rowOff>0</xdr:rowOff>
        </xdr:from>
        <xdr:to>
          <xdr:col>22</xdr:col>
          <xdr:colOff>177800</xdr:colOff>
          <xdr:row>428</xdr:row>
          <xdr:rowOff>177800</xdr:rowOff>
        </xdr:to>
        <xdr:sp macro="" textlink="">
          <xdr:nvSpPr>
            <xdr:cNvPr id="15655" name="Check Box 295" hidden="1">
              <a:extLst>
                <a:ext uri="{63B3BB69-23CF-44E3-9099-C40C66FF867C}">
                  <a14:compatExt spid="_x0000_s15655"/>
                </a:ext>
                <a:ext uri="{FF2B5EF4-FFF2-40B4-BE49-F238E27FC236}">
                  <a16:creationId xmlns:a16="http://schemas.microsoft.com/office/drawing/2014/main" id="{00000000-0008-0000-0E00-0000273D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436</xdr:row>
          <xdr:rowOff>0</xdr:rowOff>
        </xdr:from>
        <xdr:to>
          <xdr:col>22</xdr:col>
          <xdr:colOff>177800</xdr:colOff>
          <xdr:row>436</xdr:row>
          <xdr:rowOff>177800</xdr:rowOff>
        </xdr:to>
        <xdr:sp macro="" textlink="">
          <xdr:nvSpPr>
            <xdr:cNvPr id="15656" name="Check Box 296" hidden="1">
              <a:extLst>
                <a:ext uri="{63B3BB69-23CF-44E3-9099-C40C66FF867C}">
                  <a14:compatExt spid="_x0000_s15656"/>
                </a:ext>
                <a:ext uri="{FF2B5EF4-FFF2-40B4-BE49-F238E27FC236}">
                  <a16:creationId xmlns:a16="http://schemas.microsoft.com/office/drawing/2014/main" id="{00000000-0008-0000-0E00-0000283D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438</xdr:row>
          <xdr:rowOff>0</xdr:rowOff>
        </xdr:from>
        <xdr:to>
          <xdr:col>22</xdr:col>
          <xdr:colOff>177800</xdr:colOff>
          <xdr:row>438</xdr:row>
          <xdr:rowOff>177800</xdr:rowOff>
        </xdr:to>
        <xdr:sp macro="" textlink="">
          <xdr:nvSpPr>
            <xdr:cNvPr id="15657" name="Check Box 297" hidden="1">
              <a:extLst>
                <a:ext uri="{63B3BB69-23CF-44E3-9099-C40C66FF867C}">
                  <a14:compatExt spid="_x0000_s15657"/>
                </a:ext>
                <a:ext uri="{FF2B5EF4-FFF2-40B4-BE49-F238E27FC236}">
                  <a16:creationId xmlns:a16="http://schemas.microsoft.com/office/drawing/2014/main" id="{00000000-0008-0000-0E00-0000293D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444</xdr:row>
          <xdr:rowOff>0</xdr:rowOff>
        </xdr:from>
        <xdr:to>
          <xdr:col>22</xdr:col>
          <xdr:colOff>177800</xdr:colOff>
          <xdr:row>444</xdr:row>
          <xdr:rowOff>177800</xdr:rowOff>
        </xdr:to>
        <xdr:sp macro="" textlink="">
          <xdr:nvSpPr>
            <xdr:cNvPr id="15658" name="Check Box 298" hidden="1">
              <a:extLst>
                <a:ext uri="{63B3BB69-23CF-44E3-9099-C40C66FF867C}">
                  <a14:compatExt spid="_x0000_s15658"/>
                </a:ext>
                <a:ext uri="{FF2B5EF4-FFF2-40B4-BE49-F238E27FC236}">
                  <a16:creationId xmlns:a16="http://schemas.microsoft.com/office/drawing/2014/main" id="{00000000-0008-0000-0E00-00002A3D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448</xdr:row>
          <xdr:rowOff>0</xdr:rowOff>
        </xdr:from>
        <xdr:to>
          <xdr:col>22</xdr:col>
          <xdr:colOff>177800</xdr:colOff>
          <xdr:row>448</xdr:row>
          <xdr:rowOff>177800</xdr:rowOff>
        </xdr:to>
        <xdr:sp macro="" textlink="">
          <xdr:nvSpPr>
            <xdr:cNvPr id="15659" name="Check Box 299" hidden="1">
              <a:extLst>
                <a:ext uri="{63B3BB69-23CF-44E3-9099-C40C66FF867C}">
                  <a14:compatExt spid="_x0000_s15659"/>
                </a:ext>
                <a:ext uri="{FF2B5EF4-FFF2-40B4-BE49-F238E27FC236}">
                  <a16:creationId xmlns:a16="http://schemas.microsoft.com/office/drawing/2014/main" id="{00000000-0008-0000-0E00-00002B3D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452</xdr:row>
          <xdr:rowOff>0</xdr:rowOff>
        </xdr:from>
        <xdr:to>
          <xdr:col>22</xdr:col>
          <xdr:colOff>177800</xdr:colOff>
          <xdr:row>452</xdr:row>
          <xdr:rowOff>177800</xdr:rowOff>
        </xdr:to>
        <xdr:sp macro="" textlink="">
          <xdr:nvSpPr>
            <xdr:cNvPr id="15660" name="Check Box 300" hidden="1">
              <a:extLst>
                <a:ext uri="{63B3BB69-23CF-44E3-9099-C40C66FF867C}">
                  <a14:compatExt spid="_x0000_s15660"/>
                </a:ext>
                <a:ext uri="{FF2B5EF4-FFF2-40B4-BE49-F238E27FC236}">
                  <a16:creationId xmlns:a16="http://schemas.microsoft.com/office/drawing/2014/main" id="{00000000-0008-0000-0E00-00002C3D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457</xdr:row>
          <xdr:rowOff>0</xdr:rowOff>
        </xdr:from>
        <xdr:to>
          <xdr:col>22</xdr:col>
          <xdr:colOff>177800</xdr:colOff>
          <xdr:row>457</xdr:row>
          <xdr:rowOff>177800</xdr:rowOff>
        </xdr:to>
        <xdr:sp macro="" textlink="">
          <xdr:nvSpPr>
            <xdr:cNvPr id="15661" name="Check Box 301" hidden="1">
              <a:extLst>
                <a:ext uri="{63B3BB69-23CF-44E3-9099-C40C66FF867C}">
                  <a14:compatExt spid="_x0000_s15661"/>
                </a:ext>
                <a:ext uri="{FF2B5EF4-FFF2-40B4-BE49-F238E27FC236}">
                  <a16:creationId xmlns:a16="http://schemas.microsoft.com/office/drawing/2014/main" id="{00000000-0008-0000-0E00-00002D3D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462</xdr:row>
          <xdr:rowOff>0</xdr:rowOff>
        </xdr:from>
        <xdr:to>
          <xdr:col>22</xdr:col>
          <xdr:colOff>177800</xdr:colOff>
          <xdr:row>462</xdr:row>
          <xdr:rowOff>177800</xdr:rowOff>
        </xdr:to>
        <xdr:sp macro="" textlink="">
          <xdr:nvSpPr>
            <xdr:cNvPr id="15662" name="Check Box 302" hidden="1">
              <a:extLst>
                <a:ext uri="{63B3BB69-23CF-44E3-9099-C40C66FF867C}">
                  <a14:compatExt spid="_x0000_s15662"/>
                </a:ext>
                <a:ext uri="{FF2B5EF4-FFF2-40B4-BE49-F238E27FC236}">
                  <a16:creationId xmlns:a16="http://schemas.microsoft.com/office/drawing/2014/main" id="{00000000-0008-0000-0E00-00002E3D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464</xdr:row>
          <xdr:rowOff>0</xdr:rowOff>
        </xdr:from>
        <xdr:to>
          <xdr:col>22</xdr:col>
          <xdr:colOff>177800</xdr:colOff>
          <xdr:row>464</xdr:row>
          <xdr:rowOff>177800</xdr:rowOff>
        </xdr:to>
        <xdr:sp macro="" textlink="">
          <xdr:nvSpPr>
            <xdr:cNvPr id="15663" name="Check Box 303" hidden="1">
              <a:extLst>
                <a:ext uri="{63B3BB69-23CF-44E3-9099-C40C66FF867C}">
                  <a14:compatExt spid="_x0000_s15663"/>
                </a:ext>
                <a:ext uri="{FF2B5EF4-FFF2-40B4-BE49-F238E27FC236}">
                  <a16:creationId xmlns:a16="http://schemas.microsoft.com/office/drawing/2014/main" id="{00000000-0008-0000-0E00-00002F3D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466</xdr:row>
          <xdr:rowOff>0</xdr:rowOff>
        </xdr:from>
        <xdr:to>
          <xdr:col>22</xdr:col>
          <xdr:colOff>177800</xdr:colOff>
          <xdr:row>466</xdr:row>
          <xdr:rowOff>177800</xdr:rowOff>
        </xdr:to>
        <xdr:sp macro="" textlink="">
          <xdr:nvSpPr>
            <xdr:cNvPr id="15664" name="Check Box 304" hidden="1">
              <a:extLst>
                <a:ext uri="{63B3BB69-23CF-44E3-9099-C40C66FF867C}">
                  <a14:compatExt spid="_x0000_s15664"/>
                </a:ext>
                <a:ext uri="{FF2B5EF4-FFF2-40B4-BE49-F238E27FC236}">
                  <a16:creationId xmlns:a16="http://schemas.microsoft.com/office/drawing/2014/main" id="{00000000-0008-0000-0E00-0000303D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494</xdr:row>
          <xdr:rowOff>0</xdr:rowOff>
        </xdr:from>
        <xdr:to>
          <xdr:col>22</xdr:col>
          <xdr:colOff>177800</xdr:colOff>
          <xdr:row>494</xdr:row>
          <xdr:rowOff>177800</xdr:rowOff>
        </xdr:to>
        <xdr:sp macro="" textlink="">
          <xdr:nvSpPr>
            <xdr:cNvPr id="15666" name="Check Box 306" hidden="1">
              <a:extLst>
                <a:ext uri="{63B3BB69-23CF-44E3-9099-C40C66FF867C}">
                  <a14:compatExt spid="_x0000_s15666"/>
                </a:ext>
                <a:ext uri="{FF2B5EF4-FFF2-40B4-BE49-F238E27FC236}">
                  <a16:creationId xmlns:a16="http://schemas.microsoft.com/office/drawing/2014/main" id="{00000000-0008-0000-0E00-0000323D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497</xdr:row>
          <xdr:rowOff>0</xdr:rowOff>
        </xdr:from>
        <xdr:to>
          <xdr:col>22</xdr:col>
          <xdr:colOff>177800</xdr:colOff>
          <xdr:row>497</xdr:row>
          <xdr:rowOff>177800</xdr:rowOff>
        </xdr:to>
        <xdr:sp macro="" textlink="">
          <xdr:nvSpPr>
            <xdr:cNvPr id="15667" name="Check Box 307" hidden="1">
              <a:extLst>
                <a:ext uri="{63B3BB69-23CF-44E3-9099-C40C66FF867C}">
                  <a14:compatExt spid="_x0000_s15667"/>
                </a:ext>
                <a:ext uri="{FF2B5EF4-FFF2-40B4-BE49-F238E27FC236}">
                  <a16:creationId xmlns:a16="http://schemas.microsoft.com/office/drawing/2014/main" id="{00000000-0008-0000-0E00-0000333D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498</xdr:row>
          <xdr:rowOff>0</xdr:rowOff>
        </xdr:from>
        <xdr:to>
          <xdr:col>22</xdr:col>
          <xdr:colOff>177800</xdr:colOff>
          <xdr:row>498</xdr:row>
          <xdr:rowOff>177800</xdr:rowOff>
        </xdr:to>
        <xdr:sp macro="" textlink="">
          <xdr:nvSpPr>
            <xdr:cNvPr id="15668" name="Check Box 308" hidden="1">
              <a:extLst>
                <a:ext uri="{63B3BB69-23CF-44E3-9099-C40C66FF867C}">
                  <a14:compatExt spid="_x0000_s15668"/>
                </a:ext>
                <a:ext uri="{FF2B5EF4-FFF2-40B4-BE49-F238E27FC236}">
                  <a16:creationId xmlns:a16="http://schemas.microsoft.com/office/drawing/2014/main" id="{00000000-0008-0000-0E00-0000343D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508</xdr:row>
          <xdr:rowOff>0</xdr:rowOff>
        </xdr:from>
        <xdr:to>
          <xdr:col>22</xdr:col>
          <xdr:colOff>177800</xdr:colOff>
          <xdr:row>508</xdr:row>
          <xdr:rowOff>177800</xdr:rowOff>
        </xdr:to>
        <xdr:sp macro="" textlink="">
          <xdr:nvSpPr>
            <xdr:cNvPr id="15669" name="Check Box 309" hidden="1">
              <a:extLst>
                <a:ext uri="{63B3BB69-23CF-44E3-9099-C40C66FF867C}">
                  <a14:compatExt spid="_x0000_s15669"/>
                </a:ext>
                <a:ext uri="{FF2B5EF4-FFF2-40B4-BE49-F238E27FC236}">
                  <a16:creationId xmlns:a16="http://schemas.microsoft.com/office/drawing/2014/main" id="{00000000-0008-0000-0E00-0000353D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510</xdr:row>
          <xdr:rowOff>0</xdr:rowOff>
        </xdr:from>
        <xdr:to>
          <xdr:col>22</xdr:col>
          <xdr:colOff>177800</xdr:colOff>
          <xdr:row>510</xdr:row>
          <xdr:rowOff>177800</xdr:rowOff>
        </xdr:to>
        <xdr:sp macro="" textlink="">
          <xdr:nvSpPr>
            <xdr:cNvPr id="15670" name="Check Box 310" hidden="1">
              <a:extLst>
                <a:ext uri="{63B3BB69-23CF-44E3-9099-C40C66FF867C}">
                  <a14:compatExt spid="_x0000_s15670"/>
                </a:ext>
                <a:ext uri="{FF2B5EF4-FFF2-40B4-BE49-F238E27FC236}">
                  <a16:creationId xmlns:a16="http://schemas.microsoft.com/office/drawing/2014/main" id="{00000000-0008-0000-0E00-0000363D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528</xdr:row>
          <xdr:rowOff>0</xdr:rowOff>
        </xdr:from>
        <xdr:to>
          <xdr:col>22</xdr:col>
          <xdr:colOff>177800</xdr:colOff>
          <xdr:row>528</xdr:row>
          <xdr:rowOff>177800</xdr:rowOff>
        </xdr:to>
        <xdr:sp macro="" textlink="">
          <xdr:nvSpPr>
            <xdr:cNvPr id="15671" name="Check Box 311" hidden="1">
              <a:extLst>
                <a:ext uri="{63B3BB69-23CF-44E3-9099-C40C66FF867C}">
                  <a14:compatExt spid="_x0000_s15671"/>
                </a:ext>
                <a:ext uri="{FF2B5EF4-FFF2-40B4-BE49-F238E27FC236}">
                  <a16:creationId xmlns:a16="http://schemas.microsoft.com/office/drawing/2014/main" id="{00000000-0008-0000-0E00-0000373D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539</xdr:row>
          <xdr:rowOff>0</xdr:rowOff>
        </xdr:from>
        <xdr:to>
          <xdr:col>22</xdr:col>
          <xdr:colOff>177800</xdr:colOff>
          <xdr:row>539</xdr:row>
          <xdr:rowOff>177800</xdr:rowOff>
        </xdr:to>
        <xdr:sp macro="" textlink="">
          <xdr:nvSpPr>
            <xdr:cNvPr id="15672" name="Check Box 312" hidden="1">
              <a:extLst>
                <a:ext uri="{63B3BB69-23CF-44E3-9099-C40C66FF867C}">
                  <a14:compatExt spid="_x0000_s15672"/>
                </a:ext>
                <a:ext uri="{FF2B5EF4-FFF2-40B4-BE49-F238E27FC236}">
                  <a16:creationId xmlns:a16="http://schemas.microsoft.com/office/drawing/2014/main" id="{00000000-0008-0000-0E00-0000383D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540</xdr:row>
          <xdr:rowOff>0</xdr:rowOff>
        </xdr:from>
        <xdr:to>
          <xdr:col>22</xdr:col>
          <xdr:colOff>177800</xdr:colOff>
          <xdr:row>540</xdr:row>
          <xdr:rowOff>177800</xdr:rowOff>
        </xdr:to>
        <xdr:sp macro="" textlink="">
          <xdr:nvSpPr>
            <xdr:cNvPr id="15673" name="Check Box 313" hidden="1">
              <a:extLst>
                <a:ext uri="{63B3BB69-23CF-44E3-9099-C40C66FF867C}">
                  <a14:compatExt spid="_x0000_s15673"/>
                </a:ext>
                <a:ext uri="{FF2B5EF4-FFF2-40B4-BE49-F238E27FC236}">
                  <a16:creationId xmlns:a16="http://schemas.microsoft.com/office/drawing/2014/main" id="{00000000-0008-0000-0E00-0000393D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548</xdr:row>
          <xdr:rowOff>0</xdr:rowOff>
        </xdr:from>
        <xdr:to>
          <xdr:col>22</xdr:col>
          <xdr:colOff>177800</xdr:colOff>
          <xdr:row>548</xdr:row>
          <xdr:rowOff>177800</xdr:rowOff>
        </xdr:to>
        <xdr:sp macro="" textlink="">
          <xdr:nvSpPr>
            <xdr:cNvPr id="15674" name="Check Box 314" hidden="1">
              <a:extLst>
                <a:ext uri="{63B3BB69-23CF-44E3-9099-C40C66FF867C}">
                  <a14:compatExt spid="_x0000_s15674"/>
                </a:ext>
                <a:ext uri="{FF2B5EF4-FFF2-40B4-BE49-F238E27FC236}">
                  <a16:creationId xmlns:a16="http://schemas.microsoft.com/office/drawing/2014/main" id="{00000000-0008-0000-0E00-00003A3D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550</xdr:row>
          <xdr:rowOff>0</xdr:rowOff>
        </xdr:from>
        <xdr:to>
          <xdr:col>22</xdr:col>
          <xdr:colOff>177800</xdr:colOff>
          <xdr:row>550</xdr:row>
          <xdr:rowOff>177800</xdr:rowOff>
        </xdr:to>
        <xdr:sp macro="" textlink="">
          <xdr:nvSpPr>
            <xdr:cNvPr id="15675" name="Check Box 315" hidden="1">
              <a:extLst>
                <a:ext uri="{63B3BB69-23CF-44E3-9099-C40C66FF867C}">
                  <a14:compatExt spid="_x0000_s15675"/>
                </a:ext>
                <a:ext uri="{FF2B5EF4-FFF2-40B4-BE49-F238E27FC236}">
                  <a16:creationId xmlns:a16="http://schemas.microsoft.com/office/drawing/2014/main" id="{00000000-0008-0000-0E00-00003B3D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551</xdr:row>
          <xdr:rowOff>0</xdr:rowOff>
        </xdr:from>
        <xdr:to>
          <xdr:col>22</xdr:col>
          <xdr:colOff>177800</xdr:colOff>
          <xdr:row>551</xdr:row>
          <xdr:rowOff>177800</xdr:rowOff>
        </xdr:to>
        <xdr:sp macro="" textlink="">
          <xdr:nvSpPr>
            <xdr:cNvPr id="15676" name="Check Box 316" hidden="1">
              <a:extLst>
                <a:ext uri="{63B3BB69-23CF-44E3-9099-C40C66FF867C}">
                  <a14:compatExt spid="_x0000_s15676"/>
                </a:ext>
                <a:ext uri="{FF2B5EF4-FFF2-40B4-BE49-F238E27FC236}">
                  <a16:creationId xmlns:a16="http://schemas.microsoft.com/office/drawing/2014/main" id="{00000000-0008-0000-0E00-00003C3D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554</xdr:row>
          <xdr:rowOff>0</xdr:rowOff>
        </xdr:from>
        <xdr:to>
          <xdr:col>22</xdr:col>
          <xdr:colOff>177800</xdr:colOff>
          <xdr:row>554</xdr:row>
          <xdr:rowOff>177800</xdr:rowOff>
        </xdr:to>
        <xdr:sp macro="" textlink="">
          <xdr:nvSpPr>
            <xdr:cNvPr id="15677" name="Check Box 317" hidden="1">
              <a:extLst>
                <a:ext uri="{63B3BB69-23CF-44E3-9099-C40C66FF867C}">
                  <a14:compatExt spid="_x0000_s15677"/>
                </a:ext>
                <a:ext uri="{FF2B5EF4-FFF2-40B4-BE49-F238E27FC236}">
                  <a16:creationId xmlns:a16="http://schemas.microsoft.com/office/drawing/2014/main" id="{00000000-0008-0000-0E00-00003D3D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563</xdr:row>
          <xdr:rowOff>0</xdr:rowOff>
        </xdr:from>
        <xdr:to>
          <xdr:col>22</xdr:col>
          <xdr:colOff>177800</xdr:colOff>
          <xdr:row>563</xdr:row>
          <xdr:rowOff>177800</xdr:rowOff>
        </xdr:to>
        <xdr:sp macro="" textlink="">
          <xdr:nvSpPr>
            <xdr:cNvPr id="15679" name="Check Box 319" hidden="1">
              <a:extLst>
                <a:ext uri="{63B3BB69-23CF-44E3-9099-C40C66FF867C}">
                  <a14:compatExt spid="_x0000_s15679"/>
                </a:ext>
                <a:ext uri="{FF2B5EF4-FFF2-40B4-BE49-F238E27FC236}">
                  <a16:creationId xmlns:a16="http://schemas.microsoft.com/office/drawing/2014/main" id="{00000000-0008-0000-0E00-00003F3D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565</xdr:row>
          <xdr:rowOff>0</xdr:rowOff>
        </xdr:from>
        <xdr:to>
          <xdr:col>22</xdr:col>
          <xdr:colOff>177800</xdr:colOff>
          <xdr:row>565</xdr:row>
          <xdr:rowOff>177800</xdr:rowOff>
        </xdr:to>
        <xdr:sp macro="" textlink="">
          <xdr:nvSpPr>
            <xdr:cNvPr id="15680" name="Check Box 320" hidden="1">
              <a:extLst>
                <a:ext uri="{63B3BB69-23CF-44E3-9099-C40C66FF867C}">
                  <a14:compatExt spid="_x0000_s15680"/>
                </a:ext>
                <a:ext uri="{FF2B5EF4-FFF2-40B4-BE49-F238E27FC236}">
                  <a16:creationId xmlns:a16="http://schemas.microsoft.com/office/drawing/2014/main" id="{00000000-0008-0000-0E00-0000403D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583</xdr:row>
          <xdr:rowOff>0</xdr:rowOff>
        </xdr:from>
        <xdr:to>
          <xdr:col>22</xdr:col>
          <xdr:colOff>177800</xdr:colOff>
          <xdr:row>583</xdr:row>
          <xdr:rowOff>177800</xdr:rowOff>
        </xdr:to>
        <xdr:sp macro="" textlink="">
          <xdr:nvSpPr>
            <xdr:cNvPr id="15681" name="Check Box 321" hidden="1">
              <a:extLst>
                <a:ext uri="{63B3BB69-23CF-44E3-9099-C40C66FF867C}">
                  <a14:compatExt spid="_x0000_s15681"/>
                </a:ext>
                <a:ext uri="{FF2B5EF4-FFF2-40B4-BE49-F238E27FC236}">
                  <a16:creationId xmlns:a16="http://schemas.microsoft.com/office/drawing/2014/main" id="{00000000-0008-0000-0E00-0000413D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600</xdr:row>
          <xdr:rowOff>0</xdr:rowOff>
        </xdr:from>
        <xdr:to>
          <xdr:col>22</xdr:col>
          <xdr:colOff>177800</xdr:colOff>
          <xdr:row>600</xdr:row>
          <xdr:rowOff>177800</xdr:rowOff>
        </xdr:to>
        <xdr:sp macro="" textlink="">
          <xdr:nvSpPr>
            <xdr:cNvPr id="15682" name="Check Box 322" hidden="1">
              <a:extLst>
                <a:ext uri="{63B3BB69-23CF-44E3-9099-C40C66FF867C}">
                  <a14:compatExt spid="_x0000_s15682"/>
                </a:ext>
                <a:ext uri="{FF2B5EF4-FFF2-40B4-BE49-F238E27FC236}">
                  <a16:creationId xmlns:a16="http://schemas.microsoft.com/office/drawing/2014/main" id="{00000000-0008-0000-0E00-0000423D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613</xdr:row>
          <xdr:rowOff>0</xdr:rowOff>
        </xdr:from>
        <xdr:to>
          <xdr:col>22</xdr:col>
          <xdr:colOff>177800</xdr:colOff>
          <xdr:row>613</xdr:row>
          <xdr:rowOff>177800</xdr:rowOff>
        </xdr:to>
        <xdr:sp macro="" textlink="">
          <xdr:nvSpPr>
            <xdr:cNvPr id="15683" name="Check Box 323" hidden="1">
              <a:extLst>
                <a:ext uri="{63B3BB69-23CF-44E3-9099-C40C66FF867C}">
                  <a14:compatExt spid="_x0000_s15683"/>
                </a:ext>
                <a:ext uri="{FF2B5EF4-FFF2-40B4-BE49-F238E27FC236}">
                  <a16:creationId xmlns:a16="http://schemas.microsoft.com/office/drawing/2014/main" id="{00000000-0008-0000-0E00-0000433D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615</xdr:row>
          <xdr:rowOff>0</xdr:rowOff>
        </xdr:from>
        <xdr:to>
          <xdr:col>22</xdr:col>
          <xdr:colOff>177800</xdr:colOff>
          <xdr:row>615</xdr:row>
          <xdr:rowOff>177800</xdr:rowOff>
        </xdr:to>
        <xdr:sp macro="" textlink="">
          <xdr:nvSpPr>
            <xdr:cNvPr id="15684" name="Check Box 324" hidden="1">
              <a:extLst>
                <a:ext uri="{63B3BB69-23CF-44E3-9099-C40C66FF867C}">
                  <a14:compatExt spid="_x0000_s15684"/>
                </a:ext>
                <a:ext uri="{FF2B5EF4-FFF2-40B4-BE49-F238E27FC236}">
                  <a16:creationId xmlns:a16="http://schemas.microsoft.com/office/drawing/2014/main" id="{00000000-0008-0000-0E00-0000443D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628</xdr:row>
          <xdr:rowOff>0</xdr:rowOff>
        </xdr:from>
        <xdr:to>
          <xdr:col>22</xdr:col>
          <xdr:colOff>177800</xdr:colOff>
          <xdr:row>628</xdr:row>
          <xdr:rowOff>177800</xdr:rowOff>
        </xdr:to>
        <xdr:sp macro="" textlink="">
          <xdr:nvSpPr>
            <xdr:cNvPr id="15685" name="Check Box 325" hidden="1">
              <a:extLst>
                <a:ext uri="{63B3BB69-23CF-44E3-9099-C40C66FF867C}">
                  <a14:compatExt spid="_x0000_s15685"/>
                </a:ext>
                <a:ext uri="{FF2B5EF4-FFF2-40B4-BE49-F238E27FC236}">
                  <a16:creationId xmlns:a16="http://schemas.microsoft.com/office/drawing/2014/main" id="{00000000-0008-0000-0E00-0000453D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629</xdr:row>
          <xdr:rowOff>0</xdr:rowOff>
        </xdr:from>
        <xdr:to>
          <xdr:col>22</xdr:col>
          <xdr:colOff>177800</xdr:colOff>
          <xdr:row>629</xdr:row>
          <xdr:rowOff>177800</xdr:rowOff>
        </xdr:to>
        <xdr:sp macro="" textlink="">
          <xdr:nvSpPr>
            <xdr:cNvPr id="15686" name="Check Box 326" hidden="1">
              <a:extLst>
                <a:ext uri="{63B3BB69-23CF-44E3-9099-C40C66FF867C}">
                  <a14:compatExt spid="_x0000_s15686"/>
                </a:ext>
                <a:ext uri="{FF2B5EF4-FFF2-40B4-BE49-F238E27FC236}">
                  <a16:creationId xmlns:a16="http://schemas.microsoft.com/office/drawing/2014/main" id="{00000000-0008-0000-0E00-0000463D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630</xdr:row>
          <xdr:rowOff>0</xdr:rowOff>
        </xdr:from>
        <xdr:to>
          <xdr:col>22</xdr:col>
          <xdr:colOff>177800</xdr:colOff>
          <xdr:row>630</xdr:row>
          <xdr:rowOff>177800</xdr:rowOff>
        </xdr:to>
        <xdr:sp macro="" textlink="">
          <xdr:nvSpPr>
            <xdr:cNvPr id="15687" name="Check Box 327" hidden="1">
              <a:extLst>
                <a:ext uri="{63B3BB69-23CF-44E3-9099-C40C66FF867C}">
                  <a14:compatExt spid="_x0000_s15687"/>
                </a:ext>
                <a:ext uri="{FF2B5EF4-FFF2-40B4-BE49-F238E27FC236}">
                  <a16:creationId xmlns:a16="http://schemas.microsoft.com/office/drawing/2014/main" id="{00000000-0008-0000-0E00-0000473D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631</xdr:row>
          <xdr:rowOff>0</xdr:rowOff>
        </xdr:from>
        <xdr:to>
          <xdr:col>22</xdr:col>
          <xdr:colOff>177800</xdr:colOff>
          <xdr:row>631</xdr:row>
          <xdr:rowOff>177800</xdr:rowOff>
        </xdr:to>
        <xdr:sp macro="" textlink="">
          <xdr:nvSpPr>
            <xdr:cNvPr id="15688" name="Check Box 328" hidden="1">
              <a:extLst>
                <a:ext uri="{63B3BB69-23CF-44E3-9099-C40C66FF867C}">
                  <a14:compatExt spid="_x0000_s15688"/>
                </a:ext>
                <a:ext uri="{FF2B5EF4-FFF2-40B4-BE49-F238E27FC236}">
                  <a16:creationId xmlns:a16="http://schemas.microsoft.com/office/drawing/2014/main" id="{00000000-0008-0000-0E00-0000483D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632</xdr:row>
          <xdr:rowOff>0</xdr:rowOff>
        </xdr:from>
        <xdr:to>
          <xdr:col>22</xdr:col>
          <xdr:colOff>177800</xdr:colOff>
          <xdr:row>632</xdr:row>
          <xdr:rowOff>177800</xdr:rowOff>
        </xdr:to>
        <xdr:sp macro="" textlink="">
          <xdr:nvSpPr>
            <xdr:cNvPr id="15689" name="Check Box 329" hidden="1">
              <a:extLst>
                <a:ext uri="{63B3BB69-23CF-44E3-9099-C40C66FF867C}">
                  <a14:compatExt spid="_x0000_s15689"/>
                </a:ext>
                <a:ext uri="{FF2B5EF4-FFF2-40B4-BE49-F238E27FC236}">
                  <a16:creationId xmlns:a16="http://schemas.microsoft.com/office/drawing/2014/main" id="{00000000-0008-0000-0E00-0000493D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633</xdr:row>
          <xdr:rowOff>0</xdr:rowOff>
        </xdr:from>
        <xdr:to>
          <xdr:col>22</xdr:col>
          <xdr:colOff>177800</xdr:colOff>
          <xdr:row>633</xdr:row>
          <xdr:rowOff>177800</xdr:rowOff>
        </xdr:to>
        <xdr:sp macro="" textlink="">
          <xdr:nvSpPr>
            <xdr:cNvPr id="15690" name="Check Box 330" hidden="1">
              <a:extLst>
                <a:ext uri="{63B3BB69-23CF-44E3-9099-C40C66FF867C}">
                  <a14:compatExt spid="_x0000_s15690"/>
                </a:ext>
                <a:ext uri="{FF2B5EF4-FFF2-40B4-BE49-F238E27FC236}">
                  <a16:creationId xmlns:a16="http://schemas.microsoft.com/office/drawing/2014/main" id="{00000000-0008-0000-0E00-00004A3D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634</xdr:row>
          <xdr:rowOff>0</xdr:rowOff>
        </xdr:from>
        <xdr:to>
          <xdr:col>22</xdr:col>
          <xdr:colOff>177800</xdr:colOff>
          <xdr:row>634</xdr:row>
          <xdr:rowOff>177800</xdr:rowOff>
        </xdr:to>
        <xdr:sp macro="" textlink="">
          <xdr:nvSpPr>
            <xdr:cNvPr id="15691" name="Check Box 331" hidden="1">
              <a:extLst>
                <a:ext uri="{63B3BB69-23CF-44E3-9099-C40C66FF867C}">
                  <a14:compatExt spid="_x0000_s15691"/>
                </a:ext>
                <a:ext uri="{FF2B5EF4-FFF2-40B4-BE49-F238E27FC236}">
                  <a16:creationId xmlns:a16="http://schemas.microsoft.com/office/drawing/2014/main" id="{00000000-0008-0000-0E00-00004B3D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635</xdr:row>
          <xdr:rowOff>0</xdr:rowOff>
        </xdr:from>
        <xdr:to>
          <xdr:col>22</xdr:col>
          <xdr:colOff>177800</xdr:colOff>
          <xdr:row>635</xdr:row>
          <xdr:rowOff>177800</xdr:rowOff>
        </xdr:to>
        <xdr:sp macro="" textlink="">
          <xdr:nvSpPr>
            <xdr:cNvPr id="15692" name="Check Box 332" hidden="1">
              <a:extLst>
                <a:ext uri="{63B3BB69-23CF-44E3-9099-C40C66FF867C}">
                  <a14:compatExt spid="_x0000_s15692"/>
                </a:ext>
                <a:ext uri="{FF2B5EF4-FFF2-40B4-BE49-F238E27FC236}">
                  <a16:creationId xmlns:a16="http://schemas.microsoft.com/office/drawing/2014/main" id="{00000000-0008-0000-0E00-00004C3D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636</xdr:row>
          <xdr:rowOff>0</xdr:rowOff>
        </xdr:from>
        <xdr:to>
          <xdr:col>22</xdr:col>
          <xdr:colOff>177800</xdr:colOff>
          <xdr:row>636</xdr:row>
          <xdr:rowOff>177800</xdr:rowOff>
        </xdr:to>
        <xdr:sp macro="" textlink="">
          <xdr:nvSpPr>
            <xdr:cNvPr id="15693" name="Check Box 333" hidden="1">
              <a:extLst>
                <a:ext uri="{63B3BB69-23CF-44E3-9099-C40C66FF867C}">
                  <a14:compatExt spid="_x0000_s15693"/>
                </a:ext>
                <a:ext uri="{FF2B5EF4-FFF2-40B4-BE49-F238E27FC236}">
                  <a16:creationId xmlns:a16="http://schemas.microsoft.com/office/drawing/2014/main" id="{00000000-0008-0000-0E00-00004D3D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687</xdr:row>
          <xdr:rowOff>0</xdr:rowOff>
        </xdr:from>
        <xdr:to>
          <xdr:col>22</xdr:col>
          <xdr:colOff>177800</xdr:colOff>
          <xdr:row>687</xdr:row>
          <xdr:rowOff>177800</xdr:rowOff>
        </xdr:to>
        <xdr:sp macro="" textlink="">
          <xdr:nvSpPr>
            <xdr:cNvPr id="15694" name="Check Box 334" hidden="1">
              <a:extLst>
                <a:ext uri="{63B3BB69-23CF-44E3-9099-C40C66FF867C}">
                  <a14:compatExt spid="_x0000_s15694"/>
                </a:ext>
                <a:ext uri="{FF2B5EF4-FFF2-40B4-BE49-F238E27FC236}">
                  <a16:creationId xmlns:a16="http://schemas.microsoft.com/office/drawing/2014/main" id="{00000000-0008-0000-0E00-00004E3D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692</xdr:row>
          <xdr:rowOff>0</xdr:rowOff>
        </xdr:from>
        <xdr:to>
          <xdr:col>22</xdr:col>
          <xdr:colOff>177800</xdr:colOff>
          <xdr:row>692</xdr:row>
          <xdr:rowOff>177800</xdr:rowOff>
        </xdr:to>
        <xdr:sp macro="" textlink="">
          <xdr:nvSpPr>
            <xdr:cNvPr id="15695" name="Check Box 335" hidden="1">
              <a:extLst>
                <a:ext uri="{63B3BB69-23CF-44E3-9099-C40C66FF867C}">
                  <a14:compatExt spid="_x0000_s15695"/>
                </a:ext>
                <a:ext uri="{FF2B5EF4-FFF2-40B4-BE49-F238E27FC236}">
                  <a16:creationId xmlns:a16="http://schemas.microsoft.com/office/drawing/2014/main" id="{00000000-0008-0000-0E00-00004F3D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698</xdr:row>
          <xdr:rowOff>0</xdr:rowOff>
        </xdr:from>
        <xdr:to>
          <xdr:col>22</xdr:col>
          <xdr:colOff>177800</xdr:colOff>
          <xdr:row>698</xdr:row>
          <xdr:rowOff>177800</xdr:rowOff>
        </xdr:to>
        <xdr:sp macro="" textlink="">
          <xdr:nvSpPr>
            <xdr:cNvPr id="15696" name="Check Box 336" hidden="1">
              <a:extLst>
                <a:ext uri="{63B3BB69-23CF-44E3-9099-C40C66FF867C}">
                  <a14:compatExt spid="_x0000_s15696"/>
                </a:ext>
                <a:ext uri="{FF2B5EF4-FFF2-40B4-BE49-F238E27FC236}">
                  <a16:creationId xmlns:a16="http://schemas.microsoft.com/office/drawing/2014/main" id="{00000000-0008-0000-0E00-0000503D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732</xdr:row>
          <xdr:rowOff>0</xdr:rowOff>
        </xdr:from>
        <xdr:to>
          <xdr:col>22</xdr:col>
          <xdr:colOff>177800</xdr:colOff>
          <xdr:row>732</xdr:row>
          <xdr:rowOff>177800</xdr:rowOff>
        </xdr:to>
        <xdr:sp macro="" textlink="">
          <xdr:nvSpPr>
            <xdr:cNvPr id="15697" name="Check Box 337" hidden="1">
              <a:extLst>
                <a:ext uri="{63B3BB69-23CF-44E3-9099-C40C66FF867C}">
                  <a14:compatExt spid="_x0000_s15697"/>
                </a:ext>
                <a:ext uri="{FF2B5EF4-FFF2-40B4-BE49-F238E27FC236}">
                  <a16:creationId xmlns:a16="http://schemas.microsoft.com/office/drawing/2014/main" id="{00000000-0008-0000-0E00-0000513D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741</xdr:row>
          <xdr:rowOff>0</xdr:rowOff>
        </xdr:from>
        <xdr:to>
          <xdr:col>22</xdr:col>
          <xdr:colOff>177800</xdr:colOff>
          <xdr:row>741</xdr:row>
          <xdr:rowOff>177800</xdr:rowOff>
        </xdr:to>
        <xdr:sp macro="" textlink="">
          <xdr:nvSpPr>
            <xdr:cNvPr id="15698" name="Check Box 338" hidden="1">
              <a:extLst>
                <a:ext uri="{63B3BB69-23CF-44E3-9099-C40C66FF867C}">
                  <a14:compatExt spid="_x0000_s15698"/>
                </a:ext>
                <a:ext uri="{FF2B5EF4-FFF2-40B4-BE49-F238E27FC236}">
                  <a16:creationId xmlns:a16="http://schemas.microsoft.com/office/drawing/2014/main" id="{00000000-0008-0000-0E00-0000523D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748</xdr:row>
          <xdr:rowOff>0</xdr:rowOff>
        </xdr:from>
        <xdr:to>
          <xdr:col>22</xdr:col>
          <xdr:colOff>177800</xdr:colOff>
          <xdr:row>748</xdr:row>
          <xdr:rowOff>177800</xdr:rowOff>
        </xdr:to>
        <xdr:sp macro="" textlink="">
          <xdr:nvSpPr>
            <xdr:cNvPr id="15699" name="Check Box 339" hidden="1">
              <a:extLst>
                <a:ext uri="{63B3BB69-23CF-44E3-9099-C40C66FF867C}">
                  <a14:compatExt spid="_x0000_s15699"/>
                </a:ext>
                <a:ext uri="{FF2B5EF4-FFF2-40B4-BE49-F238E27FC236}">
                  <a16:creationId xmlns:a16="http://schemas.microsoft.com/office/drawing/2014/main" id="{00000000-0008-0000-0E00-0000533D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827</xdr:row>
          <xdr:rowOff>0</xdr:rowOff>
        </xdr:from>
        <xdr:to>
          <xdr:col>22</xdr:col>
          <xdr:colOff>177800</xdr:colOff>
          <xdr:row>827</xdr:row>
          <xdr:rowOff>177800</xdr:rowOff>
        </xdr:to>
        <xdr:sp macro="" textlink="">
          <xdr:nvSpPr>
            <xdr:cNvPr id="15700" name="Check Box 340" hidden="1">
              <a:extLst>
                <a:ext uri="{63B3BB69-23CF-44E3-9099-C40C66FF867C}">
                  <a14:compatExt spid="_x0000_s15700"/>
                </a:ext>
                <a:ext uri="{FF2B5EF4-FFF2-40B4-BE49-F238E27FC236}">
                  <a16:creationId xmlns:a16="http://schemas.microsoft.com/office/drawing/2014/main" id="{00000000-0008-0000-0E00-0000543D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828</xdr:row>
          <xdr:rowOff>0</xdr:rowOff>
        </xdr:from>
        <xdr:to>
          <xdr:col>22</xdr:col>
          <xdr:colOff>177800</xdr:colOff>
          <xdr:row>828</xdr:row>
          <xdr:rowOff>177800</xdr:rowOff>
        </xdr:to>
        <xdr:sp macro="" textlink="">
          <xdr:nvSpPr>
            <xdr:cNvPr id="15701" name="Check Box 341" hidden="1">
              <a:extLst>
                <a:ext uri="{63B3BB69-23CF-44E3-9099-C40C66FF867C}">
                  <a14:compatExt spid="_x0000_s15701"/>
                </a:ext>
                <a:ext uri="{FF2B5EF4-FFF2-40B4-BE49-F238E27FC236}">
                  <a16:creationId xmlns:a16="http://schemas.microsoft.com/office/drawing/2014/main" id="{00000000-0008-0000-0E00-0000553D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832</xdr:row>
          <xdr:rowOff>0</xdr:rowOff>
        </xdr:from>
        <xdr:to>
          <xdr:col>22</xdr:col>
          <xdr:colOff>177800</xdr:colOff>
          <xdr:row>832</xdr:row>
          <xdr:rowOff>177800</xdr:rowOff>
        </xdr:to>
        <xdr:sp macro="" textlink="">
          <xdr:nvSpPr>
            <xdr:cNvPr id="15702" name="Check Box 342" hidden="1">
              <a:extLst>
                <a:ext uri="{63B3BB69-23CF-44E3-9099-C40C66FF867C}">
                  <a14:compatExt spid="_x0000_s15702"/>
                </a:ext>
                <a:ext uri="{FF2B5EF4-FFF2-40B4-BE49-F238E27FC236}">
                  <a16:creationId xmlns:a16="http://schemas.microsoft.com/office/drawing/2014/main" id="{00000000-0008-0000-0E00-0000563D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830</xdr:row>
          <xdr:rowOff>0</xdr:rowOff>
        </xdr:from>
        <xdr:to>
          <xdr:col>22</xdr:col>
          <xdr:colOff>177800</xdr:colOff>
          <xdr:row>830</xdr:row>
          <xdr:rowOff>177800</xdr:rowOff>
        </xdr:to>
        <xdr:sp macro="" textlink="">
          <xdr:nvSpPr>
            <xdr:cNvPr id="15703" name="Check Box 343" hidden="1">
              <a:extLst>
                <a:ext uri="{63B3BB69-23CF-44E3-9099-C40C66FF867C}">
                  <a14:compatExt spid="_x0000_s15703"/>
                </a:ext>
                <a:ext uri="{FF2B5EF4-FFF2-40B4-BE49-F238E27FC236}">
                  <a16:creationId xmlns:a16="http://schemas.microsoft.com/office/drawing/2014/main" id="{00000000-0008-0000-0E00-0000573D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834</xdr:row>
          <xdr:rowOff>0</xdr:rowOff>
        </xdr:from>
        <xdr:to>
          <xdr:col>22</xdr:col>
          <xdr:colOff>177800</xdr:colOff>
          <xdr:row>834</xdr:row>
          <xdr:rowOff>177800</xdr:rowOff>
        </xdr:to>
        <xdr:sp macro="" textlink="">
          <xdr:nvSpPr>
            <xdr:cNvPr id="15704" name="Check Box 344" hidden="1">
              <a:extLst>
                <a:ext uri="{63B3BB69-23CF-44E3-9099-C40C66FF867C}">
                  <a14:compatExt spid="_x0000_s15704"/>
                </a:ext>
                <a:ext uri="{FF2B5EF4-FFF2-40B4-BE49-F238E27FC236}">
                  <a16:creationId xmlns:a16="http://schemas.microsoft.com/office/drawing/2014/main" id="{00000000-0008-0000-0E00-0000583D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836</xdr:row>
          <xdr:rowOff>0</xdr:rowOff>
        </xdr:from>
        <xdr:to>
          <xdr:col>22</xdr:col>
          <xdr:colOff>177800</xdr:colOff>
          <xdr:row>836</xdr:row>
          <xdr:rowOff>177800</xdr:rowOff>
        </xdr:to>
        <xdr:sp macro="" textlink="">
          <xdr:nvSpPr>
            <xdr:cNvPr id="15705" name="Check Box 345" hidden="1">
              <a:extLst>
                <a:ext uri="{63B3BB69-23CF-44E3-9099-C40C66FF867C}">
                  <a14:compatExt spid="_x0000_s15705"/>
                </a:ext>
                <a:ext uri="{FF2B5EF4-FFF2-40B4-BE49-F238E27FC236}">
                  <a16:creationId xmlns:a16="http://schemas.microsoft.com/office/drawing/2014/main" id="{00000000-0008-0000-0E00-0000593D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838</xdr:row>
          <xdr:rowOff>0</xdr:rowOff>
        </xdr:from>
        <xdr:to>
          <xdr:col>22</xdr:col>
          <xdr:colOff>177800</xdr:colOff>
          <xdr:row>838</xdr:row>
          <xdr:rowOff>177800</xdr:rowOff>
        </xdr:to>
        <xdr:sp macro="" textlink="">
          <xdr:nvSpPr>
            <xdr:cNvPr id="15706" name="Check Box 346" hidden="1">
              <a:extLst>
                <a:ext uri="{63B3BB69-23CF-44E3-9099-C40C66FF867C}">
                  <a14:compatExt spid="_x0000_s15706"/>
                </a:ext>
                <a:ext uri="{FF2B5EF4-FFF2-40B4-BE49-F238E27FC236}">
                  <a16:creationId xmlns:a16="http://schemas.microsoft.com/office/drawing/2014/main" id="{00000000-0008-0000-0E00-00005A3D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842</xdr:row>
          <xdr:rowOff>0</xdr:rowOff>
        </xdr:from>
        <xdr:to>
          <xdr:col>22</xdr:col>
          <xdr:colOff>177800</xdr:colOff>
          <xdr:row>842</xdr:row>
          <xdr:rowOff>177800</xdr:rowOff>
        </xdr:to>
        <xdr:sp macro="" textlink="">
          <xdr:nvSpPr>
            <xdr:cNvPr id="15707" name="Check Box 347" hidden="1">
              <a:extLst>
                <a:ext uri="{63B3BB69-23CF-44E3-9099-C40C66FF867C}">
                  <a14:compatExt spid="_x0000_s15707"/>
                </a:ext>
                <a:ext uri="{FF2B5EF4-FFF2-40B4-BE49-F238E27FC236}">
                  <a16:creationId xmlns:a16="http://schemas.microsoft.com/office/drawing/2014/main" id="{00000000-0008-0000-0E00-00005B3D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847</xdr:row>
          <xdr:rowOff>0</xdr:rowOff>
        </xdr:from>
        <xdr:to>
          <xdr:col>22</xdr:col>
          <xdr:colOff>177800</xdr:colOff>
          <xdr:row>847</xdr:row>
          <xdr:rowOff>177800</xdr:rowOff>
        </xdr:to>
        <xdr:sp macro="" textlink="">
          <xdr:nvSpPr>
            <xdr:cNvPr id="15708" name="Check Box 348" hidden="1">
              <a:extLst>
                <a:ext uri="{63B3BB69-23CF-44E3-9099-C40C66FF867C}">
                  <a14:compatExt spid="_x0000_s15708"/>
                </a:ext>
                <a:ext uri="{FF2B5EF4-FFF2-40B4-BE49-F238E27FC236}">
                  <a16:creationId xmlns:a16="http://schemas.microsoft.com/office/drawing/2014/main" id="{00000000-0008-0000-0E00-00005C3D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851</xdr:row>
          <xdr:rowOff>0</xdr:rowOff>
        </xdr:from>
        <xdr:to>
          <xdr:col>22</xdr:col>
          <xdr:colOff>177800</xdr:colOff>
          <xdr:row>851</xdr:row>
          <xdr:rowOff>177800</xdr:rowOff>
        </xdr:to>
        <xdr:sp macro="" textlink="">
          <xdr:nvSpPr>
            <xdr:cNvPr id="15709" name="Check Box 349" hidden="1">
              <a:extLst>
                <a:ext uri="{63B3BB69-23CF-44E3-9099-C40C66FF867C}">
                  <a14:compatExt spid="_x0000_s15709"/>
                </a:ext>
                <a:ext uri="{FF2B5EF4-FFF2-40B4-BE49-F238E27FC236}">
                  <a16:creationId xmlns:a16="http://schemas.microsoft.com/office/drawing/2014/main" id="{00000000-0008-0000-0E00-00005D3D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853</xdr:row>
          <xdr:rowOff>0</xdr:rowOff>
        </xdr:from>
        <xdr:to>
          <xdr:col>22</xdr:col>
          <xdr:colOff>177800</xdr:colOff>
          <xdr:row>853</xdr:row>
          <xdr:rowOff>177800</xdr:rowOff>
        </xdr:to>
        <xdr:sp macro="" textlink="">
          <xdr:nvSpPr>
            <xdr:cNvPr id="15710" name="Check Box 350" hidden="1">
              <a:extLst>
                <a:ext uri="{63B3BB69-23CF-44E3-9099-C40C66FF867C}">
                  <a14:compatExt spid="_x0000_s15710"/>
                </a:ext>
                <a:ext uri="{FF2B5EF4-FFF2-40B4-BE49-F238E27FC236}">
                  <a16:creationId xmlns:a16="http://schemas.microsoft.com/office/drawing/2014/main" id="{00000000-0008-0000-0E00-00005E3D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855</xdr:row>
          <xdr:rowOff>0</xdr:rowOff>
        </xdr:from>
        <xdr:to>
          <xdr:col>22</xdr:col>
          <xdr:colOff>177800</xdr:colOff>
          <xdr:row>855</xdr:row>
          <xdr:rowOff>177800</xdr:rowOff>
        </xdr:to>
        <xdr:sp macro="" textlink="">
          <xdr:nvSpPr>
            <xdr:cNvPr id="15711" name="Check Box 351" hidden="1">
              <a:extLst>
                <a:ext uri="{63B3BB69-23CF-44E3-9099-C40C66FF867C}">
                  <a14:compatExt spid="_x0000_s15711"/>
                </a:ext>
                <a:ext uri="{FF2B5EF4-FFF2-40B4-BE49-F238E27FC236}">
                  <a16:creationId xmlns:a16="http://schemas.microsoft.com/office/drawing/2014/main" id="{00000000-0008-0000-0E00-00005F3D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856</xdr:row>
          <xdr:rowOff>0</xdr:rowOff>
        </xdr:from>
        <xdr:to>
          <xdr:col>22</xdr:col>
          <xdr:colOff>177800</xdr:colOff>
          <xdr:row>856</xdr:row>
          <xdr:rowOff>177800</xdr:rowOff>
        </xdr:to>
        <xdr:sp macro="" textlink="">
          <xdr:nvSpPr>
            <xdr:cNvPr id="15712" name="Check Box 352" hidden="1">
              <a:extLst>
                <a:ext uri="{63B3BB69-23CF-44E3-9099-C40C66FF867C}">
                  <a14:compatExt spid="_x0000_s15712"/>
                </a:ext>
                <a:ext uri="{FF2B5EF4-FFF2-40B4-BE49-F238E27FC236}">
                  <a16:creationId xmlns:a16="http://schemas.microsoft.com/office/drawing/2014/main" id="{00000000-0008-0000-0E00-0000603D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857</xdr:row>
          <xdr:rowOff>0</xdr:rowOff>
        </xdr:from>
        <xdr:to>
          <xdr:col>22</xdr:col>
          <xdr:colOff>177800</xdr:colOff>
          <xdr:row>857</xdr:row>
          <xdr:rowOff>177800</xdr:rowOff>
        </xdr:to>
        <xdr:sp macro="" textlink="">
          <xdr:nvSpPr>
            <xdr:cNvPr id="15713" name="Check Box 353" hidden="1">
              <a:extLst>
                <a:ext uri="{63B3BB69-23CF-44E3-9099-C40C66FF867C}">
                  <a14:compatExt spid="_x0000_s15713"/>
                </a:ext>
                <a:ext uri="{FF2B5EF4-FFF2-40B4-BE49-F238E27FC236}">
                  <a16:creationId xmlns:a16="http://schemas.microsoft.com/office/drawing/2014/main" id="{00000000-0008-0000-0E00-0000613D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861</xdr:row>
          <xdr:rowOff>0</xdr:rowOff>
        </xdr:from>
        <xdr:to>
          <xdr:col>22</xdr:col>
          <xdr:colOff>177800</xdr:colOff>
          <xdr:row>861</xdr:row>
          <xdr:rowOff>177800</xdr:rowOff>
        </xdr:to>
        <xdr:sp macro="" textlink="">
          <xdr:nvSpPr>
            <xdr:cNvPr id="15714" name="Check Box 354" hidden="1">
              <a:extLst>
                <a:ext uri="{63B3BB69-23CF-44E3-9099-C40C66FF867C}">
                  <a14:compatExt spid="_x0000_s15714"/>
                </a:ext>
                <a:ext uri="{FF2B5EF4-FFF2-40B4-BE49-F238E27FC236}">
                  <a16:creationId xmlns:a16="http://schemas.microsoft.com/office/drawing/2014/main" id="{00000000-0008-0000-0E00-0000623D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892</xdr:row>
          <xdr:rowOff>0</xdr:rowOff>
        </xdr:from>
        <xdr:to>
          <xdr:col>22</xdr:col>
          <xdr:colOff>177800</xdr:colOff>
          <xdr:row>892</xdr:row>
          <xdr:rowOff>177800</xdr:rowOff>
        </xdr:to>
        <xdr:sp macro="" textlink="">
          <xdr:nvSpPr>
            <xdr:cNvPr id="15805" name="Check Box 445" hidden="1">
              <a:extLst>
                <a:ext uri="{63B3BB69-23CF-44E3-9099-C40C66FF867C}">
                  <a14:compatExt spid="_x0000_s15805"/>
                </a:ext>
                <a:ext uri="{FF2B5EF4-FFF2-40B4-BE49-F238E27FC236}">
                  <a16:creationId xmlns:a16="http://schemas.microsoft.com/office/drawing/2014/main" id="{00000000-0008-0000-0E00-0000BD3D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901</xdr:row>
          <xdr:rowOff>0</xdr:rowOff>
        </xdr:from>
        <xdr:to>
          <xdr:col>22</xdr:col>
          <xdr:colOff>177800</xdr:colOff>
          <xdr:row>901</xdr:row>
          <xdr:rowOff>177800</xdr:rowOff>
        </xdr:to>
        <xdr:sp macro="" textlink="">
          <xdr:nvSpPr>
            <xdr:cNvPr id="15806" name="Check Box 446" hidden="1">
              <a:extLst>
                <a:ext uri="{63B3BB69-23CF-44E3-9099-C40C66FF867C}">
                  <a14:compatExt spid="_x0000_s15806"/>
                </a:ext>
                <a:ext uri="{FF2B5EF4-FFF2-40B4-BE49-F238E27FC236}">
                  <a16:creationId xmlns:a16="http://schemas.microsoft.com/office/drawing/2014/main" id="{00000000-0008-0000-0E00-0000BE3D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904</xdr:row>
          <xdr:rowOff>0</xdr:rowOff>
        </xdr:from>
        <xdr:to>
          <xdr:col>22</xdr:col>
          <xdr:colOff>177800</xdr:colOff>
          <xdr:row>904</xdr:row>
          <xdr:rowOff>177800</xdr:rowOff>
        </xdr:to>
        <xdr:sp macro="" textlink="">
          <xdr:nvSpPr>
            <xdr:cNvPr id="15807" name="Check Box 447" hidden="1">
              <a:extLst>
                <a:ext uri="{63B3BB69-23CF-44E3-9099-C40C66FF867C}">
                  <a14:compatExt spid="_x0000_s15807"/>
                </a:ext>
                <a:ext uri="{FF2B5EF4-FFF2-40B4-BE49-F238E27FC236}">
                  <a16:creationId xmlns:a16="http://schemas.microsoft.com/office/drawing/2014/main" id="{00000000-0008-0000-0E00-0000BF3D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907</xdr:row>
          <xdr:rowOff>0</xdr:rowOff>
        </xdr:from>
        <xdr:to>
          <xdr:col>22</xdr:col>
          <xdr:colOff>177800</xdr:colOff>
          <xdr:row>907</xdr:row>
          <xdr:rowOff>177800</xdr:rowOff>
        </xdr:to>
        <xdr:sp macro="" textlink="">
          <xdr:nvSpPr>
            <xdr:cNvPr id="15808" name="Check Box 448" hidden="1">
              <a:extLst>
                <a:ext uri="{63B3BB69-23CF-44E3-9099-C40C66FF867C}">
                  <a14:compatExt spid="_x0000_s15808"/>
                </a:ext>
                <a:ext uri="{FF2B5EF4-FFF2-40B4-BE49-F238E27FC236}">
                  <a16:creationId xmlns:a16="http://schemas.microsoft.com/office/drawing/2014/main" id="{00000000-0008-0000-0E00-0000C03D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911</xdr:row>
          <xdr:rowOff>0</xdr:rowOff>
        </xdr:from>
        <xdr:to>
          <xdr:col>22</xdr:col>
          <xdr:colOff>177800</xdr:colOff>
          <xdr:row>911</xdr:row>
          <xdr:rowOff>177800</xdr:rowOff>
        </xdr:to>
        <xdr:sp macro="" textlink="">
          <xdr:nvSpPr>
            <xdr:cNvPr id="15809" name="Check Box 449" hidden="1">
              <a:extLst>
                <a:ext uri="{63B3BB69-23CF-44E3-9099-C40C66FF867C}">
                  <a14:compatExt spid="_x0000_s15809"/>
                </a:ext>
                <a:ext uri="{FF2B5EF4-FFF2-40B4-BE49-F238E27FC236}">
                  <a16:creationId xmlns:a16="http://schemas.microsoft.com/office/drawing/2014/main" id="{00000000-0008-0000-0E00-0000C13D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951</xdr:row>
          <xdr:rowOff>0</xdr:rowOff>
        </xdr:from>
        <xdr:to>
          <xdr:col>22</xdr:col>
          <xdr:colOff>177800</xdr:colOff>
          <xdr:row>951</xdr:row>
          <xdr:rowOff>177800</xdr:rowOff>
        </xdr:to>
        <xdr:sp macro="" textlink="">
          <xdr:nvSpPr>
            <xdr:cNvPr id="15811" name="Check Box 451" hidden="1">
              <a:extLst>
                <a:ext uri="{63B3BB69-23CF-44E3-9099-C40C66FF867C}">
                  <a14:compatExt spid="_x0000_s15811"/>
                </a:ext>
                <a:ext uri="{FF2B5EF4-FFF2-40B4-BE49-F238E27FC236}">
                  <a16:creationId xmlns:a16="http://schemas.microsoft.com/office/drawing/2014/main" id="{00000000-0008-0000-0E00-0000C33D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954</xdr:row>
          <xdr:rowOff>0</xdr:rowOff>
        </xdr:from>
        <xdr:to>
          <xdr:col>22</xdr:col>
          <xdr:colOff>177800</xdr:colOff>
          <xdr:row>954</xdr:row>
          <xdr:rowOff>177800</xdr:rowOff>
        </xdr:to>
        <xdr:sp macro="" textlink="">
          <xdr:nvSpPr>
            <xdr:cNvPr id="15812" name="Check Box 452" hidden="1">
              <a:extLst>
                <a:ext uri="{63B3BB69-23CF-44E3-9099-C40C66FF867C}">
                  <a14:compatExt spid="_x0000_s15812"/>
                </a:ext>
                <a:ext uri="{FF2B5EF4-FFF2-40B4-BE49-F238E27FC236}">
                  <a16:creationId xmlns:a16="http://schemas.microsoft.com/office/drawing/2014/main" id="{00000000-0008-0000-0E00-0000C43D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999</xdr:row>
          <xdr:rowOff>0</xdr:rowOff>
        </xdr:from>
        <xdr:to>
          <xdr:col>22</xdr:col>
          <xdr:colOff>177800</xdr:colOff>
          <xdr:row>999</xdr:row>
          <xdr:rowOff>177800</xdr:rowOff>
        </xdr:to>
        <xdr:sp macro="" textlink="">
          <xdr:nvSpPr>
            <xdr:cNvPr id="15816" name="Check Box 456" hidden="1">
              <a:extLst>
                <a:ext uri="{63B3BB69-23CF-44E3-9099-C40C66FF867C}">
                  <a14:compatExt spid="_x0000_s15816"/>
                </a:ext>
                <a:ext uri="{FF2B5EF4-FFF2-40B4-BE49-F238E27FC236}">
                  <a16:creationId xmlns:a16="http://schemas.microsoft.com/office/drawing/2014/main" id="{00000000-0008-0000-0E00-0000C83D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1858</xdr:row>
          <xdr:rowOff>0</xdr:rowOff>
        </xdr:from>
        <xdr:to>
          <xdr:col>22</xdr:col>
          <xdr:colOff>177800</xdr:colOff>
          <xdr:row>1858</xdr:row>
          <xdr:rowOff>177800</xdr:rowOff>
        </xdr:to>
        <xdr:sp macro="" textlink="">
          <xdr:nvSpPr>
            <xdr:cNvPr id="15982" name="Check Box 622" hidden="1">
              <a:extLst>
                <a:ext uri="{63B3BB69-23CF-44E3-9099-C40C66FF867C}">
                  <a14:compatExt spid="_x0000_s15982"/>
                </a:ext>
                <a:ext uri="{FF2B5EF4-FFF2-40B4-BE49-F238E27FC236}">
                  <a16:creationId xmlns:a16="http://schemas.microsoft.com/office/drawing/2014/main" id="{00000000-0008-0000-0E00-00006E3E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1864</xdr:row>
          <xdr:rowOff>0</xdr:rowOff>
        </xdr:from>
        <xdr:to>
          <xdr:col>22</xdr:col>
          <xdr:colOff>177800</xdr:colOff>
          <xdr:row>1864</xdr:row>
          <xdr:rowOff>177800</xdr:rowOff>
        </xdr:to>
        <xdr:sp macro="" textlink="">
          <xdr:nvSpPr>
            <xdr:cNvPr id="15983" name="Check Box 623" hidden="1">
              <a:extLst>
                <a:ext uri="{63B3BB69-23CF-44E3-9099-C40C66FF867C}">
                  <a14:compatExt spid="_x0000_s15983"/>
                </a:ext>
                <a:ext uri="{FF2B5EF4-FFF2-40B4-BE49-F238E27FC236}">
                  <a16:creationId xmlns:a16="http://schemas.microsoft.com/office/drawing/2014/main" id="{00000000-0008-0000-0E00-00006F3E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1880</xdr:row>
          <xdr:rowOff>0</xdr:rowOff>
        </xdr:from>
        <xdr:to>
          <xdr:col>22</xdr:col>
          <xdr:colOff>177800</xdr:colOff>
          <xdr:row>1880</xdr:row>
          <xdr:rowOff>177800</xdr:rowOff>
        </xdr:to>
        <xdr:sp macro="" textlink="">
          <xdr:nvSpPr>
            <xdr:cNvPr id="15984" name="Check Box 624" hidden="1">
              <a:extLst>
                <a:ext uri="{63B3BB69-23CF-44E3-9099-C40C66FF867C}">
                  <a14:compatExt spid="_x0000_s15984"/>
                </a:ext>
                <a:ext uri="{FF2B5EF4-FFF2-40B4-BE49-F238E27FC236}">
                  <a16:creationId xmlns:a16="http://schemas.microsoft.com/office/drawing/2014/main" id="{00000000-0008-0000-0E00-0000703E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1908</xdr:row>
          <xdr:rowOff>0</xdr:rowOff>
        </xdr:from>
        <xdr:to>
          <xdr:col>22</xdr:col>
          <xdr:colOff>177800</xdr:colOff>
          <xdr:row>1908</xdr:row>
          <xdr:rowOff>177800</xdr:rowOff>
        </xdr:to>
        <xdr:sp macro="" textlink="">
          <xdr:nvSpPr>
            <xdr:cNvPr id="15985" name="Check Box 625" hidden="1">
              <a:extLst>
                <a:ext uri="{63B3BB69-23CF-44E3-9099-C40C66FF867C}">
                  <a14:compatExt spid="_x0000_s15985"/>
                </a:ext>
                <a:ext uri="{FF2B5EF4-FFF2-40B4-BE49-F238E27FC236}">
                  <a16:creationId xmlns:a16="http://schemas.microsoft.com/office/drawing/2014/main" id="{00000000-0008-0000-0E00-0000713E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1914</xdr:row>
          <xdr:rowOff>0</xdr:rowOff>
        </xdr:from>
        <xdr:to>
          <xdr:col>22</xdr:col>
          <xdr:colOff>177800</xdr:colOff>
          <xdr:row>1914</xdr:row>
          <xdr:rowOff>177800</xdr:rowOff>
        </xdr:to>
        <xdr:sp macro="" textlink="">
          <xdr:nvSpPr>
            <xdr:cNvPr id="15986" name="Check Box 626" hidden="1">
              <a:extLst>
                <a:ext uri="{63B3BB69-23CF-44E3-9099-C40C66FF867C}">
                  <a14:compatExt spid="_x0000_s15986"/>
                </a:ext>
                <a:ext uri="{FF2B5EF4-FFF2-40B4-BE49-F238E27FC236}">
                  <a16:creationId xmlns:a16="http://schemas.microsoft.com/office/drawing/2014/main" id="{00000000-0008-0000-0E00-0000723E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1938</xdr:row>
          <xdr:rowOff>0</xdr:rowOff>
        </xdr:from>
        <xdr:to>
          <xdr:col>22</xdr:col>
          <xdr:colOff>177800</xdr:colOff>
          <xdr:row>1938</xdr:row>
          <xdr:rowOff>177800</xdr:rowOff>
        </xdr:to>
        <xdr:sp macro="" textlink="">
          <xdr:nvSpPr>
            <xdr:cNvPr id="15987" name="Check Box 627" hidden="1">
              <a:extLst>
                <a:ext uri="{63B3BB69-23CF-44E3-9099-C40C66FF867C}">
                  <a14:compatExt spid="_x0000_s15987"/>
                </a:ext>
                <a:ext uri="{FF2B5EF4-FFF2-40B4-BE49-F238E27FC236}">
                  <a16:creationId xmlns:a16="http://schemas.microsoft.com/office/drawing/2014/main" id="{00000000-0008-0000-0E00-0000733E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1940</xdr:row>
          <xdr:rowOff>0</xdr:rowOff>
        </xdr:from>
        <xdr:to>
          <xdr:col>22</xdr:col>
          <xdr:colOff>177800</xdr:colOff>
          <xdr:row>1940</xdr:row>
          <xdr:rowOff>177800</xdr:rowOff>
        </xdr:to>
        <xdr:sp macro="" textlink="">
          <xdr:nvSpPr>
            <xdr:cNvPr id="15988" name="Check Box 628" hidden="1">
              <a:extLst>
                <a:ext uri="{63B3BB69-23CF-44E3-9099-C40C66FF867C}">
                  <a14:compatExt spid="_x0000_s15988"/>
                </a:ext>
                <a:ext uri="{FF2B5EF4-FFF2-40B4-BE49-F238E27FC236}">
                  <a16:creationId xmlns:a16="http://schemas.microsoft.com/office/drawing/2014/main" id="{00000000-0008-0000-0E00-0000743E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1943</xdr:row>
          <xdr:rowOff>0</xdr:rowOff>
        </xdr:from>
        <xdr:to>
          <xdr:col>22</xdr:col>
          <xdr:colOff>177800</xdr:colOff>
          <xdr:row>1943</xdr:row>
          <xdr:rowOff>177800</xdr:rowOff>
        </xdr:to>
        <xdr:sp macro="" textlink="">
          <xdr:nvSpPr>
            <xdr:cNvPr id="15989" name="Check Box 629" hidden="1">
              <a:extLst>
                <a:ext uri="{63B3BB69-23CF-44E3-9099-C40C66FF867C}">
                  <a14:compatExt spid="_x0000_s15989"/>
                </a:ext>
                <a:ext uri="{FF2B5EF4-FFF2-40B4-BE49-F238E27FC236}">
                  <a16:creationId xmlns:a16="http://schemas.microsoft.com/office/drawing/2014/main" id="{00000000-0008-0000-0E00-0000753E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1967</xdr:row>
          <xdr:rowOff>0</xdr:rowOff>
        </xdr:from>
        <xdr:to>
          <xdr:col>22</xdr:col>
          <xdr:colOff>177800</xdr:colOff>
          <xdr:row>1967</xdr:row>
          <xdr:rowOff>177800</xdr:rowOff>
        </xdr:to>
        <xdr:sp macro="" textlink="">
          <xdr:nvSpPr>
            <xdr:cNvPr id="15990" name="Check Box 630" hidden="1">
              <a:extLst>
                <a:ext uri="{63B3BB69-23CF-44E3-9099-C40C66FF867C}">
                  <a14:compatExt spid="_x0000_s15990"/>
                </a:ext>
                <a:ext uri="{FF2B5EF4-FFF2-40B4-BE49-F238E27FC236}">
                  <a16:creationId xmlns:a16="http://schemas.microsoft.com/office/drawing/2014/main" id="{00000000-0008-0000-0E00-0000763E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1979</xdr:row>
          <xdr:rowOff>0</xdr:rowOff>
        </xdr:from>
        <xdr:to>
          <xdr:col>22</xdr:col>
          <xdr:colOff>177800</xdr:colOff>
          <xdr:row>1979</xdr:row>
          <xdr:rowOff>177800</xdr:rowOff>
        </xdr:to>
        <xdr:sp macro="" textlink="">
          <xdr:nvSpPr>
            <xdr:cNvPr id="15991" name="Check Box 631" hidden="1">
              <a:extLst>
                <a:ext uri="{63B3BB69-23CF-44E3-9099-C40C66FF867C}">
                  <a14:compatExt spid="_x0000_s15991"/>
                </a:ext>
                <a:ext uri="{FF2B5EF4-FFF2-40B4-BE49-F238E27FC236}">
                  <a16:creationId xmlns:a16="http://schemas.microsoft.com/office/drawing/2014/main" id="{00000000-0008-0000-0E00-0000773E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1981</xdr:row>
          <xdr:rowOff>0</xdr:rowOff>
        </xdr:from>
        <xdr:to>
          <xdr:col>22</xdr:col>
          <xdr:colOff>177800</xdr:colOff>
          <xdr:row>1981</xdr:row>
          <xdr:rowOff>177800</xdr:rowOff>
        </xdr:to>
        <xdr:sp macro="" textlink="">
          <xdr:nvSpPr>
            <xdr:cNvPr id="15992" name="Check Box 632" hidden="1">
              <a:extLst>
                <a:ext uri="{63B3BB69-23CF-44E3-9099-C40C66FF867C}">
                  <a14:compatExt spid="_x0000_s15992"/>
                </a:ext>
                <a:ext uri="{FF2B5EF4-FFF2-40B4-BE49-F238E27FC236}">
                  <a16:creationId xmlns:a16="http://schemas.microsoft.com/office/drawing/2014/main" id="{00000000-0008-0000-0E00-0000783E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1982</xdr:row>
          <xdr:rowOff>0</xdr:rowOff>
        </xdr:from>
        <xdr:to>
          <xdr:col>22</xdr:col>
          <xdr:colOff>177800</xdr:colOff>
          <xdr:row>1982</xdr:row>
          <xdr:rowOff>177800</xdr:rowOff>
        </xdr:to>
        <xdr:sp macro="" textlink="">
          <xdr:nvSpPr>
            <xdr:cNvPr id="15993" name="Check Box 633" hidden="1">
              <a:extLst>
                <a:ext uri="{63B3BB69-23CF-44E3-9099-C40C66FF867C}">
                  <a14:compatExt spid="_x0000_s15993"/>
                </a:ext>
                <a:ext uri="{FF2B5EF4-FFF2-40B4-BE49-F238E27FC236}">
                  <a16:creationId xmlns:a16="http://schemas.microsoft.com/office/drawing/2014/main" id="{00000000-0008-0000-0E00-0000793E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1984</xdr:row>
          <xdr:rowOff>0</xdr:rowOff>
        </xdr:from>
        <xdr:to>
          <xdr:col>22</xdr:col>
          <xdr:colOff>177800</xdr:colOff>
          <xdr:row>1984</xdr:row>
          <xdr:rowOff>177800</xdr:rowOff>
        </xdr:to>
        <xdr:sp macro="" textlink="">
          <xdr:nvSpPr>
            <xdr:cNvPr id="15994" name="Check Box 634" hidden="1">
              <a:extLst>
                <a:ext uri="{63B3BB69-23CF-44E3-9099-C40C66FF867C}">
                  <a14:compatExt spid="_x0000_s15994"/>
                </a:ext>
                <a:ext uri="{FF2B5EF4-FFF2-40B4-BE49-F238E27FC236}">
                  <a16:creationId xmlns:a16="http://schemas.microsoft.com/office/drawing/2014/main" id="{00000000-0008-0000-0E00-00007A3E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1989</xdr:row>
          <xdr:rowOff>0</xdr:rowOff>
        </xdr:from>
        <xdr:to>
          <xdr:col>22</xdr:col>
          <xdr:colOff>177800</xdr:colOff>
          <xdr:row>1989</xdr:row>
          <xdr:rowOff>177800</xdr:rowOff>
        </xdr:to>
        <xdr:sp macro="" textlink="">
          <xdr:nvSpPr>
            <xdr:cNvPr id="15995" name="Check Box 635" hidden="1">
              <a:extLst>
                <a:ext uri="{63B3BB69-23CF-44E3-9099-C40C66FF867C}">
                  <a14:compatExt spid="_x0000_s15995"/>
                </a:ext>
                <a:ext uri="{FF2B5EF4-FFF2-40B4-BE49-F238E27FC236}">
                  <a16:creationId xmlns:a16="http://schemas.microsoft.com/office/drawing/2014/main" id="{00000000-0008-0000-0E00-00007B3E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2002</xdr:row>
          <xdr:rowOff>0</xdr:rowOff>
        </xdr:from>
        <xdr:to>
          <xdr:col>22</xdr:col>
          <xdr:colOff>177800</xdr:colOff>
          <xdr:row>2002</xdr:row>
          <xdr:rowOff>177800</xdr:rowOff>
        </xdr:to>
        <xdr:sp macro="" textlink="">
          <xdr:nvSpPr>
            <xdr:cNvPr id="15996" name="Check Box 636" hidden="1">
              <a:extLst>
                <a:ext uri="{63B3BB69-23CF-44E3-9099-C40C66FF867C}">
                  <a14:compatExt spid="_x0000_s15996"/>
                </a:ext>
                <a:ext uri="{FF2B5EF4-FFF2-40B4-BE49-F238E27FC236}">
                  <a16:creationId xmlns:a16="http://schemas.microsoft.com/office/drawing/2014/main" id="{00000000-0008-0000-0E00-00007C3E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2007</xdr:row>
          <xdr:rowOff>0</xdr:rowOff>
        </xdr:from>
        <xdr:to>
          <xdr:col>22</xdr:col>
          <xdr:colOff>177800</xdr:colOff>
          <xdr:row>2007</xdr:row>
          <xdr:rowOff>177800</xdr:rowOff>
        </xdr:to>
        <xdr:sp macro="" textlink="">
          <xdr:nvSpPr>
            <xdr:cNvPr id="15997" name="Check Box 637" hidden="1">
              <a:extLst>
                <a:ext uri="{63B3BB69-23CF-44E3-9099-C40C66FF867C}">
                  <a14:compatExt spid="_x0000_s15997"/>
                </a:ext>
                <a:ext uri="{FF2B5EF4-FFF2-40B4-BE49-F238E27FC236}">
                  <a16:creationId xmlns:a16="http://schemas.microsoft.com/office/drawing/2014/main" id="{00000000-0008-0000-0E00-00007D3E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2008</xdr:row>
          <xdr:rowOff>0</xdr:rowOff>
        </xdr:from>
        <xdr:to>
          <xdr:col>22</xdr:col>
          <xdr:colOff>177800</xdr:colOff>
          <xdr:row>2008</xdr:row>
          <xdr:rowOff>177800</xdr:rowOff>
        </xdr:to>
        <xdr:sp macro="" textlink="">
          <xdr:nvSpPr>
            <xdr:cNvPr id="15998" name="Check Box 638" hidden="1">
              <a:extLst>
                <a:ext uri="{63B3BB69-23CF-44E3-9099-C40C66FF867C}">
                  <a14:compatExt spid="_x0000_s15998"/>
                </a:ext>
                <a:ext uri="{FF2B5EF4-FFF2-40B4-BE49-F238E27FC236}">
                  <a16:creationId xmlns:a16="http://schemas.microsoft.com/office/drawing/2014/main" id="{00000000-0008-0000-0E00-00007E3E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2012</xdr:row>
          <xdr:rowOff>0</xdr:rowOff>
        </xdr:from>
        <xdr:to>
          <xdr:col>22</xdr:col>
          <xdr:colOff>177800</xdr:colOff>
          <xdr:row>2012</xdr:row>
          <xdr:rowOff>177800</xdr:rowOff>
        </xdr:to>
        <xdr:sp macro="" textlink="">
          <xdr:nvSpPr>
            <xdr:cNvPr id="15999" name="Check Box 639" hidden="1">
              <a:extLst>
                <a:ext uri="{63B3BB69-23CF-44E3-9099-C40C66FF867C}">
                  <a14:compatExt spid="_x0000_s15999"/>
                </a:ext>
                <a:ext uri="{FF2B5EF4-FFF2-40B4-BE49-F238E27FC236}">
                  <a16:creationId xmlns:a16="http://schemas.microsoft.com/office/drawing/2014/main" id="{00000000-0008-0000-0E00-00007F3E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2027</xdr:row>
          <xdr:rowOff>0</xdr:rowOff>
        </xdr:from>
        <xdr:to>
          <xdr:col>22</xdr:col>
          <xdr:colOff>177800</xdr:colOff>
          <xdr:row>2027</xdr:row>
          <xdr:rowOff>177800</xdr:rowOff>
        </xdr:to>
        <xdr:sp macro="" textlink="">
          <xdr:nvSpPr>
            <xdr:cNvPr id="16000" name="Check Box 640" hidden="1">
              <a:extLst>
                <a:ext uri="{63B3BB69-23CF-44E3-9099-C40C66FF867C}">
                  <a14:compatExt spid="_x0000_s16000"/>
                </a:ext>
                <a:ext uri="{FF2B5EF4-FFF2-40B4-BE49-F238E27FC236}">
                  <a16:creationId xmlns:a16="http://schemas.microsoft.com/office/drawing/2014/main" id="{00000000-0008-0000-0E00-0000803E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2028</xdr:row>
          <xdr:rowOff>0</xdr:rowOff>
        </xdr:from>
        <xdr:to>
          <xdr:col>22</xdr:col>
          <xdr:colOff>177800</xdr:colOff>
          <xdr:row>2028</xdr:row>
          <xdr:rowOff>177800</xdr:rowOff>
        </xdr:to>
        <xdr:sp macro="" textlink="">
          <xdr:nvSpPr>
            <xdr:cNvPr id="16001" name="Check Box 641" hidden="1">
              <a:extLst>
                <a:ext uri="{63B3BB69-23CF-44E3-9099-C40C66FF867C}">
                  <a14:compatExt spid="_x0000_s16001"/>
                </a:ext>
                <a:ext uri="{FF2B5EF4-FFF2-40B4-BE49-F238E27FC236}">
                  <a16:creationId xmlns:a16="http://schemas.microsoft.com/office/drawing/2014/main" id="{00000000-0008-0000-0E00-0000813E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2031</xdr:row>
          <xdr:rowOff>0</xdr:rowOff>
        </xdr:from>
        <xdr:to>
          <xdr:col>22</xdr:col>
          <xdr:colOff>177800</xdr:colOff>
          <xdr:row>2031</xdr:row>
          <xdr:rowOff>177800</xdr:rowOff>
        </xdr:to>
        <xdr:sp macro="" textlink="">
          <xdr:nvSpPr>
            <xdr:cNvPr id="16002" name="Check Box 642" hidden="1">
              <a:extLst>
                <a:ext uri="{63B3BB69-23CF-44E3-9099-C40C66FF867C}">
                  <a14:compatExt spid="_x0000_s16002"/>
                </a:ext>
                <a:ext uri="{FF2B5EF4-FFF2-40B4-BE49-F238E27FC236}">
                  <a16:creationId xmlns:a16="http://schemas.microsoft.com/office/drawing/2014/main" id="{00000000-0008-0000-0E00-0000823E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2033</xdr:row>
          <xdr:rowOff>0</xdr:rowOff>
        </xdr:from>
        <xdr:to>
          <xdr:col>22</xdr:col>
          <xdr:colOff>177800</xdr:colOff>
          <xdr:row>2033</xdr:row>
          <xdr:rowOff>177800</xdr:rowOff>
        </xdr:to>
        <xdr:sp macro="" textlink="">
          <xdr:nvSpPr>
            <xdr:cNvPr id="16003" name="Check Box 643" hidden="1">
              <a:extLst>
                <a:ext uri="{63B3BB69-23CF-44E3-9099-C40C66FF867C}">
                  <a14:compatExt spid="_x0000_s16003"/>
                </a:ext>
                <a:ext uri="{FF2B5EF4-FFF2-40B4-BE49-F238E27FC236}">
                  <a16:creationId xmlns:a16="http://schemas.microsoft.com/office/drawing/2014/main" id="{00000000-0008-0000-0E00-0000833E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2041</xdr:row>
          <xdr:rowOff>0</xdr:rowOff>
        </xdr:from>
        <xdr:to>
          <xdr:col>22</xdr:col>
          <xdr:colOff>177800</xdr:colOff>
          <xdr:row>2041</xdr:row>
          <xdr:rowOff>177800</xdr:rowOff>
        </xdr:to>
        <xdr:sp macro="" textlink="">
          <xdr:nvSpPr>
            <xdr:cNvPr id="16004" name="Check Box 644" hidden="1">
              <a:extLst>
                <a:ext uri="{63B3BB69-23CF-44E3-9099-C40C66FF867C}">
                  <a14:compatExt spid="_x0000_s16004"/>
                </a:ext>
                <a:ext uri="{FF2B5EF4-FFF2-40B4-BE49-F238E27FC236}">
                  <a16:creationId xmlns:a16="http://schemas.microsoft.com/office/drawing/2014/main" id="{00000000-0008-0000-0E00-0000843E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2043</xdr:row>
          <xdr:rowOff>0</xdr:rowOff>
        </xdr:from>
        <xdr:to>
          <xdr:col>22</xdr:col>
          <xdr:colOff>177800</xdr:colOff>
          <xdr:row>2043</xdr:row>
          <xdr:rowOff>177800</xdr:rowOff>
        </xdr:to>
        <xdr:sp macro="" textlink="">
          <xdr:nvSpPr>
            <xdr:cNvPr id="16005" name="Check Box 645" hidden="1">
              <a:extLst>
                <a:ext uri="{63B3BB69-23CF-44E3-9099-C40C66FF867C}">
                  <a14:compatExt spid="_x0000_s16005"/>
                </a:ext>
                <a:ext uri="{FF2B5EF4-FFF2-40B4-BE49-F238E27FC236}">
                  <a16:creationId xmlns:a16="http://schemas.microsoft.com/office/drawing/2014/main" id="{00000000-0008-0000-0E00-0000853E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2047</xdr:row>
          <xdr:rowOff>0</xdr:rowOff>
        </xdr:from>
        <xdr:to>
          <xdr:col>22</xdr:col>
          <xdr:colOff>177800</xdr:colOff>
          <xdr:row>2047</xdr:row>
          <xdr:rowOff>177800</xdr:rowOff>
        </xdr:to>
        <xdr:sp macro="" textlink="">
          <xdr:nvSpPr>
            <xdr:cNvPr id="16006" name="Check Box 646" hidden="1">
              <a:extLst>
                <a:ext uri="{63B3BB69-23CF-44E3-9099-C40C66FF867C}">
                  <a14:compatExt spid="_x0000_s16006"/>
                </a:ext>
                <a:ext uri="{FF2B5EF4-FFF2-40B4-BE49-F238E27FC236}">
                  <a16:creationId xmlns:a16="http://schemas.microsoft.com/office/drawing/2014/main" id="{00000000-0008-0000-0E00-0000863E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2054</xdr:row>
          <xdr:rowOff>0</xdr:rowOff>
        </xdr:from>
        <xdr:to>
          <xdr:col>22</xdr:col>
          <xdr:colOff>177800</xdr:colOff>
          <xdr:row>2054</xdr:row>
          <xdr:rowOff>177800</xdr:rowOff>
        </xdr:to>
        <xdr:sp macro="" textlink="">
          <xdr:nvSpPr>
            <xdr:cNvPr id="16007" name="Check Box 647" hidden="1">
              <a:extLst>
                <a:ext uri="{63B3BB69-23CF-44E3-9099-C40C66FF867C}">
                  <a14:compatExt spid="_x0000_s16007"/>
                </a:ext>
                <a:ext uri="{FF2B5EF4-FFF2-40B4-BE49-F238E27FC236}">
                  <a16:creationId xmlns:a16="http://schemas.microsoft.com/office/drawing/2014/main" id="{00000000-0008-0000-0E00-0000873E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2065</xdr:row>
          <xdr:rowOff>0</xdr:rowOff>
        </xdr:from>
        <xdr:to>
          <xdr:col>22</xdr:col>
          <xdr:colOff>177800</xdr:colOff>
          <xdr:row>2065</xdr:row>
          <xdr:rowOff>177800</xdr:rowOff>
        </xdr:to>
        <xdr:sp macro="" textlink="">
          <xdr:nvSpPr>
            <xdr:cNvPr id="16008" name="Check Box 648" hidden="1">
              <a:extLst>
                <a:ext uri="{63B3BB69-23CF-44E3-9099-C40C66FF867C}">
                  <a14:compatExt spid="_x0000_s16008"/>
                </a:ext>
                <a:ext uri="{FF2B5EF4-FFF2-40B4-BE49-F238E27FC236}">
                  <a16:creationId xmlns:a16="http://schemas.microsoft.com/office/drawing/2014/main" id="{00000000-0008-0000-0E00-0000883E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2067</xdr:row>
          <xdr:rowOff>0</xdr:rowOff>
        </xdr:from>
        <xdr:to>
          <xdr:col>22</xdr:col>
          <xdr:colOff>177800</xdr:colOff>
          <xdr:row>2067</xdr:row>
          <xdr:rowOff>177800</xdr:rowOff>
        </xdr:to>
        <xdr:sp macro="" textlink="">
          <xdr:nvSpPr>
            <xdr:cNvPr id="16009" name="Check Box 649" hidden="1">
              <a:extLst>
                <a:ext uri="{63B3BB69-23CF-44E3-9099-C40C66FF867C}">
                  <a14:compatExt spid="_x0000_s16009"/>
                </a:ext>
                <a:ext uri="{FF2B5EF4-FFF2-40B4-BE49-F238E27FC236}">
                  <a16:creationId xmlns:a16="http://schemas.microsoft.com/office/drawing/2014/main" id="{00000000-0008-0000-0E00-0000893E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2069</xdr:row>
          <xdr:rowOff>0</xdr:rowOff>
        </xdr:from>
        <xdr:to>
          <xdr:col>22</xdr:col>
          <xdr:colOff>177800</xdr:colOff>
          <xdr:row>2069</xdr:row>
          <xdr:rowOff>177800</xdr:rowOff>
        </xdr:to>
        <xdr:sp macro="" textlink="">
          <xdr:nvSpPr>
            <xdr:cNvPr id="16010" name="Check Box 650" hidden="1">
              <a:extLst>
                <a:ext uri="{63B3BB69-23CF-44E3-9099-C40C66FF867C}">
                  <a14:compatExt spid="_x0000_s16010"/>
                </a:ext>
                <a:ext uri="{FF2B5EF4-FFF2-40B4-BE49-F238E27FC236}">
                  <a16:creationId xmlns:a16="http://schemas.microsoft.com/office/drawing/2014/main" id="{00000000-0008-0000-0E00-00008A3E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2087</xdr:row>
          <xdr:rowOff>0</xdr:rowOff>
        </xdr:from>
        <xdr:to>
          <xdr:col>22</xdr:col>
          <xdr:colOff>177800</xdr:colOff>
          <xdr:row>2087</xdr:row>
          <xdr:rowOff>177800</xdr:rowOff>
        </xdr:to>
        <xdr:sp macro="" textlink="">
          <xdr:nvSpPr>
            <xdr:cNvPr id="16011" name="Check Box 651" hidden="1">
              <a:extLst>
                <a:ext uri="{63B3BB69-23CF-44E3-9099-C40C66FF867C}">
                  <a14:compatExt spid="_x0000_s16011"/>
                </a:ext>
                <a:ext uri="{FF2B5EF4-FFF2-40B4-BE49-F238E27FC236}">
                  <a16:creationId xmlns:a16="http://schemas.microsoft.com/office/drawing/2014/main" id="{00000000-0008-0000-0E00-00008B3E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2089</xdr:row>
          <xdr:rowOff>0</xdr:rowOff>
        </xdr:from>
        <xdr:to>
          <xdr:col>22</xdr:col>
          <xdr:colOff>177800</xdr:colOff>
          <xdr:row>2089</xdr:row>
          <xdr:rowOff>177800</xdr:rowOff>
        </xdr:to>
        <xdr:sp macro="" textlink="">
          <xdr:nvSpPr>
            <xdr:cNvPr id="16012" name="Check Box 652" hidden="1">
              <a:extLst>
                <a:ext uri="{63B3BB69-23CF-44E3-9099-C40C66FF867C}">
                  <a14:compatExt spid="_x0000_s16012"/>
                </a:ext>
                <a:ext uri="{FF2B5EF4-FFF2-40B4-BE49-F238E27FC236}">
                  <a16:creationId xmlns:a16="http://schemas.microsoft.com/office/drawing/2014/main" id="{00000000-0008-0000-0E00-00008C3E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2092</xdr:row>
          <xdr:rowOff>0</xdr:rowOff>
        </xdr:from>
        <xdr:to>
          <xdr:col>22</xdr:col>
          <xdr:colOff>177800</xdr:colOff>
          <xdr:row>2092</xdr:row>
          <xdr:rowOff>177800</xdr:rowOff>
        </xdr:to>
        <xdr:sp macro="" textlink="">
          <xdr:nvSpPr>
            <xdr:cNvPr id="16013" name="Check Box 653" hidden="1">
              <a:extLst>
                <a:ext uri="{63B3BB69-23CF-44E3-9099-C40C66FF867C}">
                  <a14:compatExt spid="_x0000_s16013"/>
                </a:ext>
                <a:ext uri="{FF2B5EF4-FFF2-40B4-BE49-F238E27FC236}">
                  <a16:creationId xmlns:a16="http://schemas.microsoft.com/office/drawing/2014/main" id="{00000000-0008-0000-0E00-00008D3E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2175</xdr:row>
          <xdr:rowOff>0</xdr:rowOff>
        </xdr:from>
        <xdr:to>
          <xdr:col>22</xdr:col>
          <xdr:colOff>177800</xdr:colOff>
          <xdr:row>2175</xdr:row>
          <xdr:rowOff>177800</xdr:rowOff>
        </xdr:to>
        <xdr:sp macro="" textlink="">
          <xdr:nvSpPr>
            <xdr:cNvPr id="16015" name="Check Box 655" hidden="1">
              <a:extLst>
                <a:ext uri="{63B3BB69-23CF-44E3-9099-C40C66FF867C}">
                  <a14:compatExt spid="_x0000_s16015"/>
                </a:ext>
                <a:ext uri="{FF2B5EF4-FFF2-40B4-BE49-F238E27FC236}">
                  <a16:creationId xmlns:a16="http://schemas.microsoft.com/office/drawing/2014/main" id="{00000000-0008-0000-0E00-00008F3E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2177</xdr:row>
          <xdr:rowOff>0</xdr:rowOff>
        </xdr:from>
        <xdr:to>
          <xdr:col>22</xdr:col>
          <xdr:colOff>177800</xdr:colOff>
          <xdr:row>2177</xdr:row>
          <xdr:rowOff>177800</xdr:rowOff>
        </xdr:to>
        <xdr:sp macro="" textlink="">
          <xdr:nvSpPr>
            <xdr:cNvPr id="16016" name="Check Box 656" hidden="1">
              <a:extLst>
                <a:ext uri="{63B3BB69-23CF-44E3-9099-C40C66FF867C}">
                  <a14:compatExt spid="_x0000_s16016"/>
                </a:ext>
                <a:ext uri="{FF2B5EF4-FFF2-40B4-BE49-F238E27FC236}">
                  <a16:creationId xmlns:a16="http://schemas.microsoft.com/office/drawing/2014/main" id="{00000000-0008-0000-0E00-0000903E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2183</xdr:row>
          <xdr:rowOff>0</xdr:rowOff>
        </xdr:from>
        <xdr:to>
          <xdr:col>22</xdr:col>
          <xdr:colOff>177800</xdr:colOff>
          <xdr:row>2183</xdr:row>
          <xdr:rowOff>177800</xdr:rowOff>
        </xdr:to>
        <xdr:sp macro="" textlink="">
          <xdr:nvSpPr>
            <xdr:cNvPr id="16017" name="Check Box 657" hidden="1">
              <a:extLst>
                <a:ext uri="{63B3BB69-23CF-44E3-9099-C40C66FF867C}">
                  <a14:compatExt spid="_x0000_s16017"/>
                </a:ext>
                <a:ext uri="{FF2B5EF4-FFF2-40B4-BE49-F238E27FC236}">
                  <a16:creationId xmlns:a16="http://schemas.microsoft.com/office/drawing/2014/main" id="{00000000-0008-0000-0E00-0000913E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2185</xdr:row>
          <xdr:rowOff>0</xdr:rowOff>
        </xdr:from>
        <xdr:to>
          <xdr:col>22</xdr:col>
          <xdr:colOff>177800</xdr:colOff>
          <xdr:row>2185</xdr:row>
          <xdr:rowOff>177800</xdr:rowOff>
        </xdr:to>
        <xdr:sp macro="" textlink="">
          <xdr:nvSpPr>
            <xdr:cNvPr id="16018" name="Check Box 658" hidden="1">
              <a:extLst>
                <a:ext uri="{63B3BB69-23CF-44E3-9099-C40C66FF867C}">
                  <a14:compatExt spid="_x0000_s16018"/>
                </a:ext>
                <a:ext uri="{FF2B5EF4-FFF2-40B4-BE49-F238E27FC236}">
                  <a16:creationId xmlns:a16="http://schemas.microsoft.com/office/drawing/2014/main" id="{00000000-0008-0000-0E00-0000923E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2199</xdr:row>
          <xdr:rowOff>0</xdr:rowOff>
        </xdr:from>
        <xdr:to>
          <xdr:col>22</xdr:col>
          <xdr:colOff>177800</xdr:colOff>
          <xdr:row>2199</xdr:row>
          <xdr:rowOff>177800</xdr:rowOff>
        </xdr:to>
        <xdr:sp macro="" textlink="">
          <xdr:nvSpPr>
            <xdr:cNvPr id="16019" name="Check Box 659" hidden="1">
              <a:extLst>
                <a:ext uri="{63B3BB69-23CF-44E3-9099-C40C66FF867C}">
                  <a14:compatExt spid="_x0000_s16019"/>
                </a:ext>
                <a:ext uri="{FF2B5EF4-FFF2-40B4-BE49-F238E27FC236}">
                  <a16:creationId xmlns:a16="http://schemas.microsoft.com/office/drawing/2014/main" id="{00000000-0008-0000-0E00-0000933E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2200</xdr:row>
          <xdr:rowOff>0</xdr:rowOff>
        </xdr:from>
        <xdr:to>
          <xdr:col>22</xdr:col>
          <xdr:colOff>177800</xdr:colOff>
          <xdr:row>2200</xdr:row>
          <xdr:rowOff>177800</xdr:rowOff>
        </xdr:to>
        <xdr:sp macro="" textlink="">
          <xdr:nvSpPr>
            <xdr:cNvPr id="16020" name="Check Box 660" hidden="1">
              <a:extLst>
                <a:ext uri="{63B3BB69-23CF-44E3-9099-C40C66FF867C}">
                  <a14:compatExt spid="_x0000_s16020"/>
                </a:ext>
                <a:ext uri="{FF2B5EF4-FFF2-40B4-BE49-F238E27FC236}">
                  <a16:creationId xmlns:a16="http://schemas.microsoft.com/office/drawing/2014/main" id="{00000000-0008-0000-0E00-0000943E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2205</xdr:row>
          <xdr:rowOff>0</xdr:rowOff>
        </xdr:from>
        <xdr:to>
          <xdr:col>22</xdr:col>
          <xdr:colOff>177800</xdr:colOff>
          <xdr:row>2205</xdr:row>
          <xdr:rowOff>177800</xdr:rowOff>
        </xdr:to>
        <xdr:sp macro="" textlink="">
          <xdr:nvSpPr>
            <xdr:cNvPr id="16021" name="Check Box 661" hidden="1">
              <a:extLst>
                <a:ext uri="{63B3BB69-23CF-44E3-9099-C40C66FF867C}">
                  <a14:compatExt spid="_x0000_s16021"/>
                </a:ext>
                <a:ext uri="{FF2B5EF4-FFF2-40B4-BE49-F238E27FC236}">
                  <a16:creationId xmlns:a16="http://schemas.microsoft.com/office/drawing/2014/main" id="{00000000-0008-0000-0E00-0000953E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2210</xdr:row>
          <xdr:rowOff>0</xdr:rowOff>
        </xdr:from>
        <xdr:to>
          <xdr:col>22</xdr:col>
          <xdr:colOff>177800</xdr:colOff>
          <xdr:row>2210</xdr:row>
          <xdr:rowOff>177800</xdr:rowOff>
        </xdr:to>
        <xdr:sp macro="" textlink="">
          <xdr:nvSpPr>
            <xdr:cNvPr id="16022" name="Check Box 662" hidden="1">
              <a:extLst>
                <a:ext uri="{63B3BB69-23CF-44E3-9099-C40C66FF867C}">
                  <a14:compatExt spid="_x0000_s16022"/>
                </a:ext>
                <a:ext uri="{FF2B5EF4-FFF2-40B4-BE49-F238E27FC236}">
                  <a16:creationId xmlns:a16="http://schemas.microsoft.com/office/drawing/2014/main" id="{00000000-0008-0000-0E00-0000963E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2226</xdr:row>
          <xdr:rowOff>0</xdr:rowOff>
        </xdr:from>
        <xdr:to>
          <xdr:col>22</xdr:col>
          <xdr:colOff>177800</xdr:colOff>
          <xdr:row>2226</xdr:row>
          <xdr:rowOff>177800</xdr:rowOff>
        </xdr:to>
        <xdr:sp macro="" textlink="">
          <xdr:nvSpPr>
            <xdr:cNvPr id="16023" name="Check Box 663" hidden="1">
              <a:extLst>
                <a:ext uri="{63B3BB69-23CF-44E3-9099-C40C66FF867C}">
                  <a14:compatExt spid="_x0000_s16023"/>
                </a:ext>
                <a:ext uri="{FF2B5EF4-FFF2-40B4-BE49-F238E27FC236}">
                  <a16:creationId xmlns:a16="http://schemas.microsoft.com/office/drawing/2014/main" id="{00000000-0008-0000-0E00-0000973E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2231</xdr:row>
          <xdr:rowOff>0</xdr:rowOff>
        </xdr:from>
        <xdr:to>
          <xdr:col>22</xdr:col>
          <xdr:colOff>177800</xdr:colOff>
          <xdr:row>2231</xdr:row>
          <xdr:rowOff>177800</xdr:rowOff>
        </xdr:to>
        <xdr:sp macro="" textlink="">
          <xdr:nvSpPr>
            <xdr:cNvPr id="16024" name="Check Box 664" hidden="1">
              <a:extLst>
                <a:ext uri="{63B3BB69-23CF-44E3-9099-C40C66FF867C}">
                  <a14:compatExt spid="_x0000_s16024"/>
                </a:ext>
                <a:ext uri="{FF2B5EF4-FFF2-40B4-BE49-F238E27FC236}">
                  <a16:creationId xmlns:a16="http://schemas.microsoft.com/office/drawing/2014/main" id="{00000000-0008-0000-0E00-0000983E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2261</xdr:row>
          <xdr:rowOff>0</xdr:rowOff>
        </xdr:from>
        <xdr:to>
          <xdr:col>22</xdr:col>
          <xdr:colOff>177800</xdr:colOff>
          <xdr:row>2261</xdr:row>
          <xdr:rowOff>177800</xdr:rowOff>
        </xdr:to>
        <xdr:sp macro="" textlink="">
          <xdr:nvSpPr>
            <xdr:cNvPr id="16086" name="Check Box 726" hidden="1">
              <a:extLst>
                <a:ext uri="{63B3BB69-23CF-44E3-9099-C40C66FF867C}">
                  <a14:compatExt spid="_x0000_s16086"/>
                </a:ext>
                <a:ext uri="{FF2B5EF4-FFF2-40B4-BE49-F238E27FC236}">
                  <a16:creationId xmlns:a16="http://schemas.microsoft.com/office/drawing/2014/main" id="{00000000-0008-0000-0E00-0000D63E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2262</xdr:row>
          <xdr:rowOff>0</xdr:rowOff>
        </xdr:from>
        <xdr:to>
          <xdr:col>22</xdr:col>
          <xdr:colOff>177800</xdr:colOff>
          <xdr:row>2262</xdr:row>
          <xdr:rowOff>177800</xdr:rowOff>
        </xdr:to>
        <xdr:sp macro="" textlink="">
          <xdr:nvSpPr>
            <xdr:cNvPr id="16087" name="Check Box 727" hidden="1">
              <a:extLst>
                <a:ext uri="{63B3BB69-23CF-44E3-9099-C40C66FF867C}">
                  <a14:compatExt spid="_x0000_s16087"/>
                </a:ext>
                <a:ext uri="{FF2B5EF4-FFF2-40B4-BE49-F238E27FC236}">
                  <a16:creationId xmlns:a16="http://schemas.microsoft.com/office/drawing/2014/main" id="{00000000-0008-0000-0E00-0000D73E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2263</xdr:row>
          <xdr:rowOff>0</xdr:rowOff>
        </xdr:from>
        <xdr:to>
          <xdr:col>22</xdr:col>
          <xdr:colOff>177800</xdr:colOff>
          <xdr:row>2263</xdr:row>
          <xdr:rowOff>177800</xdr:rowOff>
        </xdr:to>
        <xdr:sp macro="" textlink="">
          <xdr:nvSpPr>
            <xdr:cNvPr id="16088" name="Check Box 728" hidden="1">
              <a:extLst>
                <a:ext uri="{63B3BB69-23CF-44E3-9099-C40C66FF867C}">
                  <a14:compatExt spid="_x0000_s16088"/>
                </a:ext>
                <a:ext uri="{FF2B5EF4-FFF2-40B4-BE49-F238E27FC236}">
                  <a16:creationId xmlns:a16="http://schemas.microsoft.com/office/drawing/2014/main" id="{00000000-0008-0000-0E00-0000D83E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2267</xdr:row>
          <xdr:rowOff>0</xdr:rowOff>
        </xdr:from>
        <xdr:to>
          <xdr:col>22</xdr:col>
          <xdr:colOff>177800</xdr:colOff>
          <xdr:row>2267</xdr:row>
          <xdr:rowOff>177800</xdr:rowOff>
        </xdr:to>
        <xdr:sp macro="" textlink="">
          <xdr:nvSpPr>
            <xdr:cNvPr id="16089" name="Check Box 729" hidden="1">
              <a:extLst>
                <a:ext uri="{63B3BB69-23CF-44E3-9099-C40C66FF867C}">
                  <a14:compatExt spid="_x0000_s16089"/>
                </a:ext>
                <a:ext uri="{FF2B5EF4-FFF2-40B4-BE49-F238E27FC236}">
                  <a16:creationId xmlns:a16="http://schemas.microsoft.com/office/drawing/2014/main" id="{00000000-0008-0000-0E00-0000D93E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2268</xdr:row>
          <xdr:rowOff>0</xdr:rowOff>
        </xdr:from>
        <xdr:to>
          <xdr:col>22</xdr:col>
          <xdr:colOff>177800</xdr:colOff>
          <xdr:row>2268</xdr:row>
          <xdr:rowOff>177800</xdr:rowOff>
        </xdr:to>
        <xdr:sp macro="" textlink="">
          <xdr:nvSpPr>
            <xdr:cNvPr id="16090" name="Check Box 730" hidden="1">
              <a:extLst>
                <a:ext uri="{63B3BB69-23CF-44E3-9099-C40C66FF867C}">
                  <a14:compatExt spid="_x0000_s16090"/>
                </a:ext>
                <a:ext uri="{FF2B5EF4-FFF2-40B4-BE49-F238E27FC236}">
                  <a16:creationId xmlns:a16="http://schemas.microsoft.com/office/drawing/2014/main" id="{00000000-0008-0000-0E00-0000DA3E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2269</xdr:row>
          <xdr:rowOff>0</xdr:rowOff>
        </xdr:from>
        <xdr:to>
          <xdr:col>22</xdr:col>
          <xdr:colOff>177800</xdr:colOff>
          <xdr:row>2269</xdr:row>
          <xdr:rowOff>177800</xdr:rowOff>
        </xdr:to>
        <xdr:sp macro="" textlink="">
          <xdr:nvSpPr>
            <xdr:cNvPr id="16091" name="Check Box 731" hidden="1">
              <a:extLst>
                <a:ext uri="{63B3BB69-23CF-44E3-9099-C40C66FF867C}">
                  <a14:compatExt spid="_x0000_s16091"/>
                </a:ext>
                <a:ext uri="{FF2B5EF4-FFF2-40B4-BE49-F238E27FC236}">
                  <a16:creationId xmlns:a16="http://schemas.microsoft.com/office/drawing/2014/main" id="{00000000-0008-0000-0E00-0000DB3E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2271</xdr:row>
          <xdr:rowOff>0</xdr:rowOff>
        </xdr:from>
        <xdr:to>
          <xdr:col>22</xdr:col>
          <xdr:colOff>177800</xdr:colOff>
          <xdr:row>2271</xdr:row>
          <xdr:rowOff>177800</xdr:rowOff>
        </xdr:to>
        <xdr:sp macro="" textlink="">
          <xdr:nvSpPr>
            <xdr:cNvPr id="16092" name="Check Box 732" hidden="1">
              <a:extLst>
                <a:ext uri="{63B3BB69-23CF-44E3-9099-C40C66FF867C}">
                  <a14:compatExt spid="_x0000_s16092"/>
                </a:ext>
                <a:ext uri="{FF2B5EF4-FFF2-40B4-BE49-F238E27FC236}">
                  <a16:creationId xmlns:a16="http://schemas.microsoft.com/office/drawing/2014/main" id="{00000000-0008-0000-0E00-0000DC3E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2273</xdr:row>
          <xdr:rowOff>0</xdr:rowOff>
        </xdr:from>
        <xdr:to>
          <xdr:col>22</xdr:col>
          <xdr:colOff>177800</xdr:colOff>
          <xdr:row>2273</xdr:row>
          <xdr:rowOff>177800</xdr:rowOff>
        </xdr:to>
        <xdr:sp macro="" textlink="">
          <xdr:nvSpPr>
            <xdr:cNvPr id="16093" name="Check Box 733" hidden="1">
              <a:extLst>
                <a:ext uri="{63B3BB69-23CF-44E3-9099-C40C66FF867C}">
                  <a14:compatExt spid="_x0000_s16093"/>
                </a:ext>
                <a:ext uri="{FF2B5EF4-FFF2-40B4-BE49-F238E27FC236}">
                  <a16:creationId xmlns:a16="http://schemas.microsoft.com/office/drawing/2014/main" id="{00000000-0008-0000-0E00-0000DD3E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2274</xdr:row>
          <xdr:rowOff>0</xdr:rowOff>
        </xdr:from>
        <xdr:to>
          <xdr:col>22</xdr:col>
          <xdr:colOff>177800</xdr:colOff>
          <xdr:row>2274</xdr:row>
          <xdr:rowOff>177800</xdr:rowOff>
        </xdr:to>
        <xdr:sp macro="" textlink="">
          <xdr:nvSpPr>
            <xdr:cNvPr id="16094" name="Check Box 734" hidden="1">
              <a:extLst>
                <a:ext uri="{63B3BB69-23CF-44E3-9099-C40C66FF867C}">
                  <a14:compatExt spid="_x0000_s16094"/>
                </a:ext>
                <a:ext uri="{FF2B5EF4-FFF2-40B4-BE49-F238E27FC236}">
                  <a16:creationId xmlns:a16="http://schemas.microsoft.com/office/drawing/2014/main" id="{00000000-0008-0000-0E00-0000DE3E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2276</xdr:row>
          <xdr:rowOff>0</xdr:rowOff>
        </xdr:from>
        <xdr:to>
          <xdr:col>22</xdr:col>
          <xdr:colOff>177800</xdr:colOff>
          <xdr:row>2276</xdr:row>
          <xdr:rowOff>177800</xdr:rowOff>
        </xdr:to>
        <xdr:sp macro="" textlink="">
          <xdr:nvSpPr>
            <xdr:cNvPr id="16095" name="Check Box 735" hidden="1">
              <a:extLst>
                <a:ext uri="{63B3BB69-23CF-44E3-9099-C40C66FF867C}">
                  <a14:compatExt spid="_x0000_s16095"/>
                </a:ext>
                <a:ext uri="{FF2B5EF4-FFF2-40B4-BE49-F238E27FC236}">
                  <a16:creationId xmlns:a16="http://schemas.microsoft.com/office/drawing/2014/main" id="{00000000-0008-0000-0E00-0000DF3E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2277</xdr:row>
          <xdr:rowOff>0</xdr:rowOff>
        </xdr:from>
        <xdr:to>
          <xdr:col>22</xdr:col>
          <xdr:colOff>177800</xdr:colOff>
          <xdr:row>2277</xdr:row>
          <xdr:rowOff>177800</xdr:rowOff>
        </xdr:to>
        <xdr:sp macro="" textlink="">
          <xdr:nvSpPr>
            <xdr:cNvPr id="16096" name="Check Box 736" hidden="1">
              <a:extLst>
                <a:ext uri="{63B3BB69-23CF-44E3-9099-C40C66FF867C}">
                  <a14:compatExt spid="_x0000_s16096"/>
                </a:ext>
                <a:ext uri="{FF2B5EF4-FFF2-40B4-BE49-F238E27FC236}">
                  <a16:creationId xmlns:a16="http://schemas.microsoft.com/office/drawing/2014/main" id="{00000000-0008-0000-0E00-0000E03E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2278</xdr:row>
          <xdr:rowOff>0</xdr:rowOff>
        </xdr:from>
        <xdr:to>
          <xdr:col>22</xdr:col>
          <xdr:colOff>177800</xdr:colOff>
          <xdr:row>2278</xdr:row>
          <xdr:rowOff>177800</xdr:rowOff>
        </xdr:to>
        <xdr:sp macro="" textlink="">
          <xdr:nvSpPr>
            <xdr:cNvPr id="16097" name="Check Box 737" hidden="1">
              <a:extLst>
                <a:ext uri="{63B3BB69-23CF-44E3-9099-C40C66FF867C}">
                  <a14:compatExt spid="_x0000_s16097"/>
                </a:ext>
                <a:ext uri="{FF2B5EF4-FFF2-40B4-BE49-F238E27FC236}">
                  <a16:creationId xmlns:a16="http://schemas.microsoft.com/office/drawing/2014/main" id="{00000000-0008-0000-0E00-0000E13E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2284</xdr:row>
          <xdr:rowOff>0</xdr:rowOff>
        </xdr:from>
        <xdr:to>
          <xdr:col>22</xdr:col>
          <xdr:colOff>177800</xdr:colOff>
          <xdr:row>2284</xdr:row>
          <xdr:rowOff>177800</xdr:rowOff>
        </xdr:to>
        <xdr:sp macro="" textlink="">
          <xdr:nvSpPr>
            <xdr:cNvPr id="16098" name="Check Box 738" hidden="1">
              <a:extLst>
                <a:ext uri="{63B3BB69-23CF-44E3-9099-C40C66FF867C}">
                  <a14:compatExt spid="_x0000_s16098"/>
                </a:ext>
                <a:ext uri="{FF2B5EF4-FFF2-40B4-BE49-F238E27FC236}">
                  <a16:creationId xmlns:a16="http://schemas.microsoft.com/office/drawing/2014/main" id="{00000000-0008-0000-0E00-0000E23E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2288</xdr:row>
          <xdr:rowOff>0</xdr:rowOff>
        </xdr:from>
        <xdr:to>
          <xdr:col>22</xdr:col>
          <xdr:colOff>177800</xdr:colOff>
          <xdr:row>2288</xdr:row>
          <xdr:rowOff>177800</xdr:rowOff>
        </xdr:to>
        <xdr:sp macro="" textlink="">
          <xdr:nvSpPr>
            <xdr:cNvPr id="16099" name="Check Box 739" hidden="1">
              <a:extLst>
                <a:ext uri="{63B3BB69-23CF-44E3-9099-C40C66FF867C}">
                  <a14:compatExt spid="_x0000_s16099"/>
                </a:ext>
                <a:ext uri="{FF2B5EF4-FFF2-40B4-BE49-F238E27FC236}">
                  <a16:creationId xmlns:a16="http://schemas.microsoft.com/office/drawing/2014/main" id="{00000000-0008-0000-0E00-0000E33E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2290</xdr:row>
          <xdr:rowOff>0</xdr:rowOff>
        </xdr:from>
        <xdr:to>
          <xdr:col>22</xdr:col>
          <xdr:colOff>177800</xdr:colOff>
          <xdr:row>2290</xdr:row>
          <xdr:rowOff>177800</xdr:rowOff>
        </xdr:to>
        <xdr:sp macro="" textlink="">
          <xdr:nvSpPr>
            <xdr:cNvPr id="16100" name="Check Box 740" hidden="1">
              <a:extLst>
                <a:ext uri="{63B3BB69-23CF-44E3-9099-C40C66FF867C}">
                  <a14:compatExt spid="_x0000_s16100"/>
                </a:ext>
                <a:ext uri="{FF2B5EF4-FFF2-40B4-BE49-F238E27FC236}">
                  <a16:creationId xmlns:a16="http://schemas.microsoft.com/office/drawing/2014/main" id="{00000000-0008-0000-0E00-0000E43E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2292</xdr:row>
          <xdr:rowOff>0</xdr:rowOff>
        </xdr:from>
        <xdr:to>
          <xdr:col>22</xdr:col>
          <xdr:colOff>177800</xdr:colOff>
          <xdr:row>2292</xdr:row>
          <xdr:rowOff>177800</xdr:rowOff>
        </xdr:to>
        <xdr:sp macro="" textlink="">
          <xdr:nvSpPr>
            <xdr:cNvPr id="16101" name="Check Box 741" hidden="1">
              <a:extLst>
                <a:ext uri="{63B3BB69-23CF-44E3-9099-C40C66FF867C}">
                  <a14:compatExt spid="_x0000_s16101"/>
                </a:ext>
                <a:ext uri="{FF2B5EF4-FFF2-40B4-BE49-F238E27FC236}">
                  <a16:creationId xmlns:a16="http://schemas.microsoft.com/office/drawing/2014/main" id="{00000000-0008-0000-0E00-0000E53E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2293</xdr:row>
          <xdr:rowOff>0</xdr:rowOff>
        </xdr:from>
        <xdr:to>
          <xdr:col>22</xdr:col>
          <xdr:colOff>177800</xdr:colOff>
          <xdr:row>2293</xdr:row>
          <xdr:rowOff>177800</xdr:rowOff>
        </xdr:to>
        <xdr:sp macro="" textlink="">
          <xdr:nvSpPr>
            <xdr:cNvPr id="16102" name="Check Box 742" hidden="1">
              <a:extLst>
                <a:ext uri="{63B3BB69-23CF-44E3-9099-C40C66FF867C}">
                  <a14:compatExt spid="_x0000_s16102"/>
                </a:ext>
                <a:ext uri="{FF2B5EF4-FFF2-40B4-BE49-F238E27FC236}">
                  <a16:creationId xmlns:a16="http://schemas.microsoft.com/office/drawing/2014/main" id="{00000000-0008-0000-0E00-0000E63E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2295</xdr:row>
          <xdr:rowOff>0</xdr:rowOff>
        </xdr:from>
        <xdr:to>
          <xdr:col>22</xdr:col>
          <xdr:colOff>177800</xdr:colOff>
          <xdr:row>2295</xdr:row>
          <xdr:rowOff>177800</xdr:rowOff>
        </xdr:to>
        <xdr:sp macro="" textlink="">
          <xdr:nvSpPr>
            <xdr:cNvPr id="16103" name="Check Box 743" hidden="1">
              <a:extLst>
                <a:ext uri="{63B3BB69-23CF-44E3-9099-C40C66FF867C}">
                  <a14:compatExt spid="_x0000_s16103"/>
                </a:ext>
                <a:ext uri="{FF2B5EF4-FFF2-40B4-BE49-F238E27FC236}">
                  <a16:creationId xmlns:a16="http://schemas.microsoft.com/office/drawing/2014/main" id="{00000000-0008-0000-0E00-0000E73E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2297</xdr:row>
          <xdr:rowOff>0</xdr:rowOff>
        </xdr:from>
        <xdr:to>
          <xdr:col>22</xdr:col>
          <xdr:colOff>177800</xdr:colOff>
          <xdr:row>2297</xdr:row>
          <xdr:rowOff>177800</xdr:rowOff>
        </xdr:to>
        <xdr:sp macro="" textlink="">
          <xdr:nvSpPr>
            <xdr:cNvPr id="16104" name="Check Box 744" hidden="1">
              <a:extLst>
                <a:ext uri="{63B3BB69-23CF-44E3-9099-C40C66FF867C}">
                  <a14:compatExt spid="_x0000_s16104"/>
                </a:ext>
                <a:ext uri="{FF2B5EF4-FFF2-40B4-BE49-F238E27FC236}">
                  <a16:creationId xmlns:a16="http://schemas.microsoft.com/office/drawing/2014/main" id="{00000000-0008-0000-0E00-0000E83E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2298</xdr:row>
          <xdr:rowOff>0</xdr:rowOff>
        </xdr:from>
        <xdr:to>
          <xdr:col>22</xdr:col>
          <xdr:colOff>177800</xdr:colOff>
          <xdr:row>2298</xdr:row>
          <xdr:rowOff>177800</xdr:rowOff>
        </xdr:to>
        <xdr:sp macro="" textlink="">
          <xdr:nvSpPr>
            <xdr:cNvPr id="16105" name="Check Box 745" hidden="1">
              <a:extLst>
                <a:ext uri="{63B3BB69-23CF-44E3-9099-C40C66FF867C}">
                  <a14:compatExt spid="_x0000_s16105"/>
                </a:ext>
                <a:ext uri="{FF2B5EF4-FFF2-40B4-BE49-F238E27FC236}">
                  <a16:creationId xmlns:a16="http://schemas.microsoft.com/office/drawing/2014/main" id="{00000000-0008-0000-0E00-0000E93E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2300</xdr:row>
          <xdr:rowOff>0</xdr:rowOff>
        </xdr:from>
        <xdr:to>
          <xdr:col>22</xdr:col>
          <xdr:colOff>177800</xdr:colOff>
          <xdr:row>2300</xdr:row>
          <xdr:rowOff>177800</xdr:rowOff>
        </xdr:to>
        <xdr:sp macro="" textlink="">
          <xdr:nvSpPr>
            <xdr:cNvPr id="16106" name="Check Box 746" hidden="1">
              <a:extLst>
                <a:ext uri="{63B3BB69-23CF-44E3-9099-C40C66FF867C}">
                  <a14:compatExt spid="_x0000_s16106"/>
                </a:ext>
                <a:ext uri="{FF2B5EF4-FFF2-40B4-BE49-F238E27FC236}">
                  <a16:creationId xmlns:a16="http://schemas.microsoft.com/office/drawing/2014/main" id="{00000000-0008-0000-0E00-0000EA3E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2302</xdr:row>
          <xdr:rowOff>0</xdr:rowOff>
        </xdr:from>
        <xdr:to>
          <xdr:col>22</xdr:col>
          <xdr:colOff>177800</xdr:colOff>
          <xdr:row>2302</xdr:row>
          <xdr:rowOff>177800</xdr:rowOff>
        </xdr:to>
        <xdr:sp macro="" textlink="">
          <xdr:nvSpPr>
            <xdr:cNvPr id="16107" name="Check Box 747" hidden="1">
              <a:extLst>
                <a:ext uri="{63B3BB69-23CF-44E3-9099-C40C66FF867C}">
                  <a14:compatExt spid="_x0000_s16107"/>
                </a:ext>
                <a:ext uri="{FF2B5EF4-FFF2-40B4-BE49-F238E27FC236}">
                  <a16:creationId xmlns:a16="http://schemas.microsoft.com/office/drawing/2014/main" id="{00000000-0008-0000-0E00-0000EB3E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2308</xdr:row>
          <xdr:rowOff>0</xdr:rowOff>
        </xdr:from>
        <xdr:to>
          <xdr:col>22</xdr:col>
          <xdr:colOff>177800</xdr:colOff>
          <xdr:row>2308</xdr:row>
          <xdr:rowOff>177800</xdr:rowOff>
        </xdr:to>
        <xdr:sp macro="" textlink="">
          <xdr:nvSpPr>
            <xdr:cNvPr id="16110" name="Check Box 750" hidden="1">
              <a:extLst>
                <a:ext uri="{63B3BB69-23CF-44E3-9099-C40C66FF867C}">
                  <a14:compatExt spid="_x0000_s16110"/>
                </a:ext>
                <a:ext uri="{FF2B5EF4-FFF2-40B4-BE49-F238E27FC236}">
                  <a16:creationId xmlns:a16="http://schemas.microsoft.com/office/drawing/2014/main" id="{00000000-0008-0000-0E00-0000EE3E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2330</xdr:row>
          <xdr:rowOff>0</xdr:rowOff>
        </xdr:from>
        <xdr:to>
          <xdr:col>22</xdr:col>
          <xdr:colOff>177800</xdr:colOff>
          <xdr:row>2330</xdr:row>
          <xdr:rowOff>177800</xdr:rowOff>
        </xdr:to>
        <xdr:sp macro="" textlink="">
          <xdr:nvSpPr>
            <xdr:cNvPr id="16111" name="Check Box 751" hidden="1">
              <a:extLst>
                <a:ext uri="{63B3BB69-23CF-44E3-9099-C40C66FF867C}">
                  <a14:compatExt spid="_x0000_s16111"/>
                </a:ext>
                <a:ext uri="{FF2B5EF4-FFF2-40B4-BE49-F238E27FC236}">
                  <a16:creationId xmlns:a16="http://schemas.microsoft.com/office/drawing/2014/main" id="{00000000-0008-0000-0E00-0000EF3E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2333</xdr:row>
          <xdr:rowOff>0</xdr:rowOff>
        </xdr:from>
        <xdr:to>
          <xdr:col>22</xdr:col>
          <xdr:colOff>177800</xdr:colOff>
          <xdr:row>2333</xdr:row>
          <xdr:rowOff>177800</xdr:rowOff>
        </xdr:to>
        <xdr:sp macro="" textlink="">
          <xdr:nvSpPr>
            <xdr:cNvPr id="16112" name="Check Box 752" hidden="1">
              <a:extLst>
                <a:ext uri="{63B3BB69-23CF-44E3-9099-C40C66FF867C}">
                  <a14:compatExt spid="_x0000_s16112"/>
                </a:ext>
                <a:ext uri="{FF2B5EF4-FFF2-40B4-BE49-F238E27FC236}">
                  <a16:creationId xmlns:a16="http://schemas.microsoft.com/office/drawing/2014/main" id="{00000000-0008-0000-0E00-0000F03E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2336</xdr:row>
          <xdr:rowOff>0</xdr:rowOff>
        </xdr:from>
        <xdr:to>
          <xdr:col>22</xdr:col>
          <xdr:colOff>177800</xdr:colOff>
          <xdr:row>2336</xdr:row>
          <xdr:rowOff>177800</xdr:rowOff>
        </xdr:to>
        <xdr:sp macro="" textlink="">
          <xdr:nvSpPr>
            <xdr:cNvPr id="16113" name="Check Box 753" hidden="1">
              <a:extLst>
                <a:ext uri="{63B3BB69-23CF-44E3-9099-C40C66FF867C}">
                  <a14:compatExt spid="_x0000_s16113"/>
                </a:ext>
                <a:ext uri="{FF2B5EF4-FFF2-40B4-BE49-F238E27FC236}">
                  <a16:creationId xmlns:a16="http://schemas.microsoft.com/office/drawing/2014/main" id="{00000000-0008-0000-0E00-0000F13E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2338</xdr:row>
          <xdr:rowOff>0</xdr:rowOff>
        </xdr:from>
        <xdr:to>
          <xdr:col>22</xdr:col>
          <xdr:colOff>177800</xdr:colOff>
          <xdr:row>2338</xdr:row>
          <xdr:rowOff>177800</xdr:rowOff>
        </xdr:to>
        <xdr:sp macro="" textlink="">
          <xdr:nvSpPr>
            <xdr:cNvPr id="16114" name="Check Box 754" hidden="1">
              <a:extLst>
                <a:ext uri="{63B3BB69-23CF-44E3-9099-C40C66FF867C}">
                  <a14:compatExt spid="_x0000_s16114"/>
                </a:ext>
                <a:ext uri="{FF2B5EF4-FFF2-40B4-BE49-F238E27FC236}">
                  <a16:creationId xmlns:a16="http://schemas.microsoft.com/office/drawing/2014/main" id="{00000000-0008-0000-0E00-0000F23E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2339</xdr:row>
          <xdr:rowOff>0</xdr:rowOff>
        </xdr:from>
        <xdr:to>
          <xdr:col>22</xdr:col>
          <xdr:colOff>177800</xdr:colOff>
          <xdr:row>2339</xdr:row>
          <xdr:rowOff>177800</xdr:rowOff>
        </xdr:to>
        <xdr:sp macro="" textlink="">
          <xdr:nvSpPr>
            <xdr:cNvPr id="16115" name="Check Box 755" hidden="1">
              <a:extLst>
                <a:ext uri="{63B3BB69-23CF-44E3-9099-C40C66FF867C}">
                  <a14:compatExt spid="_x0000_s16115"/>
                </a:ext>
                <a:ext uri="{FF2B5EF4-FFF2-40B4-BE49-F238E27FC236}">
                  <a16:creationId xmlns:a16="http://schemas.microsoft.com/office/drawing/2014/main" id="{00000000-0008-0000-0E00-0000F33E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2341</xdr:row>
          <xdr:rowOff>0</xdr:rowOff>
        </xdr:from>
        <xdr:to>
          <xdr:col>22</xdr:col>
          <xdr:colOff>177800</xdr:colOff>
          <xdr:row>2341</xdr:row>
          <xdr:rowOff>177800</xdr:rowOff>
        </xdr:to>
        <xdr:sp macro="" textlink="">
          <xdr:nvSpPr>
            <xdr:cNvPr id="16116" name="Check Box 756" hidden="1">
              <a:extLst>
                <a:ext uri="{63B3BB69-23CF-44E3-9099-C40C66FF867C}">
                  <a14:compatExt spid="_x0000_s16116"/>
                </a:ext>
                <a:ext uri="{FF2B5EF4-FFF2-40B4-BE49-F238E27FC236}">
                  <a16:creationId xmlns:a16="http://schemas.microsoft.com/office/drawing/2014/main" id="{00000000-0008-0000-0E00-0000F43E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2342</xdr:row>
          <xdr:rowOff>0</xdr:rowOff>
        </xdr:from>
        <xdr:to>
          <xdr:col>22</xdr:col>
          <xdr:colOff>177800</xdr:colOff>
          <xdr:row>2342</xdr:row>
          <xdr:rowOff>177800</xdr:rowOff>
        </xdr:to>
        <xdr:sp macro="" textlink="">
          <xdr:nvSpPr>
            <xdr:cNvPr id="16117" name="Check Box 757" hidden="1">
              <a:extLst>
                <a:ext uri="{63B3BB69-23CF-44E3-9099-C40C66FF867C}">
                  <a14:compatExt spid="_x0000_s16117"/>
                </a:ext>
                <a:ext uri="{FF2B5EF4-FFF2-40B4-BE49-F238E27FC236}">
                  <a16:creationId xmlns:a16="http://schemas.microsoft.com/office/drawing/2014/main" id="{00000000-0008-0000-0E00-0000F53E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2343</xdr:row>
          <xdr:rowOff>0</xdr:rowOff>
        </xdr:from>
        <xdr:to>
          <xdr:col>22</xdr:col>
          <xdr:colOff>177800</xdr:colOff>
          <xdr:row>2343</xdr:row>
          <xdr:rowOff>177800</xdr:rowOff>
        </xdr:to>
        <xdr:sp macro="" textlink="">
          <xdr:nvSpPr>
            <xdr:cNvPr id="16118" name="Check Box 758" hidden="1">
              <a:extLst>
                <a:ext uri="{63B3BB69-23CF-44E3-9099-C40C66FF867C}">
                  <a14:compatExt spid="_x0000_s16118"/>
                </a:ext>
                <a:ext uri="{FF2B5EF4-FFF2-40B4-BE49-F238E27FC236}">
                  <a16:creationId xmlns:a16="http://schemas.microsoft.com/office/drawing/2014/main" id="{00000000-0008-0000-0E00-0000F63E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2349</xdr:row>
          <xdr:rowOff>0</xdr:rowOff>
        </xdr:from>
        <xdr:to>
          <xdr:col>22</xdr:col>
          <xdr:colOff>177800</xdr:colOff>
          <xdr:row>2349</xdr:row>
          <xdr:rowOff>177800</xdr:rowOff>
        </xdr:to>
        <xdr:sp macro="" textlink="">
          <xdr:nvSpPr>
            <xdr:cNvPr id="16119" name="Check Box 759" hidden="1">
              <a:extLst>
                <a:ext uri="{63B3BB69-23CF-44E3-9099-C40C66FF867C}">
                  <a14:compatExt spid="_x0000_s16119"/>
                </a:ext>
                <a:ext uri="{FF2B5EF4-FFF2-40B4-BE49-F238E27FC236}">
                  <a16:creationId xmlns:a16="http://schemas.microsoft.com/office/drawing/2014/main" id="{00000000-0008-0000-0E00-0000F73E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2351</xdr:row>
          <xdr:rowOff>0</xdr:rowOff>
        </xdr:from>
        <xdr:to>
          <xdr:col>22</xdr:col>
          <xdr:colOff>177800</xdr:colOff>
          <xdr:row>2351</xdr:row>
          <xdr:rowOff>177800</xdr:rowOff>
        </xdr:to>
        <xdr:sp macro="" textlink="">
          <xdr:nvSpPr>
            <xdr:cNvPr id="16120" name="Check Box 760" hidden="1">
              <a:extLst>
                <a:ext uri="{63B3BB69-23CF-44E3-9099-C40C66FF867C}">
                  <a14:compatExt spid="_x0000_s16120"/>
                </a:ext>
                <a:ext uri="{FF2B5EF4-FFF2-40B4-BE49-F238E27FC236}">
                  <a16:creationId xmlns:a16="http://schemas.microsoft.com/office/drawing/2014/main" id="{00000000-0008-0000-0E00-0000F83E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2354</xdr:row>
          <xdr:rowOff>0</xdr:rowOff>
        </xdr:from>
        <xdr:to>
          <xdr:col>22</xdr:col>
          <xdr:colOff>177800</xdr:colOff>
          <xdr:row>2354</xdr:row>
          <xdr:rowOff>177800</xdr:rowOff>
        </xdr:to>
        <xdr:sp macro="" textlink="">
          <xdr:nvSpPr>
            <xdr:cNvPr id="16121" name="Check Box 761" hidden="1">
              <a:extLst>
                <a:ext uri="{63B3BB69-23CF-44E3-9099-C40C66FF867C}">
                  <a14:compatExt spid="_x0000_s16121"/>
                </a:ext>
                <a:ext uri="{FF2B5EF4-FFF2-40B4-BE49-F238E27FC236}">
                  <a16:creationId xmlns:a16="http://schemas.microsoft.com/office/drawing/2014/main" id="{00000000-0008-0000-0E00-0000F93E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2356</xdr:row>
          <xdr:rowOff>0</xdr:rowOff>
        </xdr:from>
        <xdr:to>
          <xdr:col>22</xdr:col>
          <xdr:colOff>177800</xdr:colOff>
          <xdr:row>2356</xdr:row>
          <xdr:rowOff>177800</xdr:rowOff>
        </xdr:to>
        <xdr:sp macro="" textlink="">
          <xdr:nvSpPr>
            <xdr:cNvPr id="16122" name="Check Box 762" hidden="1">
              <a:extLst>
                <a:ext uri="{63B3BB69-23CF-44E3-9099-C40C66FF867C}">
                  <a14:compatExt spid="_x0000_s16122"/>
                </a:ext>
                <a:ext uri="{FF2B5EF4-FFF2-40B4-BE49-F238E27FC236}">
                  <a16:creationId xmlns:a16="http://schemas.microsoft.com/office/drawing/2014/main" id="{00000000-0008-0000-0E00-0000FA3E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2359</xdr:row>
          <xdr:rowOff>0</xdr:rowOff>
        </xdr:from>
        <xdr:to>
          <xdr:col>22</xdr:col>
          <xdr:colOff>177800</xdr:colOff>
          <xdr:row>2359</xdr:row>
          <xdr:rowOff>177800</xdr:rowOff>
        </xdr:to>
        <xdr:sp macro="" textlink="">
          <xdr:nvSpPr>
            <xdr:cNvPr id="16123" name="Check Box 763" hidden="1">
              <a:extLst>
                <a:ext uri="{63B3BB69-23CF-44E3-9099-C40C66FF867C}">
                  <a14:compatExt spid="_x0000_s16123"/>
                </a:ext>
                <a:ext uri="{FF2B5EF4-FFF2-40B4-BE49-F238E27FC236}">
                  <a16:creationId xmlns:a16="http://schemas.microsoft.com/office/drawing/2014/main" id="{00000000-0008-0000-0E00-0000FB3E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2361</xdr:row>
          <xdr:rowOff>0</xdr:rowOff>
        </xdr:from>
        <xdr:to>
          <xdr:col>22</xdr:col>
          <xdr:colOff>177800</xdr:colOff>
          <xdr:row>2361</xdr:row>
          <xdr:rowOff>177800</xdr:rowOff>
        </xdr:to>
        <xdr:sp macro="" textlink="">
          <xdr:nvSpPr>
            <xdr:cNvPr id="16124" name="Check Box 764" hidden="1">
              <a:extLst>
                <a:ext uri="{63B3BB69-23CF-44E3-9099-C40C66FF867C}">
                  <a14:compatExt spid="_x0000_s16124"/>
                </a:ext>
                <a:ext uri="{FF2B5EF4-FFF2-40B4-BE49-F238E27FC236}">
                  <a16:creationId xmlns:a16="http://schemas.microsoft.com/office/drawing/2014/main" id="{00000000-0008-0000-0E00-0000FC3E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2362</xdr:row>
          <xdr:rowOff>0</xdr:rowOff>
        </xdr:from>
        <xdr:to>
          <xdr:col>22</xdr:col>
          <xdr:colOff>177800</xdr:colOff>
          <xdr:row>2362</xdr:row>
          <xdr:rowOff>177800</xdr:rowOff>
        </xdr:to>
        <xdr:sp macro="" textlink="">
          <xdr:nvSpPr>
            <xdr:cNvPr id="16125" name="Check Box 765" hidden="1">
              <a:extLst>
                <a:ext uri="{63B3BB69-23CF-44E3-9099-C40C66FF867C}">
                  <a14:compatExt spid="_x0000_s16125"/>
                </a:ext>
                <a:ext uri="{FF2B5EF4-FFF2-40B4-BE49-F238E27FC236}">
                  <a16:creationId xmlns:a16="http://schemas.microsoft.com/office/drawing/2014/main" id="{00000000-0008-0000-0E00-0000FD3E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2364</xdr:row>
          <xdr:rowOff>0</xdr:rowOff>
        </xdr:from>
        <xdr:to>
          <xdr:col>22</xdr:col>
          <xdr:colOff>177800</xdr:colOff>
          <xdr:row>2364</xdr:row>
          <xdr:rowOff>177800</xdr:rowOff>
        </xdr:to>
        <xdr:sp macro="" textlink="">
          <xdr:nvSpPr>
            <xdr:cNvPr id="16126" name="Check Box 766" hidden="1">
              <a:extLst>
                <a:ext uri="{63B3BB69-23CF-44E3-9099-C40C66FF867C}">
                  <a14:compatExt spid="_x0000_s16126"/>
                </a:ext>
                <a:ext uri="{FF2B5EF4-FFF2-40B4-BE49-F238E27FC236}">
                  <a16:creationId xmlns:a16="http://schemas.microsoft.com/office/drawing/2014/main" id="{00000000-0008-0000-0E00-0000FE3E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2366</xdr:row>
          <xdr:rowOff>0</xdr:rowOff>
        </xdr:from>
        <xdr:to>
          <xdr:col>22</xdr:col>
          <xdr:colOff>177800</xdr:colOff>
          <xdr:row>2366</xdr:row>
          <xdr:rowOff>177800</xdr:rowOff>
        </xdr:to>
        <xdr:sp macro="" textlink="">
          <xdr:nvSpPr>
            <xdr:cNvPr id="16127" name="Check Box 767" hidden="1">
              <a:extLst>
                <a:ext uri="{63B3BB69-23CF-44E3-9099-C40C66FF867C}">
                  <a14:compatExt spid="_x0000_s16127"/>
                </a:ext>
                <a:ext uri="{FF2B5EF4-FFF2-40B4-BE49-F238E27FC236}">
                  <a16:creationId xmlns:a16="http://schemas.microsoft.com/office/drawing/2014/main" id="{00000000-0008-0000-0E00-0000FF3E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2367</xdr:row>
          <xdr:rowOff>0</xdr:rowOff>
        </xdr:from>
        <xdr:to>
          <xdr:col>22</xdr:col>
          <xdr:colOff>177800</xdr:colOff>
          <xdr:row>2367</xdr:row>
          <xdr:rowOff>177800</xdr:rowOff>
        </xdr:to>
        <xdr:sp macro="" textlink="">
          <xdr:nvSpPr>
            <xdr:cNvPr id="16128" name="Check Box 768" hidden="1">
              <a:extLst>
                <a:ext uri="{63B3BB69-23CF-44E3-9099-C40C66FF867C}">
                  <a14:compatExt spid="_x0000_s16128"/>
                </a:ext>
                <a:ext uri="{FF2B5EF4-FFF2-40B4-BE49-F238E27FC236}">
                  <a16:creationId xmlns:a16="http://schemas.microsoft.com/office/drawing/2014/main" id="{00000000-0008-0000-0E00-0000003F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2370</xdr:row>
          <xdr:rowOff>0</xdr:rowOff>
        </xdr:from>
        <xdr:to>
          <xdr:col>22</xdr:col>
          <xdr:colOff>177800</xdr:colOff>
          <xdr:row>2370</xdr:row>
          <xdr:rowOff>177800</xdr:rowOff>
        </xdr:to>
        <xdr:sp macro="" textlink="">
          <xdr:nvSpPr>
            <xdr:cNvPr id="16129" name="Check Box 769" hidden="1">
              <a:extLst>
                <a:ext uri="{63B3BB69-23CF-44E3-9099-C40C66FF867C}">
                  <a14:compatExt spid="_x0000_s16129"/>
                </a:ext>
                <a:ext uri="{FF2B5EF4-FFF2-40B4-BE49-F238E27FC236}">
                  <a16:creationId xmlns:a16="http://schemas.microsoft.com/office/drawing/2014/main" id="{00000000-0008-0000-0E00-0000013F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2376</xdr:row>
          <xdr:rowOff>0</xdr:rowOff>
        </xdr:from>
        <xdr:to>
          <xdr:col>22</xdr:col>
          <xdr:colOff>177800</xdr:colOff>
          <xdr:row>2376</xdr:row>
          <xdr:rowOff>177800</xdr:rowOff>
        </xdr:to>
        <xdr:sp macro="" textlink="">
          <xdr:nvSpPr>
            <xdr:cNvPr id="16130" name="Check Box 770" hidden="1">
              <a:extLst>
                <a:ext uri="{63B3BB69-23CF-44E3-9099-C40C66FF867C}">
                  <a14:compatExt spid="_x0000_s16130"/>
                </a:ext>
                <a:ext uri="{FF2B5EF4-FFF2-40B4-BE49-F238E27FC236}">
                  <a16:creationId xmlns:a16="http://schemas.microsoft.com/office/drawing/2014/main" id="{00000000-0008-0000-0E00-0000023F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2378</xdr:row>
          <xdr:rowOff>0</xdr:rowOff>
        </xdr:from>
        <xdr:to>
          <xdr:col>22</xdr:col>
          <xdr:colOff>177800</xdr:colOff>
          <xdr:row>2378</xdr:row>
          <xdr:rowOff>177800</xdr:rowOff>
        </xdr:to>
        <xdr:sp macro="" textlink="">
          <xdr:nvSpPr>
            <xdr:cNvPr id="16131" name="Check Box 771" hidden="1">
              <a:extLst>
                <a:ext uri="{63B3BB69-23CF-44E3-9099-C40C66FF867C}">
                  <a14:compatExt spid="_x0000_s16131"/>
                </a:ext>
                <a:ext uri="{FF2B5EF4-FFF2-40B4-BE49-F238E27FC236}">
                  <a16:creationId xmlns:a16="http://schemas.microsoft.com/office/drawing/2014/main" id="{00000000-0008-0000-0E00-0000033F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2382</xdr:row>
          <xdr:rowOff>0</xdr:rowOff>
        </xdr:from>
        <xdr:to>
          <xdr:col>22</xdr:col>
          <xdr:colOff>177800</xdr:colOff>
          <xdr:row>2382</xdr:row>
          <xdr:rowOff>177800</xdr:rowOff>
        </xdr:to>
        <xdr:sp macro="" textlink="">
          <xdr:nvSpPr>
            <xdr:cNvPr id="16132" name="Check Box 772" hidden="1">
              <a:extLst>
                <a:ext uri="{63B3BB69-23CF-44E3-9099-C40C66FF867C}">
                  <a14:compatExt spid="_x0000_s16132"/>
                </a:ext>
                <a:ext uri="{FF2B5EF4-FFF2-40B4-BE49-F238E27FC236}">
                  <a16:creationId xmlns:a16="http://schemas.microsoft.com/office/drawing/2014/main" id="{00000000-0008-0000-0E00-0000043F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2389</xdr:row>
          <xdr:rowOff>0</xdr:rowOff>
        </xdr:from>
        <xdr:to>
          <xdr:col>22</xdr:col>
          <xdr:colOff>177800</xdr:colOff>
          <xdr:row>2389</xdr:row>
          <xdr:rowOff>177800</xdr:rowOff>
        </xdr:to>
        <xdr:sp macro="" textlink="">
          <xdr:nvSpPr>
            <xdr:cNvPr id="16133" name="Check Box 773" hidden="1">
              <a:extLst>
                <a:ext uri="{63B3BB69-23CF-44E3-9099-C40C66FF867C}">
                  <a14:compatExt spid="_x0000_s16133"/>
                </a:ext>
                <a:ext uri="{FF2B5EF4-FFF2-40B4-BE49-F238E27FC236}">
                  <a16:creationId xmlns:a16="http://schemas.microsoft.com/office/drawing/2014/main" id="{00000000-0008-0000-0E00-0000053F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2391</xdr:row>
          <xdr:rowOff>0</xdr:rowOff>
        </xdr:from>
        <xdr:to>
          <xdr:col>22</xdr:col>
          <xdr:colOff>177800</xdr:colOff>
          <xdr:row>2391</xdr:row>
          <xdr:rowOff>177800</xdr:rowOff>
        </xdr:to>
        <xdr:sp macro="" textlink="">
          <xdr:nvSpPr>
            <xdr:cNvPr id="16134" name="Check Box 774" hidden="1">
              <a:extLst>
                <a:ext uri="{63B3BB69-23CF-44E3-9099-C40C66FF867C}">
                  <a14:compatExt spid="_x0000_s16134"/>
                </a:ext>
                <a:ext uri="{FF2B5EF4-FFF2-40B4-BE49-F238E27FC236}">
                  <a16:creationId xmlns:a16="http://schemas.microsoft.com/office/drawing/2014/main" id="{00000000-0008-0000-0E00-0000063F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2392</xdr:row>
          <xdr:rowOff>0</xdr:rowOff>
        </xdr:from>
        <xdr:to>
          <xdr:col>22</xdr:col>
          <xdr:colOff>177800</xdr:colOff>
          <xdr:row>2392</xdr:row>
          <xdr:rowOff>177800</xdr:rowOff>
        </xdr:to>
        <xdr:sp macro="" textlink="">
          <xdr:nvSpPr>
            <xdr:cNvPr id="16135" name="Check Box 775" hidden="1">
              <a:extLst>
                <a:ext uri="{63B3BB69-23CF-44E3-9099-C40C66FF867C}">
                  <a14:compatExt spid="_x0000_s16135"/>
                </a:ext>
                <a:ext uri="{FF2B5EF4-FFF2-40B4-BE49-F238E27FC236}">
                  <a16:creationId xmlns:a16="http://schemas.microsoft.com/office/drawing/2014/main" id="{00000000-0008-0000-0E00-0000073F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2394</xdr:row>
          <xdr:rowOff>0</xdr:rowOff>
        </xdr:from>
        <xdr:to>
          <xdr:col>22</xdr:col>
          <xdr:colOff>177800</xdr:colOff>
          <xdr:row>2394</xdr:row>
          <xdr:rowOff>177800</xdr:rowOff>
        </xdr:to>
        <xdr:sp macro="" textlink="">
          <xdr:nvSpPr>
            <xdr:cNvPr id="16136" name="Check Box 776" hidden="1">
              <a:extLst>
                <a:ext uri="{63B3BB69-23CF-44E3-9099-C40C66FF867C}">
                  <a14:compatExt spid="_x0000_s16136"/>
                </a:ext>
                <a:ext uri="{FF2B5EF4-FFF2-40B4-BE49-F238E27FC236}">
                  <a16:creationId xmlns:a16="http://schemas.microsoft.com/office/drawing/2014/main" id="{00000000-0008-0000-0E00-0000083F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2395</xdr:row>
          <xdr:rowOff>0</xdr:rowOff>
        </xdr:from>
        <xdr:to>
          <xdr:col>22</xdr:col>
          <xdr:colOff>177800</xdr:colOff>
          <xdr:row>2395</xdr:row>
          <xdr:rowOff>177800</xdr:rowOff>
        </xdr:to>
        <xdr:sp macro="" textlink="">
          <xdr:nvSpPr>
            <xdr:cNvPr id="16137" name="Check Box 777" hidden="1">
              <a:extLst>
                <a:ext uri="{63B3BB69-23CF-44E3-9099-C40C66FF867C}">
                  <a14:compatExt spid="_x0000_s16137"/>
                </a:ext>
                <a:ext uri="{FF2B5EF4-FFF2-40B4-BE49-F238E27FC236}">
                  <a16:creationId xmlns:a16="http://schemas.microsoft.com/office/drawing/2014/main" id="{00000000-0008-0000-0E00-0000093F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2396</xdr:row>
          <xdr:rowOff>0</xdr:rowOff>
        </xdr:from>
        <xdr:to>
          <xdr:col>22</xdr:col>
          <xdr:colOff>177800</xdr:colOff>
          <xdr:row>2396</xdr:row>
          <xdr:rowOff>177800</xdr:rowOff>
        </xdr:to>
        <xdr:sp macro="" textlink="">
          <xdr:nvSpPr>
            <xdr:cNvPr id="16138" name="Check Box 778" hidden="1">
              <a:extLst>
                <a:ext uri="{63B3BB69-23CF-44E3-9099-C40C66FF867C}">
                  <a14:compatExt spid="_x0000_s16138"/>
                </a:ext>
                <a:ext uri="{FF2B5EF4-FFF2-40B4-BE49-F238E27FC236}">
                  <a16:creationId xmlns:a16="http://schemas.microsoft.com/office/drawing/2014/main" id="{00000000-0008-0000-0E00-00000A3F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2397</xdr:row>
          <xdr:rowOff>0</xdr:rowOff>
        </xdr:from>
        <xdr:to>
          <xdr:col>22</xdr:col>
          <xdr:colOff>177800</xdr:colOff>
          <xdr:row>2397</xdr:row>
          <xdr:rowOff>177800</xdr:rowOff>
        </xdr:to>
        <xdr:sp macro="" textlink="">
          <xdr:nvSpPr>
            <xdr:cNvPr id="16139" name="Check Box 779" hidden="1">
              <a:extLst>
                <a:ext uri="{63B3BB69-23CF-44E3-9099-C40C66FF867C}">
                  <a14:compatExt spid="_x0000_s16139"/>
                </a:ext>
                <a:ext uri="{FF2B5EF4-FFF2-40B4-BE49-F238E27FC236}">
                  <a16:creationId xmlns:a16="http://schemas.microsoft.com/office/drawing/2014/main" id="{00000000-0008-0000-0E00-00000B3F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2400</xdr:row>
          <xdr:rowOff>0</xdr:rowOff>
        </xdr:from>
        <xdr:to>
          <xdr:col>22</xdr:col>
          <xdr:colOff>177800</xdr:colOff>
          <xdr:row>2400</xdr:row>
          <xdr:rowOff>177800</xdr:rowOff>
        </xdr:to>
        <xdr:sp macro="" textlink="">
          <xdr:nvSpPr>
            <xdr:cNvPr id="16140" name="Check Box 780" hidden="1">
              <a:extLst>
                <a:ext uri="{63B3BB69-23CF-44E3-9099-C40C66FF867C}">
                  <a14:compatExt spid="_x0000_s16140"/>
                </a:ext>
                <a:ext uri="{FF2B5EF4-FFF2-40B4-BE49-F238E27FC236}">
                  <a16:creationId xmlns:a16="http://schemas.microsoft.com/office/drawing/2014/main" id="{00000000-0008-0000-0E00-00000C3F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2441</xdr:row>
          <xdr:rowOff>0</xdr:rowOff>
        </xdr:from>
        <xdr:to>
          <xdr:col>22</xdr:col>
          <xdr:colOff>177800</xdr:colOff>
          <xdr:row>2441</xdr:row>
          <xdr:rowOff>177800</xdr:rowOff>
        </xdr:to>
        <xdr:sp macro="" textlink="">
          <xdr:nvSpPr>
            <xdr:cNvPr id="16141" name="Check Box 781" hidden="1">
              <a:extLst>
                <a:ext uri="{63B3BB69-23CF-44E3-9099-C40C66FF867C}">
                  <a14:compatExt spid="_x0000_s16141"/>
                </a:ext>
                <a:ext uri="{FF2B5EF4-FFF2-40B4-BE49-F238E27FC236}">
                  <a16:creationId xmlns:a16="http://schemas.microsoft.com/office/drawing/2014/main" id="{00000000-0008-0000-0E00-00000D3F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2443</xdr:row>
          <xdr:rowOff>0</xdr:rowOff>
        </xdr:from>
        <xdr:to>
          <xdr:col>22</xdr:col>
          <xdr:colOff>177800</xdr:colOff>
          <xdr:row>2443</xdr:row>
          <xdr:rowOff>177800</xdr:rowOff>
        </xdr:to>
        <xdr:sp macro="" textlink="">
          <xdr:nvSpPr>
            <xdr:cNvPr id="16142" name="Check Box 782" hidden="1">
              <a:extLst>
                <a:ext uri="{63B3BB69-23CF-44E3-9099-C40C66FF867C}">
                  <a14:compatExt spid="_x0000_s16142"/>
                </a:ext>
                <a:ext uri="{FF2B5EF4-FFF2-40B4-BE49-F238E27FC236}">
                  <a16:creationId xmlns:a16="http://schemas.microsoft.com/office/drawing/2014/main" id="{00000000-0008-0000-0E00-00000E3F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2446</xdr:row>
          <xdr:rowOff>0</xdr:rowOff>
        </xdr:from>
        <xdr:to>
          <xdr:col>22</xdr:col>
          <xdr:colOff>177800</xdr:colOff>
          <xdr:row>2446</xdr:row>
          <xdr:rowOff>177800</xdr:rowOff>
        </xdr:to>
        <xdr:sp macro="" textlink="">
          <xdr:nvSpPr>
            <xdr:cNvPr id="16143" name="Check Box 783" hidden="1">
              <a:extLst>
                <a:ext uri="{63B3BB69-23CF-44E3-9099-C40C66FF867C}">
                  <a14:compatExt spid="_x0000_s16143"/>
                </a:ext>
                <a:ext uri="{FF2B5EF4-FFF2-40B4-BE49-F238E27FC236}">
                  <a16:creationId xmlns:a16="http://schemas.microsoft.com/office/drawing/2014/main" id="{00000000-0008-0000-0E00-00000F3F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1901</xdr:row>
          <xdr:rowOff>0</xdr:rowOff>
        </xdr:from>
        <xdr:to>
          <xdr:col>22</xdr:col>
          <xdr:colOff>177800</xdr:colOff>
          <xdr:row>1901</xdr:row>
          <xdr:rowOff>177800</xdr:rowOff>
        </xdr:to>
        <xdr:sp macro="" textlink="">
          <xdr:nvSpPr>
            <xdr:cNvPr id="16148" name="Check Box 788" hidden="1">
              <a:extLst>
                <a:ext uri="{63B3BB69-23CF-44E3-9099-C40C66FF867C}">
                  <a14:compatExt spid="_x0000_s16148"/>
                </a:ext>
                <a:ext uri="{FF2B5EF4-FFF2-40B4-BE49-F238E27FC236}">
                  <a16:creationId xmlns:a16="http://schemas.microsoft.com/office/drawing/2014/main" id="{00000000-0008-0000-0E00-0000143F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2306</xdr:row>
          <xdr:rowOff>0</xdr:rowOff>
        </xdr:from>
        <xdr:to>
          <xdr:col>22</xdr:col>
          <xdr:colOff>177800</xdr:colOff>
          <xdr:row>2306</xdr:row>
          <xdr:rowOff>177800</xdr:rowOff>
        </xdr:to>
        <xdr:sp macro="" textlink="">
          <xdr:nvSpPr>
            <xdr:cNvPr id="16154" name="Check Box 794" hidden="1">
              <a:extLst>
                <a:ext uri="{63B3BB69-23CF-44E3-9099-C40C66FF867C}">
                  <a14:compatExt spid="_x0000_s16154"/>
                </a:ext>
                <a:ext uri="{FF2B5EF4-FFF2-40B4-BE49-F238E27FC236}">
                  <a16:creationId xmlns:a16="http://schemas.microsoft.com/office/drawing/2014/main" id="{00000000-0008-0000-0E00-00001A3F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2307</xdr:row>
          <xdr:rowOff>0</xdr:rowOff>
        </xdr:from>
        <xdr:to>
          <xdr:col>22</xdr:col>
          <xdr:colOff>177800</xdr:colOff>
          <xdr:row>2307</xdr:row>
          <xdr:rowOff>177800</xdr:rowOff>
        </xdr:to>
        <xdr:sp macro="" textlink="">
          <xdr:nvSpPr>
            <xdr:cNvPr id="16155" name="Check Box 795" hidden="1">
              <a:extLst>
                <a:ext uri="{63B3BB69-23CF-44E3-9099-C40C66FF867C}">
                  <a14:compatExt spid="_x0000_s16155"/>
                </a:ext>
                <a:ext uri="{FF2B5EF4-FFF2-40B4-BE49-F238E27FC236}">
                  <a16:creationId xmlns:a16="http://schemas.microsoft.com/office/drawing/2014/main" id="{00000000-0008-0000-0E00-00001B3F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597</xdr:row>
          <xdr:rowOff>0</xdr:rowOff>
        </xdr:from>
        <xdr:to>
          <xdr:col>22</xdr:col>
          <xdr:colOff>177800</xdr:colOff>
          <xdr:row>597</xdr:row>
          <xdr:rowOff>177800</xdr:rowOff>
        </xdr:to>
        <xdr:sp macro="" textlink="">
          <xdr:nvSpPr>
            <xdr:cNvPr id="16157" name="Check Box 797" hidden="1">
              <a:extLst>
                <a:ext uri="{63B3BB69-23CF-44E3-9099-C40C66FF867C}">
                  <a14:compatExt spid="_x0000_s16157"/>
                </a:ext>
                <a:ext uri="{FF2B5EF4-FFF2-40B4-BE49-F238E27FC236}">
                  <a16:creationId xmlns:a16="http://schemas.microsoft.com/office/drawing/2014/main" id="{00000000-0008-0000-0E00-00001D3F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885</xdr:row>
          <xdr:rowOff>0</xdr:rowOff>
        </xdr:from>
        <xdr:to>
          <xdr:col>22</xdr:col>
          <xdr:colOff>177800</xdr:colOff>
          <xdr:row>885</xdr:row>
          <xdr:rowOff>177800</xdr:rowOff>
        </xdr:to>
        <xdr:sp macro="" textlink="">
          <xdr:nvSpPr>
            <xdr:cNvPr id="16159" name="Check Box 799" hidden="1">
              <a:extLst>
                <a:ext uri="{63B3BB69-23CF-44E3-9099-C40C66FF867C}">
                  <a14:compatExt spid="_x0000_s16159"/>
                </a:ext>
                <a:ext uri="{FF2B5EF4-FFF2-40B4-BE49-F238E27FC236}">
                  <a16:creationId xmlns:a16="http://schemas.microsoft.com/office/drawing/2014/main" id="{00000000-0008-0000-0E00-00001F3F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2304</xdr:row>
          <xdr:rowOff>0</xdr:rowOff>
        </xdr:from>
        <xdr:to>
          <xdr:col>22</xdr:col>
          <xdr:colOff>177800</xdr:colOff>
          <xdr:row>2304</xdr:row>
          <xdr:rowOff>177800</xdr:rowOff>
        </xdr:to>
        <xdr:sp macro="" textlink="">
          <xdr:nvSpPr>
            <xdr:cNvPr id="16166" name="Check Box 806" hidden="1">
              <a:extLst>
                <a:ext uri="{63B3BB69-23CF-44E3-9099-C40C66FF867C}">
                  <a14:compatExt spid="_x0000_s16166"/>
                </a:ext>
                <a:ext uri="{FF2B5EF4-FFF2-40B4-BE49-F238E27FC236}">
                  <a16:creationId xmlns:a16="http://schemas.microsoft.com/office/drawing/2014/main" id="{00000000-0008-0000-0E00-0000263F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2035</xdr:row>
          <xdr:rowOff>0</xdr:rowOff>
        </xdr:from>
        <xdr:to>
          <xdr:col>22</xdr:col>
          <xdr:colOff>177800</xdr:colOff>
          <xdr:row>2035</xdr:row>
          <xdr:rowOff>177800</xdr:rowOff>
        </xdr:to>
        <xdr:sp macro="" textlink="">
          <xdr:nvSpPr>
            <xdr:cNvPr id="16169" name="Check Box 809" hidden="1">
              <a:extLst>
                <a:ext uri="{63B3BB69-23CF-44E3-9099-C40C66FF867C}">
                  <a14:compatExt spid="_x0000_s16169"/>
                </a:ext>
                <a:ext uri="{FF2B5EF4-FFF2-40B4-BE49-F238E27FC236}">
                  <a16:creationId xmlns:a16="http://schemas.microsoft.com/office/drawing/2014/main" id="{00000000-0008-0000-0E00-0000293F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41</xdr:row>
          <xdr:rowOff>0</xdr:rowOff>
        </xdr:from>
        <xdr:to>
          <xdr:col>22</xdr:col>
          <xdr:colOff>177800</xdr:colOff>
          <xdr:row>41</xdr:row>
          <xdr:rowOff>177800</xdr:rowOff>
        </xdr:to>
        <xdr:sp macro="" textlink="">
          <xdr:nvSpPr>
            <xdr:cNvPr id="16173" name="Check Box 813" hidden="1">
              <a:extLst>
                <a:ext uri="{63B3BB69-23CF-44E3-9099-C40C66FF867C}">
                  <a14:compatExt spid="_x0000_s16173"/>
                </a:ext>
                <a:ext uri="{FF2B5EF4-FFF2-40B4-BE49-F238E27FC236}">
                  <a16:creationId xmlns:a16="http://schemas.microsoft.com/office/drawing/2014/main" id="{00000000-0008-0000-0E00-00002D3F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43</xdr:row>
          <xdr:rowOff>0</xdr:rowOff>
        </xdr:from>
        <xdr:to>
          <xdr:col>22</xdr:col>
          <xdr:colOff>177800</xdr:colOff>
          <xdr:row>43</xdr:row>
          <xdr:rowOff>177800</xdr:rowOff>
        </xdr:to>
        <xdr:sp macro="" textlink="">
          <xdr:nvSpPr>
            <xdr:cNvPr id="16174" name="Check Box 814" hidden="1">
              <a:extLst>
                <a:ext uri="{63B3BB69-23CF-44E3-9099-C40C66FF867C}">
                  <a14:compatExt spid="_x0000_s16174"/>
                </a:ext>
                <a:ext uri="{FF2B5EF4-FFF2-40B4-BE49-F238E27FC236}">
                  <a16:creationId xmlns:a16="http://schemas.microsoft.com/office/drawing/2014/main" id="{00000000-0008-0000-0E00-00002E3F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46</xdr:row>
          <xdr:rowOff>0</xdr:rowOff>
        </xdr:from>
        <xdr:to>
          <xdr:col>22</xdr:col>
          <xdr:colOff>177800</xdr:colOff>
          <xdr:row>46</xdr:row>
          <xdr:rowOff>177800</xdr:rowOff>
        </xdr:to>
        <xdr:sp macro="" textlink="">
          <xdr:nvSpPr>
            <xdr:cNvPr id="16175" name="Check Box 815" hidden="1">
              <a:extLst>
                <a:ext uri="{63B3BB69-23CF-44E3-9099-C40C66FF867C}">
                  <a14:compatExt spid="_x0000_s16175"/>
                </a:ext>
                <a:ext uri="{FF2B5EF4-FFF2-40B4-BE49-F238E27FC236}">
                  <a16:creationId xmlns:a16="http://schemas.microsoft.com/office/drawing/2014/main" id="{00000000-0008-0000-0E00-00002F3F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74</xdr:row>
          <xdr:rowOff>0</xdr:rowOff>
        </xdr:from>
        <xdr:to>
          <xdr:col>22</xdr:col>
          <xdr:colOff>177800</xdr:colOff>
          <xdr:row>74</xdr:row>
          <xdr:rowOff>177800</xdr:rowOff>
        </xdr:to>
        <xdr:sp macro="" textlink="">
          <xdr:nvSpPr>
            <xdr:cNvPr id="16176" name="Check Box 816" hidden="1">
              <a:extLst>
                <a:ext uri="{63B3BB69-23CF-44E3-9099-C40C66FF867C}">
                  <a14:compatExt spid="_x0000_s16176"/>
                </a:ext>
                <a:ext uri="{FF2B5EF4-FFF2-40B4-BE49-F238E27FC236}">
                  <a16:creationId xmlns:a16="http://schemas.microsoft.com/office/drawing/2014/main" id="{00000000-0008-0000-0E00-0000303F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126</xdr:row>
          <xdr:rowOff>0</xdr:rowOff>
        </xdr:from>
        <xdr:to>
          <xdr:col>22</xdr:col>
          <xdr:colOff>177800</xdr:colOff>
          <xdr:row>126</xdr:row>
          <xdr:rowOff>177800</xdr:rowOff>
        </xdr:to>
        <xdr:sp macro="" textlink="">
          <xdr:nvSpPr>
            <xdr:cNvPr id="16177" name="Check Box 817" hidden="1">
              <a:extLst>
                <a:ext uri="{63B3BB69-23CF-44E3-9099-C40C66FF867C}">
                  <a14:compatExt spid="_x0000_s16177"/>
                </a:ext>
                <a:ext uri="{FF2B5EF4-FFF2-40B4-BE49-F238E27FC236}">
                  <a16:creationId xmlns:a16="http://schemas.microsoft.com/office/drawing/2014/main" id="{00000000-0008-0000-0E00-0000313F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128</xdr:row>
          <xdr:rowOff>0</xdr:rowOff>
        </xdr:from>
        <xdr:to>
          <xdr:col>22</xdr:col>
          <xdr:colOff>177800</xdr:colOff>
          <xdr:row>128</xdr:row>
          <xdr:rowOff>177800</xdr:rowOff>
        </xdr:to>
        <xdr:sp macro="" textlink="">
          <xdr:nvSpPr>
            <xdr:cNvPr id="16178" name="Check Box 818" hidden="1">
              <a:extLst>
                <a:ext uri="{63B3BB69-23CF-44E3-9099-C40C66FF867C}">
                  <a14:compatExt spid="_x0000_s16178"/>
                </a:ext>
                <a:ext uri="{FF2B5EF4-FFF2-40B4-BE49-F238E27FC236}">
                  <a16:creationId xmlns:a16="http://schemas.microsoft.com/office/drawing/2014/main" id="{00000000-0008-0000-0E00-0000323F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148</xdr:row>
          <xdr:rowOff>0</xdr:rowOff>
        </xdr:from>
        <xdr:to>
          <xdr:col>22</xdr:col>
          <xdr:colOff>177800</xdr:colOff>
          <xdr:row>148</xdr:row>
          <xdr:rowOff>177800</xdr:rowOff>
        </xdr:to>
        <xdr:sp macro="" textlink="">
          <xdr:nvSpPr>
            <xdr:cNvPr id="16179" name="Check Box 819" hidden="1">
              <a:extLst>
                <a:ext uri="{63B3BB69-23CF-44E3-9099-C40C66FF867C}">
                  <a14:compatExt spid="_x0000_s16179"/>
                </a:ext>
                <a:ext uri="{FF2B5EF4-FFF2-40B4-BE49-F238E27FC236}">
                  <a16:creationId xmlns:a16="http://schemas.microsoft.com/office/drawing/2014/main" id="{00000000-0008-0000-0E00-0000333F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260</xdr:row>
          <xdr:rowOff>0</xdr:rowOff>
        </xdr:from>
        <xdr:to>
          <xdr:col>22</xdr:col>
          <xdr:colOff>177800</xdr:colOff>
          <xdr:row>260</xdr:row>
          <xdr:rowOff>177800</xdr:rowOff>
        </xdr:to>
        <xdr:sp macro="" textlink="">
          <xdr:nvSpPr>
            <xdr:cNvPr id="16180" name="Check Box 820" hidden="1">
              <a:extLst>
                <a:ext uri="{63B3BB69-23CF-44E3-9099-C40C66FF867C}">
                  <a14:compatExt spid="_x0000_s16180"/>
                </a:ext>
                <a:ext uri="{FF2B5EF4-FFF2-40B4-BE49-F238E27FC236}">
                  <a16:creationId xmlns:a16="http://schemas.microsoft.com/office/drawing/2014/main" id="{00000000-0008-0000-0E00-0000343F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265</xdr:row>
          <xdr:rowOff>0</xdr:rowOff>
        </xdr:from>
        <xdr:to>
          <xdr:col>22</xdr:col>
          <xdr:colOff>177800</xdr:colOff>
          <xdr:row>265</xdr:row>
          <xdr:rowOff>177800</xdr:rowOff>
        </xdr:to>
        <xdr:sp macro="" textlink="">
          <xdr:nvSpPr>
            <xdr:cNvPr id="16181" name="Check Box 821" hidden="1">
              <a:extLst>
                <a:ext uri="{63B3BB69-23CF-44E3-9099-C40C66FF867C}">
                  <a14:compatExt spid="_x0000_s16181"/>
                </a:ext>
                <a:ext uri="{FF2B5EF4-FFF2-40B4-BE49-F238E27FC236}">
                  <a16:creationId xmlns:a16="http://schemas.microsoft.com/office/drawing/2014/main" id="{00000000-0008-0000-0E00-0000353F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268</xdr:row>
          <xdr:rowOff>0</xdr:rowOff>
        </xdr:from>
        <xdr:to>
          <xdr:col>22</xdr:col>
          <xdr:colOff>177800</xdr:colOff>
          <xdr:row>268</xdr:row>
          <xdr:rowOff>177800</xdr:rowOff>
        </xdr:to>
        <xdr:sp macro="" textlink="">
          <xdr:nvSpPr>
            <xdr:cNvPr id="16182" name="Check Box 822" hidden="1">
              <a:extLst>
                <a:ext uri="{63B3BB69-23CF-44E3-9099-C40C66FF867C}">
                  <a14:compatExt spid="_x0000_s16182"/>
                </a:ext>
                <a:ext uri="{FF2B5EF4-FFF2-40B4-BE49-F238E27FC236}">
                  <a16:creationId xmlns:a16="http://schemas.microsoft.com/office/drawing/2014/main" id="{00000000-0008-0000-0E00-0000363F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269</xdr:row>
          <xdr:rowOff>0</xdr:rowOff>
        </xdr:from>
        <xdr:to>
          <xdr:col>22</xdr:col>
          <xdr:colOff>177800</xdr:colOff>
          <xdr:row>269</xdr:row>
          <xdr:rowOff>177800</xdr:rowOff>
        </xdr:to>
        <xdr:sp macro="" textlink="">
          <xdr:nvSpPr>
            <xdr:cNvPr id="16183" name="Check Box 823" hidden="1">
              <a:extLst>
                <a:ext uri="{63B3BB69-23CF-44E3-9099-C40C66FF867C}">
                  <a14:compatExt spid="_x0000_s16183"/>
                </a:ext>
                <a:ext uri="{FF2B5EF4-FFF2-40B4-BE49-F238E27FC236}">
                  <a16:creationId xmlns:a16="http://schemas.microsoft.com/office/drawing/2014/main" id="{00000000-0008-0000-0E00-0000373F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281</xdr:row>
          <xdr:rowOff>0</xdr:rowOff>
        </xdr:from>
        <xdr:to>
          <xdr:col>22</xdr:col>
          <xdr:colOff>177800</xdr:colOff>
          <xdr:row>281</xdr:row>
          <xdr:rowOff>177800</xdr:rowOff>
        </xdr:to>
        <xdr:sp macro="" textlink="">
          <xdr:nvSpPr>
            <xdr:cNvPr id="16185" name="Check Box 825" hidden="1">
              <a:extLst>
                <a:ext uri="{63B3BB69-23CF-44E3-9099-C40C66FF867C}">
                  <a14:compatExt spid="_x0000_s16185"/>
                </a:ext>
                <a:ext uri="{FF2B5EF4-FFF2-40B4-BE49-F238E27FC236}">
                  <a16:creationId xmlns:a16="http://schemas.microsoft.com/office/drawing/2014/main" id="{00000000-0008-0000-0E00-0000393F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285</xdr:row>
          <xdr:rowOff>0</xdr:rowOff>
        </xdr:from>
        <xdr:to>
          <xdr:col>22</xdr:col>
          <xdr:colOff>177800</xdr:colOff>
          <xdr:row>285</xdr:row>
          <xdr:rowOff>177800</xdr:rowOff>
        </xdr:to>
        <xdr:sp macro="" textlink="">
          <xdr:nvSpPr>
            <xdr:cNvPr id="16186" name="Check Box 826" hidden="1">
              <a:extLst>
                <a:ext uri="{63B3BB69-23CF-44E3-9099-C40C66FF867C}">
                  <a14:compatExt spid="_x0000_s16186"/>
                </a:ext>
                <a:ext uri="{FF2B5EF4-FFF2-40B4-BE49-F238E27FC236}">
                  <a16:creationId xmlns:a16="http://schemas.microsoft.com/office/drawing/2014/main" id="{00000000-0008-0000-0E00-00003A3F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288</xdr:row>
          <xdr:rowOff>0</xdr:rowOff>
        </xdr:from>
        <xdr:to>
          <xdr:col>22</xdr:col>
          <xdr:colOff>177800</xdr:colOff>
          <xdr:row>288</xdr:row>
          <xdr:rowOff>177800</xdr:rowOff>
        </xdr:to>
        <xdr:sp macro="" textlink="">
          <xdr:nvSpPr>
            <xdr:cNvPr id="16187" name="Check Box 827" hidden="1">
              <a:extLst>
                <a:ext uri="{63B3BB69-23CF-44E3-9099-C40C66FF867C}">
                  <a14:compatExt spid="_x0000_s16187"/>
                </a:ext>
                <a:ext uri="{FF2B5EF4-FFF2-40B4-BE49-F238E27FC236}">
                  <a16:creationId xmlns:a16="http://schemas.microsoft.com/office/drawing/2014/main" id="{00000000-0008-0000-0E00-00003B3F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291</xdr:row>
          <xdr:rowOff>0</xdr:rowOff>
        </xdr:from>
        <xdr:to>
          <xdr:col>22</xdr:col>
          <xdr:colOff>177800</xdr:colOff>
          <xdr:row>291</xdr:row>
          <xdr:rowOff>177800</xdr:rowOff>
        </xdr:to>
        <xdr:sp macro="" textlink="">
          <xdr:nvSpPr>
            <xdr:cNvPr id="16188" name="Check Box 828" hidden="1">
              <a:extLst>
                <a:ext uri="{63B3BB69-23CF-44E3-9099-C40C66FF867C}">
                  <a14:compatExt spid="_x0000_s16188"/>
                </a:ext>
                <a:ext uri="{FF2B5EF4-FFF2-40B4-BE49-F238E27FC236}">
                  <a16:creationId xmlns:a16="http://schemas.microsoft.com/office/drawing/2014/main" id="{00000000-0008-0000-0E00-00003C3F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292</xdr:row>
          <xdr:rowOff>0</xdr:rowOff>
        </xdr:from>
        <xdr:to>
          <xdr:col>22</xdr:col>
          <xdr:colOff>177800</xdr:colOff>
          <xdr:row>292</xdr:row>
          <xdr:rowOff>177800</xdr:rowOff>
        </xdr:to>
        <xdr:sp macro="" textlink="">
          <xdr:nvSpPr>
            <xdr:cNvPr id="16189" name="Check Box 829" hidden="1">
              <a:extLst>
                <a:ext uri="{63B3BB69-23CF-44E3-9099-C40C66FF867C}">
                  <a14:compatExt spid="_x0000_s16189"/>
                </a:ext>
                <a:ext uri="{FF2B5EF4-FFF2-40B4-BE49-F238E27FC236}">
                  <a16:creationId xmlns:a16="http://schemas.microsoft.com/office/drawing/2014/main" id="{00000000-0008-0000-0E00-00003D3F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297</xdr:row>
          <xdr:rowOff>0</xdr:rowOff>
        </xdr:from>
        <xdr:to>
          <xdr:col>22</xdr:col>
          <xdr:colOff>177800</xdr:colOff>
          <xdr:row>297</xdr:row>
          <xdr:rowOff>177800</xdr:rowOff>
        </xdr:to>
        <xdr:sp macro="" textlink="">
          <xdr:nvSpPr>
            <xdr:cNvPr id="16190" name="Check Box 830" hidden="1">
              <a:extLst>
                <a:ext uri="{63B3BB69-23CF-44E3-9099-C40C66FF867C}">
                  <a14:compatExt spid="_x0000_s16190"/>
                </a:ext>
                <a:ext uri="{FF2B5EF4-FFF2-40B4-BE49-F238E27FC236}">
                  <a16:creationId xmlns:a16="http://schemas.microsoft.com/office/drawing/2014/main" id="{00000000-0008-0000-0E00-00003E3F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299</xdr:row>
          <xdr:rowOff>0</xdr:rowOff>
        </xdr:from>
        <xdr:to>
          <xdr:col>22</xdr:col>
          <xdr:colOff>177800</xdr:colOff>
          <xdr:row>299</xdr:row>
          <xdr:rowOff>177800</xdr:rowOff>
        </xdr:to>
        <xdr:sp macro="" textlink="">
          <xdr:nvSpPr>
            <xdr:cNvPr id="16191" name="Check Box 831" hidden="1">
              <a:extLst>
                <a:ext uri="{63B3BB69-23CF-44E3-9099-C40C66FF867C}">
                  <a14:compatExt spid="_x0000_s16191"/>
                </a:ext>
                <a:ext uri="{FF2B5EF4-FFF2-40B4-BE49-F238E27FC236}">
                  <a16:creationId xmlns:a16="http://schemas.microsoft.com/office/drawing/2014/main" id="{00000000-0008-0000-0E00-00003F3F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301</xdr:row>
          <xdr:rowOff>0</xdr:rowOff>
        </xdr:from>
        <xdr:to>
          <xdr:col>22</xdr:col>
          <xdr:colOff>177800</xdr:colOff>
          <xdr:row>301</xdr:row>
          <xdr:rowOff>177800</xdr:rowOff>
        </xdr:to>
        <xdr:sp macro="" textlink="">
          <xdr:nvSpPr>
            <xdr:cNvPr id="16192" name="Check Box 832" hidden="1">
              <a:extLst>
                <a:ext uri="{63B3BB69-23CF-44E3-9099-C40C66FF867C}">
                  <a14:compatExt spid="_x0000_s16192"/>
                </a:ext>
                <a:ext uri="{FF2B5EF4-FFF2-40B4-BE49-F238E27FC236}">
                  <a16:creationId xmlns:a16="http://schemas.microsoft.com/office/drawing/2014/main" id="{00000000-0008-0000-0E00-0000403F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303</xdr:row>
          <xdr:rowOff>0</xdr:rowOff>
        </xdr:from>
        <xdr:to>
          <xdr:col>22</xdr:col>
          <xdr:colOff>177800</xdr:colOff>
          <xdr:row>303</xdr:row>
          <xdr:rowOff>177800</xdr:rowOff>
        </xdr:to>
        <xdr:sp macro="" textlink="">
          <xdr:nvSpPr>
            <xdr:cNvPr id="16193" name="Check Box 833" hidden="1">
              <a:extLst>
                <a:ext uri="{63B3BB69-23CF-44E3-9099-C40C66FF867C}">
                  <a14:compatExt spid="_x0000_s16193"/>
                </a:ext>
                <a:ext uri="{FF2B5EF4-FFF2-40B4-BE49-F238E27FC236}">
                  <a16:creationId xmlns:a16="http://schemas.microsoft.com/office/drawing/2014/main" id="{00000000-0008-0000-0E00-0000413F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541</xdr:row>
          <xdr:rowOff>0</xdr:rowOff>
        </xdr:from>
        <xdr:to>
          <xdr:col>22</xdr:col>
          <xdr:colOff>177800</xdr:colOff>
          <xdr:row>541</xdr:row>
          <xdr:rowOff>177800</xdr:rowOff>
        </xdr:to>
        <xdr:sp macro="" textlink="">
          <xdr:nvSpPr>
            <xdr:cNvPr id="16195" name="Check Box 835" hidden="1">
              <a:extLst>
                <a:ext uri="{63B3BB69-23CF-44E3-9099-C40C66FF867C}">
                  <a14:compatExt spid="_x0000_s16195"/>
                </a:ext>
                <a:ext uri="{FF2B5EF4-FFF2-40B4-BE49-F238E27FC236}">
                  <a16:creationId xmlns:a16="http://schemas.microsoft.com/office/drawing/2014/main" id="{00000000-0008-0000-0E00-0000433F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1051</xdr:row>
          <xdr:rowOff>0</xdr:rowOff>
        </xdr:from>
        <xdr:to>
          <xdr:col>22</xdr:col>
          <xdr:colOff>177800</xdr:colOff>
          <xdr:row>1051</xdr:row>
          <xdr:rowOff>177800</xdr:rowOff>
        </xdr:to>
        <xdr:sp macro="" textlink="">
          <xdr:nvSpPr>
            <xdr:cNvPr id="16201" name="Check Box 841" hidden="1">
              <a:extLst>
                <a:ext uri="{63B3BB69-23CF-44E3-9099-C40C66FF867C}">
                  <a14:compatExt spid="_x0000_s16201"/>
                </a:ext>
                <a:ext uri="{FF2B5EF4-FFF2-40B4-BE49-F238E27FC236}">
                  <a16:creationId xmlns:a16="http://schemas.microsoft.com/office/drawing/2014/main" id="{00000000-0008-0000-0E00-0000493F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1060</xdr:row>
          <xdr:rowOff>0</xdr:rowOff>
        </xdr:from>
        <xdr:to>
          <xdr:col>22</xdr:col>
          <xdr:colOff>177800</xdr:colOff>
          <xdr:row>1060</xdr:row>
          <xdr:rowOff>177800</xdr:rowOff>
        </xdr:to>
        <xdr:sp macro="" textlink="">
          <xdr:nvSpPr>
            <xdr:cNvPr id="16202" name="Check Box 842" hidden="1">
              <a:extLst>
                <a:ext uri="{63B3BB69-23CF-44E3-9099-C40C66FF867C}">
                  <a14:compatExt spid="_x0000_s16202"/>
                </a:ext>
                <a:ext uri="{FF2B5EF4-FFF2-40B4-BE49-F238E27FC236}">
                  <a16:creationId xmlns:a16="http://schemas.microsoft.com/office/drawing/2014/main" id="{00000000-0008-0000-0E00-00004A3F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1118</xdr:row>
          <xdr:rowOff>0</xdr:rowOff>
        </xdr:from>
        <xdr:to>
          <xdr:col>22</xdr:col>
          <xdr:colOff>177800</xdr:colOff>
          <xdr:row>1118</xdr:row>
          <xdr:rowOff>177800</xdr:rowOff>
        </xdr:to>
        <xdr:sp macro="" textlink="">
          <xdr:nvSpPr>
            <xdr:cNvPr id="16204" name="Check Box 844" hidden="1">
              <a:extLst>
                <a:ext uri="{63B3BB69-23CF-44E3-9099-C40C66FF867C}">
                  <a14:compatExt spid="_x0000_s16204"/>
                </a:ext>
                <a:ext uri="{FF2B5EF4-FFF2-40B4-BE49-F238E27FC236}">
                  <a16:creationId xmlns:a16="http://schemas.microsoft.com/office/drawing/2014/main" id="{00000000-0008-0000-0E00-00004C3F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1162</xdr:row>
          <xdr:rowOff>0</xdr:rowOff>
        </xdr:from>
        <xdr:to>
          <xdr:col>22</xdr:col>
          <xdr:colOff>177800</xdr:colOff>
          <xdr:row>1162</xdr:row>
          <xdr:rowOff>177800</xdr:rowOff>
        </xdr:to>
        <xdr:sp macro="" textlink="">
          <xdr:nvSpPr>
            <xdr:cNvPr id="16206" name="Check Box 846" hidden="1">
              <a:extLst>
                <a:ext uri="{63B3BB69-23CF-44E3-9099-C40C66FF867C}">
                  <a14:compatExt spid="_x0000_s16206"/>
                </a:ext>
                <a:ext uri="{FF2B5EF4-FFF2-40B4-BE49-F238E27FC236}">
                  <a16:creationId xmlns:a16="http://schemas.microsoft.com/office/drawing/2014/main" id="{00000000-0008-0000-0E00-00004E3F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1165</xdr:row>
          <xdr:rowOff>0</xdr:rowOff>
        </xdr:from>
        <xdr:to>
          <xdr:col>22</xdr:col>
          <xdr:colOff>177800</xdr:colOff>
          <xdr:row>1165</xdr:row>
          <xdr:rowOff>177800</xdr:rowOff>
        </xdr:to>
        <xdr:sp macro="" textlink="">
          <xdr:nvSpPr>
            <xdr:cNvPr id="16207" name="Check Box 847" hidden="1">
              <a:extLst>
                <a:ext uri="{63B3BB69-23CF-44E3-9099-C40C66FF867C}">
                  <a14:compatExt spid="_x0000_s16207"/>
                </a:ext>
                <a:ext uri="{FF2B5EF4-FFF2-40B4-BE49-F238E27FC236}">
                  <a16:creationId xmlns:a16="http://schemas.microsoft.com/office/drawing/2014/main" id="{00000000-0008-0000-0E00-00004F3F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1175</xdr:row>
          <xdr:rowOff>0</xdr:rowOff>
        </xdr:from>
        <xdr:to>
          <xdr:col>22</xdr:col>
          <xdr:colOff>177800</xdr:colOff>
          <xdr:row>1175</xdr:row>
          <xdr:rowOff>177800</xdr:rowOff>
        </xdr:to>
        <xdr:sp macro="" textlink="">
          <xdr:nvSpPr>
            <xdr:cNvPr id="16208" name="Check Box 848" hidden="1">
              <a:extLst>
                <a:ext uri="{63B3BB69-23CF-44E3-9099-C40C66FF867C}">
                  <a14:compatExt spid="_x0000_s16208"/>
                </a:ext>
                <a:ext uri="{FF2B5EF4-FFF2-40B4-BE49-F238E27FC236}">
                  <a16:creationId xmlns:a16="http://schemas.microsoft.com/office/drawing/2014/main" id="{00000000-0008-0000-0E00-0000503F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1182</xdr:row>
          <xdr:rowOff>0</xdr:rowOff>
        </xdr:from>
        <xdr:to>
          <xdr:col>22</xdr:col>
          <xdr:colOff>177800</xdr:colOff>
          <xdr:row>1182</xdr:row>
          <xdr:rowOff>177800</xdr:rowOff>
        </xdr:to>
        <xdr:sp macro="" textlink="">
          <xdr:nvSpPr>
            <xdr:cNvPr id="16209" name="Check Box 849" hidden="1">
              <a:extLst>
                <a:ext uri="{63B3BB69-23CF-44E3-9099-C40C66FF867C}">
                  <a14:compatExt spid="_x0000_s16209"/>
                </a:ext>
                <a:ext uri="{FF2B5EF4-FFF2-40B4-BE49-F238E27FC236}">
                  <a16:creationId xmlns:a16="http://schemas.microsoft.com/office/drawing/2014/main" id="{00000000-0008-0000-0E00-0000513F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1187</xdr:row>
          <xdr:rowOff>0</xdr:rowOff>
        </xdr:from>
        <xdr:to>
          <xdr:col>22</xdr:col>
          <xdr:colOff>177800</xdr:colOff>
          <xdr:row>1187</xdr:row>
          <xdr:rowOff>177800</xdr:rowOff>
        </xdr:to>
        <xdr:sp macro="" textlink="">
          <xdr:nvSpPr>
            <xdr:cNvPr id="16210" name="Check Box 850" hidden="1">
              <a:extLst>
                <a:ext uri="{63B3BB69-23CF-44E3-9099-C40C66FF867C}">
                  <a14:compatExt spid="_x0000_s16210"/>
                </a:ext>
                <a:ext uri="{FF2B5EF4-FFF2-40B4-BE49-F238E27FC236}">
                  <a16:creationId xmlns:a16="http://schemas.microsoft.com/office/drawing/2014/main" id="{00000000-0008-0000-0E00-0000523F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1188</xdr:row>
          <xdr:rowOff>0</xdr:rowOff>
        </xdr:from>
        <xdr:to>
          <xdr:col>22</xdr:col>
          <xdr:colOff>177800</xdr:colOff>
          <xdr:row>1188</xdr:row>
          <xdr:rowOff>177800</xdr:rowOff>
        </xdr:to>
        <xdr:sp macro="" textlink="">
          <xdr:nvSpPr>
            <xdr:cNvPr id="16211" name="Check Box 851" hidden="1">
              <a:extLst>
                <a:ext uri="{63B3BB69-23CF-44E3-9099-C40C66FF867C}">
                  <a14:compatExt spid="_x0000_s16211"/>
                </a:ext>
                <a:ext uri="{FF2B5EF4-FFF2-40B4-BE49-F238E27FC236}">
                  <a16:creationId xmlns:a16="http://schemas.microsoft.com/office/drawing/2014/main" id="{00000000-0008-0000-0E00-0000533F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1190</xdr:row>
          <xdr:rowOff>0</xdr:rowOff>
        </xdr:from>
        <xdr:to>
          <xdr:col>22</xdr:col>
          <xdr:colOff>177800</xdr:colOff>
          <xdr:row>1190</xdr:row>
          <xdr:rowOff>177800</xdr:rowOff>
        </xdr:to>
        <xdr:sp macro="" textlink="">
          <xdr:nvSpPr>
            <xdr:cNvPr id="16212" name="Check Box 852" hidden="1">
              <a:extLst>
                <a:ext uri="{63B3BB69-23CF-44E3-9099-C40C66FF867C}">
                  <a14:compatExt spid="_x0000_s16212"/>
                </a:ext>
                <a:ext uri="{FF2B5EF4-FFF2-40B4-BE49-F238E27FC236}">
                  <a16:creationId xmlns:a16="http://schemas.microsoft.com/office/drawing/2014/main" id="{00000000-0008-0000-0E00-0000543F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1191</xdr:row>
          <xdr:rowOff>0</xdr:rowOff>
        </xdr:from>
        <xdr:to>
          <xdr:col>22</xdr:col>
          <xdr:colOff>177800</xdr:colOff>
          <xdr:row>1191</xdr:row>
          <xdr:rowOff>177800</xdr:rowOff>
        </xdr:to>
        <xdr:sp macro="" textlink="">
          <xdr:nvSpPr>
            <xdr:cNvPr id="16213" name="Check Box 853" hidden="1">
              <a:extLst>
                <a:ext uri="{63B3BB69-23CF-44E3-9099-C40C66FF867C}">
                  <a14:compatExt spid="_x0000_s16213"/>
                </a:ext>
                <a:ext uri="{FF2B5EF4-FFF2-40B4-BE49-F238E27FC236}">
                  <a16:creationId xmlns:a16="http://schemas.microsoft.com/office/drawing/2014/main" id="{00000000-0008-0000-0E00-0000553F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1193</xdr:row>
          <xdr:rowOff>0</xdr:rowOff>
        </xdr:from>
        <xdr:to>
          <xdr:col>22</xdr:col>
          <xdr:colOff>177800</xdr:colOff>
          <xdr:row>1193</xdr:row>
          <xdr:rowOff>177800</xdr:rowOff>
        </xdr:to>
        <xdr:sp macro="" textlink="">
          <xdr:nvSpPr>
            <xdr:cNvPr id="16214" name="Check Box 854" hidden="1">
              <a:extLst>
                <a:ext uri="{63B3BB69-23CF-44E3-9099-C40C66FF867C}">
                  <a14:compatExt spid="_x0000_s16214"/>
                </a:ext>
                <a:ext uri="{FF2B5EF4-FFF2-40B4-BE49-F238E27FC236}">
                  <a16:creationId xmlns:a16="http://schemas.microsoft.com/office/drawing/2014/main" id="{00000000-0008-0000-0E00-0000563F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1253</xdr:row>
          <xdr:rowOff>0</xdr:rowOff>
        </xdr:from>
        <xdr:to>
          <xdr:col>22</xdr:col>
          <xdr:colOff>177800</xdr:colOff>
          <xdr:row>1253</xdr:row>
          <xdr:rowOff>177800</xdr:rowOff>
        </xdr:to>
        <xdr:sp macro="" textlink="">
          <xdr:nvSpPr>
            <xdr:cNvPr id="16215" name="Check Box 855" hidden="1">
              <a:extLst>
                <a:ext uri="{63B3BB69-23CF-44E3-9099-C40C66FF867C}">
                  <a14:compatExt spid="_x0000_s16215"/>
                </a:ext>
                <a:ext uri="{FF2B5EF4-FFF2-40B4-BE49-F238E27FC236}">
                  <a16:creationId xmlns:a16="http://schemas.microsoft.com/office/drawing/2014/main" id="{00000000-0008-0000-0E00-0000573F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1255</xdr:row>
          <xdr:rowOff>0</xdr:rowOff>
        </xdr:from>
        <xdr:to>
          <xdr:col>22</xdr:col>
          <xdr:colOff>177800</xdr:colOff>
          <xdr:row>1255</xdr:row>
          <xdr:rowOff>177800</xdr:rowOff>
        </xdr:to>
        <xdr:sp macro="" textlink="">
          <xdr:nvSpPr>
            <xdr:cNvPr id="16216" name="Check Box 856" hidden="1">
              <a:extLst>
                <a:ext uri="{63B3BB69-23CF-44E3-9099-C40C66FF867C}">
                  <a14:compatExt spid="_x0000_s16216"/>
                </a:ext>
                <a:ext uri="{FF2B5EF4-FFF2-40B4-BE49-F238E27FC236}">
                  <a16:creationId xmlns:a16="http://schemas.microsoft.com/office/drawing/2014/main" id="{00000000-0008-0000-0E00-0000583F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1257</xdr:row>
          <xdr:rowOff>0</xdr:rowOff>
        </xdr:from>
        <xdr:to>
          <xdr:col>22</xdr:col>
          <xdr:colOff>177800</xdr:colOff>
          <xdr:row>1257</xdr:row>
          <xdr:rowOff>177800</xdr:rowOff>
        </xdr:to>
        <xdr:sp macro="" textlink="">
          <xdr:nvSpPr>
            <xdr:cNvPr id="16217" name="Check Box 857" hidden="1">
              <a:extLst>
                <a:ext uri="{63B3BB69-23CF-44E3-9099-C40C66FF867C}">
                  <a14:compatExt spid="_x0000_s16217"/>
                </a:ext>
                <a:ext uri="{FF2B5EF4-FFF2-40B4-BE49-F238E27FC236}">
                  <a16:creationId xmlns:a16="http://schemas.microsoft.com/office/drawing/2014/main" id="{00000000-0008-0000-0E00-0000593F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1280</xdr:row>
          <xdr:rowOff>0</xdr:rowOff>
        </xdr:from>
        <xdr:to>
          <xdr:col>22</xdr:col>
          <xdr:colOff>177800</xdr:colOff>
          <xdr:row>1280</xdr:row>
          <xdr:rowOff>177800</xdr:rowOff>
        </xdr:to>
        <xdr:sp macro="" textlink="">
          <xdr:nvSpPr>
            <xdr:cNvPr id="16218" name="Check Box 858" hidden="1">
              <a:extLst>
                <a:ext uri="{63B3BB69-23CF-44E3-9099-C40C66FF867C}">
                  <a14:compatExt spid="_x0000_s16218"/>
                </a:ext>
                <a:ext uri="{FF2B5EF4-FFF2-40B4-BE49-F238E27FC236}">
                  <a16:creationId xmlns:a16="http://schemas.microsoft.com/office/drawing/2014/main" id="{00000000-0008-0000-0E00-00005A3F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1282</xdr:row>
          <xdr:rowOff>0</xdr:rowOff>
        </xdr:from>
        <xdr:to>
          <xdr:col>22</xdr:col>
          <xdr:colOff>177800</xdr:colOff>
          <xdr:row>1282</xdr:row>
          <xdr:rowOff>177800</xdr:rowOff>
        </xdr:to>
        <xdr:sp macro="" textlink="">
          <xdr:nvSpPr>
            <xdr:cNvPr id="16219" name="Check Box 859" hidden="1">
              <a:extLst>
                <a:ext uri="{63B3BB69-23CF-44E3-9099-C40C66FF867C}">
                  <a14:compatExt spid="_x0000_s16219"/>
                </a:ext>
                <a:ext uri="{FF2B5EF4-FFF2-40B4-BE49-F238E27FC236}">
                  <a16:creationId xmlns:a16="http://schemas.microsoft.com/office/drawing/2014/main" id="{00000000-0008-0000-0E00-00005B3F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1284</xdr:row>
          <xdr:rowOff>0</xdr:rowOff>
        </xdr:from>
        <xdr:to>
          <xdr:col>22</xdr:col>
          <xdr:colOff>177800</xdr:colOff>
          <xdr:row>1284</xdr:row>
          <xdr:rowOff>177800</xdr:rowOff>
        </xdr:to>
        <xdr:sp macro="" textlink="">
          <xdr:nvSpPr>
            <xdr:cNvPr id="16220" name="Check Box 860" hidden="1">
              <a:extLst>
                <a:ext uri="{63B3BB69-23CF-44E3-9099-C40C66FF867C}">
                  <a14:compatExt spid="_x0000_s16220"/>
                </a:ext>
                <a:ext uri="{FF2B5EF4-FFF2-40B4-BE49-F238E27FC236}">
                  <a16:creationId xmlns:a16="http://schemas.microsoft.com/office/drawing/2014/main" id="{00000000-0008-0000-0E00-00005C3F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1287</xdr:row>
          <xdr:rowOff>0</xdr:rowOff>
        </xdr:from>
        <xdr:to>
          <xdr:col>22</xdr:col>
          <xdr:colOff>177800</xdr:colOff>
          <xdr:row>1287</xdr:row>
          <xdr:rowOff>177800</xdr:rowOff>
        </xdr:to>
        <xdr:sp macro="" textlink="">
          <xdr:nvSpPr>
            <xdr:cNvPr id="16221" name="Check Box 861" hidden="1">
              <a:extLst>
                <a:ext uri="{63B3BB69-23CF-44E3-9099-C40C66FF867C}">
                  <a14:compatExt spid="_x0000_s16221"/>
                </a:ext>
                <a:ext uri="{FF2B5EF4-FFF2-40B4-BE49-F238E27FC236}">
                  <a16:creationId xmlns:a16="http://schemas.microsoft.com/office/drawing/2014/main" id="{00000000-0008-0000-0E00-00005D3F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1288</xdr:row>
          <xdr:rowOff>0</xdr:rowOff>
        </xdr:from>
        <xdr:to>
          <xdr:col>22</xdr:col>
          <xdr:colOff>177800</xdr:colOff>
          <xdr:row>1288</xdr:row>
          <xdr:rowOff>177800</xdr:rowOff>
        </xdr:to>
        <xdr:sp macro="" textlink="">
          <xdr:nvSpPr>
            <xdr:cNvPr id="16222" name="Check Box 862" hidden="1">
              <a:extLst>
                <a:ext uri="{63B3BB69-23CF-44E3-9099-C40C66FF867C}">
                  <a14:compatExt spid="_x0000_s16222"/>
                </a:ext>
                <a:ext uri="{FF2B5EF4-FFF2-40B4-BE49-F238E27FC236}">
                  <a16:creationId xmlns:a16="http://schemas.microsoft.com/office/drawing/2014/main" id="{00000000-0008-0000-0E00-00005E3F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1289</xdr:row>
          <xdr:rowOff>0</xdr:rowOff>
        </xdr:from>
        <xdr:to>
          <xdr:col>22</xdr:col>
          <xdr:colOff>177800</xdr:colOff>
          <xdr:row>1289</xdr:row>
          <xdr:rowOff>177800</xdr:rowOff>
        </xdr:to>
        <xdr:sp macro="" textlink="">
          <xdr:nvSpPr>
            <xdr:cNvPr id="16223" name="Check Box 863" hidden="1">
              <a:extLst>
                <a:ext uri="{63B3BB69-23CF-44E3-9099-C40C66FF867C}">
                  <a14:compatExt spid="_x0000_s16223"/>
                </a:ext>
                <a:ext uri="{FF2B5EF4-FFF2-40B4-BE49-F238E27FC236}">
                  <a16:creationId xmlns:a16="http://schemas.microsoft.com/office/drawing/2014/main" id="{00000000-0008-0000-0E00-00005F3F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1292</xdr:row>
          <xdr:rowOff>0</xdr:rowOff>
        </xdr:from>
        <xdr:to>
          <xdr:col>22</xdr:col>
          <xdr:colOff>177800</xdr:colOff>
          <xdr:row>1292</xdr:row>
          <xdr:rowOff>177800</xdr:rowOff>
        </xdr:to>
        <xdr:sp macro="" textlink="">
          <xdr:nvSpPr>
            <xdr:cNvPr id="16224" name="Check Box 864" hidden="1">
              <a:extLst>
                <a:ext uri="{63B3BB69-23CF-44E3-9099-C40C66FF867C}">
                  <a14:compatExt spid="_x0000_s16224"/>
                </a:ext>
                <a:ext uri="{FF2B5EF4-FFF2-40B4-BE49-F238E27FC236}">
                  <a16:creationId xmlns:a16="http://schemas.microsoft.com/office/drawing/2014/main" id="{00000000-0008-0000-0E00-0000603F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1320</xdr:row>
          <xdr:rowOff>0</xdr:rowOff>
        </xdr:from>
        <xdr:to>
          <xdr:col>22</xdr:col>
          <xdr:colOff>177800</xdr:colOff>
          <xdr:row>1320</xdr:row>
          <xdr:rowOff>177800</xdr:rowOff>
        </xdr:to>
        <xdr:sp macro="" textlink="">
          <xdr:nvSpPr>
            <xdr:cNvPr id="16225" name="Check Box 865" hidden="1">
              <a:extLst>
                <a:ext uri="{63B3BB69-23CF-44E3-9099-C40C66FF867C}">
                  <a14:compatExt spid="_x0000_s16225"/>
                </a:ext>
                <a:ext uri="{FF2B5EF4-FFF2-40B4-BE49-F238E27FC236}">
                  <a16:creationId xmlns:a16="http://schemas.microsoft.com/office/drawing/2014/main" id="{00000000-0008-0000-0E00-0000613F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1328</xdr:row>
          <xdr:rowOff>0</xdr:rowOff>
        </xdr:from>
        <xdr:to>
          <xdr:col>22</xdr:col>
          <xdr:colOff>177800</xdr:colOff>
          <xdr:row>1328</xdr:row>
          <xdr:rowOff>177800</xdr:rowOff>
        </xdr:to>
        <xdr:sp macro="" textlink="">
          <xdr:nvSpPr>
            <xdr:cNvPr id="16226" name="Check Box 866" hidden="1">
              <a:extLst>
                <a:ext uri="{63B3BB69-23CF-44E3-9099-C40C66FF867C}">
                  <a14:compatExt spid="_x0000_s16226"/>
                </a:ext>
                <a:ext uri="{FF2B5EF4-FFF2-40B4-BE49-F238E27FC236}">
                  <a16:creationId xmlns:a16="http://schemas.microsoft.com/office/drawing/2014/main" id="{00000000-0008-0000-0E00-0000623F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1330</xdr:row>
          <xdr:rowOff>0</xdr:rowOff>
        </xdr:from>
        <xdr:to>
          <xdr:col>22</xdr:col>
          <xdr:colOff>177800</xdr:colOff>
          <xdr:row>1330</xdr:row>
          <xdr:rowOff>177800</xdr:rowOff>
        </xdr:to>
        <xdr:sp macro="" textlink="">
          <xdr:nvSpPr>
            <xdr:cNvPr id="16227" name="Check Box 867" hidden="1">
              <a:extLst>
                <a:ext uri="{63B3BB69-23CF-44E3-9099-C40C66FF867C}">
                  <a14:compatExt spid="_x0000_s16227"/>
                </a:ext>
                <a:ext uri="{FF2B5EF4-FFF2-40B4-BE49-F238E27FC236}">
                  <a16:creationId xmlns:a16="http://schemas.microsoft.com/office/drawing/2014/main" id="{00000000-0008-0000-0E00-0000633F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1331</xdr:row>
          <xdr:rowOff>0</xdr:rowOff>
        </xdr:from>
        <xdr:to>
          <xdr:col>22</xdr:col>
          <xdr:colOff>177800</xdr:colOff>
          <xdr:row>1331</xdr:row>
          <xdr:rowOff>177800</xdr:rowOff>
        </xdr:to>
        <xdr:sp macro="" textlink="">
          <xdr:nvSpPr>
            <xdr:cNvPr id="16228" name="Check Box 868" hidden="1">
              <a:extLst>
                <a:ext uri="{63B3BB69-23CF-44E3-9099-C40C66FF867C}">
                  <a14:compatExt spid="_x0000_s16228"/>
                </a:ext>
                <a:ext uri="{FF2B5EF4-FFF2-40B4-BE49-F238E27FC236}">
                  <a16:creationId xmlns:a16="http://schemas.microsoft.com/office/drawing/2014/main" id="{00000000-0008-0000-0E00-0000643F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1332</xdr:row>
          <xdr:rowOff>0</xdr:rowOff>
        </xdr:from>
        <xdr:to>
          <xdr:col>22</xdr:col>
          <xdr:colOff>177800</xdr:colOff>
          <xdr:row>1332</xdr:row>
          <xdr:rowOff>177800</xdr:rowOff>
        </xdr:to>
        <xdr:sp macro="" textlink="">
          <xdr:nvSpPr>
            <xdr:cNvPr id="16229" name="Check Box 869" hidden="1">
              <a:extLst>
                <a:ext uri="{63B3BB69-23CF-44E3-9099-C40C66FF867C}">
                  <a14:compatExt spid="_x0000_s16229"/>
                </a:ext>
                <a:ext uri="{FF2B5EF4-FFF2-40B4-BE49-F238E27FC236}">
                  <a16:creationId xmlns:a16="http://schemas.microsoft.com/office/drawing/2014/main" id="{00000000-0008-0000-0E00-0000653F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1334</xdr:row>
          <xdr:rowOff>0</xdr:rowOff>
        </xdr:from>
        <xdr:to>
          <xdr:col>22</xdr:col>
          <xdr:colOff>177800</xdr:colOff>
          <xdr:row>1334</xdr:row>
          <xdr:rowOff>177800</xdr:rowOff>
        </xdr:to>
        <xdr:sp macro="" textlink="">
          <xdr:nvSpPr>
            <xdr:cNvPr id="16230" name="Check Box 870" hidden="1">
              <a:extLst>
                <a:ext uri="{63B3BB69-23CF-44E3-9099-C40C66FF867C}">
                  <a14:compatExt spid="_x0000_s16230"/>
                </a:ext>
                <a:ext uri="{FF2B5EF4-FFF2-40B4-BE49-F238E27FC236}">
                  <a16:creationId xmlns:a16="http://schemas.microsoft.com/office/drawing/2014/main" id="{00000000-0008-0000-0E00-0000663F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1336</xdr:row>
          <xdr:rowOff>0</xdr:rowOff>
        </xdr:from>
        <xdr:to>
          <xdr:col>22</xdr:col>
          <xdr:colOff>177800</xdr:colOff>
          <xdr:row>1336</xdr:row>
          <xdr:rowOff>177800</xdr:rowOff>
        </xdr:to>
        <xdr:sp macro="" textlink="">
          <xdr:nvSpPr>
            <xdr:cNvPr id="16231" name="Check Box 871" hidden="1">
              <a:extLst>
                <a:ext uri="{63B3BB69-23CF-44E3-9099-C40C66FF867C}">
                  <a14:compatExt spid="_x0000_s16231"/>
                </a:ext>
                <a:ext uri="{FF2B5EF4-FFF2-40B4-BE49-F238E27FC236}">
                  <a16:creationId xmlns:a16="http://schemas.microsoft.com/office/drawing/2014/main" id="{00000000-0008-0000-0E00-0000673F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1338</xdr:row>
          <xdr:rowOff>0</xdr:rowOff>
        </xdr:from>
        <xdr:to>
          <xdr:col>22</xdr:col>
          <xdr:colOff>177800</xdr:colOff>
          <xdr:row>1338</xdr:row>
          <xdr:rowOff>177800</xdr:rowOff>
        </xdr:to>
        <xdr:sp macro="" textlink="">
          <xdr:nvSpPr>
            <xdr:cNvPr id="16232" name="Check Box 872" hidden="1">
              <a:extLst>
                <a:ext uri="{63B3BB69-23CF-44E3-9099-C40C66FF867C}">
                  <a14:compatExt spid="_x0000_s16232"/>
                </a:ext>
                <a:ext uri="{FF2B5EF4-FFF2-40B4-BE49-F238E27FC236}">
                  <a16:creationId xmlns:a16="http://schemas.microsoft.com/office/drawing/2014/main" id="{00000000-0008-0000-0E00-0000683F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1343</xdr:row>
          <xdr:rowOff>0</xdr:rowOff>
        </xdr:from>
        <xdr:to>
          <xdr:col>22</xdr:col>
          <xdr:colOff>177800</xdr:colOff>
          <xdr:row>1343</xdr:row>
          <xdr:rowOff>177800</xdr:rowOff>
        </xdr:to>
        <xdr:sp macro="" textlink="">
          <xdr:nvSpPr>
            <xdr:cNvPr id="16233" name="Check Box 873" hidden="1">
              <a:extLst>
                <a:ext uri="{63B3BB69-23CF-44E3-9099-C40C66FF867C}">
                  <a14:compatExt spid="_x0000_s16233"/>
                </a:ext>
                <a:ext uri="{FF2B5EF4-FFF2-40B4-BE49-F238E27FC236}">
                  <a16:creationId xmlns:a16="http://schemas.microsoft.com/office/drawing/2014/main" id="{00000000-0008-0000-0E00-0000693F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1345</xdr:row>
          <xdr:rowOff>0</xdr:rowOff>
        </xdr:from>
        <xdr:to>
          <xdr:col>22</xdr:col>
          <xdr:colOff>177800</xdr:colOff>
          <xdr:row>1345</xdr:row>
          <xdr:rowOff>177800</xdr:rowOff>
        </xdr:to>
        <xdr:sp macro="" textlink="">
          <xdr:nvSpPr>
            <xdr:cNvPr id="16234" name="Check Box 874" hidden="1">
              <a:extLst>
                <a:ext uri="{63B3BB69-23CF-44E3-9099-C40C66FF867C}">
                  <a14:compatExt spid="_x0000_s16234"/>
                </a:ext>
                <a:ext uri="{FF2B5EF4-FFF2-40B4-BE49-F238E27FC236}">
                  <a16:creationId xmlns:a16="http://schemas.microsoft.com/office/drawing/2014/main" id="{00000000-0008-0000-0E00-00006A3F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1347</xdr:row>
          <xdr:rowOff>0</xdr:rowOff>
        </xdr:from>
        <xdr:to>
          <xdr:col>22</xdr:col>
          <xdr:colOff>177800</xdr:colOff>
          <xdr:row>1347</xdr:row>
          <xdr:rowOff>177800</xdr:rowOff>
        </xdr:to>
        <xdr:sp macro="" textlink="">
          <xdr:nvSpPr>
            <xdr:cNvPr id="16235" name="Check Box 875" hidden="1">
              <a:extLst>
                <a:ext uri="{63B3BB69-23CF-44E3-9099-C40C66FF867C}">
                  <a14:compatExt spid="_x0000_s16235"/>
                </a:ext>
                <a:ext uri="{FF2B5EF4-FFF2-40B4-BE49-F238E27FC236}">
                  <a16:creationId xmlns:a16="http://schemas.microsoft.com/office/drawing/2014/main" id="{00000000-0008-0000-0E00-00006B3F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1349</xdr:row>
          <xdr:rowOff>0</xdr:rowOff>
        </xdr:from>
        <xdr:to>
          <xdr:col>22</xdr:col>
          <xdr:colOff>177800</xdr:colOff>
          <xdr:row>1349</xdr:row>
          <xdr:rowOff>177800</xdr:rowOff>
        </xdr:to>
        <xdr:sp macro="" textlink="">
          <xdr:nvSpPr>
            <xdr:cNvPr id="16236" name="Check Box 876" hidden="1">
              <a:extLst>
                <a:ext uri="{63B3BB69-23CF-44E3-9099-C40C66FF867C}">
                  <a14:compatExt spid="_x0000_s16236"/>
                </a:ext>
                <a:ext uri="{FF2B5EF4-FFF2-40B4-BE49-F238E27FC236}">
                  <a16:creationId xmlns:a16="http://schemas.microsoft.com/office/drawing/2014/main" id="{00000000-0008-0000-0E00-00006C3F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1382</xdr:row>
          <xdr:rowOff>0</xdr:rowOff>
        </xdr:from>
        <xdr:to>
          <xdr:col>22</xdr:col>
          <xdr:colOff>177800</xdr:colOff>
          <xdr:row>1382</xdr:row>
          <xdr:rowOff>177800</xdr:rowOff>
        </xdr:to>
        <xdr:sp macro="" textlink="">
          <xdr:nvSpPr>
            <xdr:cNvPr id="16237" name="Check Box 877" hidden="1">
              <a:extLst>
                <a:ext uri="{63B3BB69-23CF-44E3-9099-C40C66FF867C}">
                  <a14:compatExt spid="_x0000_s16237"/>
                </a:ext>
                <a:ext uri="{FF2B5EF4-FFF2-40B4-BE49-F238E27FC236}">
                  <a16:creationId xmlns:a16="http://schemas.microsoft.com/office/drawing/2014/main" id="{00000000-0008-0000-0E00-00006D3F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1400</xdr:row>
          <xdr:rowOff>0</xdr:rowOff>
        </xdr:from>
        <xdr:to>
          <xdr:col>22</xdr:col>
          <xdr:colOff>177800</xdr:colOff>
          <xdr:row>1400</xdr:row>
          <xdr:rowOff>177800</xdr:rowOff>
        </xdr:to>
        <xdr:sp macro="" textlink="">
          <xdr:nvSpPr>
            <xdr:cNvPr id="16238" name="Check Box 878" hidden="1">
              <a:extLst>
                <a:ext uri="{63B3BB69-23CF-44E3-9099-C40C66FF867C}">
                  <a14:compatExt spid="_x0000_s16238"/>
                </a:ext>
                <a:ext uri="{FF2B5EF4-FFF2-40B4-BE49-F238E27FC236}">
                  <a16:creationId xmlns:a16="http://schemas.microsoft.com/office/drawing/2014/main" id="{00000000-0008-0000-0E00-00006E3F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1403</xdr:row>
          <xdr:rowOff>0</xdr:rowOff>
        </xdr:from>
        <xdr:to>
          <xdr:col>22</xdr:col>
          <xdr:colOff>177800</xdr:colOff>
          <xdr:row>1403</xdr:row>
          <xdr:rowOff>177800</xdr:rowOff>
        </xdr:to>
        <xdr:sp macro="" textlink="">
          <xdr:nvSpPr>
            <xdr:cNvPr id="16239" name="Check Box 879" hidden="1">
              <a:extLst>
                <a:ext uri="{63B3BB69-23CF-44E3-9099-C40C66FF867C}">
                  <a14:compatExt spid="_x0000_s16239"/>
                </a:ext>
                <a:ext uri="{FF2B5EF4-FFF2-40B4-BE49-F238E27FC236}">
                  <a16:creationId xmlns:a16="http://schemas.microsoft.com/office/drawing/2014/main" id="{00000000-0008-0000-0E00-00006F3F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1408</xdr:row>
          <xdr:rowOff>0</xdr:rowOff>
        </xdr:from>
        <xdr:to>
          <xdr:col>22</xdr:col>
          <xdr:colOff>177800</xdr:colOff>
          <xdr:row>1408</xdr:row>
          <xdr:rowOff>177800</xdr:rowOff>
        </xdr:to>
        <xdr:sp macro="" textlink="">
          <xdr:nvSpPr>
            <xdr:cNvPr id="16240" name="Check Box 880" hidden="1">
              <a:extLst>
                <a:ext uri="{63B3BB69-23CF-44E3-9099-C40C66FF867C}">
                  <a14:compatExt spid="_x0000_s16240"/>
                </a:ext>
                <a:ext uri="{FF2B5EF4-FFF2-40B4-BE49-F238E27FC236}">
                  <a16:creationId xmlns:a16="http://schemas.microsoft.com/office/drawing/2014/main" id="{00000000-0008-0000-0E00-0000703F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1409</xdr:row>
          <xdr:rowOff>0</xdr:rowOff>
        </xdr:from>
        <xdr:to>
          <xdr:col>22</xdr:col>
          <xdr:colOff>177800</xdr:colOff>
          <xdr:row>1409</xdr:row>
          <xdr:rowOff>177800</xdr:rowOff>
        </xdr:to>
        <xdr:sp macro="" textlink="">
          <xdr:nvSpPr>
            <xdr:cNvPr id="16241" name="Check Box 881" hidden="1">
              <a:extLst>
                <a:ext uri="{63B3BB69-23CF-44E3-9099-C40C66FF867C}">
                  <a14:compatExt spid="_x0000_s16241"/>
                </a:ext>
                <a:ext uri="{FF2B5EF4-FFF2-40B4-BE49-F238E27FC236}">
                  <a16:creationId xmlns:a16="http://schemas.microsoft.com/office/drawing/2014/main" id="{00000000-0008-0000-0E00-0000713F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1414</xdr:row>
          <xdr:rowOff>0</xdr:rowOff>
        </xdr:from>
        <xdr:to>
          <xdr:col>22</xdr:col>
          <xdr:colOff>177800</xdr:colOff>
          <xdr:row>1414</xdr:row>
          <xdr:rowOff>177800</xdr:rowOff>
        </xdr:to>
        <xdr:sp macro="" textlink="">
          <xdr:nvSpPr>
            <xdr:cNvPr id="16242" name="Check Box 882" hidden="1">
              <a:extLst>
                <a:ext uri="{63B3BB69-23CF-44E3-9099-C40C66FF867C}">
                  <a14:compatExt spid="_x0000_s16242"/>
                </a:ext>
                <a:ext uri="{FF2B5EF4-FFF2-40B4-BE49-F238E27FC236}">
                  <a16:creationId xmlns:a16="http://schemas.microsoft.com/office/drawing/2014/main" id="{00000000-0008-0000-0E00-0000723F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1417</xdr:row>
          <xdr:rowOff>0</xdr:rowOff>
        </xdr:from>
        <xdr:to>
          <xdr:col>22</xdr:col>
          <xdr:colOff>177800</xdr:colOff>
          <xdr:row>1417</xdr:row>
          <xdr:rowOff>177800</xdr:rowOff>
        </xdr:to>
        <xdr:sp macro="" textlink="">
          <xdr:nvSpPr>
            <xdr:cNvPr id="16243" name="Check Box 883" hidden="1">
              <a:extLst>
                <a:ext uri="{63B3BB69-23CF-44E3-9099-C40C66FF867C}">
                  <a14:compatExt spid="_x0000_s16243"/>
                </a:ext>
                <a:ext uri="{FF2B5EF4-FFF2-40B4-BE49-F238E27FC236}">
                  <a16:creationId xmlns:a16="http://schemas.microsoft.com/office/drawing/2014/main" id="{00000000-0008-0000-0E00-0000733F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1419</xdr:row>
          <xdr:rowOff>0</xdr:rowOff>
        </xdr:from>
        <xdr:to>
          <xdr:col>22</xdr:col>
          <xdr:colOff>177800</xdr:colOff>
          <xdr:row>1419</xdr:row>
          <xdr:rowOff>177800</xdr:rowOff>
        </xdr:to>
        <xdr:sp macro="" textlink="">
          <xdr:nvSpPr>
            <xdr:cNvPr id="16244" name="Check Box 884" hidden="1">
              <a:extLst>
                <a:ext uri="{63B3BB69-23CF-44E3-9099-C40C66FF867C}">
                  <a14:compatExt spid="_x0000_s16244"/>
                </a:ext>
                <a:ext uri="{FF2B5EF4-FFF2-40B4-BE49-F238E27FC236}">
                  <a16:creationId xmlns:a16="http://schemas.microsoft.com/office/drawing/2014/main" id="{00000000-0008-0000-0E00-0000743F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1428</xdr:row>
          <xdr:rowOff>0</xdr:rowOff>
        </xdr:from>
        <xdr:to>
          <xdr:col>22</xdr:col>
          <xdr:colOff>177800</xdr:colOff>
          <xdr:row>1428</xdr:row>
          <xdr:rowOff>177800</xdr:rowOff>
        </xdr:to>
        <xdr:sp macro="" textlink="">
          <xdr:nvSpPr>
            <xdr:cNvPr id="16245" name="Check Box 885" hidden="1">
              <a:extLst>
                <a:ext uri="{63B3BB69-23CF-44E3-9099-C40C66FF867C}">
                  <a14:compatExt spid="_x0000_s16245"/>
                </a:ext>
                <a:ext uri="{FF2B5EF4-FFF2-40B4-BE49-F238E27FC236}">
                  <a16:creationId xmlns:a16="http://schemas.microsoft.com/office/drawing/2014/main" id="{00000000-0008-0000-0E00-0000753F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1430</xdr:row>
          <xdr:rowOff>0</xdr:rowOff>
        </xdr:from>
        <xdr:to>
          <xdr:col>22</xdr:col>
          <xdr:colOff>177800</xdr:colOff>
          <xdr:row>1430</xdr:row>
          <xdr:rowOff>177800</xdr:rowOff>
        </xdr:to>
        <xdr:sp macro="" textlink="">
          <xdr:nvSpPr>
            <xdr:cNvPr id="16246" name="Check Box 886" hidden="1">
              <a:extLst>
                <a:ext uri="{63B3BB69-23CF-44E3-9099-C40C66FF867C}">
                  <a14:compatExt spid="_x0000_s16246"/>
                </a:ext>
                <a:ext uri="{FF2B5EF4-FFF2-40B4-BE49-F238E27FC236}">
                  <a16:creationId xmlns:a16="http://schemas.microsoft.com/office/drawing/2014/main" id="{00000000-0008-0000-0E00-0000763F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1452</xdr:row>
          <xdr:rowOff>0</xdr:rowOff>
        </xdr:from>
        <xdr:to>
          <xdr:col>22</xdr:col>
          <xdr:colOff>177800</xdr:colOff>
          <xdr:row>1452</xdr:row>
          <xdr:rowOff>177800</xdr:rowOff>
        </xdr:to>
        <xdr:sp macro="" textlink="">
          <xdr:nvSpPr>
            <xdr:cNvPr id="16247" name="Check Box 887" hidden="1">
              <a:extLst>
                <a:ext uri="{63B3BB69-23CF-44E3-9099-C40C66FF867C}">
                  <a14:compatExt spid="_x0000_s16247"/>
                </a:ext>
                <a:ext uri="{FF2B5EF4-FFF2-40B4-BE49-F238E27FC236}">
                  <a16:creationId xmlns:a16="http://schemas.microsoft.com/office/drawing/2014/main" id="{00000000-0008-0000-0E00-0000773F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1458</xdr:row>
          <xdr:rowOff>0</xdr:rowOff>
        </xdr:from>
        <xdr:to>
          <xdr:col>22</xdr:col>
          <xdr:colOff>177800</xdr:colOff>
          <xdr:row>1458</xdr:row>
          <xdr:rowOff>177800</xdr:rowOff>
        </xdr:to>
        <xdr:sp macro="" textlink="">
          <xdr:nvSpPr>
            <xdr:cNvPr id="16248" name="Check Box 888" hidden="1">
              <a:extLst>
                <a:ext uri="{63B3BB69-23CF-44E3-9099-C40C66FF867C}">
                  <a14:compatExt spid="_x0000_s16248"/>
                </a:ext>
                <a:ext uri="{FF2B5EF4-FFF2-40B4-BE49-F238E27FC236}">
                  <a16:creationId xmlns:a16="http://schemas.microsoft.com/office/drawing/2014/main" id="{00000000-0008-0000-0E00-0000783F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1460</xdr:row>
          <xdr:rowOff>0</xdr:rowOff>
        </xdr:from>
        <xdr:to>
          <xdr:col>22</xdr:col>
          <xdr:colOff>177800</xdr:colOff>
          <xdr:row>1460</xdr:row>
          <xdr:rowOff>177800</xdr:rowOff>
        </xdr:to>
        <xdr:sp macro="" textlink="">
          <xdr:nvSpPr>
            <xdr:cNvPr id="16249" name="Check Box 889" hidden="1">
              <a:extLst>
                <a:ext uri="{63B3BB69-23CF-44E3-9099-C40C66FF867C}">
                  <a14:compatExt spid="_x0000_s16249"/>
                </a:ext>
                <a:ext uri="{FF2B5EF4-FFF2-40B4-BE49-F238E27FC236}">
                  <a16:creationId xmlns:a16="http://schemas.microsoft.com/office/drawing/2014/main" id="{00000000-0008-0000-0E00-0000793F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1469</xdr:row>
          <xdr:rowOff>0</xdr:rowOff>
        </xdr:from>
        <xdr:to>
          <xdr:col>22</xdr:col>
          <xdr:colOff>177800</xdr:colOff>
          <xdr:row>1469</xdr:row>
          <xdr:rowOff>177800</xdr:rowOff>
        </xdr:to>
        <xdr:sp macro="" textlink="">
          <xdr:nvSpPr>
            <xdr:cNvPr id="16250" name="Check Box 890" hidden="1">
              <a:extLst>
                <a:ext uri="{63B3BB69-23CF-44E3-9099-C40C66FF867C}">
                  <a14:compatExt spid="_x0000_s16250"/>
                </a:ext>
                <a:ext uri="{FF2B5EF4-FFF2-40B4-BE49-F238E27FC236}">
                  <a16:creationId xmlns:a16="http://schemas.microsoft.com/office/drawing/2014/main" id="{00000000-0008-0000-0E00-00007A3F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1471</xdr:row>
          <xdr:rowOff>0</xdr:rowOff>
        </xdr:from>
        <xdr:to>
          <xdr:col>22</xdr:col>
          <xdr:colOff>177800</xdr:colOff>
          <xdr:row>1471</xdr:row>
          <xdr:rowOff>177800</xdr:rowOff>
        </xdr:to>
        <xdr:sp macro="" textlink="">
          <xdr:nvSpPr>
            <xdr:cNvPr id="16251" name="Check Box 891" hidden="1">
              <a:extLst>
                <a:ext uri="{63B3BB69-23CF-44E3-9099-C40C66FF867C}">
                  <a14:compatExt spid="_x0000_s16251"/>
                </a:ext>
                <a:ext uri="{FF2B5EF4-FFF2-40B4-BE49-F238E27FC236}">
                  <a16:creationId xmlns:a16="http://schemas.microsoft.com/office/drawing/2014/main" id="{00000000-0008-0000-0E00-00007B3F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1481</xdr:row>
          <xdr:rowOff>0</xdr:rowOff>
        </xdr:from>
        <xdr:to>
          <xdr:col>22</xdr:col>
          <xdr:colOff>177800</xdr:colOff>
          <xdr:row>1481</xdr:row>
          <xdr:rowOff>177800</xdr:rowOff>
        </xdr:to>
        <xdr:sp macro="" textlink="">
          <xdr:nvSpPr>
            <xdr:cNvPr id="16252" name="Check Box 892" hidden="1">
              <a:extLst>
                <a:ext uri="{63B3BB69-23CF-44E3-9099-C40C66FF867C}">
                  <a14:compatExt spid="_x0000_s16252"/>
                </a:ext>
                <a:ext uri="{FF2B5EF4-FFF2-40B4-BE49-F238E27FC236}">
                  <a16:creationId xmlns:a16="http://schemas.microsoft.com/office/drawing/2014/main" id="{00000000-0008-0000-0E00-00007C3F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1483</xdr:row>
          <xdr:rowOff>0</xdr:rowOff>
        </xdr:from>
        <xdr:to>
          <xdr:col>22</xdr:col>
          <xdr:colOff>177800</xdr:colOff>
          <xdr:row>1483</xdr:row>
          <xdr:rowOff>177800</xdr:rowOff>
        </xdr:to>
        <xdr:sp macro="" textlink="">
          <xdr:nvSpPr>
            <xdr:cNvPr id="16253" name="Check Box 893" hidden="1">
              <a:extLst>
                <a:ext uri="{63B3BB69-23CF-44E3-9099-C40C66FF867C}">
                  <a14:compatExt spid="_x0000_s16253"/>
                </a:ext>
                <a:ext uri="{FF2B5EF4-FFF2-40B4-BE49-F238E27FC236}">
                  <a16:creationId xmlns:a16="http://schemas.microsoft.com/office/drawing/2014/main" id="{00000000-0008-0000-0E00-00007D3F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1485</xdr:row>
          <xdr:rowOff>0</xdr:rowOff>
        </xdr:from>
        <xdr:to>
          <xdr:col>22</xdr:col>
          <xdr:colOff>177800</xdr:colOff>
          <xdr:row>1485</xdr:row>
          <xdr:rowOff>177800</xdr:rowOff>
        </xdr:to>
        <xdr:sp macro="" textlink="">
          <xdr:nvSpPr>
            <xdr:cNvPr id="16254" name="Check Box 894" hidden="1">
              <a:extLst>
                <a:ext uri="{63B3BB69-23CF-44E3-9099-C40C66FF867C}">
                  <a14:compatExt spid="_x0000_s16254"/>
                </a:ext>
                <a:ext uri="{FF2B5EF4-FFF2-40B4-BE49-F238E27FC236}">
                  <a16:creationId xmlns:a16="http://schemas.microsoft.com/office/drawing/2014/main" id="{00000000-0008-0000-0E00-00007E3F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1492</xdr:row>
          <xdr:rowOff>0</xdr:rowOff>
        </xdr:from>
        <xdr:to>
          <xdr:col>22</xdr:col>
          <xdr:colOff>177800</xdr:colOff>
          <xdr:row>1492</xdr:row>
          <xdr:rowOff>177800</xdr:rowOff>
        </xdr:to>
        <xdr:sp macro="" textlink="">
          <xdr:nvSpPr>
            <xdr:cNvPr id="16256" name="Check Box 896" hidden="1">
              <a:extLst>
                <a:ext uri="{63B3BB69-23CF-44E3-9099-C40C66FF867C}">
                  <a14:compatExt spid="_x0000_s16256"/>
                </a:ext>
                <a:ext uri="{FF2B5EF4-FFF2-40B4-BE49-F238E27FC236}">
                  <a16:creationId xmlns:a16="http://schemas.microsoft.com/office/drawing/2014/main" id="{00000000-0008-0000-0E00-0000803F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1493</xdr:row>
          <xdr:rowOff>0</xdr:rowOff>
        </xdr:from>
        <xdr:to>
          <xdr:col>22</xdr:col>
          <xdr:colOff>177800</xdr:colOff>
          <xdr:row>1493</xdr:row>
          <xdr:rowOff>177800</xdr:rowOff>
        </xdr:to>
        <xdr:sp macro="" textlink="">
          <xdr:nvSpPr>
            <xdr:cNvPr id="16257" name="Check Box 897" hidden="1">
              <a:extLst>
                <a:ext uri="{63B3BB69-23CF-44E3-9099-C40C66FF867C}">
                  <a14:compatExt spid="_x0000_s16257"/>
                </a:ext>
                <a:ext uri="{FF2B5EF4-FFF2-40B4-BE49-F238E27FC236}">
                  <a16:creationId xmlns:a16="http://schemas.microsoft.com/office/drawing/2014/main" id="{00000000-0008-0000-0E00-0000813F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1494</xdr:row>
          <xdr:rowOff>0</xdr:rowOff>
        </xdr:from>
        <xdr:to>
          <xdr:col>22</xdr:col>
          <xdr:colOff>177800</xdr:colOff>
          <xdr:row>1494</xdr:row>
          <xdr:rowOff>177800</xdr:rowOff>
        </xdr:to>
        <xdr:sp macro="" textlink="">
          <xdr:nvSpPr>
            <xdr:cNvPr id="16258" name="Check Box 898" hidden="1">
              <a:extLst>
                <a:ext uri="{63B3BB69-23CF-44E3-9099-C40C66FF867C}">
                  <a14:compatExt spid="_x0000_s16258"/>
                </a:ext>
                <a:ext uri="{FF2B5EF4-FFF2-40B4-BE49-F238E27FC236}">
                  <a16:creationId xmlns:a16="http://schemas.microsoft.com/office/drawing/2014/main" id="{00000000-0008-0000-0E00-0000823F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1495</xdr:row>
          <xdr:rowOff>0</xdr:rowOff>
        </xdr:from>
        <xdr:to>
          <xdr:col>22</xdr:col>
          <xdr:colOff>177800</xdr:colOff>
          <xdr:row>1495</xdr:row>
          <xdr:rowOff>177800</xdr:rowOff>
        </xdr:to>
        <xdr:sp macro="" textlink="">
          <xdr:nvSpPr>
            <xdr:cNvPr id="16259" name="Check Box 899" hidden="1">
              <a:extLst>
                <a:ext uri="{63B3BB69-23CF-44E3-9099-C40C66FF867C}">
                  <a14:compatExt spid="_x0000_s16259"/>
                </a:ext>
                <a:ext uri="{FF2B5EF4-FFF2-40B4-BE49-F238E27FC236}">
                  <a16:creationId xmlns:a16="http://schemas.microsoft.com/office/drawing/2014/main" id="{00000000-0008-0000-0E00-0000833F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1497</xdr:row>
          <xdr:rowOff>0</xdr:rowOff>
        </xdr:from>
        <xdr:to>
          <xdr:col>22</xdr:col>
          <xdr:colOff>177800</xdr:colOff>
          <xdr:row>1497</xdr:row>
          <xdr:rowOff>177800</xdr:rowOff>
        </xdr:to>
        <xdr:sp macro="" textlink="">
          <xdr:nvSpPr>
            <xdr:cNvPr id="16260" name="Check Box 900" hidden="1">
              <a:extLst>
                <a:ext uri="{63B3BB69-23CF-44E3-9099-C40C66FF867C}">
                  <a14:compatExt spid="_x0000_s16260"/>
                </a:ext>
                <a:ext uri="{FF2B5EF4-FFF2-40B4-BE49-F238E27FC236}">
                  <a16:creationId xmlns:a16="http://schemas.microsoft.com/office/drawing/2014/main" id="{00000000-0008-0000-0E00-0000843F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1500</xdr:row>
          <xdr:rowOff>0</xdr:rowOff>
        </xdr:from>
        <xdr:to>
          <xdr:col>22</xdr:col>
          <xdr:colOff>177800</xdr:colOff>
          <xdr:row>1500</xdr:row>
          <xdr:rowOff>177800</xdr:rowOff>
        </xdr:to>
        <xdr:sp macro="" textlink="">
          <xdr:nvSpPr>
            <xdr:cNvPr id="16261" name="Check Box 901" hidden="1">
              <a:extLst>
                <a:ext uri="{63B3BB69-23CF-44E3-9099-C40C66FF867C}">
                  <a14:compatExt spid="_x0000_s16261"/>
                </a:ext>
                <a:ext uri="{FF2B5EF4-FFF2-40B4-BE49-F238E27FC236}">
                  <a16:creationId xmlns:a16="http://schemas.microsoft.com/office/drawing/2014/main" id="{00000000-0008-0000-0E00-0000853F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1516</xdr:row>
          <xdr:rowOff>0</xdr:rowOff>
        </xdr:from>
        <xdr:to>
          <xdr:col>22</xdr:col>
          <xdr:colOff>177800</xdr:colOff>
          <xdr:row>1516</xdr:row>
          <xdr:rowOff>177800</xdr:rowOff>
        </xdr:to>
        <xdr:sp macro="" textlink="">
          <xdr:nvSpPr>
            <xdr:cNvPr id="16262" name="Check Box 902" hidden="1">
              <a:extLst>
                <a:ext uri="{63B3BB69-23CF-44E3-9099-C40C66FF867C}">
                  <a14:compatExt spid="_x0000_s16262"/>
                </a:ext>
                <a:ext uri="{FF2B5EF4-FFF2-40B4-BE49-F238E27FC236}">
                  <a16:creationId xmlns:a16="http://schemas.microsoft.com/office/drawing/2014/main" id="{00000000-0008-0000-0E00-0000863F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1517</xdr:row>
          <xdr:rowOff>0</xdr:rowOff>
        </xdr:from>
        <xdr:to>
          <xdr:col>22</xdr:col>
          <xdr:colOff>177800</xdr:colOff>
          <xdr:row>1517</xdr:row>
          <xdr:rowOff>177800</xdr:rowOff>
        </xdr:to>
        <xdr:sp macro="" textlink="">
          <xdr:nvSpPr>
            <xdr:cNvPr id="16263" name="Check Box 903" hidden="1">
              <a:extLst>
                <a:ext uri="{63B3BB69-23CF-44E3-9099-C40C66FF867C}">
                  <a14:compatExt spid="_x0000_s16263"/>
                </a:ext>
                <a:ext uri="{FF2B5EF4-FFF2-40B4-BE49-F238E27FC236}">
                  <a16:creationId xmlns:a16="http://schemas.microsoft.com/office/drawing/2014/main" id="{00000000-0008-0000-0E00-0000873F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1518</xdr:row>
          <xdr:rowOff>0</xdr:rowOff>
        </xdr:from>
        <xdr:to>
          <xdr:col>22</xdr:col>
          <xdr:colOff>177800</xdr:colOff>
          <xdr:row>1518</xdr:row>
          <xdr:rowOff>177800</xdr:rowOff>
        </xdr:to>
        <xdr:sp macro="" textlink="">
          <xdr:nvSpPr>
            <xdr:cNvPr id="16264" name="Check Box 904" hidden="1">
              <a:extLst>
                <a:ext uri="{63B3BB69-23CF-44E3-9099-C40C66FF867C}">
                  <a14:compatExt spid="_x0000_s16264"/>
                </a:ext>
                <a:ext uri="{FF2B5EF4-FFF2-40B4-BE49-F238E27FC236}">
                  <a16:creationId xmlns:a16="http://schemas.microsoft.com/office/drawing/2014/main" id="{00000000-0008-0000-0E00-0000883F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1519</xdr:row>
          <xdr:rowOff>0</xdr:rowOff>
        </xdr:from>
        <xdr:to>
          <xdr:col>22</xdr:col>
          <xdr:colOff>177800</xdr:colOff>
          <xdr:row>1519</xdr:row>
          <xdr:rowOff>177800</xdr:rowOff>
        </xdr:to>
        <xdr:sp macro="" textlink="">
          <xdr:nvSpPr>
            <xdr:cNvPr id="16265" name="Check Box 905" hidden="1">
              <a:extLst>
                <a:ext uri="{63B3BB69-23CF-44E3-9099-C40C66FF867C}">
                  <a14:compatExt spid="_x0000_s16265"/>
                </a:ext>
                <a:ext uri="{FF2B5EF4-FFF2-40B4-BE49-F238E27FC236}">
                  <a16:creationId xmlns:a16="http://schemas.microsoft.com/office/drawing/2014/main" id="{00000000-0008-0000-0E00-0000893F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1520</xdr:row>
          <xdr:rowOff>0</xdr:rowOff>
        </xdr:from>
        <xdr:to>
          <xdr:col>22</xdr:col>
          <xdr:colOff>177800</xdr:colOff>
          <xdr:row>1520</xdr:row>
          <xdr:rowOff>177800</xdr:rowOff>
        </xdr:to>
        <xdr:sp macro="" textlink="">
          <xdr:nvSpPr>
            <xdr:cNvPr id="16266" name="Check Box 906" hidden="1">
              <a:extLst>
                <a:ext uri="{63B3BB69-23CF-44E3-9099-C40C66FF867C}">
                  <a14:compatExt spid="_x0000_s16266"/>
                </a:ext>
                <a:ext uri="{FF2B5EF4-FFF2-40B4-BE49-F238E27FC236}">
                  <a16:creationId xmlns:a16="http://schemas.microsoft.com/office/drawing/2014/main" id="{00000000-0008-0000-0E00-00008A3F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1521</xdr:row>
          <xdr:rowOff>0</xdr:rowOff>
        </xdr:from>
        <xdr:to>
          <xdr:col>22</xdr:col>
          <xdr:colOff>177800</xdr:colOff>
          <xdr:row>1521</xdr:row>
          <xdr:rowOff>177800</xdr:rowOff>
        </xdr:to>
        <xdr:sp macro="" textlink="">
          <xdr:nvSpPr>
            <xdr:cNvPr id="16267" name="Check Box 907" hidden="1">
              <a:extLst>
                <a:ext uri="{63B3BB69-23CF-44E3-9099-C40C66FF867C}">
                  <a14:compatExt spid="_x0000_s16267"/>
                </a:ext>
                <a:ext uri="{FF2B5EF4-FFF2-40B4-BE49-F238E27FC236}">
                  <a16:creationId xmlns:a16="http://schemas.microsoft.com/office/drawing/2014/main" id="{00000000-0008-0000-0E00-00008B3F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1522</xdr:row>
          <xdr:rowOff>0</xdr:rowOff>
        </xdr:from>
        <xdr:to>
          <xdr:col>22</xdr:col>
          <xdr:colOff>177800</xdr:colOff>
          <xdr:row>1522</xdr:row>
          <xdr:rowOff>177800</xdr:rowOff>
        </xdr:to>
        <xdr:sp macro="" textlink="">
          <xdr:nvSpPr>
            <xdr:cNvPr id="16268" name="Check Box 908" hidden="1">
              <a:extLst>
                <a:ext uri="{63B3BB69-23CF-44E3-9099-C40C66FF867C}">
                  <a14:compatExt spid="_x0000_s16268"/>
                </a:ext>
                <a:ext uri="{FF2B5EF4-FFF2-40B4-BE49-F238E27FC236}">
                  <a16:creationId xmlns:a16="http://schemas.microsoft.com/office/drawing/2014/main" id="{00000000-0008-0000-0E00-00008C3F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1523</xdr:row>
          <xdr:rowOff>0</xdr:rowOff>
        </xdr:from>
        <xdr:to>
          <xdr:col>22</xdr:col>
          <xdr:colOff>177800</xdr:colOff>
          <xdr:row>1523</xdr:row>
          <xdr:rowOff>177800</xdr:rowOff>
        </xdr:to>
        <xdr:sp macro="" textlink="">
          <xdr:nvSpPr>
            <xdr:cNvPr id="16269" name="Check Box 909" hidden="1">
              <a:extLst>
                <a:ext uri="{63B3BB69-23CF-44E3-9099-C40C66FF867C}">
                  <a14:compatExt spid="_x0000_s16269"/>
                </a:ext>
                <a:ext uri="{FF2B5EF4-FFF2-40B4-BE49-F238E27FC236}">
                  <a16:creationId xmlns:a16="http://schemas.microsoft.com/office/drawing/2014/main" id="{00000000-0008-0000-0E00-00008D3F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1530</xdr:row>
          <xdr:rowOff>0</xdr:rowOff>
        </xdr:from>
        <xdr:to>
          <xdr:col>22</xdr:col>
          <xdr:colOff>177800</xdr:colOff>
          <xdr:row>1530</xdr:row>
          <xdr:rowOff>177800</xdr:rowOff>
        </xdr:to>
        <xdr:sp macro="" textlink="">
          <xdr:nvSpPr>
            <xdr:cNvPr id="16270" name="Check Box 910" hidden="1">
              <a:extLst>
                <a:ext uri="{63B3BB69-23CF-44E3-9099-C40C66FF867C}">
                  <a14:compatExt spid="_x0000_s16270"/>
                </a:ext>
                <a:ext uri="{FF2B5EF4-FFF2-40B4-BE49-F238E27FC236}">
                  <a16:creationId xmlns:a16="http://schemas.microsoft.com/office/drawing/2014/main" id="{00000000-0008-0000-0E00-00008E3F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1532</xdr:row>
          <xdr:rowOff>0</xdr:rowOff>
        </xdr:from>
        <xdr:to>
          <xdr:col>22</xdr:col>
          <xdr:colOff>177800</xdr:colOff>
          <xdr:row>1532</xdr:row>
          <xdr:rowOff>177800</xdr:rowOff>
        </xdr:to>
        <xdr:sp macro="" textlink="">
          <xdr:nvSpPr>
            <xdr:cNvPr id="16271" name="Check Box 911" hidden="1">
              <a:extLst>
                <a:ext uri="{63B3BB69-23CF-44E3-9099-C40C66FF867C}">
                  <a14:compatExt spid="_x0000_s16271"/>
                </a:ext>
                <a:ext uri="{FF2B5EF4-FFF2-40B4-BE49-F238E27FC236}">
                  <a16:creationId xmlns:a16="http://schemas.microsoft.com/office/drawing/2014/main" id="{00000000-0008-0000-0E00-00008F3F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1534</xdr:row>
          <xdr:rowOff>0</xdr:rowOff>
        </xdr:from>
        <xdr:to>
          <xdr:col>22</xdr:col>
          <xdr:colOff>177800</xdr:colOff>
          <xdr:row>1534</xdr:row>
          <xdr:rowOff>177800</xdr:rowOff>
        </xdr:to>
        <xdr:sp macro="" textlink="">
          <xdr:nvSpPr>
            <xdr:cNvPr id="16272" name="Check Box 912" hidden="1">
              <a:extLst>
                <a:ext uri="{63B3BB69-23CF-44E3-9099-C40C66FF867C}">
                  <a14:compatExt spid="_x0000_s16272"/>
                </a:ext>
                <a:ext uri="{FF2B5EF4-FFF2-40B4-BE49-F238E27FC236}">
                  <a16:creationId xmlns:a16="http://schemas.microsoft.com/office/drawing/2014/main" id="{00000000-0008-0000-0E00-0000903F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1537</xdr:row>
          <xdr:rowOff>0</xdr:rowOff>
        </xdr:from>
        <xdr:to>
          <xdr:col>22</xdr:col>
          <xdr:colOff>177800</xdr:colOff>
          <xdr:row>1537</xdr:row>
          <xdr:rowOff>177800</xdr:rowOff>
        </xdr:to>
        <xdr:sp macro="" textlink="">
          <xdr:nvSpPr>
            <xdr:cNvPr id="16273" name="Check Box 913" hidden="1">
              <a:extLst>
                <a:ext uri="{63B3BB69-23CF-44E3-9099-C40C66FF867C}">
                  <a14:compatExt spid="_x0000_s16273"/>
                </a:ext>
                <a:ext uri="{FF2B5EF4-FFF2-40B4-BE49-F238E27FC236}">
                  <a16:creationId xmlns:a16="http://schemas.microsoft.com/office/drawing/2014/main" id="{00000000-0008-0000-0E00-0000913F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1551</xdr:row>
          <xdr:rowOff>0</xdr:rowOff>
        </xdr:from>
        <xdr:to>
          <xdr:col>22</xdr:col>
          <xdr:colOff>177800</xdr:colOff>
          <xdr:row>1551</xdr:row>
          <xdr:rowOff>177800</xdr:rowOff>
        </xdr:to>
        <xdr:sp macro="" textlink="">
          <xdr:nvSpPr>
            <xdr:cNvPr id="16275" name="Check Box 915" hidden="1">
              <a:extLst>
                <a:ext uri="{63B3BB69-23CF-44E3-9099-C40C66FF867C}">
                  <a14:compatExt spid="_x0000_s16275"/>
                </a:ext>
                <a:ext uri="{FF2B5EF4-FFF2-40B4-BE49-F238E27FC236}">
                  <a16:creationId xmlns:a16="http://schemas.microsoft.com/office/drawing/2014/main" id="{00000000-0008-0000-0E00-0000933F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1557</xdr:row>
          <xdr:rowOff>0</xdr:rowOff>
        </xdr:from>
        <xdr:to>
          <xdr:col>22</xdr:col>
          <xdr:colOff>177800</xdr:colOff>
          <xdr:row>1557</xdr:row>
          <xdr:rowOff>177800</xdr:rowOff>
        </xdr:to>
        <xdr:sp macro="" textlink="">
          <xdr:nvSpPr>
            <xdr:cNvPr id="16276" name="Check Box 916" hidden="1">
              <a:extLst>
                <a:ext uri="{63B3BB69-23CF-44E3-9099-C40C66FF867C}">
                  <a14:compatExt spid="_x0000_s16276"/>
                </a:ext>
                <a:ext uri="{FF2B5EF4-FFF2-40B4-BE49-F238E27FC236}">
                  <a16:creationId xmlns:a16="http://schemas.microsoft.com/office/drawing/2014/main" id="{00000000-0008-0000-0E00-0000943F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1558</xdr:row>
          <xdr:rowOff>0</xdr:rowOff>
        </xdr:from>
        <xdr:to>
          <xdr:col>22</xdr:col>
          <xdr:colOff>177800</xdr:colOff>
          <xdr:row>1558</xdr:row>
          <xdr:rowOff>177800</xdr:rowOff>
        </xdr:to>
        <xdr:sp macro="" textlink="">
          <xdr:nvSpPr>
            <xdr:cNvPr id="16277" name="Check Box 917" hidden="1">
              <a:extLst>
                <a:ext uri="{63B3BB69-23CF-44E3-9099-C40C66FF867C}">
                  <a14:compatExt spid="_x0000_s16277"/>
                </a:ext>
                <a:ext uri="{FF2B5EF4-FFF2-40B4-BE49-F238E27FC236}">
                  <a16:creationId xmlns:a16="http://schemas.microsoft.com/office/drawing/2014/main" id="{00000000-0008-0000-0E00-0000953F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1559</xdr:row>
          <xdr:rowOff>0</xdr:rowOff>
        </xdr:from>
        <xdr:to>
          <xdr:col>22</xdr:col>
          <xdr:colOff>177800</xdr:colOff>
          <xdr:row>1559</xdr:row>
          <xdr:rowOff>177800</xdr:rowOff>
        </xdr:to>
        <xdr:sp macro="" textlink="">
          <xdr:nvSpPr>
            <xdr:cNvPr id="16278" name="Check Box 918" hidden="1">
              <a:extLst>
                <a:ext uri="{63B3BB69-23CF-44E3-9099-C40C66FF867C}">
                  <a14:compatExt spid="_x0000_s16278"/>
                </a:ext>
                <a:ext uri="{FF2B5EF4-FFF2-40B4-BE49-F238E27FC236}">
                  <a16:creationId xmlns:a16="http://schemas.microsoft.com/office/drawing/2014/main" id="{00000000-0008-0000-0E00-0000963F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1562</xdr:row>
          <xdr:rowOff>0</xdr:rowOff>
        </xdr:from>
        <xdr:to>
          <xdr:col>22</xdr:col>
          <xdr:colOff>177800</xdr:colOff>
          <xdr:row>1562</xdr:row>
          <xdr:rowOff>177800</xdr:rowOff>
        </xdr:to>
        <xdr:sp macro="" textlink="">
          <xdr:nvSpPr>
            <xdr:cNvPr id="16279" name="Check Box 919" hidden="1">
              <a:extLst>
                <a:ext uri="{63B3BB69-23CF-44E3-9099-C40C66FF867C}">
                  <a14:compatExt spid="_x0000_s16279"/>
                </a:ext>
                <a:ext uri="{FF2B5EF4-FFF2-40B4-BE49-F238E27FC236}">
                  <a16:creationId xmlns:a16="http://schemas.microsoft.com/office/drawing/2014/main" id="{00000000-0008-0000-0E00-0000973F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1567</xdr:row>
          <xdr:rowOff>0</xdr:rowOff>
        </xdr:from>
        <xdr:to>
          <xdr:col>22</xdr:col>
          <xdr:colOff>177800</xdr:colOff>
          <xdr:row>1567</xdr:row>
          <xdr:rowOff>177800</xdr:rowOff>
        </xdr:to>
        <xdr:sp macro="" textlink="">
          <xdr:nvSpPr>
            <xdr:cNvPr id="16280" name="Check Box 920" hidden="1">
              <a:extLst>
                <a:ext uri="{63B3BB69-23CF-44E3-9099-C40C66FF867C}">
                  <a14:compatExt spid="_x0000_s16280"/>
                </a:ext>
                <a:ext uri="{FF2B5EF4-FFF2-40B4-BE49-F238E27FC236}">
                  <a16:creationId xmlns:a16="http://schemas.microsoft.com/office/drawing/2014/main" id="{00000000-0008-0000-0E00-0000983F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1572</xdr:row>
          <xdr:rowOff>0</xdr:rowOff>
        </xdr:from>
        <xdr:to>
          <xdr:col>22</xdr:col>
          <xdr:colOff>177800</xdr:colOff>
          <xdr:row>1572</xdr:row>
          <xdr:rowOff>177800</xdr:rowOff>
        </xdr:to>
        <xdr:sp macro="" textlink="">
          <xdr:nvSpPr>
            <xdr:cNvPr id="16281" name="Check Box 921" hidden="1">
              <a:extLst>
                <a:ext uri="{63B3BB69-23CF-44E3-9099-C40C66FF867C}">
                  <a14:compatExt spid="_x0000_s16281"/>
                </a:ext>
                <a:ext uri="{FF2B5EF4-FFF2-40B4-BE49-F238E27FC236}">
                  <a16:creationId xmlns:a16="http://schemas.microsoft.com/office/drawing/2014/main" id="{00000000-0008-0000-0E00-0000993F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1574</xdr:row>
          <xdr:rowOff>0</xdr:rowOff>
        </xdr:from>
        <xdr:to>
          <xdr:col>22</xdr:col>
          <xdr:colOff>177800</xdr:colOff>
          <xdr:row>1574</xdr:row>
          <xdr:rowOff>177800</xdr:rowOff>
        </xdr:to>
        <xdr:sp macro="" textlink="">
          <xdr:nvSpPr>
            <xdr:cNvPr id="16282" name="Check Box 922" hidden="1">
              <a:extLst>
                <a:ext uri="{63B3BB69-23CF-44E3-9099-C40C66FF867C}">
                  <a14:compatExt spid="_x0000_s16282"/>
                </a:ext>
                <a:ext uri="{FF2B5EF4-FFF2-40B4-BE49-F238E27FC236}">
                  <a16:creationId xmlns:a16="http://schemas.microsoft.com/office/drawing/2014/main" id="{00000000-0008-0000-0E00-00009A3F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1583</xdr:row>
          <xdr:rowOff>0</xdr:rowOff>
        </xdr:from>
        <xdr:to>
          <xdr:col>22</xdr:col>
          <xdr:colOff>177800</xdr:colOff>
          <xdr:row>1583</xdr:row>
          <xdr:rowOff>177800</xdr:rowOff>
        </xdr:to>
        <xdr:sp macro="" textlink="">
          <xdr:nvSpPr>
            <xdr:cNvPr id="16283" name="Check Box 923" hidden="1">
              <a:extLst>
                <a:ext uri="{63B3BB69-23CF-44E3-9099-C40C66FF867C}">
                  <a14:compatExt spid="_x0000_s16283"/>
                </a:ext>
                <a:ext uri="{FF2B5EF4-FFF2-40B4-BE49-F238E27FC236}">
                  <a16:creationId xmlns:a16="http://schemas.microsoft.com/office/drawing/2014/main" id="{00000000-0008-0000-0E00-00009B3F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1587</xdr:row>
          <xdr:rowOff>0</xdr:rowOff>
        </xdr:from>
        <xdr:to>
          <xdr:col>22</xdr:col>
          <xdr:colOff>177800</xdr:colOff>
          <xdr:row>1587</xdr:row>
          <xdr:rowOff>177800</xdr:rowOff>
        </xdr:to>
        <xdr:sp macro="" textlink="">
          <xdr:nvSpPr>
            <xdr:cNvPr id="16284" name="Check Box 924" hidden="1">
              <a:extLst>
                <a:ext uri="{63B3BB69-23CF-44E3-9099-C40C66FF867C}">
                  <a14:compatExt spid="_x0000_s16284"/>
                </a:ext>
                <a:ext uri="{FF2B5EF4-FFF2-40B4-BE49-F238E27FC236}">
                  <a16:creationId xmlns:a16="http://schemas.microsoft.com/office/drawing/2014/main" id="{00000000-0008-0000-0E00-00009C3F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1592</xdr:row>
          <xdr:rowOff>0</xdr:rowOff>
        </xdr:from>
        <xdr:to>
          <xdr:col>22</xdr:col>
          <xdr:colOff>177800</xdr:colOff>
          <xdr:row>1592</xdr:row>
          <xdr:rowOff>177800</xdr:rowOff>
        </xdr:to>
        <xdr:sp macro="" textlink="">
          <xdr:nvSpPr>
            <xdr:cNvPr id="16285" name="Check Box 925" hidden="1">
              <a:extLst>
                <a:ext uri="{63B3BB69-23CF-44E3-9099-C40C66FF867C}">
                  <a14:compatExt spid="_x0000_s16285"/>
                </a:ext>
                <a:ext uri="{FF2B5EF4-FFF2-40B4-BE49-F238E27FC236}">
                  <a16:creationId xmlns:a16="http://schemas.microsoft.com/office/drawing/2014/main" id="{00000000-0008-0000-0E00-00009D3F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1593</xdr:row>
          <xdr:rowOff>0</xdr:rowOff>
        </xdr:from>
        <xdr:to>
          <xdr:col>22</xdr:col>
          <xdr:colOff>177800</xdr:colOff>
          <xdr:row>1593</xdr:row>
          <xdr:rowOff>177800</xdr:rowOff>
        </xdr:to>
        <xdr:sp macro="" textlink="">
          <xdr:nvSpPr>
            <xdr:cNvPr id="16286" name="Check Box 926" hidden="1">
              <a:extLst>
                <a:ext uri="{63B3BB69-23CF-44E3-9099-C40C66FF867C}">
                  <a14:compatExt spid="_x0000_s16286"/>
                </a:ext>
                <a:ext uri="{FF2B5EF4-FFF2-40B4-BE49-F238E27FC236}">
                  <a16:creationId xmlns:a16="http://schemas.microsoft.com/office/drawing/2014/main" id="{00000000-0008-0000-0E00-00009E3F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997</xdr:row>
          <xdr:rowOff>0</xdr:rowOff>
        </xdr:from>
        <xdr:to>
          <xdr:col>22</xdr:col>
          <xdr:colOff>177800</xdr:colOff>
          <xdr:row>997</xdr:row>
          <xdr:rowOff>177800</xdr:rowOff>
        </xdr:to>
        <xdr:sp macro="" textlink="">
          <xdr:nvSpPr>
            <xdr:cNvPr id="16287" name="Check Box 927" hidden="1">
              <a:extLst>
                <a:ext uri="{63B3BB69-23CF-44E3-9099-C40C66FF867C}">
                  <a14:compatExt spid="_x0000_s16287"/>
                </a:ext>
                <a:ext uri="{FF2B5EF4-FFF2-40B4-BE49-F238E27FC236}">
                  <a16:creationId xmlns:a16="http://schemas.microsoft.com/office/drawing/2014/main" id="{00000000-0008-0000-0E00-00009F3F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1652</xdr:row>
          <xdr:rowOff>0</xdr:rowOff>
        </xdr:from>
        <xdr:to>
          <xdr:col>22</xdr:col>
          <xdr:colOff>177800</xdr:colOff>
          <xdr:row>1652</xdr:row>
          <xdr:rowOff>177800</xdr:rowOff>
        </xdr:to>
        <xdr:sp macro="" textlink="">
          <xdr:nvSpPr>
            <xdr:cNvPr id="16289" name="Check Box 929" hidden="1">
              <a:extLst>
                <a:ext uri="{63B3BB69-23CF-44E3-9099-C40C66FF867C}">
                  <a14:compatExt spid="_x0000_s16289"/>
                </a:ext>
                <a:ext uri="{FF2B5EF4-FFF2-40B4-BE49-F238E27FC236}">
                  <a16:creationId xmlns:a16="http://schemas.microsoft.com/office/drawing/2014/main" id="{00000000-0008-0000-0E00-0000A13F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1657</xdr:row>
          <xdr:rowOff>0</xdr:rowOff>
        </xdr:from>
        <xdr:to>
          <xdr:col>22</xdr:col>
          <xdr:colOff>177800</xdr:colOff>
          <xdr:row>1657</xdr:row>
          <xdr:rowOff>177800</xdr:rowOff>
        </xdr:to>
        <xdr:sp macro="" textlink="">
          <xdr:nvSpPr>
            <xdr:cNvPr id="16290" name="Check Box 930" hidden="1">
              <a:extLst>
                <a:ext uri="{63B3BB69-23CF-44E3-9099-C40C66FF867C}">
                  <a14:compatExt spid="_x0000_s16290"/>
                </a:ext>
                <a:ext uri="{FF2B5EF4-FFF2-40B4-BE49-F238E27FC236}">
                  <a16:creationId xmlns:a16="http://schemas.microsoft.com/office/drawing/2014/main" id="{00000000-0008-0000-0E00-0000A23F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1730</xdr:row>
          <xdr:rowOff>0</xdr:rowOff>
        </xdr:from>
        <xdr:to>
          <xdr:col>22</xdr:col>
          <xdr:colOff>177800</xdr:colOff>
          <xdr:row>1730</xdr:row>
          <xdr:rowOff>177800</xdr:rowOff>
        </xdr:to>
        <xdr:sp macro="" textlink="">
          <xdr:nvSpPr>
            <xdr:cNvPr id="16291" name="Check Box 931" hidden="1">
              <a:extLst>
                <a:ext uri="{63B3BB69-23CF-44E3-9099-C40C66FF867C}">
                  <a14:compatExt spid="_x0000_s16291"/>
                </a:ext>
                <a:ext uri="{FF2B5EF4-FFF2-40B4-BE49-F238E27FC236}">
                  <a16:creationId xmlns:a16="http://schemas.microsoft.com/office/drawing/2014/main" id="{00000000-0008-0000-0E00-0000A33F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1737</xdr:row>
          <xdr:rowOff>0</xdr:rowOff>
        </xdr:from>
        <xdr:to>
          <xdr:col>22</xdr:col>
          <xdr:colOff>177800</xdr:colOff>
          <xdr:row>1737</xdr:row>
          <xdr:rowOff>177800</xdr:rowOff>
        </xdr:to>
        <xdr:sp macro="" textlink="">
          <xdr:nvSpPr>
            <xdr:cNvPr id="16292" name="Check Box 932" hidden="1">
              <a:extLst>
                <a:ext uri="{63B3BB69-23CF-44E3-9099-C40C66FF867C}">
                  <a14:compatExt spid="_x0000_s16292"/>
                </a:ext>
                <a:ext uri="{FF2B5EF4-FFF2-40B4-BE49-F238E27FC236}">
                  <a16:creationId xmlns:a16="http://schemas.microsoft.com/office/drawing/2014/main" id="{00000000-0008-0000-0E00-0000A43F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1739</xdr:row>
          <xdr:rowOff>0</xdr:rowOff>
        </xdr:from>
        <xdr:to>
          <xdr:col>22</xdr:col>
          <xdr:colOff>177800</xdr:colOff>
          <xdr:row>1739</xdr:row>
          <xdr:rowOff>177800</xdr:rowOff>
        </xdr:to>
        <xdr:sp macro="" textlink="">
          <xdr:nvSpPr>
            <xdr:cNvPr id="16293" name="Check Box 933" hidden="1">
              <a:extLst>
                <a:ext uri="{63B3BB69-23CF-44E3-9099-C40C66FF867C}">
                  <a14:compatExt spid="_x0000_s16293"/>
                </a:ext>
                <a:ext uri="{FF2B5EF4-FFF2-40B4-BE49-F238E27FC236}">
                  <a16:creationId xmlns:a16="http://schemas.microsoft.com/office/drawing/2014/main" id="{00000000-0008-0000-0E00-0000A53F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1744</xdr:row>
          <xdr:rowOff>0</xdr:rowOff>
        </xdr:from>
        <xdr:to>
          <xdr:col>22</xdr:col>
          <xdr:colOff>177800</xdr:colOff>
          <xdr:row>1744</xdr:row>
          <xdr:rowOff>177800</xdr:rowOff>
        </xdr:to>
        <xdr:sp macro="" textlink="">
          <xdr:nvSpPr>
            <xdr:cNvPr id="16294" name="Check Box 934" hidden="1">
              <a:extLst>
                <a:ext uri="{63B3BB69-23CF-44E3-9099-C40C66FF867C}">
                  <a14:compatExt spid="_x0000_s16294"/>
                </a:ext>
                <a:ext uri="{FF2B5EF4-FFF2-40B4-BE49-F238E27FC236}">
                  <a16:creationId xmlns:a16="http://schemas.microsoft.com/office/drawing/2014/main" id="{00000000-0008-0000-0E00-0000A63F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1748</xdr:row>
          <xdr:rowOff>0</xdr:rowOff>
        </xdr:from>
        <xdr:to>
          <xdr:col>22</xdr:col>
          <xdr:colOff>177800</xdr:colOff>
          <xdr:row>1748</xdr:row>
          <xdr:rowOff>177800</xdr:rowOff>
        </xdr:to>
        <xdr:sp macro="" textlink="">
          <xdr:nvSpPr>
            <xdr:cNvPr id="16295" name="Check Box 935" hidden="1">
              <a:extLst>
                <a:ext uri="{63B3BB69-23CF-44E3-9099-C40C66FF867C}">
                  <a14:compatExt spid="_x0000_s16295"/>
                </a:ext>
                <a:ext uri="{FF2B5EF4-FFF2-40B4-BE49-F238E27FC236}">
                  <a16:creationId xmlns:a16="http://schemas.microsoft.com/office/drawing/2014/main" id="{00000000-0008-0000-0E00-0000A73F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1749</xdr:row>
          <xdr:rowOff>0</xdr:rowOff>
        </xdr:from>
        <xdr:to>
          <xdr:col>22</xdr:col>
          <xdr:colOff>177800</xdr:colOff>
          <xdr:row>1749</xdr:row>
          <xdr:rowOff>177800</xdr:rowOff>
        </xdr:to>
        <xdr:sp macro="" textlink="">
          <xdr:nvSpPr>
            <xdr:cNvPr id="16296" name="Check Box 936" hidden="1">
              <a:extLst>
                <a:ext uri="{63B3BB69-23CF-44E3-9099-C40C66FF867C}">
                  <a14:compatExt spid="_x0000_s16296"/>
                </a:ext>
                <a:ext uri="{FF2B5EF4-FFF2-40B4-BE49-F238E27FC236}">
                  <a16:creationId xmlns:a16="http://schemas.microsoft.com/office/drawing/2014/main" id="{00000000-0008-0000-0E00-0000A83F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1750</xdr:row>
          <xdr:rowOff>0</xdr:rowOff>
        </xdr:from>
        <xdr:to>
          <xdr:col>22</xdr:col>
          <xdr:colOff>177800</xdr:colOff>
          <xdr:row>1750</xdr:row>
          <xdr:rowOff>177800</xdr:rowOff>
        </xdr:to>
        <xdr:sp macro="" textlink="">
          <xdr:nvSpPr>
            <xdr:cNvPr id="16297" name="Check Box 937" hidden="1">
              <a:extLst>
                <a:ext uri="{63B3BB69-23CF-44E3-9099-C40C66FF867C}">
                  <a14:compatExt spid="_x0000_s16297"/>
                </a:ext>
                <a:ext uri="{FF2B5EF4-FFF2-40B4-BE49-F238E27FC236}">
                  <a16:creationId xmlns:a16="http://schemas.microsoft.com/office/drawing/2014/main" id="{00000000-0008-0000-0E00-0000A93F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1754</xdr:row>
          <xdr:rowOff>0</xdr:rowOff>
        </xdr:from>
        <xdr:to>
          <xdr:col>22</xdr:col>
          <xdr:colOff>177800</xdr:colOff>
          <xdr:row>1754</xdr:row>
          <xdr:rowOff>177800</xdr:rowOff>
        </xdr:to>
        <xdr:sp macro="" textlink="">
          <xdr:nvSpPr>
            <xdr:cNvPr id="16298" name="Check Box 938" hidden="1">
              <a:extLst>
                <a:ext uri="{63B3BB69-23CF-44E3-9099-C40C66FF867C}">
                  <a14:compatExt spid="_x0000_s16298"/>
                </a:ext>
                <a:ext uri="{FF2B5EF4-FFF2-40B4-BE49-F238E27FC236}">
                  <a16:creationId xmlns:a16="http://schemas.microsoft.com/office/drawing/2014/main" id="{00000000-0008-0000-0E00-0000AA3F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1756</xdr:row>
          <xdr:rowOff>0</xdr:rowOff>
        </xdr:from>
        <xdr:to>
          <xdr:col>22</xdr:col>
          <xdr:colOff>177800</xdr:colOff>
          <xdr:row>1756</xdr:row>
          <xdr:rowOff>177800</xdr:rowOff>
        </xdr:to>
        <xdr:sp macro="" textlink="">
          <xdr:nvSpPr>
            <xdr:cNvPr id="16299" name="Check Box 939" hidden="1">
              <a:extLst>
                <a:ext uri="{63B3BB69-23CF-44E3-9099-C40C66FF867C}">
                  <a14:compatExt spid="_x0000_s16299"/>
                </a:ext>
                <a:ext uri="{FF2B5EF4-FFF2-40B4-BE49-F238E27FC236}">
                  <a16:creationId xmlns:a16="http://schemas.microsoft.com/office/drawing/2014/main" id="{00000000-0008-0000-0E00-0000AB3F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1760</xdr:row>
          <xdr:rowOff>0</xdr:rowOff>
        </xdr:from>
        <xdr:to>
          <xdr:col>22</xdr:col>
          <xdr:colOff>177800</xdr:colOff>
          <xdr:row>1760</xdr:row>
          <xdr:rowOff>177800</xdr:rowOff>
        </xdr:to>
        <xdr:sp macro="" textlink="">
          <xdr:nvSpPr>
            <xdr:cNvPr id="16300" name="Check Box 940" hidden="1">
              <a:extLst>
                <a:ext uri="{63B3BB69-23CF-44E3-9099-C40C66FF867C}">
                  <a14:compatExt spid="_x0000_s16300"/>
                </a:ext>
                <a:ext uri="{FF2B5EF4-FFF2-40B4-BE49-F238E27FC236}">
                  <a16:creationId xmlns:a16="http://schemas.microsoft.com/office/drawing/2014/main" id="{00000000-0008-0000-0E00-0000AC3F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1762</xdr:row>
          <xdr:rowOff>0</xdr:rowOff>
        </xdr:from>
        <xdr:to>
          <xdr:col>22</xdr:col>
          <xdr:colOff>177800</xdr:colOff>
          <xdr:row>1762</xdr:row>
          <xdr:rowOff>177800</xdr:rowOff>
        </xdr:to>
        <xdr:sp macro="" textlink="">
          <xdr:nvSpPr>
            <xdr:cNvPr id="16301" name="Check Box 941" hidden="1">
              <a:extLst>
                <a:ext uri="{63B3BB69-23CF-44E3-9099-C40C66FF867C}">
                  <a14:compatExt spid="_x0000_s16301"/>
                </a:ext>
                <a:ext uri="{FF2B5EF4-FFF2-40B4-BE49-F238E27FC236}">
                  <a16:creationId xmlns:a16="http://schemas.microsoft.com/office/drawing/2014/main" id="{00000000-0008-0000-0E00-0000AD3F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1764</xdr:row>
          <xdr:rowOff>0</xdr:rowOff>
        </xdr:from>
        <xdr:to>
          <xdr:col>22</xdr:col>
          <xdr:colOff>177800</xdr:colOff>
          <xdr:row>1764</xdr:row>
          <xdr:rowOff>177800</xdr:rowOff>
        </xdr:to>
        <xdr:sp macro="" textlink="">
          <xdr:nvSpPr>
            <xdr:cNvPr id="16302" name="Check Box 942" hidden="1">
              <a:extLst>
                <a:ext uri="{63B3BB69-23CF-44E3-9099-C40C66FF867C}">
                  <a14:compatExt spid="_x0000_s16302"/>
                </a:ext>
                <a:ext uri="{FF2B5EF4-FFF2-40B4-BE49-F238E27FC236}">
                  <a16:creationId xmlns:a16="http://schemas.microsoft.com/office/drawing/2014/main" id="{00000000-0008-0000-0E00-0000AE3F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1765</xdr:row>
          <xdr:rowOff>0</xdr:rowOff>
        </xdr:from>
        <xdr:to>
          <xdr:col>22</xdr:col>
          <xdr:colOff>177800</xdr:colOff>
          <xdr:row>1765</xdr:row>
          <xdr:rowOff>177800</xdr:rowOff>
        </xdr:to>
        <xdr:sp macro="" textlink="">
          <xdr:nvSpPr>
            <xdr:cNvPr id="16303" name="Check Box 943" hidden="1">
              <a:extLst>
                <a:ext uri="{63B3BB69-23CF-44E3-9099-C40C66FF867C}">
                  <a14:compatExt spid="_x0000_s16303"/>
                </a:ext>
                <a:ext uri="{FF2B5EF4-FFF2-40B4-BE49-F238E27FC236}">
                  <a16:creationId xmlns:a16="http://schemas.microsoft.com/office/drawing/2014/main" id="{00000000-0008-0000-0E00-0000AF3F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1767</xdr:row>
          <xdr:rowOff>0</xdr:rowOff>
        </xdr:from>
        <xdr:to>
          <xdr:col>22</xdr:col>
          <xdr:colOff>177800</xdr:colOff>
          <xdr:row>1767</xdr:row>
          <xdr:rowOff>177800</xdr:rowOff>
        </xdr:to>
        <xdr:sp macro="" textlink="">
          <xdr:nvSpPr>
            <xdr:cNvPr id="16304" name="Check Box 944" hidden="1">
              <a:extLst>
                <a:ext uri="{63B3BB69-23CF-44E3-9099-C40C66FF867C}">
                  <a14:compatExt spid="_x0000_s16304"/>
                </a:ext>
                <a:ext uri="{FF2B5EF4-FFF2-40B4-BE49-F238E27FC236}">
                  <a16:creationId xmlns:a16="http://schemas.microsoft.com/office/drawing/2014/main" id="{00000000-0008-0000-0E00-0000B03F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1787</xdr:row>
          <xdr:rowOff>0</xdr:rowOff>
        </xdr:from>
        <xdr:to>
          <xdr:col>22</xdr:col>
          <xdr:colOff>177800</xdr:colOff>
          <xdr:row>1787</xdr:row>
          <xdr:rowOff>177800</xdr:rowOff>
        </xdr:to>
        <xdr:sp macro="" textlink="">
          <xdr:nvSpPr>
            <xdr:cNvPr id="16305" name="Check Box 945" hidden="1">
              <a:extLst>
                <a:ext uri="{63B3BB69-23CF-44E3-9099-C40C66FF867C}">
                  <a14:compatExt spid="_x0000_s16305"/>
                </a:ext>
                <a:ext uri="{FF2B5EF4-FFF2-40B4-BE49-F238E27FC236}">
                  <a16:creationId xmlns:a16="http://schemas.microsoft.com/office/drawing/2014/main" id="{00000000-0008-0000-0E00-0000B13F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1810</xdr:row>
          <xdr:rowOff>0</xdr:rowOff>
        </xdr:from>
        <xdr:to>
          <xdr:col>22</xdr:col>
          <xdr:colOff>177800</xdr:colOff>
          <xdr:row>1810</xdr:row>
          <xdr:rowOff>177800</xdr:rowOff>
        </xdr:to>
        <xdr:sp macro="" textlink="">
          <xdr:nvSpPr>
            <xdr:cNvPr id="16306" name="Check Box 946" hidden="1">
              <a:extLst>
                <a:ext uri="{63B3BB69-23CF-44E3-9099-C40C66FF867C}">
                  <a14:compatExt spid="_x0000_s16306"/>
                </a:ext>
                <a:ext uri="{FF2B5EF4-FFF2-40B4-BE49-F238E27FC236}">
                  <a16:creationId xmlns:a16="http://schemas.microsoft.com/office/drawing/2014/main" id="{00000000-0008-0000-0E00-0000B23F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1830</xdr:row>
          <xdr:rowOff>0</xdr:rowOff>
        </xdr:from>
        <xdr:to>
          <xdr:col>22</xdr:col>
          <xdr:colOff>177800</xdr:colOff>
          <xdr:row>1830</xdr:row>
          <xdr:rowOff>177800</xdr:rowOff>
        </xdr:to>
        <xdr:sp macro="" textlink="">
          <xdr:nvSpPr>
            <xdr:cNvPr id="16307" name="Check Box 947" hidden="1">
              <a:extLst>
                <a:ext uri="{63B3BB69-23CF-44E3-9099-C40C66FF867C}">
                  <a14:compatExt spid="_x0000_s16307"/>
                </a:ext>
                <a:ext uri="{FF2B5EF4-FFF2-40B4-BE49-F238E27FC236}">
                  <a16:creationId xmlns:a16="http://schemas.microsoft.com/office/drawing/2014/main" id="{00000000-0008-0000-0E00-0000B33F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1838</xdr:row>
          <xdr:rowOff>0</xdr:rowOff>
        </xdr:from>
        <xdr:to>
          <xdr:col>22</xdr:col>
          <xdr:colOff>177800</xdr:colOff>
          <xdr:row>1838</xdr:row>
          <xdr:rowOff>177800</xdr:rowOff>
        </xdr:to>
        <xdr:sp macro="" textlink="">
          <xdr:nvSpPr>
            <xdr:cNvPr id="16308" name="Check Box 948" hidden="1">
              <a:extLst>
                <a:ext uri="{63B3BB69-23CF-44E3-9099-C40C66FF867C}">
                  <a14:compatExt spid="_x0000_s16308"/>
                </a:ext>
                <a:ext uri="{FF2B5EF4-FFF2-40B4-BE49-F238E27FC236}">
                  <a16:creationId xmlns:a16="http://schemas.microsoft.com/office/drawing/2014/main" id="{00000000-0008-0000-0E00-0000B43F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1847</xdr:row>
          <xdr:rowOff>0</xdr:rowOff>
        </xdr:from>
        <xdr:to>
          <xdr:col>22</xdr:col>
          <xdr:colOff>177800</xdr:colOff>
          <xdr:row>1847</xdr:row>
          <xdr:rowOff>177800</xdr:rowOff>
        </xdr:to>
        <xdr:sp macro="" textlink="">
          <xdr:nvSpPr>
            <xdr:cNvPr id="16309" name="Check Box 949" hidden="1">
              <a:extLst>
                <a:ext uri="{63B3BB69-23CF-44E3-9099-C40C66FF867C}">
                  <a14:compatExt spid="_x0000_s16309"/>
                </a:ext>
                <a:ext uri="{FF2B5EF4-FFF2-40B4-BE49-F238E27FC236}">
                  <a16:creationId xmlns:a16="http://schemas.microsoft.com/office/drawing/2014/main" id="{00000000-0008-0000-0E00-0000B53F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1850</xdr:row>
          <xdr:rowOff>0</xdr:rowOff>
        </xdr:from>
        <xdr:to>
          <xdr:col>22</xdr:col>
          <xdr:colOff>177800</xdr:colOff>
          <xdr:row>1850</xdr:row>
          <xdr:rowOff>177800</xdr:rowOff>
        </xdr:to>
        <xdr:sp macro="" textlink="">
          <xdr:nvSpPr>
            <xdr:cNvPr id="16311" name="Check Box 951" hidden="1">
              <a:extLst>
                <a:ext uri="{63B3BB69-23CF-44E3-9099-C40C66FF867C}">
                  <a14:compatExt spid="_x0000_s16311"/>
                </a:ext>
                <a:ext uri="{FF2B5EF4-FFF2-40B4-BE49-F238E27FC236}">
                  <a16:creationId xmlns:a16="http://schemas.microsoft.com/office/drawing/2014/main" id="{00000000-0008-0000-0E00-0000B73F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1852</xdr:row>
          <xdr:rowOff>0</xdr:rowOff>
        </xdr:from>
        <xdr:to>
          <xdr:col>22</xdr:col>
          <xdr:colOff>177800</xdr:colOff>
          <xdr:row>1852</xdr:row>
          <xdr:rowOff>177800</xdr:rowOff>
        </xdr:to>
        <xdr:sp macro="" textlink="">
          <xdr:nvSpPr>
            <xdr:cNvPr id="16312" name="Check Box 952" hidden="1">
              <a:extLst>
                <a:ext uri="{63B3BB69-23CF-44E3-9099-C40C66FF867C}">
                  <a14:compatExt spid="_x0000_s16312"/>
                </a:ext>
                <a:ext uri="{FF2B5EF4-FFF2-40B4-BE49-F238E27FC236}">
                  <a16:creationId xmlns:a16="http://schemas.microsoft.com/office/drawing/2014/main" id="{00000000-0008-0000-0E00-0000B83F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2017</xdr:row>
          <xdr:rowOff>0</xdr:rowOff>
        </xdr:from>
        <xdr:to>
          <xdr:col>22</xdr:col>
          <xdr:colOff>177800</xdr:colOff>
          <xdr:row>2017</xdr:row>
          <xdr:rowOff>177800</xdr:rowOff>
        </xdr:to>
        <xdr:sp macro="" textlink="">
          <xdr:nvSpPr>
            <xdr:cNvPr id="16314" name="Check Box 954" hidden="1">
              <a:extLst>
                <a:ext uri="{63B3BB69-23CF-44E3-9099-C40C66FF867C}">
                  <a14:compatExt spid="_x0000_s16314"/>
                </a:ext>
                <a:ext uri="{FF2B5EF4-FFF2-40B4-BE49-F238E27FC236}">
                  <a16:creationId xmlns:a16="http://schemas.microsoft.com/office/drawing/2014/main" id="{00000000-0008-0000-0E00-0000BA3F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2072</xdr:row>
          <xdr:rowOff>0</xdr:rowOff>
        </xdr:from>
        <xdr:to>
          <xdr:col>22</xdr:col>
          <xdr:colOff>177800</xdr:colOff>
          <xdr:row>2072</xdr:row>
          <xdr:rowOff>177800</xdr:rowOff>
        </xdr:to>
        <xdr:sp macro="" textlink="">
          <xdr:nvSpPr>
            <xdr:cNvPr id="16316" name="Check Box 956" hidden="1">
              <a:extLst>
                <a:ext uri="{63B3BB69-23CF-44E3-9099-C40C66FF867C}">
                  <a14:compatExt spid="_x0000_s16316"/>
                </a:ext>
                <a:ext uri="{FF2B5EF4-FFF2-40B4-BE49-F238E27FC236}">
                  <a16:creationId xmlns:a16="http://schemas.microsoft.com/office/drawing/2014/main" id="{00000000-0008-0000-0E00-0000BC3F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2095</xdr:row>
          <xdr:rowOff>0</xdr:rowOff>
        </xdr:from>
        <xdr:to>
          <xdr:col>22</xdr:col>
          <xdr:colOff>177800</xdr:colOff>
          <xdr:row>2095</xdr:row>
          <xdr:rowOff>177800</xdr:rowOff>
        </xdr:to>
        <xdr:sp macro="" textlink="">
          <xdr:nvSpPr>
            <xdr:cNvPr id="16320" name="Check Box 960" hidden="1">
              <a:extLst>
                <a:ext uri="{63B3BB69-23CF-44E3-9099-C40C66FF867C}">
                  <a14:compatExt spid="_x0000_s16320"/>
                </a:ext>
                <a:ext uri="{FF2B5EF4-FFF2-40B4-BE49-F238E27FC236}">
                  <a16:creationId xmlns:a16="http://schemas.microsoft.com/office/drawing/2014/main" id="{00000000-0008-0000-0E00-0000C03F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2146</xdr:row>
          <xdr:rowOff>0</xdr:rowOff>
        </xdr:from>
        <xdr:to>
          <xdr:col>22</xdr:col>
          <xdr:colOff>177800</xdr:colOff>
          <xdr:row>2146</xdr:row>
          <xdr:rowOff>177800</xdr:rowOff>
        </xdr:to>
        <xdr:sp macro="" textlink="">
          <xdr:nvSpPr>
            <xdr:cNvPr id="16322" name="Check Box 962" hidden="1">
              <a:extLst>
                <a:ext uri="{63B3BB69-23CF-44E3-9099-C40C66FF867C}">
                  <a14:compatExt spid="_x0000_s16322"/>
                </a:ext>
                <a:ext uri="{FF2B5EF4-FFF2-40B4-BE49-F238E27FC236}">
                  <a16:creationId xmlns:a16="http://schemas.microsoft.com/office/drawing/2014/main" id="{00000000-0008-0000-0E00-0000C23F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2148</xdr:row>
          <xdr:rowOff>0</xdr:rowOff>
        </xdr:from>
        <xdr:to>
          <xdr:col>22</xdr:col>
          <xdr:colOff>177800</xdr:colOff>
          <xdr:row>2148</xdr:row>
          <xdr:rowOff>177800</xdr:rowOff>
        </xdr:to>
        <xdr:sp macro="" textlink="">
          <xdr:nvSpPr>
            <xdr:cNvPr id="16323" name="Check Box 963" hidden="1">
              <a:extLst>
                <a:ext uri="{63B3BB69-23CF-44E3-9099-C40C66FF867C}">
                  <a14:compatExt spid="_x0000_s16323"/>
                </a:ext>
                <a:ext uri="{FF2B5EF4-FFF2-40B4-BE49-F238E27FC236}">
                  <a16:creationId xmlns:a16="http://schemas.microsoft.com/office/drawing/2014/main" id="{00000000-0008-0000-0E00-0000C33F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2171</xdr:row>
          <xdr:rowOff>0</xdr:rowOff>
        </xdr:from>
        <xdr:to>
          <xdr:col>22</xdr:col>
          <xdr:colOff>177800</xdr:colOff>
          <xdr:row>2171</xdr:row>
          <xdr:rowOff>177800</xdr:rowOff>
        </xdr:to>
        <xdr:sp macro="" textlink="">
          <xdr:nvSpPr>
            <xdr:cNvPr id="16324" name="Check Box 964" hidden="1">
              <a:extLst>
                <a:ext uri="{63B3BB69-23CF-44E3-9099-C40C66FF867C}">
                  <a14:compatExt spid="_x0000_s16324"/>
                </a:ext>
                <a:ext uri="{FF2B5EF4-FFF2-40B4-BE49-F238E27FC236}">
                  <a16:creationId xmlns:a16="http://schemas.microsoft.com/office/drawing/2014/main" id="{00000000-0008-0000-0E00-0000C43F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2180</xdr:row>
          <xdr:rowOff>0</xdr:rowOff>
        </xdr:from>
        <xdr:to>
          <xdr:col>22</xdr:col>
          <xdr:colOff>177800</xdr:colOff>
          <xdr:row>2180</xdr:row>
          <xdr:rowOff>177800</xdr:rowOff>
        </xdr:to>
        <xdr:sp macro="" textlink="">
          <xdr:nvSpPr>
            <xdr:cNvPr id="16325" name="Check Box 965" hidden="1">
              <a:extLst>
                <a:ext uri="{63B3BB69-23CF-44E3-9099-C40C66FF867C}">
                  <a14:compatExt spid="_x0000_s16325"/>
                </a:ext>
                <a:ext uri="{FF2B5EF4-FFF2-40B4-BE49-F238E27FC236}">
                  <a16:creationId xmlns:a16="http://schemas.microsoft.com/office/drawing/2014/main" id="{00000000-0008-0000-0E00-0000C53F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2215</xdr:row>
          <xdr:rowOff>0</xdr:rowOff>
        </xdr:from>
        <xdr:to>
          <xdr:col>22</xdr:col>
          <xdr:colOff>177800</xdr:colOff>
          <xdr:row>2215</xdr:row>
          <xdr:rowOff>177800</xdr:rowOff>
        </xdr:to>
        <xdr:sp macro="" textlink="">
          <xdr:nvSpPr>
            <xdr:cNvPr id="16326" name="Check Box 966" hidden="1">
              <a:extLst>
                <a:ext uri="{63B3BB69-23CF-44E3-9099-C40C66FF867C}">
                  <a14:compatExt spid="_x0000_s16326"/>
                </a:ext>
                <a:ext uri="{FF2B5EF4-FFF2-40B4-BE49-F238E27FC236}">
                  <a16:creationId xmlns:a16="http://schemas.microsoft.com/office/drawing/2014/main" id="{00000000-0008-0000-0E00-0000C63F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2222</xdr:row>
          <xdr:rowOff>0</xdr:rowOff>
        </xdr:from>
        <xdr:to>
          <xdr:col>22</xdr:col>
          <xdr:colOff>177800</xdr:colOff>
          <xdr:row>2222</xdr:row>
          <xdr:rowOff>177800</xdr:rowOff>
        </xdr:to>
        <xdr:sp macro="" textlink="">
          <xdr:nvSpPr>
            <xdr:cNvPr id="16327" name="Check Box 967" hidden="1">
              <a:extLst>
                <a:ext uri="{63B3BB69-23CF-44E3-9099-C40C66FF867C}">
                  <a14:compatExt spid="_x0000_s16327"/>
                </a:ext>
                <a:ext uri="{FF2B5EF4-FFF2-40B4-BE49-F238E27FC236}">
                  <a16:creationId xmlns:a16="http://schemas.microsoft.com/office/drawing/2014/main" id="{00000000-0008-0000-0E00-0000C73F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2234</xdr:row>
          <xdr:rowOff>0</xdr:rowOff>
        </xdr:from>
        <xdr:to>
          <xdr:col>22</xdr:col>
          <xdr:colOff>177800</xdr:colOff>
          <xdr:row>2234</xdr:row>
          <xdr:rowOff>177800</xdr:rowOff>
        </xdr:to>
        <xdr:sp macro="" textlink="">
          <xdr:nvSpPr>
            <xdr:cNvPr id="16329" name="Check Box 969" hidden="1">
              <a:extLst>
                <a:ext uri="{63B3BB69-23CF-44E3-9099-C40C66FF867C}">
                  <a14:compatExt spid="_x0000_s16329"/>
                </a:ext>
                <a:ext uri="{FF2B5EF4-FFF2-40B4-BE49-F238E27FC236}">
                  <a16:creationId xmlns:a16="http://schemas.microsoft.com/office/drawing/2014/main" id="{00000000-0008-0000-0E00-0000C93F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2235</xdr:row>
          <xdr:rowOff>0</xdr:rowOff>
        </xdr:from>
        <xdr:to>
          <xdr:col>22</xdr:col>
          <xdr:colOff>177800</xdr:colOff>
          <xdr:row>2235</xdr:row>
          <xdr:rowOff>177800</xdr:rowOff>
        </xdr:to>
        <xdr:sp macro="" textlink="">
          <xdr:nvSpPr>
            <xdr:cNvPr id="16330" name="Check Box 970" hidden="1">
              <a:extLst>
                <a:ext uri="{63B3BB69-23CF-44E3-9099-C40C66FF867C}">
                  <a14:compatExt spid="_x0000_s16330"/>
                </a:ext>
                <a:ext uri="{FF2B5EF4-FFF2-40B4-BE49-F238E27FC236}">
                  <a16:creationId xmlns:a16="http://schemas.microsoft.com/office/drawing/2014/main" id="{00000000-0008-0000-0E00-0000CA3F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2237</xdr:row>
          <xdr:rowOff>0</xdr:rowOff>
        </xdr:from>
        <xdr:to>
          <xdr:col>22</xdr:col>
          <xdr:colOff>177800</xdr:colOff>
          <xdr:row>2237</xdr:row>
          <xdr:rowOff>177800</xdr:rowOff>
        </xdr:to>
        <xdr:sp macro="" textlink="">
          <xdr:nvSpPr>
            <xdr:cNvPr id="16331" name="Check Box 971" hidden="1">
              <a:extLst>
                <a:ext uri="{63B3BB69-23CF-44E3-9099-C40C66FF867C}">
                  <a14:compatExt spid="_x0000_s16331"/>
                </a:ext>
                <a:ext uri="{FF2B5EF4-FFF2-40B4-BE49-F238E27FC236}">
                  <a16:creationId xmlns:a16="http://schemas.microsoft.com/office/drawing/2014/main" id="{00000000-0008-0000-0E00-0000CB3F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2242</xdr:row>
          <xdr:rowOff>0</xdr:rowOff>
        </xdr:from>
        <xdr:to>
          <xdr:col>22</xdr:col>
          <xdr:colOff>177800</xdr:colOff>
          <xdr:row>2242</xdr:row>
          <xdr:rowOff>177800</xdr:rowOff>
        </xdr:to>
        <xdr:sp macro="" textlink="">
          <xdr:nvSpPr>
            <xdr:cNvPr id="16332" name="Check Box 972" hidden="1">
              <a:extLst>
                <a:ext uri="{63B3BB69-23CF-44E3-9099-C40C66FF867C}">
                  <a14:compatExt spid="_x0000_s16332"/>
                </a:ext>
                <a:ext uri="{FF2B5EF4-FFF2-40B4-BE49-F238E27FC236}">
                  <a16:creationId xmlns:a16="http://schemas.microsoft.com/office/drawing/2014/main" id="{00000000-0008-0000-0E00-0000CC3F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2398</xdr:row>
          <xdr:rowOff>0</xdr:rowOff>
        </xdr:from>
        <xdr:to>
          <xdr:col>22</xdr:col>
          <xdr:colOff>177800</xdr:colOff>
          <xdr:row>2398</xdr:row>
          <xdr:rowOff>177800</xdr:rowOff>
        </xdr:to>
        <xdr:sp macro="" textlink="">
          <xdr:nvSpPr>
            <xdr:cNvPr id="16333" name="Check Box 973" hidden="1">
              <a:extLst>
                <a:ext uri="{63B3BB69-23CF-44E3-9099-C40C66FF867C}">
                  <a14:compatExt spid="_x0000_s16333"/>
                </a:ext>
                <a:ext uri="{FF2B5EF4-FFF2-40B4-BE49-F238E27FC236}">
                  <a16:creationId xmlns:a16="http://schemas.microsoft.com/office/drawing/2014/main" id="{00000000-0008-0000-0E00-0000CD3F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2415</xdr:row>
          <xdr:rowOff>0</xdr:rowOff>
        </xdr:from>
        <xdr:to>
          <xdr:col>22</xdr:col>
          <xdr:colOff>177800</xdr:colOff>
          <xdr:row>2415</xdr:row>
          <xdr:rowOff>177800</xdr:rowOff>
        </xdr:to>
        <xdr:sp macro="" textlink="">
          <xdr:nvSpPr>
            <xdr:cNvPr id="16335" name="Check Box 975" hidden="1">
              <a:extLst>
                <a:ext uri="{63B3BB69-23CF-44E3-9099-C40C66FF867C}">
                  <a14:compatExt spid="_x0000_s16335"/>
                </a:ext>
                <a:ext uri="{FF2B5EF4-FFF2-40B4-BE49-F238E27FC236}">
                  <a16:creationId xmlns:a16="http://schemas.microsoft.com/office/drawing/2014/main" id="{00000000-0008-0000-0E00-0000CF3F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2416</xdr:row>
          <xdr:rowOff>0</xdr:rowOff>
        </xdr:from>
        <xdr:to>
          <xdr:col>22</xdr:col>
          <xdr:colOff>177800</xdr:colOff>
          <xdr:row>2416</xdr:row>
          <xdr:rowOff>177800</xdr:rowOff>
        </xdr:to>
        <xdr:sp macro="" textlink="">
          <xdr:nvSpPr>
            <xdr:cNvPr id="16336" name="Check Box 976" hidden="1">
              <a:extLst>
                <a:ext uri="{63B3BB69-23CF-44E3-9099-C40C66FF867C}">
                  <a14:compatExt spid="_x0000_s16336"/>
                </a:ext>
                <a:ext uri="{FF2B5EF4-FFF2-40B4-BE49-F238E27FC236}">
                  <a16:creationId xmlns:a16="http://schemas.microsoft.com/office/drawing/2014/main" id="{00000000-0008-0000-0E00-0000D03F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2417</xdr:row>
          <xdr:rowOff>0</xdr:rowOff>
        </xdr:from>
        <xdr:to>
          <xdr:col>22</xdr:col>
          <xdr:colOff>177800</xdr:colOff>
          <xdr:row>2417</xdr:row>
          <xdr:rowOff>177800</xdr:rowOff>
        </xdr:to>
        <xdr:sp macro="" textlink="">
          <xdr:nvSpPr>
            <xdr:cNvPr id="16337" name="Check Box 977" hidden="1">
              <a:extLst>
                <a:ext uri="{63B3BB69-23CF-44E3-9099-C40C66FF867C}">
                  <a14:compatExt spid="_x0000_s16337"/>
                </a:ext>
                <a:ext uri="{FF2B5EF4-FFF2-40B4-BE49-F238E27FC236}">
                  <a16:creationId xmlns:a16="http://schemas.microsoft.com/office/drawing/2014/main" id="{00000000-0008-0000-0E00-0000D13F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2419</xdr:row>
          <xdr:rowOff>0</xdr:rowOff>
        </xdr:from>
        <xdr:to>
          <xdr:col>22</xdr:col>
          <xdr:colOff>177800</xdr:colOff>
          <xdr:row>2419</xdr:row>
          <xdr:rowOff>177800</xdr:rowOff>
        </xdr:to>
        <xdr:sp macro="" textlink="">
          <xdr:nvSpPr>
            <xdr:cNvPr id="16338" name="Check Box 978" hidden="1">
              <a:extLst>
                <a:ext uri="{63B3BB69-23CF-44E3-9099-C40C66FF867C}">
                  <a14:compatExt spid="_x0000_s16338"/>
                </a:ext>
                <a:ext uri="{FF2B5EF4-FFF2-40B4-BE49-F238E27FC236}">
                  <a16:creationId xmlns:a16="http://schemas.microsoft.com/office/drawing/2014/main" id="{00000000-0008-0000-0E00-0000D23F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2420</xdr:row>
          <xdr:rowOff>0</xdr:rowOff>
        </xdr:from>
        <xdr:to>
          <xdr:col>22</xdr:col>
          <xdr:colOff>177800</xdr:colOff>
          <xdr:row>2420</xdr:row>
          <xdr:rowOff>177800</xdr:rowOff>
        </xdr:to>
        <xdr:sp macro="" textlink="">
          <xdr:nvSpPr>
            <xdr:cNvPr id="16339" name="Check Box 979" hidden="1">
              <a:extLst>
                <a:ext uri="{63B3BB69-23CF-44E3-9099-C40C66FF867C}">
                  <a14:compatExt spid="_x0000_s16339"/>
                </a:ext>
                <a:ext uri="{FF2B5EF4-FFF2-40B4-BE49-F238E27FC236}">
                  <a16:creationId xmlns:a16="http://schemas.microsoft.com/office/drawing/2014/main" id="{00000000-0008-0000-0E00-0000D33F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2421</xdr:row>
          <xdr:rowOff>0</xdr:rowOff>
        </xdr:from>
        <xdr:to>
          <xdr:col>22</xdr:col>
          <xdr:colOff>177800</xdr:colOff>
          <xdr:row>2421</xdr:row>
          <xdr:rowOff>177800</xdr:rowOff>
        </xdr:to>
        <xdr:sp macro="" textlink="">
          <xdr:nvSpPr>
            <xdr:cNvPr id="16340" name="Check Box 980" hidden="1">
              <a:extLst>
                <a:ext uri="{63B3BB69-23CF-44E3-9099-C40C66FF867C}">
                  <a14:compatExt spid="_x0000_s16340"/>
                </a:ext>
                <a:ext uri="{FF2B5EF4-FFF2-40B4-BE49-F238E27FC236}">
                  <a16:creationId xmlns:a16="http://schemas.microsoft.com/office/drawing/2014/main" id="{00000000-0008-0000-0E00-0000D43F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2422</xdr:row>
          <xdr:rowOff>0</xdr:rowOff>
        </xdr:from>
        <xdr:to>
          <xdr:col>22</xdr:col>
          <xdr:colOff>177800</xdr:colOff>
          <xdr:row>2422</xdr:row>
          <xdr:rowOff>177800</xdr:rowOff>
        </xdr:to>
        <xdr:sp macro="" textlink="">
          <xdr:nvSpPr>
            <xdr:cNvPr id="16341" name="Check Box 981" hidden="1">
              <a:extLst>
                <a:ext uri="{63B3BB69-23CF-44E3-9099-C40C66FF867C}">
                  <a14:compatExt spid="_x0000_s16341"/>
                </a:ext>
                <a:ext uri="{FF2B5EF4-FFF2-40B4-BE49-F238E27FC236}">
                  <a16:creationId xmlns:a16="http://schemas.microsoft.com/office/drawing/2014/main" id="{00000000-0008-0000-0E00-0000D53F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2423</xdr:row>
          <xdr:rowOff>0</xdr:rowOff>
        </xdr:from>
        <xdr:to>
          <xdr:col>22</xdr:col>
          <xdr:colOff>177800</xdr:colOff>
          <xdr:row>2423</xdr:row>
          <xdr:rowOff>177800</xdr:rowOff>
        </xdr:to>
        <xdr:sp macro="" textlink="">
          <xdr:nvSpPr>
            <xdr:cNvPr id="16342" name="Check Box 982" hidden="1">
              <a:extLst>
                <a:ext uri="{63B3BB69-23CF-44E3-9099-C40C66FF867C}">
                  <a14:compatExt spid="_x0000_s16342"/>
                </a:ext>
                <a:ext uri="{FF2B5EF4-FFF2-40B4-BE49-F238E27FC236}">
                  <a16:creationId xmlns:a16="http://schemas.microsoft.com/office/drawing/2014/main" id="{00000000-0008-0000-0E00-0000D63F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2424</xdr:row>
          <xdr:rowOff>0</xdr:rowOff>
        </xdr:from>
        <xdr:to>
          <xdr:col>22</xdr:col>
          <xdr:colOff>177800</xdr:colOff>
          <xdr:row>2424</xdr:row>
          <xdr:rowOff>177800</xdr:rowOff>
        </xdr:to>
        <xdr:sp macro="" textlink="">
          <xdr:nvSpPr>
            <xdr:cNvPr id="16343" name="Check Box 983" hidden="1">
              <a:extLst>
                <a:ext uri="{63B3BB69-23CF-44E3-9099-C40C66FF867C}">
                  <a14:compatExt spid="_x0000_s16343"/>
                </a:ext>
                <a:ext uri="{FF2B5EF4-FFF2-40B4-BE49-F238E27FC236}">
                  <a16:creationId xmlns:a16="http://schemas.microsoft.com/office/drawing/2014/main" id="{00000000-0008-0000-0E00-0000D73F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2429</xdr:row>
          <xdr:rowOff>0</xdr:rowOff>
        </xdr:from>
        <xdr:to>
          <xdr:col>22</xdr:col>
          <xdr:colOff>177800</xdr:colOff>
          <xdr:row>2429</xdr:row>
          <xdr:rowOff>177800</xdr:rowOff>
        </xdr:to>
        <xdr:sp macro="" textlink="">
          <xdr:nvSpPr>
            <xdr:cNvPr id="16344" name="Check Box 984" hidden="1">
              <a:extLst>
                <a:ext uri="{63B3BB69-23CF-44E3-9099-C40C66FF867C}">
                  <a14:compatExt spid="_x0000_s16344"/>
                </a:ext>
                <a:ext uri="{FF2B5EF4-FFF2-40B4-BE49-F238E27FC236}">
                  <a16:creationId xmlns:a16="http://schemas.microsoft.com/office/drawing/2014/main" id="{00000000-0008-0000-0E00-0000D83F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2430</xdr:row>
          <xdr:rowOff>0</xdr:rowOff>
        </xdr:from>
        <xdr:to>
          <xdr:col>22</xdr:col>
          <xdr:colOff>177800</xdr:colOff>
          <xdr:row>2430</xdr:row>
          <xdr:rowOff>177800</xdr:rowOff>
        </xdr:to>
        <xdr:sp macro="" textlink="">
          <xdr:nvSpPr>
            <xdr:cNvPr id="16345" name="Check Box 985" hidden="1">
              <a:extLst>
                <a:ext uri="{63B3BB69-23CF-44E3-9099-C40C66FF867C}">
                  <a14:compatExt spid="_x0000_s16345"/>
                </a:ext>
                <a:ext uri="{FF2B5EF4-FFF2-40B4-BE49-F238E27FC236}">
                  <a16:creationId xmlns:a16="http://schemas.microsoft.com/office/drawing/2014/main" id="{00000000-0008-0000-0E00-0000D93F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2431</xdr:row>
          <xdr:rowOff>0</xdr:rowOff>
        </xdr:from>
        <xdr:to>
          <xdr:col>22</xdr:col>
          <xdr:colOff>177800</xdr:colOff>
          <xdr:row>2431</xdr:row>
          <xdr:rowOff>177800</xdr:rowOff>
        </xdr:to>
        <xdr:sp macro="" textlink="">
          <xdr:nvSpPr>
            <xdr:cNvPr id="16346" name="Check Box 986" hidden="1">
              <a:extLst>
                <a:ext uri="{63B3BB69-23CF-44E3-9099-C40C66FF867C}">
                  <a14:compatExt spid="_x0000_s16346"/>
                </a:ext>
                <a:ext uri="{FF2B5EF4-FFF2-40B4-BE49-F238E27FC236}">
                  <a16:creationId xmlns:a16="http://schemas.microsoft.com/office/drawing/2014/main" id="{00000000-0008-0000-0E00-0000DA3F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2432</xdr:row>
          <xdr:rowOff>0</xdr:rowOff>
        </xdr:from>
        <xdr:to>
          <xdr:col>22</xdr:col>
          <xdr:colOff>177800</xdr:colOff>
          <xdr:row>2432</xdr:row>
          <xdr:rowOff>177800</xdr:rowOff>
        </xdr:to>
        <xdr:sp macro="" textlink="">
          <xdr:nvSpPr>
            <xdr:cNvPr id="16347" name="Check Box 987" hidden="1">
              <a:extLst>
                <a:ext uri="{63B3BB69-23CF-44E3-9099-C40C66FF867C}">
                  <a14:compatExt spid="_x0000_s16347"/>
                </a:ext>
                <a:ext uri="{FF2B5EF4-FFF2-40B4-BE49-F238E27FC236}">
                  <a16:creationId xmlns:a16="http://schemas.microsoft.com/office/drawing/2014/main" id="{00000000-0008-0000-0E00-0000DB3F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2433</xdr:row>
          <xdr:rowOff>0</xdr:rowOff>
        </xdr:from>
        <xdr:to>
          <xdr:col>22</xdr:col>
          <xdr:colOff>177800</xdr:colOff>
          <xdr:row>2433</xdr:row>
          <xdr:rowOff>177800</xdr:rowOff>
        </xdr:to>
        <xdr:sp macro="" textlink="">
          <xdr:nvSpPr>
            <xdr:cNvPr id="16348" name="Check Box 988" hidden="1">
              <a:extLst>
                <a:ext uri="{63B3BB69-23CF-44E3-9099-C40C66FF867C}">
                  <a14:compatExt spid="_x0000_s16348"/>
                </a:ext>
                <a:ext uri="{FF2B5EF4-FFF2-40B4-BE49-F238E27FC236}">
                  <a16:creationId xmlns:a16="http://schemas.microsoft.com/office/drawing/2014/main" id="{00000000-0008-0000-0E00-0000DC3F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2434</xdr:row>
          <xdr:rowOff>0</xdr:rowOff>
        </xdr:from>
        <xdr:to>
          <xdr:col>22</xdr:col>
          <xdr:colOff>177800</xdr:colOff>
          <xdr:row>2434</xdr:row>
          <xdr:rowOff>177800</xdr:rowOff>
        </xdr:to>
        <xdr:sp macro="" textlink="">
          <xdr:nvSpPr>
            <xdr:cNvPr id="16349" name="Check Box 989" hidden="1">
              <a:extLst>
                <a:ext uri="{63B3BB69-23CF-44E3-9099-C40C66FF867C}">
                  <a14:compatExt spid="_x0000_s16349"/>
                </a:ext>
                <a:ext uri="{FF2B5EF4-FFF2-40B4-BE49-F238E27FC236}">
                  <a16:creationId xmlns:a16="http://schemas.microsoft.com/office/drawing/2014/main" id="{00000000-0008-0000-0E00-0000DD3F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2435</xdr:row>
          <xdr:rowOff>0</xdr:rowOff>
        </xdr:from>
        <xdr:to>
          <xdr:col>22</xdr:col>
          <xdr:colOff>177800</xdr:colOff>
          <xdr:row>2435</xdr:row>
          <xdr:rowOff>177800</xdr:rowOff>
        </xdr:to>
        <xdr:sp macro="" textlink="">
          <xdr:nvSpPr>
            <xdr:cNvPr id="16350" name="Check Box 990" hidden="1">
              <a:extLst>
                <a:ext uri="{63B3BB69-23CF-44E3-9099-C40C66FF867C}">
                  <a14:compatExt spid="_x0000_s16350"/>
                </a:ext>
                <a:ext uri="{FF2B5EF4-FFF2-40B4-BE49-F238E27FC236}">
                  <a16:creationId xmlns:a16="http://schemas.microsoft.com/office/drawing/2014/main" id="{00000000-0008-0000-0E00-0000DE3F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2451</xdr:row>
          <xdr:rowOff>0</xdr:rowOff>
        </xdr:from>
        <xdr:to>
          <xdr:col>22</xdr:col>
          <xdr:colOff>177800</xdr:colOff>
          <xdr:row>2451</xdr:row>
          <xdr:rowOff>177800</xdr:rowOff>
        </xdr:to>
        <xdr:sp macro="" textlink="">
          <xdr:nvSpPr>
            <xdr:cNvPr id="16351" name="Check Box 991" hidden="1">
              <a:extLst>
                <a:ext uri="{63B3BB69-23CF-44E3-9099-C40C66FF867C}">
                  <a14:compatExt spid="_x0000_s16351"/>
                </a:ext>
                <a:ext uri="{FF2B5EF4-FFF2-40B4-BE49-F238E27FC236}">
                  <a16:creationId xmlns:a16="http://schemas.microsoft.com/office/drawing/2014/main" id="{00000000-0008-0000-0E00-0000DF3F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2454</xdr:row>
          <xdr:rowOff>0</xdr:rowOff>
        </xdr:from>
        <xdr:to>
          <xdr:col>22</xdr:col>
          <xdr:colOff>177800</xdr:colOff>
          <xdr:row>2454</xdr:row>
          <xdr:rowOff>177800</xdr:rowOff>
        </xdr:to>
        <xdr:sp macro="" textlink="">
          <xdr:nvSpPr>
            <xdr:cNvPr id="16352" name="Check Box 992" hidden="1">
              <a:extLst>
                <a:ext uri="{63B3BB69-23CF-44E3-9099-C40C66FF867C}">
                  <a14:compatExt spid="_x0000_s16352"/>
                </a:ext>
                <a:ext uri="{FF2B5EF4-FFF2-40B4-BE49-F238E27FC236}">
                  <a16:creationId xmlns:a16="http://schemas.microsoft.com/office/drawing/2014/main" id="{00000000-0008-0000-0E00-0000E03F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22</xdr:col>
          <xdr:colOff>0</xdr:colOff>
          <xdr:row>929</xdr:row>
          <xdr:rowOff>0</xdr:rowOff>
        </xdr:from>
        <xdr:to>
          <xdr:col>22</xdr:col>
          <xdr:colOff>177800</xdr:colOff>
          <xdr:row>929</xdr:row>
          <xdr:rowOff>177800</xdr:rowOff>
        </xdr:to>
        <xdr:sp macro="" textlink="">
          <xdr:nvSpPr>
            <xdr:cNvPr id="16355" name="Check Box 995" hidden="1">
              <a:extLst>
                <a:ext uri="{63B3BB69-23CF-44E3-9099-C40C66FF867C}">
                  <a14:compatExt spid="_x0000_s16355"/>
                </a:ext>
                <a:ext uri="{FF2B5EF4-FFF2-40B4-BE49-F238E27FC236}">
                  <a16:creationId xmlns:a16="http://schemas.microsoft.com/office/drawing/2014/main" id="{00000000-0008-0000-0E00-0000E33F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xdr:wsDr>
</file>

<file path=xl/drawings/drawing12.xml><?xml version="1.0" encoding="utf-8"?>
<xdr:wsDr xmlns:xdr="http://schemas.openxmlformats.org/drawingml/2006/spreadsheetDrawing" xmlns:a="http://schemas.openxmlformats.org/drawingml/2006/main">
  <xdr:twoCellAnchor editAs="oneCell">
    <xdr:from>
      <xdr:col>12</xdr:col>
      <xdr:colOff>38100</xdr:colOff>
      <xdr:row>0</xdr:row>
      <xdr:rowOff>0</xdr:rowOff>
    </xdr:from>
    <xdr:to>
      <xdr:col>14</xdr:col>
      <xdr:colOff>447675</xdr:colOff>
      <xdr:row>4</xdr:row>
      <xdr:rowOff>141767</xdr:rowOff>
    </xdr:to>
    <xdr:pic>
      <xdr:nvPicPr>
        <xdr:cNvPr id="2" name="Picture 1">
          <a:extLst>
            <a:ext uri="{FF2B5EF4-FFF2-40B4-BE49-F238E27FC236}">
              <a16:creationId xmlns:a16="http://schemas.microsoft.com/office/drawing/2014/main" id="{00000000-0008-0000-0F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8496300" y="0"/>
          <a:ext cx="1828800" cy="903767"/>
        </a:xfrm>
        <a:prstGeom prst="rect">
          <a:avLst/>
        </a:prstGeom>
      </xdr:spPr>
    </xdr:pic>
    <xdr:clientData/>
  </xdr:twoCellAnchor>
  <mc:AlternateContent xmlns:mc="http://schemas.openxmlformats.org/markup-compatibility/2006">
    <mc:Choice xmlns:a14="http://schemas.microsoft.com/office/drawing/2010/main" Requires="a14">
      <xdr:twoCellAnchor>
        <xdr:from>
          <xdr:col>22</xdr:col>
          <xdr:colOff>0</xdr:colOff>
          <xdr:row>27</xdr:row>
          <xdr:rowOff>0</xdr:rowOff>
        </xdr:from>
        <xdr:to>
          <xdr:col>22</xdr:col>
          <xdr:colOff>177800</xdr:colOff>
          <xdr:row>27</xdr:row>
          <xdr:rowOff>177800</xdr:rowOff>
        </xdr:to>
        <xdr:sp macro="" textlink="">
          <xdr:nvSpPr>
            <xdr:cNvPr id="96257" name="Check Box 1" hidden="1">
              <a:extLst>
                <a:ext uri="{63B3BB69-23CF-44E3-9099-C40C66FF867C}">
                  <a14:compatExt spid="_x0000_s96257"/>
                </a:ext>
                <a:ext uri="{FF2B5EF4-FFF2-40B4-BE49-F238E27FC236}">
                  <a16:creationId xmlns:a16="http://schemas.microsoft.com/office/drawing/2014/main" id="{00000000-0008-0000-0F00-0000017801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30</xdr:row>
          <xdr:rowOff>0</xdr:rowOff>
        </xdr:from>
        <xdr:to>
          <xdr:col>22</xdr:col>
          <xdr:colOff>177800</xdr:colOff>
          <xdr:row>30</xdr:row>
          <xdr:rowOff>177800</xdr:rowOff>
        </xdr:to>
        <xdr:sp macro="" textlink="">
          <xdr:nvSpPr>
            <xdr:cNvPr id="96258" name="Check Box 2" hidden="1">
              <a:extLst>
                <a:ext uri="{63B3BB69-23CF-44E3-9099-C40C66FF867C}">
                  <a14:compatExt spid="_x0000_s96258"/>
                </a:ext>
                <a:ext uri="{FF2B5EF4-FFF2-40B4-BE49-F238E27FC236}">
                  <a16:creationId xmlns:a16="http://schemas.microsoft.com/office/drawing/2014/main" id="{00000000-0008-0000-0F00-0000027801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32</xdr:row>
          <xdr:rowOff>0</xdr:rowOff>
        </xdr:from>
        <xdr:to>
          <xdr:col>22</xdr:col>
          <xdr:colOff>177800</xdr:colOff>
          <xdr:row>32</xdr:row>
          <xdr:rowOff>177800</xdr:rowOff>
        </xdr:to>
        <xdr:sp macro="" textlink="">
          <xdr:nvSpPr>
            <xdr:cNvPr id="96259" name="Check Box 3" hidden="1">
              <a:extLst>
                <a:ext uri="{63B3BB69-23CF-44E3-9099-C40C66FF867C}">
                  <a14:compatExt spid="_x0000_s96259"/>
                </a:ext>
                <a:ext uri="{FF2B5EF4-FFF2-40B4-BE49-F238E27FC236}">
                  <a16:creationId xmlns:a16="http://schemas.microsoft.com/office/drawing/2014/main" id="{00000000-0008-0000-0F00-0000037801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34</xdr:row>
          <xdr:rowOff>0</xdr:rowOff>
        </xdr:from>
        <xdr:to>
          <xdr:col>22</xdr:col>
          <xdr:colOff>177800</xdr:colOff>
          <xdr:row>34</xdr:row>
          <xdr:rowOff>177800</xdr:rowOff>
        </xdr:to>
        <xdr:sp macro="" textlink="">
          <xdr:nvSpPr>
            <xdr:cNvPr id="96260" name="Check Box 4" hidden="1">
              <a:extLst>
                <a:ext uri="{63B3BB69-23CF-44E3-9099-C40C66FF867C}">
                  <a14:compatExt spid="_x0000_s96260"/>
                </a:ext>
                <a:ext uri="{FF2B5EF4-FFF2-40B4-BE49-F238E27FC236}">
                  <a16:creationId xmlns:a16="http://schemas.microsoft.com/office/drawing/2014/main" id="{00000000-0008-0000-0F00-0000047801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37</xdr:row>
          <xdr:rowOff>0</xdr:rowOff>
        </xdr:from>
        <xdr:to>
          <xdr:col>22</xdr:col>
          <xdr:colOff>177800</xdr:colOff>
          <xdr:row>37</xdr:row>
          <xdr:rowOff>177800</xdr:rowOff>
        </xdr:to>
        <xdr:sp macro="" textlink="">
          <xdr:nvSpPr>
            <xdr:cNvPr id="96261" name="Check Box 5" hidden="1">
              <a:extLst>
                <a:ext uri="{63B3BB69-23CF-44E3-9099-C40C66FF867C}">
                  <a14:compatExt spid="_x0000_s96261"/>
                </a:ext>
                <a:ext uri="{FF2B5EF4-FFF2-40B4-BE49-F238E27FC236}">
                  <a16:creationId xmlns:a16="http://schemas.microsoft.com/office/drawing/2014/main" id="{00000000-0008-0000-0F00-0000057801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81</xdr:row>
          <xdr:rowOff>0</xdr:rowOff>
        </xdr:from>
        <xdr:to>
          <xdr:col>22</xdr:col>
          <xdr:colOff>177800</xdr:colOff>
          <xdr:row>81</xdr:row>
          <xdr:rowOff>177800</xdr:rowOff>
        </xdr:to>
        <xdr:sp macro="" textlink="">
          <xdr:nvSpPr>
            <xdr:cNvPr id="96262" name="Check Box 6" hidden="1">
              <a:extLst>
                <a:ext uri="{63B3BB69-23CF-44E3-9099-C40C66FF867C}">
                  <a14:compatExt spid="_x0000_s96262"/>
                </a:ext>
                <a:ext uri="{FF2B5EF4-FFF2-40B4-BE49-F238E27FC236}">
                  <a16:creationId xmlns:a16="http://schemas.microsoft.com/office/drawing/2014/main" id="{00000000-0008-0000-0F00-0000067801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83</xdr:row>
          <xdr:rowOff>0</xdr:rowOff>
        </xdr:from>
        <xdr:to>
          <xdr:col>22</xdr:col>
          <xdr:colOff>177800</xdr:colOff>
          <xdr:row>83</xdr:row>
          <xdr:rowOff>177800</xdr:rowOff>
        </xdr:to>
        <xdr:sp macro="" textlink="">
          <xdr:nvSpPr>
            <xdr:cNvPr id="96263" name="Check Box 7" hidden="1">
              <a:extLst>
                <a:ext uri="{63B3BB69-23CF-44E3-9099-C40C66FF867C}">
                  <a14:compatExt spid="_x0000_s96263"/>
                </a:ext>
                <a:ext uri="{FF2B5EF4-FFF2-40B4-BE49-F238E27FC236}">
                  <a16:creationId xmlns:a16="http://schemas.microsoft.com/office/drawing/2014/main" id="{00000000-0008-0000-0F00-0000077801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85</xdr:row>
          <xdr:rowOff>0</xdr:rowOff>
        </xdr:from>
        <xdr:to>
          <xdr:col>22</xdr:col>
          <xdr:colOff>177800</xdr:colOff>
          <xdr:row>85</xdr:row>
          <xdr:rowOff>177800</xdr:rowOff>
        </xdr:to>
        <xdr:sp macro="" textlink="">
          <xdr:nvSpPr>
            <xdr:cNvPr id="96264" name="Check Box 8" hidden="1">
              <a:extLst>
                <a:ext uri="{63B3BB69-23CF-44E3-9099-C40C66FF867C}">
                  <a14:compatExt spid="_x0000_s96264"/>
                </a:ext>
                <a:ext uri="{FF2B5EF4-FFF2-40B4-BE49-F238E27FC236}">
                  <a16:creationId xmlns:a16="http://schemas.microsoft.com/office/drawing/2014/main" id="{00000000-0008-0000-0F00-0000087801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88</xdr:row>
          <xdr:rowOff>0</xdr:rowOff>
        </xdr:from>
        <xdr:to>
          <xdr:col>22</xdr:col>
          <xdr:colOff>177800</xdr:colOff>
          <xdr:row>88</xdr:row>
          <xdr:rowOff>177800</xdr:rowOff>
        </xdr:to>
        <xdr:sp macro="" textlink="">
          <xdr:nvSpPr>
            <xdr:cNvPr id="96265" name="Check Box 9" hidden="1">
              <a:extLst>
                <a:ext uri="{63B3BB69-23CF-44E3-9099-C40C66FF867C}">
                  <a14:compatExt spid="_x0000_s96265"/>
                </a:ext>
                <a:ext uri="{FF2B5EF4-FFF2-40B4-BE49-F238E27FC236}">
                  <a16:creationId xmlns:a16="http://schemas.microsoft.com/office/drawing/2014/main" id="{00000000-0008-0000-0F00-0000097801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90</xdr:row>
          <xdr:rowOff>0</xdr:rowOff>
        </xdr:from>
        <xdr:to>
          <xdr:col>22</xdr:col>
          <xdr:colOff>177800</xdr:colOff>
          <xdr:row>90</xdr:row>
          <xdr:rowOff>177800</xdr:rowOff>
        </xdr:to>
        <xdr:sp macro="" textlink="">
          <xdr:nvSpPr>
            <xdr:cNvPr id="96266" name="Check Box 10" hidden="1">
              <a:extLst>
                <a:ext uri="{63B3BB69-23CF-44E3-9099-C40C66FF867C}">
                  <a14:compatExt spid="_x0000_s96266"/>
                </a:ext>
                <a:ext uri="{FF2B5EF4-FFF2-40B4-BE49-F238E27FC236}">
                  <a16:creationId xmlns:a16="http://schemas.microsoft.com/office/drawing/2014/main" id="{00000000-0008-0000-0F00-00000A7801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92</xdr:row>
          <xdr:rowOff>0</xdr:rowOff>
        </xdr:from>
        <xdr:to>
          <xdr:col>22</xdr:col>
          <xdr:colOff>177800</xdr:colOff>
          <xdr:row>92</xdr:row>
          <xdr:rowOff>177800</xdr:rowOff>
        </xdr:to>
        <xdr:sp macro="" textlink="">
          <xdr:nvSpPr>
            <xdr:cNvPr id="96267" name="Check Box 11" hidden="1">
              <a:extLst>
                <a:ext uri="{63B3BB69-23CF-44E3-9099-C40C66FF867C}">
                  <a14:compatExt spid="_x0000_s96267"/>
                </a:ext>
                <a:ext uri="{FF2B5EF4-FFF2-40B4-BE49-F238E27FC236}">
                  <a16:creationId xmlns:a16="http://schemas.microsoft.com/office/drawing/2014/main" id="{00000000-0008-0000-0F00-00000B7801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94</xdr:row>
          <xdr:rowOff>0</xdr:rowOff>
        </xdr:from>
        <xdr:to>
          <xdr:col>22</xdr:col>
          <xdr:colOff>177800</xdr:colOff>
          <xdr:row>94</xdr:row>
          <xdr:rowOff>177800</xdr:rowOff>
        </xdr:to>
        <xdr:sp macro="" textlink="">
          <xdr:nvSpPr>
            <xdr:cNvPr id="96268" name="Check Box 12" hidden="1">
              <a:extLst>
                <a:ext uri="{63B3BB69-23CF-44E3-9099-C40C66FF867C}">
                  <a14:compatExt spid="_x0000_s96268"/>
                </a:ext>
                <a:ext uri="{FF2B5EF4-FFF2-40B4-BE49-F238E27FC236}">
                  <a16:creationId xmlns:a16="http://schemas.microsoft.com/office/drawing/2014/main" id="{00000000-0008-0000-0F00-00000C7801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259</xdr:row>
          <xdr:rowOff>0</xdr:rowOff>
        </xdr:from>
        <xdr:to>
          <xdr:col>22</xdr:col>
          <xdr:colOff>177800</xdr:colOff>
          <xdr:row>259</xdr:row>
          <xdr:rowOff>177800</xdr:rowOff>
        </xdr:to>
        <xdr:sp macro="" textlink="">
          <xdr:nvSpPr>
            <xdr:cNvPr id="96269" name="Check Box 13" hidden="1">
              <a:extLst>
                <a:ext uri="{63B3BB69-23CF-44E3-9099-C40C66FF867C}">
                  <a14:compatExt spid="_x0000_s96269"/>
                </a:ext>
                <a:ext uri="{FF2B5EF4-FFF2-40B4-BE49-F238E27FC236}">
                  <a16:creationId xmlns:a16="http://schemas.microsoft.com/office/drawing/2014/main" id="{00000000-0008-0000-0F00-00000D7801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263</xdr:row>
          <xdr:rowOff>0</xdr:rowOff>
        </xdr:from>
        <xdr:to>
          <xdr:col>22</xdr:col>
          <xdr:colOff>177800</xdr:colOff>
          <xdr:row>263</xdr:row>
          <xdr:rowOff>177800</xdr:rowOff>
        </xdr:to>
        <xdr:sp macro="" textlink="">
          <xdr:nvSpPr>
            <xdr:cNvPr id="96270" name="Check Box 14" hidden="1">
              <a:extLst>
                <a:ext uri="{63B3BB69-23CF-44E3-9099-C40C66FF867C}">
                  <a14:compatExt spid="_x0000_s96270"/>
                </a:ext>
                <a:ext uri="{FF2B5EF4-FFF2-40B4-BE49-F238E27FC236}">
                  <a16:creationId xmlns:a16="http://schemas.microsoft.com/office/drawing/2014/main" id="{00000000-0008-0000-0F00-00000E7801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273</xdr:row>
          <xdr:rowOff>0</xdr:rowOff>
        </xdr:from>
        <xdr:to>
          <xdr:col>22</xdr:col>
          <xdr:colOff>177800</xdr:colOff>
          <xdr:row>273</xdr:row>
          <xdr:rowOff>177800</xdr:rowOff>
        </xdr:to>
        <xdr:sp macro="" textlink="">
          <xdr:nvSpPr>
            <xdr:cNvPr id="96271" name="Check Box 15" hidden="1">
              <a:extLst>
                <a:ext uri="{63B3BB69-23CF-44E3-9099-C40C66FF867C}">
                  <a14:compatExt spid="_x0000_s96271"/>
                </a:ext>
                <a:ext uri="{FF2B5EF4-FFF2-40B4-BE49-F238E27FC236}">
                  <a16:creationId xmlns:a16="http://schemas.microsoft.com/office/drawing/2014/main" id="{00000000-0008-0000-0F00-00000F7801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277</xdr:row>
          <xdr:rowOff>0</xdr:rowOff>
        </xdr:from>
        <xdr:to>
          <xdr:col>22</xdr:col>
          <xdr:colOff>177800</xdr:colOff>
          <xdr:row>277</xdr:row>
          <xdr:rowOff>177800</xdr:rowOff>
        </xdr:to>
        <xdr:sp macro="" textlink="">
          <xdr:nvSpPr>
            <xdr:cNvPr id="96272" name="Check Box 16" hidden="1">
              <a:extLst>
                <a:ext uri="{63B3BB69-23CF-44E3-9099-C40C66FF867C}">
                  <a14:compatExt spid="_x0000_s96272"/>
                </a:ext>
                <a:ext uri="{FF2B5EF4-FFF2-40B4-BE49-F238E27FC236}">
                  <a16:creationId xmlns:a16="http://schemas.microsoft.com/office/drawing/2014/main" id="{00000000-0008-0000-0F00-0000107801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297</xdr:row>
          <xdr:rowOff>0</xdr:rowOff>
        </xdr:from>
        <xdr:to>
          <xdr:col>22</xdr:col>
          <xdr:colOff>177800</xdr:colOff>
          <xdr:row>297</xdr:row>
          <xdr:rowOff>177800</xdr:rowOff>
        </xdr:to>
        <xdr:sp macro="" textlink="">
          <xdr:nvSpPr>
            <xdr:cNvPr id="96273" name="Check Box 17" hidden="1">
              <a:extLst>
                <a:ext uri="{63B3BB69-23CF-44E3-9099-C40C66FF867C}">
                  <a14:compatExt spid="_x0000_s96273"/>
                </a:ext>
                <a:ext uri="{FF2B5EF4-FFF2-40B4-BE49-F238E27FC236}">
                  <a16:creationId xmlns:a16="http://schemas.microsoft.com/office/drawing/2014/main" id="{00000000-0008-0000-0F00-0000117801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303</xdr:row>
          <xdr:rowOff>0</xdr:rowOff>
        </xdr:from>
        <xdr:to>
          <xdr:col>22</xdr:col>
          <xdr:colOff>177800</xdr:colOff>
          <xdr:row>303</xdr:row>
          <xdr:rowOff>177800</xdr:rowOff>
        </xdr:to>
        <xdr:sp macro="" textlink="">
          <xdr:nvSpPr>
            <xdr:cNvPr id="96274" name="Check Box 18" hidden="1">
              <a:extLst>
                <a:ext uri="{63B3BB69-23CF-44E3-9099-C40C66FF867C}">
                  <a14:compatExt spid="_x0000_s96274"/>
                </a:ext>
                <a:ext uri="{FF2B5EF4-FFF2-40B4-BE49-F238E27FC236}">
                  <a16:creationId xmlns:a16="http://schemas.microsoft.com/office/drawing/2014/main" id="{00000000-0008-0000-0F00-0000127801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307</xdr:row>
          <xdr:rowOff>0</xdr:rowOff>
        </xdr:from>
        <xdr:to>
          <xdr:col>22</xdr:col>
          <xdr:colOff>177800</xdr:colOff>
          <xdr:row>307</xdr:row>
          <xdr:rowOff>177800</xdr:rowOff>
        </xdr:to>
        <xdr:sp macro="" textlink="">
          <xdr:nvSpPr>
            <xdr:cNvPr id="96275" name="Check Box 19" hidden="1">
              <a:extLst>
                <a:ext uri="{63B3BB69-23CF-44E3-9099-C40C66FF867C}">
                  <a14:compatExt spid="_x0000_s96275"/>
                </a:ext>
                <a:ext uri="{FF2B5EF4-FFF2-40B4-BE49-F238E27FC236}">
                  <a16:creationId xmlns:a16="http://schemas.microsoft.com/office/drawing/2014/main" id="{00000000-0008-0000-0F00-0000137801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310</xdr:row>
          <xdr:rowOff>0</xdr:rowOff>
        </xdr:from>
        <xdr:to>
          <xdr:col>22</xdr:col>
          <xdr:colOff>177800</xdr:colOff>
          <xdr:row>310</xdr:row>
          <xdr:rowOff>177800</xdr:rowOff>
        </xdr:to>
        <xdr:sp macro="" textlink="">
          <xdr:nvSpPr>
            <xdr:cNvPr id="96276" name="Check Box 20" hidden="1">
              <a:extLst>
                <a:ext uri="{63B3BB69-23CF-44E3-9099-C40C66FF867C}">
                  <a14:compatExt spid="_x0000_s96276"/>
                </a:ext>
                <a:ext uri="{FF2B5EF4-FFF2-40B4-BE49-F238E27FC236}">
                  <a16:creationId xmlns:a16="http://schemas.microsoft.com/office/drawing/2014/main" id="{00000000-0008-0000-0F00-0000147801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314</xdr:row>
          <xdr:rowOff>0</xdr:rowOff>
        </xdr:from>
        <xdr:to>
          <xdr:col>22</xdr:col>
          <xdr:colOff>177800</xdr:colOff>
          <xdr:row>314</xdr:row>
          <xdr:rowOff>177800</xdr:rowOff>
        </xdr:to>
        <xdr:sp macro="" textlink="">
          <xdr:nvSpPr>
            <xdr:cNvPr id="96277" name="Check Box 21" hidden="1">
              <a:extLst>
                <a:ext uri="{63B3BB69-23CF-44E3-9099-C40C66FF867C}">
                  <a14:compatExt spid="_x0000_s96277"/>
                </a:ext>
                <a:ext uri="{FF2B5EF4-FFF2-40B4-BE49-F238E27FC236}">
                  <a16:creationId xmlns:a16="http://schemas.microsoft.com/office/drawing/2014/main" id="{00000000-0008-0000-0F00-0000157801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316</xdr:row>
          <xdr:rowOff>0</xdr:rowOff>
        </xdr:from>
        <xdr:to>
          <xdr:col>22</xdr:col>
          <xdr:colOff>177800</xdr:colOff>
          <xdr:row>316</xdr:row>
          <xdr:rowOff>177800</xdr:rowOff>
        </xdr:to>
        <xdr:sp macro="" textlink="">
          <xdr:nvSpPr>
            <xdr:cNvPr id="96278" name="Check Box 22" hidden="1">
              <a:extLst>
                <a:ext uri="{63B3BB69-23CF-44E3-9099-C40C66FF867C}">
                  <a14:compatExt spid="_x0000_s96278"/>
                </a:ext>
                <a:ext uri="{FF2B5EF4-FFF2-40B4-BE49-F238E27FC236}">
                  <a16:creationId xmlns:a16="http://schemas.microsoft.com/office/drawing/2014/main" id="{00000000-0008-0000-0F00-0000167801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356</xdr:row>
          <xdr:rowOff>0</xdr:rowOff>
        </xdr:from>
        <xdr:to>
          <xdr:col>22</xdr:col>
          <xdr:colOff>177800</xdr:colOff>
          <xdr:row>356</xdr:row>
          <xdr:rowOff>177800</xdr:rowOff>
        </xdr:to>
        <xdr:sp macro="" textlink="">
          <xdr:nvSpPr>
            <xdr:cNvPr id="96279" name="Check Box 23" hidden="1">
              <a:extLst>
                <a:ext uri="{63B3BB69-23CF-44E3-9099-C40C66FF867C}">
                  <a14:compatExt spid="_x0000_s96279"/>
                </a:ext>
                <a:ext uri="{FF2B5EF4-FFF2-40B4-BE49-F238E27FC236}">
                  <a16:creationId xmlns:a16="http://schemas.microsoft.com/office/drawing/2014/main" id="{00000000-0008-0000-0F00-0000177801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365</xdr:row>
          <xdr:rowOff>0</xdr:rowOff>
        </xdr:from>
        <xdr:to>
          <xdr:col>22</xdr:col>
          <xdr:colOff>177800</xdr:colOff>
          <xdr:row>365</xdr:row>
          <xdr:rowOff>177800</xdr:rowOff>
        </xdr:to>
        <xdr:sp macro="" textlink="">
          <xdr:nvSpPr>
            <xdr:cNvPr id="96280" name="Check Box 24" hidden="1">
              <a:extLst>
                <a:ext uri="{63B3BB69-23CF-44E3-9099-C40C66FF867C}">
                  <a14:compatExt spid="_x0000_s96280"/>
                </a:ext>
                <a:ext uri="{FF2B5EF4-FFF2-40B4-BE49-F238E27FC236}">
                  <a16:creationId xmlns:a16="http://schemas.microsoft.com/office/drawing/2014/main" id="{00000000-0008-0000-0F00-0000187801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411</xdr:row>
          <xdr:rowOff>0</xdr:rowOff>
        </xdr:from>
        <xdr:to>
          <xdr:col>22</xdr:col>
          <xdr:colOff>177800</xdr:colOff>
          <xdr:row>411</xdr:row>
          <xdr:rowOff>177800</xdr:rowOff>
        </xdr:to>
        <xdr:sp macro="" textlink="">
          <xdr:nvSpPr>
            <xdr:cNvPr id="96281" name="Check Box 25" hidden="1">
              <a:extLst>
                <a:ext uri="{63B3BB69-23CF-44E3-9099-C40C66FF867C}">
                  <a14:compatExt spid="_x0000_s96281"/>
                </a:ext>
                <a:ext uri="{FF2B5EF4-FFF2-40B4-BE49-F238E27FC236}">
                  <a16:creationId xmlns:a16="http://schemas.microsoft.com/office/drawing/2014/main" id="{00000000-0008-0000-0F00-0000197801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418</xdr:row>
          <xdr:rowOff>0</xdr:rowOff>
        </xdr:from>
        <xdr:to>
          <xdr:col>22</xdr:col>
          <xdr:colOff>177800</xdr:colOff>
          <xdr:row>418</xdr:row>
          <xdr:rowOff>177800</xdr:rowOff>
        </xdr:to>
        <xdr:sp macro="" textlink="">
          <xdr:nvSpPr>
            <xdr:cNvPr id="96282" name="Check Box 26" hidden="1">
              <a:extLst>
                <a:ext uri="{63B3BB69-23CF-44E3-9099-C40C66FF867C}">
                  <a14:compatExt spid="_x0000_s96282"/>
                </a:ext>
                <a:ext uri="{FF2B5EF4-FFF2-40B4-BE49-F238E27FC236}">
                  <a16:creationId xmlns:a16="http://schemas.microsoft.com/office/drawing/2014/main" id="{00000000-0008-0000-0F00-00001A7801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419</xdr:row>
          <xdr:rowOff>0</xdr:rowOff>
        </xdr:from>
        <xdr:to>
          <xdr:col>22</xdr:col>
          <xdr:colOff>177800</xdr:colOff>
          <xdr:row>419</xdr:row>
          <xdr:rowOff>177800</xdr:rowOff>
        </xdr:to>
        <xdr:sp macro="" textlink="">
          <xdr:nvSpPr>
            <xdr:cNvPr id="96283" name="Check Box 27" hidden="1">
              <a:extLst>
                <a:ext uri="{63B3BB69-23CF-44E3-9099-C40C66FF867C}">
                  <a14:compatExt spid="_x0000_s96283"/>
                </a:ext>
                <a:ext uri="{FF2B5EF4-FFF2-40B4-BE49-F238E27FC236}">
                  <a16:creationId xmlns:a16="http://schemas.microsoft.com/office/drawing/2014/main" id="{00000000-0008-0000-0F00-00001B7801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542</xdr:row>
          <xdr:rowOff>0</xdr:rowOff>
        </xdr:from>
        <xdr:to>
          <xdr:col>22</xdr:col>
          <xdr:colOff>177800</xdr:colOff>
          <xdr:row>542</xdr:row>
          <xdr:rowOff>177800</xdr:rowOff>
        </xdr:to>
        <xdr:sp macro="" textlink="">
          <xdr:nvSpPr>
            <xdr:cNvPr id="96284" name="Check Box 28" hidden="1">
              <a:extLst>
                <a:ext uri="{63B3BB69-23CF-44E3-9099-C40C66FF867C}">
                  <a14:compatExt spid="_x0000_s96284"/>
                </a:ext>
                <a:ext uri="{FF2B5EF4-FFF2-40B4-BE49-F238E27FC236}">
                  <a16:creationId xmlns:a16="http://schemas.microsoft.com/office/drawing/2014/main" id="{00000000-0008-0000-0F00-00001C7801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544</xdr:row>
          <xdr:rowOff>0</xdr:rowOff>
        </xdr:from>
        <xdr:to>
          <xdr:col>22</xdr:col>
          <xdr:colOff>177800</xdr:colOff>
          <xdr:row>544</xdr:row>
          <xdr:rowOff>177800</xdr:rowOff>
        </xdr:to>
        <xdr:sp macro="" textlink="">
          <xdr:nvSpPr>
            <xdr:cNvPr id="96285" name="Check Box 29" hidden="1">
              <a:extLst>
                <a:ext uri="{63B3BB69-23CF-44E3-9099-C40C66FF867C}">
                  <a14:compatExt spid="_x0000_s96285"/>
                </a:ext>
                <a:ext uri="{FF2B5EF4-FFF2-40B4-BE49-F238E27FC236}">
                  <a16:creationId xmlns:a16="http://schemas.microsoft.com/office/drawing/2014/main" id="{00000000-0008-0000-0F00-00001D7801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551</xdr:row>
          <xdr:rowOff>0</xdr:rowOff>
        </xdr:from>
        <xdr:to>
          <xdr:col>22</xdr:col>
          <xdr:colOff>177800</xdr:colOff>
          <xdr:row>551</xdr:row>
          <xdr:rowOff>177800</xdr:rowOff>
        </xdr:to>
        <xdr:sp macro="" textlink="">
          <xdr:nvSpPr>
            <xdr:cNvPr id="96286" name="Check Box 30" hidden="1">
              <a:extLst>
                <a:ext uri="{63B3BB69-23CF-44E3-9099-C40C66FF867C}">
                  <a14:compatExt spid="_x0000_s96286"/>
                </a:ext>
                <a:ext uri="{FF2B5EF4-FFF2-40B4-BE49-F238E27FC236}">
                  <a16:creationId xmlns:a16="http://schemas.microsoft.com/office/drawing/2014/main" id="{00000000-0008-0000-0F00-00001E7801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554</xdr:row>
          <xdr:rowOff>0</xdr:rowOff>
        </xdr:from>
        <xdr:to>
          <xdr:col>22</xdr:col>
          <xdr:colOff>177800</xdr:colOff>
          <xdr:row>554</xdr:row>
          <xdr:rowOff>177800</xdr:rowOff>
        </xdr:to>
        <xdr:sp macro="" textlink="">
          <xdr:nvSpPr>
            <xdr:cNvPr id="96287" name="Check Box 31" hidden="1">
              <a:extLst>
                <a:ext uri="{63B3BB69-23CF-44E3-9099-C40C66FF867C}">
                  <a14:compatExt spid="_x0000_s96287"/>
                </a:ext>
                <a:ext uri="{FF2B5EF4-FFF2-40B4-BE49-F238E27FC236}">
                  <a16:creationId xmlns:a16="http://schemas.microsoft.com/office/drawing/2014/main" id="{00000000-0008-0000-0F00-00001F7801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556</xdr:row>
          <xdr:rowOff>0</xdr:rowOff>
        </xdr:from>
        <xdr:to>
          <xdr:col>22</xdr:col>
          <xdr:colOff>177800</xdr:colOff>
          <xdr:row>556</xdr:row>
          <xdr:rowOff>177800</xdr:rowOff>
        </xdr:to>
        <xdr:sp macro="" textlink="">
          <xdr:nvSpPr>
            <xdr:cNvPr id="96288" name="Check Box 32" hidden="1">
              <a:extLst>
                <a:ext uri="{63B3BB69-23CF-44E3-9099-C40C66FF867C}">
                  <a14:compatExt spid="_x0000_s96288"/>
                </a:ext>
                <a:ext uri="{FF2B5EF4-FFF2-40B4-BE49-F238E27FC236}">
                  <a16:creationId xmlns:a16="http://schemas.microsoft.com/office/drawing/2014/main" id="{00000000-0008-0000-0F00-0000207801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629</xdr:row>
          <xdr:rowOff>0</xdr:rowOff>
        </xdr:from>
        <xdr:to>
          <xdr:col>22</xdr:col>
          <xdr:colOff>177800</xdr:colOff>
          <xdr:row>629</xdr:row>
          <xdr:rowOff>177800</xdr:rowOff>
        </xdr:to>
        <xdr:sp macro="" textlink="">
          <xdr:nvSpPr>
            <xdr:cNvPr id="96289" name="Check Box 33" hidden="1">
              <a:extLst>
                <a:ext uri="{63B3BB69-23CF-44E3-9099-C40C66FF867C}">
                  <a14:compatExt spid="_x0000_s96289"/>
                </a:ext>
                <a:ext uri="{FF2B5EF4-FFF2-40B4-BE49-F238E27FC236}">
                  <a16:creationId xmlns:a16="http://schemas.microsoft.com/office/drawing/2014/main" id="{00000000-0008-0000-0F00-0000217801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642</xdr:row>
          <xdr:rowOff>0</xdr:rowOff>
        </xdr:from>
        <xdr:to>
          <xdr:col>22</xdr:col>
          <xdr:colOff>177800</xdr:colOff>
          <xdr:row>642</xdr:row>
          <xdr:rowOff>177800</xdr:rowOff>
        </xdr:to>
        <xdr:sp macro="" textlink="">
          <xdr:nvSpPr>
            <xdr:cNvPr id="96290" name="Check Box 34" hidden="1">
              <a:extLst>
                <a:ext uri="{63B3BB69-23CF-44E3-9099-C40C66FF867C}">
                  <a14:compatExt spid="_x0000_s96290"/>
                </a:ext>
                <a:ext uri="{FF2B5EF4-FFF2-40B4-BE49-F238E27FC236}">
                  <a16:creationId xmlns:a16="http://schemas.microsoft.com/office/drawing/2014/main" id="{00000000-0008-0000-0F00-0000227801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210</xdr:row>
          <xdr:rowOff>0</xdr:rowOff>
        </xdr:from>
        <xdr:to>
          <xdr:col>22</xdr:col>
          <xdr:colOff>177800</xdr:colOff>
          <xdr:row>210</xdr:row>
          <xdr:rowOff>177800</xdr:rowOff>
        </xdr:to>
        <xdr:sp macro="" textlink="">
          <xdr:nvSpPr>
            <xdr:cNvPr id="96291" name="Check Box 35" hidden="1">
              <a:extLst>
                <a:ext uri="{63B3BB69-23CF-44E3-9099-C40C66FF867C}">
                  <a14:compatExt spid="_x0000_s96291"/>
                </a:ext>
                <a:ext uri="{FF2B5EF4-FFF2-40B4-BE49-F238E27FC236}">
                  <a16:creationId xmlns:a16="http://schemas.microsoft.com/office/drawing/2014/main" id="{00000000-0008-0000-0F00-0000237801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211</xdr:row>
          <xdr:rowOff>0</xdr:rowOff>
        </xdr:from>
        <xdr:to>
          <xdr:col>22</xdr:col>
          <xdr:colOff>177800</xdr:colOff>
          <xdr:row>211</xdr:row>
          <xdr:rowOff>177800</xdr:rowOff>
        </xdr:to>
        <xdr:sp macro="" textlink="">
          <xdr:nvSpPr>
            <xdr:cNvPr id="96292" name="Check Box 36" hidden="1">
              <a:extLst>
                <a:ext uri="{63B3BB69-23CF-44E3-9099-C40C66FF867C}">
                  <a14:compatExt spid="_x0000_s96292"/>
                </a:ext>
                <a:ext uri="{FF2B5EF4-FFF2-40B4-BE49-F238E27FC236}">
                  <a16:creationId xmlns:a16="http://schemas.microsoft.com/office/drawing/2014/main" id="{00000000-0008-0000-0F00-0000247801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213</xdr:row>
          <xdr:rowOff>0</xdr:rowOff>
        </xdr:from>
        <xdr:to>
          <xdr:col>22</xdr:col>
          <xdr:colOff>177800</xdr:colOff>
          <xdr:row>213</xdr:row>
          <xdr:rowOff>177800</xdr:rowOff>
        </xdr:to>
        <xdr:sp macro="" textlink="">
          <xdr:nvSpPr>
            <xdr:cNvPr id="96293" name="Check Box 37" hidden="1">
              <a:extLst>
                <a:ext uri="{63B3BB69-23CF-44E3-9099-C40C66FF867C}">
                  <a14:compatExt spid="_x0000_s96293"/>
                </a:ext>
                <a:ext uri="{FF2B5EF4-FFF2-40B4-BE49-F238E27FC236}">
                  <a16:creationId xmlns:a16="http://schemas.microsoft.com/office/drawing/2014/main" id="{00000000-0008-0000-0F00-0000257801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215</xdr:row>
          <xdr:rowOff>0</xdr:rowOff>
        </xdr:from>
        <xdr:to>
          <xdr:col>22</xdr:col>
          <xdr:colOff>177800</xdr:colOff>
          <xdr:row>215</xdr:row>
          <xdr:rowOff>177800</xdr:rowOff>
        </xdr:to>
        <xdr:sp macro="" textlink="">
          <xdr:nvSpPr>
            <xdr:cNvPr id="96294" name="Check Box 38" hidden="1">
              <a:extLst>
                <a:ext uri="{63B3BB69-23CF-44E3-9099-C40C66FF867C}">
                  <a14:compatExt spid="_x0000_s96294"/>
                </a:ext>
                <a:ext uri="{FF2B5EF4-FFF2-40B4-BE49-F238E27FC236}">
                  <a16:creationId xmlns:a16="http://schemas.microsoft.com/office/drawing/2014/main" id="{00000000-0008-0000-0F00-0000267801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217</xdr:row>
          <xdr:rowOff>0</xdr:rowOff>
        </xdr:from>
        <xdr:to>
          <xdr:col>22</xdr:col>
          <xdr:colOff>177800</xdr:colOff>
          <xdr:row>217</xdr:row>
          <xdr:rowOff>177800</xdr:rowOff>
        </xdr:to>
        <xdr:sp macro="" textlink="">
          <xdr:nvSpPr>
            <xdr:cNvPr id="96295" name="Check Box 39" hidden="1">
              <a:extLst>
                <a:ext uri="{63B3BB69-23CF-44E3-9099-C40C66FF867C}">
                  <a14:compatExt spid="_x0000_s96295"/>
                </a:ext>
                <a:ext uri="{FF2B5EF4-FFF2-40B4-BE49-F238E27FC236}">
                  <a16:creationId xmlns:a16="http://schemas.microsoft.com/office/drawing/2014/main" id="{00000000-0008-0000-0F00-0000277801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219</xdr:row>
          <xdr:rowOff>0</xdr:rowOff>
        </xdr:from>
        <xdr:to>
          <xdr:col>22</xdr:col>
          <xdr:colOff>177800</xdr:colOff>
          <xdr:row>219</xdr:row>
          <xdr:rowOff>177800</xdr:rowOff>
        </xdr:to>
        <xdr:sp macro="" textlink="">
          <xdr:nvSpPr>
            <xdr:cNvPr id="96296" name="Check Box 40" hidden="1">
              <a:extLst>
                <a:ext uri="{63B3BB69-23CF-44E3-9099-C40C66FF867C}">
                  <a14:compatExt spid="_x0000_s96296"/>
                </a:ext>
                <a:ext uri="{FF2B5EF4-FFF2-40B4-BE49-F238E27FC236}">
                  <a16:creationId xmlns:a16="http://schemas.microsoft.com/office/drawing/2014/main" id="{00000000-0008-0000-0F00-0000287801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221</xdr:row>
          <xdr:rowOff>0</xdr:rowOff>
        </xdr:from>
        <xdr:to>
          <xdr:col>22</xdr:col>
          <xdr:colOff>177800</xdr:colOff>
          <xdr:row>221</xdr:row>
          <xdr:rowOff>177800</xdr:rowOff>
        </xdr:to>
        <xdr:sp macro="" textlink="">
          <xdr:nvSpPr>
            <xdr:cNvPr id="96297" name="Check Box 41" hidden="1">
              <a:extLst>
                <a:ext uri="{63B3BB69-23CF-44E3-9099-C40C66FF867C}">
                  <a14:compatExt spid="_x0000_s96297"/>
                </a:ext>
                <a:ext uri="{FF2B5EF4-FFF2-40B4-BE49-F238E27FC236}">
                  <a16:creationId xmlns:a16="http://schemas.microsoft.com/office/drawing/2014/main" id="{00000000-0008-0000-0F00-0000297801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444</xdr:row>
          <xdr:rowOff>0</xdr:rowOff>
        </xdr:from>
        <xdr:to>
          <xdr:col>22</xdr:col>
          <xdr:colOff>177800</xdr:colOff>
          <xdr:row>444</xdr:row>
          <xdr:rowOff>177800</xdr:rowOff>
        </xdr:to>
        <xdr:sp macro="" textlink="">
          <xdr:nvSpPr>
            <xdr:cNvPr id="96298" name="Check Box 42" hidden="1">
              <a:extLst>
                <a:ext uri="{63B3BB69-23CF-44E3-9099-C40C66FF867C}">
                  <a14:compatExt spid="_x0000_s96298"/>
                </a:ext>
                <a:ext uri="{FF2B5EF4-FFF2-40B4-BE49-F238E27FC236}">
                  <a16:creationId xmlns:a16="http://schemas.microsoft.com/office/drawing/2014/main" id="{00000000-0008-0000-0F00-00002A7801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446</xdr:row>
          <xdr:rowOff>0</xdr:rowOff>
        </xdr:from>
        <xdr:to>
          <xdr:col>22</xdr:col>
          <xdr:colOff>177800</xdr:colOff>
          <xdr:row>446</xdr:row>
          <xdr:rowOff>177800</xdr:rowOff>
        </xdr:to>
        <xdr:sp macro="" textlink="">
          <xdr:nvSpPr>
            <xdr:cNvPr id="96299" name="Check Box 43" hidden="1">
              <a:extLst>
                <a:ext uri="{63B3BB69-23CF-44E3-9099-C40C66FF867C}">
                  <a14:compatExt spid="_x0000_s96299"/>
                </a:ext>
                <a:ext uri="{FF2B5EF4-FFF2-40B4-BE49-F238E27FC236}">
                  <a16:creationId xmlns:a16="http://schemas.microsoft.com/office/drawing/2014/main" id="{00000000-0008-0000-0F00-00002B7801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470</xdr:row>
          <xdr:rowOff>0</xdr:rowOff>
        </xdr:from>
        <xdr:to>
          <xdr:col>22</xdr:col>
          <xdr:colOff>177800</xdr:colOff>
          <xdr:row>470</xdr:row>
          <xdr:rowOff>177800</xdr:rowOff>
        </xdr:to>
        <xdr:sp macro="" textlink="">
          <xdr:nvSpPr>
            <xdr:cNvPr id="96300" name="Check Box 44" hidden="1">
              <a:extLst>
                <a:ext uri="{63B3BB69-23CF-44E3-9099-C40C66FF867C}">
                  <a14:compatExt spid="_x0000_s96300"/>
                </a:ext>
                <a:ext uri="{FF2B5EF4-FFF2-40B4-BE49-F238E27FC236}">
                  <a16:creationId xmlns:a16="http://schemas.microsoft.com/office/drawing/2014/main" id="{00000000-0008-0000-0F00-00002C7801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481</xdr:row>
          <xdr:rowOff>0</xdr:rowOff>
        </xdr:from>
        <xdr:to>
          <xdr:col>22</xdr:col>
          <xdr:colOff>177800</xdr:colOff>
          <xdr:row>481</xdr:row>
          <xdr:rowOff>177800</xdr:rowOff>
        </xdr:to>
        <xdr:sp macro="" textlink="">
          <xdr:nvSpPr>
            <xdr:cNvPr id="96301" name="Check Box 45" hidden="1">
              <a:extLst>
                <a:ext uri="{63B3BB69-23CF-44E3-9099-C40C66FF867C}">
                  <a14:compatExt spid="_x0000_s96301"/>
                </a:ext>
                <a:ext uri="{FF2B5EF4-FFF2-40B4-BE49-F238E27FC236}">
                  <a16:creationId xmlns:a16="http://schemas.microsoft.com/office/drawing/2014/main" id="{00000000-0008-0000-0F00-00002D7801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483</xdr:row>
          <xdr:rowOff>0</xdr:rowOff>
        </xdr:from>
        <xdr:to>
          <xdr:col>22</xdr:col>
          <xdr:colOff>177800</xdr:colOff>
          <xdr:row>483</xdr:row>
          <xdr:rowOff>177800</xdr:rowOff>
        </xdr:to>
        <xdr:sp macro="" textlink="">
          <xdr:nvSpPr>
            <xdr:cNvPr id="96302" name="Check Box 46" hidden="1">
              <a:extLst>
                <a:ext uri="{63B3BB69-23CF-44E3-9099-C40C66FF867C}">
                  <a14:compatExt spid="_x0000_s96302"/>
                </a:ext>
                <a:ext uri="{FF2B5EF4-FFF2-40B4-BE49-F238E27FC236}">
                  <a16:creationId xmlns:a16="http://schemas.microsoft.com/office/drawing/2014/main" id="{00000000-0008-0000-0F00-00002E7801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484</xdr:row>
          <xdr:rowOff>0</xdr:rowOff>
        </xdr:from>
        <xdr:to>
          <xdr:col>22</xdr:col>
          <xdr:colOff>177800</xdr:colOff>
          <xdr:row>484</xdr:row>
          <xdr:rowOff>177800</xdr:rowOff>
        </xdr:to>
        <xdr:sp macro="" textlink="">
          <xdr:nvSpPr>
            <xdr:cNvPr id="96303" name="Check Box 47" hidden="1">
              <a:extLst>
                <a:ext uri="{63B3BB69-23CF-44E3-9099-C40C66FF867C}">
                  <a14:compatExt spid="_x0000_s96303"/>
                </a:ext>
                <a:ext uri="{FF2B5EF4-FFF2-40B4-BE49-F238E27FC236}">
                  <a16:creationId xmlns:a16="http://schemas.microsoft.com/office/drawing/2014/main" id="{00000000-0008-0000-0F00-00002F7801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486</xdr:row>
          <xdr:rowOff>0</xdr:rowOff>
        </xdr:from>
        <xdr:to>
          <xdr:col>22</xdr:col>
          <xdr:colOff>177800</xdr:colOff>
          <xdr:row>486</xdr:row>
          <xdr:rowOff>177800</xdr:rowOff>
        </xdr:to>
        <xdr:sp macro="" textlink="">
          <xdr:nvSpPr>
            <xdr:cNvPr id="96304" name="Check Box 48" hidden="1">
              <a:extLst>
                <a:ext uri="{63B3BB69-23CF-44E3-9099-C40C66FF867C}">
                  <a14:compatExt spid="_x0000_s96304"/>
                </a:ext>
                <a:ext uri="{FF2B5EF4-FFF2-40B4-BE49-F238E27FC236}">
                  <a16:creationId xmlns:a16="http://schemas.microsoft.com/office/drawing/2014/main" id="{00000000-0008-0000-0F00-0000307801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491</xdr:row>
          <xdr:rowOff>0</xdr:rowOff>
        </xdr:from>
        <xdr:to>
          <xdr:col>22</xdr:col>
          <xdr:colOff>177800</xdr:colOff>
          <xdr:row>491</xdr:row>
          <xdr:rowOff>177800</xdr:rowOff>
        </xdr:to>
        <xdr:sp macro="" textlink="">
          <xdr:nvSpPr>
            <xdr:cNvPr id="96305" name="Check Box 49" hidden="1">
              <a:extLst>
                <a:ext uri="{63B3BB69-23CF-44E3-9099-C40C66FF867C}">
                  <a14:compatExt spid="_x0000_s96305"/>
                </a:ext>
                <a:ext uri="{FF2B5EF4-FFF2-40B4-BE49-F238E27FC236}">
                  <a16:creationId xmlns:a16="http://schemas.microsoft.com/office/drawing/2014/main" id="{00000000-0008-0000-0F00-0000317801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500</xdr:row>
          <xdr:rowOff>0</xdr:rowOff>
        </xdr:from>
        <xdr:to>
          <xdr:col>22</xdr:col>
          <xdr:colOff>177800</xdr:colOff>
          <xdr:row>500</xdr:row>
          <xdr:rowOff>177800</xdr:rowOff>
        </xdr:to>
        <xdr:sp macro="" textlink="">
          <xdr:nvSpPr>
            <xdr:cNvPr id="96306" name="Check Box 50" hidden="1">
              <a:extLst>
                <a:ext uri="{63B3BB69-23CF-44E3-9099-C40C66FF867C}">
                  <a14:compatExt spid="_x0000_s96306"/>
                </a:ext>
                <a:ext uri="{FF2B5EF4-FFF2-40B4-BE49-F238E27FC236}">
                  <a16:creationId xmlns:a16="http://schemas.microsoft.com/office/drawing/2014/main" id="{00000000-0008-0000-0F00-0000327801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505</xdr:row>
          <xdr:rowOff>0</xdr:rowOff>
        </xdr:from>
        <xdr:to>
          <xdr:col>22</xdr:col>
          <xdr:colOff>177800</xdr:colOff>
          <xdr:row>505</xdr:row>
          <xdr:rowOff>177800</xdr:rowOff>
        </xdr:to>
        <xdr:sp macro="" textlink="">
          <xdr:nvSpPr>
            <xdr:cNvPr id="96307" name="Check Box 51" hidden="1">
              <a:extLst>
                <a:ext uri="{63B3BB69-23CF-44E3-9099-C40C66FF867C}">
                  <a14:compatExt spid="_x0000_s96307"/>
                </a:ext>
                <a:ext uri="{FF2B5EF4-FFF2-40B4-BE49-F238E27FC236}">
                  <a16:creationId xmlns:a16="http://schemas.microsoft.com/office/drawing/2014/main" id="{00000000-0008-0000-0F00-0000337801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506</xdr:row>
          <xdr:rowOff>0</xdr:rowOff>
        </xdr:from>
        <xdr:to>
          <xdr:col>22</xdr:col>
          <xdr:colOff>177800</xdr:colOff>
          <xdr:row>506</xdr:row>
          <xdr:rowOff>177800</xdr:rowOff>
        </xdr:to>
        <xdr:sp macro="" textlink="">
          <xdr:nvSpPr>
            <xdr:cNvPr id="96308" name="Check Box 52" hidden="1">
              <a:extLst>
                <a:ext uri="{63B3BB69-23CF-44E3-9099-C40C66FF867C}">
                  <a14:compatExt spid="_x0000_s96308"/>
                </a:ext>
                <a:ext uri="{FF2B5EF4-FFF2-40B4-BE49-F238E27FC236}">
                  <a16:creationId xmlns:a16="http://schemas.microsoft.com/office/drawing/2014/main" id="{00000000-0008-0000-0F00-0000347801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510</xdr:row>
          <xdr:rowOff>0</xdr:rowOff>
        </xdr:from>
        <xdr:to>
          <xdr:col>22</xdr:col>
          <xdr:colOff>177800</xdr:colOff>
          <xdr:row>510</xdr:row>
          <xdr:rowOff>177800</xdr:rowOff>
        </xdr:to>
        <xdr:sp macro="" textlink="">
          <xdr:nvSpPr>
            <xdr:cNvPr id="96309" name="Check Box 53" hidden="1">
              <a:extLst>
                <a:ext uri="{63B3BB69-23CF-44E3-9099-C40C66FF867C}">
                  <a14:compatExt spid="_x0000_s96309"/>
                </a:ext>
                <a:ext uri="{FF2B5EF4-FFF2-40B4-BE49-F238E27FC236}">
                  <a16:creationId xmlns:a16="http://schemas.microsoft.com/office/drawing/2014/main" id="{00000000-0008-0000-0F00-0000357801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22</xdr:col>
          <xdr:colOff>0</xdr:colOff>
          <xdr:row>566</xdr:row>
          <xdr:rowOff>0</xdr:rowOff>
        </xdr:from>
        <xdr:to>
          <xdr:col>22</xdr:col>
          <xdr:colOff>177800</xdr:colOff>
          <xdr:row>566</xdr:row>
          <xdr:rowOff>177800</xdr:rowOff>
        </xdr:to>
        <xdr:sp macro="" textlink="">
          <xdr:nvSpPr>
            <xdr:cNvPr id="96310" name="Check Box 54" hidden="1">
              <a:extLst>
                <a:ext uri="{63B3BB69-23CF-44E3-9099-C40C66FF867C}">
                  <a14:compatExt spid="_x0000_s96310"/>
                </a:ext>
                <a:ext uri="{FF2B5EF4-FFF2-40B4-BE49-F238E27FC236}">
                  <a16:creationId xmlns:a16="http://schemas.microsoft.com/office/drawing/2014/main" id="{00000000-0008-0000-0F00-0000367801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22</xdr:col>
          <xdr:colOff>0</xdr:colOff>
          <xdr:row>604</xdr:row>
          <xdr:rowOff>0</xdr:rowOff>
        </xdr:from>
        <xdr:to>
          <xdr:col>22</xdr:col>
          <xdr:colOff>177800</xdr:colOff>
          <xdr:row>604</xdr:row>
          <xdr:rowOff>177800</xdr:rowOff>
        </xdr:to>
        <xdr:sp macro="" textlink="">
          <xdr:nvSpPr>
            <xdr:cNvPr id="96311" name="Check Box 55" hidden="1">
              <a:extLst>
                <a:ext uri="{63B3BB69-23CF-44E3-9099-C40C66FF867C}">
                  <a14:compatExt spid="_x0000_s96311"/>
                </a:ext>
                <a:ext uri="{FF2B5EF4-FFF2-40B4-BE49-F238E27FC236}">
                  <a16:creationId xmlns:a16="http://schemas.microsoft.com/office/drawing/2014/main" id="{00000000-0008-0000-0F00-0000377801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22</xdr:col>
          <xdr:colOff>0</xdr:colOff>
          <xdr:row>606</xdr:row>
          <xdr:rowOff>0</xdr:rowOff>
        </xdr:from>
        <xdr:to>
          <xdr:col>22</xdr:col>
          <xdr:colOff>177800</xdr:colOff>
          <xdr:row>606</xdr:row>
          <xdr:rowOff>177800</xdr:rowOff>
        </xdr:to>
        <xdr:sp macro="" textlink="">
          <xdr:nvSpPr>
            <xdr:cNvPr id="96312" name="Check Box 56" hidden="1">
              <a:extLst>
                <a:ext uri="{63B3BB69-23CF-44E3-9099-C40C66FF867C}">
                  <a14:compatExt spid="_x0000_s96312"/>
                </a:ext>
                <a:ext uri="{FF2B5EF4-FFF2-40B4-BE49-F238E27FC236}">
                  <a16:creationId xmlns:a16="http://schemas.microsoft.com/office/drawing/2014/main" id="{00000000-0008-0000-0F00-0000387801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xdr:wsDr>
</file>

<file path=xl/drawings/drawing13.xml><?xml version="1.0" encoding="utf-8"?>
<xdr:wsDr xmlns:xdr="http://schemas.openxmlformats.org/drawingml/2006/spreadsheetDrawing" xmlns:a="http://schemas.openxmlformats.org/drawingml/2006/main">
  <xdr:twoCellAnchor editAs="oneCell">
    <xdr:from>
      <xdr:col>2</xdr:col>
      <xdr:colOff>0</xdr:colOff>
      <xdr:row>0</xdr:row>
      <xdr:rowOff>0</xdr:rowOff>
    </xdr:from>
    <xdr:to>
      <xdr:col>2</xdr:col>
      <xdr:colOff>1828959</xdr:colOff>
      <xdr:row>4</xdr:row>
      <xdr:rowOff>140286</xdr:rowOff>
    </xdr:to>
    <xdr:pic>
      <xdr:nvPicPr>
        <xdr:cNvPr id="7" name="Picture 6">
          <a:extLst>
            <a:ext uri="{FF2B5EF4-FFF2-40B4-BE49-F238E27FC236}">
              <a16:creationId xmlns:a16="http://schemas.microsoft.com/office/drawing/2014/main" id="{00000000-0008-0000-1100-000007000000}"/>
            </a:ext>
          </a:extLst>
        </xdr:cNvPr>
        <xdr:cNvPicPr>
          <a:picLocks noChangeAspect="1"/>
        </xdr:cNvPicPr>
      </xdr:nvPicPr>
      <xdr:blipFill>
        <a:blip xmlns:r="http://schemas.openxmlformats.org/officeDocument/2006/relationships" r:embed="rId1"/>
        <a:stretch>
          <a:fillRect/>
        </a:stretch>
      </xdr:blipFill>
      <xdr:spPr>
        <a:xfrm>
          <a:off x="3086100" y="0"/>
          <a:ext cx="1828959" cy="902286"/>
        </a:xfrm>
        <a:prstGeom prst="rect">
          <a:avLst/>
        </a:prstGeom>
      </xdr:spPr>
    </xdr:pic>
    <xdr:clientData/>
  </xdr:twoCellAnchor>
  <mc:AlternateContent xmlns:mc="http://schemas.openxmlformats.org/markup-compatibility/2006">
    <mc:Choice xmlns:a14="http://schemas.microsoft.com/office/drawing/2010/main" Requires="a14">
      <xdr:twoCellAnchor editAs="oneCell">
        <xdr:from>
          <xdr:col>6</xdr:col>
          <xdr:colOff>0</xdr:colOff>
          <xdr:row>38</xdr:row>
          <xdr:rowOff>0</xdr:rowOff>
        </xdr:from>
        <xdr:to>
          <xdr:col>6</xdr:col>
          <xdr:colOff>177800</xdr:colOff>
          <xdr:row>38</xdr:row>
          <xdr:rowOff>177800</xdr:rowOff>
        </xdr:to>
        <xdr:sp macro="" textlink="">
          <xdr:nvSpPr>
            <xdr:cNvPr id="29700" name="Check Box 4" hidden="1">
              <a:extLst>
                <a:ext uri="{63B3BB69-23CF-44E3-9099-C40C66FF867C}">
                  <a14:compatExt spid="_x0000_s29700"/>
                </a:ext>
                <a:ext uri="{FF2B5EF4-FFF2-40B4-BE49-F238E27FC236}">
                  <a16:creationId xmlns:a16="http://schemas.microsoft.com/office/drawing/2014/main" id="{00000000-0008-0000-1100-00000474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xdr:wsDr>
</file>

<file path=xl/drawings/drawing14.xml><?xml version="1.0" encoding="utf-8"?>
<xdr:wsDr xmlns:xdr="http://schemas.openxmlformats.org/drawingml/2006/spreadsheetDrawing" xmlns:a="http://schemas.openxmlformats.org/drawingml/2006/main">
  <xdr:twoCellAnchor editAs="oneCell">
    <xdr:from>
      <xdr:col>2</xdr:col>
      <xdr:colOff>0</xdr:colOff>
      <xdr:row>0</xdr:row>
      <xdr:rowOff>0</xdr:rowOff>
    </xdr:from>
    <xdr:to>
      <xdr:col>2</xdr:col>
      <xdr:colOff>1828959</xdr:colOff>
      <xdr:row>4</xdr:row>
      <xdr:rowOff>140286</xdr:rowOff>
    </xdr:to>
    <xdr:pic>
      <xdr:nvPicPr>
        <xdr:cNvPr id="2" name="Picture 1">
          <a:extLst>
            <a:ext uri="{FF2B5EF4-FFF2-40B4-BE49-F238E27FC236}">
              <a16:creationId xmlns:a16="http://schemas.microsoft.com/office/drawing/2014/main" id="{00000000-0008-0000-1200-000002000000}"/>
            </a:ext>
          </a:extLst>
        </xdr:cNvPr>
        <xdr:cNvPicPr>
          <a:picLocks noChangeAspect="1"/>
        </xdr:cNvPicPr>
      </xdr:nvPicPr>
      <xdr:blipFill>
        <a:blip xmlns:r="http://schemas.openxmlformats.org/officeDocument/2006/relationships" r:embed="rId1"/>
        <a:stretch>
          <a:fillRect/>
        </a:stretch>
      </xdr:blipFill>
      <xdr:spPr>
        <a:xfrm>
          <a:off x="1428750" y="0"/>
          <a:ext cx="1828959" cy="902286"/>
        </a:xfrm>
        <a:prstGeom prst="rect">
          <a:avLst/>
        </a:prstGeom>
      </xdr:spPr>
    </xdr:pic>
    <xdr:clientData/>
  </xdr:twoCellAnchor>
  <mc:AlternateContent xmlns:mc="http://schemas.openxmlformats.org/markup-compatibility/2006">
    <mc:Choice xmlns:a14="http://schemas.microsoft.com/office/drawing/2010/main" Requires="a14">
      <xdr:twoCellAnchor editAs="oneCell">
        <xdr:from>
          <xdr:col>6</xdr:col>
          <xdr:colOff>0</xdr:colOff>
          <xdr:row>38</xdr:row>
          <xdr:rowOff>0</xdr:rowOff>
        </xdr:from>
        <xdr:to>
          <xdr:col>6</xdr:col>
          <xdr:colOff>177800</xdr:colOff>
          <xdr:row>38</xdr:row>
          <xdr:rowOff>177800</xdr:rowOff>
        </xdr:to>
        <xdr:sp macro="" textlink="">
          <xdr:nvSpPr>
            <xdr:cNvPr id="97281" name="Check Box 1" hidden="1">
              <a:extLst>
                <a:ext uri="{63B3BB69-23CF-44E3-9099-C40C66FF867C}">
                  <a14:compatExt spid="_x0000_s97281"/>
                </a:ext>
                <a:ext uri="{FF2B5EF4-FFF2-40B4-BE49-F238E27FC236}">
                  <a16:creationId xmlns:a16="http://schemas.microsoft.com/office/drawing/2014/main" id="{00000000-0008-0000-1200-0000017C01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xdr:twoCellAnchor editAs="oneCell">
    <xdr:from>
      <xdr:col>2</xdr:col>
      <xdr:colOff>600075</xdr:colOff>
      <xdr:row>20</xdr:row>
      <xdr:rowOff>66675</xdr:rowOff>
    </xdr:from>
    <xdr:to>
      <xdr:col>2</xdr:col>
      <xdr:colOff>2276620</xdr:colOff>
      <xdr:row>31</xdr:row>
      <xdr:rowOff>129306</xdr:rowOff>
    </xdr:to>
    <xdr:pic>
      <xdr:nvPicPr>
        <xdr:cNvPr id="4" name="Picture 3">
          <a:extLst>
            <a:ext uri="{FF2B5EF4-FFF2-40B4-BE49-F238E27FC236}">
              <a16:creationId xmlns:a16="http://schemas.microsoft.com/office/drawing/2014/main" id="{00000000-0008-0000-1200-000004000000}"/>
            </a:ext>
          </a:extLst>
        </xdr:cNvPr>
        <xdr:cNvPicPr>
          <a:picLocks noChangeAspect="1"/>
        </xdr:cNvPicPr>
      </xdr:nvPicPr>
      <xdr:blipFill>
        <a:blip xmlns:r="http://schemas.openxmlformats.org/officeDocument/2006/relationships" r:embed="rId2"/>
        <a:stretch>
          <a:fillRect/>
        </a:stretch>
      </xdr:blipFill>
      <xdr:spPr>
        <a:xfrm>
          <a:off x="2028825" y="3152775"/>
          <a:ext cx="1676545" cy="1700931"/>
        </a:xfrm>
        <a:prstGeom prst="rect">
          <a:avLst/>
        </a:prstGeom>
      </xdr:spPr>
    </xdr:pic>
    <xdr:clientData/>
  </xdr:twoCellAnchor>
</xdr:wsDr>
</file>

<file path=xl/drawings/drawing15.xml><?xml version="1.0" encoding="utf-8"?>
<xdr:wsDr xmlns:xdr="http://schemas.openxmlformats.org/drawingml/2006/spreadsheetDrawing" xmlns:a="http://schemas.openxmlformats.org/drawingml/2006/main">
  <xdr:twoCellAnchor editAs="oneCell">
    <xdr:from>
      <xdr:col>2</xdr:col>
      <xdr:colOff>0</xdr:colOff>
      <xdr:row>0</xdr:row>
      <xdr:rowOff>0</xdr:rowOff>
    </xdr:from>
    <xdr:to>
      <xdr:col>2</xdr:col>
      <xdr:colOff>1828959</xdr:colOff>
      <xdr:row>4</xdr:row>
      <xdr:rowOff>140286</xdr:rowOff>
    </xdr:to>
    <xdr:pic>
      <xdr:nvPicPr>
        <xdr:cNvPr id="2" name="Picture 1">
          <a:extLst>
            <a:ext uri="{FF2B5EF4-FFF2-40B4-BE49-F238E27FC236}">
              <a16:creationId xmlns:a16="http://schemas.microsoft.com/office/drawing/2014/main" id="{00000000-0008-0000-1300-000002000000}"/>
            </a:ext>
          </a:extLst>
        </xdr:cNvPr>
        <xdr:cNvPicPr>
          <a:picLocks noChangeAspect="1"/>
        </xdr:cNvPicPr>
      </xdr:nvPicPr>
      <xdr:blipFill>
        <a:blip xmlns:r="http://schemas.openxmlformats.org/officeDocument/2006/relationships" r:embed="rId1"/>
        <a:stretch>
          <a:fillRect/>
        </a:stretch>
      </xdr:blipFill>
      <xdr:spPr>
        <a:xfrm>
          <a:off x="3086100" y="0"/>
          <a:ext cx="1828959" cy="902286"/>
        </a:xfrm>
        <a:prstGeom prst="rect">
          <a:avLst/>
        </a:prstGeom>
      </xdr:spPr>
    </xdr:pic>
    <xdr:clientData/>
  </xdr:twoCellAnchor>
  <mc:AlternateContent xmlns:mc="http://schemas.openxmlformats.org/markup-compatibility/2006">
    <mc:Choice xmlns:a14="http://schemas.microsoft.com/office/drawing/2010/main" Requires="a14">
      <xdr:twoCellAnchor editAs="oneCell">
        <xdr:from>
          <xdr:col>6</xdr:col>
          <xdr:colOff>0</xdr:colOff>
          <xdr:row>38</xdr:row>
          <xdr:rowOff>0</xdr:rowOff>
        </xdr:from>
        <xdr:to>
          <xdr:col>6</xdr:col>
          <xdr:colOff>177800</xdr:colOff>
          <xdr:row>38</xdr:row>
          <xdr:rowOff>177800</xdr:rowOff>
        </xdr:to>
        <xdr:sp macro="" textlink="">
          <xdr:nvSpPr>
            <xdr:cNvPr id="30722" name="Check Box 2" hidden="1">
              <a:extLst>
                <a:ext uri="{63B3BB69-23CF-44E3-9099-C40C66FF867C}">
                  <a14:compatExt spid="_x0000_s30722"/>
                </a:ext>
                <a:ext uri="{FF2B5EF4-FFF2-40B4-BE49-F238E27FC236}">
                  <a16:creationId xmlns:a16="http://schemas.microsoft.com/office/drawing/2014/main" id="{00000000-0008-0000-1300-00000278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1</xdr:col>
          <xdr:colOff>25400</xdr:colOff>
          <xdr:row>105</xdr:row>
          <xdr:rowOff>0</xdr:rowOff>
        </xdr:from>
        <xdr:to>
          <xdr:col>1</xdr:col>
          <xdr:colOff>203200</xdr:colOff>
          <xdr:row>106</xdr:row>
          <xdr:rowOff>0</xdr:rowOff>
        </xdr:to>
        <xdr:sp macro="" textlink="">
          <xdr:nvSpPr>
            <xdr:cNvPr id="30726" name="Check Box 6" hidden="1">
              <a:extLst>
                <a:ext uri="{63B3BB69-23CF-44E3-9099-C40C66FF867C}">
                  <a14:compatExt spid="_x0000_s30726"/>
                </a:ext>
                <a:ext uri="{FF2B5EF4-FFF2-40B4-BE49-F238E27FC236}">
                  <a16:creationId xmlns:a16="http://schemas.microsoft.com/office/drawing/2014/main" id="{00000000-0008-0000-1300-00000678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1</xdr:col>
          <xdr:colOff>25400</xdr:colOff>
          <xdr:row>106</xdr:row>
          <xdr:rowOff>0</xdr:rowOff>
        </xdr:from>
        <xdr:to>
          <xdr:col>1</xdr:col>
          <xdr:colOff>203200</xdr:colOff>
          <xdr:row>107</xdr:row>
          <xdr:rowOff>0</xdr:rowOff>
        </xdr:to>
        <xdr:sp macro="" textlink="">
          <xdr:nvSpPr>
            <xdr:cNvPr id="30727" name="Check Box 7" hidden="1">
              <a:extLst>
                <a:ext uri="{63B3BB69-23CF-44E3-9099-C40C66FF867C}">
                  <a14:compatExt spid="_x0000_s30727"/>
                </a:ext>
                <a:ext uri="{FF2B5EF4-FFF2-40B4-BE49-F238E27FC236}">
                  <a16:creationId xmlns:a16="http://schemas.microsoft.com/office/drawing/2014/main" id="{00000000-0008-0000-1300-00000778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1</xdr:col>
          <xdr:colOff>25400</xdr:colOff>
          <xdr:row>107</xdr:row>
          <xdr:rowOff>0</xdr:rowOff>
        </xdr:from>
        <xdr:to>
          <xdr:col>1</xdr:col>
          <xdr:colOff>203200</xdr:colOff>
          <xdr:row>108</xdr:row>
          <xdr:rowOff>0</xdr:rowOff>
        </xdr:to>
        <xdr:sp macro="" textlink="">
          <xdr:nvSpPr>
            <xdr:cNvPr id="30728" name="Check Box 8" hidden="1">
              <a:extLst>
                <a:ext uri="{63B3BB69-23CF-44E3-9099-C40C66FF867C}">
                  <a14:compatExt spid="_x0000_s30728"/>
                </a:ext>
                <a:ext uri="{FF2B5EF4-FFF2-40B4-BE49-F238E27FC236}">
                  <a16:creationId xmlns:a16="http://schemas.microsoft.com/office/drawing/2014/main" id="{00000000-0008-0000-1300-00000878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1</xdr:col>
          <xdr:colOff>25400</xdr:colOff>
          <xdr:row>108</xdr:row>
          <xdr:rowOff>0</xdr:rowOff>
        </xdr:from>
        <xdr:to>
          <xdr:col>1</xdr:col>
          <xdr:colOff>203200</xdr:colOff>
          <xdr:row>109</xdr:row>
          <xdr:rowOff>0</xdr:rowOff>
        </xdr:to>
        <xdr:sp macro="" textlink="">
          <xdr:nvSpPr>
            <xdr:cNvPr id="30729" name="Check Box 9" hidden="1">
              <a:extLst>
                <a:ext uri="{63B3BB69-23CF-44E3-9099-C40C66FF867C}">
                  <a14:compatExt spid="_x0000_s30729"/>
                </a:ext>
                <a:ext uri="{FF2B5EF4-FFF2-40B4-BE49-F238E27FC236}">
                  <a16:creationId xmlns:a16="http://schemas.microsoft.com/office/drawing/2014/main" id="{00000000-0008-0000-1300-00000978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1</xdr:col>
          <xdr:colOff>25400</xdr:colOff>
          <xdr:row>109</xdr:row>
          <xdr:rowOff>0</xdr:rowOff>
        </xdr:from>
        <xdr:to>
          <xdr:col>1</xdr:col>
          <xdr:colOff>203200</xdr:colOff>
          <xdr:row>110</xdr:row>
          <xdr:rowOff>0</xdr:rowOff>
        </xdr:to>
        <xdr:sp macro="" textlink="">
          <xdr:nvSpPr>
            <xdr:cNvPr id="30730" name="Check Box 10" hidden="1">
              <a:extLst>
                <a:ext uri="{63B3BB69-23CF-44E3-9099-C40C66FF867C}">
                  <a14:compatExt spid="_x0000_s30730"/>
                </a:ext>
                <a:ext uri="{FF2B5EF4-FFF2-40B4-BE49-F238E27FC236}">
                  <a16:creationId xmlns:a16="http://schemas.microsoft.com/office/drawing/2014/main" id="{00000000-0008-0000-1300-00000A78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1</xdr:col>
          <xdr:colOff>25400</xdr:colOff>
          <xdr:row>110</xdr:row>
          <xdr:rowOff>0</xdr:rowOff>
        </xdr:from>
        <xdr:to>
          <xdr:col>1</xdr:col>
          <xdr:colOff>203200</xdr:colOff>
          <xdr:row>111</xdr:row>
          <xdr:rowOff>0</xdr:rowOff>
        </xdr:to>
        <xdr:sp macro="" textlink="">
          <xdr:nvSpPr>
            <xdr:cNvPr id="30731" name="Check Box 11" hidden="1">
              <a:extLst>
                <a:ext uri="{63B3BB69-23CF-44E3-9099-C40C66FF867C}">
                  <a14:compatExt spid="_x0000_s30731"/>
                </a:ext>
                <a:ext uri="{FF2B5EF4-FFF2-40B4-BE49-F238E27FC236}">
                  <a16:creationId xmlns:a16="http://schemas.microsoft.com/office/drawing/2014/main" id="{00000000-0008-0000-1300-00000B78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1</xdr:col>
          <xdr:colOff>25400</xdr:colOff>
          <xdr:row>111</xdr:row>
          <xdr:rowOff>0</xdr:rowOff>
        </xdr:from>
        <xdr:to>
          <xdr:col>1</xdr:col>
          <xdr:colOff>203200</xdr:colOff>
          <xdr:row>112</xdr:row>
          <xdr:rowOff>0</xdr:rowOff>
        </xdr:to>
        <xdr:sp macro="" textlink="">
          <xdr:nvSpPr>
            <xdr:cNvPr id="30732" name="Check Box 12" hidden="1">
              <a:extLst>
                <a:ext uri="{63B3BB69-23CF-44E3-9099-C40C66FF867C}">
                  <a14:compatExt spid="_x0000_s30732"/>
                </a:ext>
                <a:ext uri="{FF2B5EF4-FFF2-40B4-BE49-F238E27FC236}">
                  <a16:creationId xmlns:a16="http://schemas.microsoft.com/office/drawing/2014/main" id="{00000000-0008-0000-1300-00000C78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1</xdr:col>
          <xdr:colOff>25400</xdr:colOff>
          <xdr:row>112</xdr:row>
          <xdr:rowOff>0</xdr:rowOff>
        </xdr:from>
        <xdr:to>
          <xdr:col>1</xdr:col>
          <xdr:colOff>203200</xdr:colOff>
          <xdr:row>113</xdr:row>
          <xdr:rowOff>0</xdr:rowOff>
        </xdr:to>
        <xdr:sp macro="" textlink="">
          <xdr:nvSpPr>
            <xdr:cNvPr id="30733" name="Check Box 13" hidden="1">
              <a:extLst>
                <a:ext uri="{63B3BB69-23CF-44E3-9099-C40C66FF867C}">
                  <a14:compatExt spid="_x0000_s30733"/>
                </a:ext>
                <a:ext uri="{FF2B5EF4-FFF2-40B4-BE49-F238E27FC236}">
                  <a16:creationId xmlns:a16="http://schemas.microsoft.com/office/drawing/2014/main" id="{00000000-0008-0000-1300-00000D78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1</xdr:col>
          <xdr:colOff>25400</xdr:colOff>
          <xdr:row>113</xdr:row>
          <xdr:rowOff>0</xdr:rowOff>
        </xdr:from>
        <xdr:to>
          <xdr:col>1</xdr:col>
          <xdr:colOff>203200</xdr:colOff>
          <xdr:row>114</xdr:row>
          <xdr:rowOff>0</xdr:rowOff>
        </xdr:to>
        <xdr:sp macro="" textlink="">
          <xdr:nvSpPr>
            <xdr:cNvPr id="30734" name="Check Box 14" hidden="1">
              <a:extLst>
                <a:ext uri="{63B3BB69-23CF-44E3-9099-C40C66FF867C}">
                  <a14:compatExt spid="_x0000_s30734"/>
                </a:ext>
                <a:ext uri="{FF2B5EF4-FFF2-40B4-BE49-F238E27FC236}">
                  <a16:creationId xmlns:a16="http://schemas.microsoft.com/office/drawing/2014/main" id="{00000000-0008-0000-1300-00000E78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1</xdr:col>
          <xdr:colOff>25400</xdr:colOff>
          <xdr:row>104</xdr:row>
          <xdr:rowOff>0</xdr:rowOff>
        </xdr:from>
        <xdr:to>
          <xdr:col>1</xdr:col>
          <xdr:colOff>203200</xdr:colOff>
          <xdr:row>105</xdr:row>
          <xdr:rowOff>0</xdr:rowOff>
        </xdr:to>
        <xdr:sp macro="" textlink="">
          <xdr:nvSpPr>
            <xdr:cNvPr id="30735" name="Check Box 15" hidden="1">
              <a:extLst>
                <a:ext uri="{63B3BB69-23CF-44E3-9099-C40C66FF867C}">
                  <a14:compatExt spid="_x0000_s30735"/>
                </a:ext>
                <a:ext uri="{FF2B5EF4-FFF2-40B4-BE49-F238E27FC236}">
                  <a16:creationId xmlns:a16="http://schemas.microsoft.com/office/drawing/2014/main" id="{00000000-0008-0000-1300-00000F78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1</xdr:col>
          <xdr:colOff>25400</xdr:colOff>
          <xdr:row>115</xdr:row>
          <xdr:rowOff>0</xdr:rowOff>
        </xdr:from>
        <xdr:to>
          <xdr:col>1</xdr:col>
          <xdr:colOff>203200</xdr:colOff>
          <xdr:row>116</xdr:row>
          <xdr:rowOff>0</xdr:rowOff>
        </xdr:to>
        <xdr:sp macro="" textlink="">
          <xdr:nvSpPr>
            <xdr:cNvPr id="30736" name="Check Box 16" hidden="1">
              <a:extLst>
                <a:ext uri="{63B3BB69-23CF-44E3-9099-C40C66FF867C}">
                  <a14:compatExt spid="_x0000_s30736"/>
                </a:ext>
                <a:ext uri="{FF2B5EF4-FFF2-40B4-BE49-F238E27FC236}">
                  <a16:creationId xmlns:a16="http://schemas.microsoft.com/office/drawing/2014/main" id="{00000000-0008-0000-1300-00001078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1</xdr:col>
          <xdr:colOff>25400</xdr:colOff>
          <xdr:row>116</xdr:row>
          <xdr:rowOff>0</xdr:rowOff>
        </xdr:from>
        <xdr:to>
          <xdr:col>1</xdr:col>
          <xdr:colOff>203200</xdr:colOff>
          <xdr:row>117</xdr:row>
          <xdr:rowOff>0</xdr:rowOff>
        </xdr:to>
        <xdr:sp macro="" textlink="">
          <xdr:nvSpPr>
            <xdr:cNvPr id="30737" name="Check Box 17" hidden="1">
              <a:extLst>
                <a:ext uri="{63B3BB69-23CF-44E3-9099-C40C66FF867C}">
                  <a14:compatExt spid="_x0000_s30737"/>
                </a:ext>
                <a:ext uri="{FF2B5EF4-FFF2-40B4-BE49-F238E27FC236}">
                  <a16:creationId xmlns:a16="http://schemas.microsoft.com/office/drawing/2014/main" id="{00000000-0008-0000-1300-00001178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1</xdr:col>
          <xdr:colOff>25400</xdr:colOff>
          <xdr:row>117</xdr:row>
          <xdr:rowOff>0</xdr:rowOff>
        </xdr:from>
        <xdr:to>
          <xdr:col>1</xdr:col>
          <xdr:colOff>203200</xdr:colOff>
          <xdr:row>118</xdr:row>
          <xdr:rowOff>0</xdr:rowOff>
        </xdr:to>
        <xdr:sp macro="" textlink="">
          <xdr:nvSpPr>
            <xdr:cNvPr id="30738" name="Check Box 18" hidden="1">
              <a:extLst>
                <a:ext uri="{63B3BB69-23CF-44E3-9099-C40C66FF867C}">
                  <a14:compatExt spid="_x0000_s30738"/>
                </a:ext>
                <a:ext uri="{FF2B5EF4-FFF2-40B4-BE49-F238E27FC236}">
                  <a16:creationId xmlns:a16="http://schemas.microsoft.com/office/drawing/2014/main" id="{00000000-0008-0000-1300-00001278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1</xdr:col>
          <xdr:colOff>25400</xdr:colOff>
          <xdr:row>118</xdr:row>
          <xdr:rowOff>0</xdr:rowOff>
        </xdr:from>
        <xdr:to>
          <xdr:col>1</xdr:col>
          <xdr:colOff>203200</xdr:colOff>
          <xdr:row>119</xdr:row>
          <xdr:rowOff>0</xdr:rowOff>
        </xdr:to>
        <xdr:sp macro="" textlink="">
          <xdr:nvSpPr>
            <xdr:cNvPr id="30739" name="Check Box 19" hidden="1">
              <a:extLst>
                <a:ext uri="{63B3BB69-23CF-44E3-9099-C40C66FF867C}">
                  <a14:compatExt spid="_x0000_s30739"/>
                </a:ext>
                <a:ext uri="{FF2B5EF4-FFF2-40B4-BE49-F238E27FC236}">
                  <a16:creationId xmlns:a16="http://schemas.microsoft.com/office/drawing/2014/main" id="{00000000-0008-0000-1300-00001378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1</xdr:col>
          <xdr:colOff>25400</xdr:colOff>
          <xdr:row>119</xdr:row>
          <xdr:rowOff>0</xdr:rowOff>
        </xdr:from>
        <xdr:to>
          <xdr:col>1</xdr:col>
          <xdr:colOff>203200</xdr:colOff>
          <xdr:row>120</xdr:row>
          <xdr:rowOff>0</xdr:rowOff>
        </xdr:to>
        <xdr:sp macro="" textlink="">
          <xdr:nvSpPr>
            <xdr:cNvPr id="30740" name="Check Box 20" hidden="1">
              <a:extLst>
                <a:ext uri="{63B3BB69-23CF-44E3-9099-C40C66FF867C}">
                  <a14:compatExt spid="_x0000_s30740"/>
                </a:ext>
                <a:ext uri="{FF2B5EF4-FFF2-40B4-BE49-F238E27FC236}">
                  <a16:creationId xmlns:a16="http://schemas.microsoft.com/office/drawing/2014/main" id="{00000000-0008-0000-1300-00001478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1</xdr:col>
          <xdr:colOff>25400</xdr:colOff>
          <xdr:row>120</xdr:row>
          <xdr:rowOff>0</xdr:rowOff>
        </xdr:from>
        <xdr:to>
          <xdr:col>1</xdr:col>
          <xdr:colOff>203200</xdr:colOff>
          <xdr:row>121</xdr:row>
          <xdr:rowOff>0</xdr:rowOff>
        </xdr:to>
        <xdr:sp macro="" textlink="">
          <xdr:nvSpPr>
            <xdr:cNvPr id="30741" name="Check Box 21" hidden="1">
              <a:extLst>
                <a:ext uri="{63B3BB69-23CF-44E3-9099-C40C66FF867C}">
                  <a14:compatExt spid="_x0000_s30741"/>
                </a:ext>
                <a:ext uri="{FF2B5EF4-FFF2-40B4-BE49-F238E27FC236}">
                  <a16:creationId xmlns:a16="http://schemas.microsoft.com/office/drawing/2014/main" id="{00000000-0008-0000-1300-00001578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1</xdr:col>
          <xdr:colOff>25400</xdr:colOff>
          <xdr:row>121</xdr:row>
          <xdr:rowOff>0</xdr:rowOff>
        </xdr:from>
        <xdr:to>
          <xdr:col>1</xdr:col>
          <xdr:colOff>203200</xdr:colOff>
          <xdr:row>122</xdr:row>
          <xdr:rowOff>0</xdr:rowOff>
        </xdr:to>
        <xdr:sp macro="" textlink="">
          <xdr:nvSpPr>
            <xdr:cNvPr id="30742" name="Check Box 22" hidden="1">
              <a:extLst>
                <a:ext uri="{63B3BB69-23CF-44E3-9099-C40C66FF867C}">
                  <a14:compatExt spid="_x0000_s30742"/>
                </a:ext>
                <a:ext uri="{FF2B5EF4-FFF2-40B4-BE49-F238E27FC236}">
                  <a16:creationId xmlns:a16="http://schemas.microsoft.com/office/drawing/2014/main" id="{00000000-0008-0000-1300-00001678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1</xdr:col>
          <xdr:colOff>25400</xdr:colOff>
          <xdr:row>122</xdr:row>
          <xdr:rowOff>0</xdr:rowOff>
        </xdr:from>
        <xdr:to>
          <xdr:col>1</xdr:col>
          <xdr:colOff>203200</xdr:colOff>
          <xdr:row>123</xdr:row>
          <xdr:rowOff>0</xdr:rowOff>
        </xdr:to>
        <xdr:sp macro="" textlink="">
          <xdr:nvSpPr>
            <xdr:cNvPr id="30743" name="Check Box 23" hidden="1">
              <a:extLst>
                <a:ext uri="{63B3BB69-23CF-44E3-9099-C40C66FF867C}">
                  <a14:compatExt spid="_x0000_s30743"/>
                </a:ext>
                <a:ext uri="{FF2B5EF4-FFF2-40B4-BE49-F238E27FC236}">
                  <a16:creationId xmlns:a16="http://schemas.microsoft.com/office/drawing/2014/main" id="{00000000-0008-0000-1300-00001778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1</xdr:col>
          <xdr:colOff>25400</xdr:colOff>
          <xdr:row>123</xdr:row>
          <xdr:rowOff>0</xdr:rowOff>
        </xdr:from>
        <xdr:to>
          <xdr:col>1</xdr:col>
          <xdr:colOff>203200</xdr:colOff>
          <xdr:row>124</xdr:row>
          <xdr:rowOff>0</xdr:rowOff>
        </xdr:to>
        <xdr:sp macro="" textlink="">
          <xdr:nvSpPr>
            <xdr:cNvPr id="30744" name="Check Box 24" hidden="1">
              <a:extLst>
                <a:ext uri="{63B3BB69-23CF-44E3-9099-C40C66FF867C}">
                  <a14:compatExt spid="_x0000_s30744"/>
                </a:ext>
                <a:ext uri="{FF2B5EF4-FFF2-40B4-BE49-F238E27FC236}">
                  <a16:creationId xmlns:a16="http://schemas.microsoft.com/office/drawing/2014/main" id="{00000000-0008-0000-1300-00001878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1</xdr:col>
          <xdr:colOff>25400</xdr:colOff>
          <xdr:row>114</xdr:row>
          <xdr:rowOff>0</xdr:rowOff>
        </xdr:from>
        <xdr:to>
          <xdr:col>1</xdr:col>
          <xdr:colOff>203200</xdr:colOff>
          <xdr:row>115</xdr:row>
          <xdr:rowOff>0</xdr:rowOff>
        </xdr:to>
        <xdr:sp macro="" textlink="">
          <xdr:nvSpPr>
            <xdr:cNvPr id="30745" name="Check Box 25" hidden="1">
              <a:extLst>
                <a:ext uri="{63B3BB69-23CF-44E3-9099-C40C66FF867C}">
                  <a14:compatExt spid="_x0000_s30745"/>
                </a:ext>
                <a:ext uri="{FF2B5EF4-FFF2-40B4-BE49-F238E27FC236}">
                  <a16:creationId xmlns:a16="http://schemas.microsoft.com/office/drawing/2014/main" id="{00000000-0008-0000-1300-00001978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1</xdr:col>
          <xdr:colOff>25400</xdr:colOff>
          <xdr:row>114</xdr:row>
          <xdr:rowOff>0</xdr:rowOff>
        </xdr:from>
        <xdr:to>
          <xdr:col>1</xdr:col>
          <xdr:colOff>203200</xdr:colOff>
          <xdr:row>115</xdr:row>
          <xdr:rowOff>0</xdr:rowOff>
        </xdr:to>
        <xdr:sp macro="" textlink="">
          <xdr:nvSpPr>
            <xdr:cNvPr id="30746" name="Check Box 26" hidden="1">
              <a:extLst>
                <a:ext uri="{63B3BB69-23CF-44E3-9099-C40C66FF867C}">
                  <a14:compatExt spid="_x0000_s30746"/>
                </a:ext>
                <a:ext uri="{FF2B5EF4-FFF2-40B4-BE49-F238E27FC236}">
                  <a16:creationId xmlns:a16="http://schemas.microsoft.com/office/drawing/2014/main" id="{00000000-0008-0000-1300-00001A78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1</xdr:col>
          <xdr:colOff>25400</xdr:colOff>
          <xdr:row>115</xdr:row>
          <xdr:rowOff>0</xdr:rowOff>
        </xdr:from>
        <xdr:to>
          <xdr:col>1</xdr:col>
          <xdr:colOff>203200</xdr:colOff>
          <xdr:row>116</xdr:row>
          <xdr:rowOff>0</xdr:rowOff>
        </xdr:to>
        <xdr:sp macro="" textlink="">
          <xdr:nvSpPr>
            <xdr:cNvPr id="30747" name="Check Box 27" hidden="1">
              <a:extLst>
                <a:ext uri="{63B3BB69-23CF-44E3-9099-C40C66FF867C}">
                  <a14:compatExt spid="_x0000_s30747"/>
                </a:ext>
                <a:ext uri="{FF2B5EF4-FFF2-40B4-BE49-F238E27FC236}">
                  <a16:creationId xmlns:a16="http://schemas.microsoft.com/office/drawing/2014/main" id="{00000000-0008-0000-1300-00001B78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1</xdr:col>
          <xdr:colOff>25400</xdr:colOff>
          <xdr:row>116</xdr:row>
          <xdr:rowOff>0</xdr:rowOff>
        </xdr:from>
        <xdr:to>
          <xdr:col>1</xdr:col>
          <xdr:colOff>203200</xdr:colOff>
          <xdr:row>117</xdr:row>
          <xdr:rowOff>0</xdr:rowOff>
        </xdr:to>
        <xdr:sp macro="" textlink="">
          <xdr:nvSpPr>
            <xdr:cNvPr id="30748" name="Check Box 28" hidden="1">
              <a:extLst>
                <a:ext uri="{63B3BB69-23CF-44E3-9099-C40C66FF867C}">
                  <a14:compatExt spid="_x0000_s30748"/>
                </a:ext>
                <a:ext uri="{FF2B5EF4-FFF2-40B4-BE49-F238E27FC236}">
                  <a16:creationId xmlns:a16="http://schemas.microsoft.com/office/drawing/2014/main" id="{00000000-0008-0000-1300-00001C78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1</xdr:col>
          <xdr:colOff>25400</xdr:colOff>
          <xdr:row>117</xdr:row>
          <xdr:rowOff>0</xdr:rowOff>
        </xdr:from>
        <xdr:to>
          <xdr:col>1</xdr:col>
          <xdr:colOff>203200</xdr:colOff>
          <xdr:row>118</xdr:row>
          <xdr:rowOff>0</xdr:rowOff>
        </xdr:to>
        <xdr:sp macro="" textlink="">
          <xdr:nvSpPr>
            <xdr:cNvPr id="30749" name="Check Box 29" hidden="1">
              <a:extLst>
                <a:ext uri="{63B3BB69-23CF-44E3-9099-C40C66FF867C}">
                  <a14:compatExt spid="_x0000_s30749"/>
                </a:ext>
                <a:ext uri="{FF2B5EF4-FFF2-40B4-BE49-F238E27FC236}">
                  <a16:creationId xmlns:a16="http://schemas.microsoft.com/office/drawing/2014/main" id="{00000000-0008-0000-1300-00001D78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1</xdr:col>
          <xdr:colOff>25400</xdr:colOff>
          <xdr:row>118</xdr:row>
          <xdr:rowOff>0</xdr:rowOff>
        </xdr:from>
        <xdr:to>
          <xdr:col>1</xdr:col>
          <xdr:colOff>203200</xdr:colOff>
          <xdr:row>119</xdr:row>
          <xdr:rowOff>0</xdr:rowOff>
        </xdr:to>
        <xdr:sp macro="" textlink="">
          <xdr:nvSpPr>
            <xdr:cNvPr id="30750" name="Check Box 30" hidden="1">
              <a:extLst>
                <a:ext uri="{63B3BB69-23CF-44E3-9099-C40C66FF867C}">
                  <a14:compatExt spid="_x0000_s30750"/>
                </a:ext>
                <a:ext uri="{FF2B5EF4-FFF2-40B4-BE49-F238E27FC236}">
                  <a16:creationId xmlns:a16="http://schemas.microsoft.com/office/drawing/2014/main" id="{00000000-0008-0000-1300-00001E78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1</xdr:col>
          <xdr:colOff>25400</xdr:colOff>
          <xdr:row>119</xdr:row>
          <xdr:rowOff>0</xdr:rowOff>
        </xdr:from>
        <xdr:to>
          <xdr:col>1</xdr:col>
          <xdr:colOff>203200</xdr:colOff>
          <xdr:row>120</xdr:row>
          <xdr:rowOff>0</xdr:rowOff>
        </xdr:to>
        <xdr:sp macro="" textlink="">
          <xdr:nvSpPr>
            <xdr:cNvPr id="30751" name="Check Box 31" hidden="1">
              <a:extLst>
                <a:ext uri="{63B3BB69-23CF-44E3-9099-C40C66FF867C}">
                  <a14:compatExt spid="_x0000_s30751"/>
                </a:ext>
                <a:ext uri="{FF2B5EF4-FFF2-40B4-BE49-F238E27FC236}">
                  <a16:creationId xmlns:a16="http://schemas.microsoft.com/office/drawing/2014/main" id="{00000000-0008-0000-1300-00001F78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1</xdr:col>
          <xdr:colOff>25400</xdr:colOff>
          <xdr:row>120</xdr:row>
          <xdr:rowOff>0</xdr:rowOff>
        </xdr:from>
        <xdr:to>
          <xdr:col>1</xdr:col>
          <xdr:colOff>203200</xdr:colOff>
          <xdr:row>121</xdr:row>
          <xdr:rowOff>0</xdr:rowOff>
        </xdr:to>
        <xdr:sp macro="" textlink="">
          <xdr:nvSpPr>
            <xdr:cNvPr id="30752" name="Check Box 32" hidden="1">
              <a:extLst>
                <a:ext uri="{63B3BB69-23CF-44E3-9099-C40C66FF867C}">
                  <a14:compatExt spid="_x0000_s30752"/>
                </a:ext>
                <a:ext uri="{FF2B5EF4-FFF2-40B4-BE49-F238E27FC236}">
                  <a16:creationId xmlns:a16="http://schemas.microsoft.com/office/drawing/2014/main" id="{00000000-0008-0000-1300-00002078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1</xdr:col>
          <xdr:colOff>25400</xdr:colOff>
          <xdr:row>121</xdr:row>
          <xdr:rowOff>0</xdr:rowOff>
        </xdr:from>
        <xdr:to>
          <xdr:col>1</xdr:col>
          <xdr:colOff>203200</xdr:colOff>
          <xdr:row>122</xdr:row>
          <xdr:rowOff>0</xdr:rowOff>
        </xdr:to>
        <xdr:sp macro="" textlink="">
          <xdr:nvSpPr>
            <xdr:cNvPr id="30753" name="Check Box 33" hidden="1">
              <a:extLst>
                <a:ext uri="{63B3BB69-23CF-44E3-9099-C40C66FF867C}">
                  <a14:compatExt spid="_x0000_s30753"/>
                </a:ext>
                <a:ext uri="{FF2B5EF4-FFF2-40B4-BE49-F238E27FC236}">
                  <a16:creationId xmlns:a16="http://schemas.microsoft.com/office/drawing/2014/main" id="{00000000-0008-0000-1300-00002178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1</xdr:col>
          <xdr:colOff>25400</xdr:colOff>
          <xdr:row>122</xdr:row>
          <xdr:rowOff>0</xdr:rowOff>
        </xdr:from>
        <xdr:to>
          <xdr:col>1</xdr:col>
          <xdr:colOff>203200</xdr:colOff>
          <xdr:row>123</xdr:row>
          <xdr:rowOff>0</xdr:rowOff>
        </xdr:to>
        <xdr:sp macro="" textlink="">
          <xdr:nvSpPr>
            <xdr:cNvPr id="30754" name="Check Box 34" hidden="1">
              <a:extLst>
                <a:ext uri="{63B3BB69-23CF-44E3-9099-C40C66FF867C}">
                  <a14:compatExt spid="_x0000_s30754"/>
                </a:ext>
                <a:ext uri="{FF2B5EF4-FFF2-40B4-BE49-F238E27FC236}">
                  <a16:creationId xmlns:a16="http://schemas.microsoft.com/office/drawing/2014/main" id="{00000000-0008-0000-1300-00002278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1</xdr:col>
          <xdr:colOff>25400</xdr:colOff>
          <xdr:row>123</xdr:row>
          <xdr:rowOff>0</xdr:rowOff>
        </xdr:from>
        <xdr:to>
          <xdr:col>1</xdr:col>
          <xdr:colOff>203200</xdr:colOff>
          <xdr:row>124</xdr:row>
          <xdr:rowOff>0</xdr:rowOff>
        </xdr:to>
        <xdr:sp macro="" textlink="">
          <xdr:nvSpPr>
            <xdr:cNvPr id="30755" name="Check Box 35" hidden="1">
              <a:extLst>
                <a:ext uri="{63B3BB69-23CF-44E3-9099-C40C66FF867C}">
                  <a14:compatExt spid="_x0000_s30755"/>
                </a:ext>
                <a:ext uri="{FF2B5EF4-FFF2-40B4-BE49-F238E27FC236}">
                  <a16:creationId xmlns:a16="http://schemas.microsoft.com/office/drawing/2014/main" id="{00000000-0008-0000-1300-00002378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xdr:wsDr>
</file>

<file path=xl/drawings/drawing16.xml><?xml version="1.0" encoding="utf-8"?>
<xdr:wsDr xmlns:xdr="http://schemas.openxmlformats.org/drawingml/2006/spreadsheetDrawing" xmlns:a="http://schemas.openxmlformats.org/drawingml/2006/main">
  <xdr:twoCellAnchor editAs="oneCell">
    <xdr:from>
      <xdr:col>2</xdr:col>
      <xdr:colOff>0</xdr:colOff>
      <xdr:row>0</xdr:row>
      <xdr:rowOff>0</xdr:rowOff>
    </xdr:from>
    <xdr:to>
      <xdr:col>2</xdr:col>
      <xdr:colOff>1828959</xdr:colOff>
      <xdr:row>4</xdr:row>
      <xdr:rowOff>140286</xdr:rowOff>
    </xdr:to>
    <xdr:pic>
      <xdr:nvPicPr>
        <xdr:cNvPr id="2" name="Picture 1">
          <a:extLst>
            <a:ext uri="{FF2B5EF4-FFF2-40B4-BE49-F238E27FC236}">
              <a16:creationId xmlns:a16="http://schemas.microsoft.com/office/drawing/2014/main" id="{00000000-0008-0000-1400-000002000000}"/>
            </a:ext>
          </a:extLst>
        </xdr:cNvPr>
        <xdr:cNvPicPr>
          <a:picLocks noChangeAspect="1"/>
        </xdr:cNvPicPr>
      </xdr:nvPicPr>
      <xdr:blipFill>
        <a:blip xmlns:r="http://schemas.openxmlformats.org/officeDocument/2006/relationships" r:embed="rId1"/>
        <a:stretch>
          <a:fillRect/>
        </a:stretch>
      </xdr:blipFill>
      <xdr:spPr>
        <a:xfrm>
          <a:off x="1428750" y="0"/>
          <a:ext cx="1828959" cy="902286"/>
        </a:xfrm>
        <a:prstGeom prst="rect">
          <a:avLst/>
        </a:prstGeom>
      </xdr:spPr>
    </xdr:pic>
    <xdr:clientData/>
  </xdr:twoCellAnchor>
  <mc:AlternateContent xmlns:mc="http://schemas.openxmlformats.org/markup-compatibility/2006">
    <mc:Choice xmlns:a14="http://schemas.microsoft.com/office/drawing/2010/main" Requires="a14">
      <xdr:twoCellAnchor editAs="oneCell">
        <xdr:from>
          <xdr:col>6</xdr:col>
          <xdr:colOff>0</xdr:colOff>
          <xdr:row>38</xdr:row>
          <xdr:rowOff>0</xdr:rowOff>
        </xdr:from>
        <xdr:to>
          <xdr:col>6</xdr:col>
          <xdr:colOff>177800</xdr:colOff>
          <xdr:row>38</xdr:row>
          <xdr:rowOff>177800</xdr:rowOff>
        </xdr:to>
        <xdr:sp macro="" textlink="">
          <xdr:nvSpPr>
            <xdr:cNvPr id="98305" name="Check Box 1" hidden="1">
              <a:extLst>
                <a:ext uri="{63B3BB69-23CF-44E3-9099-C40C66FF867C}">
                  <a14:compatExt spid="_x0000_s98305"/>
                </a:ext>
                <a:ext uri="{FF2B5EF4-FFF2-40B4-BE49-F238E27FC236}">
                  <a16:creationId xmlns:a16="http://schemas.microsoft.com/office/drawing/2014/main" id="{00000000-0008-0000-1400-0000018001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xdr:twoCellAnchor editAs="oneCell">
    <xdr:from>
      <xdr:col>2</xdr:col>
      <xdr:colOff>600075</xdr:colOff>
      <xdr:row>20</xdr:row>
      <xdr:rowOff>66675</xdr:rowOff>
    </xdr:from>
    <xdr:to>
      <xdr:col>2</xdr:col>
      <xdr:colOff>2276620</xdr:colOff>
      <xdr:row>31</xdr:row>
      <xdr:rowOff>129306</xdr:rowOff>
    </xdr:to>
    <xdr:pic>
      <xdr:nvPicPr>
        <xdr:cNvPr id="4" name="Picture 3">
          <a:extLst>
            <a:ext uri="{FF2B5EF4-FFF2-40B4-BE49-F238E27FC236}">
              <a16:creationId xmlns:a16="http://schemas.microsoft.com/office/drawing/2014/main" id="{00000000-0008-0000-1400-000004000000}"/>
            </a:ext>
          </a:extLst>
        </xdr:cNvPr>
        <xdr:cNvPicPr>
          <a:picLocks noChangeAspect="1"/>
        </xdr:cNvPicPr>
      </xdr:nvPicPr>
      <xdr:blipFill>
        <a:blip xmlns:r="http://schemas.openxmlformats.org/officeDocument/2006/relationships" r:embed="rId2"/>
        <a:stretch>
          <a:fillRect/>
        </a:stretch>
      </xdr:blipFill>
      <xdr:spPr>
        <a:xfrm>
          <a:off x="2028825" y="3152775"/>
          <a:ext cx="1676545" cy="1700931"/>
        </a:xfrm>
        <a:prstGeom prst="rect">
          <a:avLst/>
        </a:prstGeom>
      </xdr:spPr>
    </xdr:pic>
    <xdr:clientData/>
  </xdr:twoCellAnchor>
</xdr:wsDr>
</file>

<file path=xl/drawings/drawing17.xml><?xml version="1.0" encoding="utf-8"?>
<xdr:wsDr xmlns:xdr="http://schemas.openxmlformats.org/drawingml/2006/spreadsheetDrawing" xmlns:a="http://schemas.openxmlformats.org/drawingml/2006/main">
  <xdr:twoCellAnchor>
    <xdr:from>
      <xdr:col>4</xdr:col>
      <xdr:colOff>0</xdr:colOff>
      <xdr:row>55</xdr:row>
      <xdr:rowOff>0</xdr:rowOff>
    </xdr:from>
    <xdr:to>
      <xdr:col>7</xdr:col>
      <xdr:colOff>9525</xdr:colOff>
      <xdr:row>55</xdr:row>
      <xdr:rowOff>161925</xdr:rowOff>
    </xdr:to>
    <xdr:pic>
      <xdr:nvPicPr>
        <xdr:cNvPr id="2" name="Picture 1">
          <a:extLst>
            <a:ext uri="{FF2B5EF4-FFF2-40B4-BE49-F238E27FC236}">
              <a16:creationId xmlns:a16="http://schemas.microsoft.com/office/drawing/2014/main" id="{00000000-0008-0000-1600-000002000000}"/>
            </a:ext>
          </a:extLst>
        </xdr:cNvPr>
        <xdr:cNvPicPr>
          <a:picLocks noChangeAspect="1" noChangeArrowheads="1"/>
        </xdr:cNvPicPr>
      </xdr:nvPicPr>
      <xdr:blipFill>
        <a:blip xmlns:r="http://schemas.openxmlformats.org/officeDocument/2006/relationships" r:embed="rId1">
          <a:clrChange>
            <a:clrFrom>
              <a:srgbClr val="FFFFFF"/>
            </a:clrFrom>
            <a:clrTo>
              <a:srgbClr val="FFFFFF">
                <a:alpha val="0"/>
              </a:srgbClr>
            </a:clrTo>
          </a:clrChange>
          <a:extLst>
            <a:ext uri="{28A0092B-C50C-407E-A947-70E740481C1C}">
              <a14:useLocalDpi xmlns:a14="http://schemas.microsoft.com/office/drawing/2010/main" val="0"/>
            </a:ext>
          </a:extLst>
        </a:blip>
        <a:srcRect/>
        <a:stretch>
          <a:fillRect/>
        </a:stretch>
      </xdr:blipFill>
      <xdr:spPr bwMode="auto">
        <a:xfrm>
          <a:off x="2438400" y="10477500"/>
          <a:ext cx="1838325" cy="1619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0</xdr:colOff>
      <xdr:row>57</xdr:row>
      <xdr:rowOff>0</xdr:rowOff>
    </xdr:from>
    <xdr:to>
      <xdr:col>4</xdr:col>
      <xdr:colOff>257175</xdr:colOff>
      <xdr:row>57</xdr:row>
      <xdr:rowOff>161925</xdr:rowOff>
    </xdr:to>
    <xdr:pic>
      <xdr:nvPicPr>
        <xdr:cNvPr id="3" name="Picture 2">
          <a:extLst>
            <a:ext uri="{FF2B5EF4-FFF2-40B4-BE49-F238E27FC236}">
              <a16:creationId xmlns:a16="http://schemas.microsoft.com/office/drawing/2014/main" id="{00000000-0008-0000-1600-000003000000}"/>
            </a:ext>
          </a:extLst>
        </xdr:cNvPr>
        <xdr:cNvPicPr>
          <a:picLocks noChangeAspect="1" noChangeArrowheads="1"/>
        </xdr:cNvPicPr>
      </xdr:nvPicPr>
      <xdr:blipFill>
        <a:blip xmlns:r="http://schemas.openxmlformats.org/officeDocument/2006/relationships" r:embed="rId2">
          <a:clrChange>
            <a:clrFrom>
              <a:srgbClr val="FFFFFF"/>
            </a:clrFrom>
            <a:clrTo>
              <a:srgbClr val="FFFFFF">
                <a:alpha val="0"/>
              </a:srgbClr>
            </a:clrTo>
          </a:clrChange>
          <a:extLst>
            <a:ext uri="{28A0092B-C50C-407E-A947-70E740481C1C}">
              <a14:useLocalDpi xmlns:a14="http://schemas.microsoft.com/office/drawing/2010/main" val="0"/>
            </a:ext>
          </a:extLst>
        </a:blip>
        <a:srcRect/>
        <a:stretch>
          <a:fillRect/>
        </a:stretch>
      </xdr:blipFill>
      <xdr:spPr bwMode="auto">
        <a:xfrm>
          <a:off x="2438400" y="10858500"/>
          <a:ext cx="257175" cy="1619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5</xdr:col>
      <xdr:colOff>0</xdr:colOff>
      <xdr:row>57</xdr:row>
      <xdr:rowOff>0</xdr:rowOff>
    </xdr:from>
    <xdr:to>
      <xdr:col>5</xdr:col>
      <xdr:colOff>95250</xdr:colOff>
      <xdr:row>57</xdr:row>
      <xdr:rowOff>152400</xdr:rowOff>
    </xdr:to>
    <xdr:pic>
      <xdr:nvPicPr>
        <xdr:cNvPr id="4" name="Picture 3">
          <a:extLst>
            <a:ext uri="{FF2B5EF4-FFF2-40B4-BE49-F238E27FC236}">
              <a16:creationId xmlns:a16="http://schemas.microsoft.com/office/drawing/2014/main" id="{00000000-0008-0000-1600-000004000000}"/>
            </a:ext>
          </a:extLst>
        </xdr:cNvPr>
        <xdr:cNvPicPr>
          <a:picLocks noChangeAspect="1" noChangeArrowheads="1"/>
        </xdr:cNvPicPr>
      </xdr:nvPicPr>
      <xdr:blipFill>
        <a:blip xmlns:r="http://schemas.openxmlformats.org/officeDocument/2006/relationships" r:embed="rId3">
          <a:clrChange>
            <a:clrFrom>
              <a:srgbClr val="FFFFFF"/>
            </a:clrFrom>
            <a:clrTo>
              <a:srgbClr val="FFFFFF">
                <a:alpha val="0"/>
              </a:srgbClr>
            </a:clrTo>
          </a:clrChange>
          <a:extLst>
            <a:ext uri="{28A0092B-C50C-407E-A947-70E740481C1C}">
              <a14:useLocalDpi xmlns:a14="http://schemas.microsoft.com/office/drawing/2010/main" val="0"/>
            </a:ext>
          </a:extLst>
        </a:blip>
        <a:srcRect/>
        <a:stretch>
          <a:fillRect/>
        </a:stretch>
      </xdr:blipFill>
      <xdr:spPr bwMode="auto">
        <a:xfrm>
          <a:off x="3048000" y="10858500"/>
          <a:ext cx="9525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0</xdr:colOff>
      <xdr:row>58</xdr:row>
      <xdr:rowOff>0</xdr:rowOff>
    </xdr:from>
    <xdr:to>
      <xdr:col>4</xdr:col>
      <xdr:colOff>314325</xdr:colOff>
      <xdr:row>58</xdr:row>
      <xdr:rowOff>161925</xdr:rowOff>
    </xdr:to>
    <xdr:pic>
      <xdr:nvPicPr>
        <xdr:cNvPr id="5" name="Picture 4">
          <a:extLst>
            <a:ext uri="{FF2B5EF4-FFF2-40B4-BE49-F238E27FC236}">
              <a16:creationId xmlns:a16="http://schemas.microsoft.com/office/drawing/2014/main" id="{00000000-0008-0000-1600-000005000000}"/>
            </a:ext>
          </a:extLst>
        </xdr:cNvPr>
        <xdr:cNvPicPr>
          <a:picLocks noChangeAspect="1" noChangeArrowheads="1"/>
        </xdr:cNvPicPr>
      </xdr:nvPicPr>
      <xdr:blipFill>
        <a:blip xmlns:r="http://schemas.openxmlformats.org/officeDocument/2006/relationships" r:embed="rId4">
          <a:clrChange>
            <a:clrFrom>
              <a:srgbClr val="FFFFFF"/>
            </a:clrFrom>
            <a:clrTo>
              <a:srgbClr val="FFFFFF">
                <a:alpha val="0"/>
              </a:srgbClr>
            </a:clrTo>
          </a:clrChange>
          <a:extLst>
            <a:ext uri="{28A0092B-C50C-407E-A947-70E740481C1C}">
              <a14:useLocalDpi xmlns:a14="http://schemas.microsoft.com/office/drawing/2010/main" val="0"/>
            </a:ext>
          </a:extLst>
        </a:blip>
        <a:srcRect/>
        <a:stretch>
          <a:fillRect/>
        </a:stretch>
      </xdr:blipFill>
      <xdr:spPr bwMode="auto">
        <a:xfrm>
          <a:off x="2438400" y="11049000"/>
          <a:ext cx="314325" cy="1619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5</xdr:col>
      <xdr:colOff>0</xdr:colOff>
      <xdr:row>58</xdr:row>
      <xdr:rowOff>0</xdr:rowOff>
    </xdr:from>
    <xdr:to>
      <xdr:col>5</xdr:col>
      <xdr:colOff>95250</xdr:colOff>
      <xdr:row>58</xdr:row>
      <xdr:rowOff>152400</xdr:rowOff>
    </xdr:to>
    <xdr:pic>
      <xdr:nvPicPr>
        <xdr:cNvPr id="6" name="Picture 5">
          <a:extLst>
            <a:ext uri="{FF2B5EF4-FFF2-40B4-BE49-F238E27FC236}">
              <a16:creationId xmlns:a16="http://schemas.microsoft.com/office/drawing/2014/main" id="{00000000-0008-0000-1600-000006000000}"/>
            </a:ext>
          </a:extLst>
        </xdr:cNvPr>
        <xdr:cNvPicPr>
          <a:picLocks noChangeAspect="1" noChangeArrowheads="1"/>
        </xdr:cNvPicPr>
      </xdr:nvPicPr>
      <xdr:blipFill>
        <a:blip xmlns:r="http://schemas.openxmlformats.org/officeDocument/2006/relationships" r:embed="rId3">
          <a:clrChange>
            <a:clrFrom>
              <a:srgbClr val="FFFFFF"/>
            </a:clrFrom>
            <a:clrTo>
              <a:srgbClr val="FFFFFF">
                <a:alpha val="0"/>
              </a:srgbClr>
            </a:clrTo>
          </a:clrChange>
          <a:extLst>
            <a:ext uri="{28A0092B-C50C-407E-A947-70E740481C1C}">
              <a14:useLocalDpi xmlns:a14="http://schemas.microsoft.com/office/drawing/2010/main" val="0"/>
            </a:ext>
          </a:extLst>
        </a:blip>
        <a:srcRect/>
        <a:stretch>
          <a:fillRect/>
        </a:stretch>
      </xdr:blipFill>
      <xdr:spPr bwMode="auto">
        <a:xfrm>
          <a:off x="3048000" y="11049000"/>
          <a:ext cx="9525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0</xdr:colOff>
      <xdr:row>59</xdr:row>
      <xdr:rowOff>0</xdr:rowOff>
    </xdr:from>
    <xdr:to>
      <xdr:col>4</xdr:col>
      <xdr:colOff>190500</xdr:colOff>
      <xdr:row>59</xdr:row>
      <xdr:rowOff>152400</xdr:rowOff>
    </xdr:to>
    <xdr:pic>
      <xdr:nvPicPr>
        <xdr:cNvPr id="7" name="Picture 6">
          <a:extLst>
            <a:ext uri="{FF2B5EF4-FFF2-40B4-BE49-F238E27FC236}">
              <a16:creationId xmlns:a16="http://schemas.microsoft.com/office/drawing/2014/main" id="{00000000-0008-0000-1600-000007000000}"/>
            </a:ext>
          </a:extLst>
        </xdr:cNvPr>
        <xdr:cNvPicPr>
          <a:picLocks noChangeAspect="1" noChangeArrowheads="1"/>
        </xdr:cNvPicPr>
      </xdr:nvPicPr>
      <xdr:blipFill>
        <a:blip xmlns:r="http://schemas.openxmlformats.org/officeDocument/2006/relationships" r:embed="rId5">
          <a:clrChange>
            <a:clrFrom>
              <a:srgbClr val="FFFFFF"/>
            </a:clrFrom>
            <a:clrTo>
              <a:srgbClr val="FFFFFF">
                <a:alpha val="0"/>
              </a:srgbClr>
            </a:clrTo>
          </a:clrChange>
          <a:extLst>
            <a:ext uri="{28A0092B-C50C-407E-A947-70E740481C1C}">
              <a14:useLocalDpi xmlns:a14="http://schemas.microsoft.com/office/drawing/2010/main" val="0"/>
            </a:ext>
          </a:extLst>
        </a:blip>
        <a:srcRect/>
        <a:stretch>
          <a:fillRect/>
        </a:stretch>
      </xdr:blipFill>
      <xdr:spPr bwMode="auto">
        <a:xfrm>
          <a:off x="2438400" y="11239500"/>
          <a:ext cx="1905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5</xdr:col>
      <xdr:colOff>0</xdr:colOff>
      <xdr:row>59</xdr:row>
      <xdr:rowOff>0</xdr:rowOff>
    </xdr:from>
    <xdr:to>
      <xdr:col>5</xdr:col>
      <xdr:colOff>95250</xdr:colOff>
      <xdr:row>59</xdr:row>
      <xdr:rowOff>152400</xdr:rowOff>
    </xdr:to>
    <xdr:pic>
      <xdr:nvPicPr>
        <xdr:cNvPr id="8" name="Picture 7">
          <a:extLst>
            <a:ext uri="{FF2B5EF4-FFF2-40B4-BE49-F238E27FC236}">
              <a16:creationId xmlns:a16="http://schemas.microsoft.com/office/drawing/2014/main" id="{00000000-0008-0000-1600-000008000000}"/>
            </a:ext>
          </a:extLst>
        </xdr:cNvPr>
        <xdr:cNvPicPr>
          <a:picLocks noChangeAspect="1" noChangeArrowheads="1"/>
        </xdr:cNvPicPr>
      </xdr:nvPicPr>
      <xdr:blipFill>
        <a:blip xmlns:r="http://schemas.openxmlformats.org/officeDocument/2006/relationships" r:embed="rId3">
          <a:clrChange>
            <a:clrFrom>
              <a:srgbClr val="FFFFFF"/>
            </a:clrFrom>
            <a:clrTo>
              <a:srgbClr val="FFFFFF">
                <a:alpha val="0"/>
              </a:srgbClr>
            </a:clrTo>
          </a:clrChange>
          <a:extLst>
            <a:ext uri="{28A0092B-C50C-407E-A947-70E740481C1C}">
              <a14:useLocalDpi xmlns:a14="http://schemas.microsoft.com/office/drawing/2010/main" val="0"/>
            </a:ext>
          </a:extLst>
        </a:blip>
        <a:srcRect/>
        <a:stretch>
          <a:fillRect/>
        </a:stretch>
      </xdr:blipFill>
      <xdr:spPr bwMode="auto">
        <a:xfrm>
          <a:off x="3048000" y="11239500"/>
          <a:ext cx="9525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0</xdr:colOff>
      <xdr:row>62</xdr:row>
      <xdr:rowOff>0</xdr:rowOff>
    </xdr:from>
    <xdr:to>
      <xdr:col>7</xdr:col>
      <xdr:colOff>9525</xdr:colOff>
      <xdr:row>62</xdr:row>
      <xdr:rowOff>161925</xdr:rowOff>
    </xdr:to>
    <xdr:pic>
      <xdr:nvPicPr>
        <xdr:cNvPr id="9" name="Picture 8">
          <a:extLst>
            <a:ext uri="{FF2B5EF4-FFF2-40B4-BE49-F238E27FC236}">
              <a16:creationId xmlns:a16="http://schemas.microsoft.com/office/drawing/2014/main" id="{00000000-0008-0000-1600-000009000000}"/>
            </a:ext>
          </a:extLst>
        </xdr:cNvPr>
        <xdr:cNvPicPr>
          <a:picLocks noChangeAspect="1" noChangeArrowheads="1"/>
        </xdr:cNvPicPr>
      </xdr:nvPicPr>
      <xdr:blipFill>
        <a:blip xmlns:r="http://schemas.openxmlformats.org/officeDocument/2006/relationships" r:embed="rId6">
          <a:clrChange>
            <a:clrFrom>
              <a:srgbClr val="FFFFFF"/>
            </a:clrFrom>
            <a:clrTo>
              <a:srgbClr val="FFFFFF">
                <a:alpha val="0"/>
              </a:srgbClr>
            </a:clrTo>
          </a:clrChange>
          <a:extLst>
            <a:ext uri="{28A0092B-C50C-407E-A947-70E740481C1C}">
              <a14:useLocalDpi xmlns:a14="http://schemas.microsoft.com/office/drawing/2010/main" val="0"/>
            </a:ext>
          </a:extLst>
        </a:blip>
        <a:srcRect/>
        <a:stretch>
          <a:fillRect/>
        </a:stretch>
      </xdr:blipFill>
      <xdr:spPr bwMode="auto">
        <a:xfrm>
          <a:off x="2438400" y="11811000"/>
          <a:ext cx="1838325" cy="1619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0</xdr:colOff>
      <xdr:row>64</xdr:row>
      <xdr:rowOff>0</xdr:rowOff>
    </xdr:from>
    <xdr:to>
      <xdr:col>4</xdr:col>
      <xdr:colOff>257175</xdr:colOff>
      <xdr:row>64</xdr:row>
      <xdr:rowOff>161925</xdr:rowOff>
    </xdr:to>
    <xdr:pic>
      <xdr:nvPicPr>
        <xdr:cNvPr id="10" name="Picture 9">
          <a:extLst>
            <a:ext uri="{FF2B5EF4-FFF2-40B4-BE49-F238E27FC236}">
              <a16:creationId xmlns:a16="http://schemas.microsoft.com/office/drawing/2014/main" id="{00000000-0008-0000-1600-00000A000000}"/>
            </a:ext>
          </a:extLst>
        </xdr:cNvPr>
        <xdr:cNvPicPr>
          <a:picLocks noChangeAspect="1" noChangeArrowheads="1"/>
        </xdr:cNvPicPr>
      </xdr:nvPicPr>
      <xdr:blipFill>
        <a:blip xmlns:r="http://schemas.openxmlformats.org/officeDocument/2006/relationships" r:embed="rId2">
          <a:clrChange>
            <a:clrFrom>
              <a:srgbClr val="FFFFFF"/>
            </a:clrFrom>
            <a:clrTo>
              <a:srgbClr val="FFFFFF">
                <a:alpha val="0"/>
              </a:srgbClr>
            </a:clrTo>
          </a:clrChange>
          <a:extLst>
            <a:ext uri="{28A0092B-C50C-407E-A947-70E740481C1C}">
              <a14:useLocalDpi xmlns:a14="http://schemas.microsoft.com/office/drawing/2010/main" val="0"/>
            </a:ext>
          </a:extLst>
        </a:blip>
        <a:srcRect/>
        <a:stretch>
          <a:fillRect/>
        </a:stretch>
      </xdr:blipFill>
      <xdr:spPr bwMode="auto">
        <a:xfrm>
          <a:off x="2438400" y="12192000"/>
          <a:ext cx="257175" cy="1619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5</xdr:col>
      <xdr:colOff>0</xdr:colOff>
      <xdr:row>64</xdr:row>
      <xdr:rowOff>0</xdr:rowOff>
    </xdr:from>
    <xdr:to>
      <xdr:col>5</xdr:col>
      <xdr:colOff>95250</xdr:colOff>
      <xdr:row>64</xdr:row>
      <xdr:rowOff>152400</xdr:rowOff>
    </xdr:to>
    <xdr:pic>
      <xdr:nvPicPr>
        <xdr:cNvPr id="11" name="Picture 10">
          <a:extLst>
            <a:ext uri="{FF2B5EF4-FFF2-40B4-BE49-F238E27FC236}">
              <a16:creationId xmlns:a16="http://schemas.microsoft.com/office/drawing/2014/main" id="{00000000-0008-0000-1600-00000B000000}"/>
            </a:ext>
          </a:extLst>
        </xdr:cNvPr>
        <xdr:cNvPicPr>
          <a:picLocks noChangeAspect="1" noChangeArrowheads="1"/>
        </xdr:cNvPicPr>
      </xdr:nvPicPr>
      <xdr:blipFill>
        <a:blip xmlns:r="http://schemas.openxmlformats.org/officeDocument/2006/relationships" r:embed="rId3">
          <a:clrChange>
            <a:clrFrom>
              <a:srgbClr val="FFFFFF"/>
            </a:clrFrom>
            <a:clrTo>
              <a:srgbClr val="FFFFFF">
                <a:alpha val="0"/>
              </a:srgbClr>
            </a:clrTo>
          </a:clrChange>
          <a:extLst>
            <a:ext uri="{28A0092B-C50C-407E-A947-70E740481C1C}">
              <a14:useLocalDpi xmlns:a14="http://schemas.microsoft.com/office/drawing/2010/main" val="0"/>
            </a:ext>
          </a:extLst>
        </a:blip>
        <a:srcRect/>
        <a:stretch>
          <a:fillRect/>
        </a:stretch>
      </xdr:blipFill>
      <xdr:spPr bwMode="auto">
        <a:xfrm>
          <a:off x="3048000" y="12192000"/>
          <a:ext cx="9525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0</xdr:colOff>
      <xdr:row>65</xdr:row>
      <xdr:rowOff>0</xdr:rowOff>
    </xdr:from>
    <xdr:to>
      <xdr:col>4</xdr:col>
      <xdr:colOff>314325</xdr:colOff>
      <xdr:row>65</xdr:row>
      <xdr:rowOff>161925</xdr:rowOff>
    </xdr:to>
    <xdr:pic>
      <xdr:nvPicPr>
        <xdr:cNvPr id="12" name="Picture 11">
          <a:extLst>
            <a:ext uri="{FF2B5EF4-FFF2-40B4-BE49-F238E27FC236}">
              <a16:creationId xmlns:a16="http://schemas.microsoft.com/office/drawing/2014/main" id="{00000000-0008-0000-1600-00000C000000}"/>
            </a:ext>
          </a:extLst>
        </xdr:cNvPr>
        <xdr:cNvPicPr>
          <a:picLocks noChangeAspect="1" noChangeArrowheads="1"/>
        </xdr:cNvPicPr>
      </xdr:nvPicPr>
      <xdr:blipFill>
        <a:blip xmlns:r="http://schemas.openxmlformats.org/officeDocument/2006/relationships" r:embed="rId4">
          <a:clrChange>
            <a:clrFrom>
              <a:srgbClr val="FFFFFF"/>
            </a:clrFrom>
            <a:clrTo>
              <a:srgbClr val="FFFFFF">
                <a:alpha val="0"/>
              </a:srgbClr>
            </a:clrTo>
          </a:clrChange>
          <a:extLst>
            <a:ext uri="{28A0092B-C50C-407E-A947-70E740481C1C}">
              <a14:useLocalDpi xmlns:a14="http://schemas.microsoft.com/office/drawing/2010/main" val="0"/>
            </a:ext>
          </a:extLst>
        </a:blip>
        <a:srcRect/>
        <a:stretch>
          <a:fillRect/>
        </a:stretch>
      </xdr:blipFill>
      <xdr:spPr bwMode="auto">
        <a:xfrm>
          <a:off x="2438400" y="12382500"/>
          <a:ext cx="314325" cy="1619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5</xdr:col>
      <xdr:colOff>0</xdr:colOff>
      <xdr:row>65</xdr:row>
      <xdr:rowOff>0</xdr:rowOff>
    </xdr:from>
    <xdr:to>
      <xdr:col>5</xdr:col>
      <xdr:colOff>95250</xdr:colOff>
      <xdr:row>65</xdr:row>
      <xdr:rowOff>152400</xdr:rowOff>
    </xdr:to>
    <xdr:pic>
      <xdr:nvPicPr>
        <xdr:cNvPr id="13" name="Picture 12">
          <a:extLst>
            <a:ext uri="{FF2B5EF4-FFF2-40B4-BE49-F238E27FC236}">
              <a16:creationId xmlns:a16="http://schemas.microsoft.com/office/drawing/2014/main" id="{00000000-0008-0000-1600-00000D000000}"/>
            </a:ext>
          </a:extLst>
        </xdr:cNvPr>
        <xdr:cNvPicPr>
          <a:picLocks noChangeAspect="1" noChangeArrowheads="1"/>
        </xdr:cNvPicPr>
      </xdr:nvPicPr>
      <xdr:blipFill>
        <a:blip xmlns:r="http://schemas.openxmlformats.org/officeDocument/2006/relationships" r:embed="rId3">
          <a:clrChange>
            <a:clrFrom>
              <a:srgbClr val="FFFFFF"/>
            </a:clrFrom>
            <a:clrTo>
              <a:srgbClr val="FFFFFF">
                <a:alpha val="0"/>
              </a:srgbClr>
            </a:clrTo>
          </a:clrChange>
          <a:extLst>
            <a:ext uri="{28A0092B-C50C-407E-A947-70E740481C1C}">
              <a14:useLocalDpi xmlns:a14="http://schemas.microsoft.com/office/drawing/2010/main" val="0"/>
            </a:ext>
          </a:extLst>
        </a:blip>
        <a:srcRect/>
        <a:stretch>
          <a:fillRect/>
        </a:stretch>
      </xdr:blipFill>
      <xdr:spPr bwMode="auto">
        <a:xfrm>
          <a:off x="3048000" y="12382500"/>
          <a:ext cx="9525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0</xdr:colOff>
      <xdr:row>66</xdr:row>
      <xdr:rowOff>0</xdr:rowOff>
    </xdr:from>
    <xdr:to>
      <xdr:col>4</xdr:col>
      <xdr:colOff>190500</xdr:colOff>
      <xdr:row>66</xdr:row>
      <xdr:rowOff>152400</xdr:rowOff>
    </xdr:to>
    <xdr:pic>
      <xdr:nvPicPr>
        <xdr:cNvPr id="14" name="Picture 13">
          <a:extLst>
            <a:ext uri="{FF2B5EF4-FFF2-40B4-BE49-F238E27FC236}">
              <a16:creationId xmlns:a16="http://schemas.microsoft.com/office/drawing/2014/main" id="{00000000-0008-0000-1600-00000E000000}"/>
            </a:ext>
          </a:extLst>
        </xdr:cNvPr>
        <xdr:cNvPicPr>
          <a:picLocks noChangeAspect="1" noChangeArrowheads="1"/>
        </xdr:cNvPicPr>
      </xdr:nvPicPr>
      <xdr:blipFill>
        <a:blip xmlns:r="http://schemas.openxmlformats.org/officeDocument/2006/relationships" r:embed="rId5">
          <a:clrChange>
            <a:clrFrom>
              <a:srgbClr val="FFFFFF"/>
            </a:clrFrom>
            <a:clrTo>
              <a:srgbClr val="FFFFFF">
                <a:alpha val="0"/>
              </a:srgbClr>
            </a:clrTo>
          </a:clrChange>
          <a:extLst>
            <a:ext uri="{28A0092B-C50C-407E-A947-70E740481C1C}">
              <a14:useLocalDpi xmlns:a14="http://schemas.microsoft.com/office/drawing/2010/main" val="0"/>
            </a:ext>
          </a:extLst>
        </a:blip>
        <a:srcRect/>
        <a:stretch>
          <a:fillRect/>
        </a:stretch>
      </xdr:blipFill>
      <xdr:spPr bwMode="auto">
        <a:xfrm>
          <a:off x="2438400" y="12573000"/>
          <a:ext cx="1905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5</xdr:col>
      <xdr:colOff>0</xdr:colOff>
      <xdr:row>66</xdr:row>
      <xdr:rowOff>0</xdr:rowOff>
    </xdr:from>
    <xdr:to>
      <xdr:col>5</xdr:col>
      <xdr:colOff>95250</xdr:colOff>
      <xdr:row>66</xdr:row>
      <xdr:rowOff>152400</xdr:rowOff>
    </xdr:to>
    <xdr:pic>
      <xdr:nvPicPr>
        <xdr:cNvPr id="15" name="Picture 14">
          <a:extLst>
            <a:ext uri="{FF2B5EF4-FFF2-40B4-BE49-F238E27FC236}">
              <a16:creationId xmlns:a16="http://schemas.microsoft.com/office/drawing/2014/main" id="{00000000-0008-0000-1600-00000F000000}"/>
            </a:ext>
          </a:extLst>
        </xdr:cNvPr>
        <xdr:cNvPicPr>
          <a:picLocks noChangeAspect="1" noChangeArrowheads="1"/>
        </xdr:cNvPicPr>
      </xdr:nvPicPr>
      <xdr:blipFill>
        <a:blip xmlns:r="http://schemas.openxmlformats.org/officeDocument/2006/relationships" r:embed="rId3">
          <a:clrChange>
            <a:clrFrom>
              <a:srgbClr val="FFFFFF"/>
            </a:clrFrom>
            <a:clrTo>
              <a:srgbClr val="FFFFFF">
                <a:alpha val="0"/>
              </a:srgbClr>
            </a:clrTo>
          </a:clrChange>
          <a:extLst>
            <a:ext uri="{28A0092B-C50C-407E-A947-70E740481C1C}">
              <a14:useLocalDpi xmlns:a14="http://schemas.microsoft.com/office/drawing/2010/main" val="0"/>
            </a:ext>
          </a:extLst>
        </a:blip>
        <a:srcRect/>
        <a:stretch>
          <a:fillRect/>
        </a:stretch>
      </xdr:blipFill>
      <xdr:spPr bwMode="auto">
        <a:xfrm>
          <a:off x="3048000" y="12573000"/>
          <a:ext cx="9525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xdr:col>
      <xdr:colOff>0</xdr:colOff>
      <xdr:row>123</xdr:row>
      <xdr:rowOff>0</xdr:rowOff>
    </xdr:from>
    <xdr:to>
      <xdr:col>3</xdr:col>
      <xdr:colOff>190500</xdr:colOff>
      <xdr:row>123</xdr:row>
      <xdr:rowOff>161925</xdr:rowOff>
    </xdr:to>
    <xdr:pic>
      <xdr:nvPicPr>
        <xdr:cNvPr id="16" name="Picture 15">
          <a:extLst>
            <a:ext uri="{FF2B5EF4-FFF2-40B4-BE49-F238E27FC236}">
              <a16:creationId xmlns:a16="http://schemas.microsoft.com/office/drawing/2014/main" id="{00000000-0008-0000-1600-000010000000}"/>
            </a:ext>
          </a:extLst>
        </xdr:cNvPr>
        <xdr:cNvPicPr>
          <a:picLocks noChangeAspect="1" noChangeArrowheads="1"/>
        </xdr:cNvPicPr>
      </xdr:nvPicPr>
      <xdr:blipFill>
        <a:blip xmlns:r="http://schemas.openxmlformats.org/officeDocument/2006/relationships" r:embed="rId7">
          <a:clrChange>
            <a:clrFrom>
              <a:srgbClr val="FFFFFF"/>
            </a:clrFrom>
            <a:clrTo>
              <a:srgbClr val="FFFFFF">
                <a:alpha val="0"/>
              </a:srgbClr>
            </a:clrTo>
          </a:clrChange>
          <a:extLst>
            <a:ext uri="{28A0092B-C50C-407E-A947-70E740481C1C}">
              <a14:useLocalDpi xmlns:a14="http://schemas.microsoft.com/office/drawing/2010/main" val="0"/>
            </a:ext>
          </a:extLst>
        </a:blip>
        <a:srcRect/>
        <a:stretch>
          <a:fillRect/>
        </a:stretch>
      </xdr:blipFill>
      <xdr:spPr bwMode="auto">
        <a:xfrm>
          <a:off x="1219200" y="23431500"/>
          <a:ext cx="800100" cy="1619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xdr:col>
      <xdr:colOff>0</xdr:colOff>
      <xdr:row>125</xdr:row>
      <xdr:rowOff>0</xdr:rowOff>
    </xdr:from>
    <xdr:to>
      <xdr:col>2</xdr:col>
      <xdr:colOff>142875</xdr:colOff>
      <xdr:row>125</xdr:row>
      <xdr:rowOff>161925</xdr:rowOff>
    </xdr:to>
    <xdr:pic>
      <xdr:nvPicPr>
        <xdr:cNvPr id="17" name="Picture 16">
          <a:extLst>
            <a:ext uri="{FF2B5EF4-FFF2-40B4-BE49-F238E27FC236}">
              <a16:creationId xmlns:a16="http://schemas.microsoft.com/office/drawing/2014/main" id="{00000000-0008-0000-1600-000011000000}"/>
            </a:ext>
          </a:extLst>
        </xdr:cNvPr>
        <xdr:cNvPicPr>
          <a:picLocks noChangeAspect="1" noChangeArrowheads="1"/>
        </xdr:cNvPicPr>
      </xdr:nvPicPr>
      <xdr:blipFill>
        <a:blip xmlns:r="http://schemas.openxmlformats.org/officeDocument/2006/relationships" r:embed="rId8">
          <a:clrChange>
            <a:clrFrom>
              <a:srgbClr val="FFFFFF"/>
            </a:clrFrom>
            <a:clrTo>
              <a:srgbClr val="FFFFFF">
                <a:alpha val="0"/>
              </a:srgbClr>
            </a:clrTo>
          </a:clrChange>
          <a:extLst>
            <a:ext uri="{28A0092B-C50C-407E-A947-70E740481C1C}">
              <a14:useLocalDpi xmlns:a14="http://schemas.microsoft.com/office/drawing/2010/main" val="0"/>
            </a:ext>
          </a:extLst>
        </a:blip>
        <a:srcRect/>
        <a:stretch>
          <a:fillRect/>
        </a:stretch>
      </xdr:blipFill>
      <xdr:spPr bwMode="auto">
        <a:xfrm>
          <a:off x="1219200" y="23812500"/>
          <a:ext cx="142875" cy="1619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xdr:col>
      <xdr:colOff>0</xdr:colOff>
      <xdr:row>126</xdr:row>
      <xdr:rowOff>0</xdr:rowOff>
    </xdr:from>
    <xdr:to>
      <xdr:col>2</xdr:col>
      <xdr:colOff>133350</xdr:colOff>
      <xdr:row>126</xdr:row>
      <xdr:rowOff>152400</xdr:rowOff>
    </xdr:to>
    <xdr:pic>
      <xdr:nvPicPr>
        <xdr:cNvPr id="18" name="Picture 17">
          <a:extLst>
            <a:ext uri="{FF2B5EF4-FFF2-40B4-BE49-F238E27FC236}">
              <a16:creationId xmlns:a16="http://schemas.microsoft.com/office/drawing/2014/main" id="{00000000-0008-0000-1600-000012000000}"/>
            </a:ext>
          </a:extLst>
        </xdr:cNvPr>
        <xdr:cNvPicPr>
          <a:picLocks noChangeAspect="1" noChangeArrowheads="1"/>
        </xdr:cNvPicPr>
      </xdr:nvPicPr>
      <xdr:blipFill>
        <a:blip xmlns:r="http://schemas.openxmlformats.org/officeDocument/2006/relationships" r:embed="rId9">
          <a:clrChange>
            <a:clrFrom>
              <a:srgbClr val="FFFFFF"/>
            </a:clrFrom>
            <a:clrTo>
              <a:srgbClr val="FFFFFF">
                <a:alpha val="0"/>
              </a:srgbClr>
            </a:clrTo>
          </a:clrChange>
          <a:extLst>
            <a:ext uri="{28A0092B-C50C-407E-A947-70E740481C1C}">
              <a14:useLocalDpi xmlns:a14="http://schemas.microsoft.com/office/drawing/2010/main" val="0"/>
            </a:ext>
          </a:extLst>
        </a:blip>
        <a:srcRect/>
        <a:stretch>
          <a:fillRect/>
        </a:stretch>
      </xdr:blipFill>
      <xdr:spPr bwMode="auto">
        <a:xfrm>
          <a:off x="1219200" y="24003000"/>
          <a:ext cx="13335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xdr:col>
      <xdr:colOff>0</xdr:colOff>
      <xdr:row>129</xdr:row>
      <xdr:rowOff>0</xdr:rowOff>
    </xdr:from>
    <xdr:to>
      <xdr:col>2</xdr:col>
      <xdr:colOff>57150</xdr:colOff>
      <xdr:row>129</xdr:row>
      <xdr:rowOff>152400</xdr:rowOff>
    </xdr:to>
    <xdr:pic>
      <xdr:nvPicPr>
        <xdr:cNvPr id="19" name="Picture 18">
          <a:extLst>
            <a:ext uri="{FF2B5EF4-FFF2-40B4-BE49-F238E27FC236}">
              <a16:creationId xmlns:a16="http://schemas.microsoft.com/office/drawing/2014/main" id="{00000000-0008-0000-1600-000013000000}"/>
            </a:ext>
          </a:extLst>
        </xdr:cNvPr>
        <xdr:cNvPicPr>
          <a:picLocks noChangeAspect="1" noChangeArrowheads="1"/>
        </xdr:cNvPicPr>
      </xdr:nvPicPr>
      <xdr:blipFill>
        <a:blip xmlns:r="http://schemas.openxmlformats.org/officeDocument/2006/relationships" r:embed="rId10">
          <a:clrChange>
            <a:clrFrom>
              <a:srgbClr val="FFFFFF"/>
            </a:clrFrom>
            <a:clrTo>
              <a:srgbClr val="FFFFFF">
                <a:alpha val="0"/>
              </a:srgbClr>
            </a:clrTo>
          </a:clrChange>
          <a:extLst>
            <a:ext uri="{28A0092B-C50C-407E-A947-70E740481C1C}">
              <a14:useLocalDpi xmlns:a14="http://schemas.microsoft.com/office/drawing/2010/main" val="0"/>
            </a:ext>
          </a:extLst>
        </a:blip>
        <a:srcRect/>
        <a:stretch>
          <a:fillRect/>
        </a:stretch>
      </xdr:blipFill>
      <xdr:spPr bwMode="auto">
        <a:xfrm>
          <a:off x="1219200" y="24574500"/>
          <a:ext cx="5715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xdr:col>
      <xdr:colOff>0</xdr:colOff>
      <xdr:row>130</xdr:row>
      <xdr:rowOff>0</xdr:rowOff>
    </xdr:from>
    <xdr:to>
      <xdr:col>2</xdr:col>
      <xdr:colOff>76200</xdr:colOff>
      <xdr:row>130</xdr:row>
      <xdr:rowOff>152400</xdr:rowOff>
    </xdr:to>
    <xdr:pic>
      <xdr:nvPicPr>
        <xdr:cNvPr id="20" name="Picture 19">
          <a:extLst>
            <a:ext uri="{FF2B5EF4-FFF2-40B4-BE49-F238E27FC236}">
              <a16:creationId xmlns:a16="http://schemas.microsoft.com/office/drawing/2014/main" id="{00000000-0008-0000-1600-000014000000}"/>
            </a:ext>
          </a:extLst>
        </xdr:cNvPr>
        <xdr:cNvPicPr>
          <a:picLocks noChangeAspect="1" noChangeArrowheads="1"/>
        </xdr:cNvPicPr>
      </xdr:nvPicPr>
      <xdr:blipFill>
        <a:blip xmlns:r="http://schemas.openxmlformats.org/officeDocument/2006/relationships" r:embed="rId11">
          <a:clrChange>
            <a:clrFrom>
              <a:srgbClr val="FFFFFF"/>
            </a:clrFrom>
            <a:clrTo>
              <a:srgbClr val="FFFFFF">
                <a:alpha val="0"/>
              </a:srgbClr>
            </a:clrTo>
          </a:clrChange>
          <a:extLst>
            <a:ext uri="{28A0092B-C50C-407E-A947-70E740481C1C}">
              <a14:useLocalDpi xmlns:a14="http://schemas.microsoft.com/office/drawing/2010/main" val="0"/>
            </a:ext>
          </a:extLst>
        </a:blip>
        <a:srcRect/>
        <a:stretch>
          <a:fillRect/>
        </a:stretch>
      </xdr:blipFill>
      <xdr:spPr bwMode="auto">
        <a:xfrm>
          <a:off x="1219200" y="24765000"/>
          <a:ext cx="762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3</xdr:col>
      <xdr:colOff>428625</xdr:colOff>
      <xdr:row>135</xdr:row>
      <xdr:rowOff>161925</xdr:rowOff>
    </xdr:from>
    <xdr:to>
      <xdr:col>3</xdr:col>
      <xdr:colOff>504825</xdr:colOff>
      <xdr:row>136</xdr:row>
      <xdr:rowOff>114300</xdr:rowOff>
    </xdr:to>
    <xdr:pic>
      <xdr:nvPicPr>
        <xdr:cNvPr id="21" name="Picture 20">
          <a:extLst>
            <a:ext uri="{FF2B5EF4-FFF2-40B4-BE49-F238E27FC236}">
              <a16:creationId xmlns:a16="http://schemas.microsoft.com/office/drawing/2014/main" id="{00000000-0008-0000-1600-000015000000}"/>
            </a:ext>
          </a:extLst>
        </xdr:cNvPr>
        <xdr:cNvPicPr>
          <a:picLocks noChangeAspect="1" noChangeArrowheads="1"/>
        </xdr:cNvPicPr>
      </xdr:nvPicPr>
      <xdr:blipFill>
        <a:blip xmlns:r="http://schemas.openxmlformats.org/officeDocument/2006/relationships" r:embed="rId12">
          <a:clrChange>
            <a:clrFrom>
              <a:srgbClr val="FFFFFF"/>
            </a:clrFrom>
            <a:clrTo>
              <a:srgbClr val="FFFFFF">
                <a:alpha val="0"/>
              </a:srgbClr>
            </a:clrTo>
          </a:clrChange>
          <a:extLst>
            <a:ext uri="{28A0092B-C50C-407E-A947-70E740481C1C}">
              <a14:useLocalDpi xmlns:a14="http://schemas.microsoft.com/office/drawing/2010/main" val="0"/>
            </a:ext>
          </a:extLst>
        </a:blip>
        <a:srcRect/>
        <a:stretch>
          <a:fillRect/>
        </a:stretch>
      </xdr:blipFill>
      <xdr:spPr bwMode="auto">
        <a:xfrm>
          <a:off x="2257425" y="25879425"/>
          <a:ext cx="76200" cy="1428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18.xml><?xml version="1.0" encoding="utf-8"?>
<xdr:wsDr xmlns:xdr="http://schemas.openxmlformats.org/drawingml/2006/spreadsheetDrawing" xmlns:a="http://schemas.openxmlformats.org/drawingml/2006/main">
  <xdr:twoCellAnchor editAs="oneCell">
    <xdr:from>
      <xdr:col>1</xdr:col>
      <xdr:colOff>47625</xdr:colOff>
      <xdr:row>5</xdr:row>
      <xdr:rowOff>47625</xdr:rowOff>
    </xdr:from>
    <xdr:to>
      <xdr:col>16</xdr:col>
      <xdr:colOff>433917</xdr:colOff>
      <xdr:row>32</xdr:row>
      <xdr:rowOff>161924</xdr:rowOff>
    </xdr:to>
    <xdr:pic>
      <xdr:nvPicPr>
        <xdr:cNvPr id="8" name="Picture 7" descr="climatezonesbystates.gif">
          <a:extLst>
            <a:ext uri="{FF2B5EF4-FFF2-40B4-BE49-F238E27FC236}">
              <a16:creationId xmlns:a16="http://schemas.microsoft.com/office/drawing/2014/main" id="{00000000-0008-0000-1E00-000008000000}"/>
            </a:ext>
          </a:extLst>
        </xdr:cNvPr>
        <xdr:cNvPicPr>
          <a:picLocks noChangeAspect="1"/>
        </xdr:cNvPicPr>
      </xdr:nvPicPr>
      <xdr:blipFill>
        <a:blip xmlns:r="http://schemas.openxmlformats.org/officeDocument/2006/relationships" r:embed="rId1" cstate="print"/>
        <a:stretch>
          <a:fillRect/>
        </a:stretch>
      </xdr:blipFill>
      <xdr:spPr>
        <a:xfrm>
          <a:off x="657225" y="1057275"/>
          <a:ext cx="9530292" cy="5257799"/>
        </a:xfrm>
        <a:prstGeom prst="rect">
          <a:avLst/>
        </a:prstGeom>
        <a:effectLst>
          <a:outerShdw blurRad="63500" sx="102000" sy="102000" algn="ctr" rotWithShape="0">
            <a:prstClr val="black">
              <a:alpha val="40000"/>
            </a:prstClr>
          </a:outerShdw>
        </a:effectLst>
      </xdr:spPr>
    </xdr:pic>
    <xdr:clientData/>
  </xdr:twoCellAnchor>
</xdr:wsDr>
</file>

<file path=xl/drawings/drawing19.xml><?xml version="1.0" encoding="utf-8"?>
<xdr:wsDr xmlns:xdr="http://schemas.openxmlformats.org/drawingml/2006/spreadsheetDrawing" xmlns:a="http://schemas.openxmlformats.org/drawingml/2006/main">
  <xdr:twoCellAnchor editAs="oneCell">
    <xdr:from>
      <xdr:col>2</xdr:col>
      <xdr:colOff>247650</xdr:colOff>
      <xdr:row>3</xdr:row>
      <xdr:rowOff>161925</xdr:rowOff>
    </xdr:from>
    <xdr:to>
      <xdr:col>14</xdr:col>
      <xdr:colOff>557742</xdr:colOff>
      <xdr:row>29</xdr:row>
      <xdr:rowOff>85725</xdr:rowOff>
    </xdr:to>
    <xdr:pic>
      <xdr:nvPicPr>
        <xdr:cNvPr id="3" name="Picture 2" descr="Climate Zone Map of the United States">
          <a:extLst>
            <a:ext uri="{FF2B5EF4-FFF2-40B4-BE49-F238E27FC236}">
              <a16:creationId xmlns:a16="http://schemas.microsoft.com/office/drawing/2014/main" id="{00000000-0008-0000-1F00-00000300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1466850" y="790575"/>
          <a:ext cx="7625292" cy="4876800"/>
        </a:xfrm>
        <a:prstGeom prst="rect">
          <a:avLst/>
        </a:prstGeom>
        <a:noFill/>
        <a:ln w="9525">
          <a:noFill/>
          <a:miter lim="800000"/>
          <a:headEnd/>
          <a:tailEnd/>
        </a:ln>
        <a:effectLst>
          <a:outerShdw blurRad="63500" sx="102000" sy="102000" algn="ctr" rotWithShape="0">
            <a:prstClr val="black">
              <a:alpha val="40000"/>
            </a:prstClr>
          </a:outerShdw>
        </a:effectLst>
      </xdr:spPr>
    </xdr:pic>
    <xdr:clientData/>
  </xdr:twoCellAnchor>
</xdr:wsDr>
</file>

<file path=xl/drawings/drawing20.xml><?xml version="1.0" encoding="utf-8"?>
<xdr:wsDr xmlns:xdr="http://schemas.openxmlformats.org/drawingml/2006/spreadsheetDrawing" xmlns:a="http://schemas.openxmlformats.org/drawingml/2006/main">
  <xdr:oneCellAnchor>
    <xdr:from>
      <xdr:col>0</xdr:col>
      <xdr:colOff>600073</xdr:colOff>
      <xdr:row>6</xdr:row>
      <xdr:rowOff>47622</xdr:rowOff>
    </xdr:from>
    <xdr:ext cx="6816196" cy="8256342"/>
    <xdr:pic>
      <xdr:nvPicPr>
        <xdr:cNvPr id="2" name="Picture 1">
          <a:extLst>
            <a:ext uri="{FF2B5EF4-FFF2-40B4-BE49-F238E27FC236}">
              <a16:creationId xmlns:a16="http://schemas.microsoft.com/office/drawing/2014/main" id="{00000000-0008-0000-2000-000002000000}"/>
            </a:ext>
          </a:extLst>
        </xdr:cNvPr>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t="3713" r="2167"/>
        <a:stretch/>
      </xdr:blipFill>
      <xdr:spPr bwMode="auto">
        <a:xfrm>
          <a:off x="600073" y="809622"/>
          <a:ext cx="6816196" cy="8256342"/>
        </a:xfrm>
        <a:prstGeom prst="rect">
          <a:avLst/>
        </a:prstGeom>
        <a:noFill/>
        <a:ln>
          <a:noFill/>
        </a:ln>
        <a:extLst>
          <a:ext uri="{53640926-AAD7-44D8-BBD7-CCE9431645EC}">
            <a14:shadowObscured xmlns:a14="http://schemas.microsoft.com/office/drawing/2010/main"/>
          </a:ext>
        </a:extLst>
      </xdr:spPr>
    </xdr:pic>
    <xdr:clientData/>
  </xdr:one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Users/dianasacks/Library/Containers/com.microsoft.Excel/Data/Documents/Users\Matt\Documents\working\working%2020191201.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h9"/>
    </sheetNames>
    <sheetDataSet>
      <sheetData sheetId="0" refreshError="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http://www.homeinnovation.com/FindNGBSverifier" TargetMode="External"/><Relationship Id="rId1" Type="http://schemas.openxmlformats.org/officeDocument/2006/relationships/hyperlink" Target="http://www.homeinnovation.com/greenscoring" TargetMode="External"/><Relationship Id="rId4"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2.xml"/><Relationship Id="rId1" Type="http://schemas.openxmlformats.org/officeDocument/2006/relationships/printerSettings" Target="../printerSettings/printerSettings2.bin"/><Relationship Id="rId5" Type="http://schemas.openxmlformats.org/officeDocument/2006/relationships/ctrlProp" Target="../ctrlProps/ctrlProp2.xml"/><Relationship Id="rId4" Type="http://schemas.openxmlformats.org/officeDocument/2006/relationships/ctrlProp" Target="../ctrlProps/ctrlProp1.xml"/></Relationships>
</file>

<file path=xl/worksheets/_rels/sheet4.xml.rels><?xml version="1.0" encoding="UTF-8" standalone="yes"?>
<Relationships xmlns="http://schemas.openxmlformats.org/package/2006/relationships"><Relationship Id="rId26" Type="http://schemas.openxmlformats.org/officeDocument/2006/relationships/ctrlProp" Target="../ctrlProps/ctrlProp25.xml"/><Relationship Id="rId21" Type="http://schemas.openxmlformats.org/officeDocument/2006/relationships/ctrlProp" Target="../ctrlProps/ctrlProp20.xml"/><Relationship Id="rId42" Type="http://schemas.openxmlformats.org/officeDocument/2006/relationships/ctrlProp" Target="../ctrlProps/ctrlProp41.xml"/><Relationship Id="rId47" Type="http://schemas.openxmlformats.org/officeDocument/2006/relationships/ctrlProp" Target="../ctrlProps/ctrlProp46.xml"/><Relationship Id="rId63" Type="http://schemas.openxmlformats.org/officeDocument/2006/relationships/ctrlProp" Target="../ctrlProps/ctrlProp62.xml"/><Relationship Id="rId68" Type="http://schemas.openxmlformats.org/officeDocument/2006/relationships/ctrlProp" Target="../ctrlProps/ctrlProp67.xml"/><Relationship Id="rId84" Type="http://schemas.openxmlformats.org/officeDocument/2006/relationships/ctrlProp" Target="../ctrlProps/ctrlProp83.xml"/><Relationship Id="rId16" Type="http://schemas.openxmlformats.org/officeDocument/2006/relationships/ctrlProp" Target="../ctrlProps/ctrlProp15.xml"/><Relationship Id="rId11" Type="http://schemas.openxmlformats.org/officeDocument/2006/relationships/ctrlProp" Target="../ctrlProps/ctrlProp10.xml"/><Relationship Id="rId32" Type="http://schemas.openxmlformats.org/officeDocument/2006/relationships/ctrlProp" Target="../ctrlProps/ctrlProp31.xml"/><Relationship Id="rId37" Type="http://schemas.openxmlformats.org/officeDocument/2006/relationships/ctrlProp" Target="../ctrlProps/ctrlProp36.xml"/><Relationship Id="rId53" Type="http://schemas.openxmlformats.org/officeDocument/2006/relationships/ctrlProp" Target="../ctrlProps/ctrlProp52.xml"/><Relationship Id="rId58" Type="http://schemas.openxmlformats.org/officeDocument/2006/relationships/ctrlProp" Target="../ctrlProps/ctrlProp57.xml"/><Relationship Id="rId74" Type="http://schemas.openxmlformats.org/officeDocument/2006/relationships/ctrlProp" Target="../ctrlProps/ctrlProp73.xml"/><Relationship Id="rId79" Type="http://schemas.openxmlformats.org/officeDocument/2006/relationships/ctrlProp" Target="../ctrlProps/ctrlProp78.xml"/><Relationship Id="rId5" Type="http://schemas.openxmlformats.org/officeDocument/2006/relationships/ctrlProp" Target="../ctrlProps/ctrlProp4.xml"/><Relationship Id="rId19" Type="http://schemas.openxmlformats.org/officeDocument/2006/relationships/ctrlProp" Target="../ctrlProps/ctrlProp18.xml"/><Relationship Id="rId14" Type="http://schemas.openxmlformats.org/officeDocument/2006/relationships/ctrlProp" Target="../ctrlProps/ctrlProp13.xml"/><Relationship Id="rId22" Type="http://schemas.openxmlformats.org/officeDocument/2006/relationships/ctrlProp" Target="../ctrlProps/ctrlProp21.xml"/><Relationship Id="rId27" Type="http://schemas.openxmlformats.org/officeDocument/2006/relationships/ctrlProp" Target="../ctrlProps/ctrlProp26.xml"/><Relationship Id="rId30" Type="http://schemas.openxmlformats.org/officeDocument/2006/relationships/ctrlProp" Target="../ctrlProps/ctrlProp29.xml"/><Relationship Id="rId35" Type="http://schemas.openxmlformats.org/officeDocument/2006/relationships/ctrlProp" Target="../ctrlProps/ctrlProp34.xml"/><Relationship Id="rId43" Type="http://schemas.openxmlformats.org/officeDocument/2006/relationships/ctrlProp" Target="../ctrlProps/ctrlProp42.xml"/><Relationship Id="rId48" Type="http://schemas.openxmlformats.org/officeDocument/2006/relationships/ctrlProp" Target="../ctrlProps/ctrlProp47.xml"/><Relationship Id="rId56" Type="http://schemas.openxmlformats.org/officeDocument/2006/relationships/ctrlProp" Target="../ctrlProps/ctrlProp55.xml"/><Relationship Id="rId64" Type="http://schemas.openxmlformats.org/officeDocument/2006/relationships/ctrlProp" Target="../ctrlProps/ctrlProp63.xml"/><Relationship Id="rId69" Type="http://schemas.openxmlformats.org/officeDocument/2006/relationships/ctrlProp" Target="../ctrlProps/ctrlProp68.xml"/><Relationship Id="rId77" Type="http://schemas.openxmlformats.org/officeDocument/2006/relationships/ctrlProp" Target="../ctrlProps/ctrlProp76.xml"/><Relationship Id="rId8" Type="http://schemas.openxmlformats.org/officeDocument/2006/relationships/ctrlProp" Target="../ctrlProps/ctrlProp7.xml"/><Relationship Id="rId51" Type="http://schemas.openxmlformats.org/officeDocument/2006/relationships/ctrlProp" Target="../ctrlProps/ctrlProp50.xml"/><Relationship Id="rId72" Type="http://schemas.openxmlformats.org/officeDocument/2006/relationships/ctrlProp" Target="../ctrlProps/ctrlProp71.xml"/><Relationship Id="rId80" Type="http://schemas.openxmlformats.org/officeDocument/2006/relationships/ctrlProp" Target="../ctrlProps/ctrlProp79.xml"/><Relationship Id="rId85" Type="http://schemas.openxmlformats.org/officeDocument/2006/relationships/ctrlProp" Target="../ctrlProps/ctrlProp84.xml"/><Relationship Id="rId3" Type="http://schemas.openxmlformats.org/officeDocument/2006/relationships/vmlDrawing" Target="../drawings/vmlDrawing2.vml"/><Relationship Id="rId12" Type="http://schemas.openxmlformats.org/officeDocument/2006/relationships/ctrlProp" Target="../ctrlProps/ctrlProp11.xml"/><Relationship Id="rId17" Type="http://schemas.openxmlformats.org/officeDocument/2006/relationships/ctrlProp" Target="../ctrlProps/ctrlProp16.xml"/><Relationship Id="rId25" Type="http://schemas.openxmlformats.org/officeDocument/2006/relationships/ctrlProp" Target="../ctrlProps/ctrlProp24.xml"/><Relationship Id="rId33" Type="http://schemas.openxmlformats.org/officeDocument/2006/relationships/ctrlProp" Target="../ctrlProps/ctrlProp32.xml"/><Relationship Id="rId38" Type="http://schemas.openxmlformats.org/officeDocument/2006/relationships/ctrlProp" Target="../ctrlProps/ctrlProp37.xml"/><Relationship Id="rId46" Type="http://schemas.openxmlformats.org/officeDocument/2006/relationships/ctrlProp" Target="../ctrlProps/ctrlProp45.xml"/><Relationship Id="rId59" Type="http://schemas.openxmlformats.org/officeDocument/2006/relationships/ctrlProp" Target="../ctrlProps/ctrlProp58.xml"/><Relationship Id="rId67" Type="http://schemas.openxmlformats.org/officeDocument/2006/relationships/ctrlProp" Target="../ctrlProps/ctrlProp66.xml"/><Relationship Id="rId20" Type="http://schemas.openxmlformats.org/officeDocument/2006/relationships/ctrlProp" Target="../ctrlProps/ctrlProp19.xml"/><Relationship Id="rId41" Type="http://schemas.openxmlformats.org/officeDocument/2006/relationships/ctrlProp" Target="../ctrlProps/ctrlProp40.xml"/><Relationship Id="rId54" Type="http://schemas.openxmlformats.org/officeDocument/2006/relationships/ctrlProp" Target="../ctrlProps/ctrlProp53.xml"/><Relationship Id="rId62" Type="http://schemas.openxmlformats.org/officeDocument/2006/relationships/ctrlProp" Target="../ctrlProps/ctrlProp61.xml"/><Relationship Id="rId70" Type="http://schemas.openxmlformats.org/officeDocument/2006/relationships/ctrlProp" Target="../ctrlProps/ctrlProp69.xml"/><Relationship Id="rId75" Type="http://schemas.openxmlformats.org/officeDocument/2006/relationships/ctrlProp" Target="../ctrlProps/ctrlProp74.xml"/><Relationship Id="rId83" Type="http://schemas.openxmlformats.org/officeDocument/2006/relationships/ctrlProp" Target="../ctrlProps/ctrlProp82.xml"/><Relationship Id="rId1" Type="http://schemas.openxmlformats.org/officeDocument/2006/relationships/printerSettings" Target="../printerSettings/printerSettings3.bin"/><Relationship Id="rId6" Type="http://schemas.openxmlformats.org/officeDocument/2006/relationships/ctrlProp" Target="../ctrlProps/ctrlProp5.xml"/><Relationship Id="rId15" Type="http://schemas.openxmlformats.org/officeDocument/2006/relationships/ctrlProp" Target="../ctrlProps/ctrlProp14.xml"/><Relationship Id="rId23" Type="http://schemas.openxmlformats.org/officeDocument/2006/relationships/ctrlProp" Target="../ctrlProps/ctrlProp22.xml"/><Relationship Id="rId28" Type="http://schemas.openxmlformats.org/officeDocument/2006/relationships/ctrlProp" Target="../ctrlProps/ctrlProp27.xml"/><Relationship Id="rId36" Type="http://schemas.openxmlformats.org/officeDocument/2006/relationships/ctrlProp" Target="../ctrlProps/ctrlProp35.xml"/><Relationship Id="rId49" Type="http://schemas.openxmlformats.org/officeDocument/2006/relationships/ctrlProp" Target="../ctrlProps/ctrlProp48.xml"/><Relationship Id="rId57" Type="http://schemas.openxmlformats.org/officeDocument/2006/relationships/ctrlProp" Target="../ctrlProps/ctrlProp56.xml"/><Relationship Id="rId10" Type="http://schemas.openxmlformats.org/officeDocument/2006/relationships/ctrlProp" Target="../ctrlProps/ctrlProp9.xml"/><Relationship Id="rId31" Type="http://schemas.openxmlformats.org/officeDocument/2006/relationships/ctrlProp" Target="../ctrlProps/ctrlProp30.xml"/><Relationship Id="rId44" Type="http://schemas.openxmlformats.org/officeDocument/2006/relationships/ctrlProp" Target="../ctrlProps/ctrlProp43.xml"/><Relationship Id="rId52" Type="http://schemas.openxmlformats.org/officeDocument/2006/relationships/ctrlProp" Target="../ctrlProps/ctrlProp51.xml"/><Relationship Id="rId60" Type="http://schemas.openxmlformats.org/officeDocument/2006/relationships/ctrlProp" Target="../ctrlProps/ctrlProp59.xml"/><Relationship Id="rId65" Type="http://schemas.openxmlformats.org/officeDocument/2006/relationships/ctrlProp" Target="../ctrlProps/ctrlProp64.xml"/><Relationship Id="rId73" Type="http://schemas.openxmlformats.org/officeDocument/2006/relationships/ctrlProp" Target="../ctrlProps/ctrlProp72.xml"/><Relationship Id="rId78" Type="http://schemas.openxmlformats.org/officeDocument/2006/relationships/ctrlProp" Target="../ctrlProps/ctrlProp77.xml"/><Relationship Id="rId81" Type="http://schemas.openxmlformats.org/officeDocument/2006/relationships/ctrlProp" Target="../ctrlProps/ctrlProp80.xml"/><Relationship Id="rId4" Type="http://schemas.openxmlformats.org/officeDocument/2006/relationships/ctrlProp" Target="../ctrlProps/ctrlProp3.xml"/><Relationship Id="rId9" Type="http://schemas.openxmlformats.org/officeDocument/2006/relationships/ctrlProp" Target="../ctrlProps/ctrlProp8.xml"/><Relationship Id="rId13" Type="http://schemas.openxmlformats.org/officeDocument/2006/relationships/ctrlProp" Target="../ctrlProps/ctrlProp12.xml"/><Relationship Id="rId18" Type="http://schemas.openxmlformats.org/officeDocument/2006/relationships/ctrlProp" Target="../ctrlProps/ctrlProp17.xml"/><Relationship Id="rId39" Type="http://schemas.openxmlformats.org/officeDocument/2006/relationships/ctrlProp" Target="../ctrlProps/ctrlProp38.xml"/><Relationship Id="rId34" Type="http://schemas.openxmlformats.org/officeDocument/2006/relationships/ctrlProp" Target="../ctrlProps/ctrlProp33.xml"/><Relationship Id="rId50" Type="http://schemas.openxmlformats.org/officeDocument/2006/relationships/ctrlProp" Target="../ctrlProps/ctrlProp49.xml"/><Relationship Id="rId55" Type="http://schemas.openxmlformats.org/officeDocument/2006/relationships/ctrlProp" Target="../ctrlProps/ctrlProp54.xml"/><Relationship Id="rId76" Type="http://schemas.openxmlformats.org/officeDocument/2006/relationships/ctrlProp" Target="../ctrlProps/ctrlProp75.xml"/><Relationship Id="rId7" Type="http://schemas.openxmlformats.org/officeDocument/2006/relationships/ctrlProp" Target="../ctrlProps/ctrlProp6.xml"/><Relationship Id="rId71" Type="http://schemas.openxmlformats.org/officeDocument/2006/relationships/ctrlProp" Target="../ctrlProps/ctrlProp70.xml"/><Relationship Id="rId2" Type="http://schemas.openxmlformats.org/officeDocument/2006/relationships/drawing" Target="../drawings/drawing3.xml"/><Relationship Id="rId29" Type="http://schemas.openxmlformats.org/officeDocument/2006/relationships/ctrlProp" Target="../ctrlProps/ctrlProp28.xml"/><Relationship Id="rId24" Type="http://schemas.openxmlformats.org/officeDocument/2006/relationships/ctrlProp" Target="../ctrlProps/ctrlProp23.xml"/><Relationship Id="rId40" Type="http://schemas.openxmlformats.org/officeDocument/2006/relationships/ctrlProp" Target="../ctrlProps/ctrlProp39.xml"/><Relationship Id="rId45" Type="http://schemas.openxmlformats.org/officeDocument/2006/relationships/ctrlProp" Target="../ctrlProps/ctrlProp44.xml"/><Relationship Id="rId66" Type="http://schemas.openxmlformats.org/officeDocument/2006/relationships/ctrlProp" Target="../ctrlProps/ctrlProp65.xml"/><Relationship Id="rId61" Type="http://schemas.openxmlformats.org/officeDocument/2006/relationships/ctrlProp" Target="../ctrlProps/ctrlProp60.xml"/><Relationship Id="rId82" Type="http://schemas.openxmlformats.org/officeDocument/2006/relationships/ctrlProp" Target="../ctrlProps/ctrlProp81.xml"/></Relationships>
</file>

<file path=xl/worksheets/_rels/sheet5.xml.rels><?xml version="1.0" encoding="UTF-8" standalone="yes"?>
<Relationships xmlns="http://schemas.openxmlformats.org/package/2006/relationships"><Relationship Id="rId26" Type="http://schemas.openxmlformats.org/officeDocument/2006/relationships/ctrlProp" Target="../ctrlProps/ctrlProp107.xml"/><Relationship Id="rId21" Type="http://schemas.openxmlformats.org/officeDocument/2006/relationships/ctrlProp" Target="../ctrlProps/ctrlProp102.xml"/><Relationship Id="rId42" Type="http://schemas.openxmlformats.org/officeDocument/2006/relationships/ctrlProp" Target="../ctrlProps/ctrlProp123.xml"/><Relationship Id="rId47" Type="http://schemas.openxmlformats.org/officeDocument/2006/relationships/ctrlProp" Target="../ctrlProps/ctrlProp128.xml"/><Relationship Id="rId63" Type="http://schemas.openxmlformats.org/officeDocument/2006/relationships/ctrlProp" Target="../ctrlProps/ctrlProp144.xml"/><Relationship Id="rId68" Type="http://schemas.openxmlformats.org/officeDocument/2006/relationships/ctrlProp" Target="../ctrlProps/ctrlProp149.xml"/><Relationship Id="rId16" Type="http://schemas.openxmlformats.org/officeDocument/2006/relationships/ctrlProp" Target="../ctrlProps/ctrlProp97.xml"/><Relationship Id="rId11" Type="http://schemas.openxmlformats.org/officeDocument/2006/relationships/ctrlProp" Target="../ctrlProps/ctrlProp92.xml"/><Relationship Id="rId32" Type="http://schemas.openxmlformats.org/officeDocument/2006/relationships/ctrlProp" Target="../ctrlProps/ctrlProp113.xml"/><Relationship Id="rId37" Type="http://schemas.openxmlformats.org/officeDocument/2006/relationships/ctrlProp" Target="../ctrlProps/ctrlProp118.xml"/><Relationship Id="rId53" Type="http://schemas.openxmlformats.org/officeDocument/2006/relationships/ctrlProp" Target="../ctrlProps/ctrlProp134.xml"/><Relationship Id="rId58" Type="http://schemas.openxmlformats.org/officeDocument/2006/relationships/ctrlProp" Target="../ctrlProps/ctrlProp139.xml"/><Relationship Id="rId74" Type="http://schemas.openxmlformats.org/officeDocument/2006/relationships/ctrlProp" Target="../ctrlProps/ctrlProp155.xml"/><Relationship Id="rId79" Type="http://schemas.openxmlformats.org/officeDocument/2006/relationships/ctrlProp" Target="../ctrlProps/ctrlProp160.xml"/><Relationship Id="rId5" Type="http://schemas.openxmlformats.org/officeDocument/2006/relationships/ctrlProp" Target="../ctrlProps/ctrlProp86.xml"/><Relationship Id="rId61" Type="http://schemas.openxmlformats.org/officeDocument/2006/relationships/ctrlProp" Target="../ctrlProps/ctrlProp142.xml"/><Relationship Id="rId82" Type="http://schemas.openxmlformats.org/officeDocument/2006/relationships/ctrlProp" Target="../ctrlProps/ctrlProp163.xml"/><Relationship Id="rId19" Type="http://schemas.openxmlformats.org/officeDocument/2006/relationships/ctrlProp" Target="../ctrlProps/ctrlProp100.xml"/><Relationship Id="rId14" Type="http://schemas.openxmlformats.org/officeDocument/2006/relationships/ctrlProp" Target="../ctrlProps/ctrlProp95.xml"/><Relationship Id="rId22" Type="http://schemas.openxmlformats.org/officeDocument/2006/relationships/ctrlProp" Target="../ctrlProps/ctrlProp103.xml"/><Relationship Id="rId27" Type="http://schemas.openxmlformats.org/officeDocument/2006/relationships/ctrlProp" Target="../ctrlProps/ctrlProp108.xml"/><Relationship Id="rId30" Type="http://schemas.openxmlformats.org/officeDocument/2006/relationships/ctrlProp" Target="../ctrlProps/ctrlProp111.xml"/><Relationship Id="rId35" Type="http://schemas.openxmlformats.org/officeDocument/2006/relationships/ctrlProp" Target="../ctrlProps/ctrlProp116.xml"/><Relationship Id="rId43" Type="http://schemas.openxmlformats.org/officeDocument/2006/relationships/ctrlProp" Target="../ctrlProps/ctrlProp124.xml"/><Relationship Id="rId48" Type="http://schemas.openxmlformats.org/officeDocument/2006/relationships/ctrlProp" Target="../ctrlProps/ctrlProp129.xml"/><Relationship Id="rId56" Type="http://schemas.openxmlformats.org/officeDocument/2006/relationships/ctrlProp" Target="../ctrlProps/ctrlProp137.xml"/><Relationship Id="rId64" Type="http://schemas.openxmlformats.org/officeDocument/2006/relationships/ctrlProp" Target="../ctrlProps/ctrlProp145.xml"/><Relationship Id="rId69" Type="http://schemas.openxmlformats.org/officeDocument/2006/relationships/ctrlProp" Target="../ctrlProps/ctrlProp150.xml"/><Relationship Id="rId77" Type="http://schemas.openxmlformats.org/officeDocument/2006/relationships/ctrlProp" Target="../ctrlProps/ctrlProp158.xml"/><Relationship Id="rId8" Type="http://schemas.openxmlformats.org/officeDocument/2006/relationships/ctrlProp" Target="../ctrlProps/ctrlProp89.xml"/><Relationship Id="rId51" Type="http://schemas.openxmlformats.org/officeDocument/2006/relationships/ctrlProp" Target="../ctrlProps/ctrlProp132.xml"/><Relationship Id="rId72" Type="http://schemas.openxmlformats.org/officeDocument/2006/relationships/ctrlProp" Target="../ctrlProps/ctrlProp153.xml"/><Relationship Id="rId80" Type="http://schemas.openxmlformats.org/officeDocument/2006/relationships/ctrlProp" Target="../ctrlProps/ctrlProp161.xml"/><Relationship Id="rId3" Type="http://schemas.openxmlformats.org/officeDocument/2006/relationships/vmlDrawing" Target="../drawings/vmlDrawing3.vml"/><Relationship Id="rId12" Type="http://schemas.openxmlformats.org/officeDocument/2006/relationships/ctrlProp" Target="../ctrlProps/ctrlProp93.xml"/><Relationship Id="rId17" Type="http://schemas.openxmlformats.org/officeDocument/2006/relationships/ctrlProp" Target="../ctrlProps/ctrlProp98.xml"/><Relationship Id="rId25" Type="http://schemas.openxmlformats.org/officeDocument/2006/relationships/ctrlProp" Target="../ctrlProps/ctrlProp106.xml"/><Relationship Id="rId33" Type="http://schemas.openxmlformats.org/officeDocument/2006/relationships/ctrlProp" Target="../ctrlProps/ctrlProp114.xml"/><Relationship Id="rId38" Type="http://schemas.openxmlformats.org/officeDocument/2006/relationships/ctrlProp" Target="../ctrlProps/ctrlProp119.xml"/><Relationship Id="rId46" Type="http://schemas.openxmlformats.org/officeDocument/2006/relationships/ctrlProp" Target="../ctrlProps/ctrlProp127.xml"/><Relationship Id="rId59" Type="http://schemas.openxmlformats.org/officeDocument/2006/relationships/ctrlProp" Target="../ctrlProps/ctrlProp140.xml"/><Relationship Id="rId67" Type="http://schemas.openxmlformats.org/officeDocument/2006/relationships/ctrlProp" Target="../ctrlProps/ctrlProp148.xml"/><Relationship Id="rId20" Type="http://schemas.openxmlformats.org/officeDocument/2006/relationships/ctrlProp" Target="../ctrlProps/ctrlProp101.xml"/><Relationship Id="rId41" Type="http://schemas.openxmlformats.org/officeDocument/2006/relationships/ctrlProp" Target="../ctrlProps/ctrlProp122.xml"/><Relationship Id="rId54" Type="http://schemas.openxmlformats.org/officeDocument/2006/relationships/ctrlProp" Target="../ctrlProps/ctrlProp135.xml"/><Relationship Id="rId62" Type="http://schemas.openxmlformats.org/officeDocument/2006/relationships/ctrlProp" Target="../ctrlProps/ctrlProp143.xml"/><Relationship Id="rId70" Type="http://schemas.openxmlformats.org/officeDocument/2006/relationships/ctrlProp" Target="../ctrlProps/ctrlProp151.xml"/><Relationship Id="rId75" Type="http://schemas.openxmlformats.org/officeDocument/2006/relationships/ctrlProp" Target="../ctrlProps/ctrlProp156.xml"/><Relationship Id="rId1" Type="http://schemas.openxmlformats.org/officeDocument/2006/relationships/printerSettings" Target="../printerSettings/printerSettings4.bin"/><Relationship Id="rId6" Type="http://schemas.openxmlformats.org/officeDocument/2006/relationships/ctrlProp" Target="../ctrlProps/ctrlProp87.xml"/><Relationship Id="rId15" Type="http://schemas.openxmlformats.org/officeDocument/2006/relationships/ctrlProp" Target="../ctrlProps/ctrlProp96.xml"/><Relationship Id="rId23" Type="http://schemas.openxmlformats.org/officeDocument/2006/relationships/ctrlProp" Target="../ctrlProps/ctrlProp104.xml"/><Relationship Id="rId28" Type="http://schemas.openxmlformats.org/officeDocument/2006/relationships/ctrlProp" Target="../ctrlProps/ctrlProp109.xml"/><Relationship Id="rId36" Type="http://schemas.openxmlformats.org/officeDocument/2006/relationships/ctrlProp" Target="../ctrlProps/ctrlProp117.xml"/><Relationship Id="rId49" Type="http://schemas.openxmlformats.org/officeDocument/2006/relationships/ctrlProp" Target="../ctrlProps/ctrlProp130.xml"/><Relationship Id="rId57" Type="http://schemas.openxmlformats.org/officeDocument/2006/relationships/ctrlProp" Target="../ctrlProps/ctrlProp138.xml"/><Relationship Id="rId10" Type="http://schemas.openxmlformats.org/officeDocument/2006/relationships/ctrlProp" Target="../ctrlProps/ctrlProp91.xml"/><Relationship Id="rId31" Type="http://schemas.openxmlformats.org/officeDocument/2006/relationships/ctrlProp" Target="../ctrlProps/ctrlProp112.xml"/><Relationship Id="rId44" Type="http://schemas.openxmlformats.org/officeDocument/2006/relationships/ctrlProp" Target="../ctrlProps/ctrlProp125.xml"/><Relationship Id="rId52" Type="http://schemas.openxmlformats.org/officeDocument/2006/relationships/ctrlProp" Target="../ctrlProps/ctrlProp133.xml"/><Relationship Id="rId60" Type="http://schemas.openxmlformats.org/officeDocument/2006/relationships/ctrlProp" Target="../ctrlProps/ctrlProp141.xml"/><Relationship Id="rId65" Type="http://schemas.openxmlformats.org/officeDocument/2006/relationships/ctrlProp" Target="../ctrlProps/ctrlProp146.xml"/><Relationship Id="rId73" Type="http://schemas.openxmlformats.org/officeDocument/2006/relationships/ctrlProp" Target="../ctrlProps/ctrlProp154.xml"/><Relationship Id="rId78" Type="http://schemas.openxmlformats.org/officeDocument/2006/relationships/ctrlProp" Target="../ctrlProps/ctrlProp159.xml"/><Relationship Id="rId81" Type="http://schemas.openxmlformats.org/officeDocument/2006/relationships/ctrlProp" Target="../ctrlProps/ctrlProp162.xml"/><Relationship Id="rId4" Type="http://schemas.openxmlformats.org/officeDocument/2006/relationships/ctrlProp" Target="../ctrlProps/ctrlProp85.xml"/><Relationship Id="rId9" Type="http://schemas.openxmlformats.org/officeDocument/2006/relationships/ctrlProp" Target="../ctrlProps/ctrlProp90.xml"/><Relationship Id="rId13" Type="http://schemas.openxmlformats.org/officeDocument/2006/relationships/ctrlProp" Target="../ctrlProps/ctrlProp94.xml"/><Relationship Id="rId18" Type="http://schemas.openxmlformats.org/officeDocument/2006/relationships/ctrlProp" Target="../ctrlProps/ctrlProp99.xml"/><Relationship Id="rId39" Type="http://schemas.openxmlformats.org/officeDocument/2006/relationships/ctrlProp" Target="../ctrlProps/ctrlProp120.xml"/><Relationship Id="rId34" Type="http://schemas.openxmlformats.org/officeDocument/2006/relationships/ctrlProp" Target="../ctrlProps/ctrlProp115.xml"/><Relationship Id="rId50" Type="http://schemas.openxmlformats.org/officeDocument/2006/relationships/ctrlProp" Target="../ctrlProps/ctrlProp131.xml"/><Relationship Id="rId55" Type="http://schemas.openxmlformats.org/officeDocument/2006/relationships/ctrlProp" Target="../ctrlProps/ctrlProp136.xml"/><Relationship Id="rId76" Type="http://schemas.openxmlformats.org/officeDocument/2006/relationships/ctrlProp" Target="../ctrlProps/ctrlProp157.xml"/><Relationship Id="rId7" Type="http://schemas.openxmlformats.org/officeDocument/2006/relationships/ctrlProp" Target="../ctrlProps/ctrlProp88.xml"/><Relationship Id="rId71" Type="http://schemas.openxmlformats.org/officeDocument/2006/relationships/ctrlProp" Target="../ctrlProps/ctrlProp152.xml"/><Relationship Id="rId2" Type="http://schemas.openxmlformats.org/officeDocument/2006/relationships/drawing" Target="../drawings/drawing4.xml"/><Relationship Id="rId29" Type="http://schemas.openxmlformats.org/officeDocument/2006/relationships/ctrlProp" Target="../ctrlProps/ctrlProp110.xml"/><Relationship Id="rId24" Type="http://schemas.openxmlformats.org/officeDocument/2006/relationships/ctrlProp" Target="../ctrlProps/ctrlProp105.xml"/><Relationship Id="rId40" Type="http://schemas.openxmlformats.org/officeDocument/2006/relationships/ctrlProp" Target="../ctrlProps/ctrlProp121.xml"/><Relationship Id="rId45" Type="http://schemas.openxmlformats.org/officeDocument/2006/relationships/ctrlProp" Target="../ctrlProps/ctrlProp126.xml"/><Relationship Id="rId66" Type="http://schemas.openxmlformats.org/officeDocument/2006/relationships/ctrlProp" Target="../ctrlProps/ctrlProp147.xml"/></Relationships>
</file>

<file path=xl/worksheets/_rels/sheet6.xml.rels><?xml version="1.0" encoding="UTF-8" standalone="yes"?>
<Relationships xmlns="http://schemas.openxmlformats.org/package/2006/relationships"><Relationship Id="rId26" Type="http://schemas.openxmlformats.org/officeDocument/2006/relationships/ctrlProp" Target="../ctrlProps/ctrlProp186.xml"/><Relationship Id="rId21" Type="http://schemas.openxmlformats.org/officeDocument/2006/relationships/ctrlProp" Target="../ctrlProps/ctrlProp181.xml"/><Relationship Id="rId42" Type="http://schemas.openxmlformats.org/officeDocument/2006/relationships/ctrlProp" Target="../ctrlProps/ctrlProp202.xml"/><Relationship Id="rId47" Type="http://schemas.openxmlformats.org/officeDocument/2006/relationships/ctrlProp" Target="../ctrlProps/ctrlProp207.xml"/><Relationship Id="rId63" Type="http://schemas.openxmlformats.org/officeDocument/2006/relationships/ctrlProp" Target="../ctrlProps/ctrlProp223.xml"/><Relationship Id="rId68" Type="http://schemas.openxmlformats.org/officeDocument/2006/relationships/ctrlProp" Target="../ctrlProps/ctrlProp228.xml"/><Relationship Id="rId84" Type="http://schemas.openxmlformats.org/officeDocument/2006/relationships/ctrlProp" Target="../ctrlProps/ctrlProp244.xml"/><Relationship Id="rId89" Type="http://schemas.openxmlformats.org/officeDocument/2006/relationships/ctrlProp" Target="../ctrlProps/ctrlProp249.xml"/><Relationship Id="rId16" Type="http://schemas.openxmlformats.org/officeDocument/2006/relationships/ctrlProp" Target="../ctrlProps/ctrlProp176.xml"/><Relationship Id="rId11" Type="http://schemas.openxmlformats.org/officeDocument/2006/relationships/ctrlProp" Target="../ctrlProps/ctrlProp171.xml"/><Relationship Id="rId32" Type="http://schemas.openxmlformats.org/officeDocument/2006/relationships/ctrlProp" Target="../ctrlProps/ctrlProp192.xml"/><Relationship Id="rId37" Type="http://schemas.openxmlformats.org/officeDocument/2006/relationships/ctrlProp" Target="../ctrlProps/ctrlProp197.xml"/><Relationship Id="rId53" Type="http://schemas.openxmlformats.org/officeDocument/2006/relationships/ctrlProp" Target="../ctrlProps/ctrlProp213.xml"/><Relationship Id="rId58" Type="http://schemas.openxmlformats.org/officeDocument/2006/relationships/ctrlProp" Target="../ctrlProps/ctrlProp218.xml"/><Relationship Id="rId74" Type="http://schemas.openxmlformats.org/officeDocument/2006/relationships/ctrlProp" Target="../ctrlProps/ctrlProp234.xml"/><Relationship Id="rId79" Type="http://schemas.openxmlformats.org/officeDocument/2006/relationships/ctrlProp" Target="../ctrlProps/ctrlProp239.xml"/><Relationship Id="rId5" Type="http://schemas.openxmlformats.org/officeDocument/2006/relationships/ctrlProp" Target="../ctrlProps/ctrlProp165.xml"/><Relationship Id="rId90" Type="http://schemas.openxmlformats.org/officeDocument/2006/relationships/ctrlProp" Target="../ctrlProps/ctrlProp250.xml"/><Relationship Id="rId95" Type="http://schemas.openxmlformats.org/officeDocument/2006/relationships/ctrlProp" Target="../ctrlProps/ctrlProp255.xml"/><Relationship Id="rId22" Type="http://schemas.openxmlformats.org/officeDocument/2006/relationships/ctrlProp" Target="../ctrlProps/ctrlProp182.xml"/><Relationship Id="rId27" Type="http://schemas.openxmlformats.org/officeDocument/2006/relationships/ctrlProp" Target="../ctrlProps/ctrlProp187.xml"/><Relationship Id="rId43" Type="http://schemas.openxmlformats.org/officeDocument/2006/relationships/ctrlProp" Target="../ctrlProps/ctrlProp203.xml"/><Relationship Id="rId48" Type="http://schemas.openxmlformats.org/officeDocument/2006/relationships/ctrlProp" Target="../ctrlProps/ctrlProp208.xml"/><Relationship Id="rId64" Type="http://schemas.openxmlformats.org/officeDocument/2006/relationships/ctrlProp" Target="../ctrlProps/ctrlProp224.xml"/><Relationship Id="rId69" Type="http://schemas.openxmlformats.org/officeDocument/2006/relationships/ctrlProp" Target="../ctrlProps/ctrlProp229.xml"/><Relationship Id="rId8" Type="http://schemas.openxmlformats.org/officeDocument/2006/relationships/ctrlProp" Target="../ctrlProps/ctrlProp168.xml"/><Relationship Id="rId51" Type="http://schemas.openxmlformats.org/officeDocument/2006/relationships/ctrlProp" Target="../ctrlProps/ctrlProp211.xml"/><Relationship Id="rId72" Type="http://schemas.openxmlformats.org/officeDocument/2006/relationships/ctrlProp" Target="../ctrlProps/ctrlProp232.xml"/><Relationship Id="rId80" Type="http://schemas.openxmlformats.org/officeDocument/2006/relationships/ctrlProp" Target="../ctrlProps/ctrlProp240.xml"/><Relationship Id="rId85" Type="http://schemas.openxmlformats.org/officeDocument/2006/relationships/ctrlProp" Target="../ctrlProps/ctrlProp245.xml"/><Relationship Id="rId93" Type="http://schemas.openxmlformats.org/officeDocument/2006/relationships/ctrlProp" Target="../ctrlProps/ctrlProp253.xml"/><Relationship Id="rId3" Type="http://schemas.openxmlformats.org/officeDocument/2006/relationships/vmlDrawing" Target="../drawings/vmlDrawing4.vml"/><Relationship Id="rId12" Type="http://schemas.openxmlformats.org/officeDocument/2006/relationships/ctrlProp" Target="../ctrlProps/ctrlProp172.xml"/><Relationship Id="rId17" Type="http://schemas.openxmlformats.org/officeDocument/2006/relationships/ctrlProp" Target="../ctrlProps/ctrlProp177.xml"/><Relationship Id="rId25" Type="http://schemas.openxmlformats.org/officeDocument/2006/relationships/ctrlProp" Target="../ctrlProps/ctrlProp185.xml"/><Relationship Id="rId33" Type="http://schemas.openxmlformats.org/officeDocument/2006/relationships/ctrlProp" Target="../ctrlProps/ctrlProp193.xml"/><Relationship Id="rId38" Type="http://schemas.openxmlformats.org/officeDocument/2006/relationships/ctrlProp" Target="../ctrlProps/ctrlProp198.xml"/><Relationship Id="rId46" Type="http://schemas.openxmlformats.org/officeDocument/2006/relationships/ctrlProp" Target="../ctrlProps/ctrlProp206.xml"/><Relationship Id="rId59" Type="http://schemas.openxmlformats.org/officeDocument/2006/relationships/ctrlProp" Target="../ctrlProps/ctrlProp219.xml"/><Relationship Id="rId67" Type="http://schemas.openxmlformats.org/officeDocument/2006/relationships/ctrlProp" Target="../ctrlProps/ctrlProp227.xml"/><Relationship Id="rId20" Type="http://schemas.openxmlformats.org/officeDocument/2006/relationships/ctrlProp" Target="../ctrlProps/ctrlProp180.xml"/><Relationship Id="rId41" Type="http://schemas.openxmlformats.org/officeDocument/2006/relationships/ctrlProp" Target="../ctrlProps/ctrlProp201.xml"/><Relationship Id="rId54" Type="http://schemas.openxmlformats.org/officeDocument/2006/relationships/ctrlProp" Target="../ctrlProps/ctrlProp214.xml"/><Relationship Id="rId62" Type="http://schemas.openxmlformats.org/officeDocument/2006/relationships/ctrlProp" Target="../ctrlProps/ctrlProp222.xml"/><Relationship Id="rId70" Type="http://schemas.openxmlformats.org/officeDocument/2006/relationships/ctrlProp" Target="../ctrlProps/ctrlProp230.xml"/><Relationship Id="rId75" Type="http://schemas.openxmlformats.org/officeDocument/2006/relationships/ctrlProp" Target="../ctrlProps/ctrlProp235.xml"/><Relationship Id="rId83" Type="http://schemas.openxmlformats.org/officeDocument/2006/relationships/ctrlProp" Target="../ctrlProps/ctrlProp243.xml"/><Relationship Id="rId88" Type="http://schemas.openxmlformats.org/officeDocument/2006/relationships/ctrlProp" Target="../ctrlProps/ctrlProp248.xml"/><Relationship Id="rId91" Type="http://schemas.openxmlformats.org/officeDocument/2006/relationships/ctrlProp" Target="../ctrlProps/ctrlProp251.xml"/><Relationship Id="rId96" Type="http://schemas.openxmlformats.org/officeDocument/2006/relationships/ctrlProp" Target="../ctrlProps/ctrlProp256.xml"/><Relationship Id="rId1" Type="http://schemas.openxmlformats.org/officeDocument/2006/relationships/printerSettings" Target="../printerSettings/printerSettings5.bin"/><Relationship Id="rId6" Type="http://schemas.openxmlformats.org/officeDocument/2006/relationships/ctrlProp" Target="../ctrlProps/ctrlProp166.xml"/><Relationship Id="rId15" Type="http://schemas.openxmlformats.org/officeDocument/2006/relationships/ctrlProp" Target="../ctrlProps/ctrlProp175.xml"/><Relationship Id="rId23" Type="http://schemas.openxmlformats.org/officeDocument/2006/relationships/ctrlProp" Target="../ctrlProps/ctrlProp183.xml"/><Relationship Id="rId28" Type="http://schemas.openxmlformats.org/officeDocument/2006/relationships/ctrlProp" Target="../ctrlProps/ctrlProp188.xml"/><Relationship Id="rId36" Type="http://schemas.openxmlformats.org/officeDocument/2006/relationships/ctrlProp" Target="../ctrlProps/ctrlProp196.xml"/><Relationship Id="rId49" Type="http://schemas.openxmlformats.org/officeDocument/2006/relationships/ctrlProp" Target="../ctrlProps/ctrlProp209.xml"/><Relationship Id="rId57" Type="http://schemas.openxmlformats.org/officeDocument/2006/relationships/ctrlProp" Target="../ctrlProps/ctrlProp217.xml"/><Relationship Id="rId10" Type="http://schemas.openxmlformats.org/officeDocument/2006/relationships/ctrlProp" Target="../ctrlProps/ctrlProp170.xml"/><Relationship Id="rId31" Type="http://schemas.openxmlformats.org/officeDocument/2006/relationships/ctrlProp" Target="../ctrlProps/ctrlProp191.xml"/><Relationship Id="rId44" Type="http://schemas.openxmlformats.org/officeDocument/2006/relationships/ctrlProp" Target="../ctrlProps/ctrlProp204.xml"/><Relationship Id="rId52" Type="http://schemas.openxmlformats.org/officeDocument/2006/relationships/ctrlProp" Target="../ctrlProps/ctrlProp212.xml"/><Relationship Id="rId60" Type="http://schemas.openxmlformats.org/officeDocument/2006/relationships/ctrlProp" Target="../ctrlProps/ctrlProp220.xml"/><Relationship Id="rId65" Type="http://schemas.openxmlformats.org/officeDocument/2006/relationships/ctrlProp" Target="../ctrlProps/ctrlProp225.xml"/><Relationship Id="rId73" Type="http://schemas.openxmlformats.org/officeDocument/2006/relationships/ctrlProp" Target="../ctrlProps/ctrlProp233.xml"/><Relationship Id="rId78" Type="http://schemas.openxmlformats.org/officeDocument/2006/relationships/ctrlProp" Target="../ctrlProps/ctrlProp238.xml"/><Relationship Id="rId81" Type="http://schemas.openxmlformats.org/officeDocument/2006/relationships/ctrlProp" Target="../ctrlProps/ctrlProp241.xml"/><Relationship Id="rId86" Type="http://schemas.openxmlformats.org/officeDocument/2006/relationships/ctrlProp" Target="../ctrlProps/ctrlProp246.xml"/><Relationship Id="rId94" Type="http://schemas.openxmlformats.org/officeDocument/2006/relationships/ctrlProp" Target="../ctrlProps/ctrlProp254.xml"/><Relationship Id="rId4" Type="http://schemas.openxmlformats.org/officeDocument/2006/relationships/ctrlProp" Target="../ctrlProps/ctrlProp164.xml"/><Relationship Id="rId9" Type="http://schemas.openxmlformats.org/officeDocument/2006/relationships/ctrlProp" Target="../ctrlProps/ctrlProp169.xml"/><Relationship Id="rId13" Type="http://schemas.openxmlformats.org/officeDocument/2006/relationships/ctrlProp" Target="../ctrlProps/ctrlProp173.xml"/><Relationship Id="rId18" Type="http://schemas.openxmlformats.org/officeDocument/2006/relationships/ctrlProp" Target="../ctrlProps/ctrlProp178.xml"/><Relationship Id="rId39" Type="http://schemas.openxmlformats.org/officeDocument/2006/relationships/ctrlProp" Target="../ctrlProps/ctrlProp199.xml"/><Relationship Id="rId34" Type="http://schemas.openxmlformats.org/officeDocument/2006/relationships/ctrlProp" Target="../ctrlProps/ctrlProp194.xml"/><Relationship Id="rId50" Type="http://schemas.openxmlformats.org/officeDocument/2006/relationships/ctrlProp" Target="../ctrlProps/ctrlProp210.xml"/><Relationship Id="rId55" Type="http://schemas.openxmlformats.org/officeDocument/2006/relationships/ctrlProp" Target="../ctrlProps/ctrlProp215.xml"/><Relationship Id="rId76" Type="http://schemas.openxmlformats.org/officeDocument/2006/relationships/ctrlProp" Target="../ctrlProps/ctrlProp236.xml"/><Relationship Id="rId7" Type="http://schemas.openxmlformats.org/officeDocument/2006/relationships/ctrlProp" Target="../ctrlProps/ctrlProp167.xml"/><Relationship Id="rId71" Type="http://schemas.openxmlformats.org/officeDocument/2006/relationships/ctrlProp" Target="../ctrlProps/ctrlProp231.xml"/><Relationship Id="rId92" Type="http://schemas.openxmlformats.org/officeDocument/2006/relationships/ctrlProp" Target="../ctrlProps/ctrlProp252.xml"/><Relationship Id="rId2" Type="http://schemas.openxmlformats.org/officeDocument/2006/relationships/drawing" Target="../drawings/drawing5.xml"/><Relationship Id="rId29" Type="http://schemas.openxmlformats.org/officeDocument/2006/relationships/ctrlProp" Target="../ctrlProps/ctrlProp189.xml"/><Relationship Id="rId24" Type="http://schemas.openxmlformats.org/officeDocument/2006/relationships/ctrlProp" Target="../ctrlProps/ctrlProp184.xml"/><Relationship Id="rId40" Type="http://schemas.openxmlformats.org/officeDocument/2006/relationships/ctrlProp" Target="../ctrlProps/ctrlProp200.xml"/><Relationship Id="rId45" Type="http://schemas.openxmlformats.org/officeDocument/2006/relationships/ctrlProp" Target="../ctrlProps/ctrlProp205.xml"/><Relationship Id="rId66" Type="http://schemas.openxmlformats.org/officeDocument/2006/relationships/ctrlProp" Target="../ctrlProps/ctrlProp226.xml"/><Relationship Id="rId87" Type="http://schemas.openxmlformats.org/officeDocument/2006/relationships/ctrlProp" Target="../ctrlProps/ctrlProp247.xml"/><Relationship Id="rId61" Type="http://schemas.openxmlformats.org/officeDocument/2006/relationships/ctrlProp" Target="../ctrlProps/ctrlProp221.xml"/><Relationship Id="rId82" Type="http://schemas.openxmlformats.org/officeDocument/2006/relationships/ctrlProp" Target="../ctrlProps/ctrlProp242.xml"/><Relationship Id="rId19" Type="http://schemas.openxmlformats.org/officeDocument/2006/relationships/ctrlProp" Target="../ctrlProps/ctrlProp179.xml"/><Relationship Id="rId14" Type="http://schemas.openxmlformats.org/officeDocument/2006/relationships/ctrlProp" Target="../ctrlProps/ctrlProp174.xml"/><Relationship Id="rId30" Type="http://schemas.openxmlformats.org/officeDocument/2006/relationships/ctrlProp" Target="../ctrlProps/ctrlProp190.xml"/><Relationship Id="rId35" Type="http://schemas.openxmlformats.org/officeDocument/2006/relationships/ctrlProp" Target="../ctrlProps/ctrlProp195.xml"/><Relationship Id="rId56" Type="http://schemas.openxmlformats.org/officeDocument/2006/relationships/ctrlProp" Target="../ctrlProps/ctrlProp216.xml"/><Relationship Id="rId77" Type="http://schemas.openxmlformats.org/officeDocument/2006/relationships/ctrlProp" Target="../ctrlProps/ctrlProp237.xml"/></Relationships>
</file>

<file path=xl/worksheets/_rels/sheet7.xml.rels><?xml version="1.0" encoding="UTF-8" standalone="yes"?>
<Relationships xmlns="http://schemas.openxmlformats.org/package/2006/relationships"><Relationship Id="rId8" Type="http://schemas.openxmlformats.org/officeDocument/2006/relationships/ctrlProp" Target="../ctrlProps/ctrlProp261.xml"/><Relationship Id="rId13" Type="http://schemas.openxmlformats.org/officeDocument/2006/relationships/ctrlProp" Target="../ctrlProps/ctrlProp266.xml"/><Relationship Id="rId18" Type="http://schemas.openxmlformats.org/officeDocument/2006/relationships/ctrlProp" Target="../ctrlProps/ctrlProp271.xml"/><Relationship Id="rId26" Type="http://schemas.openxmlformats.org/officeDocument/2006/relationships/ctrlProp" Target="../ctrlProps/ctrlProp279.xml"/><Relationship Id="rId3" Type="http://schemas.openxmlformats.org/officeDocument/2006/relationships/vmlDrawing" Target="../drawings/vmlDrawing5.vml"/><Relationship Id="rId21" Type="http://schemas.openxmlformats.org/officeDocument/2006/relationships/ctrlProp" Target="../ctrlProps/ctrlProp274.xml"/><Relationship Id="rId7" Type="http://schemas.openxmlformats.org/officeDocument/2006/relationships/ctrlProp" Target="../ctrlProps/ctrlProp260.xml"/><Relationship Id="rId12" Type="http://schemas.openxmlformats.org/officeDocument/2006/relationships/ctrlProp" Target="../ctrlProps/ctrlProp265.xml"/><Relationship Id="rId17" Type="http://schemas.openxmlformats.org/officeDocument/2006/relationships/ctrlProp" Target="../ctrlProps/ctrlProp270.xml"/><Relationship Id="rId25" Type="http://schemas.openxmlformats.org/officeDocument/2006/relationships/ctrlProp" Target="../ctrlProps/ctrlProp278.xml"/><Relationship Id="rId2" Type="http://schemas.openxmlformats.org/officeDocument/2006/relationships/drawing" Target="../drawings/drawing6.xml"/><Relationship Id="rId16" Type="http://schemas.openxmlformats.org/officeDocument/2006/relationships/ctrlProp" Target="../ctrlProps/ctrlProp269.xml"/><Relationship Id="rId20" Type="http://schemas.openxmlformats.org/officeDocument/2006/relationships/ctrlProp" Target="../ctrlProps/ctrlProp273.xml"/><Relationship Id="rId1" Type="http://schemas.openxmlformats.org/officeDocument/2006/relationships/printerSettings" Target="../printerSettings/printerSettings6.bin"/><Relationship Id="rId6" Type="http://schemas.openxmlformats.org/officeDocument/2006/relationships/ctrlProp" Target="../ctrlProps/ctrlProp259.xml"/><Relationship Id="rId11" Type="http://schemas.openxmlformats.org/officeDocument/2006/relationships/ctrlProp" Target="../ctrlProps/ctrlProp264.xml"/><Relationship Id="rId24" Type="http://schemas.openxmlformats.org/officeDocument/2006/relationships/ctrlProp" Target="../ctrlProps/ctrlProp277.xml"/><Relationship Id="rId5" Type="http://schemas.openxmlformats.org/officeDocument/2006/relationships/ctrlProp" Target="../ctrlProps/ctrlProp258.xml"/><Relationship Id="rId15" Type="http://schemas.openxmlformats.org/officeDocument/2006/relationships/ctrlProp" Target="../ctrlProps/ctrlProp268.xml"/><Relationship Id="rId23" Type="http://schemas.openxmlformats.org/officeDocument/2006/relationships/ctrlProp" Target="../ctrlProps/ctrlProp276.xml"/><Relationship Id="rId10" Type="http://schemas.openxmlformats.org/officeDocument/2006/relationships/ctrlProp" Target="../ctrlProps/ctrlProp263.xml"/><Relationship Id="rId19" Type="http://schemas.openxmlformats.org/officeDocument/2006/relationships/ctrlProp" Target="../ctrlProps/ctrlProp272.xml"/><Relationship Id="rId4" Type="http://schemas.openxmlformats.org/officeDocument/2006/relationships/ctrlProp" Target="../ctrlProps/ctrlProp257.xml"/><Relationship Id="rId9" Type="http://schemas.openxmlformats.org/officeDocument/2006/relationships/ctrlProp" Target="../ctrlProps/ctrlProp262.xml"/><Relationship Id="rId14" Type="http://schemas.openxmlformats.org/officeDocument/2006/relationships/ctrlProp" Target="../ctrlProps/ctrlProp267.xml"/><Relationship Id="rId22" Type="http://schemas.openxmlformats.org/officeDocument/2006/relationships/ctrlProp" Target="../ctrlProps/ctrlProp275.xml"/></Relationships>
</file>

<file path=xl/worksheets/_rels/sheet8.xml.rels><?xml version="1.0" encoding="UTF-8" standalone="yes"?>
<Relationships xmlns="http://schemas.openxmlformats.org/package/2006/relationships"><Relationship Id="rId13" Type="http://schemas.openxmlformats.org/officeDocument/2006/relationships/ctrlProp" Target="../ctrlProps/ctrlProp289.xml"/><Relationship Id="rId18" Type="http://schemas.openxmlformats.org/officeDocument/2006/relationships/ctrlProp" Target="../ctrlProps/ctrlProp294.xml"/><Relationship Id="rId26" Type="http://schemas.openxmlformats.org/officeDocument/2006/relationships/ctrlProp" Target="../ctrlProps/ctrlProp302.xml"/><Relationship Id="rId39" Type="http://schemas.openxmlformats.org/officeDocument/2006/relationships/ctrlProp" Target="../ctrlProps/ctrlProp315.xml"/><Relationship Id="rId21" Type="http://schemas.openxmlformats.org/officeDocument/2006/relationships/ctrlProp" Target="../ctrlProps/ctrlProp297.xml"/><Relationship Id="rId34" Type="http://schemas.openxmlformats.org/officeDocument/2006/relationships/ctrlProp" Target="../ctrlProps/ctrlProp310.xml"/><Relationship Id="rId42" Type="http://schemas.openxmlformats.org/officeDocument/2006/relationships/ctrlProp" Target="../ctrlProps/ctrlProp318.xml"/><Relationship Id="rId47" Type="http://schemas.openxmlformats.org/officeDocument/2006/relationships/ctrlProp" Target="../ctrlProps/ctrlProp323.xml"/><Relationship Id="rId50" Type="http://schemas.openxmlformats.org/officeDocument/2006/relationships/ctrlProp" Target="../ctrlProps/ctrlProp326.xml"/><Relationship Id="rId55" Type="http://schemas.openxmlformats.org/officeDocument/2006/relationships/ctrlProp" Target="../ctrlProps/ctrlProp331.xml"/><Relationship Id="rId7" Type="http://schemas.openxmlformats.org/officeDocument/2006/relationships/ctrlProp" Target="../ctrlProps/ctrlProp283.xml"/><Relationship Id="rId2" Type="http://schemas.openxmlformats.org/officeDocument/2006/relationships/drawing" Target="../drawings/drawing7.xml"/><Relationship Id="rId16" Type="http://schemas.openxmlformats.org/officeDocument/2006/relationships/ctrlProp" Target="../ctrlProps/ctrlProp292.xml"/><Relationship Id="rId29" Type="http://schemas.openxmlformats.org/officeDocument/2006/relationships/ctrlProp" Target="../ctrlProps/ctrlProp305.xml"/><Relationship Id="rId11" Type="http://schemas.openxmlformats.org/officeDocument/2006/relationships/ctrlProp" Target="../ctrlProps/ctrlProp287.xml"/><Relationship Id="rId24" Type="http://schemas.openxmlformats.org/officeDocument/2006/relationships/ctrlProp" Target="../ctrlProps/ctrlProp300.xml"/><Relationship Id="rId32" Type="http://schemas.openxmlformats.org/officeDocument/2006/relationships/ctrlProp" Target="../ctrlProps/ctrlProp308.xml"/><Relationship Id="rId37" Type="http://schemas.openxmlformats.org/officeDocument/2006/relationships/ctrlProp" Target="../ctrlProps/ctrlProp313.xml"/><Relationship Id="rId40" Type="http://schemas.openxmlformats.org/officeDocument/2006/relationships/ctrlProp" Target="../ctrlProps/ctrlProp316.xml"/><Relationship Id="rId45" Type="http://schemas.openxmlformats.org/officeDocument/2006/relationships/ctrlProp" Target="../ctrlProps/ctrlProp321.xml"/><Relationship Id="rId53" Type="http://schemas.openxmlformats.org/officeDocument/2006/relationships/ctrlProp" Target="../ctrlProps/ctrlProp329.xml"/><Relationship Id="rId58" Type="http://schemas.openxmlformats.org/officeDocument/2006/relationships/ctrlProp" Target="../ctrlProps/ctrlProp334.xml"/><Relationship Id="rId5" Type="http://schemas.openxmlformats.org/officeDocument/2006/relationships/ctrlProp" Target="../ctrlProps/ctrlProp281.xml"/><Relationship Id="rId19" Type="http://schemas.openxmlformats.org/officeDocument/2006/relationships/ctrlProp" Target="../ctrlProps/ctrlProp295.xml"/><Relationship Id="rId4" Type="http://schemas.openxmlformats.org/officeDocument/2006/relationships/ctrlProp" Target="../ctrlProps/ctrlProp280.xml"/><Relationship Id="rId9" Type="http://schemas.openxmlformats.org/officeDocument/2006/relationships/ctrlProp" Target="../ctrlProps/ctrlProp285.xml"/><Relationship Id="rId14" Type="http://schemas.openxmlformats.org/officeDocument/2006/relationships/ctrlProp" Target="../ctrlProps/ctrlProp290.xml"/><Relationship Id="rId22" Type="http://schemas.openxmlformats.org/officeDocument/2006/relationships/ctrlProp" Target="../ctrlProps/ctrlProp298.xml"/><Relationship Id="rId27" Type="http://schemas.openxmlformats.org/officeDocument/2006/relationships/ctrlProp" Target="../ctrlProps/ctrlProp303.xml"/><Relationship Id="rId30" Type="http://schemas.openxmlformats.org/officeDocument/2006/relationships/ctrlProp" Target="../ctrlProps/ctrlProp306.xml"/><Relationship Id="rId35" Type="http://schemas.openxmlformats.org/officeDocument/2006/relationships/ctrlProp" Target="../ctrlProps/ctrlProp311.xml"/><Relationship Id="rId43" Type="http://schemas.openxmlformats.org/officeDocument/2006/relationships/ctrlProp" Target="../ctrlProps/ctrlProp319.xml"/><Relationship Id="rId48" Type="http://schemas.openxmlformats.org/officeDocument/2006/relationships/ctrlProp" Target="../ctrlProps/ctrlProp324.xml"/><Relationship Id="rId56" Type="http://schemas.openxmlformats.org/officeDocument/2006/relationships/ctrlProp" Target="../ctrlProps/ctrlProp332.xml"/><Relationship Id="rId8" Type="http://schemas.openxmlformats.org/officeDocument/2006/relationships/ctrlProp" Target="../ctrlProps/ctrlProp284.xml"/><Relationship Id="rId51" Type="http://schemas.openxmlformats.org/officeDocument/2006/relationships/ctrlProp" Target="../ctrlProps/ctrlProp327.xml"/><Relationship Id="rId3" Type="http://schemas.openxmlformats.org/officeDocument/2006/relationships/vmlDrawing" Target="../drawings/vmlDrawing6.vml"/><Relationship Id="rId12" Type="http://schemas.openxmlformats.org/officeDocument/2006/relationships/ctrlProp" Target="../ctrlProps/ctrlProp288.xml"/><Relationship Id="rId17" Type="http://schemas.openxmlformats.org/officeDocument/2006/relationships/ctrlProp" Target="../ctrlProps/ctrlProp293.xml"/><Relationship Id="rId25" Type="http://schemas.openxmlformats.org/officeDocument/2006/relationships/ctrlProp" Target="../ctrlProps/ctrlProp301.xml"/><Relationship Id="rId33" Type="http://schemas.openxmlformats.org/officeDocument/2006/relationships/ctrlProp" Target="../ctrlProps/ctrlProp309.xml"/><Relationship Id="rId38" Type="http://schemas.openxmlformats.org/officeDocument/2006/relationships/ctrlProp" Target="../ctrlProps/ctrlProp314.xml"/><Relationship Id="rId46" Type="http://schemas.openxmlformats.org/officeDocument/2006/relationships/ctrlProp" Target="../ctrlProps/ctrlProp322.xml"/><Relationship Id="rId59" Type="http://schemas.openxmlformats.org/officeDocument/2006/relationships/ctrlProp" Target="../ctrlProps/ctrlProp335.xml"/><Relationship Id="rId20" Type="http://schemas.openxmlformats.org/officeDocument/2006/relationships/ctrlProp" Target="../ctrlProps/ctrlProp296.xml"/><Relationship Id="rId41" Type="http://schemas.openxmlformats.org/officeDocument/2006/relationships/ctrlProp" Target="../ctrlProps/ctrlProp317.xml"/><Relationship Id="rId54" Type="http://schemas.openxmlformats.org/officeDocument/2006/relationships/ctrlProp" Target="../ctrlProps/ctrlProp330.xml"/><Relationship Id="rId1" Type="http://schemas.openxmlformats.org/officeDocument/2006/relationships/printerSettings" Target="../printerSettings/printerSettings7.bin"/><Relationship Id="rId6" Type="http://schemas.openxmlformats.org/officeDocument/2006/relationships/ctrlProp" Target="../ctrlProps/ctrlProp282.xml"/><Relationship Id="rId15" Type="http://schemas.openxmlformats.org/officeDocument/2006/relationships/ctrlProp" Target="../ctrlProps/ctrlProp291.xml"/><Relationship Id="rId23" Type="http://schemas.openxmlformats.org/officeDocument/2006/relationships/ctrlProp" Target="../ctrlProps/ctrlProp299.xml"/><Relationship Id="rId28" Type="http://schemas.openxmlformats.org/officeDocument/2006/relationships/ctrlProp" Target="../ctrlProps/ctrlProp304.xml"/><Relationship Id="rId36" Type="http://schemas.openxmlformats.org/officeDocument/2006/relationships/ctrlProp" Target="../ctrlProps/ctrlProp312.xml"/><Relationship Id="rId49" Type="http://schemas.openxmlformats.org/officeDocument/2006/relationships/ctrlProp" Target="../ctrlProps/ctrlProp325.xml"/><Relationship Id="rId57" Type="http://schemas.openxmlformats.org/officeDocument/2006/relationships/ctrlProp" Target="../ctrlProps/ctrlProp333.xml"/><Relationship Id="rId10" Type="http://schemas.openxmlformats.org/officeDocument/2006/relationships/ctrlProp" Target="../ctrlProps/ctrlProp286.xml"/><Relationship Id="rId31" Type="http://schemas.openxmlformats.org/officeDocument/2006/relationships/ctrlProp" Target="../ctrlProps/ctrlProp307.xml"/><Relationship Id="rId44" Type="http://schemas.openxmlformats.org/officeDocument/2006/relationships/ctrlProp" Target="../ctrlProps/ctrlProp320.xml"/><Relationship Id="rId52" Type="http://schemas.openxmlformats.org/officeDocument/2006/relationships/ctrlProp" Target="../ctrlProps/ctrlProp328.xml"/><Relationship Id="rId60" Type="http://schemas.openxmlformats.org/officeDocument/2006/relationships/ctrlProp" Target="../ctrlProps/ctrlProp336.xml"/></Relationships>
</file>

<file path=xl/worksheets/_rels/sheet9.xml.rels><?xml version="1.0" encoding="UTF-8" standalone="yes"?>
<Relationships xmlns="http://schemas.openxmlformats.org/package/2006/relationships"><Relationship Id="rId26" Type="http://schemas.openxmlformats.org/officeDocument/2006/relationships/ctrlProp" Target="../ctrlProps/ctrlProp359.xml"/><Relationship Id="rId21" Type="http://schemas.openxmlformats.org/officeDocument/2006/relationships/ctrlProp" Target="../ctrlProps/ctrlProp354.xml"/><Relationship Id="rId42" Type="http://schemas.openxmlformats.org/officeDocument/2006/relationships/ctrlProp" Target="../ctrlProps/ctrlProp375.xml"/><Relationship Id="rId47" Type="http://schemas.openxmlformats.org/officeDocument/2006/relationships/ctrlProp" Target="../ctrlProps/ctrlProp380.xml"/><Relationship Id="rId63" Type="http://schemas.openxmlformats.org/officeDocument/2006/relationships/ctrlProp" Target="../ctrlProps/ctrlProp396.xml"/><Relationship Id="rId68" Type="http://schemas.openxmlformats.org/officeDocument/2006/relationships/ctrlProp" Target="../ctrlProps/ctrlProp401.xml"/><Relationship Id="rId16" Type="http://schemas.openxmlformats.org/officeDocument/2006/relationships/ctrlProp" Target="../ctrlProps/ctrlProp349.xml"/><Relationship Id="rId11" Type="http://schemas.openxmlformats.org/officeDocument/2006/relationships/ctrlProp" Target="../ctrlProps/ctrlProp344.xml"/><Relationship Id="rId32" Type="http://schemas.openxmlformats.org/officeDocument/2006/relationships/ctrlProp" Target="../ctrlProps/ctrlProp365.xml"/><Relationship Id="rId37" Type="http://schemas.openxmlformats.org/officeDocument/2006/relationships/ctrlProp" Target="../ctrlProps/ctrlProp370.xml"/><Relationship Id="rId53" Type="http://schemas.openxmlformats.org/officeDocument/2006/relationships/ctrlProp" Target="../ctrlProps/ctrlProp386.xml"/><Relationship Id="rId58" Type="http://schemas.openxmlformats.org/officeDocument/2006/relationships/ctrlProp" Target="../ctrlProps/ctrlProp391.xml"/><Relationship Id="rId74" Type="http://schemas.openxmlformats.org/officeDocument/2006/relationships/ctrlProp" Target="../ctrlProps/ctrlProp407.xml"/><Relationship Id="rId79" Type="http://schemas.openxmlformats.org/officeDocument/2006/relationships/ctrlProp" Target="../ctrlProps/ctrlProp412.xml"/><Relationship Id="rId5" Type="http://schemas.openxmlformats.org/officeDocument/2006/relationships/ctrlProp" Target="../ctrlProps/ctrlProp338.xml"/><Relationship Id="rId61" Type="http://schemas.openxmlformats.org/officeDocument/2006/relationships/ctrlProp" Target="../ctrlProps/ctrlProp394.xml"/><Relationship Id="rId19" Type="http://schemas.openxmlformats.org/officeDocument/2006/relationships/ctrlProp" Target="../ctrlProps/ctrlProp352.xml"/><Relationship Id="rId14" Type="http://schemas.openxmlformats.org/officeDocument/2006/relationships/ctrlProp" Target="../ctrlProps/ctrlProp347.xml"/><Relationship Id="rId22" Type="http://schemas.openxmlformats.org/officeDocument/2006/relationships/ctrlProp" Target="../ctrlProps/ctrlProp355.xml"/><Relationship Id="rId27" Type="http://schemas.openxmlformats.org/officeDocument/2006/relationships/ctrlProp" Target="../ctrlProps/ctrlProp360.xml"/><Relationship Id="rId30" Type="http://schemas.openxmlformats.org/officeDocument/2006/relationships/ctrlProp" Target="../ctrlProps/ctrlProp363.xml"/><Relationship Id="rId35" Type="http://schemas.openxmlformats.org/officeDocument/2006/relationships/ctrlProp" Target="../ctrlProps/ctrlProp368.xml"/><Relationship Id="rId43" Type="http://schemas.openxmlformats.org/officeDocument/2006/relationships/ctrlProp" Target="../ctrlProps/ctrlProp376.xml"/><Relationship Id="rId48" Type="http://schemas.openxmlformats.org/officeDocument/2006/relationships/ctrlProp" Target="../ctrlProps/ctrlProp381.xml"/><Relationship Id="rId56" Type="http://schemas.openxmlformats.org/officeDocument/2006/relationships/ctrlProp" Target="../ctrlProps/ctrlProp389.xml"/><Relationship Id="rId64" Type="http://schemas.openxmlformats.org/officeDocument/2006/relationships/ctrlProp" Target="../ctrlProps/ctrlProp397.xml"/><Relationship Id="rId69" Type="http://schemas.openxmlformats.org/officeDocument/2006/relationships/ctrlProp" Target="../ctrlProps/ctrlProp402.xml"/><Relationship Id="rId77" Type="http://schemas.openxmlformats.org/officeDocument/2006/relationships/ctrlProp" Target="../ctrlProps/ctrlProp410.xml"/><Relationship Id="rId8" Type="http://schemas.openxmlformats.org/officeDocument/2006/relationships/ctrlProp" Target="../ctrlProps/ctrlProp341.xml"/><Relationship Id="rId51" Type="http://schemas.openxmlformats.org/officeDocument/2006/relationships/ctrlProp" Target="../ctrlProps/ctrlProp384.xml"/><Relationship Id="rId72" Type="http://schemas.openxmlformats.org/officeDocument/2006/relationships/ctrlProp" Target="../ctrlProps/ctrlProp405.xml"/><Relationship Id="rId80" Type="http://schemas.openxmlformats.org/officeDocument/2006/relationships/ctrlProp" Target="../ctrlProps/ctrlProp413.xml"/><Relationship Id="rId3" Type="http://schemas.openxmlformats.org/officeDocument/2006/relationships/vmlDrawing" Target="../drawings/vmlDrawing7.vml"/><Relationship Id="rId12" Type="http://schemas.openxmlformats.org/officeDocument/2006/relationships/ctrlProp" Target="../ctrlProps/ctrlProp345.xml"/><Relationship Id="rId17" Type="http://schemas.openxmlformats.org/officeDocument/2006/relationships/ctrlProp" Target="../ctrlProps/ctrlProp350.xml"/><Relationship Id="rId25" Type="http://schemas.openxmlformats.org/officeDocument/2006/relationships/ctrlProp" Target="../ctrlProps/ctrlProp358.xml"/><Relationship Id="rId33" Type="http://schemas.openxmlformats.org/officeDocument/2006/relationships/ctrlProp" Target="../ctrlProps/ctrlProp366.xml"/><Relationship Id="rId38" Type="http://schemas.openxmlformats.org/officeDocument/2006/relationships/ctrlProp" Target="../ctrlProps/ctrlProp371.xml"/><Relationship Id="rId46" Type="http://schemas.openxmlformats.org/officeDocument/2006/relationships/ctrlProp" Target="../ctrlProps/ctrlProp379.xml"/><Relationship Id="rId59" Type="http://schemas.openxmlformats.org/officeDocument/2006/relationships/ctrlProp" Target="../ctrlProps/ctrlProp392.xml"/><Relationship Id="rId67" Type="http://schemas.openxmlformats.org/officeDocument/2006/relationships/ctrlProp" Target="../ctrlProps/ctrlProp400.xml"/><Relationship Id="rId20" Type="http://schemas.openxmlformats.org/officeDocument/2006/relationships/ctrlProp" Target="../ctrlProps/ctrlProp353.xml"/><Relationship Id="rId41" Type="http://schemas.openxmlformats.org/officeDocument/2006/relationships/ctrlProp" Target="../ctrlProps/ctrlProp374.xml"/><Relationship Id="rId54" Type="http://schemas.openxmlformats.org/officeDocument/2006/relationships/ctrlProp" Target="../ctrlProps/ctrlProp387.xml"/><Relationship Id="rId62" Type="http://schemas.openxmlformats.org/officeDocument/2006/relationships/ctrlProp" Target="../ctrlProps/ctrlProp395.xml"/><Relationship Id="rId70" Type="http://schemas.openxmlformats.org/officeDocument/2006/relationships/ctrlProp" Target="../ctrlProps/ctrlProp403.xml"/><Relationship Id="rId75" Type="http://schemas.openxmlformats.org/officeDocument/2006/relationships/ctrlProp" Target="../ctrlProps/ctrlProp408.xml"/><Relationship Id="rId1" Type="http://schemas.openxmlformats.org/officeDocument/2006/relationships/printerSettings" Target="../printerSettings/printerSettings8.bin"/><Relationship Id="rId6" Type="http://schemas.openxmlformats.org/officeDocument/2006/relationships/ctrlProp" Target="../ctrlProps/ctrlProp339.xml"/><Relationship Id="rId15" Type="http://schemas.openxmlformats.org/officeDocument/2006/relationships/ctrlProp" Target="../ctrlProps/ctrlProp348.xml"/><Relationship Id="rId23" Type="http://schemas.openxmlformats.org/officeDocument/2006/relationships/ctrlProp" Target="../ctrlProps/ctrlProp356.xml"/><Relationship Id="rId28" Type="http://schemas.openxmlformats.org/officeDocument/2006/relationships/ctrlProp" Target="../ctrlProps/ctrlProp361.xml"/><Relationship Id="rId36" Type="http://schemas.openxmlformats.org/officeDocument/2006/relationships/ctrlProp" Target="../ctrlProps/ctrlProp369.xml"/><Relationship Id="rId49" Type="http://schemas.openxmlformats.org/officeDocument/2006/relationships/ctrlProp" Target="../ctrlProps/ctrlProp382.xml"/><Relationship Id="rId57" Type="http://schemas.openxmlformats.org/officeDocument/2006/relationships/ctrlProp" Target="../ctrlProps/ctrlProp390.xml"/><Relationship Id="rId10" Type="http://schemas.openxmlformats.org/officeDocument/2006/relationships/ctrlProp" Target="../ctrlProps/ctrlProp343.xml"/><Relationship Id="rId31" Type="http://schemas.openxmlformats.org/officeDocument/2006/relationships/ctrlProp" Target="../ctrlProps/ctrlProp364.xml"/><Relationship Id="rId44" Type="http://schemas.openxmlformats.org/officeDocument/2006/relationships/ctrlProp" Target="../ctrlProps/ctrlProp377.xml"/><Relationship Id="rId52" Type="http://schemas.openxmlformats.org/officeDocument/2006/relationships/ctrlProp" Target="../ctrlProps/ctrlProp385.xml"/><Relationship Id="rId60" Type="http://schemas.openxmlformats.org/officeDocument/2006/relationships/ctrlProp" Target="../ctrlProps/ctrlProp393.xml"/><Relationship Id="rId65" Type="http://schemas.openxmlformats.org/officeDocument/2006/relationships/ctrlProp" Target="../ctrlProps/ctrlProp398.xml"/><Relationship Id="rId73" Type="http://schemas.openxmlformats.org/officeDocument/2006/relationships/ctrlProp" Target="../ctrlProps/ctrlProp406.xml"/><Relationship Id="rId78" Type="http://schemas.openxmlformats.org/officeDocument/2006/relationships/ctrlProp" Target="../ctrlProps/ctrlProp411.xml"/><Relationship Id="rId81" Type="http://schemas.openxmlformats.org/officeDocument/2006/relationships/ctrlProp" Target="../ctrlProps/ctrlProp414.xml"/><Relationship Id="rId4" Type="http://schemas.openxmlformats.org/officeDocument/2006/relationships/ctrlProp" Target="../ctrlProps/ctrlProp337.xml"/><Relationship Id="rId9" Type="http://schemas.openxmlformats.org/officeDocument/2006/relationships/ctrlProp" Target="../ctrlProps/ctrlProp342.xml"/><Relationship Id="rId13" Type="http://schemas.openxmlformats.org/officeDocument/2006/relationships/ctrlProp" Target="../ctrlProps/ctrlProp346.xml"/><Relationship Id="rId18" Type="http://schemas.openxmlformats.org/officeDocument/2006/relationships/ctrlProp" Target="../ctrlProps/ctrlProp351.xml"/><Relationship Id="rId39" Type="http://schemas.openxmlformats.org/officeDocument/2006/relationships/ctrlProp" Target="../ctrlProps/ctrlProp372.xml"/><Relationship Id="rId34" Type="http://schemas.openxmlformats.org/officeDocument/2006/relationships/ctrlProp" Target="../ctrlProps/ctrlProp367.xml"/><Relationship Id="rId50" Type="http://schemas.openxmlformats.org/officeDocument/2006/relationships/ctrlProp" Target="../ctrlProps/ctrlProp383.xml"/><Relationship Id="rId55" Type="http://schemas.openxmlformats.org/officeDocument/2006/relationships/ctrlProp" Target="../ctrlProps/ctrlProp388.xml"/><Relationship Id="rId76" Type="http://schemas.openxmlformats.org/officeDocument/2006/relationships/ctrlProp" Target="../ctrlProps/ctrlProp409.xml"/><Relationship Id="rId7" Type="http://schemas.openxmlformats.org/officeDocument/2006/relationships/ctrlProp" Target="../ctrlProps/ctrlProp340.xml"/><Relationship Id="rId71" Type="http://schemas.openxmlformats.org/officeDocument/2006/relationships/ctrlProp" Target="../ctrlProps/ctrlProp404.xml"/><Relationship Id="rId2" Type="http://schemas.openxmlformats.org/officeDocument/2006/relationships/drawing" Target="../drawings/drawing8.xml"/><Relationship Id="rId29" Type="http://schemas.openxmlformats.org/officeDocument/2006/relationships/ctrlProp" Target="../ctrlProps/ctrlProp362.xml"/><Relationship Id="rId24" Type="http://schemas.openxmlformats.org/officeDocument/2006/relationships/ctrlProp" Target="../ctrlProps/ctrlProp357.xml"/><Relationship Id="rId40" Type="http://schemas.openxmlformats.org/officeDocument/2006/relationships/ctrlProp" Target="../ctrlProps/ctrlProp373.xml"/><Relationship Id="rId45" Type="http://schemas.openxmlformats.org/officeDocument/2006/relationships/ctrlProp" Target="../ctrlProps/ctrlProp378.xml"/><Relationship Id="rId66" Type="http://schemas.openxmlformats.org/officeDocument/2006/relationships/ctrlProp" Target="../ctrlProps/ctrlProp399.xml"/></Relationships>
</file>

<file path=xl/worksheets/_rels/sheet10.xml.rels><?xml version="1.0" encoding="UTF-8" standalone="yes"?>
<Relationships xmlns="http://schemas.openxmlformats.org/package/2006/relationships"><Relationship Id="rId3" Type="http://schemas.openxmlformats.org/officeDocument/2006/relationships/drawing" Target="../drawings/drawing9.xml"/><Relationship Id="rId2" Type="http://schemas.openxmlformats.org/officeDocument/2006/relationships/printerSettings" Target="../printerSettings/printerSettings9.bin"/><Relationship Id="rId1" Type="http://schemas.openxmlformats.org/officeDocument/2006/relationships/hyperlink" Target="https://up.codes/viewer/connecticut/iecc-2015/chapter/CE_4/ce-commercial-energy-efficiency" TargetMode="External"/></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4.xml.rels><?xml version="1.0" encoding="UTF-8" standalone="yes"?>
<Relationships xmlns="http://schemas.openxmlformats.org/package/2006/relationships"><Relationship Id="rId13" Type="http://schemas.openxmlformats.org/officeDocument/2006/relationships/ctrlProp" Target="../ctrlProps/ctrlProp424.xml"/><Relationship Id="rId18" Type="http://schemas.openxmlformats.org/officeDocument/2006/relationships/ctrlProp" Target="../ctrlProps/ctrlProp429.xml"/><Relationship Id="rId26" Type="http://schemas.openxmlformats.org/officeDocument/2006/relationships/ctrlProp" Target="../ctrlProps/ctrlProp437.xml"/><Relationship Id="rId39" Type="http://schemas.openxmlformats.org/officeDocument/2006/relationships/ctrlProp" Target="../ctrlProps/ctrlProp450.xml"/><Relationship Id="rId21" Type="http://schemas.openxmlformats.org/officeDocument/2006/relationships/ctrlProp" Target="../ctrlProps/ctrlProp432.xml"/><Relationship Id="rId34" Type="http://schemas.openxmlformats.org/officeDocument/2006/relationships/ctrlProp" Target="../ctrlProps/ctrlProp445.xml"/><Relationship Id="rId42" Type="http://schemas.openxmlformats.org/officeDocument/2006/relationships/ctrlProp" Target="../ctrlProps/ctrlProp453.xml"/><Relationship Id="rId47" Type="http://schemas.openxmlformats.org/officeDocument/2006/relationships/ctrlProp" Target="../ctrlProps/ctrlProp458.xml"/><Relationship Id="rId7" Type="http://schemas.openxmlformats.org/officeDocument/2006/relationships/ctrlProp" Target="../ctrlProps/ctrlProp418.xml"/><Relationship Id="rId2" Type="http://schemas.openxmlformats.org/officeDocument/2006/relationships/drawing" Target="../drawings/drawing10.xml"/><Relationship Id="rId16" Type="http://schemas.openxmlformats.org/officeDocument/2006/relationships/ctrlProp" Target="../ctrlProps/ctrlProp427.xml"/><Relationship Id="rId29" Type="http://schemas.openxmlformats.org/officeDocument/2006/relationships/ctrlProp" Target="../ctrlProps/ctrlProp440.xml"/><Relationship Id="rId11" Type="http://schemas.openxmlformats.org/officeDocument/2006/relationships/ctrlProp" Target="../ctrlProps/ctrlProp422.xml"/><Relationship Id="rId24" Type="http://schemas.openxmlformats.org/officeDocument/2006/relationships/ctrlProp" Target="../ctrlProps/ctrlProp435.xml"/><Relationship Id="rId32" Type="http://schemas.openxmlformats.org/officeDocument/2006/relationships/ctrlProp" Target="../ctrlProps/ctrlProp443.xml"/><Relationship Id="rId37" Type="http://schemas.openxmlformats.org/officeDocument/2006/relationships/ctrlProp" Target="../ctrlProps/ctrlProp448.xml"/><Relationship Id="rId40" Type="http://schemas.openxmlformats.org/officeDocument/2006/relationships/ctrlProp" Target="../ctrlProps/ctrlProp451.xml"/><Relationship Id="rId45" Type="http://schemas.openxmlformats.org/officeDocument/2006/relationships/ctrlProp" Target="../ctrlProps/ctrlProp456.xml"/><Relationship Id="rId5" Type="http://schemas.openxmlformats.org/officeDocument/2006/relationships/ctrlProp" Target="../ctrlProps/ctrlProp416.xml"/><Relationship Id="rId15" Type="http://schemas.openxmlformats.org/officeDocument/2006/relationships/ctrlProp" Target="../ctrlProps/ctrlProp426.xml"/><Relationship Id="rId23" Type="http://schemas.openxmlformats.org/officeDocument/2006/relationships/ctrlProp" Target="../ctrlProps/ctrlProp434.xml"/><Relationship Id="rId28" Type="http://schemas.openxmlformats.org/officeDocument/2006/relationships/ctrlProp" Target="../ctrlProps/ctrlProp439.xml"/><Relationship Id="rId36" Type="http://schemas.openxmlformats.org/officeDocument/2006/relationships/ctrlProp" Target="../ctrlProps/ctrlProp447.xml"/><Relationship Id="rId49" Type="http://schemas.openxmlformats.org/officeDocument/2006/relationships/ctrlProp" Target="../ctrlProps/ctrlProp460.xml"/><Relationship Id="rId10" Type="http://schemas.openxmlformats.org/officeDocument/2006/relationships/ctrlProp" Target="../ctrlProps/ctrlProp421.xml"/><Relationship Id="rId19" Type="http://schemas.openxmlformats.org/officeDocument/2006/relationships/ctrlProp" Target="../ctrlProps/ctrlProp430.xml"/><Relationship Id="rId31" Type="http://schemas.openxmlformats.org/officeDocument/2006/relationships/ctrlProp" Target="../ctrlProps/ctrlProp442.xml"/><Relationship Id="rId44" Type="http://schemas.openxmlformats.org/officeDocument/2006/relationships/ctrlProp" Target="../ctrlProps/ctrlProp455.xml"/><Relationship Id="rId4" Type="http://schemas.openxmlformats.org/officeDocument/2006/relationships/ctrlProp" Target="../ctrlProps/ctrlProp415.xml"/><Relationship Id="rId9" Type="http://schemas.openxmlformats.org/officeDocument/2006/relationships/ctrlProp" Target="../ctrlProps/ctrlProp420.xml"/><Relationship Id="rId14" Type="http://schemas.openxmlformats.org/officeDocument/2006/relationships/ctrlProp" Target="../ctrlProps/ctrlProp425.xml"/><Relationship Id="rId22" Type="http://schemas.openxmlformats.org/officeDocument/2006/relationships/ctrlProp" Target="../ctrlProps/ctrlProp433.xml"/><Relationship Id="rId27" Type="http://schemas.openxmlformats.org/officeDocument/2006/relationships/ctrlProp" Target="../ctrlProps/ctrlProp438.xml"/><Relationship Id="rId30" Type="http://schemas.openxmlformats.org/officeDocument/2006/relationships/ctrlProp" Target="../ctrlProps/ctrlProp441.xml"/><Relationship Id="rId35" Type="http://schemas.openxmlformats.org/officeDocument/2006/relationships/ctrlProp" Target="../ctrlProps/ctrlProp446.xml"/><Relationship Id="rId43" Type="http://schemas.openxmlformats.org/officeDocument/2006/relationships/ctrlProp" Target="../ctrlProps/ctrlProp454.xml"/><Relationship Id="rId48" Type="http://schemas.openxmlformats.org/officeDocument/2006/relationships/ctrlProp" Target="../ctrlProps/ctrlProp459.xml"/><Relationship Id="rId8" Type="http://schemas.openxmlformats.org/officeDocument/2006/relationships/ctrlProp" Target="../ctrlProps/ctrlProp419.xml"/><Relationship Id="rId3" Type="http://schemas.openxmlformats.org/officeDocument/2006/relationships/vmlDrawing" Target="../drawings/vmlDrawing8.vml"/><Relationship Id="rId12" Type="http://schemas.openxmlformats.org/officeDocument/2006/relationships/ctrlProp" Target="../ctrlProps/ctrlProp423.xml"/><Relationship Id="rId17" Type="http://schemas.openxmlformats.org/officeDocument/2006/relationships/ctrlProp" Target="../ctrlProps/ctrlProp428.xml"/><Relationship Id="rId25" Type="http://schemas.openxmlformats.org/officeDocument/2006/relationships/ctrlProp" Target="../ctrlProps/ctrlProp436.xml"/><Relationship Id="rId33" Type="http://schemas.openxmlformats.org/officeDocument/2006/relationships/ctrlProp" Target="../ctrlProps/ctrlProp444.xml"/><Relationship Id="rId38" Type="http://schemas.openxmlformats.org/officeDocument/2006/relationships/ctrlProp" Target="../ctrlProps/ctrlProp449.xml"/><Relationship Id="rId46" Type="http://schemas.openxmlformats.org/officeDocument/2006/relationships/ctrlProp" Target="../ctrlProps/ctrlProp457.xml"/><Relationship Id="rId20" Type="http://schemas.openxmlformats.org/officeDocument/2006/relationships/ctrlProp" Target="../ctrlProps/ctrlProp431.xml"/><Relationship Id="rId41" Type="http://schemas.openxmlformats.org/officeDocument/2006/relationships/ctrlProp" Target="../ctrlProps/ctrlProp452.xml"/><Relationship Id="rId1" Type="http://schemas.openxmlformats.org/officeDocument/2006/relationships/printerSettings" Target="../printerSettings/printerSettings11.bin"/><Relationship Id="rId6" Type="http://schemas.openxmlformats.org/officeDocument/2006/relationships/ctrlProp" Target="../ctrlProps/ctrlProp417.xml"/></Relationships>
</file>

<file path=xl/worksheets/_rels/sheet15.xml.rels><?xml version="1.0" encoding="UTF-8" standalone="yes"?>
<Relationships xmlns="http://schemas.openxmlformats.org/package/2006/relationships"><Relationship Id="rId117" Type="http://schemas.openxmlformats.org/officeDocument/2006/relationships/ctrlProp" Target="../ctrlProps/ctrlProp574.xml"/><Relationship Id="rId299" Type="http://schemas.openxmlformats.org/officeDocument/2006/relationships/ctrlProp" Target="../ctrlProps/ctrlProp756.xml"/><Relationship Id="rId21" Type="http://schemas.openxmlformats.org/officeDocument/2006/relationships/ctrlProp" Target="../ctrlProps/ctrlProp478.xml"/><Relationship Id="rId63" Type="http://schemas.openxmlformats.org/officeDocument/2006/relationships/ctrlProp" Target="../ctrlProps/ctrlProp520.xml"/><Relationship Id="rId159" Type="http://schemas.openxmlformats.org/officeDocument/2006/relationships/ctrlProp" Target="../ctrlProps/ctrlProp616.xml"/><Relationship Id="rId324" Type="http://schemas.openxmlformats.org/officeDocument/2006/relationships/ctrlProp" Target="../ctrlProps/ctrlProp781.xml"/><Relationship Id="rId366" Type="http://schemas.openxmlformats.org/officeDocument/2006/relationships/ctrlProp" Target="../ctrlProps/ctrlProp823.xml"/><Relationship Id="rId170" Type="http://schemas.openxmlformats.org/officeDocument/2006/relationships/ctrlProp" Target="../ctrlProps/ctrlProp627.xml"/><Relationship Id="rId226" Type="http://schemas.openxmlformats.org/officeDocument/2006/relationships/ctrlProp" Target="../ctrlProps/ctrlProp683.xml"/><Relationship Id="rId268" Type="http://schemas.openxmlformats.org/officeDocument/2006/relationships/ctrlProp" Target="../ctrlProps/ctrlProp725.xml"/><Relationship Id="rId32" Type="http://schemas.openxmlformats.org/officeDocument/2006/relationships/ctrlProp" Target="../ctrlProps/ctrlProp489.xml"/><Relationship Id="rId74" Type="http://schemas.openxmlformats.org/officeDocument/2006/relationships/ctrlProp" Target="../ctrlProps/ctrlProp531.xml"/><Relationship Id="rId128" Type="http://schemas.openxmlformats.org/officeDocument/2006/relationships/ctrlProp" Target="../ctrlProps/ctrlProp585.xml"/><Relationship Id="rId335" Type="http://schemas.openxmlformats.org/officeDocument/2006/relationships/ctrlProp" Target="../ctrlProps/ctrlProp792.xml"/><Relationship Id="rId377" Type="http://schemas.openxmlformats.org/officeDocument/2006/relationships/ctrlProp" Target="../ctrlProps/ctrlProp834.xml"/><Relationship Id="rId5" Type="http://schemas.openxmlformats.org/officeDocument/2006/relationships/ctrlProp" Target="../ctrlProps/ctrlProp462.xml"/><Relationship Id="rId181" Type="http://schemas.openxmlformats.org/officeDocument/2006/relationships/ctrlProp" Target="../ctrlProps/ctrlProp638.xml"/><Relationship Id="rId237" Type="http://schemas.openxmlformats.org/officeDocument/2006/relationships/ctrlProp" Target="../ctrlProps/ctrlProp694.xml"/><Relationship Id="rId402" Type="http://schemas.openxmlformats.org/officeDocument/2006/relationships/ctrlProp" Target="../ctrlProps/ctrlProp859.xml"/><Relationship Id="rId279" Type="http://schemas.openxmlformats.org/officeDocument/2006/relationships/ctrlProp" Target="../ctrlProps/ctrlProp736.xml"/><Relationship Id="rId43" Type="http://schemas.openxmlformats.org/officeDocument/2006/relationships/ctrlProp" Target="../ctrlProps/ctrlProp500.xml"/><Relationship Id="rId139" Type="http://schemas.openxmlformats.org/officeDocument/2006/relationships/ctrlProp" Target="../ctrlProps/ctrlProp596.xml"/><Relationship Id="rId290" Type="http://schemas.openxmlformats.org/officeDocument/2006/relationships/ctrlProp" Target="../ctrlProps/ctrlProp747.xml"/><Relationship Id="rId304" Type="http://schemas.openxmlformats.org/officeDocument/2006/relationships/ctrlProp" Target="../ctrlProps/ctrlProp761.xml"/><Relationship Id="rId346" Type="http://schemas.openxmlformats.org/officeDocument/2006/relationships/ctrlProp" Target="../ctrlProps/ctrlProp803.xml"/><Relationship Id="rId388" Type="http://schemas.openxmlformats.org/officeDocument/2006/relationships/ctrlProp" Target="../ctrlProps/ctrlProp845.xml"/><Relationship Id="rId85" Type="http://schemas.openxmlformats.org/officeDocument/2006/relationships/ctrlProp" Target="../ctrlProps/ctrlProp542.xml"/><Relationship Id="rId150" Type="http://schemas.openxmlformats.org/officeDocument/2006/relationships/ctrlProp" Target="../ctrlProps/ctrlProp607.xml"/><Relationship Id="rId192" Type="http://schemas.openxmlformats.org/officeDocument/2006/relationships/ctrlProp" Target="../ctrlProps/ctrlProp649.xml"/><Relationship Id="rId206" Type="http://schemas.openxmlformats.org/officeDocument/2006/relationships/ctrlProp" Target="../ctrlProps/ctrlProp663.xml"/><Relationship Id="rId413" Type="http://schemas.openxmlformats.org/officeDocument/2006/relationships/ctrlProp" Target="../ctrlProps/ctrlProp870.xml"/><Relationship Id="rId248" Type="http://schemas.openxmlformats.org/officeDocument/2006/relationships/ctrlProp" Target="../ctrlProps/ctrlProp705.xml"/><Relationship Id="rId12" Type="http://schemas.openxmlformats.org/officeDocument/2006/relationships/ctrlProp" Target="../ctrlProps/ctrlProp469.xml"/><Relationship Id="rId108" Type="http://schemas.openxmlformats.org/officeDocument/2006/relationships/ctrlProp" Target="../ctrlProps/ctrlProp565.xml"/><Relationship Id="rId315" Type="http://schemas.openxmlformats.org/officeDocument/2006/relationships/ctrlProp" Target="../ctrlProps/ctrlProp772.xml"/><Relationship Id="rId357" Type="http://schemas.openxmlformats.org/officeDocument/2006/relationships/ctrlProp" Target="../ctrlProps/ctrlProp814.xml"/><Relationship Id="rId54" Type="http://schemas.openxmlformats.org/officeDocument/2006/relationships/ctrlProp" Target="../ctrlProps/ctrlProp511.xml"/><Relationship Id="rId96" Type="http://schemas.openxmlformats.org/officeDocument/2006/relationships/ctrlProp" Target="../ctrlProps/ctrlProp553.xml"/><Relationship Id="rId161" Type="http://schemas.openxmlformats.org/officeDocument/2006/relationships/ctrlProp" Target="../ctrlProps/ctrlProp618.xml"/><Relationship Id="rId217" Type="http://schemas.openxmlformats.org/officeDocument/2006/relationships/ctrlProp" Target="../ctrlProps/ctrlProp674.xml"/><Relationship Id="rId399" Type="http://schemas.openxmlformats.org/officeDocument/2006/relationships/ctrlProp" Target="../ctrlProps/ctrlProp856.xml"/><Relationship Id="rId259" Type="http://schemas.openxmlformats.org/officeDocument/2006/relationships/ctrlProp" Target="../ctrlProps/ctrlProp716.xml"/><Relationship Id="rId23" Type="http://schemas.openxmlformats.org/officeDocument/2006/relationships/ctrlProp" Target="../ctrlProps/ctrlProp480.xml"/><Relationship Id="rId119" Type="http://schemas.openxmlformats.org/officeDocument/2006/relationships/ctrlProp" Target="../ctrlProps/ctrlProp576.xml"/><Relationship Id="rId270" Type="http://schemas.openxmlformats.org/officeDocument/2006/relationships/ctrlProp" Target="../ctrlProps/ctrlProp727.xml"/><Relationship Id="rId326" Type="http://schemas.openxmlformats.org/officeDocument/2006/relationships/ctrlProp" Target="../ctrlProps/ctrlProp783.xml"/><Relationship Id="rId65" Type="http://schemas.openxmlformats.org/officeDocument/2006/relationships/ctrlProp" Target="../ctrlProps/ctrlProp522.xml"/><Relationship Id="rId130" Type="http://schemas.openxmlformats.org/officeDocument/2006/relationships/ctrlProp" Target="../ctrlProps/ctrlProp587.xml"/><Relationship Id="rId368" Type="http://schemas.openxmlformats.org/officeDocument/2006/relationships/ctrlProp" Target="../ctrlProps/ctrlProp825.xml"/><Relationship Id="rId172" Type="http://schemas.openxmlformats.org/officeDocument/2006/relationships/ctrlProp" Target="../ctrlProps/ctrlProp629.xml"/><Relationship Id="rId228" Type="http://schemas.openxmlformats.org/officeDocument/2006/relationships/ctrlProp" Target="../ctrlProps/ctrlProp685.xml"/><Relationship Id="rId281" Type="http://schemas.openxmlformats.org/officeDocument/2006/relationships/ctrlProp" Target="../ctrlProps/ctrlProp738.xml"/><Relationship Id="rId337" Type="http://schemas.openxmlformats.org/officeDocument/2006/relationships/ctrlProp" Target="../ctrlProps/ctrlProp794.xml"/><Relationship Id="rId34" Type="http://schemas.openxmlformats.org/officeDocument/2006/relationships/ctrlProp" Target="../ctrlProps/ctrlProp491.xml"/><Relationship Id="rId76" Type="http://schemas.openxmlformats.org/officeDocument/2006/relationships/ctrlProp" Target="../ctrlProps/ctrlProp533.xml"/><Relationship Id="rId141" Type="http://schemas.openxmlformats.org/officeDocument/2006/relationships/ctrlProp" Target="../ctrlProps/ctrlProp598.xml"/><Relationship Id="rId379" Type="http://schemas.openxmlformats.org/officeDocument/2006/relationships/ctrlProp" Target="../ctrlProps/ctrlProp836.xml"/><Relationship Id="rId7" Type="http://schemas.openxmlformats.org/officeDocument/2006/relationships/ctrlProp" Target="../ctrlProps/ctrlProp464.xml"/><Relationship Id="rId183" Type="http://schemas.openxmlformats.org/officeDocument/2006/relationships/ctrlProp" Target="../ctrlProps/ctrlProp640.xml"/><Relationship Id="rId239" Type="http://schemas.openxmlformats.org/officeDocument/2006/relationships/ctrlProp" Target="../ctrlProps/ctrlProp696.xml"/><Relationship Id="rId390" Type="http://schemas.openxmlformats.org/officeDocument/2006/relationships/ctrlProp" Target="../ctrlProps/ctrlProp847.xml"/><Relationship Id="rId404" Type="http://schemas.openxmlformats.org/officeDocument/2006/relationships/ctrlProp" Target="../ctrlProps/ctrlProp861.xml"/><Relationship Id="rId250" Type="http://schemas.openxmlformats.org/officeDocument/2006/relationships/ctrlProp" Target="../ctrlProps/ctrlProp707.xml"/><Relationship Id="rId292" Type="http://schemas.openxmlformats.org/officeDocument/2006/relationships/ctrlProp" Target="../ctrlProps/ctrlProp749.xml"/><Relationship Id="rId306" Type="http://schemas.openxmlformats.org/officeDocument/2006/relationships/ctrlProp" Target="../ctrlProps/ctrlProp763.xml"/><Relationship Id="rId45" Type="http://schemas.openxmlformats.org/officeDocument/2006/relationships/ctrlProp" Target="../ctrlProps/ctrlProp502.xml"/><Relationship Id="rId87" Type="http://schemas.openxmlformats.org/officeDocument/2006/relationships/ctrlProp" Target="../ctrlProps/ctrlProp544.xml"/><Relationship Id="rId110" Type="http://schemas.openxmlformats.org/officeDocument/2006/relationships/ctrlProp" Target="../ctrlProps/ctrlProp567.xml"/><Relationship Id="rId348" Type="http://schemas.openxmlformats.org/officeDocument/2006/relationships/ctrlProp" Target="../ctrlProps/ctrlProp805.xml"/><Relationship Id="rId152" Type="http://schemas.openxmlformats.org/officeDocument/2006/relationships/ctrlProp" Target="../ctrlProps/ctrlProp609.xml"/><Relationship Id="rId194" Type="http://schemas.openxmlformats.org/officeDocument/2006/relationships/ctrlProp" Target="../ctrlProps/ctrlProp651.xml"/><Relationship Id="rId208" Type="http://schemas.openxmlformats.org/officeDocument/2006/relationships/ctrlProp" Target="../ctrlProps/ctrlProp665.xml"/><Relationship Id="rId415" Type="http://schemas.openxmlformats.org/officeDocument/2006/relationships/ctrlProp" Target="../ctrlProps/ctrlProp872.xml"/><Relationship Id="rId261" Type="http://schemas.openxmlformats.org/officeDocument/2006/relationships/ctrlProp" Target="../ctrlProps/ctrlProp718.xml"/><Relationship Id="rId14" Type="http://schemas.openxmlformats.org/officeDocument/2006/relationships/ctrlProp" Target="../ctrlProps/ctrlProp471.xml"/><Relationship Id="rId56" Type="http://schemas.openxmlformats.org/officeDocument/2006/relationships/ctrlProp" Target="../ctrlProps/ctrlProp513.xml"/><Relationship Id="rId317" Type="http://schemas.openxmlformats.org/officeDocument/2006/relationships/ctrlProp" Target="../ctrlProps/ctrlProp774.xml"/><Relationship Id="rId359" Type="http://schemas.openxmlformats.org/officeDocument/2006/relationships/ctrlProp" Target="../ctrlProps/ctrlProp816.xml"/><Relationship Id="rId98" Type="http://schemas.openxmlformats.org/officeDocument/2006/relationships/ctrlProp" Target="../ctrlProps/ctrlProp555.xml"/><Relationship Id="rId121" Type="http://schemas.openxmlformats.org/officeDocument/2006/relationships/ctrlProp" Target="../ctrlProps/ctrlProp578.xml"/><Relationship Id="rId163" Type="http://schemas.openxmlformats.org/officeDocument/2006/relationships/ctrlProp" Target="../ctrlProps/ctrlProp620.xml"/><Relationship Id="rId219" Type="http://schemas.openxmlformats.org/officeDocument/2006/relationships/ctrlProp" Target="../ctrlProps/ctrlProp676.xml"/><Relationship Id="rId370" Type="http://schemas.openxmlformats.org/officeDocument/2006/relationships/ctrlProp" Target="../ctrlProps/ctrlProp827.xml"/><Relationship Id="rId230" Type="http://schemas.openxmlformats.org/officeDocument/2006/relationships/ctrlProp" Target="../ctrlProps/ctrlProp687.xml"/><Relationship Id="rId25" Type="http://schemas.openxmlformats.org/officeDocument/2006/relationships/ctrlProp" Target="../ctrlProps/ctrlProp482.xml"/><Relationship Id="rId67" Type="http://schemas.openxmlformats.org/officeDocument/2006/relationships/ctrlProp" Target="../ctrlProps/ctrlProp524.xml"/><Relationship Id="rId272" Type="http://schemas.openxmlformats.org/officeDocument/2006/relationships/ctrlProp" Target="../ctrlProps/ctrlProp729.xml"/><Relationship Id="rId328" Type="http://schemas.openxmlformats.org/officeDocument/2006/relationships/ctrlProp" Target="../ctrlProps/ctrlProp785.xml"/><Relationship Id="rId132" Type="http://schemas.openxmlformats.org/officeDocument/2006/relationships/ctrlProp" Target="../ctrlProps/ctrlProp589.xml"/><Relationship Id="rId174" Type="http://schemas.openxmlformats.org/officeDocument/2006/relationships/ctrlProp" Target="../ctrlProps/ctrlProp631.xml"/><Relationship Id="rId381" Type="http://schemas.openxmlformats.org/officeDocument/2006/relationships/ctrlProp" Target="../ctrlProps/ctrlProp838.xml"/><Relationship Id="rId241" Type="http://schemas.openxmlformats.org/officeDocument/2006/relationships/ctrlProp" Target="../ctrlProps/ctrlProp698.xml"/><Relationship Id="rId36" Type="http://schemas.openxmlformats.org/officeDocument/2006/relationships/ctrlProp" Target="../ctrlProps/ctrlProp493.xml"/><Relationship Id="rId283" Type="http://schemas.openxmlformats.org/officeDocument/2006/relationships/ctrlProp" Target="../ctrlProps/ctrlProp740.xml"/><Relationship Id="rId339" Type="http://schemas.openxmlformats.org/officeDocument/2006/relationships/ctrlProp" Target="../ctrlProps/ctrlProp796.xml"/><Relationship Id="rId78" Type="http://schemas.openxmlformats.org/officeDocument/2006/relationships/ctrlProp" Target="../ctrlProps/ctrlProp535.xml"/><Relationship Id="rId101" Type="http://schemas.openxmlformats.org/officeDocument/2006/relationships/ctrlProp" Target="../ctrlProps/ctrlProp558.xml"/><Relationship Id="rId143" Type="http://schemas.openxmlformats.org/officeDocument/2006/relationships/ctrlProp" Target="../ctrlProps/ctrlProp600.xml"/><Relationship Id="rId185" Type="http://schemas.openxmlformats.org/officeDocument/2006/relationships/ctrlProp" Target="../ctrlProps/ctrlProp642.xml"/><Relationship Id="rId350" Type="http://schemas.openxmlformats.org/officeDocument/2006/relationships/ctrlProp" Target="../ctrlProps/ctrlProp807.xml"/><Relationship Id="rId406" Type="http://schemas.openxmlformats.org/officeDocument/2006/relationships/ctrlProp" Target="../ctrlProps/ctrlProp863.xml"/><Relationship Id="rId9" Type="http://schemas.openxmlformats.org/officeDocument/2006/relationships/ctrlProp" Target="../ctrlProps/ctrlProp466.xml"/><Relationship Id="rId210" Type="http://schemas.openxmlformats.org/officeDocument/2006/relationships/ctrlProp" Target="../ctrlProps/ctrlProp667.xml"/><Relationship Id="rId392" Type="http://schemas.openxmlformats.org/officeDocument/2006/relationships/ctrlProp" Target="../ctrlProps/ctrlProp849.xml"/><Relationship Id="rId252" Type="http://schemas.openxmlformats.org/officeDocument/2006/relationships/ctrlProp" Target="../ctrlProps/ctrlProp709.xml"/><Relationship Id="rId294" Type="http://schemas.openxmlformats.org/officeDocument/2006/relationships/ctrlProp" Target="../ctrlProps/ctrlProp751.xml"/><Relationship Id="rId308" Type="http://schemas.openxmlformats.org/officeDocument/2006/relationships/ctrlProp" Target="../ctrlProps/ctrlProp765.xml"/><Relationship Id="rId47" Type="http://schemas.openxmlformats.org/officeDocument/2006/relationships/ctrlProp" Target="../ctrlProps/ctrlProp504.xml"/><Relationship Id="rId89" Type="http://schemas.openxmlformats.org/officeDocument/2006/relationships/ctrlProp" Target="../ctrlProps/ctrlProp546.xml"/><Relationship Id="rId112" Type="http://schemas.openxmlformats.org/officeDocument/2006/relationships/ctrlProp" Target="../ctrlProps/ctrlProp569.xml"/><Relationship Id="rId154" Type="http://schemas.openxmlformats.org/officeDocument/2006/relationships/ctrlProp" Target="../ctrlProps/ctrlProp611.xml"/><Relationship Id="rId361" Type="http://schemas.openxmlformats.org/officeDocument/2006/relationships/ctrlProp" Target="../ctrlProps/ctrlProp818.xml"/><Relationship Id="rId196" Type="http://schemas.openxmlformats.org/officeDocument/2006/relationships/ctrlProp" Target="../ctrlProps/ctrlProp653.xml"/><Relationship Id="rId16" Type="http://schemas.openxmlformats.org/officeDocument/2006/relationships/ctrlProp" Target="../ctrlProps/ctrlProp473.xml"/><Relationship Id="rId221" Type="http://schemas.openxmlformats.org/officeDocument/2006/relationships/ctrlProp" Target="../ctrlProps/ctrlProp678.xml"/><Relationship Id="rId263" Type="http://schemas.openxmlformats.org/officeDocument/2006/relationships/ctrlProp" Target="../ctrlProps/ctrlProp720.xml"/><Relationship Id="rId319" Type="http://schemas.openxmlformats.org/officeDocument/2006/relationships/ctrlProp" Target="../ctrlProps/ctrlProp776.xml"/><Relationship Id="rId58" Type="http://schemas.openxmlformats.org/officeDocument/2006/relationships/ctrlProp" Target="../ctrlProps/ctrlProp515.xml"/><Relationship Id="rId123" Type="http://schemas.openxmlformats.org/officeDocument/2006/relationships/ctrlProp" Target="../ctrlProps/ctrlProp580.xml"/><Relationship Id="rId330" Type="http://schemas.openxmlformats.org/officeDocument/2006/relationships/ctrlProp" Target="../ctrlProps/ctrlProp787.xml"/><Relationship Id="rId165" Type="http://schemas.openxmlformats.org/officeDocument/2006/relationships/ctrlProp" Target="../ctrlProps/ctrlProp622.xml"/><Relationship Id="rId372" Type="http://schemas.openxmlformats.org/officeDocument/2006/relationships/ctrlProp" Target="../ctrlProps/ctrlProp829.xml"/><Relationship Id="rId232" Type="http://schemas.openxmlformats.org/officeDocument/2006/relationships/ctrlProp" Target="../ctrlProps/ctrlProp689.xml"/><Relationship Id="rId274" Type="http://schemas.openxmlformats.org/officeDocument/2006/relationships/ctrlProp" Target="../ctrlProps/ctrlProp731.xml"/><Relationship Id="rId27" Type="http://schemas.openxmlformats.org/officeDocument/2006/relationships/ctrlProp" Target="../ctrlProps/ctrlProp484.xml"/><Relationship Id="rId69" Type="http://schemas.openxmlformats.org/officeDocument/2006/relationships/ctrlProp" Target="../ctrlProps/ctrlProp526.xml"/><Relationship Id="rId134" Type="http://schemas.openxmlformats.org/officeDocument/2006/relationships/ctrlProp" Target="../ctrlProps/ctrlProp591.xml"/><Relationship Id="rId80" Type="http://schemas.openxmlformats.org/officeDocument/2006/relationships/ctrlProp" Target="../ctrlProps/ctrlProp537.xml"/><Relationship Id="rId155" Type="http://schemas.openxmlformats.org/officeDocument/2006/relationships/ctrlProp" Target="../ctrlProps/ctrlProp612.xml"/><Relationship Id="rId176" Type="http://schemas.openxmlformats.org/officeDocument/2006/relationships/ctrlProp" Target="../ctrlProps/ctrlProp633.xml"/><Relationship Id="rId197" Type="http://schemas.openxmlformats.org/officeDocument/2006/relationships/ctrlProp" Target="../ctrlProps/ctrlProp654.xml"/><Relationship Id="rId341" Type="http://schemas.openxmlformats.org/officeDocument/2006/relationships/ctrlProp" Target="../ctrlProps/ctrlProp798.xml"/><Relationship Id="rId362" Type="http://schemas.openxmlformats.org/officeDocument/2006/relationships/ctrlProp" Target="../ctrlProps/ctrlProp819.xml"/><Relationship Id="rId383" Type="http://schemas.openxmlformats.org/officeDocument/2006/relationships/ctrlProp" Target="../ctrlProps/ctrlProp840.xml"/><Relationship Id="rId201" Type="http://schemas.openxmlformats.org/officeDocument/2006/relationships/ctrlProp" Target="../ctrlProps/ctrlProp658.xml"/><Relationship Id="rId222" Type="http://schemas.openxmlformats.org/officeDocument/2006/relationships/ctrlProp" Target="../ctrlProps/ctrlProp679.xml"/><Relationship Id="rId243" Type="http://schemas.openxmlformats.org/officeDocument/2006/relationships/ctrlProp" Target="../ctrlProps/ctrlProp700.xml"/><Relationship Id="rId264" Type="http://schemas.openxmlformats.org/officeDocument/2006/relationships/ctrlProp" Target="../ctrlProps/ctrlProp721.xml"/><Relationship Id="rId285" Type="http://schemas.openxmlformats.org/officeDocument/2006/relationships/ctrlProp" Target="../ctrlProps/ctrlProp742.xml"/><Relationship Id="rId17" Type="http://schemas.openxmlformats.org/officeDocument/2006/relationships/ctrlProp" Target="../ctrlProps/ctrlProp474.xml"/><Relationship Id="rId38" Type="http://schemas.openxmlformats.org/officeDocument/2006/relationships/ctrlProp" Target="../ctrlProps/ctrlProp495.xml"/><Relationship Id="rId59" Type="http://schemas.openxmlformats.org/officeDocument/2006/relationships/ctrlProp" Target="../ctrlProps/ctrlProp516.xml"/><Relationship Id="rId103" Type="http://schemas.openxmlformats.org/officeDocument/2006/relationships/ctrlProp" Target="../ctrlProps/ctrlProp560.xml"/><Relationship Id="rId124" Type="http://schemas.openxmlformats.org/officeDocument/2006/relationships/ctrlProp" Target="../ctrlProps/ctrlProp581.xml"/><Relationship Id="rId310" Type="http://schemas.openxmlformats.org/officeDocument/2006/relationships/ctrlProp" Target="../ctrlProps/ctrlProp767.xml"/><Relationship Id="rId70" Type="http://schemas.openxmlformats.org/officeDocument/2006/relationships/ctrlProp" Target="../ctrlProps/ctrlProp527.xml"/><Relationship Id="rId91" Type="http://schemas.openxmlformats.org/officeDocument/2006/relationships/ctrlProp" Target="../ctrlProps/ctrlProp548.xml"/><Relationship Id="rId145" Type="http://schemas.openxmlformats.org/officeDocument/2006/relationships/ctrlProp" Target="../ctrlProps/ctrlProp602.xml"/><Relationship Id="rId166" Type="http://schemas.openxmlformats.org/officeDocument/2006/relationships/ctrlProp" Target="../ctrlProps/ctrlProp623.xml"/><Relationship Id="rId187" Type="http://schemas.openxmlformats.org/officeDocument/2006/relationships/ctrlProp" Target="../ctrlProps/ctrlProp644.xml"/><Relationship Id="rId331" Type="http://schemas.openxmlformats.org/officeDocument/2006/relationships/ctrlProp" Target="../ctrlProps/ctrlProp788.xml"/><Relationship Id="rId352" Type="http://schemas.openxmlformats.org/officeDocument/2006/relationships/ctrlProp" Target="../ctrlProps/ctrlProp809.xml"/><Relationship Id="rId373" Type="http://schemas.openxmlformats.org/officeDocument/2006/relationships/ctrlProp" Target="../ctrlProps/ctrlProp830.xml"/><Relationship Id="rId394" Type="http://schemas.openxmlformats.org/officeDocument/2006/relationships/ctrlProp" Target="../ctrlProps/ctrlProp851.xml"/><Relationship Id="rId408" Type="http://schemas.openxmlformats.org/officeDocument/2006/relationships/ctrlProp" Target="../ctrlProps/ctrlProp865.xml"/><Relationship Id="rId1" Type="http://schemas.openxmlformats.org/officeDocument/2006/relationships/printerSettings" Target="../printerSettings/printerSettings12.bin"/><Relationship Id="rId212" Type="http://schemas.openxmlformats.org/officeDocument/2006/relationships/ctrlProp" Target="../ctrlProps/ctrlProp669.xml"/><Relationship Id="rId233" Type="http://schemas.openxmlformats.org/officeDocument/2006/relationships/ctrlProp" Target="../ctrlProps/ctrlProp690.xml"/><Relationship Id="rId254" Type="http://schemas.openxmlformats.org/officeDocument/2006/relationships/ctrlProp" Target="../ctrlProps/ctrlProp711.xml"/><Relationship Id="rId28" Type="http://schemas.openxmlformats.org/officeDocument/2006/relationships/ctrlProp" Target="../ctrlProps/ctrlProp485.xml"/><Relationship Id="rId49" Type="http://schemas.openxmlformats.org/officeDocument/2006/relationships/ctrlProp" Target="../ctrlProps/ctrlProp506.xml"/><Relationship Id="rId114" Type="http://schemas.openxmlformats.org/officeDocument/2006/relationships/ctrlProp" Target="../ctrlProps/ctrlProp571.xml"/><Relationship Id="rId275" Type="http://schemas.openxmlformats.org/officeDocument/2006/relationships/ctrlProp" Target="../ctrlProps/ctrlProp732.xml"/><Relationship Id="rId296" Type="http://schemas.openxmlformats.org/officeDocument/2006/relationships/ctrlProp" Target="../ctrlProps/ctrlProp753.xml"/><Relationship Id="rId300" Type="http://schemas.openxmlformats.org/officeDocument/2006/relationships/ctrlProp" Target="../ctrlProps/ctrlProp757.xml"/><Relationship Id="rId60" Type="http://schemas.openxmlformats.org/officeDocument/2006/relationships/ctrlProp" Target="../ctrlProps/ctrlProp517.xml"/><Relationship Id="rId81" Type="http://schemas.openxmlformats.org/officeDocument/2006/relationships/ctrlProp" Target="../ctrlProps/ctrlProp538.xml"/><Relationship Id="rId135" Type="http://schemas.openxmlformats.org/officeDocument/2006/relationships/ctrlProp" Target="../ctrlProps/ctrlProp592.xml"/><Relationship Id="rId156" Type="http://schemas.openxmlformats.org/officeDocument/2006/relationships/ctrlProp" Target="../ctrlProps/ctrlProp613.xml"/><Relationship Id="rId177" Type="http://schemas.openxmlformats.org/officeDocument/2006/relationships/ctrlProp" Target="../ctrlProps/ctrlProp634.xml"/><Relationship Id="rId198" Type="http://schemas.openxmlformats.org/officeDocument/2006/relationships/ctrlProp" Target="../ctrlProps/ctrlProp655.xml"/><Relationship Id="rId321" Type="http://schemas.openxmlformats.org/officeDocument/2006/relationships/ctrlProp" Target="../ctrlProps/ctrlProp778.xml"/><Relationship Id="rId342" Type="http://schemas.openxmlformats.org/officeDocument/2006/relationships/ctrlProp" Target="../ctrlProps/ctrlProp799.xml"/><Relationship Id="rId363" Type="http://schemas.openxmlformats.org/officeDocument/2006/relationships/ctrlProp" Target="../ctrlProps/ctrlProp820.xml"/><Relationship Id="rId384" Type="http://schemas.openxmlformats.org/officeDocument/2006/relationships/ctrlProp" Target="../ctrlProps/ctrlProp841.xml"/><Relationship Id="rId202" Type="http://schemas.openxmlformats.org/officeDocument/2006/relationships/ctrlProp" Target="../ctrlProps/ctrlProp659.xml"/><Relationship Id="rId223" Type="http://schemas.openxmlformats.org/officeDocument/2006/relationships/ctrlProp" Target="../ctrlProps/ctrlProp680.xml"/><Relationship Id="rId244" Type="http://schemas.openxmlformats.org/officeDocument/2006/relationships/ctrlProp" Target="../ctrlProps/ctrlProp701.xml"/><Relationship Id="rId18" Type="http://schemas.openxmlformats.org/officeDocument/2006/relationships/ctrlProp" Target="../ctrlProps/ctrlProp475.xml"/><Relationship Id="rId39" Type="http://schemas.openxmlformats.org/officeDocument/2006/relationships/ctrlProp" Target="../ctrlProps/ctrlProp496.xml"/><Relationship Id="rId265" Type="http://schemas.openxmlformats.org/officeDocument/2006/relationships/ctrlProp" Target="../ctrlProps/ctrlProp722.xml"/><Relationship Id="rId286" Type="http://schemas.openxmlformats.org/officeDocument/2006/relationships/ctrlProp" Target="../ctrlProps/ctrlProp743.xml"/><Relationship Id="rId50" Type="http://schemas.openxmlformats.org/officeDocument/2006/relationships/ctrlProp" Target="../ctrlProps/ctrlProp507.xml"/><Relationship Id="rId104" Type="http://schemas.openxmlformats.org/officeDocument/2006/relationships/ctrlProp" Target="../ctrlProps/ctrlProp561.xml"/><Relationship Id="rId125" Type="http://schemas.openxmlformats.org/officeDocument/2006/relationships/ctrlProp" Target="../ctrlProps/ctrlProp582.xml"/><Relationship Id="rId146" Type="http://schemas.openxmlformats.org/officeDocument/2006/relationships/ctrlProp" Target="../ctrlProps/ctrlProp603.xml"/><Relationship Id="rId167" Type="http://schemas.openxmlformats.org/officeDocument/2006/relationships/ctrlProp" Target="../ctrlProps/ctrlProp624.xml"/><Relationship Id="rId188" Type="http://schemas.openxmlformats.org/officeDocument/2006/relationships/ctrlProp" Target="../ctrlProps/ctrlProp645.xml"/><Relationship Id="rId311" Type="http://schemas.openxmlformats.org/officeDocument/2006/relationships/ctrlProp" Target="../ctrlProps/ctrlProp768.xml"/><Relationship Id="rId332" Type="http://schemas.openxmlformats.org/officeDocument/2006/relationships/ctrlProp" Target="../ctrlProps/ctrlProp789.xml"/><Relationship Id="rId353" Type="http://schemas.openxmlformats.org/officeDocument/2006/relationships/ctrlProp" Target="../ctrlProps/ctrlProp810.xml"/><Relationship Id="rId374" Type="http://schemas.openxmlformats.org/officeDocument/2006/relationships/ctrlProp" Target="../ctrlProps/ctrlProp831.xml"/><Relationship Id="rId395" Type="http://schemas.openxmlformats.org/officeDocument/2006/relationships/ctrlProp" Target="../ctrlProps/ctrlProp852.xml"/><Relationship Id="rId409" Type="http://schemas.openxmlformats.org/officeDocument/2006/relationships/ctrlProp" Target="../ctrlProps/ctrlProp866.xml"/><Relationship Id="rId71" Type="http://schemas.openxmlformats.org/officeDocument/2006/relationships/ctrlProp" Target="../ctrlProps/ctrlProp528.xml"/><Relationship Id="rId92" Type="http://schemas.openxmlformats.org/officeDocument/2006/relationships/ctrlProp" Target="../ctrlProps/ctrlProp549.xml"/><Relationship Id="rId213" Type="http://schemas.openxmlformats.org/officeDocument/2006/relationships/ctrlProp" Target="../ctrlProps/ctrlProp670.xml"/><Relationship Id="rId234" Type="http://schemas.openxmlformats.org/officeDocument/2006/relationships/ctrlProp" Target="../ctrlProps/ctrlProp691.xml"/><Relationship Id="rId2" Type="http://schemas.openxmlformats.org/officeDocument/2006/relationships/drawing" Target="../drawings/drawing11.xml"/><Relationship Id="rId29" Type="http://schemas.openxmlformats.org/officeDocument/2006/relationships/ctrlProp" Target="../ctrlProps/ctrlProp486.xml"/><Relationship Id="rId255" Type="http://schemas.openxmlformats.org/officeDocument/2006/relationships/ctrlProp" Target="../ctrlProps/ctrlProp712.xml"/><Relationship Id="rId276" Type="http://schemas.openxmlformats.org/officeDocument/2006/relationships/ctrlProp" Target="../ctrlProps/ctrlProp733.xml"/><Relationship Id="rId297" Type="http://schemas.openxmlformats.org/officeDocument/2006/relationships/ctrlProp" Target="../ctrlProps/ctrlProp754.xml"/><Relationship Id="rId40" Type="http://schemas.openxmlformats.org/officeDocument/2006/relationships/ctrlProp" Target="../ctrlProps/ctrlProp497.xml"/><Relationship Id="rId115" Type="http://schemas.openxmlformats.org/officeDocument/2006/relationships/ctrlProp" Target="../ctrlProps/ctrlProp572.xml"/><Relationship Id="rId136" Type="http://schemas.openxmlformats.org/officeDocument/2006/relationships/ctrlProp" Target="../ctrlProps/ctrlProp593.xml"/><Relationship Id="rId157" Type="http://schemas.openxmlformats.org/officeDocument/2006/relationships/ctrlProp" Target="../ctrlProps/ctrlProp614.xml"/><Relationship Id="rId178" Type="http://schemas.openxmlformats.org/officeDocument/2006/relationships/ctrlProp" Target="../ctrlProps/ctrlProp635.xml"/><Relationship Id="rId301" Type="http://schemas.openxmlformats.org/officeDocument/2006/relationships/ctrlProp" Target="../ctrlProps/ctrlProp758.xml"/><Relationship Id="rId322" Type="http://schemas.openxmlformats.org/officeDocument/2006/relationships/ctrlProp" Target="../ctrlProps/ctrlProp779.xml"/><Relationship Id="rId343" Type="http://schemas.openxmlformats.org/officeDocument/2006/relationships/ctrlProp" Target="../ctrlProps/ctrlProp800.xml"/><Relationship Id="rId364" Type="http://schemas.openxmlformats.org/officeDocument/2006/relationships/ctrlProp" Target="../ctrlProps/ctrlProp821.xml"/><Relationship Id="rId61" Type="http://schemas.openxmlformats.org/officeDocument/2006/relationships/ctrlProp" Target="../ctrlProps/ctrlProp518.xml"/><Relationship Id="rId82" Type="http://schemas.openxmlformats.org/officeDocument/2006/relationships/ctrlProp" Target="../ctrlProps/ctrlProp539.xml"/><Relationship Id="rId199" Type="http://schemas.openxmlformats.org/officeDocument/2006/relationships/ctrlProp" Target="../ctrlProps/ctrlProp656.xml"/><Relationship Id="rId203" Type="http://schemas.openxmlformats.org/officeDocument/2006/relationships/ctrlProp" Target="../ctrlProps/ctrlProp660.xml"/><Relationship Id="rId385" Type="http://schemas.openxmlformats.org/officeDocument/2006/relationships/ctrlProp" Target="../ctrlProps/ctrlProp842.xml"/><Relationship Id="rId19" Type="http://schemas.openxmlformats.org/officeDocument/2006/relationships/ctrlProp" Target="../ctrlProps/ctrlProp476.xml"/><Relationship Id="rId224" Type="http://schemas.openxmlformats.org/officeDocument/2006/relationships/ctrlProp" Target="../ctrlProps/ctrlProp681.xml"/><Relationship Id="rId245" Type="http://schemas.openxmlformats.org/officeDocument/2006/relationships/ctrlProp" Target="../ctrlProps/ctrlProp702.xml"/><Relationship Id="rId266" Type="http://schemas.openxmlformats.org/officeDocument/2006/relationships/ctrlProp" Target="../ctrlProps/ctrlProp723.xml"/><Relationship Id="rId287" Type="http://schemas.openxmlformats.org/officeDocument/2006/relationships/ctrlProp" Target="../ctrlProps/ctrlProp744.xml"/><Relationship Id="rId410" Type="http://schemas.openxmlformats.org/officeDocument/2006/relationships/ctrlProp" Target="../ctrlProps/ctrlProp867.xml"/><Relationship Id="rId30" Type="http://schemas.openxmlformats.org/officeDocument/2006/relationships/ctrlProp" Target="../ctrlProps/ctrlProp487.xml"/><Relationship Id="rId105" Type="http://schemas.openxmlformats.org/officeDocument/2006/relationships/ctrlProp" Target="../ctrlProps/ctrlProp562.xml"/><Relationship Id="rId126" Type="http://schemas.openxmlformats.org/officeDocument/2006/relationships/ctrlProp" Target="../ctrlProps/ctrlProp583.xml"/><Relationship Id="rId147" Type="http://schemas.openxmlformats.org/officeDocument/2006/relationships/ctrlProp" Target="../ctrlProps/ctrlProp604.xml"/><Relationship Id="rId168" Type="http://schemas.openxmlformats.org/officeDocument/2006/relationships/ctrlProp" Target="../ctrlProps/ctrlProp625.xml"/><Relationship Id="rId312" Type="http://schemas.openxmlformats.org/officeDocument/2006/relationships/ctrlProp" Target="../ctrlProps/ctrlProp769.xml"/><Relationship Id="rId333" Type="http://schemas.openxmlformats.org/officeDocument/2006/relationships/ctrlProp" Target="../ctrlProps/ctrlProp790.xml"/><Relationship Id="rId354" Type="http://schemas.openxmlformats.org/officeDocument/2006/relationships/ctrlProp" Target="../ctrlProps/ctrlProp811.xml"/><Relationship Id="rId51" Type="http://schemas.openxmlformats.org/officeDocument/2006/relationships/ctrlProp" Target="../ctrlProps/ctrlProp508.xml"/><Relationship Id="rId72" Type="http://schemas.openxmlformats.org/officeDocument/2006/relationships/ctrlProp" Target="../ctrlProps/ctrlProp529.xml"/><Relationship Id="rId93" Type="http://schemas.openxmlformats.org/officeDocument/2006/relationships/ctrlProp" Target="../ctrlProps/ctrlProp550.xml"/><Relationship Id="rId189" Type="http://schemas.openxmlformats.org/officeDocument/2006/relationships/ctrlProp" Target="../ctrlProps/ctrlProp646.xml"/><Relationship Id="rId375" Type="http://schemas.openxmlformats.org/officeDocument/2006/relationships/ctrlProp" Target="../ctrlProps/ctrlProp832.xml"/><Relationship Id="rId396" Type="http://schemas.openxmlformats.org/officeDocument/2006/relationships/ctrlProp" Target="../ctrlProps/ctrlProp853.xml"/><Relationship Id="rId3" Type="http://schemas.openxmlformats.org/officeDocument/2006/relationships/vmlDrawing" Target="../drawings/vmlDrawing9.vml"/><Relationship Id="rId214" Type="http://schemas.openxmlformats.org/officeDocument/2006/relationships/ctrlProp" Target="../ctrlProps/ctrlProp671.xml"/><Relationship Id="rId235" Type="http://schemas.openxmlformats.org/officeDocument/2006/relationships/ctrlProp" Target="../ctrlProps/ctrlProp692.xml"/><Relationship Id="rId256" Type="http://schemas.openxmlformats.org/officeDocument/2006/relationships/ctrlProp" Target="../ctrlProps/ctrlProp713.xml"/><Relationship Id="rId277" Type="http://schemas.openxmlformats.org/officeDocument/2006/relationships/ctrlProp" Target="../ctrlProps/ctrlProp734.xml"/><Relationship Id="rId298" Type="http://schemas.openxmlformats.org/officeDocument/2006/relationships/ctrlProp" Target="../ctrlProps/ctrlProp755.xml"/><Relationship Id="rId400" Type="http://schemas.openxmlformats.org/officeDocument/2006/relationships/ctrlProp" Target="../ctrlProps/ctrlProp857.xml"/><Relationship Id="rId116" Type="http://schemas.openxmlformats.org/officeDocument/2006/relationships/ctrlProp" Target="../ctrlProps/ctrlProp573.xml"/><Relationship Id="rId137" Type="http://schemas.openxmlformats.org/officeDocument/2006/relationships/ctrlProp" Target="../ctrlProps/ctrlProp594.xml"/><Relationship Id="rId158" Type="http://schemas.openxmlformats.org/officeDocument/2006/relationships/ctrlProp" Target="../ctrlProps/ctrlProp615.xml"/><Relationship Id="rId302" Type="http://schemas.openxmlformats.org/officeDocument/2006/relationships/ctrlProp" Target="../ctrlProps/ctrlProp759.xml"/><Relationship Id="rId323" Type="http://schemas.openxmlformats.org/officeDocument/2006/relationships/ctrlProp" Target="../ctrlProps/ctrlProp780.xml"/><Relationship Id="rId344" Type="http://schemas.openxmlformats.org/officeDocument/2006/relationships/ctrlProp" Target="../ctrlProps/ctrlProp801.xml"/><Relationship Id="rId20" Type="http://schemas.openxmlformats.org/officeDocument/2006/relationships/ctrlProp" Target="../ctrlProps/ctrlProp477.xml"/><Relationship Id="rId41" Type="http://schemas.openxmlformats.org/officeDocument/2006/relationships/ctrlProp" Target="../ctrlProps/ctrlProp498.xml"/><Relationship Id="rId62" Type="http://schemas.openxmlformats.org/officeDocument/2006/relationships/ctrlProp" Target="../ctrlProps/ctrlProp519.xml"/><Relationship Id="rId83" Type="http://schemas.openxmlformats.org/officeDocument/2006/relationships/ctrlProp" Target="../ctrlProps/ctrlProp540.xml"/><Relationship Id="rId179" Type="http://schemas.openxmlformats.org/officeDocument/2006/relationships/ctrlProp" Target="../ctrlProps/ctrlProp636.xml"/><Relationship Id="rId365" Type="http://schemas.openxmlformats.org/officeDocument/2006/relationships/ctrlProp" Target="../ctrlProps/ctrlProp822.xml"/><Relationship Id="rId386" Type="http://schemas.openxmlformats.org/officeDocument/2006/relationships/ctrlProp" Target="../ctrlProps/ctrlProp843.xml"/><Relationship Id="rId190" Type="http://schemas.openxmlformats.org/officeDocument/2006/relationships/ctrlProp" Target="../ctrlProps/ctrlProp647.xml"/><Relationship Id="rId204" Type="http://schemas.openxmlformats.org/officeDocument/2006/relationships/ctrlProp" Target="../ctrlProps/ctrlProp661.xml"/><Relationship Id="rId225" Type="http://schemas.openxmlformats.org/officeDocument/2006/relationships/ctrlProp" Target="../ctrlProps/ctrlProp682.xml"/><Relationship Id="rId246" Type="http://schemas.openxmlformats.org/officeDocument/2006/relationships/ctrlProp" Target="../ctrlProps/ctrlProp703.xml"/><Relationship Id="rId267" Type="http://schemas.openxmlformats.org/officeDocument/2006/relationships/ctrlProp" Target="../ctrlProps/ctrlProp724.xml"/><Relationship Id="rId288" Type="http://schemas.openxmlformats.org/officeDocument/2006/relationships/ctrlProp" Target="../ctrlProps/ctrlProp745.xml"/><Relationship Id="rId411" Type="http://schemas.openxmlformats.org/officeDocument/2006/relationships/ctrlProp" Target="../ctrlProps/ctrlProp868.xml"/><Relationship Id="rId106" Type="http://schemas.openxmlformats.org/officeDocument/2006/relationships/ctrlProp" Target="../ctrlProps/ctrlProp563.xml"/><Relationship Id="rId127" Type="http://schemas.openxmlformats.org/officeDocument/2006/relationships/ctrlProp" Target="../ctrlProps/ctrlProp584.xml"/><Relationship Id="rId313" Type="http://schemas.openxmlformats.org/officeDocument/2006/relationships/ctrlProp" Target="../ctrlProps/ctrlProp770.xml"/><Relationship Id="rId10" Type="http://schemas.openxmlformats.org/officeDocument/2006/relationships/ctrlProp" Target="../ctrlProps/ctrlProp467.xml"/><Relationship Id="rId31" Type="http://schemas.openxmlformats.org/officeDocument/2006/relationships/ctrlProp" Target="../ctrlProps/ctrlProp488.xml"/><Relationship Id="rId52" Type="http://schemas.openxmlformats.org/officeDocument/2006/relationships/ctrlProp" Target="../ctrlProps/ctrlProp509.xml"/><Relationship Id="rId73" Type="http://schemas.openxmlformats.org/officeDocument/2006/relationships/ctrlProp" Target="../ctrlProps/ctrlProp530.xml"/><Relationship Id="rId94" Type="http://schemas.openxmlformats.org/officeDocument/2006/relationships/ctrlProp" Target="../ctrlProps/ctrlProp551.xml"/><Relationship Id="rId148" Type="http://schemas.openxmlformats.org/officeDocument/2006/relationships/ctrlProp" Target="../ctrlProps/ctrlProp605.xml"/><Relationship Id="rId169" Type="http://schemas.openxmlformats.org/officeDocument/2006/relationships/ctrlProp" Target="../ctrlProps/ctrlProp626.xml"/><Relationship Id="rId334" Type="http://schemas.openxmlformats.org/officeDocument/2006/relationships/ctrlProp" Target="../ctrlProps/ctrlProp791.xml"/><Relationship Id="rId355" Type="http://schemas.openxmlformats.org/officeDocument/2006/relationships/ctrlProp" Target="../ctrlProps/ctrlProp812.xml"/><Relationship Id="rId376" Type="http://schemas.openxmlformats.org/officeDocument/2006/relationships/ctrlProp" Target="../ctrlProps/ctrlProp833.xml"/><Relationship Id="rId397" Type="http://schemas.openxmlformats.org/officeDocument/2006/relationships/ctrlProp" Target="../ctrlProps/ctrlProp854.xml"/><Relationship Id="rId4" Type="http://schemas.openxmlformats.org/officeDocument/2006/relationships/ctrlProp" Target="../ctrlProps/ctrlProp461.xml"/><Relationship Id="rId180" Type="http://schemas.openxmlformats.org/officeDocument/2006/relationships/ctrlProp" Target="../ctrlProps/ctrlProp637.xml"/><Relationship Id="rId215" Type="http://schemas.openxmlformats.org/officeDocument/2006/relationships/ctrlProp" Target="../ctrlProps/ctrlProp672.xml"/><Relationship Id="rId236" Type="http://schemas.openxmlformats.org/officeDocument/2006/relationships/ctrlProp" Target="../ctrlProps/ctrlProp693.xml"/><Relationship Id="rId257" Type="http://schemas.openxmlformats.org/officeDocument/2006/relationships/ctrlProp" Target="../ctrlProps/ctrlProp714.xml"/><Relationship Id="rId278" Type="http://schemas.openxmlformats.org/officeDocument/2006/relationships/ctrlProp" Target="../ctrlProps/ctrlProp735.xml"/><Relationship Id="rId401" Type="http://schemas.openxmlformats.org/officeDocument/2006/relationships/ctrlProp" Target="../ctrlProps/ctrlProp858.xml"/><Relationship Id="rId303" Type="http://schemas.openxmlformats.org/officeDocument/2006/relationships/ctrlProp" Target="../ctrlProps/ctrlProp760.xml"/><Relationship Id="rId42" Type="http://schemas.openxmlformats.org/officeDocument/2006/relationships/ctrlProp" Target="../ctrlProps/ctrlProp499.xml"/><Relationship Id="rId84" Type="http://schemas.openxmlformats.org/officeDocument/2006/relationships/ctrlProp" Target="../ctrlProps/ctrlProp541.xml"/><Relationship Id="rId138" Type="http://schemas.openxmlformats.org/officeDocument/2006/relationships/ctrlProp" Target="../ctrlProps/ctrlProp595.xml"/><Relationship Id="rId345" Type="http://schemas.openxmlformats.org/officeDocument/2006/relationships/ctrlProp" Target="../ctrlProps/ctrlProp802.xml"/><Relationship Id="rId387" Type="http://schemas.openxmlformats.org/officeDocument/2006/relationships/ctrlProp" Target="../ctrlProps/ctrlProp844.xml"/><Relationship Id="rId191" Type="http://schemas.openxmlformats.org/officeDocument/2006/relationships/ctrlProp" Target="../ctrlProps/ctrlProp648.xml"/><Relationship Id="rId205" Type="http://schemas.openxmlformats.org/officeDocument/2006/relationships/ctrlProp" Target="../ctrlProps/ctrlProp662.xml"/><Relationship Id="rId247" Type="http://schemas.openxmlformats.org/officeDocument/2006/relationships/ctrlProp" Target="../ctrlProps/ctrlProp704.xml"/><Relationship Id="rId412" Type="http://schemas.openxmlformats.org/officeDocument/2006/relationships/ctrlProp" Target="../ctrlProps/ctrlProp869.xml"/><Relationship Id="rId107" Type="http://schemas.openxmlformats.org/officeDocument/2006/relationships/ctrlProp" Target="../ctrlProps/ctrlProp564.xml"/><Relationship Id="rId289" Type="http://schemas.openxmlformats.org/officeDocument/2006/relationships/ctrlProp" Target="../ctrlProps/ctrlProp746.xml"/><Relationship Id="rId11" Type="http://schemas.openxmlformats.org/officeDocument/2006/relationships/ctrlProp" Target="../ctrlProps/ctrlProp468.xml"/><Relationship Id="rId53" Type="http://schemas.openxmlformats.org/officeDocument/2006/relationships/ctrlProp" Target="../ctrlProps/ctrlProp510.xml"/><Relationship Id="rId149" Type="http://schemas.openxmlformats.org/officeDocument/2006/relationships/ctrlProp" Target="../ctrlProps/ctrlProp606.xml"/><Relationship Id="rId314" Type="http://schemas.openxmlformats.org/officeDocument/2006/relationships/ctrlProp" Target="../ctrlProps/ctrlProp771.xml"/><Relationship Id="rId356" Type="http://schemas.openxmlformats.org/officeDocument/2006/relationships/ctrlProp" Target="../ctrlProps/ctrlProp813.xml"/><Relationship Id="rId398" Type="http://schemas.openxmlformats.org/officeDocument/2006/relationships/ctrlProp" Target="../ctrlProps/ctrlProp855.xml"/><Relationship Id="rId95" Type="http://schemas.openxmlformats.org/officeDocument/2006/relationships/ctrlProp" Target="../ctrlProps/ctrlProp552.xml"/><Relationship Id="rId160" Type="http://schemas.openxmlformats.org/officeDocument/2006/relationships/ctrlProp" Target="../ctrlProps/ctrlProp617.xml"/><Relationship Id="rId216" Type="http://schemas.openxmlformats.org/officeDocument/2006/relationships/ctrlProp" Target="../ctrlProps/ctrlProp673.xml"/><Relationship Id="rId258" Type="http://schemas.openxmlformats.org/officeDocument/2006/relationships/ctrlProp" Target="../ctrlProps/ctrlProp715.xml"/><Relationship Id="rId22" Type="http://schemas.openxmlformats.org/officeDocument/2006/relationships/ctrlProp" Target="../ctrlProps/ctrlProp479.xml"/><Relationship Id="rId64" Type="http://schemas.openxmlformats.org/officeDocument/2006/relationships/ctrlProp" Target="../ctrlProps/ctrlProp521.xml"/><Relationship Id="rId118" Type="http://schemas.openxmlformats.org/officeDocument/2006/relationships/ctrlProp" Target="../ctrlProps/ctrlProp575.xml"/><Relationship Id="rId325" Type="http://schemas.openxmlformats.org/officeDocument/2006/relationships/ctrlProp" Target="../ctrlProps/ctrlProp782.xml"/><Relationship Id="rId367" Type="http://schemas.openxmlformats.org/officeDocument/2006/relationships/ctrlProp" Target="../ctrlProps/ctrlProp824.xml"/><Relationship Id="rId171" Type="http://schemas.openxmlformats.org/officeDocument/2006/relationships/ctrlProp" Target="../ctrlProps/ctrlProp628.xml"/><Relationship Id="rId227" Type="http://schemas.openxmlformats.org/officeDocument/2006/relationships/ctrlProp" Target="../ctrlProps/ctrlProp684.xml"/><Relationship Id="rId269" Type="http://schemas.openxmlformats.org/officeDocument/2006/relationships/ctrlProp" Target="../ctrlProps/ctrlProp726.xml"/><Relationship Id="rId33" Type="http://schemas.openxmlformats.org/officeDocument/2006/relationships/ctrlProp" Target="../ctrlProps/ctrlProp490.xml"/><Relationship Id="rId129" Type="http://schemas.openxmlformats.org/officeDocument/2006/relationships/ctrlProp" Target="../ctrlProps/ctrlProp586.xml"/><Relationship Id="rId280" Type="http://schemas.openxmlformats.org/officeDocument/2006/relationships/ctrlProp" Target="../ctrlProps/ctrlProp737.xml"/><Relationship Id="rId336" Type="http://schemas.openxmlformats.org/officeDocument/2006/relationships/ctrlProp" Target="../ctrlProps/ctrlProp793.xml"/><Relationship Id="rId75" Type="http://schemas.openxmlformats.org/officeDocument/2006/relationships/ctrlProp" Target="../ctrlProps/ctrlProp532.xml"/><Relationship Id="rId140" Type="http://schemas.openxmlformats.org/officeDocument/2006/relationships/ctrlProp" Target="../ctrlProps/ctrlProp597.xml"/><Relationship Id="rId182" Type="http://schemas.openxmlformats.org/officeDocument/2006/relationships/ctrlProp" Target="../ctrlProps/ctrlProp639.xml"/><Relationship Id="rId378" Type="http://schemas.openxmlformats.org/officeDocument/2006/relationships/ctrlProp" Target="../ctrlProps/ctrlProp835.xml"/><Relationship Id="rId403" Type="http://schemas.openxmlformats.org/officeDocument/2006/relationships/ctrlProp" Target="../ctrlProps/ctrlProp860.xml"/><Relationship Id="rId6" Type="http://schemas.openxmlformats.org/officeDocument/2006/relationships/ctrlProp" Target="../ctrlProps/ctrlProp463.xml"/><Relationship Id="rId238" Type="http://schemas.openxmlformats.org/officeDocument/2006/relationships/ctrlProp" Target="../ctrlProps/ctrlProp695.xml"/><Relationship Id="rId291" Type="http://schemas.openxmlformats.org/officeDocument/2006/relationships/ctrlProp" Target="../ctrlProps/ctrlProp748.xml"/><Relationship Id="rId305" Type="http://schemas.openxmlformats.org/officeDocument/2006/relationships/ctrlProp" Target="../ctrlProps/ctrlProp762.xml"/><Relationship Id="rId347" Type="http://schemas.openxmlformats.org/officeDocument/2006/relationships/ctrlProp" Target="../ctrlProps/ctrlProp804.xml"/><Relationship Id="rId44" Type="http://schemas.openxmlformats.org/officeDocument/2006/relationships/ctrlProp" Target="../ctrlProps/ctrlProp501.xml"/><Relationship Id="rId86" Type="http://schemas.openxmlformats.org/officeDocument/2006/relationships/ctrlProp" Target="../ctrlProps/ctrlProp543.xml"/><Relationship Id="rId151" Type="http://schemas.openxmlformats.org/officeDocument/2006/relationships/ctrlProp" Target="../ctrlProps/ctrlProp608.xml"/><Relationship Id="rId389" Type="http://schemas.openxmlformats.org/officeDocument/2006/relationships/ctrlProp" Target="../ctrlProps/ctrlProp846.xml"/><Relationship Id="rId193" Type="http://schemas.openxmlformats.org/officeDocument/2006/relationships/ctrlProp" Target="../ctrlProps/ctrlProp650.xml"/><Relationship Id="rId207" Type="http://schemas.openxmlformats.org/officeDocument/2006/relationships/ctrlProp" Target="../ctrlProps/ctrlProp664.xml"/><Relationship Id="rId249" Type="http://schemas.openxmlformats.org/officeDocument/2006/relationships/ctrlProp" Target="../ctrlProps/ctrlProp706.xml"/><Relationship Id="rId414" Type="http://schemas.openxmlformats.org/officeDocument/2006/relationships/ctrlProp" Target="../ctrlProps/ctrlProp871.xml"/><Relationship Id="rId13" Type="http://schemas.openxmlformats.org/officeDocument/2006/relationships/ctrlProp" Target="../ctrlProps/ctrlProp470.xml"/><Relationship Id="rId109" Type="http://schemas.openxmlformats.org/officeDocument/2006/relationships/ctrlProp" Target="../ctrlProps/ctrlProp566.xml"/><Relationship Id="rId260" Type="http://schemas.openxmlformats.org/officeDocument/2006/relationships/ctrlProp" Target="../ctrlProps/ctrlProp717.xml"/><Relationship Id="rId316" Type="http://schemas.openxmlformats.org/officeDocument/2006/relationships/ctrlProp" Target="../ctrlProps/ctrlProp773.xml"/><Relationship Id="rId55" Type="http://schemas.openxmlformats.org/officeDocument/2006/relationships/ctrlProp" Target="../ctrlProps/ctrlProp512.xml"/><Relationship Id="rId97" Type="http://schemas.openxmlformats.org/officeDocument/2006/relationships/ctrlProp" Target="../ctrlProps/ctrlProp554.xml"/><Relationship Id="rId120" Type="http://schemas.openxmlformats.org/officeDocument/2006/relationships/ctrlProp" Target="../ctrlProps/ctrlProp577.xml"/><Relationship Id="rId358" Type="http://schemas.openxmlformats.org/officeDocument/2006/relationships/ctrlProp" Target="../ctrlProps/ctrlProp815.xml"/><Relationship Id="rId162" Type="http://schemas.openxmlformats.org/officeDocument/2006/relationships/ctrlProp" Target="../ctrlProps/ctrlProp619.xml"/><Relationship Id="rId218" Type="http://schemas.openxmlformats.org/officeDocument/2006/relationships/ctrlProp" Target="../ctrlProps/ctrlProp675.xml"/><Relationship Id="rId271" Type="http://schemas.openxmlformats.org/officeDocument/2006/relationships/ctrlProp" Target="../ctrlProps/ctrlProp728.xml"/><Relationship Id="rId24" Type="http://schemas.openxmlformats.org/officeDocument/2006/relationships/ctrlProp" Target="../ctrlProps/ctrlProp481.xml"/><Relationship Id="rId66" Type="http://schemas.openxmlformats.org/officeDocument/2006/relationships/ctrlProp" Target="../ctrlProps/ctrlProp523.xml"/><Relationship Id="rId131" Type="http://schemas.openxmlformats.org/officeDocument/2006/relationships/ctrlProp" Target="../ctrlProps/ctrlProp588.xml"/><Relationship Id="rId327" Type="http://schemas.openxmlformats.org/officeDocument/2006/relationships/ctrlProp" Target="../ctrlProps/ctrlProp784.xml"/><Relationship Id="rId369" Type="http://schemas.openxmlformats.org/officeDocument/2006/relationships/ctrlProp" Target="../ctrlProps/ctrlProp826.xml"/><Relationship Id="rId173" Type="http://schemas.openxmlformats.org/officeDocument/2006/relationships/ctrlProp" Target="../ctrlProps/ctrlProp630.xml"/><Relationship Id="rId229" Type="http://schemas.openxmlformats.org/officeDocument/2006/relationships/ctrlProp" Target="../ctrlProps/ctrlProp686.xml"/><Relationship Id="rId380" Type="http://schemas.openxmlformats.org/officeDocument/2006/relationships/ctrlProp" Target="../ctrlProps/ctrlProp837.xml"/><Relationship Id="rId240" Type="http://schemas.openxmlformats.org/officeDocument/2006/relationships/ctrlProp" Target="../ctrlProps/ctrlProp697.xml"/><Relationship Id="rId35" Type="http://schemas.openxmlformats.org/officeDocument/2006/relationships/ctrlProp" Target="../ctrlProps/ctrlProp492.xml"/><Relationship Id="rId77" Type="http://schemas.openxmlformats.org/officeDocument/2006/relationships/ctrlProp" Target="../ctrlProps/ctrlProp534.xml"/><Relationship Id="rId100" Type="http://schemas.openxmlformats.org/officeDocument/2006/relationships/ctrlProp" Target="../ctrlProps/ctrlProp557.xml"/><Relationship Id="rId282" Type="http://schemas.openxmlformats.org/officeDocument/2006/relationships/ctrlProp" Target="../ctrlProps/ctrlProp739.xml"/><Relationship Id="rId338" Type="http://schemas.openxmlformats.org/officeDocument/2006/relationships/ctrlProp" Target="../ctrlProps/ctrlProp795.xml"/><Relationship Id="rId8" Type="http://schemas.openxmlformats.org/officeDocument/2006/relationships/ctrlProp" Target="../ctrlProps/ctrlProp465.xml"/><Relationship Id="rId142" Type="http://schemas.openxmlformats.org/officeDocument/2006/relationships/ctrlProp" Target="../ctrlProps/ctrlProp599.xml"/><Relationship Id="rId184" Type="http://schemas.openxmlformats.org/officeDocument/2006/relationships/ctrlProp" Target="../ctrlProps/ctrlProp641.xml"/><Relationship Id="rId391" Type="http://schemas.openxmlformats.org/officeDocument/2006/relationships/ctrlProp" Target="../ctrlProps/ctrlProp848.xml"/><Relationship Id="rId405" Type="http://schemas.openxmlformats.org/officeDocument/2006/relationships/ctrlProp" Target="../ctrlProps/ctrlProp862.xml"/><Relationship Id="rId251" Type="http://schemas.openxmlformats.org/officeDocument/2006/relationships/ctrlProp" Target="../ctrlProps/ctrlProp708.xml"/><Relationship Id="rId46" Type="http://schemas.openxmlformats.org/officeDocument/2006/relationships/ctrlProp" Target="../ctrlProps/ctrlProp503.xml"/><Relationship Id="rId293" Type="http://schemas.openxmlformats.org/officeDocument/2006/relationships/ctrlProp" Target="../ctrlProps/ctrlProp750.xml"/><Relationship Id="rId307" Type="http://schemas.openxmlformats.org/officeDocument/2006/relationships/ctrlProp" Target="../ctrlProps/ctrlProp764.xml"/><Relationship Id="rId349" Type="http://schemas.openxmlformats.org/officeDocument/2006/relationships/ctrlProp" Target="../ctrlProps/ctrlProp806.xml"/><Relationship Id="rId88" Type="http://schemas.openxmlformats.org/officeDocument/2006/relationships/ctrlProp" Target="../ctrlProps/ctrlProp545.xml"/><Relationship Id="rId111" Type="http://schemas.openxmlformats.org/officeDocument/2006/relationships/ctrlProp" Target="../ctrlProps/ctrlProp568.xml"/><Relationship Id="rId153" Type="http://schemas.openxmlformats.org/officeDocument/2006/relationships/ctrlProp" Target="../ctrlProps/ctrlProp610.xml"/><Relationship Id="rId195" Type="http://schemas.openxmlformats.org/officeDocument/2006/relationships/ctrlProp" Target="../ctrlProps/ctrlProp652.xml"/><Relationship Id="rId209" Type="http://schemas.openxmlformats.org/officeDocument/2006/relationships/ctrlProp" Target="../ctrlProps/ctrlProp666.xml"/><Relationship Id="rId360" Type="http://schemas.openxmlformats.org/officeDocument/2006/relationships/ctrlProp" Target="../ctrlProps/ctrlProp817.xml"/><Relationship Id="rId220" Type="http://schemas.openxmlformats.org/officeDocument/2006/relationships/ctrlProp" Target="../ctrlProps/ctrlProp677.xml"/><Relationship Id="rId15" Type="http://schemas.openxmlformats.org/officeDocument/2006/relationships/ctrlProp" Target="../ctrlProps/ctrlProp472.xml"/><Relationship Id="rId57" Type="http://schemas.openxmlformats.org/officeDocument/2006/relationships/ctrlProp" Target="../ctrlProps/ctrlProp514.xml"/><Relationship Id="rId262" Type="http://schemas.openxmlformats.org/officeDocument/2006/relationships/ctrlProp" Target="../ctrlProps/ctrlProp719.xml"/><Relationship Id="rId318" Type="http://schemas.openxmlformats.org/officeDocument/2006/relationships/ctrlProp" Target="../ctrlProps/ctrlProp775.xml"/><Relationship Id="rId99" Type="http://schemas.openxmlformats.org/officeDocument/2006/relationships/ctrlProp" Target="../ctrlProps/ctrlProp556.xml"/><Relationship Id="rId122" Type="http://schemas.openxmlformats.org/officeDocument/2006/relationships/ctrlProp" Target="../ctrlProps/ctrlProp579.xml"/><Relationship Id="rId164" Type="http://schemas.openxmlformats.org/officeDocument/2006/relationships/ctrlProp" Target="../ctrlProps/ctrlProp621.xml"/><Relationship Id="rId371" Type="http://schemas.openxmlformats.org/officeDocument/2006/relationships/ctrlProp" Target="../ctrlProps/ctrlProp828.xml"/><Relationship Id="rId26" Type="http://schemas.openxmlformats.org/officeDocument/2006/relationships/ctrlProp" Target="../ctrlProps/ctrlProp483.xml"/><Relationship Id="rId231" Type="http://schemas.openxmlformats.org/officeDocument/2006/relationships/ctrlProp" Target="../ctrlProps/ctrlProp688.xml"/><Relationship Id="rId273" Type="http://schemas.openxmlformats.org/officeDocument/2006/relationships/ctrlProp" Target="../ctrlProps/ctrlProp730.xml"/><Relationship Id="rId329" Type="http://schemas.openxmlformats.org/officeDocument/2006/relationships/ctrlProp" Target="../ctrlProps/ctrlProp786.xml"/><Relationship Id="rId68" Type="http://schemas.openxmlformats.org/officeDocument/2006/relationships/ctrlProp" Target="../ctrlProps/ctrlProp525.xml"/><Relationship Id="rId133" Type="http://schemas.openxmlformats.org/officeDocument/2006/relationships/ctrlProp" Target="../ctrlProps/ctrlProp590.xml"/><Relationship Id="rId175" Type="http://schemas.openxmlformats.org/officeDocument/2006/relationships/ctrlProp" Target="../ctrlProps/ctrlProp632.xml"/><Relationship Id="rId340" Type="http://schemas.openxmlformats.org/officeDocument/2006/relationships/ctrlProp" Target="../ctrlProps/ctrlProp797.xml"/><Relationship Id="rId200" Type="http://schemas.openxmlformats.org/officeDocument/2006/relationships/ctrlProp" Target="../ctrlProps/ctrlProp657.xml"/><Relationship Id="rId382" Type="http://schemas.openxmlformats.org/officeDocument/2006/relationships/ctrlProp" Target="../ctrlProps/ctrlProp839.xml"/><Relationship Id="rId242" Type="http://schemas.openxmlformats.org/officeDocument/2006/relationships/ctrlProp" Target="../ctrlProps/ctrlProp699.xml"/><Relationship Id="rId284" Type="http://schemas.openxmlformats.org/officeDocument/2006/relationships/ctrlProp" Target="../ctrlProps/ctrlProp741.xml"/><Relationship Id="rId37" Type="http://schemas.openxmlformats.org/officeDocument/2006/relationships/ctrlProp" Target="../ctrlProps/ctrlProp494.xml"/><Relationship Id="rId79" Type="http://schemas.openxmlformats.org/officeDocument/2006/relationships/ctrlProp" Target="../ctrlProps/ctrlProp536.xml"/><Relationship Id="rId102" Type="http://schemas.openxmlformats.org/officeDocument/2006/relationships/ctrlProp" Target="../ctrlProps/ctrlProp559.xml"/><Relationship Id="rId144" Type="http://schemas.openxmlformats.org/officeDocument/2006/relationships/ctrlProp" Target="../ctrlProps/ctrlProp601.xml"/><Relationship Id="rId90" Type="http://schemas.openxmlformats.org/officeDocument/2006/relationships/ctrlProp" Target="../ctrlProps/ctrlProp547.xml"/><Relationship Id="rId186" Type="http://schemas.openxmlformats.org/officeDocument/2006/relationships/ctrlProp" Target="../ctrlProps/ctrlProp643.xml"/><Relationship Id="rId351" Type="http://schemas.openxmlformats.org/officeDocument/2006/relationships/ctrlProp" Target="../ctrlProps/ctrlProp808.xml"/><Relationship Id="rId393" Type="http://schemas.openxmlformats.org/officeDocument/2006/relationships/ctrlProp" Target="../ctrlProps/ctrlProp850.xml"/><Relationship Id="rId407" Type="http://schemas.openxmlformats.org/officeDocument/2006/relationships/ctrlProp" Target="../ctrlProps/ctrlProp864.xml"/><Relationship Id="rId211" Type="http://schemas.openxmlformats.org/officeDocument/2006/relationships/ctrlProp" Target="../ctrlProps/ctrlProp668.xml"/><Relationship Id="rId253" Type="http://schemas.openxmlformats.org/officeDocument/2006/relationships/ctrlProp" Target="../ctrlProps/ctrlProp710.xml"/><Relationship Id="rId295" Type="http://schemas.openxmlformats.org/officeDocument/2006/relationships/ctrlProp" Target="../ctrlProps/ctrlProp752.xml"/><Relationship Id="rId309" Type="http://schemas.openxmlformats.org/officeDocument/2006/relationships/ctrlProp" Target="../ctrlProps/ctrlProp766.xml"/><Relationship Id="rId48" Type="http://schemas.openxmlformats.org/officeDocument/2006/relationships/ctrlProp" Target="../ctrlProps/ctrlProp505.xml"/><Relationship Id="rId113" Type="http://schemas.openxmlformats.org/officeDocument/2006/relationships/ctrlProp" Target="../ctrlProps/ctrlProp570.xml"/><Relationship Id="rId320" Type="http://schemas.openxmlformats.org/officeDocument/2006/relationships/ctrlProp" Target="../ctrlProps/ctrlProp777.xml"/></Relationships>
</file>

<file path=xl/worksheets/_rels/sheet16.xml.rels><?xml version="1.0" encoding="UTF-8" standalone="yes"?>
<Relationships xmlns="http://schemas.openxmlformats.org/package/2006/relationships"><Relationship Id="rId13" Type="http://schemas.openxmlformats.org/officeDocument/2006/relationships/ctrlProp" Target="../ctrlProps/ctrlProp881.xml"/><Relationship Id="rId18" Type="http://schemas.openxmlformats.org/officeDocument/2006/relationships/ctrlProp" Target="../ctrlProps/ctrlProp886.xml"/><Relationship Id="rId26" Type="http://schemas.openxmlformats.org/officeDocument/2006/relationships/ctrlProp" Target="../ctrlProps/ctrlProp894.xml"/><Relationship Id="rId39" Type="http://schemas.openxmlformats.org/officeDocument/2006/relationships/ctrlProp" Target="../ctrlProps/ctrlProp907.xml"/><Relationship Id="rId21" Type="http://schemas.openxmlformats.org/officeDocument/2006/relationships/ctrlProp" Target="../ctrlProps/ctrlProp889.xml"/><Relationship Id="rId34" Type="http://schemas.openxmlformats.org/officeDocument/2006/relationships/ctrlProp" Target="../ctrlProps/ctrlProp902.xml"/><Relationship Id="rId42" Type="http://schemas.openxmlformats.org/officeDocument/2006/relationships/ctrlProp" Target="../ctrlProps/ctrlProp910.xml"/><Relationship Id="rId47" Type="http://schemas.openxmlformats.org/officeDocument/2006/relationships/ctrlProp" Target="../ctrlProps/ctrlProp915.xml"/><Relationship Id="rId50" Type="http://schemas.openxmlformats.org/officeDocument/2006/relationships/ctrlProp" Target="../ctrlProps/ctrlProp918.xml"/><Relationship Id="rId55" Type="http://schemas.openxmlformats.org/officeDocument/2006/relationships/ctrlProp" Target="../ctrlProps/ctrlProp923.xml"/><Relationship Id="rId7" Type="http://schemas.openxmlformats.org/officeDocument/2006/relationships/ctrlProp" Target="../ctrlProps/ctrlProp875.xml"/><Relationship Id="rId2" Type="http://schemas.openxmlformats.org/officeDocument/2006/relationships/printerSettings" Target="../printerSettings/printerSettings13.bin"/><Relationship Id="rId16" Type="http://schemas.openxmlformats.org/officeDocument/2006/relationships/ctrlProp" Target="../ctrlProps/ctrlProp884.xml"/><Relationship Id="rId29" Type="http://schemas.openxmlformats.org/officeDocument/2006/relationships/ctrlProp" Target="../ctrlProps/ctrlProp897.xml"/><Relationship Id="rId11" Type="http://schemas.openxmlformats.org/officeDocument/2006/relationships/ctrlProp" Target="../ctrlProps/ctrlProp879.xml"/><Relationship Id="rId24" Type="http://schemas.openxmlformats.org/officeDocument/2006/relationships/ctrlProp" Target="../ctrlProps/ctrlProp892.xml"/><Relationship Id="rId32" Type="http://schemas.openxmlformats.org/officeDocument/2006/relationships/ctrlProp" Target="../ctrlProps/ctrlProp900.xml"/><Relationship Id="rId37" Type="http://schemas.openxmlformats.org/officeDocument/2006/relationships/ctrlProp" Target="../ctrlProps/ctrlProp905.xml"/><Relationship Id="rId40" Type="http://schemas.openxmlformats.org/officeDocument/2006/relationships/ctrlProp" Target="../ctrlProps/ctrlProp908.xml"/><Relationship Id="rId45" Type="http://schemas.openxmlformats.org/officeDocument/2006/relationships/ctrlProp" Target="../ctrlProps/ctrlProp913.xml"/><Relationship Id="rId53" Type="http://schemas.openxmlformats.org/officeDocument/2006/relationships/ctrlProp" Target="../ctrlProps/ctrlProp921.xml"/><Relationship Id="rId58" Type="http://schemas.openxmlformats.org/officeDocument/2006/relationships/ctrlProp" Target="../ctrlProps/ctrlProp926.xml"/><Relationship Id="rId5" Type="http://schemas.openxmlformats.org/officeDocument/2006/relationships/ctrlProp" Target="../ctrlProps/ctrlProp873.xml"/><Relationship Id="rId19" Type="http://schemas.openxmlformats.org/officeDocument/2006/relationships/ctrlProp" Target="../ctrlProps/ctrlProp887.xml"/><Relationship Id="rId4" Type="http://schemas.openxmlformats.org/officeDocument/2006/relationships/vmlDrawing" Target="../drawings/vmlDrawing10.vml"/><Relationship Id="rId9" Type="http://schemas.openxmlformats.org/officeDocument/2006/relationships/ctrlProp" Target="../ctrlProps/ctrlProp877.xml"/><Relationship Id="rId14" Type="http://schemas.openxmlformats.org/officeDocument/2006/relationships/ctrlProp" Target="../ctrlProps/ctrlProp882.xml"/><Relationship Id="rId22" Type="http://schemas.openxmlformats.org/officeDocument/2006/relationships/ctrlProp" Target="../ctrlProps/ctrlProp890.xml"/><Relationship Id="rId27" Type="http://schemas.openxmlformats.org/officeDocument/2006/relationships/ctrlProp" Target="../ctrlProps/ctrlProp895.xml"/><Relationship Id="rId30" Type="http://schemas.openxmlformats.org/officeDocument/2006/relationships/ctrlProp" Target="../ctrlProps/ctrlProp898.xml"/><Relationship Id="rId35" Type="http://schemas.openxmlformats.org/officeDocument/2006/relationships/ctrlProp" Target="../ctrlProps/ctrlProp903.xml"/><Relationship Id="rId43" Type="http://schemas.openxmlformats.org/officeDocument/2006/relationships/ctrlProp" Target="../ctrlProps/ctrlProp911.xml"/><Relationship Id="rId48" Type="http://schemas.openxmlformats.org/officeDocument/2006/relationships/ctrlProp" Target="../ctrlProps/ctrlProp916.xml"/><Relationship Id="rId56" Type="http://schemas.openxmlformats.org/officeDocument/2006/relationships/ctrlProp" Target="../ctrlProps/ctrlProp924.xml"/><Relationship Id="rId8" Type="http://schemas.openxmlformats.org/officeDocument/2006/relationships/ctrlProp" Target="../ctrlProps/ctrlProp876.xml"/><Relationship Id="rId51" Type="http://schemas.openxmlformats.org/officeDocument/2006/relationships/ctrlProp" Target="../ctrlProps/ctrlProp919.xml"/><Relationship Id="rId3" Type="http://schemas.openxmlformats.org/officeDocument/2006/relationships/drawing" Target="../drawings/drawing12.xml"/><Relationship Id="rId12" Type="http://schemas.openxmlformats.org/officeDocument/2006/relationships/ctrlProp" Target="../ctrlProps/ctrlProp880.xml"/><Relationship Id="rId17" Type="http://schemas.openxmlformats.org/officeDocument/2006/relationships/ctrlProp" Target="../ctrlProps/ctrlProp885.xml"/><Relationship Id="rId25" Type="http://schemas.openxmlformats.org/officeDocument/2006/relationships/ctrlProp" Target="../ctrlProps/ctrlProp893.xml"/><Relationship Id="rId33" Type="http://schemas.openxmlformats.org/officeDocument/2006/relationships/ctrlProp" Target="../ctrlProps/ctrlProp901.xml"/><Relationship Id="rId38" Type="http://schemas.openxmlformats.org/officeDocument/2006/relationships/ctrlProp" Target="../ctrlProps/ctrlProp906.xml"/><Relationship Id="rId46" Type="http://schemas.openxmlformats.org/officeDocument/2006/relationships/ctrlProp" Target="../ctrlProps/ctrlProp914.xml"/><Relationship Id="rId59" Type="http://schemas.openxmlformats.org/officeDocument/2006/relationships/ctrlProp" Target="../ctrlProps/ctrlProp927.xml"/><Relationship Id="rId20" Type="http://schemas.openxmlformats.org/officeDocument/2006/relationships/ctrlProp" Target="../ctrlProps/ctrlProp888.xml"/><Relationship Id="rId41" Type="http://schemas.openxmlformats.org/officeDocument/2006/relationships/ctrlProp" Target="../ctrlProps/ctrlProp909.xml"/><Relationship Id="rId54" Type="http://schemas.openxmlformats.org/officeDocument/2006/relationships/ctrlProp" Target="../ctrlProps/ctrlProp922.xml"/><Relationship Id="rId1" Type="http://schemas.openxmlformats.org/officeDocument/2006/relationships/hyperlink" Target="https://up.codes/viewer/connecticut/iecc-2015/chapter/CE_4/ce-commercial-energy-efficiency" TargetMode="External"/><Relationship Id="rId6" Type="http://schemas.openxmlformats.org/officeDocument/2006/relationships/ctrlProp" Target="../ctrlProps/ctrlProp874.xml"/><Relationship Id="rId15" Type="http://schemas.openxmlformats.org/officeDocument/2006/relationships/ctrlProp" Target="../ctrlProps/ctrlProp883.xml"/><Relationship Id="rId23" Type="http://schemas.openxmlformats.org/officeDocument/2006/relationships/ctrlProp" Target="../ctrlProps/ctrlProp891.xml"/><Relationship Id="rId28" Type="http://schemas.openxmlformats.org/officeDocument/2006/relationships/ctrlProp" Target="../ctrlProps/ctrlProp896.xml"/><Relationship Id="rId36" Type="http://schemas.openxmlformats.org/officeDocument/2006/relationships/ctrlProp" Target="../ctrlProps/ctrlProp904.xml"/><Relationship Id="rId49" Type="http://schemas.openxmlformats.org/officeDocument/2006/relationships/ctrlProp" Target="../ctrlProps/ctrlProp917.xml"/><Relationship Id="rId57" Type="http://schemas.openxmlformats.org/officeDocument/2006/relationships/ctrlProp" Target="../ctrlProps/ctrlProp925.xml"/><Relationship Id="rId10" Type="http://schemas.openxmlformats.org/officeDocument/2006/relationships/ctrlProp" Target="../ctrlProps/ctrlProp878.xml"/><Relationship Id="rId31" Type="http://schemas.openxmlformats.org/officeDocument/2006/relationships/ctrlProp" Target="../ctrlProps/ctrlProp899.xml"/><Relationship Id="rId44" Type="http://schemas.openxmlformats.org/officeDocument/2006/relationships/ctrlProp" Target="../ctrlProps/ctrlProp912.xml"/><Relationship Id="rId52" Type="http://schemas.openxmlformats.org/officeDocument/2006/relationships/ctrlProp" Target="../ctrlProps/ctrlProp920.xml"/><Relationship Id="rId60" Type="http://schemas.openxmlformats.org/officeDocument/2006/relationships/ctrlProp" Target="../ctrlProps/ctrlProp928.xml"/></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8.xml.rels><?xml version="1.0" encoding="UTF-8" standalone="yes"?>
<Relationships xmlns="http://schemas.openxmlformats.org/package/2006/relationships"><Relationship Id="rId3" Type="http://schemas.openxmlformats.org/officeDocument/2006/relationships/vmlDrawing" Target="../drawings/vmlDrawing11.vml"/><Relationship Id="rId2" Type="http://schemas.openxmlformats.org/officeDocument/2006/relationships/drawing" Target="../drawings/drawing13.xml"/><Relationship Id="rId1" Type="http://schemas.openxmlformats.org/officeDocument/2006/relationships/printerSettings" Target="../printerSettings/printerSettings15.bin"/><Relationship Id="rId4" Type="http://schemas.openxmlformats.org/officeDocument/2006/relationships/ctrlProp" Target="../ctrlProps/ctrlProp929.xml"/></Relationships>
</file>

<file path=xl/worksheets/_rels/sheet19.xml.rels><?xml version="1.0" encoding="UTF-8" standalone="yes"?>
<Relationships xmlns="http://schemas.openxmlformats.org/package/2006/relationships"><Relationship Id="rId3" Type="http://schemas.openxmlformats.org/officeDocument/2006/relationships/vmlDrawing" Target="../drawings/vmlDrawing12.vml"/><Relationship Id="rId2" Type="http://schemas.openxmlformats.org/officeDocument/2006/relationships/drawing" Target="../drawings/drawing14.xml"/><Relationship Id="rId1" Type="http://schemas.openxmlformats.org/officeDocument/2006/relationships/printerSettings" Target="../printerSettings/printerSettings16.bin"/><Relationship Id="rId4" Type="http://schemas.openxmlformats.org/officeDocument/2006/relationships/ctrlProp" Target="../ctrlProps/ctrlProp930.xml"/></Relationships>
</file>

<file path=xl/worksheets/_rels/sheet20.xml.rels><?xml version="1.0" encoding="UTF-8" standalone="yes"?>
<Relationships xmlns="http://schemas.openxmlformats.org/package/2006/relationships"><Relationship Id="rId13" Type="http://schemas.openxmlformats.org/officeDocument/2006/relationships/ctrlProp" Target="../ctrlProps/ctrlProp940.xml"/><Relationship Id="rId18" Type="http://schemas.openxmlformats.org/officeDocument/2006/relationships/ctrlProp" Target="../ctrlProps/ctrlProp945.xml"/><Relationship Id="rId26" Type="http://schemas.openxmlformats.org/officeDocument/2006/relationships/ctrlProp" Target="../ctrlProps/ctrlProp953.xml"/><Relationship Id="rId3" Type="http://schemas.openxmlformats.org/officeDocument/2006/relationships/vmlDrawing" Target="../drawings/vmlDrawing13.vml"/><Relationship Id="rId21" Type="http://schemas.openxmlformats.org/officeDocument/2006/relationships/ctrlProp" Target="../ctrlProps/ctrlProp948.xml"/><Relationship Id="rId34" Type="http://schemas.openxmlformats.org/officeDocument/2006/relationships/ctrlProp" Target="../ctrlProps/ctrlProp961.xml"/><Relationship Id="rId7" Type="http://schemas.openxmlformats.org/officeDocument/2006/relationships/ctrlProp" Target="../ctrlProps/ctrlProp934.xml"/><Relationship Id="rId12" Type="http://schemas.openxmlformats.org/officeDocument/2006/relationships/ctrlProp" Target="../ctrlProps/ctrlProp939.xml"/><Relationship Id="rId17" Type="http://schemas.openxmlformats.org/officeDocument/2006/relationships/ctrlProp" Target="../ctrlProps/ctrlProp944.xml"/><Relationship Id="rId25" Type="http://schemas.openxmlformats.org/officeDocument/2006/relationships/ctrlProp" Target="../ctrlProps/ctrlProp952.xml"/><Relationship Id="rId33" Type="http://schemas.openxmlformats.org/officeDocument/2006/relationships/ctrlProp" Target="../ctrlProps/ctrlProp960.xml"/><Relationship Id="rId2" Type="http://schemas.openxmlformats.org/officeDocument/2006/relationships/drawing" Target="../drawings/drawing15.xml"/><Relationship Id="rId16" Type="http://schemas.openxmlformats.org/officeDocument/2006/relationships/ctrlProp" Target="../ctrlProps/ctrlProp943.xml"/><Relationship Id="rId20" Type="http://schemas.openxmlformats.org/officeDocument/2006/relationships/ctrlProp" Target="../ctrlProps/ctrlProp947.xml"/><Relationship Id="rId29" Type="http://schemas.openxmlformats.org/officeDocument/2006/relationships/ctrlProp" Target="../ctrlProps/ctrlProp956.xml"/><Relationship Id="rId1" Type="http://schemas.openxmlformats.org/officeDocument/2006/relationships/printerSettings" Target="../printerSettings/printerSettings17.bin"/><Relationship Id="rId6" Type="http://schemas.openxmlformats.org/officeDocument/2006/relationships/ctrlProp" Target="../ctrlProps/ctrlProp933.xml"/><Relationship Id="rId11" Type="http://schemas.openxmlformats.org/officeDocument/2006/relationships/ctrlProp" Target="../ctrlProps/ctrlProp938.xml"/><Relationship Id="rId24" Type="http://schemas.openxmlformats.org/officeDocument/2006/relationships/ctrlProp" Target="../ctrlProps/ctrlProp951.xml"/><Relationship Id="rId32" Type="http://schemas.openxmlformats.org/officeDocument/2006/relationships/ctrlProp" Target="../ctrlProps/ctrlProp959.xml"/><Relationship Id="rId5" Type="http://schemas.openxmlformats.org/officeDocument/2006/relationships/ctrlProp" Target="../ctrlProps/ctrlProp932.xml"/><Relationship Id="rId15" Type="http://schemas.openxmlformats.org/officeDocument/2006/relationships/ctrlProp" Target="../ctrlProps/ctrlProp942.xml"/><Relationship Id="rId23" Type="http://schemas.openxmlformats.org/officeDocument/2006/relationships/ctrlProp" Target="../ctrlProps/ctrlProp950.xml"/><Relationship Id="rId28" Type="http://schemas.openxmlformats.org/officeDocument/2006/relationships/ctrlProp" Target="../ctrlProps/ctrlProp955.xml"/><Relationship Id="rId10" Type="http://schemas.openxmlformats.org/officeDocument/2006/relationships/ctrlProp" Target="../ctrlProps/ctrlProp937.xml"/><Relationship Id="rId19" Type="http://schemas.openxmlformats.org/officeDocument/2006/relationships/ctrlProp" Target="../ctrlProps/ctrlProp946.xml"/><Relationship Id="rId31" Type="http://schemas.openxmlformats.org/officeDocument/2006/relationships/ctrlProp" Target="../ctrlProps/ctrlProp958.xml"/><Relationship Id="rId4" Type="http://schemas.openxmlformats.org/officeDocument/2006/relationships/ctrlProp" Target="../ctrlProps/ctrlProp931.xml"/><Relationship Id="rId9" Type="http://schemas.openxmlformats.org/officeDocument/2006/relationships/ctrlProp" Target="../ctrlProps/ctrlProp936.xml"/><Relationship Id="rId14" Type="http://schemas.openxmlformats.org/officeDocument/2006/relationships/ctrlProp" Target="../ctrlProps/ctrlProp941.xml"/><Relationship Id="rId22" Type="http://schemas.openxmlformats.org/officeDocument/2006/relationships/ctrlProp" Target="../ctrlProps/ctrlProp949.xml"/><Relationship Id="rId27" Type="http://schemas.openxmlformats.org/officeDocument/2006/relationships/ctrlProp" Target="../ctrlProps/ctrlProp954.xml"/><Relationship Id="rId30" Type="http://schemas.openxmlformats.org/officeDocument/2006/relationships/ctrlProp" Target="../ctrlProps/ctrlProp957.xml"/><Relationship Id="rId8" Type="http://schemas.openxmlformats.org/officeDocument/2006/relationships/ctrlProp" Target="../ctrlProps/ctrlProp935.xml"/></Relationships>
</file>

<file path=xl/worksheets/_rels/sheet21.xml.rels><?xml version="1.0" encoding="UTF-8" standalone="yes"?>
<Relationships xmlns="http://schemas.openxmlformats.org/package/2006/relationships"><Relationship Id="rId3" Type="http://schemas.openxmlformats.org/officeDocument/2006/relationships/vmlDrawing" Target="../drawings/vmlDrawing14.vml"/><Relationship Id="rId2" Type="http://schemas.openxmlformats.org/officeDocument/2006/relationships/drawing" Target="../drawings/drawing16.xml"/><Relationship Id="rId1" Type="http://schemas.openxmlformats.org/officeDocument/2006/relationships/printerSettings" Target="../printerSettings/printerSettings18.bin"/><Relationship Id="rId4" Type="http://schemas.openxmlformats.org/officeDocument/2006/relationships/ctrlProp" Target="../ctrlProps/ctrlProp962.xml"/></Relationships>
</file>

<file path=xl/worksheets/_rels/sheet23.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24.xml.rels><?xml version="1.0" encoding="UTF-8" standalone="yes"?>
<Relationships xmlns="http://schemas.openxmlformats.org/package/2006/relationships"><Relationship Id="rId8" Type="http://schemas.openxmlformats.org/officeDocument/2006/relationships/printerSettings" Target="../printerSettings/printerSettings19.bin"/><Relationship Id="rId3" Type="http://schemas.openxmlformats.org/officeDocument/2006/relationships/hyperlink" Target="http://www.ul.com/" TargetMode="External"/><Relationship Id="rId7" Type="http://schemas.openxmlformats.org/officeDocument/2006/relationships/hyperlink" Target="http://www.ul.com/" TargetMode="External"/><Relationship Id="rId2" Type="http://schemas.openxmlformats.org/officeDocument/2006/relationships/hyperlink" Target="http://www.carpet-rug.org/" TargetMode="External"/><Relationship Id="rId1" Type="http://schemas.openxmlformats.org/officeDocument/2006/relationships/hyperlink" Target="http://www.kcma.org/" TargetMode="External"/><Relationship Id="rId6" Type="http://schemas.openxmlformats.org/officeDocument/2006/relationships/hyperlink" Target="http://www.greenseal.org/" TargetMode="External"/><Relationship Id="rId5" Type="http://schemas.openxmlformats.org/officeDocument/2006/relationships/hyperlink" Target="http://www.scscertified.com/" TargetMode="External"/><Relationship Id="rId4" Type="http://schemas.openxmlformats.org/officeDocument/2006/relationships/hyperlink" Target="http://www.rfci.com/" TargetMode="External"/></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20.bin"/></Relationships>
</file>

<file path=xl/worksheets/_rels/sheet26.xml.rels><?xml version="1.0" encoding="UTF-8" standalone="yes"?>
<Relationships xmlns="http://schemas.openxmlformats.org/package/2006/relationships"><Relationship Id="rId1" Type="http://schemas.openxmlformats.org/officeDocument/2006/relationships/printerSettings" Target="../printerSettings/printerSettings21.bin"/></Relationships>
</file>

<file path=xl/worksheets/_rels/sheet30.xml.rels><?xml version="1.0" encoding="UTF-8" standalone="yes"?>
<Relationships xmlns="http://schemas.openxmlformats.org/package/2006/relationships"><Relationship Id="rId1" Type="http://schemas.openxmlformats.org/officeDocument/2006/relationships/printerSettings" Target="../printerSettings/printerSettings22.bin"/></Relationships>
</file>

<file path=xl/worksheets/_rels/sheet31.xml.rels><?xml version="1.0" encoding="UTF-8" standalone="yes"?>
<Relationships xmlns="http://schemas.openxmlformats.org/package/2006/relationships"><Relationship Id="rId3" Type="http://schemas.openxmlformats.org/officeDocument/2006/relationships/drawing" Target="../drawings/drawing18.xml"/><Relationship Id="rId2" Type="http://schemas.openxmlformats.org/officeDocument/2006/relationships/printerSettings" Target="../printerSettings/printerSettings23.bin"/><Relationship Id="rId1" Type="http://schemas.openxmlformats.org/officeDocument/2006/relationships/hyperlink" Target="http://www.nationalatlas.gov/" TargetMode="External"/></Relationships>
</file>

<file path=xl/worksheets/_rels/sheet32.xml.rels><?xml version="1.0" encoding="UTF-8" standalone="yes"?>
<Relationships xmlns="http://schemas.openxmlformats.org/package/2006/relationships"><Relationship Id="rId3" Type="http://schemas.openxmlformats.org/officeDocument/2006/relationships/drawing" Target="../drawings/drawing19.xml"/><Relationship Id="rId2" Type="http://schemas.openxmlformats.org/officeDocument/2006/relationships/printerSettings" Target="../printerSettings/printerSettings24.bin"/><Relationship Id="rId1" Type="http://schemas.openxmlformats.org/officeDocument/2006/relationships/hyperlink" Target="http://www.iccsafe.org/" TargetMode="External"/></Relationships>
</file>

<file path=xl/worksheets/_rels/sheet33.xml.rels><?xml version="1.0" encoding="UTF-8" standalone="yes"?>
<Relationships xmlns="http://schemas.openxmlformats.org/package/2006/relationships"><Relationship Id="rId1" Type="http://schemas.openxmlformats.org/officeDocument/2006/relationships/drawing" Target="../drawings/drawing20.xml"/></Relationships>
</file>

<file path=xl/worksheets/_rels/sheet38.xml.rels><?xml version="1.0" encoding="UTF-8" standalone="yes"?>
<Relationships xmlns="http://schemas.openxmlformats.org/package/2006/relationships"><Relationship Id="rId1" Type="http://schemas.openxmlformats.org/officeDocument/2006/relationships/printerSettings" Target="../printerSettings/printerSettings25.bin"/></Relationships>
</file>

<file path=xl/worksheets/_rels/sheet43.xml.rels><?xml version="1.0" encoding="UTF-8" standalone="yes"?>
<Relationships xmlns="http://schemas.openxmlformats.org/package/2006/relationships"><Relationship Id="rId1" Type="http://schemas.openxmlformats.org/officeDocument/2006/relationships/printerSettings" Target="../printerSettings/printerSettings26.bin"/></Relationships>
</file>

<file path=xl/worksheets/_rels/sheet45.xml.rels><?xml version="1.0" encoding="UTF-8" standalone="yes"?>
<Relationships xmlns="http://schemas.openxmlformats.org/package/2006/relationships"><Relationship Id="rId1" Type="http://schemas.openxmlformats.org/officeDocument/2006/relationships/printerSettings" Target="../printerSettings/printerSettings2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1">
    <pageSetUpPr fitToPage="1"/>
  </sheetPr>
  <dimension ref="A1:S95"/>
  <sheetViews>
    <sheetView showGridLines="0" zoomScaleNormal="100" workbookViewId="0">
      <selection activeCell="B10" sqref="B10:R10"/>
    </sheetView>
  </sheetViews>
  <sheetFormatPr baseColWidth="10" defaultColWidth="8.83203125" defaultRowHeight="15" x14ac:dyDescent="0.2"/>
  <sheetData>
    <row r="1" spans="1:19" ht="14.5" customHeight="1" x14ac:dyDescent="0.2">
      <c r="A1" s="1543"/>
      <c r="B1" s="1543"/>
      <c r="C1" s="1543"/>
      <c r="D1" s="1544" t="s">
        <v>5299</v>
      </c>
      <c r="E1" s="1544"/>
      <c r="F1" s="1544"/>
      <c r="G1" s="1544"/>
      <c r="H1" s="1544"/>
      <c r="I1" s="1544"/>
      <c r="J1" s="1544"/>
      <c r="K1" s="1544"/>
      <c r="L1" s="1544"/>
      <c r="M1" s="1544"/>
      <c r="N1" s="1544"/>
      <c r="O1" s="1544"/>
      <c r="P1" s="1544"/>
      <c r="Q1" s="1544"/>
      <c r="R1" s="1544"/>
      <c r="S1" s="1544"/>
    </row>
    <row r="2" spans="1:19" ht="14.5" customHeight="1" x14ac:dyDescent="0.2">
      <c r="A2" s="1543"/>
      <c r="B2" s="1543"/>
      <c r="C2" s="1543"/>
      <c r="D2" s="1544"/>
      <c r="E2" s="1544"/>
      <c r="F2" s="1544"/>
      <c r="G2" s="1544"/>
      <c r="H2" s="1544"/>
      <c r="I2" s="1544"/>
      <c r="J2" s="1544"/>
      <c r="K2" s="1544"/>
      <c r="L2" s="1544"/>
      <c r="M2" s="1544"/>
      <c r="N2" s="1544"/>
      <c r="O2" s="1544"/>
      <c r="P2" s="1544"/>
      <c r="Q2" s="1544"/>
      <c r="R2" s="1544"/>
      <c r="S2" s="1544"/>
    </row>
    <row r="3" spans="1:19" ht="14.5" customHeight="1" x14ac:dyDescent="0.2">
      <c r="A3" s="1543"/>
      <c r="B3" s="1543"/>
      <c r="C3" s="1543"/>
      <c r="D3" s="1544"/>
      <c r="E3" s="1544"/>
      <c r="F3" s="1544"/>
      <c r="G3" s="1544"/>
      <c r="H3" s="1544"/>
      <c r="I3" s="1544"/>
      <c r="J3" s="1544"/>
      <c r="K3" s="1544"/>
      <c r="L3" s="1544"/>
      <c r="M3" s="1544"/>
      <c r="N3" s="1544"/>
      <c r="O3" s="1544"/>
      <c r="P3" s="1544"/>
      <c r="Q3" s="1544"/>
      <c r="R3" s="1544"/>
      <c r="S3" s="1544"/>
    </row>
    <row r="4" spans="1:19" ht="14.5" customHeight="1" x14ac:dyDescent="0.2">
      <c r="A4" s="1543"/>
      <c r="B4" s="1543"/>
      <c r="C4" s="1543"/>
      <c r="D4" s="1545" t="s">
        <v>5639</v>
      </c>
      <c r="E4" s="1545"/>
      <c r="F4" s="1545"/>
      <c r="G4" s="1545"/>
      <c r="H4" s="1545"/>
      <c r="I4" s="1545"/>
      <c r="J4" s="1545"/>
      <c r="K4" s="1545"/>
      <c r="L4" s="1545"/>
      <c r="M4" s="1545"/>
      <c r="N4" s="1545"/>
      <c r="O4" s="1545"/>
      <c r="P4" s="1545"/>
      <c r="Q4" s="1545"/>
      <c r="R4" s="1545"/>
      <c r="S4" s="1545"/>
    </row>
    <row r="5" spans="1:19" x14ac:dyDescent="0.2">
      <c r="A5" s="1543"/>
      <c r="B5" s="1543"/>
      <c r="C5" s="1543"/>
      <c r="D5" s="1545"/>
      <c r="E5" s="1545"/>
      <c r="F5" s="1545"/>
      <c r="G5" s="1545"/>
      <c r="H5" s="1545"/>
      <c r="I5" s="1545"/>
      <c r="J5" s="1545"/>
      <c r="K5" s="1545"/>
      <c r="L5" s="1545"/>
      <c r="M5" s="1545"/>
      <c r="N5" s="1545"/>
      <c r="O5" s="1545"/>
      <c r="P5" s="1545"/>
      <c r="Q5" s="1545"/>
      <c r="R5" s="1545"/>
      <c r="S5" s="1545"/>
    </row>
    <row r="6" spans="1:19" x14ac:dyDescent="0.2">
      <c r="A6" s="1543"/>
      <c r="B6" s="1543"/>
      <c r="C6" s="1543"/>
      <c r="D6" s="1545"/>
      <c r="E6" s="1545"/>
      <c r="F6" s="1545"/>
      <c r="G6" s="1545"/>
      <c r="H6" s="1545"/>
      <c r="I6" s="1545"/>
      <c r="J6" s="1545"/>
      <c r="K6" s="1545"/>
      <c r="L6" s="1545"/>
      <c r="M6" s="1545"/>
      <c r="N6" s="1545"/>
      <c r="O6" s="1545"/>
      <c r="P6" s="1545"/>
      <c r="Q6" s="1545"/>
      <c r="R6" s="1545"/>
      <c r="S6" s="1545"/>
    </row>
    <row r="7" spans="1:19" ht="19" x14ac:dyDescent="0.25">
      <c r="A7" s="582" t="s">
        <v>241</v>
      </c>
      <c r="B7" s="669" t="s">
        <v>5633</v>
      </c>
      <c r="C7" s="1547" t="s">
        <v>245</v>
      </c>
      <c r="D7" s="1547"/>
      <c r="E7" s="1548">
        <v>43961.953910763892</v>
      </c>
      <c r="F7" s="1548"/>
      <c r="G7" s="582"/>
      <c r="H7" s="582"/>
      <c r="I7" s="582"/>
      <c r="J7" s="582"/>
      <c r="K7" s="582"/>
      <c r="L7" s="582"/>
      <c r="M7" s="582"/>
      <c r="N7" s="582"/>
      <c r="O7" s="582"/>
      <c r="P7" s="582"/>
      <c r="Q7" s="582"/>
      <c r="R7" s="582"/>
      <c r="S7" s="582"/>
    </row>
    <row r="8" spans="1:19" s="16" customFormat="1" x14ac:dyDescent="0.2">
      <c r="A8" s="1546"/>
      <c r="B8" s="1546"/>
      <c r="C8" s="1546"/>
      <c r="D8" s="1546"/>
      <c r="E8" s="1546"/>
      <c r="F8" s="1546"/>
      <c r="G8" s="1546"/>
      <c r="H8" s="1546"/>
      <c r="I8" s="1546"/>
      <c r="J8" s="1546"/>
      <c r="K8" s="1546"/>
      <c r="L8" s="1546"/>
      <c r="M8" s="1546"/>
      <c r="N8" s="1546"/>
      <c r="O8" s="1546"/>
      <c r="P8" s="1546"/>
      <c r="Q8" s="1546"/>
      <c r="R8" s="1546"/>
      <c r="S8" s="1546"/>
    </row>
    <row r="9" spans="1:19" x14ac:dyDescent="0.2">
      <c r="A9" s="583"/>
      <c r="B9" s="1550" t="s">
        <v>3203</v>
      </c>
      <c r="C9" s="1550"/>
      <c r="D9" s="1550"/>
      <c r="E9" s="1550"/>
      <c r="F9" s="1550"/>
      <c r="G9" s="1550"/>
      <c r="H9" s="1550"/>
      <c r="I9" s="1550"/>
      <c r="J9" s="1550"/>
      <c r="K9" s="1550"/>
      <c r="L9" s="1550"/>
      <c r="M9" s="1550"/>
      <c r="N9" s="1550"/>
      <c r="O9" s="1550"/>
      <c r="P9" s="1550"/>
      <c r="Q9" s="1550"/>
      <c r="R9" s="1550"/>
      <c r="S9" s="583"/>
    </row>
    <row r="10" spans="1:19" x14ac:dyDescent="0.2">
      <c r="A10" s="583"/>
      <c r="B10" s="1551" t="s">
        <v>3469</v>
      </c>
      <c r="C10" s="1551"/>
      <c r="D10" s="1551"/>
      <c r="E10" s="1551"/>
      <c r="F10" s="1551"/>
      <c r="G10" s="1551"/>
      <c r="H10" s="1551"/>
      <c r="I10" s="1551"/>
      <c r="J10" s="1551"/>
      <c r="K10" s="1551"/>
      <c r="L10" s="1551"/>
      <c r="M10" s="1551"/>
      <c r="N10" s="1551"/>
      <c r="O10" s="1551"/>
      <c r="P10" s="1551"/>
      <c r="Q10" s="1551"/>
      <c r="R10" s="1551"/>
      <c r="S10" s="583"/>
    </row>
    <row r="11" spans="1:19" s="16" customFormat="1" x14ac:dyDescent="0.2">
      <c r="A11" s="1546"/>
      <c r="B11" s="1546"/>
      <c r="C11" s="1546"/>
      <c r="D11" s="1546"/>
      <c r="E11" s="1546"/>
      <c r="F11" s="1546"/>
      <c r="G11" s="1546"/>
      <c r="H11" s="1546"/>
      <c r="I11" s="1546"/>
      <c r="J11" s="1546"/>
      <c r="K11" s="1546"/>
      <c r="L11" s="1546"/>
      <c r="M11" s="1546"/>
      <c r="N11" s="1546"/>
      <c r="O11" s="1546"/>
      <c r="P11" s="1546"/>
      <c r="Q11" s="1546"/>
      <c r="R11" s="1546"/>
      <c r="S11" s="1546"/>
    </row>
    <row r="12" spans="1:19" s="13" customFormat="1" ht="19" x14ac:dyDescent="0.25">
      <c r="A12" s="1542" t="s">
        <v>244</v>
      </c>
      <c r="B12" s="1542"/>
      <c r="C12" s="1542"/>
      <c r="D12" s="1542"/>
      <c r="E12" s="1542"/>
      <c r="F12" s="1542"/>
      <c r="G12" s="1542"/>
      <c r="H12" s="1542"/>
      <c r="I12" s="1542"/>
      <c r="J12" s="1542"/>
      <c r="K12" s="1542"/>
      <c r="L12" s="1542"/>
      <c r="M12" s="1542"/>
      <c r="N12" s="1542"/>
      <c r="O12" s="1542"/>
      <c r="P12" s="1542"/>
      <c r="Q12" s="1542"/>
      <c r="R12" s="1542"/>
      <c r="S12" s="1542"/>
    </row>
    <row r="13" spans="1:19" s="16" customFormat="1" x14ac:dyDescent="0.2">
      <c r="A13" s="1546"/>
      <c r="B13" s="1546"/>
      <c r="C13" s="1546"/>
      <c r="D13" s="1546"/>
      <c r="E13" s="1546"/>
      <c r="F13" s="1546"/>
      <c r="G13" s="1546"/>
      <c r="H13" s="1546"/>
      <c r="I13" s="1546"/>
      <c r="J13" s="1546"/>
      <c r="K13" s="1546"/>
      <c r="L13" s="1546"/>
      <c r="M13" s="1546"/>
      <c r="N13" s="1546"/>
      <c r="O13" s="1546"/>
      <c r="P13" s="1546"/>
      <c r="Q13" s="1546"/>
      <c r="R13" s="1546"/>
      <c r="S13" s="1546"/>
    </row>
    <row r="14" spans="1:19" s="13" customFormat="1" ht="14.5" customHeight="1" x14ac:dyDescent="0.2">
      <c r="A14" s="583"/>
      <c r="B14" s="1549" t="s">
        <v>5298</v>
      </c>
      <c r="C14" s="1549"/>
      <c r="D14" s="1549"/>
      <c r="E14" s="1549"/>
      <c r="F14" s="1549"/>
      <c r="G14" s="1549"/>
      <c r="H14" s="1549"/>
      <c r="I14" s="1549"/>
      <c r="J14" s="1549"/>
      <c r="K14" s="1549"/>
      <c r="L14" s="1549"/>
      <c r="M14" s="1549"/>
      <c r="N14" s="1549"/>
      <c r="O14" s="1549"/>
      <c r="P14" s="1549"/>
      <c r="Q14" s="1549"/>
      <c r="R14" s="1549"/>
      <c r="S14" s="583"/>
    </row>
    <row r="15" spans="1:19" s="1247" customFormat="1" ht="14.5" customHeight="1" x14ac:dyDescent="0.2">
      <c r="B15" s="1549"/>
      <c r="C15" s="1549"/>
      <c r="D15" s="1549"/>
      <c r="E15" s="1549"/>
      <c r="F15" s="1549"/>
      <c r="G15" s="1549"/>
      <c r="H15" s="1549"/>
      <c r="I15" s="1549"/>
      <c r="J15" s="1549"/>
      <c r="K15" s="1549"/>
      <c r="L15" s="1549"/>
      <c r="M15" s="1549"/>
      <c r="N15" s="1549"/>
      <c r="O15" s="1549"/>
      <c r="P15" s="1549"/>
      <c r="Q15" s="1549"/>
      <c r="R15" s="1549"/>
    </row>
    <row r="16" spans="1:19" s="13" customFormat="1" x14ac:dyDescent="0.2">
      <c r="A16" s="583"/>
      <c r="B16" s="1549"/>
      <c r="C16" s="1549"/>
      <c r="D16" s="1549"/>
      <c r="E16" s="1549"/>
      <c r="F16" s="1549"/>
      <c r="G16" s="1549"/>
      <c r="H16" s="1549"/>
      <c r="I16" s="1549"/>
      <c r="J16" s="1549"/>
      <c r="K16" s="1549"/>
      <c r="L16" s="1549"/>
      <c r="M16" s="1549"/>
      <c r="N16" s="1549"/>
      <c r="O16" s="1549"/>
      <c r="P16" s="1549"/>
      <c r="Q16" s="1549"/>
      <c r="R16" s="1549"/>
      <c r="S16" s="583"/>
    </row>
    <row r="17" spans="1:19" s="13" customFormat="1" x14ac:dyDescent="0.2">
      <c r="A17" s="583"/>
      <c r="B17" s="1549"/>
      <c r="C17" s="1549"/>
      <c r="D17" s="1549"/>
      <c r="E17" s="1549"/>
      <c r="F17" s="1549"/>
      <c r="G17" s="1549"/>
      <c r="H17" s="1549"/>
      <c r="I17" s="1549"/>
      <c r="J17" s="1549"/>
      <c r="K17" s="1549"/>
      <c r="L17" s="1549"/>
      <c r="M17" s="1549"/>
      <c r="N17" s="1549"/>
      <c r="O17" s="1549"/>
      <c r="P17" s="1549"/>
      <c r="Q17" s="1549"/>
      <c r="R17" s="1549"/>
      <c r="S17" s="583"/>
    </row>
    <row r="18" spans="1:19" s="16" customFormat="1" x14ac:dyDescent="0.2">
      <c r="A18" s="1546"/>
      <c r="B18" s="1546"/>
      <c r="C18" s="1546"/>
      <c r="D18" s="1546"/>
      <c r="E18" s="1546"/>
      <c r="F18" s="1546"/>
      <c r="G18" s="1546"/>
      <c r="H18" s="1546"/>
      <c r="I18" s="1546"/>
      <c r="J18" s="1546"/>
      <c r="K18" s="1546"/>
      <c r="L18" s="1546"/>
      <c r="M18" s="1546"/>
      <c r="N18" s="1546"/>
      <c r="O18" s="1546"/>
      <c r="P18" s="1546"/>
      <c r="Q18" s="1546"/>
      <c r="R18" s="1546"/>
      <c r="S18" s="1546"/>
    </row>
    <row r="19" spans="1:19" s="511" customFormat="1" ht="19" x14ac:dyDescent="0.25">
      <c r="A19" s="1542" t="s">
        <v>3181</v>
      </c>
      <c r="B19" s="1542"/>
      <c r="C19" s="1542"/>
      <c r="D19" s="1542"/>
      <c r="E19" s="1542"/>
      <c r="F19" s="1542"/>
      <c r="G19" s="1542"/>
      <c r="H19" s="1542"/>
      <c r="I19" s="1542"/>
      <c r="J19" s="1542"/>
      <c r="K19" s="1542"/>
      <c r="L19" s="1542"/>
      <c r="M19" s="1542"/>
      <c r="N19" s="1542"/>
      <c r="O19" s="1542"/>
      <c r="P19" s="1542"/>
      <c r="Q19" s="1542"/>
      <c r="R19" s="1542"/>
      <c r="S19" s="1542"/>
    </row>
    <row r="20" spans="1:19" s="511" customFormat="1" x14ac:dyDescent="0.2">
      <c r="A20" s="583"/>
      <c r="B20" s="583"/>
      <c r="C20" s="583"/>
      <c r="D20" s="583"/>
      <c r="E20" s="583"/>
      <c r="F20" s="583"/>
      <c r="G20" s="583"/>
      <c r="H20" s="583"/>
      <c r="I20" s="583"/>
      <c r="J20" s="583"/>
      <c r="K20" s="583"/>
      <c r="L20" s="583"/>
      <c r="M20" s="583"/>
      <c r="N20" s="583"/>
      <c r="O20" s="583"/>
      <c r="P20" s="583"/>
      <c r="Q20" s="583"/>
      <c r="R20" s="583"/>
      <c r="S20" s="583"/>
    </row>
    <row r="21" spans="1:19" s="511" customFormat="1" x14ac:dyDescent="0.2">
      <c r="A21" s="583"/>
      <c r="B21" s="1553" t="s">
        <v>2887</v>
      </c>
      <c r="C21" s="1553"/>
      <c r="D21" s="1553"/>
      <c r="E21" s="1553"/>
      <c r="F21" s="1553"/>
      <c r="G21" s="1553"/>
      <c r="H21" s="1553"/>
      <c r="I21" s="1553"/>
      <c r="J21" s="1553"/>
      <c r="K21" s="1553"/>
      <c r="L21" s="1553"/>
      <c r="M21" s="1553"/>
      <c r="N21" s="1553"/>
      <c r="O21" s="1553"/>
      <c r="P21" s="1553"/>
      <c r="Q21" s="1553"/>
      <c r="R21" s="1553"/>
      <c r="S21" s="583"/>
    </row>
    <row r="22" spans="1:19" s="511" customFormat="1" x14ac:dyDescent="0.2">
      <c r="A22" s="583"/>
      <c r="B22" s="583"/>
      <c r="C22" s="583"/>
      <c r="D22" s="583"/>
      <c r="E22" s="583"/>
      <c r="F22" s="583"/>
      <c r="G22" s="583"/>
      <c r="H22" s="583"/>
      <c r="I22" s="583"/>
      <c r="J22" s="583"/>
      <c r="K22" s="583"/>
      <c r="L22" s="583"/>
      <c r="M22" s="583"/>
      <c r="N22" s="583"/>
      <c r="O22" s="583"/>
      <c r="P22" s="583"/>
      <c r="Q22" s="583"/>
      <c r="R22" s="583"/>
      <c r="S22" s="583"/>
    </row>
    <row r="23" spans="1:19" s="511" customFormat="1" ht="15" customHeight="1" x14ac:dyDescent="0.2">
      <c r="A23" s="583"/>
      <c r="B23" s="1554" t="s">
        <v>3204</v>
      </c>
      <c r="C23" s="1554"/>
      <c r="D23" s="1554"/>
      <c r="E23" s="1554"/>
      <c r="F23" s="1554"/>
      <c r="G23" s="1554"/>
      <c r="H23" s="1554"/>
      <c r="I23" s="1554"/>
      <c r="J23" s="1554"/>
      <c r="K23" s="1554"/>
      <c r="L23" s="1554"/>
      <c r="M23" s="1554"/>
      <c r="N23" s="1554"/>
      <c r="O23" s="1554"/>
      <c r="P23" s="1554"/>
      <c r="Q23" s="1554"/>
      <c r="R23" s="1554"/>
      <c r="S23" s="583"/>
    </row>
    <row r="24" spans="1:19" s="511" customFormat="1" x14ac:dyDescent="0.2">
      <c r="A24" s="583"/>
      <c r="B24" s="1554"/>
      <c r="C24" s="1554"/>
      <c r="D24" s="1554"/>
      <c r="E24" s="1554"/>
      <c r="F24" s="1554"/>
      <c r="G24" s="1554"/>
      <c r="H24" s="1554"/>
      <c r="I24" s="1554"/>
      <c r="J24" s="1554"/>
      <c r="K24" s="1554"/>
      <c r="L24" s="1554"/>
      <c r="M24" s="1554"/>
      <c r="N24" s="1554"/>
      <c r="O24" s="1554"/>
      <c r="P24" s="1554"/>
      <c r="Q24" s="1554"/>
      <c r="R24" s="1554"/>
      <c r="S24" s="583"/>
    </row>
    <row r="25" spans="1:19" s="511" customFormat="1" x14ac:dyDescent="0.2">
      <c r="A25" s="583"/>
      <c r="B25" s="583"/>
      <c r="C25" s="583"/>
      <c r="D25" s="583"/>
      <c r="E25" s="583"/>
      <c r="F25" s="583"/>
      <c r="G25" s="583"/>
      <c r="H25" s="583"/>
      <c r="I25" s="583"/>
      <c r="J25" s="583"/>
      <c r="K25" s="583"/>
      <c r="L25" s="583"/>
      <c r="M25" s="583"/>
      <c r="N25" s="583"/>
      <c r="O25" s="583"/>
      <c r="P25" s="583"/>
      <c r="Q25" s="583"/>
      <c r="R25" s="583"/>
      <c r="S25" s="583"/>
    </row>
    <row r="26" spans="1:19" ht="19" x14ac:dyDescent="0.25">
      <c r="A26" s="1542" t="s">
        <v>242</v>
      </c>
      <c r="B26" s="1542"/>
      <c r="C26" s="1542"/>
      <c r="D26" s="1542"/>
      <c r="E26" s="1542"/>
      <c r="F26" s="1542"/>
      <c r="G26" s="1542"/>
      <c r="H26" s="1542"/>
      <c r="I26" s="1542"/>
      <c r="J26" s="1542"/>
      <c r="K26" s="1542"/>
      <c r="L26" s="1542"/>
      <c r="M26" s="1542"/>
      <c r="N26" s="1542"/>
      <c r="O26" s="1542"/>
      <c r="P26" s="1542"/>
      <c r="Q26" s="1542"/>
      <c r="R26" s="1542"/>
      <c r="S26" s="1542"/>
    </row>
    <row r="27" spans="1:19" x14ac:dyDescent="0.2">
      <c r="A27" s="583"/>
      <c r="B27" s="583"/>
      <c r="C27" s="583"/>
      <c r="D27" s="583"/>
      <c r="E27" s="583"/>
      <c r="F27" s="583"/>
      <c r="G27" s="583"/>
      <c r="H27" s="583"/>
      <c r="I27" s="583"/>
      <c r="J27" s="583"/>
      <c r="K27" s="583"/>
      <c r="L27" s="583"/>
      <c r="M27" s="583"/>
      <c r="N27" s="583"/>
      <c r="O27" s="583"/>
      <c r="P27" s="583"/>
      <c r="Q27" s="583"/>
      <c r="R27" s="583"/>
      <c r="S27" s="583"/>
    </row>
    <row r="28" spans="1:19" s="511" customFormat="1" ht="15" customHeight="1" x14ac:dyDescent="0.2">
      <c r="A28" s="583"/>
      <c r="B28" s="1549" t="s">
        <v>5078</v>
      </c>
      <c r="C28" s="1549"/>
      <c r="D28" s="1549"/>
      <c r="E28" s="1549"/>
      <c r="F28" s="1549"/>
      <c r="G28" s="1549"/>
      <c r="H28" s="1549"/>
      <c r="I28" s="1549"/>
      <c r="J28" s="1549"/>
      <c r="K28" s="1549"/>
      <c r="L28" s="1549"/>
      <c r="M28" s="1549"/>
      <c r="N28" s="1549"/>
      <c r="O28" s="1549"/>
      <c r="P28" s="1549"/>
      <c r="Q28" s="1549"/>
      <c r="R28" s="1549"/>
      <c r="S28" s="583"/>
    </row>
    <row r="29" spans="1:19" s="511" customFormat="1" x14ac:dyDescent="0.2">
      <c r="A29" s="583"/>
      <c r="B29" s="1549"/>
      <c r="C29" s="1549"/>
      <c r="D29" s="1549"/>
      <c r="E29" s="1549"/>
      <c r="F29" s="1549"/>
      <c r="G29" s="1549"/>
      <c r="H29" s="1549"/>
      <c r="I29" s="1549"/>
      <c r="J29" s="1549"/>
      <c r="K29" s="1549"/>
      <c r="L29" s="1549"/>
      <c r="M29" s="1549"/>
      <c r="N29" s="1549"/>
      <c r="O29" s="1549"/>
      <c r="P29" s="1549"/>
      <c r="Q29" s="1549"/>
      <c r="R29" s="1549"/>
      <c r="S29" s="583"/>
    </row>
    <row r="30" spans="1:19" s="511" customFormat="1" x14ac:dyDescent="0.2">
      <c r="A30" s="583"/>
      <c r="B30" s="1549"/>
      <c r="C30" s="1549"/>
      <c r="D30" s="1549"/>
      <c r="E30" s="1549"/>
      <c r="F30" s="1549"/>
      <c r="G30" s="1549"/>
      <c r="H30" s="1549"/>
      <c r="I30" s="1549"/>
      <c r="J30" s="1549"/>
      <c r="K30" s="1549"/>
      <c r="L30" s="1549"/>
      <c r="M30" s="1549"/>
      <c r="N30" s="1549"/>
      <c r="O30" s="1549"/>
      <c r="P30" s="1549"/>
      <c r="Q30" s="1549"/>
      <c r="R30" s="1549"/>
      <c r="S30" s="583"/>
    </row>
    <row r="31" spans="1:19" s="13" customFormat="1" x14ac:dyDescent="0.2">
      <c r="A31" s="583"/>
      <c r="B31" s="581"/>
      <c r="C31" s="581"/>
      <c r="D31" s="581"/>
      <c r="E31" s="581"/>
      <c r="F31" s="581"/>
      <c r="G31" s="581"/>
      <c r="H31" s="581"/>
      <c r="I31" s="581"/>
      <c r="J31" s="581"/>
      <c r="K31" s="581"/>
      <c r="L31" s="581"/>
      <c r="M31" s="581"/>
      <c r="N31" s="581"/>
      <c r="O31" s="581"/>
      <c r="P31" s="581"/>
      <c r="Q31" s="581"/>
      <c r="R31" s="581"/>
      <c r="S31" s="583"/>
    </row>
    <row r="32" spans="1:19" s="511" customFormat="1" ht="15" customHeight="1" x14ac:dyDescent="0.2">
      <c r="A32" s="583"/>
      <c r="B32" s="1555" t="s">
        <v>3183</v>
      </c>
      <c r="C32" s="1555"/>
      <c r="D32" s="1555"/>
      <c r="E32" s="1555"/>
      <c r="F32" s="1555"/>
      <c r="G32" s="1555"/>
      <c r="H32" s="1555"/>
      <c r="I32" s="1555"/>
      <c r="J32" s="1555"/>
      <c r="K32" s="1555"/>
      <c r="L32" s="1555"/>
      <c r="M32" s="1555"/>
      <c r="N32" s="1555"/>
      <c r="O32" s="1555"/>
      <c r="P32" s="1555"/>
      <c r="Q32" s="1555"/>
      <c r="R32" s="1555"/>
      <c r="S32" s="583"/>
    </row>
    <row r="33" spans="1:19" s="511" customFormat="1" x14ac:dyDescent="0.2">
      <c r="A33" s="583"/>
      <c r="B33" s="581"/>
      <c r="C33" s="581"/>
      <c r="D33" s="581"/>
      <c r="E33" s="581"/>
      <c r="F33" s="581"/>
      <c r="G33" s="581"/>
      <c r="H33" s="581"/>
      <c r="I33" s="581"/>
      <c r="J33" s="581"/>
      <c r="K33" s="581"/>
      <c r="L33" s="581"/>
      <c r="M33" s="581"/>
      <c r="N33" s="581"/>
      <c r="O33" s="581"/>
      <c r="P33" s="581"/>
      <c r="Q33" s="581"/>
      <c r="R33" s="581"/>
      <c r="S33" s="583"/>
    </row>
    <row r="34" spans="1:19" s="511" customFormat="1" ht="15" customHeight="1" x14ac:dyDescent="0.2">
      <c r="A34" s="583"/>
      <c r="B34" s="1549" t="s">
        <v>3184</v>
      </c>
      <c r="C34" s="1549"/>
      <c r="D34" s="1549"/>
      <c r="E34" s="1549"/>
      <c r="F34" s="1549"/>
      <c r="G34" s="1549"/>
      <c r="H34" s="1549"/>
      <c r="I34" s="1549"/>
      <c r="J34" s="1549"/>
      <c r="K34" s="1549"/>
      <c r="L34" s="1549"/>
      <c r="M34" s="1549"/>
      <c r="N34" s="1549"/>
      <c r="O34" s="1549"/>
      <c r="P34" s="1549"/>
      <c r="Q34" s="1549"/>
      <c r="R34" s="1549"/>
      <c r="S34" s="1549"/>
    </row>
    <row r="35" spans="1:19" s="511" customFormat="1" x14ac:dyDescent="0.2">
      <c r="A35" s="583"/>
      <c r="B35" s="581"/>
      <c r="C35" s="581"/>
      <c r="D35" s="581"/>
      <c r="E35" s="581"/>
      <c r="F35" s="581"/>
      <c r="G35" s="581"/>
      <c r="H35" s="581"/>
      <c r="I35" s="581"/>
      <c r="J35" s="581"/>
      <c r="K35" s="581"/>
      <c r="L35" s="581"/>
      <c r="M35" s="581"/>
      <c r="N35" s="581"/>
      <c r="O35" s="581"/>
      <c r="P35" s="581"/>
      <c r="Q35" s="581"/>
      <c r="R35" s="581"/>
      <c r="S35" s="583"/>
    </row>
    <row r="36" spans="1:19" s="511" customFormat="1" ht="15" customHeight="1" x14ac:dyDescent="0.2">
      <c r="A36" s="583"/>
      <c r="B36" s="1549" t="s">
        <v>3205</v>
      </c>
      <c r="C36" s="1549"/>
      <c r="D36" s="1549"/>
      <c r="E36" s="1549"/>
      <c r="F36" s="1549"/>
      <c r="G36" s="1549"/>
      <c r="H36" s="1549"/>
      <c r="I36" s="1549"/>
      <c r="J36" s="1549"/>
      <c r="K36" s="1549"/>
      <c r="L36" s="1549"/>
      <c r="M36" s="1549"/>
      <c r="N36" s="1549"/>
      <c r="O36" s="1549"/>
      <c r="P36" s="1549"/>
      <c r="Q36" s="1549"/>
      <c r="R36" s="1549"/>
      <c r="S36" s="583"/>
    </row>
    <row r="37" spans="1:19" s="511" customFormat="1" x14ac:dyDescent="0.2">
      <c r="A37" s="583"/>
      <c r="B37" s="1549"/>
      <c r="C37" s="1549"/>
      <c r="D37" s="1549"/>
      <c r="E37" s="1549"/>
      <c r="F37" s="1549"/>
      <c r="G37" s="1549"/>
      <c r="H37" s="1549"/>
      <c r="I37" s="1549"/>
      <c r="J37" s="1549"/>
      <c r="K37" s="1549"/>
      <c r="L37" s="1549"/>
      <c r="M37" s="1549"/>
      <c r="N37" s="1549"/>
      <c r="O37" s="1549"/>
      <c r="P37" s="1549"/>
      <c r="Q37" s="1549"/>
      <c r="R37" s="1549"/>
      <c r="S37" s="583"/>
    </row>
    <row r="38" spans="1:19" s="511" customFormat="1" x14ac:dyDescent="0.2">
      <c r="A38" s="583"/>
      <c r="B38" s="581"/>
      <c r="C38" s="581"/>
      <c r="D38" s="581"/>
      <c r="E38" s="581"/>
      <c r="F38" s="581"/>
      <c r="G38" s="581"/>
      <c r="H38" s="581"/>
      <c r="I38" s="581"/>
      <c r="J38" s="581"/>
      <c r="K38" s="581"/>
      <c r="L38" s="581"/>
      <c r="M38" s="581"/>
      <c r="N38" s="581"/>
      <c r="O38" s="581"/>
      <c r="P38" s="581"/>
      <c r="Q38" s="581"/>
      <c r="R38" s="581"/>
      <c r="S38" s="583"/>
    </row>
    <row r="39" spans="1:19" s="511" customFormat="1" ht="15" customHeight="1" x14ac:dyDescent="0.2">
      <c r="A39" s="583"/>
      <c r="B39" s="583"/>
      <c r="C39" s="1540" t="s">
        <v>3421</v>
      </c>
      <c r="D39" s="1540"/>
      <c r="E39" s="1540"/>
      <c r="F39" s="1540"/>
      <c r="G39" s="1540"/>
      <c r="H39" s="1540"/>
      <c r="I39" s="1540"/>
      <c r="J39" s="1540"/>
      <c r="K39" s="1540"/>
      <c r="L39" s="1540"/>
      <c r="M39" s="1540"/>
      <c r="N39" s="1540"/>
      <c r="O39" s="1540"/>
      <c r="P39" s="1540"/>
      <c r="Q39" s="1540"/>
      <c r="R39" s="1540"/>
      <c r="S39" s="583"/>
    </row>
    <row r="40" spans="1:19" s="511" customFormat="1" x14ac:dyDescent="0.2">
      <c r="A40" s="583"/>
      <c r="B40" s="581"/>
      <c r="C40" s="581"/>
      <c r="D40" s="581"/>
      <c r="E40" s="581"/>
      <c r="F40" s="581"/>
      <c r="G40" s="581"/>
      <c r="H40" s="581"/>
      <c r="I40" s="581"/>
      <c r="J40" s="581"/>
      <c r="K40" s="581"/>
      <c r="L40" s="581"/>
      <c r="M40" s="581"/>
      <c r="N40" s="581"/>
      <c r="O40" s="581"/>
      <c r="P40" s="581"/>
      <c r="Q40" s="581"/>
      <c r="R40" s="581"/>
      <c r="S40" s="583"/>
    </row>
    <row r="41" spans="1:19" s="511" customFormat="1" ht="15" customHeight="1" x14ac:dyDescent="0.2">
      <c r="A41" s="583"/>
      <c r="B41" s="583"/>
      <c r="C41" s="1540" t="s">
        <v>3186</v>
      </c>
      <c r="D41" s="1540"/>
      <c r="E41" s="1540"/>
      <c r="F41" s="1540"/>
      <c r="G41" s="1540"/>
      <c r="H41" s="1540"/>
      <c r="I41" s="1540"/>
      <c r="J41" s="1540"/>
      <c r="K41" s="1540"/>
      <c r="L41" s="1540"/>
      <c r="M41" s="1540"/>
      <c r="N41" s="1540"/>
      <c r="O41" s="1540"/>
      <c r="P41" s="1540"/>
      <c r="Q41" s="1540"/>
      <c r="R41" s="1540"/>
      <c r="S41" s="583"/>
    </row>
    <row r="42" spans="1:19" s="511" customFormat="1" x14ac:dyDescent="0.2">
      <c r="A42" s="583"/>
      <c r="B42" s="584"/>
      <c r="C42" s="1540"/>
      <c r="D42" s="1540"/>
      <c r="E42" s="1540"/>
      <c r="F42" s="1540"/>
      <c r="G42" s="1540"/>
      <c r="H42" s="1540"/>
      <c r="I42" s="1540"/>
      <c r="J42" s="1540"/>
      <c r="K42" s="1540"/>
      <c r="L42" s="1540"/>
      <c r="M42" s="1540"/>
      <c r="N42" s="1540"/>
      <c r="O42" s="1540"/>
      <c r="P42" s="1540"/>
      <c r="Q42" s="1540"/>
      <c r="R42" s="1540"/>
      <c r="S42" s="583"/>
    </row>
    <row r="43" spans="1:19" s="511" customFormat="1" x14ac:dyDescent="0.2">
      <c r="A43" s="583"/>
      <c r="B43" s="581"/>
      <c r="C43" s="581"/>
      <c r="D43" s="581"/>
      <c r="E43" s="581"/>
      <c r="F43" s="581"/>
      <c r="G43" s="581"/>
      <c r="H43" s="581"/>
      <c r="I43" s="581"/>
      <c r="J43" s="581"/>
      <c r="K43" s="581"/>
      <c r="L43" s="581"/>
      <c r="M43" s="581"/>
      <c r="N43" s="581"/>
      <c r="O43" s="581"/>
      <c r="P43" s="581"/>
      <c r="Q43" s="581"/>
      <c r="R43" s="581"/>
      <c r="S43" s="583"/>
    </row>
    <row r="44" spans="1:19" s="511" customFormat="1" ht="15" customHeight="1" x14ac:dyDescent="0.2">
      <c r="A44" s="583"/>
      <c r="B44" s="1540" t="s">
        <v>3427</v>
      </c>
      <c r="C44" s="1540"/>
      <c r="D44" s="1540"/>
      <c r="E44" s="1540"/>
      <c r="F44" s="1540"/>
      <c r="G44" s="1540"/>
      <c r="H44" s="1540"/>
      <c r="I44" s="1540"/>
      <c r="J44" s="1540"/>
      <c r="K44" s="1540"/>
      <c r="L44" s="1540"/>
      <c r="M44" s="1540"/>
      <c r="N44" s="1540"/>
      <c r="O44" s="1540"/>
      <c r="P44" s="1540"/>
      <c r="Q44" s="1540"/>
      <c r="R44" s="1540"/>
      <c r="S44" s="1540"/>
    </row>
    <row r="45" spans="1:19" s="511" customFormat="1" x14ac:dyDescent="0.2">
      <c r="A45" s="583"/>
      <c r="B45" s="581"/>
      <c r="C45" s="581"/>
      <c r="D45" s="581"/>
      <c r="E45" s="581"/>
      <c r="F45" s="581"/>
      <c r="G45" s="581"/>
      <c r="H45" s="581"/>
      <c r="I45" s="581"/>
      <c r="J45" s="581"/>
      <c r="K45" s="581"/>
      <c r="L45" s="581"/>
      <c r="M45" s="581"/>
      <c r="N45" s="581"/>
      <c r="O45" s="581"/>
      <c r="P45" s="581"/>
      <c r="Q45" s="581"/>
      <c r="R45" s="581"/>
      <c r="S45" s="583"/>
    </row>
    <row r="46" spans="1:19" s="511" customFormat="1" ht="15" customHeight="1" x14ac:dyDescent="0.2">
      <c r="A46" s="583"/>
      <c r="B46" s="1540" t="s">
        <v>3189</v>
      </c>
      <c r="C46" s="1540"/>
      <c r="D46" s="1540"/>
      <c r="E46" s="1540"/>
      <c r="F46" s="1540"/>
      <c r="G46" s="1540"/>
      <c r="H46" s="1540"/>
      <c r="I46" s="1540"/>
      <c r="J46" s="1540"/>
      <c r="K46" s="1540"/>
      <c r="L46" s="1540"/>
      <c r="M46" s="1540"/>
      <c r="N46" s="1540"/>
      <c r="O46" s="1540"/>
      <c r="P46" s="1540"/>
      <c r="Q46" s="1540"/>
      <c r="R46" s="1540"/>
      <c r="S46" s="583"/>
    </row>
    <row r="47" spans="1:19" s="511" customFormat="1" x14ac:dyDescent="0.2">
      <c r="A47" s="583"/>
      <c r="B47" s="581"/>
      <c r="C47" s="581"/>
      <c r="D47" s="581"/>
      <c r="E47" s="581"/>
      <c r="F47" s="581"/>
      <c r="G47" s="581"/>
      <c r="H47" s="581"/>
      <c r="I47" s="581"/>
      <c r="J47" s="581"/>
      <c r="K47" s="581"/>
      <c r="L47" s="581"/>
      <c r="M47" s="581"/>
      <c r="N47" s="581"/>
      <c r="O47" s="581"/>
      <c r="P47" s="581"/>
      <c r="Q47" s="581"/>
      <c r="R47" s="581"/>
      <c r="S47" s="583"/>
    </row>
    <row r="48" spans="1:19" s="511" customFormat="1" ht="15" customHeight="1" x14ac:dyDescent="0.2">
      <c r="A48" s="583"/>
      <c r="B48" s="1540" t="s">
        <v>3188</v>
      </c>
      <c r="C48" s="1540"/>
      <c r="D48" s="1540"/>
      <c r="E48" s="1540"/>
      <c r="F48" s="1540"/>
      <c r="G48" s="1540"/>
      <c r="H48" s="1540"/>
      <c r="I48" s="1540"/>
      <c r="J48" s="1540"/>
      <c r="K48" s="1540"/>
      <c r="L48" s="1540"/>
      <c r="M48" s="1540"/>
      <c r="N48" s="1540"/>
      <c r="O48" s="1540"/>
      <c r="P48" s="1540"/>
      <c r="Q48" s="1540"/>
      <c r="R48" s="1540"/>
      <c r="S48" s="583"/>
    </row>
    <row r="49" spans="1:19" s="511" customFormat="1" ht="15" customHeight="1" x14ac:dyDescent="0.2">
      <c r="A49" s="583"/>
      <c r="B49" s="1556" t="s">
        <v>3187</v>
      </c>
      <c r="C49" s="1556"/>
      <c r="D49" s="1556"/>
      <c r="E49" s="1556"/>
      <c r="F49" s="1556"/>
      <c r="G49" s="1556"/>
      <c r="H49" s="1556"/>
      <c r="I49" s="1556"/>
      <c r="J49" s="1556"/>
      <c r="K49" s="1556"/>
      <c r="L49" s="1556"/>
      <c r="M49" s="1556"/>
      <c r="N49" s="1556"/>
      <c r="O49" s="1556"/>
      <c r="P49" s="1556"/>
      <c r="Q49" s="1556"/>
      <c r="R49" s="1556"/>
      <c r="S49" s="583"/>
    </row>
    <row r="50" spans="1:19" s="511" customFormat="1" x14ac:dyDescent="0.2">
      <c r="A50" s="583"/>
      <c r="B50" s="584"/>
      <c r="C50" s="584"/>
      <c r="D50" s="584"/>
      <c r="E50" s="584"/>
      <c r="F50" s="584"/>
      <c r="G50" s="584"/>
      <c r="H50" s="584"/>
      <c r="I50" s="584"/>
      <c r="J50" s="584"/>
      <c r="K50" s="584"/>
      <c r="L50" s="584"/>
      <c r="M50" s="584"/>
      <c r="N50" s="584"/>
      <c r="O50" s="584"/>
      <c r="P50" s="584"/>
      <c r="Q50" s="584"/>
      <c r="R50" s="584"/>
      <c r="S50" s="583"/>
    </row>
    <row r="51" spans="1:19" s="511" customFormat="1" ht="15" customHeight="1" x14ac:dyDescent="0.2">
      <c r="A51" s="583"/>
      <c r="B51" s="1555" t="s">
        <v>3185</v>
      </c>
      <c r="C51" s="1555"/>
      <c r="D51" s="1555"/>
      <c r="E51" s="1555"/>
      <c r="F51" s="1555"/>
      <c r="G51" s="1555"/>
      <c r="H51" s="1555"/>
      <c r="I51" s="1555"/>
      <c r="J51" s="1555"/>
      <c r="K51" s="1555"/>
      <c r="L51" s="1555"/>
      <c r="M51" s="1555"/>
      <c r="N51" s="1555"/>
      <c r="O51" s="1555"/>
      <c r="P51" s="1555"/>
      <c r="Q51" s="1555"/>
      <c r="R51" s="1555"/>
      <c r="S51" s="583"/>
    </row>
    <row r="52" spans="1:19" s="511" customFormat="1" x14ac:dyDescent="0.2">
      <c r="A52" s="583"/>
      <c r="B52" s="583"/>
      <c r="C52" s="583"/>
      <c r="D52" s="583"/>
      <c r="E52" s="583"/>
      <c r="F52" s="583"/>
      <c r="G52" s="583"/>
      <c r="H52" s="583"/>
      <c r="I52" s="583"/>
      <c r="J52" s="583"/>
      <c r="K52" s="583"/>
      <c r="L52" s="583"/>
      <c r="M52" s="583"/>
      <c r="N52" s="583"/>
      <c r="O52" s="583"/>
      <c r="P52" s="583"/>
      <c r="Q52" s="583"/>
      <c r="R52" s="583"/>
      <c r="S52" s="583"/>
    </row>
    <row r="53" spans="1:19" s="511" customFormat="1" ht="15" customHeight="1" x14ac:dyDescent="0.2">
      <c r="A53" s="583"/>
      <c r="B53" s="1540" t="s">
        <v>3206</v>
      </c>
      <c r="C53" s="1540"/>
      <c r="D53" s="1540"/>
      <c r="E53" s="1540"/>
      <c r="F53" s="1540"/>
      <c r="G53" s="1540"/>
      <c r="H53" s="1540"/>
      <c r="I53" s="1540"/>
      <c r="J53" s="1540"/>
      <c r="K53" s="1540"/>
      <c r="L53" s="1540"/>
      <c r="M53" s="1540"/>
      <c r="N53" s="1540"/>
      <c r="O53" s="1540"/>
      <c r="P53" s="1540"/>
      <c r="Q53" s="1540"/>
      <c r="R53" s="1540"/>
      <c r="S53" s="583"/>
    </row>
    <row r="54" spans="1:19" s="511" customFormat="1" x14ac:dyDescent="0.2">
      <c r="A54" s="583"/>
      <c r="B54" s="1540"/>
      <c r="C54" s="1540"/>
      <c r="D54" s="1540"/>
      <c r="E54" s="1540"/>
      <c r="F54" s="1540"/>
      <c r="G54" s="1540"/>
      <c r="H54" s="1540"/>
      <c r="I54" s="1540"/>
      <c r="J54" s="1540"/>
      <c r="K54" s="1540"/>
      <c r="L54" s="1540"/>
      <c r="M54" s="1540"/>
      <c r="N54" s="1540"/>
      <c r="O54" s="1540"/>
      <c r="P54" s="1540"/>
      <c r="Q54" s="1540"/>
      <c r="R54" s="1540"/>
      <c r="S54" s="583"/>
    </row>
    <row r="55" spans="1:19" s="511" customFormat="1" x14ac:dyDescent="0.2">
      <c r="A55" s="583"/>
      <c r="B55" s="583"/>
      <c r="C55" s="583"/>
      <c r="D55" s="583"/>
      <c r="E55" s="583"/>
      <c r="F55" s="583"/>
      <c r="G55" s="583"/>
      <c r="H55" s="583"/>
      <c r="I55" s="583"/>
      <c r="J55" s="583"/>
      <c r="K55" s="583"/>
      <c r="L55" s="583"/>
      <c r="M55" s="583"/>
      <c r="N55" s="583"/>
      <c r="O55" s="583"/>
      <c r="P55" s="583"/>
      <c r="Q55" s="583"/>
      <c r="R55" s="583"/>
      <c r="S55" s="583"/>
    </row>
    <row r="56" spans="1:19" s="511" customFormat="1" ht="15" customHeight="1" x14ac:dyDescent="0.2">
      <c r="A56" s="583"/>
      <c r="B56" s="1540" t="s">
        <v>3191</v>
      </c>
      <c r="C56" s="1540"/>
      <c r="D56" s="1540"/>
      <c r="E56" s="1540"/>
      <c r="F56" s="1540"/>
      <c r="G56" s="1540"/>
      <c r="H56" s="1540"/>
      <c r="I56" s="1540"/>
      <c r="J56" s="1540"/>
      <c r="K56" s="1540"/>
      <c r="L56" s="1540"/>
      <c r="M56" s="1540"/>
      <c r="N56" s="1540"/>
      <c r="O56" s="1540"/>
      <c r="P56" s="1540"/>
      <c r="Q56" s="1540"/>
      <c r="R56" s="1540"/>
      <c r="S56" s="583"/>
    </row>
    <row r="57" spans="1:19" s="511" customFormat="1" x14ac:dyDescent="0.2">
      <c r="A57" s="583"/>
      <c r="B57" s="583"/>
      <c r="C57" s="583"/>
      <c r="D57" s="583"/>
      <c r="E57" s="583"/>
      <c r="F57" s="583"/>
      <c r="G57" s="583"/>
      <c r="H57" s="583"/>
      <c r="I57" s="583"/>
      <c r="J57" s="583"/>
      <c r="K57" s="583"/>
      <c r="L57" s="583"/>
      <c r="M57" s="583"/>
      <c r="N57" s="583"/>
      <c r="O57" s="583"/>
      <c r="P57" s="583"/>
      <c r="Q57" s="583"/>
      <c r="R57" s="583"/>
      <c r="S57" s="583"/>
    </row>
    <row r="58" spans="1:19" s="511" customFormat="1" ht="15" customHeight="1" x14ac:dyDescent="0.2">
      <c r="A58" s="583"/>
      <c r="B58" s="583"/>
      <c r="C58" s="1540" t="s">
        <v>3192</v>
      </c>
      <c r="D58" s="1540"/>
      <c r="E58" s="1540"/>
      <c r="F58" s="1540"/>
      <c r="G58" s="1540"/>
      <c r="H58" s="1540"/>
      <c r="I58" s="1540"/>
      <c r="J58" s="1540"/>
      <c r="K58" s="1540"/>
      <c r="L58" s="1540"/>
      <c r="M58" s="1540"/>
      <c r="N58" s="1540"/>
      <c r="O58" s="1540"/>
      <c r="P58" s="1540"/>
      <c r="Q58" s="1540"/>
      <c r="R58" s="1540"/>
      <c r="S58" s="583"/>
    </row>
    <row r="59" spans="1:19" s="511" customFormat="1" x14ac:dyDescent="0.2">
      <c r="A59" s="583"/>
      <c r="B59" s="583"/>
      <c r="C59" s="583"/>
      <c r="D59" s="583"/>
      <c r="E59" s="583"/>
      <c r="F59" s="583"/>
      <c r="G59" s="583"/>
      <c r="H59" s="583"/>
      <c r="I59" s="583"/>
      <c r="J59" s="583"/>
      <c r="K59" s="583"/>
      <c r="L59" s="583"/>
      <c r="M59" s="583"/>
      <c r="N59" s="583"/>
      <c r="O59" s="583"/>
      <c r="P59" s="583"/>
      <c r="Q59" s="583"/>
      <c r="R59" s="583"/>
      <c r="S59" s="583"/>
    </row>
    <row r="60" spans="1:19" s="511" customFormat="1" ht="15" customHeight="1" x14ac:dyDescent="0.2">
      <c r="A60" s="583"/>
      <c r="B60" s="583"/>
      <c r="C60" s="1540" t="s">
        <v>3193</v>
      </c>
      <c r="D60" s="1540"/>
      <c r="E60" s="1540"/>
      <c r="F60" s="1540"/>
      <c r="G60" s="1540"/>
      <c r="H60" s="1540"/>
      <c r="I60" s="1540"/>
      <c r="J60" s="1540"/>
      <c r="K60" s="1540"/>
      <c r="L60" s="1540"/>
      <c r="M60" s="1540"/>
      <c r="N60" s="1540"/>
      <c r="O60" s="1540"/>
      <c r="P60" s="1540"/>
      <c r="Q60" s="1540"/>
      <c r="R60" s="1540"/>
      <c r="S60" s="583"/>
    </row>
    <row r="61" spans="1:19" s="511" customFormat="1" ht="15" customHeight="1" x14ac:dyDescent="0.2">
      <c r="A61" s="583"/>
      <c r="B61" s="583"/>
      <c r="C61" s="1540"/>
      <c r="D61" s="1540"/>
      <c r="E61" s="1540"/>
      <c r="F61" s="1540"/>
      <c r="G61" s="1540"/>
      <c r="H61" s="1540"/>
      <c r="I61" s="1540"/>
      <c r="J61" s="1540"/>
      <c r="K61" s="1540"/>
      <c r="L61" s="1540"/>
      <c r="M61" s="1540"/>
      <c r="N61" s="1540"/>
      <c r="O61" s="1540"/>
      <c r="P61" s="1540"/>
      <c r="Q61" s="1540"/>
      <c r="R61" s="1540"/>
      <c r="S61" s="583"/>
    </row>
    <row r="62" spans="1:19" s="511" customFormat="1" x14ac:dyDescent="0.2">
      <c r="A62" s="583"/>
      <c r="B62" s="583"/>
      <c r="C62" s="583"/>
      <c r="D62" s="583"/>
      <c r="E62" s="583"/>
      <c r="F62" s="583"/>
      <c r="G62" s="583"/>
      <c r="H62" s="583"/>
      <c r="I62" s="583"/>
      <c r="J62" s="583"/>
      <c r="K62" s="583"/>
      <c r="L62" s="583"/>
      <c r="M62" s="583"/>
      <c r="N62" s="583"/>
      <c r="O62" s="583"/>
      <c r="P62" s="583"/>
      <c r="Q62" s="583"/>
      <c r="R62" s="583"/>
      <c r="S62" s="583"/>
    </row>
    <row r="63" spans="1:19" s="511" customFormat="1" ht="15" customHeight="1" x14ac:dyDescent="0.2">
      <c r="A63" s="583"/>
      <c r="B63" s="1540" t="s">
        <v>3207</v>
      </c>
      <c r="C63" s="1540"/>
      <c r="D63" s="1540"/>
      <c r="E63" s="1540"/>
      <c r="F63" s="1540"/>
      <c r="G63" s="1540"/>
      <c r="H63" s="1540"/>
      <c r="I63" s="1540"/>
      <c r="J63" s="1540"/>
      <c r="K63" s="1540"/>
      <c r="L63" s="1540"/>
      <c r="M63" s="1540"/>
      <c r="N63" s="1540"/>
      <c r="O63" s="1540"/>
      <c r="P63" s="1540"/>
      <c r="Q63" s="1540"/>
      <c r="R63" s="1540"/>
      <c r="S63" s="1540"/>
    </row>
    <row r="64" spans="1:19" s="511" customFormat="1" x14ac:dyDescent="0.2">
      <c r="A64" s="583"/>
      <c r="B64" s="583"/>
      <c r="C64" s="583"/>
      <c r="D64" s="583"/>
      <c r="E64" s="583"/>
      <c r="F64" s="583"/>
      <c r="G64" s="583"/>
      <c r="H64" s="583"/>
      <c r="I64" s="583"/>
      <c r="J64" s="583"/>
      <c r="K64" s="583"/>
      <c r="L64" s="583"/>
      <c r="M64" s="583"/>
      <c r="N64" s="583"/>
      <c r="O64" s="583"/>
      <c r="P64" s="583"/>
      <c r="Q64" s="583"/>
      <c r="R64" s="583"/>
      <c r="S64" s="583"/>
    </row>
    <row r="65" spans="1:19" s="511" customFormat="1" ht="15" customHeight="1" x14ac:dyDescent="0.2">
      <c r="A65" s="583"/>
      <c r="B65" s="1540" t="s">
        <v>3208</v>
      </c>
      <c r="C65" s="1540"/>
      <c r="D65" s="1540"/>
      <c r="E65" s="1540"/>
      <c r="F65" s="1540"/>
      <c r="G65" s="1540"/>
      <c r="H65" s="1540"/>
      <c r="I65" s="1540"/>
      <c r="J65" s="1540"/>
      <c r="K65" s="1540"/>
      <c r="L65" s="1540"/>
      <c r="M65" s="1540"/>
      <c r="N65" s="1540"/>
      <c r="O65" s="1540"/>
      <c r="P65" s="1540"/>
      <c r="Q65" s="1540"/>
      <c r="R65" s="1540"/>
      <c r="S65" s="1540"/>
    </row>
    <row r="66" spans="1:19" s="511" customFormat="1" x14ac:dyDescent="0.2"/>
    <row r="67" spans="1:19" s="627" customFormat="1" ht="19" x14ac:dyDescent="0.25">
      <c r="A67" s="1542" t="s">
        <v>3415</v>
      </c>
      <c r="B67" s="1542"/>
      <c r="C67" s="1542"/>
      <c r="D67" s="1542"/>
      <c r="E67" s="1542"/>
      <c r="F67" s="1542"/>
      <c r="G67" s="1542"/>
      <c r="H67" s="1542"/>
      <c r="I67" s="1542"/>
      <c r="J67" s="1542"/>
      <c r="K67" s="1542"/>
      <c r="L67" s="1542"/>
      <c r="M67" s="1542"/>
      <c r="N67" s="1542"/>
      <c r="O67" s="1542"/>
      <c r="P67" s="1542"/>
      <c r="Q67" s="1542"/>
      <c r="R67" s="1542"/>
      <c r="S67" s="1542"/>
    </row>
    <row r="68" spans="1:19" s="627" customFormat="1" x14ac:dyDescent="0.2"/>
    <row r="69" spans="1:19" s="627" customFormat="1" x14ac:dyDescent="0.2">
      <c r="B69" s="1540" t="s">
        <v>3414</v>
      </c>
      <c r="C69" s="1540"/>
      <c r="D69" s="1540"/>
      <c r="E69" s="1540"/>
      <c r="F69" s="1540"/>
      <c r="G69" s="1540"/>
      <c r="H69" s="1540"/>
      <c r="I69" s="1540"/>
      <c r="J69" s="1540"/>
      <c r="K69" s="1540"/>
      <c r="L69" s="1540"/>
      <c r="M69" s="1540"/>
      <c r="N69" s="1540"/>
      <c r="O69" s="1540"/>
      <c r="P69" s="1540"/>
      <c r="Q69" s="1540"/>
      <c r="R69" s="1540"/>
      <c r="S69" s="1540"/>
    </row>
    <row r="70" spans="1:19" s="627" customFormat="1" x14ac:dyDescent="0.2"/>
    <row r="71" spans="1:19" s="627" customFormat="1" ht="15" customHeight="1" x14ac:dyDescent="0.2">
      <c r="C71" s="1540" t="s">
        <v>3448</v>
      </c>
      <c r="D71" s="1540"/>
      <c r="E71" s="1540"/>
      <c r="F71" s="1540"/>
      <c r="G71" s="1540"/>
      <c r="H71" s="1540"/>
      <c r="I71" s="1540"/>
      <c r="J71" s="1540"/>
      <c r="K71" s="1540"/>
      <c r="L71" s="1540"/>
      <c r="M71" s="1540"/>
      <c r="N71" s="1540"/>
      <c r="O71" s="1540"/>
      <c r="P71" s="1540"/>
      <c r="Q71" s="1540"/>
      <c r="R71" s="1540"/>
      <c r="S71" s="628"/>
    </row>
    <row r="72" spans="1:19" s="627" customFormat="1" ht="15" customHeight="1" x14ac:dyDescent="0.2">
      <c r="C72" s="1540" t="s">
        <v>3443</v>
      </c>
      <c r="D72" s="1540"/>
      <c r="E72" s="1540"/>
      <c r="F72" s="1540"/>
      <c r="G72" s="1540"/>
      <c r="H72" s="1540"/>
      <c r="I72" s="1540"/>
      <c r="J72" s="1540"/>
      <c r="K72" s="1540"/>
      <c r="L72" s="1540"/>
      <c r="M72" s="1540"/>
      <c r="N72" s="1540"/>
      <c r="O72" s="1540"/>
      <c r="P72" s="1540"/>
      <c r="Q72" s="1540"/>
      <c r="R72" s="1540"/>
      <c r="S72" s="628"/>
    </row>
    <row r="73" spans="1:19" s="627" customFormat="1" x14ac:dyDescent="0.2"/>
    <row r="74" spans="1:19" s="627" customFormat="1" ht="15" customHeight="1" x14ac:dyDescent="0.2">
      <c r="C74" s="1540" t="s">
        <v>3416</v>
      </c>
      <c r="D74" s="1540"/>
      <c r="E74" s="1540"/>
      <c r="F74" s="1540"/>
      <c r="G74" s="1540"/>
      <c r="H74" s="1540"/>
      <c r="I74" s="1540"/>
      <c r="J74" s="1540"/>
      <c r="K74" s="1540"/>
      <c r="L74" s="1540"/>
      <c r="M74" s="1540"/>
      <c r="N74" s="1540"/>
      <c r="O74" s="1540"/>
      <c r="P74" s="1540"/>
      <c r="Q74" s="1540"/>
      <c r="R74" s="1540"/>
      <c r="S74" s="628"/>
    </row>
    <row r="75" spans="1:19" s="627" customFormat="1" ht="15" customHeight="1" x14ac:dyDescent="0.2">
      <c r="C75" s="628"/>
      <c r="D75" s="628"/>
      <c r="E75" s="628"/>
      <c r="F75" s="628"/>
      <c r="G75" s="628"/>
      <c r="H75" s="628"/>
      <c r="I75" s="628"/>
      <c r="J75" s="628"/>
      <c r="K75" s="628"/>
      <c r="L75" s="628"/>
      <c r="M75" s="628"/>
      <c r="N75" s="628"/>
      <c r="O75" s="628"/>
      <c r="P75" s="628"/>
      <c r="Q75" s="628"/>
      <c r="R75" s="628"/>
      <c r="S75" s="628"/>
    </row>
    <row r="76" spans="1:19" s="627" customFormat="1" ht="15" customHeight="1" x14ac:dyDescent="0.2">
      <c r="B76" s="1540" t="s">
        <v>3418</v>
      </c>
      <c r="C76" s="1540"/>
      <c r="D76" s="1540"/>
      <c r="E76" s="1540"/>
      <c r="F76" s="1540"/>
      <c r="G76" s="1540"/>
      <c r="H76" s="1540"/>
      <c r="I76" s="1540"/>
      <c r="J76" s="1540"/>
      <c r="K76" s="1540"/>
      <c r="L76" s="1540"/>
      <c r="M76" s="1540"/>
      <c r="N76" s="1540"/>
      <c r="O76" s="1540"/>
      <c r="P76" s="1540"/>
      <c r="Q76" s="1540"/>
      <c r="R76" s="1540"/>
      <c r="S76" s="1540"/>
    </row>
    <row r="77" spans="1:19" s="627" customFormat="1" ht="15" customHeight="1" x14ac:dyDescent="0.2">
      <c r="B77" s="1540" t="s">
        <v>3417</v>
      </c>
      <c r="C77" s="1540"/>
      <c r="D77" s="1540"/>
      <c r="E77" s="1540"/>
      <c r="F77" s="1540"/>
      <c r="G77" s="1540"/>
      <c r="H77" s="1540"/>
      <c r="I77" s="1540"/>
      <c r="J77" s="1540"/>
      <c r="K77" s="1540"/>
      <c r="L77" s="1540"/>
      <c r="M77" s="1540"/>
      <c r="N77" s="1540"/>
      <c r="O77" s="1540"/>
      <c r="P77" s="1540"/>
      <c r="Q77" s="1540"/>
      <c r="R77" s="1540"/>
      <c r="S77" s="1540"/>
    </row>
    <row r="78" spans="1:19" s="627" customFormat="1" ht="15" customHeight="1" x14ac:dyDescent="0.2">
      <c r="B78" s="628"/>
      <c r="C78" s="628"/>
      <c r="D78" s="628"/>
      <c r="E78" s="628"/>
      <c r="F78" s="628"/>
      <c r="G78" s="628"/>
      <c r="H78" s="628"/>
      <c r="I78" s="628"/>
      <c r="J78" s="628"/>
      <c r="K78" s="628"/>
      <c r="L78" s="628"/>
      <c r="M78" s="628"/>
      <c r="N78" s="628"/>
      <c r="O78" s="628"/>
      <c r="P78" s="628"/>
      <c r="Q78" s="628"/>
      <c r="R78" s="628"/>
      <c r="S78" s="628"/>
    </row>
    <row r="79" spans="1:19" s="627" customFormat="1" ht="15" customHeight="1" x14ac:dyDescent="0.2">
      <c r="B79" s="1541" t="s">
        <v>3419</v>
      </c>
      <c r="C79" s="1541"/>
      <c r="D79" s="1541"/>
      <c r="E79" s="1541"/>
      <c r="F79" s="1541"/>
      <c r="G79" s="1541"/>
      <c r="H79" s="1541"/>
      <c r="I79" s="1541"/>
      <c r="J79" s="1541"/>
      <c r="K79" s="1541"/>
      <c r="L79" s="1541"/>
      <c r="M79" s="1541"/>
      <c r="N79" s="1541"/>
      <c r="O79" s="1541"/>
      <c r="P79" s="1541"/>
      <c r="Q79" s="1541"/>
      <c r="R79" s="1541"/>
      <c r="S79" s="1541"/>
    </row>
    <row r="80" spans="1:19" s="627" customFormat="1" x14ac:dyDescent="0.2"/>
    <row r="81" spans="1:19" ht="19" x14ac:dyDescent="0.25">
      <c r="A81" s="1542" t="s">
        <v>243</v>
      </c>
      <c r="B81" s="1542"/>
      <c r="C81" s="1542"/>
      <c r="D81" s="1542"/>
      <c r="E81" s="1542"/>
      <c r="F81" s="1542"/>
      <c r="G81" s="1542"/>
      <c r="H81" s="1542"/>
      <c r="I81" s="1542"/>
      <c r="J81" s="1542"/>
      <c r="K81" s="1542"/>
      <c r="L81" s="1542"/>
      <c r="M81" s="1542"/>
      <c r="N81" s="1542"/>
      <c r="O81" s="1542"/>
      <c r="P81" s="1542"/>
      <c r="Q81" s="1542"/>
      <c r="R81" s="1542"/>
      <c r="S81" s="1542"/>
    </row>
    <row r="83" spans="1:19" x14ac:dyDescent="0.2">
      <c r="B83" s="505"/>
      <c r="C83" t="s">
        <v>2903</v>
      </c>
    </row>
    <row r="85" spans="1:19" x14ac:dyDescent="0.2">
      <c r="B85" s="506"/>
      <c r="C85" t="s">
        <v>2904</v>
      </c>
    </row>
    <row r="87" spans="1:19" x14ac:dyDescent="0.2">
      <c r="B87" s="507"/>
      <c r="C87" t="s">
        <v>3043</v>
      </c>
    </row>
    <row r="89" spans="1:19" x14ac:dyDescent="0.2">
      <c r="B89" s="508"/>
      <c r="C89" t="s">
        <v>2900</v>
      </c>
    </row>
    <row r="91" spans="1:19" x14ac:dyDescent="0.2">
      <c r="B91" s="509"/>
      <c r="C91" t="s">
        <v>2901</v>
      </c>
    </row>
    <row r="93" spans="1:19" x14ac:dyDescent="0.2">
      <c r="B93" s="510"/>
      <c r="C93" t="s">
        <v>2902</v>
      </c>
    </row>
    <row r="95" spans="1:19" ht="18.75" customHeight="1" x14ac:dyDescent="0.25">
      <c r="A95" s="1552" t="s">
        <v>3182</v>
      </c>
      <c r="B95" s="1552"/>
      <c r="C95" s="1552"/>
      <c r="D95" s="1552"/>
      <c r="E95" s="1552"/>
      <c r="F95" s="1552"/>
      <c r="G95" s="1552"/>
      <c r="H95" s="1552"/>
      <c r="I95" s="1552"/>
      <c r="J95" s="1552"/>
      <c r="K95" s="1552"/>
      <c r="L95" s="1552"/>
      <c r="M95" s="1552"/>
      <c r="N95" s="1552"/>
      <c r="O95" s="1552"/>
      <c r="P95" s="1552"/>
      <c r="Q95" s="1552"/>
      <c r="R95" s="1552"/>
      <c r="S95" s="1552"/>
    </row>
  </sheetData>
  <sheetProtection algorithmName="SHA-512" hashValue="pqyL8dPKmL2K+omuoOK56fCf+FJ9wMpJ7KsvBd+RmepuGdhRbcFZ4woTyGvSjMlpIWTYvUncwldotLgamWkVGQ==" saltValue="dPxrK5jhWVqwOwOJRJrtog==" spinCount="100000" sheet="1" objects="1" scenarios="1" selectLockedCells="1"/>
  <mergeCells count="44">
    <mergeCell ref="B65:S65"/>
    <mergeCell ref="B48:R48"/>
    <mergeCell ref="B49:R49"/>
    <mergeCell ref="C39:R39"/>
    <mergeCell ref="C41:R42"/>
    <mergeCell ref="B53:R54"/>
    <mergeCell ref="B56:R56"/>
    <mergeCell ref="B44:S44"/>
    <mergeCell ref="A95:S95"/>
    <mergeCell ref="A12:S12"/>
    <mergeCell ref="A19:S19"/>
    <mergeCell ref="A26:S26"/>
    <mergeCell ref="A81:S81"/>
    <mergeCell ref="B21:R21"/>
    <mergeCell ref="B23:R24"/>
    <mergeCell ref="B28:R30"/>
    <mergeCell ref="B32:R32"/>
    <mergeCell ref="B34:S34"/>
    <mergeCell ref="B51:R51"/>
    <mergeCell ref="B46:R46"/>
    <mergeCell ref="B36:R37"/>
    <mergeCell ref="C58:R58"/>
    <mergeCell ref="C60:R61"/>
    <mergeCell ref="B63:S63"/>
    <mergeCell ref="A1:C6"/>
    <mergeCell ref="D1:S3"/>
    <mergeCell ref="D4:S6"/>
    <mergeCell ref="A18:S18"/>
    <mergeCell ref="C7:D7"/>
    <mergeCell ref="E7:F7"/>
    <mergeCell ref="B14:R17"/>
    <mergeCell ref="A8:S8"/>
    <mergeCell ref="B9:R9"/>
    <mergeCell ref="B10:R10"/>
    <mergeCell ref="A11:S11"/>
    <mergeCell ref="A13:S13"/>
    <mergeCell ref="B77:S77"/>
    <mergeCell ref="B79:S79"/>
    <mergeCell ref="B76:S76"/>
    <mergeCell ref="A67:S67"/>
    <mergeCell ref="B69:S69"/>
    <mergeCell ref="C72:R72"/>
    <mergeCell ref="C74:R74"/>
    <mergeCell ref="C71:R71"/>
  </mergeCells>
  <hyperlinks>
    <hyperlink ref="A95" location="'Overview (Design)'!A1" display="CLICK HERE TO GET STARTED!" xr:uid="{00000000-0004-0000-0000-000000000000}"/>
    <hyperlink ref="B10:R10" r:id="rId1" display="Go to http://www.homeinnovation.com/greenscoring to download the latest version of the NGBS Scoring for New Construction spreadsheet." xr:uid="{00000000-0004-0000-0000-000001000000}"/>
    <hyperlink ref="B49" r:id="rId2" xr:uid="{00000000-0004-0000-0000-000002000000}"/>
  </hyperlinks>
  <pageMargins left="0.7" right="0.7" top="0.75" bottom="0.75" header="0.3" footer="0.3"/>
  <pageSetup scale="70" orientation="landscape" r:id="rId3"/>
  <drawing r:id="rId4"/>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6">
    <pageSetUpPr fitToPage="1"/>
  </sheetPr>
  <dimension ref="A1:U70"/>
  <sheetViews>
    <sheetView showGridLines="0" zoomScale="132" workbookViewId="0">
      <pane ySplit="6" topLeftCell="A17" activePane="bottomLeft" state="frozen"/>
      <selection pane="bottomLeft" activeCell="G25" sqref="G25"/>
    </sheetView>
  </sheetViews>
  <sheetFormatPr baseColWidth="10" defaultColWidth="8.83203125" defaultRowHeight="15" x14ac:dyDescent="0.2"/>
  <cols>
    <col min="5" max="5" width="16.83203125" hidden="1" customWidth="1"/>
    <col min="6" max="6" width="17.5" hidden="1" customWidth="1"/>
  </cols>
  <sheetData>
    <row r="1" spans="1:21" x14ac:dyDescent="0.2">
      <c r="A1" s="1543"/>
      <c r="B1" s="1543"/>
      <c r="C1" s="1543"/>
      <c r="D1" s="1543" t="s">
        <v>5034</v>
      </c>
      <c r="E1" s="1543"/>
      <c r="F1" s="1543"/>
      <c r="G1" s="1543"/>
      <c r="H1" s="1543"/>
      <c r="I1" s="1543"/>
      <c r="J1" s="1543"/>
      <c r="K1" s="1543"/>
      <c r="L1" s="1543"/>
      <c r="M1" s="1543"/>
      <c r="N1" s="1543"/>
      <c r="O1" s="1543"/>
      <c r="P1" s="1543"/>
      <c r="Q1" s="1543"/>
      <c r="R1" s="1543"/>
      <c r="S1" s="1543"/>
      <c r="T1" s="1543"/>
      <c r="U1" s="1543"/>
    </row>
    <row r="2" spans="1:21" s="59" customFormat="1" x14ac:dyDescent="0.2">
      <c r="A2" s="1543"/>
      <c r="B2" s="1543"/>
      <c r="C2" s="1543"/>
      <c r="D2" s="1543"/>
      <c r="E2" s="1543"/>
      <c r="F2" s="1543"/>
      <c r="G2" s="1543"/>
      <c r="H2" s="1543"/>
      <c r="I2" s="1543"/>
      <c r="J2" s="1543"/>
      <c r="K2" s="1543"/>
      <c r="L2" s="1543"/>
      <c r="M2" s="1543"/>
      <c r="N2" s="1543"/>
      <c r="O2" s="1543"/>
      <c r="P2" s="1543"/>
      <c r="Q2" s="1543"/>
      <c r="R2" s="1543"/>
      <c r="S2" s="1543"/>
      <c r="T2" s="1543"/>
      <c r="U2" s="1543"/>
    </row>
    <row r="3" spans="1:21" s="59" customFormat="1" x14ac:dyDescent="0.2">
      <c r="A3" s="1543"/>
      <c r="B3" s="1543"/>
      <c r="C3" s="1543"/>
      <c r="D3" s="1543"/>
      <c r="E3" s="1543"/>
      <c r="F3" s="1543"/>
      <c r="G3" s="1543"/>
      <c r="H3" s="1543"/>
      <c r="I3" s="1543"/>
      <c r="J3" s="1543"/>
      <c r="K3" s="1543"/>
      <c r="L3" s="1543"/>
      <c r="M3" s="1543"/>
      <c r="N3" s="1543"/>
      <c r="O3" s="1543"/>
      <c r="P3" s="1543"/>
      <c r="Q3" s="1543"/>
      <c r="R3" s="1543"/>
      <c r="S3" s="1543"/>
      <c r="T3" s="1543"/>
      <c r="U3" s="1543"/>
    </row>
    <row r="4" spans="1:21" s="59" customFormat="1" x14ac:dyDescent="0.2">
      <c r="A4" s="1543"/>
      <c r="B4" s="1543"/>
      <c r="C4" s="1543"/>
      <c r="D4" s="1543"/>
      <c r="E4" s="1543"/>
      <c r="F4" s="1543"/>
      <c r="G4" s="1543"/>
      <c r="H4" s="1543"/>
      <c r="I4" s="1543"/>
      <c r="J4" s="1543"/>
      <c r="K4" s="1543"/>
      <c r="L4" s="1543"/>
      <c r="M4" s="1543"/>
      <c r="N4" s="1543"/>
      <c r="O4" s="1543"/>
      <c r="P4" s="1543"/>
      <c r="Q4" s="1543"/>
      <c r="R4" s="1543"/>
      <c r="S4" s="1543"/>
      <c r="T4" s="1543"/>
      <c r="U4" s="1543"/>
    </row>
    <row r="5" spans="1:21" s="59" customFormat="1" x14ac:dyDescent="0.2">
      <c r="A5" s="1543"/>
      <c r="B5" s="1543"/>
      <c r="C5" s="1543"/>
      <c r="D5" s="1543"/>
      <c r="E5" s="1543"/>
      <c r="F5" s="1543"/>
      <c r="G5" s="1543"/>
      <c r="H5" s="1543"/>
      <c r="I5" s="1543"/>
      <c r="J5" s="1543"/>
      <c r="K5" s="1543"/>
      <c r="L5" s="1543"/>
      <c r="M5" s="1543"/>
      <c r="N5" s="1543"/>
      <c r="O5" s="1543"/>
      <c r="P5" s="1543"/>
      <c r="Q5" s="1543"/>
      <c r="R5" s="1543"/>
      <c r="S5" s="1543"/>
      <c r="T5" s="1543"/>
      <c r="U5" s="1543"/>
    </row>
    <row r="6" spans="1:21" s="16" customFormat="1" ht="19" x14ac:dyDescent="0.25">
      <c r="A6" s="15" t="s">
        <v>3178</v>
      </c>
      <c r="B6" s="15"/>
      <c r="C6" s="15"/>
      <c r="D6" s="15"/>
      <c r="E6" s="17" t="s">
        <v>246</v>
      </c>
      <c r="F6" s="17" t="s">
        <v>246</v>
      </c>
      <c r="G6" s="15"/>
      <c r="H6" s="15"/>
      <c r="I6" s="15"/>
      <c r="J6" s="15"/>
      <c r="K6" s="15"/>
      <c r="L6" s="15"/>
      <c r="M6" s="15"/>
      <c r="N6" s="15"/>
      <c r="O6" s="15"/>
      <c r="P6" s="15"/>
      <c r="Q6" s="15"/>
      <c r="R6" s="15"/>
      <c r="S6" s="15"/>
      <c r="T6" s="15"/>
      <c r="U6" s="15"/>
    </row>
    <row r="7" spans="1:21" x14ac:dyDescent="0.2">
      <c r="E7" t="s">
        <v>233</v>
      </c>
      <c r="F7" t="s">
        <v>234</v>
      </c>
    </row>
    <row r="8" spans="1:21" s="1198" customFormat="1" x14ac:dyDescent="0.2">
      <c r="A8" s="1563" t="s">
        <v>5017</v>
      </c>
      <c r="B8" s="1563"/>
      <c r="C8" s="1563"/>
      <c r="D8" s="1563"/>
      <c r="F8" s="1197" t="s">
        <v>5018</v>
      </c>
      <c r="G8" s="12" t="b">
        <v>1</v>
      </c>
    </row>
    <row r="9" spans="1:21" s="1198" customFormat="1" x14ac:dyDescent="0.2"/>
    <row r="10" spans="1:21" x14ac:dyDescent="0.2">
      <c r="A10" s="1563" t="s">
        <v>124</v>
      </c>
      <c r="B10" s="1563"/>
      <c r="C10" s="1563"/>
      <c r="D10" s="1563"/>
      <c r="E10" s="2"/>
      <c r="F10" s="2" t="s">
        <v>147</v>
      </c>
      <c r="G10" s="1567" t="s">
        <v>5648</v>
      </c>
      <c r="H10" s="1567"/>
      <c r="I10" s="1567"/>
      <c r="J10" s="1567"/>
      <c r="L10" s="1597" t="s">
        <v>2920</v>
      </c>
      <c r="M10" s="1598"/>
      <c r="N10" s="515"/>
      <c r="O10" s="331"/>
      <c r="P10" s="331"/>
    </row>
    <row r="11" spans="1:21" x14ac:dyDescent="0.2">
      <c r="A11" s="1563" t="s">
        <v>125</v>
      </c>
      <c r="B11" s="1563"/>
      <c r="C11" s="1563"/>
      <c r="D11" s="1563"/>
      <c r="E11" s="2"/>
      <c r="F11" s="2" t="s">
        <v>148</v>
      </c>
      <c r="G11" s="1567" t="s">
        <v>5649</v>
      </c>
      <c r="H11" s="1567"/>
      <c r="I11" s="1567"/>
      <c r="J11" s="1567"/>
      <c r="L11" s="517">
        <f>N15</f>
        <v>3</v>
      </c>
      <c r="M11" s="518" t="str">
        <f>O15</f>
        <v>Moist</v>
      </c>
      <c r="N11" s="518" t="str">
        <f>P15</f>
        <v xml:space="preserve"> </v>
      </c>
      <c r="O11" s="518"/>
      <c r="P11" s="519" t="str">
        <f>Q15</f>
        <v xml:space="preserve"> </v>
      </c>
    </row>
    <row r="12" spans="1:21" x14ac:dyDescent="0.2">
      <c r="A12" s="1563" t="s">
        <v>130</v>
      </c>
      <c r="B12" s="1563"/>
      <c r="C12" s="1563"/>
      <c r="D12" s="1563"/>
      <c r="E12" s="2"/>
      <c r="F12" s="2" t="s">
        <v>149</v>
      </c>
      <c r="G12" s="1567"/>
      <c r="H12" s="1567"/>
      <c r="I12" s="1567"/>
      <c r="J12" s="1567"/>
    </row>
    <row r="13" spans="1:21" x14ac:dyDescent="0.2">
      <c r="A13" s="1563" t="s">
        <v>126</v>
      </c>
      <c r="B13" s="1563"/>
      <c r="C13" s="1563"/>
      <c r="D13" s="1563"/>
      <c r="E13" s="2"/>
      <c r="F13" s="2" t="s">
        <v>150</v>
      </c>
      <c r="G13" s="1567" t="s">
        <v>5640</v>
      </c>
      <c r="H13" s="1567"/>
      <c r="I13" s="1567"/>
      <c r="J13" s="1567"/>
      <c r="N13" s="335"/>
    </row>
    <row r="14" spans="1:21" x14ac:dyDescent="0.2">
      <c r="A14" s="1563" t="s">
        <v>128</v>
      </c>
      <c r="B14" s="1563"/>
      <c r="C14" s="1563"/>
      <c r="D14" s="1563"/>
      <c r="E14" s="6" t="s">
        <v>174</v>
      </c>
      <c r="F14" s="2" t="s">
        <v>151</v>
      </c>
      <c r="G14" s="1573" t="s">
        <v>21</v>
      </c>
      <c r="H14" s="1574"/>
      <c r="I14" s="1574"/>
      <c r="J14" s="1575"/>
      <c r="K14" s="18" t="s">
        <v>2</v>
      </c>
      <c r="L14" s="18" t="s">
        <v>4</v>
      </c>
      <c r="M14" s="463" t="str">
        <f>Geography!D1</f>
        <v>Radon</v>
      </c>
      <c r="N14" s="18" t="str">
        <f>Geography!E1</f>
        <v>Climate</v>
      </c>
      <c r="O14" s="18" t="str">
        <f>Geography!F1</f>
        <v>Moist</v>
      </c>
      <c r="P14" s="18" t="str">
        <f>Geography!G1</f>
        <v>WarmHumid</v>
      </c>
      <c r="Q14" s="18" t="str">
        <f>Geography!H1</f>
        <v>Tropical</v>
      </c>
    </row>
    <row r="15" spans="1:21" x14ac:dyDescent="0.2">
      <c r="A15" s="1563" t="s">
        <v>127</v>
      </c>
      <c r="B15" s="1563"/>
      <c r="C15" s="1563"/>
      <c r="D15" s="1563"/>
      <c r="E15" s="6" t="s">
        <v>175</v>
      </c>
      <c r="F15" s="2" t="s">
        <v>152</v>
      </c>
      <c r="G15" s="1573" t="s">
        <v>817</v>
      </c>
      <c r="H15" s="1574"/>
      <c r="I15" s="1574"/>
      <c r="J15" s="1575"/>
      <c r="K15" s="19" t="str">
        <f>G14</f>
        <v>Georgia</v>
      </c>
      <c r="L15" s="19" t="str">
        <f>IF(LEN(G15)=0,"",G15)</f>
        <v xml:space="preserve">Fulton  </v>
      </c>
      <c r="M15" s="463">
        <f>IFERROR(DGET(dbState,M14,$K$14:$L$15),"!!")</f>
        <v>1</v>
      </c>
      <c r="N15" s="18">
        <f>IFERROR(DGET(dbState,N14,$K$14:$L$15),"!!")</f>
        <v>3</v>
      </c>
      <c r="O15" s="18" t="str">
        <f>IFERROR(DGET(dbState,O14,$K$14:$L$15),"!!")</f>
        <v>Moist</v>
      </c>
      <c r="P15" s="18" t="str">
        <f>IFERROR(DGET(dbState,P14,$K$14:$L$15),"!!")</f>
        <v xml:space="preserve"> </v>
      </c>
      <c r="Q15" s="18" t="str">
        <f>IFERROR(DGET(dbState,Q14,$K$14:$L$15),"!!")</f>
        <v xml:space="preserve"> </v>
      </c>
    </row>
    <row r="16" spans="1:21" x14ac:dyDescent="0.2">
      <c r="A16" s="1563" t="s">
        <v>129</v>
      </c>
      <c r="B16" s="1563"/>
      <c r="C16" s="1563"/>
      <c r="D16" s="1563"/>
      <c r="E16" s="2"/>
      <c r="F16" s="2" t="s">
        <v>153</v>
      </c>
      <c r="G16" s="319" t="s">
        <v>5641</v>
      </c>
      <c r="H16" s="2"/>
      <c r="I16" s="2"/>
      <c r="J16" s="2"/>
    </row>
    <row r="17" spans="1:21" x14ac:dyDescent="0.2">
      <c r="A17" s="1576"/>
      <c r="B17" s="1576"/>
      <c r="C17" s="1576"/>
      <c r="D17" s="1576"/>
      <c r="E17" s="2"/>
      <c r="F17" s="2"/>
      <c r="G17" s="2"/>
      <c r="H17" s="2"/>
      <c r="I17" s="2"/>
      <c r="J17" s="2"/>
    </row>
    <row r="18" spans="1:21" x14ac:dyDescent="0.2">
      <c r="A18" s="1563" t="s">
        <v>338</v>
      </c>
      <c r="B18" s="1563"/>
      <c r="C18" s="1563"/>
      <c r="D18" s="1563"/>
      <c r="E18" s="2" t="s">
        <v>176</v>
      </c>
      <c r="F18" s="2" t="s">
        <v>154</v>
      </c>
      <c r="G18" s="1564" t="s">
        <v>340</v>
      </c>
      <c r="H18" s="1565"/>
      <c r="I18" s="2"/>
      <c r="J18" s="2"/>
    </row>
    <row r="19" spans="1:21" x14ac:dyDescent="0.2">
      <c r="A19" s="1578" t="s">
        <v>155</v>
      </c>
      <c r="B19" s="1578"/>
      <c r="C19" s="1578"/>
      <c r="D19" s="1578"/>
      <c r="E19" s="2"/>
      <c r="F19" s="2" t="s">
        <v>157</v>
      </c>
      <c r="G19" s="11">
        <v>48</v>
      </c>
      <c r="H19" s="2"/>
      <c r="I19" s="2"/>
      <c r="J19" s="2"/>
    </row>
    <row r="20" spans="1:21" x14ac:dyDescent="0.2">
      <c r="A20" s="1579" t="s">
        <v>5603</v>
      </c>
      <c r="B20" s="1579"/>
      <c r="C20" s="1579"/>
      <c r="D20" s="1579"/>
      <c r="E20" s="1421" t="s">
        <v>5604</v>
      </c>
      <c r="F20" s="1415" t="s">
        <v>5605</v>
      </c>
      <c r="G20" s="1417" t="s">
        <v>225</v>
      </c>
    </row>
    <row r="21" spans="1:21" x14ac:dyDescent="0.2">
      <c r="A21" s="1579"/>
      <c r="B21" s="1579"/>
      <c r="C21" s="1579"/>
      <c r="D21" s="1579"/>
      <c r="E21" s="1421"/>
      <c r="F21" s="1421"/>
      <c r="G21" s="1421"/>
    </row>
    <row r="22" spans="1:21" x14ac:dyDescent="0.2">
      <c r="A22" s="1579"/>
      <c r="B22" s="1579"/>
      <c r="C22" s="1579"/>
      <c r="D22" s="1579"/>
      <c r="E22" s="1421"/>
      <c r="F22" s="1421"/>
      <c r="G22" s="1421"/>
    </row>
    <row r="23" spans="1:21" x14ac:dyDescent="0.2">
      <c r="A23" s="1578" t="s">
        <v>156</v>
      </c>
      <c r="B23" s="1578"/>
      <c r="C23" s="1578"/>
      <c r="D23" s="1578"/>
      <c r="E23" s="2"/>
      <c r="F23" s="2" t="s">
        <v>158</v>
      </c>
      <c r="G23" s="1567" t="s">
        <v>5676</v>
      </c>
      <c r="H23" s="1567"/>
      <c r="I23" s="1567"/>
      <c r="J23" s="1567"/>
    </row>
    <row r="24" spans="1:21" x14ac:dyDescent="0.2">
      <c r="A24" s="1586"/>
      <c r="B24" s="1586"/>
      <c r="C24" s="1586"/>
      <c r="D24" s="1586"/>
      <c r="E24" s="2"/>
      <c r="F24" s="2"/>
    </row>
    <row r="25" spans="1:21" x14ac:dyDescent="0.2">
      <c r="A25" s="1563" t="s">
        <v>131</v>
      </c>
      <c r="B25" s="1563"/>
      <c r="C25" s="1563"/>
      <c r="D25" s="1563"/>
      <c r="E25" s="2"/>
      <c r="F25" s="2" t="s">
        <v>159</v>
      </c>
      <c r="G25" s="10">
        <v>1184</v>
      </c>
      <c r="H25" s="3" t="s">
        <v>145</v>
      </c>
      <c r="I25" s="1580" t="s">
        <v>339</v>
      </c>
      <c r="J25" s="1581"/>
      <c r="K25" s="1581"/>
      <c r="L25" s="1581"/>
      <c r="M25" s="1581"/>
      <c r="N25" s="1582"/>
      <c r="O25" s="44"/>
      <c r="P25" s="44"/>
      <c r="Q25" s="44"/>
      <c r="R25" s="44"/>
      <c r="S25" s="44"/>
      <c r="T25" s="44"/>
      <c r="U25" s="44"/>
    </row>
    <row r="26" spans="1:21" x14ac:dyDescent="0.2">
      <c r="A26" s="1563" t="s">
        <v>132</v>
      </c>
      <c r="B26" s="1563"/>
      <c r="C26" s="1563"/>
      <c r="D26" s="1563"/>
      <c r="E26" s="2"/>
      <c r="F26" s="2" t="s">
        <v>160</v>
      </c>
      <c r="G26" s="322">
        <v>20128</v>
      </c>
      <c r="H26" s="3" t="s">
        <v>146</v>
      </c>
      <c r="I26" s="1583"/>
      <c r="J26" s="1584"/>
      <c r="K26" s="1584"/>
      <c r="L26" s="1584"/>
      <c r="M26" s="1584"/>
      <c r="N26" s="1585"/>
    </row>
    <row r="27" spans="1:21" s="307" customFormat="1" x14ac:dyDescent="0.2">
      <c r="A27" s="1563" t="s">
        <v>2905</v>
      </c>
      <c r="B27" s="1563"/>
      <c r="C27" s="1563"/>
      <c r="D27" s="1563"/>
      <c r="E27" s="306"/>
      <c r="F27" s="306" t="s">
        <v>2886</v>
      </c>
      <c r="G27" s="308">
        <v>2</v>
      </c>
      <c r="H27" s="3"/>
      <c r="I27" s="309"/>
      <c r="J27" s="309"/>
      <c r="K27" s="309"/>
      <c r="L27" s="309"/>
      <c r="M27" s="309"/>
      <c r="N27" s="309"/>
    </row>
    <row r="28" spans="1:21" x14ac:dyDescent="0.2">
      <c r="A28" s="1570"/>
      <c r="B28" s="1570"/>
      <c r="C28" s="1570"/>
      <c r="D28" s="1570"/>
      <c r="E28" s="2"/>
      <c r="F28" s="2"/>
    </row>
    <row r="29" spans="1:21" s="808" customFormat="1" x14ac:dyDescent="0.2">
      <c r="A29" s="1563" t="s">
        <v>3914</v>
      </c>
      <c r="B29" s="1563"/>
      <c r="C29" s="1563"/>
      <c r="D29" s="1563"/>
      <c r="E29" s="805"/>
      <c r="F29" s="805" t="s">
        <v>3915</v>
      </c>
      <c r="G29" s="806">
        <v>1969</v>
      </c>
      <c r="H29" s="808" t="s">
        <v>3916</v>
      </c>
      <c r="I29" s="1566" t="s">
        <v>4970</v>
      </c>
      <c r="J29" s="1566"/>
      <c r="K29" s="1566"/>
      <c r="L29" s="1566"/>
      <c r="M29" s="1566"/>
      <c r="N29" s="1566"/>
    </row>
    <row r="30" spans="1:21" s="1162" customFormat="1" ht="15" customHeight="1" x14ac:dyDescent="0.2">
      <c r="A30" s="1563" t="s">
        <v>4971</v>
      </c>
      <c r="B30" s="1563"/>
      <c r="C30" s="1563"/>
      <c r="D30" s="1563"/>
      <c r="E30" s="1160"/>
      <c r="F30" s="1160" t="s">
        <v>4973</v>
      </c>
      <c r="G30" s="1161">
        <v>2020</v>
      </c>
      <c r="H30" s="1162" t="s">
        <v>3916</v>
      </c>
      <c r="I30" s="1557" t="s">
        <v>4975</v>
      </c>
      <c r="J30" s="1558"/>
      <c r="K30" s="1558"/>
      <c r="L30" s="1558"/>
      <c r="M30" s="1558"/>
      <c r="N30" s="1558"/>
      <c r="O30" s="1558"/>
      <c r="P30" s="1558"/>
      <c r="Q30" s="1558"/>
      <c r="R30" s="1558"/>
      <c r="S30" s="1558"/>
      <c r="T30" s="1559"/>
      <c r="U30" s="1163"/>
    </row>
    <row r="31" spans="1:21" s="1162" customFormat="1" x14ac:dyDescent="0.2">
      <c r="A31" s="1563" t="s">
        <v>4972</v>
      </c>
      <c r="B31" s="1563"/>
      <c r="C31" s="1563"/>
      <c r="D31" s="1563"/>
      <c r="E31" s="1160"/>
      <c r="F31" s="1160" t="s">
        <v>4974</v>
      </c>
      <c r="G31" s="1161">
        <v>2020</v>
      </c>
      <c r="H31" s="1162" t="s">
        <v>3916</v>
      </c>
      <c r="I31" s="1560"/>
      <c r="J31" s="1561"/>
      <c r="K31" s="1561"/>
      <c r="L31" s="1561"/>
      <c r="M31" s="1561"/>
      <c r="N31" s="1561"/>
      <c r="O31" s="1561"/>
      <c r="P31" s="1561"/>
      <c r="Q31" s="1561"/>
      <c r="R31" s="1561"/>
      <c r="S31" s="1561"/>
      <c r="T31" s="1562"/>
      <c r="U31" s="1163"/>
    </row>
    <row r="32" spans="1:21" x14ac:dyDescent="0.2">
      <c r="A32" s="1563" t="s">
        <v>4976</v>
      </c>
      <c r="B32" s="1563"/>
      <c r="C32" s="1563"/>
      <c r="D32" s="1563"/>
      <c r="E32" s="2"/>
      <c r="F32" s="2" t="s">
        <v>161</v>
      </c>
      <c r="G32" s="1577" t="s">
        <v>5670</v>
      </c>
      <c r="H32" s="1577"/>
      <c r="I32" s="1577"/>
      <c r="J32" s="1577"/>
      <c r="K32" s="1577"/>
      <c r="L32" s="1577"/>
      <c r="M32" s="1577"/>
      <c r="N32" s="1577"/>
      <c r="O32" s="1557" t="s">
        <v>4977</v>
      </c>
      <c r="P32" s="1558"/>
      <c r="Q32" s="1558"/>
      <c r="R32" s="1558"/>
      <c r="S32" s="1558"/>
      <c r="T32" s="1559"/>
      <c r="U32" s="46"/>
    </row>
    <row r="33" spans="1:20" s="46" customFormat="1" x14ac:dyDescent="0.2">
      <c r="A33" s="515"/>
      <c r="B33" s="515"/>
      <c r="C33" s="515"/>
      <c r="D33" s="515"/>
      <c r="E33" s="44"/>
      <c r="F33" s="44"/>
      <c r="G33" s="1577"/>
      <c r="H33" s="1577"/>
      <c r="I33" s="1577"/>
      <c r="J33" s="1577"/>
      <c r="K33" s="1577"/>
      <c r="L33" s="1577"/>
      <c r="M33" s="1577"/>
      <c r="N33" s="1577"/>
      <c r="O33" s="1560"/>
      <c r="P33" s="1561"/>
      <c r="Q33" s="1561"/>
      <c r="R33" s="1561"/>
      <c r="S33" s="1561"/>
      <c r="T33" s="1562"/>
    </row>
    <row r="34" spans="1:20" x14ac:dyDescent="0.2">
      <c r="A34" s="1563" t="s">
        <v>4982</v>
      </c>
      <c r="B34" s="1563"/>
      <c r="C34" s="1563"/>
      <c r="D34" s="1563"/>
      <c r="E34" s="1160" t="s">
        <v>4986</v>
      </c>
      <c r="F34" s="1160" t="s">
        <v>4984</v>
      </c>
      <c r="G34" s="1564" t="s">
        <v>4988</v>
      </c>
      <c r="H34" s="1565"/>
    </row>
    <row r="35" spans="1:20" x14ac:dyDescent="0.2">
      <c r="A35" s="1563" t="s">
        <v>4983</v>
      </c>
      <c r="B35" s="1563"/>
      <c r="C35" s="1563"/>
      <c r="D35" s="1563"/>
      <c r="E35" s="1160" t="s">
        <v>4987</v>
      </c>
      <c r="F35" s="1160" t="s">
        <v>4985</v>
      </c>
      <c r="G35" s="1564" t="s">
        <v>4989</v>
      </c>
      <c r="H35" s="1565"/>
    </row>
    <row r="36" spans="1:20" x14ac:dyDescent="0.2">
      <c r="A36" s="1563" t="s">
        <v>133</v>
      </c>
      <c r="B36" s="1563"/>
      <c r="C36" s="1563"/>
      <c r="D36" s="1563"/>
      <c r="E36" s="2" t="s">
        <v>177</v>
      </c>
      <c r="F36" s="2" t="s">
        <v>162</v>
      </c>
      <c r="G36" s="1568" t="s">
        <v>194</v>
      </c>
      <c r="H36" s="1568"/>
      <c r="I36" s="1568"/>
      <c r="J36" s="1568"/>
    </row>
    <row r="37" spans="1:20" x14ac:dyDescent="0.2">
      <c r="A37" s="331"/>
      <c r="B37" s="331"/>
      <c r="C37" s="331"/>
      <c r="D37" s="331"/>
    </row>
    <row r="38" spans="1:20" x14ac:dyDescent="0.2">
      <c r="A38" s="1563" t="s">
        <v>2854</v>
      </c>
      <c r="B38" s="1563"/>
      <c r="C38" s="1563"/>
      <c r="D38" s="1563"/>
      <c r="E38" s="2" t="s">
        <v>2858</v>
      </c>
      <c r="F38" s="2" t="s">
        <v>2855</v>
      </c>
      <c r="G38" s="1568" t="s">
        <v>201</v>
      </c>
      <c r="H38" s="1568"/>
      <c r="I38" s="1568"/>
    </row>
    <row r="39" spans="1:20" x14ac:dyDescent="0.2">
      <c r="A39" s="1563" t="s">
        <v>2861</v>
      </c>
      <c r="B39" s="1563"/>
      <c r="C39" s="1563"/>
      <c r="D39" s="1563"/>
      <c r="E39" s="286" t="s">
        <v>2859</v>
      </c>
      <c r="F39" s="286" t="s">
        <v>2856</v>
      </c>
      <c r="G39" s="1567"/>
      <c r="H39" s="1567"/>
      <c r="I39" s="1567"/>
    </row>
    <row r="40" spans="1:20" x14ac:dyDescent="0.2">
      <c r="A40" s="1563" t="s">
        <v>2862</v>
      </c>
      <c r="B40" s="1563"/>
      <c r="C40" s="1563"/>
      <c r="D40" s="1563"/>
      <c r="E40" s="286" t="s">
        <v>2860</v>
      </c>
      <c r="F40" s="286" t="s">
        <v>2857</v>
      </c>
      <c r="G40" s="1567"/>
      <c r="H40" s="1567"/>
      <c r="I40" s="1567"/>
    </row>
    <row r="41" spans="1:20" s="289" customFormat="1" x14ac:dyDescent="0.2">
      <c r="A41" s="1563" t="s">
        <v>4994</v>
      </c>
      <c r="B41" s="1563"/>
      <c r="C41" s="1563"/>
      <c r="D41" s="1563"/>
      <c r="E41" s="2" t="s">
        <v>178</v>
      </c>
      <c r="F41" s="2" t="s">
        <v>163</v>
      </c>
      <c r="G41" s="1587"/>
      <c r="H41" s="1588"/>
      <c r="I41" s="1589"/>
    </row>
    <row r="42" spans="1:20" s="289" customFormat="1" x14ac:dyDescent="0.2">
      <c r="A42" s="1563" t="s">
        <v>2872</v>
      </c>
      <c r="B42" s="1563"/>
      <c r="C42" s="1563"/>
      <c r="D42" s="1563"/>
      <c r="E42" s="288" t="s">
        <v>2873</v>
      </c>
      <c r="F42" s="288" t="s">
        <v>2874</v>
      </c>
      <c r="G42" s="1568" t="s">
        <v>2878</v>
      </c>
      <c r="H42" s="1568"/>
      <c r="I42" s="1568"/>
      <c r="K42" s="323"/>
    </row>
    <row r="43" spans="1:20" s="287" customFormat="1" x14ac:dyDescent="0.2">
      <c r="A43" s="1563" t="s">
        <v>2863</v>
      </c>
      <c r="B43" s="1563"/>
      <c r="C43" s="1563"/>
      <c r="D43" s="1563"/>
      <c r="E43" s="286" t="s">
        <v>2866</v>
      </c>
      <c r="F43" s="286" t="s">
        <v>2867</v>
      </c>
      <c r="G43" s="1568" t="s">
        <v>201</v>
      </c>
      <c r="H43" s="1568"/>
      <c r="I43" s="1568"/>
    </row>
    <row r="44" spans="1:20" s="287" customFormat="1" x14ac:dyDescent="0.2">
      <c r="A44" s="1563" t="s">
        <v>2864</v>
      </c>
      <c r="B44" s="1563"/>
      <c r="C44" s="1563"/>
      <c r="D44" s="1563"/>
      <c r="E44" s="286" t="s">
        <v>2868</v>
      </c>
      <c r="F44" s="286" t="s">
        <v>2869</v>
      </c>
      <c r="G44" s="1587"/>
      <c r="H44" s="1588"/>
      <c r="I44" s="1589"/>
    </row>
    <row r="45" spans="1:20" s="287" customFormat="1" x14ac:dyDescent="0.2">
      <c r="A45" s="1563" t="s">
        <v>2865</v>
      </c>
      <c r="B45" s="1563"/>
      <c r="C45" s="1563"/>
      <c r="D45" s="1563"/>
      <c r="E45" s="286" t="s">
        <v>2870</v>
      </c>
      <c r="F45" s="286" t="s">
        <v>2871</v>
      </c>
      <c r="G45" s="1587"/>
      <c r="H45" s="1588"/>
      <c r="I45" s="1589"/>
    </row>
    <row r="46" spans="1:20" x14ac:dyDescent="0.2">
      <c r="A46" s="1563" t="s">
        <v>2875</v>
      </c>
      <c r="B46" s="1563"/>
      <c r="C46" s="1563"/>
      <c r="D46" s="1563"/>
      <c r="E46" s="288" t="s">
        <v>2876</v>
      </c>
      <c r="F46" s="288" t="s">
        <v>2877</v>
      </c>
      <c r="G46" s="1590" t="s">
        <v>2878</v>
      </c>
      <c r="H46" s="1590"/>
    </row>
    <row r="47" spans="1:20" x14ac:dyDescent="0.2">
      <c r="A47" s="331"/>
      <c r="B47" s="331"/>
      <c r="C47" s="331"/>
      <c r="D47" s="331"/>
    </row>
    <row r="48" spans="1:20" s="323" customFormat="1" x14ac:dyDescent="0.2">
      <c r="A48" s="1563" t="s">
        <v>2910</v>
      </c>
      <c r="B48" s="1563"/>
      <c r="C48" s="1563"/>
      <c r="D48" s="1563"/>
      <c r="F48" s="328" t="s">
        <v>2912</v>
      </c>
      <c r="G48" s="322">
        <v>0.22</v>
      </c>
      <c r="H48" s="1591" t="s">
        <v>2914</v>
      </c>
      <c r="I48" s="1592"/>
    </row>
    <row r="49" spans="1:9" s="323" customFormat="1" x14ac:dyDescent="0.2">
      <c r="A49" s="1563" t="s">
        <v>2906</v>
      </c>
      <c r="B49" s="1563"/>
      <c r="C49" s="1563"/>
      <c r="D49" s="1563"/>
      <c r="F49" s="328" t="s">
        <v>2908</v>
      </c>
      <c r="G49" s="452"/>
      <c r="H49" s="1593"/>
      <c r="I49" s="1594"/>
    </row>
    <row r="50" spans="1:9" s="323" customFormat="1" x14ac:dyDescent="0.2">
      <c r="A50" s="1563" t="s">
        <v>2911</v>
      </c>
      <c r="B50" s="1563"/>
      <c r="C50" s="1563"/>
      <c r="D50" s="1563"/>
      <c r="F50" s="328" t="s">
        <v>2913</v>
      </c>
      <c r="G50" s="322">
        <v>0.28999999999999998</v>
      </c>
      <c r="H50" s="1593"/>
      <c r="I50" s="1594"/>
    </row>
    <row r="51" spans="1:9" s="323" customFormat="1" x14ac:dyDescent="0.2">
      <c r="A51" s="1563" t="s">
        <v>2907</v>
      </c>
      <c r="B51" s="1563"/>
      <c r="C51" s="1563"/>
      <c r="D51" s="1563"/>
      <c r="F51" s="328" t="s">
        <v>2909</v>
      </c>
      <c r="G51" s="452"/>
      <c r="H51" s="1595"/>
      <c r="I51" s="1596"/>
    </row>
    <row r="52" spans="1:9" x14ac:dyDescent="0.2">
      <c r="A52" s="1563" t="s">
        <v>134</v>
      </c>
      <c r="B52" s="1563"/>
      <c r="C52" s="1563"/>
      <c r="D52" s="1563"/>
      <c r="E52" s="2" t="s">
        <v>179</v>
      </c>
      <c r="F52" s="2" t="s">
        <v>164</v>
      </c>
      <c r="G52" s="1567"/>
      <c r="H52" s="1572"/>
      <c r="I52" s="17"/>
    </row>
    <row r="53" spans="1:9" x14ac:dyDescent="0.2">
      <c r="A53" s="1563" t="s">
        <v>135</v>
      </c>
      <c r="B53" s="1563"/>
      <c r="C53" s="1563"/>
      <c r="D53" s="1563"/>
      <c r="E53" s="2" t="s">
        <v>180</v>
      </c>
      <c r="F53" s="2" t="s">
        <v>165</v>
      </c>
      <c r="G53" s="1567"/>
      <c r="H53" s="1567"/>
      <c r="I53" s="1567"/>
    </row>
    <row r="54" spans="1:9" x14ac:dyDescent="0.2">
      <c r="A54" s="1563" t="s">
        <v>136</v>
      </c>
      <c r="B54" s="1563"/>
      <c r="C54" s="1563"/>
      <c r="D54" s="1563"/>
      <c r="E54" s="2" t="s">
        <v>181</v>
      </c>
      <c r="F54" s="2" t="s">
        <v>166</v>
      </c>
      <c r="G54" s="1568" t="s">
        <v>222</v>
      </c>
      <c r="H54" s="1568"/>
      <c r="I54" s="17"/>
    </row>
    <row r="55" spans="1:9" x14ac:dyDescent="0.2">
      <c r="A55" s="1563" t="s">
        <v>137</v>
      </c>
      <c r="B55" s="1563"/>
      <c r="C55" s="1563"/>
      <c r="D55" s="1563"/>
      <c r="E55" s="2" t="s">
        <v>182</v>
      </c>
      <c r="F55" s="2" t="s">
        <v>167</v>
      </c>
      <c r="G55" s="11" t="s">
        <v>225</v>
      </c>
    </row>
    <row r="56" spans="1:9" x14ac:dyDescent="0.2">
      <c r="A56" s="1563" t="s">
        <v>138</v>
      </c>
      <c r="B56" s="1563"/>
      <c r="C56" s="1563"/>
      <c r="D56" s="1563"/>
      <c r="E56" s="2" t="s">
        <v>183</v>
      </c>
      <c r="F56" s="2" t="s">
        <v>168</v>
      </c>
      <c r="G56" s="11"/>
    </row>
    <row r="57" spans="1:9" x14ac:dyDescent="0.2">
      <c r="A57" s="1570"/>
      <c r="B57" s="1570"/>
      <c r="C57" s="1570"/>
      <c r="D57" s="1570"/>
      <c r="E57" s="2"/>
      <c r="F57" s="2"/>
      <c r="G57" s="5"/>
    </row>
    <row r="58" spans="1:9" x14ac:dyDescent="0.2">
      <c r="A58" s="1563" t="s">
        <v>139</v>
      </c>
      <c r="B58" s="1563"/>
      <c r="C58" s="1563"/>
      <c r="D58" s="516"/>
      <c r="E58" s="2"/>
      <c r="F58" s="2"/>
      <c r="G58" s="5"/>
    </row>
    <row r="59" spans="1:9" x14ac:dyDescent="0.2">
      <c r="A59" s="1563" t="s">
        <v>140</v>
      </c>
      <c r="B59" s="1563"/>
      <c r="C59" s="1563"/>
      <c r="D59" s="1563"/>
      <c r="E59" s="2" t="s">
        <v>184</v>
      </c>
      <c r="F59" s="2" t="s">
        <v>169</v>
      </c>
      <c r="G59" s="12"/>
    </row>
    <row r="60" spans="1:9" x14ac:dyDescent="0.2">
      <c r="A60" s="1563" t="s">
        <v>141</v>
      </c>
      <c r="B60" s="1563"/>
      <c r="C60" s="1563"/>
      <c r="D60" s="1563"/>
      <c r="E60" s="2" t="s">
        <v>185</v>
      </c>
      <c r="F60" s="2" t="s">
        <v>170</v>
      </c>
      <c r="G60" s="11"/>
    </row>
    <row r="61" spans="1:9" s="9" customFormat="1" x14ac:dyDescent="0.2">
      <c r="A61" s="1563" t="s">
        <v>142</v>
      </c>
      <c r="B61" s="1563"/>
      <c r="C61" s="1563"/>
      <c r="D61" s="1563"/>
      <c r="E61" s="5" t="s">
        <v>186</v>
      </c>
      <c r="F61" s="5" t="s">
        <v>171</v>
      </c>
      <c r="G61" s="11"/>
    </row>
    <row r="62" spans="1:9" s="9" customFormat="1" x14ac:dyDescent="0.2">
      <c r="A62" s="1569" t="s">
        <v>235</v>
      </c>
      <c r="B62" s="1569"/>
      <c r="C62" s="1569"/>
      <c r="D62" s="1569"/>
      <c r="E62" s="5" t="s">
        <v>239</v>
      </c>
      <c r="F62" s="5" t="s">
        <v>237</v>
      </c>
      <c r="G62" s="11"/>
    </row>
    <row r="63" spans="1:9" ht="14.5" customHeight="1" x14ac:dyDescent="0.2">
      <c r="A63" s="1571" t="s">
        <v>236</v>
      </c>
      <c r="B63" s="1571"/>
      <c r="C63" s="1571"/>
      <c r="D63" s="1571"/>
      <c r="E63" s="2" t="s">
        <v>240</v>
      </c>
      <c r="F63" s="2" t="s">
        <v>238</v>
      </c>
      <c r="G63" s="11"/>
    </row>
    <row r="64" spans="1:9" x14ac:dyDescent="0.2">
      <c r="A64" s="1570"/>
      <c r="B64" s="1570"/>
      <c r="C64" s="1570"/>
      <c r="D64" s="1570"/>
      <c r="E64" s="2"/>
      <c r="F64" s="2"/>
      <c r="G64" s="5"/>
    </row>
    <row r="65" spans="1:21" x14ac:dyDescent="0.2">
      <c r="A65" s="1563" t="s">
        <v>143</v>
      </c>
      <c r="B65" s="1563"/>
      <c r="C65" s="1563"/>
      <c r="D65" s="1563"/>
      <c r="E65" s="2" t="s">
        <v>187</v>
      </c>
      <c r="F65" s="2" t="s">
        <v>172</v>
      </c>
      <c r="G65" s="1567" t="s">
        <v>4978</v>
      </c>
      <c r="H65" s="1567"/>
    </row>
    <row r="66" spans="1:21" x14ac:dyDescent="0.2">
      <c r="A66" s="1563" t="s">
        <v>144</v>
      </c>
      <c r="B66" s="1563"/>
      <c r="C66" s="1563"/>
      <c r="D66" s="1563"/>
      <c r="E66" s="2" t="str">
        <f>IF($G$18=INDEX(ddSingleOrMulti,2),"ddBuildingCodeMF","ddBuildingCode")</f>
        <v>ddBuildingCodeMF</v>
      </c>
      <c r="F66" s="2" t="s">
        <v>173</v>
      </c>
      <c r="G66" s="1567" t="s">
        <v>5030</v>
      </c>
      <c r="H66" s="1567"/>
    </row>
    <row r="67" spans="1:21" s="321" customFormat="1" x14ac:dyDescent="0.2">
      <c r="A67" s="515"/>
      <c r="B67" s="515"/>
      <c r="C67" s="515"/>
      <c r="D67" s="515"/>
      <c r="E67" s="320"/>
      <c r="F67" s="320"/>
      <c r="G67"/>
      <c r="H67"/>
    </row>
    <row r="68" spans="1:21" s="321" customFormat="1" x14ac:dyDescent="0.2">
      <c r="A68" s="1563" t="s">
        <v>3180</v>
      </c>
      <c r="B68" s="1563"/>
      <c r="C68" s="1563"/>
      <c r="D68" s="1563"/>
      <c r="E68" s="320"/>
      <c r="F68" s="700" t="s">
        <v>3451</v>
      </c>
      <c r="G68" s="1567" t="s">
        <v>5650</v>
      </c>
      <c r="H68" s="1567"/>
      <c r="I68" s="1567"/>
      <c r="J68" s="1567"/>
    </row>
    <row r="70" spans="1:21" ht="19" x14ac:dyDescent="0.25">
      <c r="A70" s="1552" t="s">
        <v>3422</v>
      </c>
      <c r="B70" s="1552"/>
      <c r="C70" s="1552"/>
      <c r="D70" s="1552"/>
      <c r="E70" s="1552"/>
      <c r="F70" s="1552"/>
      <c r="G70" s="1552"/>
      <c r="H70" s="1552"/>
      <c r="I70" s="1552"/>
      <c r="J70" s="1552"/>
      <c r="K70" s="1552"/>
      <c r="L70" s="1552"/>
      <c r="M70" s="1552"/>
      <c r="N70" s="1552"/>
      <c r="O70" s="1552"/>
      <c r="P70" s="1552"/>
      <c r="Q70" s="1552"/>
      <c r="R70" s="1552"/>
      <c r="S70" s="1552"/>
      <c r="T70" s="1552"/>
      <c r="U70" s="1552"/>
    </row>
  </sheetData>
  <sheetProtection algorithmName="SHA-512" hashValue="lgEvXfGICZ9+LZQwpfo4ikkvmq1Z1fh6DIfqUyoaNQBfOhnS2CVC5eJJ75n1ZfLO22rJo7+s+Yaho9ZnywKheQ==" saltValue="WtS00dp5qnLIDo7QjXKW3g==" spinCount="100000" sheet="1" objects="1" scenarios="1" selectLockedCells="1"/>
  <mergeCells count="90">
    <mergeCell ref="A8:D8"/>
    <mergeCell ref="A70:U70"/>
    <mergeCell ref="A1:C5"/>
    <mergeCell ref="D1:U5"/>
    <mergeCell ref="A19:D19"/>
    <mergeCell ref="G11:J11"/>
    <mergeCell ref="G18:H18"/>
    <mergeCell ref="A10:D10"/>
    <mergeCell ref="A11:D11"/>
    <mergeCell ref="A12:D12"/>
    <mergeCell ref="A13:D13"/>
    <mergeCell ref="A14:D14"/>
    <mergeCell ref="A15:D15"/>
    <mergeCell ref="A16:D16"/>
    <mergeCell ref="L10:M10"/>
    <mergeCell ref="G68:J68"/>
    <mergeCell ref="A68:D68"/>
    <mergeCell ref="A27:D27"/>
    <mergeCell ref="A54:D54"/>
    <mergeCell ref="G44:I44"/>
    <mergeCell ref="G45:I45"/>
    <mergeCell ref="G46:H46"/>
    <mergeCell ref="G36:J36"/>
    <mergeCell ref="G38:I38"/>
    <mergeCell ref="G39:I39"/>
    <mergeCell ref="G40:I40"/>
    <mergeCell ref="G41:I41"/>
    <mergeCell ref="G53:I53"/>
    <mergeCell ref="G65:H65"/>
    <mergeCell ref="H48:I51"/>
    <mergeCell ref="G42:I42"/>
    <mergeCell ref="A46:D46"/>
    <mergeCell ref="A17:D17"/>
    <mergeCell ref="G32:N33"/>
    <mergeCell ref="G23:J23"/>
    <mergeCell ref="A18:D18"/>
    <mergeCell ref="A32:D32"/>
    <mergeCell ref="A23:D23"/>
    <mergeCell ref="A25:D25"/>
    <mergeCell ref="A20:D22"/>
    <mergeCell ref="I25:N26"/>
    <mergeCell ref="A28:D28"/>
    <mergeCell ref="A24:D24"/>
    <mergeCell ref="A26:D26"/>
    <mergeCell ref="G10:J10"/>
    <mergeCell ref="G12:J12"/>
    <mergeCell ref="G13:J13"/>
    <mergeCell ref="G14:J14"/>
    <mergeCell ref="G15:J15"/>
    <mergeCell ref="A52:D52"/>
    <mergeCell ref="A44:D44"/>
    <mergeCell ref="A45:D45"/>
    <mergeCell ref="G43:I43"/>
    <mergeCell ref="A43:D43"/>
    <mergeCell ref="G52:H52"/>
    <mergeCell ref="A42:D42"/>
    <mergeCell ref="A48:D48"/>
    <mergeCell ref="A49:D49"/>
    <mergeCell ref="A50:D50"/>
    <mergeCell ref="A51:D51"/>
    <mergeCell ref="A39:D39"/>
    <mergeCell ref="A40:D40"/>
    <mergeCell ref="A38:D38"/>
    <mergeCell ref="A34:D34"/>
    <mergeCell ref="A36:D36"/>
    <mergeCell ref="A41:D41"/>
    <mergeCell ref="G66:H66"/>
    <mergeCell ref="G54:H54"/>
    <mergeCell ref="A61:D61"/>
    <mergeCell ref="A62:D62"/>
    <mergeCell ref="A66:D66"/>
    <mergeCell ref="A64:D64"/>
    <mergeCell ref="A57:D57"/>
    <mergeCell ref="A63:D63"/>
    <mergeCell ref="A65:D65"/>
    <mergeCell ref="A58:C58"/>
    <mergeCell ref="A59:D59"/>
    <mergeCell ref="A60:D60"/>
    <mergeCell ref="A55:D55"/>
    <mergeCell ref="A56:D56"/>
    <mergeCell ref="A53:D53"/>
    <mergeCell ref="O32:T33"/>
    <mergeCell ref="A35:D35"/>
    <mergeCell ref="G34:H34"/>
    <mergeCell ref="G35:H35"/>
    <mergeCell ref="I29:N29"/>
    <mergeCell ref="A30:D30"/>
    <mergeCell ref="A31:D31"/>
    <mergeCell ref="I30:T31"/>
    <mergeCell ref="A29:D29"/>
  </mergeCells>
  <conditionalFormatting sqref="G18:H18">
    <cfRule type="expression" dxfId="5796" priority="56">
      <formula>LEN(TRIM($G$18:$H$18))&gt;0</formula>
    </cfRule>
  </conditionalFormatting>
  <conditionalFormatting sqref="G36">
    <cfRule type="expression" dxfId="5795" priority="55">
      <formula>LEN(TRIM($G$36:$I$36))&gt;0</formula>
    </cfRule>
  </conditionalFormatting>
  <conditionalFormatting sqref="G38">
    <cfRule type="expression" dxfId="5794" priority="54">
      <formula>LEN(TRIM($G$38:$H$38))&gt;0</formula>
    </cfRule>
  </conditionalFormatting>
  <conditionalFormatting sqref="G39">
    <cfRule type="expression" dxfId="5793" priority="53">
      <formula>LEN(TRIM($G$39:$H$39))&gt;0</formula>
    </cfRule>
  </conditionalFormatting>
  <conditionalFormatting sqref="G36:J36">
    <cfRule type="expression" dxfId="5792" priority="52">
      <formula>LEN(TRIM($G$36:$J$36))&gt;0</formula>
    </cfRule>
  </conditionalFormatting>
  <conditionalFormatting sqref="G38:I38">
    <cfRule type="expression" dxfId="5791" priority="51">
      <formula>LEN(TRIM($G$38:$I$38))&gt;0</formula>
    </cfRule>
  </conditionalFormatting>
  <conditionalFormatting sqref="G39:I39">
    <cfRule type="expression" dxfId="5790" priority="50">
      <formula>LEN(TRIM($G$39:$I$39))&gt;0</formula>
    </cfRule>
  </conditionalFormatting>
  <conditionalFormatting sqref="G40:I40">
    <cfRule type="expression" dxfId="5789" priority="49">
      <formula>LEN(TRIM($G$40:$I$40))&gt;0</formula>
    </cfRule>
  </conditionalFormatting>
  <conditionalFormatting sqref="G41:H41">
    <cfRule type="expression" dxfId="5788" priority="48">
      <formula>LEN(TRIM($G$41:$H$41))&gt;0</formula>
    </cfRule>
  </conditionalFormatting>
  <conditionalFormatting sqref="G52:H52">
    <cfRule type="expression" dxfId="5787" priority="47">
      <formula>LEN(TRIM($G$52:$H$52))&gt;0</formula>
    </cfRule>
  </conditionalFormatting>
  <conditionalFormatting sqref="G53">
    <cfRule type="expression" dxfId="5786" priority="46">
      <formula>LEN(TRIM($G$53:$H$53))&gt;0</formula>
    </cfRule>
  </conditionalFormatting>
  <conditionalFormatting sqref="G53:I53">
    <cfRule type="expression" dxfId="5785" priority="45">
      <formula>LEN(TRIM($G$53:$I$53))&gt;0</formula>
    </cfRule>
  </conditionalFormatting>
  <conditionalFormatting sqref="G54:H54">
    <cfRule type="expression" dxfId="5784" priority="44">
      <formula>LEN(TRIM($G$54:$H$54))&gt;0</formula>
    </cfRule>
  </conditionalFormatting>
  <conditionalFormatting sqref="G55">
    <cfRule type="expression" dxfId="5783" priority="43">
      <formula>LEN(TRIM($G$55))&gt;0</formula>
    </cfRule>
  </conditionalFormatting>
  <conditionalFormatting sqref="G56">
    <cfRule type="expression" dxfId="5782" priority="42">
      <formula>LEN(TRIM($G$56))&gt;0</formula>
    </cfRule>
  </conditionalFormatting>
  <conditionalFormatting sqref="G60">
    <cfRule type="expression" dxfId="5781" priority="40">
      <formula>LEN(TRIM($G$60))&gt;0</formula>
    </cfRule>
  </conditionalFormatting>
  <conditionalFormatting sqref="G61">
    <cfRule type="expression" dxfId="5780" priority="38">
      <formula>LEN(TRIM($G$61))&gt;0</formula>
    </cfRule>
  </conditionalFormatting>
  <conditionalFormatting sqref="G62">
    <cfRule type="expression" dxfId="5779" priority="37">
      <formula>LEN(TRIM($G$62))&gt;0</formula>
    </cfRule>
  </conditionalFormatting>
  <conditionalFormatting sqref="G63">
    <cfRule type="expression" dxfId="5778" priority="36">
      <formula>LEN(TRIM($G$63))&gt;0</formula>
    </cfRule>
  </conditionalFormatting>
  <conditionalFormatting sqref="G65:H65">
    <cfRule type="expression" dxfId="5777" priority="35">
      <formula>LEN(TRIM($G$65:$H$65))&gt;0</formula>
    </cfRule>
  </conditionalFormatting>
  <conditionalFormatting sqref="G66:H66">
    <cfRule type="expression" dxfId="5776" priority="34">
      <formula>LEN(TRIM($G$66:$H$66))&gt;0</formula>
    </cfRule>
  </conditionalFormatting>
  <conditionalFormatting sqref="G66:H66">
    <cfRule type="expression" dxfId="5775" priority="33">
      <formula>LEN(TRIM($G$66:$H$66))&gt;0</formula>
    </cfRule>
  </conditionalFormatting>
  <conditionalFormatting sqref="G59">
    <cfRule type="expression" dxfId="5774" priority="32">
      <formula>LEN(TRIM($G$59))&gt;0</formula>
    </cfRule>
  </conditionalFormatting>
  <conditionalFormatting sqref="G19">
    <cfRule type="expression" dxfId="5773" priority="26">
      <formula>AND($G$18&lt;&gt;INDEX(INDIRECT($E$18),2),LEN(TRIM($G$19))&gt;0)</formula>
    </cfRule>
  </conditionalFormatting>
  <conditionalFormatting sqref="G16 G18:J19 G25:G27 G32 G65:H66 G10:J13 G52:I56 G38:I45 G34:G36 G59:G63 G23:J23">
    <cfRule type="notContainsBlanks" dxfId="5772" priority="30">
      <formula>LEN(TRIM(G10))&gt;0</formula>
    </cfRule>
  </conditionalFormatting>
  <conditionalFormatting sqref="G23:J23">
    <cfRule type="expression" dxfId="5771" priority="29">
      <formula>AND($G$18&lt;&gt;INDEX(INDIRECT($E$18),2),LEN(TRIM($G$23))&gt;0)</formula>
    </cfRule>
  </conditionalFormatting>
  <conditionalFormatting sqref="G15:J15">
    <cfRule type="expression" dxfId="5770" priority="28">
      <formula>$M$15&lt;&gt;"!!"</formula>
    </cfRule>
  </conditionalFormatting>
  <conditionalFormatting sqref="G68:J68">
    <cfRule type="notContainsBlanks" dxfId="5769" priority="25">
      <formula>LEN(TRIM(G68))&gt;0</formula>
    </cfRule>
  </conditionalFormatting>
  <conditionalFormatting sqref="G46">
    <cfRule type="expression" dxfId="5768" priority="24">
      <formula>LEN(TRIM($G$41:$H$41))&gt;0</formula>
    </cfRule>
  </conditionalFormatting>
  <conditionalFormatting sqref="G46">
    <cfRule type="notContainsBlanks" dxfId="5767" priority="23">
      <formula>LEN(TRIM(G46))&gt;0</formula>
    </cfRule>
  </conditionalFormatting>
  <conditionalFormatting sqref="G46:H46">
    <cfRule type="expression" dxfId="5766" priority="22">
      <formula>OR(AND(G46=INDEX(INDIRECT(E46),3),OR(AND(NOT(ISBLANK(G43)),NOT(G43=INDEX(INDIRECT(E43),6))),AND(NOT(ISBLANK(G44)),NOT(G44=INDEX(INDIRECT(E44),6))),AND(NOT(ISBLANK(G45)),NOT(G45=INDEX(INDIRECT(E45),6))))),AND(OR(G46=INDEX(INDIRECT(E46),1),G46=INDEX(INDIRECT(E46),2)),AND(OR(ISBLANK(G43),G43=INDEX(INDIRECT(E43),6)),OR(ISBLANK(G44),G44=INDEX(INDIRECT(E44),6)),OR(ISBLANK(G45),G45=INDEX(INDIRECT(E45),6)))))</formula>
    </cfRule>
  </conditionalFormatting>
  <conditionalFormatting sqref="G42:I42">
    <cfRule type="expression" dxfId="5765" priority="21">
      <formula>OR(AND(G42=INDEX(INDIRECT(E42),3),OR(AND(NOT(ISBLANK(G38)),NOT(G38=INDEX(INDIRECT(E38),8))),AND(NOT(ISBLANK(G39)),NOT(G39=INDEX(INDIRECT(E39),8))),AND(NOT(ISBLANK(G40)),NOT(G40=INDEX(INDIRECT(E40),8))))),AND(OR(G42=INDEX(INDIRECT(E42),1),G42=INDEX(INDIRECT(E42),2)),AND(OR(ISBLANK(G38),G38=INDEX(INDIRECT(E38),8)),OR(ISBLANK(G39),G39=INDEX(INDIRECT(E39),8)),OR(ISBLANK(G40),G40=INDEX(INDIRECT(E40),8)))))</formula>
    </cfRule>
  </conditionalFormatting>
  <conditionalFormatting sqref="G48">
    <cfRule type="notContainsBlanks" dxfId="5764" priority="20">
      <formula>LEN(TRIM(G48))&gt;0</formula>
    </cfRule>
  </conditionalFormatting>
  <conditionalFormatting sqref="G49">
    <cfRule type="notContainsBlanks" dxfId="5763" priority="19">
      <formula>LEN(TRIM(G49))&gt;0</formula>
    </cfRule>
  </conditionalFormatting>
  <conditionalFormatting sqref="G50">
    <cfRule type="notContainsBlanks" dxfId="5762" priority="18">
      <formula>LEN(TRIM(G50))&gt;0</formula>
    </cfRule>
  </conditionalFormatting>
  <conditionalFormatting sqref="G51">
    <cfRule type="notContainsBlanks" dxfId="5761" priority="16">
      <formula>LEN(TRIM(G51))&gt;0</formula>
    </cfRule>
  </conditionalFormatting>
  <conditionalFormatting sqref="G19 G23">
    <cfRule type="expression" dxfId="5760" priority="31">
      <formula>IF($G$18=INDEX(ddSingleOrMulti,2),TRUE,FALSE)</formula>
    </cfRule>
  </conditionalFormatting>
  <conditionalFormatting sqref="A19:D19">
    <cfRule type="expression" dxfId="5759" priority="74">
      <formula>IF($G$18=INDEX(ddSingleOrMulti,2),TRUE,FALSE)</formula>
    </cfRule>
  </conditionalFormatting>
  <conditionalFormatting sqref="A23:D23">
    <cfRule type="expression" dxfId="5758" priority="73">
      <formula>IF($G$18=INDEX(ddSingleOrMulti,2),TRUE,FALSE)</formula>
    </cfRule>
  </conditionalFormatting>
  <conditionalFormatting sqref="G19">
    <cfRule type="expression" dxfId="5757" priority="71">
      <formula>NOT($G$18=INDEX(ddSingleOrMulti,2))</formula>
    </cfRule>
  </conditionalFormatting>
  <conditionalFormatting sqref="G23">
    <cfRule type="expression" dxfId="5756" priority="70">
      <formula>NOT($G$18=INDEX(ddSingleOrMulti,2))</formula>
    </cfRule>
  </conditionalFormatting>
  <conditionalFormatting sqref="G29:G31">
    <cfRule type="notContainsBlanks" dxfId="5755" priority="14">
      <formula>LEN(TRIM(G29))&gt;0</formula>
    </cfRule>
  </conditionalFormatting>
  <conditionalFormatting sqref="I29:N29">
    <cfRule type="expression" dxfId="5754" priority="13">
      <formula>$G$29&gt;=2015</formula>
    </cfRule>
  </conditionalFormatting>
  <conditionalFormatting sqref="G8">
    <cfRule type="expression" dxfId="5753" priority="5">
      <formula>LEN($G$8)&gt;0</formula>
    </cfRule>
  </conditionalFormatting>
  <conditionalFormatting sqref="A20:D21">
    <cfRule type="expression" dxfId="5752" priority="4">
      <formula>IF($G$18=INDEX(ddSingleOrMulti,2),TRUE,FALSE)</formula>
    </cfRule>
  </conditionalFormatting>
  <conditionalFormatting sqref="G20">
    <cfRule type="expression" dxfId="5751" priority="1">
      <formula>AND($G$18&lt;&gt;INDEX(INDIRECT($E$18),2),LEN(TRIM(G20))&gt;0)</formula>
    </cfRule>
  </conditionalFormatting>
  <conditionalFormatting sqref="G20">
    <cfRule type="notContainsBlanks" dxfId="5750" priority="2">
      <formula>LEN(TRIM(G20))&gt;0</formula>
    </cfRule>
  </conditionalFormatting>
  <conditionalFormatting sqref="G20">
    <cfRule type="expression" dxfId="5749" priority="3">
      <formula>NOT($G$18=INDEX(ddSingleOrMulti,2))</formula>
    </cfRule>
  </conditionalFormatting>
  <dataValidations count="30">
    <dataValidation type="list" allowBlank="1" showInputMessage="1" showErrorMessage="1" error="Please use the dropdown." sqref="G18:H18" xr:uid="{00000000-0002-0000-0100-000000000000}">
      <formula1>INDIRECT($E$18)</formula1>
    </dataValidation>
    <dataValidation type="list" allowBlank="1" showInputMessage="1" showErrorMessage="1" error="Please use the dropdown." sqref="G36:J36" xr:uid="{00000000-0002-0000-0100-000001000000}">
      <formula1>INDIRECT($E$36)</formula1>
    </dataValidation>
    <dataValidation type="list" allowBlank="1" showInputMessage="1" showErrorMessage="1" error="Please use the dropdown." sqref="G38:I38" xr:uid="{00000000-0002-0000-0100-000002000000}">
      <formula1>INDIRECT($E$38)</formula1>
    </dataValidation>
    <dataValidation type="list" allowBlank="1" showInputMessage="1" showErrorMessage="1" error="Please use the dropdown." sqref="G39:I39" xr:uid="{00000000-0002-0000-0100-000003000000}">
      <formula1>INDIRECT($E$39)</formula1>
    </dataValidation>
    <dataValidation type="list" allowBlank="1" showInputMessage="1" showErrorMessage="1" error="Please use the dropdown." sqref="G40:I40" xr:uid="{00000000-0002-0000-0100-000004000000}">
      <formula1>INDIRECT($E$40)</formula1>
    </dataValidation>
    <dataValidation type="list" allowBlank="1" showInputMessage="1" showErrorMessage="1" error="Please use the dropdown." sqref="G41:I41" xr:uid="{00000000-0002-0000-0100-000005000000}">
      <formula1>INDIRECT($E$41)</formula1>
    </dataValidation>
    <dataValidation type="list" allowBlank="1" showInputMessage="1" showErrorMessage="1" error="Please use the dropdown." sqref="G52:H52" xr:uid="{00000000-0002-0000-0100-000006000000}">
      <formula1>INDIRECT($E$52)</formula1>
    </dataValidation>
    <dataValidation type="list" allowBlank="1" showInputMessage="1" showErrorMessage="1" error="Please use the dropdown." sqref="G53:I53" xr:uid="{00000000-0002-0000-0100-000007000000}">
      <formula1>INDIRECT($E$53)</formula1>
    </dataValidation>
    <dataValidation type="list" allowBlank="1" showInputMessage="1" showErrorMessage="1" error="Please use the dropdown." sqref="G54:H54" xr:uid="{00000000-0002-0000-0100-000008000000}">
      <formula1>INDIRECT($E$54)</formula1>
    </dataValidation>
    <dataValidation type="list" allowBlank="1" showInputMessage="1" showErrorMessage="1" error="Please use the dropdown." sqref="G55" xr:uid="{00000000-0002-0000-0100-000009000000}">
      <formula1>INDIRECT($E$55)</formula1>
    </dataValidation>
    <dataValidation type="list" allowBlank="1" showInputMessage="1" showErrorMessage="1" error="Please use the dropdown." sqref="G56" xr:uid="{00000000-0002-0000-0100-00000A000000}">
      <formula1>INDIRECT($E$56)</formula1>
    </dataValidation>
    <dataValidation type="list" allowBlank="1" showInputMessage="1" showErrorMessage="1" error="Please use the dropdown." sqref="G60" xr:uid="{00000000-0002-0000-0100-00000B000000}">
      <formula1>INDIRECT($E$60)</formula1>
    </dataValidation>
    <dataValidation type="list" allowBlank="1" showInputMessage="1" showErrorMessage="1" error="Please use the dropdown." sqref="G61" xr:uid="{00000000-0002-0000-0100-00000D000000}">
      <formula1>INDIRECT($E$61)</formula1>
    </dataValidation>
    <dataValidation type="list" allowBlank="1" showInputMessage="1" showErrorMessage="1" error="Please use the dropdown." sqref="G62" xr:uid="{00000000-0002-0000-0100-00000E000000}">
      <formula1>INDIRECT($E$62)</formula1>
    </dataValidation>
    <dataValidation type="list" allowBlank="1" showInputMessage="1" showErrorMessage="1" error="Please use the dropdown." sqref="G63" xr:uid="{00000000-0002-0000-0100-00000F000000}">
      <formula1>INDIRECT($E$63)</formula1>
    </dataValidation>
    <dataValidation type="list" allowBlank="1" showInputMessage="1" showErrorMessage="1" error="Please use the dropdown." sqref="G65:H65" xr:uid="{00000000-0002-0000-0100-000010000000}">
      <formula1>INDIRECT($E$65)</formula1>
    </dataValidation>
    <dataValidation type="list" allowBlank="1" showInputMessage="1" showErrorMessage="1" error="Please use the dropdown." sqref="G66:H66" xr:uid="{00000000-0002-0000-0100-000011000000}">
      <formula1>INDIRECT($E$66)</formula1>
    </dataValidation>
    <dataValidation type="list" allowBlank="1" showInputMessage="1" showErrorMessage="1" error="Please use the dropdown." sqref="G59" xr:uid="{00000000-0002-0000-0100-000012000000}">
      <formula1>INDIRECT($E$59)</formula1>
    </dataValidation>
    <dataValidation type="whole" allowBlank="1" showInputMessage="1" showErrorMessage="1" error="Must enter a whole number." sqref="G19" xr:uid="{00000000-0002-0000-0100-000013000000}">
      <formula1>0</formula1>
      <formula2>100000000000</formula2>
    </dataValidation>
    <dataValidation type="whole" allowBlank="1" showInputMessage="1" showErrorMessage="1" error="Enter a whole number between 1 and 1000." prompt="Enter the number of stories above grade." sqref="G27" xr:uid="{00000000-0002-0000-0100-000014000000}">
      <formula1>1</formula1>
      <formula2>1000</formula2>
    </dataValidation>
    <dataValidation type="list" allowBlank="1" showInputMessage="1" showErrorMessage="1" error="Please use the dropdown." sqref="G42:I42 G46:H46" xr:uid="{00000000-0002-0000-0100-000015000000}">
      <formula1>INDIRECT(E42)</formula1>
    </dataValidation>
    <dataValidation type="decimal" allowBlank="1" showInputMessage="1" showErrorMessage="1" error="Enter a decimal between 0 and 1." prompt="Enter the SHGC value." sqref="G48:G49" xr:uid="{00000000-0002-0000-0100-000016000000}">
      <formula1>0</formula1>
      <formula2>1</formula2>
    </dataValidation>
    <dataValidation type="decimal" allowBlank="1" showInputMessage="1" showErrorMessage="1" error="Enter a decimal between 0 and 1." prompt="Enter the U-value." sqref="G50:G51" xr:uid="{00000000-0002-0000-0100-000017000000}">
      <formula1>0</formula1>
      <formula2>1</formula2>
    </dataValidation>
    <dataValidation type="list" allowBlank="1" showInputMessage="1" showErrorMessage="1" error="Please use the dropdown." sqref="G43:I43" xr:uid="{00000000-0002-0000-0100-000018000000}">
      <formula1>INDIRECT($E$43)</formula1>
    </dataValidation>
    <dataValidation type="list" allowBlank="1" showInputMessage="1" showErrorMessage="1" error="Please use the dropdown." sqref="G44:I44" xr:uid="{00000000-0002-0000-0100-000019000000}">
      <formula1>INDIRECT($E$44)</formula1>
    </dataValidation>
    <dataValidation type="list" allowBlank="1" showInputMessage="1" showErrorMessage="1" error="Please use the dropdown." sqref="G45:I45" xr:uid="{00000000-0002-0000-0100-00001A000000}">
      <formula1>INDIRECT($E$45)</formula1>
    </dataValidation>
    <dataValidation type="list" allowBlank="1" showInputMessage="1" showErrorMessage="1" error="Please use the dropdown." sqref="G34:H34" xr:uid="{0E9BC3AB-9886-46CC-B06D-618B8F197E79}">
      <formula1>INDIRECT($E$34)</formula1>
    </dataValidation>
    <dataValidation type="list" allowBlank="1" showInputMessage="1" showErrorMessage="1" error="Please use the dropdown." sqref="G35:H35" xr:uid="{ECF13C39-BBAE-4F73-8E38-0E6CA9AEF1AA}">
      <formula1>INDIRECT($E$35)</formula1>
    </dataValidation>
    <dataValidation type="list" allowBlank="1" showDropDown="1" showInputMessage="1" showErrorMessage="1" sqref="G8" xr:uid="{7AD23AB2-D41A-4DA7-8F75-6565B9A52E9A}">
      <formula1>"TofF"</formula1>
    </dataValidation>
    <dataValidation type="list" allowBlank="1" showInputMessage="1" showErrorMessage="1" error="Must enter a whole number." sqref="G20" xr:uid="{48B2ABF1-3C4E-4DF6-AF84-716F23A8A00C}">
      <formula1>INDIRECT(E20)</formula1>
    </dataValidation>
  </dataValidations>
  <hyperlinks>
    <hyperlink ref="A70:G70" location="'Ch5'!A1" display="CLICK TO PROCEED TO CHAPTER 5 &gt;&gt;" xr:uid="{00000000-0004-0000-0100-000000000000}"/>
  </hyperlinks>
  <pageMargins left="0.7" right="0.7" top="0.75" bottom="0.75" header="0.3" footer="0.3"/>
  <pageSetup scale="70" orientation="landscape" r:id="rId1"/>
  <drawing r:id="rId2"/>
  <legacyDrawing r:id="rId3"/>
  <mc:AlternateContent xmlns:mc="http://schemas.openxmlformats.org/markup-compatibility/2006">
    <mc:Choice Requires="x14">
      <controls>
        <mc:AlternateContent xmlns:mc="http://schemas.openxmlformats.org/markup-compatibility/2006">
          <mc:Choice Requires="x14">
            <control shapeId="2051" r:id="rId4" name="Check Box 3">
              <controlPr locked="0" defaultSize="0" autoFill="0" autoLine="0" autoPict="0" altText="">
                <anchor moveWithCells="1">
                  <from>
                    <xdr:col>5</xdr:col>
                    <xdr:colOff>1143000</xdr:colOff>
                    <xdr:row>7</xdr:row>
                    <xdr:rowOff>0</xdr:rowOff>
                  </from>
                  <to>
                    <xdr:col>6</xdr:col>
                    <xdr:colOff>203200</xdr:colOff>
                    <xdr:row>8</xdr:row>
                    <xdr:rowOff>0</xdr:rowOff>
                  </to>
                </anchor>
              </controlPr>
            </control>
          </mc:Choice>
        </mc:AlternateContent>
        <mc:AlternateContent xmlns:mc="http://schemas.openxmlformats.org/markup-compatibility/2006">
          <mc:Choice Requires="x14">
            <control shapeId="2052" r:id="rId5" name="Check Box 4">
              <controlPr locked="0" defaultSize="0" autoFill="0" autoLine="0" autoPict="0" altText="">
                <anchor moveWithCells="1">
                  <from>
                    <xdr:col>5</xdr:col>
                    <xdr:colOff>1143000</xdr:colOff>
                    <xdr:row>7</xdr:row>
                    <xdr:rowOff>0</xdr:rowOff>
                  </from>
                  <to>
                    <xdr:col>6</xdr:col>
                    <xdr:colOff>203200</xdr:colOff>
                    <xdr:row>8</xdr:row>
                    <xdr:rowOff>0</xdr:rowOff>
                  </to>
                </anchor>
              </controlPr>
            </control>
          </mc:Choice>
        </mc:AlternateContent>
      </controls>
    </mc:Choice>
  </mc:AlternateContent>
  <extLst>
    <ext xmlns:x14="http://schemas.microsoft.com/office/spreadsheetml/2009/9/main" uri="{78C0D931-6437-407d-A8EE-F0AAD7539E65}">
      <x14:conditionalFormattings>
        <x14:conditionalFormatting xmlns:xm="http://schemas.microsoft.com/office/excel/2006/main">
          <x14:cfRule type="expression" priority="15" id="{BF6E4F97-0E9D-4B17-BFCE-97D9EE33CD91}">
            <xm:f>NOT(ISERROR(MATCH(G14,Geography!$J$2:$J$57,0)))</xm:f>
            <x14:dxf>
              <fill>
                <patternFill>
                  <bgColor rgb="FF92D050"/>
                </patternFill>
              </fill>
            </x14:dxf>
          </x14:cfRule>
          <xm:sqref>G14:J14</xm:sqref>
        </x14:conditionalFormatting>
      </x14:conditionalFormattings>
    </ext>
    <ext xmlns:x14="http://schemas.microsoft.com/office/spreadsheetml/2009/9/main" uri="{CCE6A557-97BC-4b89-ADB6-D9C93CAAB3DF}">
      <x14:dataValidations xmlns:xm="http://schemas.microsoft.com/office/excel/2006/main" count="2">
        <x14:dataValidation type="list" allowBlank="1" showInputMessage="1" showErrorMessage="1" xr:uid="{00000000-0002-0000-0100-00001B000000}">
          <x14:formula1>
            <xm:f>Geography!$J$2:$J$57</xm:f>
          </x14:formula1>
          <xm:sqref>G14:J14</xm:sqref>
        </x14:dataValidation>
        <x14:dataValidation type="list" allowBlank="1" showInputMessage="1" showErrorMessage="1" xr:uid="{00000000-0002-0000-0100-00001C000000}">
          <x14:formula1>
            <xm:f>OFFSET(Geography!$C$2,MATCH($G$14,Geography!$A$2:$A$3146,0)-1,0,COUNTIF(Geography!$A$2:$A$3146,$G$14),1)</xm:f>
          </x14:formula1>
          <xm:sqref>G15:J15</xm:sqref>
        </x14:dataValidation>
      </x14:dataValidation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5">
    <tabColor theme="1"/>
  </sheetPr>
  <dimension ref="A1:J3146"/>
  <sheetViews>
    <sheetView topLeftCell="K1" workbookViewId="0">
      <selection activeCell="J52" sqref="J2:J52"/>
    </sheetView>
  </sheetViews>
  <sheetFormatPr baseColWidth="10" defaultColWidth="8.83203125" defaultRowHeight="15" x14ac:dyDescent="0.2"/>
  <cols>
    <col min="1" max="2" width="0" hidden="1" customWidth="1"/>
    <col min="3" max="3" width="23.33203125" hidden="1" customWidth="1"/>
    <col min="4" max="7" width="0" hidden="1" customWidth="1"/>
    <col min="8" max="8" width="0" style="307" hidden="1" customWidth="1"/>
    <col min="9" max="10" width="0" hidden="1" customWidth="1"/>
    <col min="13" max="13" width="18.6640625" customWidth="1"/>
    <col min="14" max="14" width="19" bestFit="1" customWidth="1"/>
  </cols>
  <sheetData>
    <row r="1" spans="1:10" x14ac:dyDescent="0.2">
      <c r="A1" t="s">
        <v>2</v>
      </c>
      <c r="B1" t="s">
        <v>3</v>
      </c>
      <c r="C1" t="s">
        <v>4</v>
      </c>
      <c r="D1" t="s">
        <v>5</v>
      </c>
      <c r="E1" t="s">
        <v>6</v>
      </c>
      <c r="F1" t="s">
        <v>7</v>
      </c>
      <c r="G1" t="s">
        <v>8</v>
      </c>
      <c r="H1" s="307" t="s">
        <v>2885</v>
      </c>
      <c r="J1" t="s">
        <v>2</v>
      </c>
    </row>
    <row r="2" spans="1:10" x14ac:dyDescent="0.2">
      <c r="A2" t="s">
        <v>12</v>
      </c>
      <c r="B2" t="s">
        <v>114</v>
      </c>
      <c r="C2" t="s">
        <v>686</v>
      </c>
      <c r="D2">
        <v>2</v>
      </c>
      <c r="E2" s="307">
        <v>3</v>
      </c>
      <c r="F2" s="307" t="s">
        <v>7</v>
      </c>
      <c r="G2" s="307" t="s">
        <v>115</v>
      </c>
      <c r="H2" s="307" t="s">
        <v>11</v>
      </c>
      <c r="J2" t="s">
        <v>12</v>
      </c>
    </row>
    <row r="3" spans="1:10" x14ac:dyDescent="0.2">
      <c r="A3" t="s">
        <v>12</v>
      </c>
      <c r="B3" t="s">
        <v>114</v>
      </c>
      <c r="C3" t="s">
        <v>687</v>
      </c>
      <c r="D3">
        <v>3</v>
      </c>
      <c r="E3" s="307">
        <v>2</v>
      </c>
      <c r="F3" s="307" t="s">
        <v>7</v>
      </c>
      <c r="G3" s="307" t="s">
        <v>115</v>
      </c>
      <c r="H3" s="307" t="s">
        <v>11</v>
      </c>
      <c r="J3" t="s">
        <v>9</v>
      </c>
    </row>
    <row r="4" spans="1:10" x14ac:dyDescent="0.2">
      <c r="A4" t="s">
        <v>12</v>
      </c>
      <c r="B4" t="s">
        <v>114</v>
      </c>
      <c r="C4" t="s">
        <v>688</v>
      </c>
      <c r="D4">
        <v>2</v>
      </c>
      <c r="E4" s="307">
        <v>3</v>
      </c>
      <c r="F4" s="307" t="s">
        <v>7</v>
      </c>
      <c r="G4" s="307" t="s">
        <v>115</v>
      </c>
      <c r="H4" s="307" t="s">
        <v>11</v>
      </c>
      <c r="J4" t="s">
        <v>14</v>
      </c>
    </row>
    <row r="5" spans="1:10" x14ac:dyDescent="0.2">
      <c r="A5" t="s">
        <v>12</v>
      </c>
      <c r="B5" t="s">
        <v>114</v>
      </c>
      <c r="C5" t="s">
        <v>689</v>
      </c>
      <c r="D5">
        <v>2</v>
      </c>
      <c r="E5" s="307">
        <v>3</v>
      </c>
      <c r="F5" s="307" t="s">
        <v>7</v>
      </c>
      <c r="G5" s="307" t="s">
        <v>11</v>
      </c>
      <c r="H5" s="307" t="s">
        <v>11</v>
      </c>
      <c r="J5" t="s">
        <v>13</v>
      </c>
    </row>
    <row r="6" spans="1:10" x14ac:dyDescent="0.2">
      <c r="A6" t="s">
        <v>12</v>
      </c>
      <c r="B6" t="s">
        <v>114</v>
      </c>
      <c r="C6" t="s">
        <v>690</v>
      </c>
      <c r="D6">
        <v>2</v>
      </c>
      <c r="E6" s="307">
        <v>3</v>
      </c>
      <c r="F6" s="307" t="s">
        <v>7</v>
      </c>
      <c r="G6" s="307" t="s">
        <v>11</v>
      </c>
      <c r="H6" s="307" t="s">
        <v>11</v>
      </c>
      <c r="J6" t="s">
        <v>15</v>
      </c>
    </row>
    <row r="7" spans="1:10" x14ac:dyDescent="0.2">
      <c r="A7" t="s">
        <v>12</v>
      </c>
      <c r="B7" t="s">
        <v>114</v>
      </c>
      <c r="C7" t="s">
        <v>691</v>
      </c>
      <c r="D7">
        <v>2</v>
      </c>
      <c r="E7" s="307">
        <v>3</v>
      </c>
      <c r="F7" s="307" t="s">
        <v>7</v>
      </c>
      <c r="G7" s="307" t="s">
        <v>115</v>
      </c>
      <c r="H7" s="307" t="s">
        <v>11</v>
      </c>
      <c r="J7" t="s">
        <v>16</v>
      </c>
    </row>
    <row r="8" spans="1:10" x14ac:dyDescent="0.2">
      <c r="A8" t="s">
        <v>12</v>
      </c>
      <c r="B8" t="s">
        <v>114</v>
      </c>
      <c r="C8" t="s">
        <v>692</v>
      </c>
      <c r="D8">
        <v>3</v>
      </c>
      <c r="E8" s="307">
        <v>3</v>
      </c>
      <c r="F8" s="307" t="s">
        <v>7</v>
      </c>
      <c r="G8" s="307" t="s">
        <v>115</v>
      </c>
      <c r="H8" s="307" t="s">
        <v>11</v>
      </c>
      <c r="J8" t="s">
        <v>17</v>
      </c>
    </row>
    <row r="9" spans="1:10" x14ac:dyDescent="0.2">
      <c r="A9" t="s">
        <v>12</v>
      </c>
      <c r="B9" t="s">
        <v>114</v>
      </c>
      <c r="C9" t="s">
        <v>693</v>
      </c>
      <c r="D9">
        <v>1</v>
      </c>
      <c r="E9" s="307">
        <v>3</v>
      </c>
      <c r="F9" s="307" t="s">
        <v>7</v>
      </c>
      <c r="G9" s="307" t="s">
        <v>11</v>
      </c>
      <c r="H9" s="307" t="s">
        <v>11</v>
      </c>
      <c r="J9" t="s">
        <v>19</v>
      </c>
    </row>
    <row r="10" spans="1:10" x14ac:dyDescent="0.2">
      <c r="A10" t="s">
        <v>12</v>
      </c>
      <c r="B10" t="s">
        <v>114</v>
      </c>
      <c r="C10" t="s">
        <v>694</v>
      </c>
      <c r="D10">
        <v>3</v>
      </c>
      <c r="E10" s="307">
        <v>3</v>
      </c>
      <c r="F10" s="307" t="s">
        <v>7</v>
      </c>
      <c r="G10" s="307" t="s">
        <v>11</v>
      </c>
      <c r="H10" s="307" t="s">
        <v>11</v>
      </c>
      <c r="J10" t="s">
        <v>18</v>
      </c>
    </row>
    <row r="11" spans="1:10" x14ac:dyDescent="0.2">
      <c r="A11" t="s">
        <v>12</v>
      </c>
      <c r="B11" t="s">
        <v>114</v>
      </c>
      <c r="C11" t="s">
        <v>695</v>
      </c>
      <c r="D11">
        <v>2</v>
      </c>
      <c r="E11" s="307">
        <v>3</v>
      </c>
      <c r="F11" s="307" t="s">
        <v>7</v>
      </c>
      <c r="G11" s="307" t="s">
        <v>11</v>
      </c>
      <c r="H11" s="307" t="s">
        <v>11</v>
      </c>
      <c r="J11" t="s">
        <v>20</v>
      </c>
    </row>
    <row r="12" spans="1:10" x14ac:dyDescent="0.2">
      <c r="A12" t="s">
        <v>12</v>
      </c>
      <c r="B12" t="s">
        <v>114</v>
      </c>
      <c r="C12" t="s">
        <v>696</v>
      </c>
      <c r="D12">
        <v>2</v>
      </c>
      <c r="E12" s="307">
        <v>3</v>
      </c>
      <c r="F12" s="307" t="s">
        <v>7</v>
      </c>
      <c r="G12" s="307" t="s">
        <v>11</v>
      </c>
      <c r="H12" s="307" t="s">
        <v>11</v>
      </c>
      <c r="J12" t="s">
        <v>21</v>
      </c>
    </row>
    <row r="13" spans="1:10" x14ac:dyDescent="0.2">
      <c r="A13" t="s">
        <v>12</v>
      </c>
      <c r="B13" t="s">
        <v>114</v>
      </c>
      <c r="C13" t="s">
        <v>697</v>
      </c>
      <c r="D13">
        <v>3</v>
      </c>
      <c r="E13" s="307">
        <v>3</v>
      </c>
      <c r="F13" s="307" t="s">
        <v>7</v>
      </c>
      <c r="G13" s="307" t="s">
        <v>115</v>
      </c>
      <c r="H13" s="307" t="s">
        <v>11</v>
      </c>
      <c r="J13" t="s">
        <v>22</v>
      </c>
    </row>
    <row r="14" spans="1:10" x14ac:dyDescent="0.2">
      <c r="A14" t="s">
        <v>12</v>
      </c>
      <c r="B14" t="s">
        <v>114</v>
      </c>
      <c r="C14" t="s">
        <v>698</v>
      </c>
      <c r="D14">
        <v>3</v>
      </c>
      <c r="E14" s="307">
        <v>3</v>
      </c>
      <c r="F14" s="307" t="s">
        <v>7</v>
      </c>
      <c r="G14" s="307" t="s">
        <v>115</v>
      </c>
      <c r="H14" s="307" t="s">
        <v>11</v>
      </c>
      <c r="J14" t="s">
        <v>24</v>
      </c>
    </row>
    <row r="15" spans="1:10" x14ac:dyDescent="0.2">
      <c r="A15" t="s">
        <v>12</v>
      </c>
      <c r="B15" t="s">
        <v>114</v>
      </c>
      <c r="C15" t="s">
        <v>699</v>
      </c>
      <c r="D15">
        <v>1</v>
      </c>
      <c r="E15" s="307">
        <v>3</v>
      </c>
      <c r="F15" s="307" t="s">
        <v>7</v>
      </c>
      <c r="G15" s="307" t="s">
        <v>11</v>
      </c>
      <c r="H15" s="307" t="s">
        <v>11</v>
      </c>
      <c r="J15" t="s">
        <v>25</v>
      </c>
    </row>
    <row r="16" spans="1:10" x14ac:dyDescent="0.2">
      <c r="A16" t="s">
        <v>12</v>
      </c>
      <c r="B16" t="s">
        <v>114</v>
      </c>
      <c r="C16" t="s">
        <v>700</v>
      </c>
      <c r="D16">
        <v>1</v>
      </c>
      <c r="E16" s="307">
        <v>3</v>
      </c>
      <c r="F16" s="307" t="s">
        <v>7</v>
      </c>
      <c r="G16" s="307" t="s">
        <v>11</v>
      </c>
      <c r="H16" s="307" t="s">
        <v>11</v>
      </c>
      <c r="J16" t="s">
        <v>26</v>
      </c>
    </row>
    <row r="17" spans="1:10" x14ac:dyDescent="0.2">
      <c r="A17" t="s">
        <v>12</v>
      </c>
      <c r="B17" t="s">
        <v>114</v>
      </c>
      <c r="C17" t="s">
        <v>701</v>
      </c>
      <c r="D17">
        <v>3</v>
      </c>
      <c r="E17" s="307">
        <v>3</v>
      </c>
      <c r="F17" s="307" t="s">
        <v>7</v>
      </c>
      <c r="G17" s="307" t="s">
        <v>115</v>
      </c>
      <c r="H17" s="307" t="s">
        <v>11</v>
      </c>
      <c r="J17" t="s">
        <v>23</v>
      </c>
    </row>
    <row r="18" spans="1:10" x14ac:dyDescent="0.2">
      <c r="A18" t="s">
        <v>12</v>
      </c>
      <c r="B18" t="s">
        <v>114</v>
      </c>
      <c r="C18" t="s">
        <v>702</v>
      </c>
      <c r="D18">
        <v>1</v>
      </c>
      <c r="E18" s="307">
        <v>3</v>
      </c>
      <c r="F18" s="307" t="s">
        <v>7</v>
      </c>
      <c r="G18" s="307" t="s">
        <v>11</v>
      </c>
      <c r="H18" s="307" t="s">
        <v>11</v>
      </c>
      <c r="J18" t="s">
        <v>27</v>
      </c>
    </row>
    <row r="19" spans="1:10" x14ac:dyDescent="0.2">
      <c r="A19" t="s">
        <v>12</v>
      </c>
      <c r="B19" t="s">
        <v>114</v>
      </c>
      <c r="C19" t="s">
        <v>703</v>
      </c>
      <c r="D19">
        <v>3</v>
      </c>
      <c r="E19" s="307">
        <v>3</v>
      </c>
      <c r="F19" s="307" t="s">
        <v>7</v>
      </c>
      <c r="G19" s="307" t="s">
        <v>115</v>
      </c>
      <c r="H19" s="307" t="s">
        <v>11</v>
      </c>
      <c r="J19" t="s">
        <v>28</v>
      </c>
    </row>
    <row r="20" spans="1:10" x14ac:dyDescent="0.2">
      <c r="A20" t="s">
        <v>12</v>
      </c>
      <c r="B20" t="s">
        <v>114</v>
      </c>
      <c r="C20" t="s">
        <v>704</v>
      </c>
      <c r="D20">
        <v>1</v>
      </c>
      <c r="E20" s="307">
        <v>3</v>
      </c>
      <c r="F20" s="307" t="s">
        <v>7</v>
      </c>
      <c r="G20" s="307" t="s">
        <v>11</v>
      </c>
      <c r="H20" s="307" t="s">
        <v>11</v>
      </c>
      <c r="J20" t="s">
        <v>29</v>
      </c>
    </row>
    <row r="21" spans="1:10" x14ac:dyDescent="0.2">
      <c r="A21" t="s">
        <v>12</v>
      </c>
      <c r="B21" t="s">
        <v>114</v>
      </c>
      <c r="C21" t="s">
        <v>705</v>
      </c>
      <c r="D21">
        <v>3</v>
      </c>
      <c r="E21" s="307">
        <v>3</v>
      </c>
      <c r="F21" s="307" t="s">
        <v>7</v>
      </c>
      <c r="G21" s="307" t="s">
        <v>115</v>
      </c>
      <c r="H21" s="307" t="s">
        <v>11</v>
      </c>
      <c r="J21" t="s">
        <v>32</v>
      </c>
    </row>
    <row r="22" spans="1:10" x14ac:dyDescent="0.2">
      <c r="A22" t="s">
        <v>12</v>
      </c>
      <c r="B22" t="s">
        <v>114</v>
      </c>
      <c r="C22" t="s">
        <v>706</v>
      </c>
      <c r="D22">
        <v>3</v>
      </c>
      <c r="E22" s="307">
        <v>3</v>
      </c>
      <c r="F22" s="307" t="s">
        <v>7</v>
      </c>
      <c r="G22" s="307" t="s">
        <v>115</v>
      </c>
      <c r="H22" s="307" t="s">
        <v>11</v>
      </c>
      <c r="J22" t="s">
        <v>31</v>
      </c>
    </row>
    <row r="23" spans="1:10" x14ac:dyDescent="0.2">
      <c r="A23" t="s">
        <v>12</v>
      </c>
      <c r="B23" t="s">
        <v>114</v>
      </c>
      <c r="C23" t="s">
        <v>707</v>
      </c>
      <c r="D23">
        <v>2</v>
      </c>
      <c r="E23" s="307">
        <v>3</v>
      </c>
      <c r="F23" s="307" t="s">
        <v>7</v>
      </c>
      <c r="G23" s="307" t="s">
        <v>11</v>
      </c>
      <c r="H23" s="307" t="s">
        <v>11</v>
      </c>
      <c r="J23" t="s">
        <v>30</v>
      </c>
    </row>
    <row r="24" spans="1:10" x14ac:dyDescent="0.2">
      <c r="A24" t="s">
        <v>12</v>
      </c>
      <c r="B24" t="s">
        <v>114</v>
      </c>
      <c r="C24" t="s">
        <v>708</v>
      </c>
      <c r="D24">
        <v>3</v>
      </c>
      <c r="E24" s="307">
        <v>3</v>
      </c>
      <c r="F24" s="307" t="s">
        <v>7</v>
      </c>
      <c r="G24" s="307" t="s">
        <v>115</v>
      </c>
      <c r="H24" s="307" t="s">
        <v>11</v>
      </c>
      <c r="J24" t="s">
        <v>33</v>
      </c>
    </row>
    <row r="25" spans="1:10" x14ac:dyDescent="0.2">
      <c r="A25" t="s">
        <v>12</v>
      </c>
      <c r="B25" t="s">
        <v>114</v>
      </c>
      <c r="C25" t="s">
        <v>709</v>
      </c>
      <c r="D25">
        <v>2</v>
      </c>
      <c r="E25" s="307">
        <v>3</v>
      </c>
      <c r="F25" s="307" t="s">
        <v>7</v>
      </c>
      <c r="G25" s="307" t="s">
        <v>115</v>
      </c>
      <c r="H25" s="307" t="s">
        <v>11</v>
      </c>
      <c r="J25" t="s">
        <v>34</v>
      </c>
    </row>
    <row r="26" spans="1:10" x14ac:dyDescent="0.2">
      <c r="A26" t="s">
        <v>12</v>
      </c>
      <c r="B26" t="s">
        <v>114</v>
      </c>
      <c r="C26" t="s">
        <v>710</v>
      </c>
      <c r="D26">
        <v>2</v>
      </c>
      <c r="E26" s="307">
        <v>3</v>
      </c>
      <c r="F26" s="307" t="s">
        <v>7</v>
      </c>
      <c r="G26" s="307" t="s">
        <v>11</v>
      </c>
      <c r="H26" s="307" t="s">
        <v>11</v>
      </c>
      <c r="J26" t="s">
        <v>36</v>
      </c>
    </row>
    <row r="27" spans="1:10" x14ac:dyDescent="0.2">
      <c r="A27" t="s">
        <v>12</v>
      </c>
      <c r="B27" t="s">
        <v>114</v>
      </c>
      <c r="C27" t="s">
        <v>711</v>
      </c>
      <c r="D27">
        <v>2</v>
      </c>
      <c r="E27" s="307">
        <v>3</v>
      </c>
      <c r="F27" s="307" t="s">
        <v>7</v>
      </c>
      <c r="G27" s="307" t="s">
        <v>115</v>
      </c>
      <c r="H27" s="307" t="s">
        <v>11</v>
      </c>
      <c r="J27" t="s">
        <v>35</v>
      </c>
    </row>
    <row r="28" spans="1:10" x14ac:dyDescent="0.2">
      <c r="A28" t="s">
        <v>12</v>
      </c>
      <c r="B28" t="s">
        <v>114</v>
      </c>
      <c r="C28" t="s">
        <v>712</v>
      </c>
      <c r="D28">
        <v>3</v>
      </c>
      <c r="E28" s="307">
        <v>3</v>
      </c>
      <c r="F28" s="307" t="s">
        <v>7</v>
      </c>
      <c r="G28" s="307" t="s">
        <v>115</v>
      </c>
      <c r="H28" s="307" t="s">
        <v>11</v>
      </c>
      <c r="J28" t="s">
        <v>37</v>
      </c>
    </row>
    <row r="29" spans="1:10" x14ac:dyDescent="0.2">
      <c r="A29" t="s">
        <v>12</v>
      </c>
      <c r="B29" t="s">
        <v>114</v>
      </c>
      <c r="C29" t="s">
        <v>713</v>
      </c>
      <c r="D29">
        <v>2</v>
      </c>
      <c r="E29" s="307">
        <v>3</v>
      </c>
      <c r="F29" s="307" t="s">
        <v>7</v>
      </c>
      <c r="G29" s="307" t="s">
        <v>11</v>
      </c>
      <c r="H29" s="307" t="s">
        <v>11</v>
      </c>
      <c r="J29" t="s">
        <v>41</v>
      </c>
    </row>
    <row r="30" spans="1:10" x14ac:dyDescent="0.2">
      <c r="A30" t="s">
        <v>12</v>
      </c>
      <c r="B30" t="s">
        <v>114</v>
      </c>
      <c r="C30" t="s">
        <v>714</v>
      </c>
      <c r="D30">
        <v>2</v>
      </c>
      <c r="E30" s="307">
        <v>3</v>
      </c>
      <c r="F30" s="307" t="s">
        <v>7</v>
      </c>
      <c r="G30" s="307" t="s">
        <v>11</v>
      </c>
      <c r="H30" s="307" t="s">
        <v>11</v>
      </c>
      <c r="J30" t="s">
        <v>45</v>
      </c>
    </row>
    <row r="31" spans="1:10" x14ac:dyDescent="0.2">
      <c r="A31" t="s">
        <v>12</v>
      </c>
      <c r="B31" t="s">
        <v>114</v>
      </c>
      <c r="C31" t="s">
        <v>715</v>
      </c>
      <c r="D31">
        <v>1</v>
      </c>
      <c r="E31" s="307">
        <v>3</v>
      </c>
      <c r="F31" s="307" t="s">
        <v>7</v>
      </c>
      <c r="G31" s="307" t="s">
        <v>11</v>
      </c>
      <c r="H31" s="307" t="s">
        <v>11</v>
      </c>
      <c r="J31" t="s">
        <v>42</v>
      </c>
    </row>
    <row r="32" spans="1:10" x14ac:dyDescent="0.2">
      <c r="A32" t="s">
        <v>12</v>
      </c>
      <c r="B32" t="s">
        <v>114</v>
      </c>
      <c r="C32" t="s">
        <v>716</v>
      </c>
      <c r="D32">
        <v>3</v>
      </c>
      <c r="E32" s="307">
        <v>3</v>
      </c>
      <c r="F32" s="307" t="s">
        <v>7</v>
      </c>
      <c r="G32" s="307" t="s">
        <v>115</v>
      </c>
      <c r="H32" s="307" t="s">
        <v>11</v>
      </c>
      <c r="J32" t="s">
        <v>43</v>
      </c>
    </row>
    <row r="33" spans="1:10" x14ac:dyDescent="0.2">
      <c r="A33" t="s">
        <v>12</v>
      </c>
      <c r="B33" t="s">
        <v>114</v>
      </c>
      <c r="C33" t="s">
        <v>717</v>
      </c>
      <c r="D33">
        <v>2</v>
      </c>
      <c r="E33" s="307">
        <v>3</v>
      </c>
      <c r="F33" s="307" t="s">
        <v>7</v>
      </c>
      <c r="G33" s="307" t="s">
        <v>11</v>
      </c>
      <c r="H33" s="307" t="s">
        <v>11</v>
      </c>
      <c r="J33" t="s">
        <v>44</v>
      </c>
    </row>
    <row r="34" spans="1:10" x14ac:dyDescent="0.2">
      <c r="A34" t="s">
        <v>12</v>
      </c>
      <c r="B34" t="s">
        <v>114</v>
      </c>
      <c r="C34" t="s">
        <v>718</v>
      </c>
      <c r="D34">
        <v>2</v>
      </c>
      <c r="E34" s="307">
        <v>3</v>
      </c>
      <c r="F34" s="307" t="s">
        <v>7</v>
      </c>
      <c r="G34" s="307" t="s">
        <v>11</v>
      </c>
      <c r="H34" s="307" t="s">
        <v>11</v>
      </c>
      <c r="J34" t="s">
        <v>46</v>
      </c>
    </row>
    <row r="35" spans="1:10" x14ac:dyDescent="0.2">
      <c r="A35" t="s">
        <v>12</v>
      </c>
      <c r="B35" t="s">
        <v>114</v>
      </c>
      <c r="C35" t="s">
        <v>719</v>
      </c>
      <c r="D35">
        <v>3</v>
      </c>
      <c r="E35" s="307">
        <v>3</v>
      </c>
      <c r="F35" s="307" t="s">
        <v>7</v>
      </c>
      <c r="G35" s="307" t="s">
        <v>115</v>
      </c>
      <c r="H35" s="307" t="s">
        <v>11</v>
      </c>
      <c r="J35" t="s">
        <v>38</v>
      </c>
    </row>
    <row r="36" spans="1:10" x14ac:dyDescent="0.2">
      <c r="A36" t="s">
        <v>12</v>
      </c>
      <c r="B36" t="s">
        <v>114</v>
      </c>
      <c r="C36" t="s">
        <v>720</v>
      </c>
      <c r="D36">
        <v>3</v>
      </c>
      <c r="E36" s="307">
        <v>3</v>
      </c>
      <c r="F36" s="307" t="s">
        <v>7</v>
      </c>
      <c r="G36" s="307" t="s">
        <v>115</v>
      </c>
      <c r="H36" s="307" t="s">
        <v>11</v>
      </c>
      <c r="J36" t="s">
        <v>39</v>
      </c>
    </row>
    <row r="37" spans="1:10" x14ac:dyDescent="0.2">
      <c r="A37" t="s">
        <v>12</v>
      </c>
      <c r="B37" t="s">
        <v>114</v>
      </c>
      <c r="C37" t="s">
        <v>721</v>
      </c>
      <c r="D37">
        <v>1</v>
      </c>
      <c r="E37" s="307">
        <v>3</v>
      </c>
      <c r="F37" s="307" t="s">
        <v>7</v>
      </c>
      <c r="G37" s="307" t="s">
        <v>11</v>
      </c>
      <c r="H37" s="307" t="s">
        <v>11</v>
      </c>
      <c r="J37" t="s">
        <v>47</v>
      </c>
    </row>
    <row r="38" spans="1:10" x14ac:dyDescent="0.2">
      <c r="A38" t="s">
        <v>12</v>
      </c>
      <c r="B38" t="s">
        <v>114</v>
      </c>
      <c r="C38" t="s">
        <v>722</v>
      </c>
      <c r="D38">
        <v>2</v>
      </c>
      <c r="E38" s="307">
        <v>3</v>
      </c>
      <c r="F38" s="307" t="s">
        <v>7</v>
      </c>
      <c r="G38" s="307" t="s">
        <v>11</v>
      </c>
      <c r="H38" s="307" t="s">
        <v>11</v>
      </c>
      <c r="J38" t="s">
        <v>48</v>
      </c>
    </row>
    <row r="39" spans="1:10" x14ac:dyDescent="0.2">
      <c r="A39" t="s">
        <v>12</v>
      </c>
      <c r="B39" t="s">
        <v>114</v>
      </c>
      <c r="C39" t="s">
        <v>723</v>
      </c>
      <c r="D39">
        <v>2</v>
      </c>
      <c r="E39" s="307">
        <v>3</v>
      </c>
      <c r="F39" s="307" t="s">
        <v>7</v>
      </c>
      <c r="G39" s="307" t="s">
        <v>11</v>
      </c>
      <c r="H39" s="307" t="s">
        <v>11</v>
      </c>
      <c r="J39" t="s">
        <v>49</v>
      </c>
    </row>
    <row r="40" spans="1:10" x14ac:dyDescent="0.2">
      <c r="A40" t="s">
        <v>12</v>
      </c>
      <c r="B40" t="s">
        <v>114</v>
      </c>
      <c r="C40" t="s">
        <v>724</v>
      </c>
      <c r="D40">
        <v>1</v>
      </c>
      <c r="E40" s="307">
        <v>3</v>
      </c>
      <c r="F40" s="307" t="s">
        <v>7</v>
      </c>
      <c r="G40" s="307" t="s">
        <v>11</v>
      </c>
      <c r="H40" s="307" t="s">
        <v>11</v>
      </c>
      <c r="J40" t="s">
        <v>50</v>
      </c>
    </row>
    <row r="41" spans="1:10" x14ac:dyDescent="0.2">
      <c r="A41" t="s">
        <v>12</v>
      </c>
      <c r="B41" t="s">
        <v>114</v>
      </c>
      <c r="C41" t="s">
        <v>725</v>
      </c>
      <c r="D41">
        <v>1</v>
      </c>
      <c r="E41" s="307">
        <v>3</v>
      </c>
      <c r="F41" s="307" t="s">
        <v>7</v>
      </c>
      <c r="G41" s="307" t="s">
        <v>11</v>
      </c>
      <c r="H41" s="307" t="s">
        <v>11</v>
      </c>
      <c r="J41" t="s">
        <v>51</v>
      </c>
    </row>
    <row r="42" spans="1:10" x14ac:dyDescent="0.2">
      <c r="A42" t="s">
        <v>12</v>
      </c>
      <c r="B42" t="s">
        <v>114</v>
      </c>
      <c r="C42" t="s">
        <v>726</v>
      </c>
      <c r="D42">
        <v>2</v>
      </c>
      <c r="E42" s="307">
        <v>3</v>
      </c>
      <c r="F42" s="307" t="s">
        <v>7</v>
      </c>
      <c r="G42" s="307" t="s">
        <v>11</v>
      </c>
      <c r="H42" s="307" t="s">
        <v>11</v>
      </c>
      <c r="J42" t="s">
        <v>52</v>
      </c>
    </row>
    <row r="43" spans="1:10" x14ac:dyDescent="0.2">
      <c r="A43" t="s">
        <v>12</v>
      </c>
      <c r="B43" t="s">
        <v>114</v>
      </c>
      <c r="C43" t="s">
        <v>727</v>
      </c>
      <c r="D43">
        <v>1</v>
      </c>
      <c r="E43" s="307">
        <v>3</v>
      </c>
      <c r="F43" s="307" t="s">
        <v>7</v>
      </c>
      <c r="G43" s="307" t="s">
        <v>11</v>
      </c>
      <c r="H43" s="307" t="s">
        <v>11</v>
      </c>
      <c r="J43" t="s">
        <v>53</v>
      </c>
    </row>
    <row r="44" spans="1:10" x14ac:dyDescent="0.2">
      <c r="A44" t="s">
        <v>12</v>
      </c>
      <c r="B44" t="s">
        <v>114</v>
      </c>
      <c r="C44" t="s">
        <v>728</v>
      </c>
      <c r="D44">
        <v>2</v>
      </c>
      <c r="E44" s="307">
        <v>3</v>
      </c>
      <c r="F44" s="307" t="s">
        <v>7</v>
      </c>
      <c r="G44" s="307" t="s">
        <v>115</v>
      </c>
      <c r="H44" s="307" t="s">
        <v>11</v>
      </c>
      <c r="J44" t="s">
        <v>55</v>
      </c>
    </row>
    <row r="45" spans="1:10" x14ac:dyDescent="0.2">
      <c r="A45" t="s">
        <v>12</v>
      </c>
      <c r="B45" t="s">
        <v>114</v>
      </c>
      <c r="C45" t="s">
        <v>729</v>
      </c>
      <c r="D45">
        <v>2</v>
      </c>
      <c r="E45" s="307">
        <v>3</v>
      </c>
      <c r="F45" s="307" t="s">
        <v>7</v>
      </c>
      <c r="G45" s="307" t="s">
        <v>115</v>
      </c>
      <c r="H45" s="307" t="s">
        <v>11</v>
      </c>
      <c r="J45" t="s">
        <v>57</v>
      </c>
    </row>
    <row r="46" spans="1:10" x14ac:dyDescent="0.2">
      <c r="A46" t="s">
        <v>12</v>
      </c>
      <c r="B46" t="s">
        <v>114</v>
      </c>
      <c r="C46" t="s">
        <v>730</v>
      </c>
      <c r="D46">
        <v>1</v>
      </c>
      <c r="E46" s="307">
        <v>3</v>
      </c>
      <c r="F46" s="307" t="s">
        <v>7</v>
      </c>
      <c r="G46" s="307" t="s">
        <v>11</v>
      </c>
      <c r="H46" s="307" t="s">
        <v>11</v>
      </c>
      <c r="J46" t="s">
        <v>58</v>
      </c>
    </row>
    <row r="47" spans="1:10" x14ac:dyDescent="0.2">
      <c r="A47" t="s">
        <v>12</v>
      </c>
      <c r="B47" t="s">
        <v>114</v>
      </c>
      <c r="C47" t="s">
        <v>731</v>
      </c>
      <c r="D47">
        <v>3</v>
      </c>
      <c r="E47" s="307">
        <v>3</v>
      </c>
      <c r="F47" s="307" t="s">
        <v>7</v>
      </c>
      <c r="G47" s="307" t="s">
        <v>115</v>
      </c>
      <c r="H47" s="307" t="s">
        <v>11</v>
      </c>
      <c r="J47" t="s">
        <v>60</v>
      </c>
    </row>
    <row r="48" spans="1:10" x14ac:dyDescent="0.2">
      <c r="A48" t="s">
        <v>12</v>
      </c>
      <c r="B48" t="s">
        <v>114</v>
      </c>
      <c r="C48" t="s">
        <v>732</v>
      </c>
      <c r="D48">
        <v>2</v>
      </c>
      <c r="E48" s="307">
        <v>3</v>
      </c>
      <c r="F48" s="307" t="s">
        <v>7</v>
      </c>
      <c r="G48" s="307" t="s">
        <v>11</v>
      </c>
      <c r="H48" s="307" t="s">
        <v>11</v>
      </c>
      <c r="J48" t="s">
        <v>59</v>
      </c>
    </row>
    <row r="49" spans="1:10" x14ac:dyDescent="0.2">
      <c r="A49" t="s">
        <v>12</v>
      </c>
      <c r="B49" t="s">
        <v>114</v>
      </c>
      <c r="C49" t="s">
        <v>733</v>
      </c>
      <c r="D49">
        <v>2</v>
      </c>
      <c r="E49" s="307">
        <v>3</v>
      </c>
      <c r="F49" s="307" t="s">
        <v>7</v>
      </c>
      <c r="G49" s="307" t="s">
        <v>11</v>
      </c>
      <c r="H49" s="307" t="s">
        <v>11</v>
      </c>
      <c r="J49" t="s">
        <v>61</v>
      </c>
    </row>
    <row r="50" spans="1:10" x14ac:dyDescent="0.2">
      <c r="A50" t="s">
        <v>12</v>
      </c>
      <c r="B50" t="s">
        <v>114</v>
      </c>
      <c r="C50" t="s">
        <v>734</v>
      </c>
      <c r="D50">
        <v>3</v>
      </c>
      <c r="E50" s="307">
        <v>2</v>
      </c>
      <c r="F50" s="307" t="s">
        <v>7</v>
      </c>
      <c r="G50" s="307" t="s">
        <v>115</v>
      </c>
      <c r="H50" s="307" t="s">
        <v>11</v>
      </c>
      <c r="J50" t="s">
        <v>63</v>
      </c>
    </row>
    <row r="51" spans="1:10" x14ac:dyDescent="0.2">
      <c r="A51" t="s">
        <v>12</v>
      </c>
      <c r="B51" t="s">
        <v>114</v>
      </c>
      <c r="C51" t="s">
        <v>735</v>
      </c>
      <c r="D51">
        <v>3</v>
      </c>
      <c r="E51" s="307">
        <v>3</v>
      </c>
      <c r="F51" s="307" t="s">
        <v>7</v>
      </c>
      <c r="G51" s="307" t="s">
        <v>115</v>
      </c>
      <c r="H51" s="307" t="s">
        <v>11</v>
      </c>
      <c r="J51" t="s">
        <v>62</v>
      </c>
    </row>
    <row r="52" spans="1:10" x14ac:dyDescent="0.2">
      <c r="A52" t="s">
        <v>12</v>
      </c>
      <c r="B52" t="s">
        <v>114</v>
      </c>
      <c r="C52" t="s">
        <v>736</v>
      </c>
      <c r="D52">
        <v>2</v>
      </c>
      <c r="E52" s="307">
        <v>3</v>
      </c>
      <c r="F52" s="307" t="s">
        <v>7</v>
      </c>
      <c r="G52" s="307" t="s">
        <v>115</v>
      </c>
      <c r="H52" s="307" t="s">
        <v>11</v>
      </c>
      <c r="J52" t="s">
        <v>64</v>
      </c>
    </row>
    <row r="53" spans="1:10" x14ac:dyDescent="0.2">
      <c r="A53" t="s">
        <v>12</v>
      </c>
      <c r="B53" t="s">
        <v>114</v>
      </c>
      <c r="C53" t="s">
        <v>737</v>
      </c>
      <c r="D53">
        <v>1</v>
      </c>
      <c r="E53" s="307">
        <v>3</v>
      </c>
      <c r="F53" s="307" t="s">
        <v>7</v>
      </c>
      <c r="G53" s="307" t="s">
        <v>11</v>
      </c>
      <c r="H53" s="307" t="s">
        <v>11</v>
      </c>
      <c r="J53" t="s">
        <v>65</v>
      </c>
    </row>
    <row r="54" spans="1:10" x14ac:dyDescent="0.2">
      <c r="A54" t="s">
        <v>12</v>
      </c>
      <c r="B54" t="s">
        <v>114</v>
      </c>
      <c r="C54" t="s">
        <v>738</v>
      </c>
      <c r="D54">
        <v>2</v>
      </c>
      <c r="E54" s="307">
        <v>3</v>
      </c>
      <c r="F54" s="307" t="s">
        <v>7</v>
      </c>
      <c r="G54" s="307" t="s">
        <v>115</v>
      </c>
      <c r="H54" s="307" t="s">
        <v>11</v>
      </c>
      <c r="J54" t="s">
        <v>66</v>
      </c>
    </row>
    <row r="55" spans="1:10" x14ac:dyDescent="0.2">
      <c r="A55" t="s">
        <v>12</v>
      </c>
      <c r="B55" t="s">
        <v>114</v>
      </c>
      <c r="C55" t="s">
        <v>739</v>
      </c>
      <c r="D55">
        <v>2</v>
      </c>
      <c r="E55" s="307">
        <v>3</v>
      </c>
      <c r="F55" s="307" t="s">
        <v>7</v>
      </c>
      <c r="G55" s="307" t="s">
        <v>11</v>
      </c>
      <c r="H55" s="307" t="s">
        <v>11</v>
      </c>
      <c r="J55" t="s">
        <v>68</v>
      </c>
    </row>
    <row r="56" spans="1:10" x14ac:dyDescent="0.2">
      <c r="A56" t="s">
        <v>12</v>
      </c>
      <c r="B56" t="s">
        <v>114</v>
      </c>
      <c r="C56" t="s">
        <v>740</v>
      </c>
      <c r="D56">
        <v>3</v>
      </c>
      <c r="E56" s="307">
        <v>3</v>
      </c>
      <c r="F56" s="307" t="s">
        <v>7</v>
      </c>
      <c r="G56" s="307" t="s">
        <v>115</v>
      </c>
      <c r="H56" s="307" t="s">
        <v>11</v>
      </c>
      <c r="J56" t="s">
        <v>69</v>
      </c>
    </row>
    <row r="57" spans="1:10" x14ac:dyDescent="0.2">
      <c r="A57" t="s">
        <v>12</v>
      </c>
      <c r="B57" t="s">
        <v>114</v>
      </c>
      <c r="C57" t="s">
        <v>741</v>
      </c>
      <c r="D57">
        <v>2</v>
      </c>
      <c r="E57" s="307">
        <v>3</v>
      </c>
      <c r="F57" s="307" t="s">
        <v>7</v>
      </c>
      <c r="G57" s="307" t="s">
        <v>11</v>
      </c>
      <c r="H57" s="307" t="s">
        <v>11</v>
      </c>
      <c r="J57" t="s">
        <v>70</v>
      </c>
    </row>
    <row r="58" spans="1:10" x14ac:dyDescent="0.2">
      <c r="A58" t="s">
        <v>12</v>
      </c>
      <c r="B58" t="s">
        <v>114</v>
      </c>
      <c r="C58" t="s">
        <v>742</v>
      </c>
      <c r="D58">
        <v>2</v>
      </c>
      <c r="E58" s="307">
        <v>3</v>
      </c>
      <c r="F58" s="307" t="s">
        <v>7</v>
      </c>
      <c r="G58" s="307" t="s">
        <v>115</v>
      </c>
      <c r="H58" s="307" t="s">
        <v>11</v>
      </c>
    </row>
    <row r="59" spans="1:10" x14ac:dyDescent="0.2">
      <c r="A59" t="s">
        <v>12</v>
      </c>
      <c r="B59" t="s">
        <v>114</v>
      </c>
      <c r="C59" t="s">
        <v>743</v>
      </c>
      <c r="D59">
        <v>2</v>
      </c>
      <c r="E59" s="307">
        <v>3</v>
      </c>
      <c r="F59" s="307" t="s">
        <v>7</v>
      </c>
      <c r="G59" s="307" t="s">
        <v>11</v>
      </c>
      <c r="H59" s="307" t="s">
        <v>11</v>
      </c>
    </row>
    <row r="60" spans="1:10" x14ac:dyDescent="0.2">
      <c r="A60" t="s">
        <v>12</v>
      </c>
      <c r="B60" t="s">
        <v>114</v>
      </c>
      <c r="C60" t="s">
        <v>744</v>
      </c>
      <c r="D60">
        <v>2</v>
      </c>
      <c r="E60" s="307">
        <v>3</v>
      </c>
      <c r="F60" s="307" t="s">
        <v>7</v>
      </c>
      <c r="G60" s="307" t="s">
        <v>11</v>
      </c>
      <c r="H60" s="307" t="s">
        <v>11</v>
      </c>
    </row>
    <row r="61" spans="1:10" x14ac:dyDescent="0.2">
      <c r="A61" t="s">
        <v>12</v>
      </c>
      <c r="B61" t="s">
        <v>114</v>
      </c>
      <c r="C61" t="s">
        <v>745</v>
      </c>
      <c r="D61">
        <v>2</v>
      </c>
      <c r="E61" s="307">
        <v>3</v>
      </c>
      <c r="F61" s="307" t="s">
        <v>7</v>
      </c>
      <c r="G61" s="307" t="s">
        <v>11</v>
      </c>
      <c r="H61" s="307" t="s">
        <v>11</v>
      </c>
    </row>
    <row r="62" spans="1:10" x14ac:dyDescent="0.2">
      <c r="A62" t="s">
        <v>12</v>
      </c>
      <c r="B62" t="s">
        <v>114</v>
      </c>
      <c r="C62" t="s">
        <v>746</v>
      </c>
      <c r="D62">
        <v>1</v>
      </c>
      <c r="E62" s="307">
        <v>3</v>
      </c>
      <c r="F62" s="307" t="s">
        <v>7</v>
      </c>
      <c r="G62" s="307" t="s">
        <v>11</v>
      </c>
      <c r="H62" s="307" t="s">
        <v>11</v>
      </c>
    </row>
    <row r="63" spans="1:10" x14ac:dyDescent="0.2">
      <c r="A63" t="s">
        <v>12</v>
      </c>
      <c r="B63" t="s">
        <v>114</v>
      </c>
      <c r="C63" t="s">
        <v>747</v>
      </c>
      <c r="D63">
        <v>3</v>
      </c>
      <c r="E63" s="307">
        <v>3</v>
      </c>
      <c r="F63" s="307" t="s">
        <v>7</v>
      </c>
      <c r="G63" s="307" t="s">
        <v>11</v>
      </c>
      <c r="H63" s="307" t="s">
        <v>11</v>
      </c>
    </row>
    <row r="64" spans="1:10" x14ac:dyDescent="0.2">
      <c r="A64" t="s">
        <v>12</v>
      </c>
      <c r="B64" t="s">
        <v>114</v>
      </c>
      <c r="C64" t="s">
        <v>748</v>
      </c>
      <c r="D64">
        <v>2</v>
      </c>
      <c r="E64" s="307">
        <v>3</v>
      </c>
      <c r="F64" s="307" t="s">
        <v>7</v>
      </c>
      <c r="G64" s="307" t="s">
        <v>11</v>
      </c>
      <c r="H64" s="307" t="s">
        <v>11</v>
      </c>
    </row>
    <row r="65" spans="1:8" x14ac:dyDescent="0.2">
      <c r="A65" t="s">
        <v>12</v>
      </c>
      <c r="B65" t="s">
        <v>114</v>
      </c>
      <c r="C65" t="s">
        <v>749</v>
      </c>
      <c r="D65">
        <v>2</v>
      </c>
      <c r="E65" s="307">
        <v>3</v>
      </c>
      <c r="F65" s="307" t="s">
        <v>7</v>
      </c>
      <c r="G65" s="307" t="s">
        <v>11</v>
      </c>
      <c r="H65" s="307" t="s">
        <v>11</v>
      </c>
    </row>
    <row r="66" spans="1:8" x14ac:dyDescent="0.2">
      <c r="A66" t="s">
        <v>12</v>
      </c>
      <c r="B66" t="s">
        <v>114</v>
      </c>
      <c r="C66" t="s">
        <v>750</v>
      </c>
      <c r="D66">
        <v>3</v>
      </c>
      <c r="E66" s="307">
        <v>3</v>
      </c>
      <c r="F66" s="307" t="s">
        <v>7</v>
      </c>
      <c r="G66" s="307" t="s">
        <v>115</v>
      </c>
      <c r="H66" s="307" t="s">
        <v>11</v>
      </c>
    </row>
    <row r="67" spans="1:8" x14ac:dyDescent="0.2">
      <c r="A67" t="s">
        <v>12</v>
      </c>
      <c r="B67" t="s">
        <v>114</v>
      </c>
      <c r="C67" t="s">
        <v>751</v>
      </c>
      <c r="D67">
        <v>3</v>
      </c>
      <c r="E67" s="307">
        <v>3</v>
      </c>
      <c r="F67" s="307" t="s">
        <v>7</v>
      </c>
      <c r="G67" s="307" t="s">
        <v>115</v>
      </c>
      <c r="H67" s="307" t="s">
        <v>11</v>
      </c>
    </row>
    <row r="68" spans="1:8" x14ac:dyDescent="0.2">
      <c r="A68" t="s">
        <v>12</v>
      </c>
      <c r="B68" t="s">
        <v>114</v>
      </c>
      <c r="C68" t="s">
        <v>752</v>
      </c>
      <c r="D68">
        <v>2</v>
      </c>
      <c r="E68" s="307">
        <v>3</v>
      </c>
      <c r="F68" s="307" t="s">
        <v>7</v>
      </c>
      <c r="G68" s="307" t="s">
        <v>11</v>
      </c>
      <c r="H68" s="307" t="s">
        <v>11</v>
      </c>
    </row>
    <row r="69" spans="1:8" x14ac:dyDescent="0.2">
      <c r="A69" t="s">
        <v>9</v>
      </c>
      <c r="B69" t="s">
        <v>10</v>
      </c>
      <c r="C69" t="s">
        <v>753</v>
      </c>
      <c r="D69">
        <v>3</v>
      </c>
      <c r="E69" s="307">
        <v>7</v>
      </c>
      <c r="F69" s="307" t="s">
        <v>11</v>
      </c>
      <c r="G69" s="307" t="s">
        <v>11</v>
      </c>
      <c r="H69" s="307" t="s">
        <v>11</v>
      </c>
    </row>
    <row r="70" spans="1:8" x14ac:dyDescent="0.2">
      <c r="A70" t="s">
        <v>9</v>
      </c>
      <c r="B70" t="s">
        <v>10</v>
      </c>
      <c r="C70" t="s">
        <v>754</v>
      </c>
      <c r="D70">
        <v>3</v>
      </c>
      <c r="E70" s="307">
        <v>7</v>
      </c>
      <c r="F70" s="307" t="s">
        <v>11</v>
      </c>
      <c r="G70" s="307" t="s">
        <v>11</v>
      </c>
      <c r="H70" s="307" t="s">
        <v>11</v>
      </c>
    </row>
    <row r="71" spans="1:8" x14ac:dyDescent="0.2">
      <c r="A71" t="s">
        <v>9</v>
      </c>
      <c r="B71" t="s">
        <v>10</v>
      </c>
      <c r="C71" t="s">
        <v>755</v>
      </c>
      <c r="D71">
        <v>2</v>
      </c>
      <c r="E71" s="307">
        <v>7</v>
      </c>
      <c r="F71" s="307" t="s">
        <v>11</v>
      </c>
      <c r="G71" s="307" t="s">
        <v>11</v>
      </c>
      <c r="H71" s="307" t="s">
        <v>11</v>
      </c>
    </row>
    <row r="72" spans="1:8" x14ac:dyDescent="0.2">
      <c r="A72" t="s">
        <v>9</v>
      </c>
      <c r="B72" t="s">
        <v>10</v>
      </c>
      <c r="C72" t="s">
        <v>756</v>
      </c>
      <c r="D72">
        <v>3</v>
      </c>
      <c r="E72" s="307">
        <v>8</v>
      </c>
      <c r="F72" s="307" t="s">
        <v>11</v>
      </c>
      <c r="G72" s="307" t="s">
        <v>11</v>
      </c>
      <c r="H72" s="307" t="s">
        <v>11</v>
      </c>
    </row>
    <row r="73" spans="1:8" x14ac:dyDescent="0.2">
      <c r="A73" t="s">
        <v>9</v>
      </c>
      <c r="B73" t="s">
        <v>10</v>
      </c>
      <c r="C73" t="s">
        <v>757</v>
      </c>
      <c r="D73">
        <v>3</v>
      </c>
      <c r="E73" s="307">
        <v>7</v>
      </c>
      <c r="F73" s="307" t="s">
        <v>11</v>
      </c>
      <c r="G73" s="307" t="s">
        <v>11</v>
      </c>
      <c r="H73" s="307" t="s">
        <v>11</v>
      </c>
    </row>
    <row r="74" spans="1:8" x14ac:dyDescent="0.2">
      <c r="A74" t="s">
        <v>9</v>
      </c>
      <c r="B74" t="s">
        <v>10</v>
      </c>
      <c r="C74" t="s">
        <v>758</v>
      </c>
      <c r="D74">
        <v>3</v>
      </c>
      <c r="E74" s="307">
        <v>7</v>
      </c>
      <c r="F74" s="307" t="s">
        <v>11</v>
      </c>
      <c r="G74" s="307" t="s">
        <v>11</v>
      </c>
      <c r="H74" s="307" t="s">
        <v>11</v>
      </c>
    </row>
    <row r="75" spans="1:8" x14ac:dyDescent="0.2">
      <c r="A75" t="s">
        <v>9</v>
      </c>
      <c r="B75" t="s">
        <v>10</v>
      </c>
      <c r="C75" t="s">
        <v>759</v>
      </c>
      <c r="D75">
        <v>3</v>
      </c>
      <c r="E75" s="307">
        <v>8</v>
      </c>
      <c r="F75" s="307" t="s">
        <v>11</v>
      </c>
      <c r="G75" s="307" t="s">
        <v>11</v>
      </c>
      <c r="H75" s="307" t="s">
        <v>11</v>
      </c>
    </row>
    <row r="76" spans="1:8" x14ac:dyDescent="0.2">
      <c r="A76" t="s">
        <v>9</v>
      </c>
      <c r="B76" t="s">
        <v>10</v>
      </c>
      <c r="C76" t="s">
        <v>760</v>
      </c>
      <c r="D76">
        <v>2</v>
      </c>
      <c r="E76" s="307">
        <v>8</v>
      </c>
      <c r="F76" s="307" t="s">
        <v>11</v>
      </c>
      <c r="G76" s="307" t="s">
        <v>11</v>
      </c>
      <c r="H76" s="307" t="s">
        <v>11</v>
      </c>
    </row>
    <row r="77" spans="1:8" x14ac:dyDescent="0.2">
      <c r="A77" t="s">
        <v>9</v>
      </c>
      <c r="B77" t="s">
        <v>10</v>
      </c>
      <c r="C77" t="s">
        <v>761</v>
      </c>
      <c r="D77">
        <v>3</v>
      </c>
      <c r="E77" s="307">
        <v>7</v>
      </c>
      <c r="F77" s="307" t="s">
        <v>11</v>
      </c>
      <c r="G77" s="307" t="s">
        <v>11</v>
      </c>
      <c r="H77" s="307" t="s">
        <v>11</v>
      </c>
    </row>
    <row r="78" spans="1:8" x14ac:dyDescent="0.2">
      <c r="A78" t="s">
        <v>9</v>
      </c>
      <c r="B78" t="s">
        <v>10</v>
      </c>
      <c r="C78" t="s">
        <v>762</v>
      </c>
      <c r="D78">
        <v>3</v>
      </c>
      <c r="E78" s="307">
        <v>7</v>
      </c>
      <c r="F78" s="307" t="s">
        <v>11</v>
      </c>
      <c r="G78" s="307" t="s">
        <v>11</v>
      </c>
      <c r="H78" s="307" t="s">
        <v>11</v>
      </c>
    </row>
    <row r="79" spans="1:8" x14ac:dyDescent="0.2">
      <c r="A79" t="s">
        <v>9</v>
      </c>
      <c r="B79" t="s">
        <v>10</v>
      </c>
      <c r="C79" t="s">
        <v>763</v>
      </c>
      <c r="D79">
        <v>3</v>
      </c>
      <c r="E79" s="307">
        <v>7</v>
      </c>
      <c r="F79" s="307" t="s">
        <v>11</v>
      </c>
      <c r="G79" s="307" t="s">
        <v>11</v>
      </c>
      <c r="H79" s="307" t="s">
        <v>11</v>
      </c>
    </row>
    <row r="80" spans="1:8" x14ac:dyDescent="0.2">
      <c r="A80" t="s">
        <v>9</v>
      </c>
      <c r="B80" t="s">
        <v>10</v>
      </c>
      <c r="C80" t="s">
        <v>764</v>
      </c>
      <c r="D80">
        <v>2</v>
      </c>
      <c r="E80" s="307">
        <v>7</v>
      </c>
      <c r="F80" s="307" t="s">
        <v>11</v>
      </c>
      <c r="G80" s="307" t="s">
        <v>11</v>
      </c>
      <c r="H80" s="307" t="s">
        <v>11</v>
      </c>
    </row>
    <row r="81" spans="1:8" x14ac:dyDescent="0.2">
      <c r="A81" t="s">
        <v>9</v>
      </c>
      <c r="B81" t="s">
        <v>10</v>
      </c>
      <c r="C81" t="s">
        <v>765</v>
      </c>
      <c r="D81">
        <v>3</v>
      </c>
      <c r="E81" s="307">
        <v>7</v>
      </c>
      <c r="F81" s="307" t="s">
        <v>11</v>
      </c>
      <c r="G81" s="307" t="s">
        <v>11</v>
      </c>
      <c r="H81" s="307" t="s">
        <v>11</v>
      </c>
    </row>
    <row r="82" spans="1:8" x14ac:dyDescent="0.2">
      <c r="A82" t="s">
        <v>9</v>
      </c>
      <c r="B82" t="s">
        <v>10</v>
      </c>
      <c r="C82" t="s">
        <v>766</v>
      </c>
      <c r="D82">
        <v>3</v>
      </c>
      <c r="E82" s="307">
        <v>7</v>
      </c>
      <c r="F82" s="307" t="s">
        <v>11</v>
      </c>
      <c r="G82" s="307" t="s">
        <v>11</v>
      </c>
      <c r="H82" s="307" t="s">
        <v>11</v>
      </c>
    </row>
    <row r="83" spans="1:8" x14ac:dyDescent="0.2">
      <c r="A83" t="s">
        <v>9</v>
      </c>
      <c r="B83" t="s">
        <v>10</v>
      </c>
      <c r="C83" t="s">
        <v>767</v>
      </c>
      <c r="D83">
        <v>3</v>
      </c>
      <c r="E83" s="307">
        <v>7</v>
      </c>
      <c r="F83" s="307" t="s">
        <v>11</v>
      </c>
      <c r="G83" s="307" t="s">
        <v>11</v>
      </c>
      <c r="H83" s="307" t="s">
        <v>11</v>
      </c>
    </row>
    <row r="84" spans="1:8" x14ac:dyDescent="0.2">
      <c r="A84" t="s">
        <v>9</v>
      </c>
      <c r="B84" t="s">
        <v>10</v>
      </c>
      <c r="C84" t="s">
        <v>768</v>
      </c>
      <c r="D84">
        <v>2</v>
      </c>
      <c r="E84" s="307">
        <v>7</v>
      </c>
      <c r="F84" s="307" t="s">
        <v>11</v>
      </c>
      <c r="G84" s="307" t="s">
        <v>11</v>
      </c>
      <c r="H84" s="307" t="s">
        <v>11</v>
      </c>
    </row>
    <row r="85" spans="1:8" x14ac:dyDescent="0.2">
      <c r="A85" t="s">
        <v>9</v>
      </c>
      <c r="B85" t="s">
        <v>10</v>
      </c>
      <c r="C85" t="s">
        <v>769</v>
      </c>
      <c r="D85">
        <v>3</v>
      </c>
      <c r="E85" s="307">
        <v>8</v>
      </c>
      <c r="F85" s="307" t="s">
        <v>11</v>
      </c>
      <c r="G85" s="307" t="s">
        <v>11</v>
      </c>
      <c r="H85" s="307" t="s">
        <v>11</v>
      </c>
    </row>
    <row r="86" spans="1:8" x14ac:dyDescent="0.2">
      <c r="A86" t="s">
        <v>9</v>
      </c>
      <c r="B86" t="s">
        <v>10</v>
      </c>
      <c r="C86" t="s">
        <v>770</v>
      </c>
      <c r="D86">
        <v>3</v>
      </c>
      <c r="E86" s="307">
        <v>8</v>
      </c>
      <c r="F86" s="307" t="s">
        <v>11</v>
      </c>
      <c r="G86" s="307" t="s">
        <v>11</v>
      </c>
      <c r="H86" s="307" t="s">
        <v>11</v>
      </c>
    </row>
    <row r="87" spans="1:8" x14ac:dyDescent="0.2">
      <c r="A87" t="s">
        <v>9</v>
      </c>
      <c r="B87" t="s">
        <v>10</v>
      </c>
      <c r="C87" t="s">
        <v>771</v>
      </c>
      <c r="D87">
        <v>3</v>
      </c>
      <c r="E87" s="307">
        <v>8</v>
      </c>
      <c r="F87" s="307" t="s">
        <v>11</v>
      </c>
      <c r="G87" s="307" t="s">
        <v>11</v>
      </c>
      <c r="H87" s="307" t="s">
        <v>11</v>
      </c>
    </row>
    <row r="88" spans="1:8" x14ac:dyDescent="0.2">
      <c r="A88" t="s">
        <v>9</v>
      </c>
      <c r="B88" t="s">
        <v>10</v>
      </c>
      <c r="C88" t="s">
        <v>772</v>
      </c>
      <c r="D88">
        <v>3</v>
      </c>
      <c r="E88" s="307">
        <v>7</v>
      </c>
      <c r="F88" s="307" t="s">
        <v>11</v>
      </c>
      <c r="G88" s="307" t="s">
        <v>11</v>
      </c>
      <c r="H88" s="307" t="s">
        <v>11</v>
      </c>
    </row>
    <row r="89" spans="1:8" x14ac:dyDescent="0.2">
      <c r="A89" t="s">
        <v>9</v>
      </c>
      <c r="B89" t="s">
        <v>10</v>
      </c>
      <c r="C89" t="s">
        <v>773</v>
      </c>
      <c r="D89">
        <v>3</v>
      </c>
      <c r="E89" s="307">
        <v>7</v>
      </c>
      <c r="F89" s="307" t="s">
        <v>11</v>
      </c>
      <c r="G89" s="307" t="s">
        <v>11</v>
      </c>
      <c r="H89" s="307" t="s">
        <v>11</v>
      </c>
    </row>
    <row r="90" spans="1:8" x14ac:dyDescent="0.2">
      <c r="A90" t="s">
        <v>9</v>
      </c>
      <c r="B90" t="s">
        <v>10</v>
      </c>
      <c r="C90" t="s">
        <v>774</v>
      </c>
      <c r="D90">
        <v>3</v>
      </c>
      <c r="E90" s="307">
        <v>7</v>
      </c>
      <c r="F90" s="307" t="s">
        <v>11</v>
      </c>
      <c r="G90" s="307" t="s">
        <v>11</v>
      </c>
      <c r="H90" s="307" t="s">
        <v>11</v>
      </c>
    </row>
    <row r="91" spans="1:8" x14ac:dyDescent="0.2">
      <c r="A91" t="s">
        <v>9</v>
      </c>
      <c r="B91" t="s">
        <v>10</v>
      </c>
      <c r="C91" t="s">
        <v>775</v>
      </c>
      <c r="D91">
        <v>3</v>
      </c>
      <c r="E91" s="307">
        <v>7</v>
      </c>
      <c r="F91" s="307" t="s">
        <v>11</v>
      </c>
      <c r="G91" s="307" t="s">
        <v>11</v>
      </c>
      <c r="H91" s="307" t="s">
        <v>11</v>
      </c>
    </row>
    <row r="92" spans="1:8" x14ac:dyDescent="0.2">
      <c r="A92" t="s">
        <v>9</v>
      </c>
      <c r="B92" t="s">
        <v>10</v>
      </c>
      <c r="C92" t="s">
        <v>776</v>
      </c>
      <c r="D92">
        <v>2</v>
      </c>
      <c r="E92" s="307">
        <v>8</v>
      </c>
      <c r="F92" s="307" t="s">
        <v>11</v>
      </c>
      <c r="G92" s="307" t="s">
        <v>11</v>
      </c>
      <c r="H92" s="307" t="s">
        <v>11</v>
      </c>
    </row>
    <row r="93" spans="1:8" x14ac:dyDescent="0.2">
      <c r="A93" t="s">
        <v>9</v>
      </c>
      <c r="B93" t="s">
        <v>10</v>
      </c>
      <c r="C93" t="s">
        <v>777</v>
      </c>
      <c r="D93">
        <v>3</v>
      </c>
      <c r="E93" s="307">
        <v>7</v>
      </c>
      <c r="F93" s="307" t="s">
        <v>11</v>
      </c>
      <c r="G93" s="307" t="s">
        <v>11</v>
      </c>
      <c r="H93" s="307" t="s">
        <v>11</v>
      </c>
    </row>
    <row r="94" spans="1:8" x14ac:dyDescent="0.2">
      <c r="A94" t="s">
        <v>9</v>
      </c>
      <c r="B94" t="s">
        <v>10</v>
      </c>
      <c r="C94" t="s">
        <v>778</v>
      </c>
      <c r="D94">
        <v>3</v>
      </c>
      <c r="E94" s="307">
        <v>8</v>
      </c>
      <c r="F94" s="307" t="s">
        <v>11</v>
      </c>
      <c r="G94" s="307" t="s">
        <v>11</v>
      </c>
      <c r="H94" s="307" t="s">
        <v>11</v>
      </c>
    </row>
    <row r="95" spans="1:8" x14ac:dyDescent="0.2">
      <c r="A95" t="s">
        <v>9</v>
      </c>
      <c r="B95" t="s">
        <v>10</v>
      </c>
      <c r="C95" t="s">
        <v>779</v>
      </c>
      <c r="D95">
        <v>3</v>
      </c>
      <c r="E95" s="307">
        <v>7</v>
      </c>
      <c r="F95" s="307" t="s">
        <v>11</v>
      </c>
      <c r="G95" s="307" t="s">
        <v>11</v>
      </c>
      <c r="H95" s="307" t="s">
        <v>11</v>
      </c>
    </row>
    <row r="96" spans="1:8" x14ac:dyDescent="0.2">
      <c r="A96" t="s">
        <v>9</v>
      </c>
      <c r="B96" t="s">
        <v>10</v>
      </c>
      <c r="C96" t="s">
        <v>780</v>
      </c>
      <c r="D96">
        <v>3</v>
      </c>
      <c r="E96" s="307">
        <v>7</v>
      </c>
      <c r="F96" s="307" t="s">
        <v>11</v>
      </c>
      <c r="G96" s="307" t="s">
        <v>11</v>
      </c>
      <c r="H96" s="307" t="s">
        <v>11</v>
      </c>
    </row>
    <row r="97" spans="1:8" x14ac:dyDescent="0.2">
      <c r="A97" t="s">
        <v>9</v>
      </c>
      <c r="B97" t="s">
        <v>10</v>
      </c>
      <c r="C97" t="s">
        <v>781</v>
      </c>
      <c r="D97">
        <v>3</v>
      </c>
      <c r="E97" s="307">
        <v>8</v>
      </c>
      <c r="F97" s="307" t="s">
        <v>11</v>
      </c>
      <c r="G97" s="307" t="s">
        <v>11</v>
      </c>
      <c r="H97" s="307" t="s">
        <v>11</v>
      </c>
    </row>
    <row r="98" spans="1:8" x14ac:dyDescent="0.2">
      <c r="A98" t="s">
        <v>65</v>
      </c>
      <c r="C98" t="s">
        <v>782</v>
      </c>
      <c r="D98" t="s">
        <v>11</v>
      </c>
      <c r="E98" s="307">
        <v>1</v>
      </c>
      <c r="F98" s="307" t="s">
        <v>7</v>
      </c>
      <c r="G98" s="307" t="s">
        <v>115</v>
      </c>
      <c r="H98" s="307" t="s">
        <v>2885</v>
      </c>
    </row>
    <row r="99" spans="1:8" x14ac:dyDescent="0.2">
      <c r="A99" t="s">
        <v>14</v>
      </c>
      <c r="B99" t="s">
        <v>86</v>
      </c>
      <c r="C99" t="s">
        <v>783</v>
      </c>
      <c r="D99">
        <v>2</v>
      </c>
      <c r="E99" s="307">
        <v>5</v>
      </c>
      <c r="F99" s="307" t="s">
        <v>75</v>
      </c>
      <c r="G99" s="307" t="s">
        <v>11</v>
      </c>
      <c r="H99" s="307" t="s">
        <v>11</v>
      </c>
    </row>
    <row r="100" spans="1:8" x14ac:dyDescent="0.2">
      <c r="A100" t="s">
        <v>14</v>
      </c>
      <c r="B100" t="s">
        <v>86</v>
      </c>
      <c r="C100" t="s">
        <v>784</v>
      </c>
      <c r="D100">
        <v>2</v>
      </c>
      <c r="E100" s="307">
        <v>3</v>
      </c>
      <c r="F100" s="307" t="s">
        <v>75</v>
      </c>
      <c r="G100" s="307" t="s">
        <v>11</v>
      </c>
      <c r="H100" s="307" t="s">
        <v>11</v>
      </c>
    </row>
    <row r="101" spans="1:8" x14ac:dyDescent="0.2">
      <c r="A101" t="s">
        <v>14</v>
      </c>
      <c r="B101" t="s">
        <v>86</v>
      </c>
      <c r="C101" t="s">
        <v>785</v>
      </c>
      <c r="D101">
        <v>2</v>
      </c>
      <c r="E101" s="307">
        <v>5</v>
      </c>
      <c r="F101" s="307" t="s">
        <v>75</v>
      </c>
      <c r="G101" s="307" t="s">
        <v>11</v>
      </c>
      <c r="H101" s="307" t="s">
        <v>11</v>
      </c>
    </row>
    <row r="102" spans="1:8" x14ac:dyDescent="0.2">
      <c r="A102" t="s">
        <v>14</v>
      </c>
      <c r="B102" t="s">
        <v>86</v>
      </c>
      <c r="C102" t="s">
        <v>786</v>
      </c>
      <c r="D102">
        <v>2</v>
      </c>
      <c r="E102" s="307">
        <v>4</v>
      </c>
      <c r="F102" s="307" t="s">
        <v>75</v>
      </c>
      <c r="G102" s="307" t="s">
        <v>11</v>
      </c>
      <c r="H102" s="307" t="s">
        <v>11</v>
      </c>
    </row>
    <row r="103" spans="1:8" x14ac:dyDescent="0.2">
      <c r="A103" t="s">
        <v>14</v>
      </c>
      <c r="B103" t="s">
        <v>86</v>
      </c>
      <c r="C103" t="s">
        <v>787</v>
      </c>
      <c r="D103">
        <v>2</v>
      </c>
      <c r="E103" s="307">
        <v>3</v>
      </c>
      <c r="F103" s="307" t="s">
        <v>75</v>
      </c>
      <c r="G103" s="307" t="s">
        <v>11</v>
      </c>
      <c r="H103" s="307" t="s">
        <v>11</v>
      </c>
    </row>
    <row r="104" spans="1:8" x14ac:dyDescent="0.2">
      <c r="A104" t="s">
        <v>14</v>
      </c>
      <c r="B104" t="s">
        <v>86</v>
      </c>
      <c r="C104" t="s">
        <v>788</v>
      </c>
      <c r="D104">
        <v>2</v>
      </c>
      <c r="E104" s="307">
        <v>3</v>
      </c>
      <c r="F104" s="307" t="s">
        <v>75</v>
      </c>
      <c r="G104" s="307" t="s">
        <v>11</v>
      </c>
      <c r="H104" s="307" t="s">
        <v>11</v>
      </c>
    </row>
    <row r="105" spans="1:8" x14ac:dyDescent="0.2">
      <c r="A105" t="s">
        <v>14</v>
      </c>
      <c r="B105" t="s">
        <v>86</v>
      </c>
      <c r="C105" t="s">
        <v>789</v>
      </c>
      <c r="D105">
        <v>2</v>
      </c>
      <c r="E105" s="307">
        <v>2</v>
      </c>
      <c r="F105" s="307" t="s">
        <v>75</v>
      </c>
      <c r="G105" s="307" t="s">
        <v>11</v>
      </c>
      <c r="H105" s="307" t="s">
        <v>11</v>
      </c>
    </row>
    <row r="106" spans="1:8" x14ac:dyDescent="0.2">
      <c r="A106" t="s">
        <v>14</v>
      </c>
      <c r="B106" t="s">
        <v>86</v>
      </c>
      <c r="C106" t="s">
        <v>790</v>
      </c>
      <c r="D106">
        <v>2</v>
      </c>
      <c r="E106" s="307">
        <v>2</v>
      </c>
      <c r="F106" s="307" t="s">
        <v>75</v>
      </c>
      <c r="G106" s="307" t="s">
        <v>11</v>
      </c>
      <c r="H106" s="307" t="s">
        <v>11</v>
      </c>
    </row>
    <row r="107" spans="1:8" x14ac:dyDescent="0.2">
      <c r="A107" t="s">
        <v>14</v>
      </c>
      <c r="B107" t="s">
        <v>86</v>
      </c>
      <c r="C107" t="s">
        <v>791</v>
      </c>
      <c r="D107">
        <v>2</v>
      </c>
      <c r="E107" s="307">
        <v>3</v>
      </c>
      <c r="F107" s="307" t="s">
        <v>75</v>
      </c>
      <c r="G107" s="307" t="s">
        <v>11</v>
      </c>
      <c r="H107" s="307" t="s">
        <v>11</v>
      </c>
    </row>
    <row r="108" spans="1:8" x14ac:dyDescent="0.2">
      <c r="A108" t="s">
        <v>14</v>
      </c>
      <c r="B108" t="s">
        <v>86</v>
      </c>
      <c r="C108" t="s">
        <v>792</v>
      </c>
      <c r="D108">
        <v>2</v>
      </c>
      <c r="E108" s="307">
        <v>5</v>
      </c>
      <c r="F108" s="307" t="s">
        <v>75</v>
      </c>
      <c r="G108" s="307" t="s">
        <v>11</v>
      </c>
      <c r="H108" s="307" t="s">
        <v>11</v>
      </c>
    </row>
    <row r="109" spans="1:8" x14ac:dyDescent="0.2">
      <c r="A109" t="s">
        <v>14</v>
      </c>
      <c r="B109" t="s">
        <v>86</v>
      </c>
      <c r="C109" t="s">
        <v>793</v>
      </c>
      <c r="D109">
        <v>2</v>
      </c>
      <c r="E109" s="307">
        <v>2</v>
      </c>
      <c r="F109" s="307" t="s">
        <v>75</v>
      </c>
      <c r="G109" s="307" t="s">
        <v>11</v>
      </c>
      <c r="H109" s="307" t="s">
        <v>11</v>
      </c>
    </row>
    <row r="110" spans="1:8" x14ac:dyDescent="0.2">
      <c r="A110" t="s">
        <v>14</v>
      </c>
      <c r="B110" t="s">
        <v>86</v>
      </c>
      <c r="C110" t="s">
        <v>794</v>
      </c>
      <c r="D110">
        <v>2</v>
      </c>
      <c r="E110" s="307">
        <v>2</v>
      </c>
      <c r="F110" s="307" t="s">
        <v>75</v>
      </c>
      <c r="G110" s="307" t="s">
        <v>11</v>
      </c>
      <c r="H110" s="307" t="s">
        <v>11</v>
      </c>
    </row>
    <row r="111" spans="1:8" x14ac:dyDescent="0.2">
      <c r="A111" t="s">
        <v>14</v>
      </c>
      <c r="B111" t="s">
        <v>86</v>
      </c>
      <c r="C111" t="s">
        <v>795</v>
      </c>
      <c r="D111">
        <v>2</v>
      </c>
      <c r="E111" s="307">
        <v>3</v>
      </c>
      <c r="F111" s="307" t="s">
        <v>75</v>
      </c>
      <c r="G111" s="307" t="s">
        <v>11</v>
      </c>
      <c r="H111" s="307" t="s">
        <v>11</v>
      </c>
    </row>
    <row r="112" spans="1:8" x14ac:dyDescent="0.2">
      <c r="A112" t="s">
        <v>14</v>
      </c>
      <c r="B112" t="s">
        <v>86</v>
      </c>
      <c r="C112" t="s">
        <v>796</v>
      </c>
      <c r="D112">
        <v>2</v>
      </c>
      <c r="E112" s="307">
        <v>4</v>
      </c>
      <c r="F112" s="307" t="s">
        <v>75</v>
      </c>
      <c r="G112" s="307" t="s">
        <v>11</v>
      </c>
      <c r="H112" s="307" t="s">
        <v>11</v>
      </c>
    </row>
    <row r="113" spans="1:8" x14ac:dyDescent="0.2">
      <c r="A113" t="s">
        <v>14</v>
      </c>
      <c r="B113" t="s">
        <v>86</v>
      </c>
      <c r="C113" t="s">
        <v>797</v>
      </c>
      <c r="D113">
        <v>2</v>
      </c>
      <c r="E113" s="307">
        <v>2</v>
      </c>
      <c r="F113" s="307" t="s">
        <v>75</v>
      </c>
      <c r="G113" s="307" t="s">
        <v>11</v>
      </c>
      <c r="H113" s="307" t="s">
        <v>11</v>
      </c>
    </row>
    <row r="114" spans="1:8" x14ac:dyDescent="0.2">
      <c r="A114" t="s">
        <v>13</v>
      </c>
      <c r="B114" t="s">
        <v>104</v>
      </c>
      <c r="C114" t="s">
        <v>798</v>
      </c>
      <c r="D114">
        <v>3</v>
      </c>
      <c r="E114" s="307">
        <v>3</v>
      </c>
      <c r="F114" s="307" t="s">
        <v>7</v>
      </c>
      <c r="G114" s="307" t="s">
        <v>11</v>
      </c>
      <c r="H114" s="307" t="s">
        <v>11</v>
      </c>
    </row>
    <row r="115" spans="1:8" x14ac:dyDescent="0.2">
      <c r="A115" t="s">
        <v>13</v>
      </c>
      <c r="B115" t="s">
        <v>104</v>
      </c>
      <c r="C115" t="s">
        <v>799</v>
      </c>
      <c r="D115">
        <v>3</v>
      </c>
      <c r="E115" s="307">
        <v>3</v>
      </c>
      <c r="F115" s="307" t="s">
        <v>7</v>
      </c>
      <c r="G115" s="307" t="s">
        <v>11</v>
      </c>
      <c r="H115" s="307" t="s">
        <v>11</v>
      </c>
    </row>
    <row r="116" spans="1:8" x14ac:dyDescent="0.2">
      <c r="A116" t="s">
        <v>13</v>
      </c>
      <c r="B116" t="s">
        <v>104</v>
      </c>
      <c r="C116" t="s">
        <v>800</v>
      </c>
      <c r="D116">
        <v>2</v>
      </c>
      <c r="E116" s="307">
        <v>4</v>
      </c>
      <c r="F116" s="307" t="s">
        <v>7</v>
      </c>
      <c r="G116" s="307" t="s">
        <v>11</v>
      </c>
      <c r="H116" s="307" t="s">
        <v>11</v>
      </c>
    </row>
    <row r="117" spans="1:8" x14ac:dyDescent="0.2">
      <c r="A117" t="s">
        <v>13</v>
      </c>
      <c r="B117" t="s">
        <v>104</v>
      </c>
      <c r="C117" t="s">
        <v>801</v>
      </c>
      <c r="D117">
        <v>2</v>
      </c>
      <c r="E117" s="307">
        <v>4</v>
      </c>
      <c r="F117" s="307" t="s">
        <v>7</v>
      </c>
      <c r="G117" s="307" t="s">
        <v>11</v>
      </c>
      <c r="H117" s="307" t="s">
        <v>11</v>
      </c>
    </row>
    <row r="118" spans="1:8" x14ac:dyDescent="0.2">
      <c r="A118" t="s">
        <v>13</v>
      </c>
      <c r="B118" t="s">
        <v>104</v>
      </c>
      <c r="C118" t="s">
        <v>802</v>
      </c>
      <c r="D118">
        <v>2</v>
      </c>
      <c r="E118" s="307">
        <v>4</v>
      </c>
      <c r="F118" s="307" t="s">
        <v>7</v>
      </c>
      <c r="G118" s="307" t="s">
        <v>11</v>
      </c>
      <c r="H118" s="307" t="s">
        <v>11</v>
      </c>
    </row>
    <row r="119" spans="1:8" x14ac:dyDescent="0.2">
      <c r="A119" t="s">
        <v>13</v>
      </c>
      <c r="B119" t="s">
        <v>104</v>
      </c>
      <c r="C119" t="s">
        <v>803</v>
      </c>
      <c r="D119">
        <v>3</v>
      </c>
      <c r="E119" s="307">
        <v>3</v>
      </c>
      <c r="F119" s="307" t="s">
        <v>7</v>
      </c>
      <c r="G119" s="307" t="s">
        <v>11</v>
      </c>
      <c r="H119" s="307" t="s">
        <v>11</v>
      </c>
    </row>
    <row r="120" spans="1:8" x14ac:dyDescent="0.2">
      <c r="A120" t="s">
        <v>13</v>
      </c>
      <c r="B120" t="s">
        <v>104</v>
      </c>
      <c r="C120" t="s">
        <v>693</v>
      </c>
      <c r="D120">
        <v>3</v>
      </c>
      <c r="E120" s="307">
        <v>3</v>
      </c>
      <c r="F120" s="307" t="s">
        <v>7</v>
      </c>
      <c r="G120" s="307" t="s">
        <v>11</v>
      </c>
      <c r="H120" s="307" t="s">
        <v>11</v>
      </c>
    </row>
    <row r="121" spans="1:8" x14ac:dyDescent="0.2">
      <c r="A121" t="s">
        <v>13</v>
      </c>
      <c r="B121" t="s">
        <v>104</v>
      </c>
      <c r="C121" t="s">
        <v>804</v>
      </c>
      <c r="D121">
        <v>2</v>
      </c>
      <c r="E121" s="307">
        <v>4</v>
      </c>
      <c r="F121" s="307" t="s">
        <v>7</v>
      </c>
      <c r="G121" s="307" t="s">
        <v>11</v>
      </c>
      <c r="H121" s="307" t="s">
        <v>11</v>
      </c>
    </row>
    <row r="122" spans="1:8" x14ac:dyDescent="0.2">
      <c r="A122" t="s">
        <v>13</v>
      </c>
      <c r="B122" t="s">
        <v>104</v>
      </c>
      <c r="C122" t="s">
        <v>805</v>
      </c>
      <c r="D122">
        <v>3</v>
      </c>
      <c r="E122" s="307">
        <v>3</v>
      </c>
      <c r="F122" s="307" t="s">
        <v>7</v>
      </c>
      <c r="G122" s="307" t="s">
        <v>11</v>
      </c>
      <c r="H122" s="307" t="s">
        <v>11</v>
      </c>
    </row>
    <row r="123" spans="1:8" x14ac:dyDescent="0.2">
      <c r="A123" t="s">
        <v>13</v>
      </c>
      <c r="B123" t="s">
        <v>104</v>
      </c>
      <c r="C123" t="s">
        <v>806</v>
      </c>
      <c r="D123">
        <v>3</v>
      </c>
      <c r="E123" s="307">
        <v>3</v>
      </c>
      <c r="F123" s="307" t="s">
        <v>7</v>
      </c>
      <c r="G123" s="307" t="s">
        <v>11</v>
      </c>
      <c r="H123" s="307" t="s">
        <v>11</v>
      </c>
    </row>
    <row r="124" spans="1:8" x14ac:dyDescent="0.2">
      <c r="A124" t="s">
        <v>13</v>
      </c>
      <c r="B124" t="s">
        <v>104</v>
      </c>
      <c r="C124" t="s">
        <v>699</v>
      </c>
      <c r="D124">
        <v>3</v>
      </c>
      <c r="E124" s="307">
        <v>3</v>
      </c>
      <c r="F124" s="307" t="s">
        <v>7</v>
      </c>
      <c r="G124" s="307" t="s">
        <v>11</v>
      </c>
      <c r="H124" s="307" t="s">
        <v>11</v>
      </c>
    </row>
    <row r="125" spans="1:8" x14ac:dyDescent="0.2">
      <c r="A125" t="s">
        <v>13</v>
      </c>
      <c r="B125" t="s">
        <v>104</v>
      </c>
      <c r="C125" t="s">
        <v>700</v>
      </c>
      <c r="D125">
        <v>3</v>
      </c>
      <c r="E125" s="307">
        <v>3</v>
      </c>
      <c r="F125" s="307" t="s">
        <v>7</v>
      </c>
      <c r="G125" s="307" t="s">
        <v>11</v>
      </c>
      <c r="H125" s="307" t="s">
        <v>11</v>
      </c>
    </row>
    <row r="126" spans="1:8" x14ac:dyDescent="0.2">
      <c r="A126" t="s">
        <v>13</v>
      </c>
      <c r="B126" t="s">
        <v>104</v>
      </c>
      <c r="C126" t="s">
        <v>807</v>
      </c>
      <c r="D126">
        <v>3</v>
      </c>
      <c r="E126" s="307">
        <v>3</v>
      </c>
      <c r="F126" s="307" t="s">
        <v>7</v>
      </c>
      <c r="G126" s="307" t="s">
        <v>11</v>
      </c>
      <c r="H126" s="307" t="s">
        <v>11</v>
      </c>
    </row>
    <row r="127" spans="1:8" x14ac:dyDescent="0.2">
      <c r="A127" t="s">
        <v>13</v>
      </c>
      <c r="B127" t="s">
        <v>104</v>
      </c>
      <c r="C127" t="s">
        <v>808</v>
      </c>
      <c r="D127">
        <v>3</v>
      </c>
      <c r="E127" s="307">
        <v>3</v>
      </c>
      <c r="F127" s="307" t="s">
        <v>7</v>
      </c>
      <c r="G127" s="307" t="s">
        <v>115</v>
      </c>
      <c r="H127" s="307" t="s">
        <v>11</v>
      </c>
    </row>
    <row r="128" spans="1:8" x14ac:dyDescent="0.2">
      <c r="A128" t="s">
        <v>13</v>
      </c>
      <c r="B128" t="s">
        <v>104</v>
      </c>
      <c r="C128" t="s">
        <v>809</v>
      </c>
      <c r="D128">
        <v>3</v>
      </c>
      <c r="E128" s="307">
        <v>3</v>
      </c>
      <c r="F128" s="307" t="s">
        <v>7</v>
      </c>
      <c r="G128" s="307" t="s">
        <v>11</v>
      </c>
      <c r="H128" s="307" t="s">
        <v>11</v>
      </c>
    </row>
    <row r="129" spans="1:8" x14ac:dyDescent="0.2">
      <c r="A129" t="s">
        <v>13</v>
      </c>
      <c r="B129" t="s">
        <v>104</v>
      </c>
      <c r="C129" t="s">
        <v>810</v>
      </c>
      <c r="D129">
        <v>3</v>
      </c>
      <c r="E129" s="307">
        <v>3</v>
      </c>
      <c r="F129" s="307" t="s">
        <v>7</v>
      </c>
      <c r="G129" s="307" t="s">
        <v>11</v>
      </c>
      <c r="H129" s="307" t="s">
        <v>11</v>
      </c>
    </row>
    <row r="130" spans="1:8" x14ac:dyDescent="0.2">
      <c r="A130" t="s">
        <v>13</v>
      </c>
      <c r="B130" t="s">
        <v>104</v>
      </c>
      <c r="C130" t="s">
        <v>811</v>
      </c>
      <c r="D130">
        <v>3</v>
      </c>
      <c r="E130" s="307">
        <v>3</v>
      </c>
      <c r="F130" s="307" t="s">
        <v>7</v>
      </c>
      <c r="G130" s="307" t="s">
        <v>11</v>
      </c>
      <c r="H130" s="307" t="s">
        <v>11</v>
      </c>
    </row>
    <row r="131" spans="1:8" x14ac:dyDescent="0.2">
      <c r="A131" t="s">
        <v>13</v>
      </c>
      <c r="B131" t="s">
        <v>104</v>
      </c>
      <c r="C131" t="s">
        <v>812</v>
      </c>
      <c r="D131">
        <v>3</v>
      </c>
      <c r="E131" s="307">
        <v>3</v>
      </c>
      <c r="F131" s="307" t="s">
        <v>7</v>
      </c>
      <c r="G131" s="307" t="s">
        <v>11</v>
      </c>
      <c r="H131" s="307" t="s">
        <v>11</v>
      </c>
    </row>
    <row r="132" spans="1:8" x14ac:dyDescent="0.2">
      <c r="A132" t="s">
        <v>13</v>
      </c>
      <c r="B132" t="s">
        <v>104</v>
      </c>
      <c r="C132" t="s">
        <v>813</v>
      </c>
      <c r="D132">
        <v>3</v>
      </c>
      <c r="E132" s="307">
        <v>3</v>
      </c>
      <c r="F132" s="307" t="s">
        <v>7</v>
      </c>
      <c r="G132" s="307" t="s">
        <v>11</v>
      </c>
      <c r="H132" s="307" t="s">
        <v>11</v>
      </c>
    </row>
    <row r="133" spans="1:8" x14ac:dyDescent="0.2">
      <c r="A133" t="s">
        <v>13</v>
      </c>
      <c r="B133" t="s">
        <v>104</v>
      </c>
      <c r="C133" t="s">
        <v>709</v>
      </c>
      <c r="D133">
        <v>3</v>
      </c>
      <c r="E133" s="307">
        <v>3</v>
      </c>
      <c r="F133" s="307" t="s">
        <v>7</v>
      </c>
      <c r="G133" s="307" t="s">
        <v>11</v>
      </c>
      <c r="H133" s="307" t="s">
        <v>11</v>
      </c>
    </row>
    <row r="134" spans="1:8" x14ac:dyDescent="0.2">
      <c r="A134" t="s">
        <v>13</v>
      </c>
      <c r="B134" t="s">
        <v>104</v>
      </c>
      <c r="C134" t="s">
        <v>814</v>
      </c>
      <c r="D134">
        <v>3</v>
      </c>
      <c r="E134" s="307">
        <v>3</v>
      </c>
      <c r="F134" s="307" t="s">
        <v>7</v>
      </c>
      <c r="G134" s="307" t="s">
        <v>11</v>
      </c>
      <c r="H134" s="307" t="s">
        <v>11</v>
      </c>
    </row>
    <row r="135" spans="1:8" x14ac:dyDescent="0.2">
      <c r="A135" t="s">
        <v>13</v>
      </c>
      <c r="B135" t="s">
        <v>104</v>
      </c>
      <c r="C135" t="s">
        <v>815</v>
      </c>
      <c r="D135">
        <v>3</v>
      </c>
      <c r="E135" s="307">
        <v>3</v>
      </c>
      <c r="F135" s="307" t="s">
        <v>7</v>
      </c>
      <c r="G135" s="307" t="s">
        <v>11</v>
      </c>
      <c r="H135" s="307" t="s">
        <v>11</v>
      </c>
    </row>
    <row r="136" spans="1:8" x14ac:dyDescent="0.2">
      <c r="A136" t="s">
        <v>13</v>
      </c>
      <c r="B136" t="s">
        <v>104</v>
      </c>
      <c r="C136" t="s">
        <v>816</v>
      </c>
      <c r="D136">
        <v>3</v>
      </c>
      <c r="E136" s="307">
        <v>3</v>
      </c>
      <c r="F136" s="307" t="s">
        <v>7</v>
      </c>
      <c r="G136" s="307" t="s">
        <v>11</v>
      </c>
      <c r="H136" s="307" t="s">
        <v>11</v>
      </c>
    </row>
    <row r="137" spans="1:8" x14ac:dyDescent="0.2">
      <c r="A137" t="s">
        <v>13</v>
      </c>
      <c r="B137" t="s">
        <v>104</v>
      </c>
      <c r="C137" t="s">
        <v>715</v>
      </c>
      <c r="D137">
        <v>3</v>
      </c>
      <c r="E137" s="307">
        <v>3</v>
      </c>
      <c r="F137" s="307" t="s">
        <v>7</v>
      </c>
      <c r="G137" s="307" t="s">
        <v>11</v>
      </c>
      <c r="H137" s="307" t="s">
        <v>11</v>
      </c>
    </row>
    <row r="138" spans="1:8" x14ac:dyDescent="0.2">
      <c r="A138" t="s">
        <v>13</v>
      </c>
      <c r="B138" t="s">
        <v>104</v>
      </c>
      <c r="C138" t="s">
        <v>817</v>
      </c>
      <c r="D138">
        <v>2</v>
      </c>
      <c r="E138" s="307">
        <v>4</v>
      </c>
      <c r="F138" s="307" t="s">
        <v>7</v>
      </c>
      <c r="G138" s="307" t="s">
        <v>11</v>
      </c>
      <c r="H138" s="307" t="s">
        <v>11</v>
      </c>
    </row>
    <row r="139" spans="1:8" x14ac:dyDescent="0.2">
      <c r="A139" t="s">
        <v>13</v>
      </c>
      <c r="B139" t="s">
        <v>104</v>
      </c>
      <c r="C139" t="s">
        <v>818</v>
      </c>
      <c r="D139">
        <v>2</v>
      </c>
      <c r="E139" s="307">
        <v>3</v>
      </c>
      <c r="F139" s="307" t="s">
        <v>7</v>
      </c>
      <c r="G139" s="307" t="s">
        <v>11</v>
      </c>
      <c r="H139" s="307" t="s">
        <v>11</v>
      </c>
    </row>
    <row r="140" spans="1:8" x14ac:dyDescent="0.2">
      <c r="A140" t="s">
        <v>13</v>
      </c>
      <c r="B140" t="s">
        <v>104</v>
      </c>
      <c r="C140" t="s">
        <v>819</v>
      </c>
      <c r="D140">
        <v>3</v>
      </c>
      <c r="E140" s="307">
        <v>3</v>
      </c>
      <c r="F140" s="307" t="s">
        <v>7</v>
      </c>
      <c r="G140" s="307" t="s">
        <v>11</v>
      </c>
      <c r="H140" s="307" t="s">
        <v>11</v>
      </c>
    </row>
    <row r="141" spans="1:8" x14ac:dyDescent="0.2">
      <c r="A141" t="s">
        <v>13</v>
      </c>
      <c r="B141" t="s">
        <v>104</v>
      </c>
      <c r="C141" t="s">
        <v>717</v>
      </c>
      <c r="D141">
        <v>3</v>
      </c>
      <c r="E141" s="307">
        <v>3</v>
      </c>
      <c r="F141" s="307" t="s">
        <v>7</v>
      </c>
      <c r="G141" s="307" t="s">
        <v>11</v>
      </c>
      <c r="H141" s="307" t="s">
        <v>11</v>
      </c>
    </row>
    <row r="142" spans="1:8" x14ac:dyDescent="0.2">
      <c r="A142" t="s">
        <v>13</v>
      </c>
      <c r="B142" t="s">
        <v>104</v>
      </c>
      <c r="C142" t="s">
        <v>820</v>
      </c>
      <c r="D142">
        <v>3</v>
      </c>
      <c r="E142" s="307">
        <v>3</v>
      </c>
      <c r="F142" s="307" t="s">
        <v>7</v>
      </c>
      <c r="G142" s="307" t="s">
        <v>115</v>
      </c>
      <c r="H142" s="307" t="s">
        <v>11</v>
      </c>
    </row>
    <row r="143" spans="1:8" x14ac:dyDescent="0.2">
      <c r="A143" t="s">
        <v>13</v>
      </c>
      <c r="B143" t="s">
        <v>104</v>
      </c>
      <c r="C143" t="s">
        <v>821</v>
      </c>
      <c r="D143">
        <v>3</v>
      </c>
      <c r="E143" s="307">
        <v>3</v>
      </c>
      <c r="F143" s="307" t="s">
        <v>7</v>
      </c>
      <c r="G143" s="307" t="s">
        <v>11</v>
      </c>
      <c r="H143" s="307" t="s">
        <v>11</v>
      </c>
    </row>
    <row r="144" spans="1:8" x14ac:dyDescent="0.2">
      <c r="A144" t="s">
        <v>13</v>
      </c>
      <c r="B144" t="s">
        <v>104</v>
      </c>
      <c r="C144" t="s">
        <v>822</v>
      </c>
      <c r="D144">
        <v>3</v>
      </c>
      <c r="E144" s="307">
        <v>3</v>
      </c>
      <c r="F144" s="307" t="s">
        <v>7</v>
      </c>
      <c r="G144" s="307" t="s">
        <v>11</v>
      </c>
      <c r="H144" s="307" t="s">
        <v>11</v>
      </c>
    </row>
    <row r="145" spans="1:8" x14ac:dyDescent="0.2">
      <c r="A145" t="s">
        <v>13</v>
      </c>
      <c r="B145" t="s">
        <v>104</v>
      </c>
      <c r="C145" t="s">
        <v>823</v>
      </c>
      <c r="D145">
        <v>2</v>
      </c>
      <c r="E145" s="307">
        <v>3</v>
      </c>
      <c r="F145" s="307" t="s">
        <v>7</v>
      </c>
      <c r="G145" s="307" t="s">
        <v>11</v>
      </c>
      <c r="H145" s="307" t="s">
        <v>11</v>
      </c>
    </row>
    <row r="146" spans="1:8" x14ac:dyDescent="0.2">
      <c r="A146" t="s">
        <v>13</v>
      </c>
      <c r="B146" t="s">
        <v>104</v>
      </c>
      <c r="C146" t="s">
        <v>824</v>
      </c>
      <c r="D146">
        <v>2</v>
      </c>
      <c r="E146" s="307">
        <v>4</v>
      </c>
      <c r="F146" s="307" t="s">
        <v>7</v>
      </c>
      <c r="G146" s="307" t="s">
        <v>11</v>
      </c>
      <c r="H146" s="307" t="s">
        <v>11</v>
      </c>
    </row>
    <row r="147" spans="1:8" x14ac:dyDescent="0.2">
      <c r="A147" t="s">
        <v>13</v>
      </c>
      <c r="B147" t="s">
        <v>104</v>
      </c>
      <c r="C147" t="s">
        <v>721</v>
      </c>
      <c r="D147">
        <v>3</v>
      </c>
      <c r="E147" s="307">
        <v>3</v>
      </c>
      <c r="F147" s="307" t="s">
        <v>7</v>
      </c>
      <c r="G147" s="307" t="s">
        <v>11</v>
      </c>
      <c r="H147" s="307" t="s">
        <v>11</v>
      </c>
    </row>
    <row r="148" spans="1:8" x14ac:dyDescent="0.2">
      <c r="A148" t="s">
        <v>13</v>
      </c>
      <c r="B148" t="s">
        <v>104</v>
      </c>
      <c r="C148" t="s">
        <v>722</v>
      </c>
      <c r="D148">
        <v>3</v>
      </c>
      <c r="E148" s="307">
        <v>3</v>
      </c>
      <c r="F148" s="307" t="s">
        <v>7</v>
      </c>
      <c r="G148" s="307" t="s">
        <v>11</v>
      </c>
      <c r="H148" s="307" t="s">
        <v>11</v>
      </c>
    </row>
    <row r="149" spans="1:8" x14ac:dyDescent="0.2">
      <c r="A149" t="s">
        <v>13</v>
      </c>
      <c r="B149" t="s">
        <v>104</v>
      </c>
      <c r="C149" t="s">
        <v>825</v>
      </c>
      <c r="D149">
        <v>3</v>
      </c>
      <c r="E149" s="307">
        <v>3</v>
      </c>
      <c r="F149" s="307" t="s">
        <v>7</v>
      </c>
      <c r="G149" s="307" t="s">
        <v>11</v>
      </c>
      <c r="H149" s="307" t="s">
        <v>11</v>
      </c>
    </row>
    <row r="150" spans="1:8" x14ac:dyDescent="0.2">
      <c r="A150" t="s">
        <v>13</v>
      </c>
      <c r="B150" t="s">
        <v>104</v>
      </c>
      <c r="C150" t="s">
        <v>826</v>
      </c>
      <c r="D150">
        <v>3</v>
      </c>
      <c r="E150" s="307">
        <v>3</v>
      </c>
      <c r="F150" s="307" t="s">
        <v>7</v>
      </c>
      <c r="G150" s="307" t="s">
        <v>115</v>
      </c>
      <c r="H150" s="307" t="s">
        <v>11</v>
      </c>
    </row>
    <row r="151" spans="1:8" x14ac:dyDescent="0.2">
      <c r="A151" t="s">
        <v>13</v>
      </c>
      <c r="B151" t="s">
        <v>104</v>
      </c>
      <c r="C151" t="s">
        <v>725</v>
      </c>
      <c r="D151">
        <v>3</v>
      </c>
      <c r="E151" s="307">
        <v>3</v>
      </c>
      <c r="F151" s="307" t="s">
        <v>7</v>
      </c>
      <c r="G151" s="307" t="s">
        <v>11</v>
      </c>
      <c r="H151" s="307" t="s">
        <v>11</v>
      </c>
    </row>
    <row r="152" spans="1:8" x14ac:dyDescent="0.2">
      <c r="A152" t="s">
        <v>13</v>
      </c>
      <c r="B152" t="s">
        <v>104</v>
      </c>
      <c r="C152" t="s">
        <v>726</v>
      </c>
      <c r="D152">
        <v>3</v>
      </c>
      <c r="E152" s="307">
        <v>3</v>
      </c>
      <c r="F152" s="307" t="s">
        <v>7</v>
      </c>
      <c r="G152" s="307" t="s">
        <v>11</v>
      </c>
      <c r="H152" s="307" t="s">
        <v>11</v>
      </c>
    </row>
    <row r="153" spans="1:8" x14ac:dyDescent="0.2">
      <c r="A153" t="s">
        <v>13</v>
      </c>
      <c r="B153" t="s">
        <v>104</v>
      </c>
      <c r="C153" t="s">
        <v>827</v>
      </c>
      <c r="D153">
        <v>3</v>
      </c>
      <c r="E153" s="307">
        <v>3</v>
      </c>
      <c r="F153" s="307" t="s">
        <v>7</v>
      </c>
      <c r="G153" s="307" t="s">
        <v>11</v>
      </c>
      <c r="H153" s="307" t="s">
        <v>11</v>
      </c>
    </row>
    <row r="154" spans="1:8" x14ac:dyDescent="0.2">
      <c r="A154" t="s">
        <v>13</v>
      </c>
      <c r="B154" t="s">
        <v>104</v>
      </c>
      <c r="C154" t="s">
        <v>828</v>
      </c>
      <c r="D154">
        <v>3</v>
      </c>
      <c r="E154" s="307">
        <v>3</v>
      </c>
      <c r="F154" s="307" t="s">
        <v>7</v>
      </c>
      <c r="G154" s="307" t="s">
        <v>115</v>
      </c>
      <c r="H154" s="307" t="s">
        <v>11</v>
      </c>
    </row>
    <row r="155" spans="1:8" x14ac:dyDescent="0.2">
      <c r="A155" t="s">
        <v>13</v>
      </c>
      <c r="B155" t="s">
        <v>104</v>
      </c>
      <c r="C155" t="s">
        <v>829</v>
      </c>
      <c r="D155">
        <v>3</v>
      </c>
      <c r="E155" s="307">
        <v>3</v>
      </c>
      <c r="F155" s="307" t="s">
        <v>7</v>
      </c>
      <c r="G155" s="307" t="s">
        <v>11</v>
      </c>
      <c r="H155" s="307" t="s">
        <v>11</v>
      </c>
    </row>
    <row r="156" spans="1:8" x14ac:dyDescent="0.2">
      <c r="A156" t="s">
        <v>13</v>
      </c>
      <c r="B156" t="s">
        <v>104</v>
      </c>
      <c r="C156" t="s">
        <v>830</v>
      </c>
      <c r="D156">
        <v>3</v>
      </c>
      <c r="E156" s="307">
        <v>3</v>
      </c>
      <c r="F156" s="307" t="s">
        <v>7</v>
      </c>
      <c r="G156" s="307" t="s">
        <v>11</v>
      </c>
      <c r="H156" s="307" t="s">
        <v>11</v>
      </c>
    </row>
    <row r="157" spans="1:8" x14ac:dyDescent="0.2">
      <c r="A157" t="s">
        <v>13</v>
      </c>
      <c r="B157" t="s">
        <v>104</v>
      </c>
      <c r="C157" t="s">
        <v>730</v>
      </c>
      <c r="D157">
        <v>3</v>
      </c>
      <c r="E157" s="307">
        <v>4</v>
      </c>
      <c r="F157" s="307" t="s">
        <v>7</v>
      </c>
      <c r="G157" s="307" t="s">
        <v>11</v>
      </c>
      <c r="H157" s="307" t="s">
        <v>11</v>
      </c>
    </row>
    <row r="158" spans="1:8" x14ac:dyDescent="0.2">
      <c r="A158" t="s">
        <v>13</v>
      </c>
      <c r="B158" t="s">
        <v>104</v>
      </c>
      <c r="C158" t="s">
        <v>732</v>
      </c>
      <c r="D158">
        <v>2</v>
      </c>
      <c r="E158" s="307">
        <v>4</v>
      </c>
      <c r="F158" s="307" t="s">
        <v>7</v>
      </c>
      <c r="G158" s="307" t="s">
        <v>11</v>
      </c>
      <c r="H158" s="307" t="s">
        <v>11</v>
      </c>
    </row>
    <row r="159" spans="1:8" x14ac:dyDescent="0.2">
      <c r="A159" t="s">
        <v>13</v>
      </c>
      <c r="B159" t="s">
        <v>104</v>
      </c>
      <c r="C159" t="s">
        <v>831</v>
      </c>
      <c r="D159">
        <v>3</v>
      </c>
      <c r="E159" s="307">
        <v>3</v>
      </c>
      <c r="F159" s="307" t="s">
        <v>7</v>
      </c>
      <c r="G159" s="307" t="s">
        <v>115</v>
      </c>
      <c r="H159" s="307" t="s">
        <v>11</v>
      </c>
    </row>
    <row r="160" spans="1:8" x14ac:dyDescent="0.2">
      <c r="A160" t="s">
        <v>13</v>
      </c>
      <c r="B160" t="s">
        <v>104</v>
      </c>
      <c r="C160" t="s">
        <v>832</v>
      </c>
      <c r="D160">
        <v>3</v>
      </c>
      <c r="E160" s="307">
        <v>3</v>
      </c>
      <c r="F160" s="307" t="s">
        <v>7</v>
      </c>
      <c r="G160" s="307" t="s">
        <v>11</v>
      </c>
      <c r="H160" s="307" t="s">
        <v>11</v>
      </c>
    </row>
    <row r="161" spans="1:8" x14ac:dyDescent="0.2">
      <c r="A161" t="s">
        <v>13</v>
      </c>
      <c r="B161" t="s">
        <v>104</v>
      </c>
      <c r="C161" t="s">
        <v>735</v>
      </c>
      <c r="D161">
        <v>3</v>
      </c>
      <c r="E161" s="307">
        <v>3</v>
      </c>
      <c r="F161" s="307" t="s">
        <v>7</v>
      </c>
      <c r="G161" s="307" t="s">
        <v>11</v>
      </c>
      <c r="H161" s="307" t="s">
        <v>11</v>
      </c>
    </row>
    <row r="162" spans="1:8" x14ac:dyDescent="0.2">
      <c r="A162" t="s">
        <v>13</v>
      </c>
      <c r="B162" t="s">
        <v>104</v>
      </c>
      <c r="C162" t="s">
        <v>736</v>
      </c>
      <c r="D162">
        <v>2</v>
      </c>
      <c r="E162" s="307">
        <v>3</v>
      </c>
      <c r="F162" s="307" t="s">
        <v>7</v>
      </c>
      <c r="G162" s="307" t="s">
        <v>11</v>
      </c>
      <c r="H162" s="307" t="s">
        <v>11</v>
      </c>
    </row>
    <row r="163" spans="1:8" x14ac:dyDescent="0.2">
      <c r="A163" t="s">
        <v>13</v>
      </c>
      <c r="B163" t="s">
        <v>104</v>
      </c>
      <c r="C163" t="s">
        <v>833</v>
      </c>
      <c r="D163">
        <v>3</v>
      </c>
      <c r="E163" s="307">
        <v>3</v>
      </c>
      <c r="F163" s="307" t="s">
        <v>7</v>
      </c>
      <c r="G163" s="307" t="s">
        <v>11</v>
      </c>
      <c r="H163" s="307" t="s">
        <v>11</v>
      </c>
    </row>
    <row r="164" spans="1:8" x14ac:dyDescent="0.2">
      <c r="A164" t="s">
        <v>13</v>
      </c>
      <c r="B164" t="s">
        <v>104</v>
      </c>
      <c r="C164" t="s">
        <v>834</v>
      </c>
      <c r="D164">
        <v>3</v>
      </c>
      <c r="E164" s="307">
        <v>4</v>
      </c>
      <c r="F164" s="307" t="s">
        <v>7</v>
      </c>
      <c r="G164" s="307" t="s">
        <v>11</v>
      </c>
      <c r="H164" s="307" t="s">
        <v>11</v>
      </c>
    </row>
    <row r="165" spans="1:8" x14ac:dyDescent="0.2">
      <c r="A165" t="s">
        <v>13</v>
      </c>
      <c r="B165" t="s">
        <v>104</v>
      </c>
      <c r="C165" t="s">
        <v>835</v>
      </c>
      <c r="D165">
        <v>3</v>
      </c>
      <c r="E165" s="307">
        <v>3</v>
      </c>
      <c r="F165" s="307" t="s">
        <v>7</v>
      </c>
      <c r="G165" s="307" t="s">
        <v>11</v>
      </c>
      <c r="H165" s="307" t="s">
        <v>11</v>
      </c>
    </row>
    <row r="166" spans="1:8" x14ac:dyDescent="0.2">
      <c r="A166" t="s">
        <v>13</v>
      </c>
      <c r="B166" t="s">
        <v>104</v>
      </c>
      <c r="C166" t="s">
        <v>738</v>
      </c>
      <c r="D166">
        <v>3</v>
      </c>
      <c r="E166" s="307">
        <v>3</v>
      </c>
      <c r="F166" s="307" t="s">
        <v>7</v>
      </c>
      <c r="G166" s="307" t="s">
        <v>11</v>
      </c>
      <c r="H166" s="307" t="s">
        <v>11</v>
      </c>
    </row>
    <row r="167" spans="1:8" x14ac:dyDescent="0.2">
      <c r="A167" t="s">
        <v>13</v>
      </c>
      <c r="B167" t="s">
        <v>104</v>
      </c>
      <c r="C167" t="s">
        <v>836</v>
      </c>
      <c r="D167">
        <v>3</v>
      </c>
      <c r="E167" s="307">
        <v>3</v>
      </c>
      <c r="F167" s="307" t="s">
        <v>7</v>
      </c>
      <c r="G167" s="307" t="s">
        <v>11</v>
      </c>
      <c r="H167" s="307" t="s">
        <v>11</v>
      </c>
    </row>
    <row r="168" spans="1:8" x14ac:dyDescent="0.2">
      <c r="A168" t="s">
        <v>13</v>
      </c>
      <c r="B168" t="s">
        <v>104</v>
      </c>
      <c r="C168" t="s">
        <v>740</v>
      </c>
      <c r="D168">
        <v>3</v>
      </c>
      <c r="E168" s="307">
        <v>3</v>
      </c>
      <c r="F168" s="307" t="s">
        <v>7</v>
      </c>
      <c r="G168" s="307" t="s">
        <v>11</v>
      </c>
      <c r="H168" s="307" t="s">
        <v>11</v>
      </c>
    </row>
    <row r="169" spans="1:8" x14ac:dyDescent="0.2">
      <c r="A169" t="s">
        <v>13</v>
      </c>
      <c r="B169" t="s">
        <v>104</v>
      </c>
      <c r="C169" t="s">
        <v>837</v>
      </c>
      <c r="D169">
        <v>3</v>
      </c>
      <c r="E169" s="307">
        <v>3</v>
      </c>
      <c r="F169" s="307" t="s">
        <v>7</v>
      </c>
      <c r="G169" s="307" t="s">
        <v>11</v>
      </c>
      <c r="H169" s="307" t="s">
        <v>11</v>
      </c>
    </row>
    <row r="170" spans="1:8" x14ac:dyDescent="0.2">
      <c r="A170" t="s">
        <v>13</v>
      </c>
      <c r="B170" t="s">
        <v>104</v>
      </c>
      <c r="C170" t="s">
        <v>838</v>
      </c>
      <c r="D170">
        <v>3</v>
      </c>
      <c r="E170" s="307">
        <v>3</v>
      </c>
      <c r="F170" s="307" t="s">
        <v>7</v>
      </c>
      <c r="G170" s="307" t="s">
        <v>11</v>
      </c>
      <c r="H170" s="307" t="s">
        <v>11</v>
      </c>
    </row>
    <row r="171" spans="1:8" x14ac:dyDescent="0.2">
      <c r="A171" t="s">
        <v>13</v>
      </c>
      <c r="B171" t="s">
        <v>104</v>
      </c>
      <c r="C171" t="s">
        <v>839</v>
      </c>
      <c r="D171">
        <v>3</v>
      </c>
      <c r="E171" s="307">
        <v>3</v>
      </c>
      <c r="F171" s="307" t="s">
        <v>7</v>
      </c>
      <c r="G171" s="307" t="s">
        <v>11</v>
      </c>
      <c r="H171" s="307" t="s">
        <v>11</v>
      </c>
    </row>
    <row r="172" spans="1:8" x14ac:dyDescent="0.2">
      <c r="A172" t="s">
        <v>13</v>
      </c>
      <c r="B172" t="s">
        <v>104</v>
      </c>
      <c r="C172" t="s">
        <v>840</v>
      </c>
      <c r="D172">
        <v>3</v>
      </c>
      <c r="E172" s="307">
        <v>3</v>
      </c>
      <c r="F172" s="307" t="s">
        <v>7</v>
      </c>
      <c r="G172" s="307" t="s">
        <v>11</v>
      </c>
      <c r="H172" s="307" t="s">
        <v>11</v>
      </c>
    </row>
    <row r="173" spans="1:8" x14ac:dyDescent="0.2">
      <c r="A173" t="s">
        <v>13</v>
      </c>
      <c r="B173" t="s">
        <v>104</v>
      </c>
      <c r="C173" t="s">
        <v>841</v>
      </c>
      <c r="D173">
        <v>3</v>
      </c>
      <c r="E173" s="307">
        <v>3</v>
      </c>
      <c r="F173" s="307" t="s">
        <v>7</v>
      </c>
      <c r="G173" s="307" t="s">
        <v>11</v>
      </c>
      <c r="H173" s="307" t="s">
        <v>11</v>
      </c>
    </row>
    <row r="174" spans="1:8" x14ac:dyDescent="0.2">
      <c r="A174" t="s">
        <v>13</v>
      </c>
      <c r="B174" t="s">
        <v>104</v>
      </c>
      <c r="C174" t="s">
        <v>741</v>
      </c>
      <c r="D174">
        <v>2</v>
      </c>
      <c r="E174" s="307">
        <v>3</v>
      </c>
      <c r="F174" s="307" t="s">
        <v>7</v>
      </c>
      <c r="G174" s="307" t="s">
        <v>11</v>
      </c>
      <c r="H174" s="307" t="s">
        <v>11</v>
      </c>
    </row>
    <row r="175" spans="1:8" x14ac:dyDescent="0.2">
      <c r="A175" t="s">
        <v>13</v>
      </c>
      <c r="B175" t="s">
        <v>104</v>
      </c>
      <c r="C175" t="s">
        <v>842</v>
      </c>
      <c r="D175">
        <v>3</v>
      </c>
      <c r="E175" s="307">
        <v>3</v>
      </c>
      <c r="F175" s="307" t="s">
        <v>7</v>
      </c>
      <c r="G175" s="307" t="s">
        <v>11</v>
      </c>
      <c r="H175" s="307" t="s">
        <v>11</v>
      </c>
    </row>
    <row r="176" spans="1:8" x14ac:dyDescent="0.2">
      <c r="A176" t="s">
        <v>13</v>
      </c>
      <c r="B176" t="s">
        <v>104</v>
      </c>
      <c r="C176" t="s">
        <v>843</v>
      </c>
      <c r="D176">
        <v>3</v>
      </c>
      <c r="E176" s="307">
        <v>3</v>
      </c>
      <c r="F176" s="307" t="s">
        <v>7</v>
      </c>
      <c r="G176" s="307" t="s">
        <v>11</v>
      </c>
      <c r="H176" s="307" t="s">
        <v>11</v>
      </c>
    </row>
    <row r="177" spans="1:8" x14ac:dyDescent="0.2">
      <c r="A177" t="s">
        <v>13</v>
      </c>
      <c r="B177" t="s">
        <v>104</v>
      </c>
      <c r="C177" t="s">
        <v>844</v>
      </c>
      <c r="D177">
        <v>3</v>
      </c>
      <c r="E177" s="307">
        <v>3</v>
      </c>
      <c r="F177" s="307" t="s">
        <v>7</v>
      </c>
      <c r="G177" s="307" t="s">
        <v>11</v>
      </c>
      <c r="H177" s="307" t="s">
        <v>11</v>
      </c>
    </row>
    <row r="178" spans="1:8" x14ac:dyDescent="0.2">
      <c r="A178" t="s">
        <v>13</v>
      </c>
      <c r="B178" t="s">
        <v>104</v>
      </c>
      <c r="C178" t="s">
        <v>845</v>
      </c>
      <c r="D178">
        <v>2</v>
      </c>
      <c r="E178" s="307">
        <v>4</v>
      </c>
      <c r="F178" s="307" t="s">
        <v>7</v>
      </c>
      <c r="G178" s="307" t="s">
        <v>11</v>
      </c>
      <c r="H178" s="307" t="s">
        <v>11</v>
      </c>
    </row>
    <row r="179" spans="1:8" x14ac:dyDescent="0.2">
      <c r="A179" t="s">
        <v>13</v>
      </c>
      <c r="B179" t="s">
        <v>104</v>
      </c>
      <c r="C179" t="s">
        <v>846</v>
      </c>
      <c r="D179">
        <v>3</v>
      </c>
      <c r="E179" s="307">
        <v>3</v>
      </c>
      <c r="F179" s="307" t="s">
        <v>7</v>
      </c>
      <c r="G179" s="307" t="s">
        <v>11</v>
      </c>
      <c r="H179" s="307" t="s">
        <v>11</v>
      </c>
    </row>
    <row r="180" spans="1:8" x14ac:dyDescent="0.2">
      <c r="A180" t="s">
        <v>13</v>
      </c>
      <c r="B180" t="s">
        <v>104</v>
      </c>
      <c r="C180" t="s">
        <v>847</v>
      </c>
      <c r="D180">
        <v>3</v>
      </c>
      <c r="E180" s="307">
        <v>3</v>
      </c>
      <c r="F180" s="307" t="s">
        <v>7</v>
      </c>
      <c r="G180" s="307" t="s">
        <v>115</v>
      </c>
      <c r="H180" s="307" t="s">
        <v>11</v>
      </c>
    </row>
    <row r="181" spans="1:8" x14ac:dyDescent="0.2">
      <c r="A181" t="s">
        <v>13</v>
      </c>
      <c r="B181" t="s">
        <v>104</v>
      </c>
      <c r="C181" t="s">
        <v>848</v>
      </c>
      <c r="D181">
        <v>2</v>
      </c>
      <c r="E181" s="307">
        <v>3</v>
      </c>
      <c r="F181" s="307" t="s">
        <v>7</v>
      </c>
      <c r="G181" s="307" t="s">
        <v>11</v>
      </c>
      <c r="H181" s="307" t="s">
        <v>11</v>
      </c>
    </row>
    <row r="182" spans="1:8" x14ac:dyDescent="0.2">
      <c r="A182" t="s">
        <v>13</v>
      </c>
      <c r="B182" t="s">
        <v>104</v>
      </c>
      <c r="C182" t="s">
        <v>849</v>
      </c>
      <c r="D182">
        <v>2</v>
      </c>
      <c r="E182" s="307">
        <v>4</v>
      </c>
      <c r="F182" s="307" t="s">
        <v>7</v>
      </c>
      <c r="G182" s="307" t="s">
        <v>11</v>
      </c>
      <c r="H182" s="307" t="s">
        <v>11</v>
      </c>
    </row>
    <row r="183" spans="1:8" x14ac:dyDescent="0.2">
      <c r="A183" t="s">
        <v>13</v>
      </c>
      <c r="B183" t="s">
        <v>104</v>
      </c>
      <c r="C183" t="s">
        <v>850</v>
      </c>
      <c r="D183">
        <v>3</v>
      </c>
      <c r="E183" s="307">
        <v>3</v>
      </c>
      <c r="F183" s="307" t="s">
        <v>7</v>
      </c>
      <c r="G183" s="307" t="s">
        <v>115</v>
      </c>
      <c r="H183" s="307" t="s">
        <v>11</v>
      </c>
    </row>
    <row r="184" spans="1:8" x14ac:dyDescent="0.2">
      <c r="A184" t="s">
        <v>13</v>
      </c>
      <c r="B184" t="s">
        <v>104</v>
      </c>
      <c r="C184" t="s">
        <v>851</v>
      </c>
      <c r="D184">
        <v>3</v>
      </c>
      <c r="E184" s="307">
        <v>3</v>
      </c>
      <c r="F184" s="307" t="s">
        <v>7</v>
      </c>
      <c r="G184" s="307" t="s">
        <v>11</v>
      </c>
      <c r="H184" s="307" t="s">
        <v>11</v>
      </c>
    </row>
    <row r="185" spans="1:8" x14ac:dyDescent="0.2">
      <c r="A185" t="s">
        <v>13</v>
      </c>
      <c r="B185" t="s">
        <v>104</v>
      </c>
      <c r="C185" t="s">
        <v>750</v>
      </c>
      <c r="D185">
        <v>3</v>
      </c>
      <c r="E185" s="307">
        <v>4</v>
      </c>
      <c r="F185" s="307" t="s">
        <v>7</v>
      </c>
      <c r="G185" s="307" t="s">
        <v>11</v>
      </c>
      <c r="H185" s="307" t="s">
        <v>11</v>
      </c>
    </row>
    <row r="186" spans="1:8" x14ac:dyDescent="0.2">
      <c r="A186" t="s">
        <v>13</v>
      </c>
      <c r="B186" t="s">
        <v>104</v>
      </c>
      <c r="C186" t="s">
        <v>852</v>
      </c>
      <c r="D186">
        <v>3</v>
      </c>
      <c r="E186" s="307">
        <v>3</v>
      </c>
      <c r="F186" s="307" t="s">
        <v>7</v>
      </c>
      <c r="G186" s="307" t="s">
        <v>11</v>
      </c>
      <c r="H186" s="307" t="s">
        <v>11</v>
      </c>
    </row>
    <row r="187" spans="1:8" x14ac:dyDescent="0.2">
      <c r="A187" t="s">
        <v>13</v>
      </c>
      <c r="B187" t="s">
        <v>104</v>
      </c>
      <c r="C187" t="s">
        <v>853</v>
      </c>
      <c r="D187">
        <v>3</v>
      </c>
      <c r="E187" s="307">
        <v>3</v>
      </c>
      <c r="F187" s="307" t="s">
        <v>7</v>
      </c>
      <c r="G187" s="307" t="s">
        <v>11</v>
      </c>
      <c r="H187" s="307" t="s">
        <v>11</v>
      </c>
    </row>
    <row r="188" spans="1:8" x14ac:dyDescent="0.2">
      <c r="A188" t="s">
        <v>13</v>
      </c>
      <c r="B188" t="s">
        <v>104</v>
      </c>
      <c r="C188" t="s">
        <v>854</v>
      </c>
      <c r="D188">
        <v>3</v>
      </c>
      <c r="E188" s="307">
        <v>3</v>
      </c>
      <c r="F188" s="307" t="s">
        <v>7</v>
      </c>
      <c r="G188" s="307" t="s">
        <v>11</v>
      </c>
      <c r="H188" s="307" t="s">
        <v>11</v>
      </c>
    </row>
    <row r="189" spans="1:8" x14ac:dyDescent="0.2">
      <c r="A189" t="s">
        <v>15</v>
      </c>
      <c r="B189" t="s">
        <v>74</v>
      </c>
      <c r="C189" t="s">
        <v>855</v>
      </c>
      <c r="D189">
        <v>2</v>
      </c>
      <c r="E189" s="307">
        <v>3</v>
      </c>
      <c r="F189" s="307" t="s">
        <v>105</v>
      </c>
      <c r="G189" s="307" t="s">
        <v>11</v>
      </c>
      <c r="H189" s="307" t="s">
        <v>11</v>
      </c>
    </row>
    <row r="190" spans="1:8" x14ac:dyDescent="0.2">
      <c r="A190" t="s">
        <v>15</v>
      </c>
      <c r="B190" t="s">
        <v>74</v>
      </c>
      <c r="C190" t="s">
        <v>856</v>
      </c>
      <c r="D190">
        <v>2</v>
      </c>
      <c r="E190" s="307">
        <v>6</v>
      </c>
      <c r="F190" s="307" t="s">
        <v>75</v>
      </c>
      <c r="G190" s="307" t="s">
        <v>11</v>
      </c>
      <c r="H190" s="307" t="s">
        <v>11</v>
      </c>
    </row>
    <row r="191" spans="1:8" x14ac:dyDescent="0.2">
      <c r="A191" t="s">
        <v>15</v>
      </c>
      <c r="B191" t="s">
        <v>74</v>
      </c>
      <c r="C191" t="s">
        <v>857</v>
      </c>
      <c r="D191">
        <v>2</v>
      </c>
      <c r="E191" s="307">
        <v>4</v>
      </c>
      <c r="F191" s="307" t="s">
        <v>75</v>
      </c>
      <c r="G191" s="307" t="s">
        <v>11</v>
      </c>
      <c r="H191" s="307" t="s">
        <v>11</v>
      </c>
    </row>
    <row r="192" spans="1:8" x14ac:dyDescent="0.2">
      <c r="A192" t="s">
        <v>15</v>
      </c>
      <c r="B192" t="s">
        <v>74</v>
      </c>
      <c r="C192" t="s">
        <v>858</v>
      </c>
      <c r="D192">
        <v>3</v>
      </c>
      <c r="E192" s="307">
        <v>3</v>
      </c>
      <c r="F192" s="307" t="s">
        <v>75</v>
      </c>
      <c r="G192" s="307" t="s">
        <v>11</v>
      </c>
      <c r="H192" s="307" t="s">
        <v>11</v>
      </c>
    </row>
    <row r="193" spans="1:8" x14ac:dyDescent="0.2">
      <c r="A193" t="s">
        <v>15</v>
      </c>
      <c r="B193" t="s">
        <v>74</v>
      </c>
      <c r="C193" t="s">
        <v>859</v>
      </c>
      <c r="D193">
        <v>2</v>
      </c>
      <c r="E193" s="307">
        <v>4</v>
      </c>
      <c r="F193" s="307" t="s">
        <v>75</v>
      </c>
      <c r="G193" s="307" t="s">
        <v>11</v>
      </c>
      <c r="H193" s="307" t="s">
        <v>11</v>
      </c>
    </row>
    <row r="194" spans="1:8" x14ac:dyDescent="0.2">
      <c r="A194" t="s">
        <v>15</v>
      </c>
      <c r="B194" t="s">
        <v>74</v>
      </c>
      <c r="C194" t="s">
        <v>860</v>
      </c>
      <c r="D194">
        <v>3</v>
      </c>
      <c r="E194" s="307">
        <v>3</v>
      </c>
      <c r="F194" s="307" t="s">
        <v>75</v>
      </c>
      <c r="G194" s="307" t="s">
        <v>11</v>
      </c>
      <c r="H194" s="307" t="s">
        <v>11</v>
      </c>
    </row>
    <row r="195" spans="1:8" x14ac:dyDescent="0.2">
      <c r="A195" t="s">
        <v>15</v>
      </c>
      <c r="B195" t="s">
        <v>74</v>
      </c>
      <c r="C195" t="s">
        <v>861</v>
      </c>
      <c r="D195">
        <v>2</v>
      </c>
      <c r="E195" s="307">
        <v>3</v>
      </c>
      <c r="F195" s="307" t="s">
        <v>75</v>
      </c>
      <c r="G195" s="307" t="s">
        <v>11</v>
      </c>
      <c r="H195" s="307" t="s">
        <v>11</v>
      </c>
    </row>
    <row r="196" spans="1:8" x14ac:dyDescent="0.2">
      <c r="A196" t="s">
        <v>15</v>
      </c>
      <c r="B196" t="s">
        <v>74</v>
      </c>
      <c r="C196" t="s">
        <v>862</v>
      </c>
      <c r="D196">
        <v>3</v>
      </c>
      <c r="E196" s="307">
        <v>4</v>
      </c>
      <c r="F196" s="307" t="s">
        <v>105</v>
      </c>
      <c r="G196" s="307" t="s">
        <v>11</v>
      </c>
      <c r="H196" s="307" t="s">
        <v>11</v>
      </c>
    </row>
    <row r="197" spans="1:8" x14ac:dyDescent="0.2">
      <c r="A197" t="s">
        <v>15</v>
      </c>
      <c r="B197" t="s">
        <v>74</v>
      </c>
      <c r="C197" t="s">
        <v>863</v>
      </c>
      <c r="D197">
        <v>2</v>
      </c>
      <c r="E197" s="307">
        <v>4</v>
      </c>
      <c r="F197" s="307" t="s">
        <v>75</v>
      </c>
      <c r="G197" s="307" t="s">
        <v>11</v>
      </c>
      <c r="H197" s="307" t="s">
        <v>11</v>
      </c>
    </row>
    <row r="198" spans="1:8" x14ac:dyDescent="0.2">
      <c r="A198" t="s">
        <v>15</v>
      </c>
      <c r="B198" t="s">
        <v>74</v>
      </c>
      <c r="C198" t="s">
        <v>864</v>
      </c>
      <c r="D198">
        <v>2</v>
      </c>
      <c r="E198" s="307">
        <v>3</v>
      </c>
      <c r="F198" s="307" t="s">
        <v>75</v>
      </c>
      <c r="G198" s="307" t="s">
        <v>11</v>
      </c>
      <c r="H198" s="307" t="s">
        <v>11</v>
      </c>
    </row>
    <row r="199" spans="1:8" x14ac:dyDescent="0.2">
      <c r="A199" t="s">
        <v>15</v>
      </c>
      <c r="B199" t="s">
        <v>74</v>
      </c>
      <c r="C199" t="s">
        <v>865</v>
      </c>
      <c r="D199">
        <v>3</v>
      </c>
      <c r="E199" s="307">
        <v>3</v>
      </c>
      <c r="F199" s="307" t="s">
        <v>75</v>
      </c>
      <c r="G199" s="307" t="s">
        <v>11</v>
      </c>
      <c r="H199" s="307" t="s">
        <v>11</v>
      </c>
    </row>
    <row r="200" spans="1:8" x14ac:dyDescent="0.2">
      <c r="A200" t="s">
        <v>15</v>
      </c>
      <c r="B200" t="s">
        <v>74</v>
      </c>
      <c r="C200" t="s">
        <v>866</v>
      </c>
      <c r="D200">
        <v>3</v>
      </c>
      <c r="E200" s="307">
        <v>4</v>
      </c>
      <c r="F200" s="307" t="s">
        <v>105</v>
      </c>
      <c r="G200" s="307" t="s">
        <v>11</v>
      </c>
      <c r="H200" s="307" t="s">
        <v>11</v>
      </c>
    </row>
    <row r="201" spans="1:8" x14ac:dyDescent="0.2">
      <c r="A201" t="s">
        <v>15</v>
      </c>
      <c r="B201" t="s">
        <v>74</v>
      </c>
      <c r="C201" t="s">
        <v>867</v>
      </c>
      <c r="D201">
        <v>3</v>
      </c>
      <c r="E201" s="307">
        <v>2</v>
      </c>
      <c r="F201" s="307" t="s">
        <v>75</v>
      </c>
      <c r="G201" s="307" t="s">
        <v>11</v>
      </c>
      <c r="H201" s="307" t="s">
        <v>11</v>
      </c>
    </row>
    <row r="202" spans="1:8" x14ac:dyDescent="0.2">
      <c r="A202" t="s">
        <v>15</v>
      </c>
      <c r="B202" t="s">
        <v>74</v>
      </c>
      <c r="C202" t="s">
        <v>868</v>
      </c>
      <c r="D202">
        <v>2</v>
      </c>
      <c r="E202" s="307">
        <v>4</v>
      </c>
      <c r="F202" s="307" t="s">
        <v>75</v>
      </c>
      <c r="G202" s="307" t="s">
        <v>11</v>
      </c>
      <c r="H202" s="307" t="s">
        <v>11</v>
      </c>
    </row>
    <row r="203" spans="1:8" x14ac:dyDescent="0.2">
      <c r="A203" t="s">
        <v>15</v>
      </c>
      <c r="B203" t="s">
        <v>74</v>
      </c>
      <c r="C203" t="s">
        <v>869</v>
      </c>
      <c r="D203">
        <v>2</v>
      </c>
      <c r="E203" s="307">
        <v>3</v>
      </c>
      <c r="F203" s="307" t="s">
        <v>75</v>
      </c>
      <c r="G203" s="307" t="s">
        <v>11</v>
      </c>
      <c r="H203" s="307" t="s">
        <v>11</v>
      </c>
    </row>
    <row r="204" spans="1:8" x14ac:dyDescent="0.2">
      <c r="A204" t="s">
        <v>15</v>
      </c>
      <c r="B204" t="s">
        <v>74</v>
      </c>
      <c r="C204" t="s">
        <v>870</v>
      </c>
      <c r="D204">
        <v>3</v>
      </c>
      <c r="E204" s="307">
        <v>3</v>
      </c>
      <c r="F204" s="307" t="s">
        <v>75</v>
      </c>
      <c r="G204" s="307" t="s">
        <v>11</v>
      </c>
      <c r="H204" s="307" t="s">
        <v>11</v>
      </c>
    </row>
    <row r="205" spans="1:8" x14ac:dyDescent="0.2">
      <c r="A205" t="s">
        <v>15</v>
      </c>
      <c r="B205" t="s">
        <v>74</v>
      </c>
      <c r="C205" t="s">
        <v>871</v>
      </c>
      <c r="D205">
        <v>3</v>
      </c>
      <c r="E205" s="307">
        <v>4</v>
      </c>
      <c r="F205" s="307" t="s">
        <v>75</v>
      </c>
      <c r="G205" s="307" t="s">
        <v>11</v>
      </c>
      <c r="H205" s="307" t="s">
        <v>11</v>
      </c>
    </row>
    <row r="206" spans="1:8" x14ac:dyDescent="0.2">
      <c r="A206" t="s">
        <v>15</v>
      </c>
      <c r="B206" t="s">
        <v>74</v>
      </c>
      <c r="C206" t="s">
        <v>872</v>
      </c>
      <c r="D206">
        <v>3</v>
      </c>
      <c r="E206" s="307">
        <v>5</v>
      </c>
      <c r="F206" s="307" t="s">
        <v>75</v>
      </c>
      <c r="G206" s="307" t="s">
        <v>11</v>
      </c>
      <c r="H206" s="307" t="s">
        <v>11</v>
      </c>
    </row>
    <row r="207" spans="1:8" x14ac:dyDescent="0.2">
      <c r="A207" t="s">
        <v>15</v>
      </c>
      <c r="B207" t="s">
        <v>74</v>
      </c>
      <c r="C207" t="s">
        <v>873</v>
      </c>
      <c r="D207">
        <v>2</v>
      </c>
      <c r="E207" s="307">
        <v>3</v>
      </c>
      <c r="F207" s="307" t="s">
        <v>75</v>
      </c>
      <c r="G207" s="307" t="s">
        <v>11</v>
      </c>
      <c r="H207" s="307" t="s">
        <v>11</v>
      </c>
    </row>
    <row r="208" spans="1:8" x14ac:dyDescent="0.2">
      <c r="A208" t="s">
        <v>15</v>
      </c>
      <c r="B208" t="s">
        <v>74</v>
      </c>
      <c r="C208" t="s">
        <v>874</v>
      </c>
      <c r="D208">
        <v>2</v>
      </c>
      <c r="E208" s="307">
        <v>3</v>
      </c>
      <c r="F208" s="307" t="s">
        <v>75</v>
      </c>
      <c r="G208" s="307" t="s">
        <v>11</v>
      </c>
      <c r="H208" s="307" t="s">
        <v>11</v>
      </c>
    </row>
    <row r="209" spans="1:8" x14ac:dyDescent="0.2">
      <c r="A209" t="s">
        <v>15</v>
      </c>
      <c r="B209" t="s">
        <v>74</v>
      </c>
      <c r="C209" t="s">
        <v>875</v>
      </c>
      <c r="D209">
        <v>3</v>
      </c>
      <c r="E209" s="307">
        <v>3</v>
      </c>
      <c r="F209" s="307" t="s">
        <v>105</v>
      </c>
      <c r="G209" s="307" t="s">
        <v>11</v>
      </c>
      <c r="H209" s="307" t="s">
        <v>11</v>
      </c>
    </row>
    <row r="210" spans="1:8" x14ac:dyDescent="0.2">
      <c r="A210" t="s">
        <v>15</v>
      </c>
      <c r="B210" t="s">
        <v>74</v>
      </c>
      <c r="C210" t="s">
        <v>876</v>
      </c>
      <c r="D210">
        <v>2</v>
      </c>
      <c r="E210" s="307">
        <v>4</v>
      </c>
      <c r="F210" s="307" t="s">
        <v>75</v>
      </c>
      <c r="G210" s="307" t="s">
        <v>11</v>
      </c>
      <c r="H210" s="307" t="s">
        <v>11</v>
      </c>
    </row>
    <row r="211" spans="1:8" x14ac:dyDescent="0.2">
      <c r="A211" t="s">
        <v>15</v>
      </c>
      <c r="B211" t="s">
        <v>74</v>
      </c>
      <c r="C211" t="s">
        <v>877</v>
      </c>
      <c r="D211">
        <v>3</v>
      </c>
      <c r="E211" s="307">
        <v>3</v>
      </c>
      <c r="F211" s="307" t="s">
        <v>105</v>
      </c>
      <c r="G211" s="307" t="s">
        <v>11</v>
      </c>
      <c r="H211" s="307" t="s">
        <v>11</v>
      </c>
    </row>
    <row r="212" spans="1:8" x14ac:dyDescent="0.2">
      <c r="A212" t="s">
        <v>15</v>
      </c>
      <c r="B212" t="s">
        <v>74</v>
      </c>
      <c r="C212" t="s">
        <v>878</v>
      </c>
      <c r="D212">
        <v>3</v>
      </c>
      <c r="E212" s="307">
        <v>3</v>
      </c>
      <c r="F212" s="307" t="s">
        <v>75</v>
      </c>
      <c r="G212" s="307" t="s">
        <v>11</v>
      </c>
      <c r="H212" s="307" t="s">
        <v>11</v>
      </c>
    </row>
    <row r="213" spans="1:8" x14ac:dyDescent="0.2">
      <c r="A213" t="s">
        <v>15</v>
      </c>
      <c r="B213" t="s">
        <v>74</v>
      </c>
      <c r="C213" t="s">
        <v>879</v>
      </c>
      <c r="D213">
        <v>3</v>
      </c>
      <c r="E213" s="307">
        <v>5</v>
      </c>
      <c r="F213" s="307" t="s">
        <v>75</v>
      </c>
      <c r="G213" s="307" t="s">
        <v>11</v>
      </c>
      <c r="H213" s="307" t="s">
        <v>11</v>
      </c>
    </row>
    <row r="214" spans="1:8" x14ac:dyDescent="0.2">
      <c r="A214" t="s">
        <v>15</v>
      </c>
      <c r="B214" t="s">
        <v>74</v>
      </c>
      <c r="C214" t="s">
        <v>880</v>
      </c>
      <c r="D214">
        <v>2</v>
      </c>
      <c r="E214" s="307">
        <v>6</v>
      </c>
      <c r="F214" s="307" t="s">
        <v>75</v>
      </c>
      <c r="G214" s="307" t="s">
        <v>11</v>
      </c>
      <c r="H214" s="307" t="s">
        <v>11</v>
      </c>
    </row>
    <row r="215" spans="1:8" x14ac:dyDescent="0.2">
      <c r="A215" t="s">
        <v>15</v>
      </c>
      <c r="B215" t="s">
        <v>74</v>
      </c>
      <c r="C215" t="s">
        <v>881</v>
      </c>
      <c r="D215">
        <v>2</v>
      </c>
      <c r="E215" s="307">
        <v>3</v>
      </c>
      <c r="F215" s="307" t="s">
        <v>105</v>
      </c>
      <c r="G215" s="307" t="s">
        <v>11</v>
      </c>
      <c r="H215" s="307" t="s">
        <v>11</v>
      </c>
    </row>
    <row r="216" spans="1:8" x14ac:dyDescent="0.2">
      <c r="A216" t="s">
        <v>15</v>
      </c>
      <c r="B216" t="s">
        <v>74</v>
      </c>
      <c r="C216" t="s">
        <v>882</v>
      </c>
      <c r="D216">
        <v>3</v>
      </c>
      <c r="E216" s="307">
        <v>3</v>
      </c>
      <c r="F216" s="307" t="s">
        <v>105</v>
      </c>
      <c r="G216" s="307" t="s">
        <v>11</v>
      </c>
      <c r="H216" s="307" t="s">
        <v>11</v>
      </c>
    </row>
    <row r="217" spans="1:8" x14ac:dyDescent="0.2">
      <c r="A217" t="s">
        <v>15</v>
      </c>
      <c r="B217" t="s">
        <v>74</v>
      </c>
      <c r="C217" t="s">
        <v>833</v>
      </c>
      <c r="D217">
        <v>2</v>
      </c>
      <c r="E217" s="307">
        <v>5</v>
      </c>
      <c r="F217" s="307" t="s">
        <v>75</v>
      </c>
      <c r="G217" s="307" t="s">
        <v>11</v>
      </c>
      <c r="H217" s="307" t="s">
        <v>11</v>
      </c>
    </row>
    <row r="218" spans="1:8" x14ac:dyDescent="0.2">
      <c r="A218" t="s">
        <v>15</v>
      </c>
      <c r="B218" t="s">
        <v>74</v>
      </c>
      <c r="C218" t="s">
        <v>883</v>
      </c>
      <c r="D218">
        <v>3</v>
      </c>
      <c r="E218" s="307">
        <v>3</v>
      </c>
      <c r="F218" s="307" t="s">
        <v>75</v>
      </c>
      <c r="G218" s="307" t="s">
        <v>11</v>
      </c>
      <c r="H218" s="307" t="s">
        <v>11</v>
      </c>
    </row>
    <row r="219" spans="1:8" x14ac:dyDescent="0.2">
      <c r="A219" t="s">
        <v>15</v>
      </c>
      <c r="B219" t="s">
        <v>74</v>
      </c>
      <c r="C219" t="s">
        <v>884</v>
      </c>
      <c r="D219">
        <v>2</v>
      </c>
      <c r="E219" s="307">
        <v>3</v>
      </c>
      <c r="F219" s="307" t="s">
        <v>75</v>
      </c>
      <c r="G219" s="307" t="s">
        <v>11</v>
      </c>
      <c r="H219" s="307" t="s">
        <v>11</v>
      </c>
    </row>
    <row r="220" spans="1:8" x14ac:dyDescent="0.2">
      <c r="A220" t="s">
        <v>15</v>
      </c>
      <c r="B220" t="s">
        <v>74</v>
      </c>
      <c r="C220" t="s">
        <v>885</v>
      </c>
      <c r="D220">
        <v>2</v>
      </c>
      <c r="E220" s="307">
        <v>5</v>
      </c>
      <c r="F220" s="307" t="s">
        <v>75</v>
      </c>
      <c r="G220" s="307" t="s">
        <v>11</v>
      </c>
      <c r="H220" s="307" t="s">
        <v>11</v>
      </c>
    </row>
    <row r="221" spans="1:8" x14ac:dyDescent="0.2">
      <c r="A221" t="s">
        <v>15</v>
      </c>
      <c r="B221" t="s">
        <v>74</v>
      </c>
      <c r="C221" t="s">
        <v>886</v>
      </c>
      <c r="D221">
        <v>2</v>
      </c>
      <c r="E221" s="307">
        <v>3</v>
      </c>
      <c r="F221" s="307" t="s">
        <v>75</v>
      </c>
      <c r="G221" s="307" t="s">
        <v>11</v>
      </c>
      <c r="H221" s="307" t="s">
        <v>11</v>
      </c>
    </row>
    <row r="222" spans="1:8" x14ac:dyDescent="0.2">
      <c r="A222" t="s">
        <v>15</v>
      </c>
      <c r="B222" t="s">
        <v>74</v>
      </c>
      <c r="C222" t="s">
        <v>887</v>
      </c>
      <c r="D222">
        <v>3</v>
      </c>
      <c r="E222" s="307">
        <v>3</v>
      </c>
      <c r="F222" s="307" t="s">
        <v>75</v>
      </c>
      <c r="G222" s="307" t="s">
        <v>11</v>
      </c>
      <c r="H222" s="307" t="s">
        <v>11</v>
      </c>
    </row>
    <row r="223" spans="1:8" x14ac:dyDescent="0.2">
      <c r="A223" t="s">
        <v>15</v>
      </c>
      <c r="B223" t="s">
        <v>74</v>
      </c>
      <c r="C223" t="s">
        <v>888</v>
      </c>
      <c r="D223">
        <v>2</v>
      </c>
      <c r="E223" s="307">
        <v>3</v>
      </c>
      <c r="F223" s="307" t="s">
        <v>105</v>
      </c>
      <c r="G223" s="307" t="s">
        <v>11</v>
      </c>
      <c r="H223" s="307" t="s">
        <v>11</v>
      </c>
    </row>
    <row r="224" spans="1:8" x14ac:dyDescent="0.2">
      <c r="A224" t="s">
        <v>15</v>
      </c>
      <c r="B224" t="s">
        <v>74</v>
      </c>
      <c r="C224" t="s">
        <v>889</v>
      </c>
      <c r="D224">
        <v>2</v>
      </c>
      <c r="E224" s="307">
        <v>3</v>
      </c>
      <c r="F224" s="307" t="s">
        <v>75</v>
      </c>
      <c r="G224" s="307" t="s">
        <v>11</v>
      </c>
      <c r="H224" s="307" t="s">
        <v>11</v>
      </c>
    </row>
    <row r="225" spans="1:8" x14ac:dyDescent="0.2">
      <c r="A225" t="s">
        <v>15</v>
      </c>
      <c r="B225" t="s">
        <v>74</v>
      </c>
      <c r="C225" t="s">
        <v>890</v>
      </c>
      <c r="D225">
        <v>3</v>
      </c>
      <c r="E225" s="307">
        <v>3</v>
      </c>
      <c r="F225" s="307" t="s">
        <v>75</v>
      </c>
      <c r="G225" s="307" t="s">
        <v>11</v>
      </c>
      <c r="H225" s="307" t="s">
        <v>11</v>
      </c>
    </row>
    <row r="226" spans="1:8" x14ac:dyDescent="0.2">
      <c r="A226" t="s">
        <v>15</v>
      </c>
      <c r="B226" t="s">
        <v>74</v>
      </c>
      <c r="C226" t="s">
        <v>891</v>
      </c>
      <c r="D226">
        <v>2</v>
      </c>
      <c r="E226" s="307">
        <v>3</v>
      </c>
      <c r="F226" s="307" t="s">
        <v>105</v>
      </c>
      <c r="G226" s="307" t="s">
        <v>11</v>
      </c>
      <c r="H226" s="307" t="s">
        <v>11</v>
      </c>
    </row>
    <row r="227" spans="1:8" x14ac:dyDescent="0.2">
      <c r="A227" t="s">
        <v>15</v>
      </c>
      <c r="B227" t="s">
        <v>74</v>
      </c>
      <c r="C227" t="s">
        <v>892</v>
      </c>
      <c r="D227">
        <v>3</v>
      </c>
      <c r="E227" s="307">
        <v>3</v>
      </c>
      <c r="F227" s="307" t="s">
        <v>75</v>
      </c>
      <c r="G227" s="307" t="s">
        <v>11</v>
      </c>
      <c r="H227" s="307" t="s">
        <v>11</v>
      </c>
    </row>
    <row r="228" spans="1:8" x14ac:dyDescent="0.2">
      <c r="A228" t="s">
        <v>15</v>
      </c>
      <c r="B228" t="s">
        <v>74</v>
      </c>
      <c r="C228" t="s">
        <v>893</v>
      </c>
      <c r="D228">
        <v>2</v>
      </c>
      <c r="E228" s="307">
        <v>3</v>
      </c>
      <c r="F228" s="307" t="s">
        <v>105</v>
      </c>
      <c r="G228" s="307" t="s">
        <v>11</v>
      </c>
      <c r="H228" s="307" t="s">
        <v>11</v>
      </c>
    </row>
    <row r="229" spans="1:8" x14ac:dyDescent="0.2">
      <c r="A229" t="s">
        <v>15</v>
      </c>
      <c r="B229" t="s">
        <v>74</v>
      </c>
      <c r="C229" t="s">
        <v>894</v>
      </c>
      <c r="D229">
        <v>2</v>
      </c>
      <c r="E229" s="307">
        <v>3</v>
      </c>
      <c r="F229" s="307" t="s">
        <v>105</v>
      </c>
      <c r="G229" s="307" t="s">
        <v>11</v>
      </c>
      <c r="H229" s="307" t="s">
        <v>11</v>
      </c>
    </row>
    <row r="230" spans="1:8" x14ac:dyDescent="0.2">
      <c r="A230" t="s">
        <v>15</v>
      </c>
      <c r="B230" t="s">
        <v>74</v>
      </c>
      <c r="C230" t="s">
        <v>895</v>
      </c>
      <c r="D230">
        <v>1</v>
      </c>
      <c r="E230" s="307">
        <v>3</v>
      </c>
      <c r="F230" s="307" t="s">
        <v>105</v>
      </c>
      <c r="G230" s="307" t="s">
        <v>11</v>
      </c>
      <c r="H230" s="307" t="s">
        <v>11</v>
      </c>
    </row>
    <row r="231" spans="1:8" x14ac:dyDescent="0.2">
      <c r="A231" t="s">
        <v>15</v>
      </c>
      <c r="B231" t="s">
        <v>74</v>
      </c>
      <c r="C231" t="s">
        <v>896</v>
      </c>
      <c r="D231">
        <v>2</v>
      </c>
      <c r="E231" s="307">
        <v>3</v>
      </c>
      <c r="F231" s="307" t="s">
        <v>105</v>
      </c>
      <c r="G231" s="307" t="s">
        <v>11</v>
      </c>
      <c r="H231" s="307" t="s">
        <v>11</v>
      </c>
    </row>
    <row r="232" spans="1:8" x14ac:dyDescent="0.2">
      <c r="A232" t="s">
        <v>15</v>
      </c>
      <c r="B232" t="s">
        <v>74</v>
      </c>
      <c r="C232" t="s">
        <v>795</v>
      </c>
      <c r="D232">
        <v>2</v>
      </c>
      <c r="E232" s="307">
        <v>3</v>
      </c>
      <c r="F232" s="307" t="s">
        <v>105</v>
      </c>
      <c r="G232" s="307" t="s">
        <v>11</v>
      </c>
      <c r="H232" s="307" t="s">
        <v>11</v>
      </c>
    </row>
    <row r="233" spans="1:8" x14ac:dyDescent="0.2">
      <c r="A233" t="s">
        <v>15</v>
      </c>
      <c r="B233" t="s">
        <v>74</v>
      </c>
      <c r="C233" t="s">
        <v>897</v>
      </c>
      <c r="D233">
        <v>3</v>
      </c>
      <c r="E233" s="307">
        <v>3</v>
      </c>
      <c r="F233" s="307" t="s">
        <v>75</v>
      </c>
      <c r="G233" s="307" t="s">
        <v>11</v>
      </c>
      <c r="H233" s="307" t="s">
        <v>11</v>
      </c>
    </row>
    <row r="234" spans="1:8" x14ac:dyDescent="0.2">
      <c r="A234" t="s">
        <v>15</v>
      </c>
      <c r="B234" t="s">
        <v>74</v>
      </c>
      <c r="C234" t="s">
        <v>898</v>
      </c>
      <c r="D234">
        <v>2</v>
      </c>
      <c r="E234" s="307">
        <v>5</v>
      </c>
      <c r="F234" s="307" t="s">
        <v>75</v>
      </c>
      <c r="G234" s="307" t="s">
        <v>11</v>
      </c>
      <c r="H234" s="307" t="s">
        <v>11</v>
      </c>
    </row>
    <row r="235" spans="1:8" x14ac:dyDescent="0.2">
      <c r="A235" t="s">
        <v>15</v>
      </c>
      <c r="B235" t="s">
        <v>74</v>
      </c>
      <c r="C235" t="s">
        <v>899</v>
      </c>
      <c r="D235">
        <v>3</v>
      </c>
      <c r="E235" s="307">
        <v>5</v>
      </c>
      <c r="F235" s="307" t="s">
        <v>75</v>
      </c>
      <c r="G235" s="307" t="s">
        <v>11</v>
      </c>
      <c r="H235" s="307" t="s">
        <v>11</v>
      </c>
    </row>
    <row r="236" spans="1:8" x14ac:dyDescent="0.2">
      <c r="A236" t="s">
        <v>15</v>
      </c>
      <c r="B236" t="s">
        <v>74</v>
      </c>
      <c r="C236" t="s">
        <v>900</v>
      </c>
      <c r="D236">
        <v>3</v>
      </c>
      <c r="E236" s="307">
        <v>3</v>
      </c>
      <c r="F236" s="307" t="s">
        <v>75</v>
      </c>
      <c r="G236" s="307" t="s">
        <v>11</v>
      </c>
      <c r="H236" s="307" t="s">
        <v>11</v>
      </c>
    </row>
    <row r="237" spans="1:8" x14ac:dyDescent="0.2">
      <c r="A237" t="s">
        <v>15</v>
      </c>
      <c r="B237" t="s">
        <v>74</v>
      </c>
      <c r="C237" t="s">
        <v>901</v>
      </c>
      <c r="D237">
        <v>3</v>
      </c>
      <c r="E237" s="307">
        <v>3</v>
      </c>
      <c r="F237" s="307" t="s">
        <v>105</v>
      </c>
      <c r="G237" s="307" t="s">
        <v>11</v>
      </c>
      <c r="H237" s="307" t="s">
        <v>11</v>
      </c>
    </row>
    <row r="238" spans="1:8" x14ac:dyDescent="0.2">
      <c r="A238" t="s">
        <v>15</v>
      </c>
      <c r="B238" t="s">
        <v>74</v>
      </c>
      <c r="C238" t="s">
        <v>902</v>
      </c>
      <c r="D238">
        <v>3</v>
      </c>
      <c r="E238" s="307">
        <v>3</v>
      </c>
      <c r="F238" s="307" t="s">
        <v>75</v>
      </c>
      <c r="G238" s="307" t="s">
        <v>11</v>
      </c>
      <c r="H238" s="307" t="s">
        <v>11</v>
      </c>
    </row>
    <row r="239" spans="1:8" x14ac:dyDescent="0.2">
      <c r="A239" t="s">
        <v>15</v>
      </c>
      <c r="B239" t="s">
        <v>74</v>
      </c>
      <c r="C239" t="s">
        <v>903</v>
      </c>
      <c r="D239">
        <v>3</v>
      </c>
      <c r="E239" s="307">
        <v>3</v>
      </c>
      <c r="F239" s="307" t="s">
        <v>75</v>
      </c>
      <c r="G239" s="307" t="s">
        <v>11</v>
      </c>
      <c r="H239" s="307" t="s">
        <v>11</v>
      </c>
    </row>
    <row r="240" spans="1:8" x14ac:dyDescent="0.2">
      <c r="A240" t="s">
        <v>15</v>
      </c>
      <c r="B240" t="s">
        <v>74</v>
      </c>
      <c r="C240" t="s">
        <v>904</v>
      </c>
      <c r="D240">
        <v>3</v>
      </c>
      <c r="E240" s="307">
        <v>3</v>
      </c>
      <c r="F240" s="307" t="s">
        <v>75</v>
      </c>
      <c r="G240" s="307" t="s">
        <v>11</v>
      </c>
      <c r="H240" s="307" t="s">
        <v>11</v>
      </c>
    </row>
    <row r="241" spans="1:8" x14ac:dyDescent="0.2">
      <c r="A241" t="s">
        <v>15</v>
      </c>
      <c r="B241" t="s">
        <v>74</v>
      </c>
      <c r="C241" t="s">
        <v>905</v>
      </c>
      <c r="D241">
        <v>3</v>
      </c>
      <c r="E241" s="307">
        <v>4</v>
      </c>
      <c r="F241" s="307" t="s">
        <v>75</v>
      </c>
      <c r="G241" s="307" t="s">
        <v>11</v>
      </c>
      <c r="H241" s="307" t="s">
        <v>11</v>
      </c>
    </row>
    <row r="242" spans="1:8" x14ac:dyDescent="0.2">
      <c r="A242" t="s">
        <v>15</v>
      </c>
      <c r="B242" t="s">
        <v>74</v>
      </c>
      <c r="C242" t="s">
        <v>906</v>
      </c>
      <c r="D242">
        <v>2</v>
      </c>
      <c r="E242" s="307">
        <v>3</v>
      </c>
      <c r="F242" s="307" t="s">
        <v>75</v>
      </c>
      <c r="G242" s="307" t="s">
        <v>11</v>
      </c>
      <c r="H242" s="307" t="s">
        <v>11</v>
      </c>
    </row>
    <row r="243" spans="1:8" x14ac:dyDescent="0.2">
      <c r="A243" t="s">
        <v>15</v>
      </c>
      <c r="B243" t="s">
        <v>74</v>
      </c>
      <c r="C243" t="s">
        <v>907</v>
      </c>
      <c r="D243">
        <v>2</v>
      </c>
      <c r="E243" s="307">
        <v>4</v>
      </c>
      <c r="F243" s="307" t="s">
        <v>75</v>
      </c>
      <c r="G243" s="307" t="s">
        <v>11</v>
      </c>
      <c r="H243" s="307" t="s">
        <v>11</v>
      </c>
    </row>
    <row r="244" spans="1:8" x14ac:dyDescent="0.2">
      <c r="A244" t="s">
        <v>15</v>
      </c>
      <c r="B244" t="s">
        <v>74</v>
      </c>
      <c r="C244" t="s">
        <v>908</v>
      </c>
      <c r="D244">
        <v>1</v>
      </c>
      <c r="E244" s="307">
        <v>3</v>
      </c>
      <c r="F244" s="307" t="s">
        <v>105</v>
      </c>
      <c r="G244" s="307" t="s">
        <v>11</v>
      </c>
      <c r="H244" s="307" t="s">
        <v>11</v>
      </c>
    </row>
    <row r="245" spans="1:8" x14ac:dyDescent="0.2">
      <c r="A245" t="s">
        <v>15</v>
      </c>
      <c r="B245" t="s">
        <v>74</v>
      </c>
      <c r="C245" t="s">
        <v>909</v>
      </c>
      <c r="D245">
        <v>3</v>
      </c>
      <c r="E245" s="307">
        <v>3</v>
      </c>
      <c r="F245" s="307" t="s">
        <v>75</v>
      </c>
      <c r="G245" s="307" t="s">
        <v>11</v>
      </c>
      <c r="H245" s="307" t="s">
        <v>11</v>
      </c>
    </row>
    <row r="246" spans="1:8" x14ac:dyDescent="0.2">
      <c r="A246" t="s">
        <v>15</v>
      </c>
      <c r="B246" t="s">
        <v>74</v>
      </c>
      <c r="C246" t="s">
        <v>910</v>
      </c>
      <c r="D246">
        <v>2</v>
      </c>
      <c r="E246" s="307">
        <v>3</v>
      </c>
      <c r="F246" s="307" t="s">
        <v>75</v>
      </c>
      <c r="G246" s="307" t="s">
        <v>11</v>
      </c>
      <c r="H246" s="307" t="s">
        <v>11</v>
      </c>
    </row>
    <row r="247" spans="1:8" x14ac:dyDescent="0.2">
      <c r="A247" t="s">
        <v>16</v>
      </c>
      <c r="B247" t="s">
        <v>40</v>
      </c>
      <c r="C247" t="s">
        <v>911</v>
      </c>
      <c r="D247">
        <v>1</v>
      </c>
      <c r="E247" s="307">
        <v>5</v>
      </c>
      <c r="F247" s="307" t="s">
        <v>75</v>
      </c>
      <c r="G247" s="307" t="s">
        <v>11</v>
      </c>
      <c r="H247" s="307" t="s">
        <v>11</v>
      </c>
    </row>
    <row r="248" spans="1:8" x14ac:dyDescent="0.2">
      <c r="A248" t="s">
        <v>16</v>
      </c>
      <c r="B248" t="s">
        <v>40</v>
      </c>
      <c r="C248" t="s">
        <v>912</v>
      </c>
      <c r="D248">
        <v>2</v>
      </c>
      <c r="E248" s="307">
        <v>6</v>
      </c>
      <c r="F248" s="307" t="s">
        <v>75</v>
      </c>
      <c r="G248" s="307" t="s">
        <v>11</v>
      </c>
      <c r="H248" s="307" t="s">
        <v>11</v>
      </c>
    </row>
    <row r="249" spans="1:8" x14ac:dyDescent="0.2">
      <c r="A249" t="s">
        <v>16</v>
      </c>
      <c r="B249" t="s">
        <v>40</v>
      </c>
      <c r="C249" t="s">
        <v>913</v>
      </c>
      <c r="D249">
        <v>1</v>
      </c>
      <c r="E249" s="307">
        <v>5</v>
      </c>
      <c r="F249" s="307" t="s">
        <v>75</v>
      </c>
      <c r="G249" s="307" t="s">
        <v>11</v>
      </c>
      <c r="H249" s="307" t="s">
        <v>11</v>
      </c>
    </row>
    <row r="250" spans="1:8" x14ac:dyDescent="0.2">
      <c r="A250" t="s">
        <v>16</v>
      </c>
      <c r="B250" t="s">
        <v>40</v>
      </c>
      <c r="C250" t="s">
        <v>914</v>
      </c>
      <c r="D250">
        <v>2</v>
      </c>
      <c r="E250" s="307">
        <v>6</v>
      </c>
      <c r="F250" s="307" t="s">
        <v>75</v>
      </c>
      <c r="G250" s="307" t="s">
        <v>11</v>
      </c>
      <c r="H250" s="307" t="s">
        <v>11</v>
      </c>
    </row>
    <row r="251" spans="1:8" x14ac:dyDescent="0.2">
      <c r="A251" t="s">
        <v>16</v>
      </c>
      <c r="B251" t="s">
        <v>40</v>
      </c>
      <c r="C251" t="s">
        <v>915</v>
      </c>
      <c r="D251">
        <v>1</v>
      </c>
      <c r="E251" s="307">
        <v>4</v>
      </c>
      <c r="F251" s="307" t="s">
        <v>75</v>
      </c>
      <c r="G251" s="307" t="s">
        <v>11</v>
      </c>
      <c r="H251" s="307" t="s">
        <v>11</v>
      </c>
    </row>
    <row r="252" spans="1:8" x14ac:dyDescent="0.2">
      <c r="A252" t="s">
        <v>16</v>
      </c>
      <c r="B252" t="s">
        <v>40</v>
      </c>
      <c r="C252" t="s">
        <v>916</v>
      </c>
      <c r="D252">
        <v>1</v>
      </c>
      <c r="E252" s="307">
        <v>5</v>
      </c>
      <c r="F252" s="307" t="s">
        <v>75</v>
      </c>
      <c r="G252" s="307" t="s">
        <v>11</v>
      </c>
      <c r="H252" s="307" t="s">
        <v>11</v>
      </c>
    </row>
    <row r="253" spans="1:8" x14ac:dyDescent="0.2">
      <c r="A253" t="s">
        <v>16</v>
      </c>
      <c r="B253" t="s">
        <v>40</v>
      </c>
      <c r="C253" t="s">
        <v>917</v>
      </c>
      <c r="D253">
        <v>1</v>
      </c>
      <c r="E253" s="307">
        <v>5</v>
      </c>
      <c r="F253" s="307" t="s">
        <v>75</v>
      </c>
      <c r="G253" s="307" t="s">
        <v>11</v>
      </c>
      <c r="H253" s="307" t="s">
        <v>11</v>
      </c>
    </row>
    <row r="254" spans="1:8" x14ac:dyDescent="0.2">
      <c r="A254" t="s">
        <v>16</v>
      </c>
      <c r="B254" t="s">
        <v>40</v>
      </c>
      <c r="C254" t="s">
        <v>918</v>
      </c>
      <c r="D254">
        <v>1</v>
      </c>
      <c r="E254" s="307">
        <v>5</v>
      </c>
      <c r="F254" s="307" t="s">
        <v>75</v>
      </c>
      <c r="G254" s="307" t="s">
        <v>11</v>
      </c>
      <c r="H254" s="307" t="s">
        <v>11</v>
      </c>
    </row>
    <row r="255" spans="1:8" x14ac:dyDescent="0.2">
      <c r="A255" t="s">
        <v>16</v>
      </c>
      <c r="B255" t="s">
        <v>40</v>
      </c>
      <c r="C255" t="s">
        <v>919</v>
      </c>
      <c r="D255">
        <v>1</v>
      </c>
      <c r="E255" s="307">
        <v>6</v>
      </c>
      <c r="F255" s="307" t="s">
        <v>75</v>
      </c>
      <c r="G255" s="307" t="s">
        <v>11</v>
      </c>
      <c r="H255" s="307" t="s">
        <v>11</v>
      </c>
    </row>
    <row r="256" spans="1:8" x14ac:dyDescent="0.2">
      <c r="A256" t="s">
        <v>16</v>
      </c>
      <c r="B256" t="s">
        <v>40</v>
      </c>
      <c r="C256" t="s">
        <v>920</v>
      </c>
      <c r="D256">
        <v>1</v>
      </c>
      <c r="E256" s="307">
        <v>5</v>
      </c>
      <c r="F256" s="307" t="s">
        <v>75</v>
      </c>
      <c r="G256" s="307" t="s">
        <v>11</v>
      </c>
      <c r="H256" s="307" t="s">
        <v>11</v>
      </c>
    </row>
    <row r="257" spans="1:8" x14ac:dyDescent="0.2">
      <c r="A257" t="s">
        <v>16</v>
      </c>
      <c r="B257" t="s">
        <v>40</v>
      </c>
      <c r="C257" t="s">
        <v>921</v>
      </c>
      <c r="D257">
        <v>1</v>
      </c>
      <c r="E257" s="307">
        <v>7</v>
      </c>
      <c r="F257" s="307" t="s">
        <v>11</v>
      </c>
      <c r="G257" s="307" t="s">
        <v>11</v>
      </c>
      <c r="H257" s="307" t="s">
        <v>11</v>
      </c>
    </row>
    <row r="258" spans="1:8" x14ac:dyDescent="0.2">
      <c r="A258" t="s">
        <v>16</v>
      </c>
      <c r="B258" t="s">
        <v>40</v>
      </c>
      <c r="C258" t="s">
        <v>922</v>
      </c>
      <c r="D258">
        <v>2</v>
      </c>
      <c r="E258" s="307">
        <v>6</v>
      </c>
      <c r="F258" s="307" t="s">
        <v>75</v>
      </c>
      <c r="G258" s="307" t="s">
        <v>11</v>
      </c>
      <c r="H258" s="307" t="s">
        <v>11</v>
      </c>
    </row>
    <row r="259" spans="1:8" x14ac:dyDescent="0.2">
      <c r="A259" t="s">
        <v>16</v>
      </c>
      <c r="B259" t="s">
        <v>40</v>
      </c>
      <c r="C259" t="s">
        <v>923</v>
      </c>
      <c r="D259">
        <v>2</v>
      </c>
      <c r="E259" s="307">
        <v>6</v>
      </c>
      <c r="F259" s="307" t="s">
        <v>75</v>
      </c>
      <c r="G259" s="307" t="s">
        <v>11</v>
      </c>
      <c r="H259" s="307" t="s">
        <v>11</v>
      </c>
    </row>
    <row r="260" spans="1:8" x14ac:dyDescent="0.2">
      <c r="A260" t="s">
        <v>16</v>
      </c>
      <c r="B260" t="s">
        <v>40</v>
      </c>
      <c r="C260" t="s">
        <v>924</v>
      </c>
      <c r="D260">
        <v>1</v>
      </c>
      <c r="E260" s="307">
        <v>5</v>
      </c>
      <c r="F260" s="307" t="s">
        <v>75</v>
      </c>
      <c r="G260" s="307" t="s">
        <v>11</v>
      </c>
      <c r="H260" s="307" t="s">
        <v>11</v>
      </c>
    </row>
    <row r="261" spans="1:8" x14ac:dyDescent="0.2">
      <c r="A261" t="s">
        <v>16</v>
      </c>
      <c r="B261" t="s">
        <v>40</v>
      </c>
      <c r="C261" t="s">
        <v>925</v>
      </c>
      <c r="D261">
        <v>1</v>
      </c>
      <c r="E261" s="307">
        <v>6</v>
      </c>
      <c r="F261" s="307" t="s">
        <v>75</v>
      </c>
      <c r="G261" s="307" t="s">
        <v>11</v>
      </c>
      <c r="H261" s="307" t="s">
        <v>11</v>
      </c>
    </row>
    <row r="262" spans="1:8" x14ac:dyDescent="0.2">
      <c r="A262" t="s">
        <v>16</v>
      </c>
      <c r="B262" t="s">
        <v>40</v>
      </c>
      <c r="C262" t="s">
        <v>926</v>
      </c>
      <c r="D262">
        <v>1</v>
      </c>
      <c r="E262" s="307">
        <v>5</v>
      </c>
      <c r="F262" s="307" t="s">
        <v>75</v>
      </c>
      <c r="G262" s="307" t="s">
        <v>11</v>
      </c>
      <c r="H262" s="307" t="s">
        <v>11</v>
      </c>
    </row>
    <row r="263" spans="1:8" x14ac:dyDescent="0.2">
      <c r="A263" t="s">
        <v>16</v>
      </c>
      <c r="B263" t="s">
        <v>40</v>
      </c>
      <c r="C263" t="s">
        <v>927</v>
      </c>
      <c r="D263">
        <v>1</v>
      </c>
      <c r="E263" s="307">
        <v>5</v>
      </c>
      <c r="F263" s="307" t="s">
        <v>75</v>
      </c>
      <c r="G263" s="307" t="s">
        <v>11</v>
      </c>
      <c r="H263" s="307" t="s">
        <v>11</v>
      </c>
    </row>
    <row r="264" spans="1:8" x14ac:dyDescent="0.2">
      <c r="A264" t="s">
        <v>16</v>
      </c>
      <c r="B264" t="s">
        <v>40</v>
      </c>
      <c r="C264" t="s">
        <v>928</v>
      </c>
      <c r="D264">
        <v>1</v>
      </c>
      <c r="E264" s="307">
        <v>6</v>
      </c>
      <c r="F264" s="307" t="s">
        <v>75</v>
      </c>
      <c r="G264" s="307" t="s">
        <v>11</v>
      </c>
      <c r="H264" s="307" t="s">
        <v>11</v>
      </c>
    </row>
    <row r="265" spans="1:8" x14ac:dyDescent="0.2">
      <c r="A265" t="s">
        <v>16</v>
      </c>
      <c r="B265" t="s">
        <v>40</v>
      </c>
      <c r="C265" t="s">
        <v>929</v>
      </c>
      <c r="D265">
        <v>1</v>
      </c>
      <c r="E265" s="307">
        <v>5</v>
      </c>
      <c r="F265" s="307" t="s">
        <v>75</v>
      </c>
      <c r="G265" s="307" t="s">
        <v>11</v>
      </c>
      <c r="H265" s="307" t="s">
        <v>11</v>
      </c>
    </row>
    <row r="266" spans="1:8" x14ac:dyDescent="0.2">
      <c r="A266" t="s">
        <v>16</v>
      </c>
      <c r="B266" t="s">
        <v>40</v>
      </c>
      <c r="C266" t="s">
        <v>930</v>
      </c>
      <c r="D266">
        <v>2</v>
      </c>
      <c r="E266" s="307">
        <v>6</v>
      </c>
      <c r="F266" s="307" t="s">
        <v>75</v>
      </c>
      <c r="G266" s="307" t="s">
        <v>11</v>
      </c>
      <c r="H266" s="307" t="s">
        <v>11</v>
      </c>
    </row>
    <row r="267" spans="1:8" x14ac:dyDescent="0.2">
      <c r="A267" t="s">
        <v>16</v>
      </c>
      <c r="B267" t="s">
        <v>40</v>
      </c>
      <c r="C267" t="s">
        <v>931</v>
      </c>
      <c r="D267">
        <v>1</v>
      </c>
      <c r="E267" s="307">
        <v>5</v>
      </c>
      <c r="F267" s="307" t="s">
        <v>75</v>
      </c>
      <c r="G267" s="307" t="s">
        <v>11</v>
      </c>
      <c r="H267" s="307" t="s">
        <v>11</v>
      </c>
    </row>
    <row r="268" spans="1:8" x14ac:dyDescent="0.2">
      <c r="A268" t="s">
        <v>16</v>
      </c>
      <c r="B268" t="s">
        <v>40</v>
      </c>
      <c r="C268" t="s">
        <v>932</v>
      </c>
      <c r="D268">
        <v>1</v>
      </c>
      <c r="E268" s="307">
        <v>5</v>
      </c>
      <c r="F268" s="307" t="s">
        <v>75</v>
      </c>
      <c r="G268" s="307" t="s">
        <v>11</v>
      </c>
      <c r="H268" s="307" t="s">
        <v>11</v>
      </c>
    </row>
    <row r="269" spans="1:8" x14ac:dyDescent="0.2">
      <c r="A269" t="s">
        <v>16</v>
      </c>
      <c r="B269" t="s">
        <v>40</v>
      </c>
      <c r="C269" t="s">
        <v>933</v>
      </c>
      <c r="D269">
        <v>1</v>
      </c>
      <c r="E269" s="307">
        <v>5</v>
      </c>
      <c r="F269" s="307" t="s">
        <v>75</v>
      </c>
      <c r="G269" s="307" t="s">
        <v>11</v>
      </c>
      <c r="H269" s="307" t="s">
        <v>11</v>
      </c>
    </row>
    <row r="270" spans="1:8" x14ac:dyDescent="0.2">
      <c r="A270" t="s">
        <v>16</v>
      </c>
      <c r="B270" t="s">
        <v>40</v>
      </c>
      <c r="C270" t="s">
        <v>934</v>
      </c>
      <c r="D270">
        <v>1</v>
      </c>
      <c r="E270" s="307">
        <v>5</v>
      </c>
      <c r="F270" s="307" t="s">
        <v>75</v>
      </c>
      <c r="G270" s="307" t="s">
        <v>11</v>
      </c>
      <c r="H270" s="307" t="s">
        <v>11</v>
      </c>
    </row>
    <row r="271" spans="1:8" x14ac:dyDescent="0.2">
      <c r="A271" t="s">
        <v>16</v>
      </c>
      <c r="B271" t="s">
        <v>40</v>
      </c>
      <c r="C271" t="s">
        <v>935</v>
      </c>
      <c r="D271">
        <v>1</v>
      </c>
      <c r="E271" s="307">
        <v>5</v>
      </c>
      <c r="F271" s="307" t="s">
        <v>75</v>
      </c>
      <c r="G271" s="307" t="s">
        <v>11</v>
      </c>
      <c r="H271" s="307" t="s">
        <v>11</v>
      </c>
    </row>
    <row r="272" spans="1:8" x14ac:dyDescent="0.2">
      <c r="A272" t="s">
        <v>16</v>
      </c>
      <c r="B272" t="s">
        <v>40</v>
      </c>
      <c r="C272" t="s">
        <v>936</v>
      </c>
      <c r="D272">
        <v>1</v>
      </c>
      <c r="E272" s="307">
        <v>7</v>
      </c>
      <c r="F272" s="307" t="s">
        <v>11</v>
      </c>
      <c r="G272" s="307" t="s">
        <v>11</v>
      </c>
      <c r="H272" s="307" t="s">
        <v>11</v>
      </c>
    </row>
    <row r="273" spans="1:8" x14ac:dyDescent="0.2">
      <c r="A273" t="s">
        <v>16</v>
      </c>
      <c r="B273" t="s">
        <v>40</v>
      </c>
      <c r="C273" t="s">
        <v>937</v>
      </c>
      <c r="D273">
        <v>1</v>
      </c>
      <c r="E273" s="307">
        <v>7</v>
      </c>
      <c r="F273" s="307" t="s">
        <v>11</v>
      </c>
      <c r="G273" s="307" t="s">
        <v>11</v>
      </c>
      <c r="H273" s="307" t="s">
        <v>11</v>
      </c>
    </row>
    <row r="274" spans="1:8" x14ac:dyDescent="0.2">
      <c r="A274" t="s">
        <v>16</v>
      </c>
      <c r="B274" t="s">
        <v>40</v>
      </c>
      <c r="C274" t="s">
        <v>938</v>
      </c>
      <c r="D274">
        <v>2</v>
      </c>
      <c r="E274" s="307">
        <v>7</v>
      </c>
      <c r="F274" s="307" t="s">
        <v>11</v>
      </c>
      <c r="G274" s="307" t="s">
        <v>11</v>
      </c>
      <c r="H274" s="307" t="s">
        <v>11</v>
      </c>
    </row>
    <row r="275" spans="1:8" x14ac:dyDescent="0.2">
      <c r="A275" t="s">
        <v>16</v>
      </c>
      <c r="B275" t="s">
        <v>40</v>
      </c>
      <c r="C275" t="s">
        <v>939</v>
      </c>
      <c r="D275">
        <v>1</v>
      </c>
      <c r="E275" s="307">
        <v>5</v>
      </c>
      <c r="F275" s="307" t="s">
        <v>75</v>
      </c>
      <c r="G275" s="307" t="s">
        <v>11</v>
      </c>
      <c r="H275" s="307" t="s">
        <v>11</v>
      </c>
    </row>
    <row r="276" spans="1:8" x14ac:dyDescent="0.2">
      <c r="A276" t="s">
        <v>16</v>
      </c>
      <c r="B276" t="s">
        <v>40</v>
      </c>
      <c r="C276" t="s">
        <v>721</v>
      </c>
      <c r="D276">
        <v>1</v>
      </c>
      <c r="E276" s="307">
        <v>7</v>
      </c>
      <c r="F276" s="307" t="s">
        <v>11</v>
      </c>
      <c r="G276" s="307" t="s">
        <v>11</v>
      </c>
      <c r="H276" s="307" t="s">
        <v>11</v>
      </c>
    </row>
    <row r="277" spans="1:8" x14ac:dyDescent="0.2">
      <c r="A277" t="s">
        <v>16</v>
      </c>
      <c r="B277" t="s">
        <v>40</v>
      </c>
      <c r="C277" t="s">
        <v>722</v>
      </c>
      <c r="D277">
        <v>1</v>
      </c>
      <c r="E277" s="307">
        <v>5</v>
      </c>
      <c r="F277" s="307" t="s">
        <v>75</v>
      </c>
      <c r="G277" s="307" t="s">
        <v>11</v>
      </c>
      <c r="H277" s="307" t="s">
        <v>11</v>
      </c>
    </row>
    <row r="278" spans="1:8" x14ac:dyDescent="0.2">
      <c r="A278" t="s">
        <v>16</v>
      </c>
      <c r="B278" t="s">
        <v>40</v>
      </c>
      <c r="C278" t="s">
        <v>940</v>
      </c>
      <c r="D278">
        <v>1</v>
      </c>
      <c r="E278" s="307">
        <v>5</v>
      </c>
      <c r="F278" s="307" t="s">
        <v>75</v>
      </c>
      <c r="G278" s="307" t="s">
        <v>11</v>
      </c>
      <c r="H278" s="307" t="s">
        <v>11</v>
      </c>
    </row>
    <row r="279" spans="1:8" x14ac:dyDescent="0.2">
      <c r="A279" t="s">
        <v>16</v>
      </c>
      <c r="B279" t="s">
        <v>40</v>
      </c>
      <c r="C279" t="s">
        <v>941</v>
      </c>
      <c r="D279">
        <v>1</v>
      </c>
      <c r="E279" s="307">
        <v>5</v>
      </c>
      <c r="F279" s="307" t="s">
        <v>75</v>
      </c>
      <c r="G279" s="307" t="s">
        <v>11</v>
      </c>
      <c r="H279" s="307" t="s">
        <v>11</v>
      </c>
    </row>
    <row r="280" spans="1:8" x14ac:dyDescent="0.2">
      <c r="A280" t="s">
        <v>16</v>
      </c>
      <c r="B280" t="s">
        <v>40</v>
      </c>
      <c r="C280" t="s">
        <v>942</v>
      </c>
      <c r="D280">
        <v>2</v>
      </c>
      <c r="E280" s="307">
        <v>5</v>
      </c>
      <c r="F280" s="307" t="s">
        <v>75</v>
      </c>
      <c r="G280" s="307" t="s">
        <v>11</v>
      </c>
      <c r="H280" s="307" t="s">
        <v>11</v>
      </c>
    </row>
    <row r="281" spans="1:8" x14ac:dyDescent="0.2">
      <c r="A281" t="s">
        <v>16</v>
      </c>
      <c r="B281" t="s">
        <v>40</v>
      </c>
      <c r="C281" t="s">
        <v>871</v>
      </c>
      <c r="D281">
        <v>1</v>
      </c>
      <c r="E281" s="307">
        <v>7</v>
      </c>
      <c r="F281" s="307" t="s">
        <v>11</v>
      </c>
      <c r="G281" s="307" t="s">
        <v>11</v>
      </c>
      <c r="H281" s="307" t="s">
        <v>11</v>
      </c>
    </row>
    <row r="282" spans="1:8" x14ac:dyDescent="0.2">
      <c r="A282" t="s">
        <v>16</v>
      </c>
      <c r="B282" t="s">
        <v>40</v>
      </c>
      <c r="C282" t="s">
        <v>943</v>
      </c>
      <c r="D282">
        <v>1</v>
      </c>
      <c r="E282" s="307">
        <v>5</v>
      </c>
      <c r="F282" s="307" t="s">
        <v>75</v>
      </c>
      <c r="G282" s="307" t="s">
        <v>11</v>
      </c>
      <c r="H282" s="307" t="s">
        <v>11</v>
      </c>
    </row>
    <row r="283" spans="1:8" x14ac:dyDescent="0.2">
      <c r="A283" t="s">
        <v>16</v>
      </c>
      <c r="B283" t="s">
        <v>40</v>
      </c>
      <c r="C283" t="s">
        <v>944</v>
      </c>
      <c r="D283">
        <v>1</v>
      </c>
      <c r="E283" s="307">
        <v>4</v>
      </c>
      <c r="F283" s="307" t="s">
        <v>75</v>
      </c>
      <c r="G283" s="307" t="s">
        <v>11</v>
      </c>
      <c r="H283" s="307" t="s">
        <v>11</v>
      </c>
    </row>
    <row r="284" spans="1:8" x14ac:dyDescent="0.2">
      <c r="A284" t="s">
        <v>16</v>
      </c>
      <c r="B284" t="s">
        <v>40</v>
      </c>
      <c r="C284" t="s">
        <v>827</v>
      </c>
      <c r="D284">
        <v>1</v>
      </c>
      <c r="E284" s="307">
        <v>5</v>
      </c>
      <c r="F284" s="307" t="s">
        <v>75</v>
      </c>
      <c r="G284" s="307" t="s">
        <v>11</v>
      </c>
      <c r="H284" s="307" t="s">
        <v>11</v>
      </c>
    </row>
    <row r="285" spans="1:8" x14ac:dyDescent="0.2">
      <c r="A285" t="s">
        <v>16</v>
      </c>
      <c r="B285" t="s">
        <v>40</v>
      </c>
      <c r="C285" t="s">
        <v>829</v>
      </c>
      <c r="D285">
        <v>1</v>
      </c>
      <c r="E285" s="307">
        <v>5</v>
      </c>
      <c r="F285" s="307" t="s">
        <v>75</v>
      </c>
      <c r="G285" s="307" t="s">
        <v>11</v>
      </c>
      <c r="H285" s="307" t="s">
        <v>11</v>
      </c>
    </row>
    <row r="286" spans="1:8" x14ac:dyDescent="0.2">
      <c r="A286" t="s">
        <v>16</v>
      </c>
      <c r="B286" t="s">
        <v>40</v>
      </c>
      <c r="C286" t="s">
        <v>945</v>
      </c>
      <c r="D286">
        <v>1</v>
      </c>
      <c r="E286" s="307">
        <v>5</v>
      </c>
      <c r="F286" s="307" t="s">
        <v>75</v>
      </c>
      <c r="G286" s="307" t="s">
        <v>11</v>
      </c>
      <c r="H286" s="307" t="s">
        <v>11</v>
      </c>
    </row>
    <row r="287" spans="1:8" x14ac:dyDescent="0.2">
      <c r="A287" t="s">
        <v>16</v>
      </c>
      <c r="B287" t="s">
        <v>40</v>
      </c>
      <c r="C287" t="s">
        <v>946</v>
      </c>
      <c r="D287">
        <v>2</v>
      </c>
      <c r="E287" s="307">
        <v>7</v>
      </c>
      <c r="F287" s="307" t="s">
        <v>11</v>
      </c>
      <c r="G287" s="307" t="s">
        <v>11</v>
      </c>
      <c r="H287" s="307" t="s">
        <v>11</v>
      </c>
    </row>
    <row r="288" spans="1:8" x14ac:dyDescent="0.2">
      <c r="A288" t="s">
        <v>16</v>
      </c>
      <c r="B288" t="s">
        <v>40</v>
      </c>
      <c r="C288" t="s">
        <v>947</v>
      </c>
      <c r="D288">
        <v>1</v>
      </c>
      <c r="E288" s="307">
        <v>6</v>
      </c>
      <c r="F288" s="307" t="s">
        <v>75</v>
      </c>
      <c r="G288" s="307" t="s">
        <v>11</v>
      </c>
      <c r="H288" s="307" t="s">
        <v>11</v>
      </c>
    </row>
    <row r="289" spans="1:8" x14ac:dyDescent="0.2">
      <c r="A289" t="s">
        <v>16</v>
      </c>
      <c r="B289" t="s">
        <v>40</v>
      </c>
      <c r="C289" t="s">
        <v>948</v>
      </c>
      <c r="D289">
        <v>1</v>
      </c>
      <c r="E289" s="307">
        <v>5</v>
      </c>
      <c r="F289" s="307" t="s">
        <v>75</v>
      </c>
      <c r="G289" s="307" t="s">
        <v>11</v>
      </c>
      <c r="H289" s="307" t="s">
        <v>11</v>
      </c>
    </row>
    <row r="290" spans="1:8" x14ac:dyDescent="0.2">
      <c r="A290" t="s">
        <v>16</v>
      </c>
      <c r="B290" t="s">
        <v>40</v>
      </c>
      <c r="C290" t="s">
        <v>949</v>
      </c>
      <c r="D290">
        <v>1</v>
      </c>
      <c r="E290" s="307">
        <v>5</v>
      </c>
      <c r="F290" s="307" t="s">
        <v>75</v>
      </c>
      <c r="G290" s="307" t="s">
        <v>11</v>
      </c>
      <c r="H290" s="307" t="s">
        <v>11</v>
      </c>
    </row>
    <row r="291" spans="1:8" x14ac:dyDescent="0.2">
      <c r="A291" t="s">
        <v>16</v>
      </c>
      <c r="B291" t="s">
        <v>40</v>
      </c>
      <c r="C291" t="s">
        <v>737</v>
      </c>
      <c r="D291">
        <v>1</v>
      </c>
      <c r="E291" s="307">
        <v>5</v>
      </c>
      <c r="F291" s="307" t="s">
        <v>75</v>
      </c>
      <c r="G291" s="307" t="s">
        <v>11</v>
      </c>
      <c r="H291" s="307" t="s">
        <v>11</v>
      </c>
    </row>
    <row r="292" spans="1:8" x14ac:dyDescent="0.2">
      <c r="A292" t="s">
        <v>16</v>
      </c>
      <c r="B292" t="s">
        <v>40</v>
      </c>
      <c r="C292" t="s">
        <v>950</v>
      </c>
      <c r="D292">
        <v>1</v>
      </c>
      <c r="E292" s="307">
        <v>4</v>
      </c>
      <c r="F292" s="307" t="s">
        <v>75</v>
      </c>
      <c r="G292" s="307" t="s">
        <v>11</v>
      </c>
      <c r="H292" s="307" t="s">
        <v>11</v>
      </c>
    </row>
    <row r="293" spans="1:8" x14ac:dyDescent="0.2">
      <c r="A293" t="s">
        <v>16</v>
      </c>
      <c r="B293" t="s">
        <v>40</v>
      </c>
      <c r="C293" t="s">
        <v>951</v>
      </c>
      <c r="D293">
        <v>1</v>
      </c>
      <c r="E293" s="307">
        <v>6</v>
      </c>
      <c r="F293" s="307" t="s">
        <v>75</v>
      </c>
      <c r="G293" s="307" t="s">
        <v>11</v>
      </c>
      <c r="H293" s="307" t="s">
        <v>11</v>
      </c>
    </row>
    <row r="294" spans="1:8" x14ac:dyDescent="0.2">
      <c r="A294" t="s">
        <v>16</v>
      </c>
      <c r="B294" t="s">
        <v>40</v>
      </c>
      <c r="C294" t="s">
        <v>952</v>
      </c>
      <c r="D294">
        <v>1</v>
      </c>
      <c r="E294" s="307">
        <v>7</v>
      </c>
      <c r="F294" s="307" t="s">
        <v>11</v>
      </c>
      <c r="G294" s="307" t="s">
        <v>11</v>
      </c>
      <c r="H294" s="307" t="s">
        <v>11</v>
      </c>
    </row>
    <row r="295" spans="1:8" x14ac:dyDescent="0.2">
      <c r="A295" t="s">
        <v>16</v>
      </c>
      <c r="B295" t="s">
        <v>40</v>
      </c>
      <c r="C295" t="s">
        <v>836</v>
      </c>
      <c r="D295">
        <v>1</v>
      </c>
      <c r="E295" s="307">
        <v>5</v>
      </c>
      <c r="F295" s="307" t="s">
        <v>75</v>
      </c>
      <c r="G295" s="307" t="s">
        <v>11</v>
      </c>
      <c r="H295" s="307" t="s">
        <v>11</v>
      </c>
    </row>
    <row r="296" spans="1:8" x14ac:dyDescent="0.2">
      <c r="A296" t="s">
        <v>16</v>
      </c>
      <c r="B296" t="s">
        <v>40</v>
      </c>
      <c r="C296" t="s">
        <v>953</v>
      </c>
      <c r="D296">
        <v>1</v>
      </c>
      <c r="E296" s="307">
        <v>7</v>
      </c>
      <c r="F296" s="307" t="s">
        <v>11</v>
      </c>
      <c r="G296" s="307" t="s">
        <v>11</v>
      </c>
      <c r="H296" s="307" t="s">
        <v>11</v>
      </c>
    </row>
    <row r="297" spans="1:8" x14ac:dyDescent="0.2">
      <c r="A297" t="s">
        <v>16</v>
      </c>
      <c r="B297" t="s">
        <v>40</v>
      </c>
      <c r="C297" t="s">
        <v>954</v>
      </c>
      <c r="D297">
        <v>1</v>
      </c>
      <c r="E297" s="307">
        <v>5</v>
      </c>
      <c r="F297" s="307" t="s">
        <v>75</v>
      </c>
      <c r="G297" s="307" t="s">
        <v>11</v>
      </c>
      <c r="H297" s="307" t="s">
        <v>11</v>
      </c>
    </row>
    <row r="298" spans="1:8" x14ac:dyDescent="0.2">
      <c r="A298" t="s">
        <v>16</v>
      </c>
      <c r="B298" t="s">
        <v>40</v>
      </c>
      <c r="C298" t="s">
        <v>955</v>
      </c>
      <c r="D298">
        <v>1</v>
      </c>
      <c r="E298" s="307">
        <v>5</v>
      </c>
      <c r="F298" s="307" t="s">
        <v>75</v>
      </c>
      <c r="G298" s="307" t="s">
        <v>11</v>
      </c>
      <c r="H298" s="307" t="s">
        <v>11</v>
      </c>
    </row>
    <row r="299" spans="1:8" x14ac:dyDescent="0.2">
      <c r="A299" t="s">
        <v>16</v>
      </c>
      <c r="B299" t="s">
        <v>40</v>
      </c>
      <c r="C299" t="s">
        <v>956</v>
      </c>
      <c r="D299">
        <v>1</v>
      </c>
      <c r="E299" s="307">
        <v>6</v>
      </c>
      <c r="F299" s="307" t="s">
        <v>75</v>
      </c>
      <c r="G299" s="307" t="s">
        <v>11</v>
      </c>
      <c r="H299" s="307" t="s">
        <v>11</v>
      </c>
    </row>
    <row r="300" spans="1:8" x14ac:dyDescent="0.2">
      <c r="A300" t="s">
        <v>16</v>
      </c>
      <c r="B300" t="s">
        <v>40</v>
      </c>
      <c r="C300" t="s">
        <v>957</v>
      </c>
      <c r="D300">
        <v>2</v>
      </c>
      <c r="E300" s="307">
        <v>7</v>
      </c>
      <c r="F300" s="307" t="s">
        <v>11</v>
      </c>
      <c r="G300" s="307" t="s">
        <v>11</v>
      </c>
      <c r="H300" s="307" t="s">
        <v>11</v>
      </c>
    </row>
    <row r="301" spans="1:8" x14ac:dyDescent="0.2">
      <c r="A301" t="s">
        <v>16</v>
      </c>
      <c r="B301" t="s">
        <v>40</v>
      </c>
      <c r="C301" t="s">
        <v>958</v>
      </c>
      <c r="D301">
        <v>2</v>
      </c>
      <c r="E301" s="307">
        <v>7</v>
      </c>
      <c r="F301" s="307" t="s">
        <v>11</v>
      </c>
      <c r="G301" s="307" t="s">
        <v>11</v>
      </c>
      <c r="H301" s="307" t="s">
        <v>11</v>
      </c>
    </row>
    <row r="302" spans="1:8" x14ac:dyDescent="0.2">
      <c r="A302" t="s">
        <v>16</v>
      </c>
      <c r="B302" t="s">
        <v>40</v>
      </c>
      <c r="C302" t="s">
        <v>959</v>
      </c>
      <c r="D302">
        <v>2</v>
      </c>
      <c r="E302" s="307">
        <v>6</v>
      </c>
      <c r="F302" s="307" t="s">
        <v>75</v>
      </c>
      <c r="G302" s="307" t="s">
        <v>11</v>
      </c>
      <c r="H302" s="307" t="s">
        <v>11</v>
      </c>
    </row>
    <row r="303" spans="1:8" x14ac:dyDescent="0.2">
      <c r="A303" t="s">
        <v>16</v>
      </c>
      <c r="B303" t="s">
        <v>40</v>
      </c>
      <c r="C303" t="s">
        <v>960</v>
      </c>
      <c r="D303">
        <v>2</v>
      </c>
      <c r="E303" s="307">
        <v>7</v>
      </c>
      <c r="F303" s="307" t="s">
        <v>11</v>
      </c>
      <c r="G303" s="307" t="s">
        <v>11</v>
      </c>
      <c r="H303" s="307" t="s">
        <v>11</v>
      </c>
    </row>
    <row r="304" spans="1:8" x14ac:dyDescent="0.2">
      <c r="A304" t="s">
        <v>16</v>
      </c>
      <c r="B304" t="s">
        <v>40</v>
      </c>
      <c r="C304" t="s">
        <v>961</v>
      </c>
      <c r="D304">
        <v>1</v>
      </c>
      <c r="E304" s="307">
        <v>6</v>
      </c>
      <c r="F304" s="307" t="s">
        <v>75</v>
      </c>
      <c r="G304" s="307" t="s">
        <v>11</v>
      </c>
      <c r="H304" s="307" t="s">
        <v>11</v>
      </c>
    </row>
    <row r="305" spans="1:8" x14ac:dyDescent="0.2">
      <c r="A305" t="s">
        <v>16</v>
      </c>
      <c r="B305" t="s">
        <v>40</v>
      </c>
      <c r="C305" t="s">
        <v>962</v>
      </c>
      <c r="D305">
        <v>1</v>
      </c>
      <c r="E305" s="307">
        <v>5</v>
      </c>
      <c r="F305" s="307" t="s">
        <v>75</v>
      </c>
      <c r="G305" s="307" t="s">
        <v>11</v>
      </c>
      <c r="H305" s="307" t="s">
        <v>11</v>
      </c>
    </row>
    <row r="306" spans="1:8" x14ac:dyDescent="0.2">
      <c r="A306" t="s">
        <v>16</v>
      </c>
      <c r="B306" t="s">
        <v>40</v>
      </c>
      <c r="C306" t="s">
        <v>963</v>
      </c>
      <c r="D306">
        <v>1</v>
      </c>
      <c r="E306" s="307">
        <v>7</v>
      </c>
      <c r="F306" s="307" t="s">
        <v>11</v>
      </c>
      <c r="G306" s="307" t="s">
        <v>11</v>
      </c>
      <c r="H306" s="307" t="s">
        <v>11</v>
      </c>
    </row>
    <row r="307" spans="1:8" x14ac:dyDescent="0.2">
      <c r="A307" t="s">
        <v>16</v>
      </c>
      <c r="B307" t="s">
        <v>40</v>
      </c>
      <c r="C307" t="s">
        <v>964</v>
      </c>
      <c r="D307">
        <v>1</v>
      </c>
      <c r="E307" s="307">
        <v>5</v>
      </c>
      <c r="F307" s="307" t="s">
        <v>75</v>
      </c>
      <c r="G307" s="307" t="s">
        <v>11</v>
      </c>
      <c r="H307" s="307" t="s">
        <v>11</v>
      </c>
    </row>
    <row r="308" spans="1:8" x14ac:dyDescent="0.2">
      <c r="A308" t="s">
        <v>16</v>
      </c>
      <c r="B308" t="s">
        <v>40</v>
      </c>
      <c r="C308" t="s">
        <v>750</v>
      </c>
      <c r="D308">
        <v>1</v>
      </c>
      <c r="E308" s="307">
        <v>5</v>
      </c>
      <c r="F308" s="307" t="s">
        <v>75</v>
      </c>
      <c r="G308" s="307" t="s">
        <v>11</v>
      </c>
      <c r="H308" s="307" t="s">
        <v>11</v>
      </c>
    </row>
    <row r="309" spans="1:8" x14ac:dyDescent="0.2">
      <c r="A309" t="s">
        <v>16</v>
      </c>
      <c r="B309" t="s">
        <v>40</v>
      </c>
      <c r="C309" t="s">
        <v>965</v>
      </c>
      <c r="D309">
        <v>1</v>
      </c>
      <c r="E309" s="307">
        <v>5</v>
      </c>
      <c r="F309" s="307" t="s">
        <v>75</v>
      </c>
      <c r="G309" s="307" t="s">
        <v>11</v>
      </c>
      <c r="H309" s="307" t="s">
        <v>11</v>
      </c>
    </row>
    <row r="310" spans="1:8" x14ac:dyDescent="0.2">
      <c r="A310" t="s">
        <v>16</v>
      </c>
      <c r="B310" t="s">
        <v>40</v>
      </c>
      <c r="C310" t="s">
        <v>797</v>
      </c>
      <c r="D310">
        <v>1</v>
      </c>
      <c r="E310" s="307">
        <v>5</v>
      </c>
      <c r="F310" s="307" t="s">
        <v>75</v>
      </c>
      <c r="G310" s="307" t="s">
        <v>11</v>
      </c>
      <c r="H310" s="307" t="s">
        <v>11</v>
      </c>
    </row>
    <row r="311" spans="1:8" x14ac:dyDescent="0.2">
      <c r="A311" t="s">
        <v>17</v>
      </c>
      <c r="B311" t="s">
        <v>87</v>
      </c>
      <c r="C311" t="s">
        <v>966</v>
      </c>
      <c r="D311">
        <v>1</v>
      </c>
      <c r="E311" s="307">
        <v>5</v>
      </c>
      <c r="F311" s="307" t="s">
        <v>7</v>
      </c>
      <c r="G311" s="307" t="s">
        <v>11</v>
      </c>
      <c r="H311" s="307" t="s">
        <v>11</v>
      </c>
    </row>
    <row r="312" spans="1:8" x14ac:dyDescent="0.2">
      <c r="A312" t="s">
        <v>17</v>
      </c>
      <c r="B312" t="s">
        <v>87</v>
      </c>
      <c r="C312" t="s">
        <v>967</v>
      </c>
      <c r="D312">
        <v>3</v>
      </c>
      <c r="E312" s="307">
        <v>5</v>
      </c>
      <c r="F312" s="307" t="s">
        <v>7</v>
      </c>
      <c r="G312" s="307" t="s">
        <v>11</v>
      </c>
      <c r="H312" s="307" t="s">
        <v>11</v>
      </c>
    </row>
    <row r="313" spans="1:8" x14ac:dyDescent="0.2">
      <c r="A313" t="s">
        <v>17</v>
      </c>
      <c r="B313" t="s">
        <v>87</v>
      </c>
      <c r="C313" t="s">
        <v>968</v>
      </c>
      <c r="D313">
        <v>2</v>
      </c>
      <c r="E313" s="307">
        <v>5</v>
      </c>
      <c r="F313" s="307" t="s">
        <v>7</v>
      </c>
      <c r="G313" s="307" t="s">
        <v>11</v>
      </c>
      <c r="H313" s="307" t="s">
        <v>11</v>
      </c>
    </row>
    <row r="314" spans="1:8" x14ac:dyDescent="0.2">
      <c r="A314" t="s">
        <v>17</v>
      </c>
      <c r="B314" t="s">
        <v>87</v>
      </c>
      <c r="C314" t="s">
        <v>969</v>
      </c>
      <c r="D314">
        <v>1</v>
      </c>
      <c r="E314" s="307">
        <v>5</v>
      </c>
      <c r="F314" s="307" t="s">
        <v>7</v>
      </c>
      <c r="G314" s="307" t="s">
        <v>11</v>
      </c>
      <c r="H314" s="307" t="s">
        <v>11</v>
      </c>
    </row>
    <row r="315" spans="1:8" x14ac:dyDescent="0.2">
      <c r="A315" t="s">
        <v>17</v>
      </c>
      <c r="B315" t="s">
        <v>87</v>
      </c>
      <c r="C315" t="s">
        <v>970</v>
      </c>
      <c r="D315">
        <v>1</v>
      </c>
      <c r="E315" s="307">
        <v>5</v>
      </c>
      <c r="F315" s="307" t="s">
        <v>7</v>
      </c>
      <c r="G315" s="307" t="s">
        <v>11</v>
      </c>
      <c r="H315" s="307" t="s">
        <v>11</v>
      </c>
    </row>
    <row r="316" spans="1:8" x14ac:dyDescent="0.2">
      <c r="A316" t="s">
        <v>17</v>
      </c>
      <c r="B316" t="s">
        <v>87</v>
      </c>
      <c r="C316" t="s">
        <v>971</v>
      </c>
      <c r="D316">
        <v>1</v>
      </c>
      <c r="E316" s="307">
        <v>5</v>
      </c>
      <c r="F316" s="307" t="s">
        <v>7</v>
      </c>
      <c r="G316" s="307" t="s">
        <v>11</v>
      </c>
      <c r="H316" s="307" t="s">
        <v>11</v>
      </c>
    </row>
    <row r="317" spans="1:8" x14ac:dyDescent="0.2">
      <c r="A317" t="s">
        <v>17</v>
      </c>
      <c r="B317" t="s">
        <v>87</v>
      </c>
      <c r="C317" t="s">
        <v>972</v>
      </c>
      <c r="D317">
        <v>2</v>
      </c>
      <c r="E317" s="307">
        <v>5</v>
      </c>
      <c r="F317" s="307" t="s">
        <v>7</v>
      </c>
      <c r="G317" s="307" t="s">
        <v>11</v>
      </c>
      <c r="H317" s="307" t="s">
        <v>11</v>
      </c>
    </row>
    <row r="318" spans="1:8" x14ac:dyDescent="0.2">
      <c r="A318" t="s">
        <v>17</v>
      </c>
      <c r="B318" t="s">
        <v>87</v>
      </c>
      <c r="C318" t="s">
        <v>973</v>
      </c>
      <c r="D318">
        <v>2</v>
      </c>
      <c r="E318" s="307">
        <v>5</v>
      </c>
      <c r="F318" s="307" t="s">
        <v>7</v>
      </c>
      <c r="G318" s="307" t="s">
        <v>11</v>
      </c>
      <c r="H318" s="307" t="s">
        <v>11</v>
      </c>
    </row>
    <row r="319" spans="1:8" x14ac:dyDescent="0.2">
      <c r="A319" t="s">
        <v>19</v>
      </c>
      <c r="B319" t="s">
        <v>106</v>
      </c>
      <c r="C319" t="s">
        <v>974</v>
      </c>
      <c r="D319">
        <v>3</v>
      </c>
      <c r="E319" s="307">
        <v>4</v>
      </c>
      <c r="F319" s="307" t="s">
        <v>7</v>
      </c>
      <c r="G319" s="307" t="s">
        <v>11</v>
      </c>
      <c r="H319" s="307" t="s">
        <v>11</v>
      </c>
    </row>
    <row r="320" spans="1:8" x14ac:dyDescent="0.2">
      <c r="A320" t="s">
        <v>19</v>
      </c>
      <c r="B320" t="s">
        <v>106</v>
      </c>
      <c r="C320" t="s">
        <v>975</v>
      </c>
      <c r="D320">
        <v>2</v>
      </c>
      <c r="E320" s="307">
        <v>4</v>
      </c>
      <c r="F320" s="307" t="s">
        <v>7</v>
      </c>
      <c r="G320" s="307" t="s">
        <v>11</v>
      </c>
      <c r="H320" s="307" t="s">
        <v>11</v>
      </c>
    </row>
    <row r="321" spans="1:8" x14ac:dyDescent="0.2">
      <c r="A321" t="s">
        <v>19</v>
      </c>
      <c r="B321" t="s">
        <v>106</v>
      </c>
      <c r="C321" t="s">
        <v>976</v>
      </c>
      <c r="D321">
        <v>3</v>
      </c>
      <c r="E321" s="307">
        <v>4</v>
      </c>
      <c r="F321" s="307" t="s">
        <v>7</v>
      </c>
      <c r="G321" s="307" t="s">
        <v>11</v>
      </c>
      <c r="H321" s="307" t="s">
        <v>11</v>
      </c>
    </row>
    <row r="322" spans="1:8" x14ac:dyDescent="0.2">
      <c r="A322" t="s">
        <v>18</v>
      </c>
      <c r="B322" t="s">
        <v>107</v>
      </c>
      <c r="C322" t="s">
        <v>977</v>
      </c>
      <c r="D322">
        <v>3</v>
      </c>
      <c r="E322" s="307">
        <v>4</v>
      </c>
      <c r="F322" s="307" t="s">
        <v>7</v>
      </c>
      <c r="G322" s="307" t="s">
        <v>11</v>
      </c>
      <c r="H322" s="307" t="s">
        <v>11</v>
      </c>
    </row>
    <row r="323" spans="1:8" x14ac:dyDescent="0.2">
      <c r="A323" t="s">
        <v>20</v>
      </c>
      <c r="B323" t="s">
        <v>119</v>
      </c>
      <c r="C323" t="s">
        <v>978</v>
      </c>
      <c r="D323">
        <v>2</v>
      </c>
      <c r="E323" s="307">
        <v>2</v>
      </c>
      <c r="F323" s="307" t="s">
        <v>7</v>
      </c>
      <c r="G323" s="307" t="s">
        <v>115</v>
      </c>
      <c r="H323" s="307" t="s">
        <v>11</v>
      </c>
    </row>
    <row r="324" spans="1:8" x14ac:dyDescent="0.2">
      <c r="A324" t="s">
        <v>20</v>
      </c>
      <c r="B324" t="s">
        <v>119</v>
      </c>
      <c r="C324" t="s">
        <v>979</v>
      </c>
      <c r="D324">
        <v>3</v>
      </c>
      <c r="E324" s="307">
        <v>2</v>
      </c>
      <c r="F324" s="307" t="s">
        <v>7</v>
      </c>
      <c r="G324" s="307" t="s">
        <v>115</v>
      </c>
      <c r="H324" s="307" t="s">
        <v>11</v>
      </c>
    </row>
    <row r="325" spans="1:8" x14ac:dyDescent="0.2">
      <c r="A325" t="s">
        <v>20</v>
      </c>
      <c r="B325" t="s">
        <v>119</v>
      </c>
      <c r="C325" t="s">
        <v>980</v>
      </c>
      <c r="D325">
        <v>3</v>
      </c>
      <c r="E325" s="307">
        <v>2</v>
      </c>
      <c r="F325" s="307" t="s">
        <v>7</v>
      </c>
      <c r="G325" s="307" t="s">
        <v>115</v>
      </c>
      <c r="H325" s="307" t="s">
        <v>11</v>
      </c>
    </row>
    <row r="326" spans="1:8" x14ac:dyDescent="0.2">
      <c r="A326" t="s">
        <v>20</v>
      </c>
      <c r="B326" t="s">
        <v>119</v>
      </c>
      <c r="C326" t="s">
        <v>981</v>
      </c>
      <c r="D326">
        <v>3</v>
      </c>
      <c r="E326" s="307">
        <v>2</v>
      </c>
      <c r="F326" s="307" t="s">
        <v>7</v>
      </c>
      <c r="G326" s="307" t="s">
        <v>115</v>
      </c>
      <c r="H326" s="307" t="s">
        <v>11</v>
      </c>
    </row>
    <row r="327" spans="1:8" x14ac:dyDescent="0.2">
      <c r="A327" t="s">
        <v>20</v>
      </c>
      <c r="B327" t="s">
        <v>119</v>
      </c>
      <c r="C327" t="s">
        <v>982</v>
      </c>
      <c r="D327">
        <v>3</v>
      </c>
      <c r="E327" s="307">
        <v>2</v>
      </c>
      <c r="F327" s="307" t="s">
        <v>7</v>
      </c>
      <c r="G327" s="307" t="s">
        <v>115</v>
      </c>
      <c r="H327" s="307" t="s">
        <v>11</v>
      </c>
    </row>
    <row r="328" spans="1:8" x14ac:dyDescent="0.2">
      <c r="A328" t="s">
        <v>20</v>
      </c>
      <c r="B328" t="s">
        <v>119</v>
      </c>
      <c r="C328" t="s">
        <v>983</v>
      </c>
      <c r="D328">
        <v>3</v>
      </c>
      <c r="E328" s="307">
        <v>1</v>
      </c>
      <c r="F328" s="307" t="s">
        <v>7</v>
      </c>
      <c r="G328" s="307" t="s">
        <v>115</v>
      </c>
      <c r="H328" s="307" t="s">
        <v>11</v>
      </c>
    </row>
    <row r="329" spans="1:8" x14ac:dyDescent="0.2">
      <c r="A329" t="s">
        <v>20</v>
      </c>
      <c r="B329" t="s">
        <v>119</v>
      </c>
      <c r="C329" t="s">
        <v>693</v>
      </c>
      <c r="D329">
        <v>3</v>
      </c>
      <c r="E329" s="307">
        <v>2</v>
      </c>
      <c r="F329" s="307" t="s">
        <v>7</v>
      </c>
      <c r="G329" s="307" t="s">
        <v>115</v>
      </c>
      <c r="H329" s="307" t="s">
        <v>11</v>
      </c>
    </row>
    <row r="330" spans="1:8" x14ac:dyDescent="0.2">
      <c r="A330" t="s">
        <v>20</v>
      </c>
      <c r="B330" t="s">
        <v>119</v>
      </c>
      <c r="C330" t="s">
        <v>984</v>
      </c>
      <c r="D330">
        <v>3</v>
      </c>
      <c r="E330" s="307">
        <v>2</v>
      </c>
      <c r="F330" s="307" t="s">
        <v>7</v>
      </c>
      <c r="G330" s="307" t="s">
        <v>115</v>
      </c>
      <c r="H330" s="307" t="s">
        <v>11</v>
      </c>
    </row>
    <row r="331" spans="1:8" x14ac:dyDescent="0.2">
      <c r="A331" t="s">
        <v>20</v>
      </c>
      <c r="B331" t="s">
        <v>119</v>
      </c>
      <c r="C331" t="s">
        <v>985</v>
      </c>
      <c r="D331">
        <v>2</v>
      </c>
      <c r="E331" s="307">
        <v>2</v>
      </c>
      <c r="F331" s="307" t="s">
        <v>7</v>
      </c>
      <c r="G331" s="307" t="s">
        <v>115</v>
      </c>
      <c r="H331" s="307" t="s">
        <v>11</v>
      </c>
    </row>
    <row r="332" spans="1:8" x14ac:dyDescent="0.2">
      <c r="A332" t="s">
        <v>20</v>
      </c>
      <c r="B332" t="s">
        <v>119</v>
      </c>
      <c r="C332" t="s">
        <v>699</v>
      </c>
      <c r="D332">
        <v>3</v>
      </c>
      <c r="E332" s="307">
        <v>2</v>
      </c>
      <c r="F332" s="307" t="s">
        <v>7</v>
      </c>
      <c r="G332" s="307" t="s">
        <v>115</v>
      </c>
      <c r="H332" s="307" t="s">
        <v>11</v>
      </c>
    </row>
    <row r="333" spans="1:8" x14ac:dyDescent="0.2">
      <c r="A333" t="s">
        <v>20</v>
      </c>
      <c r="B333" t="s">
        <v>119</v>
      </c>
      <c r="C333" t="s">
        <v>986</v>
      </c>
      <c r="D333">
        <v>3</v>
      </c>
      <c r="E333" s="307">
        <v>2</v>
      </c>
      <c r="F333" s="307" t="s">
        <v>7</v>
      </c>
      <c r="G333" s="307" t="s">
        <v>115</v>
      </c>
      <c r="H333" s="307" t="s">
        <v>11</v>
      </c>
    </row>
    <row r="334" spans="1:8" x14ac:dyDescent="0.2">
      <c r="A334" t="s">
        <v>20</v>
      </c>
      <c r="B334" t="s">
        <v>119</v>
      </c>
      <c r="C334" t="s">
        <v>808</v>
      </c>
      <c r="D334">
        <v>2</v>
      </c>
      <c r="E334" s="307">
        <v>2</v>
      </c>
      <c r="F334" s="307" t="s">
        <v>7</v>
      </c>
      <c r="G334" s="307" t="s">
        <v>115</v>
      </c>
      <c r="H334" s="307" t="s">
        <v>11</v>
      </c>
    </row>
    <row r="335" spans="1:8" x14ac:dyDescent="0.2">
      <c r="A335" t="s">
        <v>20</v>
      </c>
      <c r="B335" t="s">
        <v>119</v>
      </c>
      <c r="C335" t="s">
        <v>987</v>
      </c>
      <c r="D335">
        <v>3</v>
      </c>
      <c r="E335" s="307">
        <v>2</v>
      </c>
      <c r="F335" s="307" t="s">
        <v>7</v>
      </c>
      <c r="G335" s="307" t="s">
        <v>115</v>
      </c>
      <c r="H335" s="307" t="s">
        <v>11</v>
      </c>
    </row>
    <row r="336" spans="1:8" x14ac:dyDescent="0.2">
      <c r="A336" t="s">
        <v>20</v>
      </c>
      <c r="B336" t="s">
        <v>119</v>
      </c>
      <c r="C336" t="s">
        <v>988</v>
      </c>
      <c r="D336">
        <v>3</v>
      </c>
      <c r="E336" s="307">
        <v>2</v>
      </c>
      <c r="F336" s="307" t="s">
        <v>7</v>
      </c>
      <c r="G336" s="307" t="s">
        <v>115</v>
      </c>
      <c r="H336" s="307" t="s">
        <v>11</v>
      </c>
    </row>
    <row r="337" spans="1:8" x14ac:dyDescent="0.2">
      <c r="A337" t="s">
        <v>20</v>
      </c>
      <c r="B337" t="s">
        <v>119</v>
      </c>
      <c r="C337" t="s">
        <v>989</v>
      </c>
      <c r="D337">
        <v>3</v>
      </c>
      <c r="E337" s="307">
        <v>2</v>
      </c>
      <c r="F337" s="307" t="s">
        <v>7</v>
      </c>
      <c r="G337" s="307" t="s">
        <v>115</v>
      </c>
      <c r="H337" s="307" t="s">
        <v>11</v>
      </c>
    </row>
    <row r="338" spans="1:8" x14ac:dyDescent="0.2">
      <c r="A338" t="s">
        <v>20</v>
      </c>
      <c r="B338" t="s">
        <v>119</v>
      </c>
      <c r="C338" t="s">
        <v>712</v>
      </c>
      <c r="D338">
        <v>3</v>
      </c>
      <c r="E338" s="307">
        <v>2</v>
      </c>
      <c r="F338" s="307" t="s">
        <v>7</v>
      </c>
      <c r="G338" s="307" t="s">
        <v>115</v>
      </c>
      <c r="H338" s="307" t="s">
        <v>11</v>
      </c>
    </row>
    <row r="339" spans="1:8" x14ac:dyDescent="0.2">
      <c r="A339" t="s">
        <v>20</v>
      </c>
      <c r="B339" t="s">
        <v>119</v>
      </c>
      <c r="C339" t="s">
        <v>990</v>
      </c>
      <c r="D339">
        <v>3</v>
      </c>
      <c r="E339" s="307">
        <v>2</v>
      </c>
      <c r="F339" s="307" t="s">
        <v>7</v>
      </c>
      <c r="G339" s="307" t="s">
        <v>115</v>
      </c>
      <c r="H339" s="307" t="s">
        <v>11</v>
      </c>
    </row>
    <row r="340" spans="1:8" x14ac:dyDescent="0.2">
      <c r="A340" t="s">
        <v>20</v>
      </c>
      <c r="B340" t="s">
        <v>119</v>
      </c>
      <c r="C340" t="s">
        <v>715</v>
      </c>
      <c r="D340">
        <v>3</v>
      </c>
      <c r="E340" s="307">
        <v>2</v>
      </c>
      <c r="F340" s="307" t="s">
        <v>7</v>
      </c>
      <c r="G340" s="307" t="s">
        <v>115</v>
      </c>
      <c r="H340" s="307" t="s">
        <v>11</v>
      </c>
    </row>
    <row r="341" spans="1:8" x14ac:dyDescent="0.2">
      <c r="A341" t="s">
        <v>20</v>
      </c>
      <c r="B341" t="s">
        <v>119</v>
      </c>
      <c r="C341" t="s">
        <v>991</v>
      </c>
      <c r="D341">
        <v>3</v>
      </c>
      <c r="E341" s="307">
        <v>2</v>
      </c>
      <c r="F341" s="307" t="s">
        <v>7</v>
      </c>
      <c r="G341" s="307" t="s">
        <v>115</v>
      </c>
      <c r="H341" s="307" t="s">
        <v>11</v>
      </c>
    </row>
    <row r="342" spans="1:8" x14ac:dyDescent="0.2">
      <c r="A342" t="s">
        <v>20</v>
      </c>
      <c r="B342" t="s">
        <v>119</v>
      </c>
      <c r="C342" t="s">
        <v>992</v>
      </c>
      <c r="D342">
        <v>3</v>
      </c>
      <c r="E342" s="307">
        <v>2</v>
      </c>
      <c r="F342" s="307" t="s">
        <v>7</v>
      </c>
      <c r="G342" s="307" t="s">
        <v>115</v>
      </c>
      <c r="H342" s="307" t="s">
        <v>11</v>
      </c>
    </row>
    <row r="343" spans="1:8" x14ac:dyDescent="0.2">
      <c r="A343" t="s">
        <v>20</v>
      </c>
      <c r="B343" t="s">
        <v>119</v>
      </c>
      <c r="C343" t="s">
        <v>993</v>
      </c>
      <c r="D343">
        <v>3</v>
      </c>
      <c r="E343" s="307">
        <v>2</v>
      </c>
      <c r="F343" s="307" t="s">
        <v>7</v>
      </c>
      <c r="G343" s="307" t="s">
        <v>115</v>
      </c>
      <c r="H343" s="307" t="s">
        <v>11</v>
      </c>
    </row>
    <row r="344" spans="1:8" x14ac:dyDescent="0.2">
      <c r="A344" t="s">
        <v>20</v>
      </c>
      <c r="B344" t="s">
        <v>119</v>
      </c>
      <c r="C344" t="s">
        <v>994</v>
      </c>
      <c r="D344">
        <v>3</v>
      </c>
      <c r="E344" s="307">
        <v>2</v>
      </c>
      <c r="F344" s="307" t="s">
        <v>7</v>
      </c>
      <c r="G344" s="307" t="s">
        <v>115</v>
      </c>
      <c r="H344" s="307" t="s">
        <v>11</v>
      </c>
    </row>
    <row r="345" spans="1:8" x14ac:dyDescent="0.2">
      <c r="A345" t="s">
        <v>20</v>
      </c>
      <c r="B345" t="s">
        <v>119</v>
      </c>
      <c r="C345" t="s">
        <v>995</v>
      </c>
      <c r="D345">
        <v>3</v>
      </c>
      <c r="E345" s="307">
        <v>2</v>
      </c>
      <c r="F345" s="307" t="s">
        <v>7</v>
      </c>
      <c r="G345" s="307" t="s">
        <v>115</v>
      </c>
      <c r="H345" s="307" t="s">
        <v>11</v>
      </c>
    </row>
    <row r="346" spans="1:8" x14ac:dyDescent="0.2">
      <c r="A346" t="s">
        <v>20</v>
      </c>
      <c r="B346" t="s">
        <v>119</v>
      </c>
      <c r="C346" t="s">
        <v>996</v>
      </c>
      <c r="D346">
        <v>3</v>
      </c>
      <c r="E346" s="307">
        <v>2</v>
      </c>
      <c r="F346" s="307" t="s">
        <v>7</v>
      </c>
      <c r="G346" s="307" t="s">
        <v>115</v>
      </c>
      <c r="H346" s="307" t="s">
        <v>11</v>
      </c>
    </row>
    <row r="347" spans="1:8" x14ac:dyDescent="0.2">
      <c r="A347" t="s">
        <v>20</v>
      </c>
      <c r="B347" t="s">
        <v>119</v>
      </c>
      <c r="C347" t="s">
        <v>997</v>
      </c>
      <c r="D347">
        <v>3</v>
      </c>
      <c r="E347" s="307">
        <v>2</v>
      </c>
      <c r="F347" s="307" t="s">
        <v>7</v>
      </c>
      <c r="G347" s="307" t="s">
        <v>115</v>
      </c>
      <c r="H347" s="307" t="s">
        <v>11</v>
      </c>
    </row>
    <row r="348" spans="1:8" x14ac:dyDescent="0.2">
      <c r="A348" t="s">
        <v>20</v>
      </c>
      <c r="B348" t="s">
        <v>119</v>
      </c>
      <c r="C348" t="s">
        <v>998</v>
      </c>
      <c r="D348">
        <v>3</v>
      </c>
      <c r="E348" s="307">
        <v>2</v>
      </c>
      <c r="F348" s="307" t="s">
        <v>7</v>
      </c>
      <c r="G348" s="307" t="s">
        <v>115</v>
      </c>
      <c r="H348" s="307" t="s">
        <v>11</v>
      </c>
    </row>
    <row r="349" spans="1:8" x14ac:dyDescent="0.2">
      <c r="A349" t="s">
        <v>20</v>
      </c>
      <c r="B349" t="s">
        <v>119</v>
      </c>
      <c r="C349" t="s">
        <v>999</v>
      </c>
      <c r="D349">
        <v>3</v>
      </c>
      <c r="E349" s="307">
        <v>2</v>
      </c>
      <c r="F349" s="307" t="s">
        <v>7</v>
      </c>
      <c r="G349" s="307" t="s">
        <v>115</v>
      </c>
      <c r="H349" s="307" t="s">
        <v>11</v>
      </c>
    </row>
    <row r="350" spans="1:8" x14ac:dyDescent="0.2">
      <c r="A350" t="s">
        <v>20</v>
      </c>
      <c r="B350" t="s">
        <v>119</v>
      </c>
      <c r="C350" t="s">
        <v>1000</v>
      </c>
      <c r="D350">
        <v>2</v>
      </c>
      <c r="E350" s="307">
        <v>2</v>
      </c>
      <c r="F350" s="307" t="s">
        <v>7</v>
      </c>
      <c r="G350" s="307" t="s">
        <v>115</v>
      </c>
      <c r="H350" s="307" t="s">
        <v>11</v>
      </c>
    </row>
    <row r="351" spans="1:8" x14ac:dyDescent="0.2">
      <c r="A351" t="s">
        <v>20</v>
      </c>
      <c r="B351" t="s">
        <v>119</v>
      </c>
      <c r="C351" t="s">
        <v>1001</v>
      </c>
      <c r="D351">
        <v>3</v>
      </c>
      <c r="E351" s="307">
        <v>2</v>
      </c>
      <c r="F351" s="307" t="s">
        <v>7</v>
      </c>
      <c r="G351" s="307" t="s">
        <v>115</v>
      </c>
      <c r="H351" s="307" t="s">
        <v>11</v>
      </c>
    </row>
    <row r="352" spans="1:8" x14ac:dyDescent="0.2">
      <c r="A352" t="s">
        <v>20</v>
      </c>
      <c r="B352" t="s">
        <v>119</v>
      </c>
      <c r="C352" t="s">
        <v>1002</v>
      </c>
      <c r="D352">
        <v>3</v>
      </c>
      <c r="E352" s="307">
        <v>2</v>
      </c>
      <c r="F352" s="307" t="s">
        <v>7</v>
      </c>
      <c r="G352" s="307" t="s">
        <v>115</v>
      </c>
      <c r="H352" s="307" t="s">
        <v>11</v>
      </c>
    </row>
    <row r="353" spans="1:8" x14ac:dyDescent="0.2">
      <c r="A353" t="s">
        <v>20</v>
      </c>
      <c r="B353" t="s">
        <v>119</v>
      </c>
      <c r="C353" t="s">
        <v>721</v>
      </c>
      <c r="D353">
        <v>3</v>
      </c>
      <c r="E353" s="307">
        <v>2</v>
      </c>
      <c r="F353" s="307" t="s">
        <v>7</v>
      </c>
      <c r="G353" s="307" t="s">
        <v>115</v>
      </c>
      <c r="H353" s="307" t="s">
        <v>11</v>
      </c>
    </row>
    <row r="354" spans="1:8" x14ac:dyDescent="0.2">
      <c r="A354" t="s">
        <v>20</v>
      </c>
      <c r="B354" t="s">
        <v>119</v>
      </c>
      <c r="C354" t="s">
        <v>722</v>
      </c>
      <c r="D354">
        <v>3</v>
      </c>
      <c r="E354" s="307">
        <v>2</v>
      </c>
      <c r="F354" s="307" t="s">
        <v>7</v>
      </c>
      <c r="G354" s="307" t="s">
        <v>115</v>
      </c>
      <c r="H354" s="307" t="s">
        <v>11</v>
      </c>
    </row>
    <row r="355" spans="1:8" x14ac:dyDescent="0.2">
      <c r="A355" t="s">
        <v>20</v>
      </c>
      <c r="B355" t="s">
        <v>119</v>
      </c>
      <c r="C355" t="s">
        <v>826</v>
      </c>
      <c r="D355">
        <v>3</v>
      </c>
      <c r="E355" s="307">
        <v>2</v>
      </c>
      <c r="F355" s="307" t="s">
        <v>7</v>
      </c>
      <c r="G355" s="307" t="s">
        <v>115</v>
      </c>
      <c r="H355" s="307" t="s">
        <v>11</v>
      </c>
    </row>
    <row r="356" spans="1:8" x14ac:dyDescent="0.2">
      <c r="A356" t="s">
        <v>20</v>
      </c>
      <c r="B356" t="s">
        <v>119</v>
      </c>
      <c r="C356" t="s">
        <v>871</v>
      </c>
      <c r="D356">
        <v>3</v>
      </c>
      <c r="E356" s="307">
        <v>2</v>
      </c>
      <c r="F356" s="307" t="s">
        <v>7</v>
      </c>
      <c r="G356" s="307" t="s">
        <v>115</v>
      </c>
      <c r="H356" s="307" t="s">
        <v>11</v>
      </c>
    </row>
    <row r="357" spans="1:8" x14ac:dyDescent="0.2">
      <c r="A357" t="s">
        <v>20</v>
      </c>
      <c r="B357" t="s">
        <v>119</v>
      </c>
      <c r="C357" t="s">
        <v>726</v>
      </c>
      <c r="D357">
        <v>3</v>
      </c>
      <c r="E357" s="307">
        <v>2</v>
      </c>
      <c r="F357" s="307" t="s">
        <v>7</v>
      </c>
      <c r="G357" s="307" t="s">
        <v>115</v>
      </c>
      <c r="H357" s="307" t="s">
        <v>11</v>
      </c>
    </row>
    <row r="358" spans="1:8" x14ac:dyDescent="0.2">
      <c r="A358" t="s">
        <v>20</v>
      </c>
      <c r="B358" t="s">
        <v>119</v>
      </c>
      <c r="C358" t="s">
        <v>1003</v>
      </c>
      <c r="D358">
        <v>2</v>
      </c>
      <c r="E358" s="307">
        <v>2</v>
      </c>
      <c r="F358" s="307" t="s">
        <v>7</v>
      </c>
      <c r="G358" s="307" t="s">
        <v>115</v>
      </c>
      <c r="H358" s="307" t="s">
        <v>11</v>
      </c>
    </row>
    <row r="359" spans="1:8" x14ac:dyDescent="0.2">
      <c r="A359" t="s">
        <v>20</v>
      </c>
      <c r="B359" t="s">
        <v>119</v>
      </c>
      <c r="C359" t="s">
        <v>1004</v>
      </c>
      <c r="D359">
        <v>3</v>
      </c>
      <c r="E359" s="307">
        <v>2</v>
      </c>
      <c r="F359" s="307" t="s">
        <v>7</v>
      </c>
      <c r="G359" s="307" t="s">
        <v>115</v>
      </c>
      <c r="H359" s="307" t="s">
        <v>11</v>
      </c>
    </row>
    <row r="360" spans="1:8" x14ac:dyDescent="0.2">
      <c r="A360" t="s">
        <v>20</v>
      </c>
      <c r="B360" t="s">
        <v>119</v>
      </c>
      <c r="C360" t="s">
        <v>1005</v>
      </c>
      <c r="D360">
        <v>3</v>
      </c>
      <c r="E360" s="307">
        <v>2</v>
      </c>
      <c r="F360" s="307" t="s">
        <v>7</v>
      </c>
      <c r="G360" s="307" t="s">
        <v>115</v>
      </c>
      <c r="H360" s="307" t="s">
        <v>11</v>
      </c>
    </row>
    <row r="361" spans="1:8" x14ac:dyDescent="0.2">
      <c r="A361" t="s">
        <v>20</v>
      </c>
      <c r="B361" t="s">
        <v>119</v>
      </c>
      <c r="C361" t="s">
        <v>730</v>
      </c>
      <c r="D361">
        <v>3</v>
      </c>
      <c r="E361" s="307">
        <v>2</v>
      </c>
      <c r="F361" s="307" t="s">
        <v>7</v>
      </c>
      <c r="G361" s="307" t="s">
        <v>115</v>
      </c>
      <c r="H361" s="307" t="s">
        <v>11</v>
      </c>
    </row>
    <row r="362" spans="1:8" x14ac:dyDescent="0.2">
      <c r="A362" t="s">
        <v>20</v>
      </c>
      <c r="B362" t="s">
        <v>119</v>
      </c>
      <c r="C362" t="s">
        <v>1006</v>
      </c>
      <c r="D362">
        <v>3</v>
      </c>
      <c r="E362" s="307">
        <v>2</v>
      </c>
      <c r="F362" s="307" t="s">
        <v>7</v>
      </c>
      <c r="G362" s="307" t="s">
        <v>115</v>
      </c>
      <c r="H362" s="307" t="s">
        <v>11</v>
      </c>
    </row>
    <row r="363" spans="1:8" x14ac:dyDescent="0.2">
      <c r="A363" t="s">
        <v>20</v>
      </c>
      <c r="B363" t="s">
        <v>119</v>
      </c>
      <c r="C363" t="s">
        <v>732</v>
      </c>
      <c r="D363">
        <v>2</v>
      </c>
      <c r="E363" s="307">
        <v>2</v>
      </c>
      <c r="F363" s="307" t="s">
        <v>7</v>
      </c>
      <c r="G363" s="307" t="s">
        <v>115</v>
      </c>
      <c r="H363" s="307" t="s">
        <v>11</v>
      </c>
    </row>
    <row r="364" spans="1:8" x14ac:dyDescent="0.2">
      <c r="A364" t="s">
        <v>20</v>
      </c>
      <c r="B364" t="s">
        <v>119</v>
      </c>
      <c r="C364" t="s">
        <v>1007</v>
      </c>
      <c r="D364">
        <v>3</v>
      </c>
      <c r="E364" s="307">
        <v>2</v>
      </c>
      <c r="F364" s="307" t="s">
        <v>7</v>
      </c>
      <c r="G364" s="307" t="s">
        <v>115</v>
      </c>
      <c r="H364" s="307" t="s">
        <v>11</v>
      </c>
    </row>
    <row r="365" spans="1:8" x14ac:dyDescent="0.2">
      <c r="A365" t="s">
        <v>20</v>
      </c>
      <c r="B365" t="s">
        <v>119</v>
      </c>
      <c r="C365" t="s">
        <v>1008</v>
      </c>
      <c r="D365">
        <v>2</v>
      </c>
      <c r="E365" s="307">
        <v>1</v>
      </c>
      <c r="F365" s="307" t="s">
        <v>7</v>
      </c>
      <c r="G365" s="307" t="s">
        <v>115</v>
      </c>
      <c r="H365" s="307" t="s">
        <v>11</v>
      </c>
    </row>
    <row r="366" spans="1:8" x14ac:dyDescent="0.2">
      <c r="A366" t="s">
        <v>20</v>
      </c>
      <c r="B366" t="s">
        <v>119</v>
      </c>
      <c r="C366" t="s">
        <v>735</v>
      </c>
      <c r="D366">
        <v>3</v>
      </c>
      <c r="E366" s="307">
        <v>1</v>
      </c>
      <c r="F366" s="307" t="s">
        <v>7</v>
      </c>
      <c r="G366" s="307" t="s">
        <v>115</v>
      </c>
      <c r="H366" s="307" t="s">
        <v>11</v>
      </c>
    </row>
    <row r="367" spans="1:8" x14ac:dyDescent="0.2">
      <c r="A367" t="s">
        <v>20</v>
      </c>
      <c r="B367" t="s">
        <v>119</v>
      </c>
      <c r="C367" t="s">
        <v>1009</v>
      </c>
      <c r="D367">
        <v>3</v>
      </c>
      <c r="E367" s="307">
        <v>2</v>
      </c>
      <c r="F367" s="307" t="s">
        <v>7</v>
      </c>
      <c r="G367" s="307" t="s">
        <v>115</v>
      </c>
      <c r="H367" s="307" t="s">
        <v>11</v>
      </c>
    </row>
    <row r="368" spans="1:8" x14ac:dyDescent="0.2">
      <c r="A368" t="s">
        <v>20</v>
      </c>
      <c r="B368" t="s">
        <v>119</v>
      </c>
      <c r="C368" t="s">
        <v>1010</v>
      </c>
      <c r="D368">
        <v>3</v>
      </c>
      <c r="E368" s="307">
        <v>2</v>
      </c>
      <c r="F368" s="307" t="s">
        <v>7</v>
      </c>
      <c r="G368" s="307" t="s">
        <v>115</v>
      </c>
      <c r="H368" s="307" t="s">
        <v>11</v>
      </c>
    </row>
    <row r="369" spans="1:8" x14ac:dyDescent="0.2">
      <c r="A369" t="s">
        <v>20</v>
      </c>
      <c r="B369" t="s">
        <v>119</v>
      </c>
      <c r="C369" t="s">
        <v>1011</v>
      </c>
      <c r="D369">
        <v>3</v>
      </c>
      <c r="E369" s="307">
        <v>2</v>
      </c>
      <c r="F369" s="307" t="s">
        <v>7</v>
      </c>
      <c r="G369" s="307" t="s">
        <v>115</v>
      </c>
      <c r="H369" s="307" t="s">
        <v>11</v>
      </c>
    </row>
    <row r="370" spans="1:8" x14ac:dyDescent="0.2">
      <c r="A370" t="s">
        <v>20</v>
      </c>
      <c r="B370" t="s">
        <v>119</v>
      </c>
      <c r="C370" t="s">
        <v>883</v>
      </c>
      <c r="D370">
        <v>3</v>
      </c>
      <c r="E370" s="307">
        <v>2</v>
      </c>
      <c r="F370" s="307" t="s">
        <v>7</v>
      </c>
      <c r="G370" s="307" t="s">
        <v>115</v>
      </c>
      <c r="H370" s="307" t="s">
        <v>11</v>
      </c>
    </row>
    <row r="371" spans="1:8" x14ac:dyDescent="0.2">
      <c r="A371" t="s">
        <v>20</v>
      </c>
      <c r="B371" t="s">
        <v>119</v>
      </c>
      <c r="C371" t="s">
        <v>1012</v>
      </c>
      <c r="D371">
        <v>3</v>
      </c>
      <c r="E371" s="307">
        <v>2</v>
      </c>
      <c r="F371" s="307" t="s">
        <v>7</v>
      </c>
      <c r="G371" s="307" t="s">
        <v>115</v>
      </c>
      <c r="H371" s="307" t="s">
        <v>11</v>
      </c>
    </row>
    <row r="372" spans="1:8" x14ac:dyDescent="0.2">
      <c r="A372" t="s">
        <v>20</v>
      </c>
      <c r="B372" t="s">
        <v>119</v>
      </c>
      <c r="C372" t="s">
        <v>1013</v>
      </c>
      <c r="D372">
        <v>3</v>
      </c>
      <c r="E372" s="307">
        <v>2</v>
      </c>
      <c r="F372" s="307" t="s">
        <v>7</v>
      </c>
      <c r="G372" s="307" t="s">
        <v>115</v>
      </c>
      <c r="H372" s="307" t="s">
        <v>11</v>
      </c>
    </row>
    <row r="373" spans="1:8" x14ac:dyDescent="0.2">
      <c r="A373" t="s">
        <v>20</v>
      </c>
      <c r="B373" t="s">
        <v>119</v>
      </c>
      <c r="C373" t="s">
        <v>1014</v>
      </c>
      <c r="D373">
        <v>3</v>
      </c>
      <c r="E373" s="307">
        <v>2</v>
      </c>
      <c r="F373" s="307" t="s">
        <v>7</v>
      </c>
      <c r="G373" s="307" t="s">
        <v>115</v>
      </c>
      <c r="H373" s="307" t="s">
        <v>11</v>
      </c>
    </row>
    <row r="374" spans="1:8" x14ac:dyDescent="0.2">
      <c r="A374" t="s">
        <v>20</v>
      </c>
      <c r="B374" t="s">
        <v>119</v>
      </c>
      <c r="C374" t="s">
        <v>1015</v>
      </c>
      <c r="D374">
        <v>2</v>
      </c>
      <c r="E374" s="307">
        <v>2</v>
      </c>
      <c r="F374" s="307" t="s">
        <v>7</v>
      </c>
      <c r="G374" s="307" t="s">
        <v>115</v>
      </c>
      <c r="H374" s="307" t="s">
        <v>11</v>
      </c>
    </row>
    <row r="375" spans="1:8" x14ac:dyDescent="0.2">
      <c r="A375" t="s">
        <v>20</v>
      </c>
      <c r="B375" t="s">
        <v>119</v>
      </c>
      <c r="C375" t="s">
        <v>838</v>
      </c>
      <c r="D375">
        <v>2</v>
      </c>
      <c r="E375" s="307">
        <v>2</v>
      </c>
      <c r="F375" s="307" t="s">
        <v>7</v>
      </c>
      <c r="G375" s="307" t="s">
        <v>115</v>
      </c>
      <c r="H375" s="307" t="s">
        <v>11</v>
      </c>
    </row>
    <row r="376" spans="1:8" x14ac:dyDescent="0.2">
      <c r="A376" t="s">
        <v>20</v>
      </c>
      <c r="B376" t="s">
        <v>119</v>
      </c>
      <c r="C376" t="s">
        <v>1016</v>
      </c>
      <c r="D376">
        <v>3</v>
      </c>
      <c r="E376" s="307">
        <v>2</v>
      </c>
      <c r="F376" s="307" t="s">
        <v>7</v>
      </c>
      <c r="G376" s="307" t="s">
        <v>115</v>
      </c>
      <c r="H376" s="307" t="s">
        <v>11</v>
      </c>
    </row>
    <row r="377" spans="1:8" x14ac:dyDescent="0.2">
      <c r="A377" t="s">
        <v>20</v>
      </c>
      <c r="B377" t="s">
        <v>119</v>
      </c>
      <c r="C377" t="s">
        <v>1017</v>
      </c>
      <c r="D377">
        <v>3</v>
      </c>
      <c r="E377" s="307">
        <v>2</v>
      </c>
      <c r="F377" s="307" t="s">
        <v>7</v>
      </c>
      <c r="G377" s="307" t="s">
        <v>115</v>
      </c>
      <c r="H377" s="307" t="s">
        <v>11</v>
      </c>
    </row>
    <row r="378" spans="1:8" x14ac:dyDescent="0.2">
      <c r="A378" t="s">
        <v>20</v>
      </c>
      <c r="B378" t="s">
        <v>119</v>
      </c>
      <c r="C378" t="s">
        <v>1018</v>
      </c>
      <c r="D378">
        <v>3</v>
      </c>
      <c r="E378" s="307">
        <v>2</v>
      </c>
      <c r="F378" s="307" t="s">
        <v>7</v>
      </c>
      <c r="G378" s="307" t="s">
        <v>115</v>
      </c>
      <c r="H378" s="307" t="s">
        <v>11</v>
      </c>
    </row>
    <row r="379" spans="1:8" x14ac:dyDescent="0.2">
      <c r="A379" t="s">
        <v>20</v>
      </c>
      <c r="B379" t="s">
        <v>119</v>
      </c>
      <c r="C379" t="s">
        <v>1019</v>
      </c>
      <c r="D379">
        <v>3</v>
      </c>
      <c r="E379" s="307">
        <v>2</v>
      </c>
      <c r="F379" s="307" t="s">
        <v>7</v>
      </c>
      <c r="G379" s="307" t="s">
        <v>115</v>
      </c>
      <c r="H379" s="307" t="s">
        <v>11</v>
      </c>
    </row>
    <row r="380" spans="1:8" x14ac:dyDescent="0.2">
      <c r="A380" t="s">
        <v>20</v>
      </c>
      <c r="B380" t="s">
        <v>119</v>
      </c>
      <c r="C380" t="s">
        <v>1020</v>
      </c>
      <c r="D380">
        <v>3</v>
      </c>
      <c r="E380" s="307">
        <v>2</v>
      </c>
      <c r="F380" s="307" t="s">
        <v>7</v>
      </c>
      <c r="G380" s="307" t="s">
        <v>115</v>
      </c>
      <c r="H380" s="307" t="s">
        <v>11</v>
      </c>
    </row>
    <row r="381" spans="1:8" x14ac:dyDescent="0.2">
      <c r="A381" t="s">
        <v>20</v>
      </c>
      <c r="B381" t="s">
        <v>119</v>
      </c>
      <c r="C381" t="s">
        <v>1021</v>
      </c>
      <c r="D381">
        <v>3</v>
      </c>
      <c r="E381" s="307">
        <v>2</v>
      </c>
      <c r="F381" s="307" t="s">
        <v>7</v>
      </c>
      <c r="G381" s="307" t="s">
        <v>115</v>
      </c>
      <c r="H381" s="307" t="s">
        <v>11</v>
      </c>
    </row>
    <row r="382" spans="1:8" x14ac:dyDescent="0.2">
      <c r="A382" t="s">
        <v>20</v>
      </c>
      <c r="B382" t="s">
        <v>119</v>
      </c>
      <c r="C382" t="s">
        <v>745</v>
      </c>
      <c r="D382">
        <v>3</v>
      </c>
      <c r="E382" s="307">
        <v>2</v>
      </c>
      <c r="F382" s="307" t="s">
        <v>7</v>
      </c>
      <c r="G382" s="307" t="s">
        <v>115</v>
      </c>
      <c r="H382" s="307" t="s">
        <v>11</v>
      </c>
    </row>
    <row r="383" spans="1:8" x14ac:dyDescent="0.2">
      <c r="A383" t="s">
        <v>20</v>
      </c>
      <c r="B383" t="s">
        <v>119</v>
      </c>
      <c r="C383" t="s">
        <v>1022</v>
      </c>
      <c r="D383">
        <v>3</v>
      </c>
      <c r="E383" s="307">
        <v>2</v>
      </c>
      <c r="F383" s="307" t="s">
        <v>7</v>
      </c>
      <c r="G383" s="307" t="s">
        <v>115</v>
      </c>
      <c r="H383" s="307" t="s">
        <v>11</v>
      </c>
    </row>
    <row r="384" spans="1:8" x14ac:dyDescent="0.2">
      <c r="A384" t="s">
        <v>20</v>
      </c>
      <c r="B384" t="s">
        <v>119</v>
      </c>
      <c r="C384" t="s">
        <v>1023</v>
      </c>
      <c r="D384">
        <v>3</v>
      </c>
      <c r="E384" s="307">
        <v>2</v>
      </c>
      <c r="F384" s="307" t="s">
        <v>7</v>
      </c>
      <c r="G384" s="307" t="s">
        <v>115</v>
      </c>
      <c r="H384" s="307" t="s">
        <v>11</v>
      </c>
    </row>
    <row r="385" spans="1:8" x14ac:dyDescent="0.2">
      <c r="A385" t="s">
        <v>20</v>
      </c>
      <c r="B385" t="s">
        <v>119</v>
      </c>
      <c r="C385" t="s">
        <v>850</v>
      </c>
      <c r="D385">
        <v>2</v>
      </c>
      <c r="E385" s="307">
        <v>2</v>
      </c>
      <c r="F385" s="307" t="s">
        <v>7</v>
      </c>
      <c r="G385" s="307" t="s">
        <v>115</v>
      </c>
      <c r="H385" s="307" t="s">
        <v>11</v>
      </c>
    </row>
    <row r="386" spans="1:8" x14ac:dyDescent="0.2">
      <c r="A386" t="s">
        <v>20</v>
      </c>
      <c r="B386" t="s">
        <v>119</v>
      </c>
      <c r="C386" t="s">
        <v>1024</v>
      </c>
      <c r="D386">
        <v>3</v>
      </c>
      <c r="E386" s="307">
        <v>2</v>
      </c>
      <c r="F386" s="307" t="s">
        <v>7</v>
      </c>
      <c r="G386" s="307" t="s">
        <v>115</v>
      </c>
      <c r="H386" s="307" t="s">
        <v>11</v>
      </c>
    </row>
    <row r="387" spans="1:8" x14ac:dyDescent="0.2">
      <c r="A387" t="s">
        <v>20</v>
      </c>
      <c r="B387" t="s">
        <v>119</v>
      </c>
      <c r="C387" t="s">
        <v>1025</v>
      </c>
      <c r="D387">
        <v>3</v>
      </c>
      <c r="E387" s="307">
        <v>2</v>
      </c>
      <c r="F387" s="307" t="s">
        <v>7</v>
      </c>
      <c r="G387" s="307" t="s">
        <v>115</v>
      </c>
      <c r="H387" s="307" t="s">
        <v>11</v>
      </c>
    </row>
    <row r="388" spans="1:8" x14ac:dyDescent="0.2">
      <c r="A388" t="s">
        <v>20</v>
      </c>
      <c r="B388" t="s">
        <v>119</v>
      </c>
      <c r="C388" t="s">
        <v>1026</v>
      </c>
      <c r="D388">
        <v>3</v>
      </c>
      <c r="E388" s="307">
        <v>2</v>
      </c>
      <c r="F388" s="307" t="s">
        <v>7</v>
      </c>
      <c r="G388" s="307" t="s">
        <v>115</v>
      </c>
      <c r="H388" s="307" t="s">
        <v>11</v>
      </c>
    </row>
    <row r="389" spans="1:8" x14ac:dyDescent="0.2">
      <c r="A389" t="s">
        <v>20</v>
      </c>
      <c r="B389" t="s">
        <v>119</v>
      </c>
      <c r="C389" t="s">
        <v>750</v>
      </c>
      <c r="D389">
        <v>3</v>
      </c>
      <c r="E389" s="307">
        <v>2</v>
      </c>
      <c r="F389" s="307" t="s">
        <v>7</v>
      </c>
      <c r="G389" s="307" t="s">
        <v>115</v>
      </c>
      <c r="H389" s="307" t="s">
        <v>11</v>
      </c>
    </row>
    <row r="390" spans="1:8" x14ac:dyDescent="0.2">
      <c r="A390" t="s">
        <v>21</v>
      </c>
      <c r="B390" t="s">
        <v>108</v>
      </c>
      <c r="C390" t="s">
        <v>1027</v>
      </c>
      <c r="D390">
        <v>3</v>
      </c>
      <c r="E390" s="307">
        <v>2</v>
      </c>
      <c r="F390" s="307" t="s">
        <v>7</v>
      </c>
      <c r="G390" s="307" t="s">
        <v>115</v>
      </c>
      <c r="H390" s="307" t="s">
        <v>11</v>
      </c>
    </row>
    <row r="391" spans="1:8" x14ac:dyDescent="0.2">
      <c r="A391" t="s">
        <v>21</v>
      </c>
      <c r="B391" t="s">
        <v>108</v>
      </c>
      <c r="C391" t="s">
        <v>1028</v>
      </c>
      <c r="D391">
        <v>3</v>
      </c>
      <c r="E391" s="307">
        <v>2</v>
      </c>
      <c r="F391" s="307" t="s">
        <v>7</v>
      </c>
      <c r="G391" s="307" t="s">
        <v>115</v>
      </c>
      <c r="H391" s="307" t="s">
        <v>11</v>
      </c>
    </row>
    <row r="392" spans="1:8" x14ac:dyDescent="0.2">
      <c r="A392" t="s">
        <v>21</v>
      </c>
      <c r="B392" t="s">
        <v>108</v>
      </c>
      <c r="C392" t="s">
        <v>1029</v>
      </c>
      <c r="D392">
        <v>3</v>
      </c>
      <c r="E392" s="307">
        <v>2</v>
      </c>
      <c r="F392" s="307" t="s">
        <v>7</v>
      </c>
      <c r="G392" s="307" t="s">
        <v>115</v>
      </c>
      <c r="H392" s="307" t="s">
        <v>11</v>
      </c>
    </row>
    <row r="393" spans="1:8" x14ac:dyDescent="0.2">
      <c r="A393" t="s">
        <v>21</v>
      </c>
      <c r="B393" t="s">
        <v>108</v>
      </c>
      <c r="C393" t="s">
        <v>979</v>
      </c>
      <c r="D393">
        <v>3</v>
      </c>
      <c r="E393" s="307">
        <v>2</v>
      </c>
      <c r="F393" s="307" t="s">
        <v>7</v>
      </c>
      <c r="G393" s="307" t="s">
        <v>115</v>
      </c>
      <c r="H393" s="307" t="s">
        <v>11</v>
      </c>
    </row>
    <row r="394" spans="1:8" x14ac:dyDescent="0.2">
      <c r="A394" t="s">
        <v>21</v>
      </c>
      <c r="B394" t="s">
        <v>108</v>
      </c>
      <c r="C394" t="s">
        <v>687</v>
      </c>
      <c r="D394">
        <v>3</v>
      </c>
      <c r="E394" s="307">
        <v>3</v>
      </c>
      <c r="F394" s="307" t="s">
        <v>7</v>
      </c>
      <c r="G394" s="307" t="s">
        <v>11</v>
      </c>
      <c r="H394" s="307" t="s">
        <v>11</v>
      </c>
    </row>
    <row r="395" spans="1:8" x14ac:dyDescent="0.2">
      <c r="A395" t="s">
        <v>21</v>
      </c>
      <c r="B395" t="s">
        <v>108</v>
      </c>
      <c r="C395" t="s">
        <v>1030</v>
      </c>
      <c r="D395">
        <v>2</v>
      </c>
      <c r="E395" s="307">
        <v>4</v>
      </c>
      <c r="F395" s="307" t="s">
        <v>7</v>
      </c>
      <c r="G395" s="307" t="s">
        <v>11</v>
      </c>
      <c r="H395" s="307" t="s">
        <v>11</v>
      </c>
    </row>
    <row r="396" spans="1:8" x14ac:dyDescent="0.2">
      <c r="A396" t="s">
        <v>21</v>
      </c>
      <c r="B396" t="s">
        <v>108</v>
      </c>
      <c r="C396" t="s">
        <v>1031</v>
      </c>
      <c r="D396">
        <v>2</v>
      </c>
      <c r="E396" s="307">
        <v>3</v>
      </c>
      <c r="F396" s="307" t="s">
        <v>7</v>
      </c>
      <c r="G396" s="307" t="s">
        <v>11</v>
      </c>
      <c r="H396" s="307" t="s">
        <v>11</v>
      </c>
    </row>
    <row r="397" spans="1:8" x14ac:dyDescent="0.2">
      <c r="A397" t="s">
        <v>21</v>
      </c>
      <c r="B397" t="s">
        <v>108</v>
      </c>
      <c r="C397" t="s">
        <v>1032</v>
      </c>
      <c r="D397">
        <v>2</v>
      </c>
      <c r="E397" s="307">
        <v>3</v>
      </c>
      <c r="F397" s="307" t="s">
        <v>7</v>
      </c>
      <c r="G397" s="307" t="s">
        <v>11</v>
      </c>
      <c r="H397" s="307" t="s">
        <v>11</v>
      </c>
    </row>
    <row r="398" spans="1:8" x14ac:dyDescent="0.2">
      <c r="A398" t="s">
        <v>21</v>
      </c>
      <c r="B398" t="s">
        <v>108</v>
      </c>
      <c r="C398" t="s">
        <v>1033</v>
      </c>
      <c r="D398">
        <v>3</v>
      </c>
      <c r="E398" s="307">
        <v>3</v>
      </c>
      <c r="F398" s="307" t="s">
        <v>7</v>
      </c>
      <c r="G398" s="307" t="s">
        <v>115</v>
      </c>
      <c r="H398" s="307" t="s">
        <v>11</v>
      </c>
    </row>
    <row r="399" spans="1:8" x14ac:dyDescent="0.2">
      <c r="A399" t="s">
        <v>21</v>
      </c>
      <c r="B399" t="s">
        <v>108</v>
      </c>
      <c r="C399" t="s">
        <v>1034</v>
      </c>
      <c r="D399">
        <v>3</v>
      </c>
      <c r="E399" s="307">
        <v>2</v>
      </c>
      <c r="F399" s="307" t="s">
        <v>7</v>
      </c>
      <c r="G399" s="307" t="s">
        <v>115</v>
      </c>
      <c r="H399" s="307" t="s">
        <v>11</v>
      </c>
    </row>
    <row r="400" spans="1:8" x14ac:dyDescent="0.2">
      <c r="A400" t="s">
        <v>21</v>
      </c>
      <c r="B400" t="s">
        <v>108</v>
      </c>
      <c r="C400" t="s">
        <v>689</v>
      </c>
      <c r="D400">
        <v>3</v>
      </c>
      <c r="E400" s="307">
        <v>3</v>
      </c>
      <c r="F400" s="307" t="s">
        <v>7</v>
      </c>
      <c r="G400" s="307" t="s">
        <v>11</v>
      </c>
      <c r="H400" s="307" t="s">
        <v>11</v>
      </c>
    </row>
    <row r="401" spans="1:8" x14ac:dyDescent="0.2">
      <c r="A401" t="s">
        <v>21</v>
      </c>
      <c r="B401" t="s">
        <v>108</v>
      </c>
      <c r="C401" t="s">
        <v>1035</v>
      </c>
      <c r="D401">
        <v>3</v>
      </c>
      <c r="E401" s="307">
        <v>3</v>
      </c>
      <c r="F401" s="307" t="s">
        <v>7</v>
      </c>
      <c r="G401" s="307" t="s">
        <v>115</v>
      </c>
      <c r="H401" s="307" t="s">
        <v>11</v>
      </c>
    </row>
    <row r="402" spans="1:8" x14ac:dyDescent="0.2">
      <c r="A402" t="s">
        <v>21</v>
      </c>
      <c r="B402" t="s">
        <v>108</v>
      </c>
      <c r="C402" t="s">
        <v>1036</v>
      </c>
      <c r="D402">
        <v>3</v>
      </c>
      <c r="E402" s="307">
        <v>2</v>
      </c>
      <c r="F402" s="307" t="s">
        <v>7</v>
      </c>
      <c r="G402" s="307" t="s">
        <v>115</v>
      </c>
      <c r="H402" s="307" t="s">
        <v>11</v>
      </c>
    </row>
    <row r="403" spans="1:8" x14ac:dyDescent="0.2">
      <c r="A403" t="s">
        <v>21</v>
      </c>
      <c r="B403" t="s">
        <v>108</v>
      </c>
      <c r="C403" t="s">
        <v>1037</v>
      </c>
      <c r="D403">
        <v>3</v>
      </c>
      <c r="E403" s="307">
        <v>2</v>
      </c>
      <c r="F403" s="307" t="s">
        <v>7</v>
      </c>
      <c r="G403" s="307" t="s">
        <v>115</v>
      </c>
      <c r="H403" s="307" t="s">
        <v>11</v>
      </c>
    </row>
    <row r="404" spans="1:8" x14ac:dyDescent="0.2">
      <c r="A404" t="s">
        <v>21</v>
      </c>
      <c r="B404" t="s">
        <v>108</v>
      </c>
      <c r="C404" t="s">
        <v>1038</v>
      </c>
      <c r="D404">
        <v>3</v>
      </c>
      <c r="E404" s="307">
        <v>2</v>
      </c>
      <c r="F404" s="307" t="s">
        <v>7</v>
      </c>
      <c r="G404" s="307" t="s">
        <v>115</v>
      </c>
      <c r="H404" s="307" t="s">
        <v>11</v>
      </c>
    </row>
    <row r="405" spans="1:8" x14ac:dyDescent="0.2">
      <c r="A405" t="s">
        <v>21</v>
      </c>
      <c r="B405" t="s">
        <v>108</v>
      </c>
      <c r="C405" t="s">
        <v>1039</v>
      </c>
      <c r="D405">
        <v>3</v>
      </c>
      <c r="E405" s="307">
        <v>3</v>
      </c>
      <c r="F405" s="307" t="s">
        <v>7</v>
      </c>
      <c r="G405" s="307" t="s">
        <v>115</v>
      </c>
      <c r="H405" s="307" t="s">
        <v>11</v>
      </c>
    </row>
    <row r="406" spans="1:8" x14ac:dyDescent="0.2">
      <c r="A406" t="s">
        <v>21</v>
      </c>
      <c r="B406" t="s">
        <v>108</v>
      </c>
      <c r="C406" t="s">
        <v>1040</v>
      </c>
      <c r="D406">
        <v>3</v>
      </c>
      <c r="E406" s="307">
        <v>3</v>
      </c>
      <c r="F406" s="307" t="s">
        <v>7</v>
      </c>
      <c r="G406" s="307" t="s">
        <v>11</v>
      </c>
      <c r="H406" s="307" t="s">
        <v>11</v>
      </c>
    </row>
    <row r="407" spans="1:8" x14ac:dyDescent="0.2">
      <c r="A407" t="s">
        <v>21</v>
      </c>
      <c r="B407" t="s">
        <v>108</v>
      </c>
      <c r="C407" t="s">
        <v>1041</v>
      </c>
      <c r="D407">
        <v>2</v>
      </c>
      <c r="E407" s="307">
        <v>3</v>
      </c>
      <c r="F407" s="307" t="s">
        <v>7</v>
      </c>
      <c r="G407" s="307" t="s">
        <v>11</v>
      </c>
      <c r="H407" s="307" t="s">
        <v>11</v>
      </c>
    </row>
    <row r="408" spans="1:8" x14ac:dyDescent="0.2">
      <c r="A408" t="s">
        <v>21</v>
      </c>
      <c r="B408" t="s">
        <v>108</v>
      </c>
      <c r="C408" t="s">
        <v>693</v>
      </c>
      <c r="D408">
        <v>3</v>
      </c>
      <c r="E408" s="307">
        <v>3</v>
      </c>
      <c r="F408" s="307" t="s">
        <v>7</v>
      </c>
      <c r="G408" s="307" t="s">
        <v>115</v>
      </c>
      <c r="H408" s="307" t="s">
        <v>11</v>
      </c>
    </row>
    <row r="409" spans="1:8" x14ac:dyDescent="0.2">
      <c r="A409" t="s">
        <v>21</v>
      </c>
      <c r="B409" t="s">
        <v>108</v>
      </c>
      <c r="C409" t="s">
        <v>1042</v>
      </c>
      <c r="D409">
        <v>3</v>
      </c>
      <c r="E409" s="307">
        <v>2</v>
      </c>
      <c r="F409" s="307" t="s">
        <v>7</v>
      </c>
      <c r="G409" s="307" t="s">
        <v>115</v>
      </c>
      <c r="H409" s="307" t="s">
        <v>11</v>
      </c>
    </row>
    <row r="410" spans="1:8" x14ac:dyDescent="0.2">
      <c r="A410" t="s">
        <v>21</v>
      </c>
      <c r="B410" t="s">
        <v>108</v>
      </c>
      <c r="C410" t="s">
        <v>1043</v>
      </c>
      <c r="D410">
        <v>3</v>
      </c>
      <c r="E410" s="307">
        <v>3</v>
      </c>
      <c r="F410" s="307" t="s">
        <v>7</v>
      </c>
      <c r="G410" s="307" t="s">
        <v>115</v>
      </c>
      <c r="H410" s="307" t="s">
        <v>11</v>
      </c>
    </row>
    <row r="411" spans="1:8" x14ac:dyDescent="0.2">
      <c r="A411" t="s">
        <v>21</v>
      </c>
      <c r="B411" t="s">
        <v>108</v>
      </c>
      <c r="C411" t="s">
        <v>804</v>
      </c>
      <c r="D411">
        <v>2</v>
      </c>
      <c r="E411" s="307">
        <v>3</v>
      </c>
      <c r="F411" s="307" t="s">
        <v>7</v>
      </c>
      <c r="G411" s="307" t="s">
        <v>11</v>
      </c>
      <c r="H411" s="307" t="s">
        <v>11</v>
      </c>
    </row>
    <row r="412" spans="1:8" x14ac:dyDescent="0.2">
      <c r="A412" t="s">
        <v>21</v>
      </c>
      <c r="B412" t="s">
        <v>108</v>
      </c>
      <c r="C412" t="s">
        <v>1044</v>
      </c>
      <c r="D412">
        <v>2</v>
      </c>
      <c r="E412" s="307">
        <v>4</v>
      </c>
      <c r="F412" s="307" t="s">
        <v>7</v>
      </c>
      <c r="G412" s="307" t="s">
        <v>11</v>
      </c>
      <c r="H412" s="307" t="s">
        <v>11</v>
      </c>
    </row>
    <row r="413" spans="1:8" x14ac:dyDescent="0.2">
      <c r="A413" t="s">
        <v>21</v>
      </c>
      <c r="B413" t="s">
        <v>108</v>
      </c>
      <c r="C413" t="s">
        <v>1045</v>
      </c>
      <c r="D413">
        <v>3</v>
      </c>
      <c r="E413" s="307">
        <v>2</v>
      </c>
      <c r="F413" s="307" t="s">
        <v>7</v>
      </c>
      <c r="G413" s="307" t="s">
        <v>115</v>
      </c>
      <c r="H413" s="307" t="s">
        <v>11</v>
      </c>
    </row>
    <row r="414" spans="1:8" x14ac:dyDescent="0.2">
      <c r="A414" t="s">
        <v>21</v>
      </c>
      <c r="B414" t="s">
        <v>108</v>
      </c>
      <c r="C414" t="s">
        <v>1046</v>
      </c>
      <c r="D414">
        <v>3</v>
      </c>
      <c r="E414" s="307">
        <v>2</v>
      </c>
      <c r="F414" s="307" t="s">
        <v>7</v>
      </c>
      <c r="G414" s="307" t="s">
        <v>115</v>
      </c>
      <c r="H414" s="307" t="s">
        <v>11</v>
      </c>
    </row>
    <row r="415" spans="1:8" x14ac:dyDescent="0.2">
      <c r="A415" t="s">
        <v>21</v>
      </c>
      <c r="B415" t="s">
        <v>108</v>
      </c>
      <c r="C415" t="s">
        <v>1047</v>
      </c>
      <c r="D415">
        <v>3</v>
      </c>
      <c r="E415" s="307">
        <v>3</v>
      </c>
      <c r="F415" s="307" t="s">
        <v>7</v>
      </c>
      <c r="G415" s="307" t="s">
        <v>115</v>
      </c>
      <c r="H415" s="307" t="s">
        <v>11</v>
      </c>
    </row>
    <row r="416" spans="1:8" x14ac:dyDescent="0.2">
      <c r="A416" t="s">
        <v>21</v>
      </c>
      <c r="B416" t="s">
        <v>108</v>
      </c>
      <c r="C416" t="s">
        <v>1048</v>
      </c>
      <c r="D416">
        <v>3</v>
      </c>
      <c r="E416" s="307">
        <v>4</v>
      </c>
      <c r="F416" s="307" t="s">
        <v>7</v>
      </c>
      <c r="G416" s="307" t="s">
        <v>11</v>
      </c>
      <c r="H416" s="307" t="s">
        <v>11</v>
      </c>
    </row>
    <row r="417" spans="1:8" x14ac:dyDescent="0.2">
      <c r="A417" t="s">
        <v>21</v>
      </c>
      <c r="B417" t="s">
        <v>108</v>
      </c>
      <c r="C417" t="s">
        <v>695</v>
      </c>
      <c r="D417">
        <v>2</v>
      </c>
      <c r="E417" s="307">
        <v>3</v>
      </c>
      <c r="F417" s="307" t="s">
        <v>7</v>
      </c>
      <c r="G417" s="307" t="s">
        <v>11</v>
      </c>
      <c r="H417" s="307" t="s">
        <v>11</v>
      </c>
    </row>
    <row r="418" spans="1:8" x14ac:dyDescent="0.2">
      <c r="A418" t="s">
        <v>21</v>
      </c>
      <c r="B418" t="s">
        <v>108</v>
      </c>
      <c r="C418" t="s">
        <v>698</v>
      </c>
      <c r="D418">
        <v>2</v>
      </c>
      <c r="E418" s="307">
        <v>3</v>
      </c>
      <c r="F418" s="307" t="s">
        <v>7</v>
      </c>
      <c r="G418" s="307" t="s">
        <v>11</v>
      </c>
      <c r="H418" s="307" t="s">
        <v>11</v>
      </c>
    </row>
    <row r="419" spans="1:8" x14ac:dyDescent="0.2">
      <c r="A419" t="s">
        <v>21</v>
      </c>
      <c r="B419" t="s">
        <v>108</v>
      </c>
      <c r="C419" t="s">
        <v>699</v>
      </c>
      <c r="D419">
        <v>3</v>
      </c>
      <c r="E419" s="307">
        <v>3</v>
      </c>
      <c r="F419" s="307" t="s">
        <v>7</v>
      </c>
      <c r="G419" s="307" t="s">
        <v>115</v>
      </c>
      <c r="H419" s="307" t="s">
        <v>11</v>
      </c>
    </row>
    <row r="420" spans="1:8" x14ac:dyDescent="0.2">
      <c r="A420" t="s">
        <v>21</v>
      </c>
      <c r="B420" t="s">
        <v>108</v>
      </c>
      <c r="C420" t="s">
        <v>1049</v>
      </c>
      <c r="D420">
        <v>2</v>
      </c>
      <c r="E420" s="307">
        <v>3</v>
      </c>
      <c r="F420" s="307" t="s">
        <v>7</v>
      </c>
      <c r="G420" s="307" t="s">
        <v>11</v>
      </c>
      <c r="H420" s="307" t="s">
        <v>11</v>
      </c>
    </row>
    <row r="421" spans="1:8" x14ac:dyDescent="0.2">
      <c r="A421" t="s">
        <v>21</v>
      </c>
      <c r="B421" t="s">
        <v>108</v>
      </c>
      <c r="C421" t="s">
        <v>1050</v>
      </c>
      <c r="D421">
        <v>3</v>
      </c>
      <c r="E421" s="307">
        <v>2</v>
      </c>
      <c r="F421" s="307" t="s">
        <v>7</v>
      </c>
      <c r="G421" s="307" t="s">
        <v>115</v>
      </c>
      <c r="H421" s="307" t="s">
        <v>11</v>
      </c>
    </row>
    <row r="422" spans="1:8" x14ac:dyDescent="0.2">
      <c r="A422" t="s">
        <v>21</v>
      </c>
      <c r="B422" t="s">
        <v>108</v>
      </c>
      <c r="C422" t="s">
        <v>1051</v>
      </c>
      <c r="D422">
        <v>1</v>
      </c>
      <c r="E422" s="307">
        <v>3</v>
      </c>
      <c r="F422" s="307" t="s">
        <v>7</v>
      </c>
      <c r="G422" s="307" t="s">
        <v>11</v>
      </c>
      <c r="H422" s="307" t="s">
        <v>11</v>
      </c>
    </row>
    <row r="423" spans="1:8" x14ac:dyDescent="0.2">
      <c r="A423" t="s">
        <v>21</v>
      </c>
      <c r="B423" t="s">
        <v>108</v>
      </c>
      <c r="C423" t="s">
        <v>701</v>
      </c>
      <c r="D423">
        <v>3</v>
      </c>
      <c r="E423" s="307">
        <v>3</v>
      </c>
      <c r="F423" s="307" t="s">
        <v>7</v>
      </c>
      <c r="G423" s="307" t="s">
        <v>115</v>
      </c>
      <c r="H423" s="307" t="s">
        <v>11</v>
      </c>
    </row>
    <row r="424" spans="1:8" x14ac:dyDescent="0.2">
      <c r="A424" t="s">
        <v>21</v>
      </c>
      <c r="B424" t="s">
        <v>108</v>
      </c>
      <c r="C424" t="s">
        <v>1052</v>
      </c>
      <c r="D424">
        <v>3</v>
      </c>
      <c r="E424" s="307">
        <v>2</v>
      </c>
      <c r="F424" s="307" t="s">
        <v>7</v>
      </c>
      <c r="G424" s="307" t="s">
        <v>115</v>
      </c>
      <c r="H424" s="307" t="s">
        <v>11</v>
      </c>
    </row>
    <row r="425" spans="1:8" x14ac:dyDescent="0.2">
      <c r="A425" t="s">
        <v>21</v>
      </c>
      <c r="B425" t="s">
        <v>108</v>
      </c>
      <c r="C425" t="s">
        <v>808</v>
      </c>
      <c r="D425">
        <v>3</v>
      </c>
      <c r="E425" s="307">
        <v>3</v>
      </c>
      <c r="F425" s="307" t="s">
        <v>7</v>
      </c>
      <c r="G425" s="307" t="s">
        <v>11</v>
      </c>
      <c r="H425" s="307" t="s">
        <v>11</v>
      </c>
    </row>
    <row r="426" spans="1:8" x14ac:dyDescent="0.2">
      <c r="A426" t="s">
        <v>21</v>
      </c>
      <c r="B426" t="s">
        <v>108</v>
      </c>
      <c r="C426" t="s">
        <v>1053</v>
      </c>
      <c r="D426">
        <v>3</v>
      </c>
      <c r="E426" s="307">
        <v>2</v>
      </c>
      <c r="F426" s="307" t="s">
        <v>7</v>
      </c>
      <c r="G426" s="307" t="s">
        <v>115</v>
      </c>
      <c r="H426" s="307" t="s">
        <v>11</v>
      </c>
    </row>
    <row r="427" spans="1:8" x14ac:dyDescent="0.2">
      <c r="A427" t="s">
        <v>21</v>
      </c>
      <c r="B427" t="s">
        <v>108</v>
      </c>
      <c r="C427" t="s">
        <v>1054</v>
      </c>
      <c r="D427">
        <v>2</v>
      </c>
      <c r="E427" s="307">
        <v>3</v>
      </c>
      <c r="F427" s="307" t="s">
        <v>7</v>
      </c>
      <c r="G427" s="307" t="s">
        <v>11</v>
      </c>
      <c r="H427" s="307" t="s">
        <v>11</v>
      </c>
    </row>
    <row r="428" spans="1:8" x14ac:dyDescent="0.2">
      <c r="A428" t="s">
        <v>21</v>
      </c>
      <c r="B428" t="s">
        <v>108</v>
      </c>
      <c r="C428" t="s">
        <v>811</v>
      </c>
      <c r="D428">
        <v>3</v>
      </c>
      <c r="E428" s="307">
        <v>3</v>
      </c>
      <c r="F428" s="307" t="s">
        <v>7</v>
      </c>
      <c r="G428" s="307" t="s">
        <v>11</v>
      </c>
      <c r="H428" s="307" t="s">
        <v>11</v>
      </c>
    </row>
    <row r="429" spans="1:8" x14ac:dyDescent="0.2">
      <c r="A429" t="s">
        <v>21</v>
      </c>
      <c r="B429" t="s">
        <v>108</v>
      </c>
      <c r="C429" t="s">
        <v>1055</v>
      </c>
      <c r="D429">
        <v>3</v>
      </c>
      <c r="E429" s="307">
        <v>3</v>
      </c>
      <c r="F429" s="307" t="s">
        <v>7</v>
      </c>
      <c r="G429" s="307" t="s">
        <v>115</v>
      </c>
      <c r="H429" s="307" t="s">
        <v>11</v>
      </c>
    </row>
    <row r="430" spans="1:8" x14ac:dyDescent="0.2">
      <c r="A430" t="s">
        <v>21</v>
      </c>
      <c r="B430" t="s">
        <v>108</v>
      </c>
      <c r="C430" t="s">
        <v>1056</v>
      </c>
      <c r="D430">
        <v>3</v>
      </c>
      <c r="E430" s="307">
        <v>4</v>
      </c>
      <c r="F430" s="307" t="s">
        <v>7</v>
      </c>
      <c r="G430" s="307" t="s">
        <v>11</v>
      </c>
      <c r="H430" s="307" t="s">
        <v>11</v>
      </c>
    </row>
    <row r="431" spans="1:8" x14ac:dyDescent="0.2">
      <c r="A431" t="s">
        <v>21</v>
      </c>
      <c r="B431" t="s">
        <v>108</v>
      </c>
      <c r="C431" t="s">
        <v>1057</v>
      </c>
      <c r="D431">
        <v>2</v>
      </c>
      <c r="E431" s="307">
        <v>4</v>
      </c>
      <c r="F431" s="307" t="s">
        <v>7</v>
      </c>
      <c r="G431" s="307" t="s">
        <v>11</v>
      </c>
      <c r="H431" s="307" t="s">
        <v>11</v>
      </c>
    </row>
    <row r="432" spans="1:8" x14ac:dyDescent="0.2">
      <c r="A432" t="s">
        <v>21</v>
      </c>
      <c r="B432" t="s">
        <v>108</v>
      </c>
      <c r="C432" t="s">
        <v>1058</v>
      </c>
      <c r="D432">
        <v>3</v>
      </c>
      <c r="E432" s="307">
        <v>2</v>
      </c>
      <c r="F432" s="307" t="s">
        <v>7</v>
      </c>
      <c r="G432" s="307" t="s">
        <v>115</v>
      </c>
      <c r="H432" s="307" t="s">
        <v>11</v>
      </c>
    </row>
    <row r="433" spans="1:8" x14ac:dyDescent="0.2">
      <c r="A433" t="s">
        <v>21</v>
      </c>
      <c r="B433" t="s">
        <v>108</v>
      </c>
      <c r="C433" t="s">
        <v>1059</v>
      </c>
      <c r="D433">
        <v>1</v>
      </c>
      <c r="E433" s="307">
        <v>3</v>
      </c>
      <c r="F433" s="307" t="s">
        <v>7</v>
      </c>
      <c r="G433" s="307" t="s">
        <v>11</v>
      </c>
      <c r="H433" s="307" t="s">
        <v>11</v>
      </c>
    </row>
    <row r="434" spans="1:8" x14ac:dyDescent="0.2">
      <c r="A434" t="s">
        <v>21</v>
      </c>
      <c r="B434" t="s">
        <v>108</v>
      </c>
      <c r="C434" t="s">
        <v>1060</v>
      </c>
      <c r="D434">
        <v>3</v>
      </c>
      <c r="E434" s="307">
        <v>3</v>
      </c>
      <c r="F434" s="307" t="s">
        <v>7</v>
      </c>
      <c r="G434" s="307" t="s">
        <v>115</v>
      </c>
      <c r="H434" s="307" t="s">
        <v>11</v>
      </c>
    </row>
    <row r="435" spans="1:8" x14ac:dyDescent="0.2">
      <c r="A435" t="s">
        <v>21</v>
      </c>
      <c r="B435" t="s">
        <v>108</v>
      </c>
      <c r="C435" t="s">
        <v>1061</v>
      </c>
      <c r="D435">
        <v>3</v>
      </c>
      <c r="E435" s="307">
        <v>3</v>
      </c>
      <c r="F435" s="307" t="s">
        <v>7</v>
      </c>
      <c r="G435" s="307" t="s">
        <v>115</v>
      </c>
      <c r="H435" s="307" t="s">
        <v>11</v>
      </c>
    </row>
    <row r="436" spans="1:8" x14ac:dyDescent="0.2">
      <c r="A436" t="s">
        <v>21</v>
      </c>
      <c r="B436" t="s">
        <v>108</v>
      </c>
      <c r="C436" t="s">
        <v>1062</v>
      </c>
      <c r="D436">
        <v>3</v>
      </c>
      <c r="E436" s="307">
        <v>3</v>
      </c>
      <c r="F436" s="307" t="s">
        <v>7</v>
      </c>
      <c r="G436" s="307" t="s">
        <v>115</v>
      </c>
      <c r="H436" s="307" t="s">
        <v>11</v>
      </c>
    </row>
    <row r="437" spans="1:8" x14ac:dyDescent="0.2">
      <c r="A437" t="s">
        <v>21</v>
      </c>
      <c r="B437" t="s">
        <v>108</v>
      </c>
      <c r="C437" t="s">
        <v>929</v>
      </c>
      <c r="D437">
        <v>2</v>
      </c>
      <c r="E437" s="307">
        <v>3</v>
      </c>
      <c r="F437" s="307" t="s">
        <v>7</v>
      </c>
      <c r="G437" s="307" t="s">
        <v>11</v>
      </c>
      <c r="H437" s="307" t="s">
        <v>11</v>
      </c>
    </row>
    <row r="438" spans="1:8" x14ac:dyDescent="0.2">
      <c r="A438" t="s">
        <v>21</v>
      </c>
      <c r="B438" t="s">
        <v>108</v>
      </c>
      <c r="C438" t="s">
        <v>1063</v>
      </c>
      <c r="D438">
        <v>3</v>
      </c>
      <c r="E438" s="307">
        <v>3</v>
      </c>
      <c r="F438" s="307" t="s">
        <v>7</v>
      </c>
      <c r="G438" s="307" t="s">
        <v>115</v>
      </c>
      <c r="H438" s="307" t="s">
        <v>11</v>
      </c>
    </row>
    <row r="439" spans="1:8" x14ac:dyDescent="0.2">
      <c r="A439" t="s">
        <v>21</v>
      </c>
      <c r="B439" t="s">
        <v>108</v>
      </c>
      <c r="C439" t="s">
        <v>1064</v>
      </c>
      <c r="D439">
        <v>3</v>
      </c>
      <c r="E439" s="307">
        <v>2</v>
      </c>
      <c r="F439" s="307" t="s">
        <v>7</v>
      </c>
      <c r="G439" s="307" t="s">
        <v>115</v>
      </c>
      <c r="H439" s="307" t="s">
        <v>11</v>
      </c>
    </row>
    <row r="440" spans="1:8" x14ac:dyDescent="0.2">
      <c r="A440" t="s">
        <v>21</v>
      </c>
      <c r="B440" t="s">
        <v>108</v>
      </c>
      <c r="C440" t="s">
        <v>1065</v>
      </c>
      <c r="D440">
        <v>3</v>
      </c>
      <c r="E440" s="307">
        <v>2</v>
      </c>
      <c r="F440" s="307" t="s">
        <v>7</v>
      </c>
      <c r="G440" s="307" t="s">
        <v>115</v>
      </c>
      <c r="H440" s="307" t="s">
        <v>11</v>
      </c>
    </row>
    <row r="441" spans="1:8" x14ac:dyDescent="0.2">
      <c r="A441" t="s">
        <v>21</v>
      </c>
      <c r="B441" t="s">
        <v>108</v>
      </c>
      <c r="C441" t="s">
        <v>932</v>
      </c>
      <c r="D441">
        <v>2</v>
      </c>
      <c r="E441" s="307">
        <v>3</v>
      </c>
      <c r="F441" s="307" t="s">
        <v>7</v>
      </c>
      <c r="G441" s="307" t="s">
        <v>11</v>
      </c>
      <c r="H441" s="307" t="s">
        <v>11</v>
      </c>
    </row>
    <row r="442" spans="1:8" x14ac:dyDescent="0.2">
      <c r="A442" t="s">
        <v>21</v>
      </c>
      <c r="B442" t="s">
        <v>108</v>
      </c>
      <c r="C442" t="s">
        <v>1066</v>
      </c>
      <c r="D442">
        <v>3</v>
      </c>
      <c r="E442" s="307">
        <v>3</v>
      </c>
      <c r="F442" s="307" t="s">
        <v>7</v>
      </c>
      <c r="G442" s="307" t="s">
        <v>115</v>
      </c>
      <c r="H442" s="307" t="s">
        <v>11</v>
      </c>
    </row>
    <row r="443" spans="1:8" x14ac:dyDescent="0.2">
      <c r="A443" t="s">
        <v>21</v>
      </c>
      <c r="B443" t="s">
        <v>108</v>
      </c>
      <c r="C443" t="s">
        <v>1067</v>
      </c>
      <c r="D443">
        <v>3</v>
      </c>
      <c r="E443" s="307">
        <v>2</v>
      </c>
      <c r="F443" s="307" t="s">
        <v>7</v>
      </c>
      <c r="G443" s="307" t="s">
        <v>115</v>
      </c>
      <c r="H443" s="307" t="s">
        <v>11</v>
      </c>
    </row>
    <row r="444" spans="1:8" x14ac:dyDescent="0.2">
      <c r="A444" t="s">
        <v>21</v>
      </c>
      <c r="B444" t="s">
        <v>108</v>
      </c>
      <c r="C444" t="s">
        <v>1068</v>
      </c>
      <c r="D444">
        <v>2</v>
      </c>
      <c r="E444" s="307">
        <v>4</v>
      </c>
      <c r="F444" s="307" t="s">
        <v>7</v>
      </c>
      <c r="G444" s="307" t="s">
        <v>11</v>
      </c>
      <c r="H444" s="307" t="s">
        <v>11</v>
      </c>
    </row>
    <row r="445" spans="1:8" x14ac:dyDescent="0.2">
      <c r="A445" t="s">
        <v>21</v>
      </c>
      <c r="B445" t="s">
        <v>108</v>
      </c>
      <c r="C445" t="s">
        <v>714</v>
      </c>
      <c r="D445">
        <v>2</v>
      </c>
      <c r="E445" s="307">
        <v>3</v>
      </c>
      <c r="F445" s="307" t="s">
        <v>7</v>
      </c>
      <c r="G445" s="307" t="s">
        <v>11</v>
      </c>
      <c r="H445" s="307" t="s">
        <v>11</v>
      </c>
    </row>
    <row r="446" spans="1:8" x14ac:dyDescent="0.2">
      <c r="A446" t="s">
        <v>21</v>
      </c>
      <c r="B446" t="s">
        <v>108</v>
      </c>
      <c r="C446" t="s">
        <v>1069</v>
      </c>
      <c r="D446">
        <v>2</v>
      </c>
      <c r="E446" s="307">
        <v>4</v>
      </c>
      <c r="F446" s="307" t="s">
        <v>7</v>
      </c>
      <c r="G446" s="307" t="s">
        <v>11</v>
      </c>
      <c r="H446" s="307" t="s">
        <v>11</v>
      </c>
    </row>
    <row r="447" spans="1:8" x14ac:dyDescent="0.2">
      <c r="A447" t="s">
        <v>21</v>
      </c>
      <c r="B447" t="s">
        <v>108</v>
      </c>
      <c r="C447" t="s">
        <v>1070</v>
      </c>
      <c r="D447">
        <v>2</v>
      </c>
      <c r="E447" s="307">
        <v>3</v>
      </c>
      <c r="F447" s="307" t="s">
        <v>7</v>
      </c>
      <c r="G447" s="307" t="s">
        <v>11</v>
      </c>
      <c r="H447" s="307" t="s">
        <v>11</v>
      </c>
    </row>
    <row r="448" spans="1:8" x14ac:dyDescent="0.2">
      <c r="A448" t="s">
        <v>21</v>
      </c>
      <c r="B448" t="s">
        <v>108</v>
      </c>
      <c r="C448" t="s">
        <v>715</v>
      </c>
      <c r="D448">
        <v>2</v>
      </c>
      <c r="E448" s="307">
        <v>4</v>
      </c>
      <c r="F448" s="307" t="s">
        <v>7</v>
      </c>
      <c r="G448" s="307" t="s">
        <v>11</v>
      </c>
      <c r="H448" s="307" t="s">
        <v>11</v>
      </c>
    </row>
    <row r="449" spans="1:8" x14ac:dyDescent="0.2">
      <c r="A449" t="s">
        <v>21</v>
      </c>
      <c r="B449" t="s">
        <v>108</v>
      </c>
      <c r="C449" t="s">
        <v>817</v>
      </c>
      <c r="D449">
        <v>1</v>
      </c>
      <c r="E449" s="307">
        <v>3</v>
      </c>
      <c r="F449" s="307" t="s">
        <v>7</v>
      </c>
      <c r="G449" s="307" t="s">
        <v>11</v>
      </c>
      <c r="H449" s="307" t="s">
        <v>11</v>
      </c>
    </row>
    <row r="450" spans="1:8" x14ac:dyDescent="0.2">
      <c r="A450" t="s">
        <v>21</v>
      </c>
      <c r="B450" t="s">
        <v>108</v>
      </c>
      <c r="C450" t="s">
        <v>1071</v>
      </c>
      <c r="D450">
        <v>2</v>
      </c>
      <c r="E450" s="307">
        <v>4</v>
      </c>
      <c r="F450" s="307" t="s">
        <v>7</v>
      </c>
      <c r="G450" s="307" t="s">
        <v>11</v>
      </c>
      <c r="H450" s="307" t="s">
        <v>11</v>
      </c>
    </row>
    <row r="451" spans="1:8" x14ac:dyDescent="0.2">
      <c r="A451" t="s">
        <v>21</v>
      </c>
      <c r="B451" t="s">
        <v>108</v>
      </c>
      <c r="C451" t="s">
        <v>1072</v>
      </c>
      <c r="D451">
        <v>3</v>
      </c>
      <c r="E451" s="307">
        <v>3</v>
      </c>
      <c r="F451" s="307" t="s">
        <v>7</v>
      </c>
      <c r="G451" s="307" t="s">
        <v>11</v>
      </c>
      <c r="H451" s="307" t="s">
        <v>11</v>
      </c>
    </row>
    <row r="452" spans="1:8" x14ac:dyDescent="0.2">
      <c r="A452" t="s">
        <v>21</v>
      </c>
      <c r="B452" t="s">
        <v>108</v>
      </c>
      <c r="C452" t="s">
        <v>1073</v>
      </c>
      <c r="D452">
        <v>3</v>
      </c>
      <c r="E452" s="307">
        <v>2</v>
      </c>
      <c r="F452" s="307" t="s">
        <v>7</v>
      </c>
      <c r="G452" s="307" t="s">
        <v>115</v>
      </c>
      <c r="H452" s="307" t="s">
        <v>11</v>
      </c>
    </row>
    <row r="453" spans="1:8" x14ac:dyDescent="0.2">
      <c r="A453" t="s">
        <v>21</v>
      </c>
      <c r="B453" t="s">
        <v>108</v>
      </c>
      <c r="C453" t="s">
        <v>1074</v>
      </c>
      <c r="D453">
        <v>3</v>
      </c>
      <c r="E453" s="307">
        <v>4</v>
      </c>
      <c r="F453" s="307" t="s">
        <v>7</v>
      </c>
      <c r="G453" s="307" t="s">
        <v>11</v>
      </c>
      <c r="H453" s="307" t="s">
        <v>11</v>
      </c>
    </row>
    <row r="454" spans="1:8" x14ac:dyDescent="0.2">
      <c r="A454" t="s">
        <v>21</v>
      </c>
      <c r="B454" t="s">
        <v>108</v>
      </c>
      <c r="C454" t="s">
        <v>1075</v>
      </c>
      <c r="D454">
        <v>3</v>
      </c>
      <c r="E454" s="307">
        <v>2</v>
      </c>
      <c r="F454" s="307" t="s">
        <v>7</v>
      </c>
      <c r="G454" s="307" t="s">
        <v>115</v>
      </c>
      <c r="H454" s="307" t="s">
        <v>11</v>
      </c>
    </row>
    <row r="455" spans="1:8" x14ac:dyDescent="0.2">
      <c r="A455" t="s">
        <v>21</v>
      </c>
      <c r="B455" t="s">
        <v>108</v>
      </c>
      <c r="C455" t="s">
        <v>717</v>
      </c>
      <c r="D455">
        <v>2</v>
      </c>
      <c r="E455" s="307">
        <v>3</v>
      </c>
      <c r="F455" s="307" t="s">
        <v>7</v>
      </c>
      <c r="G455" s="307" t="s">
        <v>11</v>
      </c>
      <c r="H455" s="307" t="s">
        <v>11</v>
      </c>
    </row>
    <row r="456" spans="1:8" x14ac:dyDescent="0.2">
      <c r="A456" t="s">
        <v>21</v>
      </c>
      <c r="B456" t="s">
        <v>108</v>
      </c>
      <c r="C456" t="s">
        <v>1076</v>
      </c>
      <c r="D456">
        <v>1</v>
      </c>
      <c r="E456" s="307">
        <v>3</v>
      </c>
      <c r="F456" s="307" t="s">
        <v>7</v>
      </c>
      <c r="G456" s="307" t="s">
        <v>11</v>
      </c>
      <c r="H456" s="307" t="s">
        <v>11</v>
      </c>
    </row>
    <row r="457" spans="1:8" x14ac:dyDescent="0.2">
      <c r="A457" t="s">
        <v>21</v>
      </c>
      <c r="B457" t="s">
        <v>108</v>
      </c>
      <c r="C457" t="s">
        <v>1077</v>
      </c>
      <c r="D457">
        <v>2</v>
      </c>
      <c r="E457" s="307">
        <v>4</v>
      </c>
      <c r="F457" s="307" t="s">
        <v>7</v>
      </c>
      <c r="G457" s="307" t="s">
        <v>11</v>
      </c>
      <c r="H457" s="307" t="s">
        <v>11</v>
      </c>
    </row>
    <row r="458" spans="1:8" x14ac:dyDescent="0.2">
      <c r="A458" t="s">
        <v>21</v>
      </c>
      <c r="B458" t="s">
        <v>108</v>
      </c>
      <c r="C458" t="s">
        <v>1078</v>
      </c>
      <c r="D458">
        <v>2</v>
      </c>
      <c r="E458" s="307">
        <v>4</v>
      </c>
      <c r="F458" s="307" t="s">
        <v>7</v>
      </c>
      <c r="G458" s="307" t="s">
        <v>11</v>
      </c>
      <c r="H458" s="307" t="s">
        <v>11</v>
      </c>
    </row>
    <row r="459" spans="1:8" x14ac:dyDescent="0.2">
      <c r="A459" t="s">
        <v>21</v>
      </c>
      <c r="B459" t="s">
        <v>108</v>
      </c>
      <c r="C459" t="s">
        <v>1079</v>
      </c>
      <c r="D459">
        <v>3</v>
      </c>
      <c r="E459" s="307">
        <v>3</v>
      </c>
      <c r="F459" s="307" t="s">
        <v>7</v>
      </c>
      <c r="G459" s="307" t="s">
        <v>11</v>
      </c>
      <c r="H459" s="307" t="s">
        <v>11</v>
      </c>
    </row>
    <row r="460" spans="1:8" x14ac:dyDescent="0.2">
      <c r="A460" t="s">
        <v>21</v>
      </c>
      <c r="B460" t="s">
        <v>108</v>
      </c>
      <c r="C460" t="s">
        <v>1080</v>
      </c>
      <c r="D460">
        <v>2</v>
      </c>
      <c r="E460" s="307">
        <v>3</v>
      </c>
      <c r="F460" s="307" t="s">
        <v>7</v>
      </c>
      <c r="G460" s="307" t="s">
        <v>11</v>
      </c>
      <c r="H460" s="307" t="s">
        <v>11</v>
      </c>
    </row>
    <row r="461" spans="1:8" x14ac:dyDescent="0.2">
      <c r="A461" t="s">
        <v>21</v>
      </c>
      <c r="B461" t="s">
        <v>108</v>
      </c>
      <c r="C461" t="s">
        <v>1081</v>
      </c>
      <c r="D461">
        <v>2</v>
      </c>
      <c r="E461" s="307">
        <v>3</v>
      </c>
      <c r="F461" s="307" t="s">
        <v>7</v>
      </c>
      <c r="G461" s="307" t="s">
        <v>11</v>
      </c>
      <c r="H461" s="307" t="s">
        <v>11</v>
      </c>
    </row>
    <row r="462" spans="1:8" x14ac:dyDescent="0.2">
      <c r="A462" t="s">
        <v>21</v>
      </c>
      <c r="B462" t="s">
        <v>108</v>
      </c>
      <c r="C462" t="s">
        <v>1082</v>
      </c>
      <c r="D462">
        <v>2</v>
      </c>
      <c r="E462" s="307">
        <v>3</v>
      </c>
      <c r="F462" s="307" t="s">
        <v>7</v>
      </c>
      <c r="G462" s="307" t="s">
        <v>11</v>
      </c>
      <c r="H462" s="307" t="s">
        <v>11</v>
      </c>
    </row>
    <row r="463" spans="1:8" x14ac:dyDescent="0.2">
      <c r="A463" t="s">
        <v>21</v>
      </c>
      <c r="B463" t="s">
        <v>108</v>
      </c>
      <c r="C463" t="s">
        <v>1083</v>
      </c>
      <c r="D463">
        <v>2</v>
      </c>
      <c r="E463" s="307">
        <v>3</v>
      </c>
      <c r="F463" s="307" t="s">
        <v>7</v>
      </c>
      <c r="G463" s="307" t="s">
        <v>11</v>
      </c>
      <c r="H463" s="307" t="s">
        <v>11</v>
      </c>
    </row>
    <row r="464" spans="1:8" x14ac:dyDescent="0.2">
      <c r="A464" t="s">
        <v>21</v>
      </c>
      <c r="B464" t="s">
        <v>108</v>
      </c>
      <c r="C464" t="s">
        <v>719</v>
      </c>
      <c r="D464">
        <v>2</v>
      </c>
      <c r="E464" s="307">
        <v>3</v>
      </c>
      <c r="F464" s="307" t="s">
        <v>7</v>
      </c>
      <c r="G464" s="307" t="s">
        <v>11</v>
      </c>
      <c r="H464" s="307" t="s">
        <v>11</v>
      </c>
    </row>
    <row r="465" spans="1:8" x14ac:dyDescent="0.2">
      <c r="A465" t="s">
        <v>21</v>
      </c>
      <c r="B465" t="s">
        <v>108</v>
      </c>
      <c r="C465" t="s">
        <v>720</v>
      </c>
      <c r="D465">
        <v>3</v>
      </c>
      <c r="E465" s="307">
        <v>3</v>
      </c>
      <c r="F465" s="307" t="s">
        <v>7</v>
      </c>
      <c r="G465" s="307" t="s">
        <v>115</v>
      </c>
      <c r="H465" s="307" t="s">
        <v>11</v>
      </c>
    </row>
    <row r="466" spans="1:8" x14ac:dyDescent="0.2">
      <c r="A466" t="s">
        <v>21</v>
      </c>
      <c r="B466" t="s">
        <v>108</v>
      </c>
      <c r="C466" t="s">
        <v>1084</v>
      </c>
      <c r="D466">
        <v>3</v>
      </c>
      <c r="E466" s="307">
        <v>3</v>
      </c>
      <c r="F466" s="307" t="s">
        <v>7</v>
      </c>
      <c r="G466" s="307" t="s">
        <v>115</v>
      </c>
      <c r="H466" s="307" t="s">
        <v>11</v>
      </c>
    </row>
    <row r="467" spans="1:8" x14ac:dyDescent="0.2">
      <c r="A467" t="s">
        <v>21</v>
      </c>
      <c r="B467" t="s">
        <v>108</v>
      </c>
      <c r="C467" t="s">
        <v>721</v>
      </c>
      <c r="D467">
        <v>2</v>
      </c>
      <c r="E467" s="307">
        <v>3</v>
      </c>
      <c r="F467" s="307" t="s">
        <v>7</v>
      </c>
      <c r="G467" s="307" t="s">
        <v>11</v>
      </c>
      <c r="H467" s="307" t="s">
        <v>11</v>
      </c>
    </row>
    <row r="468" spans="1:8" x14ac:dyDescent="0.2">
      <c r="A468" t="s">
        <v>21</v>
      </c>
      <c r="B468" t="s">
        <v>108</v>
      </c>
      <c r="C468" t="s">
        <v>1085</v>
      </c>
      <c r="D468">
        <v>2</v>
      </c>
      <c r="E468" s="307">
        <v>3</v>
      </c>
      <c r="F468" s="307" t="s">
        <v>7</v>
      </c>
      <c r="G468" s="307" t="s">
        <v>11</v>
      </c>
      <c r="H468" s="307" t="s">
        <v>11</v>
      </c>
    </row>
    <row r="469" spans="1:8" x14ac:dyDescent="0.2">
      <c r="A469" t="s">
        <v>21</v>
      </c>
      <c r="B469" t="s">
        <v>108</v>
      </c>
      <c r="C469" t="s">
        <v>1086</v>
      </c>
      <c r="D469">
        <v>3</v>
      </c>
      <c r="E469" s="307">
        <v>2</v>
      </c>
      <c r="F469" s="307" t="s">
        <v>7</v>
      </c>
      <c r="G469" s="307" t="s">
        <v>115</v>
      </c>
      <c r="H469" s="307" t="s">
        <v>11</v>
      </c>
    </row>
    <row r="470" spans="1:8" x14ac:dyDescent="0.2">
      <c r="A470" t="s">
        <v>21</v>
      </c>
      <c r="B470" t="s">
        <v>108</v>
      </c>
      <c r="C470" t="s">
        <v>722</v>
      </c>
      <c r="D470">
        <v>3</v>
      </c>
      <c r="E470" s="307">
        <v>3</v>
      </c>
      <c r="F470" s="307" t="s">
        <v>7</v>
      </c>
      <c r="G470" s="307" t="s">
        <v>11</v>
      </c>
      <c r="H470" s="307" t="s">
        <v>11</v>
      </c>
    </row>
    <row r="471" spans="1:8" x14ac:dyDescent="0.2">
      <c r="A471" t="s">
        <v>21</v>
      </c>
      <c r="B471" t="s">
        <v>108</v>
      </c>
      <c r="C471" t="s">
        <v>1087</v>
      </c>
      <c r="D471">
        <v>3</v>
      </c>
      <c r="E471" s="307">
        <v>3</v>
      </c>
      <c r="F471" s="307" t="s">
        <v>7</v>
      </c>
      <c r="G471" s="307" t="s">
        <v>115</v>
      </c>
      <c r="H471" s="307" t="s">
        <v>11</v>
      </c>
    </row>
    <row r="472" spans="1:8" x14ac:dyDescent="0.2">
      <c r="A472" t="s">
        <v>21</v>
      </c>
      <c r="B472" t="s">
        <v>108</v>
      </c>
      <c r="C472" t="s">
        <v>825</v>
      </c>
      <c r="D472">
        <v>3</v>
      </c>
      <c r="E472" s="307">
        <v>3</v>
      </c>
      <c r="F472" s="307" t="s">
        <v>7</v>
      </c>
      <c r="G472" s="307" t="s">
        <v>115</v>
      </c>
      <c r="H472" s="307" t="s">
        <v>11</v>
      </c>
    </row>
    <row r="473" spans="1:8" x14ac:dyDescent="0.2">
      <c r="A473" t="s">
        <v>21</v>
      </c>
      <c r="B473" t="s">
        <v>108</v>
      </c>
      <c r="C473" t="s">
        <v>1088</v>
      </c>
      <c r="D473">
        <v>3</v>
      </c>
      <c r="E473" s="307">
        <v>3</v>
      </c>
      <c r="F473" s="307" t="s">
        <v>7</v>
      </c>
      <c r="G473" s="307" t="s">
        <v>11</v>
      </c>
      <c r="H473" s="307" t="s">
        <v>11</v>
      </c>
    </row>
    <row r="474" spans="1:8" x14ac:dyDescent="0.2">
      <c r="A474" t="s">
        <v>21</v>
      </c>
      <c r="B474" t="s">
        <v>108</v>
      </c>
      <c r="C474" t="s">
        <v>723</v>
      </c>
      <c r="D474">
        <v>2</v>
      </c>
      <c r="E474" s="307">
        <v>3</v>
      </c>
      <c r="F474" s="307" t="s">
        <v>7</v>
      </c>
      <c r="G474" s="307" t="s">
        <v>11</v>
      </c>
      <c r="H474" s="307" t="s">
        <v>11</v>
      </c>
    </row>
    <row r="475" spans="1:8" x14ac:dyDescent="0.2">
      <c r="A475" t="s">
        <v>21</v>
      </c>
      <c r="B475" t="s">
        <v>108</v>
      </c>
      <c r="C475" t="s">
        <v>1089</v>
      </c>
      <c r="D475">
        <v>3</v>
      </c>
      <c r="E475" s="307">
        <v>2</v>
      </c>
      <c r="F475" s="307" t="s">
        <v>7</v>
      </c>
      <c r="G475" s="307" t="s">
        <v>115</v>
      </c>
      <c r="H475" s="307" t="s">
        <v>11</v>
      </c>
    </row>
    <row r="476" spans="1:8" x14ac:dyDescent="0.2">
      <c r="A476" t="s">
        <v>21</v>
      </c>
      <c r="B476" t="s">
        <v>108</v>
      </c>
      <c r="C476" t="s">
        <v>1090</v>
      </c>
      <c r="D476">
        <v>3</v>
      </c>
      <c r="E476" s="307">
        <v>3</v>
      </c>
      <c r="F476" s="307" t="s">
        <v>7</v>
      </c>
      <c r="G476" s="307" t="s">
        <v>115</v>
      </c>
      <c r="H476" s="307" t="s">
        <v>11</v>
      </c>
    </row>
    <row r="477" spans="1:8" x14ac:dyDescent="0.2">
      <c r="A477" t="s">
        <v>21</v>
      </c>
      <c r="B477" t="s">
        <v>108</v>
      </c>
      <c r="C477" t="s">
        <v>726</v>
      </c>
      <c r="D477">
        <v>3</v>
      </c>
      <c r="E477" s="307">
        <v>3</v>
      </c>
      <c r="F477" s="307" t="s">
        <v>7</v>
      </c>
      <c r="G477" s="307" t="s">
        <v>115</v>
      </c>
      <c r="H477" s="307" t="s">
        <v>11</v>
      </c>
    </row>
    <row r="478" spans="1:8" x14ac:dyDescent="0.2">
      <c r="A478" t="s">
        <v>21</v>
      </c>
      <c r="B478" t="s">
        <v>108</v>
      </c>
      <c r="C478" t="s">
        <v>1005</v>
      </c>
      <c r="D478">
        <v>3</v>
      </c>
      <c r="E478" s="307">
        <v>2</v>
      </c>
      <c r="F478" s="307" t="s">
        <v>7</v>
      </c>
      <c r="G478" s="307" t="s">
        <v>115</v>
      </c>
      <c r="H478" s="307" t="s">
        <v>11</v>
      </c>
    </row>
    <row r="479" spans="1:8" x14ac:dyDescent="0.2">
      <c r="A479" t="s">
        <v>21</v>
      </c>
      <c r="B479" t="s">
        <v>108</v>
      </c>
      <c r="C479" t="s">
        <v>827</v>
      </c>
      <c r="D479">
        <v>3</v>
      </c>
      <c r="E479" s="307">
        <v>3</v>
      </c>
      <c r="F479" s="307" t="s">
        <v>7</v>
      </c>
      <c r="G479" s="307" t="s">
        <v>11</v>
      </c>
      <c r="H479" s="307" t="s">
        <v>11</v>
      </c>
    </row>
    <row r="480" spans="1:8" x14ac:dyDescent="0.2">
      <c r="A480" t="s">
        <v>21</v>
      </c>
      <c r="B480" t="s">
        <v>108</v>
      </c>
      <c r="C480" t="s">
        <v>1091</v>
      </c>
      <c r="D480">
        <v>3</v>
      </c>
      <c r="E480" s="307">
        <v>2</v>
      </c>
      <c r="F480" s="307" t="s">
        <v>7</v>
      </c>
      <c r="G480" s="307" t="s">
        <v>115</v>
      </c>
      <c r="H480" s="307" t="s">
        <v>11</v>
      </c>
    </row>
    <row r="481" spans="1:8" x14ac:dyDescent="0.2">
      <c r="A481" t="s">
        <v>21</v>
      </c>
      <c r="B481" t="s">
        <v>108</v>
      </c>
      <c r="C481" t="s">
        <v>728</v>
      </c>
      <c r="D481">
        <v>3</v>
      </c>
      <c r="E481" s="307">
        <v>2</v>
      </c>
      <c r="F481" s="307" t="s">
        <v>7</v>
      </c>
      <c r="G481" s="307" t="s">
        <v>115</v>
      </c>
      <c r="H481" s="307" t="s">
        <v>11</v>
      </c>
    </row>
    <row r="482" spans="1:8" x14ac:dyDescent="0.2">
      <c r="A482" t="s">
        <v>21</v>
      </c>
      <c r="B482" t="s">
        <v>108</v>
      </c>
      <c r="C482" t="s">
        <v>1092</v>
      </c>
      <c r="D482">
        <v>2</v>
      </c>
      <c r="E482" s="307">
        <v>4</v>
      </c>
      <c r="F482" s="307" t="s">
        <v>7</v>
      </c>
      <c r="G482" s="307" t="s">
        <v>11</v>
      </c>
      <c r="H482" s="307" t="s">
        <v>11</v>
      </c>
    </row>
    <row r="483" spans="1:8" x14ac:dyDescent="0.2">
      <c r="A483" t="s">
        <v>21</v>
      </c>
      <c r="B483" t="s">
        <v>108</v>
      </c>
      <c r="C483" t="s">
        <v>729</v>
      </c>
      <c r="D483">
        <v>3</v>
      </c>
      <c r="E483" s="307">
        <v>3</v>
      </c>
      <c r="F483" s="307" t="s">
        <v>7</v>
      </c>
      <c r="G483" s="307" t="s">
        <v>115</v>
      </c>
      <c r="H483" s="307" t="s">
        <v>11</v>
      </c>
    </row>
    <row r="484" spans="1:8" x14ac:dyDescent="0.2">
      <c r="A484" t="s">
        <v>21</v>
      </c>
      <c r="B484" t="s">
        <v>108</v>
      </c>
      <c r="C484" t="s">
        <v>730</v>
      </c>
      <c r="D484">
        <v>2</v>
      </c>
      <c r="E484" s="307">
        <v>3</v>
      </c>
      <c r="F484" s="307" t="s">
        <v>7</v>
      </c>
      <c r="G484" s="307" t="s">
        <v>11</v>
      </c>
      <c r="H484" s="307" t="s">
        <v>11</v>
      </c>
    </row>
    <row r="485" spans="1:8" x14ac:dyDescent="0.2">
      <c r="A485" t="s">
        <v>21</v>
      </c>
      <c r="B485" t="s">
        <v>108</v>
      </c>
      <c r="C485" t="s">
        <v>732</v>
      </c>
      <c r="D485">
        <v>3</v>
      </c>
      <c r="E485" s="307">
        <v>3</v>
      </c>
      <c r="F485" s="307" t="s">
        <v>7</v>
      </c>
      <c r="G485" s="307" t="s">
        <v>115</v>
      </c>
      <c r="H485" s="307" t="s">
        <v>11</v>
      </c>
    </row>
    <row r="486" spans="1:8" x14ac:dyDescent="0.2">
      <c r="A486" t="s">
        <v>21</v>
      </c>
      <c r="B486" t="s">
        <v>108</v>
      </c>
      <c r="C486" t="s">
        <v>1093</v>
      </c>
      <c r="D486">
        <v>3</v>
      </c>
      <c r="E486" s="307">
        <v>3</v>
      </c>
      <c r="F486" s="307" t="s">
        <v>7</v>
      </c>
      <c r="G486" s="307" t="s">
        <v>11</v>
      </c>
      <c r="H486" s="307" t="s">
        <v>11</v>
      </c>
    </row>
    <row r="487" spans="1:8" x14ac:dyDescent="0.2">
      <c r="A487" t="s">
        <v>21</v>
      </c>
      <c r="B487" t="s">
        <v>108</v>
      </c>
      <c r="C487" t="s">
        <v>1094</v>
      </c>
      <c r="D487">
        <v>3</v>
      </c>
      <c r="E487" s="307">
        <v>2</v>
      </c>
      <c r="F487" s="307" t="s">
        <v>7</v>
      </c>
      <c r="G487" s="307" t="s">
        <v>115</v>
      </c>
      <c r="H487" s="307" t="s">
        <v>11</v>
      </c>
    </row>
    <row r="488" spans="1:8" x14ac:dyDescent="0.2">
      <c r="A488" t="s">
        <v>21</v>
      </c>
      <c r="B488" t="s">
        <v>108</v>
      </c>
      <c r="C488" t="s">
        <v>1095</v>
      </c>
      <c r="D488">
        <v>2</v>
      </c>
      <c r="E488" s="307">
        <v>3</v>
      </c>
      <c r="F488" s="307" t="s">
        <v>7</v>
      </c>
      <c r="G488" s="307" t="s">
        <v>11</v>
      </c>
      <c r="H488" s="307" t="s">
        <v>11</v>
      </c>
    </row>
    <row r="489" spans="1:8" x14ac:dyDescent="0.2">
      <c r="A489" t="s">
        <v>21</v>
      </c>
      <c r="B489" t="s">
        <v>108</v>
      </c>
      <c r="C489" t="s">
        <v>831</v>
      </c>
      <c r="D489">
        <v>3</v>
      </c>
      <c r="E489" s="307">
        <v>2</v>
      </c>
      <c r="F489" s="307" t="s">
        <v>7</v>
      </c>
      <c r="G489" s="307" t="s">
        <v>115</v>
      </c>
      <c r="H489" s="307" t="s">
        <v>11</v>
      </c>
    </row>
    <row r="490" spans="1:8" x14ac:dyDescent="0.2">
      <c r="A490" t="s">
        <v>21</v>
      </c>
      <c r="B490" t="s">
        <v>108</v>
      </c>
      <c r="C490" t="s">
        <v>1096</v>
      </c>
      <c r="D490">
        <v>3</v>
      </c>
      <c r="E490" s="307">
        <v>2</v>
      </c>
      <c r="F490" s="307" t="s">
        <v>7</v>
      </c>
      <c r="G490" s="307" t="s">
        <v>115</v>
      </c>
      <c r="H490" s="307" t="s">
        <v>11</v>
      </c>
    </row>
    <row r="491" spans="1:8" x14ac:dyDescent="0.2">
      <c r="A491" t="s">
        <v>21</v>
      </c>
      <c r="B491" t="s">
        <v>108</v>
      </c>
      <c r="C491" t="s">
        <v>735</v>
      </c>
      <c r="D491">
        <v>2</v>
      </c>
      <c r="E491" s="307">
        <v>3</v>
      </c>
      <c r="F491" s="307" t="s">
        <v>7</v>
      </c>
      <c r="G491" s="307" t="s">
        <v>11</v>
      </c>
      <c r="H491" s="307" t="s">
        <v>11</v>
      </c>
    </row>
    <row r="492" spans="1:8" x14ac:dyDescent="0.2">
      <c r="A492" t="s">
        <v>21</v>
      </c>
      <c r="B492" t="s">
        <v>108</v>
      </c>
      <c r="C492" t="s">
        <v>736</v>
      </c>
      <c r="D492">
        <v>3</v>
      </c>
      <c r="E492" s="307">
        <v>3</v>
      </c>
      <c r="F492" s="307" t="s">
        <v>7</v>
      </c>
      <c r="G492" s="307" t="s">
        <v>115</v>
      </c>
      <c r="H492" s="307" t="s">
        <v>11</v>
      </c>
    </row>
    <row r="493" spans="1:8" x14ac:dyDescent="0.2">
      <c r="A493" t="s">
        <v>21</v>
      </c>
      <c r="B493" t="s">
        <v>108</v>
      </c>
      <c r="C493" t="s">
        <v>737</v>
      </c>
      <c r="D493">
        <v>2</v>
      </c>
      <c r="E493" s="307">
        <v>3</v>
      </c>
      <c r="F493" s="307" t="s">
        <v>7</v>
      </c>
      <c r="G493" s="307" t="s">
        <v>11</v>
      </c>
      <c r="H493" s="307" t="s">
        <v>11</v>
      </c>
    </row>
    <row r="494" spans="1:8" x14ac:dyDescent="0.2">
      <c r="A494" t="s">
        <v>21</v>
      </c>
      <c r="B494" t="s">
        <v>108</v>
      </c>
      <c r="C494" t="s">
        <v>1097</v>
      </c>
      <c r="D494">
        <v>3</v>
      </c>
      <c r="E494" s="307">
        <v>4</v>
      </c>
      <c r="F494" s="307" t="s">
        <v>7</v>
      </c>
      <c r="G494" s="307" t="s">
        <v>11</v>
      </c>
      <c r="H494" s="307" t="s">
        <v>11</v>
      </c>
    </row>
    <row r="495" spans="1:8" x14ac:dyDescent="0.2">
      <c r="A495" t="s">
        <v>21</v>
      </c>
      <c r="B495" t="s">
        <v>108</v>
      </c>
      <c r="C495" t="s">
        <v>1098</v>
      </c>
      <c r="D495">
        <v>3</v>
      </c>
      <c r="E495" s="307">
        <v>3</v>
      </c>
      <c r="F495" s="307" t="s">
        <v>7</v>
      </c>
      <c r="G495" s="307" t="s">
        <v>11</v>
      </c>
      <c r="H495" s="307" t="s">
        <v>11</v>
      </c>
    </row>
    <row r="496" spans="1:8" x14ac:dyDescent="0.2">
      <c r="A496" t="s">
        <v>21</v>
      </c>
      <c r="B496" t="s">
        <v>108</v>
      </c>
      <c r="C496" t="s">
        <v>834</v>
      </c>
      <c r="D496">
        <v>2</v>
      </c>
      <c r="E496" s="307">
        <v>3</v>
      </c>
      <c r="F496" s="307" t="s">
        <v>7</v>
      </c>
      <c r="G496" s="307" t="s">
        <v>11</v>
      </c>
      <c r="H496" s="307" t="s">
        <v>11</v>
      </c>
    </row>
    <row r="497" spans="1:8" x14ac:dyDescent="0.2">
      <c r="A497" t="s">
        <v>21</v>
      </c>
      <c r="B497" t="s">
        <v>108</v>
      </c>
      <c r="C497" t="s">
        <v>1099</v>
      </c>
      <c r="D497">
        <v>2</v>
      </c>
      <c r="E497" s="307">
        <v>3</v>
      </c>
      <c r="F497" s="307" t="s">
        <v>7</v>
      </c>
      <c r="G497" s="307" t="s">
        <v>11</v>
      </c>
      <c r="H497" s="307" t="s">
        <v>11</v>
      </c>
    </row>
    <row r="498" spans="1:8" x14ac:dyDescent="0.2">
      <c r="A498" t="s">
        <v>21</v>
      </c>
      <c r="B498" t="s">
        <v>108</v>
      </c>
      <c r="C498" t="s">
        <v>1100</v>
      </c>
      <c r="D498">
        <v>2</v>
      </c>
      <c r="E498" s="307">
        <v>3</v>
      </c>
      <c r="F498" s="307" t="s">
        <v>7</v>
      </c>
      <c r="G498" s="307" t="s">
        <v>11</v>
      </c>
      <c r="H498" s="307" t="s">
        <v>11</v>
      </c>
    </row>
    <row r="499" spans="1:8" x14ac:dyDescent="0.2">
      <c r="A499" t="s">
        <v>21</v>
      </c>
      <c r="B499" t="s">
        <v>108</v>
      </c>
      <c r="C499" t="s">
        <v>1101</v>
      </c>
      <c r="D499">
        <v>2</v>
      </c>
      <c r="E499" s="307">
        <v>3</v>
      </c>
      <c r="F499" s="307" t="s">
        <v>7</v>
      </c>
      <c r="G499" s="307" t="s">
        <v>11</v>
      </c>
      <c r="H499" s="307" t="s">
        <v>11</v>
      </c>
    </row>
    <row r="500" spans="1:8" x14ac:dyDescent="0.2">
      <c r="A500" t="s">
        <v>21</v>
      </c>
      <c r="B500" t="s">
        <v>108</v>
      </c>
      <c r="C500" t="s">
        <v>1102</v>
      </c>
      <c r="D500">
        <v>3</v>
      </c>
      <c r="E500" s="307">
        <v>3</v>
      </c>
      <c r="F500" s="307" t="s">
        <v>7</v>
      </c>
      <c r="G500" s="307" t="s">
        <v>115</v>
      </c>
      <c r="H500" s="307" t="s">
        <v>11</v>
      </c>
    </row>
    <row r="501" spans="1:8" x14ac:dyDescent="0.2">
      <c r="A501" t="s">
        <v>21</v>
      </c>
      <c r="B501" t="s">
        <v>108</v>
      </c>
      <c r="C501" t="s">
        <v>739</v>
      </c>
      <c r="D501">
        <v>2</v>
      </c>
      <c r="E501" s="307">
        <v>4</v>
      </c>
      <c r="F501" s="307" t="s">
        <v>7</v>
      </c>
      <c r="G501" s="307" t="s">
        <v>11</v>
      </c>
      <c r="H501" s="307" t="s">
        <v>11</v>
      </c>
    </row>
    <row r="502" spans="1:8" x14ac:dyDescent="0.2">
      <c r="A502" t="s">
        <v>21</v>
      </c>
      <c r="B502" t="s">
        <v>108</v>
      </c>
      <c r="C502" t="s">
        <v>1103</v>
      </c>
      <c r="D502">
        <v>3</v>
      </c>
      <c r="E502" s="307">
        <v>2</v>
      </c>
      <c r="F502" s="307" t="s">
        <v>7</v>
      </c>
      <c r="G502" s="307" t="s">
        <v>115</v>
      </c>
      <c r="H502" s="307" t="s">
        <v>11</v>
      </c>
    </row>
    <row r="503" spans="1:8" x14ac:dyDescent="0.2">
      <c r="A503" t="s">
        <v>21</v>
      </c>
      <c r="B503" t="s">
        <v>108</v>
      </c>
      <c r="C503" t="s">
        <v>740</v>
      </c>
      <c r="D503">
        <v>2</v>
      </c>
      <c r="E503" s="307">
        <v>3</v>
      </c>
      <c r="F503" s="307" t="s">
        <v>7</v>
      </c>
      <c r="G503" s="307" t="s">
        <v>11</v>
      </c>
      <c r="H503" s="307" t="s">
        <v>11</v>
      </c>
    </row>
    <row r="504" spans="1:8" x14ac:dyDescent="0.2">
      <c r="A504" t="s">
        <v>21</v>
      </c>
      <c r="B504" t="s">
        <v>108</v>
      </c>
      <c r="C504" t="s">
        <v>838</v>
      </c>
      <c r="D504">
        <v>3</v>
      </c>
      <c r="E504" s="307">
        <v>3</v>
      </c>
      <c r="F504" s="307" t="s">
        <v>7</v>
      </c>
      <c r="G504" s="307" t="s">
        <v>11</v>
      </c>
      <c r="H504" s="307" t="s">
        <v>11</v>
      </c>
    </row>
    <row r="505" spans="1:8" x14ac:dyDescent="0.2">
      <c r="A505" t="s">
        <v>21</v>
      </c>
      <c r="B505" t="s">
        <v>108</v>
      </c>
      <c r="C505" t="s">
        <v>841</v>
      </c>
      <c r="D505">
        <v>3</v>
      </c>
      <c r="E505" s="307">
        <v>3</v>
      </c>
      <c r="F505" s="307" t="s">
        <v>7</v>
      </c>
      <c r="G505" s="307" t="s">
        <v>115</v>
      </c>
      <c r="H505" s="307" t="s">
        <v>11</v>
      </c>
    </row>
    <row r="506" spans="1:8" x14ac:dyDescent="0.2">
      <c r="A506" t="s">
        <v>21</v>
      </c>
      <c r="B506" t="s">
        <v>108</v>
      </c>
      <c r="C506" t="s">
        <v>1016</v>
      </c>
      <c r="D506">
        <v>3</v>
      </c>
      <c r="E506" s="307">
        <v>3</v>
      </c>
      <c r="F506" s="307" t="s">
        <v>7</v>
      </c>
      <c r="G506" s="307" t="s">
        <v>11</v>
      </c>
      <c r="H506" s="307" t="s">
        <v>11</v>
      </c>
    </row>
    <row r="507" spans="1:8" x14ac:dyDescent="0.2">
      <c r="A507" t="s">
        <v>21</v>
      </c>
      <c r="B507" t="s">
        <v>108</v>
      </c>
      <c r="C507" t="s">
        <v>1104</v>
      </c>
      <c r="D507">
        <v>3</v>
      </c>
      <c r="E507" s="307">
        <v>3</v>
      </c>
      <c r="F507" s="307" t="s">
        <v>7</v>
      </c>
      <c r="G507" s="307" t="s">
        <v>115</v>
      </c>
      <c r="H507" s="307" t="s">
        <v>11</v>
      </c>
    </row>
    <row r="508" spans="1:8" x14ac:dyDescent="0.2">
      <c r="A508" t="s">
        <v>21</v>
      </c>
      <c r="B508" t="s">
        <v>108</v>
      </c>
      <c r="C508" t="s">
        <v>1105</v>
      </c>
      <c r="D508">
        <v>2</v>
      </c>
      <c r="E508" s="307">
        <v>4</v>
      </c>
      <c r="F508" s="307" t="s">
        <v>7</v>
      </c>
      <c r="G508" s="307" t="s">
        <v>11</v>
      </c>
      <c r="H508" s="307" t="s">
        <v>11</v>
      </c>
    </row>
    <row r="509" spans="1:8" x14ac:dyDescent="0.2">
      <c r="A509" t="s">
        <v>21</v>
      </c>
      <c r="B509" t="s">
        <v>108</v>
      </c>
      <c r="C509" t="s">
        <v>741</v>
      </c>
      <c r="D509">
        <v>3</v>
      </c>
      <c r="E509" s="307">
        <v>3</v>
      </c>
      <c r="F509" s="307" t="s">
        <v>7</v>
      </c>
      <c r="G509" s="307" t="s">
        <v>115</v>
      </c>
      <c r="H509" s="307" t="s">
        <v>11</v>
      </c>
    </row>
    <row r="510" spans="1:8" x14ac:dyDescent="0.2">
      <c r="A510" t="s">
        <v>21</v>
      </c>
      <c r="B510" t="s">
        <v>108</v>
      </c>
      <c r="C510" t="s">
        <v>1106</v>
      </c>
      <c r="D510">
        <v>2</v>
      </c>
      <c r="E510" s="307">
        <v>3</v>
      </c>
      <c r="F510" s="307" t="s">
        <v>7</v>
      </c>
      <c r="G510" s="307" t="s">
        <v>11</v>
      </c>
      <c r="H510" s="307" t="s">
        <v>11</v>
      </c>
    </row>
    <row r="511" spans="1:8" x14ac:dyDescent="0.2">
      <c r="A511" t="s">
        <v>21</v>
      </c>
      <c r="B511" t="s">
        <v>108</v>
      </c>
      <c r="C511" t="s">
        <v>1107</v>
      </c>
      <c r="D511">
        <v>2</v>
      </c>
      <c r="E511" s="307">
        <v>3</v>
      </c>
      <c r="F511" s="307" t="s">
        <v>7</v>
      </c>
      <c r="G511" s="307" t="s">
        <v>11</v>
      </c>
      <c r="H511" s="307" t="s">
        <v>11</v>
      </c>
    </row>
    <row r="512" spans="1:8" x14ac:dyDescent="0.2">
      <c r="A512" t="s">
        <v>21</v>
      </c>
      <c r="B512" t="s">
        <v>108</v>
      </c>
      <c r="C512" t="s">
        <v>1108</v>
      </c>
      <c r="D512">
        <v>3</v>
      </c>
      <c r="E512" s="307">
        <v>3</v>
      </c>
      <c r="F512" s="307" t="s">
        <v>7</v>
      </c>
      <c r="G512" s="307" t="s">
        <v>115</v>
      </c>
      <c r="H512" s="307" t="s">
        <v>11</v>
      </c>
    </row>
    <row r="513" spans="1:8" x14ac:dyDescent="0.2">
      <c r="A513" t="s">
        <v>21</v>
      </c>
      <c r="B513" t="s">
        <v>108</v>
      </c>
      <c r="C513" t="s">
        <v>1109</v>
      </c>
      <c r="D513">
        <v>3</v>
      </c>
      <c r="E513" s="307">
        <v>3</v>
      </c>
      <c r="F513" s="307" t="s">
        <v>7</v>
      </c>
      <c r="G513" s="307" t="s">
        <v>115</v>
      </c>
      <c r="H513" s="307" t="s">
        <v>11</v>
      </c>
    </row>
    <row r="514" spans="1:8" x14ac:dyDescent="0.2">
      <c r="A514" t="s">
        <v>21</v>
      </c>
      <c r="B514" t="s">
        <v>108</v>
      </c>
      <c r="C514" t="s">
        <v>1021</v>
      </c>
      <c r="D514">
        <v>3</v>
      </c>
      <c r="E514" s="307">
        <v>2</v>
      </c>
      <c r="F514" s="307" t="s">
        <v>7</v>
      </c>
      <c r="G514" s="307" t="s">
        <v>115</v>
      </c>
      <c r="H514" s="307" t="s">
        <v>11</v>
      </c>
    </row>
    <row r="515" spans="1:8" x14ac:dyDescent="0.2">
      <c r="A515" t="s">
        <v>21</v>
      </c>
      <c r="B515" t="s">
        <v>108</v>
      </c>
      <c r="C515" t="s">
        <v>1110</v>
      </c>
      <c r="D515">
        <v>2</v>
      </c>
      <c r="E515" s="307">
        <v>3</v>
      </c>
      <c r="F515" s="307" t="s">
        <v>7</v>
      </c>
      <c r="G515" s="307" t="s">
        <v>11</v>
      </c>
      <c r="H515" s="307" t="s">
        <v>11</v>
      </c>
    </row>
    <row r="516" spans="1:8" x14ac:dyDescent="0.2">
      <c r="A516" t="s">
        <v>21</v>
      </c>
      <c r="B516" t="s">
        <v>108</v>
      </c>
      <c r="C516" t="s">
        <v>1111</v>
      </c>
      <c r="D516">
        <v>2</v>
      </c>
      <c r="E516" s="307">
        <v>4</v>
      </c>
      <c r="F516" s="307" t="s">
        <v>7</v>
      </c>
      <c r="G516" s="307" t="s">
        <v>11</v>
      </c>
      <c r="H516" s="307" t="s">
        <v>11</v>
      </c>
    </row>
    <row r="517" spans="1:8" x14ac:dyDescent="0.2">
      <c r="A517" t="s">
        <v>21</v>
      </c>
      <c r="B517" t="s">
        <v>108</v>
      </c>
      <c r="C517" t="s">
        <v>1112</v>
      </c>
      <c r="D517">
        <v>3</v>
      </c>
      <c r="E517" s="307">
        <v>3</v>
      </c>
      <c r="F517" s="307" t="s">
        <v>7</v>
      </c>
      <c r="G517" s="307" t="s">
        <v>115</v>
      </c>
      <c r="H517" s="307" t="s">
        <v>11</v>
      </c>
    </row>
    <row r="518" spans="1:8" x14ac:dyDescent="0.2">
      <c r="A518" t="s">
        <v>21</v>
      </c>
      <c r="B518" t="s">
        <v>108</v>
      </c>
      <c r="C518" t="s">
        <v>745</v>
      </c>
      <c r="D518">
        <v>3</v>
      </c>
      <c r="E518" s="307">
        <v>3</v>
      </c>
      <c r="F518" s="307" t="s">
        <v>7</v>
      </c>
      <c r="G518" s="307" t="s">
        <v>115</v>
      </c>
      <c r="H518" s="307" t="s">
        <v>11</v>
      </c>
    </row>
    <row r="519" spans="1:8" x14ac:dyDescent="0.2">
      <c r="A519" t="s">
        <v>21</v>
      </c>
      <c r="B519" t="s">
        <v>108</v>
      </c>
      <c r="C519" t="s">
        <v>1113</v>
      </c>
      <c r="D519">
        <v>2</v>
      </c>
      <c r="E519" s="307">
        <v>3</v>
      </c>
      <c r="F519" s="307" t="s">
        <v>7</v>
      </c>
      <c r="G519" s="307" t="s">
        <v>11</v>
      </c>
      <c r="H519" s="307" t="s">
        <v>11</v>
      </c>
    </row>
    <row r="520" spans="1:8" x14ac:dyDescent="0.2">
      <c r="A520" t="s">
        <v>21</v>
      </c>
      <c r="B520" t="s">
        <v>108</v>
      </c>
      <c r="C520" t="s">
        <v>1114</v>
      </c>
      <c r="D520">
        <v>3</v>
      </c>
      <c r="E520" s="307">
        <v>3</v>
      </c>
      <c r="F520" s="307" t="s">
        <v>7</v>
      </c>
      <c r="G520" s="307" t="s">
        <v>11</v>
      </c>
      <c r="H520" s="307" t="s">
        <v>11</v>
      </c>
    </row>
    <row r="521" spans="1:8" x14ac:dyDescent="0.2">
      <c r="A521" t="s">
        <v>21</v>
      </c>
      <c r="B521" t="s">
        <v>108</v>
      </c>
      <c r="C521" t="s">
        <v>1115</v>
      </c>
      <c r="D521">
        <v>3</v>
      </c>
      <c r="E521" s="307">
        <v>2</v>
      </c>
      <c r="F521" s="307" t="s">
        <v>7</v>
      </c>
      <c r="G521" s="307" t="s">
        <v>115</v>
      </c>
      <c r="H521" s="307" t="s">
        <v>11</v>
      </c>
    </row>
    <row r="522" spans="1:8" x14ac:dyDescent="0.2">
      <c r="A522" t="s">
        <v>21</v>
      </c>
      <c r="B522" t="s">
        <v>108</v>
      </c>
      <c r="C522" t="s">
        <v>1023</v>
      </c>
      <c r="D522">
        <v>3</v>
      </c>
      <c r="E522" s="307">
        <v>3</v>
      </c>
      <c r="F522" s="307" t="s">
        <v>7</v>
      </c>
      <c r="G522" s="307" t="s">
        <v>115</v>
      </c>
      <c r="H522" s="307" t="s">
        <v>11</v>
      </c>
    </row>
    <row r="523" spans="1:8" x14ac:dyDescent="0.2">
      <c r="A523" t="s">
        <v>21</v>
      </c>
      <c r="B523" t="s">
        <v>108</v>
      </c>
      <c r="C523" t="s">
        <v>1116</v>
      </c>
      <c r="D523">
        <v>3</v>
      </c>
      <c r="E523" s="307">
        <v>3</v>
      </c>
      <c r="F523" s="307" t="s">
        <v>7</v>
      </c>
      <c r="G523" s="307" t="s">
        <v>115</v>
      </c>
      <c r="H523" s="307" t="s">
        <v>11</v>
      </c>
    </row>
    <row r="524" spans="1:8" x14ac:dyDescent="0.2">
      <c r="A524" t="s">
        <v>21</v>
      </c>
      <c r="B524" t="s">
        <v>108</v>
      </c>
      <c r="C524" t="s">
        <v>1117</v>
      </c>
      <c r="D524">
        <v>3</v>
      </c>
      <c r="E524" s="307">
        <v>3</v>
      </c>
      <c r="F524" s="307" t="s">
        <v>7</v>
      </c>
      <c r="G524" s="307" t="s">
        <v>115</v>
      </c>
      <c r="H524" s="307" t="s">
        <v>11</v>
      </c>
    </row>
    <row r="525" spans="1:8" x14ac:dyDescent="0.2">
      <c r="A525" t="s">
        <v>21</v>
      </c>
      <c r="B525" t="s">
        <v>108</v>
      </c>
      <c r="C525" t="s">
        <v>1118</v>
      </c>
      <c r="D525">
        <v>3</v>
      </c>
      <c r="E525" s="307">
        <v>2</v>
      </c>
      <c r="F525" s="307" t="s">
        <v>7</v>
      </c>
      <c r="G525" s="307" t="s">
        <v>115</v>
      </c>
      <c r="H525" s="307" t="s">
        <v>11</v>
      </c>
    </row>
    <row r="526" spans="1:8" x14ac:dyDescent="0.2">
      <c r="A526" t="s">
        <v>21</v>
      </c>
      <c r="B526" t="s">
        <v>108</v>
      </c>
      <c r="C526" t="s">
        <v>1119</v>
      </c>
      <c r="D526">
        <v>3</v>
      </c>
      <c r="E526" s="307">
        <v>3</v>
      </c>
      <c r="F526" s="307" t="s">
        <v>7</v>
      </c>
      <c r="G526" s="307" t="s">
        <v>115</v>
      </c>
      <c r="H526" s="307" t="s">
        <v>11</v>
      </c>
    </row>
    <row r="527" spans="1:8" x14ac:dyDescent="0.2">
      <c r="A527" t="s">
        <v>21</v>
      </c>
      <c r="B527" t="s">
        <v>108</v>
      </c>
      <c r="C527" t="s">
        <v>1120</v>
      </c>
      <c r="D527">
        <v>3</v>
      </c>
      <c r="E527" s="307">
        <v>2</v>
      </c>
      <c r="F527" s="307" t="s">
        <v>7</v>
      </c>
      <c r="G527" s="307" t="s">
        <v>115</v>
      </c>
      <c r="H527" s="307" t="s">
        <v>11</v>
      </c>
    </row>
    <row r="528" spans="1:8" x14ac:dyDescent="0.2">
      <c r="A528" t="s">
        <v>21</v>
      </c>
      <c r="B528" t="s">
        <v>108</v>
      </c>
      <c r="C528" t="s">
        <v>1121</v>
      </c>
      <c r="D528">
        <v>2</v>
      </c>
      <c r="E528" s="307">
        <v>4</v>
      </c>
      <c r="F528" s="307" t="s">
        <v>7</v>
      </c>
      <c r="G528" s="307" t="s">
        <v>11</v>
      </c>
      <c r="H528" s="307" t="s">
        <v>11</v>
      </c>
    </row>
    <row r="529" spans="1:8" x14ac:dyDescent="0.2">
      <c r="A529" t="s">
        <v>21</v>
      </c>
      <c r="B529" t="s">
        <v>108</v>
      </c>
      <c r="C529" t="s">
        <v>1122</v>
      </c>
      <c r="D529">
        <v>3</v>
      </c>
      <c r="E529" s="307">
        <v>3</v>
      </c>
      <c r="F529" s="307" t="s">
        <v>7</v>
      </c>
      <c r="G529" s="307" t="s">
        <v>115</v>
      </c>
      <c r="H529" s="307" t="s">
        <v>11</v>
      </c>
    </row>
    <row r="530" spans="1:8" x14ac:dyDescent="0.2">
      <c r="A530" t="s">
        <v>21</v>
      </c>
      <c r="B530" t="s">
        <v>108</v>
      </c>
      <c r="C530" t="s">
        <v>1123</v>
      </c>
      <c r="D530">
        <v>2</v>
      </c>
      <c r="E530" s="307">
        <v>3</v>
      </c>
      <c r="F530" s="307" t="s">
        <v>7</v>
      </c>
      <c r="G530" s="307" t="s">
        <v>11</v>
      </c>
      <c r="H530" s="307" t="s">
        <v>11</v>
      </c>
    </row>
    <row r="531" spans="1:8" x14ac:dyDescent="0.2">
      <c r="A531" t="s">
        <v>21</v>
      </c>
      <c r="B531" t="s">
        <v>108</v>
      </c>
      <c r="C531" t="s">
        <v>1124</v>
      </c>
      <c r="D531">
        <v>3</v>
      </c>
      <c r="E531" s="307">
        <v>3</v>
      </c>
      <c r="F531" s="307" t="s">
        <v>7</v>
      </c>
      <c r="G531" s="307" t="s">
        <v>115</v>
      </c>
      <c r="H531" s="307" t="s">
        <v>11</v>
      </c>
    </row>
    <row r="532" spans="1:8" x14ac:dyDescent="0.2">
      <c r="A532" t="s">
        <v>21</v>
      </c>
      <c r="B532" t="s">
        <v>108</v>
      </c>
      <c r="C532" t="s">
        <v>1125</v>
      </c>
      <c r="D532">
        <v>3</v>
      </c>
      <c r="E532" s="307">
        <v>3</v>
      </c>
      <c r="F532" s="307" t="s">
        <v>7</v>
      </c>
      <c r="G532" s="307" t="s">
        <v>115</v>
      </c>
      <c r="H532" s="307" t="s">
        <v>11</v>
      </c>
    </row>
    <row r="533" spans="1:8" x14ac:dyDescent="0.2">
      <c r="A533" t="s">
        <v>21</v>
      </c>
      <c r="B533" t="s">
        <v>108</v>
      </c>
      <c r="C533" t="s">
        <v>850</v>
      </c>
      <c r="D533">
        <v>2</v>
      </c>
      <c r="E533" s="307">
        <v>4</v>
      </c>
      <c r="F533" s="307" t="s">
        <v>7</v>
      </c>
      <c r="G533" s="307" t="s">
        <v>11</v>
      </c>
      <c r="H533" s="307" t="s">
        <v>11</v>
      </c>
    </row>
    <row r="534" spans="1:8" x14ac:dyDescent="0.2">
      <c r="A534" t="s">
        <v>21</v>
      </c>
      <c r="B534" t="s">
        <v>108</v>
      </c>
      <c r="C534" t="s">
        <v>1126</v>
      </c>
      <c r="D534">
        <v>2</v>
      </c>
      <c r="E534" s="307">
        <v>3</v>
      </c>
      <c r="F534" s="307" t="s">
        <v>7</v>
      </c>
      <c r="G534" s="307" t="s">
        <v>11</v>
      </c>
      <c r="H534" s="307" t="s">
        <v>11</v>
      </c>
    </row>
    <row r="535" spans="1:8" x14ac:dyDescent="0.2">
      <c r="A535" t="s">
        <v>21</v>
      </c>
      <c r="B535" t="s">
        <v>108</v>
      </c>
      <c r="C535" t="s">
        <v>749</v>
      </c>
      <c r="D535">
        <v>2</v>
      </c>
      <c r="E535" s="307">
        <v>4</v>
      </c>
      <c r="F535" s="307" t="s">
        <v>7</v>
      </c>
      <c r="G535" s="307" t="s">
        <v>11</v>
      </c>
      <c r="H535" s="307" t="s">
        <v>11</v>
      </c>
    </row>
    <row r="536" spans="1:8" x14ac:dyDescent="0.2">
      <c r="A536" t="s">
        <v>21</v>
      </c>
      <c r="B536" t="s">
        <v>108</v>
      </c>
      <c r="C536" t="s">
        <v>1026</v>
      </c>
      <c r="D536">
        <v>2</v>
      </c>
      <c r="E536" s="307">
        <v>3</v>
      </c>
      <c r="F536" s="307" t="s">
        <v>7</v>
      </c>
      <c r="G536" s="307" t="s">
        <v>11</v>
      </c>
      <c r="H536" s="307" t="s">
        <v>11</v>
      </c>
    </row>
    <row r="537" spans="1:8" x14ac:dyDescent="0.2">
      <c r="A537" t="s">
        <v>21</v>
      </c>
      <c r="B537" t="s">
        <v>108</v>
      </c>
      <c r="C537" t="s">
        <v>1127</v>
      </c>
      <c r="D537">
        <v>3</v>
      </c>
      <c r="E537" s="307">
        <v>2</v>
      </c>
      <c r="F537" s="307" t="s">
        <v>7</v>
      </c>
      <c r="G537" s="307" t="s">
        <v>115</v>
      </c>
      <c r="H537" s="307" t="s">
        <v>11</v>
      </c>
    </row>
    <row r="538" spans="1:8" x14ac:dyDescent="0.2">
      <c r="A538" t="s">
        <v>21</v>
      </c>
      <c r="B538" t="s">
        <v>108</v>
      </c>
      <c r="C538" t="s">
        <v>1128</v>
      </c>
      <c r="D538">
        <v>3</v>
      </c>
      <c r="E538" s="307">
        <v>3</v>
      </c>
      <c r="F538" s="307" t="s">
        <v>7</v>
      </c>
      <c r="G538" s="307" t="s">
        <v>11</v>
      </c>
      <c r="H538" s="307" t="s">
        <v>11</v>
      </c>
    </row>
    <row r="539" spans="1:8" x14ac:dyDescent="0.2">
      <c r="A539" t="s">
        <v>21</v>
      </c>
      <c r="B539" t="s">
        <v>108</v>
      </c>
      <c r="C539" t="s">
        <v>750</v>
      </c>
      <c r="D539">
        <v>3</v>
      </c>
      <c r="E539" s="307">
        <v>3</v>
      </c>
      <c r="F539" s="307" t="s">
        <v>7</v>
      </c>
      <c r="G539" s="307" t="s">
        <v>11</v>
      </c>
      <c r="H539" s="307" t="s">
        <v>11</v>
      </c>
    </row>
    <row r="540" spans="1:8" x14ac:dyDescent="0.2">
      <c r="A540" t="s">
        <v>21</v>
      </c>
      <c r="B540" t="s">
        <v>108</v>
      </c>
      <c r="C540" t="s">
        <v>1129</v>
      </c>
      <c r="D540">
        <v>3</v>
      </c>
      <c r="E540" s="307">
        <v>2</v>
      </c>
      <c r="F540" s="307" t="s">
        <v>7</v>
      </c>
      <c r="G540" s="307" t="s">
        <v>115</v>
      </c>
      <c r="H540" s="307" t="s">
        <v>11</v>
      </c>
    </row>
    <row r="541" spans="1:8" x14ac:dyDescent="0.2">
      <c r="A541" t="s">
        <v>21</v>
      </c>
      <c r="B541" t="s">
        <v>108</v>
      </c>
      <c r="C541" t="s">
        <v>1130</v>
      </c>
      <c r="D541">
        <v>3</v>
      </c>
      <c r="E541" s="307">
        <v>3</v>
      </c>
      <c r="F541" s="307" t="s">
        <v>7</v>
      </c>
      <c r="G541" s="307" t="s">
        <v>115</v>
      </c>
      <c r="H541" s="307" t="s">
        <v>11</v>
      </c>
    </row>
    <row r="542" spans="1:8" x14ac:dyDescent="0.2">
      <c r="A542" t="s">
        <v>21</v>
      </c>
      <c r="B542" t="s">
        <v>108</v>
      </c>
      <c r="C542" t="s">
        <v>1131</v>
      </c>
      <c r="D542">
        <v>3</v>
      </c>
      <c r="E542" s="307">
        <v>3</v>
      </c>
      <c r="F542" s="307" t="s">
        <v>7</v>
      </c>
      <c r="G542" s="307" t="s">
        <v>115</v>
      </c>
      <c r="H542" s="307" t="s">
        <v>11</v>
      </c>
    </row>
    <row r="543" spans="1:8" x14ac:dyDescent="0.2">
      <c r="A543" t="s">
        <v>21</v>
      </c>
      <c r="B543" t="s">
        <v>108</v>
      </c>
      <c r="C543" t="s">
        <v>852</v>
      </c>
      <c r="D543">
        <v>2</v>
      </c>
      <c r="E543" s="307">
        <v>4</v>
      </c>
      <c r="F543" s="307" t="s">
        <v>7</v>
      </c>
      <c r="G543" s="307" t="s">
        <v>11</v>
      </c>
      <c r="H543" s="307" t="s">
        <v>11</v>
      </c>
    </row>
    <row r="544" spans="1:8" x14ac:dyDescent="0.2">
      <c r="A544" t="s">
        <v>21</v>
      </c>
      <c r="B544" t="s">
        <v>108</v>
      </c>
      <c r="C544" t="s">
        <v>1132</v>
      </c>
      <c r="D544">
        <v>2</v>
      </c>
      <c r="E544" s="307">
        <v>4</v>
      </c>
      <c r="F544" s="307" t="s">
        <v>7</v>
      </c>
      <c r="G544" s="307" t="s">
        <v>11</v>
      </c>
      <c r="H544" s="307" t="s">
        <v>11</v>
      </c>
    </row>
    <row r="545" spans="1:8" x14ac:dyDescent="0.2">
      <c r="A545" t="s">
        <v>21</v>
      </c>
      <c r="B545" t="s">
        <v>108</v>
      </c>
      <c r="C545" t="s">
        <v>751</v>
      </c>
      <c r="D545">
        <v>3</v>
      </c>
      <c r="E545" s="307">
        <v>3</v>
      </c>
      <c r="F545" s="307" t="s">
        <v>7</v>
      </c>
      <c r="G545" s="307" t="s">
        <v>115</v>
      </c>
      <c r="H545" s="307" t="s">
        <v>11</v>
      </c>
    </row>
    <row r="546" spans="1:8" x14ac:dyDescent="0.2">
      <c r="A546" t="s">
        <v>21</v>
      </c>
      <c r="B546" t="s">
        <v>108</v>
      </c>
      <c r="C546" t="s">
        <v>1133</v>
      </c>
      <c r="D546">
        <v>3</v>
      </c>
      <c r="E546" s="307">
        <v>3</v>
      </c>
      <c r="F546" s="307" t="s">
        <v>7</v>
      </c>
      <c r="G546" s="307" t="s">
        <v>11</v>
      </c>
      <c r="H546" s="307" t="s">
        <v>11</v>
      </c>
    </row>
    <row r="547" spans="1:8" x14ac:dyDescent="0.2">
      <c r="A547" t="s">
        <v>21</v>
      </c>
      <c r="B547" t="s">
        <v>108</v>
      </c>
      <c r="C547" t="s">
        <v>1134</v>
      </c>
      <c r="D547">
        <v>3</v>
      </c>
      <c r="E547" s="307">
        <v>3</v>
      </c>
      <c r="F547" s="307" t="s">
        <v>7</v>
      </c>
      <c r="G547" s="307" t="s">
        <v>11</v>
      </c>
      <c r="H547" s="307" t="s">
        <v>11</v>
      </c>
    </row>
    <row r="548" spans="1:8" x14ac:dyDescent="0.2">
      <c r="A548" t="s">
        <v>21</v>
      </c>
      <c r="B548" t="s">
        <v>108</v>
      </c>
      <c r="C548" t="s">
        <v>1135</v>
      </c>
      <c r="D548">
        <v>3</v>
      </c>
      <c r="E548" s="307">
        <v>3</v>
      </c>
      <c r="F548" s="307" t="s">
        <v>7</v>
      </c>
      <c r="G548" s="307" t="s">
        <v>115</v>
      </c>
      <c r="H548" s="307" t="s">
        <v>11</v>
      </c>
    </row>
    <row r="549" spans="1:8" x14ac:dyDescent="0.2">
      <c r="A549" t="s">
        <v>66</v>
      </c>
      <c r="C549" t="s">
        <v>1136</v>
      </c>
      <c r="D549" t="s">
        <v>11</v>
      </c>
      <c r="E549" s="307">
        <v>1</v>
      </c>
      <c r="F549" s="307" t="s">
        <v>7</v>
      </c>
      <c r="G549" s="307" t="s">
        <v>115</v>
      </c>
      <c r="H549" s="307" t="s">
        <v>2885</v>
      </c>
    </row>
    <row r="550" spans="1:8" x14ac:dyDescent="0.2">
      <c r="A550" t="s">
        <v>22</v>
      </c>
      <c r="B550" t="s">
        <v>120</v>
      </c>
      <c r="C550" t="s">
        <v>1137</v>
      </c>
      <c r="D550">
        <v>3</v>
      </c>
      <c r="E550" s="307">
        <v>1</v>
      </c>
      <c r="F550" s="307" t="s">
        <v>7</v>
      </c>
      <c r="G550" s="307" t="s">
        <v>115</v>
      </c>
      <c r="H550" s="307" t="s">
        <v>2885</v>
      </c>
    </row>
    <row r="551" spans="1:8" x14ac:dyDescent="0.2">
      <c r="A551" t="s">
        <v>22</v>
      </c>
      <c r="B551" t="s">
        <v>120</v>
      </c>
      <c r="C551" t="s">
        <v>1138</v>
      </c>
      <c r="D551">
        <v>3</v>
      </c>
      <c r="E551" s="307">
        <v>1</v>
      </c>
      <c r="F551" s="307" t="s">
        <v>7</v>
      </c>
      <c r="G551" s="307" t="s">
        <v>115</v>
      </c>
      <c r="H551" s="307" t="s">
        <v>2885</v>
      </c>
    </row>
    <row r="552" spans="1:8" x14ac:dyDescent="0.2">
      <c r="A552" t="s">
        <v>22</v>
      </c>
      <c r="B552" t="s">
        <v>120</v>
      </c>
      <c r="C552" t="s">
        <v>1139</v>
      </c>
      <c r="D552">
        <v>3</v>
      </c>
      <c r="E552" s="307">
        <v>1</v>
      </c>
      <c r="F552" s="307" t="s">
        <v>7</v>
      </c>
      <c r="G552" s="307" t="s">
        <v>115</v>
      </c>
      <c r="H552" s="307" t="s">
        <v>2885</v>
      </c>
    </row>
    <row r="553" spans="1:8" x14ac:dyDescent="0.2">
      <c r="A553" t="s">
        <v>22</v>
      </c>
      <c r="B553" t="s">
        <v>120</v>
      </c>
      <c r="C553" t="s">
        <v>1140</v>
      </c>
      <c r="D553">
        <v>3</v>
      </c>
      <c r="E553" s="307">
        <v>1</v>
      </c>
      <c r="F553" s="307" t="s">
        <v>7</v>
      </c>
      <c r="G553" s="307" t="s">
        <v>115</v>
      </c>
      <c r="H553" s="307" t="s">
        <v>2885</v>
      </c>
    </row>
    <row r="554" spans="1:8" x14ac:dyDescent="0.2">
      <c r="A554" t="s">
        <v>24</v>
      </c>
      <c r="B554" t="s">
        <v>76</v>
      </c>
      <c r="C554" t="s">
        <v>1141</v>
      </c>
      <c r="D554">
        <v>2</v>
      </c>
      <c r="E554" s="307">
        <v>5</v>
      </c>
      <c r="F554" s="307" t="s">
        <v>75</v>
      </c>
      <c r="G554" s="307" t="s">
        <v>11</v>
      </c>
      <c r="H554" s="307" t="s">
        <v>11</v>
      </c>
    </row>
    <row r="555" spans="1:8" x14ac:dyDescent="0.2">
      <c r="A555" t="s">
        <v>24</v>
      </c>
      <c r="B555" t="s">
        <v>76</v>
      </c>
      <c r="C555" t="s">
        <v>911</v>
      </c>
      <c r="D555">
        <v>3</v>
      </c>
      <c r="E555" s="307">
        <v>6</v>
      </c>
      <c r="F555" s="307" t="s">
        <v>75</v>
      </c>
      <c r="G555" s="307" t="s">
        <v>11</v>
      </c>
      <c r="H555" s="307" t="s">
        <v>11</v>
      </c>
    </row>
    <row r="556" spans="1:8" x14ac:dyDescent="0.2">
      <c r="A556" t="s">
        <v>24</v>
      </c>
      <c r="B556" t="s">
        <v>76</v>
      </c>
      <c r="C556" t="s">
        <v>1142</v>
      </c>
      <c r="D556">
        <v>2</v>
      </c>
      <c r="E556" s="307">
        <v>6</v>
      </c>
      <c r="F556" s="307" t="s">
        <v>75</v>
      </c>
      <c r="G556" s="307" t="s">
        <v>11</v>
      </c>
      <c r="H556" s="307" t="s">
        <v>11</v>
      </c>
    </row>
    <row r="557" spans="1:8" x14ac:dyDescent="0.2">
      <c r="A557" t="s">
        <v>24</v>
      </c>
      <c r="B557" t="s">
        <v>76</v>
      </c>
      <c r="C557" t="s">
        <v>1143</v>
      </c>
      <c r="D557">
        <v>2</v>
      </c>
      <c r="E557" s="307">
        <v>6</v>
      </c>
      <c r="F557" s="307" t="s">
        <v>75</v>
      </c>
      <c r="G557" s="307" t="s">
        <v>11</v>
      </c>
      <c r="H557" s="307" t="s">
        <v>11</v>
      </c>
    </row>
    <row r="558" spans="1:8" x14ac:dyDescent="0.2">
      <c r="A558" t="s">
        <v>24</v>
      </c>
      <c r="B558" t="s">
        <v>76</v>
      </c>
      <c r="C558" t="s">
        <v>1144</v>
      </c>
      <c r="D558">
        <v>1</v>
      </c>
      <c r="E558" s="307">
        <v>5</v>
      </c>
      <c r="F558" s="307" t="s">
        <v>75</v>
      </c>
      <c r="G558" s="307" t="s">
        <v>11</v>
      </c>
      <c r="H558" s="307" t="s">
        <v>11</v>
      </c>
    </row>
    <row r="559" spans="1:8" x14ac:dyDescent="0.2">
      <c r="A559" t="s">
        <v>24</v>
      </c>
      <c r="B559" t="s">
        <v>76</v>
      </c>
      <c r="C559" t="s">
        <v>1145</v>
      </c>
      <c r="D559">
        <v>2</v>
      </c>
      <c r="E559" s="307">
        <v>6</v>
      </c>
      <c r="F559" s="307" t="s">
        <v>75</v>
      </c>
      <c r="G559" s="307" t="s">
        <v>11</v>
      </c>
      <c r="H559" s="307" t="s">
        <v>11</v>
      </c>
    </row>
    <row r="560" spans="1:8" x14ac:dyDescent="0.2">
      <c r="A560" t="s">
        <v>24</v>
      </c>
      <c r="B560" t="s">
        <v>76</v>
      </c>
      <c r="C560" t="s">
        <v>1146</v>
      </c>
      <c r="D560">
        <v>1</v>
      </c>
      <c r="E560" s="307">
        <v>6</v>
      </c>
      <c r="F560" s="307" t="s">
        <v>75</v>
      </c>
      <c r="G560" s="307" t="s">
        <v>11</v>
      </c>
      <c r="H560" s="307" t="s">
        <v>11</v>
      </c>
    </row>
    <row r="561" spans="1:8" x14ac:dyDescent="0.2">
      <c r="A561" t="s">
        <v>24</v>
      </c>
      <c r="B561" t="s">
        <v>76</v>
      </c>
      <c r="C561" t="s">
        <v>1147</v>
      </c>
      <c r="D561">
        <v>1</v>
      </c>
      <c r="E561" s="307">
        <v>6</v>
      </c>
      <c r="F561" s="307" t="s">
        <v>75</v>
      </c>
      <c r="G561" s="307" t="s">
        <v>11</v>
      </c>
      <c r="H561" s="307" t="s">
        <v>11</v>
      </c>
    </row>
    <row r="562" spans="1:8" x14ac:dyDescent="0.2">
      <c r="A562" t="s">
        <v>24</v>
      </c>
      <c r="B562" t="s">
        <v>76</v>
      </c>
      <c r="C562" t="s">
        <v>1148</v>
      </c>
      <c r="D562">
        <v>1</v>
      </c>
      <c r="E562" s="307">
        <v>6</v>
      </c>
      <c r="F562" s="307" t="s">
        <v>75</v>
      </c>
      <c r="G562" s="307" t="s">
        <v>11</v>
      </c>
      <c r="H562" s="307" t="s">
        <v>11</v>
      </c>
    </row>
    <row r="563" spans="1:8" x14ac:dyDescent="0.2">
      <c r="A563" t="s">
        <v>24</v>
      </c>
      <c r="B563" t="s">
        <v>76</v>
      </c>
      <c r="C563" t="s">
        <v>1149</v>
      </c>
      <c r="D563">
        <v>2</v>
      </c>
      <c r="E563" s="307">
        <v>6</v>
      </c>
      <c r="F563" s="307" t="s">
        <v>75</v>
      </c>
      <c r="G563" s="307" t="s">
        <v>11</v>
      </c>
      <c r="H563" s="307" t="s">
        <v>11</v>
      </c>
    </row>
    <row r="564" spans="1:8" x14ac:dyDescent="0.2">
      <c r="A564" t="s">
        <v>24</v>
      </c>
      <c r="B564" t="s">
        <v>76</v>
      </c>
      <c r="C564" t="s">
        <v>1150</v>
      </c>
      <c r="D564">
        <v>1</v>
      </c>
      <c r="E564" s="307">
        <v>6</v>
      </c>
      <c r="F564" s="307" t="s">
        <v>75</v>
      </c>
      <c r="G564" s="307" t="s">
        <v>11</v>
      </c>
      <c r="H564" s="307" t="s">
        <v>11</v>
      </c>
    </row>
    <row r="565" spans="1:8" x14ac:dyDescent="0.2">
      <c r="A565" t="s">
        <v>24</v>
      </c>
      <c r="B565" t="s">
        <v>76</v>
      </c>
      <c r="C565" t="s">
        <v>858</v>
      </c>
      <c r="D565">
        <v>1</v>
      </c>
      <c r="E565" s="307">
        <v>6</v>
      </c>
      <c r="F565" s="307" t="s">
        <v>75</v>
      </c>
      <c r="G565" s="307" t="s">
        <v>11</v>
      </c>
      <c r="H565" s="307" t="s">
        <v>11</v>
      </c>
    </row>
    <row r="566" spans="1:8" x14ac:dyDescent="0.2">
      <c r="A566" t="s">
        <v>24</v>
      </c>
      <c r="B566" t="s">
        <v>76</v>
      </c>
      <c r="C566" t="s">
        <v>1151</v>
      </c>
      <c r="D566">
        <v>1</v>
      </c>
      <c r="E566" s="307">
        <v>6</v>
      </c>
      <c r="F566" s="307" t="s">
        <v>75</v>
      </c>
      <c r="G566" s="307" t="s">
        <v>11</v>
      </c>
      <c r="H566" s="307" t="s">
        <v>11</v>
      </c>
    </row>
    <row r="567" spans="1:8" x14ac:dyDescent="0.2">
      <c r="A567" t="s">
        <v>24</v>
      </c>
      <c r="B567" t="s">
        <v>76</v>
      </c>
      <c r="C567" t="s">
        <v>1152</v>
      </c>
      <c r="D567">
        <v>2</v>
      </c>
      <c r="E567" s="307">
        <v>5</v>
      </c>
      <c r="F567" s="307" t="s">
        <v>75</v>
      </c>
      <c r="G567" s="307" t="s">
        <v>11</v>
      </c>
      <c r="H567" s="307" t="s">
        <v>11</v>
      </c>
    </row>
    <row r="568" spans="1:8" x14ac:dyDescent="0.2">
      <c r="A568" t="s">
        <v>24</v>
      </c>
      <c r="B568" t="s">
        <v>76</v>
      </c>
      <c r="C568" t="s">
        <v>1153</v>
      </c>
      <c r="D568">
        <v>2</v>
      </c>
      <c r="E568" s="307">
        <v>6</v>
      </c>
      <c r="F568" s="307" t="s">
        <v>75</v>
      </c>
      <c r="G568" s="307" t="s">
        <v>11</v>
      </c>
      <c r="H568" s="307" t="s">
        <v>11</v>
      </c>
    </row>
    <row r="569" spans="1:8" x14ac:dyDescent="0.2">
      <c r="A569" t="s">
        <v>24</v>
      </c>
      <c r="B569" t="s">
        <v>76</v>
      </c>
      <c r="C569" t="s">
        <v>1154</v>
      </c>
      <c r="D569">
        <v>2</v>
      </c>
      <c r="E569" s="307">
        <v>5</v>
      </c>
      <c r="F569" s="307" t="s">
        <v>75</v>
      </c>
      <c r="G569" s="307" t="s">
        <v>11</v>
      </c>
      <c r="H569" s="307" t="s">
        <v>11</v>
      </c>
    </row>
    <row r="570" spans="1:8" x14ac:dyDescent="0.2">
      <c r="A570" t="s">
        <v>24</v>
      </c>
      <c r="B570" t="s">
        <v>76</v>
      </c>
      <c r="C570" t="s">
        <v>806</v>
      </c>
      <c r="D570">
        <v>1</v>
      </c>
      <c r="E570" s="307">
        <v>6</v>
      </c>
      <c r="F570" s="307" t="s">
        <v>75</v>
      </c>
      <c r="G570" s="307" t="s">
        <v>11</v>
      </c>
      <c r="H570" s="307" t="s">
        <v>11</v>
      </c>
    </row>
    <row r="571" spans="1:8" x14ac:dyDescent="0.2">
      <c r="A571" t="s">
        <v>24</v>
      </c>
      <c r="B571" t="s">
        <v>76</v>
      </c>
      <c r="C571" t="s">
        <v>1155</v>
      </c>
      <c r="D571">
        <v>1</v>
      </c>
      <c r="E571" s="307">
        <v>5</v>
      </c>
      <c r="F571" s="307" t="s">
        <v>75</v>
      </c>
      <c r="G571" s="307" t="s">
        <v>11</v>
      </c>
      <c r="H571" s="307" t="s">
        <v>11</v>
      </c>
    </row>
    <row r="572" spans="1:8" x14ac:dyDescent="0.2">
      <c r="A572" t="s">
        <v>24</v>
      </c>
      <c r="B572" t="s">
        <v>76</v>
      </c>
      <c r="C572" t="s">
        <v>925</v>
      </c>
      <c r="D572">
        <v>1</v>
      </c>
      <c r="E572" s="307">
        <v>6</v>
      </c>
      <c r="F572" s="307" t="s">
        <v>75</v>
      </c>
      <c r="G572" s="307" t="s">
        <v>11</v>
      </c>
      <c r="H572" s="307" t="s">
        <v>11</v>
      </c>
    </row>
    <row r="573" spans="1:8" x14ac:dyDescent="0.2">
      <c r="A573" t="s">
        <v>24</v>
      </c>
      <c r="B573" t="s">
        <v>76</v>
      </c>
      <c r="C573" t="s">
        <v>711</v>
      </c>
      <c r="D573">
        <v>1</v>
      </c>
      <c r="E573" s="307">
        <v>5</v>
      </c>
      <c r="F573" s="307" t="s">
        <v>75</v>
      </c>
      <c r="G573" s="307" t="s">
        <v>11</v>
      </c>
      <c r="H573" s="307" t="s">
        <v>11</v>
      </c>
    </row>
    <row r="574" spans="1:8" x14ac:dyDescent="0.2">
      <c r="A574" t="s">
        <v>24</v>
      </c>
      <c r="B574" t="s">
        <v>76</v>
      </c>
      <c r="C574" t="s">
        <v>715</v>
      </c>
      <c r="D574">
        <v>2</v>
      </c>
      <c r="E574" s="307">
        <v>6</v>
      </c>
      <c r="F574" s="307" t="s">
        <v>75</v>
      </c>
      <c r="G574" s="307" t="s">
        <v>11</v>
      </c>
      <c r="H574" s="307" t="s">
        <v>11</v>
      </c>
    </row>
    <row r="575" spans="1:8" x14ac:dyDescent="0.2">
      <c r="A575" t="s">
        <v>24</v>
      </c>
      <c r="B575" t="s">
        <v>76</v>
      </c>
      <c r="C575" t="s">
        <v>933</v>
      </c>
      <c r="D575">
        <v>1</v>
      </c>
      <c r="E575" s="307">
        <v>6</v>
      </c>
      <c r="F575" s="307" t="s">
        <v>75</v>
      </c>
      <c r="G575" s="307" t="s">
        <v>11</v>
      </c>
      <c r="H575" s="307" t="s">
        <v>11</v>
      </c>
    </row>
    <row r="576" spans="1:8" x14ac:dyDescent="0.2">
      <c r="A576" t="s">
        <v>24</v>
      </c>
      <c r="B576" t="s">
        <v>76</v>
      </c>
      <c r="C576" t="s">
        <v>1156</v>
      </c>
      <c r="D576">
        <v>3</v>
      </c>
      <c r="E576" s="307">
        <v>5</v>
      </c>
      <c r="F576" s="307" t="s">
        <v>75</v>
      </c>
      <c r="G576" s="307" t="s">
        <v>11</v>
      </c>
      <c r="H576" s="307" t="s">
        <v>11</v>
      </c>
    </row>
    <row r="577" spans="1:8" x14ac:dyDescent="0.2">
      <c r="A577" t="s">
        <v>24</v>
      </c>
      <c r="B577" t="s">
        <v>76</v>
      </c>
      <c r="C577" t="s">
        <v>1157</v>
      </c>
      <c r="D577">
        <v>1</v>
      </c>
      <c r="E577" s="307">
        <v>5</v>
      </c>
      <c r="F577" s="307" t="s">
        <v>75</v>
      </c>
      <c r="G577" s="307" t="s">
        <v>11</v>
      </c>
      <c r="H577" s="307" t="s">
        <v>11</v>
      </c>
    </row>
    <row r="578" spans="1:8" x14ac:dyDescent="0.2">
      <c r="A578" t="s">
        <v>24</v>
      </c>
      <c r="B578" t="s">
        <v>76</v>
      </c>
      <c r="C578" t="s">
        <v>1158</v>
      </c>
      <c r="D578">
        <v>1</v>
      </c>
      <c r="E578" s="307">
        <v>5</v>
      </c>
      <c r="F578" s="307" t="s">
        <v>75</v>
      </c>
      <c r="G578" s="307" t="s">
        <v>11</v>
      </c>
      <c r="H578" s="307" t="s">
        <v>11</v>
      </c>
    </row>
    <row r="579" spans="1:8" x14ac:dyDescent="0.2">
      <c r="A579" t="s">
        <v>24</v>
      </c>
      <c r="B579" t="s">
        <v>76</v>
      </c>
      <c r="C579" t="s">
        <v>722</v>
      </c>
      <c r="D579">
        <v>2</v>
      </c>
      <c r="E579" s="307">
        <v>6</v>
      </c>
      <c r="F579" s="307" t="s">
        <v>75</v>
      </c>
      <c r="G579" s="307" t="s">
        <v>11</v>
      </c>
      <c r="H579" s="307" t="s">
        <v>11</v>
      </c>
    </row>
    <row r="580" spans="1:8" x14ac:dyDescent="0.2">
      <c r="A580" t="s">
        <v>24</v>
      </c>
      <c r="B580" t="s">
        <v>76</v>
      </c>
      <c r="C580" t="s">
        <v>1159</v>
      </c>
      <c r="D580">
        <v>2</v>
      </c>
      <c r="E580" s="307">
        <v>5</v>
      </c>
      <c r="F580" s="307" t="s">
        <v>75</v>
      </c>
      <c r="G580" s="307" t="s">
        <v>11</v>
      </c>
      <c r="H580" s="307" t="s">
        <v>11</v>
      </c>
    </row>
    <row r="581" spans="1:8" x14ac:dyDescent="0.2">
      <c r="A581" t="s">
        <v>24</v>
      </c>
      <c r="B581" t="s">
        <v>76</v>
      </c>
      <c r="C581" t="s">
        <v>1160</v>
      </c>
      <c r="D581">
        <v>1</v>
      </c>
      <c r="E581" s="307">
        <v>5</v>
      </c>
      <c r="F581" s="307" t="s">
        <v>75</v>
      </c>
      <c r="G581" s="307" t="s">
        <v>11</v>
      </c>
      <c r="H581" s="307" t="s">
        <v>11</v>
      </c>
    </row>
    <row r="582" spans="1:8" x14ac:dyDescent="0.2">
      <c r="A582" t="s">
        <v>24</v>
      </c>
      <c r="B582" t="s">
        <v>76</v>
      </c>
      <c r="C582" t="s">
        <v>1161</v>
      </c>
      <c r="D582">
        <v>1</v>
      </c>
      <c r="E582" s="307">
        <v>5</v>
      </c>
      <c r="F582" s="307" t="s">
        <v>75</v>
      </c>
      <c r="G582" s="307" t="s">
        <v>11</v>
      </c>
      <c r="H582" s="307" t="s">
        <v>11</v>
      </c>
    </row>
    <row r="583" spans="1:8" x14ac:dyDescent="0.2">
      <c r="A583" t="s">
        <v>24</v>
      </c>
      <c r="B583" t="s">
        <v>76</v>
      </c>
      <c r="C583" t="s">
        <v>1162</v>
      </c>
      <c r="D583">
        <v>1</v>
      </c>
      <c r="E583" s="307">
        <v>6</v>
      </c>
      <c r="F583" s="307" t="s">
        <v>75</v>
      </c>
      <c r="G583" s="307" t="s">
        <v>11</v>
      </c>
      <c r="H583" s="307" t="s">
        <v>11</v>
      </c>
    </row>
    <row r="584" spans="1:8" x14ac:dyDescent="0.2">
      <c r="A584" t="s">
        <v>24</v>
      </c>
      <c r="B584" t="s">
        <v>76</v>
      </c>
      <c r="C584" t="s">
        <v>1163</v>
      </c>
      <c r="D584">
        <v>3</v>
      </c>
      <c r="E584" s="307">
        <v>5</v>
      </c>
      <c r="F584" s="307" t="s">
        <v>75</v>
      </c>
      <c r="G584" s="307" t="s">
        <v>11</v>
      </c>
      <c r="H584" s="307" t="s">
        <v>11</v>
      </c>
    </row>
    <row r="585" spans="1:8" x14ac:dyDescent="0.2">
      <c r="A585" t="s">
        <v>24</v>
      </c>
      <c r="B585" t="s">
        <v>76</v>
      </c>
      <c r="C585" t="s">
        <v>827</v>
      </c>
      <c r="D585">
        <v>2</v>
      </c>
      <c r="E585" s="307">
        <v>5</v>
      </c>
      <c r="F585" s="307" t="s">
        <v>75</v>
      </c>
      <c r="G585" s="307" t="s">
        <v>11</v>
      </c>
      <c r="H585" s="307" t="s">
        <v>11</v>
      </c>
    </row>
    <row r="586" spans="1:8" x14ac:dyDescent="0.2">
      <c r="A586" t="s">
        <v>24</v>
      </c>
      <c r="B586" t="s">
        <v>76</v>
      </c>
      <c r="C586" t="s">
        <v>730</v>
      </c>
      <c r="D586">
        <v>2</v>
      </c>
      <c r="E586" s="307">
        <v>6</v>
      </c>
      <c r="F586" s="307" t="s">
        <v>75</v>
      </c>
      <c r="G586" s="307" t="s">
        <v>11</v>
      </c>
      <c r="H586" s="307" t="s">
        <v>11</v>
      </c>
    </row>
    <row r="587" spans="1:8" x14ac:dyDescent="0.2">
      <c r="A587" t="s">
        <v>24</v>
      </c>
      <c r="B587" t="s">
        <v>76</v>
      </c>
      <c r="C587" t="s">
        <v>1164</v>
      </c>
      <c r="D587">
        <v>2</v>
      </c>
      <c r="E587" s="307">
        <v>5</v>
      </c>
      <c r="F587" s="307" t="s">
        <v>75</v>
      </c>
      <c r="G587" s="307" t="s">
        <v>11</v>
      </c>
      <c r="H587" s="307" t="s">
        <v>11</v>
      </c>
    </row>
    <row r="588" spans="1:8" x14ac:dyDescent="0.2">
      <c r="A588" t="s">
        <v>24</v>
      </c>
      <c r="B588" t="s">
        <v>76</v>
      </c>
      <c r="C588" t="s">
        <v>1165</v>
      </c>
      <c r="D588">
        <v>3</v>
      </c>
      <c r="E588" s="307">
        <v>5</v>
      </c>
      <c r="F588" s="307" t="s">
        <v>75</v>
      </c>
      <c r="G588" s="307" t="s">
        <v>11</v>
      </c>
      <c r="H588" s="307" t="s">
        <v>11</v>
      </c>
    </row>
    <row r="589" spans="1:8" x14ac:dyDescent="0.2">
      <c r="A589" t="s">
        <v>24</v>
      </c>
      <c r="B589" t="s">
        <v>76</v>
      </c>
      <c r="C589" t="s">
        <v>1166</v>
      </c>
      <c r="D589">
        <v>2</v>
      </c>
      <c r="E589" s="307">
        <v>6</v>
      </c>
      <c r="F589" s="307" t="s">
        <v>75</v>
      </c>
      <c r="G589" s="307" t="s">
        <v>11</v>
      </c>
      <c r="H589" s="307" t="s">
        <v>11</v>
      </c>
    </row>
    <row r="590" spans="1:8" x14ac:dyDescent="0.2">
      <c r="A590" t="s">
        <v>24</v>
      </c>
      <c r="B590" t="s">
        <v>76</v>
      </c>
      <c r="C590" t="s">
        <v>1167</v>
      </c>
      <c r="D590">
        <v>2</v>
      </c>
      <c r="E590" s="307">
        <v>5</v>
      </c>
      <c r="F590" s="307" t="s">
        <v>75</v>
      </c>
      <c r="G590" s="307" t="s">
        <v>11</v>
      </c>
      <c r="H590" s="307" t="s">
        <v>11</v>
      </c>
    </row>
    <row r="591" spans="1:8" x14ac:dyDescent="0.2">
      <c r="A591" t="s">
        <v>24</v>
      </c>
      <c r="B591" t="s">
        <v>76</v>
      </c>
      <c r="C591" t="s">
        <v>1168</v>
      </c>
      <c r="D591">
        <v>2</v>
      </c>
      <c r="E591" s="307">
        <v>5</v>
      </c>
      <c r="F591" s="307" t="s">
        <v>75</v>
      </c>
      <c r="G591" s="307" t="s">
        <v>11</v>
      </c>
      <c r="H591" s="307" t="s">
        <v>11</v>
      </c>
    </row>
    <row r="592" spans="1:8" x14ac:dyDescent="0.2">
      <c r="A592" t="s">
        <v>24</v>
      </c>
      <c r="B592" t="s">
        <v>76</v>
      </c>
      <c r="C592" t="s">
        <v>1169</v>
      </c>
      <c r="D592">
        <v>2</v>
      </c>
      <c r="E592" s="307">
        <v>5</v>
      </c>
      <c r="F592" s="307" t="s">
        <v>75</v>
      </c>
      <c r="G592" s="307" t="s">
        <v>11</v>
      </c>
      <c r="H592" s="307" t="s">
        <v>11</v>
      </c>
    </row>
    <row r="593" spans="1:8" x14ac:dyDescent="0.2">
      <c r="A593" t="s">
        <v>24</v>
      </c>
      <c r="B593" t="s">
        <v>76</v>
      </c>
      <c r="C593" t="s">
        <v>1170</v>
      </c>
      <c r="D593">
        <v>1</v>
      </c>
      <c r="E593" s="307">
        <v>5</v>
      </c>
      <c r="F593" s="307" t="s">
        <v>75</v>
      </c>
      <c r="G593" s="307" t="s">
        <v>11</v>
      </c>
      <c r="H593" s="307" t="s">
        <v>11</v>
      </c>
    </row>
    <row r="594" spans="1:8" x14ac:dyDescent="0.2">
      <c r="A594" t="s">
        <v>24</v>
      </c>
      <c r="B594" t="s">
        <v>76</v>
      </c>
      <c r="C594" t="s">
        <v>1171</v>
      </c>
      <c r="D594">
        <v>2</v>
      </c>
      <c r="E594" s="307">
        <v>6</v>
      </c>
      <c r="F594" s="307" t="s">
        <v>75</v>
      </c>
      <c r="G594" s="307" t="s">
        <v>11</v>
      </c>
      <c r="H594" s="307" t="s">
        <v>11</v>
      </c>
    </row>
    <row r="595" spans="1:8" x14ac:dyDescent="0.2">
      <c r="A595" t="s">
        <v>24</v>
      </c>
      <c r="B595" t="s">
        <v>76</v>
      </c>
      <c r="C595" t="s">
        <v>1172</v>
      </c>
      <c r="D595">
        <v>2</v>
      </c>
      <c r="E595" s="307">
        <v>5</v>
      </c>
      <c r="F595" s="307" t="s">
        <v>75</v>
      </c>
      <c r="G595" s="307" t="s">
        <v>11</v>
      </c>
      <c r="H595" s="307" t="s">
        <v>11</v>
      </c>
    </row>
    <row r="596" spans="1:8" x14ac:dyDescent="0.2">
      <c r="A596" t="s">
        <v>24</v>
      </c>
      <c r="B596" t="s">
        <v>76</v>
      </c>
      <c r="C596" t="s">
        <v>1173</v>
      </c>
      <c r="D596">
        <v>1</v>
      </c>
      <c r="E596" s="307">
        <v>6</v>
      </c>
      <c r="F596" s="307" t="s">
        <v>75</v>
      </c>
      <c r="G596" s="307" t="s">
        <v>11</v>
      </c>
      <c r="H596" s="307" t="s">
        <v>11</v>
      </c>
    </row>
    <row r="597" spans="1:8" x14ac:dyDescent="0.2">
      <c r="A597" t="s">
        <v>24</v>
      </c>
      <c r="B597" t="s">
        <v>76</v>
      </c>
      <c r="C597" t="s">
        <v>750</v>
      </c>
      <c r="D597">
        <v>3</v>
      </c>
      <c r="E597" s="307">
        <v>5</v>
      </c>
      <c r="F597" s="307" t="s">
        <v>75</v>
      </c>
      <c r="G597" s="307" t="s">
        <v>11</v>
      </c>
      <c r="H597" s="307" t="s">
        <v>11</v>
      </c>
    </row>
    <row r="598" spans="1:8" x14ac:dyDescent="0.2">
      <c r="A598" t="s">
        <v>25</v>
      </c>
      <c r="B598" t="s">
        <v>88</v>
      </c>
      <c r="C598" t="s">
        <v>911</v>
      </c>
      <c r="D598">
        <v>1</v>
      </c>
      <c r="E598" s="307">
        <v>5</v>
      </c>
      <c r="F598" s="307" t="s">
        <v>7</v>
      </c>
      <c r="G598" s="307" t="s">
        <v>11</v>
      </c>
      <c r="H598" s="307" t="s">
        <v>11</v>
      </c>
    </row>
    <row r="599" spans="1:8" x14ac:dyDescent="0.2">
      <c r="A599" t="s">
        <v>25</v>
      </c>
      <c r="B599" t="s">
        <v>88</v>
      </c>
      <c r="C599" t="s">
        <v>1174</v>
      </c>
      <c r="D599">
        <v>3</v>
      </c>
      <c r="E599" s="307">
        <v>4</v>
      </c>
      <c r="F599" s="307" t="s">
        <v>7</v>
      </c>
      <c r="G599" s="307" t="s">
        <v>11</v>
      </c>
      <c r="H599" s="307" t="s">
        <v>11</v>
      </c>
    </row>
    <row r="600" spans="1:8" x14ac:dyDescent="0.2">
      <c r="A600" t="s">
        <v>25</v>
      </c>
      <c r="B600" t="s">
        <v>88</v>
      </c>
      <c r="C600" t="s">
        <v>1175</v>
      </c>
      <c r="D600">
        <v>2</v>
      </c>
      <c r="E600" s="307">
        <v>4</v>
      </c>
      <c r="F600" s="307" t="s">
        <v>7</v>
      </c>
      <c r="G600" s="307" t="s">
        <v>11</v>
      </c>
      <c r="H600" s="307" t="s">
        <v>11</v>
      </c>
    </row>
    <row r="601" spans="1:8" x14ac:dyDescent="0.2">
      <c r="A601" t="s">
        <v>25</v>
      </c>
      <c r="B601" t="s">
        <v>88</v>
      </c>
      <c r="C601" t="s">
        <v>802</v>
      </c>
      <c r="D601">
        <v>1</v>
      </c>
      <c r="E601" s="307">
        <v>5</v>
      </c>
      <c r="F601" s="307" t="s">
        <v>7</v>
      </c>
      <c r="G601" s="307" t="s">
        <v>11</v>
      </c>
      <c r="H601" s="307" t="s">
        <v>11</v>
      </c>
    </row>
    <row r="602" spans="1:8" x14ac:dyDescent="0.2">
      <c r="A602" t="s">
        <v>25</v>
      </c>
      <c r="B602" t="s">
        <v>88</v>
      </c>
      <c r="C602" t="s">
        <v>1176</v>
      </c>
      <c r="D602">
        <v>1</v>
      </c>
      <c r="E602" s="307">
        <v>5</v>
      </c>
      <c r="F602" s="307" t="s">
        <v>7</v>
      </c>
      <c r="G602" s="307" t="s">
        <v>11</v>
      </c>
      <c r="H602" s="307" t="s">
        <v>11</v>
      </c>
    </row>
    <row r="603" spans="1:8" x14ac:dyDescent="0.2">
      <c r="A603" t="s">
        <v>25</v>
      </c>
      <c r="B603" t="s">
        <v>88</v>
      </c>
      <c r="C603" t="s">
        <v>1177</v>
      </c>
      <c r="D603">
        <v>1</v>
      </c>
      <c r="E603" s="307">
        <v>5</v>
      </c>
      <c r="F603" s="307" t="s">
        <v>7</v>
      </c>
      <c r="G603" s="307" t="s">
        <v>11</v>
      </c>
      <c r="H603" s="307" t="s">
        <v>11</v>
      </c>
    </row>
    <row r="604" spans="1:8" x14ac:dyDescent="0.2">
      <c r="A604" t="s">
        <v>25</v>
      </c>
      <c r="B604" t="s">
        <v>88</v>
      </c>
      <c r="C604" t="s">
        <v>693</v>
      </c>
      <c r="D604">
        <v>1</v>
      </c>
      <c r="E604" s="307">
        <v>5</v>
      </c>
      <c r="F604" s="307" t="s">
        <v>7</v>
      </c>
      <c r="G604" s="307" t="s">
        <v>11</v>
      </c>
      <c r="H604" s="307" t="s">
        <v>11</v>
      </c>
    </row>
    <row r="605" spans="1:8" x14ac:dyDescent="0.2">
      <c r="A605" t="s">
        <v>25</v>
      </c>
      <c r="B605" t="s">
        <v>88</v>
      </c>
      <c r="C605" t="s">
        <v>804</v>
      </c>
      <c r="D605">
        <v>1</v>
      </c>
      <c r="E605" s="307">
        <v>5</v>
      </c>
      <c r="F605" s="307" t="s">
        <v>7</v>
      </c>
      <c r="G605" s="307" t="s">
        <v>11</v>
      </c>
      <c r="H605" s="307" t="s">
        <v>11</v>
      </c>
    </row>
    <row r="606" spans="1:8" x14ac:dyDescent="0.2">
      <c r="A606" t="s">
        <v>25</v>
      </c>
      <c r="B606" t="s">
        <v>88</v>
      </c>
      <c r="C606" t="s">
        <v>1178</v>
      </c>
      <c r="D606">
        <v>1</v>
      </c>
      <c r="E606" s="307">
        <v>5</v>
      </c>
      <c r="F606" s="307" t="s">
        <v>7</v>
      </c>
      <c r="G606" s="307" t="s">
        <v>11</v>
      </c>
      <c r="H606" s="307" t="s">
        <v>11</v>
      </c>
    </row>
    <row r="607" spans="1:8" x14ac:dyDescent="0.2">
      <c r="A607" t="s">
        <v>25</v>
      </c>
      <c r="B607" t="s">
        <v>88</v>
      </c>
      <c r="C607" t="s">
        <v>1179</v>
      </c>
      <c r="D607">
        <v>1</v>
      </c>
      <c r="E607" s="307">
        <v>5</v>
      </c>
      <c r="F607" s="307" t="s">
        <v>7</v>
      </c>
      <c r="G607" s="307" t="s">
        <v>11</v>
      </c>
      <c r="H607" s="307" t="s">
        <v>11</v>
      </c>
    </row>
    <row r="608" spans="1:8" x14ac:dyDescent="0.2">
      <c r="A608" t="s">
        <v>25</v>
      </c>
      <c r="B608" t="s">
        <v>88</v>
      </c>
      <c r="C608" t="s">
        <v>1180</v>
      </c>
      <c r="D608">
        <v>2</v>
      </c>
      <c r="E608" s="307">
        <v>4</v>
      </c>
      <c r="F608" s="307" t="s">
        <v>7</v>
      </c>
      <c r="G608" s="307" t="s">
        <v>11</v>
      </c>
      <c r="H608" s="307" t="s">
        <v>11</v>
      </c>
    </row>
    <row r="609" spans="1:8" x14ac:dyDescent="0.2">
      <c r="A609" t="s">
        <v>25</v>
      </c>
      <c r="B609" t="s">
        <v>88</v>
      </c>
      <c r="C609" t="s">
        <v>806</v>
      </c>
      <c r="D609">
        <v>2</v>
      </c>
      <c r="E609" s="307">
        <v>5</v>
      </c>
      <c r="F609" s="307" t="s">
        <v>7</v>
      </c>
      <c r="G609" s="307" t="s">
        <v>11</v>
      </c>
      <c r="H609" s="307" t="s">
        <v>11</v>
      </c>
    </row>
    <row r="610" spans="1:8" x14ac:dyDescent="0.2">
      <c r="A610" t="s">
        <v>25</v>
      </c>
      <c r="B610" t="s">
        <v>88</v>
      </c>
      <c r="C610" t="s">
        <v>699</v>
      </c>
      <c r="D610">
        <v>2</v>
      </c>
      <c r="E610" s="307">
        <v>4</v>
      </c>
      <c r="F610" s="307" t="s">
        <v>7</v>
      </c>
      <c r="G610" s="307" t="s">
        <v>11</v>
      </c>
      <c r="H610" s="307" t="s">
        <v>11</v>
      </c>
    </row>
    <row r="611" spans="1:8" x14ac:dyDescent="0.2">
      <c r="A611" t="s">
        <v>25</v>
      </c>
      <c r="B611" t="s">
        <v>88</v>
      </c>
      <c r="C611" t="s">
        <v>1181</v>
      </c>
      <c r="D611">
        <v>2</v>
      </c>
      <c r="E611" s="307">
        <v>4</v>
      </c>
      <c r="F611" s="307" t="s">
        <v>7</v>
      </c>
      <c r="G611" s="307" t="s">
        <v>11</v>
      </c>
      <c r="H611" s="307" t="s">
        <v>11</v>
      </c>
    </row>
    <row r="612" spans="1:8" x14ac:dyDescent="0.2">
      <c r="A612" t="s">
        <v>25</v>
      </c>
      <c r="B612" t="s">
        <v>88</v>
      </c>
      <c r="C612" t="s">
        <v>1182</v>
      </c>
      <c r="D612">
        <v>1</v>
      </c>
      <c r="E612" s="307">
        <v>5</v>
      </c>
      <c r="F612" s="307" t="s">
        <v>7</v>
      </c>
      <c r="G612" s="307" t="s">
        <v>11</v>
      </c>
      <c r="H612" s="307" t="s">
        <v>11</v>
      </c>
    </row>
    <row r="613" spans="1:8" x14ac:dyDescent="0.2">
      <c r="A613" t="s">
        <v>25</v>
      </c>
      <c r="B613" t="s">
        <v>88</v>
      </c>
      <c r="C613" t="s">
        <v>1053</v>
      </c>
      <c r="D613">
        <v>2</v>
      </c>
      <c r="E613" s="307">
        <v>5</v>
      </c>
      <c r="F613" s="307" t="s">
        <v>7</v>
      </c>
      <c r="G613" s="307" t="s">
        <v>11</v>
      </c>
      <c r="H613" s="307" t="s">
        <v>11</v>
      </c>
    </row>
    <row r="614" spans="1:8" x14ac:dyDescent="0.2">
      <c r="A614" t="s">
        <v>25</v>
      </c>
      <c r="B614" t="s">
        <v>88</v>
      </c>
      <c r="C614" t="s">
        <v>811</v>
      </c>
      <c r="D614">
        <v>2</v>
      </c>
      <c r="E614" s="307">
        <v>4</v>
      </c>
      <c r="F614" s="307" t="s">
        <v>7</v>
      </c>
      <c r="G614" s="307" t="s">
        <v>11</v>
      </c>
      <c r="H614" s="307" t="s">
        <v>11</v>
      </c>
    </row>
    <row r="615" spans="1:8" x14ac:dyDescent="0.2">
      <c r="A615" t="s">
        <v>25</v>
      </c>
      <c r="B615" t="s">
        <v>88</v>
      </c>
      <c r="C615" t="s">
        <v>1183</v>
      </c>
      <c r="D615">
        <v>2</v>
      </c>
      <c r="E615" s="307">
        <v>5</v>
      </c>
      <c r="F615" s="307" t="s">
        <v>7</v>
      </c>
      <c r="G615" s="307" t="s">
        <v>11</v>
      </c>
      <c r="H615" s="307" t="s">
        <v>11</v>
      </c>
    </row>
    <row r="616" spans="1:8" x14ac:dyDescent="0.2">
      <c r="A616" t="s">
        <v>25</v>
      </c>
      <c r="B616" t="s">
        <v>88</v>
      </c>
      <c r="C616" t="s">
        <v>1059</v>
      </c>
      <c r="D616">
        <v>1</v>
      </c>
      <c r="E616" s="307">
        <v>5</v>
      </c>
      <c r="F616" s="307" t="s">
        <v>7</v>
      </c>
      <c r="G616" s="307" t="s">
        <v>11</v>
      </c>
      <c r="H616" s="307" t="s">
        <v>11</v>
      </c>
    </row>
    <row r="617" spans="1:8" x14ac:dyDescent="0.2">
      <c r="A617" t="s">
        <v>25</v>
      </c>
      <c r="B617" t="s">
        <v>88</v>
      </c>
      <c r="C617" t="s">
        <v>1184</v>
      </c>
      <c r="D617">
        <v>1</v>
      </c>
      <c r="E617" s="307">
        <v>5</v>
      </c>
      <c r="F617" s="307" t="s">
        <v>7</v>
      </c>
      <c r="G617" s="307" t="s">
        <v>11</v>
      </c>
      <c r="H617" s="307" t="s">
        <v>11</v>
      </c>
    </row>
    <row r="618" spans="1:8" x14ac:dyDescent="0.2">
      <c r="A618" t="s">
        <v>25</v>
      </c>
      <c r="B618" t="s">
        <v>88</v>
      </c>
      <c r="C618" t="s">
        <v>929</v>
      </c>
      <c r="D618">
        <v>1</v>
      </c>
      <c r="E618" s="307">
        <v>5</v>
      </c>
      <c r="F618" s="307" t="s">
        <v>7</v>
      </c>
      <c r="G618" s="307" t="s">
        <v>11</v>
      </c>
      <c r="H618" s="307" t="s">
        <v>11</v>
      </c>
    </row>
    <row r="619" spans="1:8" x14ac:dyDescent="0.2">
      <c r="A619" t="s">
        <v>25</v>
      </c>
      <c r="B619" t="s">
        <v>88</v>
      </c>
      <c r="C619" t="s">
        <v>1185</v>
      </c>
      <c r="D619">
        <v>2</v>
      </c>
      <c r="E619" s="307">
        <v>5</v>
      </c>
      <c r="F619" s="307" t="s">
        <v>7</v>
      </c>
      <c r="G619" s="307" t="s">
        <v>11</v>
      </c>
      <c r="H619" s="307" t="s">
        <v>11</v>
      </c>
    </row>
    <row r="620" spans="1:8" x14ac:dyDescent="0.2">
      <c r="A620" t="s">
        <v>25</v>
      </c>
      <c r="B620" t="s">
        <v>88</v>
      </c>
      <c r="C620" t="s">
        <v>1186</v>
      </c>
      <c r="D620">
        <v>1</v>
      </c>
      <c r="E620" s="307">
        <v>5</v>
      </c>
      <c r="F620" s="307" t="s">
        <v>7</v>
      </c>
      <c r="G620" s="307" t="s">
        <v>11</v>
      </c>
      <c r="H620" s="307" t="s">
        <v>11</v>
      </c>
    </row>
    <row r="621" spans="1:8" x14ac:dyDescent="0.2">
      <c r="A621" t="s">
        <v>25</v>
      </c>
      <c r="B621" t="s">
        <v>88</v>
      </c>
      <c r="C621" t="s">
        <v>1187</v>
      </c>
      <c r="D621">
        <v>2</v>
      </c>
      <c r="E621" s="307">
        <v>4</v>
      </c>
      <c r="F621" s="307" t="s">
        <v>7</v>
      </c>
      <c r="G621" s="307" t="s">
        <v>11</v>
      </c>
      <c r="H621" s="307" t="s">
        <v>11</v>
      </c>
    </row>
    <row r="622" spans="1:8" x14ac:dyDescent="0.2">
      <c r="A622" t="s">
        <v>25</v>
      </c>
      <c r="B622" t="s">
        <v>88</v>
      </c>
      <c r="C622" t="s">
        <v>1065</v>
      </c>
      <c r="D622">
        <v>2</v>
      </c>
      <c r="E622" s="307">
        <v>4</v>
      </c>
      <c r="F622" s="307" t="s">
        <v>7</v>
      </c>
      <c r="G622" s="307" t="s">
        <v>11</v>
      </c>
      <c r="H622" s="307" t="s">
        <v>11</v>
      </c>
    </row>
    <row r="623" spans="1:8" x14ac:dyDescent="0.2">
      <c r="A623" t="s">
        <v>25</v>
      </c>
      <c r="B623" t="s">
        <v>88</v>
      </c>
      <c r="C623" t="s">
        <v>714</v>
      </c>
      <c r="D623">
        <v>2</v>
      </c>
      <c r="E623" s="307">
        <v>4</v>
      </c>
      <c r="F623" s="307" t="s">
        <v>7</v>
      </c>
      <c r="G623" s="307" t="s">
        <v>11</v>
      </c>
      <c r="H623" s="307" t="s">
        <v>11</v>
      </c>
    </row>
    <row r="624" spans="1:8" x14ac:dyDescent="0.2">
      <c r="A624" t="s">
        <v>25</v>
      </c>
      <c r="B624" t="s">
        <v>88</v>
      </c>
      <c r="C624" t="s">
        <v>1188</v>
      </c>
      <c r="D624">
        <v>1</v>
      </c>
      <c r="E624" s="307">
        <v>5</v>
      </c>
      <c r="F624" s="307" t="s">
        <v>7</v>
      </c>
      <c r="G624" s="307" t="s">
        <v>11</v>
      </c>
      <c r="H624" s="307" t="s">
        <v>11</v>
      </c>
    </row>
    <row r="625" spans="1:8" x14ac:dyDescent="0.2">
      <c r="A625" t="s">
        <v>25</v>
      </c>
      <c r="B625" t="s">
        <v>88</v>
      </c>
      <c r="C625" t="s">
        <v>715</v>
      </c>
      <c r="D625">
        <v>2</v>
      </c>
      <c r="E625" s="307">
        <v>4</v>
      </c>
      <c r="F625" s="307" t="s">
        <v>7</v>
      </c>
      <c r="G625" s="307" t="s">
        <v>11</v>
      </c>
      <c r="H625" s="307" t="s">
        <v>11</v>
      </c>
    </row>
    <row r="626" spans="1:8" x14ac:dyDescent="0.2">
      <c r="A626" t="s">
        <v>25</v>
      </c>
      <c r="B626" t="s">
        <v>88</v>
      </c>
      <c r="C626" t="s">
        <v>817</v>
      </c>
      <c r="D626">
        <v>1</v>
      </c>
      <c r="E626" s="307">
        <v>5</v>
      </c>
      <c r="F626" s="307" t="s">
        <v>7</v>
      </c>
      <c r="G626" s="307" t="s">
        <v>11</v>
      </c>
      <c r="H626" s="307" t="s">
        <v>11</v>
      </c>
    </row>
    <row r="627" spans="1:8" x14ac:dyDescent="0.2">
      <c r="A627" t="s">
        <v>25</v>
      </c>
      <c r="B627" t="s">
        <v>88</v>
      </c>
      <c r="C627" t="s">
        <v>1189</v>
      </c>
      <c r="D627">
        <v>2</v>
      </c>
      <c r="E627" s="307">
        <v>4</v>
      </c>
      <c r="F627" s="307" t="s">
        <v>7</v>
      </c>
      <c r="G627" s="307" t="s">
        <v>11</v>
      </c>
      <c r="H627" s="307" t="s">
        <v>11</v>
      </c>
    </row>
    <row r="628" spans="1:8" x14ac:dyDescent="0.2">
      <c r="A628" t="s">
        <v>25</v>
      </c>
      <c r="B628" t="s">
        <v>88</v>
      </c>
      <c r="C628" t="s">
        <v>717</v>
      </c>
      <c r="D628">
        <v>1</v>
      </c>
      <c r="E628" s="307">
        <v>5</v>
      </c>
      <c r="F628" s="307" t="s">
        <v>7</v>
      </c>
      <c r="G628" s="307" t="s">
        <v>11</v>
      </c>
      <c r="H628" s="307" t="s">
        <v>11</v>
      </c>
    </row>
    <row r="629" spans="1:8" x14ac:dyDescent="0.2">
      <c r="A629" t="s">
        <v>25</v>
      </c>
      <c r="B629" t="s">
        <v>88</v>
      </c>
      <c r="C629" t="s">
        <v>1190</v>
      </c>
      <c r="D629">
        <v>1</v>
      </c>
      <c r="E629" s="307">
        <v>5</v>
      </c>
      <c r="F629" s="307" t="s">
        <v>7</v>
      </c>
      <c r="G629" s="307" t="s">
        <v>11</v>
      </c>
      <c r="H629" s="307" t="s">
        <v>11</v>
      </c>
    </row>
    <row r="630" spans="1:8" x14ac:dyDescent="0.2">
      <c r="A630" t="s">
        <v>25</v>
      </c>
      <c r="B630" t="s">
        <v>88</v>
      </c>
      <c r="C630" t="s">
        <v>995</v>
      </c>
      <c r="D630">
        <v>2</v>
      </c>
      <c r="E630" s="307">
        <v>4</v>
      </c>
      <c r="F630" s="307" t="s">
        <v>7</v>
      </c>
      <c r="G630" s="307" t="s">
        <v>11</v>
      </c>
      <c r="H630" s="307" t="s">
        <v>11</v>
      </c>
    </row>
    <row r="631" spans="1:8" x14ac:dyDescent="0.2">
      <c r="A631" t="s">
        <v>25</v>
      </c>
      <c r="B631" t="s">
        <v>88</v>
      </c>
      <c r="C631" t="s">
        <v>1079</v>
      </c>
      <c r="D631">
        <v>1</v>
      </c>
      <c r="E631" s="307">
        <v>5</v>
      </c>
      <c r="F631" s="307" t="s">
        <v>7</v>
      </c>
      <c r="G631" s="307" t="s">
        <v>11</v>
      </c>
      <c r="H631" s="307" t="s">
        <v>11</v>
      </c>
    </row>
    <row r="632" spans="1:8" x14ac:dyDescent="0.2">
      <c r="A632" t="s">
        <v>25</v>
      </c>
      <c r="B632" t="s">
        <v>88</v>
      </c>
      <c r="C632" t="s">
        <v>1191</v>
      </c>
      <c r="D632">
        <v>2</v>
      </c>
      <c r="E632" s="307">
        <v>4</v>
      </c>
      <c r="F632" s="307" t="s">
        <v>7</v>
      </c>
      <c r="G632" s="307" t="s">
        <v>11</v>
      </c>
      <c r="H632" s="307" t="s">
        <v>11</v>
      </c>
    </row>
    <row r="633" spans="1:8" x14ac:dyDescent="0.2">
      <c r="A633" t="s">
        <v>25</v>
      </c>
      <c r="B633" t="s">
        <v>88</v>
      </c>
      <c r="C633" t="s">
        <v>1192</v>
      </c>
      <c r="D633">
        <v>1</v>
      </c>
      <c r="E633" s="307">
        <v>5</v>
      </c>
      <c r="F633" s="307" t="s">
        <v>7</v>
      </c>
      <c r="G633" s="307" t="s">
        <v>11</v>
      </c>
      <c r="H633" s="307" t="s">
        <v>11</v>
      </c>
    </row>
    <row r="634" spans="1:8" x14ac:dyDescent="0.2">
      <c r="A634" t="s">
        <v>25</v>
      </c>
      <c r="B634" t="s">
        <v>88</v>
      </c>
      <c r="C634" t="s">
        <v>719</v>
      </c>
      <c r="D634">
        <v>1</v>
      </c>
      <c r="E634" s="307">
        <v>5</v>
      </c>
      <c r="F634" s="307" t="s">
        <v>7</v>
      </c>
      <c r="G634" s="307" t="s">
        <v>11</v>
      </c>
      <c r="H634" s="307" t="s">
        <v>11</v>
      </c>
    </row>
    <row r="635" spans="1:8" x14ac:dyDescent="0.2">
      <c r="A635" t="s">
        <v>25</v>
      </c>
      <c r="B635" t="s">
        <v>88</v>
      </c>
      <c r="C635" t="s">
        <v>1193</v>
      </c>
      <c r="D635">
        <v>1</v>
      </c>
      <c r="E635" s="307">
        <v>5</v>
      </c>
      <c r="F635" s="307" t="s">
        <v>7</v>
      </c>
      <c r="G635" s="307" t="s">
        <v>11</v>
      </c>
      <c r="H635" s="307" t="s">
        <v>11</v>
      </c>
    </row>
    <row r="636" spans="1:8" x14ac:dyDescent="0.2">
      <c r="A636" t="s">
        <v>25</v>
      </c>
      <c r="B636" t="s">
        <v>88</v>
      </c>
      <c r="C636" t="s">
        <v>721</v>
      </c>
      <c r="D636">
        <v>2</v>
      </c>
      <c r="E636" s="307">
        <v>4</v>
      </c>
      <c r="F636" s="307" t="s">
        <v>7</v>
      </c>
      <c r="G636" s="307" t="s">
        <v>11</v>
      </c>
      <c r="H636" s="307" t="s">
        <v>11</v>
      </c>
    </row>
    <row r="637" spans="1:8" x14ac:dyDescent="0.2">
      <c r="A637" t="s">
        <v>25</v>
      </c>
      <c r="B637" t="s">
        <v>88</v>
      </c>
      <c r="C637" t="s">
        <v>1085</v>
      </c>
      <c r="D637">
        <v>2</v>
      </c>
      <c r="E637" s="307">
        <v>4</v>
      </c>
      <c r="F637" s="307" t="s">
        <v>7</v>
      </c>
      <c r="G637" s="307" t="s">
        <v>11</v>
      </c>
      <c r="H637" s="307" t="s">
        <v>11</v>
      </c>
    </row>
    <row r="638" spans="1:8" x14ac:dyDescent="0.2">
      <c r="A638" t="s">
        <v>25</v>
      </c>
      <c r="B638" t="s">
        <v>88</v>
      </c>
      <c r="C638" t="s">
        <v>722</v>
      </c>
      <c r="D638">
        <v>2</v>
      </c>
      <c r="E638" s="307">
        <v>4</v>
      </c>
      <c r="F638" s="307" t="s">
        <v>7</v>
      </c>
      <c r="G638" s="307" t="s">
        <v>11</v>
      </c>
      <c r="H638" s="307" t="s">
        <v>11</v>
      </c>
    </row>
    <row r="639" spans="1:8" x14ac:dyDescent="0.2">
      <c r="A639" t="s">
        <v>25</v>
      </c>
      <c r="B639" t="s">
        <v>88</v>
      </c>
      <c r="C639" t="s">
        <v>1194</v>
      </c>
      <c r="D639">
        <v>1</v>
      </c>
      <c r="E639" s="307">
        <v>5</v>
      </c>
      <c r="F639" s="307" t="s">
        <v>7</v>
      </c>
      <c r="G639" s="307" t="s">
        <v>11</v>
      </c>
      <c r="H639" s="307" t="s">
        <v>11</v>
      </c>
    </row>
    <row r="640" spans="1:8" x14ac:dyDescent="0.2">
      <c r="A640" t="s">
        <v>25</v>
      </c>
      <c r="B640" t="s">
        <v>88</v>
      </c>
      <c r="C640" t="s">
        <v>1195</v>
      </c>
      <c r="D640">
        <v>1</v>
      </c>
      <c r="E640" s="307">
        <v>5</v>
      </c>
      <c r="F640" s="307" t="s">
        <v>7</v>
      </c>
      <c r="G640" s="307" t="s">
        <v>11</v>
      </c>
      <c r="H640" s="307" t="s">
        <v>11</v>
      </c>
    </row>
    <row r="641" spans="1:8" x14ac:dyDescent="0.2">
      <c r="A641" t="s">
        <v>25</v>
      </c>
      <c r="B641" t="s">
        <v>88</v>
      </c>
      <c r="C641" t="s">
        <v>825</v>
      </c>
      <c r="D641">
        <v>2</v>
      </c>
      <c r="E641" s="307">
        <v>4</v>
      </c>
      <c r="F641" s="307" t="s">
        <v>7</v>
      </c>
      <c r="G641" s="307" t="s">
        <v>11</v>
      </c>
      <c r="H641" s="307" t="s">
        <v>11</v>
      </c>
    </row>
    <row r="642" spans="1:8" x14ac:dyDescent="0.2">
      <c r="A642" t="s">
        <v>25</v>
      </c>
      <c r="B642" t="s">
        <v>88</v>
      </c>
      <c r="C642" t="s">
        <v>1196</v>
      </c>
      <c r="D642">
        <v>1</v>
      </c>
      <c r="E642" s="307">
        <v>5</v>
      </c>
      <c r="F642" s="307" t="s">
        <v>7</v>
      </c>
      <c r="G642" s="307" t="s">
        <v>11</v>
      </c>
      <c r="H642" s="307" t="s">
        <v>11</v>
      </c>
    </row>
    <row r="643" spans="1:8" x14ac:dyDescent="0.2">
      <c r="A643" t="s">
        <v>25</v>
      </c>
      <c r="B643" t="s">
        <v>88</v>
      </c>
      <c r="C643" t="s">
        <v>1197</v>
      </c>
      <c r="D643">
        <v>2</v>
      </c>
      <c r="E643" s="307">
        <v>5</v>
      </c>
      <c r="F643" s="307" t="s">
        <v>7</v>
      </c>
      <c r="G643" s="307" t="s">
        <v>11</v>
      </c>
      <c r="H643" s="307" t="s">
        <v>11</v>
      </c>
    </row>
    <row r="644" spans="1:8" x14ac:dyDescent="0.2">
      <c r="A644" t="s">
        <v>25</v>
      </c>
      <c r="B644" t="s">
        <v>88</v>
      </c>
      <c r="C644" t="s">
        <v>1198</v>
      </c>
      <c r="D644">
        <v>1</v>
      </c>
      <c r="E644" s="307">
        <v>5</v>
      </c>
      <c r="F644" s="307" t="s">
        <v>7</v>
      </c>
      <c r="G644" s="307" t="s">
        <v>11</v>
      </c>
      <c r="H644" s="307" t="s">
        <v>11</v>
      </c>
    </row>
    <row r="645" spans="1:8" x14ac:dyDescent="0.2">
      <c r="A645" t="s">
        <v>25</v>
      </c>
      <c r="B645" t="s">
        <v>88</v>
      </c>
      <c r="C645" t="s">
        <v>1199</v>
      </c>
      <c r="D645">
        <v>1</v>
      </c>
      <c r="E645" s="307">
        <v>5</v>
      </c>
      <c r="F645" s="307" t="s">
        <v>7</v>
      </c>
      <c r="G645" s="307" t="s">
        <v>11</v>
      </c>
      <c r="H645" s="307" t="s">
        <v>11</v>
      </c>
    </row>
    <row r="646" spans="1:8" x14ac:dyDescent="0.2">
      <c r="A646" t="s">
        <v>25</v>
      </c>
      <c r="B646" t="s">
        <v>88</v>
      </c>
      <c r="C646" t="s">
        <v>1200</v>
      </c>
      <c r="D646">
        <v>1</v>
      </c>
      <c r="E646" s="307">
        <v>5</v>
      </c>
      <c r="F646" s="307" t="s">
        <v>7</v>
      </c>
      <c r="G646" s="307" t="s">
        <v>11</v>
      </c>
      <c r="H646" s="307" t="s">
        <v>11</v>
      </c>
    </row>
    <row r="647" spans="1:8" x14ac:dyDescent="0.2">
      <c r="A647" t="s">
        <v>25</v>
      </c>
      <c r="B647" t="s">
        <v>88</v>
      </c>
      <c r="C647" t="s">
        <v>871</v>
      </c>
      <c r="D647">
        <v>2</v>
      </c>
      <c r="E647" s="307">
        <v>5</v>
      </c>
      <c r="F647" s="307" t="s">
        <v>7</v>
      </c>
      <c r="G647" s="307" t="s">
        <v>11</v>
      </c>
      <c r="H647" s="307" t="s">
        <v>11</v>
      </c>
    </row>
    <row r="648" spans="1:8" x14ac:dyDescent="0.2">
      <c r="A648" t="s">
        <v>25</v>
      </c>
      <c r="B648" t="s">
        <v>88</v>
      </c>
      <c r="C648" t="s">
        <v>725</v>
      </c>
      <c r="D648">
        <v>2</v>
      </c>
      <c r="E648" s="307">
        <v>4</v>
      </c>
      <c r="F648" s="307" t="s">
        <v>7</v>
      </c>
      <c r="G648" s="307" t="s">
        <v>11</v>
      </c>
      <c r="H648" s="307" t="s">
        <v>11</v>
      </c>
    </row>
    <row r="649" spans="1:8" x14ac:dyDescent="0.2">
      <c r="A649" t="s">
        <v>25</v>
      </c>
      <c r="B649" t="s">
        <v>88</v>
      </c>
      <c r="C649" t="s">
        <v>726</v>
      </c>
      <c r="D649">
        <v>1</v>
      </c>
      <c r="E649" s="307">
        <v>5</v>
      </c>
      <c r="F649" s="307" t="s">
        <v>7</v>
      </c>
      <c r="G649" s="307" t="s">
        <v>11</v>
      </c>
      <c r="H649" s="307" t="s">
        <v>11</v>
      </c>
    </row>
    <row r="650" spans="1:8" x14ac:dyDescent="0.2">
      <c r="A650" t="s">
        <v>25</v>
      </c>
      <c r="B650" t="s">
        <v>88</v>
      </c>
      <c r="C650" t="s">
        <v>1201</v>
      </c>
      <c r="D650">
        <v>1</v>
      </c>
      <c r="E650" s="307">
        <v>5</v>
      </c>
      <c r="F650" s="307" t="s">
        <v>7</v>
      </c>
      <c r="G650" s="307" t="s">
        <v>11</v>
      </c>
      <c r="H650" s="307" t="s">
        <v>11</v>
      </c>
    </row>
    <row r="651" spans="1:8" x14ac:dyDescent="0.2">
      <c r="A651" t="s">
        <v>25</v>
      </c>
      <c r="B651" t="s">
        <v>88</v>
      </c>
      <c r="C651" t="s">
        <v>829</v>
      </c>
      <c r="D651">
        <v>1</v>
      </c>
      <c r="E651" s="307">
        <v>5</v>
      </c>
      <c r="F651" s="307" t="s">
        <v>7</v>
      </c>
      <c r="G651" s="307" t="s">
        <v>11</v>
      </c>
      <c r="H651" s="307" t="s">
        <v>11</v>
      </c>
    </row>
    <row r="652" spans="1:8" x14ac:dyDescent="0.2">
      <c r="A652" t="s">
        <v>25</v>
      </c>
      <c r="B652" t="s">
        <v>88</v>
      </c>
      <c r="C652" t="s">
        <v>729</v>
      </c>
      <c r="D652">
        <v>1</v>
      </c>
      <c r="E652" s="307">
        <v>5</v>
      </c>
      <c r="F652" s="307" t="s">
        <v>7</v>
      </c>
      <c r="G652" s="307" t="s">
        <v>11</v>
      </c>
      <c r="H652" s="307" t="s">
        <v>11</v>
      </c>
    </row>
    <row r="653" spans="1:8" x14ac:dyDescent="0.2">
      <c r="A653" t="s">
        <v>25</v>
      </c>
      <c r="B653" t="s">
        <v>88</v>
      </c>
      <c r="C653" t="s">
        <v>1202</v>
      </c>
      <c r="D653">
        <v>2</v>
      </c>
      <c r="E653" s="307">
        <v>4</v>
      </c>
      <c r="F653" s="307" t="s">
        <v>7</v>
      </c>
      <c r="G653" s="307" t="s">
        <v>11</v>
      </c>
      <c r="H653" s="307" t="s">
        <v>11</v>
      </c>
    </row>
    <row r="654" spans="1:8" x14ac:dyDescent="0.2">
      <c r="A654" t="s">
        <v>25</v>
      </c>
      <c r="B654" t="s">
        <v>88</v>
      </c>
      <c r="C654" t="s">
        <v>730</v>
      </c>
      <c r="D654">
        <v>2</v>
      </c>
      <c r="E654" s="307">
        <v>4</v>
      </c>
      <c r="F654" s="307" t="s">
        <v>7</v>
      </c>
      <c r="G654" s="307" t="s">
        <v>11</v>
      </c>
      <c r="H654" s="307" t="s">
        <v>11</v>
      </c>
    </row>
    <row r="655" spans="1:8" x14ac:dyDescent="0.2">
      <c r="A655" t="s">
        <v>25</v>
      </c>
      <c r="B655" t="s">
        <v>88</v>
      </c>
      <c r="C655" t="s">
        <v>732</v>
      </c>
      <c r="D655">
        <v>2</v>
      </c>
      <c r="E655" s="307">
        <v>4</v>
      </c>
      <c r="F655" s="307" t="s">
        <v>7</v>
      </c>
      <c r="G655" s="307" t="s">
        <v>11</v>
      </c>
      <c r="H655" s="307" t="s">
        <v>11</v>
      </c>
    </row>
    <row r="656" spans="1:8" x14ac:dyDescent="0.2">
      <c r="A656" t="s">
        <v>25</v>
      </c>
      <c r="B656" t="s">
        <v>88</v>
      </c>
      <c r="C656" t="s">
        <v>733</v>
      </c>
      <c r="D656">
        <v>1</v>
      </c>
      <c r="E656" s="307">
        <v>5</v>
      </c>
      <c r="F656" s="307" t="s">
        <v>7</v>
      </c>
      <c r="G656" s="307" t="s">
        <v>11</v>
      </c>
      <c r="H656" s="307" t="s">
        <v>11</v>
      </c>
    </row>
    <row r="657" spans="1:8" x14ac:dyDescent="0.2">
      <c r="A657" t="s">
        <v>25</v>
      </c>
      <c r="B657" t="s">
        <v>88</v>
      </c>
      <c r="C657" t="s">
        <v>1203</v>
      </c>
      <c r="D657">
        <v>1</v>
      </c>
      <c r="E657" s="307">
        <v>5</v>
      </c>
      <c r="F657" s="307" t="s">
        <v>7</v>
      </c>
      <c r="G657" s="307" t="s">
        <v>11</v>
      </c>
      <c r="H657" s="307" t="s">
        <v>11</v>
      </c>
    </row>
    <row r="658" spans="1:8" x14ac:dyDescent="0.2">
      <c r="A658" t="s">
        <v>25</v>
      </c>
      <c r="B658" t="s">
        <v>88</v>
      </c>
      <c r="C658" t="s">
        <v>1204</v>
      </c>
      <c r="D658">
        <v>3</v>
      </c>
      <c r="E658" s="307">
        <v>4</v>
      </c>
      <c r="F658" s="307" t="s">
        <v>7</v>
      </c>
      <c r="G658" s="307" t="s">
        <v>11</v>
      </c>
      <c r="H658" s="307" t="s">
        <v>11</v>
      </c>
    </row>
    <row r="659" spans="1:8" x14ac:dyDescent="0.2">
      <c r="A659" t="s">
        <v>25</v>
      </c>
      <c r="B659" t="s">
        <v>88</v>
      </c>
      <c r="C659" t="s">
        <v>1205</v>
      </c>
      <c r="D659">
        <v>1</v>
      </c>
      <c r="E659" s="307">
        <v>5</v>
      </c>
      <c r="F659" s="307" t="s">
        <v>7</v>
      </c>
      <c r="G659" s="307" t="s">
        <v>11</v>
      </c>
      <c r="H659" s="307" t="s">
        <v>11</v>
      </c>
    </row>
    <row r="660" spans="1:8" x14ac:dyDescent="0.2">
      <c r="A660" t="s">
        <v>25</v>
      </c>
      <c r="B660" t="s">
        <v>88</v>
      </c>
      <c r="C660" t="s">
        <v>1206</v>
      </c>
      <c r="D660">
        <v>2</v>
      </c>
      <c r="E660" s="307">
        <v>5</v>
      </c>
      <c r="F660" s="307" t="s">
        <v>7</v>
      </c>
      <c r="G660" s="307" t="s">
        <v>11</v>
      </c>
      <c r="H660" s="307" t="s">
        <v>11</v>
      </c>
    </row>
    <row r="661" spans="1:8" x14ac:dyDescent="0.2">
      <c r="A661" t="s">
        <v>25</v>
      </c>
      <c r="B661" t="s">
        <v>88</v>
      </c>
      <c r="C661" t="s">
        <v>1207</v>
      </c>
      <c r="D661">
        <v>1</v>
      </c>
      <c r="E661" s="307">
        <v>5</v>
      </c>
      <c r="F661" s="307" t="s">
        <v>7</v>
      </c>
      <c r="G661" s="307" t="s">
        <v>11</v>
      </c>
      <c r="H661" s="307" t="s">
        <v>11</v>
      </c>
    </row>
    <row r="662" spans="1:8" x14ac:dyDescent="0.2">
      <c r="A662" t="s">
        <v>25</v>
      </c>
      <c r="B662" t="s">
        <v>88</v>
      </c>
      <c r="C662" t="s">
        <v>1208</v>
      </c>
      <c r="D662">
        <v>1</v>
      </c>
      <c r="E662" s="307">
        <v>5</v>
      </c>
      <c r="F662" s="307" t="s">
        <v>7</v>
      </c>
      <c r="G662" s="307" t="s">
        <v>11</v>
      </c>
      <c r="H662" s="307" t="s">
        <v>11</v>
      </c>
    </row>
    <row r="663" spans="1:8" x14ac:dyDescent="0.2">
      <c r="A663" t="s">
        <v>25</v>
      </c>
      <c r="B663" t="s">
        <v>88</v>
      </c>
      <c r="C663" t="s">
        <v>1209</v>
      </c>
      <c r="D663">
        <v>1</v>
      </c>
      <c r="E663" s="307">
        <v>5</v>
      </c>
      <c r="F663" s="307" t="s">
        <v>7</v>
      </c>
      <c r="G663" s="307" t="s">
        <v>11</v>
      </c>
      <c r="H663" s="307" t="s">
        <v>11</v>
      </c>
    </row>
    <row r="664" spans="1:8" x14ac:dyDescent="0.2">
      <c r="A664" t="s">
        <v>25</v>
      </c>
      <c r="B664" t="s">
        <v>88</v>
      </c>
      <c r="C664" t="s">
        <v>735</v>
      </c>
      <c r="D664">
        <v>2</v>
      </c>
      <c r="E664" s="307">
        <v>4</v>
      </c>
      <c r="F664" s="307" t="s">
        <v>7</v>
      </c>
      <c r="G664" s="307" t="s">
        <v>11</v>
      </c>
      <c r="H664" s="307" t="s">
        <v>11</v>
      </c>
    </row>
    <row r="665" spans="1:8" x14ac:dyDescent="0.2">
      <c r="A665" t="s">
        <v>25</v>
      </c>
      <c r="B665" t="s">
        <v>88</v>
      </c>
      <c r="C665" t="s">
        <v>736</v>
      </c>
      <c r="D665">
        <v>2</v>
      </c>
      <c r="E665" s="307">
        <v>4</v>
      </c>
      <c r="F665" s="307" t="s">
        <v>7</v>
      </c>
      <c r="G665" s="307" t="s">
        <v>11</v>
      </c>
      <c r="H665" s="307" t="s">
        <v>11</v>
      </c>
    </row>
    <row r="666" spans="1:8" x14ac:dyDescent="0.2">
      <c r="A666" t="s">
        <v>25</v>
      </c>
      <c r="B666" t="s">
        <v>88</v>
      </c>
      <c r="C666" t="s">
        <v>737</v>
      </c>
      <c r="D666">
        <v>1</v>
      </c>
      <c r="E666" s="307">
        <v>5</v>
      </c>
      <c r="F666" s="307" t="s">
        <v>7</v>
      </c>
      <c r="G666" s="307" t="s">
        <v>11</v>
      </c>
      <c r="H666" s="307" t="s">
        <v>11</v>
      </c>
    </row>
    <row r="667" spans="1:8" x14ac:dyDescent="0.2">
      <c r="A667" t="s">
        <v>25</v>
      </c>
      <c r="B667" t="s">
        <v>88</v>
      </c>
      <c r="C667" t="s">
        <v>1210</v>
      </c>
      <c r="D667">
        <v>1</v>
      </c>
      <c r="E667" s="307">
        <v>5</v>
      </c>
      <c r="F667" s="307" t="s">
        <v>7</v>
      </c>
      <c r="G667" s="307" t="s">
        <v>11</v>
      </c>
      <c r="H667" s="307" t="s">
        <v>11</v>
      </c>
    </row>
    <row r="668" spans="1:8" x14ac:dyDescent="0.2">
      <c r="A668" t="s">
        <v>25</v>
      </c>
      <c r="B668" t="s">
        <v>88</v>
      </c>
      <c r="C668" t="s">
        <v>1211</v>
      </c>
      <c r="D668">
        <v>1</v>
      </c>
      <c r="E668" s="307">
        <v>5</v>
      </c>
      <c r="F668" s="307" t="s">
        <v>7</v>
      </c>
      <c r="G668" s="307" t="s">
        <v>11</v>
      </c>
      <c r="H668" s="307" t="s">
        <v>11</v>
      </c>
    </row>
    <row r="669" spans="1:8" x14ac:dyDescent="0.2">
      <c r="A669" t="s">
        <v>25</v>
      </c>
      <c r="B669" t="s">
        <v>88</v>
      </c>
      <c r="C669" t="s">
        <v>1212</v>
      </c>
      <c r="D669">
        <v>1</v>
      </c>
      <c r="E669" s="307">
        <v>5</v>
      </c>
      <c r="F669" s="307" t="s">
        <v>7</v>
      </c>
      <c r="G669" s="307" t="s">
        <v>11</v>
      </c>
      <c r="H669" s="307" t="s">
        <v>11</v>
      </c>
    </row>
    <row r="670" spans="1:8" x14ac:dyDescent="0.2">
      <c r="A670" t="s">
        <v>25</v>
      </c>
      <c r="B670" t="s">
        <v>88</v>
      </c>
      <c r="C670" t="s">
        <v>738</v>
      </c>
      <c r="D670">
        <v>2</v>
      </c>
      <c r="E670" s="307">
        <v>4</v>
      </c>
      <c r="F670" s="307" t="s">
        <v>7</v>
      </c>
      <c r="G670" s="307" t="s">
        <v>11</v>
      </c>
      <c r="H670" s="307" t="s">
        <v>11</v>
      </c>
    </row>
    <row r="671" spans="1:8" x14ac:dyDescent="0.2">
      <c r="A671" t="s">
        <v>25</v>
      </c>
      <c r="B671" t="s">
        <v>88</v>
      </c>
      <c r="C671" t="s">
        <v>1213</v>
      </c>
      <c r="D671">
        <v>1</v>
      </c>
      <c r="E671" s="307">
        <v>5</v>
      </c>
      <c r="F671" s="307" t="s">
        <v>7</v>
      </c>
      <c r="G671" s="307" t="s">
        <v>11</v>
      </c>
      <c r="H671" s="307" t="s">
        <v>11</v>
      </c>
    </row>
    <row r="672" spans="1:8" x14ac:dyDescent="0.2">
      <c r="A672" t="s">
        <v>25</v>
      </c>
      <c r="B672" t="s">
        <v>88</v>
      </c>
      <c r="C672" t="s">
        <v>740</v>
      </c>
      <c r="D672">
        <v>1</v>
      </c>
      <c r="E672" s="307">
        <v>5</v>
      </c>
      <c r="F672" s="307" t="s">
        <v>7</v>
      </c>
      <c r="G672" s="307" t="s">
        <v>11</v>
      </c>
      <c r="H672" s="307" t="s">
        <v>11</v>
      </c>
    </row>
    <row r="673" spans="1:8" x14ac:dyDescent="0.2">
      <c r="A673" t="s">
        <v>25</v>
      </c>
      <c r="B673" t="s">
        <v>88</v>
      </c>
      <c r="C673" t="s">
        <v>839</v>
      </c>
      <c r="D673">
        <v>2</v>
      </c>
      <c r="E673" s="307">
        <v>4</v>
      </c>
      <c r="F673" s="307" t="s">
        <v>7</v>
      </c>
      <c r="G673" s="307" t="s">
        <v>11</v>
      </c>
      <c r="H673" s="307" t="s">
        <v>11</v>
      </c>
    </row>
    <row r="674" spans="1:8" x14ac:dyDescent="0.2">
      <c r="A674" t="s">
        <v>25</v>
      </c>
      <c r="B674" t="s">
        <v>88</v>
      </c>
      <c r="C674" t="s">
        <v>841</v>
      </c>
      <c r="D674">
        <v>3</v>
      </c>
      <c r="E674" s="307">
        <v>4</v>
      </c>
      <c r="F674" s="307" t="s">
        <v>7</v>
      </c>
      <c r="G674" s="307" t="s">
        <v>11</v>
      </c>
      <c r="H674" s="307" t="s">
        <v>11</v>
      </c>
    </row>
    <row r="675" spans="1:8" x14ac:dyDescent="0.2">
      <c r="A675" t="s">
        <v>25</v>
      </c>
      <c r="B675" t="s">
        <v>88</v>
      </c>
      <c r="C675" t="s">
        <v>1016</v>
      </c>
      <c r="D675">
        <v>1</v>
      </c>
      <c r="E675" s="307">
        <v>5</v>
      </c>
      <c r="F675" s="307" t="s">
        <v>7</v>
      </c>
      <c r="G675" s="307" t="s">
        <v>11</v>
      </c>
      <c r="H675" s="307" t="s">
        <v>11</v>
      </c>
    </row>
    <row r="676" spans="1:8" x14ac:dyDescent="0.2">
      <c r="A676" t="s">
        <v>25</v>
      </c>
      <c r="B676" t="s">
        <v>88</v>
      </c>
      <c r="C676" t="s">
        <v>741</v>
      </c>
      <c r="D676">
        <v>2</v>
      </c>
      <c r="E676" s="307">
        <v>4</v>
      </c>
      <c r="F676" s="307" t="s">
        <v>7</v>
      </c>
      <c r="G676" s="307" t="s">
        <v>11</v>
      </c>
      <c r="H676" s="307" t="s">
        <v>11</v>
      </c>
    </row>
    <row r="677" spans="1:8" x14ac:dyDescent="0.2">
      <c r="A677" t="s">
        <v>25</v>
      </c>
      <c r="B677" t="s">
        <v>88</v>
      </c>
      <c r="C677" t="s">
        <v>1214</v>
      </c>
      <c r="D677">
        <v>2</v>
      </c>
      <c r="E677" s="307">
        <v>4</v>
      </c>
      <c r="F677" s="307" t="s">
        <v>7</v>
      </c>
      <c r="G677" s="307" t="s">
        <v>11</v>
      </c>
      <c r="H677" s="307" t="s">
        <v>11</v>
      </c>
    </row>
    <row r="678" spans="1:8" x14ac:dyDescent="0.2">
      <c r="A678" t="s">
        <v>25</v>
      </c>
      <c r="B678" t="s">
        <v>88</v>
      </c>
      <c r="C678" t="s">
        <v>1215</v>
      </c>
      <c r="D678">
        <v>1</v>
      </c>
      <c r="E678" s="307">
        <v>5</v>
      </c>
      <c r="F678" s="307" t="s">
        <v>7</v>
      </c>
      <c r="G678" s="307" t="s">
        <v>11</v>
      </c>
      <c r="H678" s="307" t="s">
        <v>11</v>
      </c>
    </row>
    <row r="679" spans="1:8" x14ac:dyDescent="0.2">
      <c r="A679" t="s">
        <v>25</v>
      </c>
      <c r="B679" t="s">
        <v>88</v>
      </c>
      <c r="C679" t="s">
        <v>743</v>
      </c>
      <c r="D679">
        <v>2</v>
      </c>
      <c r="E679" s="307">
        <v>4</v>
      </c>
      <c r="F679" s="307" t="s">
        <v>7</v>
      </c>
      <c r="G679" s="307" t="s">
        <v>11</v>
      </c>
      <c r="H679" s="307" t="s">
        <v>11</v>
      </c>
    </row>
    <row r="680" spans="1:8" x14ac:dyDescent="0.2">
      <c r="A680" t="s">
        <v>25</v>
      </c>
      <c r="B680" t="s">
        <v>88</v>
      </c>
      <c r="C680" t="s">
        <v>843</v>
      </c>
      <c r="D680">
        <v>2</v>
      </c>
      <c r="E680" s="307">
        <v>4</v>
      </c>
      <c r="F680" s="307" t="s">
        <v>7</v>
      </c>
      <c r="G680" s="307" t="s">
        <v>11</v>
      </c>
      <c r="H680" s="307" t="s">
        <v>11</v>
      </c>
    </row>
    <row r="681" spans="1:8" x14ac:dyDescent="0.2">
      <c r="A681" t="s">
        <v>25</v>
      </c>
      <c r="B681" t="s">
        <v>88</v>
      </c>
      <c r="C681" t="s">
        <v>1216</v>
      </c>
      <c r="D681">
        <v>1</v>
      </c>
      <c r="E681" s="307">
        <v>5</v>
      </c>
      <c r="F681" s="307" t="s">
        <v>7</v>
      </c>
      <c r="G681" s="307" t="s">
        <v>11</v>
      </c>
      <c r="H681" s="307" t="s">
        <v>11</v>
      </c>
    </row>
    <row r="682" spans="1:8" x14ac:dyDescent="0.2">
      <c r="A682" t="s">
        <v>25</v>
      </c>
      <c r="B682" t="s">
        <v>88</v>
      </c>
      <c r="C682" t="s">
        <v>1217</v>
      </c>
      <c r="D682">
        <v>1</v>
      </c>
      <c r="E682" s="307">
        <v>5</v>
      </c>
      <c r="F682" s="307" t="s">
        <v>7</v>
      </c>
      <c r="G682" s="307" t="s">
        <v>11</v>
      </c>
      <c r="H682" s="307" t="s">
        <v>11</v>
      </c>
    </row>
    <row r="683" spans="1:8" x14ac:dyDescent="0.2">
      <c r="A683" t="s">
        <v>25</v>
      </c>
      <c r="B683" t="s">
        <v>88</v>
      </c>
      <c r="C683" t="s">
        <v>844</v>
      </c>
      <c r="D683">
        <v>1</v>
      </c>
      <c r="E683" s="307">
        <v>5</v>
      </c>
      <c r="F683" s="307" t="s">
        <v>7</v>
      </c>
      <c r="G683" s="307" t="s">
        <v>11</v>
      </c>
      <c r="H683" s="307" t="s">
        <v>11</v>
      </c>
    </row>
    <row r="684" spans="1:8" x14ac:dyDescent="0.2">
      <c r="A684" t="s">
        <v>25</v>
      </c>
      <c r="B684" t="s">
        <v>88</v>
      </c>
      <c r="C684" t="s">
        <v>744</v>
      </c>
      <c r="D684">
        <v>2</v>
      </c>
      <c r="E684" s="307">
        <v>4</v>
      </c>
      <c r="F684" s="307" t="s">
        <v>7</v>
      </c>
      <c r="G684" s="307" t="s">
        <v>11</v>
      </c>
      <c r="H684" s="307" t="s">
        <v>11</v>
      </c>
    </row>
    <row r="685" spans="1:8" x14ac:dyDescent="0.2">
      <c r="A685" t="s">
        <v>25</v>
      </c>
      <c r="B685" t="s">
        <v>88</v>
      </c>
      <c r="C685" t="s">
        <v>1218</v>
      </c>
      <c r="D685">
        <v>1</v>
      </c>
      <c r="E685" s="307">
        <v>5</v>
      </c>
      <c r="F685" s="307" t="s">
        <v>7</v>
      </c>
      <c r="G685" s="307" t="s">
        <v>11</v>
      </c>
      <c r="H685" s="307" t="s">
        <v>11</v>
      </c>
    </row>
    <row r="686" spans="1:8" x14ac:dyDescent="0.2">
      <c r="A686" t="s">
        <v>25</v>
      </c>
      <c r="B686" t="s">
        <v>88</v>
      </c>
      <c r="C686" t="s">
        <v>1219</v>
      </c>
      <c r="D686">
        <v>1</v>
      </c>
      <c r="E686" s="307">
        <v>5</v>
      </c>
      <c r="F686" s="307" t="s">
        <v>7</v>
      </c>
      <c r="G686" s="307" t="s">
        <v>11</v>
      </c>
      <c r="H686" s="307" t="s">
        <v>11</v>
      </c>
    </row>
    <row r="687" spans="1:8" x14ac:dyDescent="0.2">
      <c r="A687" t="s">
        <v>25</v>
      </c>
      <c r="B687" t="s">
        <v>88</v>
      </c>
      <c r="C687" t="s">
        <v>1220</v>
      </c>
      <c r="D687">
        <v>1</v>
      </c>
      <c r="E687" s="307">
        <v>5</v>
      </c>
      <c r="F687" s="307" t="s">
        <v>7</v>
      </c>
      <c r="G687" s="307" t="s">
        <v>11</v>
      </c>
      <c r="H687" s="307" t="s">
        <v>11</v>
      </c>
    </row>
    <row r="688" spans="1:8" x14ac:dyDescent="0.2">
      <c r="A688" t="s">
        <v>25</v>
      </c>
      <c r="B688" t="s">
        <v>88</v>
      </c>
      <c r="C688" t="s">
        <v>850</v>
      </c>
      <c r="D688">
        <v>2</v>
      </c>
      <c r="E688" s="307">
        <v>4</v>
      </c>
      <c r="F688" s="307" t="s">
        <v>7</v>
      </c>
      <c r="G688" s="307" t="s">
        <v>11</v>
      </c>
      <c r="H688" s="307" t="s">
        <v>11</v>
      </c>
    </row>
    <row r="689" spans="1:8" x14ac:dyDescent="0.2">
      <c r="A689" t="s">
        <v>25</v>
      </c>
      <c r="B689" t="s">
        <v>88</v>
      </c>
      <c r="C689" t="s">
        <v>1221</v>
      </c>
      <c r="D689">
        <v>1</v>
      </c>
      <c r="E689" s="307">
        <v>5</v>
      </c>
      <c r="F689" s="307" t="s">
        <v>7</v>
      </c>
      <c r="G689" s="307" t="s">
        <v>11</v>
      </c>
      <c r="H689" s="307" t="s">
        <v>11</v>
      </c>
    </row>
    <row r="690" spans="1:8" x14ac:dyDescent="0.2">
      <c r="A690" t="s">
        <v>25</v>
      </c>
      <c r="B690" t="s">
        <v>88</v>
      </c>
      <c r="C690" t="s">
        <v>1222</v>
      </c>
      <c r="D690">
        <v>2</v>
      </c>
      <c r="E690" s="307">
        <v>4</v>
      </c>
      <c r="F690" s="307" t="s">
        <v>7</v>
      </c>
      <c r="G690" s="307" t="s">
        <v>11</v>
      </c>
      <c r="H690" s="307" t="s">
        <v>11</v>
      </c>
    </row>
    <row r="691" spans="1:8" x14ac:dyDescent="0.2">
      <c r="A691" t="s">
        <v>25</v>
      </c>
      <c r="B691" t="s">
        <v>88</v>
      </c>
      <c r="C691" t="s">
        <v>1128</v>
      </c>
      <c r="D691">
        <v>1</v>
      </c>
      <c r="E691" s="307">
        <v>5</v>
      </c>
      <c r="F691" s="307" t="s">
        <v>7</v>
      </c>
      <c r="G691" s="307" t="s">
        <v>11</v>
      </c>
      <c r="H691" s="307" t="s">
        <v>11</v>
      </c>
    </row>
    <row r="692" spans="1:8" x14ac:dyDescent="0.2">
      <c r="A692" t="s">
        <v>25</v>
      </c>
      <c r="B692" t="s">
        <v>88</v>
      </c>
      <c r="C692" t="s">
        <v>750</v>
      </c>
      <c r="D692">
        <v>2</v>
      </c>
      <c r="E692" s="307">
        <v>4</v>
      </c>
      <c r="F692" s="307" t="s">
        <v>7</v>
      </c>
      <c r="G692" s="307" t="s">
        <v>11</v>
      </c>
      <c r="H692" s="307" t="s">
        <v>11</v>
      </c>
    </row>
    <row r="693" spans="1:8" x14ac:dyDescent="0.2">
      <c r="A693" t="s">
        <v>25</v>
      </c>
      <c r="B693" t="s">
        <v>88</v>
      </c>
      <c r="C693" t="s">
        <v>1129</v>
      </c>
      <c r="D693">
        <v>2</v>
      </c>
      <c r="E693" s="307">
        <v>4</v>
      </c>
      <c r="F693" s="307" t="s">
        <v>7</v>
      </c>
      <c r="G693" s="307" t="s">
        <v>11</v>
      </c>
      <c r="H693" s="307" t="s">
        <v>11</v>
      </c>
    </row>
    <row r="694" spans="1:8" x14ac:dyDescent="0.2">
      <c r="A694" t="s">
        <v>25</v>
      </c>
      <c r="B694" t="s">
        <v>88</v>
      </c>
      <c r="C694" t="s">
        <v>852</v>
      </c>
      <c r="D694">
        <v>2</v>
      </c>
      <c r="E694" s="307">
        <v>4</v>
      </c>
      <c r="F694" s="307" t="s">
        <v>7</v>
      </c>
      <c r="G694" s="307" t="s">
        <v>11</v>
      </c>
      <c r="H694" s="307" t="s">
        <v>11</v>
      </c>
    </row>
    <row r="695" spans="1:8" x14ac:dyDescent="0.2">
      <c r="A695" t="s">
        <v>25</v>
      </c>
      <c r="B695" t="s">
        <v>88</v>
      </c>
      <c r="C695" t="s">
        <v>1223</v>
      </c>
      <c r="D695">
        <v>1</v>
      </c>
      <c r="E695" s="307">
        <v>5</v>
      </c>
      <c r="F695" s="307" t="s">
        <v>7</v>
      </c>
      <c r="G695" s="307" t="s">
        <v>11</v>
      </c>
      <c r="H695" s="307" t="s">
        <v>11</v>
      </c>
    </row>
    <row r="696" spans="1:8" x14ac:dyDescent="0.2">
      <c r="A696" t="s">
        <v>25</v>
      </c>
      <c r="B696" t="s">
        <v>88</v>
      </c>
      <c r="C696" t="s">
        <v>1224</v>
      </c>
      <c r="D696">
        <v>2</v>
      </c>
      <c r="E696" s="307">
        <v>5</v>
      </c>
      <c r="F696" s="307" t="s">
        <v>7</v>
      </c>
      <c r="G696" s="307" t="s">
        <v>11</v>
      </c>
      <c r="H696" s="307" t="s">
        <v>11</v>
      </c>
    </row>
    <row r="697" spans="1:8" x14ac:dyDescent="0.2">
      <c r="A697" t="s">
        <v>25</v>
      </c>
      <c r="B697" t="s">
        <v>88</v>
      </c>
      <c r="C697" t="s">
        <v>1225</v>
      </c>
      <c r="D697">
        <v>2</v>
      </c>
      <c r="E697" s="307">
        <v>4</v>
      </c>
      <c r="F697" s="307" t="s">
        <v>7</v>
      </c>
      <c r="G697" s="307" t="s">
        <v>11</v>
      </c>
      <c r="H697" s="307" t="s">
        <v>11</v>
      </c>
    </row>
    <row r="698" spans="1:8" x14ac:dyDescent="0.2">
      <c r="A698" t="s">
        <v>25</v>
      </c>
      <c r="B698" t="s">
        <v>88</v>
      </c>
      <c r="C698" t="s">
        <v>1226</v>
      </c>
      <c r="D698">
        <v>1</v>
      </c>
      <c r="E698" s="307">
        <v>5</v>
      </c>
      <c r="F698" s="307" t="s">
        <v>7</v>
      </c>
      <c r="G698" s="307" t="s">
        <v>11</v>
      </c>
      <c r="H698" s="307" t="s">
        <v>11</v>
      </c>
    </row>
    <row r="699" spans="1:8" x14ac:dyDescent="0.2">
      <c r="A699" t="s">
        <v>25</v>
      </c>
      <c r="B699" t="s">
        <v>88</v>
      </c>
      <c r="C699" t="s">
        <v>1227</v>
      </c>
      <c r="D699">
        <v>1</v>
      </c>
      <c r="E699" s="307">
        <v>5</v>
      </c>
      <c r="F699" s="307" t="s">
        <v>7</v>
      </c>
      <c r="G699" s="307" t="s">
        <v>11</v>
      </c>
      <c r="H699" s="307" t="s">
        <v>11</v>
      </c>
    </row>
    <row r="700" spans="1:8" x14ac:dyDescent="0.2">
      <c r="A700" t="s">
        <v>26</v>
      </c>
      <c r="B700" t="s">
        <v>89</v>
      </c>
      <c r="C700" t="s">
        <v>911</v>
      </c>
      <c r="D700">
        <v>1</v>
      </c>
      <c r="E700" s="307">
        <v>5</v>
      </c>
      <c r="F700" s="307" t="s">
        <v>7</v>
      </c>
      <c r="G700" s="307" t="s">
        <v>11</v>
      </c>
      <c r="H700" s="307" t="s">
        <v>11</v>
      </c>
    </row>
    <row r="701" spans="1:8" x14ac:dyDescent="0.2">
      <c r="A701" t="s">
        <v>26</v>
      </c>
      <c r="B701" t="s">
        <v>89</v>
      </c>
      <c r="C701" t="s">
        <v>1228</v>
      </c>
      <c r="D701">
        <v>1</v>
      </c>
      <c r="E701" s="307">
        <v>5</v>
      </c>
      <c r="F701" s="307" t="s">
        <v>7</v>
      </c>
      <c r="G701" s="307" t="s">
        <v>11</v>
      </c>
      <c r="H701" s="307" t="s">
        <v>11</v>
      </c>
    </row>
    <row r="702" spans="1:8" x14ac:dyDescent="0.2">
      <c r="A702" t="s">
        <v>26</v>
      </c>
      <c r="B702" t="s">
        <v>89</v>
      </c>
      <c r="C702" t="s">
        <v>1229</v>
      </c>
      <c r="D702">
        <v>1</v>
      </c>
      <c r="E702" s="307">
        <v>5</v>
      </c>
      <c r="F702" s="307" t="s">
        <v>7</v>
      </c>
      <c r="G702" s="307" t="s">
        <v>11</v>
      </c>
      <c r="H702" s="307" t="s">
        <v>11</v>
      </c>
    </row>
    <row r="703" spans="1:8" x14ac:dyDescent="0.2">
      <c r="A703" t="s">
        <v>26</v>
      </c>
      <c r="B703" t="s">
        <v>89</v>
      </c>
      <c r="C703" t="s">
        <v>801</v>
      </c>
      <c r="D703">
        <v>1</v>
      </c>
      <c r="E703" s="307">
        <v>5</v>
      </c>
      <c r="F703" s="307" t="s">
        <v>7</v>
      </c>
      <c r="G703" s="307" t="s">
        <v>11</v>
      </c>
      <c r="H703" s="307" t="s">
        <v>11</v>
      </c>
    </row>
    <row r="704" spans="1:8" x14ac:dyDescent="0.2">
      <c r="A704" t="s">
        <v>26</v>
      </c>
      <c r="B704" t="s">
        <v>89</v>
      </c>
      <c r="C704" t="s">
        <v>1230</v>
      </c>
      <c r="D704">
        <v>1</v>
      </c>
      <c r="E704" s="307">
        <v>5</v>
      </c>
      <c r="F704" s="307" t="s">
        <v>7</v>
      </c>
      <c r="G704" s="307" t="s">
        <v>11</v>
      </c>
      <c r="H704" s="307" t="s">
        <v>11</v>
      </c>
    </row>
    <row r="705" spans="1:8" x14ac:dyDescent="0.2">
      <c r="A705" t="s">
        <v>26</v>
      </c>
      <c r="B705" t="s">
        <v>89</v>
      </c>
      <c r="C705" t="s">
        <v>802</v>
      </c>
      <c r="D705">
        <v>1</v>
      </c>
      <c r="E705" s="307">
        <v>5</v>
      </c>
      <c r="F705" s="307" t="s">
        <v>7</v>
      </c>
      <c r="G705" s="307" t="s">
        <v>11</v>
      </c>
      <c r="H705" s="307" t="s">
        <v>11</v>
      </c>
    </row>
    <row r="706" spans="1:8" x14ac:dyDescent="0.2">
      <c r="A706" t="s">
        <v>26</v>
      </c>
      <c r="B706" t="s">
        <v>89</v>
      </c>
      <c r="C706" t="s">
        <v>1176</v>
      </c>
      <c r="D706">
        <v>2</v>
      </c>
      <c r="E706" s="307">
        <v>4</v>
      </c>
      <c r="F706" s="307" t="s">
        <v>7</v>
      </c>
      <c r="G706" s="307" t="s">
        <v>11</v>
      </c>
      <c r="H706" s="307" t="s">
        <v>11</v>
      </c>
    </row>
    <row r="707" spans="1:8" x14ac:dyDescent="0.2">
      <c r="A707" t="s">
        <v>26</v>
      </c>
      <c r="B707" t="s">
        <v>89</v>
      </c>
      <c r="C707" t="s">
        <v>804</v>
      </c>
      <c r="D707">
        <v>1</v>
      </c>
      <c r="E707" s="307">
        <v>5</v>
      </c>
      <c r="F707" s="307" t="s">
        <v>7</v>
      </c>
      <c r="G707" s="307" t="s">
        <v>11</v>
      </c>
      <c r="H707" s="307" t="s">
        <v>11</v>
      </c>
    </row>
    <row r="708" spans="1:8" x14ac:dyDescent="0.2">
      <c r="A708" t="s">
        <v>26</v>
      </c>
      <c r="B708" t="s">
        <v>89</v>
      </c>
      <c r="C708" t="s">
        <v>1178</v>
      </c>
      <c r="D708">
        <v>1</v>
      </c>
      <c r="E708" s="307">
        <v>5</v>
      </c>
      <c r="F708" s="307" t="s">
        <v>7</v>
      </c>
      <c r="G708" s="307" t="s">
        <v>11</v>
      </c>
      <c r="H708" s="307" t="s">
        <v>11</v>
      </c>
    </row>
    <row r="709" spans="1:8" x14ac:dyDescent="0.2">
      <c r="A709" t="s">
        <v>26</v>
      </c>
      <c r="B709" t="s">
        <v>89</v>
      </c>
      <c r="C709" t="s">
        <v>806</v>
      </c>
      <c r="D709">
        <v>1</v>
      </c>
      <c r="E709" s="307">
        <v>4</v>
      </c>
      <c r="F709" s="307" t="s">
        <v>7</v>
      </c>
      <c r="G709" s="307" t="s">
        <v>11</v>
      </c>
      <c r="H709" s="307" t="s">
        <v>11</v>
      </c>
    </row>
    <row r="710" spans="1:8" x14ac:dyDescent="0.2">
      <c r="A710" t="s">
        <v>26</v>
      </c>
      <c r="B710" t="s">
        <v>89</v>
      </c>
      <c r="C710" t="s">
        <v>699</v>
      </c>
      <c r="D710">
        <v>2</v>
      </c>
      <c r="E710" s="307">
        <v>5</v>
      </c>
      <c r="F710" s="307" t="s">
        <v>7</v>
      </c>
      <c r="G710" s="307" t="s">
        <v>11</v>
      </c>
      <c r="H710" s="307" t="s">
        <v>11</v>
      </c>
    </row>
    <row r="711" spans="1:8" x14ac:dyDescent="0.2">
      <c r="A711" t="s">
        <v>26</v>
      </c>
      <c r="B711" t="s">
        <v>89</v>
      </c>
      <c r="C711" t="s">
        <v>1181</v>
      </c>
      <c r="D711">
        <v>1</v>
      </c>
      <c r="E711" s="307">
        <v>5</v>
      </c>
      <c r="F711" s="307" t="s">
        <v>7</v>
      </c>
      <c r="G711" s="307" t="s">
        <v>11</v>
      </c>
      <c r="H711" s="307" t="s">
        <v>11</v>
      </c>
    </row>
    <row r="712" spans="1:8" x14ac:dyDescent="0.2">
      <c r="A712" t="s">
        <v>26</v>
      </c>
      <c r="B712" t="s">
        <v>89</v>
      </c>
      <c r="C712" t="s">
        <v>811</v>
      </c>
      <c r="D712">
        <v>2</v>
      </c>
      <c r="E712" s="307">
        <v>4</v>
      </c>
      <c r="F712" s="307" t="s">
        <v>7</v>
      </c>
      <c r="G712" s="307" t="s">
        <v>11</v>
      </c>
      <c r="H712" s="307" t="s">
        <v>11</v>
      </c>
    </row>
    <row r="713" spans="1:8" x14ac:dyDescent="0.2">
      <c r="A713" t="s">
        <v>26</v>
      </c>
      <c r="B713" t="s">
        <v>89</v>
      </c>
      <c r="C713" t="s">
        <v>1231</v>
      </c>
      <c r="D713">
        <v>2</v>
      </c>
      <c r="E713" s="307">
        <v>4</v>
      </c>
      <c r="F713" s="307" t="s">
        <v>7</v>
      </c>
      <c r="G713" s="307" t="s">
        <v>11</v>
      </c>
      <c r="H713" s="307" t="s">
        <v>11</v>
      </c>
    </row>
    <row r="714" spans="1:8" x14ac:dyDescent="0.2">
      <c r="A714" t="s">
        <v>26</v>
      </c>
      <c r="B714" t="s">
        <v>89</v>
      </c>
      <c r="C714" t="s">
        <v>710</v>
      </c>
      <c r="D714">
        <v>1</v>
      </c>
      <c r="E714" s="307">
        <v>5</v>
      </c>
      <c r="F714" s="307" t="s">
        <v>7</v>
      </c>
      <c r="G714" s="307" t="s">
        <v>11</v>
      </c>
      <c r="H714" s="307" t="s">
        <v>11</v>
      </c>
    </row>
    <row r="715" spans="1:8" x14ac:dyDescent="0.2">
      <c r="A715" t="s">
        <v>26</v>
      </c>
      <c r="B715" t="s">
        <v>89</v>
      </c>
      <c r="C715" t="s">
        <v>1232</v>
      </c>
      <c r="D715">
        <v>2</v>
      </c>
      <c r="E715" s="307">
        <v>4</v>
      </c>
      <c r="F715" s="307" t="s">
        <v>7</v>
      </c>
      <c r="G715" s="307" t="s">
        <v>11</v>
      </c>
      <c r="H715" s="307" t="s">
        <v>11</v>
      </c>
    </row>
    <row r="716" spans="1:8" x14ac:dyDescent="0.2">
      <c r="A716" t="s">
        <v>26</v>
      </c>
      <c r="B716" t="s">
        <v>89</v>
      </c>
      <c r="C716" t="s">
        <v>1058</v>
      </c>
      <c r="D716">
        <v>1</v>
      </c>
      <c r="E716" s="307">
        <v>5</v>
      </c>
      <c r="F716" s="307" t="s">
        <v>7</v>
      </c>
      <c r="G716" s="307" t="s">
        <v>11</v>
      </c>
      <c r="H716" s="307" t="s">
        <v>11</v>
      </c>
    </row>
    <row r="717" spans="1:8" x14ac:dyDescent="0.2">
      <c r="A717" t="s">
        <v>26</v>
      </c>
      <c r="B717" t="s">
        <v>89</v>
      </c>
      <c r="C717" t="s">
        <v>1233</v>
      </c>
      <c r="D717">
        <v>1</v>
      </c>
      <c r="E717" s="307">
        <v>5</v>
      </c>
      <c r="F717" s="307" t="s">
        <v>7</v>
      </c>
      <c r="G717" s="307" t="s">
        <v>11</v>
      </c>
      <c r="H717" s="307" t="s">
        <v>11</v>
      </c>
    </row>
    <row r="718" spans="1:8" x14ac:dyDescent="0.2">
      <c r="A718" t="s">
        <v>26</v>
      </c>
      <c r="B718" t="s">
        <v>89</v>
      </c>
      <c r="C718" t="s">
        <v>1234</v>
      </c>
      <c r="D718">
        <v>2</v>
      </c>
      <c r="E718" s="307">
        <v>4</v>
      </c>
      <c r="F718" s="307" t="s">
        <v>7</v>
      </c>
      <c r="G718" s="307" t="s">
        <v>11</v>
      </c>
      <c r="H718" s="307" t="s">
        <v>11</v>
      </c>
    </row>
    <row r="719" spans="1:8" x14ac:dyDescent="0.2">
      <c r="A719" t="s">
        <v>26</v>
      </c>
      <c r="B719" t="s">
        <v>89</v>
      </c>
      <c r="C719" t="s">
        <v>1235</v>
      </c>
      <c r="D719">
        <v>1</v>
      </c>
      <c r="E719" s="307">
        <v>5</v>
      </c>
      <c r="F719" s="307" t="s">
        <v>7</v>
      </c>
      <c r="G719" s="307" t="s">
        <v>11</v>
      </c>
      <c r="H719" s="307" t="s">
        <v>11</v>
      </c>
    </row>
    <row r="720" spans="1:8" x14ac:dyDescent="0.2">
      <c r="A720" t="s">
        <v>26</v>
      </c>
      <c r="B720" t="s">
        <v>89</v>
      </c>
      <c r="C720" t="s">
        <v>714</v>
      </c>
      <c r="D720">
        <v>1</v>
      </c>
      <c r="E720" s="307">
        <v>5</v>
      </c>
      <c r="F720" s="307" t="s">
        <v>7</v>
      </c>
      <c r="G720" s="307" t="s">
        <v>11</v>
      </c>
      <c r="H720" s="307" t="s">
        <v>11</v>
      </c>
    </row>
    <row r="721" spans="1:8" x14ac:dyDescent="0.2">
      <c r="A721" t="s">
        <v>26</v>
      </c>
      <c r="B721" t="s">
        <v>89</v>
      </c>
      <c r="C721" t="s">
        <v>1069</v>
      </c>
      <c r="D721">
        <v>2</v>
      </c>
      <c r="E721" s="307">
        <v>4</v>
      </c>
      <c r="F721" s="307" t="s">
        <v>7</v>
      </c>
      <c r="G721" s="307" t="s">
        <v>11</v>
      </c>
      <c r="H721" s="307" t="s">
        <v>11</v>
      </c>
    </row>
    <row r="722" spans="1:8" x14ac:dyDescent="0.2">
      <c r="A722" t="s">
        <v>26</v>
      </c>
      <c r="B722" t="s">
        <v>89</v>
      </c>
      <c r="C722" t="s">
        <v>1236</v>
      </c>
      <c r="D722">
        <v>1</v>
      </c>
      <c r="E722" s="307">
        <v>5</v>
      </c>
      <c r="F722" s="307" t="s">
        <v>7</v>
      </c>
      <c r="G722" s="307" t="s">
        <v>11</v>
      </c>
      <c r="H722" s="307" t="s">
        <v>11</v>
      </c>
    </row>
    <row r="723" spans="1:8" x14ac:dyDescent="0.2">
      <c r="A723" t="s">
        <v>26</v>
      </c>
      <c r="B723" t="s">
        <v>89</v>
      </c>
      <c r="C723" t="s">
        <v>715</v>
      </c>
      <c r="D723">
        <v>2</v>
      </c>
      <c r="E723" s="307">
        <v>5</v>
      </c>
      <c r="F723" s="307" t="s">
        <v>7</v>
      </c>
      <c r="G723" s="307" t="s">
        <v>11</v>
      </c>
      <c r="H723" s="307" t="s">
        <v>11</v>
      </c>
    </row>
    <row r="724" spans="1:8" x14ac:dyDescent="0.2">
      <c r="A724" t="s">
        <v>26</v>
      </c>
      <c r="B724" t="s">
        <v>89</v>
      </c>
      <c r="C724" t="s">
        <v>817</v>
      </c>
      <c r="D724">
        <v>1</v>
      </c>
      <c r="E724" s="307">
        <v>5</v>
      </c>
      <c r="F724" s="307" t="s">
        <v>7</v>
      </c>
      <c r="G724" s="307" t="s">
        <v>11</v>
      </c>
      <c r="H724" s="307" t="s">
        <v>11</v>
      </c>
    </row>
    <row r="725" spans="1:8" x14ac:dyDescent="0.2">
      <c r="A725" t="s">
        <v>26</v>
      </c>
      <c r="B725" t="s">
        <v>89</v>
      </c>
      <c r="C725" t="s">
        <v>1237</v>
      </c>
      <c r="D725">
        <v>2</v>
      </c>
      <c r="E725" s="307">
        <v>4</v>
      </c>
      <c r="F725" s="307" t="s">
        <v>7</v>
      </c>
      <c r="G725" s="307" t="s">
        <v>11</v>
      </c>
      <c r="H725" s="307" t="s">
        <v>11</v>
      </c>
    </row>
    <row r="726" spans="1:8" x14ac:dyDescent="0.2">
      <c r="A726" t="s">
        <v>26</v>
      </c>
      <c r="B726" t="s">
        <v>89</v>
      </c>
      <c r="C726" t="s">
        <v>819</v>
      </c>
      <c r="D726">
        <v>1</v>
      </c>
      <c r="E726" s="307">
        <v>5</v>
      </c>
      <c r="F726" s="307" t="s">
        <v>7</v>
      </c>
      <c r="G726" s="307" t="s">
        <v>11</v>
      </c>
      <c r="H726" s="307" t="s">
        <v>11</v>
      </c>
    </row>
    <row r="727" spans="1:8" x14ac:dyDescent="0.2">
      <c r="A727" t="s">
        <v>26</v>
      </c>
      <c r="B727" t="s">
        <v>89</v>
      </c>
      <c r="C727" t="s">
        <v>717</v>
      </c>
      <c r="D727">
        <v>2</v>
      </c>
      <c r="E727" s="307">
        <v>4</v>
      </c>
      <c r="F727" s="307" t="s">
        <v>7</v>
      </c>
      <c r="G727" s="307" t="s">
        <v>11</v>
      </c>
      <c r="H727" s="307" t="s">
        <v>11</v>
      </c>
    </row>
    <row r="728" spans="1:8" x14ac:dyDescent="0.2">
      <c r="A728" t="s">
        <v>26</v>
      </c>
      <c r="B728" t="s">
        <v>89</v>
      </c>
      <c r="C728" t="s">
        <v>995</v>
      </c>
      <c r="D728">
        <v>1</v>
      </c>
      <c r="E728" s="307">
        <v>5</v>
      </c>
      <c r="F728" s="307" t="s">
        <v>7</v>
      </c>
      <c r="G728" s="307" t="s">
        <v>11</v>
      </c>
      <c r="H728" s="307" t="s">
        <v>11</v>
      </c>
    </row>
    <row r="729" spans="1:8" x14ac:dyDescent="0.2">
      <c r="A729" t="s">
        <v>26</v>
      </c>
      <c r="B729" t="s">
        <v>89</v>
      </c>
      <c r="C729" t="s">
        <v>1079</v>
      </c>
      <c r="D729">
        <v>1</v>
      </c>
      <c r="E729" s="307">
        <v>5</v>
      </c>
      <c r="F729" s="307" t="s">
        <v>7</v>
      </c>
      <c r="G729" s="307" t="s">
        <v>11</v>
      </c>
      <c r="H729" s="307" t="s">
        <v>11</v>
      </c>
    </row>
    <row r="730" spans="1:8" x14ac:dyDescent="0.2">
      <c r="A730" t="s">
        <v>26</v>
      </c>
      <c r="B730" t="s">
        <v>89</v>
      </c>
      <c r="C730" t="s">
        <v>1238</v>
      </c>
      <c r="D730">
        <v>1</v>
      </c>
      <c r="E730" s="307">
        <v>4</v>
      </c>
      <c r="F730" s="307" t="s">
        <v>7</v>
      </c>
      <c r="G730" s="307" t="s">
        <v>11</v>
      </c>
      <c r="H730" s="307" t="s">
        <v>11</v>
      </c>
    </row>
    <row r="731" spans="1:8" x14ac:dyDescent="0.2">
      <c r="A731" t="s">
        <v>26</v>
      </c>
      <c r="B731" t="s">
        <v>89</v>
      </c>
      <c r="C731" t="s">
        <v>1239</v>
      </c>
      <c r="D731">
        <v>1</v>
      </c>
      <c r="E731" s="307">
        <v>5</v>
      </c>
      <c r="F731" s="307" t="s">
        <v>7</v>
      </c>
      <c r="G731" s="307" t="s">
        <v>11</v>
      </c>
      <c r="H731" s="307" t="s">
        <v>11</v>
      </c>
    </row>
    <row r="732" spans="1:8" x14ac:dyDescent="0.2">
      <c r="A732" t="s">
        <v>26</v>
      </c>
      <c r="B732" t="s">
        <v>89</v>
      </c>
      <c r="C732" t="s">
        <v>719</v>
      </c>
      <c r="D732">
        <v>1</v>
      </c>
      <c r="E732" s="307">
        <v>5</v>
      </c>
      <c r="F732" s="307" t="s">
        <v>7</v>
      </c>
      <c r="G732" s="307" t="s">
        <v>11</v>
      </c>
      <c r="H732" s="307" t="s">
        <v>11</v>
      </c>
    </row>
    <row r="733" spans="1:8" x14ac:dyDescent="0.2">
      <c r="A733" t="s">
        <v>26</v>
      </c>
      <c r="B733" t="s">
        <v>89</v>
      </c>
      <c r="C733" t="s">
        <v>822</v>
      </c>
      <c r="D733">
        <v>1</v>
      </c>
      <c r="E733" s="307">
        <v>5</v>
      </c>
      <c r="F733" s="307" t="s">
        <v>7</v>
      </c>
      <c r="G733" s="307" t="s">
        <v>11</v>
      </c>
      <c r="H733" s="307" t="s">
        <v>11</v>
      </c>
    </row>
    <row r="734" spans="1:8" x14ac:dyDescent="0.2">
      <c r="A734" t="s">
        <v>26</v>
      </c>
      <c r="B734" t="s">
        <v>89</v>
      </c>
      <c r="C734" t="s">
        <v>1240</v>
      </c>
      <c r="D734">
        <v>1</v>
      </c>
      <c r="E734" s="307">
        <v>5</v>
      </c>
      <c r="F734" s="307" t="s">
        <v>7</v>
      </c>
      <c r="G734" s="307" t="s">
        <v>11</v>
      </c>
      <c r="H734" s="307" t="s">
        <v>11</v>
      </c>
    </row>
    <row r="735" spans="1:8" x14ac:dyDescent="0.2">
      <c r="A735" t="s">
        <v>26</v>
      </c>
      <c r="B735" t="s">
        <v>89</v>
      </c>
      <c r="C735" t="s">
        <v>721</v>
      </c>
      <c r="D735">
        <v>2</v>
      </c>
      <c r="E735" s="307">
        <v>4</v>
      </c>
      <c r="F735" s="307" t="s">
        <v>7</v>
      </c>
      <c r="G735" s="307" t="s">
        <v>11</v>
      </c>
      <c r="H735" s="307" t="s">
        <v>11</v>
      </c>
    </row>
    <row r="736" spans="1:8" x14ac:dyDescent="0.2">
      <c r="A736" t="s">
        <v>26</v>
      </c>
      <c r="B736" t="s">
        <v>89</v>
      </c>
      <c r="C736" t="s">
        <v>1085</v>
      </c>
      <c r="D736">
        <v>2</v>
      </c>
      <c r="E736" s="307">
        <v>5</v>
      </c>
      <c r="F736" s="307" t="s">
        <v>7</v>
      </c>
      <c r="G736" s="307" t="s">
        <v>11</v>
      </c>
      <c r="H736" s="307" t="s">
        <v>11</v>
      </c>
    </row>
    <row r="737" spans="1:8" x14ac:dyDescent="0.2">
      <c r="A737" t="s">
        <v>26</v>
      </c>
      <c r="B737" t="s">
        <v>89</v>
      </c>
      <c r="C737" t="s">
        <v>1241</v>
      </c>
      <c r="D737">
        <v>1</v>
      </c>
      <c r="E737" s="307">
        <v>5</v>
      </c>
      <c r="F737" s="307" t="s">
        <v>7</v>
      </c>
      <c r="G737" s="307" t="s">
        <v>11</v>
      </c>
      <c r="H737" s="307" t="s">
        <v>11</v>
      </c>
    </row>
    <row r="738" spans="1:8" x14ac:dyDescent="0.2">
      <c r="A738" t="s">
        <v>26</v>
      </c>
      <c r="B738" t="s">
        <v>89</v>
      </c>
      <c r="C738" t="s">
        <v>722</v>
      </c>
      <c r="D738">
        <v>2</v>
      </c>
      <c r="E738" s="307">
        <v>4</v>
      </c>
      <c r="F738" s="307" t="s">
        <v>7</v>
      </c>
      <c r="G738" s="307" t="s">
        <v>11</v>
      </c>
      <c r="H738" s="307" t="s">
        <v>11</v>
      </c>
    </row>
    <row r="739" spans="1:8" x14ac:dyDescent="0.2">
      <c r="A739" t="s">
        <v>26</v>
      </c>
      <c r="B739" t="s">
        <v>89</v>
      </c>
      <c r="C739" t="s">
        <v>1242</v>
      </c>
      <c r="D739">
        <v>1</v>
      </c>
      <c r="E739" s="307">
        <v>4</v>
      </c>
      <c r="F739" s="307" t="s">
        <v>7</v>
      </c>
      <c r="G739" s="307" t="s">
        <v>11</v>
      </c>
      <c r="H739" s="307" t="s">
        <v>11</v>
      </c>
    </row>
    <row r="740" spans="1:8" x14ac:dyDescent="0.2">
      <c r="A740" t="s">
        <v>26</v>
      </c>
      <c r="B740" t="s">
        <v>89</v>
      </c>
      <c r="C740" t="s">
        <v>825</v>
      </c>
      <c r="D740">
        <v>1</v>
      </c>
      <c r="E740" s="307">
        <v>5</v>
      </c>
      <c r="F740" s="307" t="s">
        <v>7</v>
      </c>
      <c r="G740" s="307" t="s">
        <v>11</v>
      </c>
      <c r="H740" s="307" t="s">
        <v>11</v>
      </c>
    </row>
    <row r="741" spans="1:8" x14ac:dyDescent="0.2">
      <c r="A741" t="s">
        <v>26</v>
      </c>
      <c r="B741" t="s">
        <v>89</v>
      </c>
      <c r="C741" t="s">
        <v>1199</v>
      </c>
      <c r="D741">
        <v>2</v>
      </c>
      <c r="E741" s="307">
        <v>4</v>
      </c>
      <c r="F741" s="307" t="s">
        <v>7</v>
      </c>
      <c r="G741" s="307" t="s">
        <v>11</v>
      </c>
      <c r="H741" s="307" t="s">
        <v>11</v>
      </c>
    </row>
    <row r="742" spans="1:8" x14ac:dyDescent="0.2">
      <c r="A742" t="s">
        <v>26</v>
      </c>
      <c r="B742" t="s">
        <v>89</v>
      </c>
      <c r="C742" t="s">
        <v>1243</v>
      </c>
      <c r="D742">
        <v>1</v>
      </c>
      <c r="E742" s="307">
        <v>5</v>
      </c>
      <c r="F742" s="307" t="s">
        <v>7</v>
      </c>
      <c r="G742" s="307" t="s">
        <v>11</v>
      </c>
      <c r="H742" s="307" t="s">
        <v>11</v>
      </c>
    </row>
    <row r="743" spans="1:8" x14ac:dyDescent="0.2">
      <c r="A743" t="s">
        <v>26</v>
      </c>
      <c r="B743" t="s">
        <v>89</v>
      </c>
      <c r="C743" t="s">
        <v>1244</v>
      </c>
      <c r="D743">
        <v>2</v>
      </c>
      <c r="E743" s="307">
        <v>5</v>
      </c>
      <c r="F743" s="307" t="s">
        <v>7</v>
      </c>
      <c r="G743" s="307" t="s">
        <v>11</v>
      </c>
      <c r="H743" s="307" t="s">
        <v>11</v>
      </c>
    </row>
    <row r="744" spans="1:8" x14ac:dyDescent="0.2">
      <c r="A744" t="s">
        <v>26</v>
      </c>
      <c r="B744" t="s">
        <v>89</v>
      </c>
      <c r="C744" t="s">
        <v>1245</v>
      </c>
      <c r="D744">
        <v>1</v>
      </c>
      <c r="E744" s="307">
        <v>5</v>
      </c>
      <c r="F744" s="307" t="s">
        <v>7</v>
      </c>
      <c r="G744" s="307" t="s">
        <v>11</v>
      </c>
      <c r="H744" s="307" t="s">
        <v>11</v>
      </c>
    </row>
    <row r="745" spans="1:8" x14ac:dyDescent="0.2">
      <c r="A745" t="s">
        <v>26</v>
      </c>
      <c r="B745" t="s">
        <v>89</v>
      </c>
      <c r="C745" t="s">
        <v>871</v>
      </c>
      <c r="D745">
        <v>2</v>
      </c>
      <c r="E745" s="307">
        <v>5</v>
      </c>
      <c r="F745" s="307" t="s">
        <v>7</v>
      </c>
      <c r="G745" s="307" t="s">
        <v>11</v>
      </c>
      <c r="H745" s="307" t="s">
        <v>11</v>
      </c>
    </row>
    <row r="746" spans="1:8" x14ac:dyDescent="0.2">
      <c r="A746" t="s">
        <v>26</v>
      </c>
      <c r="B746" t="s">
        <v>89</v>
      </c>
      <c r="C746" t="s">
        <v>725</v>
      </c>
      <c r="D746">
        <v>1</v>
      </c>
      <c r="E746" s="307">
        <v>4</v>
      </c>
      <c r="F746" s="307" t="s">
        <v>7</v>
      </c>
      <c r="G746" s="307" t="s">
        <v>11</v>
      </c>
      <c r="H746" s="307" t="s">
        <v>11</v>
      </c>
    </row>
    <row r="747" spans="1:8" x14ac:dyDescent="0.2">
      <c r="A747" t="s">
        <v>26</v>
      </c>
      <c r="B747" t="s">
        <v>89</v>
      </c>
      <c r="C747" t="s">
        <v>730</v>
      </c>
      <c r="D747">
        <v>1</v>
      </c>
      <c r="E747" s="307">
        <v>5</v>
      </c>
      <c r="F747" s="307" t="s">
        <v>7</v>
      </c>
      <c r="G747" s="307" t="s">
        <v>11</v>
      </c>
      <c r="H747" s="307" t="s">
        <v>11</v>
      </c>
    </row>
    <row r="748" spans="1:8" x14ac:dyDescent="0.2">
      <c r="A748" t="s">
        <v>26</v>
      </c>
      <c r="B748" t="s">
        <v>89</v>
      </c>
      <c r="C748" t="s">
        <v>732</v>
      </c>
      <c r="D748">
        <v>1</v>
      </c>
      <c r="E748" s="307">
        <v>5</v>
      </c>
      <c r="F748" s="307" t="s">
        <v>7</v>
      </c>
      <c r="G748" s="307" t="s">
        <v>11</v>
      </c>
      <c r="H748" s="307" t="s">
        <v>11</v>
      </c>
    </row>
    <row r="749" spans="1:8" x14ac:dyDescent="0.2">
      <c r="A749" t="s">
        <v>26</v>
      </c>
      <c r="B749" t="s">
        <v>89</v>
      </c>
      <c r="C749" t="s">
        <v>733</v>
      </c>
      <c r="D749">
        <v>1</v>
      </c>
      <c r="E749" s="307">
        <v>5</v>
      </c>
      <c r="F749" s="307" t="s">
        <v>7</v>
      </c>
      <c r="G749" s="307" t="s">
        <v>11</v>
      </c>
      <c r="H749" s="307" t="s">
        <v>11</v>
      </c>
    </row>
    <row r="750" spans="1:8" x14ac:dyDescent="0.2">
      <c r="A750" t="s">
        <v>26</v>
      </c>
      <c r="B750" t="s">
        <v>89</v>
      </c>
      <c r="C750" t="s">
        <v>1007</v>
      </c>
      <c r="D750">
        <v>2</v>
      </c>
      <c r="E750" s="307">
        <v>4</v>
      </c>
      <c r="F750" s="307" t="s">
        <v>7</v>
      </c>
      <c r="G750" s="307" t="s">
        <v>11</v>
      </c>
      <c r="H750" s="307" t="s">
        <v>11</v>
      </c>
    </row>
    <row r="751" spans="1:8" x14ac:dyDescent="0.2">
      <c r="A751" t="s">
        <v>26</v>
      </c>
      <c r="B751" t="s">
        <v>89</v>
      </c>
      <c r="C751" t="s">
        <v>1246</v>
      </c>
      <c r="D751">
        <v>1</v>
      </c>
      <c r="E751" s="307">
        <v>5</v>
      </c>
      <c r="F751" s="307" t="s">
        <v>7</v>
      </c>
      <c r="G751" s="307" t="s">
        <v>11</v>
      </c>
      <c r="H751" s="307" t="s">
        <v>11</v>
      </c>
    </row>
    <row r="752" spans="1:8" x14ac:dyDescent="0.2">
      <c r="A752" t="s">
        <v>26</v>
      </c>
      <c r="B752" t="s">
        <v>89</v>
      </c>
      <c r="C752" t="s">
        <v>735</v>
      </c>
      <c r="D752">
        <v>1</v>
      </c>
      <c r="E752" s="307">
        <v>4</v>
      </c>
      <c r="F752" s="307" t="s">
        <v>7</v>
      </c>
      <c r="G752" s="307" t="s">
        <v>11</v>
      </c>
      <c r="H752" s="307" t="s">
        <v>11</v>
      </c>
    </row>
    <row r="753" spans="1:8" x14ac:dyDescent="0.2">
      <c r="A753" t="s">
        <v>26</v>
      </c>
      <c r="B753" t="s">
        <v>89</v>
      </c>
      <c r="C753" t="s">
        <v>736</v>
      </c>
      <c r="D753">
        <v>1</v>
      </c>
      <c r="E753" s="307">
        <v>5</v>
      </c>
      <c r="F753" s="307" t="s">
        <v>7</v>
      </c>
      <c r="G753" s="307" t="s">
        <v>11</v>
      </c>
      <c r="H753" s="307" t="s">
        <v>11</v>
      </c>
    </row>
    <row r="754" spans="1:8" x14ac:dyDescent="0.2">
      <c r="A754" t="s">
        <v>26</v>
      </c>
      <c r="B754" t="s">
        <v>89</v>
      </c>
      <c r="C754" t="s">
        <v>737</v>
      </c>
      <c r="D754">
        <v>2</v>
      </c>
      <c r="E754" s="307">
        <v>5</v>
      </c>
      <c r="F754" s="307" t="s">
        <v>7</v>
      </c>
      <c r="G754" s="307" t="s">
        <v>11</v>
      </c>
      <c r="H754" s="307" t="s">
        <v>11</v>
      </c>
    </row>
    <row r="755" spans="1:8" x14ac:dyDescent="0.2">
      <c r="A755" t="s">
        <v>26</v>
      </c>
      <c r="B755" t="s">
        <v>89</v>
      </c>
      <c r="C755" t="s">
        <v>834</v>
      </c>
      <c r="D755">
        <v>2</v>
      </c>
      <c r="E755" s="307">
        <v>5</v>
      </c>
      <c r="F755" s="307" t="s">
        <v>7</v>
      </c>
      <c r="G755" s="307" t="s">
        <v>11</v>
      </c>
      <c r="H755" s="307" t="s">
        <v>11</v>
      </c>
    </row>
    <row r="756" spans="1:8" x14ac:dyDescent="0.2">
      <c r="A756" t="s">
        <v>26</v>
      </c>
      <c r="B756" t="s">
        <v>89</v>
      </c>
      <c r="C756" t="s">
        <v>1247</v>
      </c>
      <c r="D756">
        <v>1</v>
      </c>
      <c r="E756" s="307">
        <v>5</v>
      </c>
      <c r="F756" s="307" t="s">
        <v>7</v>
      </c>
      <c r="G756" s="307" t="s">
        <v>11</v>
      </c>
      <c r="H756" s="307" t="s">
        <v>11</v>
      </c>
    </row>
    <row r="757" spans="1:8" x14ac:dyDescent="0.2">
      <c r="A757" t="s">
        <v>26</v>
      </c>
      <c r="B757" t="s">
        <v>89</v>
      </c>
      <c r="C757" t="s">
        <v>1248</v>
      </c>
      <c r="D757">
        <v>2</v>
      </c>
      <c r="E757" s="307">
        <v>4</v>
      </c>
      <c r="F757" s="307" t="s">
        <v>7</v>
      </c>
      <c r="G757" s="307" t="s">
        <v>11</v>
      </c>
      <c r="H757" s="307" t="s">
        <v>11</v>
      </c>
    </row>
    <row r="758" spans="1:8" x14ac:dyDescent="0.2">
      <c r="A758" t="s">
        <v>26</v>
      </c>
      <c r="B758" t="s">
        <v>89</v>
      </c>
      <c r="C758" t="s">
        <v>883</v>
      </c>
      <c r="D758">
        <v>1</v>
      </c>
      <c r="E758" s="307">
        <v>4</v>
      </c>
      <c r="F758" s="307" t="s">
        <v>7</v>
      </c>
      <c r="G758" s="307" t="s">
        <v>11</v>
      </c>
      <c r="H758" s="307" t="s">
        <v>11</v>
      </c>
    </row>
    <row r="759" spans="1:8" x14ac:dyDescent="0.2">
      <c r="A759" t="s">
        <v>26</v>
      </c>
      <c r="B759" t="s">
        <v>89</v>
      </c>
      <c r="C759" t="s">
        <v>1249</v>
      </c>
      <c r="D759">
        <v>2</v>
      </c>
      <c r="E759" s="307">
        <v>5</v>
      </c>
      <c r="F759" s="307" t="s">
        <v>7</v>
      </c>
      <c r="G759" s="307" t="s">
        <v>11</v>
      </c>
      <c r="H759" s="307" t="s">
        <v>11</v>
      </c>
    </row>
    <row r="760" spans="1:8" x14ac:dyDescent="0.2">
      <c r="A760" t="s">
        <v>26</v>
      </c>
      <c r="B760" t="s">
        <v>89</v>
      </c>
      <c r="C760" t="s">
        <v>1250</v>
      </c>
      <c r="D760">
        <v>2</v>
      </c>
      <c r="E760" s="307">
        <v>5</v>
      </c>
      <c r="F760" s="307" t="s">
        <v>7</v>
      </c>
      <c r="G760" s="307" t="s">
        <v>11</v>
      </c>
      <c r="H760" s="307" t="s">
        <v>11</v>
      </c>
    </row>
    <row r="761" spans="1:8" x14ac:dyDescent="0.2">
      <c r="A761" t="s">
        <v>26</v>
      </c>
      <c r="B761" t="s">
        <v>89</v>
      </c>
      <c r="C761" t="s">
        <v>738</v>
      </c>
      <c r="D761">
        <v>2</v>
      </c>
      <c r="E761" s="307">
        <v>4</v>
      </c>
      <c r="F761" s="307" t="s">
        <v>7</v>
      </c>
      <c r="G761" s="307" t="s">
        <v>11</v>
      </c>
      <c r="H761" s="307" t="s">
        <v>11</v>
      </c>
    </row>
    <row r="762" spans="1:8" x14ac:dyDescent="0.2">
      <c r="A762" t="s">
        <v>26</v>
      </c>
      <c r="B762" t="s">
        <v>89</v>
      </c>
      <c r="C762" t="s">
        <v>740</v>
      </c>
      <c r="D762">
        <v>2</v>
      </c>
      <c r="E762" s="307">
        <v>4</v>
      </c>
      <c r="F762" s="307" t="s">
        <v>7</v>
      </c>
      <c r="G762" s="307" t="s">
        <v>11</v>
      </c>
      <c r="H762" s="307" t="s">
        <v>11</v>
      </c>
    </row>
    <row r="763" spans="1:8" x14ac:dyDescent="0.2">
      <c r="A763" t="s">
        <v>26</v>
      </c>
      <c r="B763" t="s">
        <v>89</v>
      </c>
      <c r="C763" t="s">
        <v>1251</v>
      </c>
      <c r="D763">
        <v>2</v>
      </c>
      <c r="E763" s="307">
        <v>5</v>
      </c>
      <c r="F763" s="307" t="s">
        <v>7</v>
      </c>
      <c r="G763" s="307" t="s">
        <v>11</v>
      </c>
      <c r="H763" s="307" t="s">
        <v>11</v>
      </c>
    </row>
    <row r="764" spans="1:8" x14ac:dyDescent="0.2">
      <c r="A764" t="s">
        <v>26</v>
      </c>
      <c r="B764" t="s">
        <v>89</v>
      </c>
      <c r="C764" t="s">
        <v>1252</v>
      </c>
      <c r="D764">
        <v>2</v>
      </c>
      <c r="E764" s="307">
        <v>4</v>
      </c>
      <c r="F764" s="307" t="s">
        <v>7</v>
      </c>
      <c r="G764" s="307" t="s">
        <v>11</v>
      </c>
      <c r="H764" s="307" t="s">
        <v>11</v>
      </c>
    </row>
    <row r="765" spans="1:8" x14ac:dyDescent="0.2">
      <c r="A765" t="s">
        <v>26</v>
      </c>
      <c r="B765" t="s">
        <v>89</v>
      </c>
      <c r="C765" t="s">
        <v>841</v>
      </c>
      <c r="D765">
        <v>2</v>
      </c>
      <c r="E765" s="307">
        <v>5</v>
      </c>
      <c r="F765" s="307" t="s">
        <v>7</v>
      </c>
      <c r="G765" s="307" t="s">
        <v>11</v>
      </c>
      <c r="H765" s="307" t="s">
        <v>11</v>
      </c>
    </row>
    <row r="766" spans="1:8" x14ac:dyDescent="0.2">
      <c r="A766" t="s">
        <v>26</v>
      </c>
      <c r="B766" t="s">
        <v>89</v>
      </c>
      <c r="C766" t="s">
        <v>1016</v>
      </c>
      <c r="D766">
        <v>1</v>
      </c>
      <c r="E766" s="307">
        <v>5</v>
      </c>
      <c r="F766" s="307" t="s">
        <v>7</v>
      </c>
      <c r="G766" s="307" t="s">
        <v>11</v>
      </c>
      <c r="H766" s="307" t="s">
        <v>11</v>
      </c>
    </row>
    <row r="767" spans="1:8" x14ac:dyDescent="0.2">
      <c r="A767" t="s">
        <v>26</v>
      </c>
      <c r="B767" t="s">
        <v>89</v>
      </c>
      <c r="C767" t="s">
        <v>741</v>
      </c>
      <c r="D767">
        <v>1</v>
      </c>
      <c r="E767" s="307">
        <v>5</v>
      </c>
      <c r="F767" s="307" t="s">
        <v>7</v>
      </c>
      <c r="G767" s="307" t="s">
        <v>11</v>
      </c>
      <c r="H767" s="307" t="s">
        <v>11</v>
      </c>
    </row>
    <row r="768" spans="1:8" x14ac:dyDescent="0.2">
      <c r="A768" t="s">
        <v>26</v>
      </c>
      <c r="B768" t="s">
        <v>89</v>
      </c>
      <c r="C768" t="s">
        <v>1253</v>
      </c>
      <c r="D768">
        <v>2</v>
      </c>
      <c r="E768" s="307">
        <v>4</v>
      </c>
      <c r="F768" s="307" t="s">
        <v>7</v>
      </c>
      <c r="G768" s="307" t="s">
        <v>11</v>
      </c>
      <c r="H768" s="307" t="s">
        <v>11</v>
      </c>
    </row>
    <row r="769" spans="1:8" x14ac:dyDescent="0.2">
      <c r="A769" t="s">
        <v>26</v>
      </c>
      <c r="B769" t="s">
        <v>89</v>
      </c>
      <c r="C769" t="s">
        <v>1254</v>
      </c>
      <c r="D769">
        <v>1</v>
      </c>
      <c r="E769" s="307">
        <v>5</v>
      </c>
      <c r="F769" s="307" t="s">
        <v>7</v>
      </c>
      <c r="G769" s="307" t="s">
        <v>11</v>
      </c>
      <c r="H769" s="307" t="s">
        <v>11</v>
      </c>
    </row>
    <row r="770" spans="1:8" x14ac:dyDescent="0.2">
      <c r="A770" t="s">
        <v>26</v>
      </c>
      <c r="B770" t="s">
        <v>89</v>
      </c>
      <c r="C770" t="s">
        <v>844</v>
      </c>
      <c r="D770">
        <v>1</v>
      </c>
      <c r="E770" s="307">
        <v>4</v>
      </c>
      <c r="F770" s="307" t="s">
        <v>7</v>
      </c>
      <c r="G770" s="307" t="s">
        <v>11</v>
      </c>
      <c r="H770" s="307" t="s">
        <v>11</v>
      </c>
    </row>
    <row r="771" spans="1:8" x14ac:dyDescent="0.2">
      <c r="A771" t="s">
        <v>26</v>
      </c>
      <c r="B771" t="s">
        <v>89</v>
      </c>
      <c r="C771" t="s">
        <v>744</v>
      </c>
      <c r="D771">
        <v>1</v>
      </c>
      <c r="E771" s="307">
        <v>5</v>
      </c>
      <c r="F771" s="307" t="s">
        <v>7</v>
      </c>
      <c r="G771" s="307" t="s">
        <v>11</v>
      </c>
      <c r="H771" s="307" t="s">
        <v>11</v>
      </c>
    </row>
    <row r="772" spans="1:8" x14ac:dyDescent="0.2">
      <c r="A772" t="s">
        <v>26</v>
      </c>
      <c r="B772" t="s">
        <v>89</v>
      </c>
      <c r="C772" t="s">
        <v>1255</v>
      </c>
      <c r="D772">
        <v>2</v>
      </c>
      <c r="E772" s="307">
        <v>4</v>
      </c>
      <c r="F772" s="307" t="s">
        <v>7</v>
      </c>
      <c r="G772" s="307" t="s">
        <v>11</v>
      </c>
      <c r="H772" s="307" t="s">
        <v>11</v>
      </c>
    </row>
    <row r="773" spans="1:8" x14ac:dyDescent="0.2">
      <c r="A773" t="s">
        <v>26</v>
      </c>
      <c r="B773" t="s">
        <v>89</v>
      </c>
      <c r="C773" t="s">
        <v>1256</v>
      </c>
      <c r="D773">
        <v>1</v>
      </c>
      <c r="E773" s="307">
        <v>5</v>
      </c>
      <c r="F773" s="307" t="s">
        <v>7</v>
      </c>
      <c r="G773" s="307" t="s">
        <v>11</v>
      </c>
      <c r="H773" s="307" t="s">
        <v>11</v>
      </c>
    </row>
    <row r="774" spans="1:8" x14ac:dyDescent="0.2">
      <c r="A774" t="s">
        <v>26</v>
      </c>
      <c r="B774" t="s">
        <v>89</v>
      </c>
      <c r="C774" t="s">
        <v>1257</v>
      </c>
      <c r="D774">
        <v>2</v>
      </c>
      <c r="E774" s="307">
        <v>5</v>
      </c>
      <c r="F774" s="307" t="s">
        <v>7</v>
      </c>
      <c r="G774" s="307" t="s">
        <v>11</v>
      </c>
      <c r="H774" s="307" t="s">
        <v>11</v>
      </c>
    </row>
    <row r="775" spans="1:8" x14ac:dyDescent="0.2">
      <c r="A775" t="s">
        <v>26</v>
      </c>
      <c r="B775" t="s">
        <v>89</v>
      </c>
      <c r="C775" t="s">
        <v>1258</v>
      </c>
      <c r="D775">
        <v>1</v>
      </c>
      <c r="E775" s="307">
        <v>5</v>
      </c>
      <c r="F775" s="307" t="s">
        <v>7</v>
      </c>
      <c r="G775" s="307" t="s">
        <v>11</v>
      </c>
      <c r="H775" s="307" t="s">
        <v>11</v>
      </c>
    </row>
    <row r="776" spans="1:8" x14ac:dyDescent="0.2">
      <c r="A776" t="s">
        <v>26</v>
      </c>
      <c r="B776" t="s">
        <v>89</v>
      </c>
      <c r="C776" t="s">
        <v>1259</v>
      </c>
      <c r="D776">
        <v>2</v>
      </c>
      <c r="E776" s="307">
        <v>4</v>
      </c>
      <c r="F776" s="307" t="s">
        <v>7</v>
      </c>
      <c r="G776" s="307" t="s">
        <v>11</v>
      </c>
      <c r="H776" s="307" t="s">
        <v>11</v>
      </c>
    </row>
    <row r="777" spans="1:8" x14ac:dyDescent="0.2">
      <c r="A777" t="s">
        <v>26</v>
      </c>
      <c r="B777" t="s">
        <v>89</v>
      </c>
      <c r="C777" t="s">
        <v>1260</v>
      </c>
      <c r="D777">
        <v>2</v>
      </c>
      <c r="E777" s="307">
        <v>4</v>
      </c>
      <c r="F777" s="307" t="s">
        <v>7</v>
      </c>
      <c r="G777" s="307" t="s">
        <v>11</v>
      </c>
      <c r="H777" s="307" t="s">
        <v>11</v>
      </c>
    </row>
    <row r="778" spans="1:8" x14ac:dyDescent="0.2">
      <c r="A778" t="s">
        <v>26</v>
      </c>
      <c r="B778" t="s">
        <v>89</v>
      </c>
      <c r="C778" t="s">
        <v>1261</v>
      </c>
      <c r="D778">
        <v>1</v>
      </c>
      <c r="E778" s="307">
        <v>5</v>
      </c>
      <c r="F778" s="307" t="s">
        <v>7</v>
      </c>
      <c r="G778" s="307" t="s">
        <v>11</v>
      </c>
      <c r="H778" s="307" t="s">
        <v>11</v>
      </c>
    </row>
    <row r="779" spans="1:8" x14ac:dyDescent="0.2">
      <c r="A779" t="s">
        <v>26</v>
      </c>
      <c r="B779" t="s">
        <v>89</v>
      </c>
      <c r="C779" t="s">
        <v>1262</v>
      </c>
      <c r="D779">
        <v>1</v>
      </c>
      <c r="E779" s="307">
        <v>5</v>
      </c>
      <c r="F779" s="307" t="s">
        <v>7</v>
      </c>
      <c r="G779" s="307" t="s">
        <v>11</v>
      </c>
      <c r="H779" s="307" t="s">
        <v>11</v>
      </c>
    </row>
    <row r="780" spans="1:8" x14ac:dyDescent="0.2">
      <c r="A780" t="s">
        <v>26</v>
      </c>
      <c r="B780" t="s">
        <v>89</v>
      </c>
      <c r="C780" t="s">
        <v>850</v>
      </c>
      <c r="D780">
        <v>1</v>
      </c>
      <c r="E780" s="307">
        <v>5</v>
      </c>
      <c r="F780" s="307" t="s">
        <v>7</v>
      </c>
      <c r="G780" s="307" t="s">
        <v>11</v>
      </c>
      <c r="H780" s="307" t="s">
        <v>11</v>
      </c>
    </row>
    <row r="781" spans="1:8" x14ac:dyDescent="0.2">
      <c r="A781" t="s">
        <v>26</v>
      </c>
      <c r="B781" t="s">
        <v>89</v>
      </c>
      <c r="C781" t="s">
        <v>1263</v>
      </c>
      <c r="D781">
        <v>2</v>
      </c>
      <c r="E781" s="307">
        <v>4</v>
      </c>
      <c r="F781" s="307" t="s">
        <v>7</v>
      </c>
      <c r="G781" s="307" t="s">
        <v>11</v>
      </c>
      <c r="H781" s="307" t="s">
        <v>11</v>
      </c>
    </row>
    <row r="782" spans="1:8" x14ac:dyDescent="0.2">
      <c r="A782" t="s">
        <v>26</v>
      </c>
      <c r="B782" t="s">
        <v>89</v>
      </c>
      <c r="C782" t="s">
        <v>1264</v>
      </c>
      <c r="D782">
        <v>1</v>
      </c>
      <c r="E782" s="307">
        <v>5</v>
      </c>
      <c r="F782" s="307" t="s">
        <v>7</v>
      </c>
      <c r="G782" s="307" t="s">
        <v>11</v>
      </c>
      <c r="H782" s="307" t="s">
        <v>11</v>
      </c>
    </row>
    <row r="783" spans="1:8" x14ac:dyDescent="0.2">
      <c r="A783" t="s">
        <v>26</v>
      </c>
      <c r="B783" t="s">
        <v>89</v>
      </c>
      <c r="C783" t="s">
        <v>1265</v>
      </c>
      <c r="D783">
        <v>2</v>
      </c>
      <c r="E783" s="307">
        <v>5</v>
      </c>
      <c r="F783" s="307" t="s">
        <v>7</v>
      </c>
      <c r="G783" s="307" t="s">
        <v>11</v>
      </c>
      <c r="H783" s="307" t="s">
        <v>11</v>
      </c>
    </row>
    <row r="784" spans="1:8" x14ac:dyDescent="0.2">
      <c r="A784" t="s">
        <v>26</v>
      </c>
      <c r="B784" t="s">
        <v>89</v>
      </c>
      <c r="C784" t="s">
        <v>1222</v>
      </c>
      <c r="D784">
        <v>1</v>
      </c>
      <c r="E784" s="307">
        <v>5</v>
      </c>
      <c r="F784" s="307" t="s">
        <v>7</v>
      </c>
      <c r="G784" s="307" t="s">
        <v>11</v>
      </c>
      <c r="H784" s="307" t="s">
        <v>11</v>
      </c>
    </row>
    <row r="785" spans="1:8" x14ac:dyDescent="0.2">
      <c r="A785" t="s">
        <v>26</v>
      </c>
      <c r="B785" t="s">
        <v>89</v>
      </c>
      <c r="C785" t="s">
        <v>1128</v>
      </c>
      <c r="D785">
        <v>1</v>
      </c>
      <c r="E785" s="307">
        <v>5</v>
      </c>
      <c r="F785" s="307" t="s">
        <v>7</v>
      </c>
      <c r="G785" s="307" t="s">
        <v>11</v>
      </c>
      <c r="H785" s="307" t="s">
        <v>11</v>
      </c>
    </row>
    <row r="786" spans="1:8" x14ac:dyDescent="0.2">
      <c r="A786" t="s">
        <v>26</v>
      </c>
      <c r="B786" t="s">
        <v>89</v>
      </c>
      <c r="C786" t="s">
        <v>1266</v>
      </c>
      <c r="D786">
        <v>2</v>
      </c>
      <c r="E786" s="307">
        <v>4</v>
      </c>
      <c r="F786" s="307" t="s">
        <v>7</v>
      </c>
      <c r="G786" s="307" t="s">
        <v>11</v>
      </c>
      <c r="H786" s="307" t="s">
        <v>11</v>
      </c>
    </row>
    <row r="787" spans="1:8" x14ac:dyDescent="0.2">
      <c r="A787" t="s">
        <v>26</v>
      </c>
      <c r="B787" t="s">
        <v>89</v>
      </c>
      <c r="C787" t="s">
        <v>750</v>
      </c>
      <c r="D787">
        <v>1</v>
      </c>
      <c r="E787" s="307">
        <v>4</v>
      </c>
      <c r="F787" s="307" t="s">
        <v>7</v>
      </c>
      <c r="G787" s="307" t="s">
        <v>11</v>
      </c>
      <c r="H787" s="307" t="s">
        <v>11</v>
      </c>
    </row>
    <row r="788" spans="1:8" x14ac:dyDescent="0.2">
      <c r="A788" t="s">
        <v>26</v>
      </c>
      <c r="B788" t="s">
        <v>89</v>
      </c>
      <c r="C788" t="s">
        <v>1129</v>
      </c>
      <c r="D788">
        <v>1</v>
      </c>
      <c r="E788" s="307">
        <v>5</v>
      </c>
      <c r="F788" s="307" t="s">
        <v>7</v>
      </c>
      <c r="G788" s="307" t="s">
        <v>11</v>
      </c>
      <c r="H788" s="307" t="s">
        <v>11</v>
      </c>
    </row>
    <row r="789" spans="1:8" x14ac:dyDescent="0.2">
      <c r="A789" t="s">
        <v>26</v>
      </c>
      <c r="B789" t="s">
        <v>89</v>
      </c>
      <c r="C789" t="s">
        <v>1267</v>
      </c>
      <c r="D789">
        <v>1</v>
      </c>
      <c r="E789" s="307">
        <v>5</v>
      </c>
      <c r="F789" s="307" t="s">
        <v>7</v>
      </c>
      <c r="G789" s="307" t="s">
        <v>11</v>
      </c>
      <c r="H789" s="307" t="s">
        <v>11</v>
      </c>
    </row>
    <row r="790" spans="1:8" x14ac:dyDescent="0.2">
      <c r="A790" t="s">
        <v>26</v>
      </c>
      <c r="B790" t="s">
        <v>89</v>
      </c>
      <c r="C790" t="s">
        <v>852</v>
      </c>
      <c r="D790">
        <v>1</v>
      </c>
      <c r="E790" s="307">
        <v>5</v>
      </c>
      <c r="F790" s="307" t="s">
        <v>7</v>
      </c>
      <c r="G790" s="307" t="s">
        <v>11</v>
      </c>
      <c r="H790" s="307" t="s">
        <v>11</v>
      </c>
    </row>
    <row r="791" spans="1:8" x14ac:dyDescent="0.2">
      <c r="A791" t="s">
        <v>26</v>
      </c>
      <c r="B791" t="s">
        <v>89</v>
      </c>
      <c r="C791" t="s">
        <v>1268</v>
      </c>
      <c r="D791">
        <v>1</v>
      </c>
      <c r="E791" s="307">
        <v>5</v>
      </c>
      <c r="F791" s="307" t="s">
        <v>7</v>
      </c>
      <c r="G791" s="307" t="s">
        <v>11</v>
      </c>
      <c r="H791" s="307" t="s">
        <v>11</v>
      </c>
    </row>
    <row r="792" spans="1:8" x14ac:dyDescent="0.2">
      <c r="A792" t="s">
        <v>23</v>
      </c>
      <c r="B792" t="s">
        <v>77</v>
      </c>
      <c r="C792" t="s">
        <v>1269</v>
      </c>
      <c r="D792">
        <v>1</v>
      </c>
      <c r="E792" s="307">
        <v>5</v>
      </c>
      <c r="F792" s="307" t="s">
        <v>7</v>
      </c>
      <c r="G792" s="307" t="s">
        <v>11</v>
      </c>
      <c r="H792" s="307" t="s">
        <v>11</v>
      </c>
    </row>
    <row r="793" spans="1:8" x14ac:dyDescent="0.2">
      <c r="A793" t="s">
        <v>23</v>
      </c>
      <c r="B793" t="s">
        <v>77</v>
      </c>
      <c r="C793" t="s">
        <v>911</v>
      </c>
      <c r="D793">
        <v>1</v>
      </c>
      <c r="E793" s="307">
        <v>5</v>
      </c>
      <c r="F793" s="307" t="s">
        <v>7</v>
      </c>
      <c r="G793" s="307" t="s">
        <v>11</v>
      </c>
      <c r="H793" s="307" t="s">
        <v>11</v>
      </c>
    </row>
    <row r="794" spans="1:8" x14ac:dyDescent="0.2">
      <c r="A794" t="s">
        <v>23</v>
      </c>
      <c r="B794" t="s">
        <v>77</v>
      </c>
      <c r="C794" t="s">
        <v>1270</v>
      </c>
      <c r="D794">
        <v>1</v>
      </c>
      <c r="E794" s="307">
        <v>6</v>
      </c>
      <c r="F794" s="307" t="s">
        <v>7</v>
      </c>
      <c r="G794" s="307" t="s">
        <v>11</v>
      </c>
      <c r="H794" s="307" t="s">
        <v>11</v>
      </c>
    </row>
    <row r="795" spans="1:8" x14ac:dyDescent="0.2">
      <c r="A795" t="s">
        <v>23</v>
      </c>
      <c r="B795" t="s">
        <v>77</v>
      </c>
      <c r="C795" t="s">
        <v>1271</v>
      </c>
      <c r="D795">
        <v>1</v>
      </c>
      <c r="E795" s="307">
        <v>5</v>
      </c>
      <c r="F795" s="307" t="s">
        <v>7</v>
      </c>
      <c r="G795" s="307" t="s">
        <v>11</v>
      </c>
      <c r="H795" s="307" t="s">
        <v>11</v>
      </c>
    </row>
    <row r="796" spans="1:8" x14ac:dyDescent="0.2">
      <c r="A796" t="s">
        <v>23</v>
      </c>
      <c r="B796" t="s">
        <v>77</v>
      </c>
      <c r="C796" t="s">
        <v>1272</v>
      </c>
      <c r="D796">
        <v>1</v>
      </c>
      <c r="E796" s="307">
        <v>5</v>
      </c>
      <c r="F796" s="307" t="s">
        <v>7</v>
      </c>
      <c r="G796" s="307" t="s">
        <v>11</v>
      </c>
      <c r="H796" s="307" t="s">
        <v>11</v>
      </c>
    </row>
    <row r="797" spans="1:8" x14ac:dyDescent="0.2">
      <c r="A797" t="s">
        <v>23</v>
      </c>
      <c r="B797" t="s">
        <v>77</v>
      </c>
      <c r="C797" t="s">
        <v>801</v>
      </c>
      <c r="D797">
        <v>1</v>
      </c>
      <c r="E797" s="307">
        <v>5</v>
      </c>
      <c r="F797" s="307" t="s">
        <v>7</v>
      </c>
      <c r="G797" s="307" t="s">
        <v>11</v>
      </c>
      <c r="H797" s="307" t="s">
        <v>11</v>
      </c>
    </row>
    <row r="798" spans="1:8" x14ac:dyDescent="0.2">
      <c r="A798" t="s">
        <v>23</v>
      </c>
      <c r="B798" t="s">
        <v>77</v>
      </c>
      <c r="C798" t="s">
        <v>1273</v>
      </c>
      <c r="D798">
        <v>1</v>
      </c>
      <c r="E798" s="307">
        <v>6</v>
      </c>
      <c r="F798" s="307" t="s">
        <v>7</v>
      </c>
      <c r="G798" s="307" t="s">
        <v>11</v>
      </c>
      <c r="H798" s="307" t="s">
        <v>11</v>
      </c>
    </row>
    <row r="799" spans="1:8" x14ac:dyDescent="0.2">
      <c r="A799" t="s">
        <v>23</v>
      </c>
      <c r="B799" t="s">
        <v>77</v>
      </c>
      <c r="C799" t="s">
        <v>802</v>
      </c>
      <c r="D799">
        <v>1</v>
      </c>
      <c r="E799" s="307">
        <v>5</v>
      </c>
      <c r="F799" s="307" t="s">
        <v>7</v>
      </c>
      <c r="G799" s="307" t="s">
        <v>11</v>
      </c>
      <c r="H799" s="307" t="s">
        <v>11</v>
      </c>
    </row>
    <row r="800" spans="1:8" x14ac:dyDescent="0.2">
      <c r="A800" t="s">
        <v>23</v>
      </c>
      <c r="B800" t="s">
        <v>77</v>
      </c>
      <c r="C800" t="s">
        <v>1274</v>
      </c>
      <c r="D800">
        <v>1</v>
      </c>
      <c r="E800" s="307">
        <v>6</v>
      </c>
      <c r="F800" s="307" t="s">
        <v>7</v>
      </c>
      <c r="G800" s="307" t="s">
        <v>11</v>
      </c>
      <c r="H800" s="307" t="s">
        <v>11</v>
      </c>
    </row>
    <row r="801" spans="1:8" x14ac:dyDescent="0.2">
      <c r="A801" t="s">
        <v>23</v>
      </c>
      <c r="B801" t="s">
        <v>77</v>
      </c>
      <c r="C801" t="s">
        <v>1275</v>
      </c>
      <c r="D801">
        <v>1</v>
      </c>
      <c r="E801" s="307">
        <v>6</v>
      </c>
      <c r="F801" s="307" t="s">
        <v>7</v>
      </c>
      <c r="G801" s="307" t="s">
        <v>11</v>
      </c>
      <c r="H801" s="307" t="s">
        <v>11</v>
      </c>
    </row>
    <row r="802" spans="1:8" x14ac:dyDescent="0.2">
      <c r="A802" t="s">
        <v>23</v>
      </c>
      <c r="B802" t="s">
        <v>77</v>
      </c>
      <c r="C802" t="s">
        <v>1276</v>
      </c>
      <c r="D802">
        <v>1</v>
      </c>
      <c r="E802" s="307">
        <v>6</v>
      </c>
      <c r="F802" s="307" t="s">
        <v>7</v>
      </c>
      <c r="G802" s="307" t="s">
        <v>11</v>
      </c>
      <c r="H802" s="307" t="s">
        <v>11</v>
      </c>
    </row>
    <row r="803" spans="1:8" x14ac:dyDescent="0.2">
      <c r="A803" t="s">
        <v>23</v>
      </c>
      <c r="B803" t="s">
        <v>77</v>
      </c>
      <c r="C803" t="s">
        <v>692</v>
      </c>
      <c r="D803">
        <v>1</v>
      </c>
      <c r="E803" s="307">
        <v>6</v>
      </c>
      <c r="F803" s="307" t="s">
        <v>7</v>
      </c>
      <c r="G803" s="307" t="s">
        <v>11</v>
      </c>
      <c r="H803" s="307" t="s">
        <v>11</v>
      </c>
    </row>
    <row r="804" spans="1:8" x14ac:dyDescent="0.2">
      <c r="A804" t="s">
        <v>23</v>
      </c>
      <c r="B804" t="s">
        <v>77</v>
      </c>
      <c r="C804" t="s">
        <v>693</v>
      </c>
      <c r="D804">
        <v>1</v>
      </c>
      <c r="E804" s="307">
        <v>6</v>
      </c>
      <c r="F804" s="307" t="s">
        <v>7</v>
      </c>
      <c r="G804" s="307" t="s">
        <v>11</v>
      </c>
      <c r="H804" s="307" t="s">
        <v>11</v>
      </c>
    </row>
    <row r="805" spans="1:8" x14ac:dyDescent="0.2">
      <c r="A805" t="s">
        <v>23</v>
      </c>
      <c r="B805" t="s">
        <v>77</v>
      </c>
      <c r="C805" t="s">
        <v>804</v>
      </c>
      <c r="D805">
        <v>1</v>
      </c>
      <c r="E805" s="307">
        <v>5</v>
      </c>
      <c r="F805" s="307" t="s">
        <v>7</v>
      </c>
      <c r="G805" s="307" t="s">
        <v>11</v>
      </c>
      <c r="H805" s="307" t="s">
        <v>11</v>
      </c>
    </row>
    <row r="806" spans="1:8" x14ac:dyDescent="0.2">
      <c r="A806" t="s">
        <v>23</v>
      </c>
      <c r="B806" t="s">
        <v>77</v>
      </c>
      <c r="C806" t="s">
        <v>1178</v>
      </c>
      <c r="D806">
        <v>1</v>
      </c>
      <c r="E806" s="307">
        <v>5</v>
      </c>
      <c r="F806" s="307" t="s">
        <v>7</v>
      </c>
      <c r="G806" s="307" t="s">
        <v>11</v>
      </c>
      <c r="H806" s="307" t="s">
        <v>11</v>
      </c>
    </row>
    <row r="807" spans="1:8" x14ac:dyDescent="0.2">
      <c r="A807" t="s">
        <v>23</v>
      </c>
      <c r="B807" t="s">
        <v>77</v>
      </c>
      <c r="C807" t="s">
        <v>1277</v>
      </c>
      <c r="D807">
        <v>1</v>
      </c>
      <c r="E807" s="307">
        <v>5</v>
      </c>
      <c r="F807" s="307" t="s">
        <v>7</v>
      </c>
      <c r="G807" s="307" t="s">
        <v>11</v>
      </c>
      <c r="H807" s="307" t="s">
        <v>11</v>
      </c>
    </row>
    <row r="808" spans="1:8" x14ac:dyDescent="0.2">
      <c r="A808" t="s">
        <v>23</v>
      </c>
      <c r="B808" t="s">
        <v>77</v>
      </c>
      <c r="C808" t="s">
        <v>1278</v>
      </c>
      <c r="D808">
        <v>1</v>
      </c>
      <c r="E808" s="307">
        <v>6</v>
      </c>
      <c r="F808" s="307" t="s">
        <v>7</v>
      </c>
      <c r="G808" s="307" t="s">
        <v>11</v>
      </c>
      <c r="H808" s="307" t="s">
        <v>11</v>
      </c>
    </row>
    <row r="809" spans="1:8" x14ac:dyDescent="0.2">
      <c r="A809" t="s">
        <v>23</v>
      </c>
      <c r="B809" t="s">
        <v>77</v>
      </c>
      <c r="C809" t="s">
        <v>695</v>
      </c>
      <c r="D809">
        <v>1</v>
      </c>
      <c r="E809" s="307">
        <v>6</v>
      </c>
      <c r="F809" s="307" t="s">
        <v>7</v>
      </c>
      <c r="G809" s="307" t="s">
        <v>11</v>
      </c>
      <c r="H809" s="307" t="s">
        <v>11</v>
      </c>
    </row>
    <row r="810" spans="1:8" x14ac:dyDescent="0.2">
      <c r="A810" t="s">
        <v>23</v>
      </c>
      <c r="B810" t="s">
        <v>77</v>
      </c>
      <c r="C810" t="s">
        <v>1279</v>
      </c>
      <c r="D810">
        <v>1</v>
      </c>
      <c r="E810" s="307">
        <v>6</v>
      </c>
      <c r="F810" s="307" t="s">
        <v>7</v>
      </c>
      <c r="G810" s="307" t="s">
        <v>11</v>
      </c>
      <c r="H810" s="307" t="s">
        <v>11</v>
      </c>
    </row>
    <row r="811" spans="1:8" x14ac:dyDescent="0.2">
      <c r="A811" t="s">
        <v>23</v>
      </c>
      <c r="B811" t="s">
        <v>77</v>
      </c>
      <c r="C811" t="s">
        <v>698</v>
      </c>
      <c r="D811">
        <v>1</v>
      </c>
      <c r="E811" s="307">
        <v>5</v>
      </c>
      <c r="F811" s="307" t="s">
        <v>7</v>
      </c>
      <c r="G811" s="307" t="s">
        <v>11</v>
      </c>
      <c r="H811" s="307" t="s">
        <v>11</v>
      </c>
    </row>
    <row r="812" spans="1:8" x14ac:dyDescent="0.2">
      <c r="A812" t="s">
        <v>23</v>
      </c>
      <c r="B812" t="s">
        <v>77</v>
      </c>
      <c r="C812" t="s">
        <v>699</v>
      </c>
      <c r="D812">
        <v>1</v>
      </c>
      <c r="E812" s="307">
        <v>6</v>
      </c>
      <c r="F812" s="307" t="s">
        <v>7</v>
      </c>
      <c r="G812" s="307" t="s">
        <v>11</v>
      </c>
      <c r="H812" s="307" t="s">
        <v>11</v>
      </c>
    </row>
    <row r="813" spans="1:8" x14ac:dyDescent="0.2">
      <c r="A813" t="s">
        <v>23</v>
      </c>
      <c r="B813" t="s">
        <v>77</v>
      </c>
      <c r="C813" t="s">
        <v>1049</v>
      </c>
      <c r="D813">
        <v>1</v>
      </c>
      <c r="E813" s="307">
        <v>6</v>
      </c>
      <c r="F813" s="307" t="s">
        <v>7</v>
      </c>
      <c r="G813" s="307" t="s">
        <v>11</v>
      </c>
      <c r="H813" s="307" t="s">
        <v>11</v>
      </c>
    </row>
    <row r="814" spans="1:8" x14ac:dyDescent="0.2">
      <c r="A814" t="s">
        <v>23</v>
      </c>
      <c r="B814" t="s">
        <v>77</v>
      </c>
      <c r="C814" t="s">
        <v>1181</v>
      </c>
      <c r="D814">
        <v>1</v>
      </c>
      <c r="E814" s="307">
        <v>5</v>
      </c>
      <c r="F814" s="307" t="s">
        <v>7</v>
      </c>
      <c r="G814" s="307" t="s">
        <v>11</v>
      </c>
      <c r="H814" s="307" t="s">
        <v>11</v>
      </c>
    </row>
    <row r="815" spans="1:8" x14ac:dyDescent="0.2">
      <c r="A815" t="s">
        <v>23</v>
      </c>
      <c r="B815" t="s">
        <v>77</v>
      </c>
      <c r="C815" t="s">
        <v>811</v>
      </c>
      <c r="D815">
        <v>1</v>
      </c>
      <c r="E815" s="307">
        <v>5</v>
      </c>
      <c r="F815" s="307" t="s">
        <v>7</v>
      </c>
      <c r="G815" s="307" t="s">
        <v>11</v>
      </c>
      <c r="H815" s="307" t="s">
        <v>11</v>
      </c>
    </row>
    <row r="816" spans="1:8" x14ac:dyDescent="0.2">
      <c r="A816" t="s">
        <v>23</v>
      </c>
      <c r="B816" t="s">
        <v>77</v>
      </c>
      <c r="C816" t="s">
        <v>709</v>
      </c>
      <c r="D816">
        <v>1</v>
      </c>
      <c r="E816" s="307">
        <v>5</v>
      </c>
      <c r="F816" s="307" t="s">
        <v>7</v>
      </c>
      <c r="G816" s="307" t="s">
        <v>11</v>
      </c>
      <c r="H816" s="307" t="s">
        <v>11</v>
      </c>
    </row>
    <row r="817" spans="1:8" x14ac:dyDescent="0.2">
      <c r="A817" t="s">
        <v>23</v>
      </c>
      <c r="B817" t="s">
        <v>77</v>
      </c>
      <c r="C817" t="s">
        <v>1280</v>
      </c>
      <c r="D817">
        <v>1</v>
      </c>
      <c r="E817" s="307">
        <v>5</v>
      </c>
      <c r="F817" s="307" t="s">
        <v>7</v>
      </c>
      <c r="G817" s="307" t="s">
        <v>11</v>
      </c>
      <c r="H817" s="307" t="s">
        <v>11</v>
      </c>
    </row>
    <row r="818" spans="1:8" x14ac:dyDescent="0.2">
      <c r="A818" t="s">
        <v>23</v>
      </c>
      <c r="B818" t="s">
        <v>77</v>
      </c>
      <c r="C818" t="s">
        <v>1058</v>
      </c>
      <c r="D818">
        <v>1</v>
      </c>
      <c r="E818" s="307">
        <v>5</v>
      </c>
      <c r="F818" s="307" t="s">
        <v>7</v>
      </c>
      <c r="G818" s="307" t="s">
        <v>11</v>
      </c>
      <c r="H818" s="307" t="s">
        <v>11</v>
      </c>
    </row>
    <row r="819" spans="1:8" x14ac:dyDescent="0.2">
      <c r="A819" t="s">
        <v>23</v>
      </c>
      <c r="B819" t="s">
        <v>77</v>
      </c>
      <c r="C819" t="s">
        <v>1233</v>
      </c>
      <c r="D819">
        <v>1</v>
      </c>
      <c r="E819" s="307">
        <v>6</v>
      </c>
      <c r="F819" s="307" t="s">
        <v>7</v>
      </c>
      <c r="G819" s="307" t="s">
        <v>11</v>
      </c>
      <c r="H819" s="307" t="s">
        <v>11</v>
      </c>
    </row>
    <row r="820" spans="1:8" x14ac:dyDescent="0.2">
      <c r="A820" t="s">
        <v>23</v>
      </c>
      <c r="B820" t="s">
        <v>77</v>
      </c>
      <c r="C820" t="s">
        <v>1281</v>
      </c>
      <c r="D820">
        <v>1</v>
      </c>
      <c r="E820" s="307">
        <v>5</v>
      </c>
      <c r="F820" s="307" t="s">
        <v>7</v>
      </c>
      <c r="G820" s="307" t="s">
        <v>11</v>
      </c>
      <c r="H820" s="307" t="s">
        <v>11</v>
      </c>
    </row>
    <row r="821" spans="1:8" x14ac:dyDescent="0.2">
      <c r="A821" t="s">
        <v>23</v>
      </c>
      <c r="B821" t="s">
        <v>77</v>
      </c>
      <c r="C821" t="s">
        <v>1282</v>
      </c>
      <c r="D821">
        <v>1</v>
      </c>
      <c r="E821" s="307">
        <v>6</v>
      </c>
      <c r="F821" s="307" t="s">
        <v>7</v>
      </c>
      <c r="G821" s="307" t="s">
        <v>11</v>
      </c>
      <c r="H821" s="307" t="s">
        <v>11</v>
      </c>
    </row>
    <row r="822" spans="1:8" x14ac:dyDescent="0.2">
      <c r="A822" t="s">
        <v>23</v>
      </c>
      <c r="B822" t="s">
        <v>77</v>
      </c>
      <c r="C822" t="s">
        <v>1283</v>
      </c>
      <c r="D822">
        <v>1</v>
      </c>
      <c r="E822" s="307">
        <v>5</v>
      </c>
      <c r="F822" s="307" t="s">
        <v>7</v>
      </c>
      <c r="G822" s="307" t="s">
        <v>11</v>
      </c>
      <c r="H822" s="307" t="s">
        <v>11</v>
      </c>
    </row>
    <row r="823" spans="1:8" x14ac:dyDescent="0.2">
      <c r="A823" t="s">
        <v>23</v>
      </c>
      <c r="B823" t="s">
        <v>77</v>
      </c>
      <c r="C823" t="s">
        <v>1284</v>
      </c>
      <c r="D823">
        <v>1</v>
      </c>
      <c r="E823" s="307">
        <v>6</v>
      </c>
      <c r="F823" s="307" t="s">
        <v>7</v>
      </c>
      <c r="G823" s="307" t="s">
        <v>11</v>
      </c>
      <c r="H823" s="307" t="s">
        <v>11</v>
      </c>
    </row>
    <row r="824" spans="1:8" x14ac:dyDescent="0.2">
      <c r="A824" t="s">
        <v>23</v>
      </c>
      <c r="B824" t="s">
        <v>77</v>
      </c>
      <c r="C824" t="s">
        <v>714</v>
      </c>
      <c r="D824">
        <v>1</v>
      </c>
      <c r="E824" s="307">
        <v>6</v>
      </c>
      <c r="F824" s="307" t="s">
        <v>7</v>
      </c>
      <c r="G824" s="307" t="s">
        <v>11</v>
      </c>
      <c r="H824" s="307" t="s">
        <v>11</v>
      </c>
    </row>
    <row r="825" spans="1:8" x14ac:dyDescent="0.2">
      <c r="A825" t="s">
        <v>23</v>
      </c>
      <c r="B825" t="s">
        <v>77</v>
      </c>
      <c r="C825" t="s">
        <v>1069</v>
      </c>
      <c r="D825">
        <v>1</v>
      </c>
      <c r="E825" s="307">
        <v>6</v>
      </c>
      <c r="F825" s="307" t="s">
        <v>7</v>
      </c>
      <c r="G825" s="307" t="s">
        <v>11</v>
      </c>
      <c r="H825" s="307" t="s">
        <v>11</v>
      </c>
    </row>
    <row r="826" spans="1:8" x14ac:dyDescent="0.2">
      <c r="A826" t="s">
        <v>23</v>
      </c>
      <c r="B826" t="s">
        <v>77</v>
      </c>
      <c r="C826" t="s">
        <v>715</v>
      </c>
      <c r="D826">
        <v>1</v>
      </c>
      <c r="E826" s="307">
        <v>6</v>
      </c>
      <c r="F826" s="307" t="s">
        <v>7</v>
      </c>
      <c r="G826" s="307" t="s">
        <v>11</v>
      </c>
      <c r="H826" s="307" t="s">
        <v>11</v>
      </c>
    </row>
    <row r="827" spans="1:8" x14ac:dyDescent="0.2">
      <c r="A827" t="s">
        <v>23</v>
      </c>
      <c r="B827" t="s">
        <v>77</v>
      </c>
      <c r="C827" t="s">
        <v>933</v>
      </c>
      <c r="D827">
        <v>1</v>
      </c>
      <c r="E827" s="307">
        <v>5</v>
      </c>
      <c r="F827" s="307" t="s">
        <v>7</v>
      </c>
      <c r="G827" s="307" t="s">
        <v>11</v>
      </c>
      <c r="H827" s="307" t="s">
        <v>11</v>
      </c>
    </row>
    <row r="828" spans="1:8" x14ac:dyDescent="0.2">
      <c r="A828" t="s">
        <v>23</v>
      </c>
      <c r="B828" t="s">
        <v>77</v>
      </c>
      <c r="C828" t="s">
        <v>717</v>
      </c>
      <c r="D828">
        <v>1</v>
      </c>
      <c r="E828" s="307">
        <v>5</v>
      </c>
      <c r="F828" s="307" t="s">
        <v>7</v>
      </c>
      <c r="G828" s="307" t="s">
        <v>11</v>
      </c>
      <c r="H828" s="307" t="s">
        <v>11</v>
      </c>
    </row>
    <row r="829" spans="1:8" x14ac:dyDescent="0.2">
      <c r="A829" t="s">
        <v>23</v>
      </c>
      <c r="B829" t="s">
        <v>77</v>
      </c>
      <c r="C829" t="s">
        <v>1190</v>
      </c>
      <c r="D829">
        <v>1</v>
      </c>
      <c r="E829" s="307">
        <v>6</v>
      </c>
      <c r="F829" s="307" t="s">
        <v>7</v>
      </c>
      <c r="G829" s="307" t="s">
        <v>11</v>
      </c>
      <c r="H829" s="307" t="s">
        <v>11</v>
      </c>
    </row>
    <row r="830" spans="1:8" x14ac:dyDescent="0.2">
      <c r="A830" t="s">
        <v>23</v>
      </c>
      <c r="B830" t="s">
        <v>77</v>
      </c>
      <c r="C830" t="s">
        <v>1285</v>
      </c>
      <c r="D830">
        <v>1</v>
      </c>
      <c r="E830" s="307">
        <v>5</v>
      </c>
      <c r="F830" s="307" t="s">
        <v>7</v>
      </c>
      <c r="G830" s="307" t="s">
        <v>11</v>
      </c>
      <c r="H830" s="307" t="s">
        <v>11</v>
      </c>
    </row>
    <row r="831" spans="1:8" x14ac:dyDescent="0.2">
      <c r="A831" t="s">
        <v>23</v>
      </c>
      <c r="B831" t="s">
        <v>77</v>
      </c>
      <c r="C831" t="s">
        <v>995</v>
      </c>
      <c r="D831">
        <v>1</v>
      </c>
      <c r="E831" s="307">
        <v>6</v>
      </c>
      <c r="F831" s="307" t="s">
        <v>7</v>
      </c>
      <c r="G831" s="307" t="s">
        <v>11</v>
      </c>
      <c r="H831" s="307" t="s">
        <v>11</v>
      </c>
    </row>
    <row r="832" spans="1:8" x14ac:dyDescent="0.2">
      <c r="A832" t="s">
        <v>23</v>
      </c>
      <c r="B832" t="s">
        <v>77</v>
      </c>
      <c r="C832" t="s">
        <v>1079</v>
      </c>
      <c r="D832">
        <v>1</v>
      </c>
      <c r="E832" s="307">
        <v>6</v>
      </c>
      <c r="F832" s="307" t="s">
        <v>7</v>
      </c>
      <c r="G832" s="307" t="s">
        <v>11</v>
      </c>
      <c r="H832" s="307" t="s">
        <v>11</v>
      </c>
    </row>
    <row r="833" spans="1:8" x14ac:dyDescent="0.2">
      <c r="A833" t="s">
        <v>23</v>
      </c>
      <c r="B833" t="s">
        <v>77</v>
      </c>
      <c r="C833" t="s">
        <v>1191</v>
      </c>
      <c r="D833">
        <v>1</v>
      </c>
      <c r="E833" s="307">
        <v>6</v>
      </c>
      <c r="F833" s="307" t="s">
        <v>7</v>
      </c>
      <c r="G833" s="307" t="s">
        <v>11</v>
      </c>
      <c r="H833" s="307" t="s">
        <v>11</v>
      </c>
    </row>
    <row r="834" spans="1:8" x14ac:dyDescent="0.2">
      <c r="A834" t="s">
        <v>23</v>
      </c>
      <c r="B834" t="s">
        <v>77</v>
      </c>
      <c r="C834" t="s">
        <v>1238</v>
      </c>
      <c r="D834">
        <v>1</v>
      </c>
      <c r="E834" s="307">
        <v>5</v>
      </c>
      <c r="F834" s="307" t="s">
        <v>7</v>
      </c>
      <c r="G834" s="307" t="s">
        <v>11</v>
      </c>
      <c r="H834" s="307" t="s">
        <v>11</v>
      </c>
    </row>
    <row r="835" spans="1:8" x14ac:dyDescent="0.2">
      <c r="A835" t="s">
        <v>23</v>
      </c>
      <c r="B835" t="s">
        <v>77</v>
      </c>
      <c r="C835" t="s">
        <v>719</v>
      </c>
      <c r="D835">
        <v>1</v>
      </c>
      <c r="E835" s="307">
        <v>5</v>
      </c>
      <c r="F835" s="307" t="s">
        <v>7</v>
      </c>
      <c r="G835" s="307" t="s">
        <v>11</v>
      </c>
      <c r="H835" s="307" t="s">
        <v>11</v>
      </c>
    </row>
    <row r="836" spans="1:8" x14ac:dyDescent="0.2">
      <c r="A836" t="s">
        <v>23</v>
      </c>
      <c r="B836" t="s">
        <v>77</v>
      </c>
      <c r="C836" t="s">
        <v>822</v>
      </c>
      <c r="D836">
        <v>1</v>
      </c>
      <c r="E836" s="307">
        <v>6</v>
      </c>
      <c r="F836" s="307" t="s">
        <v>7</v>
      </c>
      <c r="G836" s="307" t="s">
        <v>11</v>
      </c>
      <c r="H836" s="307" t="s">
        <v>11</v>
      </c>
    </row>
    <row r="837" spans="1:8" x14ac:dyDescent="0.2">
      <c r="A837" t="s">
        <v>23</v>
      </c>
      <c r="B837" t="s">
        <v>77</v>
      </c>
      <c r="C837" t="s">
        <v>866</v>
      </c>
      <c r="D837">
        <v>1</v>
      </c>
      <c r="E837" s="307">
        <v>6</v>
      </c>
      <c r="F837" s="307" t="s">
        <v>7</v>
      </c>
      <c r="G837" s="307" t="s">
        <v>11</v>
      </c>
      <c r="H837" s="307" t="s">
        <v>11</v>
      </c>
    </row>
    <row r="838" spans="1:8" x14ac:dyDescent="0.2">
      <c r="A838" t="s">
        <v>23</v>
      </c>
      <c r="B838" t="s">
        <v>77</v>
      </c>
      <c r="C838" t="s">
        <v>1286</v>
      </c>
      <c r="D838">
        <v>1</v>
      </c>
      <c r="E838" s="307">
        <v>6</v>
      </c>
      <c r="F838" s="307" t="s">
        <v>7</v>
      </c>
      <c r="G838" s="307" t="s">
        <v>11</v>
      </c>
      <c r="H838" s="307" t="s">
        <v>11</v>
      </c>
    </row>
    <row r="839" spans="1:8" x14ac:dyDescent="0.2">
      <c r="A839" t="s">
        <v>23</v>
      </c>
      <c r="B839" t="s">
        <v>77</v>
      </c>
      <c r="C839" t="s">
        <v>1287</v>
      </c>
      <c r="D839">
        <v>1</v>
      </c>
      <c r="E839" s="307">
        <v>5</v>
      </c>
      <c r="F839" s="307" t="s">
        <v>7</v>
      </c>
      <c r="G839" s="307" t="s">
        <v>11</v>
      </c>
      <c r="H839" s="307" t="s">
        <v>11</v>
      </c>
    </row>
    <row r="840" spans="1:8" x14ac:dyDescent="0.2">
      <c r="A840" t="s">
        <v>23</v>
      </c>
      <c r="B840" t="s">
        <v>77</v>
      </c>
      <c r="C840" t="s">
        <v>721</v>
      </c>
      <c r="D840">
        <v>1</v>
      </c>
      <c r="E840" s="307">
        <v>5</v>
      </c>
      <c r="F840" s="307" t="s">
        <v>7</v>
      </c>
      <c r="G840" s="307" t="s">
        <v>11</v>
      </c>
      <c r="H840" s="307" t="s">
        <v>11</v>
      </c>
    </row>
    <row r="841" spans="1:8" x14ac:dyDescent="0.2">
      <c r="A841" t="s">
        <v>23</v>
      </c>
      <c r="B841" t="s">
        <v>77</v>
      </c>
      <c r="C841" t="s">
        <v>1085</v>
      </c>
      <c r="D841">
        <v>1</v>
      </c>
      <c r="E841" s="307">
        <v>5</v>
      </c>
      <c r="F841" s="307" t="s">
        <v>7</v>
      </c>
      <c r="G841" s="307" t="s">
        <v>11</v>
      </c>
      <c r="H841" s="307" t="s">
        <v>11</v>
      </c>
    </row>
    <row r="842" spans="1:8" x14ac:dyDescent="0.2">
      <c r="A842" t="s">
        <v>23</v>
      </c>
      <c r="B842" t="s">
        <v>77</v>
      </c>
      <c r="C842" t="s">
        <v>722</v>
      </c>
      <c r="D842">
        <v>1</v>
      </c>
      <c r="E842" s="307">
        <v>5</v>
      </c>
      <c r="F842" s="307" t="s">
        <v>7</v>
      </c>
      <c r="G842" s="307" t="s">
        <v>11</v>
      </c>
      <c r="H842" s="307" t="s">
        <v>11</v>
      </c>
    </row>
    <row r="843" spans="1:8" x14ac:dyDescent="0.2">
      <c r="A843" t="s">
        <v>23</v>
      </c>
      <c r="B843" t="s">
        <v>77</v>
      </c>
      <c r="C843" t="s">
        <v>825</v>
      </c>
      <c r="D843">
        <v>1</v>
      </c>
      <c r="E843" s="307">
        <v>5</v>
      </c>
      <c r="F843" s="307" t="s">
        <v>7</v>
      </c>
      <c r="G843" s="307" t="s">
        <v>11</v>
      </c>
      <c r="H843" s="307" t="s">
        <v>11</v>
      </c>
    </row>
    <row r="844" spans="1:8" x14ac:dyDescent="0.2">
      <c r="A844" t="s">
        <v>23</v>
      </c>
      <c r="B844" t="s">
        <v>77</v>
      </c>
      <c r="C844" t="s">
        <v>1088</v>
      </c>
      <c r="D844">
        <v>1</v>
      </c>
      <c r="E844" s="307">
        <v>5</v>
      </c>
      <c r="F844" s="307" t="s">
        <v>7</v>
      </c>
      <c r="G844" s="307" t="s">
        <v>11</v>
      </c>
      <c r="H844" s="307" t="s">
        <v>11</v>
      </c>
    </row>
    <row r="845" spans="1:8" x14ac:dyDescent="0.2">
      <c r="A845" t="s">
        <v>23</v>
      </c>
      <c r="B845" t="s">
        <v>77</v>
      </c>
      <c r="C845" t="s">
        <v>1288</v>
      </c>
      <c r="D845">
        <v>1</v>
      </c>
      <c r="E845" s="307">
        <v>5</v>
      </c>
      <c r="F845" s="307" t="s">
        <v>7</v>
      </c>
      <c r="G845" s="307" t="s">
        <v>11</v>
      </c>
      <c r="H845" s="307" t="s">
        <v>11</v>
      </c>
    </row>
    <row r="846" spans="1:8" x14ac:dyDescent="0.2">
      <c r="A846" t="s">
        <v>23</v>
      </c>
      <c r="B846" t="s">
        <v>77</v>
      </c>
      <c r="C846" t="s">
        <v>1289</v>
      </c>
      <c r="D846">
        <v>1</v>
      </c>
      <c r="E846" s="307">
        <v>6</v>
      </c>
      <c r="F846" s="307" t="s">
        <v>7</v>
      </c>
      <c r="G846" s="307" t="s">
        <v>11</v>
      </c>
      <c r="H846" s="307" t="s">
        <v>11</v>
      </c>
    </row>
    <row r="847" spans="1:8" x14ac:dyDescent="0.2">
      <c r="A847" t="s">
        <v>23</v>
      </c>
      <c r="B847" t="s">
        <v>77</v>
      </c>
      <c r="C847" t="s">
        <v>726</v>
      </c>
      <c r="D847">
        <v>1</v>
      </c>
      <c r="E847" s="307">
        <v>5</v>
      </c>
      <c r="F847" s="307" t="s">
        <v>7</v>
      </c>
      <c r="G847" s="307" t="s">
        <v>11</v>
      </c>
      <c r="H847" s="307" t="s">
        <v>11</v>
      </c>
    </row>
    <row r="848" spans="1:8" x14ac:dyDescent="0.2">
      <c r="A848" t="s">
        <v>23</v>
      </c>
      <c r="B848" t="s">
        <v>77</v>
      </c>
      <c r="C848" t="s">
        <v>1290</v>
      </c>
      <c r="D848">
        <v>1</v>
      </c>
      <c r="E848" s="307">
        <v>5</v>
      </c>
      <c r="F848" s="307" t="s">
        <v>7</v>
      </c>
      <c r="G848" s="307" t="s">
        <v>11</v>
      </c>
      <c r="H848" s="307" t="s">
        <v>11</v>
      </c>
    </row>
    <row r="849" spans="1:8" x14ac:dyDescent="0.2">
      <c r="A849" t="s">
        <v>23</v>
      </c>
      <c r="B849" t="s">
        <v>77</v>
      </c>
      <c r="C849" t="s">
        <v>1291</v>
      </c>
      <c r="D849">
        <v>1</v>
      </c>
      <c r="E849" s="307">
        <v>5</v>
      </c>
      <c r="F849" s="307" t="s">
        <v>7</v>
      </c>
      <c r="G849" s="307" t="s">
        <v>11</v>
      </c>
      <c r="H849" s="307" t="s">
        <v>11</v>
      </c>
    </row>
    <row r="850" spans="1:8" x14ac:dyDescent="0.2">
      <c r="A850" t="s">
        <v>23</v>
      </c>
      <c r="B850" t="s">
        <v>77</v>
      </c>
      <c r="C850" t="s">
        <v>1292</v>
      </c>
      <c r="D850">
        <v>1</v>
      </c>
      <c r="E850" s="307">
        <v>5</v>
      </c>
      <c r="F850" s="307" t="s">
        <v>7</v>
      </c>
      <c r="G850" s="307" t="s">
        <v>11</v>
      </c>
      <c r="H850" s="307" t="s">
        <v>11</v>
      </c>
    </row>
    <row r="851" spans="1:8" x14ac:dyDescent="0.2">
      <c r="A851" t="s">
        <v>23</v>
      </c>
      <c r="B851" t="s">
        <v>77</v>
      </c>
      <c r="C851" t="s">
        <v>1293</v>
      </c>
      <c r="D851">
        <v>1</v>
      </c>
      <c r="E851" s="307">
        <v>6</v>
      </c>
      <c r="F851" s="307" t="s">
        <v>7</v>
      </c>
      <c r="G851" s="307" t="s">
        <v>11</v>
      </c>
      <c r="H851" s="307" t="s">
        <v>11</v>
      </c>
    </row>
    <row r="852" spans="1:8" x14ac:dyDescent="0.2">
      <c r="A852" t="s">
        <v>23</v>
      </c>
      <c r="B852" t="s">
        <v>77</v>
      </c>
      <c r="C852" t="s">
        <v>730</v>
      </c>
      <c r="D852">
        <v>1</v>
      </c>
      <c r="E852" s="307">
        <v>5</v>
      </c>
      <c r="F852" s="307" t="s">
        <v>7</v>
      </c>
      <c r="G852" s="307" t="s">
        <v>11</v>
      </c>
      <c r="H852" s="307" t="s">
        <v>11</v>
      </c>
    </row>
    <row r="853" spans="1:8" x14ac:dyDescent="0.2">
      <c r="A853" t="s">
        <v>23</v>
      </c>
      <c r="B853" t="s">
        <v>77</v>
      </c>
      <c r="C853" t="s">
        <v>1294</v>
      </c>
      <c r="D853">
        <v>1</v>
      </c>
      <c r="E853" s="307">
        <v>5</v>
      </c>
      <c r="F853" s="307" t="s">
        <v>7</v>
      </c>
      <c r="G853" s="307" t="s">
        <v>11</v>
      </c>
      <c r="H853" s="307" t="s">
        <v>11</v>
      </c>
    </row>
    <row r="854" spans="1:8" x14ac:dyDescent="0.2">
      <c r="A854" t="s">
        <v>23</v>
      </c>
      <c r="B854" t="s">
        <v>77</v>
      </c>
      <c r="C854" t="s">
        <v>732</v>
      </c>
      <c r="D854">
        <v>1</v>
      </c>
      <c r="E854" s="307">
        <v>5</v>
      </c>
      <c r="F854" s="307" t="s">
        <v>7</v>
      </c>
      <c r="G854" s="307" t="s">
        <v>11</v>
      </c>
      <c r="H854" s="307" t="s">
        <v>11</v>
      </c>
    </row>
    <row r="855" spans="1:8" x14ac:dyDescent="0.2">
      <c r="A855" t="s">
        <v>23</v>
      </c>
      <c r="B855" t="s">
        <v>77</v>
      </c>
      <c r="C855" t="s">
        <v>733</v>
      </c>
      <c r="D855">
        <v>1</v>
      </c>
      <c r="E855" s="307">
        <v>5</v>
      </c>
      <c r="F855" s="307" t="s">
        <v>7</v>
      </c>
      <c r="G855" s="307" t="s">
        <v>11</v>
      </c>
      <c r="H855" s="307" t="s">
        <v>11</v>
      </c>
    </row>
    <row r="856" spans="1:8" x14ac:dyDescent="0.2">
      <c r="A856" t="s">
        <v>23</v>
      </c>
      <c r="B856" t="s">
        <v>77</v>
      </c>
      <c r="C856" t="s">
        <v>1295</v>
      </c>
      <c r="D856">
        <v>1</v>
      </c>
      <c r="E856" s="307">
        <v>5</v>
      </c>
      <c r="F856" s="307" t="s">
        <v>7</v>
      </c>
      <c r="G856" s="307" t="s">
        <v>11</v>
      </c>
      <c r="H856" s="307" t="s">
        <v>11</v>
      </c>
    </row>
    <row r="857" spans="1:8" x14ac:dyDescent="0.2">
      <c r="A857" t="s">
        <v>23</v>
      </c>
      <c r="B857" t="s">
        <v>77</v>
      </c>
      <c r="C857" t="s">
        <v>1096</v>
      </c>
      <c r="D857">
        <v>1</v>
      </c>
      <c r="E857" s="307">
        <v>6</v>
      </c>
      <c r="F857" s="307" t="s">
        <v>7</v>
      </c>
      <c r="G857" s="307" t="s">
        <v>11</v>
      </c>
      <c r="H857" s="307" t="s">
        <v>11</v>
      </c>
    </row>
    <row r="858" spans="1:8" x14ac:dyDescent="0.2">
      <c r="A858" t="s">
        <v>23</v>
      </c>
      <c r="B858" t="s">
        <v>77</v>
      </c>
      <c r="C858" t="s">
        <v>1296</v>
      </c>
      <c r="D858">
        <v>1</v>
      </c>
      <c r="E858" s="307">
        <v>5</v>
      </c>
      <c r="F858" s="307" t="s">
        <v>7</v>
      </c>
      <c r="G858" s="307" t="s">
        <v>11</v>
      </c>
      <c r="H858" s="307" t="s">
        <v>11</v>
      </c>
    </row>
    <row r="859" spans="1:8" x14ac:dyDescent="0.2">
      <c r="A859" t="s">
        <v>23</v>
      </c>
      <c r="B859" t="s">
        <v>77</v>
      </c>
      <c r="C859" t="s">
        <v>735</v>
      </c>
      <c r="D859">
        <v>1</v>
      </c>
      <c r="E859" s="307">
        <v>5</v>
      </c>
      <c r="F859" s="307" t="s">
        <v>7</v>
      </c>
      <c r="G859" s="307" t="s">
        <v>11</v>
      </c>
      <c r="H859" s="307" t="s">
        <v>11</v>
      </c>
    </row>
    <row r="860" spans="1:8" x14ac:dyDescent="0.2">
      <c r="A860" t="s">
        <v>23</v>
      </c>
      <c r="B860" t="s">
        <v>77</v>
      </c>
      <c r="C860" t="s">
        <v>736</v>
      </c>
      <c r="D860">
        <v>1</v>
      </c>
      <c r="E860" s="307">
        <v>5</v>
      </c>
      <c r="F860" s="307" t="s">
        <v>7</v>
      </c>
      <c r="G860" s="307" t="s">
        <v>11</v>
      </c>
      <c r="H860" s="307" t="s">
        <v>11</v>
      </c>
    </row>
    <row r="861" spans="1:8" x14ac:dyDescent="0.2">
      <c r="A861" t="s">
        <v>23</v>
      </c>
      <c r="B861" t="s">
        <v>77</v>
      </c>
      <c r="C861" t="s">
        <v>1297</v>
      </c>
      <c r="D861">
        <v>1</v>
      </c>
      <c r="E861" s="307">
        <v>5</v>
      </c>
      <c r="F861" s="307" t="s">
        <v>7</v>
      </c>
      <c r="G861" s="307" t="s">
        <v>11</v>
      </c>
      <c r="H861" s="307" t="s">
        <v>11</v>
      </c>
    </row>
    <row r="862" spans="1:8" x14ac:dyDescent="0.2">
      <c r="A862" t="s">
        <v>23</v>
      </c>
      <c r="B862" t="s">
        <v>77</v>
      </c>
      <c r="C862" t="s">
        <v>1298</v>
      </c>
      <c r="D862">
        <v>1</v>
      </c>
      <c r="E862" s="307">
        <v>6</v>
      </c>
      <c r="F862" s="307" t="s">
        <v>7</v>
      </c>
      <c r="G862" s="307" t="s">
        <v>11</v>
      </c>
      <c r="H862" s="307" t="s">
        <v>11</v>
      </c>
    </row>
    <row r="863" spans="1:8" x14ac:dyDescent="0.2">
      <c r="A863" t="s">
        <v>23</v>
      </c>
      <c r="B863" t="s">
        <v>77</v>
      </c>
      <c r="C863" t="s">
        <v>1012</v>
      </c>
      <c r="D863">
        <v>1</v>
      </c>
      <c r="E863" s="307">
        <v>6</v>
      </c>
      <c r="F863" s="307" t="s">
        <v>7</v>
      </c>
      <c r="G863" s="307" t="s">
        <v>11</v>
      </c>
      <c r="H863" s="307" t="s">
        <v>11</v>
      </c>
    </row>
    <row r="864" spans="1:8" x14ac:dyDescent="0.2">
      <c r="A864" t="s">
        <v>23</v>
      </c>
      <c r="B864" t="s">
        <v>77</v>
      </c>
      <c r="C864" t="s">
        <v>1299</v>
      </c>
      <c r="D864">
        <v>1</v>
      </c>
      <c r="E864" s="307">
        <v>5</v>
      </c>
      <c r="F864" s="307" t="s">
        <v>7</v>
      </c>
      <c r="G864" s="307" t="s">
        <v>11</v>
      </c>
      <c r="H864" s="307" t="s">
        <v>11</v>
      </c>
    </row>
    <row r="865" spans="1:8" x14ac:dyDescent="0.2">
      <c r="A865" t="s">
        <v>23</v>
      </c>
      <c r="B865" t="s">
        <v>77</v>
      </c>
      <c r="C865" t="s">
        <v>1300</v>
      </c>
      <c r="D865">
        <v>1</v>
      </c>
      <c r="E865" s="307">
        <v>6</v>
      </c>
      <c r="F865" s="307" t="s">
        <v>7</v>
      </c>
      <c r="G865" s="307" t="s">
        <v>11</v>
      </c>
      <c r="H865" s="307" t="s">
        <v>11</v>
      </c>
    </row>
    <row r="866" spans="1:8" x14ac:dyDescent="0.2">
      <c r="A866" t="s">
        <v>23</v>
      </c>
      <c r="B866" t="s">
        <v>77</v>
      </c>
      <c r="C866" t="s">
        <v>1301</v>
      </c>
      <c r="D866">
        <v>1</v>
      </c>
      <c r="E866" s="307">
        <v>6</v>
      </c>
      <c r="F866" s="307" t="s">
        <v>7</v>
      </c>
      <c r="G866" s="307" t="s">
        <v>11</v>
      </c>
      <c r="H866" s="307" t="s">
        <v>11</v>
      </c>
    </row>
    <row r="867" spans="1:8" x14ac:dyDescent="0.2">
      <c r="A867" t="s">
        <v>23</v>
      </c>
      <c r="B867" t="s">
        <v>77</v>
      </c>
      <c r="C867" t="s">
        <v>1302</v>
      </c>
      <c r="D867">
        <v>1</v>
      </c>
      <c r="E867" s="307">
        <v>6</v>
      </c>
      <c r="F867" s="307" t="s">
        <v>7</v>
      </c>
      <c r="G867" s="307" t="s">
        <v>11</v>
      </c>
      <c r="H867" s="307" t="s">
        <v>11</v>
      </c>
    </row>
    <row r="868" spans="1:8" x14ac:dyDescent="0.2">
      <c r="A868" t="s">
        <v>23</v>
      </c>
      <c r="B868" t="s">
        <v>77</v>
      </c>
      <c r="C868" t="s">
        <v>838</v>
      </c>
      <c r="D868">
        <v>1</v>
      </c>
      <c r="E868" s="307">
        <v>5</v>
      </c>
      <c r="F868" s="307" t="s">
        <v>7</v>
      </c>
      <c r="G868" s="307" t="s">
        <v>11</v>
      </c>
      <c r="H868" s="307" t="s">
        <v>11</v>
      </c>
    </row>
    <row r="869" spans="1:8" x14ac:dyDescent="0.2">
      <c r="A869" t="s">
        <v>23</v>
      </c>
      <c r="B869" t="s">
        <v>77</v>
      </c>
      <c r="C869" t="s">
        <v>1303</v>
      </c>
      <c r="D869">
        <v>1</v>
      </c>
      <c r="E869" s="307">
        <v>5</v>
      </c>
      <c r="F869" s="307" t="s">
        <v>7</v>
      </c>
      <c r="G869" s="307" t="s">
        <v>11</v>
      </c>
      <c r="H869" s="307" t="s">
        <v>11</v>
      </c>
    </row>
    <row r="870" spans="1:8" x14ac:dyDescent="0.2">
      <c r="A870" t="s">
        <v>23</v>
      </c>
      <c r="B870" t="s">
        <v>77</v>
      </c>
      <c r="C870" t="s">
        <v>1304</v>
      </c>
      <c r="D870">
        <v>1</v>
      </c>
      <c r="E870" s="307">
        <v>5</v>
      </c>
      <c r="F870" s="307" t="s">
        <v>7</v>
      </c>
      <c r="G870" s="307" t="s">
        <v>11</v>
      </c>
      <c r="H870" s="307" t="s">
        <v>11</v>
      </c>
    </row>
    <row r="871" spans="1:8" x14ac:dyDescent="0.2">
      <c r="A871" t="s">
        <v>23</v>
      </c>
      <c r="B871" t="s">
        <v>77</v>
      </c>
      <c r="C871" t="s">
        <v>1305</v>
      </c>
      <c r="D871">
        <v>1</v>
      </c>
      <c r="E871" s="307">
        <v>5</v>
      </c>
      <c r="F871" s="307" t="s">
        <v>7</v>
      </c>
      <c r="G871" s="307" t="s">
        <v>11</v>
      </c>
      <c r="H871" s="307" t="s">
        <v>11</v>
      </c>
    </row>
    <row r="872" spans="1:8" x14ac:dyDescent="0.2">
      <c r="A872" t="s">
        <v>23</v>
      </c>
      <c r="B872" t="s">
        <v>77</v>
      </c>
      <c r="C872" t="s">
        <v>1306</v>
      </c>
      <c r="D872">
        <v>1</v>
      </c>
      <c r="E872" s="307">
        <v>6</v>
      </c>
      <c r="F872" s="307" t="s">
        <v>7</v>
      </c>
      <c r="G872" s="307" t="s">
        <v>11</v>
      </c>
      <c r="H872" s="307" t="s">
        <v>11</v>
      </c>
    </row>
    <row r="873" spans="1:8" x14ac:dyDescent="0.2">
      <c r="A873" t="s">
        <v>23</v>
      </c>
      <c r="B873" t="s">
        <v>77</v>
      </c>
      <c r="C873" t="s">
        <v>844</v>
      </c>
      <c r="D873">
        <v>1</v>
      </c>
      <c r="E873" s="307">
        <v>5</v>
      </c>
      <c r="F873" s="307" t="s">
        <v>7</v>
      </c>
      <c r="G873" s="307" t="s">
        <v>11</v>
      </c>
      <c r="H873" s="307" t="s">
        <v>11</v>
      </c>
    </row>
    <row r="874" spans="1:8" x14ac:dyDescent="0.2">
      <c r="A874" t="s">
        <v>23</v>
      </c>
      <c r="B874" t="s">
        <v>77</v>
      </c>
      <c r="C874" t="s">
        <v>744</v>
      </c>
      <c r="D874">
        <v>1</v>
      </c>
      <c r="E874" s="307">
        <v>5</v>
      </c>
      <c r="F874" s="307" t="s">
        <v>7</v>
      </c>
      <c r="G874" s="307" t="s">
        <v>11</v>
      </c>
      <c r="H874" s="307" t="s">
        <v>11</v>
      </c>
    </row>
    <row r="875" spans="1:8" x14ac:dyDescent="0.2">
      <c r="A875" t="s">
        <v>23</v>
      </c>
      <c r="B875" t="s">
        <v>77</v>
      </c>
      <c r="C875" t="s">
        <v>1307</v>
      </c>
      <c r="D875">
        <v>1</v>
      </c>
      <c r="E875" s="307">
        <v>6</v>
      </c>
      <c r="F875" s="307" t="s">
        <v>7</v>
      </c>
      <c r="G875" s="307" t="s">
        <v>11</v>
      </c>
      <c r="H875" s="307" t="s">
        <v>11</v>
      </c>
    </row>
    <row r="876" spans="1:8" x14ac:dyDescent="0.2">
      <c r="A876" t="s">
        <v>23</v>
      </c>
      <c r="B876" t="s">
        <v>77</v>
      </c>
      <c r="C876" t="s">
        <v>1308</v>
      </c>
      <c r="D876">
        <v>1</v>
      </c>
      <c r="E876" s="307">
        <v>5</v>
      </c>
      <c r="F876" s="307" t="s">
        <v>7</v>
      </c>
      <c r="G876" s="307" t="s">
        <v>11</v>
      </c>
      <c r="H876" s="307" t="s">
        <v>11</v>
      </c>
    </row>
    <row r="877" spans="1:8" x14ac:dyDescent="0.2">
      <c r="A877" t="s">
        <v>23</v>
      </c>
      <c r="B877" t="s">
        <v>77</v>
      </c>
      <c r="C877" t="s">
        <v>1309</v>
      </c>
      <c r="D877">
        <v>1</v>
      </c>
      <c r="E877" s="307">
        <v>5</v>
      </c>
      <c r="F877" s="307" t="s">
        <v>7</v>
      </c>
      <c r="G877" s="307" t="s">
        <v>11</v>
      </c>
      <c r="H877" s="307" t="s">
        <v>11</v>
      </c>
    </row>
    <row r="878" spans="1:8" x14ac:dyDescent="0.2">
      <c r="A878" t="s">
        <v>23</v>
      </c>
      <c r="B878" t="s">
        <v>77</v>
      </c>
      <c r="C878" t="s">
        <v>1023</v>
      </c>
      <c r="D878">
        <v>1</v>
      </c>
      <c r="E878" s="307">
        <v>5</v>
      </c>
      <c r="F878" s="307" t="s">
        <v>7</v>
      </c>
      <c r="G878" s="307" t="s">
        <v>11</v>
      </c>
      <c r="H878" s="307" t="s">
        <v>11</v>
      </c>
    </row>
    <row r="879" spans="1:8" x14ac:dyDescent="0.2">
      <c r="A879" t="s">
        <v>23</v>
      </c>
      <c r="B879" t="s">
        <v>77</v>
      </c>
      <c r="C879" t="s">
        <v>850</v>
      </c>
      <c r="D879">
        <v>1</v>
      </c>
      <c r="E879" s="307">
        <v>5</v>
      </c>
      <c r="F879" s="307" t="s">
        <v>7</v>
      </c>
      <c r="G879" s="307" t="s">
        <v>11</v>
      </c>
      <c r="H879" s="307" t="s">
        <v>11</v>
      </c>
    </row>
    <row r="880" spans="1:8" x14ac:dyDescent="0.2">
      <c r="A880" t="s">
        <v>23</v>
      </c>
      <c r="B880" t="s">
        <v>77</v>
      </c>
      <c r="C880" t="s">
        <v>851</v>
      </c>
      <c r="D880">
        <v>1</v>
      </c>
      <c r="E880" s="307">
        <v>5</v>
      </c>
      <c r="F880" s="307" t="s">
        <v>7</v>
      </c>
      <c r="G880" s="307" t="s">
        <v>11</v>
      </c>
      <c r="H880" s="307" t="s">
        <v>11</v>
      </c>
    </row>
    <row r="881" spans="1:8" x14ac:dyDescent="0.2">
      <c r="A881" t="s">
        <v>23</v>
      </c>
      <c r="B881" t="s">
        <v>77</v>
      </c>
      <c r="C881" t="s">
        <v>1310</v>
      </c>
      <c r="D881">
        <v>1</v>
      </c>
      <c r="E881" s="307">
        <v>5</v>
      </c>
      <c r="F881" s="307" t="s">
        <v>7</v>
      </c>
      <c r="G881" s="307" t="s">
        <v>11</v>
      </c>
      <c r="H881" s="307" t="s">
        <v>11</v>
      </c>
    </row>
    <row r="882" spans="1:8" x14ac:dyDescent="0.2">
      <c r="A882" t="s">
        <v>23</v>
      </c>
      <c r="B882" t="s">
        <v>77</v>
      </c>
      <c r="C882" t="s">
        <v>1128</v>
      </c>
      <c r="D882">
        <v>1</v>
      </c>
      <c r="E882" s="307">
        <v>5</v>
      </c>
      <c r="F882" s="307" t="s">
        <v>7</v>
      </c>
      <c r="G882" s="307" t="s">
        <v>11</v>
      </c>
      <c r="H882" s="307" t="s">
        <v>11</v>
      </c>
    </row>
    <row r="883" spans="1:8" x14ac:dyDescent="0.2">
      <c r="A883" t="s">
        <v>23</v>
      </c>
      <c r="B883" t="s">
        <v>77</v>
      </c>
      <c r="C883" t="s">
        <v>750</v>
      </c>
      <c r="D883">
        <v>1</v>
      </c>
      <c r="E883" s="307">
        <v>5</v>
      </c>
      <c r="F883" s="307" t="s">
        <v>7</v>
      </c>
      <c r="G883" s="307" t="s">
        <v>11</v>
      </c>
      <c r="H883" s="307" t="s">
        <v>11</v>
      </c>
    </row>
    <row r="884" spans="1:8" x14ac:dyDescent="0.2">
      <c r="A884" t="s">
        <v>23</v>
      </c>
      <c r="B884" t="s">
        <v>77</v>
      </c>
      <c r="C884" t="s">
        <v>1129</v>
      </c>
      <c r="D884">
        <v>1</v>
      </c>
      <c r="E884" s="307">
        <v>5</v>
      </c>
      <c r="F884" s="307" t="s">
        <v>7</v>
      </c>
      <c r="G884" s="307" t="s">
        <v>11</v>
      </c>
      <c r="H884" s="307" t="s">
        <v>11</v>
      </c>
    </row>
    <row r="885" spans="1:8" x14ac:dyDescent="0.2">
      <c r="A885" t="s">
        <v>23</v>
      </c>
      <c r="B885" t="s">
        <v>77</v>
      </c>
      <c r="C885" t="s">
        <v>1130</v>
      </c>
      <c r="D885">
        <v>1</v>
      </c>
      <c r="E885" s="307">
        <v>6</v>
      </c>
      <c r="F885" s="307" t="s">
        <v>7</v>
      </c>
      <c r="G885" s="307" t="s">
        <v>11</v>
      </c>
      <c r="H885" s="307" t="s">
        <v>11</v>
      </c>
    </row>
    <row r="886" spans="1:8" x14ac:dyDescent="0.2">
      <c r="A886" t="s">
        <v>23</v>
      </c>
      <c r="B886" t="s">
        <v>77</v>
      </c>
      <c r="C886" t="s">
        <v>1226</v>
      </c>
      <c r="D886">
        <v>1</v>
      </c>
      <c r="E886" s="307">
        <v>6</v>
      </c>
      <c r="F886" s="307" t="s">
        <v>7</v>
      </c>
      <c r="G886" s="307" t="s">
        <v>11</v>
      </c>
      <c r="H886" s="307" t="s">
        <v>11</v>
      </c>
    </row>
    <row r="887" spans="1:8" x14ac:dyDescent="0.2">
      <c r="A887" t="s">
        <v>23</v>
      </c>
      <c r="B887" t="s">
        <v>77</v>
      </c>
      <c r="C887" t="s">
        <v>1311</v>
      </c>
      <c r="D887">
        <v>1</v>
      </c>
      <c r="E887" s="307">
        <v>6</v>
      </c>
      <c r="F887" s="307" t="s">
        <v>7</v>
      </c>
      <c r="G887" s="307" t="s">
        <v>11</v>
      </c>
      <c r="H887" s="307" t="s">
        <v>11</v>
      </c>
    </row>
    <row r="888" spans="1:8" x14ac:dyDescent="0.2">
      <c r="A888" t="s">
        <v>23</v>
      </c>
      <c r="B888" t="s">
        <v>77</v>
      </c>
      <c r="C888" t="s">
        <v>1312</v>
      </c>
      <c r="D888">
        <v>1</v>
      </c>
      <c r="E888" s="307">
        <v>5</v>
      </c>
      <c r="F888" s="307" t="s">
        <v>7</v>
      </c>
      <c r="G888" s="307" t="s">
        <v>11</v>
      </c>
      <c r="H888" s="307" t="s">
        <v>11</v>
      </c>
    </row>
    <row r="889" spans="1:8" x14ac:dyDescent="0.2">
      <c r="A889" t="s">
        <v>23</v>
      </c>
      <c r="B889" t="s">
        <v>77</v>
      </c>
      <c r="C889" t="s">
        <v>1135</v>
      </c>
      <c r="D889">
        <v>1</v>
      </c>
      <c r="E889" s="307">
        <v>6</v>
      </c>
      <c r="F889" s="307" t="s">
        <v>7</v>
      </c>
      <c r="G889" s="307" t="s">
        <v>11</v>
      </c>
      <c r="H889" s="307" t="s">
        <v>11</v>
      </c>
    </row>
    <row r="890" spans="1:8" x14ac:dyDescent="0.2">
      <c r="A890" t="s">
        <v>23</v>
      </c>
      <c r="B890" t="s">
        <v>77</v>
      </c>
      <c r="C890" t="s">
        <v>1313</v>
      </c>
      <c r="D890">
        <v>1</v>
      </c>
      <c r="E890" s="307">
        <v>6</v>
      </c>
      <c r="F890" s="307" t="s">
        <v>7</v>
      </c>
      <c r="G890" s="307" t="s">
        <v>11</v>
      </c>
      <c r="H890" s="307" t="s">
        <v>11</v>
      </c>
    </row>
    <row r="891" spans="1:8" x14ac:dyDescent="0.2">
      <c r="A891" t="s">
        <v>27</v>
      </c>
      <c r="B891" t="s">
        <v>91</v>
      </c>
      <c r="C891" t="s">
        <v>1228</v>
      </c>
      <c r="D891">
        <v>2</v>
      </c>
      <c r="E891" s="307">
        <v>4</v>
      </c>
      <c r="F891" s="307" t="s">
        <v>7</v>
      </c>
      <c r="G891" s="307" t="s">
        <v>11</v>
      </c>
      <c r="H891" s="307" t="s">
        <v>11</v>
      </c>
    </row>
    <row r="892" spans="1:8" x14ac:dyDescent="0.2">
      <c r="A892" t="s">
        <v>27</v>
      </c>
      <c r="B892" t="s">
        <v>91</v>
      </c>
      <c r="C892" t="s">
        <v>1314</v>
      </c>
      <c r="D892">
        <v>2</v>
      </c>
      <c r="E892" s="307">
        <v>4</v>
      </c>
      <c r="F892" s="307" t="s">
        <v>7</v>
      </c>
      <c r="G892" s="307" t="s">
        <v>11</v>
      </c>
      <c r="H892" s="307" t="s">
        <v>11</v>
      </c>
    </row>
    <row r="893" spans="1:8" x14ac:dyDescent="0.2">
      <c r="A893" t="s">
        <v>27</v>
      </c>
      <c r="B893" t="s">
        <v>91</v>
      </c>
      <c r="C893" t="s">
        <v>1315</v>
      </c>
      <c r="D893">
        <v>1</v>
      </c>
      <c r="E893" s="307">
        <v>4</v>
      </c>
      <c r="F893" s="307" t="s">
        <v>7</v>
      </c>
      <c r="G893" s="307" t="s">
        <v>11</v>
      </c>
      <c r="H893" s="307" t="s">
        <v>11</v>
      </c>
    </row>
    <row r="894" spans="1:8" x14ac:dyDescent="0.2">
      <c r="A894" t="s">
        <v>27</v>
      </c>
      <c r="B894" t="s">
        <v>91</v>
      </c>
      <c r="C894" t="s">
        <v>1316</v>
      </c>
      <c r="D894">
        <v>2</v>
      </c>
      <c r="E894" s="307">
        <v>4</v>
      </c>
      <c r="F894" s="307" t="s">
        <v>7</v>
      </c>
      <c r="G894" s="307" t="s">
        <v>11</v>
      </c>
      <c r="H894" s="307" t="s">
        <v>11</v>
      </c>
    </row>
    <row r="895" spans="1:8" x14ac:dyDescent="0.2">
      <c r="A895" t="s">
        <v>27</v>
      </c>
      <c r="B895" t="s">
        <v>91</v>
      </c>
      <c r="C895" t="s">
        <v>1317</v>
      </c>
      <c r="D895">
        <v>1</v>
      </c>
      <c r="E895" s="307">
        <v>4</v>
      </c>
      <c r="F895" s="307" t="s">
        <v>7</v>
      </c>
      <c r="G895" s="307" t="s">
        <v>11</v>
      </c>
      <c r="H895" s="307" t="s">
        <v>11</v>
      </c>
    </row>
    <row r="896" spans="1:8" x14ac:dyDescent="0.2">
      <c r="A896" t="s">
        <v>27</v>
      </c>
      <c r="B896" t="s">
        <v>91</v>
      </c>
      <c r="C896" t="s">
        <v>1318</v>
      </c>
      <c r="D896">
        <v>2</v>
      </c>
      <c r="E896" s="307">
        <v>4</v>
      </c>
      <c r="F896" s="307" t="s">
        <v>7</v>
      </c>
      <c r="G896" s="307" t="s">
        <v>11</v>
      </c>
      <c r="H896" s="307" t="s">
        <v>11</v>
      </c>
    </row>
    <row r="897" spans="1:8" x14ac:dyDescent="0.2">
      <c r="A897" t="s">
        <v>27</v>
      </c>
      <c r="B897" t="s">
        <v>91</v>
      </c>
      <c r="C897" t="s">
        <v>1176</v>
      </c>
      <c r="D897">
        <v>1</v>
      </c>
      <c r="E897" s="307">
        <v>4</v>
      </c>
      <c r="F897" s="307" t="s">
        <v>7</v>
      </c>
      <c r="G897" s="307" t="s">
        <v>11</v>
      </c>
      <c r="H897" s="307" t="s">
        <v>11</v>
      </c>
    </row>
    <row r="898" spans="1:8" x14ac:dyDescent="0.2">
      <c r="A898" t="s">
        <v>27</v>
      </c>
      <c r="B898" t="s">
        <v>91</v>
      </c>
      <c r="C898" t="s">
        <v>692</v>
      </c>
      <c r="D898">
        <v>2</v>
      </c>
      <c r="E898" s="307">
        <v>4</v>
      </c>
      <c r="F898" s="307" t="s">
        <v>7</v>
      </c>
      <c r="G898" s="307" t="s">
        <v>11</v>
      </c>
      <c r="H898" s="307" t="s">
        <v>11</v>
      </c>
    </row>
    <row r="899" spans="1:8" x14ac:dyDescent="0.2">
      <c r="A899" t="s">
        <v>27</v>
      </c>
      <c r="B899" t="s">
        <v>91</v>
      </c>
      <c r="C899" t="s">
        <v>1319</v>
      </c>
      <c r="D899">
        <v>2</v>
      </c>
      <c r="E899" s="307">
        <v>4</v>
      </c>
      <c r="F899" s="307" t="s">
        <v>7</v>
      </c>
      <c r="G899" s="307" t="s">
        <v>11</v>
      </c>
      <c r="H899" s="307" t="s">
        <v>11</v>
      </c>
    </row>
    <row r="900" spans="1:8" x14ac:dyDescent="0.2">
      <c r="A900" t="s">
        <v>27</v>
      </c>
      <c r="B900" t="s">
        <v>91</v>
      </c>
      <c r="C900" t="s">
        <v>1320</v>
      </c>
      <c r="D900">
        <v>2</v>
      </c>
      <c r="E900" s="307">
        <v>4</v>
      </c>
      <c r="F900" s="307" t="s">
        <v>7</v>
      </c>
      <c r="G900" s="307" t="s">
        <v>11</v>
      </c>
      <c r="H900" s="307" t="s">
        <v>11</v>
      </c>
    </row>
    <row r="901" spans="1:8" x14ac:dyDescent="0.2">
      <c r="A901" t="s">
        <v>27</v>
      </c>
      <c r="B901" t="s">
        <v>91</v>
      </c>
      <c r="C901" t="s">
        <v>695</v>
      </c>
      <c r="D901">
        <v>2</v>
      </c>
      <c r="E901" s="307">
        <v>4</v>
      </c>
      <c r="F901" s="307" t="s">
        <v>7</v>
      </c>
      <c r="G901" s="307" t="s">
        <v>11</v>
      </c>
      <c r="H901" s="307" t="s">
        <v>11</v>
      </c>
    </row>
    <row r="902" spans="1:8" x14ac:dyDescent="0.2">
      <c r="A902" t="s">
        <v>27</v>
      </c>
      <c r="B902" t="s">
        <v>91</v>
      </c>
      <c r="C902" t="s">
        <v>920</v>
      </c>
      <c r="D902">
        <v>1</v>
      </c>
      <c r="E902" s="307">
        <v>5</v>
      </c>
      <c r="F902" s="307" t="s">
        <v>7</v>
      </c>
      <c r="G902" s="307" t="s">
        <v>11</v>
      </c>
      <c r="H902" s="307" t="s">
        <v>11</v>
      </c>
    </row>
    <row r="903" spans="1:8" x14ac:dyDescent="0.2">
      <c r="A903" t="s">
        <v>27</v>
      </c>
      <c r="B903" t="s">
        <v>91</v>
      </c>
      <c r="C903" t="s">
        <v>806</v>
      </c>
      <c r="D903">
        <v>2</v>
      </c>
      <c r="E903" s="307">
        <v>4</v>
      </c>
      <c r="F903" s="307" t="s">
        <v>7</v>
      </c>
      <c r="G903" s="307" t="s">
        <v>11</v>
      </c>
      <c r="H903" s="307" t="s">
        <v>11</v>
      </c>
    </row>
    <row r="904" spans="1:8" x14ac:dyDescent="0.2">
      <c r="A904" t="s">
        <v>27</v>
      </c>
      <c r="B904" t="s">
        <v>91</v>
      </c>
      <c r="C904" t="s">
        <v>699</v>
      </c>
      <c r="D904">
        <v>1</v>
      </c>
      <c r="E904" s="307">
        <v>4</v>
      </c>
      <c r="F904" s="307" t="s">
        <v>7</v>
      </c>
      <c r="G904" s="307" t="s">
        <v>11</v>
      </c>
      <c r="H904" s="307" t="s">
        <v>11</v>
      </c>
    </row>
    <row r="905" spans="1:8" x14ac:dyDescent="0.2">
      <c r="A905" t="s">
        <v>27</v>
      </c>
      <c r="B905" t="s">
        <v>91</v>
      </c>
      <c r="C905" t="s">
        <v>1321</v>
      </c>
      <c r="D905">
        <v>1</v>
      </c>
      <c r="E905" s="307">
        <v>5</v>
      </c>
      <c r="F905" s="307" t="s">
        <v>7</v>
      </c>
      <c r="G905" s="307" t="s">
        <v>11</v>
      </c>
      <c r="H905" s="307" t="s">
        <v>11</v>
      </c>
    </row>
    <row r="906" spans="1:8" x14ac:dyDescent="0.2">
      <c r="A906" t="s">
        <v>27</v>
      </c>
      <c r="B906" t="s">
        <v>91</v>
      </c>
      <c r="C906" t="s">
        <v>1322</v>
      </c>
      <c r="D906">
        <v>2</v>
      </c>
      <c r="E906" s="307">
        <v>4</v>
      </c>
      <c r="F906" s="307" t="s">
        <v>7</v>
      </c>
      <c r="G906" s="307" t="s">
        <v>11</v>
      </c>
      <c r="H906" s="307" t="s">
        <v>11</v>
      </c>
    </row>
    <row r="907" spans="1:8" x14ac:dyDescent="0.2">
      <c r="A907" t="s">
        <v>27</v>
      </c>
      <c r="B907" t="s">
        <v>91</v>
      </c>
      <c r="C907" t="s">
        <v>1323</v>
      </c>
      <c r="D907">
        <v>2</v>
      </c>
      <c r="E907" s="307">
        <v>4</v>
      </c>
      <c r="F907" s="307" t="s">
        <v>7</v>
      </c>
      <c r="G907" s="307" t="s">
        <v>11</v>
      </c>
      <c r="H907" s="307" t="s">
        <v>11</v>
      </c>
    </row>
    <row r="908" spans="1:8" x14ac:dyDescent="0.2">
      <c r="A908" t="s">
        <v>27</v>
      </c>
      <c r="B908" t="s">
        <v>91</v>
      </c>
      <c r="C908" t="s">
        <v>1324</v>
      </c>
      <c r="D908">
        <v>2</v>
      </c>
      <c r="E908" s="307">
        <v>4</v>
      </c>
      <c r="F908" s="307" t="s">
        <v>7</v>
      </c>
      <c r="G908" s="307" t="s">
        <v>11</v>
      </c>
      <c r="H908" s="307" t="s">
        <v>11</v>
      </c>
    </row>
    <row r="909" spans="1:8" x14ac:dyDescent="0.2">
      <c r="A909" t="s">
        <v>27</v>
      </c>
      <c r="B909" t="s">
        <v>91</v>
      </c>
      <c r="C909" t="s">
        <v>811</v>
      </c>
      <c r="D909">
        <v>2</v>
      </c>
      <c r="E909" s="307">
        <v>4</v>
      </c>
      <c r="F909" s="307" t="s">
        <v>7</v>
      </c>
      <c r="G909" s="307" t="s">
        <v>11</v>
      </c>
      <c r="H909" s="307" t="s">
        <v>11</v>
      </c>
    </row>
    <row r="910" spans="1:8" x14ac:dyDescent="0.2">
      <c r="A910" t="s">
        <v>27</v>
      </c>
      <c r="B910" t="s">
        <v>91</v>
      </c>
      <c r="C910" t="s">
        <v>1058</v>
      </c>
      <c r="D910">
        <v>1</v>
      </c>
      <c r="E910" s="307">
        <v>5</v>
      </c>
      <c r="F910" s="307" t="s">
        <v>7</v>
      </c>
      <c r="G910" s="307" t="s">
        <v>11</v>
      </c>
      <c r="H910" s="307" t="s">
        <v>11</v>
      </c>
    </row>
    <row r="911" spans="1:8" x14ac:dyDescent="0.2">
      <c r="A911" t="s">
        <v>27</v>
      </c>
      <c r="B911" t="s">
        <v>91</v>
      </c>
      <c r="C911" t="s">
        <v>1282</v>
      </c>
      <c r="D911">
        <v>1</v>
      </c>
      <c r="E911" s="307">
        <v>4</v>
      </c>
      <c r="F911" s="307" t="s">
        <v>7</v>
      </c>
      <c r="G911" s="307" t="s">
        <v>11</v>
      </c>
      <c r="H911" s="307" t="s">
        <v>11</v>
      </c>
    </row>
    <row r="912" spans="1:8" x14ac:dyDescent="0.2">
      <c r="A912" t="s">
        <v>27</v>
      </c>
      <c r="B912" t="s">
        <v>91</v>
      </c>
      <c r="C912" t="s">
        <v>1325</v>
      </c>
      <c r="D912">
        <v>2</v>
      </c>
      <c r="E912" s="307">
        <v>4</v>
      </c>
      <c r="F912" s="307" t="s">
        <v>7</v>
      </c>
      <c r="G912" s="307" t="s">
        <v>11</v>
      </c>
      <c r="H912" s="307" t="s">
        <v>11</v>
      </c>
    </row>
    <row r="913" spans="1:8" x14ac:dyDescent="0.2">
      <c r="A913" t="s">
        <v>27</v>
      </c>
      <c r="B913" t="s">
        <v>91</v>
      </c>
      <c r="C913" t="s">
        <v>929</v>
      </c>
      <c r="D913">
        <v>1</v>
      </c>
      <c r="E913" s="307">
        <v>4</v>
      </c>
      <c r="F913" s="307" t="s">
        <v>7</v>
      </c>
      <c r="G913" s="307" t="s">
        <v>11</v>
      </c>
      <c r="H913" s="307" t="s">
        <v>11</v>
      </c>
    </row>
    <row r="914" spans="1:8" x14ac:dyDescent="0.2">
      <c r="A914" t="s">
        <v>27</v>
      </c>
      <c r="B914" t="s">
        <v>91</v>
      </c>
      <c r="C914" t="s">
        <v>1187</v>
      </c>
      <c r="D914">
        <v>2</v>
      </c>
      <c r="E914" s="307">
        <v>4</v>
      </c>
      <c r="F914" s="307" t="s">
        <v>7</v>
      </c>
      <c r="G914" s="307" t="s">
        <v>11</v>
      </c>
      <c r="H914" s="307" t="s">
        <v>11</v>
      </c>
    </row>
    <row r="915" spans="1:8" x14ac:dyDescent="0.2">
      <c r="A915" t="s">
        <v>27</v>
      </c>
      <c r="B915" t="s">
        <v>91</v>
      </c>
      <c r="C915" t="s">
        <v>1326</v>
      </c>
      <c r="D915">
        <v>2</v>
      </c>
      <c r="E915" s="307">
        <v>4</v>
      </c>
      <c r="F915" s="307" t="s">
        <v>7</v>
      </c>
      <c r="G915" s="307" t="s">
        <v>11</v>
      </c>
      <c r="H915" s="307" t="s">
        <v>11</v>
      </c>
    </row>
    <row r="916" spans="1:8" x14ac:dyDescent="0.2">
      <c r="A916" t="s">
        <v>27</v>
      </c>
      <c r="B916" t="s">
        <v>91</v>
      </c>
      <c r="C916" t="s">
        <v>1327</v>
      </c>
      <c r="D916">
        <v>1</v>
      </c>
      <c r="E916" s="307">
        <v>5</v>
      </c>
      <c r="F916" s="307" t="s">
        <v>7</v>
      </c>
      <c r="G916" s="307" t="s">
        <v>11</v>
      </c>
      <c r="H916" s="307" t="s">
        <v>11</v>
      </c>
    </row>
    <row r="917" spans="1:8" x14ac:dyDescent="0.2">
      <c r="A917" t="s">
        <v>27</v>
      </c>
      <c r="B917" t="s">
        <v>91</v>
      </c>
      <c r="C917" t="s">
        <v>1328</v>
      </c>
      <c r="D917">
        <v>1</v>
      </c>
      <c r="E917" s="307">
        <v>4</v>
      </c>
      <c r="F917" s="307" t="s">
        <v>7</v>
      </c>
      <c r="G917" s="307" t="s">
        <v>11</v>
      </c>
      <c r="H917" s="307" t="s">
        <v>11</v>
      </c>
    </row>
    <row r="918" spans="1:8" x14ac:dyDescent="0.2">
      <c r="A918" t="s">
        <v>27</v>
      </c>
      <c r="B918" t="s">
        <v>91</v>
      </c>
      <c r="C918" t="s">
        <v>1329</v>
      </c>
      <c r="D918">
        <v>1</v>
      </c>
      <c r="E918" s="307">
        <v>4</v>
      </c>
      <c r="F918" s="307" t="s">
        <v>7</v>
      </c>
      <c r="G918" s="307" t="s">
        <v>11</v>
      </c>
      <c r="H918" s="307" t="s">
        <v>11</v>
      </c>
    </row>
    <row r="919" spans="1:8" x14ac:dyDescent="0.2">
      <c r="A919" t="s">
        <v>27</v>
      </c>
      <c r="B919" t="s">
        <v>91</v>
      </c>
      <c r="C919" t="s">
        <v>1188</v>
      </c>
      <c r="D919">
        <v>1</v>
      </c>
      <c r="E919" s="307">
        <v>4</v>
      </c>
      <c r="F919" s="307" t="s">
        <v>7</v>
      </c>
      <c r="G919" s="307" t="s">
        <v>11</v>
      </c>
      <c r="H919" s="307" t="s">
        <v>11</v>
      </c>
    </row>
    <row r="920" spans="1:8" x14ac:dyDescent="0.2">
      <c r="A920" t="s">
        <v>27</v>
      </c>
      <c r="B920" t="s">
        <v>91</v>
      </c>
      <c r="C920" t="s">
        <v>715</v>
      </c>
      <c r="D920">
        <v>2</v>
      </c>
      <c r="E920" s="307">
        <v>4</v>
      </c>
      <c r="F920" s="307" t="s">
        <v>7</v>
      </c>
      <c r="G920" s="307" t="s">
        <v>11</v>
      </c>
      <c r="H920" s="307" t="s">
        <v>11</v>
      </c>
    </row>
    <row r="921" spans="1:8" x14ac:dyDescent="0.2">
      <c r="A921" t="s">
        <v>27</v>
      </c>
      <c r="B921" t="s">
        <v>91</v>
      </c>
      <c r="C921" t="s">
        <v>1330</v>
      </c>
      <c r="D921">
        <v>1</v>
      </c>
      <c r="E921" s="307">
        <v>4</v>
      </c>
      <c r="F921" s="307" t="s">
        <v>7</v>
      </c>
      <c r="G921" s="307" t="s">
        <v>11</v>
      </c>
      <c r="H921" s="307" t="s">
        <v>11</v>
      </c>
    </row>
    <row r="922" spans="1:8" x14ac:dyDescent="0.2">
      <c r="A922" t="s">
        <v>27</v>
      </c>
      <c r="B922" t="s">
        <v>91</v>
      </c>
      <c r="C922" t="s">
        <v>1331</v>
      </c>
      <c r="D922">
        <v>1</v>
      </c>
      <c r="E922" s="307">
        <v>5</v>
      </c>
      <c r="F922" s="307" t="s">
        <v>7</v>
      </c>
      <c r="G922" s="307" t="s">
        <v>11</v>
      </c>
      <c r="H922" s="307" t="s">
        <v>11</v>
      </c>
    </row>
    <row r="923" spans="1:8" x14ac:dyDescent="0.2">
      <c r="A923" t="s">
        <v>27</v>
      </c>
      <c r="B923" t="s">
        <v>91</v>
      </c>
      <c r="C923" t="s">
        <v>787</v>
      </c>
      <c r="D923">
        <v>1</v>
      </c>
      <c r="E923" s="307">
        <v>5</v>
      </c>
      <c r="F923" s="307" t="s">
        <v>7</v>
      </c>
      <c r="G923" s="307" t="s">
        <v>11</v>
      </c>
      <c r="H923" s="307" t="s">
        <v>11</v>
      </c>
    </row>
    <row r="924" spans="1:8" x14ac:dyDescent="0.2">
      <c r="A924" t="s">
        <v>27</v>
      </c>
      <c r="B924" t="s">
        <v>91</v>
      </c>
      <c r="C924" t="s">
        <v>819</v>
      </c>
      <c r="D924">
        <v>1</v>
      </c>
      <c r="E924" s="307">
        <v>4</v>
      </c>
      <c r="F924" s="307" t="s">
        <v>7</v>
      </c>
      <c r="G924" s="307" t="s">
        <v>11</v>
      </c>
      <c r="H924" s="307" t="s">
        <v>11</v>
      </c>
    </row>
    <row r="925" spans="1:8" x14ac:dyDescent="0.2">
      <c r="A925" t="s">
        <v>27</v>
      </c>
      <c r="B925" t="s">
        <v>91</v>
      </c>
      <c r="C925" t="s">
        <v>1332</v>
      </c>
      <c r="D925">
        <v>1</v>
      </c>
      <c r="E925" s="307">
        <v>4</v>
      </c>
      <c r="F925" s="307" t="s">
        <v>7</v>
      </c>
      <c r="G925" s="307" t="s">
        <v>11</v>
      </c>
      <c r="H925" s="307" t="s">
        <v>11</v>
      </c>
    </row>
    <row r="926" spans="1:8" x14ac:dyDescent="0.2">
      <c r="A926" t="s">
        <v>27</v>
      </c>
      <c r="B926" t="s">
        <v>91</v>
      </c>
      <c r="C926" t="s">
        <v>1333</v>
      </c>
      <c r="D926">
        <v>1</v>
      </c>
      <c r="E926" s="307">
        <v>5</v>
      </c>
      <c r="F926" s="307" t="s">
        <v>7</v>
      </c>
      <c r="G926" s="307" t="s">
        <v>11</v>
      </c>
      <c r="H926" s="307" t="s">
        <v>11</v>
      </c>
    </row>
    <row r="927" spans="1:8" x14ac:dyDescent="0.2">
      <c r="A927" t="s">
        <v>27</v>
      </c>
      <c r="B927" t="s">
        <v>91</v>
      </c>
      <c r="C927" t="s">
        <v>1334</v>
      </c>
      <c r="D927">
        <v>2</v>
      </c>
      <c r="E927" s="307">
        <v>4</v>
      </c>
      <c r="F927" s="307" t="s">
        <v>7</v>
      </c>
      <c r="G927" s="307" t="s">
        <v>11</v>
      </c>
      <c r="H927" s="307" t="s">
        <v>11</v>
      </c>
    </row>
    <row r="928" spans="1:8" x14ac:dyDescent="0.2">
      <c r="A928" t="s">
        <v>27</v>
      </c>
      <c r="B928" t="s">
        <v>91</v>
      </c>
      <c r="C928" t="s">
        <v>995</v>
      </c>
      <c r="D928">
        <v>1</v>
      </c>
      <c r="E928" s="307">
        <v>5</v>
      </c>
      <c r="F928" s="307" t="s">
        <v>7</v>
      </c>
      <c r="G928" s="307" t="s">
        <v>11</v>
      </c>
      <c r="H928" s="307" t="s">
        <v>11</v>
      </c>
    </row>
    <row r="929" spans="1:8" x14ac:dyDescent="0.2">
      <c r="A929" t="s">
        <v>27</v>
      </c>
      <c r="B929" t="s">
        <v>91</v>
      </c>
      <c r="C929" t="s">
        <v>1335</v>
      </c>
      <c r="D929">
        <v>2</v>
      </c>
      <c r="E929" s="307">
        <v>4</v>
      </c>
      <c r="F929" s="307" t="s">
        <v>7</v>
      </c>
      <c r="G929" s="307" t="s">
        <v>11</v>
      </c>
      <c r="H929" s="307" t="s">
        <v>11</v>
      </c>
    </row>
    <row r="930" spans="1:8" x14ac:dyDescent="0.2">
      <c r="A930" t="s">
        <v>27</v>
      </c>
      <c r="B930" t="s">
        <v>91</v>
      </c>
      <c r="C930" t="s">
        <v>1336</v>
      </c>
      <c r="D930">
        <v>2</v>
      </c>
      <c r="E930" s="307">
        <v>4</v>
      </c>
      <c r="F930" s="307" t="s">
        <v>7</v>
      </c>
      <c r="G930" s="307" t="s">
        <v>11</v>
      </c>
      <c r="H930" s="307" t="s">
        <v>11</v>
      </c>
    </row>
    <row r="931" spans="1:8" x14ac:dyDescent="0.2">
      <c r="A931" t="s">
        <v>27</v>
      </c>
      <c r="B931" t="s">
        <v>91</v>
      </c>
      <c r="C931" t="s">
        <v>1337</v>
      </c>
      <c r="D931">
        <v>1</v>
      </c>
      <c r="E931" s="307">
        <v>4</v>
      </c>
      <c r="F931" s="307" t="s">
        <v>7</v>
      </c>
      <c r="G931" s="307" t="s">
        <v>11</v>
      </c>
      <c r="H931" s="307" t="s">
        <v>11</v>
      </c>
    </row>
    <row r="932" spans="1:8" x14ac:dyDescent="0.2">
      <c r="A932" t="s">
        <v>27</v>
      </c>
      <c r="B932" t="s">
        <v>91</v>
      </c>
      <c r="C932" t="s">
        <v>1338</v>
      </c>
      <c r="D932">
        <v>1</v>
      </c>
      <c r="E932" s="307">
        <v>4</v>
      </c>
      <c r="F932" s="307" t="s">
        <v>7</v>
      </c>
      <c r="G932" s="307" t="s">
        <v>11</v>
      </c>
      <c r="H932" s="307" t="s">
        <v>11</v>
      </c>
    </row>
    <row r="933" spans="1:8" x14ac:dyDescent="0.2">
      <c r="A933" t="s">
        <v>27</v>
      </c>
      <c r="B933" t="s">
        <v>91</v>
      </c>
      <c r="C933" t="s">
        <v>721</v>
      </c>
      <c r="D933">
        <v>1</v>
      </c>
      <c r="E933" s="307">
        <v>4</v>
      </c>
      <c r="F933" s="307" t="s">
        <v>7</v>
      </c>
      <c r="G933" s="307" t="s">
        <v>11</v>
      </c>
      <c r="H933" s="307" t="s">
        <v>11</v>
      </c>
    </row>
    <row r="934" spans="1:8" x14ac:dyDescent="0.2">
      <c r="A934" t="s">
        <v>27</v>
      </c>
      <c r="B934" t="s">
        <v>91</v>
      </c>
      <c r="C934" t="s">
        <v>722</v>
      </c>
      <c r="D934">
        <v>2</v>
      </c>
      <c r="E934" s="307">
        <v>4</v>
      </c>
      <c r="F934" s="307" t="s">
        <v>7</v>
      </c>
      <c r="G934" s="307" t="s">
        <v>11</v>
      </c>
      <c r="H934" s="307" t="s">
        <v>11</v>
      </c>
    </row>
    <row r="935" spans="1:8" x14ac:dyDescent="0.2">
      <c r="A935" t="s">
        <v>27</v>
      </c>
      <c r="B935" t="s">
        <v>91</v>
      </c>
      <c r="C935" t="s">
        <v>1339</v>
      </c>
      <c r="D935">
        <v>1</v>
      </c>
      <c r="E935" s="307">
        <v>5</v>
      </c>
      <c r="F935" s="307" t="s">
        <v>7</v>
      </c>
      <c r="G935" s="307" t="s">
        <v>11</v>
      </c>
      <c r="H935" s="307" t="s">
        <v>11</v>
      </c>
    </row>
    <row r="936" spans="1:8" x14ac:dyDescent="0.2">
      <c r="A936" t="s">
        <v>27</v>
      </c>
      <c r="B936" t="s">
        <v>91</v>
      </c>
      <c r="C936" t="s">
        <v>825</v>
      </c>
      <c r="D936">
        <v>1</v>
      </c>
      <c r="E936" s="307">
        <v>4</v>
      </c>
      <c r="F936" s="307" t="s">
        <v>7</v>
      </c>
      <c r="G936" s="307" t="s">
        <v>11</v>
      </c>
      <c r="H936" s="307" t="s">
        <v>11</v>
      </c>
    </row>
    <row r="937" spans="1:8" x14ac:dyDescent="0.2">
      <c r="A937" t="s">
        <v>27</v>
      </c>
      <c r="B937" t="s">
        <v>91</v>
      </c>
      <c r="C937" t="s">
        <v>1340</v>
      </c>
      <c r="D937">
        <v>1</v>
      </c>
      <c r="E937" s="307">
        <v>4</v>
      </c>
      <c r="F937" s="307" t="s">
        <v>7</v>
      </c>
      <c r="G937" s="307" t="s">
        <v>11</v>
      </c>
      <c r="H937" s="307" t="s">
        <v>11</v>
      </c>
    </row>
    <row r="938" spans="1:8" x14ac:dyDescent="0.2">
      <c r="A938" t="s">
        <v>27</v>
      </c>
      <c r="B938" t="s">
        <v>91</v>
      </c>
      <c r="C938" t="s">
        <v>1341</v>
      </c>
      <c r="D938">
        <v>1</v>
      </c>
      <c r="E938" s="307">
        <v>4</v>
      </c>
      <c r="F938" s="307" t="s">
        <v>7</v>
      </c>
      <c r="G938" s="307" t="s">
        <v>11</v>
      </c>
      <c r="H938" s="307" t="s">
        <v>11</v>
      </c>
    </row>
    <row r="939" spans="1:8" x14ac:dyDescent="0.2">
      <c r="A939" t="s">
        <v>27</v>
      </c>
      <c r="B939" t="s">
        <v>91</v>
      </c>
      <c r="C939" t="s">
        <v>940</v>
      </c>
      <c r="D939">
        <v>1</v>
      </c>
      <c r="E939" s="307">
        <v>4</v>
      </c>
      <c r="F939" s="307" t="s">
        <v>7</v>
      </c>
      <c r="G939" s="307" t="s">
        <v>11</v>
      </c>
      <c r="H939" s="307" t="s">
        <v>11</v>
      </c>
    </row>
    <row r="940" spans="1:8" x14ac:dyDescent="0.2">
      <c r="A940" t="s">
        <v>27</v>
      </c>
      <c r="B940" t="s">
        <v>91</v>
      </c>
      <c r="C940" t="s">
        <v>1342</v>
      </c>
      <c r="D940">
        <v>2</v>
      </c>
      <c r="E940" s="307">
        <v>4</v>
      </c>
      <c r="F940" s="307" t="s">
        <v>7</v>
      </c>
      <c r="G940" s="307" t="s">
        <v>11</v>
      </c>
      <c r="H940" s="307" t="s">
        <v>11</v>
      </c>
    </row>
    <row r="941" spans="1:8" x14ac:dyDescent="0.2">
      <c r="A941" t="s">
        <v>27</v>
      </c>
      <c r="B941" t="s">
        <v>91</v>
      </c>
      <c r="C941" t="s">
        <v>1343</v>
      </c>
      <c r="D941">
        <v>1</v>
      </c>
      <c r="E941" s="307">
        <v>5</v>
      </c>
      <c r="F941" s="307" t="s">
        <v>7</v>
      </c>
      <c r="G941" s="307" t="s">
        <v>11</v>
      </c>
      <c r="H941" s="307" t="s">
        <v>11</v>
      </c>
    </row>
    <row r="942" spans="1:8" x14ac:dyDescent="0.2">
      <c r="A942" t="s">
        <v>27</v>
      </c>
      <c r="B942" t="s">
        <v>91</v>
      </c>
      <c r="C942" t="s">
        <v>1344</v>
      </c>
      <c r="D942">
        <v>1</v>
      </c>
      <c r="E942" s="307">
        <v>4</v>
      </c>
      <c r="F942" s="307" t="s">
        <v>7</v>
      </c>
      <c r="G942" s="307" t="s">
        <v>11</v>
      </c>
      <c r="H942" s="307" t="s">
        <v>11</v>
      </c>
    </row>
    <row r="943" spans="1:8" x14ac:dyDescent="0.2">
      <c r="A943" t="s">
        <v>27</v>
      </c>
      <c r="B943" t="s">
        <v>91</v>
      </c>
      <c r="C943" t="s">
        <v>827</v>
      </c>
      <c r="D943">
        <v>1</v>
      </c>
      <c r="E943" s="307">
        <v>4</v>
      </c>
      <c r="F943" s="307" t="s">
        <v>7</v>
      </c>
      <c r="G943" s="307" t="s">
        <v>11</v>
      </c>
      <c r="H943" s="307" t="s">
        <v>11</v>
      </c>
    </row>
    <row r="944" spans="1:8" x14ac:dyDescent="0.2">
      <c r="A944" t="s">
        <v>27</v>
      </c>
      <c r="B944" t="s">
        <v>91</v>
      </c>
      <c r="C944" t="s">
        <v>1290</v>
      </c>
      <c r="D944">
        <v>2</v>
      </c>
      <c r="E944" s="307">
        <v>4</v>
      </c>
      <c r="F944" s="307" t="s">
        <v>7</v>
      </c>
      <c r="G944" s="307" t="s">
        <v>11</v>
      </c>
      <c r="H944" s="307" t="s">
        <v>11</v>
      </c>
    </row>
    <row r="945" spans="1:8" x14ac:dyDescent="0.2">
      <c r="A945" t="s">
        <v>27</v>
      </c>
      <c r="B945" t="s">
        <v>91</v>
      </c>
      <c r="C945" t="s">
        <v>829</v>
      </c>
      <c r="D945">
        <v>1</v>
      </c>
      <c r="E945" s="307">
        <v>5</v>
      </c>
      <c r="F945" s="307" t="s">
        <v>7</v>
      </c>
      <c r="G945" s="307" t="s">
        <v>11</v>
      </c>
      <c r="H945" s="307" t="s">
        <v>11</v>
      </c>
    </row>
    <row r="946" spans="1:8" x14ac:dyDescent="0.2">
      <c r="A946" t="s">
        <v>27</v>
      </c>
      <c r="B946" t="s">
        <v>91</v>
      </c>
      <c r="C946" t="s">
        <v>1293</v>
      </c>
      <c r="D946">
        <v>2</v>
      </c>
      <c r="E946" s="307">
        <v>4</v>
      </c>
      <c r="F946" s="307" t="s">
        <v>7</v>
      </c>
      <c r="G946" s="307" t="s">
        <v>11</v>
      </c>
      <c r="H946" s="307" t="s">
        <v>11</v>
      </c>
    </row>
    <row r="947" spans="1:8" x14ac:dyDescent="0.2">
      <c r="A947" t="s">
        <v>27</v>
      </c>
      <c r="B947" t="s">
        <v>91</v>
      </c>
      <c r="C947" t="s">
        <v>732</v>
      </c>
      <c r="D947">
        <v>1</v>
      </c>
      <c r="E947" s="307">
        <v>4</v>
      </c>
      <c r="F947" s="307" t="s">
        <v>7</v>
      </c>
      <c r="G947" s="307" t="s">
        <v>11</v>
      </c>
      <c r="H947" s="307" t="s">
        <v>11</v>
      </c>
    </row>
    <row r="948" spans="1:8" x14ac:dyDescent="0.2">
      <c r="A948" t="s">
        <v>27</v>
      </c>
      <c r="B948" t="s">
        <v>91</v>
      </c>
      <c r="C948" t="s">
        <v>733</v>
      </c>
      <c r="D948">
        <v>1</v>
      </c>
      <c r="E948" s="307">
        <v>4</v>
      </c>
      <c r="F948" s="307" t="s">
        <v>7</v>
      </c>
      <c r="G948" s="307" t="s">
        <v>11</v>
      </c>
      <c r="H948" s="307" t="s">
        <v>11</v>
      </c>
    </row>
    <row r="949" spans="1:8" x14ac:dyDescent="0.2">
      <c r="A949" t="s">
        <v>27</v>
      </c>
      <c r="B949" t="s">
        <v>91</v>
      </c>
      <c r="C949" t="s">
        <v>1345</v>
      </c>
      <c r="D949">
        <v>1</v>
      </c>
      <c r="E949" s="307">
        <v>4</v>
      </c>
      <c r="F949" s="307" t="s">
        <v>7</v>
      </c>
      <c r="G949" s="307" t="s">
        <v>11</v>
      </c>
      <c r="H949" s="307" t="s">
        <v>11</v>
      </c>
    </row>
    <row r="950" spans="1:8" x14ac:dyDescent="0.2">
      <c r="A950" t="s">
        <v>27</v>
      </c>
      <c r="B950" t="s">
        <v>91</v>
      </c>
      <c r="C950" t="s">
        <v>1346</v>
      </c>
      <c r="D950">
        <v>1</v>
      </c>
      <c r="E950" s="307">
        <v>4</v>
      </c>
      <c r="F950" s="307" t="s">
        <v>7</v>
      </c>
      <c r="G950" s="307" t="s">
        <v>11</v>
      </c>
      <c r="H950" s="307" t="s">
        <v>11</v>
      </c>
    </row>
    <row r="951" spans="1:8" x14ac:dyDescent="0.2">
      <c r="A951" t="s">
        <v>27</v>
      </c>
      <c r="B951" t="s">
        <v>91</v>
      </c>
      <c r="C951" t="s">
        <v>1246</v>
      </c>
      <c r="D951">
        <v>2</v>
      </c>
      <c r="E951" s="307">
        <v>4</v>
      </c>
      <c r="F951" s="307" t="s">
        <v>7</v>
      </c>
      <c r="G951" s="307" t="s">
        <v>11</v>
      </c>
      <c r="H951" s="307" t="s">
        <v>11</v>
      </c>
    </row>
    <row r="952" spans="1:8" x14ac:dyDescent="0.2">
      <c r="A952" t="s">
        <v>27</v>
      </c>
      <c r="B952" t="s">
        <v>91</v>
      </c>
      <c r="C952" t="s">
        <v>1096</v>
      </c>
      <c r="D952">
        <v>1</v>
      </c>
      <c r="E952" s="307">
        <v>5</v>
      </c>
      <c r="F952" s="307" t="s">
        <v>7</v>
      </c>
      <c r="G952" s="307" t="s">
        <v>11</v>
      </c>
      <c r="H952" s="307" t="s">
        <v>11</v>
      </c>
    </row>
    <row r="953" spans="1:8" x14ac:dyDescent="0.2">
      <c r="A953" t="s">
        <v>27</v>
      </c>
      <c r="B953" t="s">
        <v>91</v>
      </c>
      <c r="C953" t="s">
        <v>736</v>
      </c>
      <c r="D953">
        <v>2</v>
      </c>
      <c r="E953" s="307">
        <v>4</v>
      </c>
      <c r="F953" s="307" t="s">
        <v>7</v>
      </c>
      <c r="G953" s="307" t="s">
        <v>11</v>
      </c>
      <c r="H953" s="307" t="s">
        <v>11</v>
      </c>
    </row>
    <row r="954" spans="1:8" x14ac:dyDescent="0.2">
      <c r="A954" t="s">
        <v>27</v>
      </c>
      <c r="B954" t="s">
        <v>91</v>
      </c>
      <c r="C954" t="s">
        <v>1347</v>
      </c>
      <c r="D954">
        <v>2</v>
      </c>
      <c r="E954" s="307">
        <v>4</v>
      </c>
      <c r="F954" s="307" t="s">
        <v>7</v>
      </c>
      <c r="G954" s="307" t="s">
        <v>11</v>
      </c>
      <c r="H954" s="307" t="s">
        <v>11</v>
      </c>
    </row>
    <row r="955" spans="1:8" x14ac:dyDescent="0.2">
      <c r="A955" t="s">
        <v>27</v>
      </c>
      <c r="B955" t="s">
        <v>91</v>
      </c>
      <c r="C955" t="s">
        <v>1348</v>
      </c>
      <c r="D955">
        <v>2</v>
      </c>
      <c r="E955" s="307">
        <v>4</v>
      </c>
      <c r="F955" s="307" t="s">
        <v>7</v>
      </c>
      <c r="G955" s="307" t="s">
        <v>11</v>
      </c>
      <c r="H955" s="307" t="s">
        <v>11</v>
      </c>
    </row>
    <row r="956" spans="1:8" x14ac:dyDescent="0.2">
      <c r="A956" t="s">
        <v>27</v>
      </c>
      <c r="B956" t="s">
        <v>91</v>
      </c>
      <c r="C956" t="s">
        <v>1349</v>
      </c>
      <c r="D956">
        <v>1</v>
      </c>
      <c r="E956" s="307">
        <v>4</v>
      </c>
      <c r="F956" s="307" t="s">
        <v>7</v>
      </c>
      <c r="G956" s="307" t="s">
        <v>11</v>
      </c>
      <c r="H956" s="307" t="s">
        <v>11</v>
      </c>
    </row>
    <row r="957" spans="1:8" x14ac:dyDescent="0.2">
      <c r="A957" t="s">
        <v>27</v>
      </c>
      <c r="B957" t="s">
        <v>91</v>
      </c>
      <c r="C957" t="s">
        <v>1350</v>
      </c>
      <c r="D957">
        <v>2</v>
      </c>
      <c r="E957" s="307">
        <v>4</v>
      </c>
      <c r="F957" s="307" t="s">
        <v>7</v>
      </c>
      <c r="G957" s="307" t="s">
        <v>11</v>
      </c>
      <c r="H957" s="307" t="s">
        <v>11</v>
      </c>
    </row>
    <row r="958" spans="1:8" x14ac:dyDescent="0.2">
      <c r="A958" t="s">
        <v>27</v>
      </c>
      <c r="B958" t="s">
        <v>91</v>
      </c>
      <c r="C958" t="s">
        <v>1351</v>
      </c>
      <c r="D958">
        <v>1</v>
      </c>
      <c r="E958" s="307">
        <v>5</v>
      </c>
      <c r="F958" s="307" t="s">
        <v>7</v>
      </c>
      <c r="G958" s="307" t="s">
        <v>11</v>
      </c>
      <c r="H958" s="307" t="s">
        <v>11</v>
      </c>
    </row>
    <row r="959" spans="1:8" x14ac:dyDescent="0.2">
      <c r="A959" t="s">
        <v>27</v>
      </c>
      <c r="B959" t="s">
        <v>91</v>
      </c>
      <c r="C959" t="s">
        <v>1352</v>
      </c>
      <c r="D959">
        <v>1</v>
      </c>
      <c r="E959" s="307">
        <v>5</v>
      </c>
      <c r="F959" s="307" t="s">
        <v>7</v>
      </c>
      <c r="G959" s="307" t="s">
        <v>11</v>
      </c>
      <c r="H959" s="307" t="s">
        <v>11</v>
      </c>
    </row>
    <row r="960" spans="1:8" x14ac:dyDescent="0.2">
      <c r="A960" t="s">
        <v>27</v>
      </c>
      <c r="B960" t="s">
        <v>91</v>
      </c>
      <c r="C960" t="s">
        <v>1353</v>
      </c>
      <c r="D960">
        <v>2</v>
      </c>
      <c r="E960" s="307">
        <v>4</v>
      </c>
      <c r="F960" s="307" t="s">
        <v>7</v>
      </c>
      <c r="G960" s="307" t="s">
        <v>11</v>
      </c>
      <c r="H960" s="307" t="s">
        <v>11</v>
      </c>
    </row>
    <row r="961" spans="1:8" x14ac:dyDescent="0.2">
      <c r="A961" t="s">
        <v>27</v>
      </c>
      <c r="B961" t="s">
        <v>91</v>
      </c>
      <c r="C961" t="s">
        <v>1354</v>
      </c>
      <c r="D961">
        <v>1</v>
      </c>
      <c r="E961" s="307">
        <v>5</v>
      </c>
      <c r="F961" s="307" t="s">
        <v>7</v>
      </c>
      <c r="G961" s="307" t="s">
        <v>11</v>
      </c>
      <c r="H961" s="307" t="s">
        <v>11</v>
      </c>
    </row>
    <row r="962" spans="1:8" x14ac:dyDescent="0.2">
      <c r="A962" t="s">
        <v>27</v>
      </c>
      <c r="B962" t="s">
        <v>91</v>
      </c>
      <c r="C962" t="s">
        <v>1355</v>
      </c>
      <c r="D962">
        <v>1</v>
      </c>
      <c r="E962" s="307">
        <v>4</v>
      </c>
      <c r="F962" s="307" t="s">
        <v>7</v>
      </c>
      <c r="G962" s="307" t="s">
        <v>11</v>
      </c>
      <c r="H962" s="307" t="s">
        <v>11</v>
      </c>
    </row>
    <row r="963" spans="1:8" x14ac:dyDescent="0.2">
      <c r="A963" t="s">
        <v>27</v>
      </c>
      <c r="B963" t="s">
        <v>91</v>
      </c>
      <c r="C963" t="s">
        <v>1356</v>
      </c>
      <c r="D963">
        <v>1</v>
      </c>
      <c r="E963" s="307">
        <v>4</v>
      </c>
      <c r="F963" s="307" t="s">
        <v>7</v>
      </c>
      <c r="G963" s="307" t="s">
        <v>11</v>
      </c>
      <c r="H963" s="307" t="s">
        <v>11</v>
      </c>
    </row>
    <row r="964" spans="1:8" x14ac:dyDescent="0.2">
      <c r="A964" t="s">
        <v>27</v>
      </c>
      <c r="B964" t="s">
        <v>91</v>
      </c>
      <c r="C964" t="s">
        <v>836</v>
      </c>
      <c r="D964">
        <v>1</v>
      </c>
      <c r="E964" s="307">
        <v>5</v>
      </c>
      <c r="F964" s="307" t="s">
        <v>7</v>
      </c>
      <c r="G964" s="307" t="s">
        <v>11</v>
      </c>
      <c r="H964" s="307" t="s">
        <v>11</v>
      </c>
    </row>
    <row r="965" spans="1:8" x14ac:dyDescent="0.2">
      <c r="A965" t="s">
        <v>27</v>
      </c>
      <c r="B965" t="s">
        <v>91</v>
      </c>
      <c r="C965" t="s">
        <v>1357</v>
      </c>
      <c r="D965">
        <v>1</v>
      </c>
      <c r="E965" s="307">
        <v>4</v>
      </c>
      <c r="F965" s="307" t="s">
        <v>7</v>
      </c>
      <c r="G965" s="307" t="s">
        <v>11</v>
      </c>
      <c r="H965" s="307" t="s">
        <v>11</v>
      </c>
    </row>
    <row r="966" spans="1:8" x14ac:dyDescent="0.2">
      <c r="A966" t="s">
        <v>27</v>
      </c>
      <c r="B966" t="s">
        <v>91</v>
      </c>
      <c r="C966" t="s">
        <v>1358</v>
      </c>
      <c r="D966">
        <v>1</v>
      </c>
      <c r="E966" s="307">
        <v>4</v>
      </c>
      <c r="F966" s="307" t="s">
        <v>7</v>
      </c>
      <c r="G966" s="307" t="s">
        <v>11</v>
      </c>
      <c r="H966" s="307" t="s">
        <v>11</v>
      </c>
    </row>
    <row r="967" spans="1:8" x14ac:dyDescent="0.2">
      <c r="A967" t="s">
        <v>27</v>
      </c>
      <c r="B967" t="s">
        <v>91</v>
      </c>
      <c r="C967" t="s">
        <v>1359</v>
      </c>
      <c r="D967">
        <v>1</v>
      </c>
      <c r="E967" s="307">
        <v>5</v>
      </c>
      <c r="F967" s="307" t="s">
        <v>7</v>
      </c>
      <c r="G967" s="307" t="s">
        <v>11</v>
      </c>
      <c r="H967" s="307" t="s">
        <v>11</v>
      </c>
    </row>
    <row r="968" spans="1:8" x14ac:dyDescent="0.2">
      <c r="A968" t="s">
        <v>27</v>
      </c>
      <c r="B968" t="s">
        <v>91</v>
      </c>
      <c r="C968" t="s">
        <v>1360</v>
      </c>
      <c r="D968">
        <v>2</v>
      </c>
      <c r="E968" s="307">
        <v>4</v>
      </c>
      <c r="F968" s="307" t="s">
        <v>7</v>
      </c>
      <c r="G968" s="307" t="s">
        <v>11</v>
      </c>
      <c r="H968" s="307" t="s">
        <v>11</v>
      </c>
    </row>
    <row r="969" spans="1:8" x14ac:dyDescent="0.2">
      <c r="A969" t="s">
        <v>27</v>
      </c>
      <c r="B969" t="s">
        <v>91</v>
      </c>
      <c r="C969" t="s">
        <v>1361</v>
      </c>
      <c r="D969">
        <v>1</v>
      </c>
      <c r="E969" s="307">
        <v>5</v>
      </c>
      <c r="F969" s="307" t="s">
        <v>7</v>
      </c>
      <c r="G969" s="307" t="s">
        <v>11</v>
      </c>
      <c r="H969" s="307" t="s">
        <v>11</v>
      </c>
    </row>
    <row r="970" spans="1:8" x14ac:dyDescent="0.2">
      <c r="A970" t="s">
        <v>27</v>
      </c>
      <c r="B970" t="s">
        <v>91</v>
      </c>
      <c r="C970" t="s">
        <v>1362</v>
      </c>
      <c r="D970">
        <v>1</v>
      </c>
      <c r="E970" s="307">
        <v>4</v>
      </c>
      <c r="F970" s="307" t="s">
        <v>7</v>
      </c>
      <c r="G970" s="307" t="s">
        <v>11</v>
      </c>
      <c r="H970" s="307" t="s">
        <v>11</v>
      </c>
    </row>
    <row r="971" spans="1:8" x14ac:dyDescent="0.2">
      <c r="A971" t="s">
        <v>27</v>
      </c>
      <c r="B971" t="s">
        <v>91</v>
      </c>
      <c r="C971" t="s">
        <v>1363</v>
      </c>
      <c r="D971">
        <v>1</v>
      </c>
      <c r="E971" s="307">
        <v>4</v>
      </c>
      <c r="F971" s="307" t="s">
        <v>7</v>
      </c>
      <c r="G971" s="307" t="s">
        <v>11</v>
      </c>
      <c r="H971" s="307" t="s">
        <v>11</v>
      </c>
    </row>
    <row r="972" spans="1:8" x14ac:dyDescent="0.2">
      <c r="A972" t="s">
        <v>27</v>
      </c>
      <c r="B972" t="s">
        <v>91</v>
      </c>
      <c r="C972" t="s">
        <v>1364</v>
      </c>
      <c r="D972">
        <v>1</v>
      </c>
      <c r="E972" s="307">
        <v>5</v>
      </c>
      <c r="F972" s="307" t="s">
        <v>7</v>
      </c>
      <c r="G972" s="307" t="s">
        <v>11</v>
      </c>
      <c r="H972" s="307" t="s">
        <v>11</v>
      </c>
    </row>
    <row r="973" spans="1:8" x14ac:dyDescent="0.2">
      <c r="A973" t="s">
        <v>27</v>
      </c>
      <c r="B973" t="s">
        <v>91</v>
      </c>
      <c r="C973" t="s">
        <v>1254</v>
      </c>
      <c r="D973">
        <v>1</v>
      </c>
      <c r="E973" s="307">
        <v>4</v>
      </c>
      <c r="F973" s="307" t="s">
        <v>7</v>
      </c>
      <c r="G973" s="307" t="s">
        <v>11</v>
      </c>
      <c r="H973" s="307" t="s">
        <v>11</v>
      </c>
    </row>
    <row r="974" spans="1:8" x14ac:dyDescent="0.2">
      <c r="A974" t="s">
        <v>27</v>
      </c>
      <c r="B974" t="s">
        <v>91</v>
      </c>
      <c r="C974" t="s">
        <v>742</v>
      </c>
      <c r="D974">
        <v>1</v>
      </c>
      <c r="E974" s="307">
        <v>4</v>
      </c>
      <c r="F974" s="307" t="s">
        <v>7</v>
      </c>
      <c r="G974" s="307" t="s">
        <v>11</v>
      </c>
      <c r="H974" s="307" t="s">
        <v>11</v>
      </c>
    </row>
    <row r="975" spans="1:8" x14ac:dyDescent="0.2">
      <c r="A975" t="s">
        <v>27</v>
      </c>
      <c r="B975" t="s">
        <v>91</v>
      </c>
      <c r="C975" t="s">
        <v>843</v>
      </c>
      <c r="D975">
        <v>1</v>
      </c>
      <c r="E975" s="307">
        <v>4</v>
      </c>
      <c r="F975" s="307" t="s">
        <v>7</v>
      </c>
      <c r="G975" s="307" t="s">
        <v>11</v>
      </c>
      <c r="H975" s="307" t="s">
        <v>11</v>
      </c>
    </row>
    <row r="976" spans="1:8" x14ac:dyDescent="0.2">
      <c r="A976" t="s">
        <v>27</v>
      </c>
      <c r="B976" t="s">
        <v>91</v>
      </c>
      <c r="C976" t="s">
        <v>844</v>
      </c>
      <c r="D976">
        <v>1</v>
      </c>
      <c r="E976" s="307">
        <v>5</v>
      </c>
      <c r="F976" s="307" t="s">
        <v>7</v>
      </c>
      <c r="G976" s="307" t="s">
        <v>11</v>
      </c>
      <c r="H976" s="307" t="s">
        <v>11</v>
      </c>
    </row>
    <row r="977" spans="1:8" x14ac:dyDescent="0.2">
      <c r="A977" t="s">
        <v>27</v>
      </c>
      <c r="B977" t="s">
        <v>91</v>
      </c>
      <c r="C977" t="s">
        <v>962</v>
      </c>
      <c r="D977">
        <v>2</v>
      </c>
      <c r="E977" s="307">
        <v>4</v>
      </c>
      <c r="F977" s="307" t="s">
        <v>7</v>
      </c>
      <c r="G977" s="307" t="s">
        <v>11</v>
      </c>
      <c r="H977" s="307" t="s">
        <v>11</v>
      </c>
    </row>
    <row r="978" spans="1:8" x14ac:dyDescent="0.2">
      <c r="A978" t="s">
        <v>27</v>
      </c>
      <c r="B978" t="s">
        <v>91</v>
      </c>
      <c r="C978" t="s">
        <v>1365</v>
      </c>
      <c r="D978">
        <v>2</v>
      </c>
      <c r="E978" s="307">
        <v>4</v>
      </c>
      <c r="F978" s="307" t="s">
        <v>7</v>
      </c>
      <c r="G978" s="307" t="s">
        <v>11</v>
      </c>
      <c r="H978" s="307" t="s">
        <v>11</v>
      </c>
    </row>
    <row r="979" spans="1:8" x14ac:dyDescent="0.2">
      <c r="A979" t="s">
        <v>27</v>
      </c>
      <c r="B979" t="s">
        <v>91</v>
      </c>
      <c r="C979" t="s">
        <v>1366</v>
      </c>
      <c r="D979">
        <v>2</v>
      </c>
      <c r="E979" s="307">
        <v>4</v>
      </c>
      <c r="F979" s="307" t="s">
        <v>7</v>
      </c>
      <c r="G979" s="307" t="s">
        <v>11</v>
      </c>
      <c r="H979" s="307" t="s">
        <v>11</v>
      </c>
    </row>
    <row r="980" spans="1:8" x14ac:dyDescent="0.2">
      <c r="A980" t="s">
        <v>27</v>
      </c>
      <c r="B980" t="s">
        <v>91</v>
      </c>
      <c r="C980" t="s">
        <v>1367</v>
      </c>
      <c r="D980">
        <v>1</v>
      </c>
      <c r="E980" s="307">
        <v>5</v>
      </c>
      <c r="F980" s="307" t="s">
        <v>7</v>
      </c>
      <c r="G980" s="307" t="s">
        <v>11</v>
      </c>
      <c r="H980" s="307" t="s">
        <v>11</v>
      </c>
    </row>
    <row r="981" spans="1:8" x14ac:dyDescent="0.2">
      <c r="A981" t="s">
        <v>27</v>
      </c>
      <c r="B981" t="s">
        <v>91</v>
      </c>
      <c r="C981" t="s">
        <v>1368</v>
      </c>
      <c r="D981">
        <v>1</v>
      </c>
      <c r="E981" s="307">
        <v>5</v>
      </c>
      <c r="F981" s="307" t="s">
        <v>7</v>
      </c>
      <c r="G981" s="307" t="s">
        <v>11</v>
      </c>
      <c r="H981" s="307" t="s">
        <v>11</v>
      </c>
    </row>
    <row r="982" spans="1:8" x14ac:dyDescent="0.2">
      <c r="A982" t="s">
        <v>27</v>
      </c>
      <c r="B982" t="s">
        <v>91</v>
      </c>
      <c r="C982" t="s">
        <v>1369</v>
      </c>
      <c r="D982">
        <v>1</v>
      </c>
      <c r="E982" s="307">
        <v>5</v>
      </c>
      <c r="F982" s="307" t="s">
        <v>7</v>
      </c>
      <c r="G982" s="307" t="s">
        <v>11</v>
      </c>
      <c r="H982" s="307" t="s">
        <v>11</v>
      </c>
    </row>
    <row r="983" spans="1:8" x14ac:dyDescent="0.2">
      <c r="A983" t="s">
        <v>27</v>
      </c>
      <c r="B983" t="s">
        <v>91</v>
      </c>
      <c r="C983" t="s">
        <v>1370</v>
      </c>
      <c r="D983">
        <v>2</v>
      </c>
      <c r="E983" s="307">
        <v>4</v>
      </c>
      <c r="F983" s="307" t="s">
        <v>7</v>
      </c>
      <c r="G983" s="307" t="s">
        <v>11</v>
      </c>
      <c r="H983" s="307" t="s">
        <v>11</v>
      </c>
    </row>
    <row r="984" spans="1:8" x14ac:dyDescent="0.2">
      <c r="A984" t="s">
        <v>27</v>
      </c>
      <c r="B984" t="s">
        <v>91</v>
      </c>
      <c r="C984" t="s">
        <v>1371</v>
      </c>
      <c r="D984">
        <v>1</v>
      </c>
      <c r="E984" s="307">
        <v>4</v>
      </c>
      <c r="F984" s="307" t="s">
        <v>7</v>
      </c>
      <c r="G984" s="307" t="s">
        <v>11</v>
      </c>
      <c r="H984" s="307" t="s">
        <v>11</v>
      </c>
    </row>
    <row r="985" spans="1:8" x14ac:dyDescent="0.2">
      <c r="A985" t="s">
        <v>27</v>
      </c>
      <c r="B985" t="s">
        <v>91</v>
      </c>
      <c r="C985" t="s">
        <v>1372</v>
      </c>
      <c r="D985">
        <v>2</v>
      </c>
      <c r="E985" s="307">
        <v>4</v>
      </c>
      <c r="F985" s="307" t="s">
        <v>7</v>
      </c>
      <c r="G985" s="307" t="s">
        <v>11</v>
      </c>
      <c r="H985" s="307" t="s">
        <v>11</v>
      </c>
    </row>
    <row r="986" spans="1:8" x14ac:dyDescent="0.2">
      <c r="A986" t="s">
        <v>27</v>
      </c>
      <c r="B986" t="s">
        <v>91</v>
      </c>
      <c r="C986" t="s">
        <v>1373</v>
      </c>
      <c r="D986">
        <v>2</v>
      </c>
      <c r="E986" s="307">
        <v>4</v>
      </c>
      <c r="F986" s="307" t="s">
        <v>7</v>
      </c>
      <c r="G986" s="307" t="s">
        <v>11</v>
      </c>
      <c r="H986" s="307" t="s">
        <v>11</v>
      </c>
    </row>
    <row r="987" spans="1:8" x14ac:dyDescent="0.2">
      <c r="A987" t="s">
        <v>27</v>
      </c>
      <c r="B987" t="s">
        <v>91</v>
      </c>
      <c r="C987" t="s">
        <v>1118</v>
      </c>
      <c r="D987">
        <v>1</v>
      </c>
      <c r="E987" s="307">
        <v>5</v>
      </c>
      <c r="F987" s="307" t="s">
        <v>7</v>
      </c>
      <c r="G987" s="307" t="s">
        <v>11</v>
      </c>
      <c r="H987" s="307" t="s">
        <v>11</v>
      </c>
    </row>
    <row r="988" spans="1:8" x14ac:dyDescent="0.2">
      <c r="A988" t="s">
        <v>27</v>
      </c>
      <c r="B988" t="s">
        <v>91</v>
      </c>
      <c r="C988" t="s">
        <v>1374</v>
      </c>
      <c r="D988">
        <v>1</v>
      </c>
      <c r="E988" s="307">
        <v>5</v>
      </c>
      <c r="F988" s="307" t="s">
        <v>7</v>
      </c>
      <c r="G988" s="307" t="s">
        <v>11</v>
      </c>
      <c r="H988" s="307" t="s">
        <v>11</v>
      </c>
    </row>
    <row r="989" spans="1:8" x14ac:dyDescent="0.2">
      <c r="A989" t="s">
        <v>27</v>
      </c>
      <c r="B989" t="s">
        <v>91</v>
      </c>
      <c r="C989" t="s">
        <v>1375</v>
      </c>
      <c r="D989">
        <v>2</v>
      </c>
      <c r="E989" s="307">
        <v>4</v>
      </c>
      <c r="F989" s="307" t="s">
        <v>7</v>
      </c>
      <c r="G989" s="307" t="s">
        <v>11</v>
      </c>
      <c r="H989" s="307" t="s">
        <v>11</v>
      </c>
    </row>
    <row r="990" spans="1:8" x14ac:dyDescent="0.2">
      <c r="A990" t="s">
        <v>27</v>
      </c>
      <c r="B990" t="s">
        <v>91</v>
      </c>
      <c r="C990" t="s">
        <v>1376</v>
      </c>
      <c r="D990">
        <v>1</v>
      </c>
      <c r="E990" s="307">
        <v>5</v>
      </c>
      <c r="F990" s="307" t="s">
        <v>7</v>
      </c>
      <c r="G990" s="307" t="s">
        <v>11</v>
      </c>
      <c r="H990" s="307" t="s">
        <v>11</v>
      </c>
    </row>
    <row r="991" spans="1:8" x14ac:dyDescent="0.2">
      <c r="A991" t="s">
        <v>27</v>
      </c>
      <c r="B991" t="s">
        <v>91</v>
      </c>
      <c r="C991" t="s">
        <v>750</v>
      </c>
      <c r="D991">
        <v>1</v>
      </c>
      <c r="E991" s="307">
        <v>4</v>
      </c>
      <c r="F991" s="307" t="s">
        <v>7</v>
      </c>
      <c r="G991" s="307" t="s">
        <v>11</v>
      </c>
      <c r="H991" s="307" t="s">
        <v>11</v>
      </c>
    </row>
    <row r="992" spans="1:8" x14ac:dyDescent="0.2">
      <c r="A992" t="s">
        <v>27</v>
      </c>
      <c r="B992" t="s">
        <v>91</v>
      </c>
      <c r="C992" t="s">
        <v>1377</v>
      </c>
      <c r="D992">
        <v>1</v>
      </c>
      <c r="E992" s="307">
        <v>5</v>
      </c>
      <c r="F992" s="307" t="s">
        <v>7</v>
      </c>
      <c r="G992" s="307" t="s">
        <v>11</v>
      </c>
      <c r="H992" s="307" t="s">
        <v>11</v>
      </c>
    </row>
    <row r="993" spans="1:8" x14ac:dyDescent="0.2">
      <c r="A993" t="s">
        <v>27</v>
      </c>
      <c r="B993" t="s">
        <v>91</v>
      </c>
      <c r="C993" t="s">
        <v>1378</v>
      </c>
      <c r="D993">
        <v>2</v>
      </c>
      <c r="E993" s="307">
        <v>4</v>
      </c>
      <c r="F993" s="307" t="s">
        <v>7</v>
      </c>
      <c r="G993" s="307" t="s">
        <v>11</v>
      </c>
      <c r="H993" s="307" t="s">
        <v>11</v>
      </c>
    </row>
    <row r="994" spans="1:8" x14ac:dyDescent="0.2">
      <c r="A994" t="s">
        <v>27</v>
      </c>
      <c r="B994" t="s">
        <v>91</v>
      </c>
      <c r="C994" t="s">
        <v>1379</v>
      </c>
      <c r="D994">
        <v>2</v>
      </c>
      <c r="E994" s="307">
        <v>4</v>
      </c>
      <c r="F994" s="307" t="s">
        <v>7</v>
      </c>
      <c r="G994" s="307" t="s">
        <v>11</v>
      </c>
      <c r="H994" s="307" t="s">
        <v>11</v>
      </c>
    </row>
    <row r="995" spans="1:8" x14ac:dyDescent="0.2">
      <c r="A995" t="s">
        <v>27</v>
      </c>
      <c r="B995" t="s">
        <v>91</v>
      </c>
      <c r="C995" t="s">
        <v>1380</v>
      </c>
      <c r="D995">
        <v>1</v>
      </c>
      <c r="E995" s="307">
        <v>4</v>
      </c>
      <c r="F995" s="307" t="s">
        <v>7</v>
      </c>
      <c r="G995" s="307" t="s">
        <v>11</v>
      </c>
      <c r="H995" s="307" t="s">
        <v>11</v>
      </c>
    </row>
    <row r="996" spans="1:8" x14ac:dyDescent="0.2">
      <c r="A996" t="s">
        <v>28</v>
      </c>
      <c r="B996" t="s">
        <v>109</v>
      </c>
      <c r="C996" t="s">
        <v>1269</v>
      </c>
      <c r="D996">
        <v>1</v>
      </c>
      <c r="E996" s="307">
        <v>4</v>
      </c>
      <c r="F996" s="307" t="s">
        <v>7</v>
      </c>
      <c r="G996" s="307" t="s">
        <v>11</v>
      </c>
      <c r="H996" s="307" t="s">
        <v>11</v>
      </c>
    </row>
    <row r="997" spans="1:8" x14ac:dyDescent="0.2">
      <c r="A997" t="s">
        <v>28</v>
      </c>
      <c r="B997" t="s">
        <v>109</v>
      </c>
      <c r="C997" t="s">
        <v>1228</v>
      </c>
      <c r="D997">
        <v>1</v>
      </c>
      <c r="E997" s="307">
        <v>4</v>
      </c>
      <c r="F997" s="307" t="s">
        <v>7</v>
      </c>
      <c r="G997" s="307" t="s">
        <v>11</v>
      </c>
      <c r="H997" s="307" t="s">
        <v>11</v>
      </c>
    </row>
    <row r="998" spans="1:8" x14ac:dyDescent="0.2">
      <c r="A998" t="s">
        <v>28</v>
      </c>
      <c r="B998" t="s">
        <v>109</v>
      </c>
      <c r="C998" t="s">
        <v>1314</v>
      </c>
      <c r="D998">
        <v>2</v>
      </c>
      <c r="E998" s="307">
        <v>4</v>
      </c>
      <c r="F998" s="307" t="s">
        <v>7</v>
      </c>
      <c r="G998" s="307" t="s">
        <v>11</v>
      </c>
      <c r="H998" s="307" t="s">
        <v>11</v>
      </c>
    </row>
    <row r="999" spans="1:8" x14ac:dyDescent="0.2">
      <c r="A999" t="s">
        <v>28</v>
      </c>
      <c r="B999" t="s">
        <v>109</v>
      </c>
      <c r="C999" t="s">
        <v>1381</v>
      </c>
      <c r="D999">
        <v>3</v>
      </c>
      <c r="E999" s="307">
        <v>4</v>
      </c>
      <c r="F999" s="307" t="s">
        <v>7</v>
      </c>
      <c r="G999" s="307" t="s">
        <v>11</v>
      </c>
      <c r="H999" s="307" t="s">
        <v>11</v>
      </c>
    </row>
    <row r="1000" spans="1:8" x14ac:dyDescent="0.2">
      <c r="A1000" t="s">
        <v>28</v>
      </c>
      <c r="B1000" t="s">
        <v>109</v>
      </c>
      <c r="C1000" t="s">
        <v>1382</v>
      </c>
      <c r="D1000">
        <v>1</v>
      </c>
      <c r="E1000" s="307">
        <v>4</v>
      </c>
      <c r="F1000" s="307" t="s">
        <v>7</v>
      </c>
      <c r="G1000" s="307" t="s">
        <v>11</v>
      </c>
      <c r="H1000" s="307" t="s">
        <v>11</v>
      </c>
    </row>
    <row r="1001" spans="1:8" x14ac:dyDescent="0.2">
      <c r="A1001" t="s">
        <v>28</v>
      </c>
      <c r="B1001" t="s">
        <v>109</v>
      </c>
      <c r="C1001" t="s">
        <v>1383</v>
      </c>
      <c r="D1001">
        <v>2</v>
      </c>
      <c r="E1001" s="307">
        <v>4</v>
      </c>
      <c r="F1001" s="307" t="s">
        <v>7</v>
      </c>
      <c r="G1001" s="307" t="s">
        <v>11</v>
      </c>
      <c r="H1001" s="307" t="s">
        <v>11</v>
      </c>
    </row>
    <row r="1002" spans="1:8" x14ac:dyDescent="0.2">
      <c r="A1002" t="s">
        <v>28</v>
      </c>
      <c r="B1002" t="s">
        <v>109</v>
      </c>
      <c r="C1002" t="s">
        <v>1384</v>
      </c>
      <c r="D1002">
        <v>2</v>
      </c>
      <c r="E1002" s="307">
        <v>4</v>
      </c>
      <c r="F1002" s="307" t="s">
        <v>7</v>
      </c>
      <c r="G1002" s="307" t="s">
        <v>11</v>
      </c>
      <c r="H1002" s="307" t="s">
        <v>11</v>
      </c>
    </row>
    <row r="1003" spans="1:8" x14ac:dyDescent="0.2">
      <c r="A1003" t="s">
        <v>28</v>
      </c>
      <c r="B1003" t="s">
        <v>109</v>
      </c>
      <c r="C1003" t="s">
        <v>802</v>
      </c>
      <c r="D1003">
        <v>2</v>
      </c>
      <c r="E1003" s="307">
        <v>4</v>
      </c>
      <c r="F1003" s="307" t="s">
        <v>7</v>
      </c>
      <c r="G1003" s="307" t="s">
        <v>11</v>
      </c>
      <c r="H1003" s="307" t="s">
        <v>11</v>
      </c>
    </row>
    <row r="1004" spans="1:8" x14ac:dyDescent="0.2">
      <c r="A1004" t="s">
        <v>28</v>
      </c>
      <c r="B1004" t="s">
        <v>109</v>
      </c>
      <c r="C1004" t="s">
        <v>1318</v>
      </c>
      <c r="D1004">
        <v>1</v>
      </c>
      <c r="E1004" s="307">
        <v>4</v>
      </c>
      <c r="F1004" s="307" t="s">
        <v>7</v>
      </c>
      <c r="G1004" s="307" t="s">
        <v>11</v>
      </c>
      <c r="H1004" s="307" t="s">
        <v>11</v>
      </c>
    </row>
    <row r="1005" spans="1:8" x14ac:dyDescent="0.2">
      <c r="A1005" t="s">
        <v>28</v>
      </c>
      <c r="B1005" t="s">
        <v>109</v>
      </c>
      <c r="C1005" t="s">
        <v>1385</v>
      </c>
      <c r="D1005">
        <v>2</v>
      </c>
      <c r="E1005" s="307">
        <v>4</v>
      </c>
      <c r="F1005" s="307" t="s">
        <v>7</v>
      </c>
      <c r="G1005" s="307" t="s">
        <v>11</v>
      </c>
      <c r="H1005" s="307" t="s">
        <v>11</v>
      </c>
    </row>
    <row r="1006" spans="1:8" x14ac:dyDescent="0.2">
      <c r="A1006" t="s">
        <v>28</v>
      </c>
      <c r="B1006" t="s">
        <v>109</v>
      </c>
      <c r="C1006" t="s">
        <v>1386</v>
      </c>
      <c r="D1006">
        <v>1</v>
      </c>
      <c r="E1006" s="307">
        <v>4</v>
      </c>
      <c r="F1006" s="307" t="s">
        <v>7</v>
      </c>
      <c r="G1006" s="307" t="s">
        <v>11</v>
      </c>
      <c r="H1006" s="307" t="s">
        <v>11</v>
      </c>
    </row>
    <row r="1007" spans="1:8" x14ac:dyDescent="0.2">
      <c r="A1007" t="s">
        <v>28</v>
      </c>
      <c r="B1007" t="s">
        <v>109</v>
      </c>
      <c r="C1007" t="s">
        <v>1387</v>
      </c>
      <c r="D1007">
        <v>2</v>
      </c>
      <c r="E1007" s="307">
        <v>4</v>
      </c>
      <c r="F1007" s="307" t="s">
        <v>7</v>
      </c>
      <c r="G1007" s="307" t="s">
        <v>11</v>
      </c>
      <c r="H1007" s="307" t="s">
        <v>11</v>
      </c>
    </row>
    <row r="1008" spans="1:8" x14ac:dyDescent="0.2">
      <c r="A1008" t="s">
        <v>28</v>
      </c>
      <c r="B1008" t="s">
        <v>109</v>
      </c>
      <c r="C1008" t="s">
        <v>1388</v>
      </c>
      <c r="D1008">
        <v>2</v>
      </c>
      <c r="E1008" s="307">
        <v>4</v>
      </c>
      <c r="F1008" s="307" t="s">
        <v>7</v>
      </c>
      <c r="G1008" s="307" t="s">
        <v>11</v>
      </c>
      <c r="H1008" s="307" t="s">
        <v>11</v>
      </c>
    </row>
    <row r="1009" spans="1:8" x14ac:dyDescent="0.2">
      <c r="A1009" t="s">
        <v>28</v>
      </c>
      <c r="B1009" t="s">
        <v>109</v>
      </c>
      <c r="C1009" t="s">
        <v>1389</v>
      </c>
      <c r="D1009">
        <v>2</v>
      </c>
      <c r="E1009" s="307">
        <v>4</v>
      </c>
      <c r="F1009" s="307" t="s">
        <v>7</v>
      </c>
      <c r="G1009" s="307" t="s">
        <v>11</v>
      </c>
      <c r="H1009" s="307" t="s">
        <v>11</v>
      </c>
    </row>
    <row r="1010" spans="1:8" x14ac:dyDescent="0.2">
      <c r="A1010" t="s">
        <v>28</v>
      </c>
      <c r="B1010" t="s">
        <v>109</v>
      </c>
      <c r="C1010" t="s">
        <v>1390</v>
      </c>
      <c r="D1010">
        <v>1</v>
      </c>
      <c r="E1010" s="307">
        <v>4</v>
      </c>
      <c r="F1010" s="307" t="s">
        <v>7</v>
      </c>
      <c r="G1010" s="307" t="s">
        <v>11</v>
      </c>
      <c r="H1010" s="307" t="s">
        <v>11</v>
      </c>
    </row>
    <row r="1011" spans="1:8" x14ac:dyDescent="0.2">
      <c r="A1011" t="s">
        <v>28</v>
      </c>
      <c r="B1011" t="s">
        <v>109</v>
      </c>
      <c r="C1011" t="s">
        <v>692</v>
      </c>
      <c r="D1011">
        <v>2</v>
      </c>
      <c r="E1011" s="307">
        <v>4</v>
      </c>
      <c r="F1011" s="307" t="s">
        <v>7</v>
      </c>
      <c r="G1011" s="307" t="s">
        <v>11</v>
      </c>
      <c r="H1011" s="307" t="s">
        <v>11</v>
      </c>
    </row>
    <row r="1012" spans="1:8" x14ac:dyDescent="0.2">
      <c r="A1012" t="s">
        <v>28</v>
      </c>
      <c r="B1012" t="s">
        <v>109</v>
      </c>
      <c r="C1012" t="s">
        <v>1391</v>
      </c>
      <c r="D1012">
        <v>2</v>
      </c>
      <c r="E1012" s="307">
        <v>4</v>
      </c>
      <c r="F1012" s="307" t="s">
        <v>7</v>
      </c>
      <c r="G1012" s="307" t="s">
        <v>11</v>
      </c>
      <c r="H1012" s="307" t="s">
        <v>11</v>
      </c>
    </row>
    <row r="1013" spans="1:8" x14ac:dyDescent="0.2">
      <c r="A1013" t="s">
        <v>28</v>
      </c>
      <c r="B1013" t="s">
        <v>109</v>
      </c>
      <c r="C1013" t="s">
        <v>1392</v>
      </c>
      <c r="D1013">
        <v>3</v>
      </c>
      <c r="E1013" s="307">
        <v>4</v>
      </c>
      <c r="F1013" s="307" t="s">
        <v>7</v>
      </c>
      <c r="G1013" s="307" t="s">
        <v>11</v>
      </c>
      <c r="H1013" s="307" t="s">
        <v>11</v>
      </c>
    </row>
    <row r="1014" spans="1:8" x14ac:dyDescent="0.2">
      <c r="A1014" t="s">
        <v>28</v>
      </c>
      <c r="B1014" t="s">
        <v>109</v>
      </c>
      <c r="C1014" t="s">
        <v>1393</v>
      </c>
      <c r="D1014">
        <v>2</v>
      </c>
      <c r="E1014" s="307">
        <v>4</v>
      </c>
      <c r="F1014" s="307" t="s">
        <v>7</v>
      </c>
      <c r="G1014" s="307" t="s">
        <v>11</v>
      </c>
      <c r="H1014" s="307" t="s">
        <v>11</v>
      </c>
    </row>
    <row r="1015" spans="1:8" x14ac:dyDescent="0.2">
      <c r="A1015" t="s">
        <v>28</v>
      </c>
      <c r="B1015" t="s">
        <v>109</v>
      </c>
      <c r="C1015" t="s">
        <v>1394</v>
      </c>
      <c r="D1015">
        <v>3</v>
      </c>
      <c r="E1015" s="307">
        <v>4</v>
      </c>
      <c r="F1015" s="307" t="s">
        <v>7</v>
      </c>
      <c r="G1015" s="307" t="s">
        <v>11</v>
      </c>
      <c r="H1015" s="307" t="s">
        <v>11</v>
      </c>
    </row>
    <row r="1016" spans="1:8" x14ac:dyDescent="0.2">
      <c r="A1016" t="s">
        <v>28</v>
      </c>
      <c r="B1016" t="s">
        <v>109</v>
      </c>
      <c r="C1016" t="s">
        <v>804</v>
      </c>
      <c r="D1016">
        <v>2</v>
      </c>
      <c r="E1016" s="307">
        <v>4</v>
      </c>
      <c r="F1016" s="307" t="s">
        <v>7</v>
      </c>
      <c r="G1016" s="307" t="s">
        <v>11</v>
      </c>
      <c r="H1016" s="307" t="s">
        <v>11</v>
      </c>
    </row>
    <row r="1017" spans="1:8" x14ac:dyDescent="0.2">
      <c r="A1017" t="s">
        <v>28</v>
      </c>
      <c r="B1017" t="s">
        <v>109</v>
      </c>
      <c r="C1017" t="s">
        <v>1395</v>
      </c>
      <c r="D1017">
        <v>2</v>
      </c>
      <c r="E1017" s="307">
        <v>4</v>
      </c>
      <c r="F1017" s="307" t="s">
        <v>7</v>
      </c>
      <c r="G1017" s="307" t="s">
        <v>11</v>
      </c>
      <c r="H1017" s="307" t="s">
        <v>11</v>
      </c>
    </row>
    <row r="1018" spans="1:8" x14ac:dyDescent="0.2">
      <c r="A1018" t="s">
        <v>28</v>
      </c>
      <c r="B1018" t="s">
        <v>109</v>
      </c>
      <c r="C1018" t="s">
        <v>1396</v>
      </c>
      <c r="D1018">
        <v>1</v>
      </c>
      <c r="E1018" s="307">
        <v>4</v>
      </c>
      <c r="F1018" s="307" t="s">
        <v>7</v>
      </c>
      <c r="G1018" s="307" t="s">
        <v>11</v>
      </c>
      <c r="H1018" s="307" t="s">
        <v>11</v>
      </c>
    </row>
    <row r="1019" spans="1:8" x14ac:dyDescent="0.2">
      <c r="A1019" t="s">
        <v>28</v>
      </c>
      <c r="B1019" t="s">
        <v>109</v>
      </c>
      <c r="C1019" t="s">
        <v>1180</v>
      </c>
      <c r="D1019">
        <v>2</v>
      </c>
      <c r="E1019" s="307">
        <v>4</v>
      </c>
      <c r="F1019" s="307" t="s">
        <v>7</v>
      </c>
      <c r="G1019" s="307" t="s">
        <v>11</v>
      </c>
      <c r="H1019" s="307" t="s">
        <v>11</v>
      </c>
    </row>
    <row r="1020" spans="1:8" x14ac:dyDescent="0.2">
      <c r="A1020" t="s">
        <v>28</v>
      </c>
      <c r="B1020" t="s">
        <v>109</v>
      </c>
      <c r="C1020" t="s">
        <v>806</v>
      </c>
      <c r="D1020">
        <v>1</v>
      </c>
      <c r="E1020" s="307">
        <v>4</v>
      </c>
      <c r="F1020" s="307" t="s">
        <v>7</v>
      </c>
      <c r="G1020" s="307" t="s">
        <v>11</v>
      </c>
      <c r="H1020" s="307" t="s">
        <v>11</v>
      </c>
    </row>
    <row r="1021" spans="1:8" x14ac:dyDescent="0.2">
      <c r="A1021" t="s">
        <v>28</v>
      </c>
      <c r="B1021" t="s">
        <v>109</v>
      </c>
      <c r="C1021" t="s">
        <v>699</v>
      </c>
      <c r="D1021">
        <v>2</v>
      </c>
      <c r="E1021" s="307">
        <v>4</v>
      </c>
      <c r="F1021" s="307" t="s">
        <v>7</v>
      </c>
      <c r="G1021" s="307" t="s">
        <v>11</v>
      </c>
      <c r="H1021" s="307" t="s">
        <v>11</v>
      </c>
    </row>
    <row r="1022" spans="1:8" x14ac:dyDescent="0.2">
      <c r="A1022" t="s">
        <v>28</v>
      </c>
      <c r="B1022" t="s">
        <v>109</v>
      </c>
      <c r="C1022" t="s">
        <v>1181</v>
      </c>
      <c r="D1022">
        <v>2</v>
      </c>
      <c r="E1022" s="307">
        <v>4</v>
      </c>
      <c r="F1022" s="307" t="s">
        <v>7</v>
      </c>
      <c r="G1022" s="307" t="s">
        <v>11</v>
      </c>
      <c r="H1022" s="307" t="s">
        <v>11</v>
      </c>
    </row>
    <row r="1023" spans="1:8" x14ac:dyDescent="0.2">
      <c r="A1023" t="s">
        <v>28</v>
      </c>
      <c r="B1023" t="s">
        <v>109</v>
      </c>
      <c r="C1023" t="s">
        <v>812</v>
      </c>
      <c r="D1023">
        <v>2</v>
      </c>
      <c r="E1023" s="307">
        <v>4</v>
      </c>
      <c r="F1023" s="307" t="s">
        <v>7</v>
      </c>
      <c r="G1023" s="307" t="s">
        <v>11</v>
      </c>
      <c r="H1023" s="307" t="s">
        <v>11</v>
      </c>
    </row>
    <row r="1024" spans="1:8" x14ac:dyDescent="0.2">
      <c r="A1024" t="s">
        <v>28</v>
      </c>
      <c r="B1024" t="s">
        <v>109</v>
      </c>
      <c r="C1024" t="s">
        <v>1183</v>
      </c>
      <c r="D1024">
        <v>1</v>
      </c>
      <c r="E1024" s="307">
        <v>4</v>
      </c>
      <c r="F1024" s="307" t="s">
        <v>7</v>
      </c>
      <c r="G1024" s="307" t="s">
        <v>11</v>
      </c>
      <c r="H1024" s="307" t="s">
        <v>11</v>
      </c>
    </row>
    <row r="1025" spans="1:8" x14ac:dyDescent="0.2">
      <c r="A1025" t="s">
        <v>28</v>
      </c>
      <c r="B1025" t="s">
        <v>109</v>
      </c>
      <c r="C1025" t="s">
        <v>1231</v>
      </c>
      <c r="D1025">
        <v>2</v>
      </c>
      <c r="E1025" s="307">
        <v>4</v>
      </c>
      <c r="F1025" s="307" t="s">
        <v>7</v>
      </c>
      <c r="G1025" s="307" t="s">
        <v>11</v>
      </c>
      <c r="H1025" s="307" t="s">
        <v>11</v>
      </c>
    </row>
    <row r="1026" spans="1:8" x14ac:dyDescent="0.2">
      <c r="A1026" t="s">
        <v>28</v>
      </c>
      <c r="B1026" t="s">
        <v>109</v>
      </c>
      <c r="C1026" t="s">
        <v>1397</v>
      </c>
      <c r="D1026">
        <v>2</v>
      </c>
      <c r="E1026" s="307">
        <v>4</v>
      </c>
      <c r="F1026" s="307" t="s">
        <v>7</v>
      </c>
      <c r="G1026" s="307" t="s">
        <v>11</v>
      </c>
      <c r="H1026" s="307" t="s">
        <v>11</v>
      </c>
    </row>
    <row r="1027" spans="1:8" x14ac:dyDescent="0.2">
      <c r="A1027" t="s">
        <v>28</v>
      </c>
      <c r="B1027" t="s">
        <v>109</v>
      </c>
      <c r="C1027" t="s">
        <v>1398</v>
      </c>
      <c r="D1027">
        <v>2</v>
      </c>
      <c r="E1027" s="307">
        <v>4</v>
      </c>
      <c r="F1027" s="307" t="s">
        <v>7</v>
      </c>
      <c r="G1027" s="307" t="s">
        <v>11</v>
      </c>
      <c r="H1027" s="307" t="s">
        <v>11</v>
      </c>
    </row>
    <row r="1028" spans="1:8" x14ac:dyDescent="0.2">
      <c r="A1028" t="s">
        <v>28</v>
      </c>
      <c r="B1028" t="s">
        <v>109</v>
      </c>
      <c r="C1028" t="s">
        <v>1399</v>
      </c>
      <c r="D1028">
        <v>2</v>
      </c>
      <c r="E1028" s="307">
        <v>4</v>
      </c>
      <c r="F1028" s="307" t="s">
        <v>7</v>
      </c>
      <c r="G1028" s="307" t="s">
        <v>11</v>
      </c>
      <c r="H1028" s="307" t="s">
        <v>11</v>
      </c>
    </row>
    <row r="1029" spans="1:8" x14ac:dyDescent="0.2">
      <c r="A1029" t="s">
        <v>28</v>
      </c>
      <c r="B1029" t="s">
        <v>109</v>
      </c>
      <c r="C1029" t="s">
        <v>714</v>
      </c>
      <c r="D1029">
        <v>1</v>
      </c>
      <c r="E1029" s="307">
        <v>4</v>
      </c>
      <c r="F1029" s="307" t="s">
        <v>7</v>
      </c>
      <c r="G1029" s="307" t="s">
        <v>11</v>
      </c>
      <c r="H1029" s="307" t="s">
        <v>11</v>
      </c>
    </row>
    <row r="1030" spans="1:8" x14ac:dyDescent="0.2">
      <c r="A1030" t="s">
        <v>28</v>
      </c>
      <c r="B1030" t="s">
        <v>109</v>
      </c>
      <c r="C1030" t="s">
        <v>1400</v>
      </c>
      <c r="D1030">
        <v>2</v>
      </c>
      <c r="E1030" s="307">
        <v>4</v>
      </c>
      <c r="F1030" s="307" t="s">
        <v>7</v>
      </c>
      <c r="G1030" s="307" t="s">
        <v>11</v>
      </c>
      <c r="H1030" s="307" t="s">
        <v>11</v>
      </c>
    </row>
    <row r="1031" spans="1:8" x14ac:dyDescent="0.2">
      <c r="A1031" t="s">
        <v>28</v>
      </c>
      <c r="B1031" t="s">
        <v>109</v>
      </c>
      <c r="C1031" t="s">
        <v>1069</v>
      </c>
      <c r="D1031">
        <v>2</v>
      </c>
      <c r="E1031" s="307">
        <v>4</v>
      </c>
      <c r="F1031" s="307" t="s">
        <v>7</v>
      </c>
      <c r="G1031" s="307" t="s">
        <v>11</v>
      </c>
      <c r="H1031" s="307" t="s">
        <v>11</v>
      </c>
    </row>
    <row r="1032" spans="1:8" x14ac:dyDescent="0.2">
      <c r="A1032" t="s">
        <v>28</v>
      </c>
      <c r="B1032" t="s">
        <v>109</v>
      </c>
      <c r="C1032" t="s">
        <v>715</v>
      </c>
      <c r="D1032">
        <v>1</v>
      </c>
      <c r="E1032" s="307">
        <v>4</v>
      </c>
      <c r="F1032" s="307" t="s">
        <v>7</v>
      </c>
      <c r="G1032" s="307" t="s">
        <v>11</v>
      </c>
      <c r="H1032" s="307" t="s">
        <v>11</v>
      </c>
    </row>
    <row r="1033" spans="1:8" x14ac:dyDescent="0.2">
      <c r="A1033" t="s">
        <v>28</v>
      </c>
      <c r="B1033" t="s">
        <v>109</v>
      </c>
      <c r="C1033" t="s">
        <v>817</v>
      </c>
      <c r="D1033">
        <v>3</v>
      </c>
      <c r="E1033" s="307">
        <v>4</v>
      </c>
      <c r="F1033" s="307" t="s">
        <v>7</v>
      </c>
      <c r="G1033" s="307" t="s">
        <v>11</v>
      </c>
      <c r="H1033" s="307" t="s">
        <v>11</v>
      </c>
    </row>
    <row r="1034" spans="1:8" x14ac:dyDescent="0.2">
      <c r="A1034" t="s">
        <v>28</v>
      </c>
      <c r="B1034" t="s">
        <v>109</v>
      </c>
      <c r="C1034" t="s">
        <v>1189</v>
      </c>
      <c r="D1034">
        <v>2</v>
      </c>
      <c r="E1034" s="307">
        <v>4</v>
      </c>
      <c r="F1034" s="307" t="s">
        <v>7</v>
      </c>
      <c r="G1034" s="307" t="s">
        <v>11</v>
      </c>
      <c r="H1034" s="307" t="s">
        <v>11</v>
      </c>
    </row>
    <row r="1035" spans="1:8" x14ac:dyDescent="0.2">
      <c r="A1035" t="s">
        <v>28</v>
      </c>
      <c r="B1035" t="s">
        <v>109</v>
      </c>
      <c r="C1035" t="s">
        <v>1401</v>
      </c>
      <c r="D1035">
        <v>2</v>
      </c>
      <c r="E1035" s="307">
        <v>4</v>
      </c>
      <c r="F1035" s="307" t="s">
        <v>7</v>
      </c>
      <c r="G1035" s="307" t="s">
        <v>11</v>
      </c>
      <c r="H1035" s="307" t="s">
        <v>11</v>
      </c>
    </row>
    <row r="1036" spans="1:8" x14ac:dyDescent="0.2">
      <c r="A1036" t="s">
        <v>28</v>
      </c>
      <c r="B1036" t="s">
        <v>109</v>
      </c>
      <c r="C1036" t="s">
        <v>819</v>
      </c>
      <c r="D1036">
        <v>2</v>
      </c>
      <c r="E1036" s="307">
        <v>4</v>
      </c>
      <c r="F1036" s="307" t="s">
        <v>7</v>
      </c>
      <c r="G1036" s="307" t="s">
        <v>11</v>
      </c>
      <c r="H1036" s="307" t="s">
        <v>11</v>
      </c>
    </row>
    <row r="1037" spans="1:8" x14ac:dyDescent="0.2">
      <c r="A1037" t="s">
        <v>28</v>
      </c>
      <c r="B1037" t="s">
        <v>109</v>
      </c>
      <c r="C1037" t="s">
        <v>1402</v>
      </c>
      <c r="D1037">
        <v>3</v>
      </c>
      <c r="E1037" s="307">
        <v>4</v>
      </c>
      <c r="F1037" s="307" t="s">
        <v>7</v>
      </c>
      <c r="G1037" s="307" t="s">
        <v>11</v>
      </c>
      <c r="H1037" s="307" t="s">
        <v>11</v>
      </c>
    </row>
    <row r="1038" spans="1:8" x14ac:dyDescent="0.2">
      <c r="A1038" t="s">
        <v>28</v>
      </c>
      <c r="B1038" t="s">
        <v>109</v>
      </c>
      <c r="C1038" t="s">
        <v>1403</v>
      </c>
      <c r="D1038">
        <v>2</v>
      </c>
      <c r="E1038" s="307">
        <v>4</v>
      </c>
      <c r="F1038" s="307" t="s">
        <v>7</v>
      </c>
      <c r="G1038" s="307" t="s">
        <v>11</v>
      </c>
      <c r="H1038" s="307" t="s">
        <v>11</v>
      </c>
    </row>
    <row r="1039" spans="1:8" x14ac:dyDescent="0.2">
      <c r="A1039" t="s">
        <v>28</v>
      </c>
      <c r="B1039" t="s">
        <v>109</v>
      </c>
      <c r="C1039" t="s">
        <v>1404</v>
      </c>
      <c r="D1039">
        <v>1</v>
      </c>
      <c r="E1039" s="307">
        <v>4</v>
      </c>
      <c r="F1039" s="307" t="s">
        <v>7</v>
      </c>
      <c r="G1039" s="307" t="s">
        <v>11</v>
      </c>
      <c r="H1039" s="307" t="s">
        <v>11</v>
      </c>
    </row>
    <row r="1040" spans="1:8" x14ac:dyDescent="0.2">
      <c r="A1040" t="s">
        <v>28</v>
      </c>
      <c r="B1040" t="s">
        <v>109</v>
      </c>
      <c r="C1040" t="s">
        <v>1405</v>
      </c>
      <c r="D1040">
        <v>2</v>
      </c>
      <c r="E1040" s="307">
        <v>4</v>
      </c>
      <c r="F1040" s="307" t="s">
        <v>7</v>
      </c>
      <c r="G1040" s="307" t="s">
        <v>11</v>
      </c>
      <c r="H1040" s="307" t="s">
        <v>11</v>
      </c>
    </row>
    <row r="1041" spans="1:8" x14ac:dyDescent="0.2">
      <c r="A1041" t="s">
        <v>28</v>
      </c>
      <c r="B1041" t="s">
        <v>109</v>
      </c>
      <c r="C1041" t="s">
        <v>1079</v>
      </c>
      <c r="D1041">
        <v>2</v>
      </c>
      <c r="E1041" s="307">
        <v>4</v>
      </c>
      <c r="F1041" s="307" t="s">
        <v>7</v>
      </c>
      <c r="G1041" s="307" t="s">
        <v>11</v>
      </c>
      <c r="H1041" s="307" t="s">
        <v>11</v>
      </c>
    </row>
    <row r="1042" spans="1:8" x14ac:dyDescent="0.2">
      <c r="A1042" t="s">
        <v>28</v>
      </c>
      <c r="B1042" t="s">
        <v>109</v>
      </c>
      <c r="C1042" t="s">
        <v>1191</v>
      </c>
      <c r="D1042">
        <v>2</v>
      </c>
      <c r="E1042" s="307">
        <v>4</v>
      </c>
      <c r="F1042" s="307" t="s">
        <v>7</v>
      </c>
      <c r="G1042" s="307" t="s">
        <v>11</v>
      </c>
      <c r="H1042" s="307" t="s">
        <v>11</v>
      </c>
    </row>
    <row r="1043" spans="1:8" x14ac:dyDescent="0.2">
      <c r="A1043" t="s">
        <v>28</v>
      </c>
      <c r="B1043" t="s">
        <v>109</v>
      </c>
      <c r="C1043" t="s">
        <v>1406</v>
      </c>
      <c r="D1043">
        <v>2</v>
      </c>
      <c r="E1043" s="307">
        <v>4</v>
      </c>
      <c r="F1043" s="307" t="s">
        <v>7</v>
      </c>
      <c r="G1043" s="307" t="s">
        <v>11</v>
      </c>
      <c r="H1043" s="307" t="s">
        <v>11</v>
      </c>
    </row>
    <row r="1044" spans="1:8" x14ac:dyDescent="0.2">
      <c r="A1044" t="s">
        <v>28</v>
      </c>
      <c r="B1044" t="s">
        <v>109</v>
      </c>
      <c r="C1044" t="s">
        <v>1238</v>
      </c>
      <c r="D1044">
        <v>1</v>
      </c>
      <c r="E1044" s="307">
        <v>4</v>
      </c>
      <c r="F1044" s="307" t="s">
        <v>7</v>
      </c>
      <c r="G1044" s="307" t="s">
        <v>11</v>
      </c>
      <c r="H1044" s="307" t="s">
        <v>11</v>
      </c>
    </row>
    <row r="1045" spans="1:8" x14ac:dyDescent="0.2">
      <c r="A1045" t="s">
        <v>28</v>
      </c>
      <c r="B1045" t="s">
        <v>109</v>
      </c>
      <c r="C1045" t="s">
        <v>1082</v>
      </c>
      <c r="D1045">
        <v>1</v>
      </c>
      <c r="E1045" s="307">
        <v>4</v>
      </c>
      <c r="F1045" s="307" t="s">
        <v>7</v>
      </c>
      <c r="G1045" s="307" t="s">
        <v>11</v>
      </c>
      <c r="H1045" s="307" t="s">
        <v>11</v>
      </c>
    </row>
    <row r="1046" spans="1:8" x14ac:dyDescent="0.2">
      <c r="A1046" t="s">
        <v>28</v>
      </c>
      <c r="B1046" t="s">
        <v>109</v>
      </c>
      <c r="C1046" t="s">
        <v>1192</v>
      </c>
      <c r="D1046">
        <v>2</v>
      </c>
      <c r="E1046" s="307">
        <v>4</v>
      </c>
      <c r="F1046" s="307" t="s">
        <v>7</v>
      </c>
      <c r="G1046" s="307" t="s">
        <v>11</v>
      </c>
      <c r="H1046" s="307" t="s">
        <v>11</v>
      </c>
    </row>
    <row r="1047" spans="1:8" x14ac:dyDescent="0.2">
      <c r="A1047" t="s">
        <v>28</v>
      </c>
      <c r="B1047" t="s">
        <v>109</v>
      </c>
      <c r="C1047" t="s">
        <v>719</v>
      </c>
      <c r="D1047">
        <v>2</v>
      </c>
      <c r="E1047" s="307">
        <v>4</v>
      </c>
      <c r="F1047" s="307" t="s">
        <v>7</v>
      </c>
      <c r="G1047" s="307" t="s">
        <v>11</v>
      </c>
      <c r="H1047" s="307" t="s">
        <v>11</v>
      </c>
    </row>
    <row r="1048" spans="1:8" x14ac:dyDescent="0.2">
      <c r="A1048" t="s">
        <v>28</v>
      </c>
      <c r="B1048" t="s">
        <v>109</v>
      </c>
      <c r="C1048" t="s">
        <v>1407</v>
      </c>
      <c r="D1048">
        <v>3</v>
      </c>
      <c r="E1048" s="307">
        <v>4</v>
      </c>
      <c r="F1048" s="307" t="s">
        <v>7</v>
      </c>
      <c r="G1048" s="307" t="s">
        <v>11</v>
      </c>
      <c r="H1048" s="307" t="s">
        <v>11</v>
      </c>
    </row>
    <row r="1049" spans="1:8" x14ac:dyDescent="0.2">
      <c r="A1049" t="s">
        <v>28</v>
      </c>
      <c r="B1049" t="s">
        <v>109</v>
      </c>
      <c r="C1049" t="s">
        <v>1408</v>
      </c>
      <c r="D1049">
        <v>2</v>
      </c>
      <c r="E1049" s="307">
        <v>4</v>
      </c>
      <c r="F1049" s="307" t="s">
        <v>7</v>
      </c>
      <c r="G1049" s="307" t="s">
        <v>11</v>
      </c>
      <c r="H1049" s="307" t="s">
        <v>11</v>
      </c>
    </row>
    <row r="1050" spans="1:8" x14ac:dyDescent="0.2">
      <c r="A1050" t="s">
        <v>28</v>
      </c>
      <c r="B1050" t="s">
        <v>109</v>
      </c>
      <c r="C1050" t="s">
        <v>721</v>
      </c>
      <c r="D1050">
        <v>2</v>
      </c>
      <c r="E1050" s="307">
        <v>4</v>
      </c>
      <c r="F1050" s="307" t="s">
        <v>7</v>
      </c>
      <c r="G1050" s="307" t="s">
        <v>11</v>
      </c>
      <c r="H1050" s="307" t="s">
        <v>11</v>
      </c>
    </row>
    <row r="1051" spans="1:8" x14ac:dyDescent="0.2">
      <c r="A1051" t="s">
        <v>28</v>
      </c>
      <c r="B1051" t="s">
        <v>109</v>
      </c>
      <c r="C1051" t="s">
        <v>722</v>
      </c>
      <c r="D1051">
        <v>1</v>
      </c>
      <c r="E1051" s="307">
        <v>4</v>
      </c>
      <c r="F1051" s="307" t="s">
        <v>7</v>
      </c>
      <c r="G1051" s="307" t="s">
        <v>11</v>
      </c>
      <c r="H1051" s="307" t="s">
        <v>11</v>
      </c>
    </row>
    <row r="1052" spans="1:8" x14ac:dyDescent="0.2">
      <c r="A1052" t="s">
        <v>28</v>
      </c>
      <c r="B1052" t="s">
        <v>109</v>
      </c>
      <c r="C1052" t="s">
        <v>1409</v>
      </c>
      <c r="D1052">
        <v>1</v>
      </c>
      <c r="E1052" s="307">
        <v>4</v>
      </c>
      <c r="F1052" s="307" t="s">
        <v>7</v>
      </c>
      <c r="G1052" s="307" t="s">
        <v>11</v>
      </c>
      <c r="H1052" s="307" t="s">
        <v>11</v>
      </c>
    </row>
    <row r="1053" spans="1:8" x14ac:dyDescent="0.2">
      <c r="A1053" t="s">
        <v>28</v>
      </c>
      <c r="B1053" t="s">
        <v>109</v>
      </c>
      <c r="C1053" t="s">
        <v>825</v>
      </c>
      <c r="D1053">
        <v>2</v>
      </c>
      <c r="E1053" s="307">
        <v>4</v>
      </c>
      <c r="F1053" s="307" t="s">
        <v>7</v>
      </c>
      <c r="G1053" s="307" t="s">
        <v>11</v>
      </c>
      <c r="H1053" s="307" t="s">
        <v>11</v>
      </c>
    </row>
    <row r="1054" spans="1:8" x14ac:dyDescent="0.2">
      <c r="A1054" t="s">
        <v>28</v>
      </c>
      <c r="B1054" t="s">
        <v>109</v>
      </c>
      <c r="C1054" t="s">
        <v>1410</v>
      </c>
      <c r="D1054">
        <v>2</v>
      </c>
      <c r="E1054" s="307">
        <v>4</v>
      </c>
      <c r="F1054" s="307" t="s">
        <v>7</v>
      </c>
      <c r="G1054" s="307" t="s">
        <v>11</v>
      </c>
      <c r="H1054" s="307" t="s">
        <v>11</v>
      </c>
    </row>
    <row r="1055" spans="1:8" x14ac:dyDescent="0.2">
      <c r="A1055" t="s">
        <v>28</v>
      </c>
      <c r="B1055" t="s">
        <v>109</v>
      </c>
      <c r="C1055" t="s">
        <v>1411</v>
      </c>
      <c r="D1055">
        <v>2</v>
      </c>
      <c r="E1055" s="307">
        <v>4</v>
      </c>
      <c r="F1055" s="307" t="s">
        <v>7</v>
      </c>
      <c r="G1055" s="307" t="s">
        <v>11</v>
      </c>
      <c r="H1055" s="307" t="s">
        <v>11</v>
      </c>
    </row>
    <row r="1056" spans="1:8" x14ac:dyDescent="0.2">
      <c r="A1056" t="s">
        <v>28</v>
      </c>
      <c r="B1056" t="s">
        <v>109</v>
      </c>
      <c r="C1056" t="s">
        <v>1199</v>
      </c>
      <c r="D1056">
        <v>2</v>
      </c>
      <c r="E1056" s="307">
        <v>4</v>
      </c>
      <c r="F1056" s="307" t="s">
        <v>7</v>
      </c>
      <c r="G1056" s="307" t="s">
        <v>11</v>
      </c>
      <c r="H1056" s="307" t="s">
        <v>11</v>
      </c>
    </row>
    <row r="1057" spans="1:8" x14ac:dyDescent="0.2">
      <c r="A1057" t="s">
        <v>28</v>
      </c>
      <c r="B1057" t="s">
        <v>109</v>
      </c>
      <c r="C1057" t="s">
        <v>1412</v>
      </c>
      <c r="D1057">
        <v>2</v>
      </c>
      <c r="E1057" s="307">
        <v>4</v>
      </c>
      <c r="F1057" s="307" t="s">
        <v>7</v>
      </c>
      <c r="G1057" s="307" t="s">
        <v>11</v>
      </c>
      <c r="H1057" s="307" t="s">
        <v>11</v>
      </c>
    </row>
    <row r="1058" spans="1:8" x14ac:dyDescent="0.2">
      <c r="A1058" t="s">
        <v>28</v>
      </c>
      <c r="B1058" t="s">
        <v>109</v>
      </c>
      <c r="C1058" t="s">
        <v>1413</v>
      </c>
      <c r="D1058">
        <v>2</v>
      </c>
      <c r="E1058" s="307">
        <v>4</v>
      </c>
      <c r="F1058" s="307" t="s">
        <v>7</v>
      </c>
      <c r="G1058" s="307" t="s">
        <v>11</v>
      </c>
      <c r="H1058" s="307" t="s">
        <v>11</v>
      </c>
    </row>
    <row r="1059" spans="1:8" x14ac:dyDescent="0.2">
      <c r="A1059" t="s">
        <v>28</v>
      </c>
      <c r="B1059" t="s">
        <v>109</v>
      </c>
      <c r="C1059" t="s">
        <v>725</v>
      </c>
      <c r="D1059">
        <v>2</v>
      </c>
      <c r="E1059" s="307">
        <v>4</v>
      </c>
      <c r="F1059" s="307" t="s">
        <v>7</v>
      </c>
      <c r="G1059" s="307" t="s">
        <v>11</v>
      </c>
      <c r="H1059" s="307" t="s">
        <v>11</v>
      </c>
    </row>
    <row r="1060" spans="1:8" x14ac:dyDescent="0.2">
      <c r="A1060" t="s">
        <v>28</v>
      </c>
      <c r="B1060" t="s">
        <v>109</v>
      </c>
      <c r="C1060" t="s">
        <v>726</v>
      </c>
      <c r="D1060">
        <v>2</v>
      </c>
      <c r="E1060" s="307">
        <v>4</v>
      </c>
      <c r="F1060" s="307" t="s">
        <v>7</v>
      </c>
      <c r="G1060" s="307" t="s">
        <v>11</v>
      </c>
      <c r="H1060" s="307" t="s">
        <v>11</v>
      </c>
    </row>
    <row r="1061" spans="1:8" x14ac:dyDescent="0.2">
      <c r="A1061" t="s">
        <v>28</v>
      </c>
      <c r="B1061" t="s">
        <v>109</v>
      </c>
      <c r="C1061" t="s">
        <v>1414</v>
      </c>
      <c r="D1061">
        <v>2</v>
      </c>
      <c r="E1061" s="307">
        <v>4</v>
      </c>
      <c r="F1061" s="307" t="s">
        <v>7</v>
      </c>
      <c r="G1061" s="307" t="s">
        <v>11</v>
      </c>
      <c r="H1061" s="307" t="s">
        <v>11</v>
      </c>
    </row>
    <row r="1062" spans="1:8" x14ac:dyDescent="0.2">
      <c r="A1062" t="s">
        <v>28</v>
      </c>
      <c r="B1062" t="s">
        <v>109</v>
      </c>
      <c r="C1062" t="s">
        <v>1415</v>
      </c>
      <c r="D1062">
        <v>2</v>
      </c>
      <c r="E1062" s="307">
        <v>4</v>
      </c>
      <c r="F1062" s="307" t="s">
        <v>7</v>
      </c>
      <c r="G1062" s="307" t="s">
        <v>11</v>
      </c>
      <c r="H1062" s="307" t="s">
        <v>11</v>
      </c>
    </row>
    <row r="1063" spans="1:8" x14ac:dyDescent="0.2">
      <c r="A1063" t="s">
        <v>28</v>
      </c>
      <c r="B1063" t="s">
        <v>109</v>
      </c>
      <c r="C1063" t="s">
        <v>1163</v>
      </c>
      <c r="D1063">
        <v>2</v>
      </c>
      <c r="E1063" s="307">
        <v>4</v>
      </c>
      <c r="F1063" s="307" t="s">
        <v>7</v>
      </c>
      <c r="G1063" s="307" t="s">
        <v>11</v>
      </c>
      <c r="H1063" s="307" t="s">
        <v>11</v>
      </c>
    </row>
    <row r="1064" spans="1:8" x14ac:dyDescent="0.2">
      <c r="A1064" t="s">
        <v>28</v>
      </c>
      <c r="B1064" t="s">
        <v>109</v>
      </c>
      <c r="C1064" t="s">
        <v>827</v>
      </c>
      <c r="D1064">
        <v>1</v>
      </c>
      <c r="E1064" s="307">
        <v>4</v>
      </c>
      <c r="F1064" s="307" t="s">
        <v>7</v>
      </c>
      <c r="G1064" s="307" t="s">
        <v>11</v>
      </c>
      <c r="H1064" s="307" t="s">
        <v>11</v>
      </c>
    </row>
    <row r="1065" spans="1:8" x14ac:dyDescent="0.2">
      <c r="A1065" t="s">
        <v>28</v>
      </c>
      <c r="B1065" t="s">
        <v>109</v>
      </c>
      <c r="C1065" t="s">
        <v>1201</v>
      </c>
      <c r="D1065">
        <v>2</v>
      </c>
      <c r="E1065" s="307">
        <v>4</v>
      </c>
      <c r="F1065" s="307" t="s">
        <v>7</v>
      </c>
      <c r="G1065" s="307" t="s">
        <v>11</v>
      </c>
      <c r="H1065" s="307" t="s">
        <v>11</v>
      </c>
    </row>
    <row r="1066" spans="1:8" x14ac:dyDescent="0.2">
      <c r="A1066" t="s">
        <v>28</v>
      </c>
      <c r="B1066" t="s">
        <v>109</v>
      </c>
      <c r="C1066" t="s">
        <v>829</v>
      </c>
      <c r="D1066">
        <v>2</v>
      </c>
      <c r="E1066" s="307">
        <v>4</v>
      </c>
      <c r="F1066" s="307" t="s">
        <v>7</v>
      </c>
      <c r="G1066" s="307" t="s">
        <v>11</v>
      </c>
      <c r="H1066" s="307" t="s">
        <v>11</v>
      </c>
    </row>
    <row r="1067" spans="1:8" x14ac:dyDescent="0.2">
      <c r="A1067" t="s">
        <v>28</v>
      </c>
      <c r="B1067" t="s">
        <v>109</v>
      </c>
      <c r="C1067" t="s">
        <v>1293</v>
      </c>
      <c r="D1067">
        <v>2</v>
      </c>
      <c r="E1067" s="307">
        <v>4</v>
      </c>
      <c r="F1067" s="307" t="s">
        <v>7</v>
      </c>
      <c r="G1067" s="307" t="s">
        <v>11</v>
      </c>
      <c r="H1067" s="307" t="s">
        <v>11</v>
      </c>
    </row>
    <row r="1068" spans="1:8" x14ac:dyDescent="0.2">
      <c r="A1068" t="s">
        <v>28</v>
      </c>
      <c r="B1068" t="s">
        <v>109</v>
      </c>
      <c r="C1068" t="s">
        <v>730</v>
      </c>
      <c r="D1068">
        <v>2</v>
      </c>
      <c r="E1068" s="307">
        <v>4</v>
      </c>
      <c r="F1068" s="307" t="s">
        <v>7</v>
      </c>
      <c r="G1068" s="307" t="s">
        <v>11</v>
      </c>
      <c r="H1068" s="307" t="s">
        <v>11</v>
      </c>
    </row>
    <row r="1069" spans="1:8" x14ac:dyDescent="0.2">
      <c r="A1069" t="s">
        <v>28</v>
      </c>
      <c r="B1069" t="s">
        <v>109</v>
      </c>
      <c r="C1069" t="s">
        <v>1416</v>
      </c>
      <c r="D1069">
        <v>2</v>
      </c>
      <c r="E1069" s="307">
        <v>4</v>
      </c>
      <c r="F1069" s="307" t="s">
        <v>7</v>
      </c>
      <c r="G1069" s="307" t="s">
        <v>11</v>
      </c>
      <c r="H1069" s="307" t="s">
        <v>11</v>
      </c>
    </row>
    <row r="1070" spans="1:8" x14ac:dyDescent="0.2">
      <c r="A1070" t="s">
        <v>28</v>
      </c>
      <c r="B1070" t="s">
        <v>109</v>
      </c>
      <c r="C1070" t="s">
        <v>732</v>
      </c>
      <c r="D1070">
        <v>1</v>
      </c>
      <c r="E1070" s="307">
        <v>4</v>
      </c>
      <c r="F1070" s="307" t="s">
        <v>7</v>
      </c>
      <c r="G1070" s="307" t="s">
        <v>11</v>
      </c>
      <c r="H1070" s="307" t="s">
        <v>11</v>
      </c>
    </row>
    <row r="1071" spans="1:8" x14ac:dyDescent="0.2">
      <c r="A1071" t="s">
        <v>28</v>
      </c>
      <c r="B1071" t="s">
        <v>109</v>
      </c>
      <c r="C1071" t="s">
        <v>733</v>
      </c>
      <c r="D1071">
        <v>3</v>
      </c>
      <c r="E1071" s="307">
        <v>4</v>
      </c>
      <c r="F1071" s="307" t="s">
        <v>7</v>
      </c>
      <c r="G1071" s="307" t="s">
        <v>11</v>
      </c>
      <c r="H1071" s="307" t="s">
        <v>11</v>
      </c>
    </row>
    <row r="1072" spans="1:8" x14ac:dyDescent="0.2">
      <c r="A1072" t="s">
        <v>28</v>
      </c>
      <c r="B1072" t="s">
        <v>109</v>
      </c>
      <c r="C1072" t="s">
        <v>1007</v>
      </c>
      <c r="D1072">
        <v>2</v>
      </c>
      <c r="E1072" s="307">
        <v>4</v>
      </c>
      <c r="F1072" s="307" t="s">
        <v>7</v>
      </c>
      <c r="G1072" s="307" t="s">
        <v>11</v>
      </c>
      <c r="H1072" s="307" t="s">
        <v>11</v>
      </c>
    </row>
    <row r="1073" spans="1:8" x14ac:dyDescent="0.2">
      <c r="A1073" t="s">
        <v>28</v>
      </c>
      <c r="B1073" t="s">
        <v>109</v>
      </c>
      <c r="C1073" t="s">
        <v>1203</v>
      </c>
      <c r="D1073">
        <v>2</v>
      </c>
      <c r="E1073" s="307">
        <v>4</v>
      </c>
      <c r="F1073" s="307" t="s">
        <v>7</v>
      </c>
      <c r="G1073" s="307" t="s">
        <v>11</v>
      </c>
      <c r="H1073" s="307" t="s">
        <v>11</v>
      </c>
    </row>
    <row r="1074" spans="1:8" x14ac:dyDescent="0.2">
      <c r="A1074" t="s">
        <v>28</v>
      </c>
      <c r="B1074" t="s">
        <v>109</v>
      </c>
      <c r="C1074" t="s">
        <v>1417</v>
      </c>
      <c r="D1074">
        <v>3</v>
      </c>
      <c r="E1074" s="307">
        <v>4</v>
      </c>
      <c r="F1074" s="307" t="s">
        <v>7</v>
      </c>
      <c r="G1074" s="307" t="s">
        <v>11</v>
      </c>
      <c r="H1074" s="307" t="s">
        <v>11</v>
      </c>
    </row>
    <row r="1075" spans="1:8" x14ac:dyDescent="0.2">
      <c r="A1075" t="s">
        <v>28</v>
      </c>
      <c r="B1075" t="s">
        <v>109</v>
      </c>
      <c r="C1075" t="s">
        <v>1418</v>
      </c>
      <c r="D1075">
        <v>2</v>
      </c>
      <c r="E1075" s="307">
        <v>4</v>
      </c>
      <c r="F1075" s="307" t="s">
        <v>7</v>
      </c>
      <c r="G1075" s="307" t="s">
        <v>11</v>
      </c>
      <c r="H1075" s="307" t="s">
        <v>11</v>
      </c>
    </row>
    <row r="1076" spans="1:8" x14ac:dyDescent="0.2">
      <c r="A1076" t="s">
        <v>28</v>
      </c>
      <c r="B1076" t="s">
        <v>109</v>
      </c>
      <c r="C1076" t="s">
        <v>1207</v>
      </c>
      <c r="D1076">
        <v>2</v>
      </c>
      <c r="E1076" s="307">
        <v>4</v>
      </c>
      <c r="F1076" s="307" t="s">
        <v>7</v>
      </c>
      <c r="G1076" s="307" t="s">
        <v>11</v>
      </c>
      <c r="H1076" s="307" t="s">
        <v>11</v>
      </c>
    </row>
    <row r="1077" spans="1:8" x14ac:dyDescent="0.2">
      <c r="A1077" t="s">
        <v>28</v>
      </c>
      <c r="B1077" t="s">
        <v>109</v>
      </c>
      <c r="C1077" t="s">
        <v>1346</v>
      </c>
      <c r="D1077">
        <v>2</v>
      </c>
      <c r="E1077" s="307">
        <v>4</v>
      </c>
      <c r="F1077" s="307" t="s">
        <v>7</v>
      </c>
      <c r="G1077" s="307" t="s">
        <v>11</v>
      </c>
      <c r="H1077" s="307" t="s">
        <v>11</v>
      </c>
    </row>
    <row r="1078" spans="1:8" x14ac:dyDescent="0.2">
      <c r="A1078" t="s">
        <v>28</v>
      </c>
      <c r="B1078" t="s">
        <v>109</v>
      </c>
      <c r="C1078" t="s">
        <v>1419</v>
      </c>
      <c r="D1078">
        <v>2</v>
      </c>
      <c r="E1078" s="307">
        <v>4</v>
      </c>
      <c r="F1078" s="307" t="s">
        <v>7</v>
      </c>
      <c r="G1078" s="307" t="s">
        <v>11</v>
      </c>
      <c r="H1078" s="307" t="s">
        <v>11</v>
      </c>
    </row>
    <row r="1079" spans="1:8" x14ac:dyDescent="0.2">
      <c r="A1079" t="s">
        <v>28</v>
      </c>
      <c r="B1079" t="s">
        <v>109</v>
      </c>
      <c r="C1079" t="s">
        <v>1209</v>
      </c>
      <c r="D1079">
        <v>1</v>
      </c>
      <c r="E1079" s="307">
        <v>4</v>
      </c>
      <c r="F1079" s="307" t="s">
        <v>7</v>
      </c>
      <c r="G1079" s="307" t="s">
        <v>11</v>
      </c>
      <c r="H1079" s="307" t="s">
        <v>11</v>
      </c>
    </row>
    <row r="1080" spans="1:8" x14ac:dyDescent="0.2">
      <c r="A1080" t="s">
        <v>28</v>
      </c>
      <c r="B1080" t="s">
        <v>109</v>
      </c>
      <c r="C1080" t="s">
        <v>1420</v>
      </c>
      <c r="D1080">
        <v>1</v>
      </c>
      <c r="E1080" s="307">
        <v>4</v>
      </c>
      <c r="F1080" s="307" t="s">
        <v>7</v>
      </c>
      <c r="G1080" s="307" t="s">
        <v>11</v>
      </c>
      <c r="H1080" s="307" t="s">
        <v>11</v>
      </c>
    </row>
    <row r="1081" spans="1:8" x14ac:dyDescent="0.2">
      <c r="A1081" t="s">
        <v>28</v>
      </c>
      <c r="B1081" t="s">
        <v>109</v>
      </c>
      <c r="C1081" t="s">
        <v>735</v>
      </c>
      <c r="D1081">
        <v>1</v>
      </c>
      <c r="E1081" s="307">
        <v>4</v>
      </c>
      <c r="F1081" s="307" t="s">
        <v>7</v>
      </c>
      <c r="G1081" s="307" t="s">
        <v>11</v>
      </c>
      <c r="H1081" s="307" t="s">
        <v>11</v>
      </c>
    </row>
    <row r="1082" spans="1:8" x14ac:dyDescent="0.2">
      <c r="A1082" t="s">
        <v>28</v>
      </c>
      <c r="B1082" t="s">
        <v>109</v>
      </c>
      <c r="C1082" t="s">
        <v>736</v>
      </c>
      <c r="D1082">
        <v>2</v>
      </c>
      <c r="E1082" s="307">
        <v>4</v>
      </c>
      <c r="F1082" s="307" t="s">
        <v>7</v>
      </c>
      <c r="G1082" s="307" t="s">
        <v>11</v>
      </c>
      <c r="H1082" s="307" t="s">
        <v>11</v>
      </c>
    </row>
    <row r="1083" spans="1:8" x14ac:dyDescent="0.2">
      <c r="A1083" t="s">
        <v>28</v>
      </c>
      <c r="B1083" t="s">
        <v>109</v>
      </c>
      <c r="C1083" t="s">
        <v>737</v>
      </c>
      <c r="D1083">
        <v>2</v>
      </c>
      <c r="E1083" s="307">
        <v>4</v>
      </c>
      <c r="F1083" s="307" t="s">
        <v>7</v>
      </c>
      <c r="G1083" s="307" t="s">
        <v>11</v>
      </c>
      <c r="H1083" s="307" t="s">
        <v>11</v>
      </c>
    </row>
    <row r="1084" spans="1:8" x14ac:dyDescent="0.2">
      <c r="A1084" t="s">
        <v>28</v>
      </c>
      <c r="B1084" t="s">
        <v>109</v>
      </c>
      <c r="C1084" t="s">
        <v>1421</v>
      </c>
      <c r="D1084">
        <v>2</v>
      </c>
      <c r="E1084" s="307">
        <v>4</v>
      </c>
      <c r="F1084" s="307" t="s">
        <v>7</v>
      </c>
      <c r="G1084" s="307" t="s">
        <v>11</v>
      </c>
      <c r="H1084" s="307" t="s">
        <v>11</v>
      </c>
    </row>
    <row r="1085" spans="1:8" x14ac:dyDescent="0.2">
      <c r="A1085" t="s">
        <v>28</v>
      </c>
      <c r="B1085" t="s">
        <v>109</v>
      </c>
      <c r="C1085" t="s">
        <v>1422</v>
      </c>
      <c r="D1085">
        <v>1</v>
      </c>
      <c r="E1085" s="307">
        <v>4</v>
      </c>
      <c r="F1085" s="307" t="s">
        <v>7</v>
      </c>
      <c r="G1085" s="307" t="s">
        <v>11</v>
      </c>
      <c r="H1085" s="307" t="s">
        <v>11</v>
      </c>
    </row>
    <row r="1086" spans="1:8" x14ac:dyDescent="0.2">
      <c r="A1086" t="s">
        <v>28</v>
      </c>
      <c r="B1086" t="s">
        <v>109</v>
      </c>
      <c r="C1086" t="s">
        <v>1423</v>
      </c>
      <c r="D1086">
        <v>2</v>
      </c>
      <c r="E1086" s="307">
        <v>4</v>
      </c>
      <c r="F1086" s="307" t="s">
        <v>7</v>
      </c>
      <c r="G1086" s="307" t="s">
        <v>11</v>
      </c>
      <c r="H1086" s="307" t="s">
        <v>11</v>
      </c>
    </row>
    <row r="1087" spans="1:8" x14ac:dyDescent="0.2">
      <c r="A1087" t="s">
        <v>28</v>
      </c>
      <c r="B1087" t="s">
        <v>109</v>
      </c>
      <c r="C1087" t="s">
        <v>1248</v>
      </c>
      <c r="D1087">
        <v>2</v>
      </c>
      <c r="E1087" s="307">
        <v>4</v>
      </c>
      <c r="F1087" s="307" t="s">
        <v>7</v>
      </c>
      <c r="G1087" s="307" t="s">
        <v>11</v>
      </c>
      <c r="H1087" s="307" t="s">
        <v>11</v>
      </c>
    </row>
    <row r="1088" spans="1:8" x14ac:dyDescent="0.2">
      <c r="A1088" t="s">
        <v>28</v>
      </c>
      <c r="B1088" t="s">
        <v>109</v>
      </c>
      <c r="C1088" t="s">
        <v>1424</v>
      </c>
      <c r="D1088">
        <v>2</v>
      </c>
      <c r="E1088" s="307">
        <v>4</v>
      </c>
      <c r="F1088" s="307" t="s">
        <v>7</v>
      </c>
      <c r="G1088" s="307" t="s">
        <v>11</v>
      </c>
      <c r="H1088" s="307" t="s">
        <v>11</v>
      </c>
    </row>
    <row r="1089" spans="1:8" x14ac:dyDescent="0.2">
      <c r="A1089" t="s">
        <v>28</v>
      </c>
      <c r="B1089" t="s">
        <v>109</v>
      </c>
      <c r="C1089" t="s">
        <v>1249</v>
      </c>
      <c r="D1089">
        <v>2</v>
      </c>
      <c r="E1089" s="307">
        <v>4</v>
      </c>
      <c r="F1089" s="307" t="s">
        <v>7</v>
      </c>
      <c r="G1089" s="307" t="s">
        <v>11</v>
      </c>
      <c r="H1089" s="307" t="s">
        <v>11</v>
      </c>
    </row>
    <row r="1090" spans="1:8" x14ac:dyDescent="0.2">
      <c r="A1090" t="s">
        <v>28</v>
      </c>
      <c r="B1090" t="s">
        <v>109</v>
      </c>
      <c r="C1090" t="s">
        <v>1425</v>
      </c>
      <c r="D1090">
        <v>2</v>
      </c>
      <c r="E1090" s="307">
        <v>4</v>
      </c>
      <c r="F1090" s="307" t="s">
        <v>7</v>
      </c>
      <c r="G1090" s="307" t="s">
        <v>11</v>
      </c>
      <c r="H1090" s="307" t="s">
        <v>11</v>
      </c>
    </row>
    <row r="1091" spans="1:8" x14ac:dyDescent="0.2">
      <c r="A1091" t="s">
        <v>28</v>
      </c>
      <c r="B1091" t="s">
        <v>109</v>
      </c>
      <c r="C1091" t="s">
        <v>1426</v>
      </c>
      <c r="D1091">
        <v>1</v>
      </c>
      <c r="E1091" s="307">
        <v>4</v>
      </c>
      <c r="F1091" s="307" t="s">
        <v>7</v>
      </c>
      <c r="G1091" s="307" t="s">
        <v>11</v>
      </c>
      <c r="H1091" s="307" t="s">
        <v>11</v>
      </c>
    </row>
    <row r="1092" spans="1:8" x14ac:dyDescent="0.2">
      <c r="A1092" t="s">
        <v>28</v>
      </c>
      <c r="B1092" t="s">
        <v>109</v>
      </c>
      <c r="C1092" t="s">
        <v>738</v>
      </c>
      <c r="D1092">
        <v>2</v>
      </c>
      <c r="E1092" s="307">
        <v>4</v>
      </c>
      <c r="F1092" s="307" t="s">
        <v>7</v>
      </c>
      <c r="G1092" s="307" t="s">
        <v>11</v>
      </c>
      <c r="H1092" s="307" t="s">
        <v>11</v>
      </c>
    </row>
    <row r="1093" spans="1:8" x14ac:dyDescent="0.2">
      <c r="A1093" t="s">
        <v>28</v>
      </c>
      <c r="B1093" t="s">
        <v>109</v>
      </c>
      <c r="C1093" t="s">
        <v>740</v>
      </c>
      <c r="D1093">
        <v>2</v>
      </c>
      <c r="E1093" s="307">
        <v>4</v>
      </c>
      <c r="F1093" s="307" t="s">
        <v>7</v>
      </c>
      <c r="G1093" s="307" t="s">
        <v>11</v>
      </c>
      <c r="H1093" s="307" t="s">
        <v>11</v>
      </c>
    </row>
    <row r="1094" spans="1:8" x14ac:dyDescent="0.2">
      <c r="A1094" t="s">
        <v>28</v>
      </c>
      <c r="B1094" t="s">
        <v>109</v>
      </c>
      <c r="C1094" t="s">
        <v>1427</v>
      </c>
      <c r="D1094">
        <v>2</v>
      </c>
      <c r="E1094" s="307">
        <v>4</v>
      </c>
      <c r="F1094" s="307" t="s">
        <v>7</v>
      </c>
      <c r="G1094" s="307" t="s">
        <v>11</v>
      </c>
      <c r="H1094" s="307" t="s">
        <v>11</v>
      </c>
    </row>
    <row r="1095" spans="1:8" x14ac:dyDescent="0.2">
      <c r="A1095" t="s">
        <v>28</v>
      </c>
      <c r="B1095" t="s">
        <v>109</v>
      </c>
      <c r="C1095" t="s">
        <v>841</v>
      </c>
      <c r="D1095">
        <v>1</v>
      </c>
      <c r="E1095" s="307">
        <v>4</v>
      </c>
      <c r="F1095" s="307" t="s">
        <v>7</v>
      </c>
      <c r="G1095" s="307" t="s">
        <v>11</v>
      </c>
      <c r="H1095" s="307" t="s">
        <v>11</v>
      </c>
    </row>
    <row r="1096" spans="1:8" x14ac:dyDescent="0.2">
      <c r="A1096" t="s">
        <v>28</v>
      </c>
      <c r="B1096" t="s">
        <v>109</v>
      </c>
      <c r="C1096" t="s">
        <v>1428</v>
      </c>
      <c r="D1096">
        <v>1</v>
      </c>
      <c r="E1096" s="307">
        <v>4</v>
      </c>
      <c r="F1096" s="307" t="s">
        <v>7</v>
      </c>
      <c r="G1096" s="307" t="s">
        <v>11</v>
      </c>
      <c r="H1096" s="307" t="s">
        <v>11</v>
      </c>
    </row>
    <row r="1097" spans="1:8" x14ac:dyDescent="0.2">
      <c r="A1097" t="s">
        <v>28</v>
      </c>
      <c r="B1097" t="s">
        <v>109</v>
      </c>
      <c r="C1097" t="s">
        <v>1429</v>
      </c>
      <c r="D1097">
        <v>2</v>
      </c>
      <c r="E1097" s="307">
        <v>4</v>
      </c>
      <c r="F1097" s="307" t="s">
        <v>7</v>
      </c>
      <c r="G1097" s="307" t="s">
        <v>11</v>
      </c>
      <c r="H1097" s="307" t="s">
        <v>11</v>
      </c>
    </row>
    <row r="1098" spans="1:8" x14ac:dyDescent="0.2">
      <c r="A1098" t="s">
        <v>28</v>
      </c>
      <c r="B1098" t="s">
        <v>109</v>
      </c>
      <c r="C1098" t="s">
        <v>1430</v>
      </c>
      <c r="D1098">
        <v>2</v>
      </c>
      <c r="E1098" s="307">
        <v>4</v>
      </c>
      <c r="F1098" s="307" t="s">
        <v>7</v>
      </c>
      <c r="G1098" s="307" t="s">
        <v>11</v>
      </c>
      <c r="H1098" s="307" t="s">
        <v>11</v>
      </c>
    </row>
    <row r="1099" spans="1:8" x14ac:dyDescent="0.2">
      <c r="A1099" t="s">
        <v>28</v>
      </c>
      <c r="B1099" t="s">
        <v>109</v>
      </c>
      <c r="C1099" t="s">
        <v>742</v>
      </c>
      <c r="D1099">
        <v>1</v>
      </c>
      <c r="E1099" s="307">
        <v>4</v>
      </c>
      <c r="F1099" s="307" t="s">
        <v>7</v>
      </c>
      <c r="G1099" s="307" t="s">
        <v>11</v>
      </c>
      <c r="H1099" s="307" t="s">
        <v>11</v>
      </c>
    </row>
    <row r="1100" spans="1:8" x14ac:dyDescent="0.2">
      <c r="A1100" t="s">
        <v>28</v>
      </c>
      <c r="B1100" t="s">
        <v>109</v>
      </c>
      <c r="C1100" t="s">
        <v>844</v>
      </c>
      <c r="D1100">
        <v>1</v>
      </c>
      <c r="E1100" s="307">
        <v>4</v>
      </c>
      <c r="F1100" s="307" t="s">
        <v>7</v>
      </c>
      <c r="G1100" s="307" t="s">
        <v>11</v>
      </c>
      <c r="H1100" s="307" t="s">
        <v>11</v>
      </c>
    </row>
    <row r="1101" spans="1:8" x14ac:dyDescent="0.2">
      <c r="A1101" t="s">
        <v>28</v>
      </c>
      <c r="B1101" t="s">
        <v>109</v>
      </c>
      <c r="C1101" t="s">
        <v>744</v>
      </c>
      <c r="D1101">
        <v>2</v>
      </c>
      <c r="E1101" s="307">
        <v>4</v>
      </c>
      <c r="F1101" s="307" t="s">
        <v>7</v>
      </c>
      <c r="G1101" s="307" t="s">
        <v>11</v>
      </c>
      <c r="H1101" s="307" t="s">
        <v>11</v>
      </c>
    </row>
    <row r="1102" spans="1:8" x14ac:dyDescent="0.2">
      <c r="A1102" t="s">
        <v>28</v>
      </c>
      <c r="B1102" t="s">
        <v>109</v>
      </c>
      <c r="C1102" t="s">
        <v>1431</v>
      </c>
      <c r="D1102">
        <v>2</v>
      </c>
      <c r="E1102" s="307">
        <v>4</v>
      </c>
      <c r="F1102" s="307" t="s">
        <v>7</v>
      </c>
      <c r="G1102" s="307" t="s">
        <v>11</v>
      </c>
      <c r="H1102" s="307" t="s">
        <v>11</v>
      </c>
    </row>
    <row r="1103" spans="1:8" x14ac:dyDescent="0.2">
      <c r="A1103" t="s">
        <v>28</v>
      </c>
      <c r="B1103" t="s">
        <v>109</v>
      </c>
      <c r="C1103" t="s">
        <v>1255</v>
      </c>
      <c r="D1103">
        <v>2</v>
      </c>
      <c r="E1103" s="307">
        <v>4</v>
      </c>
      <c r="F1103" s="307" t="s">
        <v>7</v>
      </c>
      <c r="G1103" s="307" t="s">
        <v>11</v>
      </c>
      <c r="H1103" s="307" t="s">
        <v>11</v>
      </c>
    </row>
    <row r="1104" spans="1:8" x14ac:dyDescent="0.2">
      <c r="A1104" t="s">
        <v>28</v>
      </c>
      <c r="B1104" t="s">
        <v>109</v>
      </c>
      <c r="C1104" t="s">
        <v>1023</v>
      </c>
      <c r="D1104">
        <v>1</v>
      </c>
      <c r="E1104" s="307">
        <v>4</v>
      </c>
      <c r="F1104" s="307" t="s">
        <v>7</v>
      </c>
      <c r="G1104" s="307" t="s">
        <v>11</v>
      </c>
      <c r="H1104" s="307" t="s">
        <v>11</v>
      </c>
    </row>
    <row r="1105" spans="1:8" x14ac:dyDescent="0.2">
      <c r="A1105" t="s">
        <v>28</v>
      </c>
      <c r="B1105" t="s">
        <v>109</v>
      </c>
      <c r="C1105" t="s">
        <v>1432</v>
      </c>
      <c r="D1105">
        <v>2</v>
      </c>
      <c r="E1105" s="307">
        <v>4</v>
      </c>
      <c r="F1105" s="307" t="s">
        <v>7</v>
      </c>
      <c r="G1105" s="307" t="s">
        <v>11</v>
      </c>
      <c r="H1105" s="307" t="s">
        <v>11</v>
      </c>
    </row>
    <row r="1106" spans="1:8" x14ac:dyDescent="0.2">
      <c r="A1106" t="s">
        <v>28</v>
      </c>
      <c r="B1106" t="s">
        <v>109</v>
      </c>
      <c r="C1106" t="s">
        <v>1433</v>
      </c>
      <c r="D1106">
        <v>2</v>
      </c>
      <c r="E1106" s="307">
        <v>4</v>
      </c>
      <c r="F1106" s="307" t="s">
        <v>7</v>
      </c>
      <c r="G1106" s="307" t="s">
        <v>11</v>
      </c>
      <c r="H1106" s="307" t="s">
        <v>11</v>
      </c>
    </row>
    <row r="1107" spans="1:8" x14ac:dyDescent="0.2">
      <c r="A1107" t="s">
        <v>28</v>
      </c>
      <c r="B1107" t="s">
        <v>109</v>
      </c>
      <c r="C1107" t="s">
        <v>1434</v>
      </c>
      <c r="D1107">
        <v>2</v>
      </c>
      <c r="E1107" s="307">
        <v>4</v>
      </c>
      <c r="F1107" s="307" t="s">
        <v>7</v>
      </c>
      <c r="G1107" s="307" t="s">
        <v>11</v>
      </c>
      <c r="H1107" s="307" t="s">
        <v>11</v>
      </c>
    </row>
    <row r="1108" spans="1:8" x14ac:dyDescent="0.2">
      <c r="A1108" t="s">
        <v>28</v>
      </c>
      <c r="B1108" t="s">
        <v>109</v>
      </c>
      <c r="C1108" t="s">
        <v>850</v>
      </c>
      <c r="D1108">
        <v>2</v>
      </c>
      <c r="E1108" s="307">
        <v>4</v>
      </c>
      <c r="F1108" s="307" t="s">
        <v>7</v>
      </c>
      <c r="G1108" s="307" t="s">
        <v>11</v>
      </c>
      <c r="H1108" s="307" t="s">
        <v>11</v>
      </c>
    </row>
    <row r="1109" spans="1:8" x14ac:dyDescent="0.2">
      <c r="A1109" t="s">
        <v>28</v>
      </c>
      <c r="B1109" t="s">
        <v>109</v>
      </c>
      <c r="C1109" t="s">
        <v>1128</v>
      </c>
      <c r="D1109">
        <v>1</v>
      </c>
      <c r="E1109" s="307">
        <v>4</v>
      </c>
      <c r="F1109" s="307" t="s">
        <v>7</v>
      </c>
      <c r="G1109" s="307" t="s">
        <v>11</v>
      </c>
      <c r="H1109" s="307" t="s">
        <v>11</v>
      </c>
    </row>
    <row r="1110" spans="1:8" x14ac:dyDescent="0.2">
      <c r="A1110" t="s">
        <v>28</v>
      </c>
      <c r="B1110" t="s">
        <v>109</v>
      </c>
      <c r="C1110" t="s">
        <v>750</v>
      </c>
      <c r="D1110">
        <v>2</v>
      </c>
      <c r="E1110" s="307">
        <v>4</v>
      </c>
      <c r="F1110" s="307" t="s">
        <v>7</v>
      </c>
      <c r="G1110" s="307" t="s">
        <v>11</v>
      </c>
      <c r="H1110" s="307" t="s">
        <v>11</v>
      </c>
    </row>
    <row r="1111" spans="1:8" x14ac:dyDescent="0.2">
      <c r="A1111" t="s">
        <v>28</v>
      </c>
      <c r="B1111" t="s">
        <v>109</v>
      </c>
      <c r="C1111" t="s">
        <v>1129</v>
      </c>
      <c r="D1111">
        <v>2</v>
      </c>
      <c r="E1111" s="307">
        <v>4</v>
      </c>
      <c r="F1111" s="307" t="s">
        <v>7</v>
      </c>
      <c r="G1111" s="307" t="s">
        <v>11</v>
      </c>
      <c r="H1111" s="307" t="s">
        <v>11</v>
      </c>
    </row>
    <row r="1112" spans="1:8" x14ac:dyDescent="0.2">
      <c r="A1112" t="s">
        <v>28</v>
      </c>
      <c r="B1112" t="s">
        <v>109</v>
      </c>
      <c r="C1112" t="s">
        <v>1130</v>
      </c>
      <c r="D1112">
        <v>2</v>
      </c>
      <c r="E1112" s="307">
        <v>4</v>
      </c>
      <c r="F1112" s="307" t="s">
        <v>7</v>
      </c>
      <c r="G1112" s="307" t="s">
        <v>11</v>
      </c>
      <c r="H1112" s="307" t="s">
        <v>11</v>
      </c>
    </row>
    <row r="1113" spans="1:8" x14ac:dyDescent="0.2">
      <c r="A1113" t="s">
        <v>28</v>
      </c>
      <c r="B1113" t="s">
        <v>109</v>
      </c>
      <c r="C1113" t="s">
        <v>1268</v>
      </c>
      <c r="D1113">
        <v>2</v>
      </c>
      <c r="E1113" s="307">
        <v>4</v>
      </c>
      <c r="F1113" s="307" t="s">
        <v>7</v>
      </c>
      <c r="G1113" s="307" t="s">
        <v>11</v>
      </c>
      <c r="H1113" s="307" t="s">
        <v>11</v>
      </c>
    </row>
    <row r="1114" spans="1:8" x14ac:dyDescent="0.2">
      <c r="A1114" t="s">
        <v>28</v>
      </c>
      <c r="B1114" t="s">
        <v>109</v>
      </c>
      <c r="C1114" t="s">
        <v>1435</v>
      </c>
      <c r="D1114">
        <v>2</v>
      </c>
      <c r="E1114" s="307">
        <v>4</v>
      </c>
      <c r="F1114" s="307" t="s">
        <v>7</v>
      </c>
      <c r="G1114" s="307" t="s">
        <v>11</v>
      </c>
      <c r="H1114" s="307" t="s">
        <v>11</v>
      </c>
    </row>
    <row r="1115" spans="1:8" x14ac:dyDescent="0.2">
      <c r="A1115" t="s">
        <v>28</v>
      </c>
      <c r="B1115" t="s">
        <v>109</v>
      </c>
      <c r="C1115" t="s">
        <v>1227</v>
      </c>
      <c r="D1115">
        <v>1</v>
      </c>
      <c r="E1115" s="307">
        <v>4</v>
      </c>
      <c r="F1115" s="307" t="s">
        <v>7</v>
      </c>
      <c r="G1115" s="307" t="s">
        <v>11</v>
      </c>
      <c r="H1115" s="307" t="s">
        <v>11</v>
      </c>
    </row>
    <row r="1116" spans="1:8" x14ac:dyDescent="0.2">
      <c r="A1116" t="s">
        <v>29</v>
      </c>
      <c r="B1116" t="s">
        <v>116</v>
      </c>
      <c r="C1116" t="s">
        <v>1436</v>
      </c>
      <c r="D1116">
        <v>3</v>
      </c>
      <c r="E1116" s="307">
        <v>2</v>
      </c>
      <c r="F1116" s="307" t="s">
        <v>7</v>
      </c>
      <c r="G1116" s="307" t="s">
        <v>115</v>
      </c>
      <c r="H1116" s="307" t="s">
        <v>11</v>
      </c>
    </row>
    <row r="1117" spans="1:8" x14ac:dyDescent="0.2">
      <c r="A1117" t="s">
        <v>29</v>
      </c>
      <c r="B1117" t="s">
        <v>116</v>
      </c>
      <c r="C1117" t="s">
        <v>1228</v>
      </c>
      <c r="D1117">
        <v>3</v>
      </c>
      <c r="E1117" s="307">
        <v>2</v>
      </c>
      <c r="F1117" s="307" t="s">
        <v>7</v>
      </c>
      <c r="G1117" s="307" t="s">
        <v>115</v>
      </c>
      <c r="H1117" s="307" t="s">
        <v>11</v>
      </c>
    </row>
    <row r="1118" spans="1:8" x14ac:dyDescent="0.2">
      <c r="A1118" t="s">
        <v>29</v>
      </c>
      <c r="B1118" t="s">
        <v>116</v>
      </c>
      <c r="C1118" t="s">
        <v>1437</v>
      </c>
      <c r="D1118">
        <v>3</v>
      </c>
      <c r="E1118" s="307">
        <v>2</v>
      </c>
      <c r="F1118" s="307" t="s">
        <v>7</v>
      </c>
      <c r="G1118" s="307" t="s">
        <v>115</v>
      </c>
      <c r="H1118" s="307" t="s">
        <v>11</v>
      </c>
    </row>
    <row r="1119" spans="1:8" x14ac:dyDescent="0.2">
      <c r="A1119" t="s">
        <v>29</v>
      </c>
      <c r="B1119" t="s">
        <v>116</v>
      </c>
      <c r="C1119" t="s">
        <v>1438</v>
      </c>
      <c r="D1119">
        <v>3</v>
      </c>
      <c r="E1119" s="307">
        <v>2</v>
      </c>
      <c r="F1119" s="307" t="s">
        <v>7</v>
      </c>
      <c r="G1119" s="307" t="s">
        <v>115</v>
      </c>
      <c r="H1119" s="307" t="s">
        <v>11</v>
      </c>
    </row>
    <row r="1120" spans="1:8" x14ac:dyDescent="0.2">
      <c r="A1120" t="s">
        <v>29</v>
      </c>
      <c r="B1120" t="s">
        <v>116</v>
      </c>
      <c r="C1120" t="s">
        <v>1439</v>
      </c>
      <c r="D1120">
        <v>3</v>
      </c>
      <c r="E1120" s="307">
        <v>2</v>
      </c>
      <c r="F1120" s="307" t="s">
        <v>7</v>
      </c>
      <c r="G1120" s="307" t="s">
        <v>115</v>
      </c>
      <c r="H1120" s="307" t="s">
        <v>11</v>
      </c>
    </row>
    <row r="1121" spans="1:8" x14ac:dyDescent="0.2">
      <c r="A1121" t="s">
        <v>29</v>
      </c>
      <c r="B1121" t="s">
        <v>116</v>
      </c>
      <c r="C1121" t="s">
        <v>1440</v>
      </c>
      <c r="D1121">
        <v>3</v>
      </c>
      <c r="E1121" s="307">
        <v>2</v>
      </c>
      <c r="F1121" s="307" t="s">
        <v>7</v>
      </c>
      <c r="G1121" s="307" t="s">
        <v>115</v>
      </c>
      <c r="H1121" s="307" t="s">
        <v>11</v>
      </c>
    </row>
    <row r="1122" spans="1:8" x14ac:dyDescent="0.2">
      <c r="A1122" t="s">
        <v>29</v>
      </c>
      <c r="B1122" t="s">
        <v>116</v>
      </c>
      <c r="C1122" t="s">
        <v>1441</v>
      </c>
      <c r="D1122">
        <v>3</v>
      </c>
      <c r="E1122" s="307">
        <v>3</v>
      </c>
      <c r="F1122" s="307" t="s">
        <v>7</v>
      </c>
      <c r="G1122" s="307" t="s">
        <v>115</v>
      </c>
      <c r="H1122" s="307" t="s">
        <v>11</v>
      </c>
    </row>
    <row r="1123" spans="1:8" x14ac:dyDescent="0.2">
      <c r="A1123" t="s">
        <v>29</v>
      </c>
      <c r="B1123" t="s">
        <v>116</v>
      </c>
      <c r="C1123" t="s">
        <v>1442</v>
      </c>
      <c r="D1123">
        <v>3</v>
      </c>
      <c r="E1123" s="307">
        <v>3</v>
      </c>
      <c r="F1123" s="307" t="s">
        <v>7</v>
      </c>
      <c r="G1123" s="307" t="s">
        <v>115</v>
      </c>
      <c r="H1123" s="307" t="s">
        <v>11</v>
      </c>
    </row>
    <row r="1124" spans="1:8" x14ac:dyDescent="0.2">
      <c r="A1124" t="s">
        <v>29</v>
      </c>
      <c r="B1124" t="s">
        <v>116</v>
      </c>
      <c r="C1124" t="s">
        <v>1443</v>
      </c>
      <c r="D1124">
        <v>3</v>
      </c>
      <c r="E1124" s="307">
        <v>3</v>
      </c>
      <c r="F1124" s="307" t="s">
        <v>7</v>
      </c>
      <c r="G1124" s="307" t="s">
        <v>115</v>
      </c>
      <c r="H1124" s="307" t="s">
        <v>11</v>
      </c>
    </row>
    <row r="1125" spans="1:8" x14ac:dyDescent="0.2">
      <c r="A1125" t="s">
        <v>29</v>
      </c>
      <c r="B1125" t="s">
        <v>116</v>
      </c>
      <c r="C1125" t="s">
        <v>1444</v>
      </c>
      <c r="D1125">
        <v>3</v>
      </c>
      <c r="E1125" s="307">
        <v>2</v>
      </c>
      <c r="F1125" s="307" t="s">
        <v>7</v>
      </c>
      <c r="G1125" s="307" t="s">
        <v>115</v>
      </c>
      <c r="H1125" s="307" t="s">
        <v>11</v>
      </c>
    </row>
    <row r="1126" spans="1:8" x14ac:dyDescent="0.2">
      <c r="A1126" t="s">
        <v>29</v>
      </c>
      <c r="B1126" t="s">
        <v>116</v>
      </c>
      <c r="C1126" t="s">
        <v>1391</v>
      </c>
      <c r="D1126">
        <v>3</v>
      </c>
      <c r="E1126" s="307">
        <v>3</v>
      </c>
      <c r="F1126" s="307" t="s">
        <v>7</v>
      </c>
      <c r="G1126" s="307" t="s">
        <v>115</v>
      </c>
      <c r="H1126" s="307" t="s">
        <v>11</v>
      </c>
    </row>
    <row r="1127" spans="1:8" x14ac:dyDescent="0.2">
      <c r="A1127" t="s">
        <v>29</v>
      </c>
      <c r="B1127" t="s">
        <v>116</v>
      </c>
      <c r="C1127" t="s">
        <v>1445</v>
      </c>
      <c r="D1127">
        <v>3</v>
      </c>
      <c r="E1127" s="307">
        <v>2</v>
      </c>
      <c r="F1127" s="307" t="s">
        <v>7</v>
      </c>
      <c r="G1127" s="307" t="s">
        <v>115</v>
      </c>
      <c r="H1127" s="307" t="s">
        <v>11</v>
      </c>
    </row>
    <row r="1128" spans="1:8" x14ac:dyDescent="0.2">
      <c r="A1128" t="s">
        <v>29</v>
      </c>
      <c r="B1128" t="s">
        <v>116</v>
      </c>
      <c r="C1128" t="s">
        <v>1446</v>
      </c>
      <c r="D1128">
        <v>3</v>
      </c>
      <c r="E1128" s="307">
        <v>3</v>
      </c>
      <c r="F1128" s="307" t="s">
        <v>7</v>
      </c>
      <c r="G1128" s="307" t="s">
        <v>115</v>
      </c>
      <c r="H1128" s="307" t="s">
        <v>11</v>
      </c>
    </row>
    <row r="1129" spans="1:8" x14ac:dyDescent="0.2">
      <c r="A1129" t="s">
        <v>29</v>
      </c>
      <c r="B1129" t="s">
        <v>116</v>
      </c>
      <c r="C1129" t="s">
        <v>1447</v>
      </c>
      <c r="D1129">
        <v>3</v>
      </c>
      <c r="E1129" s="307">
        <v>3</v>
      </c>
      <c r="F1129" s="307" t="s">
        <v>7</v>
      </c>
      <c r="G1129" s="307" t="s">
        <v>115</v>
      </c>
      <c r="H1129" s="307" t="s">
        <v>11</v>
      </c>
    </row>
    <row r="1130" spans="1:8" x14ac:dyDescent="0.2">
      <c r="A1130" t="s">
        <v>29</v>
      </c>
      <c r="B1130" t="s">
        <v>116</v>
      </c>
      <c r="C1130" t="s">
        <v>1448</v>
      </c>
      <c r="D1130">
        <v>3</v>
      </c>
      <c r="E1130" s="307">
        <v>3</v>
      </c>
      <c r="F1130" s="307" t="s">
        <v>7</v>
      </c>
      <c r="G1130" s="307" t="s">
        <v>115</v>
      </c>
      <c r="H1130" s="307" t="s">
        <v>11</v>
      </c>
    </row>
    <row r="1131" spans="1:8" x14ac:dyDescent="0.2">
      <c r="A1131" t="s">
        <v>29</v>
      </c>
      <c r="B1131" t="s">
        <v>116</v>
      </c>
      <c r="C1131" t="s">
        <v>987</v>
      </c>
      <c r="D1131">
        <v>3</v>
      </c>
      <c r="E1131" s="307">
        <v>3</v>
      </c>
      <c r="F1131" s="307" t="s">
        <v>7</v>
      </c>
      <c r="G1131" s="307" t="s">
        <v>115</v>
      </c>
      <c r="H1131" s="307" t="s">
        <v>11</v>
      </c>
    </row>
    <row r="1132" spans="1:8" x14ac:dyDescent="0.2">
      <c r="A1132" t="s">
        <v>29</v>
      </c>
      <c r="B1132" t="s">
        <v>116</v>
      </c>
      <c r="C1132" t="s">
        <v>1449</v>
      </c>
      <c r="D1132">
        <v>3</v>
      </c>
      <c r="E1132" s="307">
        <v>2</v>
      </c>
      <c r="F1132" s="307" t="s">
        <v>7</v>
      </c>
      <c r="G1132" s="307" t="s">
        <v>115</v>
      </c>
      <c r="H1132" s="307" t="s">
        <v>11</v>
      </c>
    </row>
    <row r="1133" spans="1:8" x14ac:dyDescent="0.2">
      <c r="A1133" t="s">
        <v>29</v>
      </c>
      <c r="B1133" t="s">
        <v>116</v>
      </c>
      <c r="C1133" t="s">
        <v>1450</v>
      </c>
      <c r="D1133">
        <v>3</v>
      </c>
      <c r="E1133" s="307">
        <v>3</v>
      </c>
      <c r="F1133" s="307" t="s">
        <v>7</v>
      </c>
      <c r="G1133" s="307" t="s">
        <v>11</v>
      </c>
      <c r="H1133" s="307" t="s">
        <v>11</v>
      </c>
    </row>
    <row r="1134" spans="1:8" x14ac:dyDescent="0.2">
      <c r="A1134" t="s">
        <v>29</v>
      </c>
      <c r="B1134" t="s">
        <v>116</v>
      </c>
      <c r="C1134" t="s">
        <v>1451</v>
      </c>
      <c r="D1134">
        <v>3</v>
      </c>
      <c r="E1134" s="307">
        <v>2</v>
      </c>
      <c r="F1134" s="307" t="s">
        <v>7</v>
      </c>
      <c r="G1134" s="307" t="s">
        <v>115</v>
      </c>
      <c r="H1134" s="307" t="s">
        <v>11</v>
      </c>
    </row>
    <row r="1135" spans="1:8" x14ac:dyDescent="0.2">
      <c r="A1135" t="s">
        <v>29</v>
      </c>
      <c r="B1135" t="s">
        <v>116</v>
      </c>
      <c r="C1135" t="s">
        <v>1452</v>
      </c>
      <c r="D1135">
        <v>3</v>
      </c>
      <c r="E1135" s="307">
        <v>2</v>
      </c>
      <c r="F1135" s="307" t="s">
        <v>7</v>
      </c>
      <c r="G1135" s="307" t="s">
        <v>115</v>
      </c>
      <c r="H1135" s="307" t="s">
        <v>11</v>
      </c>
    </row>
    <row r="1136" spans="1:8" x14ac:dyDescent="0.2">
      <c r="A1136" t="s">
        <v>29</v>
      </c>
      <c r="B1136" t="s">
        <v>116</v>
      </c>
      <c r="C1136" t="s">
        <v>715</v>
      </c>
      <c r="D1136">
        <v>3</v>
      </c>
      <c r="E1136" s="307">
        <v>3</v>
      </c>
      <c r="F1136" s="307" t="s">
        <v>7</v>
      </c>
      <c r="G1136" s="307" t="s">
        <v>115</v>
      </c>
      <c r="H1136" s="307" t="s">
        <v>11</v>
      </c>
    </row>
    <row r="1137" spans="1:8" x14ac:dyDescent="0.2">
      <c r="A1137" t="s">
        <v>29</v>
      </c>
      <c r="B1137" t="s">
        <v>116</v>
      </c>
      <c r="C1137" t="s">
        <v>819</v>
      </c>
      <c r="D1137">
        <v>3</v>
      </c>
      <c r="E1137" s="307">
        <v>3</v>
      </c>
      <c r="F1137" s="307" t="s">
        <v>7</v>
      </c>
      <c r="G1137" s="307" t="s">
        <v>115</v>
      </c>
      <c r="H1137" s="307" t="s">
        <v>11</v>
      </c>
    </row>
    <row r="1138" spans="1:8" x14ac:dyDescent="0.2">
      <c r="A1138" t="s">
        <v>29</v>
      </c>
      <c r="B1138" t="s">
        <v>116</v>
      </c>
      <c r="C1138" t="s">
        <v>1453</v>
      </c>
      <c r="D1138">
        <v>3</v>
      </c>
      <c r="E1138" s="307">
        <v>2</v>
      </c>
      <c r="F1138" s="307" t="s">
        <v>7</v>
      </c>
      <c r="G1138" s="307" t="s">
        <v>115</v>
      </c>
      <c r="H1138" s="307" t="s">
        <v>11</v>
      </c>
    </row>
    <row r="1139" spans="1:8" x14ac:dyDescent="0.2">
      <c r="A1139" t="s">
        <v>29</v>
      </c>
      <c r="B1139" t="s">
        <v>116</v>
      </c>
      <c r="C1139" t="s">
        <v>1454</v>
      </c>
      <c r="D1139">
        <v>3</v>
      </c>
      <c r="E1139" s="307">
        <v>2</v>
      </c>
      <c r="F1139" s="307" t="s">
        <v>7</v>
      </c>
      <c r="G1139" s="307" t="s">
        <v>115</v>
      </c>
      <c r="H1139" s="307" t="s">
        <v>11</v>
      </c>
    </row>
    <row r="1140" spans="1:8" x14ac:dyDescent="0.2">
      <c r="A1140" t="s">
        <v>29</v>
      </c>
      <c r="B1140" t="s">
        <v>116</v>
      </c>
      <c r="C1140" t="s">
        <v>721</v>
      </c>
      <c r="D1140">
        <v>3</v>
      </c>
      <c r="E1140" s="307">
        <v>3</v>
      </c>
      <c r="F1140" s="307" t="s">
        <v>7</v>
      </c>
      <c r="G1140" s="307" t="s">
        <v>115</v>
      </c>
      <c r="H1140" s="307" t="s">
        <v>11</v>
      </c>
    </row>
    <row r="1141" spans="1:8" x14ac:dyDescent="0.2">
      <c r="A1141" t="s">
        <v>29</v>
      </c>
      <c r="B1141" t="s">
        <v>116</v>
      </c>
      <c r="C1141" t="s">
        <v>722</v>
      </c>
      <c r="D1141">
        <v>3</v>
      </c>
      <c r="E1141" s="307">
        <v>2</v>
      </c>
      <c r="F1141" s="307" t="s">
        <v>7</v>
      </c>
      <c r="G1141" s="307" t="s">
        <v>115</v>
      </c>
      <c r="H1141" s="307" t="s">
        <v>11</v>
      </c>
    </row>
    <row r="1142" spans="1:8" x14ac:dyDescent="0.2">
      <c r="A1142" t="s">
        <v>29</v>
      </c>
      <c r="B1142" t="s">
        <v>116</v>
      </c>
      <c r="C1142" t="s">
        <v>1455</v>
      </c>
      <c r="D1142">
        <v>3</v>
      </c>
      <c r="E1142" s="307">
        <v>2</v>
      </c>
      <c r="F1142" s="307" t="s">
        <v>7</v>
      </c>
      <c r="G1142" s="307" t="s">
        <v>115</v>
      </c>
      <c r="H1142" s="307" t="s">
        <v>11</v>
      </c>
    </row>
    <row r="1143" spans="1:8" x14ac:dyDescent="0.2">
      <c r="A1143" t="s">
        <v>29</v>
      </c>
      <c r="B1143" t="s">
        <v>116</v>
      </c>
      <c r="C1143" t="s">
        <v>1200</v>
      </c>
      <c r="D1143">
        <v>3</v>
      </c>
      <c r="E1143" s="307">
        <v>3</v>
      </c>
      <c r="F1143" s="307" t="s">
        <v>7</v>
      </c>
      <c r="G1143" s="307" t="s">
        <v>115</v>
      </c>
      <c r="H1143" s="307" t="s">
        <v>11</v>
      </c>
    </row>
    <row r="1144" spans="1:8" x14ac:dyDescent="0.2">
      <c r="A1144" t="s">
        <v>29</v>
      </c>
      <c r="B1144" t="s">
        <v>116</v>
      </c>
      <c r="C1144" t="s">
        <v>826</v>
      </c>
      <c r="D1144">
        <v>3</v>
      </c>
      <c r="E1144" s="307">
        <v>2</v>
      </c>
      <c r="F1144" s="307" t="s">
        <v>7</v>
      </c>
      <c r="G1144" s="307" t="s">
        <v>115</v>
      </c>
      <c r="H1144" s="307" t="s">
        <v>11</v>
      </c>
    </row>
    <row r="1145" spans="1:8" x14ac:dyDescent="0.2">
      <c r="A1145" t="s">
        <v>29</v>
      </c>
      <c r="B1145" t="s">
        <v>116</v>
      </c>
      <c r="C1145" t="s">
        <v>1456</v>
      </c>
      <c r="D1145">
        <v>3</v>
      </c>
      <c r="E1145" s="307">
        <v>2</v>
      </c>
      <c r="F1145" s="307" t="s">
        <v>7</v>
      </c>
      <c r="G1145" s="307" t="s">
        <v>115</v>
      </c>
      <c r="H1145" s="307" t="s">
        <v>11</v>
      </c>
    </row>
    <row r="1146" spans="1:8" x14ac:dyDescent="0.2">
      <c r="A1146" t="s">
        <v>29</v>
      </c>
      <c r="B1146" t="s">
        <v>116</v>
      </c>
      <c r="C1146" t="s">
        <v>827</v>
      </c>
      <c r="D1146">
        <v>3</v>
      </c>
      <c r="E1146" s="307">
        <v>3</v>
      </c>
      <c r="F1146" s="307" t="s">
        <v>7</v>
      </c>
      <c r="G1146" s="307" t="s">
        <v>115</v>
      </c>
      <c r="H1146" s="307" t="s">
        <v>11</v>
      </c>
    </row>
    <row r="1147" spans="1:8" x14ac:dyDescent="0.2">
      <c r="A1147" t="s">
        <v>29</v>
      </c>
      <c r="B1147" t="s">
        <v>116</v>
      </c>
      <c r="C1147" t="s">
        <v>1201</v>
      </c>
      <c r="D1147">
        <v>3</v>
      </c>
      <c r="E1147" s="307">
        <v>2</v>
      </c>
      <c r="F1147" s="307" t="s">
        <v>7</v>
      </c>
      <c r="G1147" s="307" t="s">
        <v>115</v>
      </c>
      <c r="H1147" s="307" t="s">
        <v>11</v>
      </c>
    </row>
    <row r="1148" spans="1:8" x14ac:dyDescent="0.2">
      <c r="A1148" t="s">
        <v>29</v>
      </c>
      <c r="B1148" t="s">
        <v>116</v>
      </c>
      <c r="C1148" t="s">
        <v>730</v>
      </c>
      <c r="D1148">
        <v>3</v>
      </c>
      <c r="E1148" s="307">
        <v>3</v>
      </c>
      <c r="F1148" s="307" t="s">
        <v>7</v>
      </c>
      <c r="G1148" s="307" t="s">
        <v>115</v>
      </c>
      <c r="H1148" s="307" t="s">
        <v>11</v>
      </c>
    </row>
    <row r="1149" spans="1:8" x14ac:dyDescent="0.2">
      <c r="A1149" t="s">
        <v>29</v>
      </c>
      <c r="B1149" t="s">
        <v>116</v>
      </c>
      <c r="C1149" t="s">
        <v>1457</v>
      </c>
      <c r="D1149">
        <v>3</v>
      </c>
      <c r="E1149" s="307">
        <v>3</v>
      </c>
      <c r="F1149" s="307" t="s">
        <v>7</v>
      </c>
      <c r="G1149" s="307" t="s">
        <v>11</v>
      </c>
      <c r="H1149" s="307" t="s">
        <v>11</v>
      </c>
    </row>
    <row r="1150" spans="1:8" x14ac:dyDescent="0.2">
      <c r="A1150" t="s">
        <v>29</v>
      </c>
      <c r="B1150" t="s">
        <v>116</v>
      </c>
      <c r="C1150" t="s">
        <v>1458</v>
      </c>
      <c r="D1150">
        <v>3</v>
      </c>
      <c r="E1150" s="307">
        <v>3</v>
      </c>
      <c r="F1150" s="307" t="s">
        <v>7</v>
      </c>
      <c r="G1150" s="307" t="s">
        <v>115</v>
      </c>
      <c r="H1150" s="307" t="s">
        <v>11</v>
      </c>
    </row>
    <row r="1151" spans="1:8" x14ac:dyDescent="0.2">
      <c r="A1151" t="s">
        <v>29</v>
      </c>
      <c r="B1151" t="s">
        <v>116</v>
      </c>
      <c r="C1151" t="s">
        <v>1459</v>
      </c>
      <c r="D1151">
        <v>3</v>
      </c>
      <c r="E1151" s="307">
        <v>2</v>
      </c>
      <c r="F1151" s="307" t="s">
        <v>7</v>
      </c>
      <c r="G1151" s="307" t="s">
        <v>115</v>
      </c>
      <c r="H1151" s="307" t="s">
        <v>11</v>
      </c>
    </row>
    <row r="1152" spans="1:8" x14ac:dyDescent="0.2">
      <c r="A1152" t="s">
        <v>29</v>
      </c>
      <c r="B1152" t="s">
        <v>116</v>
      </c>
      <c r="C1152" t="s">
        <v>835</v>
      </c>
      <c r="D1152">
        <v>3</v>
      </c>
      <c r="E1152" s="307">
        <v>3</v>
      </c>
      <c r="F1152" s="307" t="s">
        <v>7</v>
      </c>
      <c r="G1152" s="307" t="s">
        <v>115</v>
      </c>
      <c r="H1152" s="307" t="s">
        <v>11</v>
      </c>
    </row>
    <row r="1153" spans="1:8" x14ac:dyDescent="0.2">
      <c r="A1153" t="s">
        <v>29</v>
      </c>
      <c r="B1153" t="s">
        <v>116</v>
      </c>
      <c r="C1153" t="s">
        <v>1460</v>
      </c>
      <c r="D1153">
        <v>3</v>
      </c>
      <c r="E1153" s="307">
        <v>2</v>
      </c>
      <c r="F1153" s="307" t="s">
        <v>7</v>
      </c>
      <c r="G1153" s="307" t="s">
        <v>115</v>
      </c>
      <c r="H1153" s="307" t="s">
        <v>11</v>
      </c>
    </row>
    <row r="1154" spans="1:8" x14ac:dyDescent="0.2">
      <c r="A1154" t="s">
        <v>29</v>
      </c>
      <c r="B1154" t="s">
        <v>116</v>
      </c>
      <c r="C1154" t="s">
        <v>1461</v>
      </c>
      <c r="D1154">
        <v>3</v>
      </c>
      <c r="E1154" s="307">
        <v>2</v>
      </c>
      <c r="F1154" s="307" t="s">
        <v>7</v>
      </c>
      <c r="G1154" s="307" t="s">
        <v>115</v>
      </c>
      <c r="H1154" s="307" t="s">
        <v>11</v>
      </c>
    </row>
    <row r="1155" spans="1:8" x14ac:dyDescent="0.2">
      <c r="A1155" t="s">
        <v>29</v>
      </c>
      <c r="B1155" t="s">
        <v>116</v>
      </c>
      <c r="C1155" t="s">
        <v>1462</v>
      </c>
      <c r="D1155">
        <v>3</v>
      </c>
      <c r="E1155" s="307">
        <v>2</v>
      </c>
      <c r="F1155" s="307" t="s">
        <v>7</v>
      </c>
      <c r="G1155" s="307" t="s">
        <v>115</v>
      </c>
      <c r="H1155" s="307" t="s">
        <v>11</v>
      </c>
    </row>
    <row r="1156" spans="1:8" x14ac:dyDescent="0.2">
      <c r="A1156" t="s">
        <v>29</v>
      </c>
      <c r="B1156" t="s">
        <v>116</v>
      </c>
      <c r="C1156" t="s">
        <v>1463</v>
      </c>
      <c r="D1156">
        <v>3</v>
      </c>
      <c r="E1156" s="307">
        <v>3</v>
      </c>
      <c r="F1156" s="307" t="s">
        <v>7</v>
      </c>
      <c r="G1156" s="307" t="s">
        <v>115</v>
      </c>
      <c r="H1156" s="307" t="s">
        <v>11</v>
      </c>
    </row>
    <row r="1157" spans="1:8" x14ac:dyDescent="0.2">
      <c r="A1157" t="s">
        <v>29</v>
      </c>
      <c r="B1157" t="s">
        <v>116</v>
      </c>
      <c r="C1157" t="s">
        <v>1214</v>
      </c>
      <c r="D1157">
        <v>3</v>
      </c>
      <c r="E1157" s="307">
        <v>3</v>
      </c>
      <c r="F1157" s="307" t="s">
        <v>7</v>
      </c>
      <c r="G1157" s="307" t="s">
        <v>115</v>
      </c>
      <c r="H1157" s="307" t="s">
        <v>11</v>
      </c>
    </row>
    <row r="1158" spans="1:8" x14ac:dyDescent="0.2">
      <c r="A1158" t="s">
        <v>29</v>
      </c>
      <c r="B1158" t="s">
        <v>116</v>
      </c>
      <c r="C1158" t="s">
        <v>1464</v>
      </c>
      <c r="D1158">
        <v>3</v>
      </c>
      <c r="E1158" s="307">
        <v>3</v>
      </c>
      <c r="F1158" s="307" t="s">
        <v>7</v>
      </c>
      <c r="G1158" s="307" t="s">
        <v>115</v>
      </c>
      <c r="H1158" s="307" t="s">
        <v>11</v>
      </c>
    </row>
    <row r="1159" spans="1:8" x14ac:dyDescent="0.2">
      <c r="A1159" t="s">
        <v>29</v>
      </c>
      <c r="B1159" t="s">
        <v>116</v>
      </c>
      <c r="C1159" t="s">
        <v>1465</v>
      </c>
      <c r="D1159">
        <v>3</v>
      </c>
      <c r="E1159" s="307">
        <v>2</v>
      </c>
      <c r="F1159" s="307" t="s">
        <v>7</v>
      </c>
      <c r="G1159" s="307" t="s">
        <v>115</v>
      </c>
      <c r="H1159" s="307" t="s">
        <v>11</v>
      </c>
    </row>
    <row r="1160" spans="1:8" x14ac:dyDescent="0.2">
      <c r="A1160" t="s">
        <v>29</v>
      </c>
      <c r="B1160" t="s">
        <v>116</v>
      </c>
      <c r="C1160" t="s">
        <v>1466</v>
      </c>
      <c r="D1160">
        <v>3</v>
      </c>
      <c r="E1160" s="307">
        <v>2</v>
      </c>
      <c r="F1160" s="307" t="s">
        <v>7</v>
      </c>
      <c r="G1160" s="307" t="s">
        <v>115</v>
      </c>
      <c r="H1160" s="307" t="s">
        <v>11</v>
      </c>
    </row>
    <row r="1161" spans="1:8" x14ac:dyDescent="0.2">
      <c r="A1161" t="s">
        <v>29</v>
      </c>
      <c r="B1161" t="s">
        <v>116</v>
      </c>
      <c r="C1161" t="s">
        <v>1467</v>
      </c>
      <c r="D1161">
        <v>3</v>
      </c>
      <c r="E1161" s="307">
        <v>2</v>
      </c>
      <c r="F1161" s="307" t="s">
        <v>7</v>
      </c>
      <c r="G1161" s="307" t="s">
        <v>115</v>
      </c>
      <c r="H1161" s="307" t="s">
        <v>11</v>
      </c>
    </row>
    <row r="1162" spans="1:8" x14ac:dyDescent="0.2">
      <c r="A1162" t="s">
        <v>29</v>
      </c>
      <c r="B1162" t="s">
        <v>116</v>
      </c>
      <c r="C1162" t="s">
        <v>1468</v>
      </c>
      <c r="D1162">
        <v>3</v>
      </c>
      <c r="E1162" s="307">
        <v>2</v>
      </c>
      <c r="F1162" s="307" t="s">
        <v>7</v>
      </c>
      <c r="G1162" s="307" t="s">
        <v>115</v>
      </c>
      <c r="H1162" s="307" t="s">
        <v>11</v>
      </c>
    </row>
    <row r="1163" spans="1:8" x14ac:dyDescent="0.2">
      <c r="A1163" t="s">
        <v>29</v>
      </c>
      <c r="B1163" t="s">
        <v>116</v>
      </c>
      <c r="C1163" t="s">
        <v>1469</v>
      </c>
      <c r="D1163">
        <v>3</v>
      </c>
      <c r="E1163" s="307">
        <v>2</v>
      </c>
      <c r="F1163" s="307" t="s">
        <v>7</v>
      </c>
      <c r="G1163" s="307" t="s">
        <v>115</v>
      </c>
      <c r="H1163" s="307" t="s">
        <v>11</v>
      </c>
    </row>
    <row r="1164" spans="1:8" x14ac:dyDescent="0.2">
      <c r="A1164" t="s">
        <v>29</v>
      </c>
      <c r="B1164" t="s">
        <v>116</v>
      </c>
      <c r="C1164" t="s">
        <v>1470</v>
      </c>
      <c r="D1164">
        <v>3</v>
      </c>
      <c r="E1164" s="307">
        <v>2</v>
      </c>
      <c r="F1164" s="307" t="s">
        <v>7</v>
      </c>
      <c r="G1164" s="307" t="s">
        <v>115</v>
      </c>
      <c r="H1164" s="307" t="s">
        <v>11</v>
      </c>
    </row>
    <row r="1165" spans="1:8" x14ac:dyDescent="0.2">
      <c r="A1165" t="s">
        <v>29</v>
      </c>
      <c r="B1165" t="s">
        <v>116</v>
      </c>
      <c r="C1165" t="s">
        <v>1471</v>
      </c>
      <c r="D1165">
        <v>3</v>
      </c>
      <c r="E1165" s="307">
        <v>2</v>
      </c>
      <c r="F1165" s="307" t="s">
        <v>7</v>
      </c>
      <c r="G1165" s="307" t="s">
        <v>115</v>
      </c>
      <c r="H1165" s="307" t="s">
        <v>11</v>
      </c>
    </row>
    <row r="1166" spans="1:8" x14ac:dyDescent="0.2">
      <c r="A1166" t="s">
        <v>29</v>
      </c>
      <c r="B1166" t="s">
        <v>116</v>
      </c>
      <c r="C1166" t="s">
        <v>1472</v>
      </c>
      <c r="D1166">
        <v>3</v>
      </c>
      <c r="E1166" s="307">
        <v>2</v>
      </c>
      <c r="F1166" s="307" t="s">
        <v>7</v>
      </c>
      <c r="G1166" s="307" t="s">
        <v>115</v>
      </c>
      <c r="H1166" s="307" t="s">
        <v>11</v>
      </c>
    </row>
    <row r="1167" spans="1:8" x14ac:dyDescent="0.2">
      <c r="A1167" t="s">
        <v>29</v>
      </c>
      <c r="B1167" t="s">
        <v>116</v>
      </c>
      <c r="C1167" t="s">
        <v>1473</v>
      </c>
      <c r="D1167">
        <v>3</v>
      </c>
      <c r="E1167" s="307">
        <v>2</v>
      </c>
      <c r="F1167" s="307" t="s">
        <v>7</v>
      </c>
      <c r="G1167" s="307" t="s">
        <v>115</v>
      </c>
      <c r="H1167" s="307" t="s">
        <v>11</v>
      </c>
    </row>
    <row r="1168" spans="1:8" x14ac:dyDescent="0.2">
      <c r="A1168" t="s">
        <v>29</v>
      </c>
      <c r="B1168" t="s">
        <v>116</v>
      </c>
      <c r="C1168" t="s">
        <v>1474</v>
      </c>
      <c r="D1168">
        <v>3</v>
      </c>
      <c r="E1168" s="307">
        <v>2</v>
      </c>
      <c r="F1168" s="307" t="s">
        <v>7</v>
      </c>
      <c r="G1168" s="307" t="s">
        <v>115</v>
      </c>
      <c r="H1168" s="307" t="s">
        <v>11</v>
      </c>
    </row>
    <row r="1169" spans="1:8" x14ac:dyDescent="0.2">
      <c r="A1169" t="s">
        <v>29</v>
      </c>
      <c r="B1169" t="s">
        <v>116</v>
      </c>
      <c r="C1169" t="s">
        <v>1475</v>
      </c>
      <c r="D1169">
        <v>3</v>
      </c>
      <c r="E1169" s="307">
        <v>3</v>
      </c>
      <c r="F1169" s="307" t="s">
        <v>7</v>
      </c>
      <c r="G1169" s="307" t="s">
        <v>115</v>
      </c>
      <c r="H1169" s="307" t="s">
        <v>11</v>
      </c>
    </row>
    <row r="1170" spans="1:8" x14ac:dyDescent="0.2">
      <c r="A1170" t="s">
        <v>29</v>
      </c>
      <c r="B1170" t="s">
        <v>116</v>
      </c>
      <c r="C1170" t="s">
        <v>1476</v>
      </c>
      <c r="D1170">
        <v>3</v>
      </c>
      <c r="E1170" s="307">
        <v>2</v>
      </c>
      <c r="F1170" s="307" t="s">
        <v>7</v>
      </c>
      <c r="G1170" s="307" t="s">
        <v>115</v>
      </c>
      <c r="H1170" s="307" t="s">
        <v>11</v>
      </c>
    </row>
    <row r="1171" spans="1:8" x14ac:dyDescent="0.2">
      <c r="A1171" t="s">
        <v>29</v>
      </c>
      <c r="B1171" t="s">
        <v>116</v>
      </c>
      <c r="C1171" t="s">
        <v>850</v>
      </c>
      <c r="D1171">
        <v>3</v>
      </c>
      <c r="E1171" s="307">
        <v>3</v>
      </c>
      <c r="F1171" s="307" t="s">
        <v>7</v>
      </c>
      <c r="G1171" s="307" t="s">
        <v>115</v>
      </c>
      <c r="H1171" s="307" t="s">
        <v>11</v>
      </c>
    </row>
    <row r="1172" spans="1:8" x14ac:dyDescent="0.2">
      <c r="A1172" t="s">
        <v>29</v>
      </c>
      <c r="B1172" t="s">
        <v>116</v>
      </c>
      <c r="C1172" t="s">
        <v>1221</v>
      </c>
      <c r="D1172">
        <v>3</v>
      </c>
      <c r="E1172" s="307">
        <v>2</v>
      </c>
      <c r="F1172" s="307" t="s">
        <v>7</v>
      </c>
      <c r="G1172" s="307" t="s">
        <v>115</v>
      </c>
      <c r="H1172" s="307" t="s">
        <v>11</v>
      </c>
    </row>
    <row r="1173" spans="1:8" x14ac:dyDescent="0.2">
      <c r="A1173" t="s">
        <v>29</v>
      </c>
      <c r="B1173" t="s">
        <v>116</v>
      </c>
      <c r="C1173" t="s">
        <v>1477</v>
      </c>
      <c r="D1173">
        <v>3</v>
      </c>
      <c r="E1173" s="307">
        <v>3</v>
      </c>
      <c r="F1173" s="307" t="s">
        <v>7</v>
      </c>
      <c r="G1173" s="307" t="s">
        <v>115</v>
      </c>
      <c r="H1173" s="307" t="s">
        <v>11</v>
      </c>
    </row>
    <row r="1174" spans="1:8" x14ac:dyDescent="0.2">
      <c r="A1174" t="s">
        <v>29</v>
      </c>
      <c r="B1174" t="s">
        <v>116</v>
      </c>
      <c r="C1174" t="s">
        <v>750</v>
      </c>
      <c r="D1174">
        <v>3</v>
      </c>
      <c r="E1174" s="307">
        <v>2</v>
      </c>
      <c r="F1174" s="307" t="s">
        <v>7</v>
      </c>
      <c r="G1174" s="307" t="s">
        <v>115</v>
      </c>
      <c r="H1174" s="307" t="s">
        <v>11</v>
      </c>
    </row>
    <row r="1175" spans="1:8" x14ac:dyDescent="0.2">
      <c r="A1175" t="s">
        <v>29</v>
      </c>
      <c r="B1175" t="s">
        <v>116</v>
      </c>
      <c r="C1175" t="s">
        <v>1130</v>
      </c>
      <c r="D1175">
        <v>3</v>
      </c>
      <c r="E1175" s="307">
        <v>3</v>
      </c>
      <c r="F1175" s="307" t="s">
        <v>7</v>
      </c>
      <c r="G1175" s="307" t="s">
        <v>115</v>
      </c>
      <c r="H1175" s="307" t="s">
        <v>11</v>
      </c>
    </row>
    <row r="1176" spans="1:8" x14ac:dyDescent="0.2">
      <c r="A1176" t="s">
        <v>29</v>
      </c>
      <c r="B1176" t="s">
        <v>116</v>
      </c>
      <c r="C1176" t="s">
        <v>1478</v>
      </c>
      <c r="D1176">
        <v>3</v>
      </c>
      <c r="E1176" s="307">
        <v>2</v>
      </c>
      <c r="F1176" s="307" t="s">
        <v>7</v>
      </c>
      <c r="G1176" s="307" t="s">
        <v>115</v>
      </c>
      <c r="H1176" s="307" t="s">
        <v>11</v>
      </c>
    </row>
    <row r="1177" spans="1:8" x14ac:dyDescent="0.2">
      <c r="A1177" t="s">
        <v>29</v>
      </c>
      <c r="B1177" t="s">
        <v>116</v>
      </c>
      <c r="C1177" t="s">
        <v>1479</v>
      </c>
      <c r="D1177">
        <v>3</v>
      </c>
      <c r="E1177" s="307">
        <v>3</v>
      </c>
      <c r="F1177" s="307" t="s">
        <v>7</v>
      </c>
      <c r="G1177" s="307" t="s">
        <v>11</v>
      </c>
      <c r="H1177" s="307" t="s">
        <v>11</v>
      </c>
    </row>
    <row r="1178" spans="1:8" x14ac:dyDescent="0.2">
      <c r="A1178" t="s">
        <v>29</v>
      </c>
      <c r="B1178" t="s">
        <v>116</v>
      </c>
      <c r="C1178" t="s">
        <v>1480</v>
      </c>
      <c r="D1178">
        <v>3</v>
      </c>
      <c r="E1178" s="307">
        <v>2</v>
      </c>
      <c r="F1178" s="307" t="s">
        <v>7</v>
      </c>
      <c r="G1178" s="307" t="s">
        <v>115</v>
      </c>
      <c r="H1178" s="307" t="s">
        <v>11</v>
      </c>
    </row>
    <row r="1179" spans="1:8" x14ac:dyDescent="0.2">
      <c r="A1179" t="s">
        <v>29</v>
      </c>
      <c r="B1179" t="s">
        <v>116</v>
      </c>
      <c r="C1179" t="s">
        <v>1481</v>
      </c>
      <c r="D1179">
        <v>3</v>
      </c>
      <c r="E1179" s="307">
        <v>3</v>
      </c>
      <c r="F1179" s="307" t="s">
        <v>7</v>
      </c>
      <c r="G1179" s="307" t="s">
        <v>115</v>
      </c>
      <c r="H1179" s="307" t="s">
        <v>11</v>
      </c>
    </row>
    <row r="1180" spans="1:8" x14ac:dyDescent="0.2">
      <c r="A1180" t="s">
        <v>32</v>
      </c>
      <c r="B1180" t="s">
        <v>54</v>
      </c>
      <c r="C1180" t="s">
        <v>1482</v>
      </c>
      <c r="D1180">
        <v>1</v>
      </c>
      <c r="E1180" s="307">
        <v>6</v>
      </c>
      <c r="F1180" s="307" t="s">
        <v>7</v>
      </c>
      <c r="G1180" s="307" t="s">
        <v>11</v>
      </c>
      <c r="H1180" s="307" t="s">
        <v>11</v>
      </c>
    </row>
    <row r="1181" spans="1:8" x14ac:dyDescent="0.2">
      <c r="A1181" t="s">
        <v>32</v>
      </c>
      <c r="B1181" t="s">
        <v>54</v>
      </c>
      <c r="C1181" t="s">
        <v>1483</v>
      </c>
      <c r="D1181">
        <v>1</v>
      </c>
      <c r="E1181" s="307">
        <v>7</v>
      </c>
      <c r="F1181" s="307" t="s">
        <v>11</v>
      </c>
      <c r="G1181" s="307" t="s">
        <v>11</v>
      </c>
      <c r="H1181" s="307" t="s">
        <v>11</v>
      </c>
    </row>
    <row r="1182" spans="1:8" x14ac:dyDescent="0.2">
      <c r="A1182" t="s">
        <v>32</v>
      </c>
      <c r="B1182" t="s">
        <v>54</v>
      </c>
      <c r="C1182" t="s">
        <v>1183</v>
      </c>
      <c r="D1182">
        <v>1</v>
      </c>
      <c r="E1182" s="307">
        <v>6</v>
      </c>
      <c r="F1182" s="307" t="s">
        <v>7</v>
      </c>
      <c r="G1182" s="307" t="s">
        <v>11</v>
      </c>
      <c r="H1182" s="307" t="s">
        <v>11</v>
      </c>
    </row>
    <row r="1183" spans="1:8" x14ac:dyDescent="0.2">
      <c r="A1183" t="s">
        <v>32</v>
      </c>
      <c r="B1183" t="s">
        <v>54</v>
      </c>
      <c r="C1183" t="s">
        <v>715</v>
      </c>
      <c r="D1183">
        <v>1</v>
      </c>
      <c r="E1183" s="307">
        <v>6</v>
      </c>
      <c r="F1183" s="307" t="s">
        <v>7</v>
      </c>
      <c r="G1183" s="307" t="s">
        <v>11</v>
      </c>
      <c r="H1183" s="307" t="s">
        <v>11</v>
      </c>
    </row>
    <row r="1184" spans="1:8" x14ac:dyDescent="0.2">
      <c r="A1184" t="s">
        <v>32</v>
      </c>
      <c r="B1184" t="s">
        <v>54</v>
      </c>
      <c r="C1184" t="s">
        <v>1079</v>
      </c>
      <c r="D1184">
        <v>1</v>
      </c>
      <c r="E1184" s="307">
        <v>6</v>
      </c>
      <c r="F1184" s="307" t="s">
        <v>7</v>
      </c>
      <c r="G1184" s="307" t="s">
        <v>11</v>
      </c>
      <c r="H1184" s="307" t="s">
        <v>11</v>
      </c>
    </row>
    <row r="1185" spans="1:8" x14ac:dyDescent="0.2">
      <c r="A1185" t="s">
        <v>32</v>
      </c>
      <c r="B1185" t="s">
        <v>54</v>
      </c>
      <c r="C1185" t="s">
        <v>1484</v>
      </c>
      <c r="D1185">
        <v>1</v>
      </c>
      <c r="E1185" s="307">
        <v>6</v>
      </c>
      <c r="F1185" s="307" t="s">
        <v>7</v>
      </c>
      <c r="G1185" s="307" t="s">
        <v>11</v>
      </c>
      <c r="H1185" s="307" t="s">
        <v>11</v>
      </c>
    </row>
    <row r="1186" spans="1:8" x14ac:dyDescent="0.2">
      <c r="A1186" t="s">
        <v>32</v>
      </c>
      <c r="B1186" t="s">
        <v>54</v>
      </c>
      <c r="C1186" t="s">
        <v>1199</v>
      </c>
      <c r="D1186">
        <v>2</v>
      </c>
      <c r="E1186" s="307">
        <v>6</v>
      </c>
      <c r="F1186" s="307" t="s">
        <v>7</v>
      </c>
      <c r="G1186" s="307" t="s">
        <v>11</v>
      </c>
      <c r="H1186" s="307" t="s">
        <v>11</v>
      </c>
    </row>
    <row r="1187" spans="1:8" x14ac:dyDescent="0.2">
      <c r="A1187" t="s">
        <v>32</v>
      </c>
      <c r="B1187" t="s">
        <v>54</v>
      </c>
      <c r="C1187" t="s">
        <v>827</v>
      </c>
      <c r="D1187">
        <v>1</v>
      </c>
      <c r="E1187" s="307">
        <v>6</v>
      </c>
      <c r="F1187" s="307" t="s">
        <v>7</v>
      </c>
      <c r="G1187" s="307" t="s">
        <v>11</v>
      </c>
      <c r="H1187" s="307" t="s">
        <v>11</v>
      </c>
    </row>
    <row r="1188" spans="1:8" x14ac:dyDescent="0.2">
      <c r="A1188" t="s">
        <v>32</v>
      </c>
      <c r="B1188" t="s">
        <v>54</v>
      </c>
      <c r="C1188" t="s">
        <v>1485</v>
      </c>
      <c r="D1188">
        <v>1</v>
      </c>
      <c r="E1188" s="307">
        <v>6</v>
      </c>
      <c r="F1188" s="307" t="s">
        <v>7</v>
      </c>
      <c r="G1188" s="307" t="s">
        <v>11</v>
      </c>
      <c r="H1188" s="307" t="s">
        <v>11</v>
      </c>
    </row>
    <row r="1189" spans="1:8" x14ac:dyDescent="0.2">
      <c r="A1189" t="s">
        <v>32</v>
      </c>
      <c r="B1189" t="s">
        <v>54</v>
      </c>
      <c r="C1189" t="s">
        <v>1486</v>
      </c>
      <c r="D1189">
        <v>1</v>
      </c>
      <c r="E1189" s="307">
        <v>6</v>
      </c>
      <c r="F1189" s="307" t="s">
        <v>7</v>
      </c>
      <c r="G1189" s="307" t="s">
        <v>11</v>
      </c>
      <c r="H1189" s="307" t="s">
        <v>11</v>
      </c>
    </row>
    <row r="1190" spans="1:8" x14ac:dyDescent="0.2">
      <c r="A1190" t="s">
        <v>32</v>
      </c>
      <c r="B1190" t="s">
        <v>54</v>
      </c>
      <c r="C1190" t="s">
        <v>1487</v>
      </c>
      <c r="D1190">
        <v>1</v>
      </c>
      <c r="E1190" s="307">
        <v>6</v>
      </c>
      <c r="F1190" s="307" t="s">
        <v>7</v>
      </c>
      <c r="G1190" s="307" t="s">
        <v>11</v>
      </c>
      <c r="H1190" s="307" t="s">
        <v>11</v>
      </c>
    </row>
    <row r="1191" spans="1:8" x14ac:dyDescent="0.2">
      <c r="A1191" t="s">
        <v>32</v>
      </c>
      <c r="B1191" t="s">
        <v>54</v>
      </c>
      <c r="C1191" t="s">
        <v>1488</v>
      </c>
      <c r="D1191">
        <v>2</v>
      </c>
      <c r="E1191" s="307">
        <v>6</v>
      </c>
      <c r="F1191" s="307" t="s">
        <v>7</v>
      </c>
      <c r="G1191" s="307" t="s">
        <v>11</v>
      </c>
      <c r="H1191" s="307" t="s">
        <v>11</v>
      </c>
    </row>
    <row r="1192" spans="1:8" x14ac:dyDescent="0.2">
      <c r="A1192" t="s">
        <v>32</v>
      </c>
      <c r="B1192" t="s">
        <v>54</v>
      </c>
      <c r="C1192" t="s">
        <v>1489</v>
      </c>
      <c r="D1192">
        <v>1</v>
      </c>
      <c r="E1192" s="307">
        <v>6</v>
      </c>
      <c r="F1192" s="307" t="s">
        <v>7</v>
      </c>
      <c r="G1192" s="307" t="s">
        <v>11</v>
      </c>
      <c r="H1192" s="307" t="s">
        <v>11</v>
      </c>
    </row>
    <row r="1193" spans="1:8" x14ac:dyDescent="0.2">
      <c r="A1193" t="s">
        <v>32</v>
      </c>
      <c r="B1193" t="s">
        <v>54</v>
      </c>
      <c r="C1193" t="s">
        <v>1490</v>
      </c>
      <c r="D1193">
        <v>2</v>
      </c>
      <c r="E1193" s="307">
        <v>6</v>
      </c>
      <c r="F1193" s="307" t="s">
        <v>7</v>
      </c>
      <c r="G1193" s="307" t="s">
        <v>11</v>
      </c>
      <c r="H1193" s="307" t="s">
        <v>11</v>
      </c>
    </row>
    <row r="1194" spans="1:8" x14ac:dyDescent="0.2">
      <c r="A1194" t="s">
        <v>32</v>
      </c>
      <c r="B1194" t="s">
        <v>54</v>
      </c>
      <c r="C1194" t="s">
        <v>750</v>
      </c>
      <c r="D1194">
        <v>2</v>
      </c>
      <c r="E1194" s="307">
        <v>6</v>
      </c>
      <c r="F1194" s="307" t="s">
        <v>7</v>
      </c>
      <c r="G1194" s="307" t="s">
        <v>11</v>
      </c>
      <c r="H1194" s="307" t="s">
        <v>11</v>
      </c>
    </row>
    <row r="1195" spans="1:8" x14ac:dyDescent="0.2">
      <c r="A1195" t="s">
        <v>32</v>
      </c>
      <c r="B1195" t="s">
        <v>54</v>
      </c>
      <c r="C1195" t="s">
        <v>1491</v>
      </c>
      <c r="D1195">
        <v>1</v>
      </c>
      <c r="E1195" s="307">
        <v>6</v>
      </c>
      <c r="F1195" s="307" t="s">
        <v>7</v>
      </c>
      <c r="G1195" s="307" t="s">
        <v>11</v>
      </c>
      <c r="H1195" s="307" t="s">
        <v>11</v>
      </c>
    </row>
    <row r="1196" spans="1:8" x14ac:dyDescent="0.2">
      <c r="A1196" t="s">
        <v>31</v>
      </c>
      <c r="B1196" t="s">
        <v>92</v>
      </c>
      <c r="C1196" t="s">
        <v>1492</v>
      </c>
      <c r="D1196">
        <v>2</v>
      </c>
      <c r="E1196" s="307">
        <v>4</v>
      </c>
      <c r="F1196" s="307" t="s">
        <v>7</v>
      </c>
      <c r="G1196" s="307" t="s">
        <v>11</v>
      </c>
      <c r="H1196" s="307" t="s">
        <v>11</v>
      </c>
    </row>
    <row r="1197" spans="1:8" x14ac:dyDescent="0.2">
      <c r="A1197" t="s">
        <v>31</v>
      </c>
      <c r="B1197" t="s">
        <v>92</v>
      </c>
      <c r="C1197" t="s">
        <v>1493</v>
      </c>
      <c r="D1197">
        <v>2</v>
      </c>
      <c r="E1197" s="307">
        <v>4</v>
      </c>
      <c r="F1197" s="307" t="s">
        <v>7</v>
      </c>
      <c r="G1197" s="307" t="s">
        <v>11</v>
      </c>
      <c r="H1197" s="307" t="s">
        <v>11</v>
      </c>
    </row>
    <row r="1198" spans="1:8" x14ac:dyDescent="0.2">
      <c r="A1198" t="s">
        <v>31</v>
      </c>
      <c r="B1198" t="s">
        <v>92</v>
      </c>
      <c r="C1198" t="s">
        <v>1494</v>
      </c>
      <c r="D1198">
        <v>1</v>
      </c>
      <c r="E1198" s="307">
        <v>4</v>
      </c>
      <c r="F1198" s="307" t="s">
        <v>7</v>
      </c>
      <c r="G1198" s="307" t="s">
        <v>11</v>
      </c>
      <c r="H1198" s="307" t="s">
        <v>11</v>
      </c>
    </row>
    <row r="1199" spans="1:8" x14ac:dyDescent="0.2">
      <c r="A1199" t="s">
        <v>31</v>
      </c>
      <c r="B1199" t="s">
        <v>92</v>
      </c>
      <c r="C1199" t="s">
        <v>1495</v>
      </c>
      <c r="D1199">
        <v>2</v>
      </c>
      <c r="E1199" s="307">
        <v>4</v>
      </c>
      <c r="F1199" s="307" t="s">
        <v>7</v>
      </c>
      <c r="G1199" s="307" t="s">
        <v>11</v>
      </c>
      <c r="H1199" s="307" t="s">
        <v>11</v>
      </c>
    </row>
    <row r="1200" spans="1:8" x14ac:dyDescent="0.2">
      <c r="A1200" t="s">
        <v>31</v>
      </c>
      <c r="B1200" t="s">
        <v>92</v>
      </c>
      <c r="C1200" t="s">
        <v>1496</v>
      </c>
      <c r="D1200">
        <v>1</v>
      </c>
      <c r="E1200" s="307">
        <v>4</v>
      </c>
      <c r="F1200" s="307" t="s">
        <v>7</v>
      </c>
      <c r="G1200" s="307" t="s">
        <v>11</v>
      </c>
      <c r="H1200" s="307" t="s">
        <v>11</v>
      </c>
    </row>
    <row r="1201" spans="1:8" x14ac:dyDescent="0.2">
      <c r="A1201" t="s">
        <v>31</v>
      </c>
      <c r="B1201" t="s">
        <v>92</v>
      </c>
      <c r="C1201" t="s">
        <v>1497</v>
      </c>
      <c r="D1201">
        <v>3</v>
      </c>
      <c r="E1201" s="307">
        <v>4</v>
      </c>
      <c r="F1201" s="307" t="s">
        <v>7</v>
      </c>
      <c r="G1201" s="307" t="s">
        <v>11</v>
      </c>
      <c r="H1201" s="307" t="s">
        <v>11</v>
      </c>
    </row>
    <row r="1202" spans="1:8" x14ac:dyDescent="0.2">
      <c r="A1202" t="s">
        <v>31</v>
      </c>
      <c r="B1202" t="s">
        <v>92</v>
      </c>
      <c r="C1202" t="s">
        <v>804</v>
      </c>
      <c r="D1202">
        <v>1</v>
      </c>
      <c r="E1202" s="307">
        <v>4</v>
      </c>
      <c r="F1202" s="307" t="s">
        <v>7</v>
      </c>
      <c r="G1202" s="307" t="s">
        <v>11</v>
      </c>
      <c r="H1202" s="307" t="s">
        <v>11</v>
      </c>
    </row>
    <row r="1203" spans="1:8" x14ac:dyDescent="0.2">
      <c r="A1203" t="s">
        <v>31</v>
      </c>
      <c r="B1203" t="s">
        <v>92</v>
      </c>
      <c r="C1203" t="s">
        <v>1498</v>
      </c>
      <c r="D1203">
        <v>2</v>
      </c>
      <c r="E1203" s="307">
        <v>4</v>
      </c>
      <c r="F1203" s="307" t="s">
        <v>7</v>
      </c>
      <c r="G1203" s="307" t="s">
        <v>11</v>
      </c>
      <c r="H1203" s="307" t="s">
        <v>11</v>
      </c>
    </row>
    <row r="1204" spans="1:8" x14ac:dyDescent="0.2">
      <c r="A1204" t="s">
        <v>31</v>
      </c>
      <c r="B1204" t="s">
        <v>92</v>
      </c>
      <c r="C1204" t="s">
        <v>1499</v>
      </c>
      <c r="D1204">
        <v>2</v>
      </c>
      <c r="E1204" s="307">
        <v>4</v>
      </c>
      <c r="F1204" s="307" t="s">
        <v>7</v>
      </c>
      <c r="G1204" s="307" t="s">
        <v>11</v>
      </c>
      <c r="H1204" s="307" t="s">
        <v>11</v>
      </c>
    </row>
    <row r="1205" spans="1:8" x14ac:dyDescent="0.2">
      <c r="A1205" t="s">
        <v>31</v>
      </c>
      <c r="B1205" t="s">
        <v>92</v>
      </c>
      <c r="C1205" t="s">
        <v>1500</v>
      </c>
      <c r="D1205">
        <v>3</v>
      </c>
      <c r="E1205" s="307">
        <v>4</v>
      </c>
      <c r="F1205" s="307" t="s">
        <v>7</v>
      </c>
      <c r="G1205" s="307" t="s">
        <v>11</v>
      </c>
      <c r="H1205" s="307" t="s">
        <v>11</v>
      </c>
    </row>
    <row r="1206" spans="1:8" x14ac:dyDescent="0.2">
      <c r="A1206" t="s">
        <v>31</v>
      </c>
      <c r="B1206" t="s">
        <v>92</v>
      </c>
      <c r="C1206" t="s">
        <v>1501</v>
      </c>
      <c r="D1206">
        <v>1</v>
      </c>
      <c r="E1206" s="307">
        <v>4</v>
      </c>
      <c r="F1206" s="307" t="s">
        <v>7</v>
      </c>
      <c r="G1206" s="307" t="s">
        <v>11</v>
      </c>
      <c r="H1206" s="307" t="s">
        <v>11</v>
      </c>
    </row>
    <row r="1207" spans="1:8" x14ac:dyDescent="0.2">
      <c r="A1207" t="s">
        <v>31</v>
      </c>
      <c r="B1207" t="s">
        <v>92</v>
      </c>
      <c r="C1207" t="s">
        <v>1502</v>
      </c>
      <c r="D1207">
        <v>2</v>
      </c>
      <c r="E1207" s="307">
        <v>5</v>
      </c>
      <c r="F1207" s="307" t="s">
        <v>7</v>
      </c>
      <c r="G1207" s="307" t="s">
        <v>11</v>
      </c>
      <c r="H1207" s="307" t="s">
        <v>11</v>
      </c>
    </row>
    <row r="1208" spans="1:8" x14ac:dyDescent="0.2">
      <c r="A1208" t="s">
        <v>31</v>
      </c>
      <c r="B1208" t="s">
        <v>92</v>
      </c>
      <c r="C1208" t="s">
        <v>1503</v>
      </c>
      <c r="D1208">
        <v>1</v>
      </c>
      <c r="E1208" s="307">
        <v>4</v>
      </c>
      <c r="F1208" s="307" t="s">
        <v>7</v>
      </c>
      <c r="G1208" s="307" t="s">
        <v>11</v>
      </c>
      <c r="H1208" s="307" t="s">
        <v>11</v>
      </c>
    </row>
    <row r="1209" spans="1:8" x14ac:dyDescent="0.2">
      <c r="A1209" t="s">
        <v>31</v>
      </c>
      <c r="B1209" t="s">
        <v>92</v>
      </c>
      <c r="C1209" t="s">
        <v>822</v>
      </c>
      <c r="D1209">
        <v>1</v>
      </c>
      <c r="E1209" s="307">
        <v>4</v>
      </c>
      <c r="F1209" s="307" t="s">
        <v>7</v>
      </c>
      <c r="G1209" s="307" t="s">
        <v>11</v>
      </c>
      <c r="H1209" s="307" t="s">
        <v>11</v>
      </c>
    </row>
    <row r="1210" spans="1:8" x14ac:dyDescent="0.2">
      <c r="A1210" t="s">
        <v>31</v>
      </c>
      <c r="B1210" t="s">
        <v>92</v>
      </c>
      <c r="C1210" t="s">
        <v>974</v>
      </c>
      <c r="D1210">
        <v>3</v>
      </c>
      <c r="E1210" s="307">
        <v>4</v>
      </c>
      <c r="F1210" s="307" t="s">
        <v>7</v>
      </c>
      <c r="G1210" s="307" t="s">
        <v>11</v>
      </c>
      <c r="H1210" s="307" t="s">
        <v>11</v>
      </c>
    </row>
    <row r="1211" spans="1:8" x14ac:dyDescent="0.2">
      <c r="A1211" t="s">
        <v>31</v>
      </c>
      <c r="B1211" t="s">
        <v>92</v>
      </c>
      <c r="C1211" t="s">
        <v>736</v>
      </c>
      <c r="D1211">
        <v>1</v>
      </c>
      <c r="E1211" s="307">
        <v>4</v>
      </c>
      <c r="F1211" s="307" t="s">
        <v>7</v>
      </c>
      <c r="G1211" s="307" t="s">
        <v>11</v>
      </c>
      <c r="H1211" s="307" t="s">
        <v>11</v>
      </c>
    </row>
    <row r="1212" spans="1:8" x14ac:dyDescent="0.2">
      <c r="A1212" t="s">
        <v>31</v>
      </c>
      <c r="B1212" t="s">
        <v>92</v>
      </c>
      <c r="C1212" t="s">
        <v>1504</v>
      </c>
      <c r="D1212">
        <v>2</v>
      </c>
      <c r="E1212" s="307">
        <v>4</v>
      </c>
      <c r="F1212" s="307" t="s">
        <v>7</v>
      </c>
      <c r="G1212" s="307" t="s">
        <v>11</v>
      </c>
      <c r="H1212" s="307" t="s">
        <v>11</v>
      </c>
    </row>
    <row r="1213" spans="1:8" x14ac:dyDescent="0.2">
      <c r="A1213" t="s">
        <v>31</v>
      </c>
      <c r="B1213" t="s">
        <v>92</v>
      </c>
      <c r="C1213" t="s">
        <v>1505</v>
      </c>
      <c r="D1213">
        <v>3</v>
      </c>
      <c r="E1213" s="307">
        <v>4</v>
      </c>
      <c r="F1213" s="307" t="s">
        <v>7</v>
      </c>
      <c r="G1213" s="307" t="s">
        <v>11</v>
      </c>
      <c r="H1213" s="307" t="s">
        <v>11</v>
      </c>
    </row>
    <row r="1214" spans="1:8" x14ac:dyDescent="0.2">
      <c r="A1214" t="s">
        <v>31</v>
      </c>
      <c r="B1214" t="s">
        <v>92</v>
      </c>
      <c r="C1214" t="s">
        <v>1506</v>
      </c>
      <c r="D1214">
        <v>2</v>
      </c>
      <c r="E1214" s="307">
        <v>4</v>
      </c>
      <c r="F1214" s="307" t="s">
        <v>7</v>
      </c>
      <c r="G1214" s="307" t="s">
        <v>11</v>
      </c>
      <c r="H1214" s="307" t="s">
        <v>11</v>
      </c>
    </row>
    <row r="1215" spans="1:8" x14ac:dyDescent="0.2">
      <c r="A1215" t="s">
        <v>31</v>
      </c>
      <c r="B1215" t="s">
        <v>92</v>
      </c>
      <c r="C1215" t="s">
        <v>1489</v>
      </c>
      <c r="D1215">
        <v>3</v>
      </c>
      <c r="E1215" s="307">
        <v>4</v>
      </c>
      <c r="F1215" s="307" t="s">
        <v>7</v>
      </c>
      <c r="G1215" s="307" t="s">
        <v>11</v>
      </c>
      <c r="H1215" s="307" t="s">
        <v>11</v>
      </c>
    </row>
    <row r="1216" spans="1:8" x14ac:dyDescent="0.2">
      <c r="A1216" t="s">
        <v>31</v>
      </c>
      <c r="B1216" t="s">
        <v>92</v>
      </c>
      <c r="C1216" t="s">
        <v>1113</v>
      </c>
      <c r="D1216">
        <v>3</v>
      </c>
      <c r="E1216" s="307">
        <v>4</v>
      </c>
      <c r="F1216" s="307" t="s">
        <v>7</v>
      </c>
      <c r="G1216" s="307" t="s">
        <v>11</v>
      </c>
      <c r="H1216" s="307" t="s">
        <v>11</v>
      </c>
    </row>
    <row r="1217" spans="1:8" x14ac:dyDescent="0.2">
      <c r="A1217" t="s">
        <v>31</v>
      </c>
      <c r="B1217" t="s">
        <v>92</v>
      </c>
      <c r="C1217" t="s">
        <v>750</v>
      </c>
      <c r="D1217">
        <v>1</v>
      </c>
      <c r="E1217" s="307">
        <v>4</v>
      </c>
      <c r="F1217" s="307" t="s">
        <v>7</v>
      </c>
      <c r="G1217" s="307" t="s">
        <v>11</v>
      </c>
      <c r="H1217" s="307" t="s">
        <v>11</v>
      </c>
    </row>
    <row r="1218" spans="1:8" x14ac:dyDescent="0.2">
      <c r="A1218" t="s">
        <v>31</v>
      </c>
      <c r="B1218" t="s">
        <v>92</v>
      </c>
      <c r="C1218" t="s">
        <v>1507</v>
      </c>
      <c r="D1218">
        <v>3</v>
      </c>
      <c r="E1218" s="307">
        <v>4</v>
      </c>
      <c r="F1218" s="307" t="s">
        <v>7</v>
      </c>
      <c r="G1218" s="307" t="s">
        <v>11</v>
      </c>
      <c r="H1218" s="307" t="s">
        <v>11</v>
      </c>
    </row>
    <row r="1219" spans="1:8" x14ac:dyDescent="0.2">
      <c r="A1219" t="s">
        <v>31</v>
      </c>
      <c r="B1219" t="s">
        <v>92</v>
      </c>
      <c r="C1219" t="s">
        <v>1508</v>
      </c>
      <c r="D1219">
        <v>3</v>
      </c>
      <c r="E1219" s="307">
        <v>4</v>
      </c>
      <c r="F1219" s="307" t="s">
        <v>7</v>
      </c>
      <c r="G1219" s="307" t="s">
        <v>11</v>
      </c>
      <c r="H1219" s="307" t="s">
        <v>11</v>
      </c>
    </row>
    <row r="1220" spans="1:8" x14ac:dyDescent="0.2">
      <c r="A1220" t="s">
        <v>30</v>
      </c>
      <c r="B1220" t="s">
        <v>93</v>
      </c>
      <c r="C1220" t="s">
        <v>1509</v>
      </c>
      <c r="D1220">
        <v>2</v>
      </c>
      <c r="E1220" s="307">
        <v>5</v>
      </c>
      <c r="F1220" s="307" t="s">
        <v>7</v>
      </c>
      <c r="G1220" s="307" t="s">
        <v>11</v>
      </c>
      <c r="H1220" s="307" t="s">
        <v>11</v>
      </c>
    </row>
    <row r="1221" spans="1:8" x14ac:dyDescent="0.2">
      <c r="A1221" t="s">
        <v>30</v>
      </c>
      <c r="B1221" t="s">
        <v>93</v>
      </c>
      <c r="C1221" t="s">
        <v>1510</v>
      </c>
      <c r="D1221">
        <v>2</v>
      </c>
      <c r="E1221" s="307">
        <v>5</v>
      </c>
      <c r="F1221" s="307" t="s">
        <v>7</v>
      </c>
      <c r="G1221" s="307" t="s">
        <v>11</v>
      </c>
      <c r="H1221" s="307" t="s">
        <v>11</v>
      </c>
    </row>
    <row r="1222" spans="1:8" x14ac:dyDescent="0.2">
      <c r="A1222" t="s">
        <v>30</v>
      </c>
      <c r="B1222" t="s">
        <v>93</v>
      </c>
      <c r="C1222" t="s">
        <v>1511</v>
      </c>
      <c r="D1222">
        <v>2</v>
      </c>
      <c r="E1222" s="307">
        <v>5</v>
      </c>
      <c r="F1222" s="307" t="s">
        <v>7</v>
      </c>
      <c r="G1222" s="307" t="s">
        <v>11</v>
      </c>
      <c r="H1222" s="307" t="s">
        <v>11</v>
      </c>
    </row>
    <row r="1223" spans="1:8" x14ac:dyDescent="0.2">
      <c r="A1223" t="s">
        <v>30</v>
      </c>
      <c r="B1223" t="s">
        <v>93</v>
      </c>
      <c r="C1223" t="s">
        <v>1512</v>
      </c>
      <c r="D1223">
        <v>2</v>
      </c>
      <c r="E1223" s="307">
        <v>5</v>
      </c>
      <c r="F1223" s="307" t="s">
        <v>7</v>
      </c>
      <c r="G1223" s="307" t="s">
        <v>11</v>
      </c>
      <c r="H1223" s="307" t="s">
        <v>11</v>
      </c>
    </row>
    <row r="1224" spans="1:8" x14ac:dyDescent="0.2">
      <c r="A1224" t="s">
        <v>30</v>
      </c>
      <c r="B1224" t="s">
        <v>93</v>
      </c>
      <c r="C1224" t="s">
        <v>1513</v>
      </c>
      <c r="D1224">
        <v>1</v>
      </c>
      <c r="E1224" s="307">
        <v>5</v>
      </c>
      <c r="F1224" s="307" t="s">
        <v>7</v>
      </c>
      <c r="G1224" s="307" t="s">
        <v>11</v>
      </c>
      <c r="H1224" s="307" t="s">
        <v>11</v>
      </c>
    </row>
    <row r="1225" spans="1:8" x14ac:dyDescent="0.2">
      <c r="A1225" t="s">
        <v>30</v>
      </c>
      <c r="B1225" t="s">
        <v>93</v>
      </c>
      <c r="C1225" t="s">
        <v>715</v>
      </c>
      <c r="D1225">
        <v>2</v>
      </c>
      <c r="E1225" s="307">
        <v>5</v>
      </c>
      <c r="F1225" s="307" t="s">
        <v>7</v>
      </c>
      <c r="G1225" s="307" t="s">
        <v>11</v>
      </c>
      <c r="H1225" s="307" t="s">
        <v>11</v>
      </c>
    </row>
    <row r="1226" spans="1:8" x14ac:dyDescent="0.2">
      <c r="A1226" t="s">
        <v>30</v>
      </c>
      <c r="B1226" t="s">
        <v>93</v>
      </c>
      <c r="C1226" t="s">
        <v>1514</v>
      </c>
      <c r="D1226">
        <v>2</v>
      </c>
      <c r="E1226" s="307">
        <v>5</v>
      </c>
      <c r="F1226" s="307" t="s">
        <v>7</v>
      </c>
      <c r="G1226" s="307" t="s">
        <v>11</v>
      </c>
      <c r="H1226" s="307" t="s">
        <v>11</v>
      </c>
    </row>
    <row r="1227" spans="1:8" x14ac:dyDescent="0.2">
      <c r="A1227" t="s">
        <v>30</v>
      </c>
      <c r="B1227" t="s">
        <v>93</v>
      </c>
      <c r="C1227" t="s">
        <v>1515</v>
      </c>
      <c r="D1227">
        <v>2</v>
      </c>
      <c r="E1227" s="307">
        <v>5</v>
      </c>
      <c r="F1227" s="307" t="s">
        <v>7</v>
      </c>
      <c r="G1227" s="307" t="s">
        <v>11</v>
      </c>
      <c r="H1227" s="307" t="s">
        <v>11</v>
      </c>
    </row>
    <row r="1228" spans="1:8" x14ac:dyDescent="0.2">
      <c r="A1228" t="s">
        <v>30</v>
      </c>
      <c r="B1228" t="s">
        <v>93</v>
      </c>
      <c r="C1228" t="s">
        <v>969</v>
      </c>
      <c r="D1228">
        <v>1</v>
      </c>
      <c r="E1228" s="307">
        <v>5</v>
      </c>
      <c r="F1228" s="307" t="s">
        <v>7</v>
      </c>
      <c r="G1228" s="307" t="s">
        <v>11</v>
      </c>
      <c r="H1228" s="307" t="s">
        <v>11</v>
      </c>
    </row>
    <row r="1229" spans="1:8" x14ac:dyDescent="0.2">
      <c r="A1229" t="s">
        <v>30</v>
      </c>
      <c r="B1229" t="s">
        <v>93</v>
      </c>
      <c r="C1229" t="s">
        <v>1516</v>
      </c>
      <c r="D1229">
        <v>2</v>
      </c>
      <c r="E1229" s="307">
        <v>5</v>
      </c>
      <c r="F1229" s="307" t="s">
        <v>7</v>
      </c>
      <c r="G1229" s="307" t="s">
        <v>11</v>
      </c>
      <c r="H1229" s="307" t="s">
        <v>11</v>
      </c>
    </row>
    <row r="1230" spans="1:8" x14ac:dyDescent="0.2">
      <c r="A1230" t="s">
        <v>30</v>
      </c>
      <c r="B1230" t="s">
        <v>93</v>
      </c>
      <c r="C1230" t="s">
        <v>1517</v>
      </c>
      <c r="D1230">
        <v>2</v>
      </c>
      <c r="E1230" s="307">
        <v>5</v>
      </c>
      <c r="F1230" s="307" t="s">
        <v>7</v>
      </c>
      <c r="G1230" s="307" t="s">
        <v>11</v>
      </c>
      <c r="H1230" s="307" t="s">
        <v>11</v>
      </c>
    </row>
    <row r="1231" spans="1:8" x14ac:dyDescent="0.2">
      <c r="A1231" t="s">
        <v>30</v>
      </c>
      <c r="B1231" t="s">
        <v>93</v>
      </c>
      <c r="C1231" t="s">
        <v>1301</v>
      </c>
      <c r="D1231">
        <v>2</v>
      </c>
      <c r="E1231" s="307">
        <v>5</v>
      </c>
      <c r="F1231" s="307" t="s">
        <v>7</v>
      </c>
      <c r="G1231" s="307" t="s">
        <v>11</v>
      </c>
      <c r="H1231" s="307" t="s">
        <v>11</v>
      </c>
    </row>
    <row r="1232" spans="1:8" x14ac:dyDescent="0.2">
      <c r="A1232" t="s">
        <v>30</v>
      </c>
      <c r="B1232" t="s">
        <v>93</v>
      </c>
      <c r="C1232" t="s">
        <v>1518</v>
      </c>
      <c r="D1232">
        <v>3</v>
      </c>
      <c r="E1232" s="307">
        <v>5</v>
      </c>
      <c r="F1232" s="307" t="s">
        <v>7</v>
      </c>
      <c r="G1232" s="307" t="s">
        <v>11</v>
      </c>
      <c r="H1232" s="307" t="s">
        <v>11</v>
      </c>
    </row>
    <row r="1233" spans="1:8" x14ac:dyDescent="0.2">
      <c r="A1233" t="s">
        <v>30</v>
      </c>
      <c r="B1233" t="s">
        <v>93</v>
      </c>
      <c r="C1233" t="s">
        <v>1508</v>
      </c>
      <c r="D1233">
        <v>1</v>
      </c>
      <c r="E1233" s="307">
        <v>5</v>
      </c>
      <c r="F1233" s="307" t="s">
        <v>7</v>
      </c>
      <c r="G1233" s="307" t="s">
        <v>11</v>
      </c>
      <c r="H1233" s="307" t="s">
        <v>11</v>
      </c>
    </row>
    <row r="1234" spans="1:8" x14ac:dyDescent="0.2">
      <c r="A1234" t="s">
        <v>33</v>
      </c>
      <c r="B1234" t="s">
        <v>56</v>
      </c>
      <c r="C1234" t="s">
        <v>1519</v>
      </c>
      <c r="D1234">
        <v>2</v>
      </c>
      <c r="E1234" s="307">
        <v>6</v>
      </c>
      <c r="F1234" s="307" t="s">
        <v>7</v>
      </c>
      <c r="G1234" s="307" t="s">
        <v>11</v>
      </c>
      <c r="H1234" s="307" t="s">
        <v>11</v>
      </c>
    </row>
    <row r="1235" spans="1:8" x14ac:dyDescent="0.2">
      <c r="A1235" t="s">
        <v>33</v>
      </c>
      <c r="B1235" t="s">
        <v>56</v>
      </c>
      <c r="C1235" t="s">
        <v>1520</v>
      </c>
      <c r="D1235">
        <v>2</v>
      </c>
      <c r="E1235" s="307">
        <v>6</v>
      </c>
      <c r="F1235" s="307" t="s">
        <v>7</v>
      </c>
      <c r="G1235" s="307" t="s">
        <v>11</v>
      </c>
      <c r="H1235" s="307" t="s">
        <v>11</v>
      </c>
    </row>
    <row r="1236" spans="1:8" x14ac:dyDescent="0.2">
      <c r="A1236" t="s">
        <v>33</v>
      </c>
      <c r="B1236" t="s">
        <v>56</v>
      </c>
      <c r="C1236" t="s">
        <v>1521</v>
      </c>
      <c r="D1236">
        <v>3</v>
      </c>
      <c r="E1236" s="307">
        <v>5</v>
      </c>
      <c r="F1236" s="307" t="s">
        <v>7</v>
      </c>
      <c r="G1236" s="307" t="s">
        <v>11</v>
      </c>
      <c r="H1236" s="307" t="s">
        <v>11</v>
      </c>
    </row>
    <row r="1237" spans="1:8" x14ac:dyDescent="0.2">
      <c r="A1237" t="s">
        <v>33</v>
      </c>
      <c r="B1237" t="s">
        <v>56</v>
      </c>
      <c r="C1237" t="s">
        <v>1522</v>
      </c>
      <c r="D1237">
        <v>2</v>
      </c>
      <c r="E1237" s="307">
        <v>6</v>
      </c>
      <c r="F1237" s="307" t="s">
        <v>7</v>
      </c>
      <c r="G1237" s="307" t="s">
        <v>11</v>
      </c>
      <c r="H1237" s="307" t="s">
        <v>11</v>
      </c>
    </row>
    <row r="1238" spans="1:8" x14ac:dyDescent="0.2">
      <c r="A1238" t="s">
        <v>33</v>
      </c>
      <c r="B1238" t="s">
        <v>56</v>
      </c>
      <c r="C1238" t="s">
        <v>1523</v>
      </c>
      <c r="D1238">
        <v>2</v>
      </c>
      <c r="E1238" s="307">
        <v>6</v>
      </c>
      <c r="F1238" s="307" t="s">
        <v>7</v>
      </c>
      <c r="G1238" s="307" t="s">
        <v>11</v>
      </c>
      <c r="H1238" s="307" t="s">
        <v>11</v>
      </c>
    </row>
    <row r="1239" spans="1:8" x14ac:dyDescent="0.2">
      <c r="A1239" t="s">
        <v>33</v>
      </c>
      <c r="B1239" t="s">
        <v>56</v>
      </c>
      <c r="C1239" t="s">
        <v>1524</v>
      </c>
      <c r="D1239">
        <v>3</v>
      </c>
      <c r="E1239" s="307">
        <v>6</v>
      </c>
      <c r="F1239" s="307" t="s">
        <v>7</v>
      </c>
      <c r="G1239" s="307" t="s">
        <v>11</v>
      </c>
      <c r="H1239" s="307" t="s">
        <v>11</v>
      </c>
    </row>
    <row r="1240" spans="1:8" x14ac:dyDescent="0.2">
      <c r="A1240" t="s">
        <v>33</v>
      </c>
      <c r="B1240" t="s">
        <v>56</v>
      </c>
      <c r="C1240" t="s">
        <v>1525</v>
      </c>
      <c r="D1240">
        <v>2</v>
      </c>
      <c r="E1240" s="307">
        <v>7</v>
      </c>
      <c r="F1240" s="307" t="s">
        <v>11</v>
      </c>
      <c r="G1240" s="307" t="s">
        <v>11</v>
      </c>
      <c r="H1240" s="307" t="s">
        <v>11</v>
      </c>
    </row>
    <row r="1241" spans="1:8" x14ac:dyDescent="0.2">
      <c r="A1241" t="s">
        <v>33</v>
      </c>
      <c r="B1241" t="s">
        <v>56</v>
      </c>
      <c r="C1241" t="s">
        <v>1526</v>
      </c>
      <c r="D1241">
        <v>2</v>
      </c>
      <c r="E1241" s="307">
        <v>5</v>
      </c>
      <c r="F1241" s="307" t="s">
        <v>7</v>
      </c>
      <c r="G1241" s="307" t="s">
        <v>11</v>
      </c>
      <c r="H1241" s="307" t="s">
        <v>11</v>
      </c>
    </row>
    <row r="1242" spans="1:8" x14ac:dyDescent="0.2">
      <c r="A1242" t="s">
        <v>33</v>
      </c>
      <c r="B1242" t="s">
        <v>56</v>
      </c>
      <c r="C1242" t="s">
        <v>980</v>
      </c>
      <c r="D1242">
        <v>3</v>
      </c>
      <c r="E1242" s="307">
        <v>5</v>
      </c>
      <c r="F1242" s="307" t="s">
        <v>7</v>
      </c>
      <c r="G1242" s="307" t="s">
        <v>11</v>
      </c>
      <c r="H1242" s="307" t="s">
        <v>11</v>
      </c>
    </row>
    <row r="1243" spans="1:8" x14ac:dyDescent="0.2">
      <c r="A1243" t="s">
        <v>33</v>
      </c>
      <c r="B1243" t="s">
        <v>56</v>
      </c>
      <c r="C1243" t="s">
        <v>1527</v>
      </c>
      <c r="D1243">
        <v>3</v>
      </c>
      <c r="E1243" s="307">
        <v>6</v>
      </c>
      <c r="F1243" s="307" t="s">
        <v>7</v>
      </c>
      <c r="G1243" s="307" t="s">
        <v>11</v>
      </c>
      <c r="H1243" s="307" t="s">
        <v>11</v>
      </c>
    </row>
    <row r="1244" spans="1:8" x14ac:dyDescent="0.2">
      <c r="A1244" t="s">
        <v>33</v>
      </c>
      <c r="B1244" t="s">
        <v>56</v>
      </c>
      <c r="C1244" t="s">
        <v>1034</v>
      </c>
      <c r="D1244">
        <v>3</v>
      </c>
      <c r="E1244" s="307">
        <v>5</v>
      </c>
      <c r="F1244" s="307" t="s">
        <v>7</v>
      </c>
      <c r="G1244" s="307" t="s">
        <v>11</v>
      </c>
      <c r="H1244" s="307" t="s">
        <v>11</v>
      </c>
    </row>
    <row r="1245" spans="1:8" x14ac:dyDescent="0.2">
      <c r="A1245" t="s">
        <v>33</v>
      </c>
      <c r="B1245" t="s">
        <v>56</v>
      </c>
      <c r="C1245" t="s">
        <v>1528</v>
      </c>
      <c r="D1245">
        <v>1</v>
      </c>
      <c r="E1245" s="307">
        <v>5</v>
      </c>
      <c r="F1245" s="307" t="s">
        <v>7</v>
      </c>
      <c r="G1245" s="307" t="s">
        <v>11</v>
      </c>
      <c r="H1245" s="307" t="s">
        <v>11</v>
      </c>
    </row>
    <row r="1246" spans="1:8" x14ac:dyDescent="0.2">
      <c r="A1246" t="s">
        <v>33</v>
      </c>
      <c r="B1246" t="s">
        <v>56</v>
      </c>
      <c r="C1246" t="s">
        <v>693</v>
      </c>
      <c r="D1246">
        <v>1</v>
      </c>
      <c r="E1246" s="307">
        <v>5</v>
      </c>
      <c r="F1246" s="307" t="s">
        <v>7</v>
      </c>
      <c r="G1246" s="307" t="s">
        <v>11</v>
      </c>
      <c r="H1246" s="307" t="s">
        <v>11</v>
      </c>
    </row>
    <row r="1247" spans="1:8" x14ac:dyDescent="0.2">
      <c r="A1247" t="s">
        <v>33</v>
      </c>
      <c r="B1247" t="s">
        <v>56</v>
      </c>
      <c r="C1247" t="s">
        <v>1178</v>
      </c>
      <c r="D1247">
        <v>1</v>
      </c>
      <c r="E1247" s="307">
        <v>5</v>
      </c>
      <c r="F1247" s="307" t="s">
        <v>7</v>
      </c>
      <c r="G1247" s="307" t="s">
        <v>11</v>
      </c>
      <c r="H1247" s="307" t="s">
        <v>11</v>
      </c>
    </row>
    <row r="1248" spans="1:8" x14ac:dyDescent="0.2">
      <c r="A1248" t="s">
        <v>33</v>
      </c>
      <c r="B1248" t="s">
        <v>56</v>
      </c>
      <c r="C1248" t="s">
        <v>1529</v>
      </c>
      <c r="D1248">
        <v>2</v>
      </c>
      <c r="E1248" s="307">
        <v>6</v>
      </c>
      <c r="F1248" s="307" t="s">
        <v>7</v>
      </c>
      <c r="G1248" s="307" t="s">
        <v>11</v>
      </c>
      <c r="H1248" s="307" t="s">
        <v>11</v>
      </c>
    </row>
    <row r="1249" spans="1:8" x14ac:dyDescent="0.2">
      <c r="A1249" t="s">
        <v>33</v>
      </c>
      <c r="B1249" t="s">
        <v>56</v>
      </c>
      <c r="C1249" t="s">
        <v>1530</v>
      </c>
      <c r="D1249">
        <v>3</v>
      </c>
      <c r="E1249" s="307">
        <v>6</v>
      </c>
      <c r="F1249" s="307" t="s">
        <v>7</v>
      </c>
      <c r="G1249" s="307" t="s">
        <v>11</v>
      </c>
      <c r="H1249" s="307" t="s">
        <v>11</v>
      </c>
    </row>
    <row r="1250" spans="1:8" x14ac:dyDescent="0.2">
      <c r="A1250" t="s">
        <v>33</v>
      </c>
      <c r="B1250" t="s">
        <v>56</v>
      </c>
      <c r="C1250" t="s">
        <v>1531</v>
      </c>
      <c r="D1250">
        <v>3</v>
      </c>
      <c r="E1250" s="307">
        <v>7</v>
      </c>
      <c r="F1250" s="307" t="s">
        <v>11</v>
      </c>
      <c r="G1250" s="307" t="s">
        <v>11</v>
      </c>
      <c r="H1250" s="307" t="s">
        <v>11</v>
      </c>
    </row>
    <row r="1251" spans="1:8" x14ac:dyDescent="0.2">
      <c r="A1251" t="s">
        <v>33</v>
      </c>
      <c r="B1251" t="s">
        <v>56</v>
      </c>
      <c r="C1251" t="s">
        <v>1532</v>
      </c>
      <c r="D1251">
        <v>3</v>
      </c>
      <c r="E1251" s="307">
        <v>6</v>
      </c>
      <c r="F1251" s="307" t="s">
        <v>7</v>
      </c>
      <c r="G1251" s="307" t="s">
        <v>11</v>
      </c>
      <c r="H1251" s="307" t="s">
        <v>11</v>
      </c>
    </row>
    <row r="1252" spans="1:8" x14ac:dyDescent="0.2">
      <c r="A1252" t="s">
        <v>33</v>
      </c>
      <c r="B1252" t="s">
        <v>56</v>
      </c>
      <c r="C1252" t="s">
        <v>1181</v>
      </c>
      <c r="D1252">
        <v>2</v>
      </c>
      <c r="E1252" s="307">
        <v>5</v>
      </c>
      <c r="F1252" s="307" t="s">
        <v>7</v>
      </c>
      <c r="G1252" s="307" t="s">
        <v>11</v>
      </c>
      <c r="H1252" s="307" t="s">
        <v>11</v>
      </c>
    </row>
    <row r="1253" spans="1:8" x14ac:dyDescent="0.2">
      <c r="A1253" t="s">
        <v>33</v>
      </c>
      <c r="B1253" t="s">
        <v>56</v>
      </c>
      <c r="C1253" t="s">
        <v>811</v>
      </c>
      <c r="D1253">
        <v>3</v>
      </c>
      <c r="E1253" s="307">
        <v>6</v>
      </c>
      <c r="F1253" s="307" t="s">
        <v>7</v>
      </c>
      <c r="G1253" s="307" t="s">
        <v>11</v>
      </c>
      <c r="H1253" s="307" t="s">
        <v>11</v>
      </c>
    </row>
    <row r="1254" spans="1:8" x14ac:dyDescent="0.2">
      <c r="A1254" t="s">
        <v>33</v>
      </c>
      <c r="B1254" t="s">
        <v>56</v>
      </c>
      <c r="C1254" t="s">
        <v>926</v>
      </c>
      <c r="D1254">
        <v>3</v>
      </c>
      <c r="E1254" s="307">
        <v>6</v>
      </c>
      <c r="F1254" s="307" t="s">
        <v>7</v>
      </c>
      <c r="G1254" s="307" t="s">
        <v>11</v>
      </c>
      <c r="H1254" s="307" t="s">
        <v>11</v>
      </c>
    </row>
    <row r="1255" spans="1:8" x14ac:dyDescent="0.2">
      <c r="A1255" t="s">
        <v>33</v>
      </c>
      <c r="B1255" t="s">
        <v>56</v>
      </c>
      <c r="C1255" t="s">
        <v>1282</v>
      </c>
      <c r="D1255">
        <v>2</v>
      </c>
      <c r="E1255" s="307">
        <v>6</v>
      </c>
      <c r="F1255" s="307" t="s">
        <v>7</v>
      </c>
      <c r="G1255" s="307" t="s">
        <v>11</v>
      </c>
      <c r="H1255" s="307" t="s">
        <v>11</v>
      </c>
    </row>
    <row r="1256" spans="1:8" x14ac:dyDescent="0.2">
      <c r="A1256" t="s">
        <v>33</v>
      </c>
      <c r="B1256" t="s">
        <v>56</v>
      </c>
      <c r="C1256" t="s">
        <v>1533</v>
      </c>
      <c r="D1256">
        <v>2</v>
      </c>
      <c r="E1256" s="307">
        <v>5</v>
      </c>
      <c r="F1256" s="307" t="s">
        <v>7</v>
      </c>
      <c r="G1256" s="307" t="s">
        <v>11</v>
      </c>
      <c r="H1256" s="307" t="s">
        <v>11</v>
      </c>
    </row>
    <row r="1257" spans="1:8" x14ac:dyDescent="0.2">
      <c r="A1257" t="s">
        <v>33</v>
      </c>
      <c r="B1257" t="s">
        <v>56</v>
      </c>
      <c r="C1257" t="s">
        <v>1284</v>
      </c>
      <c r="D1257">
        <v>2</v>
      </c>
      <c r="E1257" s="307">
        <v>6</v>
      </c>
      <c r="F1257" s="307" t="s">
        <v>7</v>
      </c>
      <c r="G1257" s="307" t="s">
        <v>11</v>
      </c>
      <c r="H1257" s="307" t="s">
        <v>11</v>
      </c>
    </row>
    <row r="1258" spans="1:8" x14ac:dyDescent="0.2">
      <c r="A1258" t="s">
        <v>33</v>
      </c>
      <c r="B1258" t="s">
        <v>56</v>
      </c>
      <c r="C1258" t="s">
        <v>1534</v>
      </c>
      <c r="D1258">
        <v>2</v>
      </c>
      <c r="E1258" s="307">
        <v>5</v>
      </c>
      <c r="F1258" s="307" t="s">
        <v>7</v>
      </c>
      <c r="G1258" s="307" t="s">
        <v>11</v>
      </c>
      <c r="H1258" s="307" t="s">
        <v>11</v>
      </c>
    </row>
    <row r="1259" spans="1:8" x14ac:dyDescent="0.2">
      <c r="A1259" t="s">
        <v>33</v>
      </c>
      <c r="B1259" t="s">
        <v>56</v>
      </c>
      <c r="C1259" t="s">
        <v>1535</v>
      </c>
      <c r="D1259">
        <v>3</v>
      </c>
      <c r="E1259" s="307">
        <v>6</v>
      </c>
      <c r="F1259" s="307" t="s">
        <v>7</v>
      </c>
      <c r="G1259" s="307" t="s">
        <v>11</v>
      </c>
      <c r="H1259" s="307" t="s">
        <v>11</v>
      </c>
    </row>
    <row r="1260" spans="1:8" x14ac:dyDescent="0.2">
      <c r="A1260" t="s">
        <v>33</v>
      </c>
      <c r="B1260" t="s">
        <v>56</v>
      </c>
      <c r="C1260" t="s">
        <v>1536</v>
      </c>
      <c r="D1260">
        <v>2</v>
      </c>
      <c r="E1260" s="307">
        <v>7</v>
      </c>
      <c r="F1260" s="307" t="s">
        <v>11</v>
      </c>
      <c r="G1260" s="307" t="s">
        <v>11</v>
      </c>
      <c r="H1260" s="307" t="s">
        <v>11</v>
      </c>
    </row>
    <row r="1261" spans="1:8" x14ac:dyDescent="0.2">
      <c r="A1261" t="s">
        <v>33</v>
      </c>
      <c r="B1261" t="s">
        <v>56</v>
      </c>
      <c r="C1261" t="s">
        <v>1537</v>
      </c>
      <c r="D1261">
        <v>3</v>
      </c>
      <c r="E1261" s="307">
        <v>6</v>
      </c>
      <c r="F1261" s="307" t="s">
        <v>7</v>
      </c>
      <c r="G1261" s="307" t="s">
        <v>11</v>
      </c>
      <c r="H1261" s="307" t="s">
        <v>11</v>
      </c>
    </row>
    <row r="1262" spans="1:8" x14ac:dyDescent="0.2">
      <c r="A1262" t="s">
        <v>33</v>
      </c>
      <c r="B1262" t="s">
        <v>56</v>
      </c>
      <c r="C1262" t="s">
        <v>1538</v>
      </c>
      <c r="D1262">
        <v>3</v>
      </c>
      <c r="E1262" s="307">
        <v>5</v>
      </c>
      <c r="F1262" s="307" t="s">
        <v>7</v>
      </c>
      <c r="G1262" s="307" t="s">
        <v>11</v>
      </c>
      <c r="H1262" s="307" t="s">
        <v>11</v>
      </c>
    </row>
    <row r="1263" spans="1:8" x14ac:dyDescent="0.2">
      <c r="A1263" t="s">
        <v>33</v>
      </c>
      <c r="B1263" t="s">
        <v>56</v>
      </c>
      <c r="C1263" t="s">
        <v>1539</v>
      </c>
      <c r="D1263">
        <v>1</v>
      </c>
      <c r="E1263" s="307">
        <v>5</v>
      </c>
      <c r="F1263" s="307" t="s">
        <v>7</v>
      </c>
      <c r="G1263" s="307" t="s">
        <v>11</v>
      </c>
      <c r="H1263" s="307" t="s">
        <v>11</v>
      </c>
    </row>
    <row r="1264" spans="1:8" x14ac:dyDescent="0.2">
      <c r="A1264" t="s">
        <v>33</v>
      </c>
      <c r="B1264" t="s">
        <v>56</v>
      </c>
      <c r="C1264" t="s">
        <v>1540</v>
      </c>
      <c r="D1264">
        <v>2</v>
      </c>
      <c r="E1264" s="307">
        <v>7</v>
      </c>
      <c r="F1264" s="307" t="s">
        <v>11</v>
      </c>
      <c r="G1264" s="307" t="s">
        <v>11</v>
      </c>
      <c r="H1264" s="307" t="s">
        <v>11</v>
      </c>
    </row>
    <row r="1265" spans="1:8" x14ac:dyDescent="0.2">
      <c r="A1265" t="s">
        <v>33</v>
      </c>
      <c r="B1265" t="s">
        <v>56</v>
      </c>
      <c r="C1265" t="s">
        <v>1541</v>
      </c>
      <c r="D1265">
        <v>3</v>
      </c>
      <c r="E1265" s="307">
        <v>6</v>
      </c>
      <c r="F1265" s="307" t="s">
        <v>7</v>
      </c>
      <c r="G1265" s="307" t="s">
        <v>11</v>
      </c>
      <c r="H1265" s="307" t="s">
        <v>11</v>
      </c>
    </row>
    <row r="1266" spans="1:8" x14ac:dyDescent="0.2">
      <c r="A1266" t="s">
        <v>33</v>
      </c>
      <c r="B1266" t="s">
        <v>56</v>
      </c>
      <c r="C1266" t="s">
        <v>1542</v>
      </c>
      <c r="D1266">
        <v>2</v>
      </c>
      <c r="E1266" s="307">
        <v>5</v>
      </c>
      <c r="F1266" s="307" t="s">
        <v>7</v>
      </c>
      <c r="G1266" s="307" t="s">
        <v>11</v>
      </c>
      <c r="H1266" s="307" t="s">
        <v>11</v>
      </c>
    </row>
    <row r="1267" spans="1:8" x14ac:dyDescent="0.2">
      <c r="A1267" t="s">
        <v>33</v>
      </c>
      <c r="B1267" t="s">
        <v>56</v>
      </c>
      <c r="C1267" t="s">
        <v>1543</v>
      </c>
      <c r="D1267">
        <v>2</v>
      </c>
      <c r="E1267" s="307">
        <v>5</v>
      </c>
      <c r="F1267" s="307" t="s">
        <v>7</v>
      </c>
      <c r="G1267" s="307" t="s">
        <v>11</v>
      </c>
      <c r="H1267" s="307" t="s">
        <v>11</v>
      </c>
    </row>
    <row r="1268" spans="1:8" x14ac:dyDescent="0.2">
      <c r="A1268" t="s">
        <v>33</v>
      </c>
      <c r="B1268" t="s">
        <v>56</v>
      </c>
      <c r="C1268" t="s">
        <v>1544</v>
      </c>
      <c r="D1268">
        <v>3</v>
      </c>
      <c r="E1268" s="307">
        <v>6</v>
      </c>
      <c r="F1268" s="307" t="s">
        <v>7</v>
      </c>
      <c r="G1268" s="307" t="s">
        <v>11</v>
      </c>
      <c r="H1268" s="307" t="s">
        <v>11</v>
      </c>
    </row>
    <row r="1269" spans="1:8" x14ac:dyDescent="0.2">
      <c r="A1269" t="s">
        <v>33</v>
      </c>
      <c r="B1269" t="s">
        <v>56</v>
      </c>
      <c r="C1269" t="s">
        <v>1545</v>
      </c>
      <c r="D1269">
        <v>2</v>
      </c>
      <c r="E1269" s="307">
        <v>7</v>
      </c>
      <c r="F1269" s="307" t="s">
        <v>11</v>
      </c>
      <c r="G1269" s="307" t="s">
        <v>11</v>
      </c>
      <c r="H1269" s="307" t="s">
        <v>11</v>
      </c>
    </row>
    <row r="1270" spans="1:8" x14ac:dyDescent="0.2">
      <c r="A1270" t="s">
        <v>33</v>
      </c>
      <c r="B1270" t="s">
        <v>56</v>
      </c>
      <c r="C1270" t="s">
        <v>1546</v>
      </c>
      <c r="D1270">
        <v>3</v>
      </c>
      <c r="E1270" s="307">
        <v>6</v>
      </c>
      <c r="F1270" s="307" t="s">
        <v>7</v>
      </c>
      <c r="G1270" s="307" t="s">
        <v>11</v>
      </c>
      <c r="H1270" s="307" t="s">
        <v>11</v>
      </c>
    </row>
    <row r="1271" spans="1:8" x14ac:dyDescent="0.2">
      <c r="A1271" t="s">
        <v>33</v>
      </c>
      <c r="B1271" t="s">
        <v>56</v>
      </c>
      <c r="C1271" t="s">
        <v>721</v>
      </c>
      <c r="D1271">
        <v>1</v>
      </c>
      <c r="E1271" s="307">
        <v>5</v>
      </c>
      <c r="F1271" s="307" t="s">
        <v>7</v>
      </c>
      <c r="G1271" s="307" t="s">
        <v>11</v>
      </c>
      <c r="H1271" s="307" t="s">
        <v>11</v>
      </c>
    </row>
    <row r="1272" spans="1:8" x14ac:dyDescent="0.2">
      <c r="A1272" t="s">
        <v>33</v>
      </c>
      <c r="B1272" t="s">
        <v>56</v>
      </c>
      <c r="C1272" t="s">
        <v>1547</v>
      </c>
      <c r="D1272">
        <v>1</v>
      </c>
      <c r="E1272" s="307">
        <v>5</v>
      </c>
      <c r="F1272" s="307" t="s">
        <v>7</v>
      </c>
      <c r="G1272" s="307" t="s">
        <v>11</v>
      </c>
      <c r="H1272" s="307" t="s">
        <v>11</v>
      </c>
    </row>
    <row r="1273" spans="1:8" x14ac:dyDescent="0.2">
      <c r="A1273" t="s">
        <v>33</v>
      </c>
      <c r="B1273" t="s">
        <v>56</v>
      </c>
      <c r="C1273" t="s">
        <v>1548</v>
      </c>
      <c r="D1273">
        <v>3</v>
      </c>
      <c r="E1273" s="307">
        <v>6</v>
      </c>
      <c r="F1273" s="307" t="s">
        <v>7</v>
      </c>
      <c r="G1273" s="307" t="s">
        <v>11</v>
      </c>
      <c r="H1273" s="307" t="s">
        <v>11</v>
      </c>
    </row>
    <row r="1274" spans="1:8" x14ac:dyDescent="0.2">
      <c r="A1274" t="s">
        <v>33</v>
      </c>
      <c r="B1274" t="s">
        <v>56</v>
      </c>
      <c r="C1274" t="s">
        <v>974</v>
      </c>
      <c r="D1274">
        <v>2</v>
      </c>
      <c r="E1274" s="307">
        <v>5</v>
      </c>
      <c r="F1274" s="307" t="s">
        <v>7</v>
      </c>
      <c r="G1274" s="307" t="s">
        <v>11</v>
      </c>
      <c r="H1274" s="307" t="s">
        <v>11</v>
      </c>
    </row>
    <row r="1275" spans="1:8" x14ac:dyDescent="0.2">
      <c r="A1275" t="s">
        <v>33</v>
      </c>
      <c r="B1275" t="s">
        <v>56</v>
      </c>
      <c r="C1275" t="s">
        <v>1549</v>
      </c>
      <c r="D1275">
        <v>2</v>
      </c>
      <c r="E1275" s="307">
        <v>7</v>
      </c>
      <c r="F1275" s="307" t="s">
        <v>11</v>
      </c>
      <c r="G1275" s="307" t="s">
        <v>11</v>
      </c>
      <c r="H1275" s="307" t="s">
        <v>11</v>
      </c>
    </row>
    <row r="1276" spans="1:8" x14ac:dyDescent="0.2">
      <c r="A1276" t="s">
        <v>33</v>
      </c>
      <c r="B1276" t="s">
        <v>56</v>
      </c>
      <c r="C1276" t="s">
        <v>871</v>
      </c>
      <c r="D1276">
        <v>3</v>
      </c>
      <c r="E1276" s="307">
        <v>6</v>
      </c>
      <c r="F1276" s="307" t="s">
        <v>7</v>
      </c>
      <c r="G1276" s="307" t="s">
        <v>11</v>
      </c>
      <c r="H1276" s="307" t="s">
        <v>11</v>
      </c>
    </row>
    <row r="1277" spans="1:8" x14ac:dyDescent="0.2">
      <c r="A1277" t="s">
        <v>33</v>
      </c>
      <c r="B1277" t="s">
        <v>56</v>
      </c>
      <c r="C1277" t="s">
        <v>1550</v>
      </c>
      <c r="D1277">
        <v>2</v>
      </c>
      <c r="E1277" s="307">
        <v>5</v>
      </c>
      <c r="F1277" s="307" t="s">
        <v>7</v>
      </c>
      <c r="G1277" s="307" t="s">
        <v>11</v>
      </c>
      <c r="H1277" s="307" t="s">
        <v>11</v>
      </c>
    </row>
    <row r="1278" spans="1:8" x14ac:dyDescent="0.2">
      <c r="A1278" t="s">
        <v>33</v>
      </c>
      <c r="B1278" t="s">
        <v>56</v>
      </c>
      <c r="C1278" t="s">
        <v>1551</v>
      </c>
      <c r="D1278">
        <v>2</v>
      </c>
      <c r="E1278" s="307">
        <v>6</v>
      </c>
      <c r="F1278" s="307" t="s">
        <v>7</v>
      </c>
      <c r="G1278" s="307" t="s">
        <v>11</v>
      </c>
      <c r="H1278" s="307" t="s">
        <v>11</v>
      </c>
    </row>
    <row r="1279" spans="1:8" x14ac:dyDescent="0.2">
      <c r="A1279" t="s">
        <v>33</v>
      </c>
      <c r="B1279" t="s">
        <v>56</v>
      </c>
      <c r="C1279" t="s">
        <v>1552</v>
      </c>
      <c r="D1279">
        <v>1</v>
      </c>
      <c r="E1279" s="307">
        <v>5</v>
      </c>
      <c r="F1279" s="307" t="s">
        <v>7</v>
      </c>
      <c r="G1279" s="307" t="s">
        <v>11</v>
      </c>
      <c r="H1279" s="307" t="s">
        <v>11</v>
      </c>
    </row>
    <row r="1280" spans="1:8" x14ac:dyDescent="0.2">
      <c r="A1280" t="s">
        <v>33</v>
      </c>
      <c r="B1280" t="s">
        <v>56</v>
      </c>
      <c r="C1280" t="s">
        <v>1201</v>
      </c>
      <c r="D1280">
        <v>2</v>
      </c>
      <c r="E1280" s="307">
        <v>5</v>
      </c>
      <c r="F1280" s="307" t="s">
        <v>7</v>
      </c>
      <c r="G1280" s="307" t="s">
        <v>11</v>
      </c>
      <c r="H1280" s="307" t="s">
        <v>11</v>
      </c>
    </row>
    <row r="1281" spans="1:8" x14ac:dyDescent="0.2">
      <c r="A1281" t="s">
        <v>33</v>
      </c>
      <c r="B1281" t="s">
        <v>56</v>
      </c>
      <c r="C1281" t="s">
        <v>1553</v>
      </c>
      <c r="D1281">
        <v>3</v>
      </c>
      <c r="E1281" s="307">
        <v>7</v>
      </c>
      <c r="F1281" s="307" t="s">
        <v>11</v>
      </c>
      <c r="G1281" s="307" t="s">
        <v>11</v>
      </c>
      <c r="H1281" s="307" t="s">
        <v>11</v>
      </c>
    </row>
    <row r="1282" spans="1:8" x14ac:dyDescent="0.2">
      <c r="A1282" t="s">
        <v>33</v>
      </c>
      <c r="B1282" t="s">
        <v>56</v>
      </c>
      <c r="C1282" t="s">
        <v>1554</v>
      </c>
      <c r="D1282">
        <v>3</v>
      </c>
      <c r="E1282" s="307">
        <v>7</v>
      </c>
      <c r="F1282" s="307" t="s">
        <v>11</v>
      </c>
      <c r="G1282" s="307" t="s">
        <v>11</v>
      </c>
      <c r="H1282" s="307" t="s">
        <v>11</v>
      </c>
    </row>
    <row r="1283" spans="1:8" x14ac:dyDescent="0.2">
      <c r="A1283" t="s">
        <v>33</v>
      </c>
      <c r="B1283" t="s">
        <v>56</v>
      </c>
      <c r="C1283" t="s">
        <v>1555</v>
      </c>
      <c r="D1283">
        <v>3</v>
      </c>
      <c r="E1283" s="307">
        <v>5</v>
      </c>
      <c r="F1283" s="307" t="s">
        <v>7</v>
      </c>
      <c r="G1283" s="307" t="s">
        <v>11</v>
      </c>
      <c r="H1283" s="307" t="s">
        <v>11</v>
      </c>
    </row>
    <row r="1284" spans="1:8" x14ac:dyDescent="0.2">
      <c r="A1284" t="s">
        <v>33</v>
      </c>
      <c r="B1284" t="s">
        <v>56</v>
      </c>
      <c r="C1284" t="s">
        <v>1556</v>
      </c>
      <c r="D1284">
        <v>3</v>
      </c>
      <c r="E1284" s="307">
        <v>6</v>
      </c>
      <c r="F1284" s="307" t="s">
        <v>7</v>
      </c>
      <c r="G1284" s="307" t="s">
        <v>11</v>
      </c>
      <c r="H1284" s="307" t="s">
        <v>11</v>
      </c>
    </row>
    <row r="1285" spans="1:8" x14ac:dyDescent="0.2">
      <c r="A1285" t="s">
        <v>33</v>
      </c>
      <c r="B1285" t="s">
        <v>56</v>
      </c>
      <c r="C1285" t="s">
        <v>1557</v>
      </c>
      <c r="D1285">
        <v>2</v>
      </c>
      <c r="E1285" s="307">
        <v>6</v>
      </c>
      <c r="F1285" s="307" t="s">
        <v>7</v>
      </c>
      <c r="G1285" s="307" t="s">
        <v>11</v>
      </c>
      <c r="H1285" s="307" t="s">
        <v>11</v>
      </c>
    </row>
    <row r="1286" spans="1:8" x14ac:dyDescent="0.2">
      <c r="A1286" t="s">
        <v>33</v>
      </c>
      <c r="B1286" t="s">
        <v>56</v>
      </c>
      <c r="C1286" t="s">
        <v>1203</v>
      </c>
      <c r="D1286">
        <v>3</v>
      </c>
      <c r="E1286" s="307">
        <v>6</v>
      </c>
      <c r="F1286" s="307" t="s">
        <v>7</v>
      </c>
      <c r="G1286" s="307" t="s">
        <v>11</v>
      </c>
      <c r="H1286" s="307" t="s">
        <v>11</v>
      </c>
    </row>
    <row r="1287" spans="1:8" x14ac:dyDescent="0.2">
      <c r="A1287" t="s">
        <v>33</v>
      </c>
      <c r="B1287" t="s">
        <v>56</v>
      </c>
      <c r="C1287" t="s">
        <v>1558</v>
      </c>
      <c r="D1287">
        <v>3</v>
      </c>
      <c r="E1287" s="307">
        <v>6</v>
      </c>
      <c r="F1287" s="307" t="s">
        <v>7</v>
      </c>
      <c r="G1287" s="307" t="s">
        <v>11</v>
      </c>
      <c r="H1287" s="307" t="s">
        <v>11</v>
      </c>
    </row>
    <row r="1288" spans="1:8" x14ac:dyDescent="0.2">
      <c r="A1288" t="s">
        <v>33</v>
      </c>
      <c r="B1288" t="s">
        <v>56</v>
      </c>
      <c r="C1288" t="s">
        <v>1559</v>
      </c>
      <c r="D1288">
        <v>2</v>
      </c>
      <c r="E1288" s="307">
        <v>6</v>
      </c>
      <c r="F1288" s="307" t="s">
        <v>7</v>
      </c>
      <c r="G1288" s="307" t="s">
        <v>11</v>
      </c>
      <c r="H1288" s="307" t="s">
        <v>11</v>
      </c>
    </row>
    <row r="1289" spans="1:8" x14ac:dyDescent="0.2">
      <c r="A1289" t="s">
        <v>33</v>
      </c>
      <c r="B1289" t="s">
        <v>56</v>
      </c>
      <c r="C1289" t="s">
        <v>1560</v>
      </c>
      <c r="D1289">
        <v>3</v>
      </c>
      <c r="E1289" s="307">
        <v>5</v>
      </c>
      <c r="F1289" s="307" t="s">
        <v>7</v>
      </c>
      <c r="G1289" s="307" t="s">
        <v>11</v>
      </c>
      <c r="H1289" s="307" t="s">
        <v>11</v>
      </c>
    </row>
    <row r="1290" spans="1:8" x14ac:dyDescent="0.2">
      <c r="A1290" t="s">
        <v>33</v>
      </c>
      <c r="B1290" t="s">
        <v>56</v>
      </c>
      <c r="C1290" t="s">
        <v>1561</v>
      </c>
      <c r="D1290">
        <v>3</v>
      </c>
      <c r="E1290" s="307">
        <v>6</v>
      </c>
      <c r="F1290" s="307" t="s">
        <v>7</v>
      </c>
      <c r="G1290" s="307" t="s">
        <v>11</v>
      </c>
      <c r="H1290" s="307" t="s">
        <v>11</v>
      </c>
    </row>
    <row r="1291" spans="1:8" x14ac:dyDescent="0.2">
      <c r="A1291" t="s">
        <v>33</v>
      </c>
      <c r="B1291" t="s">
        <v>56</v>
      </c>
      <c r="C1291" t="s">
        <v>735</v>
      </c>
      <c r="D1291">
        <v>2</v>
      </c>
      <c r="E1291" s="307">
        <v>5</v>
      </c>
      <c r="F1291" s="307" t="s">
        <v>7</v>
      </c>
      <c r="G1291" s="307" t="s">
        <v>11</v>
      </c>
      <c r="H1291" s="307" t="s">
        <v>11</v>
      </c>
    </row>
    <row r="1292" spans="1:8" x14ac:dyDescent="0.2">
      <c r="A1292" t="s">
        <v>33</v>
      </c>
      <c r="B1292" t="s">
        <v>56</v>
      </c>
      <c r="C1292" t="s">
        <v>1562</v>
      </c>
      <c r="D1292">
        <v>2</v>
      </c>
      <c r="E1292" s="307">
        <v>5</v>
      </c>
      <c r="F1292" s="307" t="s">
        <v>7</v>
      </c>
      <c r="G1292" s="307" t="s">
        <v>11</v>
      </c>
      <c r="H1292" s="307" t="s">
        <v>11</v>
      </c>
    </row>
    <row r="1293" spans="1:8" x14ac:dyDescent="0.2">
      <c r="A1293" t="s">
        <v>33</v>
      </c>
      <c r="B1293" t="s">
        <v>56</v>
      </c>
      <c r="C1293" t="s">
        <v>1563</v>
      </c>
      <c r="D1293">
        <v>2</v>
      </c>
      <c r="E1293" s="307">
        <v>6</v>
      </c>
      <c r="F1293" s="307" t="s">
        <v>7</v>
      </c>
      <c r="G1293" s="307" t="s">
        <v>11</v>
      </c>
      <c r="H1293" s="307" t="s">
        <v>11</v>
      </c>
    </row>
    <row r="1294" spans="1:8" x14ac:dyDescent="0.2">
      <c r="A1294" t="s">
        <v>33</v>
      </c>
      <c r="B1294" t="s">
        <v>56</v>
      </c>
      <c r="C1294" t="s">
        <v>1564</v>
      </c>
      <c r="D1294">
        <v>3</v>
      </c>
      <c r="E1294" s="307">
        <v>5</v>
      </c>
      <c r="F1294" s="307" t="s">
        <v>7</v>
      </c>
      <c r="G1294" s="307" t="s">
        <v>11</v>
      </c>
      <c r="H1294" s="307" t="s">
        <v>11</v>
      </c>
    </row>
    <row r="1295" spans="1:8" x14ac:dyDescent="0.2">
      <c r="A1295" t="s">
        <v>33</v>
      </c>
      <c r="B1295" t="s">
        <v>56</v>
      </c>
      <c r="C1295" t="s">
        <v>1565</v>
      </c>
      <c r="D1295">
        <v>3</v>
      </c>
      <c r="E1295" s="307">
        <v>6</v>
      </c>
      <c r="F1295" s="307" t="s">
        <v>7</v>
      </c>
      <c r="G1295" s="307" t="s">
        <v>11</v>
      </c>
      <c r="H1295" s="307" t="s">
        <v>11</v>
      </c>
    </row>
    <row r="1296" spans="1:8" x14ac:dyDescent="0.2">
      <c r="A1296" t="s">
        <v>33</v>
      </c>
      <c r="B1296" t="s">
        <v>56</v>
      </c>
      <c r="C1296" t="s">
        <v>1566</v>
      </c>
      <c r="D1296">
        <v>2</v>
      </c>
      <c r="E1296" s="307">
        <v>5</v>
      </c>
      <c r="F1296" s="307" t="s">
        <v>7</v>
      </c>
      <c r="G1296" s="307" t="s">
        <v>11</v>
      </c>
      <c r="H1296" s="307" t="s">
        <v>11</v>
      </c>
    </row>
    <row r="1297" spans="1:8" x14ac:dyDescent="0.2">
      <c r="A1297" t="s">
        <v>33</v>
      </c>
      <c r="B1297" t="s">
        <v>56</v>
      </c>
      <c r="C1297" t="s">
        <v>1567</v>
      </c>
      <c r="D1297">
        <v>3</v>
      </c>
      <c r="E1297" s="307">
        <v>6</v>
      </c>
      <c r="F1297" s="307" t="s">
        <v>7</v>
      </c>
      <c r="G1297" s="307" t="s">
        <v>11</v>
      </c>
      <c r="H1297" s="307" t="s">
        <v>11</v>
      </c>
    </row>
    <row r="1298" spans="1:8" x14ac:dyDescent="0.2">
      <c r="A1298" t="s">
        <v>33</v>
      </c>
      <c r="B1298" t="s">
        <v>56</v>
      </c>
      <c r="C1298" t="s">
        <v>1568</v>
      </c>
      <c r="D1298">
        <v>3</v>
      </c>
      <c r="E1298" s="307">
        <v>6</v>
      </c>
      <c r="F1298" s="307" t="s">
        <v>7</v>
      </c>
      <c r="G1298" s="307" t="s">
        <v>11</v>
      </c>
      <c r="H1298" s="307" t="s">
        <v>11</v>
      </c>
    </row>
    <row r="1299" spans="1:8" x14ac:dyDescent="0.2">
      <c r="A1299" t="s">
        <v>33</v>
      </c>
      <c r="B1299" t="s">
        <v>56</v>
      </c>
      <c r="C1299" t="s">
        <v>1569</v>
      </c>
      <c r="D1299">
        <v>3</v>
      </c>
      <c r="E1299" s="307">
        <v>7</v>
      </c>
      <c r="F1299" s="307" t="s">
        <v>11</v>
      </c>
      <c r="G1299" s="307" t="s">
        <v>11</v>
      </c>
      <c r="H1299" s="307" t="s">
        <v>11</v>
      </c>
    </row>
    <row r="1300" spans="1:8" x14ac:dyDescent="0.2">
      <c r="A1300" t="s">
        <v>33</v>
      </c>
      <c r="B1300" t="s">
        <v>56</v>
      </c>
      <c r="C1300" t="s">
        <v>1012</v>
      </c>
      <c r="D1300">
        <v>3</v>
      </c>
      <c r="E1300" s="307">
        <v>6</v>
      </c>
      <c r="F1300" s="307" t="s">
        <v>7</v>
      </c>
      <c r="G1300" s="307" t="s">
        <v>11</v>
      </c>
      <c r="H1300" s="307" t="s">
        <v>11</v>
      </c>
    </row>
    <row r="1301" spans="1:8" x14ac:dyDescent="0.2">
      <c r="A1301" t="s">
        <v>33</v>
      </c>
      <c r="B1301" t="s">
        <v>56</v>
      </c>
      <c r="C1301" t="s">
        <v>1570</v>
      </c>
      <c r="D1301">
        <v>3</v>
      </c>
      <c r="E1301" s="307">
        <v>6</v>
      </c>
      <c r="F1301" s="307" t="s">
        <v>7</v>
      </c>
      <c r="G1301" s="307" t="s">
        <v>11</v>
      </c>
      <c r="H1301" s="307" t="s">
        <v>11</v>
      </c>
    </row>
    <row r="1302" spans="1:8" x14ac:dyDescent="0.2">
      <c r="A1302" t="s">
        <v>33</v>
      </c>
      <c r="B1302" t="s">
        <v>56</v>
      </c>
      <c r="C1302" t="s">
        <v>1571</v>
      </c>
      <c r="D1302">
        <v>2</v>
      </c>
      <c r="E1302" s="307">
        <v>6</v>
      </c>
      <c r="F1302" s="307" t="s">
        <v>7</v>
      </c>
      <c r="G1302" s="307" t="s">
        <v>11</v>
      </c>
      <c r="H1302" s="307" t="s">
        <v>11</v>
      </c>
    </row>
    <row r="1303" spans="1:8" x14ac:dyDescent="0.2">
      <c r="A1303" t="s">
        <v>33</v>
      </c>
      <c r="B1303" t="s">
        <v>56</v>
      </c>
      <c r="C1303" t="s">
        <v>1355</v>
      </c>
      <c r="D1303">
        <v>3</v>
      </c>
      <c r="E1303" s="307">
        <v>5</v>
      </c>
      <c r="F1303" s="307" t="s">
        <v>7</v>
      </c>
      <c r="G1303" s="307" t="s">
        <v>11</v>
      </c>
      <c r="H1303" s="307" t="s">
        <v>11</v>
      </c>
    </row>
    <row r="1304" spans="1:8" x14ac:dyDescent="0.2">
      <c r="A1304" t="s">
        <v>33</v>
      </c>
      <c r="B1304" t="s">
        <v>56</v>
      </c>
      <c r="C1304" t="s">
        <v>1572</v>
      </c>
      <c r="D1304">
        <v>2</v>
      </c>
      <c r="E1304" s="307">
        <v>6</v>
      </c>
      <c r="F1304" s="307" t="s">
        <v>7</v>
      </c>
      <c r="G1304" s="307" t="s">
        <v>11</v>
      </c>
      <c r="H1304" s="307" t="s">
        <v>11</v>
      </c>
    </row>
    <row r="1305" spans="1:8" x14ac:dyDescent="0.2">
      <c r="A1305" t="s">
        <v>33</v>
      </c>
      <c r="B1305" t="s">
        <v>56</v>
      </c>
      <c r="C1305" t="s">
        <v>1573</v>
      </c>
      <c r="D1305">
        <v>3</v>
      </c>
      <c r="E1305" s="307">
        <v>6</v>
      </c>
      <c r="F1305" s="307" t="s">
        <v>7</v>
      </c>
      <c r="G1305" s="307" t="s">
        <v>11</v>
      </c>
      <c r="H1305" s="307" t="s">
        <v>11</v>
      </c>
    </row>
    <row r="1306" spans="1:8" x14ac:dyDescent="0.2">
      <c r="A1306" t="s">
        <v>33</v>
      </c>
      <c r="B1306" t="s">
        <v>56</v>
      </c>
      <c r="C1306" t="s">
        <v>1574</v>
      </c>
      <c r="D1306">
        <v>3</v>
      </c>
      <c r="E1306" s="307">
        <v>5</v>
      </c>
      <c r="F1306" s="307" t="s">
        <v>7</v>
      </c>
      <c r="G1306" s="307" t="s">
        <v>11</v>
      </c>
      <c r="H1306" s="307" t="s">
        <v>11</v>
      </c>
    </row>
    <row r="1307" spans="1:8" x14ac:dyDescent="0.2">
      <c r="A1307" t="s">
        <v>33</v>
      </c>
      <c r="B1307" t="s">
        <v>56</v>
      </c>
      <c r="C1307" t="s">
        <v>743</v>
      </c>
      <c r="D1307">
        <v>3</v>
      </c>
      <c r="E1307" s="307">
        <v>5</v>
      </c>
      <c r="F1307" s="307" t="s">
        <v>7</v>
      </c>
      <c r="G1307" s="307" t="s">
        <v>11</v>
      </c>
      <c r="H1307" s="307" t="s">
        <v>11</v>
      </c>
    </row>
    <row r="1308" spans="1:8" x14ac:dyDescent="0.2">
      <c r="A1308" t="s">
        <v>33</v>
      </c>
      <c r="B1308" t="s">
        <v>56</v>
      </c>
      <c r="C1308" t="s">
        <v>1575</v>
      </c>
      <c r="D1308">
        <v>1</v>
      </c>
      <c r="E1308" s="307">
        <v>5</v>
      </c>
      <c r="F1308" s="307" t="s">
        <v>7</v>
      </c>
      <c r="G1308" s="307" t="s">
        <v>11</v>
      </c>
      <c r="H1308" s="307" t="s">
        <v>11</v>
      </c>
    </row>
    <row r="1309" spans="1:8" x14ac:dyDescent="0.2">
      <c r="A1309" t="s">
        <v>33</v>
      </c>
      <c r="B1309" t="s">
        <v>56</v>
      </c>
      <c r="C1309" t="s">
        <v>1576</v>
      </c>
      <c r="D1309">
        <v>2</v>
      </c>
      <c r="E1309" s="307">
        <v>6</v>
      </c>
      <c r="F1309" s="307" t="s">
        <v>7</v>
      </c>
      <c r="G1309" s="307" t="s">
        <v>11</v>
      </c>
      <c r="H1309" s="307" t="s">
        <v>11</v>
      </c>
    </row>
    <row r="1310" spans="1:8" x14ac:dyDescent="0.2">
      <c r="A1310" t="s">
        <v>33</v>
      </c>
      <c r="B1310" t="s">
        <v>56</v>
      </c>
      <c r="C1310" t="s">
        <v>1577</v>
      </c>
      <c r="D1310">
        <v>3</v>
      </c>
      <c r="E1310" s="307">
        <v>7</v>
      </c>
      <c r="F1310" s="307" t="s">
        <v>11</v>
      </c>
      <c r="G1310" s="307" t="s">
        <v>11</v>
      </c>
      <c r="H1310" s="307" t="s">
        <v>11</v>
      </c>
    </row>
    <row r="1311" spans="1:8" x14ac:dyDescent="0.2">
      <c r="A1311" t="s">
        <v>33</v>
      </c>
      <c r="B1311" t="s">
        <v>56</v>
      </c>
      <c r="C1311" t="s">
        <v>1578</v>
      </c>
      <c r="D1311">
        <v>2</v>
      </c>
      <c r="E1311" s="307">
        <v>5</v>
      </c>
      <c r="F1311" s="307" t="s">
        <v>7</v>
      </c>
      <c r="G1311" s="307" t="s">
        <v>11</v>
      </c>
      <c r="H1311" s="307" t="s">
        <v>11</v>
      </c>
    </row>
    <row r="1312" spans="1:8" x14ac:dyDescent="0.2">
      <c r="A1312" t="s">
        <v>33</v>
      </c>
      <c r="B1312" t="s">
        <v>56</v>
      </c>
      <c r="C1312" t="s">
        <v>1579</v>
      </c>
      <c r="D1312">
        <v>3</v>
      </c>
      <c r="E1312" s="307">
        <v>5</v>
      </c>
      <c r="F1312" s="307" t="s">
        <v>7</v>
      </c>
      <c r="G1312" s="307" t="s">
        <v>11</v>
      </c>
      <c r="H1312" s="307" t="s">
        <v>11</v>
      </c>
    </row>
    <row r="1313" spans="1:8" x14ac:dyDescent="0.2">
      <c r="A1313" t="s">
        <v>33</v>
      </c>
      <c r="B1313" t="s">
        <v>56</v>
      </c>
      <c r="C1313" t="s">
        <v>851</v>
      </c>
      <c r="D1313">
        <v>3</v>
      </c>
      <c r="E1313" s="307">
        <v>5</v>
      </c>
      <c r="F1313" s="307" t="s">
        <v>7</v>
      </c>
      <c r="G1313" s="307" t="s">
        <v>11</v>
      </c>
      <c r="H1313" s="307" t="s">
        <v>11</v>
      </c>
    </row>
    <row r="1314" spans="1:8" x14ac:dyDescent="0.2">
      <c r="A1314" t="s">
        <v>33</v>
      </c>
      <c r="B1314" t="s">
        <v>56</v>
      </c>
      <c r="C1314" t="s">
        <v>1580</v>
      </c>
      <c r="D1314">
        <v>1</v>
      </c>
      <c r="E1314" s="307">
        <v>5</v>
      </c>
      <c r="F1314" s="307" t="s">
        <v>7</v>
      </c>
      <c r="G1314" s="307" t="s">
        <v>11</v>
      </c>
      <c r="H1314" s="307" t="s">
        <v>11</v>
      </c>
    </row>
    <row r="1315" spans="1:8" x14ac:dyDescent="0.2">
      <c r="A1315" t="s">
        <v>33</v>
      </c>
      <c r="B1315" t="s">
        <v>56</v>
      </c>
      <c r="C1315" t="s">
        <v>1129</v>
      </c>
      <c r="D1315">
        <v>3</v>
      </c>
      <c r="E1315" s="307">
        <v>5</v>
      </c>
      <c r="F1315" s="307" t="s">
        <v>7</v>
      </c>
      <c r="G1315" s="307" t="s">
        <v>11</v>
      </c>
      <c r="H1315" s="307" t="s">
        <v>11</v>
      </c>
    </row>
    <row r="1316" spans="1:8" x14ac:dyDescent="0.2">
      <c r="A1316" t="s">
        <v>33</v>
      </c>
      <c r="B1316" t="s">
        <v>56</v>
      </c>
      <c r="C1316" t="s">
        <v>1581</v>
      </c>
      <c r="D1316">
        <v>3</v>
      </c>
      <c r="E1316" s="307">
        <v>6</v>
      </c>
      <c r="F1316" s="307" t="s">
        <v>7</v>
      </c>
      <c r="G1316" s="307" t="s">
        <v>11</v>
      </c>
      <c r="H1316" s="307" t="s">
        <v>11</v>
      </c>
    </row>
    <row r="1317" spans="1:8" x14ac:dyDescent="0.2">
      <c r="A1317" t="s">
        <v>34</v>
      </c>
      <c r="B1317" t="s">
        <v>67</v>
      </c>
      <c r="C1317" t="s">
        <v>1582</v>
      </c>
      <c r="D1317">
        <v>2</v>
      </c>
      <c r="E1317" s="307">
        <v>7</v>
      </c>
      <c r="F1317" s="307" t="s">
        <v>11</v>
      </c>
      <c r="G1317" s="307" t="s">
        <v>11</v>
      </c>
      <c r="H1317" s="307" t="s">
        <v>11</v>
      </c>
    </row>
    <row r="1318" spans="1:8" x14ac:dyDescent="0.2">
      <c r="A1318" t="s">
        <v>34</v>
      </c>
      <c r="B1318" t="s">
        <v>67</v>
      </c>
      <c r="C1318" t="s">
        <v>1583</v>
      </c>
      <c r="D1318">
        <v>2</v>
      </c>
      <c r="E1318" s="307">
        <v>6</v>
      </c>
      <c r="F1318" s="307" t="s">
        <v>7</v>
      </c>
      <c r="G1318" s="307" t="s">
        <v>11</v>
      </c>
      <c r="H1318" s="307" t="s">
        <v>11</v>
      </c>
    </row>
    <row r="1319" spans="1:8" x14ac:dyDescent="0.2">
      <c r="A1319" t="s">
        <v>34</v>
      </c>
      <c r="B1319" t="s">
        <v>67</v>
      </c>
      <c r="C1319" t="s">
        <v>1584</v>
      </c>
      <c r="D1319">
        <v>1</v>
      </c>
      <c r="E1319" s="307">
        <v>7</v>
      </c>
      <c r="F1319" s="307" t="s">
        <v>11</v>
      </c>
      <c r="G1319" s="307" t="s">
        <v>11</v>
      </c>
      <c r="H1319" s="307" t="s">
        <v>11</v>
      </c>
    </row>
    <row r="1320" spans="1:8" x14ac:dyDescent="0.2">
      <c r="A1320" t="s">
        <v>34</v>
      </c>
      <c r="B1320" t="s">
        <v>67</v>
      </c>
      <c r="C1320" t="s">
        <v>1585</v>
      </c>
      <c r="D1320">
        <v>2</v>
      </c>
      <c r="E1320" s="307">
        <v>7</v>
      </c>
      <c r="F1320" s="307" t="s">
        <v>11</v>
      </c>
      <c r="G1320" s="307" t="s">
        <v>11</v>
      </c>
      <c r="H1320" s="307" t="s">
        <v>11</v>
      </c>
    </row>
    <row r="1321" spans="1:8" x14ac:dyDescent="0.2">
      <c r="A1321" t="s">
        <v>34</v>
      </c>
      <c r="B1321" t="s">
        <v>67</v>
      </c>
      <c r="C1321" t="s">
        <v>801</v>
      </c>
      <c r="D1321">
        <v>2</v>
      </c>
      <c r="E1321" s="307">
        <v>6</v>
      </c>
      <c r="F1321" s="307" t="s">
        <v>7</v>
      </c>
      <c r="G1321" s="307" t="s">
        <v>11</v>
      </c>
      <c r="H1321" s="307" t="s">
        <v>11</v>
      </c>
    </row>
    <row r="1322" spans="1:8" x14ac:dyDescent="0.2">
      <c r="A1322" t="s">
        <v>34</v>
      </c>
      <c r="B1322" t="s">
        <v>67</v>
      </c>
      <c r="C1322" t="s">
        <v>1586</v>
      </c>
      <c r="D1322">
        <v>1</v>
      </c>
      <c r="E1322" s="307">
        <v>6</v>
      </c>
      <c r="F1322" s="307" t="s">
        <v>7</v>
      </c>
      <c r="G1322" s="307" t="s">
        <v>11</v>
      </c>
      <c r="H1322" s="307" t="s">
        <v>11</v>
      </c>
    </row>
    <row r="1323" spans="1:8" x14ac:dyDescent="0.2">
      <c r="A1323" t="s">
        <v>34</v>
      </c>
      <c r="B1323" t="s">
        <v>67</v>
      </c>
      <c r="C1323" t="s">
        <v>1587</v>
      </c>
      <c r="D1323">
        <v>1</v>
      </c>
      <c r="E1323" s="307">
        <v>6</v>
      </c>
      <c r="F1323" s="307" t="s">
        <v>7</v>
      </c>
      <c r="G1323" s="307" t="s">
        <v>11</v>
      </c>
      <c r="H1323" s="307" t="s">
        <v>11</v>
      </c>
    </row>
    <row r="1324" spans="1:8" x14ac:dyDescent="0.2">
      <c r="A1324" t="s">
        <v>34</v>
      </c>
      <c r="B1324" t="s">
        <v>67</v>
      </c>
      <c r="C1324" t="s">
        <v>1176</v>
      </c>
      <c r="D1324">
        <v>1</v>
      </c>
      <c r="E1324" s="307">
        <v>6</v>
      </c>
      <c r="F1324" s="307" t="s">
        <v>7</v>
      </c>
      <c r="G1324" s="307" t="s">
        <v>11</v>
      </c>
      <c r="H1324" s="307" t="s">
        <v>11</v>
      </c>
    </row>
    <row r="1325" spans="1:8" x14ac:dyDescent="0.2">
      <c r="A1325" t="s">
        <v>34</v>
      </c>
      <c r="B1325" t="s">
        <v>67</v>
      </c>
      <c r="C1325" t="s">
        <v>1588</v>
      </c>
      <c r="D1325">
        <v>2</v>
      </c>
      <c r="E1325" s="307">
        <v>7</v>
      </c>
      <c r="F1325" s="307" t="s">
        <v>11</v>
      </c>
      <c r="G1325" s="307" t="s">
        <v>11</v>
      </c>
      <c r="H1325" s="307" t="s">
        <v>11</v>
      </c>
    </row>
    <row r="1326" spans="1:8" x14ac:dyDescent="0.2">
      <c r="A1326" t="s">
        <v>34</v>
      </c>
      <c r="B1326" t="s">
        <v>67</v>
      </c>
      <c r="C1326" t="s">
        <v>1589</v>
      </c>
      <c r="D1326">
        <v>1</v>
      </c>
      <c r="E1326" s="307">
        <v>6</v>
      </c>
      <c r="F1326" s="307" t="s">
        <v>7</v>
      </c>
      <c r="G1326" s="307" t="s">
        <v>11</v>
      </c>
      <c r="H1326" s="307" t="s">
        <v>11</v>
      </c>
    </row>
    <row r="1327" spans="1:8" x14ac:dyDescent="0.2">
      <c r="A1327" t="s">
        <v>34</v>
      </c>
      <c r="B1327" t="s">
        <v>67</v>
      </c>
      <c r="C1327" t="s">
        <v>1178</v>
      </c>
      <c r="D1327">
        <v>2</v>
      </c>
      <c r="E1327" s="307">
        <v>7</v>
      </c>
      <c r="F1327" s="307" t="s">
        <v>11</v>
      </c>
      <c r="G1327" s="307" t="s">
        <v>11</v>
      </c>
      <c r="H1327" s="307" t="s">
        <v>11</v>
      </c>
    </row>
    <row r="1328" spans="1:8" x14ac:dyDescent="0.2">
      <c r="A1328" t="s">
        <v>34</v>
      </c>
      <c r="B1328" t="s">
        <v>67</v>
      </c>
      <c r="C1328" t="s">
        <v>1531</v>
      </c>
      <c r="D1328">
        <v>1</v>
      </c>
      <c r="E1328" s="307">
        <v>6</v>
      </c>
      <c r="F1328" s="307" t="s">
        <v>7</v>
      </c>
      <c r="G1328" s="307" t="s">
        <v>11</v>
      </c>
      <c r="H1328" s="307" t="s">
        <v>11</v>
      </c>
    </row>
    <row r="1329" spans="1:8" x14ac:dyDescent="0.2">
      <c r="A1329" t="s">
        <v>34</v>
      </c>
      <c r="B1329" t="s">
        <v>67</v>
      </c>
      <c r="C1329" t="s">
        <v>1590</v>
      </c>
      <c r="D1329">
        <v>2</v>
      </c>
      <c r="E1329" s="307">
        <v>6</v>
      </c>
      <c r="F1329" s="307" t="s">
        <v>7</v>
      </c>
      <c r="G1329" s="307" t="s">
        <v>11</v>
      </c>
      <c r="H1329" s="307" t="s">
        <v>11</v>
      </c>
    </row>
    <row r="1330" spans="1:8" x14ac:dyDescent="0.2">
      <c r="A1330" t="s">
        <v>34</v>
      </c>
      <c r="B1330" t="s">
        <v>67</v>
      </c>
      <c r="C1330" t="s">
        <v>699</v>
      </c>
      <c r="D1330">
        <v>1</v>
      </c>
      <c r="E1330" s="307">
        <v>7</v>
      </c>
      <c r="F1330" s="307" t="s">
        <v>11</v>
      </c>
      <c r="G1330" s="307" t="s">
        <v>11</v>
      </c>
      <c r="H1330" s="307" t="s">
        <v>11</v>
      </c>
    </row>
    <row r="1331" spans="1:8" x14ac:dyDescent="0.2">
      <c r="A1331" t="s">
        <v>34</v>
      </c>
      <c r="B1331" t="s">
        <v>67</v>
      </c>
      <c r="C1331" t="s">
        <v>1155</v>
      </c>
      <c r="D1331">
        <v>2</v>
      </c>
      <c r="E1331" s="307">
        <v>7</v>
      </c>
      <c r="F1331" s="307" t="s">
        <v>11</v>
      </c>
      <c r="G1331" s="307" t="s">
        <v>11</v>
      </c>
      <c r="H1331" s="307" t="s">
        <v>11</v>
      </c>
    </row>
    <row r="1332" spans="1:8" x14ac:dyDescent="0.2">
      <c r="A1332" t="s">
        <v>34</v>
      </c>
      <c r="B1332" t="s">
        <v>67</v>
      </c>
      <c r="C1332" t="s">
        <v>1053</v>
      </c>
      <c r="D1332">
        <v>2</v>
      </c>
      <c r="E1332" s="307">
        <v>7</v>
      </c>
      <c r="F1332" s="307" t="s">
        <v>11</v>
      </c>
      <c r="G1332" s="307" t="s">
        <v>11</v>
      </c>
      <c r="H1332" s="307" t="s">
        <v>11</v>
      </c>
    </row>
    <row r="1333" spans="1:8" x14ac:dyDescent="0.2">
      <c r="A1333" t="s">
        <v>34</v>
      </c>
      <c r="B1333" t="s">
        <v>67</v>
      </c>
      <c r="C1333" t="s">
        <v>1591</v>
      </c>
      <c r="D1333">
        <v>1</v>
      </c>
      <c r="E1333" s="307">
        <v>6</v>
      </c>
      <c r="F1333" s="307" t="s">
        <v>7</v>
      </c>
      <c r="G1333" s="307" t="s">
        <v>11</v>
      </c>
      <c r="H1333" s="307" t="s">
        <v>11</v>
      </c>
    </row>
    <row r="1334" spans="1:8" x14ac:dyDescent="0.2">
      <c r="A1334" t="s">
        <v>34</v>
      </c>
      <c r="B1334" t="s">
        <v>67</v>
      </c>
      <c r="C1334" t="s">
        <v>1592</v>
      </c>
      <c r="D1334">
        <v>2</v>
      </c>
      <c r="E1334" s="307">
        <v>7</v>
      </c>
      <c r="F1334" s="307" t="s">
        <v>11</v>
      </c>
      <c r="G1334" s="307" t="s">
        <v>11</v>
      </c>
      <c r="H1334" s="307" t="s">
        <v>11</v>
      </c>
    </row>
    <row r="1335" spans="1:8" x14ac:dyDescent="0.2">
      <c r="A1335" t="s">
        <v>34</v>
      </c>
      <c r="B1335" t="s">
        <v>67</v>
      </c>
      <c r="C1335" t="s">
        <v>1593</v>
      </c>
      <c r="D1335">
        <v>1</v>
      </c>
      <c r="E1335" s="307">
        <v>6</v>
      </c>
      <c r="F1335" s="307" t="s">
        <v>7</v>
      </c>
      <c r="G1335" s="307" t="s">
        <v>11</v>
      </c>
      <c r="H1335" s="307" t="s">
        <v>11</v>
      </c>
    </row>
    <row r="1336" spans="1:8" x14ac:dyDescent="0.2">
      <c r="A1336" t="s">
        <v>34</v>
      </c>
      <c r="B1336" t="s">
        <v>67</v>
      </c>
      <c r="C1336" t="s">
        <v>1060</v>
      </c>
      <c r="D1336">
        <v>1</v>
      </c>
      <c r="E1336" s="307">
        <v>6</v>
      </c>
      <c r="F1336" s="307" t="s">
        <v>7</v>
      </c>
      <c r="G1336" s="307" t="s">
        <v>11</v>
      </c>
      <c r="H1336" s="307" t="s">
        <v>11</v>
      </c>
    </row>
    <row r="1337" spans="1:8" x14ac:dyDescent="0.2">
      <c r="A1337" t="s">
        <v>34</v>
      </c>
      <c r="B1337" t="s">
        <v>67</v>
      </c>
      <c r="C1337" t="s">
        <v>929</v>
      </c>
      <c r="D1337">
        <v>1</v>
      </c>
      <c r="E1337" s="307">
        <v>6</v>
      </c>
      <c r="F1337" s="307" t="s">
        <v>7</v>
      </c>
      <c r="G1337" s="307" t="s">
        <v>11</v>
      </c>
      <c r="H1337" s="307" t="s">
        <v>11</v>
      </c>
    </row>
    <row r="1338" spans="1:8" x14ac:dyDescent="0.2">
      <c r="A1338" t="s">
        <v>34</v>
      </c>
      <c r="B1338" t="s">
        <v>67</v>
      </c>
      <c r="C1338" t="s">
        <v>1594</v>
      </c>
      <c r="D1338">
        <v>1</v>
      </c>
      <c r="E1338" s="307">
        <v>6</v>
      </c>
      <c r="F1338" s="307" t="s">
        <v>7</v>
      </c>
      <c r="G1338" s="307" t="s">
        <v>11</v>
      </c>
      <c r="H1338" s="307" t="s">
        <v>11</v>
      </c>
    </row>
    <row r="1339" spans="1:8" x14ac:dyDescent="0.2">
      <c r="A1339" t="s">
        <v>34</v>
      </c>
      <c r="B1339" t="s">
        <v>67</v>
      </c>
      <c r="C1339" t="s">
        <v>1595</v>
      </c>
      <c r="D1339">
        <v>1</v>
      </c>
      <c r="E1339" s="307">
        <v>6</v>
      </c>
      <c r="F1339" s="307" t="s">
        <v>7</v>
      </c>
      <c r="G1339" s="307" t="s">
        <v>11</v>
      </c>
      <c r="H1339" s="307" t="s">
        <v>11</v>
      </c>
    </row>
    <row r="1340" spans="1:8" x14ac:dyDescent="0.2">
      <c r="A1340" t="s">
        <v>34</v>
      </c>
      <c r="B1340" t="s">
        <v>67</v>
      </c>
      <c r="C1340" t="s">
        <v>1596</v>
      </c>
      <c r="D1340">
        <v>1</v>
      </c>
      <c r="E1340" s="307">
        <v>6</v>
      </c>
      <c r="F1340" s="307" t="s">
        <v>7</v>
      </c>
      <c r="G1340" s="307" t="s">
        <v>11</v>
      </c>
      <c r="H1340" s="307" t="s">
        <v>11</v>
      </c>
    </row>
    <row r="1341" spans="1:8" x14ac:dyDescent="0.2">
      <c r="A1341" t="s">
        <v>34</v>
      </c>
      <c r="B1341" t="s">
        <v>67</v>
      </c>
      <c r="C1341" t="s">
        <v>1597</v>
      </c>
      <c r="D1341">
        <v>1</v>
      </c>
      <c r="E1341" s="307">
        <v>6</v>
      </c>
      <c r="F1341" s="307" t="s">
        <v>7</v>
      </c>
      <c r="G1341" s="307" t="s">
        <v>11</v>
      </c>
      <c r="H1341" s="307" t="s">
        <v>11</v>
      </c>
    </row>
    <row r="1342" spans="1:8" x14ac:dyDescent="0.2">
      <c r="A1342" t="s">
        <v>34</v>
      </c>
      <c r="B1342" t="s">
        <v>67</v>
      </c>
      <c r="C1342" t="s">
        <v>819</v>
      </c>
      <c r="D1342">
        <v>1</v>
      </c>
      <c r="E1342" s="307">
        <v>7</v>
      </c>
      <c r="F1342" s="307" t="s">
        <v>11</v>
      </c>
      <c r="G1342" s="307" t="s">
        <v>11</v>
      </c>
      <c r="H1342" s="307" t="s">
        <v>11</v>
      </c>
    </row>
    <row r="1343" spans="1:8" x14ac:dyDescent="0.2">
      <c r="A1343" t="s">
        <v>34</v>
      </c>
      <c r="B1343" t="s">
        <v>67</v>
      </c>
      <c r="C1343" t="s">
        <v>1598</v>
      </c>
      <c r="D1343">
        <v>1</v>
      </c>
      <c r="E1343" s="307">
        <v>6</v>
      </c>
      <c r="F1343" s="307" t="s">
        <v>7</v>
      </c>
      <c r="G1343" s="307" t="s">
        <v>11</v>
      </c>
      <c r="H1343" s="307" t="s">
        <v>11</v>
      </c>
    </row>
    <row r="1344" spans="1:8" x14ac:dyDescent="0.2">
      <c r="A1344" t="s">
        <v>34</v>
      </c>
      <c r="B1344" t="s">
        <v>67</v>
      </c>
      <c r="C1344" t="s">
        <v>720</v>
      </c>
      <c r="D1344">
        <v>1</v>
      </c>
      <c r="E1344" s="307">
        <v>6</v>
      </c>
      <c r="F1344" s="307" t="s">
        <v>7</v>
      </c>
      <c r="G1344" s="307" t="s">
        <v>11</v>
      </c>
      <c r="H1344" s="307" t="s">
        <v>11</v>
      </c>
    </row>
    <row r="1345" spans="1:8" x14ac:dyDescent="0.2">
      <c r="A1345" t="s">
        <v>34</v>
      </c>
      <c r="B1345" t="s">
        <v>67</v>
      </c>
      <c r="C1345" t="s">
        <v>1599</v>
      </c>
      <c r="D1345">
        <v>1</v>
      </c>
      <c r="E1345" s="307">
        <v>7</v>
      </c>
      <c r="F1345" s="307" t="s">
        <v>11</v>
      </c>
      <c r="G1345" s="307" t="s">
        <v>11</v>
      </c>
      <c r="H1345" s="307" t="s">
        <v>11</v>
      </c>
    </row>
    <row r="1346" spans="1:8" x14ac:dyDescent="0.2">
      <c r="A1346" t="s">
        <v>34</v>
      </c>
      <c r="B1346" t="s">
        <v>67</v>
      </c>
      <c r="C1346" t="s">
        <v>1600</v>
      </c>
      <c r="D1346">
        <v>2</v>
      </c>
      <c r="E1346" s="307">
        <v>6</v>
      </c>
      <c r="F1346" s="307" t="s">
        <v>7</v>
      </c>
      <c r="G1346" s="307" t="s">
        <v>11</v>
      </c>
      <c r="H1346" s="307" t="s">
        <v>11</v>
      </c>
    </row>
    <row r="1347" spans="1:8" x14ac:dyDescent="0.2">
      <c r="A1347" t="s">
        <v>34</v>
      </c>
      <c r="B1347" t="s">
        <v>67</v>
      </c>
      <c r="C1347" t="s">
        <v>1601</v>
      </c>
      <c r="D1347">
        <v>2</v>
      </c>
      <c r="E1347" s="307">
        <v>7</v>
      </c>
      <c r="F1347" s="307" t="s">
        <v>11</v>
      </c>
      <c r="G1347" s="307" t="s">
        <v>11</v>
      </c>
      <c r="H1347" s="307" t="s">
        <v>11</v>
      </c>
    </row>
    <row r="1348" spans="1:8" x14ac:dyDescent="0.2">
      <c r="A1348" t="s">
        <v>34</v>
      </c>
      <c r="B1348" t="s">
        <v>67</v>
      </c>
      <c r="C1348" t="s">
        <v>721</v>
      </c>
      <c r="D1348">
        <v>1</v>
      </c>
      <c r="E1348" s="307">
        <v>6</v>
      </c>
      <c r="F1348" s="307" t="s">
        <v>7</v>
      </c>
      <c r="G1348" s="307" t="s">
        <v>11</v>
      </c>
      <c r="H1348" s="307" t="s">
        <v>11</v>
      </c>
    </row>
    <row r="1349" spans="1:8" x14ac:dyDescent="0.2">
      <c r="A1349" t="s">
        <v>34</v>
      </c>
      <c r="B1349" t="s">
        <v>67</v>
      </c>
      <c r="C1349" t="s">
        <v>1602</v>
      </c>
      <c r="D1349">
        <v>1</v>
      </c>
      <c r="E1349" s="307">
        <v>7</v>
      </c>
      <c r="F1349" s="307" t="s">
        <v>11</v>
      </c>
      <c r="G1349" s="307" t="s">
        <v>11</v>
      </c>
      <c r="H1349" s="307" t="s">
        <v>11</v>
      </c>
    </row>
    <row r="1350" spans="1:8" x14ac:dyDescent="0.2">
      <c r="A1350" t="s">
        <v>34</v>
      </c>
      <c r="B1350" t="s">
        <v>67</v>
      </c>
      <c r="C1350" t="s">
        <v>1603</v>
      </c>
      <c r="D1350">
        <v>1</v>
      </c>
      <c r="E1350" s="307">
        <v>6</v>
      </c>
      <c r="F1350" s="307" t="s">
        <v>7</v>
      </c>
      <c r="G1350" s="307" t="s">
        <v>11</v>
      </c>
      <c r="H1350" s="307" t="s">
        <v>11</v>
      </c>
    </row>
    <row r="1351" spans="1:8" x14ac:dyDescent="0.2">
      <c r="A1351" t="s">
        <v>34</v>
      </c>
      <c r="B1351" t="s">
        <v>67</v>
      </c>
      <c r="C1351" t="s">
        <v>1604</v>
      </c>
      <c r="D1351">
        <v>1</v>
      </c>
      <c r="E1351" s="307">
        <v>7</v>
      </c>
      <c r="F1351" s="307" t="s">
        <v>11</v>
      </c>
      <c r="G1351" s="307" t="s">
        <v>11</v>
      </c>
      <c r="H1351" s="307" t="s">
        <v>11</v>
      </c>
    </row>
    <row r="1352" spans="1:8" x14ac:dyDescent="0.2">
      <c r="A1352" t="s">
        <v>34</v>
      </c>
      <c r="B1352" t="s">
        <v>67</v>
      </c>
      <c r="C1352" t="s">
        <v>1605</v>
      </c>
      <c r="D1352">
        <v>2</v>
      </c>
      <c r="E1352" s="307">
        <v>7</v>
      </c>
      <c r="F1352" s="307" t="s">
        <v>11</v>
      </c>
      <c r="G1352" s="307" t="s">
        <v>11</v>
      </c>
      <c r="H1352" s="307" t="s">
        <v>11</v>
      </c>
    </row>
    <row r="1353" spans="1:8" x14ac:dyDescent="0.2">
      <c r="A1353" t="s">
        <v>34</v>
      </c>
      <c r="B1353" t="s">
        <v>67</v>
      </c>
      <c r="C1353" t="s">
        <v>1606</v>
      </c>
      <c r="D1353">
        <v>1</v>
      </c>
      <c r="E1353" s="307">
        <v>6</v>
      </c>
      <c r="F1353" s="307" t="s">
        <v>7</v>
      </c>
      <c r="G1353" s="307" t="s">
        <v>11</v>
      </c>
      <c r="H1353" s="307" t="s">
        <v>11</v>
      </c>
    </row>
    <row r="1354" spans="1:8" x14ac:dyDescent="0.2">
      <c r="A1354" t="s">
        <v>34</v>
      </c>
      <c r="B1354" t="s">
        <v>67</v>
      </c>
      <c r="C1354" t="s">
        <v>871</v>
      </c>
      <c r="D1354">
        <v>2</v>
      </c>
      <c r="E1354" s="307">
        <v>7</v>
      </c>
      <c r="F1354" s="307" t="s">
        <v>11</v>
      </c>
      <c r="G1354" s="307" t="s">
        <v>11</v>
      </c>
      <c r="H1354" s="307" t="s">
        <v>11</v>
      </c>
    </row>
    <row r="1355" spans="1:8" x14ac:dyDescent="0.2">
      <c r="A1355" t="s">
        <v>34</v>
      </c>
      <c r="B1355" t="s">
        <v>67</v>
      </c>
      <c r="C1355" t="s">
        <v>1607</v>
      </c>
      <c r="D1355">
        <v>2</v>
      </c>
      <c r="E1355" s="307">
        <v>7</v>
      </c>
      <c r="F1355" s="307" t="s">
        <v>11</v>
      </c>
      <c r="G1355" s="307" t="s">
        <v>11</v>
      </c>
      <c r="H1355" s="307" t="s">
        <v>11</v>
      </c>
    </row>
    <row r="1356" spans="1:8" x14ac:dyDescent="0.2">
      <c r="A1356" t="s">
        <v>34</v>
      </c>
      <c r="B1356" t="s">
        <v>67</v>
      </c>
      <c r="C1356" t="s">
        <v>1608</v>
      </c>
      <c r="D1356">
        <v>1</v>
      </c>
      <c r="E1356" s="307">
        <v>6</v>
      </c>
      <c r="F1356" s="307" t="s">
        <v>7</v>
      </c>
      <c r="G1356" s="307" t="s">
        <v>11</v>
      </c>
      <c r="H1356" s="307" t="s">
        <v>11</v>
      </c>
    </row>
    <row r="1357" spans="1:8" x14ac:dyDescent="0.2">
      <c r="A1357" t="s">
        <v>34</v>
      </c>
      <c r="B1357" t="s">
        <v>67</v>
      </c>
      <c r="C1357" t="s">
        <v>827</v>
      </c>
      <c r="D1357">
        <v>1</v>
      </c>
      <c r="E1357" s="307">
        <v>6</v>
      </c>
      <c r="F1357" s="307" t="s">
        <v>7</v>
      </c>
      <c r="G1357" s="307" t="s">
        <v>11</v>
      </c>
      <c r="H1357" s="307" t="s">
        <v>11</v>
      </c>
    </row>
    <row r="1358" spans="1:8" x14ac:dyDescent="0.2">
      <c r="A1358" t="s">
        <v>34</v>
      </c>
      <c r="B1358" t="s">
        <v>67</v>
      </c>
      <c r="C1358" t="s">
        <v>1293</v>
      </c>
      <c r="D1358">
        <v>1</v>
      </c>
      <c r="E1358" s="307">
        <v>6</v>
      </c>
      <c r="F1358" s="307" t="s">
        <v>7</v>
      </c>
      <c r="G1358" s="307" t="s">
        <v>11</v>
      </c>
      <c r="H1358" s="307" t="s">
        <v>11</v>
      </c>
    </row>
    <row r="1359" spans="1:8" x14ac:dyDescent="0.2">
      <c r="A1359" t="s">
        <v>34</v>
      </c>
      <c r="B1359" t="s">
        <v>67</v>
      </c>
      <c r="C1359" t="s">
        <v>1609</v>
      </c>
      <c r="D1359">
        <v>1</v>
      </c>
      <c r="E1359" s="307">
        <v>7</v>
      </c>
      <c r="F1359" s="307" t="s">
        <v>11</v>
      </c>
      <c r="G1359" s="307" t="s">
        <v>11</v>
      </c>
      <c r="H1359" s="307" t="s">
        <v>11</v>
      </c>
    </row>
    <row r="1360" spans="1:8" x14ac:dyDescent="0.2">
      <c r="A1360" t="s">
        <v>34</v>
      </c>
      <c r="B1360" t="s">
        <v>67</v>
      </c>
      <c r="C1360" t="s">
        <v>733</v>
      </c>
      <c r="D1360">
        <v>1</v>
      </c>
      <c r="E1360" s="307">
        <v>7</v>
      </c>
      <c r="F1360" s="307" t="s">
        <v>11</v>
      </c>
      <c r="G1360" s="307" t="s">
        <v>11</v>
      </c>
      <c r="H1360" s="307" t="s">
        <v>11</v>
      </c>
    </row>
    <row r="1361" spans="1:8" x14ac:dyDescent="0.2">
      <c r="A1361" t="s">
        <v>34</v>
      </c>
      <c r="B1361" t="s">
        <v>67</v>
      </c>
      <c r="C1361" t="s">
        <v>1007</v>
      </c>
      <c r="D1361">
        <v>1</v>
      </c>
      <c r="E1361" s="307">
        <v>6</v>
      </c>
      <c r="F1361" s="307" t="s">
        <v>7</v>
      </c>
      <c r="G1361" s="307" t="s">
        <v>11</v>
      </c>
      <c r="H1361" s="307" t="s">
        <v>11</v>
      </c>
    </row>
    <row r="1362" spans="1:8" x14ac:dyDescent="0.2">
      <c r="A1362" t="s">
        <v>34</v>
      </c>
      <c r="B1362" t="s">
        <v>67</v>
      </c>
      <c r="C1362" t="s">
        <v>1610</v>
      </c>
      <c r="D1362">
        <v>1</v>
      </c>
      <c r="E1362" s="307">
        <v>6</v>
      </c>
      <c r="F1362" s="307" t="s">
        <v>7</v>
      </c>
      <c r="G1362" s="307" t="s">
        <v>11</v>
      </c>
      <c r="H1362" s="307" t="s">
        <v>11</v>
      </c>
    </row>
    <row r="1363" spans="1:8" x14ac:dyDescent="0.2">
      <c r="A1363" t="s">
        <v>34</v>
      </c>
      <c r="B1363" t="s">
        <v>67</v>
      </c>
      <c r="C1363" t="s">
        <v>1611</v>
      </c>
      <c r="D1363">
        <v>1</v>
      </c>
      <c r="E1363" s="307">
        <v>6</v>
      </c>
      <c r="F1363" s="307" t="s">
        <v>7</v>
      </c>
      <c r="G1363" s="307" t="s">
        <v>11</v>
      </c>
      <c r="H1363" s="307" t="s">
        <v>11</v>
      </c>
    </row>
    <row r="1364" spans="1:8" x14ac:dyDescent="0.2">
      <c r="A1364" t="s">
        <v>34</v>
      </c>
      <c r="B1364" t="s">
        <v>67</v>
      </c>
      <c r="C1364" t="s">
        <v>1612</v>
      </c>
      <c r="D1364">
        <v>2</v>
      </c>
      <c r="E1364" s="307">
        <v>7</v>
      </c>
      <c r="F1364" s="307" t="s">
        <v>11</v>
      </c>
      <c r="G1364" s="307" t="s">
        <v>11</v>
      </c>
      <c r="H1364" s="307" t="s">
        <v>11</v>
      </c>
    </row>
    <row r="1365" spans="1:8" x14ac:dyDescent="0.2">
      <c r="A1365" t="s">
        <v>34</v>
      </c>
      <c r="B1365" t="s">
        <v>67</v>
      </c>
      <c r="C1365" t="s">
        <v>1613</v>
      </c>
      <c r="D1365">
        <v>2</v>
      </c>
      <c r="E1365" s="307">
        <v>6</v>
      </c>
      <c r="F1365" s="307" t="s">
        <v>7</v>
      </c>
      <c r="G1365" s="307" t="s">
        <v>11</v>
      </c>
      <c r="H1365" s="307" t="s">
        <v>11</v>
      </c>
    </row>
    <row r="1366" spans="1:8" x14ac:dyDescent="0.2">
      <c r="A1366" t="s">
        <v>34</v>
      </c>
      <c r="B1366" t="s">
        <v>67</v>
      </c>
      <c r="C1366" t="s">
        <v>1614</v>
      </c>
      <c r="D1366">
        <v>1</v>
      </c>
      <c r="E1366" s="307">
        <v>6</v>
      </c>
      <c r="F1366" s="307" t="s">
        <v>7</v>
      </c>
      <c r="G1366" s="307" t="s">
        <v>11</v>
      </c>
      <c r="H1366" s="307" t="s">
        <v>11</v>
      </c>
    </row>
    <row r="1367" spans="1:8" x14ac:dyDescent="0.2">
      <c r="A1367" t="s">
        <v>34</v>
      </c>
      <c r="B1367" t="s">
        <v>67</v>
      </c>
      <c r="C1367" t="s">
        <v>1097</v>
      </c>
      <c r="D1367">
        <v>1</v>
      </c>
      <c r="E1367" s="307">
        <v>6</v>
      </c>
      <c r="F1367" s="307" t="s">
        <v>7</v>
      </c>
      <c r="G1367" s="307" t="s">
        <v>11</v>
      </c>
      <c r="H1367" s="307" t="s">
        <v>11</v>
      </c>
    </row>
    <row r="1368" spans="1:8" x14ac:dyDescent="0.2">
      <c r="A1368" t="s">
        <v>34</v>
      </c>
      <c r="B1368" t="s">
        <v>67</v>
      </c>
      <c r="C1368" t="s">
        <v>1615</v>
      </c>
      <c r="D1368">
        <v>1</v>
      </c>
      <c r="E1368" s="307">
        <v>6</v>
      </c>
      <c r="F1368" s="307" t="s">
        <v>7</v>
      </c>
      <c r="G1368" s="307" t="s">
        <v>11</v>
      </c>
      <c r="H1368" s="307" t="s">
        <v>11</v>
      </c>
    </row>
    <row r="1369" spans="1:8" x14ac:dyDescent="0.2">
      <c r="A1369" t="s">
        <v>34</v>
      </c>
      <c r="B1369" t="s">
        <v>67</v>
      </c>
      <c r="C1369" t="s">
        <v>1616</v>
      </c>
      <c r="D1369">
        <v>1</v>
      </c>
      <c r="E1369" s="307">
        <v>6</v>
      </c>
      <c r="F1369" s="307" t="s">
        <v>7</v>
      </c>
      <c r="G1369" s="307" t="s">
        <v>11</v>
      </c>
      <c r="H1369" s="307" t="s">
        <v>11</v>
      </c>
    </row>
    <row r="1370" spans="1:8" x14ac:dyDescent="0.2">
      <c r="A1370" t="s">
        <v>34</v>
      </c>
      <c r="B1370" t="s">
        <v>67</v>
      </c>
      <c r="C1370" t="s">
        <v>1617</v>
      </c>
      <c r="D1370">
        <v>1</v>
      </c>
      <c r="E1370" s="307">
        <v>7</v>
      </c>
      <c r="F1370" s="307" t="s">
        <v>11</v>
      </c>
      <c r="G1370" s="307" t="s">
        <v>11</v>
      </c>
      <c r="H1370" s="307" t="s">
        <v>11</v>
      </c>
    </row>
    <row r="1371" spans="1:8" x14ac:dyDescent="0.2">
      <c r="A1371" t="s">
        <v>34</v>
      </c>
      <c r="B1371" t="s">
        <v>67</v>
      </c>
      <c r="C1371" t="s">
        <v>1618</v>
      </c>
      <c r="D1371">
        <v>1</v>
      </c>
      <c r="E1371" s="307">
        <v>6</v>
      </c>
      <c r="F1371" s="307" t="s">
        <v>7</v>
      </c>
      <c r="G1371" s="307" t="s">
        <v>11</v>
      </c>
      <c r="H1371" s="307" t="s">
        <v>11</v>
      </c>
    </row>
    <row r="1372" spans="1:8" x14ac:dyDescent="0.2">
      <c r="A1372" t="s">
        <v>34</v>
      </c>
      <c r="B1372" t="s">
        <v>67</v>
      </c>
      <c r="C1372" t="s">
        <v>1619</v>
      </c>
      <c r="D1372">
        <v>1</v>
      </c>
      <c r="E1372" s="307">
        <v>7</v>
      </c>
      <c r="F1372" s="307" t="s">
        <v>11</v>
      </c>
      <c r="G1372" s="307" t="s">
        <v>11</v>
      </c>
      <c r="H1372" s="307" t="s">
        <v>11</v>
      </c>
    </row>
    <row r="1373" spans="1:8" x14ac:dyDescent="0.2">
      <c r="A1373" t="s">
        <v>34</v>
      </c>
      <c r="B1373" t="s">
        <v>67</v>
      </c>
      <c r="C1373" t="s">
        <v>1620</v>
      </c>
      <c r="D1373">
        <v>1</v>
      </c>
      <c r="E1373" s="307">
        <v>7</v>
      </c>
      <c r="F1373" s="307" t="s">
        <v>11</v>
      </c>
      <c r="G1373" s="307" t="s">
        <v>11</v>
      </c>
      <c r="H1373" s="307" t="s">
        <v>11</v>
      </c>
    </row>
    <row r="1374" spans="1:8" x14ac:dyDescent="0.2">
      <c r="A1374" t="s">
        <v>34</v>
      </c>
      <c r="B1374" t="s">
        <v>67</v>
      </c>
      <c r="C1374" t="s">
        <v>1621</v>
      </c>
      <c r="D1374">
        <v>2</v>
      </c>
      <c r="E1374" s="307">
        <v>7</v>
      </c>
      <c r="F1374" s="307" t="s">
        <v>11</v>
      </c>
      <c r="G1374" s="307" t="s">
        <v>11</v>
      </c>
      <c r="H1374" s="307" t="s">
        <v>11</v>
      </c>
    </row>
    <row r="1375" spans="1:8" x14ac:dyDescent="0.2">
      <c r="A1375" t="s">
        <v>34</v>
      </c>
      <c r="B1375" t="s">
        <v>67</v>
      </c>
      <c r="C1375" t="s">
        <v>1622</v>
      </c>
      <c r="D1375">
        <v>1</v>
      </c>
      <c r="E1375" s="307">
        <v>6</v>
      </c>
      <c r="F1375" s="307" t="s">
        <v>7</v>
      </c>
      <c r="G1375" s="307" t="s">
        <v>11</v>
      </c>
      <c r="H1375" s="307" t="s">
        <v>11</v>
      </c>
    </row>
    <row r="1376" spans="1:8" x14ac:dyDescent="0.2">
      <c r="A1376" t="s">
        <v>34</v>
      </c>
      <c r="B1376" t="s">
        <v>67</v>
      </c>
      <c r="C1376" t="s">
        <v>838</v>
      </c>
      <c r="D1376">
        <v>1</v>
      </c>
      <c r="E1376" s="307">
        <v>7</v>
      </c>
      <c r="F1376" s="307" t="s">
        <v>11</v>
      </c>
      <c r="G1376" s="307" t="s">
        <v>11</v>
      </c>
      <c r="H1376" s="307" t="s">
        <v>11</v>
      </c>
    </row>
    <row r="1377" spans="1:8" x14ac:dyDescent="0.2">
      <c r="A1377" t="s">
        <v>34</v>
      </c>
      <c r="B1377" t="s">
        <v>67</v>
      </c>
      <c r="C1377" t="s">
        <v>839</v>
      </c>
      <c r="D1377">
        <v>1</v>
      </c>
      <c r="E1377" s="307">
        <v>6</v>
      </c>
      <c r="F1377" s="307" t="s">
        <v>7</v>
      </c>
      <c r="G1377" s="307" t="s">
        <v>11</v>
      </c>
      <c r="H1377" s="307" t="s">
        <v>11</v>
      </c>
    </row>
    <row r="1378" spans="1:8" x14ac:dyDescent="0.2">
      <c r="A1378" t="s">
        <v>34</v>
      </c>
      <c r="B1378" t="s">
        <v>67</v>
      </c>
      <c r="C1378" t="s">
        <v>1623</v>
      </c>
      <c r="D1378">
        <v>1</v>
      </c>
      <c r="E1378" s="307">
        <v>6</v>
      </c>
      <c r="F1378" s="307" t="s">
        <v>7</v>
      </c>
      <c r="G1378" s="307" t="s">
        <v>11</v>
      </c>
      <c r="H1378" s="307" t="s">
        <v>11</v>
      </c>
    </row>
    <row r="1379" spans="1:8" x14ac:dyDescent="0.2">
      <c r="A1379" t="s">
        <v>34</v>
      </c>
      <c r="B1379" t="s">
        <v>67</v>
      </c>
      <c r="C1379" t="s">
        <v>1624</v>
      </c>
      <c r="D1379">
        <v>1</v>
      </c>
      <c r="E1379" s="307">
        <v>7</v>
      </c>
      <c r="F1379" s="307" t="s">
        <v>11</v>
      </c>
      <c r="G1379" s="307" t="s">
        <v>11</v>
      </c>
      <c r="H1379" s="307" t="s">
        <v>11</v>
      </c>
    </row>
    <row r="1380" spans="1:8" x14ac:dyDescent="0.2">
      <c r="A1380" t="s">
        <v>34</v>
      </c>
      <c r="B1380" t="s">
        <v>67</v>
      </c>
      <c r="C1380" t="s">
        <v>1625</v>
      </c>
      <c r="D1380">
        <v>1</v>
      </c>
      <c r="E1380" s="307">
        <v>6</v>
      </c>
      <c r="F1380" s="307" t="s">
        <v>7</v>
      </c>
      <c r="G1380" s="307" t="s">
        <v>11</v>
      </c>
      <c r="H1380" s="307" t="s">
        <v>11</v>
      </c>
    </row>
    <row r="1381" spans="1:8" x14ac:dyDescent="0.2">
      <c r="A1381" t="s">
        <v>34</v>
      </c>
      <c r="B1381" t="s">
        <v>67</v>
      </c>
      <c r="C1381" t="s">
        <v>1626</v>
      </c>
      <c r="D1381">
        <v>1</v>
      </c>
      <c r="E1381" s="307">
        <v>6</v>
      </c>
      <c r="F1381" s="307" t="s">
        <v>7</v>
      </c>
      <c r="G1381" s="307" t="s">
        <v>11</v>
      </c>
      <c r="H1381" s="307" t="s">
        <v>11</v>
      </c>
    </row>
    <row r="1382" spans="1:8" x14ac:dyDescent="0.2">
      <c r="A1382" t="s">
        <v>34</v>
      </c>
      <c r="B1382" t="s">
        <v>67</v>
      </c>
      <c r="C1382" t="s">
        <v>1362</v>
      </c>
      <c r="D1382">
        <v>1</v>
      </c>
      <c r="E1382" s="307">
        <v>6</v>
      </c>
      <c r="F1382" s="307" t="s">
        <v>7</v>
      </c>
      <c r="G1382" s="307" t="s">
        <v>11</v>
      </c>
      <c r="H1382" s="307" t="s">
        <v>11</v>
      </c>
    </row>
    <row r="1383" spans="1:8" x14ac:dyDescent="0.2">
      <c r="A1383" t="s">
        <v>34</v>
      </c>
      <c r="B1383" t="s">
        <v>67</v>
      </c>
      <c r="C1383" t="s">
        <v>1627</v>
      </c>
      <c r="D1383">
        <v>1</v>
      </c>
      <c r="E1383" s="307">
        <v>6</v>
      </c>
      <c r="F1383" s="307" t="s">
        <v>7</v>
      </c>
      <c r="G1383" s="307" t="s">
        <v>11</v>
      </c>
      <c r="H1383" s="307" t="s">
        <v>11</v>
      </c>
    </row>
    <row r="1384" spans="1:8" x14ac:dyDescent="0.2">
      <c r="A1384" t="s">
        <v>34</v>
      </c>
      <c r="B1384" t="s">
        <v>67</v>
      </c>
      <c r="C1384" t="s">
        <v>1628</v>
      </c>
      <c r="D1384">
        <v>1</v>
      </c>
      <c r="E1384" s="307">
        <v>7</v>
      </c>
      <c r="F1384" s="307" t="s">
        <v>11</v>
      </c>
      <c r="G1384" s="307" t="s">
        <v>11</v>
      </c>
      <c r="H1384" s="307" t="s">
        <v>11</v>
      </c>
    </row>
    <row r="1385" spans="1:8" x14ac:dyDescent="0.2">
      <c r="A1385" t="s">
        <v>34</v>
      </c>
      <c r="B1385" t="s">
        <v>67</v>
      </c>
      <c r="C1385" t="s">
        <v>1629</v>
      </c>
      <c r="D1385">
        <v>2</v>
      </c>
      <c r="E1385" s="307">
        <v>7</v>
      </c>
      <c r="F1385" s="307" t="s">
        <v>11</v>
      </c>
      <c r="G1385" s="307" t="s">
        <v>11</v>
      </c>
      <c r="H1385" s="307" t="s">
        <v>11</v>
      </c>
    </row>
    <row r="1386" spans="1:8" x14ac:dyDescent="0.2">
      <c r="A1386" t="s">
        <v>34</v>
      </c>
      <c r="B1386" t="s">
        <v>67</v>
      </c>
      <c r="C1386" t="s">
        <v>844</v>
      </c>
      <c r="D1386">
        <v>1</v>
      </c>
      <c r="E1386" s="307">
        <v>6</v>
      </c>
      <c r="F1386" s="307" t="s">
        <v>7</v>
      </c>
      <c r="G1386" s="307" t="s">
        <v>11</v>
      </c>
      <c r="H1386" s="307" t="s">
        <v>11</v>
      </c>
    </row>
    <row r="1387" spans="1:8" x14ac:dyDescent="0.2">
      <c r="A1387" t="s">
        <v>34</v>
      </c>
      <c r="B1387" t="s">
        <v>67</v>
      </c>
      <c r="C1387" t="s">
        <v>1630</v>
      </c>
      <c r="D1387">
        <v>1</v>
      </c>
      <c r="E1387" s="307">
        <v>6</v>
      </c>
      <c r="F1387" s="307" t="s">
        <v>7</v>
      </c>
      <c r="G1387" s="307" t="s">
        <v>11</v>
      </c>
      <c r="H1387" s="307" t="s">
        <v>11</v>
      </c>
    </row>
    <row r="1388" spans="1:8" x14ac:dyDescent="0.2">
      <c r="A1388" t="s">
        <v>34</v>
      </c>
      <c r="B1388" t="s">
        <v>67</v>
      </c>
      <c r="C1388" t="s">
        <v>1631</v>
      </c>
      <c r="D1388">
        <v>1</v>
      </c>
      <c r="E1388" s="307">
        <v>6</v>
      </c>
      <c r="F1388" s="307" t="s">
        <v>7</v>
      </c>
      <c r="G1388" s="307" t="s">
        <v>11</v>
      </c>
      <c r="H1388" s="307" t="s">
        <v>11</v>
      </c>
    </row>
    <row r="1389" spans="1:8" x14ac:dyDescent="0.2">
      <c r="A1389" t="s">
        <v>34</v>
      </c>
      <c r="B1389" t="s">
        <v>67</v>
      </c>
      <c r="C1389" t="s">
        <v>1632</v>
      </c>
      <c r="D1389">
        <v>1</v>
      </c>
      <c r="E1389" s="307">
        <v>6</v>
      </c>
      <c r="F1389" s="307" t="s">
        <v>7</v>
      </c>
      <c r="G1389" s="307" t="s">
        <v>11</v>
      </c>
      <c r="H1389" s="307" t="s">
        <v>11</v>
      </c>
    </row>
    <row r="1390" spans="1:8" x14ac:dyDescent="0.2">
      <c r="A1390" t="s">
        <v>34</v>
      </c>
      <c r="B1390" t="s">
        <v>67</v>
      </c>
      <c r="C1390" t="s">
        <v>1633</v>
      </c>
      <c r="D1390">
        <v>1</v>
      </c>
      <c r="E1390" s="307">
        <v>6</v>
      </c>
      <c r="F1390" s="307" t="s">
        <v>7</v>
      </c>
      <c r="G1390" s="307" t="s">
        <v>11</v>
      </c>
      <c r="H1390" s="307" t="s">
        <v>11</v>
      </c>
    </row>
    <row r="1391" spans="1:8" x14ac:dyDescent="0.2">
      <c r="A1391" t="s">
        <v>34</v>
      </c>
      <c r="B1391" t="s">
        <v>67</v>
      </c>
      <c r="C1391" t="s">
        <v>1372</v>
      </c>
      <c r="D1391">
        <v>1</v>
      </c>
      <c r="E1391" s="307">
        <v>6</v>
      </c>
      <c r="F1391" s="307" t="s">
        <v>7</v>
      </c>
      <c r="G1391" s="307" t="s">
        <v>11</v>
      </c>
      <c r="H1391" s="307" t="s">
        <v>11</v>
      </c>
    </row>
    <row r="1392" spans="1:8" x14ac:dyDescent="0.2">
      <c r="A1392" t="s">
        <v>34</v>
      </c>
      <c r="B1392" t="s">
        <v>67</v>
      </c>
      <c r="C1392" t="s">
        <v>1634</v>
      </c>
      <c r="D1392">
        <v>1</v>
      </c>
      <c r="E1392" s="307">
        <v>6</v>
      </c>
      <c r="F1392" s="307" t="s">
        <v>7</v>
      </c>
      <c r="G1392" s="307" t="s">
        <v>11</v>
      </c>
      <c r="H1392" s="307" t="s">
        <v>11</v>
      </c>
    </row>
    <row r="1393" spans="1:8" x14ac:dyDescent="0.2">
      <c r="A1393" t="s">
        <v>34</v>
      </c>
      <c r="B1393" t="s">
        <v>67</v>
      </c>
      <c r="C1393" t="s">
        <v>1432</v>
      </c>
      <c r="D1393">
        <v>1</v>
      </c>
      <c r="E1393" s="307">
        <v>6</v>
      </c>
      <c r="F1393" s="307" t="s">
        <v>7</v>
      </c>
      <c r="G1393" s="307" t="s">
        <v>11</v>
      </c>
      <c r="H1393" s="307" t="s">
        <v>11</v>
      </c>
    </row>
    <row r="1394" spans="1:8" x14ac:dyDescent="0.2">
      <c r="A1394" t="s">
        <v>34</v>
      </c>
      <c r="B1394" t="s">
        <v>67</v>
      </c>
      <c r="C1394" t="s">
        <v>1635</v>
      </c>
      <c r="D1394">
        <v>1</v>
      </c>
      <c r="E1394" s="307">
        <v>6</v>
      </c>
      <c r="F1394" s="307" t="s">
        <v>7</v>
      </c>
      <c r="G1394" s="307" t="s">
        <v>11</v>
      </c>
      <c r="H1394" s="307" t="s">
        <v>11</v>
      </c>
    </row>
    <row r="1395" spans="1:8" x14ac:dyDescent="0.2">
      <c r="A1395" t="s">
        <v>34</v>
      </c>
      <c r="B1395" t="s">
        <v>67</v>
      </c>
      <c r="C1395" t="s">
        <v>1636</v>
      </c>
      <c r="D1395">
        <v>1</v>
      </c>
      <c r="E1395" s="307">
        <v>6</v>
      </c>
      <c r="F1395" s="307" t="s">
        <v>7</v>
      </c>
      <c r="G1395" s="307" t="s">
        <v>11</v>
      </c>
      <c r="H1395" s="307" t="s">
        <v>11</v>
      </c>
    </row>
    <row r="1396" spans="1:8" x14ac:dyDescent="0.2">
      <c r="A1396" t="s">
        <v>34</v>
      </c>
      <c r="B1396" t="s">
        <v>67</v>
      </c>
      <c r="C1396" t="s">
        <v>1637</v>
      </c>
      <c r="D1396">
        <v>1</v>
      </c>
      <c r="E1396" s="307">
        <v>7</v>
      </c>
      <c r="F1396" s="307" t="s">
        <v>11</v>
      </c>
      <c r="G1396" s="307" t="s">
        <v>11</v>
      </c>
      <c r="H1396" s="307" t="s">
        <v>11</v>
      </c>
    </row>
    <row r="1397" spans="1:8" x14ac:dyDescent="0.2">
      <c r="A1397" t="s">
        <v>34</v>
      </c>
      <c r="B1397" t="s">
        <v>67</v>
      </c>
      <c r="C1397" t="s">
        <v>1638</v>
      </c>
      <c r="D1397">
        <v>1</v>
      </c>
      <c r="E1397" s="307">
        <v>6</v>
      </c>
      <c r="F1397" s="307" t="s">
        <v>7</v>
      </c>
      <c r="G1397" s="307" t="s">
        <v>11</v>
      </c>
      <c r="H1397" s="307" t="s">
        <v>11</v>
      </c>
    </row>
    <row r="1398" spans="1:8" x14ac:dyDescent="0.2">
      <c r="A1398" t="s">
        <v>34</v>
      </c>
      <c r="B1398" t="s">
        <v>67</v>
      </c>
      <c r="C1398" t="s">
        <v>750</v>
      </c>
      <c r="D1398">
        <v>1</v>
      </c>
      <c r="E1398" s="307">
        <v>6</v>
      </c>
      <c r="F1398" s="307" t="s">
        <v>7</v>
      </c>
      <c r="G1398" s="307" t="s">
        <v>11</v>
      </c>
      <c r="H1398" s="307" t="s">
        <v>11</v>
      </c>
    </row>
    <row r="1399" spans="1:8" x14ac:dyDescent="0.2">
      <c r="A1399" t="s">
        <v>34</v>
      </c>
      <c r="B1399" t="s">
        <v>67</v>
      </c>
      <c r="C1399" t="s">
        <v>1639</v>
      </c>
      <c r="D1399">
        <v>1</v>
      </c>
      <c r="E1399" s="307">
        <v>6</v>
      </c>
      <c r="F1399" s="307" t="s">
        <v>7</v>
      </c>
      <c r="G1399" s="307" t="s">
        <v>11</v>
      </c>
      <c r="H1399" s="307" t="s">
        <v>11</v>
      </c>
    </row>
    <row r="1400" spans="1:8" x14ac:dyDescent="0.2">
      <c r="A1400" t="s">
        <v>34</v>
      </c>
      <c r="B1400" t="s">
        <v>67</v>
      </c>
      <c r="C1400" t="s">
        <v>1640</v>
      </c>
      <c r="D1400">
        <v>1</v>
      </c>
      <c r="E1400" s="307">
        <v>7</v>
      </c>
      <c r="F1400" s="307" t="s">
        <v>11</v>
      </c>
      <c r="G1400" s="307" t="s">
        <v>11</v>
      </c>
      <c r="H1400" s="307" t="s">
        <v>11</v>
      </c>
    </row>
    <row r="1401" spans="1:8" x14ac:dyDescent="0.2">
      <c r="A1401" t="s">
        <v>34</v>
      </c>
      <c r="B1401" t="s">
        <v>67</v>
      </c>
      <c r="C1401" t="s">
        <v>1641</v>
      </c>
      <c r="D1401">
        <v>1</v>
      </c>
      <c r="E1401" s="307">
        <v>6</v>
      </c>
      <c r="F1401" s="307" t="s">
        <v>7</v>
      </c>
      <c r="G1401" s="307" t="s">
        <v>11</v>
      </c>
      <c r="H1401" s="307" t="s">
        <v>11</v>
      </c>
    </row>
    <row r="1402" spans="1:8" x14ac:dyDescent="0.2">
      <c r="A1402" t="s">
        <v>34</v>
      </c>
      <c r="B1402" t="s">
        <v>67</v>
      </c>
      <c r="C1402" t="s">
        <v>1313</v>
      </c>
      <c r="D1402">
        <v>1</v>
      </c>
      <c r="E1402" s="307">
        <v>6</v>
      </c>
      <c r="F1402" s="307" t="s">
        <v>7</v>
      </c>
      <c r="G1402" s="307" t="s">
        <v>11</v>
      </c>
      <c r="H1402" s="307" t="s">
        <v>11</v>
      </c>
    </row>
    <row r="1403" spans="1:8" x14ac:dyDescent="0.2">
      <c r="A1403" t="s">
        <v>34</v>
      </c>
      <c r="B1403" t="s">
        <v>67</v>
      </c>
      <c r="C1403" t="s">
        <v>1642</v>
      </c>
      <c r="D1403">
        <v>1</v>
      </c>
      <c r="E1403" s="307">
        <v>6</v>
      </c>
      <c r="F1403" s="307" t="s">
        <v>7</v>
      </c>
      <c r="G1403" s="307" t="s">
        <v>11</v>
      </c>
      <c r="H1403" s="307" t="s">
        <v>11</v>
      </c>
    </row>
    <row r="1404" spans="1:8" x14ac:dyDescent="0.2">
      <c r="A1404" t="s">
        <v>36</v>
      </c>
      <c r="B1404" t="s">
        <v>117</v>
      </c>
      <c r="C1404" t="s">
        <v>911</v>
      </c>
      <c r="D1404">
        <v>3</v>
      </c>
      <c r="E1404" s="307">
        <v>3</v>
      </c>
      <c r="F1404" s="307" t="s">
        <v>7</v>
      </c>
      <c r="G1404" s="307" t="s">
        <v>115</v>
      </c>
      <c r="H1404" s="307" t="s">
        <v>11</v>
      </c>
    </row>
    <row r="1405" spans="1:8" x14ac:dyDescent="0.2">
      <c r="A1405" t="s">
        <v>36</v>
      </c>
      <c r="B1405" t="s">
        <v>117</v>
      </c>
      <c r="C1405" t="s">
        <v>1643</v>
      </c>
      <c r="D1405">
        <v>2</v>
      </c>
      <c r="E1405" s="307">
        <v>3</v>
      </c>
      <c r="F1405" s="307" t="s">
        <v>7</v>
      </c>
      <c r="G1405" s="307" t="s">
        <v>11</v>
      </c>
      <c r="H1405" s="307" t="s">
        <v>11</v>
      </c>
    </row>
    <row r="1406" spans="1:8" x14ac:dyDescent="0.2">
      <c r="A1406" t="s">
        <v>36</v>
      </c>
      <c r="B1406" t="s">
        <v>117</v>
      </c>
      <c r="C1406" t="s">
        <v>1644</v>
      </c>
      <c r="D1406">
        <v>3</v>
      </c>
      <c r="E1406" s="307">
        <v>3</v>
      </c>
      <c r="F1406" s="307" t="s">
        <v>7</v>
      </c>
      <c r="G1406" s="307" t="s">
        <v>115</v>
      </c>
      <c r="H1406" s="307" t="s">
        <v>11</v>
      </c>
    </row>
    <row r="1407" spans="1:8" x14ac:dyDescent="0.2">
      <c r="A1407" t="s">
        <v>36</v>
      </c>
      <c r="B1407" t="s">
        <v>117</v>
      </c>
      <c r="C1407" t="s">
        <v>1645</v>
      </c>
      <c r="D1407">
        <v>3</v>
      </c>
      <c r="E1407" s="307">
        <v>3</v>
      </c>
      <c r="F1407" s="307" t="s">
        <v>7</v>
      </c>
      <c r="G1407" s="307" t="s">
        <v>11</v>
      </c>
      <c r="H1407" s="307" t="s">
        <v>11</v>
      </c>
    </row>
    <row r="1408" spans="1:8" x14ac:dyDescent="0.2">
      <c r="A1408" t="s">
        <v>36</v>
      </c>
      <c r="B1408" t="s">
        <v>117</v>
      </c>
      <c r="C1408" t="s">
        <v>801</v>
      </c>
      <c r="D1408">
        <v>3</v>
      </c>
      <c r="E1408" s="307">
        <v>3</v>
      </c>
      <c r="F1408" s="307" t="s">
        <v>7</v>
      </c>
      <c r="G1408" s="307" t="s">
        <v>11</v>
      </c>
      <c r="H1408" s="307" t="s">
        <v>11</v>
      </c>
    </row>
    <row r="1409" spans="1:8" x14ac:dyDescent="0.2">
      <c r="A1409" t="s">
        <v>36</v>
      </c>
      <c r="B1409" t="s">
        <v>117</v>
      </c>
      <c r="C1409" t="s">
        <v>1646</v>
      </c>
      <c r="D1409">
        <v>3</v>
      </c>
      <c r="E1409" s="307">
        <v>3</v>
      </c>
      <c r="F1409" s="307" t="s">
        <v>7</v>
      </c>
      <c r="G1409" s="307" t="s">
        <v>11</v>
      </c>
      <c r="H1409" s="307" t="s">
        <v>11</v>
      </c>
    </row>
    <row r="1410" spans="1:8" x14ac:dyDescent="0.2">
      <c r="A1410" t="s">
        <v>36</v>
      </c>
      <c r="B1410" t="s">
        <v>117</v>
      </c>
      <c r="C1410" t="s">
        <v>693</v>
      </c>
      <c r="D1410">
        <v>3</v>
      </c>
      <c r="E1410" s="307">
        <v>3</v>
      </c>
      <c r="F1410" s="307" t="s">
        <v>7</v>
      </c>
      <c r="G1410" s="307" t="s">
        <v>11</v>
      </c>
      <c r="H1410" s="307" t="s">
        <v>11</v>
      </c>
    </row>
    <row r="1411" spans="1:8" x14ac:dyDescent="0.2">
      <c r="A1411" t="s">
        <v>36</v>
      </c>
      <c r="B1411" t="s">
        <v>117</v>
      </c>
      <c r="C1411" t="s">
        <v>804</v>
      </c>
      <c r="D1411">
        <v>3</v>
      </c>
      <c r="E1411" s="307">
        <v>3</v>
      </c>
      <c r="F1411" s="307" t="s">
        <v>7</v>
      </c>
      <c r="G1411" s="307" t="s">
        <v>11</v>
      </c>
      <c r="H1411" s="307" t="s">
        <v>11</v>
      </c>
    </row>
    <row r="1412" spans="1:8" x14ac:dyDescent="0.2">
      <c r="A1412" t="s">
        <v>36</v>
      </c>
      <c r="B1412" t="s">
        <v>117</v>
      </c>
      <c r="C1412" t="s">
        <v>1279</v>
      </c>
      <c r="D1412">
        <v>2</v>
      </c>
      <c r="E1412" s="307">
        <v>3</v>
      </c>
      <c r="F1412" s="307" t="s">
        <v>7</v>
      </c>
      <c r="G1412" s="307" t="s">
        <v>11</v>
      </c>
      <c r="H1412" s="307" t="s">
        <v>11</v>
      </c>
    </row>
    <row r="1413" spans="1:8" x14ac:dyDescent="0.2">
      <c r="A1413" t="s">
        <v>36</v>
      </c>
      <c r="B1413" t="s">
        <v>117</v>
      </c>
      <c r="C1413" t="s">
        <v>697</v>
      </c>
      <c r="D1413">
        <v>3</v>
      </c>
      <c r="E1413" s="307">
        <v>3</v>
      </c>
      <c r="F1413" s="307" t="s">
        <v>7</v>
      </c>
      <c r="G1413" s="307" t="s">
        <v>11</v>
      </c>
      <c r="H1413" s="307" t="s">
        <v>11</v>
      </c>
    </row>
    <row r="1414" spans="1:8" x14ac:dyDescent="0.2">
      <c r="A1414" t="s">
        <v>36</v>
      </c>
      <c r="B1414" t="s">
        <v>117</v>
      </c>
      <c r="C1414" t="s">
        <v>1447</v>
      </c>
      <c r="D1414">
        <v>3</v>
      </c>
      <c r="E1414" s="307">
        <v>3</v>
      </c>
      <c r="F1414" s="307" t="s">
        <v>7</v>
      </c>
      <c r="G1414" s="307" t="s">
        <v>115</v>
      </c>
      <c r="H1414" s="307" t="s">
        <v>11</v>
      </c>
    </row>
    <row r="1415" spans="1:8" x14ac:dyDescent="0.2">
      <c r="A1415" t="s">
        <v>36</v>
      </c>
      <c r="B1415" t="s">
        <v>117</v>
      </c>
      <c r="C1415" t="s">
        <v>698</v>
      </c>
      <c r="D1415">
        <v>3</v>
      </c>
      <c r="E1415" s="307">
        <v>3</v>
      </c>
      <c r="F1415" s="307" t="s">
        <v>7</v>
      </c>
      <c r="G1415" s="307" t="s">
        <v>11</v>
      </c>
      <c r="H1415" s="307" t="s">
        <v>11</v>
      </c>
    </row>
    <row r="1416" spans="1:8" x14ac:dyDescent="0.2">
      <c r="A1416" t="s">
        <v>36</v>
      </c>
      <c r="B1416" t="s">
        <v>117</v>
      </c>
      <c r="C1416" t="s">
        <v>699</v>
      </c>
      <c r="D1416">
        <v>2</v>
      </c>
      <c r="E1416" s="307">
        <v>3</v>
      </c>
      <c r="F1416" s="307" t="s">
        <v>7</v>
      </c>
      <c r="G1416" s="307" t="s">
        <v>11</v>
      </c>
      <c r="H1416" s="307" t="s">
        <v>11</v>
      </c>
    </row>
    <row r="1417" spans="1:8" x14ac:dyDescent="0.2">
      <c r="A1417" t="s">
        <v>36</v>
      </c>
      <c r="B1417" t="s">
        <v>117</v>
      </c>
      <c r="C1417" t="s">
        <v>1647</v>
      </c>
      <c r="D1417">
        <v>3</v>
      </c>
      <c r="E1417" s="307">
        <v>3</v>
      </c>
      <c r="F1417" s="307" t="s">
        <v>7</v>
      </c>
      <c r="G1417" s="307" t="s">
        <v>11</v>
      </c>
      <c r="H1417" s="307" t="s">
        <v>11</v>
      </c>
    </row>
    <row r="1418" spans="1:8" x14ac:dyDescent="0.2">
      <c r="A1418" t="s">
        <v>36</v>
      </c>
      <c r="B1418" t="s">
        <v>117</v>
      </c>
      <c r="C1418" t="s">
        <v>1648</v>
      </c>
      <c r="D1418">
        <v>3</v>
      </c>
      <c r="E1418" s="307">
        <v>3</v>
      </c>
      <c r="F1418" s="307" t="s">
        <v>7</v>
      </c>
      <c r="G1418" s="307" t="s">
        <v>115</v>
      </c>
      <c r="H1418" s="307" t="s">
        <v>11</v>
      </c>
    </row>
    <row r="1419" spans="1:8" x14ac:dyDescent="0.2">
      <c r="A1419" t="s">
        <v>36</v>
      </c>
      <c r="B1419" t="s">
        <v>117</v>
      </c>
      <c r="C1419" t="s">
        <v>705</v>
      </c>
      <c r="D1419">
        <v>3</v>
      </c>
      <c r="E1419" s="307">
        <v>3</v>
      </c>
      <c r="F1419" s="307" t="s">
        <v>7</v>
      </c>
      <c r="G1419" s="307" t="s">
        <v>115</v>
      </c>
      <c r="H1419" s="307" t="s">
        <v>11</v>
      </c>
    </row>
    <row r="1420" spans="1:8" x14ac:dyDescent="0.2">
      <c r="A1420" t="s">
        <v>36</v>
      </c>
      <c r="B1420" t="s">
        <v>117</v>
      </c>
      <c r="C1420" t="s">
        <v>1649</v>
      </c>
      <c r="D1420">
        <v>3</v>
      </c>
      <c r="E1420" s="307">
        <v>3</v>
      </c>
      <c r="F1420" s="307" t="s">
        <v>7</v>
      </c>
      <c r="G1420" s="307" t="s">
        <v>11</v>
      </c>
      <c r="H1420" s="307" t="s">
        <v>11</v>
      </c>
    </row>
    <row r="1421" spans="1:8" x14ac:dyDescent="0.2">
      <c r="A1421" t="s">
        <v>36</v>
      </c>
      <c r="B1421" t="s">
        <v>117</v>
      </c>
      <c r="C1421" t="s">
        <v>1650</v>
      </c>
      <c r="D1421">
        <v>3</v>
      </c>
      <c r="E1421" s="307">
        <v>3</v>
      </c>
      <c r="F1421" s="307" t="s">
        <v>7</v>
      </c>
      <c r="G1421" s="307" t="s">
        <v>115</v>
      </c>
      <c r="H1421" s="307" t="s">
        <v>11</v>
      </c>
    </row>
    <row r="1422" spans="1:8" x14ac:dyDescent="0.2">
      <c r="A1422" t="s">
        <v>36</v>
      </c>
      <c r="B1422" t="s">
        <v>117</v>
      </c>
      <c r="C1422" t="s">
        <v>715</v>
      </c>
      <c r="D1422">
        <v>3</v>
      </c>
      <c r="E1422" s="307">
        <v>3</v>
      </c>
      <c r="F1422" s="307" t="s">
        <v>7</v>
      </c>
      <c r="G1422" s="307" t="s">
        <v>115</v>
      </c>
      <c r="H1422" s="307" t="s">
        <v>11</v>
      </c>
    </row>
    <row r="1423" spans="1:8" x14ac:dyDescent="0.2">
      <c r="A1423" t="s">
        <v>36</v>
      </c>
      <c r="B1423" t="s">
        <v>117</v>
      </c>
      <c r="C1423" t="s">
        <v>1651</v>
      </c>
      <c r="D1423">
        <v>3</v>
      </c>
      <c r="E1423" s="307">
        <v>3</v>
      </c>
      <c r="F1423" s="307" t="s">
        <v>7</v>
      </c>
      <c r="G1423" s="307" t="s">
        <v>115</v>
      </c>
      <c r="H1423" s="307" t="s">
        <v>11</v>
      </c>
    </row>
    <row r="1424" spans="1:8" x14ac:dyDescent="0.2">
      <c r="A1424" t="s">
        <v>36</v>
      </c>
      <c r="B1424" t="s">
        <v>117</v>
      </c>
      <c r="C1424" t="s">
        <v>717</v>
      </c>
      <c r="D1424">
        <v>3</v>
      </c>
      <c r="E1424" s="307">
        <v>3</v>
      </c>
      <c r="F1424" s="307" t="s">
        <v>7</v>
      </c>
      <c r="G1424" s="307" t="s">
        <v>115</v>
      </c>
      <c r="H1424" s="307" t="s">
        <v>11</v>
      </c>
    </row>
    <row r="1425" spans="1:8" x14ac:dyDescent="0.2">
      <c r="A1425" t="s">
        <v>36</v>
      </c>
      <c r="B1425" t="s">
        <v>117</v>
      </c>
      <c r="C1425" t="s">
        <v>1652</v>
      </c>
      <c r="D1425">
        <v>3</v>
      </c>
      <c r="E1425" s="307">
        <v>3</v>
      </c>
      <c r="F1425" s="307" t="s">
        <v>7</v>
      </c>
      <c r="G1425" s="307" t="s">
        <v>11</v>
      </c>
      <c r="H1425" s="307" t="s">
        <v>11</v>
      </c>
    </row>
    <row r="1426" spans="1:8" x14ac:dyDescent="0.2">
      <c r="A1426" t="s">
        <v>36</v>
      </c>
      <c r="B1426" t="s">
        <v>117</v>
      </c>
      <c r="C1426" t="s">
        <v>1079</v>
      </c>
      <c r="D1426">
        <v>3</v>
      </c>
      <c r="E1426" s="307">
        <v>2</v>
      </c>
      <c r="F1426" s="307" t="s">
        <v>7</v>
      </c>
      <c r="G1426" s="307" t="s">
        <v>115</v>
      </c>
      <c r="H1426" s="307" t="s">
        <v>11</v>
      </c>
    </row>
    <row r="1427" spans="1:8" x14ac:dyDescent="0.2">
      <c r="A1427" t="s">
        <v>36</v>
      </c>
      <c r="B1427" t="s">
        <v>117</v>
      </c>
      <c r="C1427" t="s">
        <v>1238</v>
      </c>
      <c r="D1427">
        <v>3</v>
      </c>
      <c r="E1427" s="307">
        <v>2</v>
      </c>
      <c r="F1427" s="307" t="s">
        <v>7</v>
      </c>
      <c r="G1427" s="307" t="s">
        <v>115</v>
      </c>
      <c r="H1427" s="307" t="s">
        <v>11</v>
      </c>
    </row>
    <row r="1428" spans="1:8" x14ac:dyDescent="0.2">
      <c r="A1428" t="s">
        <v>36</v>
      </c>
      <c r="B1428" t="s">
        <v>117</v>
      </c>
      <c r="C1428" t="s">
        <v>1653</v>
      </c>
      <c r="D1428">
        <v>3</v>
      </c>
      <c r="E1428" s="307">
        <v>3</v>
      </c>
      <c r="F1428" s="307" t="s">
        <v>7</v>
      </c>
      <c r="G1428" s="307" t="s">
        <v>115</v>
      </c>
      <c r="H1428" s="307" t="s">
        <v>11</v>
      </c>
    </row>
    <row r="1429" spans="1:8" x14ac:dyDescent="0.2">
      <c r="A1429" t="s">
        <v>36</v>
      </c>
      <c r="B1429" t="s">
        <v>117</v>
      </c>
      <c r="C1429" t="s">
        <v>1001</v>
      </c>
      <c r="D1429">
        <v>3</v>
      </c>
      <c r="E1429" s="307">
        <v>3</v>
      </c>
      <c r="F1429" s="307" t="s">
        <v>7</v>
      </c>
      <c r="G1429" s="307" t="s">
        <v>11</v>
      </c>
      <c r="H1429" s="307" t="s">
        <v>11</v>
      </c>
    </row>
    <row r="1430" spans="1:8" x14ac:dyDescent="0.2">
      <c r="A1430" t="s">
        <v>36</v>
      </c>
      <c r="B1430" t="s">
        <v>117</v>
      </c>
      <c r="C1430" t="s">
        <v>1654</v>
      </c>
      <c r="D1430">
        <v>3</v>
      </c>
      <c r="E1430" s="307">
        <v>3</v>
      </c>
      <c r="F1430" s="307" t="s">
        <v>7</v>
      </c>
      <c r="G1430" s="307" t="s">
        <v>11</v>
      </c>
      <c r="H1430" s="307" t="s">
        <v>11</v>
      </c>
    </row>
    <row r="1431" spans="1:8" x14ac:dyDescent="0.2">
      <c r="A1431" t="s">
        <v>36</v>
      </c>
      <c r="B1431" t="s">
        <v>117</v>
      </c>
      <c r="C1431" t="s">
        <v>1655</v>
      </c>
      <c r="D1431">
        <v>3</v>
      </c>
      <c r="E1431" s="307">
        <v>3</v>
      </c>
      <c r="F1431" s="307" t="s">
        <v>7</v>
      </c>
      <c r="G1431" s="307" t="s">
        <v>11</v>
      </c>
      <c r="H1431" s="307" t="s">
        <v>11</v>
      </c>
    </row>
    <row r="1432" spans="1:8" x14ac:dyDescent="0.2">
      <c r="A1432" t="s">
        <v>36</v>
      </c>
      <c r="B1432" t="s">
        <v>117</v>
      </c>
      <c r="C1432" t="s">
        <v>1656</v>
      </c>
      <c r="D1432">
        <v>3</v>
      </c>
      <c r="E1432" s="307">
        <v>3</v>
      </c>
      <c r="F1432" s="307" t="s">
        <v>7</v>
      </c>
      <c r="G1432" s="307" t="s">
        <v>11</v>
      </c>
      <c r="H1432" s="307" t="s">
        <v>11</v>
      </c>
    </row>
    <row r="1433" spans="1:8" x14ac:dyDescent="0.2">
      <c r="A1433" t="s">
        <v>36</v>
      </c>
      <c r="B1433" t="s">
        <v>117</v>
      </c>
      <c r="C1433" t="s">
        <v>721</v>
      </c>
      <c r="D1433">
        <v>3</v>
      </c>
      <c r="E1433" s="307">
        <v>2</v>
      </c>
      <c r="F1433" s="307" t="s">
        <v>7</v>
      </c>
      <c r="G1433" s="307" t="s">
        <v>115</v>
      </c>
      <c r="H1433" s="307" t="s">
        <v>11</v>
      </c>
    </row>
    <row r="1434" spans="1:8" x14ac:dyDescent="0.2">
      <c r="A1434" t="s">
        <v>36</v>
      </c>
      <c r="B1434" t="s">
        <v>117</v>
      </c>
      <c r="C1434" t="s">
        <v>1085</v>
      </c>
      <c r="D1434">
        <v>3</v>
      </c>
      <c r="E1434" s="307">
        <v>3</v>
      </c>
      <c r="F1434" s="307" t="s">
        <v>7</v>
      </c>
      <c r="G1434" s="307" t="s">
        <v>11</v>
      </c>
      <c r="H1434" s="307" t="s">
        <v>11</v>
      </c>
    </row>
    <row r="1435" spans="1:8" x14ac:dyDescent="0.2">
      <c r="A1435" t="s">
        <v>36</v>
      </c>
      <c r="B1435" t="s">
        <v>117</v>
      </c>
      <c r="C1435" t="s">
        <v>722</v>
      </c>
      <c r="D1435">
        <v>3</v>
      </c>
      <c r="E1435" s="307">
        <v>3</v>
      </c>
      <c r="F1435" s="307" t="s">
        <v>7</v>
      </c>
      <c r="G1435" s="307" t="s">
        <v>115</v>
      </c>
      <c r="H1435" s="307" t="s">
        <v>11</v>
      </c>
    </row>
    <row r="1436" spans="1:8" x14ac:dyDescent="0.2">
      <c r="A1436" t="s">
        <v>36</v>
      </c>
      <c r="B1436" t="s">
        <v>117</v>
      </c>
      <c r="C1436" t="s">
        <v>1455</v>
      </c>
      <c r="D1436">
        <v>3</v>
      </c>
      <c r="E1436" s="307">
        <v>3</v>
      </c>
      <c r="F1436" s="307" t="s">
        <v>7</v>
      </c>
      <c r="G1436" s="307" t="s">
        <v>115</v>
      </c>
      <c r="H1436" s="307" t="s">
        <v>11</v>
      </c>
    </row>
    <row r="1437" spans="1:8" x14ac:dyDescent="0.2">
      <c r="A1437" t="s">
        <v>36</v>
      </c>
      <c r="B1437" t="s">
        <v>117</v>
      </c>
      <c r="C1437" t="s">
        <v>1088</v>
      </c>
      <c r="D1437">
        <v>3</v>
      </c>
      <c r="E1437" s="307">
        <v>3</v>
      </c>
      <c r="F1437" s="307" t="s">
        <v>7</v>
      </c>
      <c r="G1437" s="307" t="s">
        <v>115</v>
      </c>
      <c r="H1437" s="307" t="s">
        <v>11</v>
      </c>
    </row>
    <row r="1438" spans="1:8" x14ac:dyDescent="0.2">
      <c r="A1438" t="s">
        <v>36</v>
      </c>
      <c r="B1438" t="s">
        <v>117</v>
      </c>
      <c r="C1438" t="s">
        <v>1657</v>
      </c>
      <c r="D1438">
        <v>3</v>
      </c>
      <c r="E1438" s="307">
        <v>3</v>
      </c>
      <c r="F1438" s="307" t="s">
        <v>7</v>
      </c>
      <c r="G1438" s="307" t="s">
        <v>11</v>
      </c>
      <c r="H1438" s="307" t="s">
        <v>11</v>
      </c>
    </row>
    <row r="1439" spans="1:8" x14ac:dyDescent="0.2">
      <c r="A1439" t="s">
        <v>36</v>
      </c>
      <c r="B1439" t="s">
        <v>117</v>
      </c>
      <c r="C1439" t="s">
        <v>826</v>
      </c>
      <c r="D1439">
        <v>3</v>
      </c>
      <c r="E1439" s="307">
        <v>3</v>
      </c>
      <c r="F1439" s="307" t="s">
        <v>7</v>
      </c>
      <c r="G1439" s="307" t="s">
        <v>11</v>
      </c>
      <c r="H1439" s="307" t="s">
        <v>11</v>
      </c>
    </row>
    <row r="1440" spans="1:8" x14ac:dyDescent="0.2">
      <c r="A1440" t="s">
        <v>36</v>
      </c>
      <c r="B1440" t="s">
        <v>117</v>
      </c>
      <c r="C1440" t="s">
        <v>723</v>
      </c>
      <c r="D1440">
        <v>3</v>
      </c>
      <c r="E1440" s="307">
        <v>3</v>
      </c>
      <c r="F1440" s="307" t="s">
        <v>7</v>
      </c>
      <c r="G1440" s="307" t="s">
        <v>115</v>
      </c>
      <c r="H1440" s="307" t="s">
        <v>11</v>
      </c>
    </row>
    <row r="1441" spans="1:8" x14ac:dyDescent="0.2">
      <c r="A1441" t="s">
        <v>36</v>
      </c>
      <c r="B1441" t="s">
        <v>117</v>
      </c>
      <c r="C1441" t="s">
        <v>724</v>
      </c>
      <c r="D1441">
        <v>3</v>
      </c>
      <c r="E1441" s="307">
        <v>3</v>
      </c>
      <c r="F1441" s="307" t="s">
        <v>7</v>
      </c>
      <c r="G1441" s="307" t="s">
        <v>11</v>
      </c>
      <c r="H1441" s="307" t="s">
        <v>11</v>
      </c>
    </row>
    <row r="1442" spans="1:8" x14ac:dyDescent="0.2">
      <c r="A1442" t="s">
        <v>36</v>
      </c>
      <c r="B1442" t="s">
        <v>117</v>
      </c>
      <c r="C1442" t="s">
        <v>725</v>
      </c>
      <c r="D1442">
        <v>3</v>
      </c>
      <c r="E1442" s="307">
        <v>3</v>
      </c>
      <c r="F1442" s="307" t="s">
        <v>7</v>
      </c>
      <c r="G1442" s="307" t="s">
        <v>115</v>
      </c>
      <c r="H1442" s="307" t="s">
        <v>11</v>
      </c>
    </row>
    <row r="1443" spans="1:8" x14ac:dyDescent="0.2">
      <c r="A1443" t="s">
        <v>36</v>
      </c>
      <c r="B1443" t="s">
        <v>117</v>
      </c>
      <c r="C1443" t="s">
        <v>1658</v>
      </c>
      <c r="D1443">
        <v>3</v>
      </c>
      <c r="E1443" s="307">
        <v>3</v>
      </c>
      <c r="F1443" s="307" t="s">
        <v>7</v>
      </c>
      <c r="G1443" s="307" t="s">
        <v>11</v>
      </c>
      <c r="H1443" s="307" t="s">
        <v>11</v>
      </c>
    </row>
    <row r="1444" spans="1:8" x14ac:dyDescent="0.2">
      <c r="A1444" t="s">
        <v>36</v>
      </c>
      <c r="B1444" t="s">
        <v>117</v>
      </c>
      <c r="C1444" t="s">
        <v>726</v>
      </c>
      <c r="D1444">
        <v>2</v>
      </c>
      <c r="E1444" s="307">
        <v>3</v>
      </c>
      <c r="F1444" s="307" t="s">
        <v>7</v>
      </c>
      <c r="G1444" s="307" t="s">
        <v>11</v>
      </c>
      <c r="H1444" s="307" t="s">
        <v>11</v>
      </c>
    </row>
    <row r="1445" spans="1:8" x14ac:dyDescent="0.2">
      <c r="A1445" t="s">
        <v>36</v>
      </c>
      <c r="B1445" t="s">
        <v>117</v>
      </c>
      <c r="C1445" t="s">
        <v>1659</v>
      </c>
      <c r="D1445">
        <v>3</v>
      </c>
      <c r="E1445" s="307">
        <v>3</v>
      </c>
      <c r="F1445" s="307" t="s">
        <v>7</v>
      </c>
      <c r="G1445" s="307" t="s">
        <v>11</v>
      </c>
      <c r="H1445" s="307" t="s">
        <v>11</v>
      </c>
    </row>
    <row r="1446" spans="1:8" x14ac:dyDescent="0.2">
      <c r="A1446" t="s">
        <v>36</v>
      </c>
      <c r="B1446" t="s">
        <v>117</v>
      </c>
      <c r="C1446" t="s">
        <v>827</v>
      </c>
      <c r="D1446">
        <v>3</v>
      </c>
      <c r="E1446" s="307">
        <v>3</v>
      </c>
      <c r="F1446" s="307" t="s">
        <v>7</v>
      </c>
      <c r="G1446" s="307" t="s">
        <v>115</v>
      </c>
      <c r="H1446" s="307" t="s">
        <v>11</v>
      </c>
    </row>
    <row r="1447" spans="1:8" x14ac:dyDescent="0.2">
      <c r="A1447" t="s">
        <v>36</v>
      </c>
      <c r="B1447" t="s">
        <v>117</v>
      </c>
      <c r="C1447" t="s">
        <v>728</v>
      </c>
      <c r="D1447">
        <v>2</v>
      </c>
      <c r="E1447" s="307">
        <v>3</v>
      </c>
      <c r="F1447" s="307" t="s">
        <v>7</v>
      </c>
      <c r="G1447" s="307" t="s">
        <v>11</v>
      </c>
      <c r="H1447" s="307" t="s">
        <v>11</v>
      </c>
    </row>
    <row r="1448" spans="1:8" x14ac:dyDescent="0.2">
      <c r="A1448" t="s">
        <v>36</v>
      </c>
      <c r="B1448" t="s">
        <v>117</v>
      </c>
      <c r="C1448" t="s">
        <v>730</v>
      </c>
      <c r="D1448">
        <v>3</v>
      </c>
      <c r="E1448" s="307">
        <v>3</v>
      </c>
      <c r="F1448" s="307" t="s">
        <v>7</v>
      </c>
      <c r="G1448" s="307" t="s">
        <v>11</v>
      </c>
      <c r="H1448" s="307" t="s">
        <v>11</v>
      </c>
    </row>
    <row r="1449" spans="1:8" x14ac:dyDescent="0.2">
      <c r="A1449" t="s">
        <v>36</v>
      </c>
      <c r="B1449" t="s">
        <v>117</v>
      </c>
      <c r="C1449" t="s">
        <v>732</v>
      </c>
      <c r="D1449">
        <v>3</v>
      </c>
      <c r="E1449" s="307">
        <v>3</v>
      </c>
      <c r="F1449" s="307" t="s">
        <v>7</v>
      </c>
      <c r="G1449" s="307" t="s">
        <v>115</v>
      </c>
      <c r="H1449" s="307" t="s">
        <v>11</v>
      </c>
    </row>
    <row r="1450" spans="1:8" x14ac:dyDescent="0.2">
      <c r="A1450" t="s">
        <v>36</v>
      </c>
      <c r="B1450" t="s">
        <v>117</v>
      </c>
      <c r="C1450" t="s">
        <v>733</v>
      </c>
      <c r="D1450">
        <v>3</v>
      </c>
      <c r="E1450" s="307">
        <v>3</v>
      </c>
      <c r="F1450" s="307" t="s">
        <v>7</v>
      </c>
      <c r="G1450" s="307" t="s">
        <v>11</v>
      </c>
      <c r="H1450" s="307" t="s">
        <v>11</v>
      </c>
    </row>
    <row r="1451" spans="1:8" x14ac:dyDescent="0.2">
      <c r="A1451" t="s">
        <v>36</v>
      </c>
      <c r="B1451" t="s">
        <v>117</v>
      </c>
      <c r="C1451" t="s">
        <v>735</v>
      </c>
      <c r="D1451">
        <v>3</v>
      </c>
      <c r="E1451" s="307">
        <v>3</v>
      </c>
      <c r="F1451" s="307" t="s">
        <v>7</v>
      </c>
      <c r="G1451" s="307" t="s">
        <v>11</v>
      </c>
      <c r="H1451" s="307" t="s">
        <v>11</v>
      </c>
    </row>
    <row r="1452" spans="1:8" x14ac:dyDescent="0.2">
      <c r="A1452" t="s">
        <v>36</v>
      </c>
      <c r="B1452" t="s">
        <v>117</v>
      </c>
      <c r="C1452" t="s">
        <v>736</v>
      </c>
      <c r="D1452">
        <v>3</v>
      </c>
      <c r="E1452" s="307">
        <v>3</v>
      </c>
      <c r="F1452" s="307" t="s">
        <v>7</v>
      </c>
      <c r="G1452" s="307" t="s">
        <v>11</v>
      </c>
      <c r="H1452" s="307" t="s">
        <v>11</v>
      </c>
    </row>
    <row r="1453" spans="1:8" x14ac:dyDescent="0.2">
      <c r="A1453" t="s">
        <v>36</v>
      </c>
      <c r="B1453" t="s">
        <v>117</v>
      </c>
      <c r="C1453" t="s">
        <v>1660</v>
      </c>
      <c r="D1453">
        <v>3</v>
      </c>
      <c r="E1453" s="307">
        <v>3</v>
      </c>
      <c r="F1453" s="307" t="s">
        <v>7</v>
      </c>
      <c r="G1453" s="307" t="s">
        <v>11</v>
      </c>
      <c r="H1453" s="307" t="s">
        <v>11</v>
      </c>
    </row>
    <row r="1454" spans="1:8" x14ac:dyDescent="0.2">
      <c r="A1454" t="s">
        <v>36</v>
      </c>
      <c r="B1454" t="s">
        <v>117</v>
      </c>
      <c r="C1454" t="s">
        <v>834</v>
      </c>
      <c r="D1454">
        <v>3</v>
      </c>
      <c r="E1454" s="307">
        <v>3</v>
      </c>
      <c r="F1454" s="307" t="s">
        <v>7</v>
      </c>
      <c r="G1454" s="307" t="s">
        <v>11</v>
      </c>
      <c r="H1454" s="307" t="s">
        <v>11</v>
      </c>
    </row>
    <row r="1455" spans="1:8" x14ac:dyDescent="0.2">
      <c r="A1455" t="s">
        <v>36</v>
      </c>
      <c r="B1455" t="s">
        <v>117</v>
      </c>
      <c r="C1455" t="s">
        <v>1661</v>
      </c>
      <c r="D1455">
        <v>2</v>
      </c>
      <c r="E1455" s="307">
        <v>3</v>
      </c>
      <c r="F1455" s="307" t="s">
        <v>7</v>
      </c>
      <c r="G1455" s="307" t="s">
        <v>11</v>
      </c>
      <c r="H1455" s="307" t="s">
        <v>11</v>
      </c>
    </row>
    <row r="1456" spans="1:8" x14ac:dyDescent="0.2">
      <c r="A1456" t="s">
        <v>36</v>
      </c>
      <c r="B1456" t="s">
        <v>117</v>
      </c>
      <c r="C1456" t="s">
        <v>1662</v>
      </c>
      <c r="D1456">
        <v>3</v>
      </c>
      <c r="E1456" s="307">
        <v>3</v>
      </c>
      <c r="F1456" s="307" t="s">
        <v>7</v>
      </c>
      <c r="G1456" s="307" t="s">
        <v>11</v>
      </c>
      <c r="H1456" s="307" t="s">
        <v>11</v>
      </c>
    </row>
    <row r="1457" spans="1:8" x14ac:dyDescent="0.2">
      <c r="A1457" t="s">
        <v>36</v>
      </c>
      <c r="B1457" t="s">
        <v>117</v>
      </c>
      <c r="C1457" t="s">
        <v>1663</v>
      </c>
      <c r="D1457">
        <v>3</v>
      </c>
      <c r="E1457" s="307">
        <v>3</v>
      </c>
      <c r="F1457" s="307" t="s">
        <v>7</v>
      </c>
      <c r="G1457" s="307" t="s">
        <v>11</v>
      </c>
      <c r="H1457" s="307" t="s">
        <v>11</v>
      </c>
    </row>
    <row r="1458" spans="1:8" x14ac:dyDescent="0.2">
      <c r="A1458" t="s">
        <v>36</v>
      </c>
      <c r="B1458" t="s">
        <v>117</v>
      </c>
      <c r="C1458" t="s">
        <v>1664</v>
      </c>
      <c r="D1458">
        <v>3</v>
      </c>
      <c r="E1458" s="307">
        <v>2</v>
      </c>
      <c r="F1458" s="307" t="s">
        <v>7</v>
      </c>
      <c r="G1458" s="307" t="s">
        <v>115</v>
      </c>
      <c r="H1458" s="307" t="s">
        <v>11</v>
      </c>
    </row>
    <row r="1459" spans="1:8" x14ac:dyDescent="0.2">
      <c r="A1459" t="s">
        <v>36</v>
      </c>
      <c r="B1459" t="s">
        <v>117</v>
      </c>
      <c r="C1459" t="s">
        <v>738</v>
      </c>
      <c r="D1459">
        <v>3</v>
      </c>
      <c r="E1459" s="307">
        <v>3</v>
      </c>
      <c r="F1459" s="307" t="s">
        <v>7</v>
      </c>
      <c r="G1459" s="307" t="s">
        <v>115</v>
      </c>
      <c r="H1459" s="307" t="s">
        <v>11</v>
      </c>
    </row>
    <row r="1460" spans="1:8" x14ac:dyDescent="0.2">
      <c r="A1460" t="s">
        <v>36</v>
      </c>
      <c r="B1460" t="s">
        <v>117</v>
      </c>
      <c r="C1460" t="s">
        <v>740</v>
      </c>
      <c r="D1460">
        <v>3</v>
      </c>
      <c r="E1460" s="307">
        <v>3</v>
      </c>
      <c r="F1460" s="307" t="s">
        <v>7</v>
      </c>
      <c r="G1460" s="307" t="s">
        <v>115</v>
      </c>
      <c r="H1460" s="307" t="s">
        <v>11</v>
      </c>
    </row>
    <row r="1461" spans="1:8" x14ac:dyDescent="0.2">
      <c r="A1461" t="s">
        <v>36</v>
      </c>
      <c r="B1461" t="s">
        <v>117</v>
      </c>
      <c r="C1461" t="s">
        <v>1665</v>
      </c>
      <c r="D1461">
        <v>3</v>
      </c>
      <c r="E1461" s="307">
        <v>3</v>
      </c>
      <c r="F1461" s="307" t="s">
        <v>7</v>
      </c>
      <c r="G1461" s="307" t="s">
        <v>11</v>
      </c>
      <c r="H1461" s="307" t="s">
        <v>11</v>
      </c>
    </row>
    <row r="1462" spans="1:8" x14ac:dyDescent="0.2">
      <c r="A1462" t="s">
        <v>36</v>
      </c>
      <c r="B1462" t="s">
        <v>117</v>
      </c>
      <c r="C1462" t="s">
        <v>1666</v>
      </c>
      <c r="D1462">
        <v>3</v>
      </c>
      <c r="E1462" s="307">
        <v>3</v>
      </c>
      <c r="F1462" s="307" t="s">
        <v>7</v>
      </c>
      <c r="G1462" s="307" t="s">
        <v>11</v>
      </c>
      <c r="H1462" s="307" t="s">
        <v>11</v>
      </c>
    </row>
    <row r="1463" spans="1:8" x14ac:dyDescent="0.2">
      <c r="A1463" t="s">
        <v>36</v>
      </c>
      <c r="B1463" t="s">
        <v>117</v>
      </c>
      <c r="C1463" t="s">
        <v>1104</v>
      </c>
      <c r="D1463">
        <v>3</v>
      </c>
      <c r="E1463" s="307">
        <v>3</v>
      </c>
      <c r="F1463" s="307" t="s">
        <v>7</v>
      </c>
      <c r="G1463" s="307" t="s">
        <v>11</v>
      </c>
      <c r="H1463" s="307" t="s">
        <v>11</v>
      </c>
    </row>
    <row r="1464" spans="1:8" x14ac:dyDescent="0.2">
      <c r="A1464" t="s">
        <v>36</v>
      </c>
      <c r="B1464" t="s">
        <v>117</v>
      </c>
      <c r="C1464" t="s">
        <v>1667</v>
      </c>
      <c r="D1464">
        <v>3</v>
      </c>
      <c r="E1464" s="307">
        <v>3</v>
      </c>
      <c r="F1464" s="307" t="s">
        <v>7</v>
      </c>
      <c r="G1464" s="307" t="s">
        <v>115</v>
      </c>
      <c r="H1464" s="307" t="s">
        <v>11</v>
      </c>
    </row>
    <row r="1465" spans="1:8" x14ac:dyDescent="0.2">
      <c r="A1465" t="s">
        <v>36</v>
      </c>
      <c r="B1465" t="s">
        <v>117</v>
      </c>
      <c r="C1465" t="s">
        <v>844</v>
      </c>
      <c r="D1465">
        <v>3</v>
      </c>
      <c r="E1465" s="307">
        <v>3</v>
      </c>
      <c r="F1465" s="307" t="s">
        <v>7</v>
      </c>
      <c r="G1465" s="307" t="s">
        <v>11</v>
      </c>
      <c r="H1465" s="307" t="s">
        <v>11</v>
      </c>
    </row>
    <row r="1466" spans="1:8" x14ac:dyDescent="0.2">
      <c r="A1466" t="s">
        <v>36</v>
      </c>
      <c r="B1466" t="s">
        <v>117</v>
      </c>
      <c r="C1466" t="s">
        <v>1668</v>
      </c>
      <c r="D1466">
        <v>3</v>
      </c>
      <c r="E1466" s="307">
        <v>3</v>
      </c>
      <c r="F1466" s="307" t="s">
        <v>7</v>
      </c>
      <c r="G1466" s="307" t="s">
        <v>11</v>
      </c>
      <c r="H1466" s="307" t="s">
        <v>11</v>
      </c>
    </row>
    <row r="1467" spans="1:8" x14ac:dyDescent="0.2">
      <c r="A1467" t="s">
        <v>36</v>
      </c>
      <c r="B1467" t="s">
        <v>117</v>
      </c>
      <c r="C1467" t="s">
        <v>1431</v>
      </c>
      <c r="D1467">
        <v>3</v>
      </c>
      <c r="E1467" s="307">
        <v>3</v>
      </c>
      <c r="F1467" s="307" t="s">
        <v>7</v>
      </c>
      <c r="G1467" s="307" t="s">
        <v>115</v>
      </c>
      <c r="H1467" s="307" t="s">
        <v>11</v>
      </c>
    </row>
    <row r="1468" spans="1:8" x14ac:dyDescent="0.2">
      <c r="A1468" t="s">
        <v>36</v>
      </c>
      <c r="B1468" t="s">
        <v>117</v>
      </c>
      <c r="C1468" t="s">
        <v>1369</v>
      </c>
      <c r="D1468">
        <v>3</v>
      </c>
      <c r="E1468" s="307">
        <v>3</v>
      </c>
      <c r="F1468" s="307" t="s">
        <v>7</v>
      </c>
      <c r="G1468" s="307" t="s">
        <v>115</v>
      </c>
      <c r="H1468" s="307" t="s">
        <v>11</v>
      </c>
    </row>
    <row r="1469" spans="1:8" x14ac:dyDescent="0.2">
      <c r="A1469" t="s">
        <v>36</v>
      </c>
      <c r="B1469" t="s">
        <v>117</v>
      </c>
      <c r="C1469" t="s">
        <v>849</v>
      </c>
      <c r="D1469">
        <v>3</v>
      </c>
      <c r="E1469" s="307">
        <v>2</v>
      </c>
      <c r="F1469" s="307" t="s">
        <v>7</v>
      </c>
      <c r="G1469" s="307" t="s">
        <v>115</v>
      </c>
      <c r="H1469" s="307" t="s">
        <v>11</v>
      </c>
    </row>
    <row r="1470" spans="1:8" x14ac:dyDescent="0.2">
      <c r="A1470" t="s">
        <v>36</v>
      </c>
      <c r="B1470" t="s">
        <v>117</v>
      </c>
      <c r="C1470" t="s">
        <v>1669</v>
      </c>
      <c r="D1470">
        <v>3</v>
      </c>
      <c r="E1470" s="307">
        <v>3</v>
      </c>
      <c r="F1470" s="307" t="s">
        <v>7</v>
      </c>
      <c r="G1470" s="307" t="s">
        <v>11</v>
      </c>
      <c r="H1470" s="307" t="s">
        <v>11</v>
      </c>
    </row>
    <row r="1471" spans="1:8" x14ac:dyDescent="0.2">
      <c r="A1471" t="s">
        <v>36</v>
      </c>
      <c r="B1471" t="s">
        <v>117</v>
      </c>
      <c r="C1471" t="s">
        <v>1670</v>
      </c>
      <c r="D1471">
        <v>3</v>
      </c>
      <c r="E1471" s="307">
        <v>3</v>
      </c>
      <c r="F1471" s="307" t="s">
        <v>7</v>
      </c>
      <c r="G1471" s="307" t="s">
        <v>11</v>
      </c>
      <c r="H1471" s="307" t="s">
        <v>11</v>
      </c>
    </row>
    <row r="1472" spans="1:8" x14ac:dyDescent="0.2">
      <c r="A1472" t="s">
        <v>36</v>
      </c>
      <c r="B1472" t="s">
        <v>117</v>
      </c>
      <c r="C1472" t="s">
        <v>1671</v>
      </c>
      <c r="D1472">
        <v>3</v>
      </c>
      <c r="E1472" s="307">
        <v>3</v>
      </c>
      <c r="F1472" s="307" t="s">
        <v>7</v>
      </c>
      <c r="G1472" s="307" t="s">
        <v>11</v>
      </c>
      <c r="H1472" s="307" t="s">
        <v>11</v>
      </c>
    </row>
    <row r="1473" spans="1:8" x14ac:dyDescent="0.2">
      <c r="A1473" t="s">
        <v>36</v>
      </c>
      <c r="B1473" t="s">
        <v>117</v>
      </c>
      <c r="C1473" t="s">
        <v>1672</v>
      </c>
      <c r="D1473">
        <v>3</v>
      </c>
      <c r="E1473" s="307">
        <v>3</v>
      </c>
      <c r="F1473" s="307" t="s">
        <v>7</v>
      </c>
      <c r="G1473" s="307" t="s">
        <v>11</v>
      </c>
      <c r="H1473" s="307" t="s">
        <v>11</v>
      </c>
    </row>
    <row r="1474" spans="1:8" x14ac:dyDescent="0.2">
      <c r="A1474" t="s">
        <v>36</v>
      </c>
      <c r="B1474" t="s">
        <v>117</v>
      </c>
      <c r="C1474" t="s">
        <v>1673</v>
      </c>
      <c r="D1474">
        <v>3</v>
      </c>
      <c r="E1474" s="307">
        <v>3</v>
      </c>
      <c r="F1474" s="307" t="s">
        <v>7</v>
      </c>
      <c r="G1474" s="307" t="s">
        <v>11</v>
      </c>
      <c r="H1474" s="307" t="s">
        <v>11</v>
      </c>
    </row>
    <row r="1475" spans="1:8" x14ac:dyDescent="0.2">
      <c r="A1475" t="s">
        <v>36</v>
      </c>
      <c r="B1475" t="s">
        <v>117</v>
      </c>
      <c r="C1475" t="s">
        <v>1674</v>
      </c>
      <c r="D1475">
        <v>3</v>
      </c>
      <c r="E1475" s="307">
        <v>3</v>
      </c>
      <c r="F1475" s="307" t="s">
        <v>7</v>
      </c>
      <c r="G1475" s="307" t="s">
        <v>11</v>
      </c>
      <c r="H1475" s="307" t="s">
        <v>11</v>
      </c>
    </row>
    <row r="1476" spans="1:8" x14ac:dyDescent="0.2">
      <c r="A1476" t="s">
        <v>36</v>
      </c>
      <c r="B1476" t="s">
        <v>117</v>
      </c>
      <c r="C1476" t="s">
        <v>850</v>
      </c>
      <c r="D1476">
        <v>3</v>
      </c>
      <c r="E1476" s="307">
        <v>3</v>
      </c>
      <c r="F1476" s="307" t="s">
        <v>7</v>
      </c>
      <c r="G1476" s="307" t="s">
        <v>11</v>
      </c>
      <c r="H1476" s="307" t="s">
        <v>11</v>
      </c>
    </row>
    <row r="1477" spans="1:8" x14ac:dyDescent="0.2">
      <c r="A1477" t="s">
        <v>36</v>
      </c>
      <c r="B1477" t="s">
        <v>117</v>
      </c>
      <c r="C1477" t="s">
        <v>1675</v>
      </c>
      <c r="D1477">
        <v>3</v>
      </c>
      <c r="E1477" s="307">
        <v>3</v>
      </c>
      <c r="F1477" s="307" t="s">
        <v>7</v>
      </c>
      <c r="G1477" s="307" t="s">
        <v>115</v>
      </c>
      <c r="H1477" s="307" t="s">
        <v>11</v>
      </c>
    </row>
    <row r="1478" spans="1:8" x14ac:dyDescent="0.2">
      <c r="A1478" t="s">
        <v>36</v>
      </c>
      <c r="B1478" t="s">
        <v>117</v>
      </c>
      <c r="C1478" t="s">
        <v>1128</v>
      </c>
      <c r="D1478">
        <v>3</v>
      </c>
      <c r="E1478" s="307">
        <v>3</v>
      </c>
      <c r="F1478" s="307" t="s">
        <v>7</v>
      </c>
      <c r="G1478" s="307" t="s">
        <v>115</v>
      </c>
      <c r="H1478" s="307" t="s">
        <v>11</v>
      </c>
    </row>
    <row r="1479" spans="1:8" x14ac:dyDescent="0.2">
      <c r="A1479" t="s">
        <v>36</v>
      </c>
      <c r="B1479" t="s">
        <v>117</v>
      </c>
      <c r="C1479" t="s">
        <v>750</v>
      </c>
      <c r="D1479">
        <v>3</v>
      </c>
      <c r="E1479" s="307">
        <v>3</v>
      </c>
      <c r="F1479" s="307" t="s">
        <v>7</v>
      </c>
      <c r="G1479" s="307" t="s">
        <v>11</v>
      </c>
      <c r="H1479" s="307" t="s">
        <v>11</v>
      </c>
    </row>
    <row r="1480" spans="1:8" x14ac:dyDescent="0.2">
      <c r="A1480" t="s">
        <v>36</v>
      </c>
      <c r="B1480" t="s">
        <v>117</v>
      </c>
      <c r="C1480" t="s">
        <v>1129</v>
      </c>
      <c r="D1480">
        <v>3</v>
      </c>
      <c r="E1480" s="307">
        <v>3</v>
      </c>
      <c r="F1480" s="307" t="s">
        <v>7</v>
      </c>
      <c r="G1480" s="307" t="s">
        <v>115</v>
      </c>
      <c r="H1480" s="307" t="s">
        <v>11</v>
      </c>
    </row>
    <row r="1481" spans="1:8" x14ac:dyDescent="0.2">
      <c r="A1481" t="s">
        <v>36</v>
      </c>
      <c r="B1481" t="s">
        <v>117</v>
      </c>
      <c r="C1481" t="s">
        <v>1130</v>
      </c>
      <c r="D1481">
        <v>3</v>
      </c>
      <c r="E1481" s="307">
        <v>3</v>
      </c>
      <c r="F1481" s="307" t="s">
        <v>7</v>
      </c>
      <c r="G1481" s="307" t="s">
        <v>11</v>
      </c>
      <c r="H1481" s="307" t="s">
        <v>11</v>
      </c>
    </row>
    <row r="1482" spans="1:8" x14ac:dyDescent="0.2">
      <c r="A1482" t="s">
        <v>36</v>
      </c>
      <c r="B1482" t="s">
        <v>117</v>
      </c>
      <c r="C1482" t="s">
        <v>1134</v>
      </c>
      <c r="D1482">
        <v>3</v>
      </c>
      <c r="E1482" s="307">
        <v>3</v>
      </c>
      <c r="F1482" s="307" t="s">
        <v>7</v>
      </c>
      <c r="G1482" s="307" t="s">
        <v>115</v>
      </c>
      <c r="H1482" s="307" t="s">
        <v>11</v>
      </c>
    </row>
    <row r="1483" spans="1:8" x14ac:dyDescent="0.2">
      <c r="A1483" t="s">
        <v>36</v>
      </c>
      <c r="B1483" t="s">
        <v>117</v>
      </c>
      <c r="C1483" t="s">
        <v>752</v>
      </c>
      <c r="D1483">
        <v>3</v>
      </c>
      <c r="E1483" s="307">
        <v>3</v>
      </c>
      <c r="F1483" s="307" t="s">
        <v>7</v>
      </c>
      <c r="G1483" s="307" t="s">
        <v>11</v>
      </c>
      <c r="H1483" s="307" t="s">
        <v>11</v>
      </c>
    </row>
    <row r="1484" spans="1:8" x14ac:dyDescent="0.2">
      <c r="A1484" t="s">
        <v>36</v>
      </c>
      <c r="B1484" t="s">
        <v>117</v>
      </c>
      <c r="C1484" t="s">
        <v>1676</v>
      </c>
      <c r="D1484">
        <v>3</v>
      </c>
      <c r="E1484" s="307">
        <v>3</v>
      </c>
      <c r="F1484" s="307" t="s">
        <v>7</v>
      </c>
      <c r="G1484" s="307" t="s">
        <v>11</v>
      </c>
      <c r="H1484" s="307" t="s">
        <v>11</v>
      </c>
    </row>
    <row r="1485" spans="1:8" x14ac:dyDescent="0.2">
      <c r="A1485" t="s">
        <v>36</v>
      </c>
      <c r="B1485" t="s">
        <v>117</v>
      </c>
      <c r="C1485" t="s">
        <v>1677</v>
      </c>
      <c r="D1485">
        <v>3</v>
      </c>
      <c r="E1485" s="307">
        <v>3</v>
      </c>
      <c r="F1485" s="307" t="s">
        <v>7</v>
      </c>
      <c r="G1485" s="307" t="s">
        <v>11</v>
      </c>
      <c r="H1485" s="307" t="s">
        <v>11</v>
      </c>
    </row>
    <row r="1486" spans="1:8" x14ac:dyDescent="0.2">
      <c r="A1486" t="s">
        <v>35</v>
      </c>
      <c r="B1486" t="s">
        <v>94</v>
      </c>
      <c r="C1486" t="s">
        <v>1269</v>
      </c>
      <c r="D1486">
        <v>2</v>
      </c>
      <c r="E1486" s="307">
        <v>5</v>
      </c>
      <c r="F1486" s="307" t="s">
        <v>7</v>
      </c>
      <c r="G1486" s="307" t="s">
        <v>11</v>
      </c>
      <c r="H1486" s="307" t="s">
        <v>11</v>
      </c>
    </row>
    <row r="1487" spans="1:8" x14ac:dyDescent="0.2">
      <c r="A1487" t="s">
        <v>35</v>
      </c>
      <c r="B1487" t="s">
        <v>94</v>
      </c>
      <c r="C1487" t="s">
        <v>1678</v>
      </c>
      <c r="D1487">
        <v>1</v>
      </c>
      <c r="E1487" s="307">
        <v>5</v>
      </c>
      <c r="F1487" s="307" t="s">
        <v>7</v>
      </c>
      <c r="G1487" s="307" t="s">
        <v>11</v>
      </c>
      <c r="H1487" s="307" t="s">
        <v>11</v>
      </c>
    </row>
    <row r="1488" spans="1:8" x14ac:dyDescent="0.2">
      <c r="A1488" t="s">
        <v>35</v>
      </c>
      <c r="B1488" t="s">
        <v>94</v>
      </c>
      <c r="C1488" t="s">
        <v>1315</v>
      </c>
      <c r="D1488">
        <v>1</v>
      </c>
      <c r="E1488" s="307">
        <v>5</v>
      </c>
      <c r="F1488" s="307" t="s">
        <v>7</v>
      </c>
      <c r="G1488" s="307" t="s">
        <v>11</v>
      </c>
      <c r="H1488" s="307" t="s">
        <v>11</v>
      </c>
    </row>
    <row r="1489" spans="1:8" x14ac:dyDescent="0.2">
      <c r="A1489" t="s">
        <v>35</v>
      </c>
      <c r="B1489" t="s">
        <v>94</v>
      </c>
      <c r="C1489" t="s">
        <v>1679</v>
      </c>
      <c r="D1489">
        <v>2</v>
      </c>
      <c r="E1489" s="307">
        <v>4</v>
      </c>
      <c r="F1489" s="307" t="s">
        <v>7</v>
      </c>
      <c r="G1489" s="307" t="s">
        <v>11</v>
      </c>
      <c r="H1489" s="307" t="s">
        <v>11</v>
      </c>
    </row>
    <row r="1490" spans="1:8" x14ac:dyDescent="0.2">
      <c r="A1490" t="s">
        <v>35</v>
      </c>
      <c r="B1490" t="s">
        <v>94</v>
      </c>
      <c r="C1490" t="s">
        <v>1526</v>
      </c>
      <c r="D1490">
        <v>2</v>
      </c>
      <c r="E1490" s="307">
        <v>4</v>
      </c>
      <c r="F1490" s="307" t="s">
        <v>7</v>
      </c>
      <c r="G1490" s="307" t="s">
        <v>11</v>
      </c>
      <c r="H1490" s="307" t="s">
        <v>11</v>
      </c>
    </row>
    <row r="1491" spans="1:8" x14ac:dyDescent="0.2">
      <c r="A1491" t="s">
        <v>35</v>
      </c>
      <c r="B1491" t="s">
        <v>94</v>
      </c>
      <c r="C1491" t="s">
        <v>1317</v>
      </c>
      <c r="D1491">
        <v>2</v>
      </c>
      <c r="E1491" s="307">
        <v>4</v>
      </c>
      <c r="F1491" s="307" t="s">
        <v>7</v>
      </c>
      <c r="G1491" s="307" t="s">
        <v>11</v>
      </c>
      <c r="H1491" s="307" t="s">
        <v>11</v>
      </c>
    </row>
    <row r="1492" spans="1:8" x14ac:dyDescent="0.2">
      <c r="A1492" t="s">
        <v>35</v>
      </c>
      <c r="B1492" t="s">
        <v>94</v>
      </c>
      <c r="C1492" t="s">
        <v>1680</v>
      </c>
      <c r="D1492">
        <v>2</v>
      </c>
      <c r="E1492" s="307">
        <v>4</v>
      </c>
      <c r="F1492" s="307" t="s">
        <v>7</v>
      </c>
      <c r="G1492" s="307" t="s">
        <v>11</v>
      </c>
      <c r="H1492" s="307" t="s">
        <v>11</v>
      </c>
    </row>
    <row r="1493" spans="1:8" x14ac:dyDescent="0.2">
      <c r="A1493" t="s">
        <v>35</v>
      </c>
      <c r="B1493" t="s">
        <v>94</v>
      </c>
      <c r="C1493" t="s">
        <v>801</v>
      </c>
      <c r="D1493">
        <v>2</v>
      </c>
      <c r="E1493" s="307">
        <v>4</v>
      </c>
      <c r="F1493" s="307" t="s">
        <v>7</v>
      </c>
      <c r="G1493" s="307" t="s">
        <v>11</v>
      </c>
      <c r="H1493" s="307" t="s">
        <v>11</v>
      </c>
    </row>
    <row r="1494" spans="1:8" x14ac:dyDescent="0.2">
      <c r="A1494" t="s">
        <v>35</v>
      </c>
      <c r="B1494" t="s">
        <v>94</v>
      </c>
      <c r="C1494" t="s">
        <v>1681</v>
      </c>
      <c r="D1494">
        <v>2</v>
      </c>
      <c r="E1494" s="307">
        <v>4</v>
      </c>
      <c r="F1494" s="307" t="s">
        <v>7</v>
      </c>
      <c r="G1494" s="307" t="s">
        <v>11</v>
      </c>
      <c r="H1494" s="307" t="s">
        <v>11</v>
      </c>
    </row>
    <row r="1495" spans="1:8" x14ac:dyDescent="0.2">
      <c r="A1495" t="s">
        <v>35</v>
      </c>
      <c r="B1495" t="s">
        <v>94</v>
      </c>
      <c r="C1495" t="s">
        <v>802</v>
      </c>
      <c r="D1495">
        <v>2</v>
      </c>
      <c r="E1495" s="307">
        <v>4</v>
      </c>
      <c r="F1495" s="307" t="s">
        <v>7</v>
      </c>
      <c r="G1495" s="307" t="s">
        <v>11</v>
      </c>
      <c r="H1495" s="307" t="s">
        <v>11</v>
      </c>
    </row>
    <row r="1496" spans="1:8" x14ac:dyDescent="0.2">
      <c r="A1496" t="s">
        <v>35</v>
      </c>
      <c r="B1496" t="s">
        <v>94</v>
      </c>
      <c r="C1496" t="s">
        <v>1275</v>
      </c>
      <c r="D1496">
        <v>1</v>
      </c>
      <c r="E1496" s="307">
        <v>5</v>
      </c>
      <c r="F1496" s="307" t="s">
        <v>7</v>
      </c>
      <c r="G1496" s="307" t="s">
        <v>11</v>
      </c>
      <c r="H1496" s="307" t="s">
        <v>11</v>
      </c>
    </row>
    <row r="1497" spans="1:8" x14ac:dyDescent="0.2">
      <c r="A1497" t="s">
        <v>35</v>
      </c>
      <c r="B1497" t="s">
        <v>94</v>
      </c>
      <c r="C1497" t="s">
        <v>692</v>
      </c>
      <c r="D1497">
        <v>3</v>
      </c>
      <c r="E1497" s="307">
        <v>4</v>
      </c>
      <c r="F1497" s="307" t="s">
        <v>7</v>
      </c>
      <c r="G1497" s="307" t="s">
        <v>11</v>
      </c>
      <c r="H1497" s="307" t="s">
        <v>11</v>
      </c>
    </row>
    <row r="1498" spans="1:8" x14ac:dyDescent="0.2">
      <c r="A1498" t="s">
        <v>35</v>
      </c>
      <c r="B1498" t="s">
        <v>94</v>
      </c>
      <c r="C1498" t="s">
        <v>1391</v>
      </c>
      <c r="D1498">
        <v>2</v>
      </c>
      <c r="E1498" s="307">
        <v>5</v>
      </c>
      <c r="F1498" s="307" t="s">
        <v>7</v>
      </c>
      <c r="G1498" s="307" t="s">
        <v>11</v>
      </c>
      <c r="H1498" s="307" t="s">
        <v>11</v>
      </c>
    </row>
    <row r="1499" spans="1:8" x14ac:dyDescent="0.2">
      <c r="A1499" t="s">
        <v>35</v>
      </c>
      <c r="B1499" t="s">
        <v>94</v>
      </c>
      <c r="C1499" t="s">
        <v>1682</v>
      </c>
      <c r="D1499">
        <v>2</v>
      </c>
      <c r="E1499" s="307">
        <v>4</v>
      </c>
      <c r="F1499" s="307" t="s">
        <v>7</v>
      </c>
      <c r="G1499" s="307" t="s">
        <v>11</v>
      </c>
      <c r="H1499" s="307" t="s">
        <v>11</v>
      </c>
    </row>
    <row r="1500" spans="1:8" x14ac:dyDescent="0.2">
      <c r="A1500" t="s">
        <v>35</v>
      </c>
      <c r="B1500" t="s">
        <v>94</v>
      </c>
      <c r="C1500" t="s">
        <v>1042</v>
      </c>
      <c r="D1500">
        <v>2</v>
      </c>
      <c r="E1500" s="307">
        <v>4</v>
      </c>
      <c r="F1500" s="307" t="s">
        <v>7</v>
      </c>
      <c r="G1500" s="307" t="s">
        <v>11</v>
      </c>
      <c r="H1500" s="307" t="s">
        <v>11</v>
      </c>
    </row>
    <row r="1501" spans="1:8" x14ac:dyDescent="0.2">
      <c r="A1501" t="s">
        <v>35</v>
      </c>
      <c r="B1501" t="s">
        <v>94</v>
      </c>
      <c r="C1501" t="s">
        <v>1683</v>
      </c>
      <c r="D1501">
        <v>2</v>
      </c>
      <c r="E1501" s="307">
        <v>4</v>
      </c>
      <c r="F1501" s="307" t="s">
        <v>7</v>
      </c>
      <c r="G1501" s="307" t="s">
        <v>11</v>
      </c>
      <c r="H1501" s="307" t="s">
        <v>11</v>
      </c>
    </row>
    <row r="1502" spans="1:8" x14ac:dyDescent="0.2">
      <c r="A1502" t="s">
        <v>35</v>
      </c>
      <c r="B1502" t="s">
        <v>94</v>
      </c>
      <c r="C1502" t="s">
        <v>804</v>
      </c>
      <c r="D1502">
        <v>2</v>
      </c>
      <c r="E1502" s="307">
        <v>4</v>
      </c>
      <c r="F1502" s="307" t="s">
        <v>7</v>
      </c>
      <c r="G1502" s="307" t="s">
        <v>11</v>
      </c>
      <c r="H1502" s="307" t="s">
        <v>11</v>
      </c>
    </row>
    <row r="1503" spans="1:8" x14ac:dyDescent="0.2">
      <c r="A1503" t="s">
        <v>35</v>
      </c>
      <c r="B1503" t="s">
        <v>94</v>
      </c>
      <c r="C1503" t="s">
        <v>1395</v>
      </c>
      <c r="D1503">
        <v>2</v>
      </c>
      <c r="E1503" s="307">
        <v>4</v>
      </c>
      <c r="F1503" s="307" t="s">
        <v>7</v>
      </c>
      <c r="G1503" s="307" t="s">
        <v>11</v>
      </c>
      <c r="H1503" s="307" t="s">
        <v>11</v>
      </c>
    </row>
    <row r="1504" spans="1:8" x14ac:dyDescent="0.2">
      <c r="A1504" t="s">
        <v>35</v>
      </c>
      <c r="B1504" t="s">
        <v>94</v>
      </c>
      <c r="C1504" t="s">
        <v>1178</v>
      </c>
      <c r="D1504">
        <v>1</v>
      </c>
      <c r="E1504" s="307">
        <v>4</v>
      </c>
      <c r="F1504" s="307" t="s">
        <v>7</v>
      </c>
      <c r="G1504" s="307" t="s">
        <v>11</v>
      </c>
      <c r="H1504" s="307" t="s">
        <v>11</v>
      </c>
    </row>
    <row r="1505" spans="1:8" x14ac:dyDescent="0.2">
      <c r="A1505" t="s">
        <v>35</v>
      </c>
      <c r="B1505" t="s">
        <v>94</v>
      </c>
      <c r="C1505" t="s">
        <v>1277</v>
      </c>
      <c r="D1505">
        <v>2</v>
      </c>
      <c r="E1505" s="307">
        <v>4</v>
      </c>
      <c r="F1505" s="307" t="s">
        <v>7</v>
      </c>
      <c r="G1505" s="307" t="s">
        <v>11</v>
      </c>
      <c r="H1505" s="307" t="s">
        <v>11</v>
      </c>
    </row>
    <row r="1506" spans="1:8" x14ac:dyDescent="0.2">
      <c r="A1506" t="s">
        <v>35</v>
      </c>
      <c r="B1506" t="s">
        <v>94</v>
      </c>
      <c r="C1506" t="s">
        <v>1684</v>
      </c>
      <c r="D1506">
        <v>2</v>
      </c>
      <c r="E1506" s="307">
        <v>5</v>
      </c>
      <c r="F1506" s="307" t="s">
        <v>7</v>
      </c>
      <c r="G1506" s="307" t="s">
        <v>11</v>
      </c>
      <c r="H1506" s="307" t="s">
        <v>11</v>
      </c>
    </row>
    <row r="1507" spans="1:8" x14ac:dyDescent="0.2">
      <c r="A1507" t="s">
        <v>35</v>
      </c>
      <c r="B1507" t="s">
        <v>94</v>
      </c>
      <c r="C1507" t="s">
        <v>1180</v>
      </c>
      <c r="D1507">
        <v>2</v>
      </c>
      <c r="E1507" s="307">
        <v>4</v>
      </c>
      <c r="F1507" s="307" t="s">
        <v>7</v>
      </c>
      <c r="G1507" s="307" t="s">
        <v>11</v>
      </c>
      <c r="H1507" s="307" t="s">
        <v>11</v>
      </c>
    </row>
    <row r="1508" spans="1:8" x14ac:dyDescent="0.2">
      <c r="A1508" t="s">
        <v>35</v>
      </c>
      <c r="B1508" t="s">
        <v>94</v>
      </c>
      <c r="C1508" t="s">
        <v>806</v>
      </c>
      <c r="D1508">
        <v>2</v>
      </c>
      <c r="E1508" s="307">
        <v>5</v>
      </c>
      <c r="F1508" s="307" t="s">
        <v>7</v>
      </c>
      <c r="G1508" s="307" t="s">
        <v>11</v>
      </c>
      <c r="H1508" s="307" t="s">
        <v>11</v>
      </c>
    </row>
    <row r="1509" spans="1:8" x14ac:dyDescent="0.2">
      <c r="A1509" t="s">
        <v>35</v>
      </c>
      <c r="B1509" t="s">
        <v>94</v>
      </c>
      <c r="C1509" t="s">
        <v>699</v>
      </c>
      <c r="D1509">
        <v>1</v>
      </c>
      <c r="E1509" s="307">
        <v>4</v>
      </c>
      <c r="F1509" s="307" t="s">
        <v>7</v>
      </c>
      <c r="G1509" s="307" t="s">
        <v>11</v>
      </c>
      <c r="H1509" s="307" t="s">
        <v>11</v>
      </c>
    </row>
    <row r="1510" spans="1:8" x14ac:dyDescent="0.2">
      <c r="A1510" t="s">
        <v>35</v>
      </c>
      <c r="B1510" t="s">
        <v>94</v>
      </c>
      <c r="C1510" t="s">
        <v>1181</v>
      </c>
      <c r="D1510">
        <v>1</v>
      </c>
      <c r="E1510" s="307">
        <v>5</v>
      </c>
      <c r="F1510" s="307" t="s">
        <v>7</v>
      </c>
      <c r="G1510" s="307" t="s">
        <v>11</v>
      </c>
      <c r="H1510" s="307" t="s">
        <v>11</v>
      </c>
    </row>
    <row r="1511" spans="1:8" x14ac:dyDescent="0.2">
      <c r="A1511" t="s">
        <v>35</v>
      </c>
      <c r="B1511" t="s">
        <v>94</v>
      </c>
      <c r="C1511" t="s">
        <v>1685</v>
      </c>
      <c r="D1511">
        <v>2</v>
      </c>
      <c r="E1511" s="307">
        <v>4</v>
      </c>
      <c r="F1511" s="307" t="s">
        <v>7</v>
      </c>
      <c r="G1511" s="307" t="s">
        <v>11</v>
      </c>
      <c r="H1511" s="307" t="s">
        <v>11</v>
      </c>
    </row>
    <row r="1512" spans="1:8" x14ac:dyDescent="0.2">
      <c r="A1512" t="s">
        <v>35</v>
      </c>
      <c r="B1512" t="s">
        <v>94</v>
      </c>
      <c r="C1512" t="s">
        <v>1686</v>
      </c>
      <c r="D1512">
        <v>2</v>
      </c>
      <c r="E1512" s="307">
        <v>4</v>
      </c>
      <c r="F1512" s="307" t="s">
        <v>7</v>
      </c>
      <c r="G1512" s="307" t="s">
        <v>11</v>
      </c>
      <c r="H1512" s="307" t="s">
        <v>11</v>
      </c>
    </row>
    <row r="1513" spans="1:8" x14ac:dyDescent="0.2">
      <c r="A1513" t="s">
        <v>35</v>
      </c>
      <c r="B1513" t="s">
        <v>94</v>
      </c>
      <c r="C1513" t="s">
        <v>811</v>
      </c>
      <c r="D1513">
        <v>2</v>
      </c>
      <c r="E1513" s="307">
        <v>4</v>
      </c>
      <c r="F1513" s="307" t="s">
        <v>7</v>
      </c>
      <c r="G1513" s="307" t="s">
        <v>11</v>
      </c>
      <c r="H1513" s="307" t="s">
        <v>11</v>
      </c>
    </row>
    <row r="1514" spans="1:8" x14ac:dyDescent="0.2">
      <c r="A1514" t="s">
        <v>35</v>
      </c>
      <c r="B1514" t="s">
        <v>94</v>
      </c>
      <c r="C1514" t="s">
        <v>1056</v>
      </c>
      <c r="D1514">
        <v>2</v>
      </c>
      <c r="E1514" s="307">
        <v>4</v>
      </c>
      <c r="F1514" s="307" t="s">
        <v>7</v>
      </c>
      <c r="G1514" s="307" t="s">
        <v>11</v>
      </c>
      <c r="H1514" s="307" t="s">
        <v>11</v>
      </c>
    </row>
    <row r="1515" spans="1:8" x14ac:dyDescent="0.2">
      <c r="A1515" t="s">
        <v>35</v>
      </c>
      <c r="B1515" t="s">
        <v>94</v>
      </c>
      <c r="C1515" t="s">
        <v>709</v>
      </c>
      <c r="D1515">
        <v>2</v>
      </c>
      <c r="E1515" s="307">
        <v>4</v>
      </c>
      <c r="F1515" s="307" t="s">
        <v>7</v>
      </c>
      <c r="G1515" s="307" t="s">
        <v>11</v>
      </c>
      <c r="H1515" s="307" t="s">
        <v>11</v>
      </c>
    </row>
    <row r="1516" spans="1:8" x14ac:dyDescent="0.2">
      <c r="A1516" t="s">
        <v>35</v>
      </c>
      <c r="B1516" t="s">
        <v>94</v>
      </c>
      <c r="C1516" t="s">
        <v>1231</v>
      </c>
      <c r="D1516">
        <v>2</v>
      </c>
      <c r="E1516" s="307">
        <v>5</v>
      </c>
      <c r="F1516" s="307" t="s">
        <v>7</v>
      </c>
      <c r="G1516" s="307" t="s">
        <v>11</v>
      </c>
      <c r="H1516" s="307" t="s">
        <v>11</v>
      </c>
    </row>
    <row r="1517" spans="1:8" x14ac:dyDescent="0.2">
      <c r="A1517" t="s">
        <v>35</v>
      </c>
      <c r="B1517" t="s">
        <v>94</v>
      </c>
      <c r="C1517" t="s">
        <v>1059</v>
      </c>
      <c r="D1517">
        <v>2</v>
      </c>
      <c r="E1517" s="307">
        <v>5</v>
      </c>
      <c r="F1517" s="307" t="s">
        <v>7</v>
      </c>
      <c r="G1517" s="307" t="s">
        <v>11</v>
      </c>
      <c r="H1517" s="307" t="s">
        <v>11</v>
      </c>
    </row>
    <row r="1518" spans="1:8" x14ac:dyDescent="0.2">
      <c r="A1518" t="s">
        <v>35</v>
      </c>
      <c r="B1518" t="s">
        <v>94</v>
      </c>
      <c r="C1518" t="s">
        <v>1687</v>
      </c>
      <c r="D1518">
        <v>2</v>
      </c>
      <c r="E1518" s="307">
        <v>4</v>
      </c>
      <c r="F1518" s="307" t="s">
        <v>7</v>
      </c>
      <c r="G1518" s="307" t="s">
        <v>11</v>
      </c>
      <c r="H1518" s="307" t="s">
        <v>11</v>
      </c>
    </row>
    <row r="1519" spans="1:8" x14ac:dyDescent="0.2">
      <c r="A1519" t="s">
        <v>35</v>
      </c>
      <c r="B1519" t="s">
        <v>94</v>
      </c>
      <c r="C1519" t="s">
        <v>929</v>
      </c>
      <c r="D1519">
        <v>2</v>
      </c>
      <c r="E1519" s="307">
        <v>4</v>
      </c>
      <c r="F1519" s="307" t="s">
        <v>7</v>
      </c>
      <c r="G1519" s="307" t="s">
        <v>11</v>
      </c>
      <c r="H1519" s="307" t="s">
        <v>11</v>
      </c>
    </row>
    <row r="1520" spans="1:8" x14ac:dyDescent="0.2">
      <c r="A1520" t="s">
        <v>35</v>
      </c>
      <c r="B1520" t="s">
        <v>94</v>
      </c>
      <c r="C1520" t="s">
        <v>1688</v>
      </c>
      <c r="D1520">
        <v>3</v>
      </c>
      <c r="E1520" s="307">
        <v>4</v>
      </c>
      <c r="F1520" s="307" t="s">
        <v>7</v>
      </c>
      <c r="G1520" s="307" t="s">
        <v>11</v>
      </c>
      <c r="H1520" s="307" t="s">
        <v>11</v>
      </c>
    </row>
    <row r="1521" spans="1:8" x14ac:dyDescent="0.2">
      <c r="A1521" t="s">
        <v>35</v>
      </c>
      <c r="B1521" t="s">
        <v>94</v>
      </c>
      <c r="C1521" t="s">
        <v>715</v>
      </c>
      <c r="D1521">
        <v>2</v>
      </c>
      <c r="E1521" s="307">
        <v>4</v>
      </c>
      <c r="F1521" s="307" t="s">
        <v>7</v>
      </c>
      <c r="G1521" s="307" t="s">
        <v>11</v>
      </c>
      <c r="H1521" s="307" t="s">
        <v>11</v>
      </c>
    </row>
    <row r="1522" spans="1:8" x14ac:dyDescent="0.2">
      <c r="A1522" t="s">
        <v>35</v>
      </c>
      <c r="B1522" t="s">
        <v>94</v>
      </c>
      <c r="C1522" t="s">
        <v>1689</v>
      </c>
      <c r="D1522">
        <v>2</v>
      </c>
      <c r="E1522" s="307">
        <v>4</v>
      </c>
      <c r="F1522" s="307" t="s">
        <v>7</v>
      </c>
      <c r="G1522" s="307" t="s">
        <v>11</v>
      </c>
      <c r="H1522" s="307" t="s">
        <v>11</v>
      </c>
    </row>
    <row r="1523" spans="1:8" x14ac:dyDescent="0.2">
      <c r="A1523" t="s">
        <v>35</v>
      </c>
      <c r="B1523" t="s">
        <v>94</v>
      </c>
      <c r="C1523" t="s">
        <v>1690</v>
      </c>
      <c r="D1523">
        <v>2</v>
      </c>
      <c r="E1523" s="307">
        <v>5</v>
      </c>
      <c r="F1523" s="307" t="s">
        <v>7</v>
      </c>
      <c r="G1523" s="307" t="s">
        <v>11</v>
      </c>
      <c r="H1523" s="307" t="s">
        <v>11</v>
      </c>
    </row>
    <row r="1524" spans="1:8" x14ac:dyDescent="0.2">
      <c r="A1524" t="s">
        <v>35</v>
      </c>
      <c r="B1524" t="s">
        <v>94</v>
      </c>
      <c r="C1524" t="s">
        <v>717</v>
      </c>
      <c r="D1524">
        <v>2</v>
      </c>
      <c r="E1524" s="307">
        <v>4</v>
      </c>
      <c r="F1524" s="307" t="s">
        <v>7</v>
      </c>
      <c r="G1524" s="307" t="s">
        <v>11</v>
      </c>
      <c r="H1524" s="307" t="s">
        <v>11</v>
      </c>
    </row>
    <row r="1525" spans="1:8" x14ac:dyDescent="0.2">
      <c r="A1525" t="s">
        <v>35</v>
      </c>
      <c r="B1525" t="s">
        <v>94</v>
      </c>
      <c r="C1525" t="s">
        <v>1190</v>
      </c>
      <c r="D1525">
        <v>2</v>
      </c>
      <c r="E1525" s="307">
        <v>5</v>
      </c>
      <c r="F1525" s="307" t="s">
        <v>7</v>
      </c>
      <c r="G1525" s="307" t="s">
        <v>11</v>
      </c>
      <c r="H1525" s="307" t="s">
        <v>11</v>
      </c>
    </row>
    <row r="1526" spans="1:8" x14ac:dyDescent="0.2">
      <c r="A1526" t="s">
        <v>35</v>
      </c>
      <c r="B1526" t="s">
        <v>94</v>
      </c>
      <c r="C1526" t="s">
        <v>1238</v>
      </c>
      <c r="D1526">
        <v>2</v>
      </c>
      <c r="E1526" s="307">
        <v>5</v>
      </c>
      <c r="F1526" s="307" t="s">
        <v>7</v>
      </c>
      <c r="G1526" s="307" t="s">
        <v>11</v>
      </c>
      <c r="H1526" s="307" t="s">
        <v>11</v>
      </c>
    </row>
    <row r="1527" spans="1:8" x14ac:dyDescent="0.2">
      <c r="A1527" t="s">
        <v>35</v>
      </c>
      <c r="B1527" t="s">
        <v>94</v>
      </c>
      <c r="C1527" t="s">
        <v>719</v>
      </c>
      <c r="D1527">
        <v>2</v>
      </c>
      <c r="E1527" s="307">
        <v>4</v>
      </c>
      <c r="F1527" s="307" t="s">
        <v>7</v>
      </c>
      <c r="G1527" s="307" t="s">
        <v>11</v>
      </c>
      <c r="H1527" s="307" t="s">
        <v>11</v>
      </c>
    </row>
    <row r="1528" spans="1:8" x14ac:dyDescent="0.2">
      <c r="A1528" t="s">
        <v>35</v>
      </c>
      <c r="B1528" t="s">
        <v>94</v>
      </c>
      <c r="C1528" t="s">
        <v>1691</v>
      </c>
      <c r="D1528">
        <v>2</v>
      </c>
      <c r="E1528" s="307">
        <v>4</v>
      </c>
      <c r="F1528" s="307" t="s">
        <v>7</v>
      </c>
      <c r="G1528" s="307" t="s">
        <v>11</v>
      </c>
      <c r="H1528" s="307" t="s">
        <v>11</v>
      </c>
    </row>
    <row r="1529" spans="1:8" x14ac:dyDescent="0.2">
      <c r="A1529" t="s">
        <v>35</v>
      </c>
      <c r="B1529" t="s">
        <v>94</v>
      </c>
      <c r="C1529" t="s">
        <v>1692</v>
      </c>
      <c r="D1529">
        <v>1</v>
      </c>
      <c r="E1529" s="307">
        <v>5</v>
      </c>
      <c r="F1529" s="307" t="s">
        <v>7</v>
      </c>
      <c r="G1529" s="307" t="s">
        <v>11</v>
      </c>
      <c r="H1529" s="307" t="s">
        <v>11</v>
      </c>
    </row>
    <row r="1530" spans="1:8" x14ac:dyDescent="0.2">
      <c r="A1530" t="s">
        <v>35</v>
      </c>
      <c r="B1530" t="s">
        <v>94</v>
      </c>
      <c r="C1530" t="s">
        <v>822</v>
      </c>
      <c r="D1530">
        <v>2</v>
      </c>
      <c r="E1530" s="307">
        <v>4</v>
      </c>
      <c r="F1530" s="307" t="s">
        <v>7</v>
      </c>
      <c r="G1530" s="307" t="s">
        <v>11</v>
      </c>
      <c r="H1530" s="307" t="s">
        <v>11</v>
      </c>
    </row>
    <row r="1531" spans="1:8" x14ac:dyDescent="0.2">
      <c r="A1531" t="s">
        <v>35</v>
      </c>
      <c r="B1531" t="s">
        <v>94</v>
      </c>
      <c r="C1531" t="s">
        <v>1693</v>
      </c>
      <c r="D1531">
        <v>2</v>
      </c>
      <c r="E1531" s="307">
        <v>4</v>
      </c>
      <c r="F1531" s="307" t="s">
        <v>7</v>
      </c>
      <c r="G1531" s="307" t="s">
        <v>11</v>
      </c>
      <c r="H1531" s="307" t="s">
        <v>11</v>
      </c>
    </row>
    <row r="1532" spans="1:8" x14ac:dyDescent="0.2">
      <c r="A1532" t="s">
        <v>35</v>
      </c>
      <c r="B1532" t="s">
        <v>94</v>
      </c>
      <c r="C1532" t="s">
        <v>1545</v>
      </c>
      <c r="D1532">
        <v>1</v>
      </c>
      <c r="E1532" s="307">
        <v>4</v>
      </c>
      <c r="F1532" s="307" t="s">
        <v>7</v>
      </c>
      <c r="G1532" s="307" t="s">
        <v>11</v>
      </c>
      <c r="H1532" s="307" t="s">
        <v>11</v>
      </c>
    </row>
    <row r="1533" spans="1:8" x14ac:dyDescent="0.2">
      <c r="A1533" t="s">
        <v>35</v>
      </c>
      <c r="B1533" t="s">
        <v>94</v>
      </c>
      <c r="C1533" t="s">
        <v>721</v>
      </c>
      <c r="D1533">
        <v>1</v>
      </c>
      <c r="E1533" s="307">
        <v>4</v>
      </c>
      <c r="F1533" s="307" t="s">
        <v>7</v>
      </c>
      <c r="G1533" s="307" t="s">
        <v>11</v>
      </c>
      <c r="H1533" s="307" t="s">
        <v>11</v>
      </c>
    </row>
    <row r="1534" spans="1:8" x14ac:dyDescent="0.2">
      <c r="A1534" t="s">
        <v>35</v>
      </c>
      <c r="B1534" t="s">
        <v>94</v>
      </c>
      <c r="C1534" t="s">
        <v>1085</v>
      </c>
      <c r="D1534">
        <v>2</v>
      </c>
      <c r="E1534" s="307">
        <v>4</v>
      </c>
      <c r="F1534" s="307" t="s">
        <v>7</v>
      </c>
      <c r="G1534" s="307" t="s">
        <v>11</v>
      </c>
      <c r="H1534" s="307" t="s">
        <v>11</v>
      </c>
    </row>
    <row r="1535" spans="1:8" x14ac:dyDescent="0.2">
      <c r="A1535" t="s">
        <v>35</v>
      </c>
      <c r="B1535" t="s">
        <v>94</v>
      </c>
      <c r="C1535" t="s">
        <v>722</v>
      </c>
      <c r="D1535">
        <v>2</v>
      </c>
      <c r="E1535" s="307">
        <v>4</v>
      </c>
      <c r="F1535" s="307" t="s">
        <v>7</v>
      </c>
      <c r="G1535" s="307" t="s">
        <v>11</v>
      </c>
      <c r="H1535" s="307" t="s">
        <v>11</v>
      </c>
    </row>
    <row r="1536" spans="1:8" x14ac:dyDescent="0.2">
      <c r="A1536" t="s">
        <v>35</v>
      </c>
      <c r="B1536" t="s">
        <v>94</v>
      </c>
      <c r="C1536" t="s">
        <v>825</v>
      </c>
      <c r="D1536">
        <v>2</v>
      </c>
      <c r="E1536" s="307">
        <v>4</v>
      </c>
      <c r="F1536" s="307" t="s">
        <v>7</v>
      </c>
      <c r="G1536" s="307" t="s">
        <v>11</v>
      </c>
      <c r="H1536" s="307" t="s">
        <v>11</v>
      </c>
    </row>
    <row r="1537" spans="1:8" x14ac:dyDescent="0.2">
      <c r="A1537" t="s">
        <v>35</v>
      </c>
      <c r="B1537" t="s">
        <v>94</v>
      </c>
      <c r="C1537" t="s">
        <v>1199</v>
      </c>
      <c r="D1537">
        <v>2</v>
      </c>
      <c r="E1537" s="307">
        <v>5</v>
      </c>
      <c r="F1537" s="307" t="s">
        <v>7</v>
      </c>
      <c r="G1537" s="307" t="s">
        <v>11</v>
      </c>
      <c r="H1537" s="307" t="s">
        <v>11</v>
      </c>
    </row>
    <row r="1538" spans="1:8" x14ac:dyDescent="0.2">
      <c r="A1538" t="s">
        <v>35</v>
      </c>
      <c r="B1538" t="s">
        <v>94</v>
      </c>
      <c r="C1538" t="s">
        <v>1694</v>
      </c>
      <c r="D1538">
        <v>2</v>
      </c>
      <c r="E1538" s="307">
        <v>4</v>
      </c>
      <c r="F1538" s="307" t="s">
        <v>7</v>
      </c>
      <c r="G1538" s="307" t="s">
        <v>11</v>
      </c>
      <c r="H1538" s="307" t="s">
        <v>11</v>
      </c>
    </row>
    <row r="1539" spans="1:8" x14ac:dyDescent="0.2">
      <c r="A1539" t="s">
        <v>35</v>
      </c>
      <c r="B1539" t="s">
        <v>94</v>
      </c>
      <c r="C1539" t="s">
        <v>826</v>
      </c>
      <c r="D1539">
        <v>2</v>
      </c>
      <c r="E1539" s="307">
        <v>4</v>
      </c>
      <c r="F1539" s="307" t="s">
        <v>7</v>
      </c>
      <c r="G1539" s="307" t="s">
        <v>11</v>
      </c>
      <c r="H1539" s="307" t="s">
        <v>11</v>
      </c>
    </row>
    <row r="1540" spans="1:8" x14ac:dyDescent="0.2">
      <c r="A1540" t="s">
        <v>35</v>
      </c>
      <c r="B1540" t="s">
        <v>94</v>
      </c>
      <c r="C1540" t="s">
        <v>725</v>
      </c>
      <c r="D1540">
        <v>2</v>
      </c>
      <c r="E1540" s="307">
        <v>4</v>
      </c>
      <c r="F1540" s="307" t="s">
        <v>7</v>
      </c>
      <c r="G1540" s="307" t="s">
        <v>11</v>
      </c>
      <c r="H1540" s="307" t="s">
        <v>11</v>
      </c>
    </row>
    <row r="1541" spans="1:8" x14ac:dyDescent="0.2">
      <c r="A1541" t="s">
        <v>35</v>
      </c>
      <c r="B1541" t="s">
        <v>94</v>
      </c>
      <c r="C1541" t="s">
        <v>1163</v>
      </c>
      <c r="D1541">
        <v>2</v>
      </c>
      <c r="E1541" s="307">
        <v>5</v>
      </c>
      <c r="F1541" s="307" t="s">
        <v>7</v>
      </c>
      <c r="G1541" s="307" t="s">
        <v>11</v>
      </c>
      <c r="H1541" s="307" t="s">
        <v>11</v>
      </c>
    </row>
    <row r="1542" spans="1:8" x14ac:dyDescent="0.2">
      <c r="A1542" t="s">
        <v>35</v>
      </c>
      <c r="B1542" t="s">
        <v>94</v>
      </c>
      <c r="C1542" t="s">
        <v>827</v>
      </c>
      <c r="D1542">
        <v>2</v>
      </c>
      <c r="E1542" s="307">
        <v>4</v>
      </c>
      <c r="F1542" s="307" t="s">
        <v>7</v>
      </c>
      <c r="G1542" s="307" t="s">
        <v>11</v>
      </c>
      <c r="H1542" s="307" t="s">
        <v>11</v>
      </c>
    </row>
    <row r="1543" spans="1:8" x14ac:dyDescent="0.2">
      <c r="A1543" t="s">
        <v>35</v>
      </c>
      <c r="B1543" t="s">
        <v>94</v>
      </c>
      <c r="C1543" t="s">
        <v>1290</v>
      </c>
      <c r="D1543">
        <v>2</v>
      </c>
      <c r="E1543" s="307">
        <v>5</v>
      </c>
      <c r="F1543" s="307" t="s">
        <v>7</v>
      </c>
      <c r="G1543" s="307" t="s">
        <v>11</v>
      </c>
      <c r="H1543" s="307" t="s">
        <v>11</v>
      </c>
    </row>
    <row r="1544" spans="1:8" x14ac:dyDescent="0.2">
      <c r="A1544" t="s">
        <v>35</v>
      </c>
      <c r="B1544" t="s">
        <v>94</v>
      </c>
      <c r="C1544" t="s">
        <v>1201</v>
      </c>
      <c r="D1544">
        <v>2</v>
      </c>
      <c r="E1544" s="307">
        <v>5</v>
      </c>
      <c r="F1544" s="307" t="s">
        <v>7</v>
      </c>
      <c r="G1544" s="307" t="s">
        <v>11</v>
      </c>
      <c r="H1544" s="307" t="s">
        <v>11</v>
      </c>
    </row>
    <row r="1545" spans="1:8" x14ac:dyDescent="0.2">
      <c r="A1545" t="s">
        <v>35</v>
      </c>
      <c r="B1545" t="s">
        <v>94</v>
      </c>
      <c r="C1545" t="s">
        <v>729</v>
      </c>
      <c r="D1545">
        <v>2</v>
      </c>
      <c r="E1545" s="307">
        <v>5</v>
      </c>
      <c r="F1545" s="307" t="s">
        <v>7</v>
      </c>
      <c r="G1545" s="307" t="s">
        <v>11</v>
      </c>
      <c r="H1545" s="307" t="s">
        <v>11</v>
      </c>
    </row>
    <row r="1546" spans="1:8" x14ac:dyDescent="0.2">
      <c r="A1546" t="s">
        <v>35</v>
      </c>
      <c r="B1546" t="s">
        <v>94</v>
      </c>
      <c r="C1546" t="s">
        <v>730</v>
      </c>
      <c r="D1546">
        <v>2</v>
      </c>
      <c r="E1546" s="307">
        <v>4</v>
      </c>
      <c r="F1546" s="307" t="s">
        <v>7</v>
      </c>
      <c r="G1546" s="307" t="s">
        <v>11</v>
      </c>
      <c r="H1546" s="307" t="s">
        <v>11</v>
      </c>
    </row>
    <row r="1547" spans="1:8" x14ac:dyDescent="0.2">
      <c r="A1547" t="s">
        <v>35</v>
      </c>
      <c r="B1547" t="s">
        <v>94</v>
      </c>
      <c r="C1547" t="s">
        <v>1695</v>
      </c>
      <c r="D1547">
        <v>2</v>
      </c>
      <c r="E1547" s="307">
        <v>4</v>
      </c>
      <c r="F1547" s="307" t="s">
        <v>7</v>
      </c>
      <c r="G1547" s="307" t="s">
        <v>11</v>
      </c>
      <c r="H1547" s="307" t="s">
        <v>11</v>
      </c>
    </row>
    <row r="1548" spans="1:8" x14ac:dyDescent="0.2">
      <c r="A1548" t="s">
        <v>35</v>
      </c>
      <c r="B1548" t="s">
        <v>94</v>
      </c>
      <c r="C1548" t="s">
        <v>732</v>
      </c>
      <c r="D1548">
        <v>2</v>
      </c>
      <c r="E1548" s="307">
        <v>5</v>
      </c>
      <c r="F1548" s="307" t="s">
        <v>7</v>
      </c>
      <c r="G1548" s="307" t="s">
        <v>11</v>
      </c>
      <c r="H1548" s="307" t="s">
        <v>11</v>
      </c>
    </row>
    <row r="1549" spans="1:8" x14ac:dyDescent="0.2">
      <c r="A1549" t="s">
        <v>35</v>
      </c>
      <c r="B1549" t="s">
        <v>94</v>
      </c>
      <c r="C1549" t="s">
        <v>1696</v>
      </c>
      <c r="D1549">
        <v>2</v>
      </c>
      <c r="E1549" s="307">
        <v>4</v>
      </c>
      <c r="F1549" s="307" t="s">
        <v>7</v>
      </c>
      <c r="G1549" s="307" t="s">
        <v>11</v>
      </c>
      <c r="H1549" s="307" t="s">
        <v>11</v>
      </c>
    </row>
    <row r="1550" spans="1:8" x14ac:dyDescent="0.2">
      <c r="A1550" t="s">
        <v>35</v>
      </c>
      <c r="B1550" t="s">
        <v>94</v>
      </c>
      <c r="C1550" t="s">
        <v>1209</v>
      </c>
      <c r="D1550">
        <v>2</v>
      </c>
      <c r="E1550" s="307">
        <v>5</v>
      </c>
      <c r="F1550" s="307" t="s">
        <v>7</v>
      </c>
      <c r="G1550" s="307" t="s">
        <v>11</v>
      </c>
      <c r="H1550" s="307" t="s">
        <v>11</v>
      </c>
    </row>
    <row r="1551" spans="1:8" x14ac:dyDescent="0.2">
      <c r="A1551" t="s">
        <v>35</v>
      </c>
      <c r="B1551" t="s">
        <v>94</v>
      </c>
      <c r="C1551" t="s">
        <v>831</v>
      </c>
      <c r="D1551">
        <v>2</v>
      </c>
      <c r="E1551" s="307">
        <v>4</v>
      </c>
      <c r="F1551" s="307" t="s">
        <v>7</v>
      </c>
      <c r="G1551" s="307" t="s">
        <v>11</v>
      </c>
      <c r="H1551" s="307" t="s">
        <v>11</v>
      </c>
    </row>
    <row r="1552" spans="1:8" x14ac:dyDescent="0.2">
      <c r="A1552" t="s">
        <v>35</v>
      </c>
      <c r="B1552" t="s">
        <v>94</v>
      </c>
      <c r="C1552" t="s">
        <v>832</v>
      </c>
      <c r="D1552">
        <v>3</v>
      </c>
      <c r="E1552" s="307">
        <v>4</v>
      </c>
      <c r="F1552" s="307" t="s">
        <v>7</v>
      </c>
      <c r="G1552" s="307" t="s">
        <v>11</v>
      </c>
      <c r="H1552" s="307" t="s">
        <v>11</v>
      </c>
    </row>
    <row r="1553" spans="1:8" x14ac:dyDescent="0.2">
      <c r="A1553" t="s">
        <v>35</v>
      </c>
      <c r="B1553" t="s">
        <v>94</v>
      </c>
      <c r="C1553" t="s">
        <v>1697</v>
      </c>
      <c r="D1553">
        <v>2</v>
      </c>
      <c r="E1553" s="307">
        <v>4</v>
      </c>
      <c r="F1553" s="307" t="s">
        <v>7</v>
      </c>
      <c r="G1553" s="307" t="s">
        <v>11</v>
      </c>
      <c r="H1553" s="307" t="s">
        <v>11</v>
      </c>
    </row>
    <row r="1554" spans="1:8" x14ac:dyDescent="0.2">
      <c r="A1554" t="s">
        <v>35</v>
      </c>
      <c r="B1554" t="s">
        <v>94</v>
      </c>
      <c r="C1554" t="s">
        <v>735</v>
      </c>
      <c r="D1554">
        <v>2</v>
      </c>
      <c r="E1554" s="307">
        <v>4</v>
      </c>
      <c r="F1554" s="307" t="s">
        <v>7</v>
      </c>
      <c r="G1554" s="307" t="s">
        <v>11</v>
      </c>
      <c r="H1554" s="307" t="s">
        <v>11</v>
      </c>
    </row>
    <row r="1555" spans="1:8" x14ac:dyDescent="0.2">
      <c r="A1555" t="s">
        <v>35</v>
      </c>
      <c r="B1555" t="s">
        <v>94</v>
      </c>
      <c r="C1555" t="s">
        <v>736</v>
      </c>
      <c r="D1555">
        <v>2</v>
      </c>
      <c r="E1555" s="307">
        <v>4</v>
      </c>
      <c r="F1555" s="307" t="s">
        <v>7</v>
      </c>
      <c r="G1555" s="307" t="s">
        <v>11</v>
      </c>
      <c r="H1555" s="307" t="s">
        <v>11</v>
      </c>
    </row>
    <row r="1556" spans="1:8" x14ac:dyDescent="0.2">
      <c r="A1556" t="s">
        <v>35</v>
      </c>
      <c r="B1556" t="s">
        <v>94</v>
      </c>
      <c r="C1556" t="s">
        <v>737</v>
      </c>
      <c r="D1556">
        <v>2</v>
      </c>
      <c r="E1556" s="307">
        <v>4</v>
      </c>
      <c r="F1556" s="307" t="s">
        <v>7</v>
      </c>
      <c r="G1556" s="307" t="s">
        <v>11</v>
      </c>
      <c r="H1556" s="307" t="s">
        <v>11</v>
      </c>
    </row>
    <row r="1557" spans="1:8" x14ac:dyDescent="0.2">
      <c r="A1557" t="s">
        <v>35</v>
      </c>
      <c r="B1557" t="s">
        <v>94</v>
      </c>
      <c r="C1557" t="s">
        <v>1698</v>
      </c>
      <c r="D1557">
        <v>3</v>
      </c>
      <c r="E1557" s="307">
        <v>4</v>
      </c>
      <c r="F1557" s="307" t="s">
        <v>7</v>
      </c>
      <c r="G1557" s="307" t="s">
        <v>11</v>
      </c>
      <c r="H1557" s="307" t="s">
        <v>11</v>
      </c>
    </row>
    <row r="1558" spans="1:8" x14ac:dyDescent="0.2">
      <c r="A1558" t="s">
        <v>35</v>
      </c>
      <c r="B1558" t="s">
        <v>94</v>
      </c>
      <c r="C1558" t="s">
        <v>834</v>
      </c>
      <c r="D1558">
        <v>2</v>
      </c>
      <c r="E1558" s="307">
        <v>4</v>
      </c>
      <c r="F1558" s="307" t="s">
        <v>7</v>
      </c>
      <c r="G1558" s="307" t="s">
        <v>11</v>
      </c>
      <c r="H1558" s="307" t="s">
        <v>11</v>
      </c>
    </row>
    <row r="1559" spans="1:8" x14ac:dyDescent="0.2">
      <c r="A1559" t="s">
        <v>35</v>
      </c>
      <c r="B1559" t="s">
        <v>94</v>
      </c>
      <c r="C1559" t="s">
        <v>1699</v>
      </c>
      <c r="D1559">
        <v>1</v>
      </c>
      <c r="E1559" s="307">
        <v>5</v>
      </c>
      <c r="F1559" s="307" t="s">
        <v>7</v>
      </c>
      <c r="G1559" s="307" t="s">
        <v>11</v>
      </c>
      <c r="H1559" s="307" t="s">
        <v>11</v>
      </c>
    </row>
    <row r="1560" spans="1:8" x14ac:dyDescent="0.2">
      <c r="A1560" t="s">
        <v>35</v>
      </c>
      <c r="B1560" t="s">
        <v>94</v>
      </c>
      <c r="C1560" t="s">
        <v>1700</v>
      </c>
      <c r="D1560">
        <v>2</v>
      </c>
      <c r="E1560" s="307">
        <v>4</v>
      </c>
      <c r="F1560" s="307" t="s">
        <v>7</v>
      </c>
      <c r="G1560" s="307" t="s">
        <v>11</v>
      </c>
      <c r="H1560" s="307" t="s">
        <v>11</v>
      </c>
    </row>
    <row r="1561" spans="1:8" x14ac:dyDescent="0.2">
      <c r="A1561" t="s">
        <v>35</v>
      </c>
      <c r="B1561" t="s">
        <v>94</v>
      </c>
      <c r="C1561" t="s">
        <v>1353</v>
      </c>
      <c r="D1561">
        <v>2</v>
      </c>
      <c r="E1561" s="307">
        <v>4</v>
      </c>
      <c r="F1561" s="307" t="s">
        <v>7</v>
      </c>
      <c r="G1561" s="307" t="s">
        <v>11</v>
      </c>
      <c r="H1561" s="307" t="s">
        <v>11</v>
      </c>
    </row>
    <row r="1562" spans="1:8" x14ac:dyDescent="0.2">
      <c r="A1562" t="s">
        <v>35</v>
      </c>
      <c r="B1562" t="s">
        <v>94</v>
      </c>
      <c r="C1562" t="s">
        <v>1701</v>
      </c>
      <c r="D1562">
        <v>2</v>
      </c>
      <c r="E1562" s="307">
        <v>4</v>
      </c>
      <c r="F1562" s="307" t="s">
        <v>7</v>
      </c>
      <c r="G1562" s="307" t="s">
        <v>11</v>
      </c>
      <c r="H1562" s="307" t="s">
        <v>11</v>
      </c>
    </row>
    <row r="1563" spans="1:8" x14ac:dyDescent="0.2">
      <c r="A1563" t="s">
        <v>35</v>
      </c>
      <c r="B1563" t="s">
        <v>94</v>
      </c>
      <c r="C1563" t="s">
        <v>1702</v>
      </c>
      <c r="D1563">
        <v>3</v>
      </c>
      <c r="E1563" s="307">
        <v>4</v>
      </c>
      <c r="F1563" s="307" t="s">
        <v>7</v>
      </c>
      <c r="G1563" s="307" t="s">
        <v>11</v>
      </c>
      <c r="H1563" s="307" t="s">
        <v>11</v>
      </c>
    </row>
    <row r="1564" spans="1:8" x14ac:dyDescent="0.2">
      <c r="A1564" t="s">
        <v>35</v>
      </c>
      <c r="B1564" t="s">
        <v>94</v>
      </c>
      <c r="C1564" t="s">
        <v>738</v>
      </c>
      <c r="D1564">
        <v>2</v>
      </c>
      <c r="E1564" s="307">
        <v>4</v>
      </c>
      <c r="F1564" s="307" t="s">
        <v>7</v>
      </c>
      <c r="G1564" s="307" t="s">
        <v>11</v>
      </c>
      <c r="H1564" s="307" t="s">
        <v>11</v>
      </c>
    </row>
    <row r="1565" spans="1:8" x14ac:dyDescent="0.2">
      <c r="A1565" t="s">
        <v>35</v>
      </c>
      <c r="B1565" t="s">
        <v>94</v>
      </c>
      <c r="C1565" t="s">
        <v>1703</v>
      </c>
      <c r="D1565">
        <v>2</v>
      </c>
      <c r="E1565" s="307">
        <v>4</v>
      </c>
      <c r="F1565" s="307" t="s">
        <v>7</v>
      </c>
      <c r="G1565" s="307" t="s">
        <v>11</v>
      </c>
      <c r="H1565" s="307" t="s">
        <v>11</v>
      </c>
    </row>
    <row r="1566" spans="1:8" x14ac:dyDescent="0.2">
      <c r="A1566" t="s">
        <v>35</v>
      </c>
      <c r="B1566" t="s">
        <v>94</v>
      </c>
      <c r="C1566" t="s">
        <v>1704</v>
      </c>
      <c r="D1566">
        <v>2</v>
      </c>
      <c r="E1566" s="307">
        <v>4</v>
      </c>
      <c r="F1566" s="307" t="s">
        <v>7</v>
      </c>
      <c r="G1566" s="307" t="s">
        <v>11</v>
      </c>
      <c r="H1566" s="307" t="s">
        <v>11</v>
      </c>
    </row>
    <row r="1567" spans="1:8" x14ac:dyDescent="0.2">
      <c r="A1567" t="s">
        <v>35</v>
      </c>
      <c r="B1567" t="s">
        <v>94</v>
      </c>
      <c r="C1567" t="s">
        <v>740</v>
      </c>
      <c r="D1567">
        <v>2</v>
      </c>
      <c r="E1567" s="307">
        <v>5</v>
      </c>
      <c r="F1567" s="307" t="s">
        <v>7</v>
      </c>
      <c r="G1567" s="307" t="s">
        <v>11</v>
      </c>
      <c r="H1567" s="307" t="s">
        <v>11</v>
      </c>
    </row>
    <row r="1568" spans="1:8" x14ac:dyDescent="0.2">
      <c r="A1568" t="s">
        <v>35</v>
      </c>
      <c r="B1568" t="s">
        <v>94</v>
      </c>
      <c r="C1568" t="s">
        <v>1705</v>
      </c>
      <c r="D1568">
        <v>1</v>
      </c>
      <c r="E1568" s="307">
        <v>4</v>
      </c>
      <c r="F1568" s="307" t="s">
        <v>7</v>
      </c>
      <c r="G1568" s="307" t="s">
        <v>11</v>
      </c>
      <c r="H1568" s="307" t="s">
        <v>11</v>
      </c>
    </row>
    <row r="1569" spans="1:8" x14ac:dyDescent="0.2">
      <c r="A1569" t="s">
        <v>35</v>
      </c>
      <c r="B1569" t="s">
        <v>94</v>
      </c>
      <c r="C1569" t="s">
        <v>838</v>
      </c>
      <c r="D1569">
        <v>2</v>
      </c>
      <c r="E1569" s="307">
        <v>4</v>
      </c>
      <c r="F1569" s="307" t="s">
        <v>7</v>
      </c>
      <c r="G1569" s="307" t="s">
        <v>11</v>
      </c>
      <c r="H1569" s="307" t="s">
        <v>11</v>
      </c>
    </row>
    <row r="1570" spans="1:8" x14ac:dyDescent="0.2">
      <c r="A1570" t="s">
        <v>35</v>
      </c>
      <c r="B1570" t="s">
        <v>94</v>
      </c>
      <c r="C1570" t="s">
        <v>841</v>
      </c>
      <c r="D1570">
        <v>2</v>
      </c>
      <c r="E1570" s="307">
        <v>4</v>
      </c>
      <c r="F1570" s="307" t="s">
        <v>7</v>
      </c>
      <c r="G1570" s="307" t="s">
        <v>11</v>
      </c>
      <c r="H1570" s="307" t="s">
        <v>11</v>
      </c>
    </row>
    <row r="1571" spans="1:8" x14ac:dyDescent="0.2">
      <c r="A1571" t="s">
        <v>35</v>
      </c>
      <c r="B1571" t="s">
        <v>94</v>
      </c>
      <c r="C1571" t="s">
        <v>1016</v>
      </c>
      <c r="D1571">
        <v>2</v>
      </c>
      <c r="E1571" s="307">
        <v>5</v>
      </c>
      <c r="F1571" s="307" t="s">
        <v>7</v>
      </c>
      <c r="G1571" s="307" t="s">
        <v>11</v>
      </c>
      <c r="H1571" s="307" t="s">
        <v>11</v>
      </c>
    </row>
    <row r="1572" spans="1:8" x14ac:dyDescent="0.2">
      <c r="A1572" t="s">
        <v>35</v>
      </c>
      <c r="B1572" t="s">
        <v>94</v>
      </c>
      <c r="C1572" t="s">
        <v>1706</v>
      </c>
      <c r="D1572">
        <v>2</v>
      </c>
      <c r="E1572" s="307">
        <v>5</v>
      </c>
      <c r="F1572" s="307" t="s">
        <v>7</v>
      </c>
      <c r="G1572" s="307" t="s">
        <v>11</v>
      </c>
      <c r="H1572" s="307" t="s">
        <v>11</v>
      </c>
    </row>
    <row r="1573" spans="1:8" x14ac:dyDescent="0.2">
      <c r="A1573" t="s">
        <v>35</v>
      </c>
      <c r="B1573" t="s">
        <v>94</v>
      </c>
      <c r="C1573" t="s">
        <v>741</v>
      </c>
      <c r="D1573">
        <v>2</v>
      </c>
      <c r="E1573" s="307">
        <v>4</v>
      </c>
      <c r="F1573" s="307" t="s">
        <v>7</v>
      </c>
      <c r="G1573" s="307" t="s">
        <v>11</v>
      </c>
      <c r="H1573" s="307" t="s">
        <v>11</v>
      </c>
    </row>
    <row r="1574" spans="1:8" x14ac:dyDescent="0.2">
      <c r="A1574" t="s">
        <v>35</v>
      </c>
      <c r="B1574" t="s">
        <v>94</v>
      </c>
      <c r="C1574" t="s">
        <v>1707</v>
      </c>
      <c r="D1574">
        <v>2</v>
      </c>
      <c r="E1574" s="307">
        <v>4</v>
      </c>
      <c r="F1574" s="307" t="s">
        <v>7</v>
      </c>
      <c r="G1574" s="307" t="s">
        <v>11</v>
      </c>
      <c r="H1574" s="307" t="s">
        <v>11</v>
      </c>
    </row>
    <row r="1575" spans="1:8" x14ac:dyDescent="0.2">
      <c r="A1575" t="s">
        <v>35</v>
      </c>
      <c r="B1575" t="s">
        <v>94</v>
      </c>
      <c r="C1575" t="s">
        <v>1708</v>
      </c>
      <c r="D1575">
        <v>2</v>
      </c>
      <c r="E1575" s="307">
        <v>4</v>
      </c>
      <c r="F1575" s="307" t="s">
        <v>7</v>
      </c>
      <c r="G1575" s="307" t="s">
        <v>11</v>
      </c>
      <c r="H1575" s="307" t="s">
        <v>11</v>
      </c>
    </row>
    <row r="1576" spans="1:8" x14ac:dyDescent="0.2">
      <c r="A1576" t="s">
        <v>35</v>
      </c>
      <c r="B1576" t="s">
        <v>94</v>
      </c>
      <c r="C1576" t="s">
        <v>1253</v>
      </c>
      <c r="D1576">
        <v>2</v>
      </c>
      <c r="E1576" s="307">
        <v>4</v>
      </c>
      <c r="F1576" s="307" t="s">
        <v>7</v>
      </c>
      <c r="G1576" s="307" t="s">
        <v>11</v>
      </c>
      <c r="H1576" s="307" t="s">
        <v>11</v>
      </c>
    </row>
    <row r="1577" spans="1:8" x14ac:dyDescent="0.2">
      <c r="A1577" t="s">
        <v>35</v>
      </c>
      <c r="B1577" t="s">
        <v>94</v>
      </c>
      <c r="C1577" t="s">
        <v>1466</v>
      </c>
      <c r="D1577">
        <v>2</v>
      </c>
      <c r="E1577" s="307">
        <v>4</v>
      </c>
      <c r="F1577" s="307" t="s">
        <v>7</v>
      </c>
      <c r="G1577" s="307" t="s">
        <v>11</v>
      </c>
      <c r="H1577" s="307" t="s">
        <v>11</v>
      </c>
    </row>
    <row r="1578" spans="1:8" x14ac:dyDescent="0.2">
      <c r="A1578" t="s">
        <v>35</v>
      </c>
      <c r="B1578" t="s">
        <v>94</v>
      </c>
      <c r="C1578" t="s">
        <v>743</v>
      </c>
      <c r="D1578">
        <v>2</v>
      </c>
      <c r="E1578" s="307">
        <v>4</v>
      </c>
      <c r="F1578" s="307" t="s">
        <v>7</v>
      </c>
      <c r="G1578" s="307" t="s">
        <v>11</v>
      </c>
      <c r="H1578" s="307" t="s">
        <v>11</v>
      </c>
    </row>
    <row r="1579" spans="1:8" x14ac:dyDescent="0.2">
      <c r="A1579" t="s">
        <v>35</v>
      </c>
      <c r="B1579" t="s">
        <v>94</v>
      </c>
      <c r="C1579" t="s">
        <v>1709</v>
      </c>
      <c r="D1579">
        <v>2</v>
      </c>
      <c r="E1579" s="307">
        <v>4</v>
      </c>
      <c r="F1579" s="307" t="s">
        <v>7</v>
      </c>
      <c r="G1579" s="307" t="s">
        <v>11</v>
      </c>
      <c r="H1579" s="307" t="s">
        <v>11</v>
      </c>
    </row>
    <row r="1580" spans="1:8" x14ac:dyDescent="0.2">
      <c r="A1580" t="s">
        <v>35</v>
      </c>
      <c r="B1580" t="s">
        <v>94</v>
      </c>
      <c r="C1580" t="s">
        <v>1629</v>
      </c>
      <c r="D1580">
        <v>2</v>
      </c>
      <c r="E1580" s="307">
        <v>4</v>
      </c>
      <c r="F1580" s="307" t="s">
        <v>7</v>
      </c>
      <c r="G1580" s="307" t="s">
        <v>11</v>
      </c>
      <c r="H1580" s="307" t="s">
        <v>11</v>
      </c>
    </row>
    <row r="1581" spans="1:8" x14ac:dyDescent="0.2">
      <c r="A1581" t="s">
        <v>35</v>
      </c>
      <c r="B1581" t="s">
        <v>94</v>
      </c>
      <c r="C1581" t="s">
        <v>1710</v>
      </c>
      <c r="D1581">
        <v>2</v>
      </c>
      <c r="E1581" s="307">
        <v>4</v>
      </c>
      <c r="F1581" s="307" t="s">
        <v>7</v>
      </c>
      <c r="G1581" s="307" t="s">
        <v>11</v>
      </c>
      <c r="H1581" s="307" t="s">
        <v>11</v>
      </c>
    </row>
    <row r="1582" spans="1:8" x14ac:dyDescent="0.2">
      <c r="A1582" t="s">
        <v>35</v>
      </c>
      <c r="B1582" t="s">
        <v>94</v>
      </c>
      <c r="C1582" t="s">
        <v>1711</v>
      </c>
      <c r="D1582">
        <v>2</v>
      </c>
      <c r="E1582" s="307">
        <v>4</v>
      </c>
      <c r="F1582" s="307" t="s">
        <v>7</v>
      </c>
      <c r="G1582" s="307" t="s">
        <v>11</v>
      </c>
      <c r="H1582" s="307" t="s">
        <v>11</v>
      </c>
    </row>
    <row r="1583" spans="1:8" x14ac:dyDescent="0.2">
      <c r="A1583" t="s">
        <v>35</v>
      </c>
      <c r="B1583" t="s">
        <v>94</v>
      </c>
      <c r="C1583" t="s">
        <v>843</v>
      </c>
      <c r="D1583">
        <v>2</v>
      </c>
      <c r="E1583" s="307">
        <v>4</v>
      </c>
      <c r="F1583" s="307" t="s">
        <v>7</v>
      </c>
      <c r="G1583" s="307" t="s">
        <v>11</v>
      </c>
      <c r="H1583" s="307" t="s">
        <v>11</v>
      </c>
    </row>
    <row r="1584" spans="1:8" x14ac:dyDescent="0.2">
      <c r="A1584" t="s">
        <v>35</v>
      </c>
      <c r="B1584" t="s">
        <v>94</v>
      </c>
      <c r="C1584" t="s">
        <v>1217</v>
      </c>
      <c r="D1584">
        <v>2</v>
      </c>
      <c r="E1584" s="307">
        <v>5</v>
      </c>
      <c r="F1584" s="307" t="s">
        <v>7</v>
      </c>
      <c r="G1584" s="307" t="s">
        <v>11</v>
      </c>
      <c r="H1584" s="307" t="s">
        <v>11</v>
      </c>
    </row>
    <row r="1585" spans="1:8" x14ac:dyDescent="0.2">
      <c r="A1585" t="s">
        <v>35</v>
      </c>
      <c r="B1585" t="s">
        <v>94</v>
      </c>
      <c r="C1585" t="s">
        <v>1712</v>
      </c>
      <c r="D1585">
        <v>2</v>
      </c>
      <c r="E1585" s="307">
        <v>5</v>
      </c>
      <c r="F1585" s="307" t="s">
        <v>7</v>
      </c>
      <c r="G1585" s="307" t="s">
        <v>11</v>
      </c>
      <c r="H1585" s="307" t="s">
        <v>11</v>
      </c>
    </row>
    <row r="1586" spans="1:8" x14ac:dyDescent="0.2">
      <c r="A1586" t="s">
        <v>35</v>
      </c>
      <c r="B1586" t="s">
        <v>94</v>
      </c>
      <c r="C1586" t="s">
        <v>844</v>
      </c>
      <c r="D1586">
        <v>3</v>
      </c>
      <c r="E1586" s="307">
        <v>4</v>
      </c>
      <c r="F1586" s="307" t="s">
        <v>7</v>
      </c>
      <c r="G1586" s="307" t="s">
        <v>11</v>
      </c>
      <c r="H1586" s="307" t="s">
        <v>11</v>
      </c>
    </row>
    <row r="1587" spans="1:8" x14ac:dyDescent="0.2">
      <c r="A1587" t="s">
        <v>35</v>
      </c>
      <c r="B1587" t="s">
        <v>94</v>
      </c>
      <c r="C1587" t="s">
        <v>1713</v>
      </c>
      <c r="D1587">
        <v>2</v>
      </c>
      <c r="E1587" s="307">
        <v>4</v>
      </c>
      <c r="F1587" s="307" t="s">
        <v>7</v>
      </c>
      <c r="G1587" s="307" t="s">
        <v>11</v>
      </c>
      <c r="H1587" s="307" t="s">
        <v>11</v>
      </c>
    </row>
    <row r="1588" spans="1:8" x14ac:dyDescent="0.2">
      <c r="A1588" t="s">
        <v>35</v>
      </c>
      <c r="B1588" t="s">
        <v>94</v>
      </c>
      <c r="C1588" t="s">
        <v>744</v>
      </c>
      <c r="D1588">
        <v>2</v>
      </c>
      <c r="E1588" s="307">
        <v>5</v>
      </c>
      <c r="F1588" s="307" t="s">
        <v>7</v>
      </c>
      <c r="G1588" s="307" t="s">
        <v>11</v>
      </c>
      <c r="H1588" s="307" t="s">
        <v>11</v>
      </c>
    </row>
    <row r="1589" spans="1:8" x14ac:dyDescent="0.2">
      <c r="A1589" t="s">
        <v>35</v>
      </c>
      <c r="B1589" t="s">
        <v>94</v>
      </c>
      <c r="C1589" t="s">
        <v>1714</v>
      </c>
      <c r="D1589">
        <v>3</v>
      </c>
      <c r="E1589" s="307">
        <v>4</v>
      </c>
      <c r="F1589" s="307" t="s">
        <v>7</v>
      </c>
      <c r="G1589" s="307" t="s">
        <v>11</v>
      </c>
      <c r="H1589" s="307" t="s">
        <v>11</v>
      </c>
    </row>
    <row r="1590" spans="1:8" x14ac:dyDescent="0.2">
      <c r="A1590" t="s">
        <v>35</v>
      </c>
      <c r="B1590" t="s">
        <v>94</v>
      </c>
      <c r="C1590" t="s">
        <v>849</v>
      </c>
      <c r="D1590">
        <v>2</v>
      </c>
      <c r="E1590" s="307">
        <v>4</v>
      </c>
      <c r="F1590" s="307" t="s">
        <v>7</v>
      </c>
      <c r="G1590" s="307" t="s">
        <v>11</v>
      </c>
      <c r="H1590" s="307" t="s">
        <v>11</v>
      </c>
    </row>
    <row r="1591" spans="1:8" x14ac:dyDescent="0.2">
      <c r="A1591" t="s">
        <v>35</v>
      </c>
      <c r="B1591" t="s">
        <v>94</v>
      </c>
      <c r="C1591" t="s">
        <v>1259</v>
      </c>
      <c r="D1591">
        <v>2</v>
      </c>
      <c r="E1591" s="307">
        <v>5</v>
      </c>
      <c r="F1591" s="307" t="s">
        <v>7</v>
      </c>
      <c r="G1591" s="307" t="s">
        <v>11</v>
      </c>
      <c r="H1591" s="307" t="s">
        <v>11</v>
      </c>
    </row>
    <row r="1592" spans="1:8" x14ac:dyDescent="0.2">
      <c r="A1592" t="s">
        <v>35</v>
      </c>
      <c r="B1592" t="s">
        <v>94</v>
      </c>
      <c r="C1592" t="s">
        <v>1715</v>
      </c>
      <c r="D1592">
        <v>2</v>
      </c>
      <c r="E1592" s="307">
        <v>4</v>
      </c>
      <c r="F1592" s="307" t="s">
        <v>7</v>
      </c>
      <c r="G1592" s="307" t="s">
        <v>11</v>
      </c>
      <c r="H1592" s="307" t="s">
        <v>11</v>
      </c>
    </row>
    <row r="1593" spans="1:8" x14ac:dyDescent="0.2">
      <c r="A1593" t="s">
        <v>35</v>
      </c>
      <c r="B1593" t="s">
        <v>94</v>
      </c>
      <c r="C1593" t="s">
        <v>1716</v>
      </c>
      <c r="D1593">
        <v>2</v>
      </c>
      <c r="E1593" s="307">
        <v>4</v>
      </c>
      <c r="F1593" s="307" t="s">
        <v>7</v>
      </c>
      <c r="G1593" s="307" t="s">
        <v>11</v>
      </c>
      <c r="H1593" s="307" t="s">
        <v>11</v>
      </c>
    </row>
    <row r="1594" spans="1:8" x14ac:dyDescent="0.2">
      <c r="A1594" t="s">
        <v>35</v>
      </c>
      <c r="B1594" t="s">
        <v>94</v>
      </c>
      <c r="C1594" t="s">
        <v>1477</v>
      </c>
      <c r="D1594">
        <v>2</v>
      </c>
      <c r="E1594" s="307">
        <v>4</v>
      </c>
      <c r="F1594" s="307" t="s">
        <v>7</v>
      </c>
      <c r="G1594" s="307" t="s">
        <v>11</v>
      </c>
      <c r="H1594" s="307" t="s">
        <v>11</v>
      </c>
    </row>
    <row r="1595" spans="1:8" x14ac:dyDescent="0.2">
      <c r="A1595" t="s">
        <v>35</v>
      </c>
      <c r="B1595" t="s">
        <v>94</v>
      </c>
      <c r="C1595" t="s">
        <v>1128</v>
      </c>
      <c r="D1595">
        <v>2</v>
      </c>
      <c r="E1595" s="307">
        <v>4</v>
      </c>
      <c r="F1595" s="307" t="s">
        <v>7</v>
      </c>
      <c r="G1595" s="307" t="s">
        <v>11</v>
      </c>
      <c r="H1595" s="307" t="s">
        <v>11</v>
      </c>
    </row>
    <row r="1596" spans="1:8" x14ac:dyDescent="0.2">
      <c r="A1596" t="s">
        <v>35</v>
      </c>
      <c r="B1596" t="s">
        <v>94</v>
      </c>
      <c r="C1596" t="s">
        <v>750</v>
      </c>
      <c r="D1596">
        <v>2</v>
      </c>
      <c r="E1596" s="307">
        <v>4</v>
      </c>
      <c r="F1596" s="307" t="s">
        <v>7</v>
      </c>
      <c r="G1596" s="307" t="s">
        <v>11</v>
      </c>
      <c r="H1596" s="307" t="s">
        <v>11</v>
      </c>
    </row>
    <row r="1597" spans="1:8" x14ac:dyDescent="0.2">
      <c r="A1597" t="s">
        <v>35</v>
      </c>
      <c r="B1597" t="s">
        <v>94</v>
      </c>
      <c r="C1597" t="s">
        <v>1129</v>
      </c>
      <c r="D1597">
        <v>2</v>
      </c>
      <c r="E1597" s="307">
        <v>4</v>
      </c>
      <c r="F1597" s="307" t="s">
        <v>7</v>
      </c>
      <c r="G1597" s="307" t="s">
        <v>11</v>
      </c>
      <c r="H1597" s="307" t="s">
        <v>11</v>
      </c>
    </row>
    <row r="1598" spans="1:8" x14ac:dyDescent="0.2">
      <c r="A1598" t="s">
        <v>35</v>
      </c>
      <c r="B1598" t="s">
        <v>94</v>
      </c>
      <c r="C1598" t="s">
        <v>1130</v>
      </c>
      <c r="D1598">
        <v>2</v>
      </c>
      <c r="E1598" s="307">
        <v>4</v>
      </c>
      <c r="F1598" s="307" t="s">
        <v>7</v>
      </c>
      <c r="G1598" s="307" t="s">
        <v>11</v>
      </c>
      <c r="H1598" s="307" t="s">
        <v>11</v>
      </c>
    </row>
    <row r="1599" spans="1:8" x14ac:dyDescent="0.2">
      <c r="A1599" t="s">
        <v>35</v>
      </c>
      <c r="B1599" t="s">
        <v>94</v>
      </c>
      <c r="C1599" t="s">
        <v>1135</v>
      </c>
      <c r="D1599">
        <v>2</v>
      </c>
      <c r="E1599" s="307">
        <v>5</v>
      </c>
      <c r="F1599" s="307" t="s">
        <v>7</v>
      </c>
      <c r="G1599" s="307" t="s">
        <v>11</v>
      </c>
      <c r="H1599" s="307" t="s">
        <v>11</v>
      </c>
    </row>
    <row r="1600" spans="1:8" x14ac:dyDescent="0.2">
      <c r="A1600" t="s">
        <v>35</v>
      </c>
      <c r="B1600" t="s">
        <v>94</v>
      </c>
      <c r="C1600" t="s">
        <v>1313</v>
      </c>
      <c r="D1600">
        <v>2</v>
      </c>
      <c r="E1600" s="307">
        <v>4</v>
      </c>
      <c r="F1600" s="307" t="s">
        <v>7</v>
      </c>
      <c r="G1600" s="307" t="s">
        <v>11</v>
      </c>
      <c r="H1600" s="307" t="s">
        <v>11</v>
      </c>
    </row>
    <row r="1601" spans="1:8" x14ac:dyDescent="0.2">
      <c r="A1601" t="s">
        <v>37</v>
      </c>
      <c r="B1601" t="s">
        <v>78</v>
      </c>
      <c r="C1601" t="s">
        <v>1717</v>
      </c>
      <c r="D1601">
        <v>1</v>
      </c>
      <c r="E1601" s="307">
        <v>6</v>
      </c>
      <c r="F1601" s="307" t="s">
        <v>75</v>
      </c>
      <c r="G1601" s="307" t="s">
        <v>11</v>
      </c>
      <c r="H1601" s="307" t="s">
        <v>11</v>
      </c>
    </row>
    <row r="1602" spans="1:8" x14ac:dyDescent="0.2">
      <c r="A1602" t="s">
        <v>37</v>
      </c>
      <c r="B1602" t="s">
        <v>78</v>
      </c>
      <c r="C1602" t="s">
        <v>1718</v>
      </c>
      <c r="D1602">
        <v>1</v>
      </c>
      <c r="E1602" s="307">
        <v>6</v>
      </c>
      <c r="F1602" s="307" t="s">
        <v>75</v>
      </c>
      <c r="G1602" s="307" t="s">
        <v>11</v>
      </c>
      <c r="H1602" s="307" t="s">
        <v>11</v>
      </c>
    </row>
    <row r="1603" spans="1:8" x14ac:dyDescent="0.2">
      <c r="A1603" t="s">
        <v>37</v>
      </c>
      <c r="B1603" t="s">
        <v>78</v>
      </c>
      <c r="C1603" t="s">
        <v>1146</v>
      </c>
      <c r="D1603">
        <v>1</v>
      </c>
      <c r="E1603" s="307">
        <v>6</v>
      </c>
      <c r="F1603" s="307" t="s">
        <v>75</v>
      </c>
      <c r="G1603" s="307" t="s">
        <v>11</v>
      </c>
      <c r="H1603" s="307" t="s">
        <v>11</v>
      </c>
    </row>
    <row r="1604" spans="1:8" x14ac:dyDescent="0.2">
      <c r="A1604" t="s">
        <v>37</v>
      </c>
      <c r="B1604" t="s">
        <v>78</v>
      </c>
      <c r="C1604" t="s">
        <v>1719</v>
      </c>
      <c r="D1604">
        <v>1</v>
      </c>
      <c r="E1604" s="307">
        <v>6</v>
      </c>
      <c r="F1604" s="307" t="s">
        <v>75</v>
      </c>
      <c r="G1604" s="307" t="s">
        <v>11</v>
      </c>
      <c r="H1604" s="307" t="s">
        <v>11</v>
      </c>
    </row>
    <row r="1605" spans="1:8" x14ac:dyDescent="0.2">
      <c r="A1605" t="s">
        <v>37</v>
      </c>
      <c r="B1605" t="s">
        <v>78</v>
      </c>
      <c r="C1605" t="s">
        <v>1720</v>
      </c>
      <c r="D1605">
        <v>1</v>
      </c>
      <c r="E1605" s="307">
        <v>6</v>
      </c>
      <c r="F1605" s="307" t="s">
        <v>75</v>
      </c>
      <c r="G1605" s="307" t="s">
        <v>11</v>
      </c>
      <c r="H1605" s="307" t="s">
        <v>11</v>
      </c>
    </row>
    <row r="1606" spans="1:8" x14ac:dyDescent="0.2">
      <c r="A1606" t="s">
        <v>37</v>
      </c>
      <c r="B1606" t="s">
        <v>78</v>
      </c>
      <c r="C1606" t="s">
        <v>1395</v>
      </c>
      <c r="D1606">
        <v>1</v>
      </c>
      <c r="E1606" s="307">
        <v>6</v>
      </c>
      <c r="F1606" s="307" t="s">
        <v>75</v>
      </c>
      <c r="G1606" s="307" t="s">
        <v>11</v>
      </c>
      <c r="H1606" s="307" t="s">
        <v>11</v>
      </c>
    </row>
    <row r="1607" spans="1:8" x14ac:dyDescent="0.2">
      <c r="A1607" t="s">
        <v>37</v>
      </c>
      <c r="B1607" t="s">
        <v>78</v>
      </c>
      <c r="C1607" t="s">
        <v>1721</v>
      </c>
      <c r="D1607">
        <v>1</v>
      </c>
      <c r="E1607" s="307">
        <v>6</v>
      </c>
      <c r="F1607" s="307" t="s">
        <v>75</v>
      </c>
      <c r="G1607" s="307" t="s">
        <v>11</v>
      </c>
      <c r="H1607" s="307" t="s">
        <v>11</v>
      </c>
    </row>
    <row r="1608" spans="1:8" x14ac:dyDescent="0.2">
      <c r="A1608" t="s">
        <v>37</v>
      </c>
      <c r="B1608" t="s">
        <v>78</v>
      </c>
      <c r="C1608" t="s">
        <v>1722</v>
      </c>
      <c r="D1608">
        <v>1</v>
      </c>
      <c r="E1608" s="307">
        <v>6</v>
      </c>
      <c r="F1608" s="307" t="s">
        <v>75</v>
      </c>
      <c r="G1608" s="307" t="s">
        <v>11</v>
      </c>
      <c r="H1608" s="307" t="s">
        <v>11</v>
      </c>
    </row>
    <row r="1609" spans="1:8" x14ac:dyDescent="0.2">
      <c r="A1609" t="s">
        <v>37</v>
      </c>
      <c r="B1609" t="s">
        <v>78</v>
      </c>
      <c r="C1609" t="s">
        <v>925</v>
      </c>
      <c r="D1609">
        <v>1</v>
      </c>
      <c r="E1609" s="307">
        <v>6</v>
      </c>
      <c r="F1609" s="307" t="s">
        <v>75</v>
      </c>
      <c r="G1609" s="307" t="s">
        <v>11</v>
      </c>
      <c r="H1609" s="307" t="s">
        <v>11</v>
      </c>
    </row>
    <row r="1610" spans="1:8" x14ac:dyDescent="0.2">
      <c r="A1610" t="s">
        <v>37</v>
      </c>
      <c r="B1610" t="s">
        <v>78</v>
      </c>
      <c r="C1610" t="s">
        <v>1723</v>
      </c>
      <c r="D1610">
        <v>1</v>
      </c>
      <c r="E1610" s="307">
        <v>6</v>
      </c>
      <c r="F1610" s="307" t="s">
        <v>75</v>
      </c>
      <c r="G1610" s="307" t="s">
        <v>11</v>
      </c>
      <c r="H1610" s="307" t="s">
        <v>11</v>
      </c>
    </row>
    <row r="1611" spans="1:8" x14ac:dyDescent="0.2">
      <c r="A1611" t="s">
        <v>37</v>
      </c>
      <c r="B1611" t="s">
        <v>78</v>
      </c>
      <c r="C1611" t="s">
        <v>1057</v>
      </c>
      <c r="D1611">
        <v>1</v>
      </c>
      <c r="E1611" s="307">
        <v>6</v>
      </c>
      <c r="F1611" s="307" t="s">
        <v>75</v>
      </c>
      <c r="G1611" s="307" t="s">
        <v>11</v>
      </c>
      <c r="H1611" s="307" t="s">
        <v>11</v>
      </c>
    </row>
    <row r="1612" spans="1:8" x14ac:dyDescent="0.2">
      <c r="A1612" t="s">
        <v>37</v>
      </c>
      <c r="B1612" t="s">
        <v>78</v>
      </c>
      <c r="C1612" t="s">
        <v>1724</v>
      </c>
      <c r="D1612">
        <v>1</v>
      </c>
      <c r="E1612" s="307">
        <v>6</v>
      </c>
      <c r="F1612" s="307" t="s">
        <v>75</v>
      </c>
      <c r="G1612" s="307" t="s">
        <v>11</v>
      </c>
      <c r="H1612" s="307" t="s">
        <v>11</v>
      </c>
    </row>
    <row r="1613" spans="1:8" x14ac:dyDescent="0.2">
      <c r="A1613" t="s">
        <v>37</v>
      </c>
      <c r="B1613" t="s">
        <v>78</v>
      </c>
      <c r="C1613" t="s">
        <v>1725</v>
      </c>
      <c r="D1613">
        <v>1</v>
      </c>
      <c r="E1613" s="307">
        <v>6</v>
      </c>
      <c r="F1613" s="307" t="s">
        <v>75</v>
      </c>
      <c r="G1613" s="307" t="s">
        <v>11</v>
      </c>
      <c r="H1613" s="307" t="s">
        <v>11</v>
      </c>
    </row>
    <row r="1614" spans="1:8" x14ac:dyDescent="0.2">
      <c r="A1614" t="s">
        <v>37</v>
      </c>
      <c r="B1614" t="s">
        <v>78</v>
      </c>
      <c r="C1614" t="s">
        <v>1726</v>
      </c>
      <c r="D1614">
        <v>1</v>
      </c>
      <c r="E1614" s="307">
        <v>6</v>
      </c>
      <c r="F1614" s="307" t="s">
        <v>75</v>
      </c>
      <c r="G1614" s="307" t="s">
        <v>11</v>
      </c>
      <c r="H1614" s="307" t="s">
        <v>11</v>
      </c>
    </row>
    <row r="1615" spans="1:8" x14ac:dyDescent="0.2">
      <c r="A1615" t="s">
        <v>37</v>
      </c>
      <c r="B1615" t="s">
        <v>78</v>
      </c>
      <c r="C1615" t="s">
        <v>1727</v>
      </c>
      <c r="D1615">
        <v>1</v>
      </c>
      <c r="E1615" s="307">
        <v>6</v>
      </c>
      <c r="F1615" s="307" t="s">
        <v>75</v>
      </c>
      <c r="G1615" s="307" t="s">
        <v>11</v>
      </c>
      <c r="H1615" s="307" t="s">
        <v>11</v>
      </c>
    </row>
    <row r="1616" spans="1:8" x14ac:dyDescent="0.2">
      <c r="A1616" t="s">
        <v>37</v>
      </c>
      <c r="B1616" t="s">
        <v>78</v>
      </c>
      <c r="C1616" t="s">
        <v>1189</v>
      </c>
      <c r="D1616">
        <v>1</v>
      </c>
      <c r="E1616" s="307">
        <v>6</v>
      </c>
      <c r="F1616" s="307" t="s">
        <v>75</v>
      </c>
      <c r="G1616" s="307" t="s">
        <v>11</v>
      </c>
      <c r="H1616" s="307" t="s">
        <v>11</v>
      </c>
    </row>
    <row r="1617" spans="1:8" x14ac:dyDescent="0.2">
      <c r="A1617" t="s">
        <v>37</v>
      </c>
      <c r="B1617" t="s">
        <v>78</v>
      </c>
      <c r="C1617" t="s">
        <v>934</v>
      </c>
      <c r="D1617">
        <v>1</v>
      </c>
      <c r="E1617" s="307">
        <v>6</v>
      </c>
      <c r="F1617" s="307" t="s">
        <v>75</v>
      </c>
      <c r="G1617" s="307" t="s">
        <v>11</v>
      </c>
      <c r="H1617" s="307" t="s">
        <v>11</v>
      </c>
    </row>
    <row r="1618" spans="1:8" x14ac:dyDescent="0.2">
      <c r="A1618" t="s">
        <v>37</v>
      </c>
      <c r="B1618" t="s">
        <v>78</v>
      </c>
      <c r="C1618" t="s">
        <v>1728</v>
      </c>
      <c r="D1618">
        <v>1</v>
      </c>
      <c r="E1618" s="307">
        <v>6</v>
      </c>
      <c r="F1618" s="307" t="s">
        <v>75</v>
      </c>
      <c r="G1618" s="307" t="s">
        <v>11</v>
      </c>
      <c r="H1618" s="307" t="s">
        <v>11</v>
      </c>
    </row>
    <row r="1619" spans="1:8" x14ac:dyDescent="0.2">
      <c r="A1619" t="s">
        <v>37</v>
      </c>
      <c r="B1619" t="s">
        <v>78</v>
      </c>
      <c r="C1619" t="s">
        <v>1729</v>
      </c>
      <c r="D1619">
        <v>2</v>
      </c>
      <c r="E1619" s="307">
        <v>6</v>
      </c>
      <c r="F1619" s="307" t="s">
        <v>75</v>
      </c>
      <c r="G1619" s="307" t="s">
        <v>11</v>
      </c>
      <c r="H1619" s="307" t="s">
        <v>11</v>
      </c>
    </row>
    <row r="1620" spans="1:8" x14ac:dyDescent="0.2">
      <c r="A1620" t="s">
        <v>37</v>
      </c>
      <c r="B1620" t="s">
        <v>78</v>
      </c>
      <c r="C1620" t="s">
        <v>1730</v>
      </c>
      <c r="D1620">
        <v>1</v>
      </c>
      <c r="E1620" s="307">
        <v>6</v>
      </c>
      <c r="F1620" s="307" t="s">
        <v>75</v>
      </c>
      <c r="G1620" s="307" t="s">
        <v>11</v>
      </c>
      <c r="H1620" s="307" t="s">
        <v>11</v>
      </c>
    </row>
    <row r="1621" spans="1:8" x14ac:dyDescent="0.2">
      <c r="A1621" t="s">
        <v>37</v>
      </c>
      <c r="B1621" t="s">
        <v>78</v>
      </c>
      <c r="C1621" t="s">
        <v>1731</v>
      </c>
      <c r="D1621">
        <v>1</v>
      </c>
      <c r="E1621" s="307">
        <v>6</v>
      </c>
      <c r="F1621" s="307" t="s">
        <v>75</v>
      </c>
      <c r="G1621" s="307" t="s">
        <v>11</v>
      </c>
      <c r="H1621" s="307" t="s">
        <v>11</v>
      </c>
    </row>
    <row r="1622" spans="1:8" x14ac:dyDescent="0.2">
      <c r="A1622" t="s">
        <v>37</v>
      </c>
      <c r="B1622" t="s">
        <v>78</v>
      </c>
      <c r="C1622" t="s">
        <v>722</v>
      </c>
      <c r="D1622">
        <v>1</v>
      </c>
      <c r="E1622" s="307">
        <v>6</v>
      </c>
      <c r="F1622" s="307" t="s">
        <v>75</v>
      </c>
      <c r="G1622" s="307" t="s">
        <v>11</v>
      </c>
      <c r="H1622" s="307" t="s">
        <v>11</v>
      </c>
    </row>
    <row r="1623" spans="1:8" x14ac:dyDescent="0.2">
      <c r="A1623" t="s">
        <v>37</v>
      </c>
      <c r="B1623" t="s">
        <v>78</v>
      </c>
      <c r="C1623" t="s">
        <v>1732</v>
      </c>
      <c r="D1623">
        <v>1</v>
      </c>
      <c r="E1623" s="307">
        <v>6</v>
      </c>
      <c r="F1623" s="307" t="s">
        <v>75</v>
      </c>
      <c r="G1623" s="307" t="s">
        <v>11</v>
      </c>
      <c r="H1623" s="307" t="s">
        <v>11</v>
      </c>
    </row>
    <row r="1624" spans="1:8" x14ac:dyDescent="0.2">
      <c r="A1624" t="s">
        <v>37</v>
      </c>
      <c r="B1624" t="s">
        <v>78</v>
      </c>
      <c r="C1624" t="s">
        <v>871</v>
      </c>
      <c r="D1624">
        <v>1</v>
      </c>
      <c r="E1624" s="307">
        <v>6</v>
      </c>
      <c r="F1624" s="307" t="s">
        <v>75</v>
      </c>
      <c r="G1624" s="307" t="s">
        <v>11</v>
      </c>
      <c r="H1624" s="307" t="s">
        <v>11</v>
      </c>
    </row>
    <row r="1625" spans="1:8" x14ac:dyDescent="0.2">
      <c r="A1625" t="s">
        <v>37</v>
      </c>
      <c r="B1625" t="s">
        <v>78</v>
      </c>
      <c r="C1625" t="s">
        <v>1733</v>
      </c>
      <c r="D1625">
        <v>1</v>
      </c>
      <c r="E1625" s="307">
        <v>6</v>
      </c>
      <c r="F1625" s="307" t="s">
        <v>75</v>
      </c>
      <c r="G1625" s="307" t="s">
        <v>11</v>
      </c>
      <c r="H1625" s="307" t="s">
        <v>11</v>
      </c>
    </row>
    <row r="1626" spans="1:8" x14ac:dyDescent="0.2">
      <c r="A1626" t="s">
        <v>37</v>
      </c>
      <c r="B1626" t="s">
        <v>78</v>
      </c>
      <c r="C1626" t="s">
        <v>1005</v>
      </c>
      <c r="D1626">
        <v>1</v>
      </c>
      <c r="E1626" s="307">
        <v>6</v>
      </c>
      <c r="F1626" s="307" t="s">
        <v>75</v>
      </c>
      <c r="G1626" s="307" t="s">
        <v>11</v>
      </c>
      <c r="H1626" s="307" t="s">
        <v>11</v>
      </c>
    </row>
    <row r="1627" spans="1:8" x14ac:dyDescent="0.2">
      <c r="A1627" t="s">
        <v>37</v>
      </c>
      <c r="B1627" t="s">
        <v>78</v>
      </c>
      <c r="C1627" t="s">
        <v>827</v>
      </c>
      <c r="D1627">
        <v>1</v>
      </c>
      <c r="E1627" s="307">
        <v>6</v>
      </c>
      <c r="F1627" s="307" t="s">
        <v>75</v>
      </c>
      <c r="G1627" s="307" t="s">
        <v>11</v>
      </c>
      <c r="H1627" s="307" t="s">
        <v>11</v>
      </c>
    </row>
    <row r="1628" spans="1:8" x14ac:dyDescent="0.2">
      <c r="A1628" t="s">
        <v>37</v>
      </c>
      <c r="B1628" t="s">
        <v>78</v>
      </c>
      <c r="C1628" t="s">
        <v>730</v>
      </c>
      <c r="D1628">
        <v>1</v>
      </c>
      <c r="E1628" s="307">
        <v>6</v>
      </c>
      <c r="F1628" s="307" t="s">
        <v>75</v>
      </c>
      <c r="G1628" s="307" t="s">
        <v>11</v>
      </c>
      <c r="H1628" s="307" t="s">
        <v>11</v>
      </c>
    </row>
    <row r="1629" spans="1:8" x14ac:dyDescent="0.2">
      <c r="A1629" t="s">
        <v>37</v>
      </c>
      <c r="B1629" t="s">
        <v>78</v>
      </c>
      <c r="C1629" t="s">
        <v>1734</v>
      </c>
      <c r="D1629">
        <v>1</v>
      </c>
      <c r="E1629" s="307">
        <v>6</v>
      </c>
      <c r="F1629" s="307" t="s">
        <v>75</v>
      </c>
      <c r="G1629" s="307" t="s">
        <v>11</v>
      </c>
      <c r="H1629" s="307" t="s">
        <v>11</v>
      </c>
    </row>
    <row r="1630" spans="1:8" x14ac:dyDescent="0.2">
      <c r="A1630" t="s">
        <v>37</v>
      </c>
      <c r="B1630" t="s">
        <v>78</v>
      </c>
      <c r="C1630" t="s">
        <v>1735</v>
      </c>
      <c r="D1630">
        <v>1</v>
      </c>
      <c r="E1630" s="307">
        <v>6</v>
      </c>
      <c r="F1630" s="307" t="s">
        <v>75</v>
      </c>
      <c r="G1630" s="307" t="s">
        <v>11</v>
      </c>
      <c r="H1630" s="307" t="s">
        <v>11</v>
      </c>
    </row>
    <row r="1631" spans="1:8" x14ac:dyDescent="0.2">
      <c r="A1631" t="s">
        <v>37</v>
      </c>
      <c r="B1631" t="s">
        <v>78</v>
      </c>
      <c r="C1631" t="s">
        <v>946</v>
      </c>
      <c r="D1631">
        <v>1</v>
      </c>
      <c r="E1631" s="307">
        <v>6</v>
      </c>
      <c r="F1631" s="307" t="s">
        <v>75</v>
      </c>
      <c r="G1631" s="307" t="s">
        <v>11</v>
      </c>
      <c r="H1631" s="307" t="s">
        <v>11</v>
      </c>
    </row>
    <row r="1632" spans="1:8" x14ac:dyDescent="0.2">
      <c r="A1632" t="s">
        <v>37</v>
      </c>
      <c r="B1632" t="s">
        <v>78</v>
      </c>
      <c r="C1632" t="s">
        <v>1736</v>
      </c>
      <c r="D1632">
        <v>1</v>
      </c>
      <c r="E1632" s="307">
        <v>6</v>
      </c>
      <c r="F1632" s="307" t="s">
        <v>75</v>
      </c>
      <c r="G1632" s="307" t="s">
        <v>11</v>
      </c>
      <c r="H1632" s="307" t="s">
        <v>11</v>
      </c>
    </row>
    <row r="1633" spans="1:8" x14ac:dyDescent="0.2">
      <c r="A1633" t="s">
        <v>37</v>
      </c>
      <c r="B1633" t="s">
        <v>78</v>
      </c>
      <c r="C1633" t="s">
        <v>1737</v>
      </c>
      <c r="D1633">
        <v>2</v>
      </c>
      <c r="E1633" s="307">
        <v>6</v>
      </c>
      <c r="F1633" s="307" t="s">
        <v>75</v>
      </c>
      <c r="G1633" s="307" t="s">
        <v>11</v>
      </c>
      <c r="H1633" s="307" t="s">
        <v>11</v>
      </c>
    </row>
    <row r="1634" spans="1:8" x14ac:dyDescent="0.2">
      <c r="A1634" t="s">
        <v>37</v>
      </c>
      <c r="B1634" t="s">
        <v>78</v>
      </c>
      <c r="C1634" t="s">
        <v>952</v>
      </c>
      <c r="D1634">
        <v>1</v>
      </c>
      <c r="E1634" s="307">
        <v>6</v>
      </c>
      <c r="F1634" s="307" t="s">
        <v>75</v>
      </c>
      <c r="G1634" s="307" t="s">
        <v>11</v>
      </c>
      <c r="H1634" s="307" t="s">
        <v>11</v>
      </c>
    </row>
    <row r="1635" spans="1:8" x14ac:dyDescent="0.2">
      <c r="A1635" t="s">
        <v>37</v>
      </c>
      <c r="B1635" t="s">
        <v>78</v>
      </c>
      <c r="C1635" t="s">
        <v>1738</v>
      </c>
      <c r="D1635">
        <v>2</v>
      </c>
      <c r="E1635" s="307">
        <v>6</v>
      </c>
      <c r="F1635" s="307" t="s">
        <v>75</v>
      </c>
      <c r="G1635" s="307" t="s">
        <v>11</v>
      </c>
      <c r="H1635" s="307" t="s">
        <v>11</v>
      </c>
    </row>
    <row r="1636" spans="1:8" x14ac:dyDescent="0.2">
      <c r="A1636" t="s">
        <v>37</v>
      </c>
      <c r="B1636" t="s">
        <v>78</v>
      </c>
      <c r="C1636" t="s">
        <v>836</v>
      </c>
      <c r="D1636">
        <v>1</v>
      </c>
      <c r="E1636" s="307">
        <v>6</v>
      </c>
      <c r="F1636" s="307" t="s">
        <v>75</v>
      </c>
      <c r="G1636" s="307" t="s">
        <v>11</v>
      </c>
      <c r="H1636" s="307" t="s">
        <v>11</v>
      </c>
    </row>
    <row r="1637" spans="1:8" x14ac:dyDescent="0.2">
      <c r="A1637" t="s">
        <v>37</v>
      </c>
      <c r="B1637" t="s">
        <v>78</v>
      </c>
      <c r="C1637" t="s">
        <v>1739</v>
      </c>
      <c r="D1637">
        <v>1</v>
      </c>
      <c r="E1637" s="307">
        <v>6</v>
      </c>
      <c r="F1637" s="307" t="s">
        <v>75</v>
      </c>
      <c r="G1637" s="307" t="s">
        <v>11</v>
      </c>
      <c r="H1637" s="307" t="s">
        <v>11</v>
      </c>
    </row>
    <row r="1638" spans="1:8" x14ac:dyDescent="0.2">
      <c r="A1638" t="s">
        <v>37</v>
      </c>
      <c r="B1638" t="s">
        <v>78</v>
      </c>
      <c r="C1638" t="s">
        <v>1740</v>
      </c>
      <c r="D1638">
        <v>1</v>
      </c>
      <c r="E1638" s="307">
        <v>6</v>
      </c>
      <c r="F1638" s="307" t="s">
        <v>75</v>
      </c>
      <c r="G1638" s="307" t="s">
        <v>11</v>
      </c>
      <c r="H1638" s="307" t="s">
        <v>11</v>
      </c>
    </row>
    <row r="1639" spans="1:8" x14ac:dyDescent="0.2">
      <c r="A1639" t="s">
        <v>37</v>
      </c>
      <c r="B1639" t="s">
        <v>78</v>
      </c>
      <c r="C1639" t="s">
        <v>1427</v>
      </c>
      <c r="D1639">
        <v>1</v>
      </c>
      <c r="E1639" s="307">
        <v>6</v>
      </c>
      <c r="F1639" s="307" t="s">
        <v>75</v>
      </c>
      <c r="G1639" s="307" t="s">
        <v>11</v>
      </c>
      <c r="H1639" s="307" t="s">
        <v>11</v>
      </c>
    </row>
    <row r="1640" spans="1:8" x14ac:dyDescent="0.2">
      <c r="A1640" t="s">
        <v>37</v>
      </c>
      <c r="B1640" t="s">
        <v>78</v>
      </c>
      <c r="C1640" t="s">
        <v>840</v>
      </c>
      <c r="D1640">
        <v>1</v>
      </c>
      <c r="E1640" s="307">
        <v>6</v>
      </c>
      <c r="F1640" s="307" t="s">
        <v>75</v>
      </c>
      <c r="G1640" s="307" t="s">
        <v>11</v>
      </c>
      <c r="H1640" s="307" t="s">
        <v>11</v>
      </c>
    </row>
    <row r="1641" spans="1:8" x14ac:dyDescent="0.2">
      <c r="A1641" t="s">
        <v>37</v>
      </c>
      <c r="B1641" t="s">
        <v>78</v>
      </c>
      <c r="C1641" t="s">
        <v>1741</v>
      </c>
      <c r="D1641">
        <v>1</v>
      </c>
      <c r="E1641" s="307">
        <v>6</v>
      </c>
      <c r="F1641" s="307" t="s">
        <v>75</v>
      </c>
      <c r="G1641" s="307" t="s">
        <v>11</v>
      </c>
      <c r="H1641" s="307" t="s">
        <v>11</v>
      </c>
    </row>
    <row r="1642" spans="1:8" x14ac:dyDescent="0.2">
      <c r="A1642" t="s">
        <v>37</v>
      </c>
      <c r="B1642" t="s">
        <v>78</v>
      </c>
      <c r="C1642" t="s">
        <v>1214</v>
      </c>
      <c r="D1642">
        <v>1</v>
      </c>
      <c r="E1642" s="307">
        <v>6</v>
      </c>
      <c r="F1642" s="307" t="s">
        <v>75</v>
      </c>
      <c r="G1642" s="307" t="s">
        <v>11</v>
      </c>
      <c r="H1642" s="307" t="s">
        <v>11</v>
      </c>
    </row>
    <row r="1643" spans="1:8" x14ac:dyDescent="0.2">
      <c r="A1643" t="s">
        <v>37</v>
      </c>
      <c r="B1643" t="s">
        <v>78</v>
      </c>
      <c r="C1643" t="s">
        <v>1742</v>
      </c>
      <c r="D1643">
        <v>1</v>
      </c>
      <c r="E1643" s="307">
        <v>6</v>
      </c>
      <c r="F1643" s="307" t="s">
        <v>75</v>
      </c>
      <c r="G1643" s="307" t="s">
        <v>11</v>
      </c>
      <c r="H1643" s="307" t="s">
        <v>11</v>
      </c>
    </row>
    <row r="1644" spans="1:8" x14ac:dyDescent="0.2">
      <c r="A1644" t="s">
        <v>37</v>
      </c>
      <c r="B1644" t="s">
        <v>78</v>
      </c>
      <c r="C1644" t="s">
        <v>1743</v>
      </c>
      <c r="D1644">
        <v>1</v>
      </c>
      <c r="E1644" s="307">
        <v>6</v>
      </c>
      <c r="F1644" s="307" t="s">
        <v>75</v>
      </c>
      <c r="G1644" s="307" t="s">
        <v>11</v>
      </c>
      <c r="H1644" s="307" t="s">
        <v>11</v>
      </c>
    </row>
    <row r="1645" spans="1:8" x14ac:dyDescent="0.2">
      <c r="A1645" t="s">
        <v>37</v>
      </c>
      <c r="B1645" t="s">
        <v>78</v>
      </c>
      <c r="C1645" t="s">
        <v>1744</v>
      </c>
      <c r="D1645">
        <v>1</v>
      </c>
      <c r="E1645" s="307">
        <v>6</v>
      </c>
      <c r="F1645" s="307" t="s">
        <v>75</v>
      </c>
      <c r="G1645" s="307" t="s">
        <v>11</v>
      </c>
      <c r="H1645" s="307" t="s">
        <v>11</v>
      </c>
    </row>
    <row r="1646" spans="1:8" x14ac:dyDescent="0.2">
      <c r="A1646" t="s">
        <v>37</v>
      </c>
      <c r="B1646" t="s">
        <v>78</v>
      </c>
      <c r="C1646" t="s">
        <v>1367</v>
      </c>
      <c r="D1646">
        <v>1</v>
      </c>
      <c r="E1646" s="307">
        <v>6</v>
      </c>
      <c r="F1646" s="307" t="s">
        <v>75</v>
      </c>
      <c r="G1646" s="307" t="s">
        <v>11</v>
      </c>
      <c r="H1646" s="307" t="s">
        <v>11</v>
      </c>
    </row>
    <row r="1647" spans="1:8" x14ac:dyDescent="0.2">
      <c r="A1647" t="s">
        <v>37</v>
      </c>
      <c r="B1647" t="s">
        <v>78</v>
      </c>
      <c r="C1647" t="s">
        <v>1745</v>
      </c>
      <c r="D1647">
        <v>1</v>
      </c>
      <c r="E1647" s="307">
        <v>6</v>
      </c>
      <c r="F1647" s="307" t="s">
        <v>75</v>
      </c>
      <c r="G1647" s="307" t="s">
        <v>11</v>
      </c>
      <c r="H1647" s="307" t="s">
        <v>11</v>
      </c>
    </row>
    <row r="1648" spans="1:8" x14ac:dyDescent="0.2">
      <c r="A1648" t="s">
        <v>37</v>
      </c>
      <c r="B1648" t="s">
        <v>78</v>
      </c>
      <c r="C1648" t="s">
        <v>1746</v>
      </c>
      <c r="D1648">
        <v>1</v>
      </c>
      <c r="E1648" s="307">
        <v>6</v>
      </c>
      <c r="F1648" s="307" t="s">
        <v>75</v>
      </c>
      <c r="G1648" s="307" t="s">
        <v>11</v>
      </c>
      <c r="H1648" s="307" t="s">
        <v>11</v>
      </c>
    </row>
    <row r="1649" spans="1:8" x14ac:dyDescent="0.2">
      <c r="A1649" t="s">
        <v>37</v>
      </c>
      <c r="B1649" t="s">
        <v>78</v>
      </c>
      <c r="C1649" t="s">
        <v>1747</v>
      </c>
      <c r="D1649">
        <v>2</v>
      </c>
      <c r="E1649" s="307">
        <v>6</v>
      </c>
      <c r="F1649" s="307" t="s">
        <v>75</v>
      </c>
      <c r="G1649" s="307" t="s">
        <v>11</v>
      </c>
      <c r="H1649" s="307" t="s">
        <v>11</v>
      </c>
    </row>
    <row r="1650" spans="1:8" x14ac:dyDescent="0.2">
      <c r="A1650" t="s">
        <v>37</v>
      </c>
      <c r="B1650" t="s">
        <v>78</v>
      </c>
      <c r="C1650" t="s">
        <v>1171</v>
      </c>
      <c r="D1650">
        <v>1</v>
      </c>
      <c r="E1650" s="307">
        <v>6</v>
      </c>
      <c r="F1650" s="307" t="s">
        <v>75</v>
      </c>
      <c r="G1650" s="307" t="s">
        <v>11</v>
      </c>
      <c r="H1650" s="307" t="s">
        <v>11</v>
      </c>
    </row>
    <row r="1651" spans="1:8" x14ac:dyDescent="0.2">
      <c r="A1651" t="s">
        <v>37</v>
      </c>
      <c r="B1651" t="s">
        <v>78</v>
      </c>
      <c r="C1651" t="s">
        <v>1748</v>
      </c>
      <c r="D1651">
        <v>1</v>
      </c>
      <c r="E1651" s="307">
        <v>6</v>
      </c>
      <c r="F1651" s="307" t="s">
        <v>75</v>
      </c>
      <c r="G1651" s="307" t="s">
        <v>11</v>
      </c>
      <c r="H1651" s="307" t="s">
        <v>11</v>
      </c>
    </row>
    <row r="1652" spans="1:8" x14ac:dyDescent="0.2">
      <c r="A1652" t="s">
        <v>37</v>
      </c>
      <c r="B1652" t="s">
        <v>78</v>
      </c>
      <c r="C1652" t="s">
        <v>1749</v>
      </c>
      <c r="D1652">
        <v>2</v>
      </c>
      <c r="E1652" s="307">
        <v>6</v>
      </c>
      <c r="F1652" s="307" t="s">
        <v>75</v>
      </c>
      <c r="G1652" s="307" t="s">
        <v>11</v>
      </c>
      <c r="H1652" s="307" t="s">
        <v>11</v>
      </c>
    </row>
    <row r="1653" spans="1:8" x14ac:dyDescent="0.2">
      <c r="A1653" t="s">
        <v>37</v>
      </c>
      <c r="B1653" t="s">
        <v>78</v>
      </c>
      <c r="C1653" t="s">
        <v>1173</v>
      </c>
      <c r="D1653">
        <v>1</v>
      </c>
      <c r="E1653" s="307">
        <v>6</v>
      </c>
      <c r="F1653" s="307" t="s">
        <v>75</v>
      </c>
      <c r="G1653" s="307" t="s">
        <v>11</v>
      </c>
      <c r="H1653" s="307" t="s">
        <v>11</v>
      </c>
    </row>
    <row r="1654" spans="1:8" x14ac:dyDescent="0.2">
      <c r="A1654" t="s">
        <v>37</v>
      </c>
      <c r="B1654" t="s">
        <v>78</v>
      </c>
      <c r="C1654" t="s">
        <v>1750</v>
      </c>
      <c r="D1654">
        <v>2</v>
      </c>
      <c r="E1654" s="307">
        <v>6</v>
      </c>
      <c r="F1654" s="307" t="s">
        <v>75</v>
      </c>
      <c r="G1654" s="307" t="s">
        <v>11</v>
      </c>
      <c r="H1654" s="307" t="s">
        <v>11</v>
      </c>
    </row>
    <row r="1655" spans="1:8" x14ac:dyDescent="0.2">
      <c r="A1655" t="s">
        <v>37</v>
      </c>
      <c r="B1655" t="s">
        <v>78</v>
      </c>
      <c r="C1655" t="s">
        <v>1751</v>
      </c>
      <c r="D1655">
        <v>1</v>
      </c>
      <c r="E1655" s="307">
        <v>6</v>
      </c>
      <c r="F1655" s="307" t="s">
        <v>75</v>
      </c>
      <c r="G1655" s="307" t="s">
        <v>11</v>
      </c>
      <c r="H1655" s="307" t="s">
        <v>11</v>
      </c>
    </row>
    <row r="1656" spans="1:8" x14ac:dyDescent="0.2">
      <c r="A1656" t="s">
        <v>37</v>
      </c>
      <c r="B1656" t="s">
        <v>78</v>
      </c>
      <c r="C1656" t="s">
        <v>1752</v>
      </c>
      <c r="D1656">
        <v>2</v>
      </c>
      <c r="E1656" s="307">
        <v>6</v>
      </c>
      <c r="F1656" s="307" t="s">
        <v>75</v>
      </c>
      <c r="G1656" s="307" t="s">
        <v>11</v>
      </c>
      <c r="H1656" s="307" t="s">
        <v>11</v>
      </c>
    </row>
    <row r="1657" spans="1:8" x14ac:dyDescent="0.2">
      <c r="A1657" t="s">
        <v>41</v>
      </c>
      <c r="B1657" t="s">
        <v>95</v>
      </c>
      <c r="C1657" t="s">
        <v>911</v>
      </c>
      <c r="D1657">
        <v>1</v>
      </c>
      <c r="E1657" s="307">
        <v>5</v>
      </c>
      <c r="F1657" s="307" t="s">
        <v>7</v>
      </c>
      <c r="G1657" s="307" t="s">
        <v>11</v>
      </c>
      <c r="H1657" s="307" t="s">
        <v>11</v>
      </c>
    </row>
    <row r="1658" spans="1:8" x14ac:dyDescent="0.2">
      <c r="A1658" t="s">
        <v>41</v>
      </c>
      <c r="B1658" t="s">
        <v>95</v>
      </c>
      <c r="C1658" t="s">
        <v>1753</v>
      </c>
      <c r="D1658">
        <v>2</v>
      </c>
      <c r="E1658" s="307">
        <v>5</v>
      </c>
      <c r="F1658" s="307" t="s">
        <v>7</v>
      </c>
      <c r="G1658" s="307" t="s">
        <v>11</v>
      </c>
      <c r="H1658" s="307" t="s">
        <v>11</v>
      </c>
    </row>
    <row r="1659" spans="1:8" x14ac:dyDescent="0.2">
      <c r="A1659" t="s">
        <v>41</v>
      </c>
      <c r="B1659" t="s">
        <v>95</v>
      </c>
      <c r="C1659" t="s">
        <v>1754</v>
      </c>
      <c r="D1659">
        <v>3</v>
      </c>
      <c r="E1659" s="307">
        <v>5</v>
      </c>
      <c r="F1659" s="307" t="s">
        <v>7</v>
      </c>
      <c r="G1659" s="307" t="s">
        <v>11</v>
      </c>
      <c r="H1659" s="307" t="s">
        <v>11</v>
      </c>
    </row>
    <row r="1660" spans="1:8" x14ac:dyDescent="0.2">
      <c r="A1660" t="s">
        <v>41</v>
      </c>
      <c r="B1660" t="s">
        <v>95</v>
      </c>
      <c r="C1660" t="s">
        <v>1755</v>
      </c>
      <c r="D1660">
        <v>2</v>
      </c>
      <c r="E1660" s="307">
        <v>5</v>
      </c>
      <c r="F1660" s="307" t="s">
        <v>7</v>
      </c>
      <c r="G1660" s="307" t="s">
        <v>11</v>
      </c>
      <c r="H1660" s="307" t="s">
        <v>11</v>
      </c>
    </row>
    <row r="1661" spans="1:8" x14ac:dyDescent="0.2">
      <c r="A1661" t="s">
        <v>41</v>
      </c>
      <c r="B1661" t="s">
        <v>95</v>
      </c>
      <c r="C1661" t="s">
        <v>1146</v>
      </c>
      <c r="D1661">
        <v>3</v>
      </c>
      <c r="E1661" s="307">
        <v>5</v>
      </c>
      <c r="F1661" s="307" t="s">
        <v>7</v>
      </c>
      <c r="G1661" s="307" t="s">
        <v>11</v>
      </c>
      <c r="H1661" s="307" t="s">
        <v>11</v>
      </c>
    </row>
    <row r="1662" spans="1:8" x14ac:dyDescent="0.2">
      <c r="A1662" t="s">
        <v>41</v>
      </c>
      <c r="B1662" t="s">
        <v>95</v>
      </c>
      <c r="C1662" t="s">
        <v>802</v>
      </c>
      <c r="D1662">
        <v>1</v>
      </c>
      <c r="E1662" s="307">
        <v>5</v>
      </c>
      <c r="F1662" s="307" t="s">
        <v>7</v>
      </c>
      <c r="G1662" s="307" t="s">
        <v>11</v>
      </c>
      <c r="H1662" s="307" t="s">
        <v>11</v>
      </c>
    </row>
    <row r="1663" spans="1:8" x14ac:dyDescent="0.2">
      <c r="A1663" t="s">
        <v>41</v>
      </c>
      <c r="B1663" t="s">
        <v>95</v>
      </c>
      <c r="C1663" t="s">
        <v>1756</v>
      </c>
      <c r="D1663">
        <v>2</v>
      </c>
      <c r="E1663" s="307">
        <v>5</v>
      </c>
      <c r="F1663" s="307" t="s">
        <v>7</v>
      </c>
      <c r="G1663" s="307" t="s">
        <v>11</v>
      </c>
      <c r="H1663" s="307" t="s">
        <v>11</v>
      </c>
    </row>
    <row r="1664" spans="1:8" x14ac:dyDescent="0.2">
      <c r="A1664" t="s">
        <v>41</v>
      </c>
      <c r="B1664" t="s">
        <v>95</v>
      </c>
      <c r="C1664" t="s">
        <v>1385</v>
      </c>
      <c r="D1664">
        <v>1</v>
      </c>
      <c r="E1664" s="307">
        <v>5</v>
      </c>
      <c r="F1664" s="307" t="s">
        <v>7</v>
      </c>
      <c r="G1664" s="307" t="s">
        <v>11</v>
      </c>
      <c r="H1664" s="307" t="s">
        <v>11</v>
      </c>
    </row>
    <row r="1665" spans="1:8" x14ac:dyDescent="0.2">
      <c r="A1665" t="s">
        <v>41</v>
      </c>
      <c r="B1665" t="s">
        <v>95</v>
      </c>
      <c r="C1665" t="s">
        <v>1176</v>
      </c>
      <c r="D1665">
        <v>3</v>
      </c>
      <c r="E1665" s="307">
        <v>5</v>
      </c>
      <c r="F1665" s="307" t="s">
        <v>7</v>
      </c>
      <c r="G1665" s="307" t="s">
        <v>11</v>
      </c>
      <c r="H1665" s="307" t="s">
        <v>11</v>
      </c>
    </row>
    <row r="1666" spans="1:8" x14ac:dyDescent="0.2">
      <c r="A1666" t="s">
        <v>41</v>
      </c>
      <c r="B1666" t="s">
        <v>95</v>
      </c>
      <c r="C1666" t="s">
        <v>1757</v>
      </c>
      <c r="D1666">
        <v>2</v>
      </c>
      <c r="E1666" s="307">
        <v>5</v>
      </c>
      <c r="F1666" s="307" t="s">
        <v>7</v>
      </c>
      <c r="G1666" s="307" t="s">
        <v>11</v>
      </c>
      <c r="H1666" s="307" t="s">
        <v>11</v>
      </c>
    </row>
    <row r="1667" spans="1:8" x14ac:dyDescent="0.2">
      <c r="A1667" t="s">
        <v>41</v>
      </c>
      <c r="B1667" t="s">
        <v>95</v>
      </c>
      <c r="C1667" t="s">
        <v>1758</v>
      </c>
      <c r="D1667">
        <v>1</v>
      </c>
      <c r="E1667" s="307">
        <v>5</v>
      </c>
      <c r="F1667" s="307" t="s">
        <v>7</v>
      </c>
      <c r="G1667" s="307" t="s">
        <v>11</v>
      </c>
      <c r="H1667" s="307" t="s">
        <v>11</v>
      </c>
    </row>
    <row r="1668" spans="1:8" x14ac:dyDescent="0.2">
      <c r="A1668" t="s">
        <v>41</v>
      </c>
      <c r="B1668" t="s">
        <v>95</v>
      </c>
      <c r="C1668" t="s">
        <v>692</v>
      </c>
      <c r="D1668">
        <v>1</v>
      </c>
      <c r="E1668" s="307">
        <v>5</v>
      </c>
      <c r="F1668" s="307" t="s">
        <v>7</v>
      </c>
      <c r="G1668" s="307" t="s">
        <v>11</v>
      </c>
      <c r="H1668" s="307" t="s">
        <v>11</v>
      </c>
    </row>
    <row r="1669" spans="1:8" x14ac:dyDescent="0.2">
      <c r="A1669" t="s">
        <v>41</v>
      </c>
      <c r="B1669" t="s">
        <v>95</v>
      </c>
      <c r="C1669" t="s">
        <v>1178</v>
      </c>
      <c r="D1669">
        <v>1</v>
      </c>
      <c r="E1669" s="307">
        <v>5</v>
      </c>
      <c r="F1669" s="307" t="s">
        <v>7</v>
      </c>
      <c r="G1669" s="307" t="s">
        <v>11</v>
      </c>
      <c r="H1669" s="307" t="s">
        <v>11</v>
      </c>
    </row>
    <row r="1670" spans="1:8" x14ac:dyDescent="0.2">
      <c r="A1670" t="s">
        <v>41</v>
      </c>
      <c r="B1670" t="s">
        <v>95</v>
      </c>
      <c r="C1670" t="s">
        <v>1277</v>
      </c>
      <c r="D1670">
        <v>1</v>
      </c>
      <c r="E1670" s="307">
        <v>5</v>
      </c>
      <c r="F1670" s="307" t="s">
        <v>7</v>
      </c>
      <c r="G1670" s="307" t="s">
        <v>11</v>
      </c>
      <c r="H1670" s="307" t="s">
        <v>11</v>
      </c>
    </row>
    <row r="1671" spans="1:8" x14ac:dyDescent="0.2">
      <c r="A1671" t="s">
        <v>41</v>
      </c>
      <c r="B1671" t="s">
        <v>95</v>
      </c>
      <c r="C1671" t="s">
        <v>1319</v>
      </c>
      <c r="D1671">
        <v>2</v>
      </c>
      <c r="E1671" s="307">
        <v>5</v>
      </c>
      <c r="F1671" s="307" t="s">
        <v>7</v>
      </c>
      <c r="G1671" s="307" t="s">
        <v>11</v>
      </c>
      <c r="H1671" s="307" t="s">
        <v>11</v>
      </c>
    </row>
    <row r="1672" spans="1:8" x14ac:dyDescent="0.2">
      <c r="A1672" t="s">
        <v>41</v>
      </c>
      <c r="B1672" t="s">
        <v>95</v>
      </c>
      <c r="C1672" t="s">
        <v>1759</v>
      </c>
      <c r="D1672">
        <v>3</v>
      </c>
      <c r="E1672" s="307">
        <v>5</v>
      </c>
      <c r="F1672" s="307" t="s">
        <v>7</v>
      </c>
      <c r="G1672" s="307" t="s">
        <v>11</v>
      </c>
      <c r="H1672" s="307" t="s">
        <v>11</v>
      </c>
    </row>
    <row r="1673" spans="1:8" x14ac:dyDescent="0.2">
      <c r="A1673" t="s">
        <v>41</v>
      </c>
      <c r="B1673" t="s">
        <v>95</v>
      </c>
      <c r="C1673" t="s">
        <v>920</v>
      </c>
      <c r="D1673">
        <v>2</v>
      </c>
      <c r="E1673" s="307">
        <v>5</v>
      </c>
      <c r="F1673" s="307" t="s">
        <v>7</v>
      </c>
      <c r="G1673" s="307" t="s">
        <v>11</v>
      </c>
      <c r="H1673" s="307" t="s">
        <v>11</v>
      </c>
    </row>
    <row r="1674" spans="1:8" x14ac:dyDescent="0.2">
      <c r="A1674" t="s">
        <v>41</v>
      </c>
      <c r="B1674" t="s">
        <v>95</v>
      </c>
      <c r="C1674" t="s">
        <v>699</v>
      </c>
      <c r="D1674">
        <v>1</v>
      </c>
      <c r="E1674" s="307">
        <v>5</v>
      </c>
      <c r="F1674" s="307" t="s">
        <v>7</v>
      </c>
      <c r="G1674" s="307" t="s">
        <v>11</v>
      </c>
      <c r="H1674" s="307" t="s">
        <v>11</v>
      </c>
    </row>
    <row r="1675" spans="1:8" x14ac:dyDescent="0.2">
      <c r="A1675" t="s">
        <v>41</v>
      </c>
      <c r="B1675" t="s">
        <v>95</v>
      </c>
      <c r="C1675" t="s">
        <v>1760</v>
      </c>
      <c r="D1675">
        <v>1</v>
      </c>
      <c r="E1675" s="307">
        <v>5</v>
      </c>
      <c r="F1675" s="307" t="s">
        <v>7</v>
      </c>
      <c r="G1675" s="307" t="s">
        <v>11</v>
      </c>
      <c r="H1675" s="307" t="s">
        <v>11</v>
      </c>
    </row>
    <row r="1676" spans="1:8" x14ac:dyDescent="0.2">
      <c r="A1676" t="s">
        <v>41</v>
      </c>
      <c r="B1676" t="s">
        <v>95</v>
      </c>
      <c r="C1676" t="s">
        <v>1761</v>
      </c>
      <c r="D1676">
        <v>1</v>
      </c>
      <c r="E1676" s="307">
        <v>5</v>
      </c>
      <c r="F1676" s="307" t="s">
        <v>7</v>
      </c>
      <c r="G1676" s="307" t="s">
        <v>11</v>
      </c>
      <c r="H1676" s="307" t="s">
        <v>11</v>
      </c>
    </row>
    <row r="1677" spans="1:8" x14ac:dyDescent="0.2">
      <c r="A1677" t="s">
        <v>41</v>
      </c>
      <c r="B1677" t="s">
        <v>95</v>
      </c>
      <c r="C1677" t="s">
        <v>925</v>
      </c>
      <c r="D1677">
        <v>2</v>
      </c>
      <c r="E1677" s="307">
        <v>5</v>
      </c>
      <c r="F1677" s="307" t="s">
        <v>7</v>
      </c>
      <c r="G1677" s="307" t="s">
        <v>11</v>
      </c>
      <c r="H1677" s="307" t="s">
        <v>11</v>
      </c>
    </row>
    <row r="1678" spans="1:8" x14ac:dyDescent="0.2">
      <c r="A1678" t="s">
        <v>41</v>
      </c>
      <c r="B1678" t="s">
        <v>95</v>
      </c>
      <c r="C1678" t="s">
        <v>1593</v>
      </c>
      <c r="D1678">
        <v>1</v>
      </c>
      <c r="E1678" s="307">
        <v>5</v>
      </c>
      <c r="F1678" s="307" t="s">
        <v>7</v>
      </c>
      <c r="G1678" s="307" t="s">
        <v>11</v>
      </c>
      <c r="H1678" s="307" t="s">
        <v>11</v>
      </c>
    </row>
    <row r="1679" spans="1:8" x14ac:dyDescent="0.2">
      <c r="A1679" t="s">
        <v>41</v>
      </c>
      <c r="B1679" t="s">
        <v>95</v>
      </c>
      <c r="C1679" t="s">
        <v>1762</v>
      </c>
      <c r="D1679">
        <v>2</v>
      </c>
      <c r="E1679" s="307">
        <v>5</v>
      </c>
      <c r="F1679" s="307" t="s">
        <v>7</v>
      </c>
      <c r="G1679" s="307" t="s">
        <v>11</v>
      </c>
      <c r="H1679" s="307" t="s">
        <v>11</v>
      </c>
    </row>
    <row r="1680" spans="1:8" x14ac:dyDescent="0.2">
      <c r="A1680" t="s">
        <v>41</v>
      </c>
      <c r="B1680" t="s">
        <v>95</v>
      </c>
      <c r="C1680" t="s">
        <v>1057</v>
      </c>
      <c r="D1680">
        <v>2</v>
      </c>
      <c r="E1680" s="307">
        <v>5</v>
      </c>
      <c r="F1680" s="307" t="s">
        <v>7</v>
      </c>
      <c r="G1680" s="307" t="s">
        <v>11</v>
      </c>
      <c r="H1680" s="307" t="s">
        <v>11</v>
      </c>
    </row>
    <row r="1681" spans="1:8" x14ac:dyDescent="0.2">
      <c r="A1681" t="s">
        <v>41</v>
      </c>
      <c r="B1681" t="s">
        <v>95</v>
      </c>
      <c r="C1681" t="s">
        <v>1763</v>
      </c>
      <c r="D1681">
        <v>2</v>
      </c>
      <c r="E1681" s="307">
        <v>5</v>
      </c>
      <c r="F1681" s="307" t="s">
        <v>7</v>
      </c>
      <c r="G1681" s="307" t="s">
        <v>11</v>
      </c>
      <c r="H1681" s="307" t="s">
        <v>11</v>
      </c>
    </row>
    <row r="1682" spans="1:8" x14ac:dyDescent="0.2">
      <c r="A1682" t="s">
        <v>41</v>
      </c>
      <c r="B1682" t="s">
        <v>95</v>
      </c>
      <c r="C1682" t="s">
        <v>1764</v>
      </c>
      <c r="D1682">
        <v>1</v>
      </c>
      <c r="E1682" s="307">
        <v>5</v>
      </c>
      <c r="F1682" s="307" t="s">
        <v>7</v>
      </c>
      <c r="G1682" s="307" t="s">
        <v>11</v>
      </c>
      <c r="H1682" s="307" t="s">
        <v>11</v>
      </c>
    </row>
    <row r="1683" spans="1:8" x14ac:dyDescent="0.2">
      <c r="A1683" t="s">
        <v>41</v>
      </c>
      <c r="B1683" t="s">
        <v>95</v>
      </c>
      <c r="C1683" t="s">
        <v>1060</v>
      </c>
      <c r="D1683">
        <v>1</v>
      </c>
      <c r="E1683" s="307">
        <v>5</v>
      </c>
      <c r="F1683" s="307" t="s">
        <v>7</v>
      </c>
      <c r="G1683" s="307" t="s">
        <v>11</v>
      </c>
      <c r="H1683" s="307" t="s">
        <v>11</v>
      </c>
    </row>
    <row r="1684" spans="1:8" x14ac:dyDescent="0.2">
      <c r="A1684" t="s">
        <v>41</v>
      </c>
      <c r="B1684" t="s">
        <v>95</v>
      </c>
      <c r="C1684" t="s">
        <v>929</v>
      </c>
      <c r="D1684">
        <v>1</v>
      </c>
      <c r="E1684" s="307">
        <v>5</v>
      </c>
      <c r="F1684" s="307" t="s">
        <v>7</v>
      </c>
      <c r="G1684" s="307" t="s">
        <v>11</v>
      </c>
      <c r="H1684" s="307" t="s">
        <v>11</v>
      </c>
    </row>
    <row r="1685" spans="1:8" x14ac:dyDescent="0.2">
      <c r="A1685" t="s">
        <v>41</v>
      </c>
      <c r="B1685" t="s">
        <v>95</v>
      </c>
      <c r="C1685" t="s">
        <v>1765</v>
      </c>
      <c r="D1685">
        <v>2</v>
      </c>
      <c r="E1685" s="307">
        <v>5</v>
      </c>
      <c r="F1685" s="307" t="s">
        <v>7</v>
      </c>
      <c r="G1685" s="307" t="s">
        <v>11</v>
      </c>
      <c r="H1685" s="307" t="s">
        <v>11</v>
      </c>
    </row>
    <row r="1686" spans="1:8" x14ac:dyDescent="0.2">
      <c r="A1686" t="s">
        <v>41</v>
      </c>
      <c r="B1686" t="s">
        <v>95</v>
      </c>
      <c r="C1686" t="s">
        <v>1595</v>
      </c>
      <c r="D1686">
        <v>1</v>
      </c>
      <c r="E1686" s="307">
        <v>5</v>
      </c>
      <c r="F1686" s="307" t="s">
        <v>7</v>
      </c>
      <c r="G1686" s="307" t="s">
        <v>11</v>
      </c>
      <c r="H1686" s="307" t="s">
        <v>11</v>
      </c>
    </row>
    <row r="1687" spans="1:8" x14ac:dyDescent="0.2">
      <c r="A1687" t="s">
        <v>41</v>
      </c>
      <c r="B1687" t="s">
        <v>95</v>
      </c>
      <c r="C1687" t="s">
        <v>715</v>
      </c>
      <c r="D1687">
        <v>1</v>
      </c>
      <c r="E1687" s="307">
        <v>5</v>
      </c>
      <c r="F1687" s="307" t="s">
        <v>7</v>
      </c>
      <c r="G1687" s="307" t="s">
        <v>11</v>
      </c>
      <c r="H1687" s="307" t="s">
        <v>11</v>
      </c>
    </row>
    <row r="1688" spans="1:8" x14ac:dyDescent="0.2">
      <c r="A1688" t="s">
        <v>41</v>
      </c>
      <c r="B1688" t="s">
        <v>95</v>
      </c>
      <c r="C1688" t="s">
        <v>1766</v>
      </c>
      <c r="D1688">
        <v>1</v>
      </c>
      <c r="E1688" s="307">
        <v>5</v>
      </c>
      <c r="F1688" s="307" t="s">
        <v>7</v>
      </c>
      <c r="G1688" s="307" t="s">
        <v>11</v>
      </c>
      <c r="H1688" s="307" t="s">
        <v>11</v>
      </c>
    </row>
    <row r="1689" spans="1:8" x14ac:dyDescent="0.2">
      <c r="A1689" t="s">
        <v>41</v>
      </c>
      <c r="B1689" t="s">
        <v>95</v>
      </c>
      <c r="C1689" t="s">
        <v>1767</v>
      </c>
      <c r="D1689">
        <v>1</v>
      </c>
      <c r="E1689" s="307">
        <v>5</v>
      </c>
      <c r="F1689" s="307" t="s">
        <v>7</v>
      </c>
      <c r="G1689" s="307" t="s">
        <v>11</v>
      </c>
      <c r="H1689" s="307" t="s">
        <v>11</v>
      </c>
    </row>
    <row r="1690" spans="1:8" x14ac:dyDescent="0.2">
      <c r="A1690" t="s">
        <v>41</v>
      </c>
      <c r="B1690" t="s">
        <v>95</v>
      </c>
      <c r="C1690" t="s">
        <v>1768</v>
      </c>
      <c r="D1690">
        <v>1</v>
      </c>
      <c r="E1690" s="307">
        <v>5</v>
      </c>
      <c r="F1690" s="307" t="s">
        <v>7</v>
      </c>
      <c r="G1690" s="307" t="s">
        <v>11</v>
      </c>
      <c r="H1690" s="307" t="s">
        <v>11</v>
      </c>
    </row>
    <row r="1691" spans="1:8" x14ac:dyDescent="0.2">
      <c r="A1691" t="s">
        <v>41</v>
      </c>
      <c r="B1691" t="s">
        <v>95</v>
      </c>
      <c r="C1691" t="s">
        <v>1769</v>
      </c>
      <c r="D1691">
        <v>3</v>
      </c>
      <c r="E1691" s="307">
        <v>5</v>
      </c>
      <c r="F1691" s="307" t="s">
        <v>7</v>
      </c>
      <c r="G1691" s="307" t="s">
        <v>11</v>
      </c>
      <c r="H1691" s="307" t="s">
        <v>11</v>
      </c>
    </row>
    <row r="1692" spans="1:8" x14ac:dyDescent="0.2">
      <c r="A1692" t="s">
        <v>41</v>
      </c>
      <c r="B1692" t="s">
        <v>95</v>
      </c>
      <c r="C1692" t="s">
        <v>934</v>
      </c>
      <c r="D1692">
        <v>3</v>
      </c>
      <c r="E1692" s="307">
        <v>5</v>
      </c>
      <c r="F1692" s="307" t="s">
        <v>7</v>
      </c>
      <c r="G1692" s="307" t="s">
        <v>11</v>
      </c>
      <c r="H1692" s="307" t="s">
        <v>11</v>
      </c>
    </row>
    <row r="1693" spans="1:8" x14ac:dyDescent="0.2">
      <c r="A1693" t="s">
        <v>41</v>
      </c>
      <c r="B1693" t="s">
        <v>95</v>
      </c>
      <c r="C1693" t="s">
        <v>1770</v>
      </c>
      <c r="D1693">
        <v>1</v>
      </c>
      <c r="E1693" s="307">
        <v>5</v>
      </c>
      <c r="F1693" s="307" t="s">
        <v>7</v>
      </c>
      <c r="G1693" s="307" t="s">
        <v>11</v>
      </c>
      <c r="H1693" s="307" t="s">
        <v>11</v>
      </c>
    </row>
    <row r="1694" spans="1:8" x14ac:dyDescent="0.2">
      <c r="A1694" t="s">
        <v>41</v>
      </c>
      <c r="B1694" t="s">
        <v>95</v>
      </c>
      <c r="C1694" t="s">
        <v>819</v>
      </c>
      <c r="D1694">
        <v>3</v>
      </c>
      <c r="E1694" s="307">
        <v>5</v>
      </c>
      <c r="F1694" s="307" t="s">
        <v>7</v>
      </c>
      <c r="G1694" s="307" t="s">
        <v>11</v>
      </c>
      <c r="H1694" s="307" t="s">
        <v>11</v>
      </c>
    </row>
    <row r="1695" spans="1:8" x14ac:dyDescent="0.2">
      <c r="A1695" t="s">
        <v>41</v>
      </c>
      <c r="B1695" t="s">
        <v>95</v>
      </c>
      <c r="C1695" t="s">
        <v>1333</v>
      </c>
      <c r="D1695">
        <v>1</v>
      </c>
      <c r="E1695" s="307">
        <v>5</v>
      </c>
      <c r="F1695" s="307" t="s">
        <v>7</v>
      </c>
      <c r="G1695" s="307" t="s">
        <v>11</v>
      </c>
      <c r="H1695" s="307" t="s">
        <v>11</v>
      </c>
    </row>
    <row r="1696" spans="1:8" x14ac:dyDescent="0.2">
      <c r="A1696" t="s">
        <v>41</v>
      </c>
      <c r="B1696" t="s">
        <v>95</v>
      </c>
      <c r="C1696" t="s">
        <v>1078</v>
      </c>
      <c r="D1696">
        <v>2</v>
      </c>
      <c r="E1696" s="307">
        <v>5</v>
      </c>
      <c r="F1696" s="307" t="s">
        <v>7</v>
      </c>
      <c r="G1696" s="307" t="s">
        <v>11</v>
      </c>
      <c r="H1696" s="307" t="s">
        <v>11</v>
      </c>
    </row>
    <row r="1697" spans="1:8" x14ac:dyDescent="0.2">
      <c r="A1697" t="s">
        <v>41</v>
      </c>
      <c r="B1697" t="s">
        <v>95</v>
      </c>
      <c r="C1697" t="s">
        <v>995</v>
      </c>
      <c r="D1697">
        <v>1</v>
      </c>
      <c r="E1697" s="307">
        <v>5</v>
      </c>
      <c r="F1697" s="307" t="s">
        <v>7</v>
      </c>
      <c r="G1697" s="307" t="s">
        <v>11</v>
      </c>
      <c r="H1697" s="307" t="s">
        <v>11</v>
      </c>
    </row>
    <row r="1698" spans="1:8" x14ac:dyDescent="0.2">
      <c r="A1698" t="s">
        <v>41</v>
      </c>
      <c r="B1698" t="s">
        <v>95</v>
      </c>
      <c r="C1698" t="s">
        <v>1406</v>
      </c>
      <c r="D1698">
        <v>1</v>
      </c>
      <c r="E1698" s="307">
        <v>5</v>
      </c>
      <c r="F1698" s="307" t="s">
        <v>7</v>
      </c>
      <c r="G1698" s="307" t="s">
        <v>11</v>
      </c>
      <c r="H1698" s="307" t="s">
        <v>11</v>
      </c>
    </row>
    <row r="1699" spans="1:8" x14ac:dyDescent="0.2">
      <c r="A1699" t="s">
        <v>41</v>
      </c>
      <c r="B1699" t="s">
        <v>95</v>
      </c>
      <c r="C1699" t="s">
        <v>1771</v>
      </c>
      <c r="D1699">
        <v>1</v>
      </c>
      <c r="E1699" s="307">
        <v>5</v>
      </c>
      <c r="F1699" s="307" t="s">
        <v>7</v>
      </c>
      <c r="G1699" s="307" t="s">
        <v>11</v>
      </c>
      <c r="H1699" s="307" t="s">
        <v>11</v>
      </c>
    </row>
    <row r="1700" spans="1:8" x14ac:dyDescent="0.2">
      <c r="A1700" t="s">
        <v>41</v>
      </c>
      <c r="B1700" t="s">
        <v>95</v>
      </c>
      <c r="C1700" t="s">
        <v>1772</v>
      </c>
      <c r="D1700">
        <v>1</v>
      </c>
      <c r="E1700" s="307">
        <v>5</v>
      </c>
      <c r="F1700" s="307" t="s">
        <v>7</v>
      </c>
      <c r="G1700" s="307" t="s">
        <v>11</v>
      </c>
      <c r="H1700" s="307" t="s">
        <v>11</v>
      </c>
    </row>
    <row r="1701" spans="1:8" x14ac:dyDescent="0.2">
      <c r="A1701" t="s">
        <v>41</v>
      </c>
      <c r="B1701" t="s">
        <v>95</v>
      </c>
      <c r="C1701" t="s">
        <v>1692</v>
      </c>
      <c r="D1701">
        <v>3</v>
      </c>
      <c r="E1701" s="307">
        <v>5</v>
      </c>
      <c r="F1701" s="307" t="s">
        <v>7</v>
      </c>
      <c r="G1701" s="307" t="s">
        <v>11</v>
      </c>
      <c r="H1701" s="307" t="s">
        <v>11</v>
      </c>
    </row>
    <row r="1702" spans="1:8" x14ac:dyDescent="0.2">
      <c r="A1702" t="s">
        <v>41</v>
      </c>
      <c r="B1702" t="s">
        <v>95</v>
      </c>
      <c r="C1702" t="s">
        <v>1773</v>
      </c>
      <c r="D1702">
        <v>3</v>
      </c>
      <c r="E1702" s="307">
        <v>5</v>
      </c>
      <c r="F1702" s="307" t="s">
        <v>7</v>
      </c>
      <c r="G1702" s="307" t="s">
        <v>11</v>
      </c>
      <c r="H1702" s="307" t="s">
        <v>11</v>
      </c>
    </row>
    <row r="1703" spans="1:8" x14ac:dyDescent="0.2">
      <c r="A1703" t="s">
        <v>41</v>
      </c>
      <c r="B1703" t="s">
        <v>95</v>
      </c>
      <c r="C1703" t="s">
        <v>822</v>
      </c>
      <c r="D1703">
        <v>2</v>
      </c>
      <c r="E1703" s="307">
        <v>5</v>
      </c>
      <c r="F1703" s="307" t="s">
        <v>7</v>
      </c>
      <c r="G1703" s="307" t="s">
        <v>11</v>
      </c>
      <c r="H1703" s="307" t="s">
        <v>11</v>
      </c>
    </row>
    <row r="1704" spans="1:8" x14ac:dyDescent="0.2">
      <c r="A1704" t="s">
        <v>41</v>
      </c>
      <c r="B1704" t="s">
        <v>95</v>
      </c>
      <c r="C1704" t="s">
        <v>722</v>
      </c>
      <c r="D1704">
        <v>1</v>
      </c>
      <c r="E1704" s="307">
        <v>5</v>
      </c>
      <c r="F1704" s="307" t="s">
        <v>7</v>
      </c>
      <c r="G1704" s="307" t="s">
        <v>11</v>
      </c>
      <c r="H1704" s="307" t="s">
        <v>11</v>
      </c>
    </row>
    <row r="1705" spans="1:8" x14ac:dyDescent="0.2">
      <c r="A1705" t="s">
        <v>41</v>
      </c>
      <c r="B1705" t="s">
        <v>95</v>
      </c>
      <c r="C1705" t="s">
        <v>825</v>
      </c>
      <c r="D1705">
        <v>1</v>
      </c>
      <c r="E1705" s="307">
        <v>5</v>
      </c>
      <c r="F1705" s="307" t="s">
        <v>7</v>
      </c>
      <c r="G1705" s="307" t="s">
        <v>11</v>
      </c>
      <c r="H1705" s="307" t="s">
        <v>11</v>
      </c>
    </row>
    <row r="1706" spans="1:8" x14ac:dyDescent="0.2">
      <c r="A1706" t="s">
        <v>41</v>
      </c>
      <c r="B1706" t="s">
        <v>95</v>
      </c>
      <c r="C1706" t="s">
        <v>1774</v>
      </c>
      <c r="D1706">
        <v>1</v>
      </c>
      <c r="E1706" s="307">
        <v>5</v>
      </c>
      <c r="F1706" s="307" t="s">
        <v>7</v>
      </c>
      <c r="G1706" s="307" t="s">
        <v>11</v>
      </c>
      <c r="H1706" s="307" t="s">
        <v>11</v>
      </c>
    </row>
    <row r="1707" spans="1:8" x14ac:dyDescent="0.2">
      <c r="A1707" t="s">
        <v>41</v>
      </c>
      <c r="B1707" t="s">
        <v>95</v>
      </c>
      <c r="C1707" t="s">
        <v>1775</v>
      </c>
      <c r="D1707">
        <v>2</v>
      </c>
      <c r="E1707" s="307">
        <v>5</v>
      </c>
      <c r="F1707" s="307" t="s">
        <v>7</v>
      </c>
      <c r="G1707" s="307" t="s">
        <v>11</v>
      </c>
      <c r="H1707" s="307" t="s">
        <v>11</v>
      </c>
    </row>
    <row r="1708" spans="1:8" x14ac:dyDescent="0.2">
      <c r="A1708" t="s">
        <v>41</v>
      </c>
      <c r="B1708" t="s">
        <v>95</v>
      </c>
      <c r="C1708" t="s">
        <v>1776</v>
      </c>
      <c r="D1708">
        <v>2</v>
      </c>
      <c r="E1708" s="307">
        <v>5</v>
      </c>
      <c r="F1708" s="307" t="s">
        <v>7</v>
      </c>
      <c r="G1708" s="307" t="s">
        <v>11</v>
      </c>
      <c r="H1708" s="307" t="s">
        <v>11</v>
      </c>
    </row>
    <row r="1709" spans="1:8" x14ac:dyDescent="0.2">
      <c r="A1709" t="s">
        <v>41</v>
      </c>
      <c r="B1709" t="s">
        <v>95</v>
      </c>
      <c r="C1709" t="s">
        <v>1777</v>
      </c>
      <c r="D1709">
        <v>2</v>
      </c>
      <c r="E1709" s="307">
        <v>5</v>
      </c>
      <c r="F1709" s="307" t="s">
        <v>7</v>
      </c>
      <c r="G1709" s="307" t="s">
        <v>11</v>
      </c>
      <c r="H1709" s="307" t="s">
        <v>11</v>
      </c>
    </row>
    <row r="1710" spans="1:8" x14ac:dyDescent="0.2">
      <c r="A1710" t="s">
        <v>41</v>
      </c>
      <c r="B1710" t="s">
        <v>95</v>
      </c>
      <c r="C1710" t="s">
        <v>1199</v>
      </c>
      <c r="D1710">
        <v>1</v>
      </c>
      <c r="E1710" s="307">
        <v>5</v>
      </c>
      <c r="F1710" s="307" t="s">
        <v>7</v>
      </c>
      <c r="G1710" s="307" t="s">
        <v>11</v>
      </c>
      <c r="H1710" s="307" t="s">
        <v>11</v>
      </c>
    </row>
    <row r="1711" spans="1:8" x14ac:dyDescent="0.2">
      <c r="A1711" t="s">
        <v>41</v>
      </c>
      <c r="B1711" t="s">
        <v>95</v>
      </c>
      <c r="C1711" t="s">
        <v>1778</v>
      </c>
      <c r="D1711">
        <v>1</v>
      </c>
      <c r="E1711" s="307">
        <v>5</v>
      </c>
      <c r="F1711" s="307" t="s">
        <v>7</v>
      </c>
      <c r="G1711" s="307" t="s">
        <v>11</v>
      </c>
      <c r="H1711" s="307" t="s">
        <v>11</v>
      </c>
    </row>
    <row r="1712" spans="1:8" x14ac:dyDescent="0.2">
      <c r="A1712" t="s">
        <v>41</v>
      </c>
      <c r="B1712" t="s">
        <v>95</v>
      </c>
      <c r="C1712" t="s">
        <v>827</v>
      </c>
      <c r="D1712">
        <v>3</v>
      </c>
      <c r="E1712" s="307">
        <v>5</v>
      </c>
      <c r="F1712" s="307" t="s">
        <v>7</v>
      </c>
      <c r="G1712" s="307" t="s">
        <v>11</v>
      </c>
      <c r="H1712" s="307" t="s">
        <v>11</v>
      </c>
    </row>
    <row r="1713" spans="1:8" x14ac:dyDescent="0.2">
      <c r="A1713" t="s">
        <v>41</v>
      </c>
      <c r="B1713" t="s">
        <v>95</v>
      </c>
      <c r="C1713" t="s">
        <v>829</v>
      </c>
      <c r="D1713">
        <v>3</v>
      </c>
      <c r="E1713" s="307">
        <v>5</v>
      </c>
      <c r="F1713" s="307" t="s">
        <v>7</v>
      </c>
      <c r="G1713" s="307" t="s">
        <v>11</v>
      </c>
      <c r="H1713" s="307" t="s">
        <v>11</v>
      </c>
    </row>
    <row r="1714" spans="1:8" x14ac:dyDescent="0.2">
      <c r="A1714" t="s">
        <v>41</v>
      </c>
      <c r="B1714" t="s">
        <v>95</v>
      </c>
      <c r="C1714" t="s">
        <v>1779</v>
      </c>
      <c r="D1714">
        <v>3</v>
      </c>
      <c r="E1714" s="307">
        <v>5</v>
      </c>
      <c r="F1714" s="307" t="s">
        <v>7</v>
      </c>
      <c r="G1714" s="307" t="s">
        <v>11</v>
      </c>
      <c r="H1714" s="307" t="s">
        <v>11</v>
      </c>
    </row>
    <row r="1715" spans="1:8" x14ac:dyDescent="0.2">
      <c r="A1715" t="s">
        <v>41</v>
      </c>
      <c r="B1715" t="s">
        <v>95</v>
      </c>
      <c r="C1715" t="s">
        <v>730</v>
      </c>
      <c r="D1715">
        <v>1</v>
      </c>
      <c r="E1715" s="307">
        <v>5</v>
      </c>
      <c r="F1715" s="307" t="s">
        <v>7</v>
      </c>
      <c r="G1715" s="307" t="s">
        <v>11</v>
      </c>
      <c r="H1715" s="307" t="s">
        <v>11</v>
      </c>
    </row>
    <row r="1716" spans="1:8" x14ac:dyDescent="0.2">
      <c r="A1716" t="s">
        <v>41</v>
      </c>
      <c r="B1716" t="s">
        <v>95</v>
      </c>
      <c r="C1716" t="s">
        <v>1345</v>
      </c>
      <c r="D1716">
        <v>3</v>
      </c>
      <c r="E1716" s="307">
        <v>5</v>
      </c>
      <c r="F1716" s="307" t="s">
        <v>7</v>
      </c>
      <c r="G1716" s="307" t="s">
        <v>11</v>
      </c>
      <c r="H1716" s="307" t="s">
        <v>11</v>
      </c>
    </row>
    <row r="1717" spans="1:8" x14ac:dyDescent="0.2">
      <c r="A1717" t="s">
        <v>41</v>
      </c>
      <c r="B1717" t="s">
        <v>95</v>
      </c>
      <c r="C1717" t="s">
        <v>1780</v>
      </c>
      <c r="D1717">
        <v>2</v>
      </c>
      <c r="E1717" s="307">
        <v>5</v>
      </c>
      <c r="F1717" s="307" t="s">
        <v>7</v>
      </c>
      <c r="G1717" s="307" t="s">
        <v>11</v>
      </c>
      <c r="H1717" s="307" t="s">
        <v>11</v>
      </c>
    </row>
    <row r="1718" spans="1:8" x14ac:dyDescent="0.2">
      <c r="A1718" t="s">
        <v>41</v>
      </c>
      <c r="B1718" t="s">
        <v>95</v>
      </c>
      <c r="C1718" t="s">
        <v>1781</v>
      </c>
      <c r="D1718">
        <v>2</v>
      </c>
      <c r="E1718" s="307">
        <v>5</v>
      </c>
      <c r="F1718" s="307" t="s">
        <v>7</v>
      </c>
      <c r="G1718" s="307" t="s">
        <v>11</v>
      </c>
      <c r="H1718" s="307" t="s">
        <v>11</v>
      </c>
    </row>
    <row r="1719" spans="1:8" x14ac:dyDescent="0.2">
      <c r="A1719" t="s">
        <v>41</v>
      </c>
      <c r="B1719" t="s">
        <v>95</v>
      </c>
      <c r="C1719" t="s">
        <v>1782</v>
      </c>
      <c r="D1719">
        <v>1</v>
      </c>
      <c r="E1719" s="307">
        <v>5</v>
      </c>
      <c r="F1719" s="307" t="s">
        <v>7</v>
      </c>
      <c r="G1719" s="307" t="s">
        <v>11</v>
      </c>
      <c r="H1719" s="307" t="s">
        <v>11</v>
      </c>
    </row>
    <row r="1720" spans="1:8" x14ac:dyDescent="0.2">
      <c r="A1720" t="s">
        <v>41</v>
      </c>
      <c r="B1720" t="s">
        <v>95</v>
      </c>
      <c r="C1720" t="s">
        <v>1349</v>
      </c>
      <c r="D1720">
        <v>1</v>
      </c>
      <c r="E1720" s="307">
        <v>5</v>
      </c>
      <c r="F1720" s="307" t="s">
        <v>7</v>
      </c>
      <c r="G1720" s="307" t="s">
        <v>11</v>
      </c>
      <c r="H1720" s="307" t="s">
        <v>11</v>
      </c>
    </row>
    <row r="1721" spans="1:8" x14ac:dyDescent="0.2">
      <c r="A1721" t="s">
        <v>41</v>
      </c>
      <c r="B1721" t="s">
        <v>95</v>
      </c>
      <c r="C1721" t="s">
        <v>1783</v>
      </c>
      <c r="D1721">
        <v>1</v>
      </c>
      <c r="E1721" s="307">
        <v>5</v>
      </c>
      <c r="F1721" s="307" t="s">
        <v>7</v>
      </c>
      <c r="G1721" s="307" t="s">
        <v>11</v>
      </c>
      <c r="H1721" s="307" t="s">
        <v>11</v>
      </c>
    </row>
    <row r="1722" spans="1:8" x14ac:dyDescent="0.2">
      <c r="A1722" t="s">
        <v>41</v>
      </c>
      <c r="B1722" t="s">
        <v>95</v>
      </c>
      <c r="C1722" t="s">
        <v>1784</v>
      </c>
      <c r="D1722">
        <v>1</v>
      </c>
      <c r="E1722" s="307">
        <v>5</v>
      </c>
      <c r="F1722" s="307" t="s">
        <v>7</v>
      </c>
      <c r="G1722" s="307" t="s">
        <v>11</v>
      </c>
      <c r="H1722" s="307" t="s">
        <v>11</v>
      </c>
    </row>
    <row r="1723" spans="1:8" x14ac:dyDescent="0.2">
      <c r="A1723" t="s">
        <v>41</v>
      </c>
      <c r="B1723" t="s">
        <v>95</v>
      </c>
      <c r="C1723" t="s">
        <v>1356</v>
      </c>
      <c r="D1723">
        <v>1</v>
      </c>
      <c r="E1723" s="307">
        <v>5</v>
      </c>
      <c r="F1723" s="307" t="s">
        <v>7</v>
      </c>
      <c r="G1723" s="307" t="s">
        <v>11</v>
      </c>
      <c r="H1723" s="307" t="s">
        <v>11</v>
      </c>
    </row>
    <row r="1724" spans="1:8" x14ac:dyDescent="0.2">
      <c r="A1724" t="s">
        <v>41</v>
      </c>
      <c r="B1724" t="s">
        <v>95</v>
      </c>
      <c r="C1724" t="s">
        <v>1785</v>
      </c>
      <c r="D1724">
        <v>2</v>
      </c>
      <c r="E1724" s="307">
        <v>5</v>
      </c>
      <c r="F1724" s="307" t="s">
        <v>7</v>
      </c>
      <c r="G1724" s="307" t="s">
        <v>11</v>
      </c>
      <c r="H1724" s="307" t="s">
        <v>11</v>
      </c>
    </row>
    <row r="1725" spans="1:8" x14ac:dyDescent="0.2">
      <c r="A1725" t="s">
        <v>41</v>
      </c>
      <c r="B1725" t="s">
        <v>95</v>
      </c>
      <c r="C1725" t="s">
        <v>1704</v>
      </c>
      <c r="D1725">
        <v>1</v>
      </c>
      <c r="E1725" s="307">
        <v>5</v>
      </c>
      <c r="F1725" s="307" t="s">
        <v>7</v>
      </c>
      <c r="G1725" s="307" t="s">
        <v>11</v>
      </c>
      <c r="H1725" s="307" t="s">
        <v>11</v>
      </c>
    </row>
    <row r="1726" spans="1:8" x14ac:dyDescent="0.2">
      <c r="A1726" t="s">
        <v>41</v>
      </c>
      <c r="B1726" t="s">
        <v>95</v>
      </c>
      <c r="C1726" t="s">
        <v>1103</v>
      </c>
      <c r="D1726">
        <v>1</v>
      </c>
      <c r="E1726" s="307">
        <v>5</v>
      </c>
      <c r="F1726" s="307" t="s">
        <v>7</v>
      </c>
      <c r="G1726" s="307" t="s">
        <v>11</v>
      </c>
      <c r="H1726" s="307" t="s">
        <v>11</v>
      </c>
    </row>
    <row r="1727" spans="1:8" x14ac:dyDescent="0.2">
      <c r="A1727" t="s">
        <v>41</v>
      </c>
      <c r="B1727" t="s">
        <v>95</v>
      </c>
      <c r="C1727" t="s">
        <v>1705</v>
      </c>
      <c r="D1727">
        <v>1</v>
      </c>
      <c r="E1727" s="307">
        <v>5</v>
      </c>
      <c r="F1727" s="307" t="s">
        <v>7</v>
      </c>
      <c r="G1727" s="307" t="s">
        <v>11</v>
      </c>
      <c r="H1727" s="307" t="s">
        <v>11</v>
      </c>
    </row>
    <row r="1728" spans="1:8" x14ac:dyDescent="0.2">
      <c r="A1728" t="s">
        <v>41</v>
      </c>
      <c r="B1728" t="s">
        <v>95</v>
      </c>
      <c r="C1728" t="s">
        <v>838</v>
      </c>
      <c r="D1728">
        <v>1</v>
      </c>
      <c r="E1728" s="307">
        <v>5</v>
      </c>
      <c r="F1728" s="307" t="s">
        <v>7</v>
      </c>
      <c r="G1728" s="307" t="s">
        <v>11</v>
      </c>
      <c r="H1728" s="307" t="s">
        <v>11</v>
      </c>
    </row>
    <row r="1729" spans="1:8" x14ac:dyDescent="0.2">
      <c r="A1729" t="s">
        <v>41</v>
      </c>
      <c r="B1729" t="s">
        <v>95</v>
      </c>
      <c r="C1729" t="s">
        <v>1786</v>
      </c>
      <c r="D1729">
        <v>1</v>
      </c>
      <c r="E1729" s="307">
        <v>5</v>
      </c>
      <c r="F1729" s="307" t="s">
        <v>7</v>
      </c>
      <c r="G1729" s="307" t="s">
        <v>11</v>
      </c>
      <c r="H1729" s="307" t="s">
        <v>11</v>
      </c>
    </row>
    <row r="1730" spans="1:8" x14ac:dyDescent="0.2">
      <c r="A1730" t="s">
        <v>41</v>
      </c>
      <c r="B1730" t="s">
        <v>95</v>
      </c>
      <c r="C1730" t="s">
        <v>1787</v>
      </c>
      <c r="D1730">
        <v>1</v>
      </c>
      <c r="E1730" s="307">
        <v>5</v>
      </c>
      <c r="F1730" s="307" t="s">
        <v>7</v>
      </c>
      <c r="G1730" s="307" t="s">
        <v>11</v>
      </c>
      <c r="H1730" s="307" t="s">
        <v>11</v>
      </c>
    </row>
    <row r="1731" spans="1:8" x14ac:dyDescent="0.2">
      <c r="A1731" t="s">
        <v>41</v>
      </c>
      <c r="B1731" t="s">
        <v>95</v>
      </c>
      <c r="C1731" t="s">
        <v>1627</v>
      </c>
      <c r="D1731">
        <v>3</v>
      </c>
      <c r="E1731" s="307">
        <v>5</v>
      </c>
      <c r="F1731" s="307" t="s">
        <v>7</v>
      </c>
      <c r="G1731" s="307" t="s">
        <v>11</v>
      </c>
      <c r="H1731" s="307" t="s">
        <v>11</v>
      </c>
    </row>
    <row r="1732" spans="1:8" x14ac:dyDescent="0.2">
      <c r="A1732" t="s">
        <v>41</v>
      </c>
      <c r="B1732" t="s">
        <v>95</v>
      </c>
      <c r="C1732" t="s">
        <v>843</v>
      </c>
      <c r="D1732">
        <v>1</v>
      </c>
      <c r="E1732" s="307">
        <v>5</v>
      </c>
      <c r="F1732" s="307" t="s">
        <v>7</v>
      </c>
      <c r="G1732" s="307" t="s">
        <v>11</v>
      </c>
      <c r="H1732" s="307" t="s">
        <v>11</v>
      </c>
    </row>
    <row r="1733" spans="1:8" x14ac:dyDescent="0.2">
      <c r="A1733" t="s">
        <v>41</v>
      </c>
      <c r="B1733" t="s">
        <v>95</v>
      </c>
      <c r="C1733" t="s">
        <v>1788</v>
      </c>
      <c r="D1733">
        <v>1</v>
      </c>
      <c r="E1733" s="307">
        <v>5</v>
      </c>
      <c r="F1733" s="307" t="s">
        <v>7</v>
      </c>
      <c r="G1733" s="307" t="s">
        <v>11</v>
      </c>
      <c r="H1733" s="307" t="s">
        <v>11</v>
      </c>
    </row>
    <row r="1734" spans="1:8" x14ac:dyDescent="0.2">
      <c r="A1734" t="s">
        <v>41</v>
      </c>
      <c r="B1734" t="s">
        <v>95</v>
      </c>
      <c r="C1734" t="s">
        <v>1789</v>
      </c>
      <c r="D1734">
        <v>1</v>
      </c>
      <c r="E1734" s="307">
        <v>5</v>
      </c>
      <c r="F1734" s="307" t="s">
        <v>7</v>
      </c>
      <c r="G1734" s="307" t="s">
        <v>11</v>
      </c>
      <c r="H1734" s="307" t="s">
        <v>11</v>
      </c>
    </row>
    <row r="1735" spans="1:8" x14ac:dyDescent="0.2">
      <c r="A1735" t="s">
        <v>41</v>
      </c>
      <c r="B1735" t="s">
        <v>95</v>
      </c>
      <c r="C1735" t="s">
        <v>1790</v>
      </c>
      <c r="D1735">
        <v>2</v>
      </c>
      <c r="E1735" s="307">
        <v>5</v>
      </c>
      <c r="F1735" s="307" t="s">
        <v>7</v>
      </c>
      <c r="G1735" s="307" t="s">
        <v>11</v>
      </c>
      <c r="H1735" s="307" t="s">
        <v>11</v>
      </c>
    </row>
    <row r="1736" spans="1:8" x14ac:dyDescent="0.2">
      <c r="A1736" t="s">
        <v>41</v>
      </c>
      <c r="B1736" t="s">
        <v>95</v>
      </c>
      <c r="C1736" t="s">
        <v>1365</v>
      </c>
      <c r="D1736">
        <v>1</v>
      </c>
      <c r="E1736" s="307">
        <v>5</v>
      </c>
      <c r="F1736" s="307" t="s">
        <v>7</v>
      </c>
      <c r="G1736" s="307" t="s">
        <v>11</v>
      </c>
      <c r="H1736" s="307" t="s">
        <v>11</v>
      </c>
    </row>
    <row r="1737" spans="1:8" x14ac:dyDescent="0.2">
      <c r="A1737" t="s">
        <v>41</v>
      </c>
      <c r="B1737" t="s">
        <v>95</v>
      </c>
      <c r="C1737" t="s">
        <v>1367</v>
      </c>
      <c r="D1737">
        <v>2</v>
      </c>
      <c r="E1737" s="307">
        <v>5</v>
      </c>
      <c r="F1737" s="307" t="s">
        <v>7</v>
      </c>
      <c r="G1737" s="307" t="s">
        <v>11</v>
      </c>
      <c r="H1737" s="307" t="s">
        <v>11</v>
      </c>
    </row>
    <row r="1738" spans="1:8" x14ac:dyDescent="0.2">
      <c r="A1738" t="s">
        <v>41</v>
      </c>
      <c r="B1738" t="s">
        <v>95</v>
      </c>
      <c r="C1738" t="s">
        <v>1368</v>
      </c>
      <c r="D1738">
        <v>2</v>
      </c>
      <c r="E1738" s="307">
        <v>5</v>
      </c>
      <c r="F1738" s="307" t="s">
        <v>7</v>
      </c>
      <c r="G1738" s="307" t="s">
        <v>11</v>
      </c>
      <c r="H1738" s="307" t="s">
        <v>11</v>
      </c>
    </row>
    <row r="1739" spans="1:8" x14ac:dyDescent="0.2">
      <c r="A1739" t="s">
        <v>41</v>
      </c>
      <c r="B1739" t="s">
        <v>95</v>
      </c>
      <c r="C1739" t="s">
        <v>1307</v>
      </c>
      <c r="D1739">
        <v>2</v>
      </c>
      <c r="E1739" s="307">
        <v>5</v>
      </c>
      <c r="F1739" s="307" t="s">
        <v>7</v>
      </c>
      <c r="G1739" s="307" t="s">
        <v>11</v>
      </c>
      <c r="H1739" s="307" t="s">
        <v>11</v>
      </c>
    </row>
    <row r="1740" spans="1:8" x14ac:dyDescent="0.2">
      <c r="A1740" t="s">
        <v>41</v>
      </c>
      <c r="B1740" t="s">
        <v>95</v>
      </c>
      <c r="C1740" t="s">
        <v>1371</v>
      </c>
      <c r="D1740">
        <v>1</v>
      </c>
      <c r="E1740" s="307">
        <v>5</v>
      </c>
      <c r="F1740" s="307" t="s">
        <v>7</v>
      </c>
      <c r="G1740" s="307" t="s">
        <v>11</v>
      </c>
      <c r="H1740" s="307" t="s">
        <v>11</v>
      </c>
    </row>
    <row r="1741" spans="1:8" x14ac:dyDescent="0.2">
      <c r="A1741" t="s">
        <v>41</v>
      </c>
      <c r="B1741" t="s">
        <v>95</v>
      </c>
      <c r="C1741" t="s">
        <v>1791</v>
      </c>
      <c r="D1741">
        <v>1</v>
      </c>
      <c r="E1741" s="307">
        <v>5</v>
      </c>
      <c r="F1741" s="307" t="s">
        <v>7</v>
      </c>
      <c r="G1741" s="307" t="s">
        <v>11</v>
      </c>
      <c r="H1741" s="307" t="s">
        <v>11</v>
      </c>
    </row>
    <row r="1742" spans="1:8" x14ac:dyDescent="0.2">
      <c r="A1742" t="s">
        <v>41</v>
      </c>
      <c r="B1742" t="s">
        <v>95</v>
      </c>
      <c r="C1742" t="s">
        <v>1118</v>
      </c>
      <c r="D1742">
        <v>3</v>
      </c>
      <c r="E1742" s="307">
        <v>5</v>
      </c>
      <c r="F1742" s="307" t="s">
        <v>7</v>
      </c>
      <c r="G1742" s="307" t="s">
        <v>11</v>
      </c>
      <c r="H1742" s="307" t="s">
        <v>11</v>
      </c>
    </row>
    <row r="1743" spans="1:8" x14ac:dyDescent="0.2">
      <c r="A1743" t="s">
        <v>41</v>
      </c>
      <c r="B1743" t="s">
        <v>95</v>
      </c>
      <c r="C1743" t="s">
        <v>1792</v>
      </c>
      <c r="D1743">
        <v>1</v>
      </c>
      <c r="E1743" s="307">
        <v>5</v>
      </c>
      <c r="F1743" s="307" t="s">
        <v>7</v>
      </c>
      <c r="G1743" s="307" t="s">
        <v>11</v>
      </c>
      <c r="H1743" s="307" t="s">
        <v>11</v>
      </c>
    </row>
    <row r="1744" spans="1:8" x14ac:dyDescent="0.2">
      <c r="A1744" t="s">
        <v>41</v>
      </c>
      <c r="B1744" t="s">
        <v>95</v>
      </c>
      <c r="C1744" t="s">
        <v>1173</v>
      </c>
      <c r="D1744">
        <v>2</v>
      </c>
      <c r="E1744" s="307">
        <v>5</v>
      </c>
      <c r="F1744" s="307" t="s">
        <v>7</v>
      </c>
      <c r="G1744" s="307" t="s">
        <v>11</v>
      </c>
      <c r="H1744" s="307" t="s">
        <v>11</v>
      </c>
    </row>
    <row r="1745" spans="1:8" x14ac:dyDescent="0.2">
      <c r="A1745" t="s">
        <v>41</v>
      </c>
      <c r="B1745" t="s">
        <v>95</v>
      </c>
      <c r="C1745" t="s">
        <v>750</v>
      </c>
      <c r="D1745">
        <v>1</v>
      </c>
      <c r="E1745" s="307">
        <v>5</v>
      </c>
      <c r="F1745" s="307" t="s">
        <v>7</v>
      </c>
      <c r="G1745" s="307" t="s">
        <v>11</v>
      </c>
      <c r="H1745" s="307" t="s">
        <v>11</v>
      </c>
    </row>
    <row r="1746" spans="1:8" x14ac:dyDescent="0.2">
      <c r="A1746" t="s">
        <v>41</v>
      </c>
      <c r="B1746" t="s">
        <v>95</v>
      </c>
      <c r="C1746" t="s">
        <v>1129</v>
      </c>
      <c r="D1746">
        <v>1</v>
      </c>
      <c r="E1746" s="307">
        <v>5</v>
      </c>
      <c r="F1746" s="307" t="s">
        <v>7</v>
      </c>
      <c r="G1746" s="307" t="s">
        <v>11</v>
      </c>
      <c r="H1746" s="307" t="s">
        <v>11</v>
      </c>
    </row>
    <row r="1747" spans="1:8" x14ac:dyDescent="0.2">
      <c r="A1747" t="s">
        <v>41</v>
      </c>
      <c r="B1747" t="s">
        <v>95</v>
      </c>
      <c r="C1747" t="s">
        <v>1130</v>
      </c>
      <c r="D1747">
        <v>1</v>
      </c>
      <c r="E1747" s="307">
        <v>5</v>
      </c>
      <c r="F1747" s="307" t="s">
        <v>7</v>
      </c>
      <c r="G1747" s="307" t="s">
        <v>11</v>
      </c>
      <c r="H1747" s="307" t="s">
        <v>11</v>
      </c>
    </row>
    <row r="1748" spans="1:8" x14ac:dyDescent="0.2">
      <c r="A1748" t="s">
        <v>41</v>
      </c>
      <c r="B1748" t="s">
        <v>95</v>
      </c>
      <c r="C1748" t="s">
        <v>1131</v>
      </c>
      <c r="D1748">
        <v>3</v>
      </c>
      <c r="E1748" s="307">
        <v>5</v>
      </c>
      <c r="F1748" s="307" t="s">
        <v>7</v>
      </c>
      <c r="G1748" s="307" t="s">
        <v>11</v>
      </c>
      <c r="H1748" s="307" t="s">
        <v>11</v>
      </c>
    </row>
    <row r="1749" spans="1:8" x14ac:dyDescent="0.2">
      <c r="A1749" t="s">
        <v>41</v>
      </c>
      <c r="B1749" t="s">
        <v>95</v>
      </c>
      <c r="C1749" t="s">
        <v>1491</v>
      </c>
      <c r="D1749">
        <v>1</v>
      </c>
      <c r="E1749" s="307">
        <v>5</v>
      </c>
      <c r="F1749" s="307" t="s">
        <v>7</v>
      </c>
      <c r="G1749" s="307" t="s">
        <v>11</v>
      </c>
      <c r="H1749" s="307" t="s">
        <v>11</v>
      </c>
    </row>
    <row r="1750" spans="1:8" x14ac:dyDescent="0.2">
      <c r="A1750" t="s">
        <v>45</v>
      </c>
      <c r="B1750" t="s">
        <v>96</v>
      </c>
      <c r="C1750" t="s">
        <v>1793</v>
      </c>
      <c r="D1750">
        <v>1</v>
      </c>
      <c r="E1750" s="307">
        <v>5</v>
      </c>
      <c r="F1750" s="307" t="s">
        <v>75</v>
      </c>
      <c r="G1750" s="307" t="s">
        <v>11</v>
      </c>
      <c r="H1750" s="307" t="s">
        <v>11</v>
      </c>
    </row>
    <row r="1751" spans="1:8" x14ac:dyDescent="0.2">
      <c r="A1751" t="s">
        <v>45</v>
      </c>
      <c r="B1751" t="s">
        <v>96</v>
      </c>
      <c r="C1751" t="s">
        <v>1794</v>
      </c>
      <c r="D1751">
        <v>2</v>
      </c>
      <c r="E1751" s="307">
        <v>5</v>
      </c>
      <c r="F1751" s="307" t="s">
        <v>75</v>
      </c>
      <c r="G1751" s="307" t="s">
        <v>11</v>
      </c>
      <c r="H1751" s="307" t="s">
        <v>11</v>
      </c>
    </row>
    <row r="1752" spans="1:8" x14ac:dyDescent="0.2">
      <c r="A1752" t="s">
        <v>45</v>
      </c>
      <c r="B1752" t="s">
        <v>96</v>
      </c>
      <c r="C1752" t="s">
        <v>806</v>
      </c>
      <c r="D1752">
        <v>3</v>
      </c>
      <c r="E1752" s="307">
        <v>3</v>
      </c>
      <c r="F1752" s="307" t="s">
        <v>75</v>
      </c>
      <c r="G1752" s="307" t="s">
        <v>11</v>
      </c>
      <c r="H1752" s="307" t="s">
        <v>11</v>
      </c>
    </row>
    <row r="1753" spans="1:8" x14ac:dyDescent="0.2">
      <c r="A1753" t="s">
        <v>45</v>
      </c>
      <c r="B1753" t="s">
        <v>96</v>
      </c>
      <c r="C1753" t="s">
        <v>929</v>
      </c>
      <c r="D1753">
        <v>1</v>
      </c>
      <c r="E1753" s="307">
        <v>5</v>
      </c>
      <c r="F1753" s="307" t="s">
        <v>75</v>
      </c>
      <c r="G1753" s="307" t="s">
        <v>11</v>
      </c>
      <c r="H1753" s="307" t="s">
        <v>11</v>
      </c>
    </row>
    <row r="1754" spans="1:8" x14ac:dyDescent="0.2">
      <c r="A1754" t="s">
        <v>45</v>
      </c>
      <c r="B1754" t="s">
        <v>96</v>
      </c>
      <c r="C1754" t="s">
        <v>1795</v>
      </c>
      <c r="D1754">
        <v>2</v>
      </c>
      <c r="E1754" s="307">
        <v>5</v>
      </c>
      <c r="F1754" s="307" t="s">
        <v>75</v>
      </c>
      <c r="G1754" s="307" t="s">
        <v>11</v>
      </c>
      <c r="H1754" s="307" t="s">
        <v>11</v>
      </c>
    </row>
    <row r="1755" spans="1:8" x14ac:dyDescent="0.2">
      <c r="A1755" t="s">
        <v>45</v>
      </c>
      <c r="B1755" t="s">
        <v>96</v>
      </c>
      <c r="C1755" t="s">
        <v>1796</v>
      </c>
      <c r="D1755">
        <v>2</v>
      </c>
      <c r="E1755" s="307">
        <v>5</v>
      </c>
      <c r="F1755" s="307" t="s">
        <v>75</v>
      </c>
      <c r="G1755" s="307" t="s">
        <v>11</v>
      </c>
      <c r="H1755" s="307" t="s">
        <v>11</v>
      </c>
    </row>
    <row r="1756" spans="1:8" x14ac:dyDescent="0.2">
      <c r="A1756" t="s">
        <v>45</v>
      </c>
      <c r="B1756" t="s">
        <v>96</v>
      </c>
      <c r="C1756" t="s">
        <v>1797</v>
      </c>
      <c r="D1756">
        <v>1</v>
      </c>
      <c r="E1756" s="307">
        <v>5</v>
      </c>
      <c r="F1756" s="307" t="s">
        <v>75</v>
      </c>
      <c r="G1756" s="307" t="s">
        <v>11</v>
      </c>
      <c r="H1756" s="307" t="s">
        <v>11</v>
      </c>
    </row>
    <row r="1757" spans="1:8" x14ac:dyDescent="0.2">
      <c r="A1757" t="s">
        <v>45</v>
      </c>
      <c r="B1757" t="s">
        <v>96</v>
      </c>
      <c r="C1757" t="s">
        <v>866</v>
      </c>
      <c r="D1757">
        <v>2</v>
      </c>
      <c r="E1757" s="307">
        <v>5</v>
      </c>
      <c r="F1757" s="307" t="s">
        <v>75</v>
      </c>
      <c r="G1757" s="307" t="s">
        <v>11</v>
      </c>
      <c r="H1757" s="307" t="s">
        <v>11</v>
      </c>
    </row>
    <row r="1758" spans="1:8" x14ac:dyDescent="0.2">
      <c r="A1758" t="s">
        <v>45</v>
      </c>
      <c r="B1758" t="s">
        <v>96</v>
      </c>
      <c r="C1758" t="s">
        <v>1798</v>
      </c>
      <c r="D1758">
        <v>1</v>
      </c>
      <c r="E1758" s="307">
        <v>5</v>
      </c>
      <c r="F1758" s="307" t="s">
        <v>75</v>
      </c>
      <c r="G1758" s="307" t="s">
        <v>11</v>
      </c>
      <c r="H1758" s="307" t="s">
        <v>11</v>
      </c>
    </row>
    <row r="1759" spans="1:8" x14ac:dyDescent="0.2">
      <c r="A1759" t="s">
        <v>45</v>
      </c>
      <c r="B1759" t="s">
        <v>96</v>
      </c>
      <c r="C1759" t="s">
        <v>827</v>
      </c>
      <c r="D1759">
        <v>1</v>
      </c>
      <c r="E1759" s="307">
        <v>5</v>
      </c>
      <c r="F1759" s="307" t="s">
        <v>75</v>
      </c>
      <c r="G1759" s="307" t="s">
        <v>11</v>
      </c>
      <c r="H1759" s="307" t="s">
        <v>11</v>
      </c>
    </row>
    <row r="1760" spans="1:8" x14ac:dyDescent="0.2">
      <c r="A1760" t="s">
        <v>45</v>
      </c>
      <c r="B1760" t="s">
        <v>96</v>
      </c>
      <c r="C1760" t="s">
        <v>1293</v>
      </c>
      <c r="D1760">
        <v>1</v>
      </c>
      <c r="E1760" s="307">
        <v>5</v>
      </c>
      <c r="F1760" s="307" t="s">
        <v>75</v>
      </c>
      <c r="G1760" s="307" t="s">
        <v>11</v>
      </c>
      <c r="H1760" s="307" t="s">
        <v>11</v>
      </c>
    </row>
    <row r="1761" spans="1:8" x14ac:dyDescent="0.2">
      <c r="A1761" t="s">
        <v>45</v>
      </c>
      <c r="B1761" t="s">
        <v>96</v>
      </c>
      <c r="C1761" t="s">
        <v>946</v>
      </c>
      <c r="D1761">
        <v>1</v>
      </c>
      <c r="E1761" s="307">
        <v>5</v>
      </c>
      <c r="F1761" s="307" t="s">
        <v>75</v>
      </c>
      <c r="G1761" s="307" t="s">
        <v>11</v>
      </c>
      <c r="H1761" s="307" t="s">
        <v>11</v>
      </c>
    </row>
    <row r="1762" spans="1:8" x14ac:dyDescent="0.2">
      <c r="A1762" t="s">
        <v>45</v>
      </c>
      <c r="B1762" t="s">
        <v>96</v>
      </c>
      <c r="C1762" t="s">
        <v>1799</v>
      </c>
      <c r="D1762">
        <v>2</v>
      </c>
      <c r="E1762" s="307">
        <v>5</v>
      </c>
      <c r="F1762" s="307" t="s">
        <v>75</v>
      </c>
      <c r="G1762" s="307" t="s">
        <v>11</v>
      </c>
      <c r="H1762" s="307" t="s">
        <v>11</v>
      </c>
    </row>
    <row r="1763" spans="1:8" x14ac:dyDescent="0.2">
      <c r="A1763" t="s">
        <v>45</v>
      </c>
      <c r="B1763" t="s">
        <v>96</v>
      </c>
      <c r="C1763" t="s">
        <v>1800</v>
      </c>
      <c r="D1763">
        <v>1</v>
      </c>
      <c r="E1763" s="307">
        <v>5</v>
      </c>
      <c r="F1763" s="307" t="s">
        <v>75</v>
      </c>
      <c r="G1763" s="307" t="s">
        <v>11</v>
      </c>
      <c r="H1763" s="307" t="s">
        <v>11</v>
      </c>
    </row>
    <row r="1764" spans="1:8" x14ac:dyDescent="0.2">
      <c r="A1764" t="s">
        <v>45</v>
      </c>
      <c r="B1764" t="s">
        <v>96</v>
      </c>
      <c r="C1764" t="s">
        <v>1801</v>
      </c>
      <c r="D1764">
        <v>2</v>
      </c>
      <c r="E1764" s="307">
        <v>5</v>
      </c>
      <c r="F1764" s="307" t="s">
        <v>75</v>
      </c>
      <c r="G1764" s="307" t="s">
        <v>11</v>
      </c>
      <c r="H1764" s="307" t="s">
        <v>11</v>
      </c>
    </row>
    <row r="1765" spans="1:8" x14ac:dyDescent="0.2">
      <c r="A1765" t="s">
        <v>45</v>
      </c>
      <c r="B1765" t="s">
        <v>96</v>
      </c>
      <c r="C1765" t="s">
        <v>1802</v>
      </c>
      <c r="D1765">
        <v>2</v>
      </c>
      <c r="E1765" s="307">
        <v>5</v>
      </c>
      <c r="F1765" s="307" t="s">
        <v>75</v>
      </c>
      <c r="G1765" s="307" t="s">
        <v>11</v>
      </c>
      <c r="H1765" s="307" t="s">
        <v>11</v>
      </c>
    </row>
    <row r="1766" spans="1:8" x14ac:dyDescent="0.2">
      <c r="A1766" t="s">
        <v>45</v>
      </c>
      <c r="B1766" t="s">
        <v>96</v>
      </c>
      <c r="C1766" t="s">
        <v>1803</v>
      </c>
      <c r="D1766">
        <v>1</v>
      </c>
      <c r="E1766" s="307">
        <v>5</v>
      </c>
      <c r="F1766" s="307" t="s">
        <v>75</v>
      </c>
      <c r="G1766" s="307" t="s">
        <v>11</v>
      </c>
      <c r="H1766" s="307" t="s">
        <v>11</v>
      </c>
    </row>
    <row r="1767" spans="1:8" x14ac:dyDescent="0.2">
      <c r="A1767" t="s">
        <v>42</v>
      </c>
      <c r="B1767" t="s">
        <v>79</v>
      </c>
      <c r="C1767" t="s">
        <v>1804</v>
      </c>
      <c r="D1767">
        <v>2</v>
      </c>
      <c r="E1767" s="307">
        <v>6</v>
      </c>
      <c r="F1767" s="307" t="s">
        <v>7</v>
      </c>
      <c r="G1767" s="307" t="s">
        <v>11</v>
      </c>
      <c r="H1767" s="307" t="s">
        <v>11</v>
      </c>
    </row>
    <row r="1768" spans="1:8" x14ac:dyDescent="0.2">
      <c r="A1768" t="s">
        <v>42</v>
      </c>
      <c r="B1768" t="s">
        <v>79</v>
      </c>
      <c r="C1768" t="s">
        <v>804</v>
      </c>
      <c r="D1768">
        <v>1</v>
      </c>
      <c r="E1768" s="307">
        <v>6</v>
      </c>
      <c r="F1768" s="307" t="s">
        <v>7</v>
      </c>
      <c r="G1768" s="307" t="s">
        <v>11</v>
      </c>
      <c r="H1768" s="307" t="s">
        <v>11</v>
      </c>
    </row>
    <row r="1769" spans="1:8" x14ac:dyDescent="0.2">
      <c r="A1769" t="s">
        <v>42</v>
      </c>
      <c r="B1769" t="s">
        <v>79</v>
      </c>
      <c r="C1769" t="s">
        <v>1805</v>
      </c>
      <c r="D1769">
        <v>2</v>
      </c>
      <c r="E1769" s="307">
        <v>5</v>
      </c>
      <c r="F1769" s="307" t="s">
        <v>7</v>
      </c>
      <c r="G1769" s="307" t="s">
        <v>11</v>
      </c>
      <c r="H1769" s="307" t="s">
        <v>11</v>
      </c>
    </row>
    <row r="1770" spans="1:8" x14ac:dyDescent="0.2">
      <c r="A1770" t="s">
        <v>42</v>
      </c>
      <c r="B1770" t="s">
        <v>79</v>
      </c>
      <c r="C1770" t="s">
        <v>1806</v>
      </c>
      <c r="D1770">
        <v>2</v>
      </c>
      <c r="E1770" s="307">
        <v>6</v>
      </c>
      <c r="F1770" s="307" t="s">
        <v>7</v>
      </c>
      <c r="G1770" s="307" t="s">
        <v>11</v>
      </c>
      <c r="H1770" s="307" t="s">
        <v>11</v>
      </c>
    </row>
    <row r="1771" spans="1:8" x14ac:dyDescent="0.2">
      <c r="A1771" t="s">
        <v>42</v>
      </c>
      <c r="B1771" t="s">
        <v>79</v>
      </c>
      <c r="C1771" t="s">
        <v>1807</v>
      </c>
      <c r="D1771">
        <v>2</v>
      </c>
      <c r="E1771" s="307">
        <v>6</v>
      </c>
      <c r="F1771" s="307" t="s">
        <v>7</v>
      </c>
      <c r="G1771" s="307" t="s">
        <v>11</v>
      </c>
      <c r="H1771" s="307" t="s">
        <v>11</v>
      </c>
    </row>
    <row r="1772" spans="1:8" x14ac:dyDescent="0.2">
      <c r="A1772" t="s">
        <v>42</v>
      </c>
      <c r="B1772" t="s">
        <v>79</v>
      </c>
      <c r="C1772" t="s">
        <v>1000</v>
      </c>
      <c r="D1772">
        <v>2</v>
      </c>
      <c r="E1772" s="307">
        <v>5</v>
      </c>
      <c r="F1772" s="307" t="s">
        <v>7</v>
      </c>
      <c r="G1772" s="307" t="s">
        <v>11</v>
      </c>
      <c r="H1772" s="307" t="s">
        <v>11</v>
      </c>
    </row>
    <row r="1773" spans="1:8" x14ac:dyDescent="0.2">
      <c r="A1773" t="s">
        <v>42</v>
      </c>
      <c r="B1773" t="s">
        <v>79</v>
      </c>
      <c r="C1773" t="s">
        <v>1808</v>
      </c>
      <c r="D1773">
        <v>2</v>
      </c>
      <c r="E1773" s="307">
        <v>6</v>
      </c>
      <c r="F1773" s="307" t="s">
        <v>7</v>
      </c>
      <c r="G1773" s="307" t="s">
        <v>11</v>
      </c>
      <c r="H1773" s="307" t="s">
        <v>11</v>
      </c>
    </row>
    <row r="1774" spans="1:8" x14ac:dyDescent="0.2">
      <c r="A1774" t="s">
        <v>42</v>
      </c>
      <c r="B1774" t="s">
        <v>79</v>
      </c>
      <c r="C1774" t="s">
        <v>1809</v>
      </c>
      <c r="D1774">
        <v>2</v>
      </c>
      <c r="E1774" s="307">
        <v>5</v>
      </c>
      <c r="F1774" s="307" t="s">
        <v>7</v>
      </c>
      <c r="G1774" s="307" t="s">
        <v>11</v>
      </c>
      <c r="H1774" s="307" t="s">
        <v>11</v>
      </c>
    </row>
    <row r="1775" spans="1:8" x14ac:dyDescent="0.2">
      <c r="A1775" t="s">
        <v>42</v>
      </c>
      <c r="B1775" t="s">
        <v>79</v>
      </c>
      <c r="C1775" t="s">
        <v>1810</v>
      </c>
      <c r="D1775">
        <v>2</v>
      </c>
      <c r="E1775" s="307">
        <v>5</v>
      </c>
      <c r="F1775" s="307" t="s">
        <v>7</v>
      </c>
      <c r="G1775" s="307" t="s">
        <v>11</v>
      </c>
      <c r="H1775" s="307" t="s">
        <v>11</v>
      </c>
    </row>
    <row r="1776" spans="1:8" x14ac:dyDescent="0.2">
      <c r="A1776" t="s">
        <v>42</v>
      </c>
      <c r="B1776" t="s">
        <v>79</v>
      </c>
      <c r="C1776" t="s">
        <v>1259</v>
      </c>
      <c r="D1776">
        <v>2</v>
      </c>
      <c r="E1776" s="307">
        <v>6</v>
      </c>
      <c r="F1776" s="307" t="s">
        <v>7</v>
      </c>
      <c r="G1776" s="307" t="s">
        <v>11</v>
      </c>
      <c r="H1776" s="307" t="s">
        <v>11</v>
      </c>
    </row>
    <row r="1777" spans="1:8" x14ac:dyDescent="0.2">
      <c r="A1777" t="s">
        <v>43</v>
      </c>
      <c r="B1777" t="s">
        <v>97</v>
      </c>
      <c r="C1777" t="s">
        <v>1811</v>
      </c>
      <c r="D1777">
        <v>3</v>
      </c>
      <c r="E1777" s="307">
        <v>4</v>
      </c>
      <c r="F1777" s="307" t="s">
        <v>7</v>
      </c>
      <c r="G1777" s="307" t="s">
        <v>11</v>
      </c>
      <c r="H1777" s="307" t="s">
        <v>11</v>
      </c>
    </row>
    <row r="1778" spans="1:8" x14ac:dyDescent="0.2">
      <c r="A1778" t="s">
        <v>43</v>
      </c>
      <c r="B1778" t="s">
        <v>97</v>
      </c>
      <c r="C1778" t="s">
        <v>1812</v>
      </c>
      <c r="D1778">
        <v>2</v>
      </c>
      <c r="E1778" s="307">
        <v>5</v>
      </c>
      <c r="F1778" s="307" t="s">
        <v>7</v>
      </c>
      <c r="G1778" s="307" t="s">
        <v>11</v>
      </c>
      <c r="H1778" s="307" t="s">
        <v>11</v>
      </c>
    </row>
    <row r="1779" spans="1:8" x14ac:dyDescent="0.2">
      <c r="A1779" t="s">
        <v>43</v>
      </c>
      <c r="B1779" t="s">
        <v>97</v>
      </c>
      <c r="C1779" t="s">
        <v>1813</v>
      </c>
      <c r="D1779">
        <v>2</v>
      </c>
      <c r="E1779" s="307">
        <v>4</v>
      </c>
      <c r="F1779" s="307" t="s">
        <v>7</v>
      </c>
      <c r="G1779" s="307" t="s">
        <v>11</v>
      </c>
      <c r="H1779" s="307" t="s">
        <v>11</v>
      </c>
    </row>
    <row r="1780" spans="1:8" x14ac:dyDescent="0.2">
      <c r="A1780" t="s">
        <v>43</v>
      </c>
      <c r="B1780" t="s">
        <v>97</v>
      </c>
      <c r="C1780" t="s">
        <v>1042</v>
      </c>
      <c r="D1780">
        <v>2</v>
      </c>
      <c r="E1780" s="307">
        <v>4</v>
      </c>
      <c r="F1780" s="307" t="s">
        <v>7</v>
      </c>
      <c r="G1780" s="307" t="s">
        <v>11</v>
      </c>
      <c r="H1780" s="307" t="s">
        <v>11</v>
      </c>
    </row>
    <row r="1781" spans="1:8" x14ac:dyDescent="0.2">
      <c r="A1781" t="s">
        <v>43</v>
      </c>
      <c r="B1781" t="s">
        <v>97</v>
      </c>
      <c r="C1781" t="s">
        <v>1814</v>
      </c>
      <c r="D1781">
        <v>3</v>
      </c>
      <c r="E1781" s="307">
        <v>4</v>
      </c>
      <c r="F1781" s="307" t="s">
        <v>7</v>
      </c>
      <c r="G1781" s="307" t="s">
        <v>11</v>
      </c>
      <c r="H1781" s="307" t="s">
        <v>11</v>
      </c>
    </row>
    <row r="1782" spans="1:8" x14ac:dyDescent="0.2">
      <c r="A1782" t="s">
        <v>43</v>
      </c>
      <c r="B1782" t="s">
        <v>97</v>
      </c>
      <c r="C1782" t="s">
        <v>1183</v>
      </c>
      <c r="D1782">
        <v>2</v>
      </c>
      <c r="E1782" s="307">
        <v>4</v>
      </c>
      <c r="F1782" s="307" t="s">
        <v>7</v>
      </c>
      <c r="G1782" s="307" t="s">
        <v>11</v>
      </c>
      <c r="H1782" s="307" t="s">
        <v>11</v>
      </c>
    </row>
    <row r="1783" spans="1:8" x14ac:dyDescent="0.2">
      <c r="A1783" t="s">
        <v>43</v>
      </c>
      <c r="B1783" t="s">
        <v>97</v>
      </c>
      <c r="C1783" t="s">
        <v>1513</v>
      </c>
      <c r="D1783">
        <v>2</v>
      </c>
      <c r="E1783" s="307">
        <v>4</v>
      </c>
      <c r="F1783" s="307" t="s">
        <v>7</v>
      </c>
      <c r="G1783" s="307" t="s">
        <v>11</v>
      </c>
      <c r="H1783" s="307" t="s">
        <v>11</v>
      </c>
    </row>
    <row r="1784" spans="1:8" x14ac:dyDescent="0.2">
      <c r="A1784" t="s">
        <v>43</v>
      </c>
      <c r="B1784" t="s">
        <v>97</v>
      </c>
      <c r="C1784" t="s">
        <v>1815</v>
      </c>
      <c r="D1784">
        <v>2</v>
      </c>
      <c r="E1784" s="307">
        <v>4</v>
      </c>
      <c r="F1784" s="307" t="s">
        <v>7</v>
      </c>
      <c r="G1784" s="307" t="s">
        <v>11</v>
      </c>
      <c r="H1784" s="307" t="s">
        <v>11</v>
      </c>
    </row>
    <row r="1785" spans="1:8" x14ac:dyDescent="0.2">
      <c r="A1785" t="s">
        <v>43</v>
      </c>
      <c r="B1785" t="s">
        <v>97</v>
      </c>
      <c r="C1785" t="s">
        <v>1816</v>
      </c>
      <c r="D1785">
        <v>2</v>
      </c>
      <c r="E1785" s="307">
        <v>4</v>
      </c>
      <c r="F1785" s="307" t="s">
        <v>7</v>
      </c>
      <c r="G1785" s="307" t="s">
        <v>11</v>
      </c>
      <c r="H1785" s="307" t="s">
        <v>11</v>
      </c>
    </row>
    <row r="1786" spans="1:8" x14ac:dyDescent="0.2">
      <c r="A1786" t="s">
        <v>43</v>
      </c>
      <c r="B1786" t="s">
        <v>97</v>
      </c>
      <c r="C1786" t="s">
        <v>1817</v>
      </c>
      <c r="D1786">
        <v>1</v>
      </c>
      <c r="E1786" s="307">
        <v>5</v>
      </c>
      <c r="F1786" s="307" t="s">
        <v>7</v>
      </c>
      <c r="G1786" s="307" t="s">
        <v>11</v>
      </c>
      <c r="H1786" s="307" t="s">
        <v>11</v>
      </c>
    </row>
    <row r="1787" spans="1:8" x14ac:dyDescent="0.2">
      <c r="A1787" t="s">
        <v>43</v>
      </c>
      <c r="B1787" t="s">
        <v>97</v>
      </c>
      <c r="C1787" t="s">
        <v>1209</v>
      </c>
      <c r="D1787">
        <v>1</v>
      </c>
      <c r="E1787" s="307">
        <v>5</v>
      </c>
      <c r="F1787" s="307" t="s">
        <v>7</v>
      </c>
      <c r="G1787" s="307" t="s">
        <v>11</v>
      </c>
      <c r="H1787" s="307" t="s">
        <v>11</v>
      </c>
    </row>
    <row r="1788" spans="1:8" x14ac:dyDescent="0.2">
      <c r="A1788" t="s">
        <v>43</v>
      </c>
      <c r="B1788" t="s">
        <v>97</v>
      </c>
      <c r="C1788" t="s">
        <v>969</v>
      </c>
      <c r="D1788">
        <v>2</v>
      </c>
      <c r="E1788" s="307">
        <v>4</v>
      </c>
      <c r="F1788" s="307" t="s">
        <v>7</v>
      </c>
      <c r="G1788" s="307" t="s">
        <v>11</v>
      </c>
      <c r="H1788" s="307" t="s">
        <v>11</v>
      </c>
    </row>
    <row r="1789" spans="1:8" x14ac:dyDescent="0.2">
      <c r="A1789" t="s">
        <v>43</v>
      </c>
      <c r="B1789" t="s">
        <v>97</v>
      </c>
      <c r="C1789" t="s">
        <v>1818</v>
      </c>
      <c r="D1789">
        <v>1</v>
      </c>
      <c r="E1789" s="307">
        <v>4</v>
      </c>
      <c r="F1789" s="307" t="s">
        <v>7</v>
      </c>
      <c r="G1789" s="307" t="s">
        <v>11</v>
      </c>
      <c r="H1789" s="307" t="s">
        <v>11</v>
      </c>
    </row>
    <row r="1790" spans="1:8" x14ac:dyDescent="0.2">
      <c r="A1790" t="s">
        <v>43</v>
      </c>
      <c r="B1790" t="s">
        <v>97</v>
      </c>
      <c r="C1790" t="s">
        <v>1347</v>
      </c>
      <c r="D1790">
        <v>1</v>
      </c>
      <c r="E1790" s="307">
        <v>5</v>
      </c>
      <c r="F1790" s="307" t="s">
        <v>7</v>
      </c>
      <c r="G1790" s="307" t="s">
        <v>11</v>
      </c>
      <c r="H1790" s="307" t="s">
        <v>11</v>
      </c>
    </row>
    <row r="1791" spans="1:8" x14ac:dyDescent="0.2">
      <c r="A1791" t="s">
        <v>43</v>
      </c>
      <c r="B1791" t="s">
        <v>97</v>
      </c>
      <c r="C1791" t="s">
        <v>1819</v>
      </c>
      <c r="D1791">
        <v>3</v>
      </c>
      <c r="E1791" s="307">
        <v>4</v>
      </c>
      <c r="F1791" s="307" t="s">
        <v>7</v>
      </c>
      <c r="G1791" s="307" t="s">
        <v>11</v>
      </c>
      <c r="H1791" s="307" t="s">
        <v>11</v>
      </c>
    </row>
    <row r="1792" spans="1:8" x14ac:dyDescent="0.2">
      <c r="A1792" t="s">
        <v>43</v>
      </c>
      <c r="B1792" t="s">
        <v>97</v>
      </c>
      <c r="C1792" t="s">
        <v>1820</v>
      </c>
      <c r="D1792">
        <v>2</v>
      </c>
      <c r="E1792" s="307">
        <v>5</v>
      </c>
      <c r="F1792" s="307" t="s">
        <v>7</v>
      </c>
      <c r="G1792" s="307" t="s">
        <v>11</v>
      </c>
      <c r="H1792" s="307" t="s">
        <v>11</v>
      </c>
    </row>
    <row r="1793" spans="1:8" x14ac:dyDescent="0.2">
      <c r="A1793" t="s">
        <v>43</v>
      </c>
      <c r="B1793" t="s">
        <v>97</v>
      </c>
      <c r="C1793" t="s">
        <v>1821</v>
      </c>
      <c r="D1793">
        <v>2</v>
      </c>
      <c r="E1793" s="307">
        <v>4</v>
      </c>
      <c r="F1793" s="307" t="s">
        <v>7</v>
      </c>
      <c r="G1793" s="307" t="s">
        <v>11</v>
      </c>
      <c r="H1793" s="307" t="s">
        <v>11</v>
      </c>
    </row>
    <row r="1794" spans="1:8" x14ac:dyDescent="0.2">
      <c r="A1794" t="s">
        <v>43</v>
      </c>
      <c r="B1794" t="s">
        <v>97</v>
      </c>
      <c r="C1794" t="s">
        <v>1489</v>
      </c>
      <c r="D1794">
        <v>1</v>
      </c>
      <c r="E1794" s="307">
        <v>5</v>
      </c>
      <c r="F1794" s="307" t="s">
        <v>7</v>
      </c>
      <c r="G1794" s="307" t="s">
        <v>11</v>
      </c>
      <c r="H1794" s="307" t="s">
        <v>11</v>
      </c>
    </row>
    <row r="1795" spans="1:8" x14ac:dyDescent="0.2">
      <c r="A1795" t="s">
        <v>43</v>
      </c>
      <c r="B1795" t="s">
        <v>97</v>
      </c>
      <c r="C1795" t="s">
        <v>976</v>
      </c>
      <c r="D1795">
        <v>1</v>
      </c>
      <c r="E1795" s="307">
        <v>5</v>
      </c>
      <c r="F1795" s="307" t="s">
        <v>7</v>
      </c>
      <c r="G1795" s="307" t="s">
        <v>11</v>
      </c>
      <c r="H1795" s="307" t="s">
        <v>11</v>
      </c>
    </row>
    <row r="1796" spans="1:8" x14ac:dyDescent="0.2">
      <c r="A1796" t="s">
        <v>43</v>
      </c>
      <c r="B1796" t="s">
        <v>97</v>
      </c>
      <c r="C1796" t="s">
        <v>850</v>
      </c>
      <c r="D1796">
        <v>2</v>
      </c>
      <c r="E1796" s="307">
        <v>4</v>
      </c>
      <c r="F1796" s="307" t="s">
        <v>7</v>
      </c>
      <c r="G1796" s="307" t="s">
        <v>11</v>
      </c>
      <c r="H1796" s="307" t="s">
        <v>11</v>
      </c>
    </row>
    <row r="1797" spans="1:8" x14ac:dyDescent="0.2">
      <c r="A1797" t="s">
        <v>43</v>
      </c>
      <c r="B1797" t="s">
        <v>97</v>
      </c>
      <c r="C1797" t="s">
        <v>1128</v>
      </c>
      <c r="D1797">
        <v>1</v>
      </c>
      <c r="E1797" s="307">
        <v>5</v>
      </c>
      <c r="F1797" s="307" t="s">
        <v>7</v>
      </c>
      <c r="G1797" s="307" t="s">
        <v>11</v>
      </c>
      <c r="H1797" s="307" t="s">
        <v>11</v>
      </c>
    </row>
    <row r="1798" spans="1:8" x14ac:dyDescent="0.2">
      <c r="A1798" t="s">
        <v>44</v>
      </c>
      <c r="B1798" t="s">
        <v>98</v>
      </c>
      <c r="C1798" t="s">
        <v>1822</v>
      </c>
      <c r="D1798">
        <v>1</v>
      </c>
      <c r="E1798" s="307">
        <v>4</v>
      </c>
      <c r="F1798" s="307" t="s">
        <v>75</v>
      </c>
      <c r="G1798" s="307" t="s">
        <v>11</v>
      </c>
      <c r="H1798" s="307" t="s">
        <v>11</v>
      </c>
    </row>
    <row r="1799" spans="1:8" x14ac:dyDescent="0.2">
      <c r="A1799" t="s">
        <v>44</v>
      </c>
      <c r="B1799" t="s">
        <v>98</v>
      </c>
      <c r="C1799" t="s">
        <v>1823</v>
      </c>
      <c r="D1799">
        <v>2</v>
      </c>
      <c r="E1799" s="307">
        <v>5</v>
      </c>
      <c r="F1799" s="307" t="s">
        <v>75</v>
      </c>
      <c r="G1799" s="307" t="s">
        <v>11</v>
      </c>
      <c r="H1799" s="307" t="s">
        <v>11</v>
      </c>
    </row>
    <row r="1800" spans="1:8" x14ac:dyDescent="0.2">
      <c r="A1800" t="s">
        <v>44</v>
      </c>
      <c r="B1800" t="s">
        <v>98</v>
      </c>
      <c r="C1800" t="s">
        <v>1824</v>
      </c>
      <c r="D1800">
        <v>2</v>
      </c>
      <c r="E1800" s="307">
        <v>3</v>
      </c>
      <c r="F1800" s="307" t="s">
        <v>75</v>
      </c>
      <c r="G1800" s="307" t="s">
        <v>11</v>
      </c>
      <c r="H1800" s="307" t="s">
        <v>11</v>
      </c>
    </row>
    <row r="1801" spans="1:8" x14ac:dyDescent="0.2">
      <c r="A1801" t="s">
        <v>44</v>
      </c>
      <c r="B1801" t="s">
        <v>98</v>
      </c>
      <c r="C1801" t="s">
        <v>1825</v>
      </c>
      <c r="D1801">
        <v>2</v>
      </c>
      <c r="E1801" s="307">
        <v>4</v>
      </c>
      <c r="F1801" s="307" t="s">
        <v>75</v>
      </c>
      <c r="G1801" s="307" t="s">
        <v>11</v>
      </c>
      <c r="H1801" s="307" t="s">
        <v>11</v>
      </c>
    </row>
    <row r="1802" spans="1:8" x14ac:dyDescent="0.2">
      <c r="A1802" t="s">
        <v>44</v>
      </c>
      <c r="B1802" t="s">
        <v>98</v>
      </c>
      <c r="C1802" t="s">
        <v>1760</v>
      </c>
      <c r="D1802">
        <v>1</v>
      </c>
      <c r="E1802" s="307">
        <v>5</v>
      </c>
      <c r="F1802" s="307" t="s">
        <v>75</v>
      </c>
      <c r="G1802" s="307" t="s">
        <v>11</v>
      </c>
      <c r="H1802" s="307" t="s">
        <v>11</v>
      </c>
    </row>
    <row r="1803" spans="1:8" x14ac:dyDescent="0.2">
      <c r="A1803" t="s">
        <v>44</v>
      </c>
      <c r="B1803" t="s">
        <v>98</v>
      </c>
      <c r="C1803" t="s">
        <v>1826</v>
      </c>
      <c r="D1803">
        <v>2</v>
      </c>
      <c r="E1803" s="307">
        <v>4</v>
      </c>
      <c r="F1803" s="307" t="s">
        <v>75</v>
      </c>
      <c r="G1803" s="307" t="s">
        <v>11</v>
      </c>
      <c r="H1803" s="307" t="s">
        <v>11</v>
      </c>
    </row>
    <row r="1804" spans="1:8" x14ac:dyDescent="0.2">
      <c r="A1804" t="s">
        <v>44</v>
      </c>
      <c r="B1804" t="s">
        <v>98</v>
      </c>
      <c r="C1804" t="s">
        <v>1827</v>
      </c>
      <c r="D1804">
        <v>2</v>
      </c>
      <c r="E1804" s="307">
        <v>4</v>
      </c>
      <c r="F1804" s="307" t="s">
        <v>75</v>
      </c>
      <c r="G1804" s="307" t="s">
        <v>11</v>
      </c>
      <c r="H1804" s="307" t="s">
        <v>11</v>
      </c>
    </row>
    <row r="1805" spans="1:8" x14ac:dyDescent="0.2">
      <c r="A1805" t="s">
        <v>44</v>
      </c>
      <c r="B1805" t="s">
        <v>98</v>
      </c>
      <c r="C1805" t="s">
        <v>1828</v>
      </c>
      <c r="D1805">
        <v>2</v>
      </c>
      <c r="E1805" s="307">
        <v>3</v>
      </c>
      <c r="F1805" s="307" t="s">
        <v>75</v>
      </c>
      <c r="G1805" s="307" t="s">
        <v>11</v>
      </c>
      <c r="H1805" s="307" t="s">
        <v>11</v>
      </c>
    </row>
    <row r="1806" spans="1:8" x14ac:dyDescent="0.2">
      <c r="A1806" t="s">
        <v>44</v>
      </c>
      <c r="B1806" t="s">
        <v>98</v>
      </c>
      <c r="C1806" t="s">
        <v>1829</v>
      </c>
      <c r="D1806">
        <v>2</v>
      </c>
      <c r="E1806" s="307">
        <v>3</v>
      </c>
      <c r="F1806" s="307" t="s">
        <v>75</v>
      </c>
      <c r="G1806" s="307" t="s">
        <v>11</v>
      </c>
      <c r="H1806" s="307" t="s">
        <v>11</v>
      </c>
    </row>
    <row r="1807" spans="1:8" x14ac:dyDescent="0.2">
      <c r="A1807" t="s">
        <v>44</v>
      </c>
      <c r="B1807" t="s">
        <v>98</v>
      </c>
      <c r="C1807" t="s">
        <v>819</v>
      </c>
      <c r="D1807">
        <v>2</v>
      </c>
      <c r="E1807" s="307">
        <v>4</v>
      </c>
      <c r="F1807" s="307" t="s">
        <v>75</v>
      </c>
      <c r="G1807" s="307" t="s">
        <v>11</v>
      </c>
      <c r="H1807" s="307" t="s">
        <v>11</v>
      </c>
    </row>
    <row r="1808" spans="1:8" x14ac:dyDescent="0.2">
      <c r="A1808" t="s">
        <v>44</v>
      </c>
      <c r="B1808" t="s">
        <v>98</v>
      </c>
      <c r="C1808" t="s">
        <v>1830</v>
      </c>
      <c r="D1808">
        <v>2</v>
      </c>
      <c r="E1808" s="307">
        <v>4</v>
      </c>
      <c r="F1808" s="307" t="s">
        <v>75</v>
      </c>
      <c r="G1808" s="307" t="s">
        <v>11</v>
      </c>
      <c r="H1808" s="307" t="s">
        <v>11</v>
      </c>
    </row>
    <row r="1809" spans="1:8" x14ac:dyDescent="0.2">
      <c r="A1809" t="s">
        <v>44</v>
      </c>
      <c r="B1809" t="s">
        <v>98</v>
      </c>
      <c r="C1809" t="s">
        <v>1831</v>
      </c>
      <c r="D1809">
        <v>2</v>
      </c>
      <c r="E1809" s="307">
        <v>5</v>
      </c>
      <c r="F1809" s="307" t="s">
        <v>75</v>
      </c>
      <c r="G1809" s="307" t="s">
        <v>11</v>
      </c>
      <c r="H1809" s="307" t="s">
        <v>11</v>
      </c>
    </row>
    <row r="1810" spans="1:8" x14ac:dyDescent="0.2">
      <c r="A1810" t="s">
        <v>44</v>
      </c>
      <c r="B1810" t="s">
        <v>98</v>
      </c>
      <c r="C1810" t="s">
        <v>1832</v>
      </c>
      <c r="D1810">
        <v>2</v>
      </c>
      <c r="E1810" s="307">
        <v>3</v>
      </c>
      <c r="F1810" s="307" t="s">
        <v>75</v>
      </c>
      <c r="G1810" s="307" t="s">
        <v>11</v>
      </c>
      <c r="H1810" s="307" t="s">
        <v>11</v>
      </c>
    </row>
    <row r="1811" spans="1:8" x14ac:dyDescent="0.2">
      <c r="A1811" t="s">
        <v>44</v>
      </c>
      <c r="B1811" t="s">
        <v>98</v>
      </c>
      <c r="C1811" t="s">
        <v>1833</v>
      </c>
      <c r="D1811">
        <v>2</v>
      </c>
      <c r="E1811" s="307">
        <v>3</v>
      </c>
      <c r="F1811" s="307" t="s">
        <v>75</v>
      </c>
      <c r="G1811" s="307" t="s">
        <v>11</v>
      </c>
      <c r="H1811" s="307" t="s">
        <v>11</v>
      </c>
    </row>
    <row r="1812" spans="1:8" x14ac:dyDescent="0.2">
      <c r="A1812" t="s">
        <v>44</v>
      </c>
      <c r="B1812" t="s">
        <v>98</v>
      </c>
      <c r="C1812" t="s">
        <v>827</v>
      </c>
      <c r="D1812">
        <v>2</v>
      </c>
      <c r="E1812" s="307">
        <v>4</v>
      </c>
      <c r="F1812" s="307" t="s">
        <v>75</v>
      </c>
      <c r="G1812" s="307" t="s">
        <v>11</v>
      </c>
      <c r="H1812" s="307" t="s">
        <v>11</v>
      </c>
    </row>
    <row r="1813" spans="1:8" x14ac:dyDescent="0.2">
      <c r="A1813" t="s">
        <v>44</v>
      </c>
      <c r="B1813" t="s">
        <v>98</v>
      </c>
      <c r="C1813" t="s">
        <v>1834</v>
      </c>
      <c r="D1813">
        <v>2</v>
      </c>
      <c r="E1813" s="307">
        <v>5</v>
      </c>
      <c r="F1813" s="307" t="s">
        <v>75</v>
      </c>
      <c r="G1813" s="307" t="s">
        <v>11</v>
      </c>
      <c r="H1813" s="307" t="s">
        <v>11</v>
      </c>
    </row>
    <row r="1814" spans="1:8" x14ac:dyDescent="0.2">
      <c r="A1814" t="s">
        <v>44</v>
      </c>
      <c r="B1814" t="s">
        <v>98</v>
      </c>
      <c r="C1814" t="s">
        <v>1835</v>
      </c>
      <c r="D1814">
        <v>2</v>
      </c>
      <c r="E1814" s="307">
        <v>3</v>
      </c>
      <c r="F1814" s="307" t="s">
        <v>75</v>
      </c>
      <c r="G1814" s="307" t="s">
        <v>11</v>
      </c>
      <c r="H1814" s="307" t="s">
        <v>11</v>
      </c>
    </row>
    <row r="1815" spans="1:8" x14ac:dyDescent="0.2">
      <c r="A1815" t="s">
        <v>44</v>
      </c>
      <c r="B1815" t="s">
        <v>98</v>
      </c>
      <c r="C1815" t="s">
        <v>1836</v>
      </c>
      <c r="D1815">
        <v>2</v>
      </c>
      <c r="E1815" s="307">
        <v>5</v>
      </c>
      <c r="F1815" s="307" t="s">
        <v>75</v>
      </c>
      <c r="G1815" s="307" t="s">
        <v>11</v>
      </c>
      <c r="H1815" s="307" t="s">
        <v>11</v>
      </c>
    </row>
    <row r="1816" spans="1:8" x14ac:dyDescent="0.2">
      <c r="A1816" t="s">
        <v>44</v>
      </c>
      <c r="B1816" t="s">
        <v>98</v>
      </c>
      <c r="C1816" t="s">
        <v>1837</v>
      </c>
      <c r="D1816">
        <v>1</v>
      </c>
      <c r="E1816" s="307">
        <v>5</v>
      </c>
      <c r="F1816" s="307" t="s">
        <v>75</v>
      </c>
      <c r="G1816" s="307" t="s">
        <v>11</v>
      </c>
      <c r="H1816" s="307" t="s">
        <v>11</v>
      </c>
    </row>
    <row r="1817" spans="1:8" x14ac:dyDescent="0.2">
      <c r="A1817" t="s">
        <v>44</v>
      </c>
      <c r="B1817" t="s">
        <v>98</v>
      </c>
      <c r="C1817" t="s">
        <v>950</v>
      </c>
      <c r="D1817">
        <v>2</v>
      </c>
      <c r="E1817" s="307">
        <v>3</v>
      </c>
      <c r="F1817" s="307" t="s">
        <v>75</v>
      </c>
      <c r="G1817" s="307" t="s">
        <v>11</v>
      </c>
      <c r="H1817" s="307" t="s">
        <v>11</v>
      </c>
    </row>
    <row r="1818" spans="1:8" x14ac:dyDescent="0.2">
      <c r="A1818" t="s">
        <v>44</v>
      </c>
      <c r="B1818" t="s">
        <v>98</v>
      </c>
      <c r="C1818" t="s">
        <v>1838</v>
      </c>
      <c r="D1818">
        <v>2</v>
      </c>
      <c r="E1818" s="307">
        <v>4</v>
      </c>
      <c r="F1818" s="307" t="s">
        <v>75</v>
      </c>
      <c r="G1818" s="307" t="s">
        <v>11</v>
      </c>
      <c r="H1818" s="307" t="s">
        <v>11</v>
      </c>
    </row>
    <row r="1819" spans="1:8" x14ac:dyDescent="0.2">
      <c r="A1819" t="s">
        <v>44</v>
      </c>
      <c r="B1819" t="s">
        <v>98</v>
      </c>
      <c r="C1819" t="s">
        <v>1839</v>
      </c>
      <c r="D1819">
        <v>1</v>
      </c>
      <c r="E1819" s="307">
        <v>5</v>
      </c>
      <c r="F1819" s="307" t="s">
        <v>75</v>
      </c>
      <c r="G1819" s="307" t="s">
        <v>11</v>
      </c>
      <c r="H1819" s="307" t="s">
        <v>11</v>
      </c>
    </row>
    <row r="1820" spans="1:8" x14ac:dyDescent="0.2">
      <c r="A1820" t="s">
        <v>44</v>
      </c>
      <c r="B1820" t="s">
        <v>98</v>
      </c>
      <c r="C1820" t="s">
        <v>1742</v>
      </c>
      <c r="D1820">
        <v>2</v>
      </c>
      <c r="E1820" s="307">
        <v>4</v>
      </c>
      <c r="F1820" s="307" t="s">
        <v>75</v>
      </c>
      <c r="G1820" s="307" t="s">
        <v>11</v>
      </c>
      <c r="H1820" s="307" t="s">
        <v>11</v>
      </c>
    </row>
    <row r="1821" spans="1:8" x14ac:dyDescent="0.2">
      <c r="A1821" t="s">
        <v>44</v>
      </c>
      <c r="B1821" t="s">
        <v>98</v>
      </c>
      <c r="C1821" t="s">
        <v>960</v>
      </c>
      <c r="D1821">
        <v>2</v>
      </c>
      <c r="E1821" s="307">
        <v>5</v>
      </c>
      <c r="F1821" s="307" t="s">
        <v>75</v>
      </c>
      <c r="G1821" s="307" t="s">
        <v>11</v>
      </c>
      <c r="H1821" s="307" t="s">
        <v>11</v>
      </c>
    </row>
    <row r="1822" spans="1:8" x14ac:dyDescent="0.2">
      <c r="A1822" t="s">
        <v>44</v>
      </c>
      <c r="B1822" t="s">
        <v>98</v>
      </c>
      <c r="C1822" t="s">
        <v>961</v>
      </c>
      <c r="D1822">
        <v>1</v>
      </c>
      <c r="E1822" s="307">
        <v>5</v>
      </c>
      <c r="F1822" s="307" t="s">
        <v>75</v>
      </c>
      <c r="G1822" s="307" t="s">
        <v>11</v>
      </c>
      <c r="H1822" s="307" t="s">
        <v>11</v>
      </c>
    </row>
    <row r="1823" spans="1:8" x14ac:dyDescent="0.2">
      <c r="A1823" t="s">
        <v>44</v>
      </c>
      <c r="B1823" t="s">
        <v>98</v>
      </c>
      <c r="C1823" t="s">
        <v>1840</v>
      </c>
      <c r="D1823">
        <v>2</v>
      </c>
      <c r="E1823" s="307">
        <v>5</v>
      </c>
      <c r="F1823" s="307" t="s">
        <v>75</v>
      </c>
      <c r="G1823" s="307" t="s">
        <v>11</v>
      </c>
      <c r="H1823" s="307" t="s">
        <v>11</v>
      </c>
    </row>
    <row r="1824" spans="1:8" x14ac:dyDescent="0.2">
      <c r="A1824" t="s">
        <v>44</v>
      </c>
      <c r="B1824" t="s">
        <v>98</v>
      </c>
      <c r="C1824" t="s">
        <v>1841</v>
      </c>
      <c r="D1824">
        <v>1</v>
      </c>
      <c r="E1824" s="307">
        <v>5</v>
      </c>
      <c r="F1824" s="307" t="s">
        <v>75</v>
      </c>
      <c r="G1824" s="307" t="s">
        <v>11</v>
      </c>
      <c r="H1824" s="307" t="s">
        <v>11</v>
      </c>
    </row>
    <row r="1825" spans="1:8" x14ac:dyDescent="0.2">
      <c r="A1825" t="s">
        <v>44</v>
      </c>
      <c r="B1825" t="s">
        <v>98</v>
      </c>
      <c r="C1825" t="s">
        <v>898</v>
      </c>
      <c r="D1825">
        <v>2</v>
      </c>
      <c r="E1825" s="307">
        <v>4</v>
      </c>
      <c r="F1825" s="307" t="s">
        <v>75</v>
      </c>
      <c r="G1825" s="307" t="s">
        <v>11</v>
      </c>
      <c r="H1825" s="307" t="s">
        <v>11</v>
      </c>
    </row>
    <row r="1826" spans="1:8" x14ac:dyDescent="0.2">
      <c r="A1826" t="s">
        <v>44</v>
      </c>
      <c r="B1826" t="s">
        <v>98</v>
      </c>
      <c r="C1826" t="s">
        <v>1842</v>
      </c>
      <c r="D1826">
        <v>2</v>
      </c>
      <c r="E1826" s="307">
        <v>4</v>
      </c>
      <c r="F1826" s="307" t="s">
        <v>75</v>
      </c>
      <c r="G1826" s="307" t="s">
        <v>11</v>
      </c>
      <c r="H1826" s="307" t="s">
        <v>11</v>
      </c>
    </row>
    <row r="1827" spans="1:8" x14ac:dyDescent="0.2">
      <c r="A1827" t="s">
        <v>44</v>
      </c>
      <c r="B1827" t="s">
        <v>98</v>
      </c>
      <c r="C1827" t="s">
        <v>1843</v>
      </c>
      <c r="D1827">
        <v>1</v>
      </c>
      <c r="E1827" s="307">
        <v>5</v>
      </c>
      <c r="F1827" s="307" t="s">
        <v>75</v>
      </c>
      <c r="G1827" s="307" t="s">
        <v>11</v>
      </c>
      <c r="H1827" s="307" t="s">
        <v>11</v>
      </c>
    </row>
    <row r="1828" spans="1:8" x14ac:dyDescent="0.2">
      <c r="A1828" t="s">
        <v>44</v>
      </c>
      <c r="B1828" t="s">
        <v>98</v>
      </c>
      <c r="C1828" t="s">
        <v>1844</v>
      </c>
      <c r="D1828">
        <v>2</v>
      </c>
      <c r="E1828" s="307">
        <v>5</v>
      </c>
      <c r="F1828" s="307" t="s">
        <v>75</v>
      </c>
      <c r="G1828" s="307" t="s">
        <v>11</v>
      </c>
      <c r="H1828" s="307" t="s">
        <v>11</v>
      </c>
    </row>
    <row r="1829" spans="1:8" x14ac:dyDescent="0.2">
      <c r="A1829" t="s">
        <v>44</v>
      </c>
      <c r="B1829" t="s">
        <v>98</v>
      </c>
      <c r="C1829" t="s">
        <v>850</v>
      </c>
      <c r="D1829">
        <v>2</v>
      </c>
      <c r="E1829" s="307">
        <v>4</v>
      </c>
      <c r="F1829" s="307" t="s">
        <v>75</v>
      </c>
      <c r="G1829" s="307" t="s">
        <v>11</v>
      </c>
      <c r="H1829" s="307" t="s">
        <v>11</v>
      </c>
    </row>
    <row r="1830" spans="1:8" x14ac:dyDescent="0.2">
      <c r="A1830" t="s">
        <v>44</v>
      </c>
      <c r="B1830" t="s">
        <v>98</v>
      </c>
      <c r="C1830" t="s">
        <v>1845</v>
      </c>
      <c r="D1830">
        <v>2</v>
      </c>
      <c r="E1830" s="307">
        <v>4</v>
      </c>
      <c r="F1830" s="307" t="s">
        <v>75</v>
      </c>
      <c r="G1830" s="307" t="s">
        <v>11</v>
      </c>
      <c r="H1830" s="307" t="s">
        <v>11</v>
      </c>
    </row>
    <row r="1831" spans="1:8" x14ac:dyDescent="0.2">
      <c r="A1831" t="s">
        <v>46</v>
      </c>
      <c r="B1831" t="s">
        <v>80</v>
      </c>
      <c r="C1831" t="s">
        <v>1846</v>
      </c>
      <c r="D1831">
        <v>1</v>
      </c>
      <c r="E1831" s="307">
        <v>5</v>
      </c>
      <c r="F1831" s="307" t="s">
        <v>7</v>
      </c>
      <c r="G1831" s="307" t="s">
        <v>11</v>
      </c>
      <c r="H1831" s="307" t="s">
        <v>11</v>
      </c>
    </row>
    <row r="1832" spans="1:8" x14ac:dyDescent="0.2">
      <c r="A1832" t="s">
        <v>46</v>
      </c>
      <c r="B1832" t="s">
        <v>80</v>
      </c>
      <c r="C1832" t="s">
        <v>1492</v>
      </c>
      <c r="D1832">
        <v>1</v>
      </c>
      <c r="E1832" s="307">
        <v>6</v>
      </c>
      <c r="F1832" s="307" t="s">
        <v>7</v>
      </c>
      <c r="G1832" s="307" t="s">
        <v>11</v>
      </c>
      <c r="H1832" s="307" t="s">
        <v>11</v>
      </c>
    </row>
    <row r="1833" spans="1:8" x14ac:dyDescent="0.2">
      <c r="A1833" t="s">
        <v>46</v>
      </c>
      <c r="B1833" t="s">
        <v>80</v>
      </c>
      <c r="C1833" t="s">
        <v>1847</v>
      </c>
      <c r="D1833">
        <v>3</v>
      </c>
      <c r="E1833" s="307">
        <v>4</v>
      </c>
      <c r="F1833" s="307" t="s">
        <v>7</v>
      </c>
      <c r="G1833" s="307" t="s">
        <v>11</v>
      </c>
      <c r="H1833" s="307" t="s">
        <v>11</v>
      </c>
    </row>
    <row r="1834" spans="1:8" x14ac:dyDescent="0.2">
      <c r="A1834" t="s">
        <v>46</v>
      </c>
      <c r="B1834" t="s">
        <v>80</v>
      </c>
      <c r="C1834" t="s">
        <v>1848</v>
      </c>
      <c r="D1834">
        <v>1</v>
      </c>
      <c r="E1834" s="307">
        <v>6</v>
      </c>
      <c r="F1834" s="307" t="s">
        <v>7</v>
      </c>
      <c r="G1834" s="307" t="s">
        <v>11</v>
      </c>
      <c r="H1834" s="307" t="s">
        <v>11</v>
      </c>
    </row>
    <row r="1835" spans="1:8" x14ac:dyDescent="0.2">
      <c r="A1835" t="s">
        <v>46</v>
      </c>
      <c r="B1835" t="s">
        <v>80</v>
      </c>
      <c r="C1835" t="s">
        <v>1849</v>
      </c>
      <c r="D1835">
        <v>1</v>
      </c>
      <c r="E1835" s="307">
        <v>6</v>
      </c>
      <c r="F1835" s="307" t="s">
        <v>7</v>
      </c>
      <c r="G1835" s="307" t="s">
        <v>11</v>
      </c>
      <c r="H1835" s="307" t="s">
        <v>11</v>
      </c>
    </row>
    <row r="1836" spans="1:8" x14ac:dyDescent="0.2">
      <c r="A1836" t="s">
        <v>46</v>
      </c>
      <c r="B1836" t="s">
        <v>80</v>
      </c>
      <c r="C1836" t="s">
        <v>1850</v>
      </c>
      <c r="D1836">
        <v>1</v>
      </c>
      <c r="E1836" s="307">
        <v>5</v>
      </c>
      <c r="F1836" s="307" t="s">
        <v>7</v>
      </c>
      <c r="G1836" s="307" t="s">
        <v>11</v>
      </c>
      <c r="H1836" s="307" t="s">
        <v>11</v>
      </c>
    </row>
    <row r="1837" spans="1:8" x14ac:dyDescent="0.2">
      <c r="A1837" t="s">
        <v>46</v>
      </c>
      <c r="B1837" t="s">
        <v>80</v>
      </c>
      <c r="C1837" t="s">
        <v>1320</v>
      </c>
      <c r="D1837">
        <v>1</v>
      </c>
      <c r="E1837" s="307">
        <v>5</v>
      </c>
      <c r="F1837" s="307" t="s">
        <v>7</v>
      </c>
      <c r="G1837" s="307" t="s">
        <v>11</v>
      </c>
      <c r="H1837" s="307" t="s">
        <v>11</v>
      </c>
    </row>
    <row r="1838" spans="1:8" x14ac:dyDescent="0.2">
      <c r="A1838" t="s">
        <v>46</v>
      </c>
      <c r="B1838" t="s">
        <v>80</v>
      </c>
      <c r="C1838" t="s">
        <v>1851</v>
      </c>
      <c r="D1838">
        <v>1</v>
      </c>
      <c r="E1838" s="307">
        <v>5</v>
      </c>
      <c r="F1838" s="307" t="s">
        <v>7</v>
      </c>
      <c r="G1838" s="307" t="s">
        <v>11</v>
      </c>
      <c r="H1838" s="307" t="s">
        <v>11</v>
      </c>
    </row>
    <row r="1839" spans="1:8" x14ac:dyDescent="0.2">
      <c r="A1839" t="s">
        <v>46</v>
      </c>
      <c r="B1839" t="s">
        <v>80</v>
      </c>
      <c r="C1839" t="s">
        <v>1852</v>
      </c>
      <c r="D1839">
        <v>1</v>
      </c>
      <c r="E1839" s="307">
        <v>6</v>
      </c>
      <c r="F1839" s="307" t="s">
        <v>7</v>
      </c>
      <c r="G1839" s="307" t="s">
        <v>11</v>
      </c>
      <c r="H1839" s="307" t="s">
        <v>11</v>
      </c>
    </row>
    <row r="1840" spans="1:8" x14ac:dyDescent="0.2">
      <c r="A1840" t="s">
        <v>46</v>
      </c>
      <c r="B1840" t="s">
        <v>80</v>
      </c>
      <c r="C1840" t="s">
        <v>1181</v>
      </c>
      <c r="D1840">
        <v>2</v>
      </c>
      <c r="E1840" s="307">
        <v>6</v>
      </c>
      <c r="F1840" s="307" t="s">
        <v>7</v>
      </c>
      <c r="G1840" s="307" t="s">
        <v>11</v>
      </c>
      <c r="H1840" s="307" t="s">
        <v>11</v>
      </c>
    </row>
    <row r="1841" spans="1:8" x14ac:dyDescent="0.2">
      <c r="A1841" t="s">
        <v>46</v>
      </c>
      <c r="B1841" t="s">
        <v>80</v>
      </c>
      <c r="C1841" t="s">
        <v>808</v>
      </c>
      <c r="D1841">
        <v>1</v>
      </c>
      <c r="E1841" s="307">
        <v>5</v>
      </c>
      <c r="F1841" s="307" t="s">
        <v>7</v>
      </c>
      <c r="G1841" s="307" t="s">
        <v>11</v>
      </c>
      <c r="H1841" s="307" t="s">
        <v>11</v>
      </c>
    </row>
    <row r="1842" spans="1:8" x14ac:dyDescent="0.2">
      <c r="A1842" t="s">
        <v>46</v>
      </c>
      <c r="B1842" t="s">
        <v>80</v>
      </c>
      <c r="C1842" t="s">
        <v>1853</v>
      </c>
      <c r="D1842">
        <v>1</v>
      </c>
      <c r="E1842" s="307">
        <v>5</v>
      </c>
      <c r="F1842" s="307" t="s">
        <v>7</v>
      </c>
      <c r="G1842" s="307" t="s">
        <v>11</v>
      </c>
      <c r="H1842" s="307" t="s">
        <v>11</v>
      </c>
    </row>
    <row r="1843" spans="1:8" x14ac:dyDescent="0.2">
      <c r="A1843" t="s">
        <v>46</v>
      </c>
      <c r="B1843" t="s">
        <v>80</v>
      </c>
      <c r="C1843" t="s">
        <v>1233</v>
      </c>
      <c r="D1843">
        <v>1</v>
      </c>
      <c r="E1843" s="307">
        <v>6</v>
      </c>
      <c r="F1843" s="307" t="s">
        <v>7</v>
      </c>
      <c r="G1843" s="307" t="s">
        <v>11</v>
      </c>
      <c r="H1843" s="307" t="s">
        <v>11</v>
      </c>
    </row>
    <row r="1844" spans="1:8" x14ac:dyDescent="0.2">
      <c r="A1844" t="s">
        <v>46</v>
      </c>
      <c r="B1844" t="s">
        <v>80</v>
      </c>
      <c r="C1844" t="s">
        <v>1854</v>
      </c>
      <c r="D1844">
        <v>1</v>
      </c>
      <c r="E1844" s="307">
        <v>5</v>
      </c>
      <c r="F1844" s="307" t="s">
        <v>7</v>
      </c>
      <c r="G1844" s="307" t="s">
        <v>11</v>
      </c>
      <c r="H1844" s="307" t="s">
        <v>11</v>
      </c>
    </row>
    <row r="1845" spans="1:8" x14ac:dyDescent="0.2">
      <c r="A1845" t="s">
        <v>46</v>
      </c>
      <c r="B1845" t="s">
        <v>80</v>
      </c>
      <c r="C1845" t="s">
        <v>1855</v>
      </c>
      <c r="D1845">
        <v>1</v>
      </c>
      <c r="E1845" s="307">
        <v>5</v>
      </c>
      <c r="F1845" s="307" t="s">
        <v>7</v>
      </c>
      <c r="G1845" s="307" t="s">
        <v>11</v>
      </c>
      <c r="H1845" s="307" t="s">
        <v>11</v>
      </c>
    </row>
    <row r="1846" spans="1:8" x14ac:dyDescent="0.2">
      <c r="A1846" t="s">
        <v>46</v>
      </c>
      <c r="B1846" t="s">
        <v>80</v>
      </c>
      <c r="C1846" t="s">
        <v>1513</v>
      </c>
      <c r="D1846">
        <v>3</v>
      </c>
      <c r="E1846" s="307">
        <v>6</v>
      </c>
      <c r="F1846" s="307" t="s">
        <v>7</v>
      </c>
      <c r="G1846" s="307" t="s">
        <v>11</v>
      </c>
      <c r="H1846" s="307" t="s">
        <v>11</v>
      </c>
    </row>
    <row r="1847" spans="1:8" x14ac:dyDescent="0.2">
      <c r="A1847" t="s">
        <v>46</v>
      </c>
      <c r="B1847" t="s">
        <v>80</v>
      </c>
      <c r="C1847" t="s">
        <v>715</v>
      </c>
      <c r="D1847">
        <v>3</v>
      </c>
      <c r="E1847" s="307">
        <v>6</v>
      </c>
      <c r="F1847" s="307" t="s">
        <v>7</v>
      </c>
      <c r="G1847" s="307" t="s">
        <v>11</v>
      </c>
      <c r="H1847" s="307" t="s">
        <v>11</v>
      </c>
    </row>
    <row r="1848" spans="1:8" x14ac:dyDescent="0.2">
      <c r="A1848" t="s">
        <v>46</v>
      </c>
      <c r="B1848" t="s">
        <v>80</v>
      </c>
      <c r="C1848" t="s">
        <v>817</v>
      </c>
      <c r="D1848">
        <v>3</v>
      </c>
      <c r="E1848" s="307">
        <v>6</v>
      </c>
      <c r="F1848" s="307" t="s">
        <v>7</v>
      </c>
      <c r="G1848" s="307" t="s">
        <v>11</v>
      </c>
      <c r="H1848" s="307" t="s">
        <v>11</v>
      </c>
    </row>
    <row r="1849" spans="1:8" x14ac:dyDescent="0.2">
      <c r="A1849" t="s">
        <v>46</v>
      </c>
      <c r="B1849" t="s">
        <v>80</v>
      </c>
      <c r="C1849" t="s">
        <v>1534</v>
      </c>
      <c r="D1849">
        <v>1</v>
      </c>
      <c r="E1849" s="307">
        <v>5</v>
      </c>
      <c r="F1849" s="307" t="s">
        <v>7</v>
      </c>
      <c r="G1849" s="307" t="s">
        <v>11</v>
      </c>
      <c r="H1849" s="307" t="s">
        <v>11</v>
      </c>
    </row>
    <row r="1850" spans="1:8" x14ac:dyDescent="0.2">
      <c r="A1850" t="s">
        <v>46</v>
      </c>
      <c r="B1850" t="s">
        <v>80</v>
      </c>
      <c r="C1850" t="s">
        <v>717</v>
      </c>
      <c r="D1850">
        <v>1</v>
      </c>
      <c r="E1850" s="307">
        <v>5</v>
      </c>
      <c r="F1850" s="307" t="s">
        <v>7</v>
      </c>
      <c r="G1850" s="307" t="s">
        <v>11</v>
      </c>
      <c r="H1850" s="307" t="s">
        <v>11</v>
      </c>
    </row>
    <row r="1851" spans="1:8" x14ac:dyDescent="0.2">
      <c r="A1851" t="s">
        <v>46</v>
      </c>
      <c r="B1851" t="s">
        <v>80</v>
      </c>
      <c r="C1851" t="s">
        <v>995</v>
      </c>
      <c r="D1851">
        <v>3</v>
      </c>
      <c r="E1851" s="307">
        <v>6</v>
      </c>
      <c r="F1851" s="307" t="s">
        <v>7</v>
      </c>
      <c r="G1851" s="307" t="s">
        <v>11</v>
      </c>
      <c r="H1851" s="307" t="s">
        <v>11</v>
      </c>
    </row>
    <row r="1852" spans="1:8" x14ac:dyDescent="0.2">
      <c r="A1852" t="s">
        <v>46</v>
      </c>
      <c r="B1852" t="s">
        <v>80</v>
      </c>
      <c r="C1852" t="s">
        <v>1856</v>
      </c>
      <c r="D1852">
        <v>3</v>
      </c>
      <c r="E1852" s="307">
        <v>6</v>
      </c>
      <c r="F1852" s="307" t="s">
        <v>7</v>
      </c>
      <c r="G1852" s="307" t="s">
        <v>11</v>
      </c>
      <c r="H1852" s="307" t="s">
        <v>11</v>
      </c>
    </row>
    <row r="1853" spans="1:8" x14ac:dyDescent="0.2">
      <c r="A1853" t="s">
        <v>46</v>
      </c>
      <c r="B1853" t="s">
        <v>80</v>
      </c>
      <c r="C1853" t="s">
        <v>722</v>
      </c>
      <c r="D1853">
        <v>2</v>
      </c>
      <c r="E1853" s="307">
        <v>6</v>
      </c>
      <c r="F1853" s="307" t="s">
        <v>7</v>
      </c>
      <c r="G1853" s="307" t="s">
        <v>11</v>
      </c>
      <c r="H1853" s="307" t="s">
        <v>11</v>
      </c>
    </row>
    <row r="1854" spans="1:8" x14ac:dyDescent="0.2">
      <c r="A1854" t="s">
        <v>46</v>
      </c>
      <c r="B1854" t="s">
        <v>80</v>
      </c>
      <c r="C1854" t="s">
        <v>870</v>
      </c>
      <c r="D1854">
        <v>3</v>
      </c>
      <c r="E1854" s="307">
        <v>4</v>
      </c>
      <c r="F1854" s="307" t="s">
        <v>7</v>
      </c>
      <c r="G1854" s="307" t="s">
        <v>11</v>
      </c>
      <c r="H1854" s="307" t="s">
        <v>11</v>
      </c>
    </row>
    <row r="1855" spans="1:8" x14ac:dyDescent="0.2">
      <c r="A1855" t="s">
        <v>46</v>
      </c>
      <c r="B1855" t="s">
        <v>80</v>
      </c>
      <c r="C1855" t="s">
        <v>1163</v>
      </c>
      <c r="D1855">
        <v>2</v>
      </c>
      <c r="E1855" s="307">
        <v>6</v>
      </c>
      <c r="F1855" s="307" t="s">
        <v>7</v>
      </c>
      <c r="G1855" s="307" t="s">
        <v>11</v>
      </c>
      <c r="H1855" s="307" t="s">
        <v>11</v>
      </c>
    </row>
    <row r="1856" spans="1:8" x14ac:dyDescent="0.2">
      <c r="A1856" t="s">
        <v>46</v>
      </c>
      <c r="B1856" t="s">
        <v>80</v>
      </c>
      <c r="C1856" t="s">
        <v>1201</v>
      </c>
      <c r="D1856">
        <v>1</v>
      </c>
      <c r="E1856" s="307">
        <v>5</v>
      </c>
      <c r="F1856" s="307" t="s">
        <v>7</v>
      </c>
      <c r="G1856" s="307" t="s">
        <v>11</v>
      </c>
      <c r="H1856" s="307" t="s">
        <v>11</v>
      </c>
    </row>
    <row r="1857" spans="1:8" x14ac:dyDescent="0.2">
      <c r="A1857" t="s">
        <v>46</v>
      </c>
      <c r="B1857" t="s">
        <v>80</v>
      </c>
      <c r="C1857" t="s">
        <v>730</v>
      </c>
      <c r="D1857">
        <v>1</v>
      </c>
      <c r="E1857" s="307">
        <v>6</v>
      </c>
      <c r="F1857" s="307" t="s">
        <v>7</v>
      </c>
      <c r="G1857" s="307" t="s">
        <v>11</v>
      </c>
      <c r="H1857" s="307" t="s">
        <v>11</v>
      </c>
    </row>
    <row r="1858" spans="1:8" x14ac:dyDescent="0.2">
      <c r="A1858" t="s">
        <v>46</v>
      </c>
      <c r="B1858" t="s">
        <v>80</v>
      </c>
      <c r="C1858" t="s">
        <v>735</v>
      </c>
      <c r="D1858">
        <v>2</v>
      </c>
      <c r="E1858" s="307">
        <v>5</v>
      </c>
      <c r="F1858" s="307" t="s">
        <v>7</v>
      </c>
      <c r="G1858" s="307" t="s">
        <v>11</v>
      </c>
      <c r="H1858" s="307" t="s">
        <v>11</v>
      </c>
    </row>
    <row r="1859" spans="1:8" x14ac:dyDescent="0.2">
      <c r="A1859" t="s">
        <v>46</v>
      </c>
      <c r="B1859" t="s">
        <v>80</v>
      </c>
      <c r="C1859" t="s">
        <v>736</v>
      </c>
      <c r="D1859">
        <v>2</v>
      </c>
      <c r="E1859" s="307">
        <v>6</v>
      </c>
      <c r="F1859" s="307" t="s">
        <v>7</v>
      </c>
      <c r="G1859" s="307" t="s">
        <v>11</v>
      </c>
      <c r="H1859" s="307" t="s">
        <v>11</v>
      </c>
    </row>
    <row r="1860" spans="1:8" x14ac:dyDescent="0.2">
      <c r="A1860" t="s">
        <v>46</v>
      </c>
      <c r="B1860" t="s">
        <v>80</v>
      </c>
      <c r="C1860" t="s">
        <v>1009</v>
      </c>
      <c r="D1860">
        <v>3</v>
      </c>
      <c r="E1860" s="307">
        <v>4</v>
      </c>
      <c r="F1860" s="307" t="s">
        <v>7</v>
      </c>
      <c r="G1860" s="307" t="s">
        <v>11</v>
      </c>
      <c r="H1860" s="307" t="s">
        <v>11</v>
      </c>
    </row>
    <row r="1861" spans="1:8" x14ac:dyDescent="0.2">
      <c r="A1861" t="s">
        <v>46</v>
      </c>
      <c r="B1861" t="s">
        <v>80</v>
      </c>
      <c r="C1861" t="s">
        <v>1857</v>
      </c>
      <c r="D1861">
        <v>3</v>
      </c>
      <c r="E1861" s="307">
        <v>4</v>
      </c>
      <c r="F1861" s="307" t="s">
        <v>7</v>
      </c>
      <c r="G1861" s="307" t="s">
        <v>11</v>
      </c>
      <c r="H1861" s="307" t="s">
        <v>11</v>
      </c>
    </row>
    <row r="1862" spans="1:8" x14ac:dyDescent="0.2">
      <c r="A1862" t="s">
        <v>46</v>
      </c>
      <c r="B1862" t="s">
        <v>80</v>
      </c>
      <c r="C1862" t="s">
        <v>1858</v>
      </c>
      <c r="D1862">
        <v>2</v>
      </c>
      <c r="E1862" s="307">
        <v>5</v>
      </c>
      <c r="F1862" s="307" t="s">
        <v>7</v>
      </c>
      <c r="G1862" s="307" t="s">
        <v>11</v>
      </c>
      <c r="H1862" s="307" t="s">
        <v>11</v>
      </c>
    </row>
    <row r="1863" spans="1:8" x14ac:dyDescent="0.2">
      <c r="A1863" t="s">
        <v>46</v>
      </c>
      <c r="B1863" t="s">
        <v>80</v>
      </c>
      <c r="C1863" t="s">
        <v>1166</v>
      </c>
      <c r="D1863">
        <v>2</v>
      </c>
      <c r="E1863" s="307">
        <v>6</v>
      </c>
      <c r="F1863" s="307" t="s">
        <v>7</v>
      </c>
      <c r="G1863" s="307" t="s">
        <v>11</v>
      </c>
      <c r="H1863" s="307" t="s">
        <v>11</v>
      </c>
    </row>
    <row r="1864" spans="1:8" x14ac:dyDescent="0.2">
      <c r="A1864" t="s">
        <v>46</v>
      </c>
      <c r="B1864" t="s">
        <v>80</v>
      </c>
      <c r="C1864" t="s">
        <v>1859</v>
      </c>
      <c r="D1864">
        <v>1</v>
      </c>
      <c r="E1864" s="307">
        <v>5</v>
      </c>
      <c r="F1864" s="307" t="s">
        <v>7</v>
      </c>
      <c r="G1864" s="307" t="s">
        <v>11</v>
      </c>
      <c r="H1864" s="307" t="s">
        <v>11</v>
      </c>
    </row>
    <row r="1865" spans="1:8" x14ac:dyDescent="0.2">
      <c r="A1865" t="s">
        <v>46</v>
      </c>
      <c r="B1865" t="s">
        <v>80</v>
      </c>
      <c r="C1865" t="s">
        <v>1860</v>
      </c>
      <c r="D1865">
        <v>1</v>
      </c>
      <c r="E1865" s="307">
        <v>5</v>
      </c>
      <c r="F1865" s="307" t="s">
        <v>7</v>
      </c>
      <c r="G1865" s="307" t="s">
        <v>11</v>
      </c>
      <c r="H1865" s="307" t="s">
        <v>11</v>
      </c>
    </row>
    <row r="1866" spans="1:8" x14ac:dyDescent="0.2">
      <c r="A1866" t="s">
        <v>46</v>
      </c>
      <c r="B1866" t="s">
        <v>80</v>
      </c>
      <c r="C1866" t="s">
        <v>883</v>
      </c>
      <c r="D1866">
        <v>1</v>
      </c>
      <c r="E1866" s="307">
        <v>5</v>
      </c>
      <c r="F1866" s="307" t="s">
        <v>7</v>
      </c>
      <c r="G1866" s="307" t="s">
        <v>11</v>
      </c>
      <c r="H1866" s="307" t="s">
        <v>11</v>
      </c>
    </row>
    <row r="1867" spans="1:8" x14ac:dyDescent="0.2">
      <c r="A1867" t="s">
        <v>46</v>
      </c>
      <c r="B1867" t="s">
        <v>80</v>
      </c>
      <c r="C1867" t="s">
        <v>1459</v>
      </c>
      <c r="D1867">
        <v>2</v>
      </c>
      <c r="E1867" s="307">
        <v>5</v>
      </c>
      <c r="F1867" s="307" t="s">
        <v>7</v>
      </c>
      <c r="G1867" s="307" t="s">
        <v>11</v>
      </c>
      <c r="H1867" s="307" t="s">
        <v>11</v>
      </c>
    </row>
    <row r="1868" spans="1:8" x14ac:dyDescent="0.2">
      <c r="A1868" t="s">
        <v>46</v>
      </c>
      <c r="B1868" t="s">
        <v>80</v>
      </c>
      <c r="C1868" t="s">
        <v>1861</v>
      </c>
      <c r="D1868">
        <v>2</v>
      </c>
      <c r="E1868" s="307">
        <v>5</v>
      </c>
      <c r="F1868" s="307" t="s">
        <v>7</v>
      </c>
      <c r="G1868" s="307" t="s">
        <v>11</v>
      </c>
      <c r="H1868" s="307" t="s">
        <v>11</v>
      </c>
    </row>
    <row r="1869" spans="1:8" x14ac:dyDescent="0.2">
      <c r="A1869" t="s">
        <v>46</v>
      </c>
      <c r="B1869" t="s">
        <v>80</v>
      </c>
      <c r="C1869" t="s">
        <v>1571</v>
      </c>
      <c r="D1869">
        <v>1</v>
      </c>
      <c r="E1869" s="307">
        <v>6</v>
      </c>
      <c r="F1869" s="307" t="s">
        <v>7</v>
      </c>
      <c r="G1869" s="307" t="s">
        <v>11</v>
      </c>
      <c r="H1869" s="307" t="s">
        <v>11</v>
      </c>
    </row>
    <row r="1870" spans="1:8" x14ac:dyDescent="0.2">
      <c r="A1870" t="s">
        <v>46</v>
      </c>
      <c r="B1870" t="s">
        <v>80</v>
      </c>
      <c r="C1870" t="s">
        <v>1016</v>
      </c>
      <c r="D1870">
        <v>1</v>
      </c>
      <c r="E1870" s="307">
        <v>5</v>
      </c>
      <c r="F1870" s="307" t="s">
        <v>7</v>
      </c>
      <c r="G1870" s="307" t="s">
        <v>11</v>
      </c>
      <c r="H1870" s="307" t="s">
        <v>11</v>
      </c>
    </row>
    <row r="1871" spans="1:8" x14ac:dyDescent="0.2">
      <c r="A1871" t="s">
        <v>46</v>
      </c>
      <c r="B1871" t="s">
        <v>80</v>
      </c>
      <c r="C1871" t="s">
        <v>1862</v>
      </c>
      <c r="D1871">
        <v>3</v>
      </c>
      <c r="E1871" s="307">
        <v>4</v>
      </c>
      <c r="F1871" s="307" t="s">
        <v>7</v>
      </c>
      <c r="G1871" s="307" t="s">
        <v>11</v>
      </c>
      <c r="H1871" s="307" t="s">
        <v>11</v>
      </c>
    </row>
    <row r="1872" spans="1:8" x14ac:dyDescent="0.2">
      <c r="A1872" t="s">
        <v>46</v>
      </c>
      <c r="B1872" t="s">
        <v>80</v>
      </c>
      <c r="C1872" t="s">
        <v>1863</v>
      </c>
      <c r="D1872">
        <v>1</v>
      </c>
      <c r="E1872" s="307">
        <v>5</v>
      </c>
      <c r="F1872" s="307" t="s">
        <v>7</v>
      </c>
      <c r="G1872" s="307" t="s">
        <v>11</v>
      </c>
      <c r="H1872" s="307" t="s">
        <v>11</v>
      </c>
    </row>
    <row r="1873" spans="1:8" x14ac:dyDescent="0.2">
      <c r="A1873" t="s">
        <v>46</v>
      </c>
      <c r="B1873" t="s">
        <v>80</v>
      </c>
      <c r="C1873" t="s">
        <v>1106</v>
      </c>
      <c r="D1873">
        <v>3</v>
      </c>
      <c r="E1873" s="307">
        <v>4</v>
      </c>
      <c r="F1873" s="307" t="s">
        <v>7</v>
      </c>
      <c r="G1873" s="307" t="s">
        <v>11</v>
      </c>
      <c r="H1873" s="307" t="s">
        <v>11</v>
      </c>
    </row>
    <row r="1874" spans="1:8" x14ac:dyDescent="0.2">
      <c r="A1874" t="s">
        <v>46</v>
      </c>
      <c r="B1874" t="s">
        <v>80</v>
      </c>
      <c r="C1874" t="s">
        <v>1864</v>
      </c>
      <c r="D1874">
        <v>3</v>
      </c>
      <c r="E1874" s="307">
        <v>5</v>
      </c>
      <c r="F1874" s="307" t="s">
        <v>7</v>
      </c>
      <c r="G1874" s="307" t="s">
        <v>11</v>
      </c>
      <c r="H1874" s="307" t="s">
        <v>11</v>
      </c>
    </row>
    <row r="1875" spans="1:8" x14ac:dyDescent="0.2">
      <c r="A1875" t="s">
        <v>46</v>
      </c>
      <c r="B1875" t="s">
        <v>80</v>
      </c>
      <c r="C1875" t="s">
        <v>1865</v>
      </c>
      <c r="D1875">
        <v>2</v>
      </c>
      <c r="E1875" s="307">
        <v>6</v>
      </c>
      <c r="F1875" s="307" t="s">
        <v>7</v>
      </c>
      <c r="G1875" s="307" t="s">
        <v>11</v>
      </c>
      <c r="H1875" s="307" t="s">
        <v>11</v>
      </c>
    </row>
    <row r="1876" spans="1:8" x14ac:dyDescent="0.2">
      <c r="A1876" t="s">
        <v>46</v>
      </c>
      <c r="B1876" t="s">
        <v>80</v>
      </c>
      <c r="C1876" t="s">
        <v>1866</v>
      </c>
      <c r="D1876">
        <v>2</v>
      </c>
      <c r="E1876" s="307">
        <v>5</v>
      </c>
      <c r="F1876" s="307" t="s">
        <v>7</v>
      </c>
      <c r="G1876" s="307" t="s">
        <v>11</v>
      </c>
      <c r="H1876" s="307" t="s">
        <v>11</v>
      </c>
    </row>
    <row r="1877" spans="1:8" x14ac:dyDescent="0.2">
      <c r="A1877" t="s">
        <v>46</v>
      </c>
      <c r="B1877" t="s">
        <v>80</v>
      </c>
      <c r="C1877" t="s">
        <v>1867</v>
      </c>
      <c r="D1877">
        <v>2</v>
      </c>
      <c r="E1877" s="307">
        <v>5</v>
      </c>
      <c r="F1877" s="307" t="s">
        <v>7</v>
      </c>
      <c r="G1877" s="307" t="s">
        <v>11</v>
      </c>
      <c r="H1877" s="307" t="s">
        <v>11</v>
      </c>
    </row>
    <row r="1878" spans="1:8" x14ac:dyDescent="0.2">
      <c r="A1878" t="s">
        <v>46</v>
      </c>
      <c r="B1878" t="s">
        <v>80</v>
      </c>
      <c r="C1878" t="s">
        <v>1868</v>
      </c>
      <c r="D1878">
        <v>1</v>
      </c>
      <c r="E1878" s="307">
        <v>6</v>
      </c>
      <c r="F1878" s="307" t="s">
        <v>7</v>
      </c>
      <c r="G1878" s="307" t="s">
        <v>11</v>
      </c>
      <c r="H1878" s="307" t="s">
        <v>11</v>
      </c>
    </row>
    <row r="1879" spans="1:8" x14ac:dyDescent="0.2">
      <c r="A1879" t="s">
        <v>46</v>
      </c>
      <c r="B1879" t="s">
        <v>80</v>
      </c>
      <c r="C1879" t="s">
        <v>1217</v>
      </c>
      <c r="D1879">
        <v>1</v>
      </c>
      <c r="E1879" s="307">
        <v>6</v>
      </c>
      <c r="F1879" s="307" t="s">
        <v>7</v>
      </c>
      <c r="G1879" s="307" t="s">
        <v>11</v>
      </c>
      <c r="H1879" s="307" t="s">
        <v>11</v>
      </c>
    </row>
    <row r="1880" spans="1:8" x14ac:dyDescent="0.2">
      <c r="A1880" t="s">
        <v>46</v>
      </c>
      <c r="B1880" t="s">
        <v>80</v>
      </c>
      <c r="C1880" t="s">
        <v>1869</v>
      </c>
      <c r="D1880">
        <v>1</v>
      </c>
      <c r="E1880" s="307">
        <v>5</v>
      </c>
      <c r="F1880" s="307" t="s">
        <v>7</v>
      </c>
      <c r="G1880" s="307" t="s">
        <v>11</v>
      </c>
      <c r="H1880" s="307" t="s">
        <v>11</v>
      </c>
    </row>
    <row r="1881" spans="1:8" x14ac:dyDescent="0.2">
      <c r="A1881" t="s">
        <v>46</v>
      </c>
      <c r="B1881" t="s">
        <v>80</v>
      </c>
      <c r="C1881" t="s">
        <v>1258</v>
      </c>
      <c r="D1881">
        <v>1</v>
      </c>
      <c r="E1881" s="307">
        <v>6</v>
      </c>
      <c r="F1881" s="307" t="s">
        <v>7</v>
      </c>
      <c r="G1881" s="307" t="s">
        <v>11</v>
      </c>
      <c r="H1881" s="307" t="s">
        <v>11</v>
      </c>
    </row>
    <row r="1882" spans="1:8" x14ac:dyDescent="0.2">
      <c r="A1882" t="s">
        <v>46</v>
      </c>
      <c r="B1882" t="s">
        <v>80</v>
      </c>
      <c r="C1882" t="s">
        <v>1518</v>
      </c>
      <c r="D1882">
        <v>3</v>
      </c>
      <c r="E1882" s="307">
        <v>4</v>
      </c>
      <c r="F1882" s="307" t="s">
        <v>7</v>
      </c>
      <c r="G1882" s="307" t="s">
        <v>11</v>
      </c>
      <c r="H1882" s="307" t="s">
        <v>11</v>
      </c>
    </row>
    <row r="1883" spans="1:8" x14ac:dyDescent="0.2">
      <c r="A1883" t="s">
        <v>46</v>
      </c>
      <c r="B1883" t="s">
        <v>80</v>
      </c>
      <c r="C1883" t="s">
        <v>1259</v>
      </c>
      <c r="D1883">
        <v>1</v>
      </c>
      <c r="E1883" s="307">
        <v>6</v>
      </c>
      <c r="F1883" s="307" t="s">
        <v>7</v>
      </c>
      <c r="G1883" s="307" t="s">
        <v>11</v>
      </c>
      <c r="H1883" s="307" t="s">
        <v>11</v>
      </c>
    </row>
    <row r="1884" spans="1:8" x14ac:dyDescent="0.2">
      <c r="A1884" t="s">
        <v>46</v>
      </c>
      <c r="B1884" t="s">
        <v>80</v>
      </c>
      <c r="C1884" t="s">
        <v>1870</v>
      </c>
      <c r="D1884">
        <v>1</v>
      </c>
      <c r="E1884" s="307">
        <v>5</v>
      </c>
      <c r="F1884" s="307" t="s">
        <v>7</v>
      </c>
      <c r="G1884" s="307" t="s">
        <v>11</v>
      </c>
      <c r="H1884" s="307" t="s">
        <v>11</v>
      </c>
    </row>
    <row r="1885" spans="1:8" x14ac:dyDescent="0.2">
      <c r="A1885" t="s">
        <v>46</v>
      </c>
      <c r="B1885" t="s">
        <v>80</v>
      </c>
      <c r="C1885" t="s">
        <v>1871</v>
      </c>
      <c r="D1885">
        <v>1</v>
      </c>
      <c r="E1885" s="307">
        <v>6</v>
      </c>
      <c r="F1885" s="307" t="s">
        <v>7</v>
      </c>
      <c r="G1885" s="307" t="s">
        <v>11</v>
      </c>
      <c r="H1885" s="307" t="s">
        <v>11</v>
      </c>
    </row>
    <row r="1886" spans="1:8" x14ac:dyDescent="0.2">
      <c r="A1886" t="s">
        <v>46</v>
      </c>
      <c r="B1886" t="s">
        <v>80</v>
      </c>
      <c r="C1886" t="s">
        <v>1872</v>
      </c>
      <c r="D1886">
        <v>1</v>
      </c>
      <c r="E1886" s="307">
        <v>6</v>
      </c>
      <c r="F1886" s="307" t="s">
        <v>7</v>
      </c>
      <c r="G1886" s="307" t="s">
        <v>11</v>
      </c>
      <c r="H1886" s="307" t="s">
        <v>11</v>
      </c>
    </row>
    <row r="1887" spans="1:8" x14ac:dyDescent="0.2">
      <c r="A1887" t="s">
        <v>46</v>
      </c>
      <c r="B1887" t="s">
        <v>80</v>
      </c>
      <c r="C1887" t="s">
        <v>1128</v>
      </c>
      <c r="D1887">
        <v>3</v>
      </c>
      <c r="E1887" s="307">
        <v>6</v>
      </c>
      <c r="F1887" s="307" t="s">
        <v>7</v>
      </c>
      <c r="G1887" s="307" t="s">
        <v>11</v>
      </c>
      <c r="H1887" s="307" t="s">
        <v>11</v>
      </c>
    </row>
    <row r="1888" spans="1:8" x14ac:dyDescent="0.2">
      <c r="A1888" t="s">
        <v>46</v>
      </c>
      <c r="B1888" t="s">
        <v>80</v>
      </c>
      <c r="C1888" t="s">
        <v>750</v>
      </c>
      <c r="D1888">
        <v>1</v>
      </c>
      <c r="E1888" s="307">
        <v>5</v>
      </c>
      <c r="F1888" s="307" t="s">
        <v>7</v>
      </c>
      <c r="G1888" s="307" t="s">
        <v>11</v>
      </c>
      <c r="H1888" s="307" t="s">
        <v>11</v>
      </c>
    </row>
    <row r="1889" spans="1:8" x14ac:dyDescent="0.2">
      <c r="A1889" t="s">
        <v>46</v>
      </c>
      <c r="B1889" t="s">
        <v>80</v>
      </c>
      <c r="C1889" t="s">
        <v>1129</v>
      </c>
      <c r="D1889">
        <v>2</v>
      </c>
      <c r="E1889" s="307">
        <v>5</v>
      </c>
      <c r="F1889" s="307" t="s">
        <v>7</v>
      </c>
      <c r="G1889" s="307" t="s">
        <v>11</v>
      </c>
      <c r="H1889" s="307" t="s">
        <v>11</v>
      </c>
    </row>
    <row r="1890" spans="1:8" x14ac:dyDescent="0.2">
      <c r="A1890" t="s">
        <v>46</v>
      </c>
      <c r="B1890" t="s">
        <v>80</v>
      </c>
      <c r="C1890" t="s">
        <v>1873</v>
      </c>
      <c r="D1890">
        <v>3</v>
      </c>
      <c r="E1890" s="307">
        <v>4</v>
      </c>
      <c r="F1890" s="307" t="s">
        <v>7</v>
      </c>
      <c r="G1890" s="307" t="s">
        <v>11</v>
      </c>
      <c r="H1890" s="307" t="s">
        <v>11</v>
      </c>
    </row>
    <row r="1891" spans="1:8" x14ac:dyDescent="0.2">
      <c r="A1891" t="s">
        <v>46</v>
      </c>
      <c r="B1891" t="s">
        <v>80</v>
      </c>
      <c r="C1891" t="s">
        <v>1874</v>
      </c>
      <c r="D1891">
        <v>1</v>
      </c>
      <c r="E1891" s="307">
        <v>6</v>
      </c>
      <c r="F1891" s="307" t="s">
        <v>7</v>
      </c>
      <c r="G1891" s="307" t="s">
        <v>11</v>
      </c>
      <c r="H1891" s="307" t="s">
        <v>11</v>
      </c>
    </row>
    <row r="1892" spans="1:8" x14ac:dyDescent="0.2">
      <c r="A1892" t="s">
        <v>46</v>
      </c>
      <c r="B1892" t="s">
        <v>80</v>
      </c>
      <c r="C1892" t="s">
        <v>1875</v>
      </c>
      <c r="D1892">
        <v>1</v>
      </c>
      <c r="E1892" s="307">
        <v>5</v>
      </c>
      <c r="F1892" s="307" t="s">
        <v>7</v>
      </c>
      <c r="G1892" s="307" t="s">
        <v>11</v>
      </c>
      <c r="H1892" s="307" t="s">
        <v>11</v>
      </c>
    </row>
    <row r="1893" spans="1:8" x14ac:dyDescent="0.2">
      <c r="A1893" t="s">
        <v>38</v>
      </c>
      <c r="B1893" t="s">
        <v>99</v>
      </c>
      <c r="C1893" t="s">
        <v>1876</v>
      </c>
      <c r="D1893">
        <v>3</v>
      </c>
      <c r="E1893" s="307">
        <v>4</v>
      </c>
      <c r="F1893" s="307" t="s">
        <v>7</v>
      </c>
      <c r="G1893" s="307" t="s">
        <v>11</v>
      </c>
      <c r="H1893" s="307" t="s">
        <v>11</v>
      </c>
    </row>
    <row r="1894" spans="1:8" x14ac:dyDescent="0.2">
      <c r="A1894" t="s">
        <v>38</v>
      </c>
      <c r="B1894" t="s">
        <v>99</v>
      </c>
      <c r="C1894" t="s">
        <v>1174</v>
      </c>
      <c r="D1894">
        <v>2</v>
      </c>
      <c r="E1894" s="307">
        <v>4</v>
      </c>
      <c r="F1894" s="307" t="s">
        <v>7</v>
      </c>
      <c r="G1894" s="307" t="s">
        <v>11</v>
      </c>
      <c r="H1894" s="307" t="s">
        <v>11</v>
      </c>
    </row>
    <row r="1895" spans="1:8" x14ac:dyDescent="0.2">
      <c r="A1895" t="s">
        <v>38</v>
      </c>
      <c r="B1895" t="s">
        <v>99</v>
      </c>
      <c r="C1895" t="s">
        <v>1877</v>
      </c>
      <c r="D1895">
        <v>1</v>
      </c>
      <c r="E1895" s="307">
        <v>5</v>
      </c>
      <c r="F1895" s="307" t="s">
        <v>7</v>
      </c>
      <c r="G1895" s="307" t="s">
        <v>11</v>
      </c>
      <c r="H1895" s="307" t="s">
        <v>11</v>
      </c>
    </row>
    <row r="1896" spans="1:8" x14ac:dyDescent="0.2">
      <c r="A1896" t="s">
        <v>38</v>
      </c>
      <c r="B1896" t="s">
        <v>99</v>
      </c>
      <c r="C1896" t="s">
        <v>1878</v>
      </c>
      <c r="D1896">
        <v>3</v>
      </c>
      <c r="E1896" s="307">
        <v>3</v>
      </c>
      <c r="F1896" s="307" t="s">
        <v>7</v>
      </c>
      <c r="G1896" s="307" t="s">
        <v>11</v>
      </c>
      <c r="H1896" s="307" t="s">
        <v>11</v>
      </c>
    </row>
    <row r="1897" spans="1:8" x14ac:dyDescent="0.2">
      <c r="A1897" t="s">
        <v>38</v>
      </c>
      <c r="B1897" t="s">
        <v>99</v>
      </c>
      <c r="C1897" t="s">
        <v>1879</v>
      </c>
      <c r="D1897">
        <v>2</v>
      </c>
      <c r="E1897" s="307">
        <v>5</v>
      </c>
      <c r="F1897" s="307" t="s">
        <v>7</v>
      </c>
      <c r="G1897" s="307" t="s">
        <v>11</v>
      </c>
      <c r="H1897" s="307" t="s">
        <v>11</v>
      </c>
    </row>
    <row r="1898" spans="1:8" x14ac:dyDescent="0.2">
      <c r="A1898" t="s">
        <v>38</v>
      </c>
      <c r="B1898" t="s">
        <v>99</v>
      </c>
      <c r="C1898" t="s">
        <v>1880</v>
      </c>
      <c r="D1898">
        <v>2</v>
      </c>
      <c r="E1898" s="307">
        <v>5</v>
      </c>
      <c r="F1898" s="307" t="s">
        <v>7</v>
      </c>
      <c r="G1898" s="307" t="s">
        <v>11</v>
      </c>
      <c r="H1898" s="307" t="s">
        <v>11</v>
      </c>
    </row>
    <row r="1899" spans="1:8" x14ac:dyDescent="0.2">
      <c r="A1899" t="s">
        <v>38</v>
      </c>
      <c r="B1899" t="s">
        <v>99</v>
      </c>
      <c r="C1899" t="s">
        <v>1881</v>
      </c>
      <c r="D1899">
        <v>3</v>
      </c>
      <c r="E1899" s="307">
        <v>3</v>
      </c>
      <c r="F1899" s="307" t="s">
        <v>7</v>
      </c>
      <c r="G1899" s="307" t="s">
        <v>11</v>
      </c>
      <c r="H1899" s="307" t="s">
        <v>11</v>
      </c>
    </row>
    <row r="1900" spans="1:8" x14ac:dyDescent="0.2">
      <c r="A1900" t="s">
        <v>38</v>
      </c>
      <c r="B1900" t="s">
        <v>99</v>
      </c>
      <c r="C1900" t="s">
        <v>1882</v>
      </c>
      <c r="D1900">
        <v>3</v>
      </c>
      <c r="E1900" s="307">
        <v>4</v>
      </c>
      <c r="F1900" s="307" t="s">
        <v>7</v>
      </c>
      <c r="G1900" s="307" t="s">
        <v>11</v>
      </c>
      <c r="H1900" s="307" t="s">
        <v>11</v>
      </c>
    </row>
    <row r="1901" spans="1:8" x14ac:dyDescent="0.2">
      <c r="A1901" t="s">
        <v>38</v>
      </c>
      <c r="B1901" t="s">
        <v>99</v>
      </c>
      <c r="C1901" t="s">
        <v>1883</v>
      </c>
      <c r="D1901">
        <v>3</v>
      </c>
      <c r="E1901" s="307">
        <v>3</v>
      </c>
      <c r="F1901" s="307" t="s">
        <v>7</v>
      </c>
      <c r="G1901" s="307" t="s">
        <v>11</v>
      </c>
      <c r="H1901" s="307" t="s">
        <v>11</v>
      </c>
    </row>
    <row r="1902" spans="1:8" x14ac:dyDescent="0.2">
      <c r="A1902" t="s">
        <v>38</v>
      </c>
      <c r="B1902" t="s">
        <v>99</v>
      </c>
      <c r="C1902" t="s">
        <v>1884</v>
      </c>
      <c r="D1902">
        <v>3</v>
      </c>
      <c r="E1902" s="307">
        <v>3</v>
      </c>
      <c r="F1902" s="307" t="s">
        <v>7</v>
      </c>
      <c r="G1902" s="307" t="s">
        <v>115</v>
      </c>
      <c r="H1902" s="307" t="s">
        <v>11</v>
      </c>
    </row>
    <row r="1903" spans="1:8" x14ac:dyDescent="0.2">
      <c r="A1903" t="s">
        <v>38</v>
      </c>
      <c r="B1903" t="s">
        <v>99</v>
      </c>
      <c r="C1903" t="s">
        <v>1885</v>
      </c>
      <c r="D1903">
        <v>1</v>
      </c>
      <c r="E1903" s="307">
        <v>4</v>
      </c>
      <c r="F1903" s="307" t="s">
        <v>7</v>
      </c>
      <c r="G1903" s="307" t="s">
        <v>11</v>
      </c>
      <c r="H1903" s="307" t="s">
        <v>11</v>
      </c>
    </row>
    <row r="1904" spans="1:8" x14ac:dyDescent="0.2">
      <c r="A1904" t="s">
        <v>38</v>
      </c>
      <c r="B1904" t="s">
        <v>99</v>
      </c>
      <c r="C1904" t="s">
        <v>1040</v>
      </c>
      <c r="D1904">
        <v>2</v>
      </c>
      <c r="E1904" s="307">
        <v>4</v>
      </c>
      <c r="F1904" s="307" t="s">
        <v>7</v>
      </c>
      <c r="G1904" s="307" t="s">
        <v>11</v>
      </c>
      <c r="H1904" s="307" t="s">
        <v>11</v>
      </c>
    </row>
    <row r="1905" spans="1:8" x14ac:dyDescent="0.2">
      <c r="A1905" t="s">
        <v>38</v>
      </c>
      <c r="B1905" t="s">
        <v>99</v>
      </c>
      <c r="C1905" t="s">
        <v>1886</v>
      </c>
      <c r="D1905">
        <v>3</v>
      </c>
      <c r="E1905" s="307">
        <v>3</v>
      </c>
      <c r="F1905" s="307" t="s">
        <v>7</v>
      </c>
      <c r="G1905" s="307" t="s">
        <v>11</v>
      </c>
      <c r="H1905" s="307" t="s">
        <v>11</v>
      </c>
    </row>
    <row r="1906" spans="1:8" x14ac:dyDescent="0.2">
      <c r="A1906" t="s">
        <v>38</v>
      </c>
      <c r="B1906" t="s">
        <v>99</v>
      </c>
      <c r="C1906" t="s">
        <v>1391</v>
      </c>
      <c r="D1906">
        <v>2</v>
      </c>
      <c r="E1906" s="307">
        <v>4</v>
      </c>
      <c r="F1906" s="307" t="s">
        <v>7</v>
      </c>
      <c r="G1906" s="307" t="s">
        <v>11</v>
      </c>
      <c r="H1906" s="307" t="s">
        <v>11</v>
      </c>
    </row>
    <row r="1907" spans="1:8" x14ac:dyDescent="0.2">
      <c r="A1907" t="s">
        <v>38</v>
      </c>
      <c r="B1907" t="s">
        <v>99</v>
      </c>
      <c r="C1907" t="s">
        <v>1042</v>
      </c>
      <c r="D1907">
        <v>3</v>
      </c>
      <c r="E1907" s="307">
        <v>3</v>
      </c>
      <c r="F1907" s="307" t="s">
        <v>7</v>
      </c>
      <c r="G1907" s="307" t="s">
        <v>11</v>
      </c>
      <c r="H1907" s="307" t="s">
        <v>11</v>
      </c>
    </row>
    <row r="1908" spans="1:8" x14ac:dyDescent="0.2">
      <c r="A1908" t="s">
        <v>38</v>
      </c>
      <c r="B1908" t="s">
        <v>99</v>
      </c>
      <c r="C1908" t="s">
        <v>1887</v>
      </c>
      <c r="D1908">
        <v>3</v>
      </c>
      <c r="E1908" s="307">
        <v>3</v>
      </c>
      <c r="F1908" s="307" t="s">
        <v>7</v>
      </c>
      <c r="G1908" s="307" t="s">
        <v>115</v>
      </c>
      <c r="H1908" s="307" t="s">
        <v>11</v>
      </c>
    </row>
    <row r="1909" spans="1:8" x14ac:dyDescent="0.2">
      <c r="A1909" t="s">
        <v>38</v>
      </c>
      <c r="B1909" t="s">
        <v>99</v>
      </c>
      <c r="C1909" t="s">
        <v>1888</v>
      </c>
      <c r="D1909">
        <v>2</v>
      </c>
      <c r="E1909" s="307">
        <v>4</v>
      </c>
      <c r="F1909" s="307" t="s">
        <v>7</v>
      </c>
      <c r="G1909" s="307" t="s">
        <v>11</v>
      </c>
      <c r="H1909" s="307" t="s">
        <v>11</v>
      </c>
    </row>
    <row r="1910" spans="1:8" x14ac:dyDescent="0.2">
      <c r="A1910" t="s">
        <v>38</v>
      </c>
      <c r="B1910" t="s">
        <v>99</v>
      </c>
      <c r="C1910" t="s">
        <v>1889</v>
      </c>
      <c r="D1910">
        <v>2</v>
      </c>
      <c r="E1910" s="307">
        <v>4</v>
      </c>
      <c r="F1910" s="307" t="s">
        <v>7</v>
      </c>
      <c r="G1910" s="307" t="s">
        <v>11</v>
      </c>
      <c r="H1910" s="307" t="s">
        <v>11</v>
      </c>
    </row>
    <row r="1911" spans="1:8" x14ac:dyDescent="0.2">
      <c r="A1911" t="s">
        <v>38</v>
      </c>
      <c r="B1911" t="s">
        <v>99</v>
      </c>
      <c r="C1911" t="s">
        <v>1046</v>
      </c>
      <c r="D1911">
        <v>3</v>
      </c>
      <c r="E1911" s="307">
        <v>4</v>
      </c>
      <c r="F1911" s="307" t="s">
        <v>7</v>
      </c>
      <c r="G1911" s="307" t="s">
        <v>11</v>
      </c>
      <c r="H1911" s="307" t="s">
        <v>11</v>
      </c>
    </row>
    <row r="1912" spans="1:8" x14ac:dyDescent="0.2">
      <c r="A1912" t="s">
        <v>38</v>
      </c>
      <c r="B1912" t="s">
        <v>99</v>
      </c>
      <c r="C1912" t="s">
        <v>695</v>
      </c>
      <c r="D1912">
        <v>1</v>
      </c>
      <c r="E1912" s="307">
        <v>4</v>
      </c>
      <c r="F1912" s="307" t="s">
        <v>7</v>
      </c>
      <c r="G1912" s="307" t="s">
        <v>11</v>
      </c>
      <c r="H1912" s="307" t="s">
        <v>11</v>
      </c>
    </row>
    <row r="1913" spans="1:8" x14ac:dyDescent="0.2">
      <c r="A1913" t="s">
        <v>38</v>
      </c>
      <c r="B1913" t="s">
        <v>99</v>
      </c>
      <c r="C1913" t="s">
        <v>1890</v>
      </c>
      <c r="D1913">
        <v>3</v>
      </c>
      <c r="E1913" s="307">
        <v>3</v>
      </c>
      <c r="F1913" s="307" t="s">
        <v>7</v>
      </c>
      <c r="G1913" s="307" t="s">
        <v>11</v>
      </c>
      <c r="H1913" s="307" t="s">
        <v>11</v>
      </c>
    </row>
    <row r="1914" spans="1:8" x14ac:dyDescent="0.2">
      <c r="A1914" t="s">
        <v>38</v>
      </c>
      <c r="B1914" t="s">
        <v>99</v>
      </c>
      <c r="C1914" t="s">
        <v>699</v>
      </c>
      <c r="D1914">
        <v>2</v>
      </c>
      <c r="E1914" s="307">
        <v>4</v>
      </c>
      <c r="F1914" s="307" t="s">
        <v>7</v>
      </c>
      <c r="G1914" s="307" t="s">
        <v>11</v>
      </c>
      <c r="H1914" s="307" t="s">
        <v>11</v>
      </c>
    </row>
    <row r="1915" spans="1:8" x14ac:dyDescent="0.2">
      <c r="A1915" t="s">
        <v>38</v>
      </c>
      <c r="B1915" t="s">
        <v>99</v>
      </c>
      <c r="C1915" t="s">
        <v>807</v>
      </c>
      <c r="D1915">
        <v>2</v>
      </c>
      <c r="E1915" s="307">
        <v>4</v>
      </c>
      <c r="F1915" s="307" t="s">
        <v>7</v>
      </c>
      <c r="G1915" s="307" t="s">
        <v>11</v>
      </c>
      <c r="H1915" s="307" t="s">
        <v>11</v>
      </c>
    </row>
    <row r="1916" spans="1:8" x14ac:dyDescent="0.2">
      <c r="A1916" t="s">
        <v>38</v>
      </c>
      <c r="B1916" t="s">
        <v>99</v>
      </c>
      <c r="C1916" t="s">
        <v>1891</v>
      </c>
      <c r="D1916">
        <v>3</v>
      </c>
      <c r="E1916" s="307">
        <v>3</v>
      </c>
      <c r="F1916" s="307" t="s">
        <v>7</v>
      </c>
      <c r="G1916" s="307" t="s">
        <v>115</v>
      </c>
      <c r="H1916" s="307" t="s">
        <v>11</v>
      </c>
    </row>
    <row r="1917" spans="1:8" x14ac:dyDescent="0.2">
      <c r="A1917" t="s">
        <v>38</v>
      </c>
      <c r="B1917" t="s">
        <v>99</v>
      </c>
      <c r="C1917" t="s">
        <v>1892</v>
      </c>
      <c r="D1917">
        <v>3</v>
      </c>
      <c r="E1917" s="307">
        <v>3</v>
      </c>
      <c r="F1917" s="307" t="s">
        <v>7</v>
      </c>
      <c r="G1917" s="307" t="s">
        <v>11</v>
      </c>
      <c r="H1917" s="307" t="s">
        <v>11</v>
      </c>
    </row>
    <row r="1918" spans="1:8" x14ac:dyDescent="0.2">
      <c r="A1918" t="s">
        <v>38</v>
      </c>
      <c r="B1918" t="s">
        <v>99</v>
      </c>
      <c r="C1918" t="s">
        <v>1183</v>
      </c>
      <c r="D1918">
        <v>3</v>
      </c>
      <c r="E1918" s="307">
        <v>3</v>
      </c>
      <c r="F1918" s="307" t="s">
        <v>7</v>
      </c>
      <c r="G1918" s="307" t="s">
        <v>11</v>
      </c>
      <c r="H1918" s="307" t="s">
        <v>11</v>
      </c>
    </row>
    <row r="1919" spans="1:8" x14ac:dyDescent="0.2">
      <c r="A1919" t="s">
        <v>38</v>
      </c>
      <c r="B1919" t="s">
        <v>99</v>
      </c>
      <c r="C1919" t="s">
        <v>1893</v>
      </c>
      <c r="D1919">
        <v>3</v>
      </c>
      <c r="E1919" s="307">
        <v>3</v>
      </c>
      <c r="F1919" s="307" t="s">
        <v>7</v>
      </c>
      <c r="G1919" s="307" t="s">
        <v>11</v>
      </c>
      <c r="H1919" s="307" t="s">
        <v>11</v>
      </c>
    </row>
    <row r="1920" spans="1:8" x14ac:dyDescent="0.2">
      <c r="A1920" t="s">
        <v>38</v>
      </c>
      <c r="B1920" t="s">
        <v>99</v>
      </c>
      <c r="C1920" t="s">
        <v>1894</v>
      </c>
      <c r="D1920">
        <v>3</v>
      </c>
      <c r="E1920" s="307">
        <v>3</v>
      </c>
      <c r="F1920" s="307" t="s">
        <v>7</v>
      </c>
      <c r="G1920" s="307" t="s">
        <v>11</v>
      </c>
      <c r="H1920" s="307" t="s">
        <v>11</v>
      </c>
    </row>
    <row r="1921" spans="1:8" x14ac:dyDescent="0.2">
      <c r="A1921" t="s">
        <v>38</v>
      </c>
      <c r="B1921" t="s">
        <v>99</v>
      </c>
      <c r="C1921" t="s">
        <v>1895</v>
      </c>
      <c r="D1921">
        <v>3</v>
      </c>
      <c r="E1921" s="307">
        <v>3</v>
      </c>
      <c r="F1921" s="307" t="s">
        <v>7</v>
      </c>
      <c r="G1921" s="307" t="s">
        <v>11</v>
      </c>
      <c r="H1921" s="307" t="s">
        <v>11</v>
      </c>
    </row>
    <row r="1922" spans="1:8" x14ac:dyDescent="0.2">
      <c r="A1922" t="s">
        <v>38</v>
      </c>
      <c r="B1922" t="s">
        <v>99</v>
      </c>
      <c r="C1922" t="s">
        <v>1896</v>
      </c>
      <c r="D1922">
        <v>3</v>
      </c>
      <c r="E1922" s="307">
        <v>4</v>
      </c>
      <c r="F1922" s="307" t="s">
        <v>7</v>
      </c>
      <c r="G1922" s="307" t="s">
        <v>11</v>
      </c>
      <c r="H1922" s="307" t="s">
        <v>11</v>
      </c>
    </row>
    <row r="1923" spans="1:8" x14ac:dyDescent="0.2">
      <c r="A1923" t="s">
        <v>38</v>
      </c>
      <c r="B1923" t="s">
        <v>99</v>
      </c>
      <c r="C1923" t="s">
        <v>1897</v>
      </c>
      <c r="D1923">
        <v>3</v>
      </c>
      <c r="E1923" s="307">
        <v>3</v>
      </c>
      <c r="F1923" s="307" t="s">
        <v>7</v>
      </c>
      <c r="G1923" s="307" t="s">
        <v>11</v>
      </c>
      <c r="H1923" s="307" t="s">
        <v>11</v>
      </c>
    </row>
    <row r="1924" spans="1:8" x14ac:dyDescent="0.2">
      <c r="A1924" t="s">
        <v>38</v>
      </c>
      <c r="B1924" t="s">
        <v>99</v>
      </c>
      <c r="C1924" t="s">
        <v>1898</v>
      </c>
      <c r="D1924">
        <v>3</v>
      </c>
      <c r="E1924" s="307">
        <v>4</v>
      </c>
      <c r="F1924" s="307" t="s">
        <v>7</v>
      </c>
      <c r="G1924" s="307" t="s">
        <v>11</v>
      </c>
      <c r="H1924" s="307" t="s">
        <v>11</v>
      </c>
    </row>
    <row r="1925" spans="1:8" x14ac:dyDescent="0.2">
      <c r="A1925" t="s">
        <v>38</v>
      </c>
      <c r="B1925" t="s">
        <v>99</v>
      </c>
      <c r="C1925" t="s">
        <v>1899</v>
      </c>
      <c r="D1925">
        <v>3</v>
      </c>
      <c r="E1925" s="307">
        <v>3</v>
      </c>
      <c r="F1925" s="307" t="s">
        <v>7</v>
      </c>
      <c r="G1925" s="307" t="s">
        <v>11</v>
      </c>
      <c r="H1925" s="307" t="s">
        <v>11</v>
      </c>
    </row>
    <row r="1926" spans="1:8" x14ac:dyDescent="0.2">
      <c r="A1926" t="s">
        <v>38</v>
      </c>
      <c r="B1926" t="s">
        <v>99</v>
      </c>
      <c r="C1926" t="s">
        <v>1070</v>
      </c>
      <c r="D1926">
        <v>2</v>
      </c>
      <c r="E1926" s="307">
        <v>4</v>
      </c>
      <c r="F1926" s="307" t="s">
        <v>7</v>
      </c>
      <c r="G1926" s="307" t="s">
        <v>11</v>
      </c>
      <c r="H1926" s="307" t="s">
        <v>11</v>
      </c>
    </row>
    <row r="1927" spans="1:8" x14ac:dyDescent="0.2">
      <c r="A1927" t="s">
        <v>38</v>
      </c>
      <c r="B1927" t="s">
        <v>99</v>
      </c>
      <c r="C1927" t="s">
        <v>715</v>
      </c>
      <c r="D1927">
        <v>2</v>
      </c>
      <c r="E1927" s="307">
        <v>4</v>
      </c>
      <c r="F1927" s="307" t="s">
        <v>7</v>
      </c>
      <c r="G1927" s="307" t="s">
        <v>11</v>
      </c>
      <c r="H1927" s="307" t="s">
        <v>11</v>
      </c>
    </row>
    <row r="1928" spans="1:8" x14ac:dyDescent="0.2">
      <c r="A1928" t="s">
        <v>38</v>
      </c>
      <c r="B1928" t="s">
        <v>99</v>
      </c>
      <c r="C1928" t="s">
        <v>1900</v>
      </c>
      <c r="D1928">
        <v>2</v>
      </c>
      <c r="E1928" s="307">
        <v>3</v>
      </c>
      <c r="F1928" s="307" t="s">
        <v>7</v>
      </c>
      <c r="G1928" s="307" t="s">
        <v>11</v>
      </c>
      <c r="H1928" s="307" t="s">
        <v>11</v>
      </c>
    </row>
    <row r="1929" spans="1:8" x14ac:dyDescent="0.2">
      <c r="A1929" t="s">
        <v>38</v>
      </c>
      <c r="B1929" t="s">
        <v>99</v>
      </c>
      <c r="C1929" t="s">
        <v>1901</v>
      </c>
      <c r="D1929">
        <v>3</v>
      </c>
      <c r="E1929" s="307">
        <v>4</v>
      </c>
      <c r="F1929" s="307" t="s">
        <v>7</v>
      </c>
      <c r="G1929" s="307" t="s">
        <v>11</v>
      </c>
      <c r="H1929" s="307" t="s">
        <v>11</v>
      </c>
    </row>
    <row r="1930" spans="1:8" x14ac:dyDescent="0.2">
      <c r="A1930" t="s">
        <v>38</v>
      </c>
      <c r="B1930" t="s">
        <v>99</v>
      </c>
      <c r="C1930" t="s">
        <v>787</v>
      </c>
      <c r="D1930">
        <v>2</v>
      </c>
      <c r="E1930" s="307">
        <v>4</v>
      </c>
      <c r="F1930" s="307" t="s">
        <v>7</v>
      </c>
      <c r="G1930" s="307" t="s">
        <v>11</v>
      </c>
      <c r="H1930" s="307" t="s">
        <v>11</v>
      </c>
    </row>
    <row r="1931" spans="1:8" x14ac:dyDescent="0.2">
      <c r="A1931" t="s">
        <v>38</v>
      </c>
      <c r="B1931" t="s">
        <v>99</v>
      </c>
      <c r="C1931" t="s">
        <v>1902</v>
      </c>
      <c r="D1931">
        <v>3</v>
      </c>
      <c r="E1931" s="307">
        <v>4</v>
      </c>
      <c r="F1931" s="307" t="s">
        <v>7</v>
      </c>
      <c r="G1931" s="307" t="s">
        <v>11</v>
      </c>
      <c r="H1931" s="307" t="s">
        <v>11</v>
      </c>
    </row>
    <row r="1932" spans="1:8" x14ac:dyDescent="0.2">
      <c r="A1932" t="s">
        <v>38</v>
      </c>
      <c r="B1932" t="s">
        <v>99</v>
      </c>
      <c r="C1932" t="s">
        <v>717</v>
      </c>
      <c r="D1932">
        <v>3</v>
      </c>
      <c r="E1932" s="307">
        <v>3</v>
      </c>
      <c r="F1932" s="307" t="s">
        <v>7</v>
      </c>
      <c r="G1932" s="307" t="s">
        <v>11</v>
      </c>
      <c r="H1932" s="307" t="s">
        <v>11</v>
      </c>
    </row>
    <row r="1933" spans="1:8" x14ac:dyDescent="0.2">
      <c r="A1933" t="s">
        <v>38</v>
      </c>
      <c r="B1933" t="s">
        <v>99</v>
      </c>
      <c r="C1933" t="s">
        <v>1903</v>
      </c>
      <c r="D1933">
        <v>3</v>
      </c>
      <c r="E1933" s="307">
        <v>4</v>
      </c>
      <c r="F1933" s="307" t="s">
        <v>7</v>
      </c>
      <c r="G1933" s="307" t="s">
        <v>11</v>
      </c>
      <c r="H1933" s="307" t="s">
        <v>11</v>
      </c>
    </row>
    <row r="1934" spans="1:8" x14ac:dyDescent="0.2">
      <c r="A1934" t="s">
        <v>38</v>
      </c>
      <c r="B1934" t="s">
        <v>99</v>
      </c>
      <c r="C1934" t="s">
        <v>1904</v>
      </c>
      <c r="D1934">
        <v>3</v>
      </c>
      <c r="E1934" s="307">
        <v>4</v>
      </c>
      <c r="F1934" s="307" t="s">
        <v>7</v>
      </c>
      <c r="G1934" s="307" t="s">
        <v>11</v>
      </c>
      <c r="H1934" s="307" t="s">
        <v>11</v>
      </c>
    </row>
    <row r="1935" spans="1:8" x14ac:dyDescent="0.2">
      <c r="A1935" t="s">
        <v>38</v>
      </c>
      <c r="B1935" t="s">
        <v>99</v>
      </c>
      <c r="C1935" t="s">
        <v>1905</v>
      </c>
      <c r="D1935">
        <v>3</v>
      </c>
      <c r="E1935" s="307">
        <v>4</v>
      </c>
      <c r="F1935" s="307" t="s">
        <v>7</v>
      </c>
      <c r="G1935" s="307" t="s">
        <v>11</v>
      </c>
      <c r="H1935" s="307" t="s">
        <v>11</v>
      </c>
    </row>
    <row r="1936" spans="1:8" x14ac:dyDescent="0.2">
      <c r="A1936" t="s">
        <v>38</v>
      </c>
      <c r="B1936" t="s">
        <v>99</v>
      </c>
      <c r="C1936" t="s">
        <v>1906</v>
      </c>
      <c r="D1936">
        <v>2</v>
      </c>
      <c r="E1936" s="307">
        <v>4</v>
      </c>
      <c r="F1936" s="307" t="s">
        <v>7</v>
      </c>
      <c r="G1936" s="307" t="s">
        <v>11</v>
      </c>
      <c r="H1936" s="307" t="s">
        <v>11</v>
      </c>
    </row>
    <row r="1937" spans="1:8" x14ac:dyDescent="0.2">
      <c r="A1937" t="s">
        <v>38</v>
      </c>
      <c r="B1937" t="s">
        <v>99</v>
      </c>
      <c r="C1937" t="s">
        <v>1192</v>
      </c>
      <c r="D1937">
        <v>1</v>
      </c>
      <c r="E1937" s="307">
        <v>4</v>
      </c>
      <c r="F1937" s="307" t="s">
        <v>7</v>
      </c>
      <c r="G1937" s="307" t="s">
        <v>11</v>
      </c>
      <c r="H1937" s="307" t="s">
        <v>11</v>
      </c>
    </row>
    <row r="1938" spans="1:8" x14ac:dyDescent="0.2">
      <c r="A1938" t="s">
        <v>38</v>
      </c>
      <c r="B1938" t="s">
        <v>99</v>
      </c>
      <c r="C1938" t="s">
        <v>1907</v>
      </c>
      <c r="D1938">
        <v>3</v>
      </c>
      <c r="E1938" s="307">
        <v>4</v>
      </c>
      <c r="F1938" s="307" t="s">
        <v>7</v>
      </c>
      <c r="G1938" s="307" t="s">
        <v>11</v>
      </c>
      <c r="H1938" s="307" t="s">
        <v>11</v>
      </c>
    </row>
    <row r="1939" spans="1:8" x14ac:dyDescent="0.2">
      <c r="A1939" t="s">
        <v>38</v>
      </c>
      <c r="B1939" t="s">
        <v>99</v>
      </c>
      <c r="C1939" t="s">
        <v>1908</v>
      </c>
      <c r="D1939">
        <v>3</v>
      </c>
      <c r="E1939" s="307">
        <v>3</v>
      </c>
      <c r="F1939" s="307" t="s">
        <v>7</v>
      </c>
      <c r="G1939" s="307" t="s">
        <v>11</v>
      </c>
      <c r="H1939" s="307" t="s">
        <v>11</v>
      </c>
    </row>
    <row r="1940" spans="1:8" x14ac:dyDescent="0.2">
      <c r="A1940" t="s">
        <v>38</v>
      </c>
      <c r="B1940" t="s">
        <v>99</v>
      </c>
      <c r="C1940" t="s">
        <v>1909</v>
      </c>
      <c r="D1940">
        <v>3</v>
      </c>
      <c r="E1940" s="307">
        <v>3</v>
      </c>
      <c r="F1940" s="307" t="s">
        <v>7</v>
      </c>
      <c r="G1940" s="307" t="s">
        <v>11</v>
      </c>
      <c r="H1940" s="307" t="s">
        <v>11</v>
      </c>
    </row>
    <row r="1941" spans="1:8" x14ac:dyDescent="0.2">
      <c r="A1941" t="s">
        <v>38</v>
      </c>
      <c r="B1941" t="s">
        <v>99</v>
      </c>
      <c r="C1941" t="s">
        <v>1910</v>
      </c>
      <c r="D1941">
        <v>2</v>
      </c>
      <c r="E1941" s="307">
        <v>4</v>
      </c>
      <c r="F1941" s="307" t="s">
        <v>7</v>
      </c>
      <c r="G1941" s="307" t="s">
        <v>11</v>
      </c>
      <c r="H1941" s="307" t="s">
        <v>11</v>
      </c>
    </row>
    <row r="1942" spans="1:8" x14ac:dyDescent="0.2">
      <c r="A1942" t="s">
        <v>38</v>
      </c>
      <c r="B1942" t="s">
        <v>99</v>
      </c>
      <c r="C1942" t="s">
        <v>721</v>
      </c>
      <c r="D1942">
        <v>2</v>
      </c>
      <c r="E1942" s="307">
        <v>4</v>
      </c>
      <c r="F1942" s="307" t="s">
        <v>7</v>
      </c>
      <c r="G1942" s="307" t="s">
        <v>11</v>
      </c>
      <c r="H1942" s="307" t="s">
        <v>11</v>
      </c>
    </row>
    <row r="1943" spans="1:8" x14ac:dyDescent="0.2">
      <c r="A1943" t="s">
        <v>38</v>
      </c>
      <c r="B1943" t="s">
        <v>99</v>
      </c>
      <c r="C1943" t="s">
        <v>1911</v>
      </c>
      <c r="D1943">
        <v>3</v>
      </c>
      <c r="E1943" s="307">
        <v>3</v>
      </c>
      <c r="F1943" s="307" t="s">
        <v>7</v>
      </c>
      <c r="G1943" s="307" t="s">
        <v>11</v>
      </c>
      <c r="H1943" s="307" t="s">
        <v>11</v>
      </c>
    </row>
    <row r="1944" spans="1:8" x14ac:dyDescent="0.2">
      <c r="A1944" t="s">
        <v>38</v>
      </c>
      <c r="B1944" t="s">
        <v>99</v>
      </c>
      <c r="C1944" t="s">
        <v>1088</v>
      </c>
      <c r="D1944">
        <v>3</v>
      </c>
      <c r="E1944" s="307">
        <v>3</v>
      </c>
      <c r="F1944" s="307" t="s">
        <v>7</v>
      </c>
      <c r="G1944" s="307" t="s">
        <v>11</v>
      </c>
      <c r="H1944" s="307" t="s">
        <v>11</v>
      </c>
    </row>
    <row r="1945" spans="1:8" x14ac:dyDescent="0.2">
      <c r="A1945" t="s">
        <v>38</v>
      </c>
      <c r="B1945" t="s">
        <v>99</v>
      </c>
      <c r="C1945" t="s">
        <v>726</v>
      </c>
      <c r="D1945">
        <v>3</v>
      </c>
      <c r="E1945" s="307">
        <v>4</v>
      </c>
      <c r="F1945" s="307" t="s">
        <v>7</v>
      </c>
      <c r="G1945" s="307" t="s">
        <v>11</v>
      </c>
      <c r="H1945" s="307" t="s">
        <v>11</v>
      </c>
    </row>
    <row r="1946" spans="1:8" x14ac:dyDescent="0.2">
      <c r="A1946" t="s">
        <v>38</v>
      </c>
      <c r="B1946" t="s">
        <v>99</v>
      </c>
      <c r="C1946" t="s">
        <v>1912</v>
      </c>
      <c r="D1946">
        <v>3</v>
      </c>
      <c r="E1946" s="307">
        <v>3</v>
      </c>
      <c r="F1946" s="307" t="s">
        <v>7</v>
      </c>
      <c r="G1946" s="307" t="s">
        <v>11</v>
      </c>
      <c r="H1946" s="307" t="s">
        <v>11</v>
      </c>
    </row>
    <row r="1947" spans="1:8" x14ac:dyDescent="0.2">
      <c r="A1947" t="s">
        <v>38</v>
      </c>
      <c r="B1947" t="s">
        <v>99</v>
      </c>
      <c r="C1947" t="s">
        <v>827</v>
      </c>
      <c r="D1947">
        <v>2</v>
      </c>
      <c r="E1947" s="307">
        <v>4</v>
      </c>
      <c r="F1947" s="307" t="s">
        <v>7</v>
      </c>
      <c r="G1947" s="307" t="s">
        <v>11</v>
      </c>
      <c r="H1947" s="307" t="s">
        <v>11</v>
      </c>
    </row>
    <row r="1948" spans="1:8" x14ac:dyDescent="0.2">
      <c r="A1948" t="s">
        <v>38</v>
      </c>
      <c r="B1948" t="s">
        <v>99</v>
      </c>
      <c r="C1948" t="s">
        <v>729</v>
      </c>
      <c r="D1948">
        <v>2</v>
      </c>
      <c r="E1948" s="307">
        <v>4</v>
      </c>
      <c r="F1948" s="307" t="s">
        <v>7</v>
      </c>
      <c r="G1948" s="307" t="s">
        <v>11</v>
      </c>
      <c r="H1948" s="307" t="s">
        <v>11</v>
      </c>
    </row>
    <row r="1949" spans="1:8" x14ac:dyDescent="0.2">
      <c r="A1949" t="s">
        <v>38</v>
      </c>
      <c r="B1949" t="s">
        <v>99</v>
      </c>
      <c r="C1949" t="s">
        <v>730</v>
      </c>
      <c r="D1949">
        <v>2</v>
      </c>
      <c r="E1949" s="307">
        <v>4</v>
      </c>
      <c r="F1949" s="307" t="s">
        <v>7</v>
      </c>
      <c r="G1949" s="307" t="s">
        <v>11</v>
      </c>
      <c r="H1949" s="307" t="s">
        <v>11</v>
      </c>
    </row>
    <row r="1950" spans="1:8" x14ac:dyDescent="0.2">
      <c r="A1950" t="s">
        <v>38</v>
      </c>
      <c r="B1950" t="s">
        <v>99</v>
      </c>
      <c r="C1950" t="s">
        <v>1007</v>
      </c>
      <c r="D1950">
        <v>3</v>
      </c>
      <c r="E1950" s="307">
        <v>3</v>
      </c>
      <c r="F1950" s="307" t="s">
        <v>7</v>
      </c>
      <c r="G1950" s="307" t="s">
        <v>11</v>
      </c>
      <c r="H1950" s="307" t="s">
        <v>11</v>
      </c>
    </row>
    <row r="1951" spans="1:8" x14ac:dyDescent="0.2">
      <c r="A1951" t="s">
        <v>38</v>
      </c>
      <c r="B1951" t="s">
        <v>99</v>
      </c>
      <c r="C1951" t="s">
        <v>1913</v>
      </c>
      <c r="D1951">
        <v>2</v>
      </c>
      <c r="E1951" s="307">
        <v>4</v>
      </c>
      <c r="F1951" s="307" t="s">
        <v>7</v>
      </c>
      <c r="G1951" s="307" t="s">
        <v>11</v>
      </c>
      <c r="H1951" s="307" t="s">
        <v>11</v>
      </c>
    </row>
    <row r="1952" spans="1:8" x14ac:dyDescent="0.2">
      <c r="A1952" t="s">
        <v>38</v>
      </c>
      <c r="B1952" t="s">
        <v>99</v>
      </c>
      <c r="C1952" t="s">
        <v>1914</v>
      </c>
      <c r="D1952">
        <v>3</v>
      </c>
      <c r="E1952" s="307">
        <v>3</v>
      </c>
      <c r="F1952" s="307" t="s">
        <v>7</v>
      </c>
      <c r="G1952" s="307" t="s">
        <v>11</v>
      </c>
      <c r="H1952" s="307" t="s">
        <v>11</v>
      </c>
    </row>
    <row r="1953" spans="1:8" x14ac:dyDescent="0.2">
      <c r="A1953" t="s">
        <v>38</v>
      </c>
      <c r="B1953" t="s">
        <v>99</v>
      </c>
      <c r="C1953" t="s">
        <v>1096</v>
      </c>
      <c r="D1953">
        <v>1</v>
      </c>
      <c r="E1953" s="307">
        <v>5</v>
      </c>
      <c r="F1953" s="307" t="s">
        <v>7</v>
      </c>
      <c r="G1953" s="307" t="s">
        <v>11</v>
      </c>
      <c r="H1953" s="307" t="s">
        <v>11</v>
      </c>
    </row>
    <row r="1954" spans="1:8" x14ac:dyDescent="0.2">
      <c r="A1954" t="s">
        <v>38</v>
      </c>
      <c r="B1954" t="s">
        <v>99</v>
      </c>
      <c r="C1954" t="s">
        <v>736</v>
      </c>
      <c r="D1954">
        <v>3</v>
      </c>
      <c r="E1954" s="307">
        <v>3</v>
      </c>
      <c r="F1954" s="307" t="s">
        <v>7</v>
      </c>
      <c r="G1954" s="307" t="s">
        <v>11</v>
      </c>
      <c r="H1954" s="307" t="s">
        <v>11</v>
      </c>
    </row>
    <row r="1955" spans="1:8" x14ac:dyDescent="0.2">
      <c r="A1955" t="s">
        <v>38</v>
      </c>
      <c r="B1955" t="s">
        <v>99</v>
      </c>
      <c r="C1955" t="s">
        <v>1915</v>
      </c>
      <c r="D1955">
        <v>3</v>
      </c>
      <c r="E1955" s="307">
        <v>3</v>
      </c>
      <c r="F1955" s="307" t="s">
        <v>7</v>
      </c>
      <c r="G1955" s="307" t="s">
        <v>11</v>
      </c>
      <c r="H1955" s="307" t="s">
        <v>11</v>
      </c>
    </row>
    <row r="1956" spans="1:8" x14ac:dyDescent="0.2">
      <c r="A1956" t="s">
        <v>38</v>
      </c>
      <c r="B1956" t="s">
        <v>99</v>
      </c>
      <c r="C1956" t="s">
        <v>1916</v>
      </c>
      <c r="D1956">
        <v>3</v>
      </c>
      <c r="E1956" s="307">
        <v>4</v>
      </c>
      <c r="F1956" s="307" t="s">
        <v>7</v>
      </c>
      <c r="G1956" s="307" t="s">
        <v>11</v>
      </c>
      <c r="H1956" s="307" t="s">
        <v>11</v>
      </c>
    </row>
    <row r="1957" spans="1:8" x14ac:dyDescent="0.2">
      <c r="A1957" t="s">
        <v>38</v>
      </c>
      <c r="B1957" t="s">
        <v>99</v>
      </c>
      <c r="C1957" t="s">
        <v>1917</v>
      </c>
      <c r="D1957">
        <v>3</v>
      </c>
      <c r="E1957" s="307">
        <v>3</v>
      </c>
      <c r="F1957" s="307" t="s">
        <v>7</v>
      </c>
      <c r="G1957" s="307" t="s">
        <v>115</v>
      </c>
      <c r="H1957" s="307" t="s">
        <v>11</v>
      </c>
    </row>
    <row r="1958" spans="1:8" x14ac:dyDescent="0.2">
      <c r="A1958" t="s">
        <v>38</v>
      </c>
      <c r="B1958" t="s">
        <v>99</v>
      </c>
      <c r="C1958" t="s">
        <v>1918</v>
      </c>
      <c r="D1958">
        <v>3</v>
      </c>
      <c r="E1958" s="307">
        <v>4</v>
      </c>
      <c r="F1958" s="307" t="s">
        <v>7</v>
      </c>
      <c r="G1958" s="307" t="s">
        <v>11</v>
      </c>
      <c r="H1958" s="307" t="s">
        <v>11</v>
      </c>
    </row>
    <row r="1959" spans="1:8" x14ac:dyDescent="0.2">
      <c r="A1959" t="s">
        <v>38</v>
      </c>
      <c r="B1959" t="s">
        <v>99</v>
      </c>
      <c r="C1959" t="s">
        <v>1919</v>
      </c>
      <c r="D1959">
        <v>3</v>
      </c>
      <c r="E1959" s="307">
        <v>3</v>
      </c>
      <c r="F1959" s="307" t="s">
        <v>7</v>
      </c>
      <c r="G1959" s="307" t="s">
        <v>115</v>
      </c>
      <c r="H1959" s="307" t="s">
        <v>11</v>
      </c>
    </row>
    <row r="1960" spans="1:8" x14ac:dyDescent="0.2">
      <c r="A1960" t="s">
        <v>38</v>
      </c>
      <c r="B1960" t="s">
        <v>99</v>
      </c>
      <c r="C1960" t="s">
        <v>883</v>
      </c>
      <c r="D1960">
        <v>3</v>
      </c>
      <c r="E1960" s="307">
        <v>4</v>
      </c>
      <c r="F1960" s="307" t="s">
        <v>7</v>
      </c>
      <c r="G1960" s="307" t="s">
        <v>11</v>
      </c>
      <c r="H1960" s="307" t="s">
        <v>11</v>
      </c>
    </row>
    <row r="1961" spans="1:8" x14ac:dyDescent="0.2">
      <c r="A1961" t="s">
        <v>38</v>
      </c>
      <c r="B1961" t="s">
        <v>99</v>
      </c>
      <c r="C1961" t="s">
        <v>1920</v>
      </c>
      <c r="D1961">
        <v>3</v>
      </c>
      <c r="E1961" s="307">
        <v>3</v>
      </c>
      <c r="F1961" s="307" t="s">
        <v>7</v>
      </c>
      <c r="G1961" s="307" t="s">
        <v>11</v>
      </c>
      <c r="H1961" s="307" t="s">
        <v>11</v>
      </c>
    </row>
    <row r="1962" spans="1:8" x14ac:dyDescent="0.2">
      <c r="A1962" t="s">
        <v>38</v>
      </c>
      <c r="B1962" t="s">
        <v>99</v>
      </c>
      <c r="C1962" t="s">
        <v>1921</v>
      </c>
      <c r="D1962">
        <v>3</v>
      </c>
      <c r="E1962" s="307">
        <v>3</v>
      </c>
      <c r="F1962" s="307" t="s">
        <v>7</v>
      </c>
      <c r="G1962" s="307" t="s">
        <v>11</v>
      </c>
      <c r="H1962" s="307" t="s">
        <v>11</v>
      </c>
    </row>
    <row r="1963" spans="1:8" x14ac:dyDescent="0.2">
      <c r="A1963" t="s">
        <v>38</v>
      </c>
      <c r="B1963" t="s">
        <v>99</v>
      </c>
      <c r="C1963" t="s">
        <v>1922</v>
      </c>
      <c r="D1963">
        <v>3</v>
      </c>
      <c r="E1963" s="307">
        <v>3</v>
      </c>
      <c r="F1963" s="307" t="s">
        <v>7</v>
      </c>
      <c r="G1963" s="307" t="s">
        <v>115</v>
      </c>
      <c r="H1963" s="307" t="s">
        <v>11</v>
      </c>
    </row>
    <row r="1964" spans="1:8" x14ac:dyDescent="0.2">
      <c r="A1964" t="s">
        <v>38</v>
      </c>
      <c r="B1964" t="s">
        <v>99</v>
      </c>
      <c r="C1964" t="s">
        <v>1923</v>
      </c>
      <c r="D1964">
        <v>3</v>
      </c>
      <c r="E1964" s="307">
        <v>3</v>
      </c>
      <c r="F1964" s="307" t="s">
        <v>7</v>
      </c>
      <c r="G1964" s="307" t="s">
        <v>11</v>
      </c>
      <c r="H1964" s="307" t="s">
        <v>11</v>
      </c>
    </row>
    <row r="1965" spans="1:8" x14ac:dyDescent="0.2">
      <c r="A1965" t="s">
        <v>38</v>
      </c>
      <c r="B1965" t="s">
        <v>99</v>
      </c>
      <c r="C1965" t="s">
        <v>1924</v>
      </c>
      <c r="D1965">
        <v>3</v>
      </c>
      <c r="E1965" s="307">
        <v>4</v>
      </c>
      <c r="F1965" s="307" t="s">
        <v>7</v>
      </c>
      <c r="G1965" s="307" t="s">
        <v>11</v>
      </c>
      <c r="H1965" s="307" t="s">
        <v>11</v>
      </c>
    </row>
    <row r="1966" spans="1:8" x14ac:dyDescent="0.2">
      <c r="A1966" t="s">
        <v>38</v>
      </c>
      <c r="B1966" t="s">
        <v>99</v>
      </c>
      <c r="C1966" t="s">
        <v>1925</v>
      </c>
      <c r="D1966">
        <v>3</v>
      </c>
      <c r="E1966" s="307">
        <v>3</v>
      </c>
      <c r="F1966" s="307" t="s">
        <v>7</v>
      </c>
      <c r="G1966" s="307" t="s">
        <v>11</v>
      </c>
      <c r="H1966" s="307" t="s">
        <v>11</v>
      </c>
    </row>
    <row r="1967" spans="1:8" x14ac:dyDescent="0.2">
      <c r="A1967" t="s">
        <v>38</v>
      </c>
      <c r="B1967" t="s">
        <v>99</v>
      </c>
      <c r="C1967" t="s">
        <v>838</v>
      </c>
      <c r="D1967">
        <v>2</v>
      </c>
      <c r="E1967" s="307">
        <v>4</v>
      </c>
      <c r="F1967" s="307" t="s">
        <v>7</v>
      </c>
      <c r="G1967" s="307" t="s">
        <v>11</v>
      </c>
      <c r="H1967" s="307" t="s">
        <v>11</v>
      </c>
    </row>
    <row r="1968" spans="1:8" x14ac:dyDescent="0.2">
      <c r="A1968" t="s">
        <v>38</v>
      </c>
      <c r="B1968" t="s">
        <v>99</v>
      </c>
      <c r="C1968" t="s">
        <v>741</v>
      </c>
      <c r="D1968">
        <v>3</v>
      </c>
      <c r="E1968" s="307">
        <v>3</v>
      </c>
      <c r="F1968" s="307" t="s">
        <v>7</v>
      </c>
      <c r="G1968" s="307" t="s">
        <v>11</v>
      </c>
      <c r="H1968" s="307" t="s">
        <v>11</v>
      </c>
    </row>
    <row r="1969" spans="1:8" x14ac:dyDescent="0.2">
      <c r="A1969" t="s">
        <v>38</v>
      </c>
      <c r="B1969" t="s">
        <v>99</v>
      </c>
      <c r="C1969" t="s">
        <v>1106</v>
      </c>
      <c r="D1969">
        <v>3</v>
      </c>
      <c r="E1969" s="307">
        <v>3</v>
      </c>
      <c r="F1969" s="307" t="s">
        <v>7</v>
      </c>
      <c r="G1969" s="307" t="s">
        <v>11</v>
      </c>
      <c r="H1969" s="307" t="s">
        <v>11</v>
      </c>
    </row>
    <row r="1970" spans="1:8" x14ac:dyDescent="0.2">
      <c r="A1970" t="s">
        <v>38</v>
      </c>
      <c r="B1970" t="s">
        <v>99</v>
      </c>
      <c r="C1970" t="s">
        <v>1926</v>
      </c>
      <c r="D1970">
        <v>3</v>
      </c>
      <c r="E1970" s="307">
        <v>3</v>
      </c>
      <c r="F1970" s="307" t="s">
        <v>7</v>
      </c>
      <c r="G1970" s="307" t="s">
        <v>11</v>
      </c>
      <c r="H1970" s="307" t="s">
        <v>11</v>
      </c>
    </row>
    <row r="1971" spans="1:8" x14ac:dyDescent="0.2">
      <c r="A1971" t="s">
        <v>38</v>
      </c>
      <c r="B1971" t="s">
        <v>99</v>
      </c>
      <c r="C1971" t="s">
        <v>1809</v>
      </c>
      <c r="D1971">
        <v>1</v>
      </c>
      <c r="E1971" s="307">
        <v>4</v>
      </c>
      <c r="F1971" s="307" t="s">
        <v>7</v>
      </c>
      <c r="G1971" s="307" t="s">
        <v>11</v>
      </c>
      <c r="H1971" s="307" t="s">
        <v>11</v>
      </c>
    </row>
    <row r="1972" spans="1:8" x14ac:dyDescent="0.2">
      <c r="A1972" t="s">
        <v>38</v>
      </c>
      <c r="B1972" t="s">
        <v>99</v>
      </c>
      <c r="C1972" t="s">
        <v>1430</v>
      </c>
      <c r="D1972">
        <v>3</v>
      </c>
      <c r="E1972" s="307">
        <v>3</v>
      </c>
      <c r="F1972" s="307" t="s">
        <v>7</v>
      </c>
      <c r="G1972" s="307" t="s">
        <v>11</v>
      </c>
      <c r="H1972" s="307" t="s">
        <v>11</v>
      </c>
    </row>
    <row r="1973" spans="1:8" x14ac:dyDescent="0.2">
      <c r="A1973" t="s">
        <v>38</v>
      </c>
      <c r="B1973" t="s">
        <v>99</v>
      </c>
      <c r="C1973" t="s">
        <v>1927</v>
      </c>
      <c r="D1973">
        <v>2</v>
      </c>
      <c r="E1973" s="307">
        <v>4</v>
      </c>
      <c r="F1973" s="307" t="s">
        <v>7</v>
      </c>
      <c r="G1973" s="307" t="s">
        <v>11</v>
      </c>
      <c r="H1973" s="307" t="s">
        <v>11</v>
      </c>
    </row>
    <row r="1974" spans="1:8" x14ac:dyDescent="0.2">
      <c r="A1974" t="s">
        <v>38</v>
      </c>
      <c r="B1974" t="s">
        <v>99</v>
      </c>
      <c r="C1974" t="s">
        <v>1928</v>
      </c>
      <c r="D1974">
        <v>3</v>
      </c>
      <c r="E1974" s="307">
        <v>3</v>
      </c>
      <c r="F1974" s="307" t="s">
        <v>7</v>
      </c>
      <c r="G1974" s="307" t="s">
        <v>11</v>
      </c>
      <c r="H1974" s="307" t="s">
        <v>11</v>
      </c>
    </row>
    <row r="1975" spans="1:8" x14ac:dyDescent="0.2">
      <c r="A1975" t="s">
        <v>38</v>
      </c>
      <c r="B1975" t="s">
        <v>99</v>
      </c>
      <c r="C1975" t="s">
        <v>1712</v>
      </c>
      <c r="D1975">
        <v>3</v>
      </c>
      <c r="E1975" s="307">
        <v>3</v>
      </c>
      <c r="F1975" s="307" t="s">
        <v>7</v>
      </c>
      <c r="G1975" s="307" t="s">
        <v>11</v>
      </c>
      <c r="H1975" s="307" t="s">
        <v>11</v>
      </c>
    </row>
    <row r="1976" spans="1:8" x14ac:dyDescent="0.2">
      <c r="A1976" t="s">
        <v>38</v>
      </c>
      <c r="B1976" t="s">
        <v>99</v>
      </c>
      <c r="C1976" t="s">
        <v>1929</v>
      </c>
      <c r="D1976">
        <v>3</v>
      </c>
      <c r="E1976" s="307">
        <v>3</v>
      </c>
      <c r="F1976" s="307" t="s">
        <v>7</v>
      </c>
      <c r="G1976" s="307" t="s">
        <v>11</v>
      </c>
      <c r="H1976" s="307" t="s">
        <v>11</v>
      </c>
    </row>
    <row r="1977" spans="1:8" x14ac:dyDescent="0.2">
      <c r="A1977" t="s">
        <v>38</v>
      </c>
      <c r="B1977" t="s">
        <v>99</v>
      </c>
      <c r="C1977" t="s">
        <v>1930</v>
      </c>
      <c r="D1977">
        <v>2</v>
      </c>
      <c r="E1977" s="307">
        <v>4</v>
      </c>
      <c r="F1977" s="307" t="s">
        <v>7</v>
      </c>
      <c r="G1977" s="307" t="s">
        <v>11</v>
      </c>
      <c r="H1977" s="307" t="s">
        <v>11</v>
      </c>
    </row>
    <row r="1978" spans="1:8" x14ac:dyDescent="0.2">
      <c r="A1978" t="s">
        <v>38</v>
      </c>
      <c r="B1978" t="s">
        <v>99</v>
      </c>
      <c r="C1978" t="s">
        <v>1931</v>
      </c>
      <c r="D1978">
        <v>2</v>
      </c>
      <c r="E1978" s="307">
        <v>4</v>
      </c>
      <c r="F1978" s="307" t="s">
        <v>7</v>
      </c>
      <c r="G1978" s="307" t="s">
        <v>11</v>
      </c>
      <c r="H1978" s="307" t="s">
        <v>11</v>
      </c>
    </row>
    <row r="1979" spans="1:8" x14ac:dyDescent="0.2">
      <c r="A1979" t="s">
        <v>38</v>
      </c>
      <c r="B1979" t="s">
        <v>99</v>
      </c>
      <c r="C1979" t="s">
        <v>1932</v>
      </c>
      <c r="D1979">
        <v>2</v>
      </c>
      <c r="E1979" s="307">
        <v>4</v>
      </c>
      <c r="F1979" s="307" t="s">
        <v>7</v>
      </c>
      <c r="G1979" s="307" t="s">
        <v>11</v>
      </c>
      <c r="H1979" s="307" t="s">
        <v>11</v>
      </c>
    </row>
    <row r="1980" spans="1:8" x14ac:dyDescent="0.2">
      <c r="A1980" t="s">
        <v>38</v>
      </c>
      <c r="B1980" t="s">
        <v>99</v>
      </c>
      <c r="C1980" t="s">
        <v>1933</v>
      </c>
      <c r="D1980">
        <v>1</v>
      </c>
      <c r="E1980" s="307">
        <v>4</v>
      </c>
      <c r="F1980" s="307" t="s">
        <v>7</v>
      </c>
      <c r="G1980" s="307" t="s">
        <v>11</v>
      </c>
      <c r="H1980" s="307" t="s">
        <v>11</v>
      </c>
    </row>
    <row r="1981" spans="1:8" x14ac:dyDescent="0.2">
      <c r="A1981" t="s">
        <v>38</v>
      </c>
      <c r="B1981" t="s">
        <v>99</v>
      </c>
      <c r="C1981" t="s">
        <v>1934</v>
      </c>
      <c r="D1981">
        <v>3</v>
      </c>
      <c r="E1981" s="307">
        <v>3</v>
      </c>
      <c r="F1981" s="307" t="s">
        <v>7</v>
      </c>
      <c r="G1981" s="307" t="s">
        <v>11</v>
      </c>
      <c r="H1981" s="307" t="s">
        <v>11</v>
      </c>
    </row>
    <row r="1982" spans="1:8" x14ac:dyDescent="0.2">
      <c r="A1982" t="s">
        <v>38</v>
      </c>
      <c r="B1982" t="s">
        <v>99</v>
      </c>
      <c r="C1982" t="s">
        <v>850</v>
      </c>
      <c r="D1982">
        <v>3</v>
      </c>
      <c r="E1982" s="307">
        <v>3</v>
      </c>
      <c r="F1982" s="307" t="s">
        <v>7</v>
      </c>
      <c r="G1982" s="307" t="s">
        <v>11</v>
      </c>
      <c r="H1982" s="307" t="s">
        <v>11</v>
      </c>
    </row>
    <row r="1983" spans="1:8" x14ac:dyDescent="0.2">
      <c r="A1983" t="s">
        <v>38</v>
      </c>
      <c r="B1983" t="s">
        <v>99</v>
      </c>
      <c r="C1983" t="s">
        <v>1935</v>
      </c>
      <c r="D1983">
        <v>2</v>
      </c>
      <c r="E1983" s="307">
        <v>4</v>
      </c>
      <c r="F1983" s="307" t="s">
        <v>7</v>
      </c>
      <c r="G1983" s="307" t="s">
        <v>11</v>
      </c>
      <c r="H1983" s="307" t="s">
        <v>11</v>
      </c>
    </row>
    <row r="1984" spans="1:8" x14ac:dyDescent="0.2">
      <c r="A1984" t="s">
        <v>38</v>
      </c>
      <c r="B1984" t="s">
        <v>99</v>
      </c>
      <c r="C1984" t="s">
        <v>1936</v>
      </c>
      <c r="D1984">
        <v>2</v>
      </c>
      <c r="E1984" s="307">
        <v>4</v>
      </c>
      <c r="F1984" s="307" t="s">
        <v>7</v>
      </c>
      <c r="G1984" s="307" t="s">
        <v>11</v>
      </c>
      <c r="H1984" s="307" t="s">
        <v>11</v>
      </c>
    </row>
    <row r="1985" spans="1:8" x14ac:dyDescent="0.2">
      <c r="A1985" t="s">
        <v>38</v>
      </c>
      <c r="B1985" t="s">
        <v>99</v>
      </c>
      <c r="C1985" t="s">
        <v>1128</v>
      </c>
      <c r="D1985">
        <v>2</v>
      </c>
      <c r="E1985" s="307">
        <v>4</v>
      </c>
      <c r="F1985" s="307" t="s">
        <v>7</v>
      </c>
      <c r="G1985" s="307" t="s">
        <v>11</v>
      </c>
      <c r="H1985" s="307" t="s">
        <v>11</v>
      </c>
    </row>
    <row r="1986" spans="1:8" x14ac:dyDescent="0.2">
      <c r="A1986" t="s">
        <v>38</v>
      </c>
      <c r="B1986" t="s">
        <v>99</v>
      </c>
      <c r="C1986" t="s">
        <v>750</v>
      </c>
      <c r="D1986">
        <v>3</v>
      </c>
      <c r="E1986" s="307">
        <v>3</v>
      </c>
      <c r="F1986" s="307" t="s">
        <v>7</v>
      </c>
      <c r="G1986" s="307" t="s">
        <v>11</v>
      </c>
      <c r="H1986" s="307" t="s">
        <v>11</v>
      </c>
    </row>
    <row r="1987" spans="1:8" x14ac:dyDescent="0.2">
      <c r="A1987" t="s">
        <v>38</v>
      </c>
      <c r="B1987" t="s">
        <v>99</v>
      </c>
      <c r="C1987" t="s">
        <v>1937</v>
      </c>
      <c r="D1987">
        <v>1</v>
      </c>
      <c r="E1987" s="307">
        <v>5</v>
      </c>
      <c r="F1987" s="307" t="s">
        <v>7</v>
      </c>
      <c r="G1987" s="307" t="s">
        <v>11</v>
      </c>
      <c r="H1987" s="307" t="s">
        <v>11</v>
      </c>
    </row>
    <row r="1988" spans="1:8" x14ac:dyDescent="0.2">
      <c r="A1988" t="s">
        <v>38</v>
      </c>
      <c r="B1988" t="s">
        <v>99</v>
      </c>
      <c r="C1988" t="s">
        <v>1129</v>
      </c>
      <c r="D1988">
        <v>3</v>
      </c>
      <c r="E1988" s="307">
        <v>3</v>
      </c>
      <c r="F1988" s="307" t="s">
        <v>7</v>
      </c>
      <c r="G1988" s="307" t="s">
        <v>11</v>
      </c>
      <c r="H1988" s="307" t="s">
        <v>11</v>
      </c>
    </row>
    <row r="1989" spans="1:8" x14ac:dyDescent="0.2">
      <c r="A1989" t="s">
        <v>38</v>
      </c>
      <c r="B1989" t="s">
        <v>99</v>
      </c>
      <c r="C1989" t="s">
        <v>1133</v>
      </c>
      <c r="D1989">
        <v>2</v>
      </c>
      <c r="E1989" s="307">
        <v>4</v>
      </c>
      <c r="F1989" s="307" t="s">
        <v>7</v>
      </c>
      <c r="G1989" s="307" t="s">
        <v>11</v>
      </c>
      <c r="H1989" s="307" t="s">
        <v>11</v>
      </c>
    </row>
    <row r="1990" spans="1:8" x14ac:dyDescent="0.2">
      <c r="A1990" t="s">
        <v>38</v>
      </c>
      <c r="B1990" t="s">
        <v>99</v>
      </c>
      <c r="C1990" t="s">
        <v>1378</v>
      </c>
      <c r="D1990">
        <v>3</v>
      </c>
      <c r="E1990" s="307">
        <v>3</v>
      </c>
      <c r="F1990" s="307" t="s">
        <v>7</v>
      </c>
      <c r="G1990" s="307" t="s">
        <v>11</v>
      </c>
      <c r="H1990" s="307" t="s">
        <v>11</v>
      </c>
    </row>
    <row r="1991" spans="1:8" x14ac:dyDescent="0.2">
      <c r="A1991" t="s">
        <v>38</v>
      </c>
      <c r="B1991" t="s">
        <v>99</v>
      </c>
      <c r="C1991" t="s">
        <v>1938</v>
      </c>
      <c r="D1991">
        <v>2</v>
      </c>
      <c r="E1991" s="307">
        <v>4</v>
      </c>
      <c r="F1991" s="307" t="s">
        <v>7</v>
      </c>
      <c r="G1991" s="307" t="s">
        <v>11</v>
      </c>
      <c r="H1991" s="307" t="s">
        <v>11</v>
      </c>
    </row>
    <row r="1992" spans="1:8" x14ac:dyDescent="0.2">
      <c r="A1992" t="s">
        <v>38</v>
      </c>
      <c r="B1992" t="s">
        <v>99</v>
      </c>
      <c r="C1992" t="s">
        <v>1939</v>
      </c>
      <c r="D1992">
        <v>2</v>
      </c>
      <c r="E1992" s="307">
        <v>5</v>
      </c>
      <c r="F1992" s="307" t="s">
        <v>7</v>
      </c>
      <c r="G1992" s="307" t="s">
        <v>11</v>
      </c>
      <c r="H1992" s="307" t="s">
        <v>11</v>
      </c>
    </row>
    <row r="1993" spans="1:8" x14ac:dyDescent="0.2">
      <c r="A1993" t="s">
        <v>39</v>
      </c>
      <c r="B1993" t="s">
        <v>71</v>
      </c>
      <c r="C1993" t="s">
        <v>911</v>
      </c>
      <c r="D1993">
        <v>1</v>
      </c>
      <c r="E1993" s="307">
        <v>6</v>
      </c>
      <c r="F1993" s="307" t="s">
        <v>7</v>
      </c>
      <c r="G1993" s="307" t="s">
        <v>11</v>
      </c>
      <c r="H1993" s="307" t="s">
        <v>11</v>
      </c>
    </row>
    <row r="1994" spans="1:8" x14ac:dyDescent="0.2">
      <c r="A1994" t="s">
        <v>39</v>
      </c>
      <c r="B1994" t="s">
        <v>71</v>
      </c>
      <c r="C1994" t="s">
        <v>1940</v>
      </c>
      <c r="D1994">
        <v>1</v>
      </c>
      <c r="E1994" s="307">
        <v>7</v>
      </c>
      <c r="F1994" s="307" t="s">
        <v>11</v>
      </c>
      <c r="G1994" s="307" t="s">
        <v>11</v>
      </c>
      <c r="H1994" s="307" t="s">
        <v>11</v>
      </c>
    </row>
    <row r="1995" spans="1:8" x14ac:dyDescent="0.2">
      <c r="A1995" t="s">
        <v>39</v>
      </c>
      <c r="B1995" t="s">
        <v>71</v>
      </c>
      <c r="C1995" t="s">
        <v>1941</v>
      </c>
      <c r="D1995">
        <v>1</v>
      </c>
      <c r="E1995" s="307">
        <v>7</v>
      </c>
      <c r="F1995" s="307" t="s">
        <v>11</v>
      </c>
      <c r="G1995" s="307" t="s">
        <v>11</v>
      </c>
      <c r="H1995" s="307" t="s">
        <v>11</v>
      </c>
    </row>
    <row r="1996" spans="1:8" x14ac:dyDescent="0.2">
      <c r="A1996" t="s">
        <v>39</v>
      </c>
      <c r="B1996" t="s">
        <v>71</v>
      </c>
      <c r="C1996" t="s">
        <v>1942</v>
      </c>
      <c r="D1996">
        <v>1</v>
      </c>
      <c r="E1996" s="307">
        <v>6</v>
      </c>
      <c r="F1996" s="307" t="s">
        <v>7</v>
      </c>
      <c r="G1996" s="307" t="s">
        <v>11</v>
      </c>
      <c r="H1996" s="307" t="s">
        <v>11</v>
      </c>
    </row>
    <row r="1997" spans="1:8" x14ac:dyDescent="0.2">
      <c r="A1997" t="s">
        <v>39</v>
      </c>
      <c r="B1997" t="s">
        <v>71</v>
      </c>
      <c r="C1997" t="s">
        <v>1943</v>
      </c>
      <c r="D1997">
        <v>1</v>
      </c>
      <c r="E1997" s="307">
        <v>7</v>
      </c>
      <c r="F1997" s="307" t="s">
        <v>11</v>
      </c>
      <c r="G1997" s="307" t="s">
        <v>11</v>
      </c>
      <c r="H1997" s="307" t="s">
        <v>11</v>
      </c>
    </row>
    <row r="1998" spans="1:8" x14ac:dyDescent="0.2">
      <c r="A1998" t="s">
        <v>39</v>
      </c>
      <c r="B1998" t="s">
        <v>71</v>
      </c>
      <c r="C1998" t="s">
        <v>1944</v>
      </c>
      <c r="D1998">
        <v>1</v>
      </c>
      <c r="E1998" s="307">
        <v>6</v>
      </c>
      <c r="F1998" s="307" t="s">
        <v>7</v>
      </c>
      <c r="G1998" s="307" t="s">
        <v>11</v>
      </c>
      <c r="H1998" s="307" t="s">
        <v>11</v>
      </c>
    </row>
    <row r="1999" spans="1:8" x14ac:dyDescent="0.2">
      <c r="A1999" t="s">
        <v>39</v>
      </c>
      <c r="B1999" t="s">
        <v>71</v>
      </c>
      <c r="C1999" t="s">
        <v>1040</v>
      </c>
      <c r="D1999">
        <v>1</v>
      </c>
      <c r="E1999" s="307">
        <v>7</v>
      </c>
      <c r="F1999" s="307" t="s">
        <v>11</v>
      </c>
      <c r="G1999" s="307" t="s">
        <v>11</v>
      </c>
      <c r="H1999" s="307" t="s">
        <v>11</v>
      </c>
    </row>
    <row r="2000" spans="1:8" x14ac:dyDescent="0.2">
      <c r="A2000" t="s">
        <v>39</v>
      </c>
      <c r="B2000" t="s">
        <v>71</v>
      </c>
      <c r="C2000" t="s">
        <v>1945</v>
      </c>
      <c r="D2000">
        <v>1</v>
      </c>
      <c r="E2000" s="307">
        <v>6</v>
      </c>
      <c r="F2000" s="307" t="s">
        <v>7</v>
      </c>
      <c r="G2000" s="307" t="s">
        <v>11</v>
      </c>
      <c r="H2000" s="307" t="s">
        <v>11</v>
      </c>
    </row>
    <row r="2001" spans="1:8" x14ac:dyDescent="0.2">
      <c r="A2001" t="s">
        <v>39</v>
      </c>
      <c r="B2001" t="s">
        <v>71</v>
      </c>
      <c r="C2001" t="s">
        <v>1178</v>
      </c>
      <c r="D2001">
        <v>1</v>
      </c>
      <c r="E2001" s="307">
        <v>7</v>
      </c>
      <c r="F2001" s="307" t="s">
        <v>11</v>
      </c>
      <c r="G2001" s="307" t="s">
        <v>11</v>
      </c>
      <c r="H2001" s="307" t="s">
        <v>11</v>
      </c>
    </row>
    <row r="2002" spans="1:8" x14ac:dyDescent="0.2">
      <c r="A2002" t="s">
        <v>39</v>
      </c>
      <c r="B2002" t="s">
        <v>71</v>
      </c>
      <c r="C2002" t="s">
        <v>1946</v>
      </c>
      <c r="D2002">
        <v>1</v>
      </c>
      <c r="E2002" s="307">
        <v>7</v>
      </c>
      <c r="F2002" s="307" t="s">
        <v>11</v>
      </c>
      <c r="G2002" s="307" t="s">
        <v>11</v>
      </c>
      <c r="H2002" s="307" t="s">
        <v>11</v>
      </c>
    </row>
    <row r="2003" spans="1:8" x14ac:dyDescent="0.2">
      <c r="A2003" t="s">
        <v>39</v>
      </c>
      <c r="B2003" t="s">
        <v>71</v>
      </c>
      <c r="C2003" t="s">
        <v>1947</v>
      </c>
      <c r="D2003">
        <v>1</v>
      </c>
      <c r="E2003" s="307">
        <v>6</v>
      </c>
      <c r="F2003" s="307" t="s">
        <v>7</v>
      </c>
      <c r="G2003" s="307" t="s">
        <v>11</v>
      </c>
      <c r="H2003" s="307" t="s">
        <v>11</v>
      </c>
    </row>
    <row r="2004" spans="1:8" x14ac:dyDescent="0.2">
      <c r="A2004" t="s">
        <v>39</v>
      </c>
      <c r="B2004" t="s">
        <v>71</v>
      </c>
      <c r="C2004" t="s">
        <v>1948</v>
      </c>
      <c r="D2004">
        <v>1</v>
      </c>
      <c r="E2004" s="307">
        <v>7</v>
      </c>
      <c r="F2004" s="307" t="s">
        <v>11</v>
      </c>
      <c r="G2004" s="307" t="s">
        <v>11</v>
      </c>
      <c r="H2004" s="307" t="s">
        <v>11</v>
      </c>
    </row>
    <row r="2005" spans="1:8" x14ac:dyDescent="0.2">
      <c r="A2005" t="s">
        <v>39</v>
      </c>
      <c r="B2005" t="s">
        <v>71</v>
      </c>
      <c r="C2005" t="s">
        <v>1949</v>
      </c>
      <c r="D2005">
        <v>1</v>
      </c>
      <c r="E2005" s="307">
        <v>6</v>
      </c>
      <c r="F2005" s="307" t="s">
        <v>7</v>
      </c>
      <c r="G2005" s="307" t="s">
        <v>11</v>
      </c>
      <c r="H2005" s="307" t="s">
        <v>11</v>
      </c>
    </row>
    <row r="2006" spans="1:8" x14ac:dyDescent="0.2">
      <c r="A2006" t="s">
        <v>39</v>
      </c>
      <c r="B2006" t="s">
        <v>71</v>
      </c>
      <c r="C2006" t="s">
        <v>1829</v>
      </c>
      <c r="D2006">
        <v>1</v>
      </c>
      <c r="E2006" s="307">
        <v>7</v>
      </c>
      <c r="F2006" s="307" t="s">
        <v>11</v>
      </c>
      <c r="G2006" s="307" t="s">
        <v>11</v>
      </c>
      <c r="H2006" s="307" t="s">
        <v>11</v>
      </c>
    </row>
    <row r="2007" spans="1:8" x14ac:dyDescent="0.2">
      <c r="A2007" t="s">
        <v>39</v>
      </c>
      <c r="B2007" t="s">
        <v>71</v>
      </c>
      <c r="C2007" t="s">
        <v>1950</v>
      </c>
      <c r="D2007">
        <v>1</v>
      </c>
      <c r="E2007" s="307">
        <v>6</v>
      </c>
      <c r="F2007" s="307" t="s">
        <v>7</v>
      </c>
      <c r="G2007" s="307" t="s">
        <v>11</v>
      </c>
      <c r="H2007" s="307" t="s">
        <v>11</v>
      </c>
    </row>
    <row r="2008" spans="1:8" x14ac:dyDescent="0.2">
      <c r="A2008" t="s">
        <v>39</v>
      </c>
      <c r="B2008" t="s">
        <v>71</v>
      </c>
      <c r="C2008" t="s">
        <v>1951</v>
      </c>
      <c r="D2008">
        <v>1</v>
      </c>
      <c r="E2008" s="307">
        <v>7</v>
      </c>
      <c r="F2008" s="307" t="s">
        <v>11</v>
      </c>
      <c r="G2008" s="307" t="s">
        <v>11</v>
      </c>
      <c r="H2008" s="307" t="s">
        <v>11</v>
      </c>
    </row>
    <row r="2009" spans="1:8" x14ac:dyDescent="0.2">
      <c r="A2009" t="s">
        <v>39</v>
      </c>
      <c r="B2009" t="s">
        <v>71</v>
      </c>
      <c r="C2009" t="s">
        <v>1729</v>
      </c>
      <c r="D2009">
        <v>1</v>
      </c>
      <c r="E2009" s="307">
        <v>6</v>
      </c>
      <c r="F2009" s="307" t="s">
        <v>7</v>
      </c>
      <c r="G2009" s="307" t="s">
        <v>11</v>
      </c>
      <c r="H2009" s="307" t="s">
        <v>11</v>
      </c>
    </row>
    <row r="2010" spans="1:8" x14ac:dyDescent="0.2">
      <c r="A2010" t="s">
        <v>39</v>
      </c>
      <c r="B2010" t="s">
        <v>71</v>
      </c>
      <c r="C2010" t="s">
        <v>1952</v>
      </c>
      <c r="D2010">
        <v>1</v>
      </c>
      <c r="E2010" s="307">
        <v>7</v>
      </c>
      <c r="F2010" s="307" t="s">
        <v>11</v>
      </c>
      <c r="G2010" s="307" t="s">
        <v>11</v>
      </c>
      <c r="H2010" s="307" t="s">
        <v>11</v>
      </c>
    </row>
    <row r="2011" spans="1:8" x14ac:dyDescent="0.2">
      <c r="A2011" t="s">
        <v>39</v>
      </c>
      <c r="B2011" t="s">
        <v>71</v>
      </c>
      <c r="C2011" t="s">
        <v>819</v>
      </c>
      <c r="D2011">
        <v>1</v>
      </c>
      <c r="E2011" s="307">
        <v>6</v>
      </c>
      <c r="F2011" s="307" t="s">
        <v>7</v>
      </c>
      <c r="G2011" s="307" t="s">
        <v>11</v>
      </c>
      <c r="H2011" s="307" t="s">
        <v>11</v>
      </c>
    </row>
    <row r="2012" spans="1:8" x14ac:dyDescent="0.2">
      <c r="A2012" t="s">
        <v>39</v>
      </c>
      <c r="B2012" t="s">
        <v>71</v>
      </c>
      <c r="C2012" t="s">
        <v>1953</v>
      </c>
      <c r="D2012">
        <v>1</v>
      </c>
      <c r="E2012" s="307">
        <v>7</v>
      </c>
      <c r="F2012" s="307" t="s">
        <v>11</v>
      </c>
      <c r="G2012" s="307" t="s">
        <v>11</v>
      </c>
      <c r="H2012" s="307" t="s">
        <v>11</v>
      </c>
    </row>
    <row r="2013" spans="1:8" x14ac:dyDescent="0.2">
      <c r="A2013" t="s">
        <v>39</v>
      </c>
      <c r="B2013" t="s">
        <v>71</v>
      </c>
      <c r="C2013" t="s">
        <v>1954</v>
      </c>
      <c r="D2013">
        <v>1</v>
      </c>
      <c r="E2013" s="307">
        <v>6</v>
      </c>
      <c r="F2013" s="307" t="s">
        <v>7</v>
      </c>
      <c r="G2013" s="307" t="s">
        <v>11</v>
      </c>
      <c r="H2013" s="307" t="s">
        <v>11</v>
      </c>
    </row>
    <row r="2014" spans="1:8" x14ac:dyDescent="0.2">
      <c r="A2014" t="s">
        <v>39</v>
      </c>
      <c r="B2014" t="s">
        <v>71</v>
      </c>
      <c r="C2014" t="s">
        <v>1955</v>
      </c>
      <c r="D2014">
        <v>1</v>
      </c>
      <c r="E2014" s="307">
        <v>7</v>
      </c>
      <c r="F2014" s="307" t="s">
        <v>11</v>
      </c>
      <c r="G2014" s="307" t="s">
        <v>11</v>
      </c>
      <c r="H2014" s="307" t="s">
        <v>11</v>
      </c>
    </row>
    <row r="2015" spans="1:8" x14ac:dyDescent="0.2">
      <c r="A2015" t="s">
        <v>39</v>
      </c>
      <c r="B2015" t="s">
        <v>71</v>
      </c>
      <c r="C2015" t="s">
        <v>1956</v>
      </c>
      <c r="D2015">
        <v>1</v>
      </c>
      <c r="E2015" s="307">
        <v>6</v>
      </c>
      <c r="F2015" s="307" t="s">
        <v>7</v>
      </c>
      <c r="G2015" s="307" t="s">
        <v>11</v>
      </c>
      <c r="H2015" s="307" t="s">
        <v>11</v>
      </c>
    </row>
    <row r="2016" spans="1:8" x14ac:dyDescent="0.2">
      <c r="A2016" t="s">
        <v>39</v>
      </c>
      <c r="B2016" t="s">
        <v>71</v>
      </c>
      <c r="C2016" t="s">
        <v>829</v>
      </c>
      <c r="D2016">
        <v>1</v>
      </c>
      <c r="E2016" s="307">
        <v>6</v>
      </c>
      <c r="F2016" s="307" t="s">
        <v>7</v>
      </c>
      <c r="G2016" s="307" t="s">
        <v>11</v>
      </c>
      <c r="H2016" s="307" t="s">
        <v>11</v>
      </c>
    </row>
    <row r="2017" spans="1:8" x14ac:dyDescent="0.2">
      <c r="A2017" t="s">
        <v>39</v>
      </c>
      <c r="B2017" t="s">
        <v>71</v>
      </c>
      <c r="C2017" t="s">
        <v>1206</v>
      </c>
      <c r="D2017">
        <v>1</v>
      </c>
      <c r="E2017" s="307">
        <v>7</v>
      </c>
      <c r="F2017" s="307" t="s">
        <v>11</v>
      </c>
      <c r="G2017" s="307" t="s">
        <v>11</v>
      </c>
      <c r="H2017" s="307" t="s">
        <v>11</v>
      </c>
    </row>
    <row r="2018" spans="1:8" x14ac:dyDescent="0.2">
      <c r="A2018" t="s">
        <v>39</v>
      </c>
      <c r="B2018" t="s">
        <v>71</v>
      </c>
      <c r="C2018" t="s">
        <v>1094</v>
      </c>
      <c r="D2018">
        <v>1</v>
      </c>
      <c r="E2018" s="307">
        <v>6</v>
      </c>
      <c r="F2018" s="307" t="s">
        <v>7</v>
      </c>
      <c r="G2018" s="307" t="s">
        <v>11</v>
      </c>
      <c r="H2018" s="307" t="s">
        <v>11</v>
      </c>
    </row>
    <row r="2019" spans="1:8" x14ac:dyDescent="0.2">
      <c r="A2019" t="s">
        <v>39</v>
      </c>
      <c r="B2019" t="s">
        <v>71</v>
      </c>
      <c r="C2019" t="s">
        <v>1957</v>
      </c>
      <c r="D2019">
        <v>1</v>
      </c>
      <c r="E2019" s="307">
        <v>6</v>
      </c>
      <c r="F2019" s="307" t="s">
        <v>7</v>
      </c>
      <c r="G2019" s="307" t="s">
        <v>11</v>
      </c>
      <c r="H2019" s="307" t="s">
        <v>11</v>
      </c>
    </row>
    <row r="2020" spans="1:8" x14ac:dyDescent="0.2">
      <c r="A2020" t="s">
        <v>39</v>
      </c>
      <c r="B2020" t="s">
        <v>71</v>
      </c>
      <c r="C2020" t="s">
        <v>1207</v>
      </c>
      <c r="D2020">
        <v>1</v>
      </c>
      <c r="E2020" s="307">
        <v>7</v>
      </c>
      <c r="F2020" s="307" t="s">
        <v>11</v>
      </c>
      <c r="G2020" s="307" t="s">
        <v>11</v>
      </c>
      <c r="H2020" s="307" t="s">
        <v>11</v>
      </c>
    </row>
    <row r="2021" spans="1:8" x14ac:dyDescent="0.2">
      <c r="A2021" t="s">
        <v>39</v>
      </c>
      <c r="B2021" t="s">
        <v>71</v>
      </c>
      <c r="C2021" t="s">
        <v>1209</v>
      </c>
      <c r="D2021">
        <v>1</v>
      </c>
      <c r="E2021" s="307">
        <v>6</v>
      </c>
      <c r="F2021" s="307" t="s">
        <v>7</v>
      </c>
      <c r="G2021" s="307" t="s">
        <v>11</v>
      </c>
      <c r="H2021" s="307" t="s">
        <v>11</v>
      </c>
    </row>
    <row r="2022" spans="1:8" x14ac:dyDescent="0.2">
      <c r="A2022" t="s">
        <v>39</v>
      </c>
      <c r="B2022" t="s">
        <v>71</v>
      </c>
      <c r="C2022" t="s">
        <v>1348</v>
      </c>
      <c r="D2022">
        <v>1</v>
      </c>
      <c r="E2022" s="307">
        <v>6</v>
      </c>
      <c r="F2022" s="307" t="s">
        <v>7</v>
      </c>
      <c r="G2022" s="307" t="s">
        <v>11</v>
      </c>
      <c r="H2022" s="307" t="s">
        <v>11</v>
      </c>
    </row>
    <row r="2023" spans="1:8" x14ac:dyDescent="0.2">
      <c r="A2023" t="s">
        <v>39</v>
      </c>
      <c r="B2023" t="s">
        <v>71</v>
      </c>
      <c r="C2023" t="s">
        <v>1958</v>
      </c>
      <c r="D2023">
        <v>1</v>
      </c>
      <c r="E2023" s="307">
        <v>7</v>
      </c>
      <c r="F2023" s="307" t="s">
        <v>11</v>
      </c>
      <c r="G2023" s="307" t="s">
        <v>11</v>
      </c>
      <c r="H2023" s="307" t="s">
        <v>11</v>
      </c>
    </row>
    <row r="2024" spans="1:8" x14ac:dyDescent="0.2">
      <c r="A2024" t="s">
        <v>39</v>
      </c>
      <c r="B2024" t="s">
        <v>71</v>
      </c>
      <c r="C2024" t="s">
        <v>1422</v>
      </c>
      <c r="D2024">
        <v>1</v>
      </c>
      <c r="E2024" s="307">
        <v>7</v>
      </c>
      <c r="F2024" s="307" t="s">
        <v>11</v>
      </c>
      <c r="G2024" s="307" t="s">
        <v>11</v>
      </c>
      <c r="H2024" s="307" t="s">
        <v>11</v>
      </c>
    </row>
    <row r="2025" spans="1:8" x14ac:dyDescent="0.2">
      <c r="A2025" t="s">
        <v>39</v>
      </c>
      <c r="B2025" t="s">
        <v>71</v>
      </c>
      <c r="C2025" t="s">
        <v>1959</v>
      </c>
      <c r="D2025">
        <v>1</v>
      </c>
      <c r="E2025" s="307">
        <v>6</v>
      </c>
      <c r="F2025" s="307" t="s">
        <v>7</v>
      </c>
      <c r="G2025" s="307" t="s">
        <v>11</v>
      </c>
      <c r="H2025" s="307" t="s">
        <v>11</v>
      </c>
    </row>
    <row r="2026" spans="1:8" x14ac:dyDescent="0.2">
      <c r="A2026" t="s">
        <v>39</v>
      </c>
      <c r="B2026" t="s">
        <v>71</v>
      </c>
      <c r="C2026" t="s">
        <v>1960</v>
      </c>
      <c r="D2026">
        <v>1</v>
      </c>
      <c r="E2026" s="307">
        <v>7</v>
      </c>
      <c r="F2026" s="307" t="s">
        <v>11</v>
      </c>
      <c r="G2026" s="307" t="s">
        <v>11</v>
      </c>
      <c r="H2026" s="307" t="s">
        <v>11</v>
      </c>
    </row>
    <row r="2027" spans="1:8" x14ac:dyDescent="0.2">
      <c r="A2027" t="s">
        <v>39</v>
      </c>
      <c r="B2027" t="s">
        <v>71</v>
      </c>
      <c r="C2027" t="s">
        <v>1103</v>
      </c>
      <c r="D2027">
        <v>1</v>
      </c>
      <c r="E2027" s="307">
        <v>7</v>
      </c>
      <c r="F2027" s="307" t="s">
        <v>11</v>
      </c>
      <c r="G2027" s="307" t="s">
        <v>11</v>
      </c>
      <c r="H2027" s="307" t="s">
        <v>11</v>
      </c>
    </row>
    <row r="2028" spans="1:8" x14ac:dyDescent="0.2">
      <c r="A2028" t="s">
        <v>39</v>
      </c>
      <c r="B2028" t="s">
        <v>71</v>
      </c>
      <c r="C2028" t="s">
        <v>1623</v>
      </c>
      <c r="D2028">
        <v>1</v>
      </c>
      <c r="E2028" s="307">
        <v>7</v>
      </c>
      <c r="F2028" s="307" t="s">
        <v>11</v>
      </c>
      <c r="G2028" s="307" t="s">
        <v>11</v>
      </c>
      <c r="H2028" s="307" t="s">
        <v>11</v>
      </c>
    </row>
    <row r="2029" spans="1:8" x14ac:dyDescent="0.2">
      <c r="A2029" t="s">
        <v>39</v>
      </c>
      <c r="B2029" t="s">
        <v>71</v>
      </c>
      <c r="C2029" t="s">
        <v>1961</v>
      </c>
      <c r="D2029">
        <v>1</v>
      </c>
      <c r="E2029" s="307">
        <v>6</v>
      </c>
      <c r="F2029" s="307" t="s">
        <v>7</v>
      </c>
      <c r="G2029" s="307" t="s">
        <v>11</v>
      </c>
      <c r="H2029" s="307" t="s">
        <v>11</v>
      </c>
    </row>
    <row r="2030" spans="1:8" x14ac:dyDescent="0.2">
      <c r="A2030" t="s">
        <v>39</v>
      </c>
      <c r="B2030" t="s">
        <v>71</v>
      </c>
      <c r="C2030" t="s">
        <v>1626</v>
      </c>
      <c r="D2030">
        <v>1</v>
      </c>
      <c r="E2030" s="307">
        <v>7</v>
      </c>
      <c r="F2030" s="307" t="s">
        <v>11</v>
      </c>
      <c r="G2030" s="307" t="s">
        <v>11</v>
      </c>
      <c r="H2030" s="307" t="s">
        <v>11</v>
      </c>
    </row>
    <row r="2031" spans="1:8" x14ac:dyDescent="0.2">
      <c r="A2031" t="s">
        <v>39</v>
      </c>
      <c r="B2031" t="s">
        <v>71</v>
      </c>
      <c r="C2031" t="s">
        <v>1214</v>
      </c>
      <c r="D2031">
        <v>1</v>
      </c>
      <c r="E2031" s="307">
        <v>6</v>
      </c>
      <c r="F2031" s="307" t="s">
        <v>7</v>
      </c>
      <c r="G2031" s="307" t="s">
        <v>11</v>
      </c>
      <c r="H2031" s="307" t="s">
        <v>11</v>
      </c>
    </row>
    <row r="2032" spans="1:8" x14ac:dyDescent="0.2">
      <c r="A2032" t="s">
        <v>39</v>
      </c>
      <c r="B2032" t="s">
        <v>71</v>
      </c>
      <c r="C2032" t="s">
        <v>1962</v>
      </c>
      <c r="D2032">
        <v>1</v>
      </c>
      <c r="E2032" s="307">
        <v>7</v>
      </c>
      <c r="F2032" s="307" t="s">
        <v>11</v>
      </c>
      <c r="G2032" s="307" t="s">
        <v>11</v>
      </c>
      <c r="H2032" s="307" t="s">
        <v>11</v>
      </c>
    </row>
    <row r="2033" spans="1:8" x14ac:dyDescent="0.2">
      <c r="A2033" t="s">
        <v>39</v>
      </c>
      <c r="B2033" t="s">
        <v>71</v>
      </c>
      <c r="C2033" t="s">
        <v>1963</v>
      </c>
      <c r="D2033">
        <v>1</v>
      </c>
      <c r="E2033" s="307">
        <v>6</v>
      </c>
      <c r="F2033" s="307" t="s">
        <v>7</v>
      </c>
      <c r="G2033" s="307" t="s">
        <v>11</v>
      </c>
      <c r="H2033" s="307" t="s">
        <v>11</v>
      </c>
    </row>
    <row r="2034" spans="1:8" x14ac:dyDescent="0.2">
      <c r="A2034" t="s">
        <v>39</v>
      </c>
      <c r="B2034" t="s">
        <v>71</v>
      </c>
      <c r="C2034" t="s">
        <v>1367</v>
      </c>
      <c r="D2034">
        <v>1</v>
      </c>
      <c r="E2034" s="307">
        <v>7</v>
      </c>
      <c r="F2034" s="307" t="s">
        <v>11</v>
      </c>
      <c r="G2034" s="307" t="s">
        <v>11</v>
      </c>
      <c r="H2034" s="307" t="s">
        <v>11</v>
      </c>
    </row>
    <row r="2035" spans="1:8" x14ac:dyDescent="0.2">
      <c r="A2035" t="s">
        <v>39</v>
      </c>
      <c r="B2035" t="s">
        <v>71</v>
      </c>
      <c r="C2035" t="s">
        <v>1307</v>
      </c>
      <c r="D2035">
        <v>1</v>
      </c>
      <c r="E2035" s="307">
        <v>6</v>
      </c>
      <c r="F2035" s="307" t="s">
        <v>7</v>
      </c>
      <c r="G2035" s="307" t="s">
        <v>11</v>
      </c>
      <c r="H2035" s="307" t="s">
        <v>11</v>
      </c>
    </row>
    <row r="2036" spans="1:8" x14ac:dyDescent="0.2">
      <c r="A2036" t="s">
        <v>39</v>
      </c>
      <c r="B2036" t="s">
        <v>71</v>
      </c>
      <c r="C2036" t="s">
        <v>1964</v>
      </c>
      <c r="D2036">
        <v>1</v>
      </c>
      <c r="E2036" s="307">
        <v>6</v>
      </c>
      <c r="F2036" s="307" t="s">
        <v>7</v>
      </c>
      <c r="G2036" s="307" t="s">
        <v>11</v>
      </c>
      <c r="H2036" s="307" t="s">
        <v>11</v>
      </c>
    </row>
    <row r="2037" spans="1:8" x14ac:dyDescent="0.2">
      <c r="A2037" t="s">
        <v>39</v>
      </c>
      <c r="B2037" t="s">
        <v>71</v>
      </c>
      <c r="C2037" t="s">
        <v>1218</v>
      </c>
      <c r="D2037">
        <v>1</v>
      </c>
      <c r="E2037" s="307">
        <v>6</v>
      </c>
      <c r="F2037" s="307" t="s">
        <v>7</v>
      </c>
      <c r="G2037" s="307" t="s">
        <v>11</v>
      </c>
      <c r="H2037" s="307" t="s">
        <v>11</v>
      </c>
    </row>
    <row r="2038" spans="1:8" x14ac:dyDescent="0.2">
      <c r="A2038" t="s">
        <v>39</v>
      </c>
      <c r="B2038" t="s">
        <v>71</v>
      </c>
      <c r="C2038" t="s">
        <v>1633</v>
      </c>
      <c r="D2038">
        <v>1</v>
      </c>
      <c r="E2038" s="307">
        <v>7</v>
      </c>
      <c r="F2038" s="307" t="s">
        <v>11</v>
      </c>
      <c r="G2038" s="307" t="s">
        <v>11</v>
      </c>
      <c r="H2038" s="307" t="s">
        <v>11</v>
      </c>
    </row>
    <row r="2039" spans="1:8" x14ac:dyDescent="0.2">
      <c r="A2039" t="s">
        <v>39</v>
      </c>
      <c r="B2039" t="s">
        <v>71</v>
      </c>
      <c r="C2039" t="s">
        <v>1965</v>
      </c>
      <c r="D2039">
        <v>1</v>
      </c>
      <c r="E2039" s="307">
        <v>7</v>
      </c>
      <c r="F2039" s="307" t="s">
        <v>11</v>
      </c>
      <c r="G2039" s="307" t="s">
        <v>11</v>
      </c>
      <c r="H2039" s="307" t="s">
        <v>11</v>
      </c>
    </row>
    <row r="2040" spans="1:8" x14ac:dyDescent="0.2">
      <c r="A2040" t="s">
        <v>39</v>
      </c>
      <c r="B2040" t="s">
        <v>71</v>
      </c>
      <c r="C2040" t="s">
        <v>1966</v>
      </c>
      <c r="D2040">
        <v>1</v>
      </c>
      <c r="E2040" s="307">
        <v>7</v>
      </c>
      <c r="F2040" s="307" t="s">
        <v>11</v>
      </c>
      <c r="G2040" s="307" t="s">
        <v>11</v>
      </c>
      <c r="H2040" s="307" t="s">
        <v>11</v>
      </c>
    </row>
    <row r="2041" spans="1:8" x14ac:dyDescent="0.2">
      <c r="A2041" t="s">
        <v>39</v>
      </c>
      <c r="B2041" t="s">
        <v>71</v>
      </c>
      <c r="C2041" t="s">
        <v>1967</v>
      </c>
      <c r="D2041">
        <v>1</v>
      </c>
      <c r="E2041" s="307">
        <v>7</v>
      </c>
      <c r="F2041" s="307" t="s">
        <v>11</v>
      </c>
      <c r="G2041" s="307" t="s">
        <v>11</v>
      </c>
      <c r="H2041" s="307" t="s">
        <v>11</v>
      </c>
    </row>
    <row r="2042" spans="1:8" x14ac:dyDescent="0.2">
      <c r="A2042" t="s">
        <v>39</v>
      </c>
      <c r="B2042" t="s">
        <v>71</v>
      </c>
      <c r="C2042" t="s">
        <v>1968</v>
      </c>
      <c r="D2042">
        <v>1</v>
      </c>
      <c r="E2042" s="307">
        <v>7</v>
      </c>
      <c r="F2042" s="307" t="s">
        <v>11</v>
      </c>
      <c r="G2042" s="307" t="s">
        <v>11</v>
      </c>
      <c r="H2042" s="307" t="s">
        <v>11</v>
      </c>
    </row>
    <row r="2043" spans="1:8" x14ac:dyDescent="0.2">
      <c r="A2043" t="s">
        <v>39</v>
      </c>
      <c r="B2043" t="s">
        <v>71</v>
      </c>
      <c r="C2043" t="s">
        <v>1969</v>
      </c>
      <c r="D2043">
        <v>1</v>
      </c>
      <c r="E2043" s="307">
        <v>7</v>
      </c>
      <c r="F2043" s="307" t="s">
        <v>11</v>
      </c>
      <c r="G2043" s="307" t="s">
        <v>11</v>
      </c>
      <c r="H2043" s="307" t="s">
        <v>11</v>
      </c>
    </row>
    <row r="2044" spans="1:8" x14ac:dyDescent="0.2">
      <c r="A2044" t="s">
        <v>39</v>
      </c>
      <c r="B2044" t="s">
        <v>71</v>
      </c>
      <c r="C2044" t="s">
        <v>1267</v>
      </c>
      <c r="D2044">
        <v>1</v>
      </c>
      <c r="E2044" s="307">
        <v>7</v>
      </c>
      <c r="F2044" s="307" t="s">
        <v>11</v>
      </c>
      <c r="G2044" s="307" t="s">
        <v>11</v>
      </c>
      <c r="H2044" s="307" t="s">
        <v>11</v>
      </c>
    </row>
    <row r="2045" spans="1:8" x14ac:dyDescent="0.2">
      <c r="A2045" t="s">
        <v>39</v>
      </c>
      <c r="B2045" t="s">
        <v>71</v>
      </c>
      <c r="C2045" t="s">
        <v>1970</v>
      </c>
      <c r="D2045">
        <v>1</v>
      </c>
      <c r="E2045" s="307">
        <v>7</v>
      </c>
      <c r="F2045" s="307" t="s">
        <v>11</v>
      </c>
      <c r="G2045" s="307" t="s">
        <v>11</v>
      </c>
      <c r="H2045" s="307" t="s">
        <v>11</v>
      </c>
    </row>
    <row r="2046" spans="1:8" x14ac:dyDescent="0.2">
      <c r="A2046" t="s">
        <v>68</v>
      </c>
      <c r="C2046" t="s">
        <v>1971</v>
      </c>
      <c r="D2046" t="s">
        <v>11</v>
      </c>
      <c r="E2046" s="307">
        <v>1</v>
      </c>
      <c r="F2046" s="307" t="s">
        <v>7</v>
      </c>
      <c r="G2046" s="307" t="s">
        <v>115</v>
      </c>
      <c r="H2046" s="307" t="s">
        <v>2885</v>
      </c>
    </row>
    <row r="2047" spans="1:8" x14ac:dyDescent="0.2">
      <c r="A2047" t="s">
        <v>47</v>
      </c>
      <c r="B2047" t="s">
        <v>100</v>
      </c>
      <c r="C2047" t="s">
        <v>911</v>
      </c>
      <c r="D2047">
        <v>1</v>
      </c>
      <c r="E2047" s="307">
        <v>4</v>
      </c>
      <c r="F2047" s="307" t="s">
        <v>7</v>
      </c>
      <c r="G2047" s="307" t="s">
        <v>11</v>
      </c>
      <c r="H2047" s="307" t="s">
        <v>11</v>
      </c>
    </row>
    <row r="2048" spans="1:8" x14ac:dyDescent="0.2">
      <c r="A2048" t="s">
        <v>47</v>
      </c>
      <c r="B2048" t="s">
        <v>100</v>
      </c>
      <c r="C2048" t="s">
        <v>1228</v>
      </c>
      <c r="D2048">
        <v>1</v>
      </c>
      <c r="E2048" s="307">
        <v>5</v>
      </c>
      <c r="F2048" s="307" t="s">
        <v>7</v>
      </c>
      <c r="G2048" s="307" t="s">
        <v>11</v>
      </c>
      <c r="H2048" s="307" t="s">
        <v>11</v>
      </c>
    </row>
    <row r="2049" spans="1:8" x14ac:dyDescent="0.2">
      <c r="A2049" t="s">
        <v>47</v>
      </c>
      <c r="B2049" t="s">
        <v>100</v>
      </c>
      <c r="C2049" t="s">
        <v>1972</v>
      </c>
      <c r="D2049">
        <v>1</v>
      </c>
      <c r="E2049" s="307">
        <v>5</v>
      </c>
      <c r="F2049" s="307" t="s">
        <v>7</v>
      </c>
      <c r="G2049" s="307" t="s">
        <v>11</v>
      </c>
      <c r="H2049" s="307" t="s">
        <v>11</v>
      </c>
    </row>
    <row r="2050" spans="1:8" x14ac:dyDescent="0.2">
      <c r="A2050" t="s">
        <v>47</v>
      </c>
      <c r="B2050" t="s">
        <v>100</v>
      </c>
      <c r="C2050" t="s">
        <v>1973</v>
      </c>
      <c r="D2050">
        <v>2</v>
      </c>
      <c r="E2050" s="307">
        <v>5</v>
      </c>
      <c r="F2050" s="307" t="s">
        <v>7</v>
      </c>
      <c r="G2050" s="307" t="s">
        <v>11</v>
      </c>
      <c r="H2050" s="307" t="s">
        <v>11</v>
      </c>
    </row>
    <row r="2051" spans="1:8" x14ac:dyDescent="0.2">
      <c r="A2051" t="s">
        <v>47</v>
      </c>
      <c r="B2051" t="s">
        <v>100</v>
      </c>
      <c r="C2051" t="s">
        <v>1974</v>
      </c>
      <c r="D2051">
        <v>2</v>
      </c>
      <c r="E2051" s="307">
        <v>5</v>
      </c>
      <c r="F2051" s="307" t="s">
        <v>7</v>
      </c>
      <c r="G2051" s="307" t="s">
        <v>11</v>
      </c>
      <c r="H2051" s="307" t="s">
        <v>11</v>
      </c>
    </row>
    <row r="2052" spans="1:8" x14ac:dyDescent="0.2">
      <c r="A2052" t="s">
        <v>47</v>
      </c>
      <c r="B2052" t="s">
        <v>100</v>
      </c>
      <c r="C2052" t="s">
        <v>1975</v>
      </c>
      <c r="D2052">
        <v>1</v>
      </c>
      <c r="E2052" s="307">
        <v>5</v>
      </c>
      <c r="F2052" s="307" t="s">
        <v>7</v>
      </c>
      <c r="G2052" s="307" t="s">
        <v>11</v>
      </c>
      <c r="H2052" s="307" t="s">
        <v>11</v>
      </c>
    </row>
    <row r="2053" spans="1:8" x14ac:dyDescent="0.2">
      <c r="A2053" t="s">
        <v>47</v>
      </c>
      <c r="B2053" t="s">
        <v>100</v>
      </c>
      <c r="C2053" t="s">
        <v>1976</v>
      </c>
      <c r="D2053">
        <v>1</v>
      </c>
      <c r="E2053" s="307">
        <v>5</v>
      </c>
      <c r="F2053" s="307" t="s">
        <v>7</v>
      </c>
      <c r="G2053" s="307" t="s">
        <v>11</v>
      </c>
      <c r="H2053" s="307" t="s">
        <v>11</v>
      </c>
    </row>
    <row r="2054" spans="1:8" x14ac:dyDescent="0.2">
      <c r="A2054" t="s">
        <v>47</v>
      </c>
      <c r="B2054" t="s">
        <v>100</v>
      </c>
      <c r="C2054" t="s">
        <v>1176</v>
      </c>
      <c r="D2054">
        <v>2</v>
      </c>
      <c r="E2054" s="307">
        <v>4</v>
      </c>
      <c r="F2054" s="307" t="s">
        <v>7</v>
      </c>
      <c r="G2054" s="307" t="s">
        <v>11</v>
      </c>
      <c r="H2054" s="307" t="s">
        <v>11</v>
      </c>
    </row>
    <row r="2055" spans="1:8" x14ac:dyDescent="0.2">
      <c r="A2055" t="s">
        <v>47</v>
      </c>
      <c r="B2055" t="s">
        <v>100</v>
      </c>
      <c r="C2055" t="s">
        <v>692</v>
      </c>
      <c r="D2055">
        <v>1</v>
      </c>
      <c r="E2055" s="307">
        <v>5</v>
      </c>
      <c r="F2055" s="307" t="s">
        <v>7</v>
      </c>
      <c r="G2055" s="307" t="s">
        <v>11</v>
      </c>
      <c r="H2055" s="307" t="s">
        <v>11</v>
      </c>
    </row>
    <row r="2056" spans="1:8" x14ac:dyDescent="0.2">
      <c r="A2056" t="s">
        <v>47</v>
      </c>
      <c r="B2056" t="s">
        <v>100</v>
      </c>
      <c r="C2056" t="s">
        <v>804</v>
      </c>
      <c r="D2056">
        <v>1</v>
      </c>
      <c r="E2056" s="307">
        <v>5</v>
      </c>
      <c r="F2056" s="307" t="s">
        <v>7</v>
      </c>
      <c r="G2056" s="307" t="s">
        <v>11</v>
      </c>
      <c r="H2056" s="307" t="s">
        <v>11</v>
      </c>
    </row>
    <row r="2057" spans="1:8" x14ac:dyDescent="0.2">
      <c r="A2057" t="s">
        <v>47</v>
      </c>
      <c r="B2057" t="s">
        <v>100</v>
      </c>
      <c r="C2057" t="s">
        <v>1179</v>
      </c>
      <c r="D2057">
        <v>1</v>
      </c>
      <c r="E2057" s="307">
        <v>5</v>
      </c>
      <c r="F2057" s="307" t="s">
        <v>7</v>
      </c>
      <c r="G2057" s="307" t="s">
        <v>11</v>
      </c>
      <c r="H2057" s="307" t="s">
        <v>11</v>
      </c>
    </row>
    <row r="2058" spans="1:8" x14ac:dyDescent="0.2">
      <c r="A2058" t="s">
        <v>47</v>
      </c>
      <c r="B2058" t="s">
        <v>100</v>
      </c>
      <c r="C2058" t="s">
        <v>806</v>
      </c>
      <c r="D2058">
        <v>1</v>
      </c>
      <c r="E2058" s="307">
        <v>5</v>
      </c>
      <c r="F2058" s="307" t="s">
        <v>7</v>
      </c>
      <c r="G2058" s="307" t="s">
        <v>11</v>
      </c>
      <c r="H2058" s="307" t="s">
        <v>11</v>
      </c>
    </row>
    <row r="2059" spans="1:8" x14ac:dyDescent="0.2">
      <c r="A2059" t="s">
        <v>47</v>
      </c>
      <c r="B2059" t="s">
        <v>100</v>
      </c>
      <c r="C2059" t="s">
        <v>1977</v>
      </c>
      <c r="D2059">
        <v>2</v>
      </c>
      <c r="E2059" s="307">
        <v>4</v>
      </c>
      <c r="F2059" s="307" t="s">
        <v>7</v>
      </c>
      <c r="G2059" s="307" t="s">
        <v>11</v>
      </c>
      <c r="H2059" s="307" t="s">
        <v>11</v>
      </c>
    </row>
    <row r="2060" spans="1:8" x14ac:dyDescent="0.2">
      <c r="A2060" t="s">
        <v>47</v>
      </c>
      <c r="B2060" t="s">
        <v>100</v>
      </c>
      <c r="C2060" t="s">
        <v>1181</v>
      </c>
      <c r="D2060">
        <v>1</v>
      </c>
      <c r="E2060" s="307">
        <v>5</v>
      </c>
      <c r="F2060" s="307" t="s">
        <v>7</v>
      </c>
      <c r="G2060" s="307" t="s">
        <v>11</v>
      </c>
      <c r="H2060" s="307" t="s">
        <v>11</v>
      </c>
    </row>
    <row r="2061" spans="1:8" x14ac:dyDescent="0.2">
      <c r="A2061" t="s">
        <v>47</v>
      </c>
      <c r="B2061" t="s">
        <v>100</v>
      </c>
      <c r="C2061" t="s">
        <v>1978</v>
      </c>
      <c r="D2061">
        <v>1</v>
      </c>
      <c r="E2061" s="307">
        <v>5</v>
      </c>
      <c r="F2061" s="307" t="s">
        <v>7</v>
      </c>
      <c r="G2061" s="307" t="s">
        <v>11</v>
      </c>
      <c r="H2061" s="307" t="s">
        <v>11</v>
      </c>
    </row>
    <row r="2062" spans="1:8" x14ac:dyDescent="0.2">
      <c r="A2062" t="s">
        <v>47</v>
      </c>
      <c r="B2062" t="s">
        <v>100</v>
      </c>
      <c r="C2062" t="s">
        <v>1979</v>
      </c>
      <c r="D2062">
        <v>1</v>
      </c>
      <c r="E2062" s="307">
        <v>5</v>
      </c>
      <c r="F2062" s="307" t="s">
        <v>7</v>
      </c>
      <c r="G2062" s="307" t="s">
        <v>11</v>
      </c>
      <c r="H2062" s="307" t="s">
        <v>11</v>
      </c>
    </row>
    <row r="2063" spans="1:8" x14ac:dyDescent="0.2">
      <c r="A2063" t="s">
        <v>47</v>
      </c>
      <c r="B2063" t="s">
        <v>100</v>
      </c>
      <c r="C2063" t="s">
        <v>811</v>
      </c>
      <c r="D2063">
        <v>1</v>
      </c>
      <c r="E2063" s="307">
        <v>5</v>
      </c>
      <c r="F2063" s="307" t="s">
        <v>7</v>
      </c>
      <c r="G2063" s="307" t="s">
        <v>11</v>
      </c>
      <c r="H2063" s="307" t="s">
        <v>11</v>
      </c>
    </row>
    <row r="2064" spans="1:8" x14ac:dyDescent="0.2">
      <c r="A2064" t="s">
        <v>47</v>
      </c>
      <c r="B2064" t="s">
        <v>100</v>
      </c>
      <c r="C2064" t="s">
        <v>1980</v>
      </c>
      <c r="D2064">
        <v>2</v>
      </c>
      <c r="E2064" s="307">
        <v>5</v>
      </c>
      <c r="F2064" s="307" t="s">
        <v>7</v>
      </c>
      <c r="G2064" s="307" t="s">
        <v>11</v>
      </c>
      <c r="H2064" s="307" t="s">
        <v>11</v>
      </c>
    </row>
    <row r="2065" spans="1:8" x14ac:dyDescent="0.2">
      <c r="A2065" t="s">
        <v>47</v>
      </c>
      <c r="B2065" t="s">
        <v>100</v>
      </c>
      <c r="C2065" t="s">
        <v>1981</v>
      </c>
      <c r="D2065">
        <v>1</v>
      </c>
      <c r="E2065" s="307">
        <v>5</v>
      </c>
      <c r="F2065" s="307" t="s">
        <v>7</v>
      </c>
      <c r="G2065" s="307" t="s">
        <v>11</v>
      </c>
      <c r="H2065" s="307" t="s">
        <v>11</v>
      </c>
    </row>
    <row r="2066" spans="1:8" x14ac:dyDescent="0.2">
      <c r="A2066" t="s">
        <v>47</v>
      </c>
      <c r="B2066" t="s">
        <v>100</v>
      </c>
      <c r="C2066" t="s">
        <v>1982</v>
      </c>
      <c r="D2066">
        <v>2</v>
      </c>
      <c r="E2066" s="307">
        <v>5</v>
      </c>
      <c r="F2066" s="307" t="s">
        <v>7</v>
      </c>
      <c r="G2066" s="307" t="s">
        <v>11</v>
      </c>
      <c r="H2066" s="307" t="s">
        <v>11</v>
      </c>
    </row>
    <row r="2067" spans="1:8" x14ac:dyDescent="0.2">
      <c r="A2067" t="s">
        <v>47</v>
      </c>
      <c r="B2067" t="s">
        <v>100</v>
      </c>
      <c r="C2067" t="s">
        <v>1233</v>
      </c>
      <c r="D2067">
        <v>1</v>
      </c>
      <c r="E2067" s="307">
        <v>5</v>
      </c>
      <c r="F2067" s="307" t="s">
        <v>7</v>
      </c>
      <c r="G2067" s="307" t="s">
        <v>11</v>
      </c>
      <c r="H2067" s="307" t="s">
        <v>11</v>
      </c>
    </row>
    <row r="2068" spans="1:8" x14ac:dyDescent="0.2">
      <c r="A2068" t="s">
        <v>47</v>
      </c>
      <c r="B2068" t="s">
        <v>100</v>
      </c>
      <c r="C2068" t="s">
        <v>1855</v>
      </c>
      <c r="D2068">
        <v>2</v>
      </c>
      <c r="E2068" s="307">
        <v>5</v>
      </c>
      <c r="F2068" s="307" t="s">
        <v>7</v>
      </c>
      <c r="G2068" s="307" t="s">
        <v>11</v>
      </c>
      <c r="H2068" s="307" t="s">
        <v>11</v>
      </c>
    </row>
    <row r="2069" spans="1:8" x14ac:dyDescent="0.2">
      <c r="A2069" t="s">
        <v>47</v>
      </c>
      <c r="B2069" t="s">
        <v>100</v>
      </c>
      <c r="C2069" t="s">
        <v>966</v>
      </c>
      <c r="D2069">
        <v>1</v>
      </c>
      <c r="E2069" s="307">
        <v>5</v>
      </c>
      <c r="F2069" s="307" t="s">
        <v>7</v>
      </c>
      <c r="G2069" s="307" t="s">
        <v>11</v>
      </c>
      <c r="H2069" s="307" t="s">
        <v>11</v>
      </c>
    </row>
    <row r="2070" spans="1:8" x14ac:dyDescent="0.2">
      <c r="A2070" t="s">
        <v>47</v>
      </c>
      <c r="B2070" t="s">
        <v>100</v>
      </c>
      <c r="C2070" t="s">
        <v>714</v>
      </c>
      <c r="D2070">
        <v>1</v>
      </c>
      <c r="E2070" s="307">
        <v>5</v>
      </c>
      <c r="F2070" s="307" t="s">
        <v>7</v>
      </c>
      <c r="G2070" s="307" t="s">
        <v>11</v>
      </c>
      <c r="H2070" s="307" t="s">
        <v>11</v>
      </c>
    </row>
    <row r="2071" spans="1:8" x14ac:dyDescent="0.2">
      <c r="A2071" t="s">
        <v>47</v>
      </c>
      <c r="B2071" t="s">
        <v>100</v>
      </c>
      <c r="C2071" t="s">
        <v>715</v>
      </c>
      <c r="D2071">
        <v>1</v>
      </c>
      <c r="E2071" s="307">
        <v>5</v>
      </c>
      <c r="F2071" s="307" t="s">
        <v>7</v>
      </c>
      <c r="G2071" s="307" t="s">
        <v>11</v>
      </c>
      <c r="H2071" s="307" t="s">
        <v>11</v>
      </c>
    </row>
    <row r="2072" spans="1:8" x14ac:dyDescent="0.2">
      <c r="A2072" t="s">
        <v>47</v>
      </c>
      <c r="B2072" t="s">
        <v>100</v>
      </c>
      <c r="C2072" t="s">
        <v>817</v>
      </c>
      <c r="D2072">
        <v>2</v>
      </c>
      <c r="E2072" s="307">
        <v>5</v>
      </c>
      <c r="F2072" s="307" t="s">
        <v>7</v>
      </c>
      <c r="G2072" s="307" t="s">
        <v>11</v>
      </c>
      <c r="H2072" s="307" t="s">
        <v>11</v>
      </c>
    </row>
    <row r="2073" spans="1:8" x14ac:dyDescent="0.2">
      <c r="A2073" t="s">
        <v>47</v>
      </c>
      <c r="B2073" t="s">
        <v>100</v>
      </c>
      <c r="C2073" t="s">
        <v>1983</v>
      </c>
      <c r="D2073">
        <v>2</v>
      </c>
      <c r="E2073" s="307">
        <v>4</v>
      </c>
      <c r="F2073" s="307" t="s">
        <v>7</v>
      </c>
      <c r="G2073" s="307" t="s">
        <v>11</v>
      </c>
      <c r="H2073" s="307" t="s">
        <v>11</v>
      </c>
    </row>
    <row r="2074" spans="1:8" x14ac:dyDescent="0.2">
      <c r="A2074" t="s">
        <v>47</v>
      </c>
      <c r="B2074" t="s">
        <v>100</v>
      </c>
      <c r="C2074" t="s">
        <v>1984</v>
      </c>
      <c r="D2074">
        <v>2</v>
      </c>
      <c r="E2074" s="307">
        <v>5</v>
      </c>
      <c r="F2074" s="307" t="s">
        <v>7</v>
      </c>
      <c r="G2074" s="307" t="s">
        <v>11</v>
      </c>
      <c r="H2074" s="307" t="s">
        <v>11</v>
      </c>
    </row>
    <row r="2075" spans="1:8" x14ac:dyDescent="0.2">
      <c r="A2075" t="s">
        <v>47</v>
      </c>
      <c r="B2075" t="s">
        <v>100</v>
      </c>
      <c r="C2075" t="s">
        <v>717</v>
      </c>
      <c r="D2075">
        <v>1</v>
      </c>
      <c r="E2075" s="307">
        <v>5</v>
      </c>
      <c r="F2075" s="307" t="s">
        <v>7</v>
      </c>
      <c r="G2075" s="307" t="s">
        <v>11</v>
      </c>
      <c r="H2075" s="307" t="s">
        <v>11</v>
      </c>
    </row>
    <row r="2076" spans="1:8" x14ac:dyDescent="0.2">
      <c r="A2076" t="s">
        <v>47</v>
      </c>
      <c r="B2076" t="s">
        <v>100</v>
      </c>
      <c r="C2076" t="s">
        <v>1985</v>
      </c>
      <c r="D2076">
        <v>1</v>
      </c>
      <c r="E2076" s="307">
        <v>5</v>
      </c>
      <c r="F2076" s="307" t="s">
        <v>7</v>
      </c>
      <c r="G2076" s="307" t="s">
        <v>11</v>
      </c>
      <c r="H2076" s="307" t="s">
        <v>11</v>
      </c>
    </row>
    <row r="2077" spans="1:8" x14ac:dyDescent="0.2">
      <c r="A2077" t="s">
        <v>47</v>
      </c>
      <c r="B2077" t="s">
        <v>100</v>
      </c>
      <c r="C2077" t="s">
        <v>995</v>
      </c>
      <c r="D2077">
        <v>1</v>
      </c>
      <c r="E2077" s="307">
        <v>4</v>
      </c>
      <c r="F2077" s="307" t="s">
        <v>7</v>
      </c>
      <c r="G2077" s="307" t="s">
        <v>11</v>
      </c>
      <c r="H2077" s="307" t="s">
        <v>11</v>
      </c>
    </row>
    <row r="2078" spans="1:8" x14ac:dyDescent="0.2">
      <c r="A2078" t="s">
        <v>47</v>
      </c>
      <c r="B2078" t="s">
        <v>100</v>
      </c>
      <c r="C2078" t="s">
        <v>1079</v>
      </c>
      <c r="D2078">
        <v>1</v>
      </c>
      <c r="E2078" s="307">
        <v>5</v>
      </c>
      <c r="F2078" s="307" t="s">
        <v>7</v>
      </c>
      <c r="G2078" s="307" t="s">
        <v>11</v>
      </c>
      <c r="H2078" s="307" t="s">
        <v>11</v>
      </c>
    </row>
    <row r="2079" spans="1:8" x14ac:dyDescent="0.2">
      <c r="A2079" t="s">
        <v>47</v>
      </c>
      <c r="B2079" t="s">
        <v>100</v>
      </c>
      <c r="C2079" t="s">
        <v>1191</v>
      </c>
      <c r="D2079">
        <v>1</v>
      </c>
      <c r="E2079" s="307">
        <v>5</v>
      </c>
      <c r="F2079" s="307" t="s">
        <v>7</v>
      </c>
      <c r="G2079" s="307" t="s">
        <v>11</v>
      </c>
      <c r="H2079" s="307" t="s">
        <v>11</v>
      </c>
    </row>
    <row r="2080" spans="1:8" x14ac:dyDescent="0.2">
      <c r="A2080" t="s">
        <v>47</v>
      </c>
      <c r="B2080" t="s">
        <v>100</v>
      </c>
      <c r="C2080" t="s">
        <v>1238</v>
      </c>
      <c r="D2080">
        <v>1</v>
      </c>
      <c r="E2080" s="307">
        <v>5</v>
      </c>
      <c r="F2080" s="307" t="s">
        <v>7</v>
      </c>
      <c r="G2080" s="307" t="s">
        <v>11</v>
      </c>
      <c r="H2080" s="307" t="s">
        <v>11</v>
      </c>
    </row>
    <row r="2081" spans="1:8" x14ac:dyDescent="0.2">
      <c r="A2081" t="s">
        <v>47</v>
      </c>
      <c r="B2081" t="s">
        <v>100</v>
      </c>
      <c r="C2081" t="s">
        <v>719</v>
      </c>
      <c r="D2081">
        <v>2</v>
      </c>
      <c r="E2081" s="307">
        <v>5</v>
      </c>
      <c r="F2081" s="307" t="s">
        <v>7</v>
      </c>
      <c r="G2081" s="307" t="s">
        <v>11</v>
      </c>
      <c r="H2081" s="307" t="s">
        <v>11</v>
      </c>
    </row>
    <row r="2082" spans="1:8" x14ac:dyDescent="0.2">
      <c r="A2082" t="s">
        <v>47</v>
      </c>
      <c r="B2082" t="s">
        <v>100</v>
      </c>
      <c r="C2082" t="s">
        <v>1986</v>
      </c>
      <c r="D2082">
        <v>2</v>
      </c>
      <c r="E2082" s="307">
        <v>5</v>
      </c>
      <c r="F2082" s="307" t="s">
        <v>7</v>
      </c>
      <c r="G2082" s="307" t="s">
        <v>11</v>
      </c>
      <c r="H2082" s="307" t="s">
        <v>11</v>
      </c>
    </row>
    <row r="2083" spans="1:8" x14ac:dyDescent="0.2">
      <c r="A2083" t="s">
        <v>47</v>
      </c>
      <c r="B2083" t="s">
        <v>100</v>
      </c>
      <c r="C2083" t="s">
        <v>1987</v>
      </c>
      <c r="D2083">
        <v>2</v>
      </c>
      <c r="E2083" s="307">
        <v>5</v>
      </c>
      <c r="F2083" s="307" t="s">
        <v>7</v>
      </c>
      <c r="G2083" s="307" t="s">
        <v>11</v>
      </c>
      <c r="H2083" s="307" t="s">
        <v>11</v>
      </c>
    </row>
    <row r="2084" spans="1:8" x14ac:dyDescent="0.2">
      <c r="A2084" t="s">
        <v>47</v>
      </c>
      <c r="B2084" t="s">
        <v>100</v>
      </c>
      <c r="C2084" t="s">
        <v>1001</v>
      </c>
      <c r="D2084">
        <v>1</v>
      </c>
      <c r="E2084" s="307">
        <v>5</v>
      </c>
      <c r="F2084" s="307" t="s">
        <v>7</v>
      </c>
      <c r="G2084" s="307" t="s">
        <v>11</v>
      </c>
      <c r="H2084" s="307" t="s">
        <v>11</v>
      </c>
    </row>
    <row r="2085" spans="1:8" x14ac:dyDescent="0.2">
      <c r="A2085" t="s">
        <v>47</v>
      </c>
      <c r="B2085" t="s">
        <v>100</v>
      </c>
      <c r="C2085" t="s">
        <v>1541</v>
      </c>
      <c r="D2085">
        <v>1</v>
      </c>
      <c r="E2085" s="307">
        <v>5</v>
      </c>
      <c r="F2085" s="307" t="s">
        <v>7</v>
      </c>
      <c r="G2085" s="307" t="s">
        <v>11</v>
      </c>
      <c r="H2085" s="307" t="s">
        <v>11</v>
      </c>
    </row>
    <row r="2086" spans="1:8" x14ac:dyDescent="0.2">
      <c r="A2086" t="s">
        <v>47</v>
      </c>
      <c r="B2086" t="s">
        <v>100</v>
      </c>
      <c r="C2086" t="s">
        <v>721</v>
      </c>
      <c r="D2086">
        <v>2</v>
      </c>
      <c r="E2086" s="307">
        <v>5</v>
      </c>
      <c r="F2086" s="307" t="s">
        <v>7</v>
      </c>
      <c r="G2086" s="307" t="s">
        <v>11</v>
      </c>
      <c r="H2086" s="307" t="s">
        <v>11</v>
      </c>
    </row>
    <row r="2087" spans="1:8" x14ac:dyDescent="0.2">
      <c r="A2087" t="s">
        <v>47</v>
      </c>
      <c r="B2087" t="s">
        <v>100</v>
      </c>
      <c r="C2087" t="s">
        <v>722</v>
      </c>
      <c r="D2087">
        <v>1</v>
      </c>
      <c r="E2087" s="307">
        <v>5</v>
      </c>
      <c r="F2087" s="307" t="s">
        <v>7</v>
      </c>
      <c r="G2087" s="307" t="s">
        <v>11</v>
      </c>
      <c r="H2087" s="307" t="s">
        <v>11</v>
      </c>
    </row>
    <row r="2088" spans="1:8" x14ac:dyDescent="0.2">
      <c r="A2088" t="s">
        <v>47</v>
      </c>
      <c r="B2088" t="s">
        <v>100</v>
      </c>
      <c r="C2088" t="s">
        <v>1199</v>
      </c>
      <c r="D2088">
        <v>1</v>
      </c>
      <c r="E2088" s="307">
        <v>5</v>
      </c>
      <c r="F2088" s="307" t="s">
        <v>7</v>
      </c>
      <c r="G2088" s="307" t="s">
        <v>11</v>
      </c>
      <c r="H2088" s="307" t="s">
        <v>11</v>
      </c>
    </row>
    <row r="2089" spans="1:8" x14ac:dyDescent="0.2">
      <c r="A2089" t="s">
        <v>47</v>
      </c>
      <c r="B2089" t="s">
        <v>100</v>
      </c>
      <c r="C2089" t="s">
        <v>871</v>
      </c>
      <c r="D2089">
        <v>2</v>
      </c>
      <c r="E2089" s="307">
        <v>5</v>
      </c>
      <c r="F2089" s="307" t="s">
        <v>7</v>
      </c>
      <c r="G2089" s="307" t="s">
        <v>11</v>
      </c>
      <c r="H2089" s="307" t="s">
        <v>11</v>
      </c>
    </row>
    <row r="2090" spans="1:8" x14ac:dyDescent="0.2">
      <c r="A2090" t="s">
        <v>47</v>
      </c>
      <c r="B2090" t="s">
        <v>100</v>
      </c>
      <c r="C2090" t="s">
        <v>725</v>
      </c>
      <c r="D2090">
        <v>2</v>
      </c>
      <c r="E2090" s="307">
        <v>4</v>
      </c>
      <c r="F2090" s="307" t="s">
        <v>7</v>
      </c>
      <c r="G2090" s="307" t="s">
        <v>11</v>
      </c>
      <c r="H2090" s="307" t="s">
        <v>11</v>
      </c>
    </row>
    <row r="2091" spans="1:8" x14ac:dyDescent="0.2">
      <c r="A2091" t="s">
        <v>47</v>
      </c>
      <c r="B2091" t="s">
        <v>100</v>
      </c>
      <c r="C2091" t="s">
        <v>1988</v>
      </c>
      <c r="D2091">
        <v>1</v>
      </c>
      <c r="E2091" s="307">
        <v>5</v>
      </c>
      <c r="F2091" s="307" t="s">
        <v>7</v>
      </c>
      <c r="G2091" s="307" t="s">
        <v>11</v>
      </c>
      <c r="H2091" s="307" t="s">
        <v>11</v>
      </c>
    </row>
    <row r="2092" spans="1:8" x14ac:dyDescent="0.2">
      <c r="A2092" t="s">
        <v>47</v>
      </c>
      <c r="B2092" t="s">
        <v>100</v>
      </c>
      <c r="C2092" t="s">
        <v>829</v>
      </c>
      <c r="D2092">
        <v>1</v>
      </c>
      <c r="E2092" s="307">
        <v>5</v>
      </c>
      <c r="F2092" s="307" t="s">
        <v>7</v>
      </c>
      <c r="G2092" s="307" t="s">
        <v>11</v>
      </c>
      <c r="H2092" s="307" t="s">
        <v>11</v>
      </c>
    </row>
    <row r="2093" spans="1:8" x14ac:dyDescent="0.2">
      <c r="A2093" t="s">
        <v>47</v>
      </c>
      <c r="B2093" t="s">
        <v>100</v>
      </c>
      <c r="C2093" t="s">
        <v>1989</v>
      </c>
      <c r="D2093">
        <v>2</v>
      </c>
      <c r="E2093" s="307">
        <v>5</v>
      </c>
      <c r="F2093" s="307" t="s">
        <v>7</v>
      </c>
      <c r="G2093" s="307" t="s">
        <v>11</v>
      </c>
      <c r="H2093" s="307" t="s">
        <v>11</v>
      </c>
    </row>
    <row r="2094" spans="1:8" x14ac:dyDescent="0.2">
      <c r="A2094" t="s">
        <v>47</v>
      </c>
      <c r="B2094" t="s">
        <v>100</v>
      </c>
      <c r="C2094" t="s">
        <v>1292</v>
      </c>
      <c r="D2094">
        <v>2</v>
      </c>
      <c r="E2094" s="307">
        <v>5</v>
      </c>
      <c r="F2094" s="307" t="s">
        <v>7</v>
      </c>
      <c r="G2094" s="307" t="s">
        <v>11</v>
      </c>
      <c r="H2094" s="307" t="s">
        <v>11</v>
      </c>
    </row>
    <row r="2095" spans="1:8" x14ac:dyDescent="0.2">
      <c r="A2095" t="s">
        <v>47</v>
      </c>
      <c r="B2095" t="s">
        <v>100</v>
      </c>
      <c r="C2095" t="s">
        <v>730</v>
      </c>
      <c r="D2095">
        <v>1</v>
      </c>
      <c r="E2095" s="307">
        <v>5</v>
      </c>
      <c r="F2095" s="307" t="s">
        <v>7</v>
      </c>
      <c r="G2095" s="307" t="s">
        <v>11</v>
      </c>
      <c r="H2095" s="307" t="s">
        <v>11</v>
      </c>
    </row>
    <row r="2096" spans="1:8" x14ac:dyDescent="0.2">
      <c r="A2096" t="s">
        <v>47</v>
      </c>
      <c r="B2096" t="s">
        <v>100</v>
      </c>
      <c r="C2096" t="s">
        <v>1990</v>
      </c>
      <c r="D2096">
        <v>2</v>
      </c>
      <c r="E2096" s="307">
        <v>5</v>
      </c>
      <c r="F2096" s="307" t="s">
        <v>7</v>
      </c>
      <c r="G2096" s="307" t="s">
        <v>11</v>
      </c>
      <c r="H2096" s="307" t="s">
        <v>11</v>
      </c>
    </row>
    <row r="2097" spans="1:8" x14ac:dyDescent="0.2">
      <c r="A2097" t="s">
        <v>47</v>
      </c>
      <c r="B2097" t="s">
        <v>100</v>
      </c>
      <c r="C2097" t="s">
        <v>732</v>
      </c>
      <c r="D2097">
        <v>1</v>
      </c>
      <c r="E2097" s="307">
        <v>5</v>
      </c>
      <c r="F2097" s="307" t="s">
        <v>7</v>
      </c>
      <c r="G2097" s="307" t="s">
        <v>11</v>
      </c>
      <c r="H2097" s="307" t="s">
        <v>11</v>
      </c>
    </row>
    <row r="2098" spans="1:8" x14ac:dyDescent="0.2">
      <c r="A2098" t="s">
        <v>47</v>
      </c>
      <c r="B2098" t="s">
        <v>100</v>
      </c>
      <c r="C2098" t="s">
        <v>1991</v>
      </c>
      <c r="D2098">
        <v>2</v>
      </c>
      <c r="E2098" s="307">
        <v>5</v>
      </c>
      <c r="F2098" s="307" t="s">
        <v>7</v>
      </c>
      <c r="G2098" s="307" t="s">
        <v>11</v>
      </c>
      <c r="H2098" s="307" t="s">
        <v>11</v>
      </c>
    </row>
    <row r="2099" spans="1:8" x14ac:dyDescent="0.2">
      <c r="A2099" t="s">
        <v>47</v>
      </c>
      <c r="B2099" t="s">
        <v>100</v>
      </c>
      <c r="C2099" t="s">
        <v>1992</v>
      </c>
      <c r="D2099">
        <v>2</v>
      </c>
      <c r="E2099" s="307">
        <v>5</v>
      </c>
      <c r="F2099" s="307" t="s">
        <v>7</v>
      </c>
      <c r="G2099" s="307" t="s">
        <v>11</v>
      </c>
      <c r="H2099" s="307" t="s">
        <v>11</v>
      </c>
    </row>
    <row r="2100" spans="1:8" x14ac:dyDescent="0.2">
      <c r="A2100" t="s">
        <v>47</v>
      </c>
      <c r="B2100" t="s">
        <v>100</v>
      </c>
      <c r="C2100" t="s">
        <v>1209</v>
      </c>
      <c r="D2100">
        <v>1</v>
      </c>
      <c r="E2100" s="307">
        <v>5</v>
      </c>
      <c r="F2100" s="307" t="s">
        <v>7</v>
      </c>
      <c r="G2100" s="307" t="s">
        <v>11</v>
      </c>
      <c r="H2100" s="307" t="s">
        <v>11</v>
      </c>
    </row>
    <row r="2101" spans="1:8" x14ac:dyDescent="0.2">
      <c r="A2101" t="s">
        <v>47</v>
      </c>
      <c r="B2101" t="s">
        <v>100</v>
      </c>
      <c r="C2101" t="s">
        <v>1246</v>
      </c>
      <c r="D2101">
        <v>1</v>
      </c>
      <c r="E2101" s="307">
        <v>5</v>
      </c>
      <c r="F2101" s="307" t="s">
        <v>7</v>
      </c>
      <c r="G2101" s="307" t="s">
        <v>11</v>
      </c>
      <c r="H2101" s="307" t="s">
        <v>11</v>
      </c>
    </row>
    <row r="2102" spans="1:8" x14ac:dyDescent="0.2">
      <c r="A2102" t="s">
        <v>47</v>
      </c>
      <c r="B2102" t="s">
        <v>100</v>
      </c>
      <c r="C2102" t="s">
        <v>735</v>
      </c>
      <c r="D2102">
        <v>2</v>
      </c>
      <c r="E2102" s="307">
        <v>5</v>
      </c>
      <c r="F2102" s="307" t="s">
        <v>7</v>
      </c>
      <c r="G2102" s="307" t="s">
        <v>11</v>
      </c>
      <c r="H2102" s="307" t="s">
        <v>11</v>
      </c>
    </row>
    <row r="2103" spans="1:8" x14ac:dyDescent="0.2">
      <c r="A2103" t="s">
        <v>47</v>
      </c>
      <c r="B2103" t="s">
        <v>100</v>
      </c>
      <c r="C2103" t="s">
        <v>736</v>
      </c>
      <c r="D2103">
        <v>1</v>
      </c>
      <c r="E2103" s="307">
        <v>5</v>
      </c>
      <c r="F2103" s="307" t="s">
        <v>7</v>
      </c>
      <c r="G2103" s="307" t="s">
        <v>11</v>
      </c>
      <c r="H2103" s="307" t="s">
        <v>11</v>
      </c>
    </row>
    <row r="2104" spans="1:8" x14ac:dyDescent="0.2">
      <c r="A2104" t="s">
        <v>47</v>
      </c>
      <c r="B2104" t="s">
        <v>100</v>
      </c>
      <c r="C2104" t="s">
        <v>737</v>
      </c>
      <c r="D2104">
        <v>2</v>
      </c>
      <c r="E2104" s="307">
        <v>5</v>
      </c>
      <c r="F2104" s="307" t="s">
        <v>7</v>
      </c>
      <c r="G2104" s="307" t="s">
        <v>11</v>
      </c>
      <c r="H2104" s="307" t="s">
        <v>11</v>
      </c>
    </row>
    <row r="2105" spans="1:8" x14ac:dyDescent="0.2">
      <c r="A2105" t="s">
        <v>47</v>
      </c>
      <c r="B2105" t="s">
        <v>100</v>
      </c>
      <c r="C2105" t="s">
        <v>1993</v>
      </c>
      <c r="D2105">
        <v>1</v>
      </c>
      <c r="E2105" s="307">
        <v>5</v>
      </c>
      <c r="F2105" s="307" t="s">
        <v>7</v>
      </c>
      <c r="G2105" s="307" t="s">
        <v>11</v>
      </c>
      <c r="H2105" s="307" t="s">
        <v>11</v>
      </c>
    </row>
    <row r="2106" spans="1:8" x14ac:dyDescent="0.2">
      <c r="A2106" t="s">
        <v>47</v>
      </c>
      <c r="B2106" t="s">
        <v>100</v>
      </c>
      <c r="C2106" t="s">
        <v>1994</v>
      </c>
      <c r="D2106">
        <v>1</v>
      </c>
      <c r="E2106" s="307">
        <v>5</v>
      </c>
      <c r="F2106" s="307" t="s">
        <v>7</v>
      </c>
      <c r="G2106" s="307" t="s">
        <v>11</v>
      </c>
      <c r="H2106" s="307" t="s">
        <v>11</v>
      </c>
    </row>
    <row r="2107" spans="1:8" x14ac:dyDescent="0.2">
      <c r="A2107" t="s">
        <v>47</v>
      </c>
      <c r="B2107" t="s">
        <v>100</v>
      </c>
      <c r="C2107" t="s">
        <v>1247</v>
      </c>
      <c r="D2107">
        <v>2</v>
      </c>
      <c r="E2107" s="307">
        <v>5</v>
      </c>
      <c r="F2107" s="307" t="s">
        <v>7</v>
      </c>
      <c r="G2107" s="307" t="s">
        <v>11</v>
      </c>
      <c r="H2107" s="307" t="s">
        <v>11</v>
      </c>
    </row>
    <row r="2108" spans="1:8" x14ac:dyDescent="0.2">
      <c r="A2108" t="s">
        <v>47</v>
      </c>
      <c r="B2108" t="s">
        <v>100</v>
      </c>
      <c r="C2108" t="s">
        <v>1355</v>
      </c>
      <c r="D2108">
        <v>2</v>
      </c>
      <c r="E2108" s="307">
        <v>5</v>
      </c>
      <c r="F2108" s="307" t="s">
        <v>7</v>
      </c>
      <c r="G2108" s="307" t="s">
        <v>11</v>
      </c>
      <c r="H2108" s="307" t="s">
        <v>11</v>
      </c>
    </row>
    <row r="2109" spans="1:8" x14ac:dyDescent="0.2">
      <c r="A2109" t="s">
        <v>47</v>
      </c>
      <c r="B2109" t="s">
        <v>100</v>
      </c>
      <c r="C2109" t="s">
        <v>1101</v>
      </c>
      <c r="D2109">
        <v>2</v>
      </c>
      <c r="E2109" s="307">
        <v>5</v>
      </c>
      <c r="F2109" s="307" t="s">
        <v>7</v>
      </c>
      <c r="G2109" s="307" t="s">
        <v>11</v>
      </c>
      <c r="H2109" s="307" t="s">
        <v>11</v>
      </c>
    </row>
    <row r="2110" spans="1:8" x14ac:dyDescent="0.2">
      <c r="A2110" t="s">
        <v>47</v>
      </c>
      <c r="B2110" t="s">
        <v>100</v>
      </c>
      <c r="C2110" t="s">
        <v>738</v>
      </c>
      <c r="D2110">
        <v>1</v>
      </c>
      <c r="E2110" s="307">
        <v>5</v>
      </c>
      <c r="F2110" s="307" t="s">
        <v>7</v>
      </c>
      <c r="G2110" s="307" t="s">
        <v>11</v>
      </c>
      <c r="H2110" s="307" t="s">
        <v>11</v>
      </c>
    </row>
    <row r="2111" spans="1:8" x14ac:dyDescent="0.2">
      <c r="A2111" t="s">
        <v>47</v>
      </c>
      <c r="B2111" t="s">
        <v>100</v>
      </c>
      <c r="C2111" t="s">
        <v>1995</v>
      </c>
      <c r="D2111">
        <v>1</v>
      </c>
      <c r="E2111" s="307">
        <v>5</v>
      </c>
      <c r="F2111" s="307" t="s">
        <v>7</v>
      </c>
      <c r="G2111" s="307" t="s">
        <v>11</v>
      </c>
      <c r="H2111" s="307" t="s">
        <v>11</v>
      </c>
    </row>
    <row r="2112" spans="1:8" x14ac:dyDescent="0.2">
      <c r="A2112" t="s">
        <v>47</v>
      </c>
      <c r="B2112" t="s">
        <v>100</v>
      </c>
      <c r="C2112" t="s">
        <v>740</v>
      </c>
      <c r="D2112">
        <v>1</v>
      </c>
      <c r="E2112" s="307">
        <v>4</v>
      </c>
      <c r="F2112" s="307" t="s">
        <v>7</v>
      </c>
      <c r="G2112" s="307" t="s">
        <v>11</v>
      </c>
      <c r="H2112" s="307" t="s">
        <v>11</v>
      </c>
    </row>
    <row r="2113" spans="1:8" x14ac:dyDescent="0.2">
      <c r="A2113" t="s">
        <v>47</v>
      </c>
      <c r="B2113" t="s">
        <v>100</v>
      </c>
      <c r="C2113" t="s">
        <v>1996</v>
      </c>
      <c r="D2113">
        <v>2</v>
      </c>
      <c r="E2113" s="307">
        <v>5</v>
      </c>
      <c r="F2113" s="307" t="s">
        <v>7</v>
      </c>
      <c r="G2113" s="307" t="s">
        <v>11</v>
      </c>
      <c r="H2113" s="307" t="s">
        <v>11</v>
      </c>
    </row>
    <row r="2114" spans="1:8" x14ac:dyDescent="0.2">
      <c r="A2114" t="s">
        <v>47</v>
      </c>
      <c r="B2114" t="s">
        <v>100</v>
      </c>
      <c r="C2114" t="s">
        <v>1997</v>
      </c>
      <c r="D2114">
        <v>1</v>
      </c>
      <c r="E2114" s="307">
        <v>5</v>
      </c>
      <c r="F2114" s="307" t="s">
        <v>7</v>
      </c>
      <c r="G2114" s="307" t="s">
        <v>11</v>
      </c>
      <c r="H2114" s="307" t="s">
        <v>11</v>
      </c>
    </row>
    <row r="2115" spans="1:8" x14ac:dyDescent="0.2">
      <c r="A2115" t="s">
        <v>47</v>
      </c>
      <c r="B2115" t="s">
        <v>100</v>
      </c>
      <c r="C2115" t="s">
        <v>1016</v>
      </c>
      <c r="D2115">
        <v>2</v>
      </c>
      <c r="E2115" s="307">
        <v>5</v>
      </c>
      <c r="F2115" s="307" t="s">
        <v>7</v>
      </c>
      <c r="G2115" s="307" t="s">
        <v>11</v>
      </c>
      <c r="H2115" s="307" t="s">
        <v>11</v>
      </c>
    </row>
    <row r="2116" spans="1:8" x14ac:dyDescent="0.2">
      <c r="A2116" t="s">
        <v>47</v>
      </c>
      <c r="B2116" t="s">
        <v>100</v>
      </c>
      <c r="C2116" t="s">
        <v>1214</v>
      </c>
      <c r="D2116">
        <v>1</v>
      </c>
      <c r="E2116" s="307">
        <v>5</v>
      </c>
      <c r="F2116" s="307" t="s">
        <v>7</v>
      </c>
      <c r="G2116" s="307" t="s">
        <v>11</v>
      </c>
      <c r="H2116" s="307" t="s">
        <v>11</v>
      </c>
    </row>
    <row r="2117" spans="1:8" x14ac:dyDescent="0.2">
      <c r="A2117" t="s">
        <v>47</v>
      </c>
      <c r="B2117" t="s">
        <v>100</v>
      </c>
      <c r="C2117" t="s">
        <v>1998</v>
      </c>
      <c r="D2117">
        <v>1</v>
      </c>
      <c r="E2117" s="307">
        <v>5</v>
      </c>
      <c r="F2117" s="307" t="s">
        <v>7</v>
      </c>
      <c r="G2117" s="307" t="s">
        <v>11</v>
      </c>
      <c r="H2117" s="307" t="s">
        <v>11</v>
      </c>
    </row>
    <row r="2118" spans="1:8" x14ac:dyDescent="0.2">
      <c r="A2118" t="s">
        <v>47</v>
      </c>
      <c r="B2118" t="s">
        <v>100</v>
      </c>
      <c r="C2118" t="s">
        <v>1999</v>
      </c>
      <c r="D2118">
        <v>2</v>
      </c>
      <c r="E2118" s="307">
        <v>5</v>
      </c>
      <c r="F2118" s="307" t="s">
        <v>7</v>
      </c>
      <c r="G2118" s="307" t="s">
        <v>11</v>
      </c>
      <c r="H2118" s="307" t="s">
        <v>11</v>
      </c>
    </row>
    <row r="2119" spans="1:8" x14ac:dyDescent="0.2">
      <c r="A2119" t="s">
        <v>47</v>
      </c>
      <c r="B2119" t="s">
        <v>100</v>
      </c>
      <c r="C2119" t="s">
        <v>2000</v>
      </c>
      <c r="D2119">
        <v>2</v>
      </c>
      <c r="E2119" s="307">
        <v>4</v>
      </c>
      <c r="F2119" s="307" t="s">
        <v>7</v>
      </c>
      <c r="G2119" s="307" t="s">
        <v>11</v>
      </c>
      <c r="H2119" s="307" t="s">
        <v>11</v>
      </c>
    </row>
    <row r="2120" spans="1:8" x14ac:dyDescent="0.2">
      <c r="A2120" t="s">
        <v>47</v>
      </c>
      <c r="B2120" t="s">
        <v>100</v>
      </c>
      <c r="C2120" t="s">
        <v>1869</v>
      </c>
      <c r="D2120">
        <v>1</v>
      </c>
      <c r="E2120" s="307">
        <v>5</v>
      </c>
      <c r="F2120" s="307" t="s">
        <v>7</v>
      </c>
      <c r="G2120" s="307" t="s">
        <v>11</v>
      </c>
      <c r="H2120" s="307" t="s">
        <v>11</v>
      </c>
    </row>
    <row r="2121" spans="1:8" x14ac:dyDescent="0.2">
      <c r="A2121" t="s">
        <v>47</v>
      </c>
      <c r="B2121" t="s">
        <v>100</v>
      </c>
      <c r="C2121" t="s">
        <v>744</v>
      </c>
      <c r="D2121">
        <v>1</v>
      </c>
      <c r="E2121" s="307">
        <v>5</v>
      </c>
      <c r="F2121" s="307" t="s">
        <v>7</v>
      </c>
      <c r="G2121" s="307" t="s">
        <v>11</v>
      </c>
      <c r="H2121" s="307" t="s">
        <v>11</v>
      </c>
    </row>
    <row r="2122" spans="1:8" x14ac:dyDescent="0.2">
      <c r="A2122" t="s">
        <v>47</v>
      </c>
      <c r="B2122" t="s">
        <v>100</v>
      </c>
      <c r="C2122" t="s">
        <v>1218</v>
      </c>
      <c r="D2122">
        <v>1</v>
      </c>
      <c r="E2122" s="307">
        <v>5</v>
      </c>
      <c r="F2122" s="307" t="s">
        <v>7</v>
      </c>
      <c r="G2122" s="307" t="s">
        <v>11</v>
      </c>
      <c r="H2122" s="307" t="s">
        <v>11</v>
      </c>
    </row>
    <row r="2123" spans="1:8" x14ac:dyDescent="0.2">
      <c r="A2123" t="s">
        <v>47</v>
      </c>
      <c r="B2123" t="s">
        <v>100</v>
      </c>
      <c r="C2123" t="s">
        <v>963</v>
      </c>
      <c r="D2123">
        <v>1</v>
      </c>
      <c r="E2123" s="307">
        <v>5</v>
      </c>
      <c r="F2123" s="307" t="s">
        <v>7</v>
      </c>
      <c r="G2123" s="307" t="s">
        <v>11</v>
      </c>
      <c r="H2123" s="307" t="s">
        <v>11</v>
      </c>
    </row>
    <row r="2124" spans="1:8" x14ac:dyDescent="0.2">
      <c r="A2124" t="s">
        <v>47</v>
      </c>
      <c r="B2124" t="s">
        <v>100</v>
      </c>
      <c r="C2124" t="s">
        <v>2001</v>
      </c>
      <c r="D2124">
        <v>2</v>
      </c>
      <c r="E2124" s="307">
        <v>5</v>
      </c>
      <c r="F2124" s="307" t="s">
        <v>7</v>
      </c>
      <c r="G2124" s="307" t="s">
        <v>11</v>
      </c>
      <c r="H2124" s="307" t="s">
        <v>11</v>
      </c>
    </row>
    <row r="2125" spans="1:8" x14ac:dyDescent="0.2">
      <c r="A2125" t="s">
        <v>47</v>
      </c>
      <c r="B2125" t="s">
        <v>100</v>
      </c>
      <c r="C2125" t="s">
        <v>2002</v>
      </c>
      <c r="D2125">
        <v>1</v>
      </c>
      <c r="E2125" s="307">
        <v>5</v>
      </c>
      <c r="F2125" s="307" t="s">
        <v>7</v>
      </c>
      <c r="G2125" s="307" t="s">
        <v>11</v>
      </c>
      <c r="H2125" s="307" t="s">
        <v>11</v>
      </c>
    </row>
    <row r="2126" spans="1:8" x14ac:dyDescent="0.2">
      <c r="A2126" t="s">
        <v>47</v>
      </c>
      <c r="B2126" t="s">
        <v>100</v>
      </c>
      <c r="C2126" t="s">
        <v>850</v>
      </c>
      <c r="D2126">
        <v>1</v>
      </c>
      <c r="E2126" s="307">
        <v>5</v>
      </c>
      <c r="F2126" s="307" t="s">
        <v>7</v>
      </c>
      <c r="G2126" s="307" t="s">
        <v>11</v>
      </c>
      <c r="H2126" s="307" t="s">
        <v>11</v>
      </c>
    </row>
    <row r="2127" spans="1:8" x14ac:dyDescent="0.2">
      <c r="A2127" t="s">
        <v>47</v>
      </c>
      <c r="B2127" t="s">
        <v>100</v>
      </c>
      <c r="C2127" t="s">
        <v>2003</v>
      </c>
      <c r="D2127">
        <v>1</v>
      </c>
      <c r="E2127" s="307">
        <v>5</v>
      </c>
      <c r="F2127" s="307" t="s">
        <v>7</v>
      </c>
      <c r="G2127" s="307" t="s">
        <v>11</v>
      </c>
      <c r="H2127" s="307" t="s">
        <v>11</v>
      </c>
    </row>
    <row r="2128" spans="1:8" x14ac:dyDescent="0.2">
      <c r="A2128" t="s">
        <v>47</v>
      </c>
      <c r="B2128" t="s">
        <v>100</v>
      </c>
      <c r="C2128" t="s">
        <v>2004</v>
      </c>
      <c r="D2128">
        <v>2</v>
      </c>
      <c r="E2128" s="307">
        <v>5</v>
      </c>
      <c r="F2128" s="307" t="s">
        <v>7</v>
      </c>
      <c r="G2128" s="307" t="s">
        <v>11</v>
      </c>
      <c r="H2128" s="307" t="s">
        <v>11</v>
      </c>
    </row>
    <row r="2129" spans="1:8" x14ac:dyDescent="0.2">
      <c r="A2129" t="s">
        <v>47</v>
      </c>
      <c r="B2129" t="s">
        <v>100</v>
      </c>
      <c r="C2129" t="s">
        <v>1128</v>
      </c>
      <c r="D2129">
        <v>1</v>
      </c>
      <c r="E2129" s="307">
        <v>5</v>
      </c>
      <c r="F2129" s="307" t="s">
        <v>7</v>
      </c>
      <c r="G2129" s="307" t="s">
        <v>11</v>
      </c>
      <c r="H2129" s="307" t="s">
        <v>11</v>
      </c>
    </row>
    <row r="2130" spans="1:8" x14ac:dyDescent="0.2">
      <c r="A2130" t="s">
        <v>47</v>
      </c>
      <c r="B2130" t="s">
        <v>100</v>
      </c>
      <c r="C2130" t="s">
        <v>750</v>
      </c>
      <c r="D2130">
        <v>2</v>
      </c>
      <c r="E2130" s="307">
        <v>4</v>
      </c>
      <c r="F2130" s="307" t="s">
        <v>7</v>
      </c>
      <c r="G2130" s="307" t="s">
        <v>11</v>
      </c>
      <c r="H2130" s="307" t="s">
        <v>11</v>
      </c>
    </row>
    <row r="2131" spans="1:8" x14ac:dyDescent="0.2">
      <c r="A2131" t="s">
        <v>47</v>
      </c>
      <c r="B2131" t="s">
        <v>100</v>
      </c>
      <c r="C2131" t="s">
        <v>1129</v>
      </c>
      <c r="D2131">
        <v>1</v>
      </c>
      <c r="E2131" s="307">
        <v>5</v>
      </c>
      <c r="F2131" s="307" t="s">
        <v>7</v>
      </c>
      <c r="G2131" s="307" t="s">
        <v>11</v>
      </c>
      <c r="H2131" s="307" t="s">
        <v>11</v>
      </c>
    </row>
    <row r="2132" spans="1:8" x14ac:dyDescent="0.2">
      <c r="A2132" t="s">
        <v>47</v>
      </c>
      <c r="B2132" t="s">
        <v>100</v>
      </c>
      <c r="C2132" t="s">
        <v>1970</v>
      </c>
      <c r="D2132">
        <v>2</v>
      </c>
      <c r="E2132" s="307">
        <v>5</v>
      </c>
      <c r="F2132" s="307" t="s">
        <v>7</v>
      </c>
      <c r="G2132" s="307" t="s">
        <v>11</v>
      </c>
      <c r="H2132" s="307" t="s">
        <v>11</v>
      </c>
    </row>
    <row r="2133" spans="1:8" x14ac:dyDescent="0.2">
      <c r="A2133" t="s">
        <v>47</v>
      </c>
      <c r="B2133" t="s">
        <v>100</v>
      </c>
      <c r="C2133" t="s">
        <v>2005</v>
      </c>
      <c r="D2133">
        <v>2</v>
      </c>
      <c r="E2133" s="307">
        <v>5</v>
      </c>
      <c r="F2133" s="307" t="s">
        <v>7</v>
      </c>
      <c r="G2133" s="307" t="s">
        <v>11</v>
      </c>
      <c r="H2133" s="307" t="s">
        <v>11</v>
      </c>
    </row>
    <row r="2134" spans="1:8" x14ac:dyDescent="0.2">
      <c r="A2134" t="s">
        <v>47</v>
      </c>
      <c r="B2134" t="s">
        <v>100</v>
      </c>
      <c r="C2134" t="s">
        <v>2006</v>
      </c>
      <c r="D2134">
        <v>1</v>
      </c>
      <c r="E2134" s="307">
        <v>5</v>
      </c>
      <c r="F2134" s="307" t="s">
        <v>7</v>
      </c>
      <c r="G2134" s="307" t="s">
        <v>11</v>
      </c>
      <c r="H2134" s="307" t="s">
        <v>11</v>
      </c>
    </row>
    <row r="2135" spans="1:8" x14ac:dyDescent="0.2">
      <c r="A2135" t="s">
        <v>48</v>
      </c>
      <c r="B2135" t="s">
        <v>110</v>
      </c>
      <c r="C2135" t="s">
        <v>1269</v>
      </c>
      <c r="D2135">
        <v>2</v>
      </c>
      <c r="E2135" s="307">
        <v>3</v>
      </c>
      <c r="F2135" s="307" t="s">
        <v>7</v>
      </c>
      <c r="G2135" s="307" t="s">
        <v>11</v>
      </c>
      <c r="H2135" s="307" t="s">
        <v>11</v>
      </c>
    </row>
    <row r="2136" spans="1:8" x14ac:dyDescent="0.2">
      <c r="A2136" t="s">
        <v>48</v>
      </c>
      <c r="B2136" t="s">
        <v>110</v>
      </c>
      <c r="C2136" t="s">
        <v>2007</v>
      </c>
      <c r="D2136">
        <v>3</v>
      </c>
      <c r="E2136" s="307">
        <v>3</v>
      </c>
      <c r="F2136" s="307" t="s">
        <v>7</v>
      </c>
      <c r="G2136" s="307" t="s">
        <v>11</v>
      </c>
      <c r="H2136" s="307" t="s">
        <v>11</v>
      </c>
    </row>
    <row r="2137" spans="1:8" x14ac:dyDescent="0.2">
      <c r="A2137" t="s">
        <v>48</v>
      </c>
      <c r="B2137" t="s">
        <v>110</v>
      </c>
      <c r="C2137" t="s">
        <v>2008</v>
      </c>
      <c r="D2137">
        <v>3</v>
      </c>
      <c r="E2137" s="307">
        <v>3</v>
      </c>
      <c r="F2137" s="307" t="s">
        <v>7</v>
      </c>
      <c r="G2137" s="307" t="s">
        <v>11</v>
      </c>
      <c r="H2137" s="307" t="s">
        <v>11</v>
      </c>
    </row>
    <row r="2138" spans="1:8" x14ac:dyDescent="0.2">
      <c r="A2138" t="s">
        <v>48</v>
      </c>
      <c r="B2138" t="s">
        <v>110</v>
      </c>
      <c r="C2138" t="s">
        <v>2009</v>
      </c>
      <c r="D2138">
        <v>2</v>
      </c>
      <c r="E2138" s="307">
        <v>4</v>
      </c>
      <c r="F2138" s="307" t="s">
        <v>75</v>
      </c>
      <c r="G2138" s="307" t="s">
        <v>11</v>
      </c>
      <c r="H2138" s="307" t="s">
        <v>11</v>
      </c>
    </row>
    <row r="2139" spans="1:8" x14ac:dyDescent="0.2">
      <c r="A2139" t="s">
        <v>48</v>
      </c>
      <c r="B2139" t="s">
        <v>110</v>
      </c>
      <c r="C2139" t="s">
        <v>2010</v>
      </c>
      <c r="D2139">
        <v>3</v>
      </c>
      <c r="E2139" s="307">
        <v>3</v>
      </c>
      <c r="F2139" s="307" t="s">
        <v>7</v>
      </c>
      <c r="G2139" s="307" t="s">
        <v>11</v>
      </c>
      <c r="H2139" s="307" t="s">
        <v>11</v>
      </c>
    </row>
    <row r="2140" spans="1:8" x14ac:dyDescent="0.2">
      <c r="A2140" t="s">
        <v>48</v>
      </c>
      <c r="B2140" t="s">
        <v>110</v>
      </c>
      <c r="C2140" t="s">
        <v>1146</v>
      </c>
      <c r="D2140">
        <v>3</v>
      </c>
      <c r="E2140" s="307">
        <v>3</v>
      </c>
      <c r="F2140" s="307" t="s">
        <v>7</v>
      </c>
      <c r="G2140" s="307" t="s">
        <v>11</v>
      </c>
      <c r="H2140" s="307" t="s">
        <v>11</v>
      </c>
    </row>
    <row r="2141" spans="1:8" x14ac:dyDescent="0.2">
      <c r="A2141" t="s">
        <v>48</v>
      </c>
      <c r="B2141" t="s">
        <v>110</v>
      </c>
      <c r="C2141" t="s">
        <v>1038</v>
      </c>
      <c r="D2141">
        <v>3</v>
      </c>
      <c r="E2141" s="307">
        <v>3</v>
      </c>
      <c r="F2141" s="307" t="s">
        <v>7</v>
      </c>
      <c r="G2141" s="307" t="s">
        <v>11</v>
      </c>
      <c r="H2141" s="307" t="s">
        <v>11</v>
      </c>
    </row>
    <row r="2142" spans="1:8" x14ac:dyDescent="0.2">
      <c r="A2142" t="s">
        <v>48</v>
      </c>
      <c r="B2142" t="s">
        <v>110</v>
      </c>
      <c r="C2142" t="s">
        <v>1443</v>
      </c>
      <c r="D2142">
        <v>3</v>
      </c>
      <c r="E2142" s="307">
        <v>3</v>
      </c>
      <c r="F2142" s="307" t="s">
        <v>7</v>
      </c>
      <c r="G2142" s="307" t="s">
        <v>11</v>
      </c>
      <c r="H2142" s="307" t="s">
        <v>11</v>
      </c>
    </row>
    <row r="2143" spans="1:8" x14ac:dyDescent="0.2">
      <c r="A2143" t="s">
        <v>48</v>
      </c>
      <c r="B2143" t="s">
        <v>110</v>
      </c>
      <c r="C2143" t="s">
        <v>2011</v>
      </c>
      <c r="D2143">
        <v>3</v>
      </c>
      <c r="E2143" s="307">
        <v>3</v>
      </c>
      <c r="F2143" s="307" t="s">
        <v>7</v>
      </c>
      <c r="G2143" s="307" t="s">
        <v>11</v>
      </c>
      <c r="H2143" s="307" t="s">
        <v>11</v>
      </c>
    </row>
    <row r="2144" spans="1:8" x14ac:dyDescent="0.2">
      <c r="A2144" t="s">
        <v>48</v>
      </c>
      <c r="B2144" t="s">
        <v>110</v>
      </c>
      <c r="C2144" t="s">
        <v>1395</v>
      </c>
      <c r="D2144">
        <v>3</v>
      </c>
      <c r="E2144" s="307">
        <v>3</v>
      </c>
      <c r="F2144" s="307" t="s">
        <v>7</v>
      </c>
      <c r="G2144" s="307" t="s">
        <v>11</v>
      </c>
      <c r="H2144" s="307" t="s">
        <v>11</v>
      </c>
    </row>
    <row r="2145" spans="1:8" x14ac:dyDescent="0.2">
      <c r="A2145" t="s">
        <v>48</v>
      </c>
      <c r="B2145" t="s">
        <v>110</v>
      </c>
      <c r="C2145" t="s">
        <v>695</v>
      </c>
      <c r="D2145">
        <v>2</v>
      </c>
      <c r="E2145" s="307">
        <v>3</v>
      </c>
      <c r="F2145" s="307" t="s">
        <v>7</v>
      </c>
      <c r="G2145" s="307" t="s">
        <v>11</v>
      </c>
      <c r="H2145" s="307" t="s">
        <v>11</v>
      </c>
    </row>
    <row r="2146" spans="1:8" x14ac:dyDescent="0.2">
      <c r="A2146" t="s">
        <v>48</v>
      </c>
      <c r="B2146" t="s">
        <v>110</v>
      </c>
      <c r="C2146" t="s">
        <v>697</v>
      </c>
      <c r="D2146">
        <v>3</v>
      </c>
      <c r="E2146" s="307">
        <v>3</v>
      </c>
      <c r="F2146" s="307" t="s">
        <v>7</v>
      </c>
      <c r="G2146" s="307" t="s">
        <v>11</v>
      </c>
      <c r="H2146" s="307" t="s">
        <v>11</v>
      </c>
    </row>
    <row r="2147" spans="1:8" x14ac:dyDescent="0.2">
      <c r="A2147" t="s">
        <v>48</v>
      </c>
      <c r="B2147" t="s">
        <v>110</v>
      </c>
      <c r="C2147" t="s">
        <v>2012</v>
      </c>
      <c r="D2147">
        <v>2</v>
      </c>
      <c r="E2147" s="307">
        <v>4</v>
      </c>
      <c r="F2147" s="307" t="s">
        <v>75</v>
      </c>
      <c r="G2147" s="307" t="s">
        <v>11</v>
      </c>
      <c r="H2147" s="307" t="s">
        <v>11</v>
      </c>
    </row>
    <row r="2148" spans="1:8" x14ac:dyDescent="0.2">
      <c r="A2148" t="s">
        <v>48</v>
      </c>
      <c r="B2148" t="s">
        <v>110</v>
      </c>
      <c r="C2148" t="s">
        <v>807</v>
      </c>
      <c r="D2148">
        <v>3</v>
      </c>
      <c r="E2148" s="307">
        <v>3</v>
      </c>
      <c r="F2148" s="307" t="s">
        <v>7</v>
      </c>
      <c r="G2148" s="307" t="s">
        <v>11</v>
      </c>
      <c r="H2148" s="307" t="s">
        <v>11</v>
      </c>
    </row>
    <row r="2149" spans="1:8" x14ac:dyDescent="0.2">
      <c r="A2149" t="s">
        <v>48</v>
      </c>
      <c r="B2149" t="s">
        <v>110</v>
      </c>
      <c r="C2149" t="s">
        <v>2013</v>
      </c>
      <c r="D2149">
        <v>3</v>
      </c>
      <c r="E2149" s="307">
        <v>3</v>
      </c>
      <c r="F2149" s="307" t="s">
        <v>7</v>
      </c>
      <c r="G2149" s="307" t="s">
        <v>11</v>
      </c>
      <c r="H2149" s="307" t="s">
        <v>11</v>
      </c>
    </row>
    <row r="2150" spans="1:8" x14ac:dyDescent="0.2">
      <c r="A2150" t="s">
        <v>48</v>
      </c>
      <c r="B2150" t="s">
        <v>110</v>
      </c>
      <c r="C2150" t="s">
        <v>1323</v>
      </c>
      <c r="D2150">
        <v>3</v>
      </c>
      <c r="E2150" s="307">
        <v>3</v>
      </c>
      <c r="F2150" s="307" t="s">
        <v>7</v>
      </c>
      <c r="G2150" s="307" t="s">
        <v>11</v>
      </c>
      <c r="H2150" s="307" t="s">
        <v>11</v>
      </c>
    </row>
    <row r="2151" spans="1:8" x14ac:dyDescent="0.2">
      <c r="A2151" t="s">
        <v>48</v>
      </c>
      <c r="B2151" t="s">
        <v>110</v>
      </c>
      <c r="C2151" t="s">
        <v>2014</v>
      </c>
      <c r="D2151">
        <v>3</v>
      </c>
      <c r="E2151" s="307">
        <v>3</v>
      </c>
      <c r="F2151" s="307" t="s">
        <v>7</v>
      </c>
      <c r="G2151" s="307" t="s">
        <v>11</v>
      </c>
      <c r="H2151" s="307" t="s">
        <v>11</v>
      </c>
    </row>
    <row r="2152" spans="1:8" x14ac:dyDescent="0.2">
      <c r="A2152" t="s">
        <v>48</v>
      </c>
      <c r="B2152" t="s">
        <v>110</v>
      </c>
      <c r="C2152" t="s">
        <v>2015</v>
      </c>
      <c r="D2152">
        <v>3</v>
      </c>
      <c r="E2152" s="307">
        <v>3</v>
      </c>
      <c r="F2152" s="307" t="s">
        <v>7</v>
      </c>
      <c r="G2152" s="307" t="s">
        <v>11</v>
      </c>
      <c r="H2152" s="307" t="s">
        <v>11</v>
      </c>
    </row>
    <row r="2153" spans="1:8" x14ac:dyDescent="0.2">
      <c r="A2153" t="s">
        <v>48</v>
      </c>
      <c r="B2153" t="s">
        <v>110</v>
      </c>
      <c r="C2153" t="s">
        <v>2016</v>
      </c>
      <c r="D2153">
        <v>3</v>
      </c>
      <c r="E2153" s="307">
        <v>3</v>
      </c>
      <c r="F2153" s="307" t="s">
        <v>7</v>
      </c>
      <c r="G2153" s="307" t="s">
        <v>11</v>
      </c>
      <c r="H2153" s="307" t="s">
        <v>11</v>
      </c>
    </row>
    <row r="2154" spans="1:8" x14ac:dyDescent="0.2">
      <c r="A2154" t="s">
        <v>48</v>
      </c>
      <c r="B2154" t="s">
        <v>110</v>
      </c>
      <c r="C2154" t="s">
        <v>925</v>
      </c>
      <c r="D2154">
        <v>3</v>
      </c>
      <c r="E2154" s="307">
        <v>3</v>
      </c>
      <c r="F2154" s="307" t="s">
        <v>7</v>
      </c>
      <c r="G2154" s="307" t="s">
        <v>11</v>
      </c>
      <c r="H2154" s="307" t="s">
        <v>11</v>
      </c>
    </row>
    <row r="2155" spans="1:8" x14ac:dyDescent="0.2">
      <c r="A2155" t="s">
        <v>48</v>
      </c>
      <c r="B2155" t="s">
        <v>110</v>
      </c>
      <c r="C2155" t="s">
        <v>1233</v>
      </c>
      <c r="D2155">
        <v>2</v>
      </c>
      <c r="E2155" s="307">
        <v>3</v>
      </c>
      <c r="F2155" s="307" t="s">
        <v>7</v>
      </c>
      <c r="G2155" s="307" t="s">
        <v>11</v>
      </c>
      <c r="H2155" s="307" t="s">
        <v>11</v>
      </c>
    </row>
    <row r="2156" spans="1:8" x14ac:dyDescent="0.2">
      <c r="A2156" t="s">
        <v>48</v>
      </c>
      <c r="B2156" t="s">
        <v>110</v>
      </c>
      <c r="C2156" t="s">
        <v>2017</v>
      </c>
      <c r="D2156">
        <v>3</v>
      </c>
      <c r="E2156" s="307">
        <v>3</v>
      </c>
      <c r="F2156" s="307" t="s">
        <v>7</v>
      </c>
      <c r="G2156" s="307" t="s">
        <v>11</v>
      </c>
      <c r="H2156" s="307" t="s">
        <v>11</v>
      </c>
    </row>
    <row r="2157" spans="1:8" x14ac:dyDescent="0.2">
      <c r="A2157" t="s">
        <v>48</v>
      </c>
      <c r="B2157" t="s">
        <v>110</v>
      </c>
      <c r="C2157" t="s">
        <v>1327</v>
      </c>
      <c r="D2157">
        <v>2</v>
      </c>
      <c r="E2157" s="307">
        <v>3</v>
      </c>
      <c r="F2157" s="307" t="s">
        <v>7</v>
      </c>
      <c r="G2157" s="307" t="s">
        <v>11</v>
      </c>
      <c r="H2157" s="307" t="s">
        <v>11</v>
      </c>
    </row>
    <row r="2158" spans="1:8" x14ac:dyDescent="0.2">
      <c r="A2158" t="s">
        <v>48</v>
      </c>
      <c r="B2158" t="s">
        <v>110</v>
      </c>
      <c r="C2158" t="s">
        <v>934</v>
      </c>
      <c r="D2158">
        <v>3</v>
      </c>
      <c r="E2158" s="307">
        <v>3</v>
      </c>
      <c r="F2158" s="307" t="s">
        <v>7</v>
      </c>
      <c r="G2158" s="307" t="s">
        <v>11</v>
      </c>
      <c r="H2158" s="307" t="s">
        <v>11</v>
      </c>
    </row>
    <row r="2159" spans="1:8" x14ac:dyDescent="0.2">
      <c r="A2159" t="s">
        <v>48</v>
      </c>
      <c r="B2159" t="s">
        <v>110</v>
      </c>
      <c r="C2159" t="s">
        <v>2018</v>
      </c>
      <c r="D2159">
        <v>3</v>
      </c>
      <c r="E2159" s="307">
        <v>3</v>
      </c>
      <c r="F2159" s="307" t="s">
        <v>7</v>
      </c>
      <c r="G2159" s="307" t="s">
        <v>11</v>
      </c>
      <c r="H2159" s="307" t="s">
        <v>11</v>
      </c>
    </row>
    <row r="2160" spans="1:8" x14ac:dyDescent="0.2">
      <c r="A2160" t="s">
        <v>48</v>
      </c>
      <c r="B2160" t="s">
        <v>110</v>
      </c>
      <c r="C2160" t="s">
        <v>1075</v>
      </c>
      <c r="D2160">
        <v>3</v>
      </c>
      <c r="E2160" s="307">
        <v>3</v>
      </c>
      <c r="F2160" s="307" t="s">
        <v>7</v>
      </c>
      <c r="G2160" s="307" t="s">
        <v>11</v>
      </c>
      <c r="H2160" s="307" t="s">
        <v>11</v>
      </c>
    </row>
    <row r="2161" spans="1:8" x14ac:dyDescent="0.2">
      <c r="A2161" t="s">
        <v>48</v>
      </c>
      <c r="B2161" t="s">
        <v>110</v>
      </c>
      <c r="C2161" t="s">
        <v>819</v>
      </c>
      <c r="D2161">
        <v>3</v>
      </c>
      <c r="E2161" s="307">
        <v>3</v>
      </c>
      <c r="F2161" s="307" t="s">
        <v>7</v>
      </c>
      <c r="G2161" s="307" t="s">
        <v>11</v>
      </c>
      <c r="H2161" s="307" t="s">
        <v>11</v>
      </c>
    </row>
    <row r="2162" spans="1:8" x14ac:dyDescent="0.2">
      <c r="A2162" t="s">
        <v>48</v>
      </c>
      <c r="B2162" t="s">
        <v>110</v>
      </c>
      <c r="C2162" t="s">
        <v>2019</v>
      </c>
      <c r="D2162">
        <v>3</v>
      </c>
      <c r="E2162" s="307">
        <v>3</v>
      </c>
      <c r="F2162" s="307" t="s">
        <v>7</v>
      </c>
      <c r="G2162" s="307" t="s">
        <v>11</v>
      </c>
      <c r="H2162" s="307" t="s">
        <v>11</v>
      </c>
    </row>
    <row r="2163" spans="1:8" x14ac:dyDescent="0.2">
      <c r="A2163" t="s">
        <v>48</v>
      </c>
      <c r="B2163" t="s">
        <v>110</v>
      </c>
      <c r="C2163" t="s">
        <v>2020</v>
      </c>
      <c r="D2163">
        <v>3</v>
      </c>
      <c r="E2163" s="307">
        <v>3</v>
      </c>
      <c r="F2163" s="307" t="s">
        <v>7</v>
      </c>
      <c r="G2163" s="307" t="s">
        <v>11</v>
      </c>
      <c r="H2163" s="307" t="s">
        <v>11</v>
      </c>
    </row>
    <row r="2164" spans="1:8" x14ac:dyDescent="0.2">
      <c r="A2164" t="s">
        <v>48</v>
      </c>
      <c r="B2164" t="s">
        <v>110</v>
      </c>
      <c r="C2164" t="s">
        <v>1335</v>
      </c>
      <c r="D2164">
        <v>3</v>
      </c>
      <c r="E2164" s="307">
        <v>3</v>
      </c>
      <c r="F2164" s="307" t="s">
        <v>7</v>
      </c>
      <c r="G2164" s="307" t="s">
        <v>11</v>
      </c>
      <c r="H2164" s="307" t="s">
        <v>11</v>
      </c>
    </row>
    <row r="2165" spans="1:8" x14ac:dyDescent="0.2">
      <c r="A2165" t="s">
        <v>48</v>
      </c>
      <c r="B2165" t="s">
        <v>110</v>
      </c>
      <c r="C2165" t="s">
        <v>1337</v>
      </c>
      <c r="D2165">
        <v>3</v>
      </c>
      <c r="E2165" s="307">
        <v>3</v>
      </c>
      <c r="F2165" s="307" t="s">
        <v>7</v>
      </c>
      <c r="G2165" s="307" t="s">
        <v>11</v>
      </c>
      <c r="H2165" s="307" t="s">
        <v>11</v>
      </c>
    </row>
    <row r="2166" spans="1:8" x14ac:dyDescent="0.2">
      <c r="A2166" t="s">
        <v>48</v>
      </c>
      <c r="B2166" t="s">
        <v>110</v>
      </c>
      <c r="C2166" t="s">
        <v>2021</v>
      </c>
      <c r="D2166">
        <v>3</v>
      </c>
      <c r="E2166" s="307">
        <v>3</v>
      </c>
      <c r="F2166" s="307" t="s">
        <v>7</v>
      </c>
      <c r="G2166" s="307" t="s">
        <v>11</v>
      </c>
      <c r="H2166" s="307" t="s">
        <v>11</v>
      </c>
    </row>
    <row r="2167" spans="1:8" x14ac:dyDescent="0.2">
      <c r="A2167" t="s">
        <v>48</v>
      </c>
      <c r="B2167" t="s">
        <v>110</v>
      </c>
      <c r="C2167" t="s">
        <v>721</v>
      </c>
      <c r="D2167">
        <v>3</v>
      </c>
      <c r="E2167" s="307">
        <v>3</v>
      </c>
      <c r="F2167" s="307" t="s">
        <v>7</v>
      </c>
      <c r="G2167" s="307" t="s">
        <v>11</v>
      </c>
      <c r="H2167" s="307" t="s">
        <v>11</v>
      </c>
    </row>
    <row r="2168" spans="1:8" x14ac:dyDescent="0.2">
      <c r="A2168" t="s">
        <v>48</v>
      </c>
      <c r="B2168" t="s">
        <v>110</v>
      </c>
      <c r="C2168" t="s">
        <v>722</v>
      </c>
      <c r="D2168">
        <v>3</v>
      </c>
      <c r="E2168" s="307">
        <v>3</v>
      </c>
      <c r="F2168" s="307" t="s">
        <v>7</v>
      </c>
      <c r="G2168" s="307" t="s">
        <v>11</v>
      </c>
      <c r="H2168" s="307" t="s">
        <v>11</v>
      </c>
    </row>
    <row r="2169" spans="1:8" x14ac:dyDescent="0.2">
      <c r="A2169" t="s">
        <v>48</v>
      </c>
      <c r="B2169" t="s">
        <v>110</v>
      </c>
      <c r="C2169" t="s">
        <v>1911</v>
      </c>
      <c r="D2169">
        <v>3</v>
      </c>
      <c r="E2169" s="307">
        <v>3</v>
      </c>
      <c r="F2169" s="307" t="s">
        <v>7</v>
      </c>
      <c r="G2169" s="307" t="s">
        <v>11</v>
      </c>
      <c r="H2169" s="307" t="s">
        <v>11</v>
      </c>
    </row>
    <row r="2170" spans="1:8" x14ac:dyDescent="0.2">
      <c r="A2170" t="s">
        <v>48</v>
      </c>
      <c r="B2170" t="s">
        <v>110</v>
      </c>
      <c r="C2170" t="s">
        <v>2022</v>
      </c>
      <c r="D2170">
        <v>3</v>
      </c>
      <c r="E2170" s="307">
        <v>3</v>
      </c>
      <c r="F2170" s="307" t="s">
        <v>7</v>
      </c>
      <c r="G2170" s="307" t="s">
        <v>11</v>
      </c>
      <c r="H2170" s="307" t="s">
        <v>11</v>
      </c>
    </row>
    <row r="2171" spans="1:8" x14ac:dyDescent="0.2">
      <c r="A2171" t="s">
        <v>48</v>
      </c>
      <c r="B2171" t="s">
        <v>110</v>
      </c>
      <c r="C2171" t="s">
        <v>2023</v>
      </c>
      <c r="D2171">
        <v>3</v>
      </c>
      <c r="E2171" s="307">
        <v>3</v>
      </c>
      <c r="F2171" s="307" t="s">
        <v>7</v>
      </c>
      <c r="G2171" s="307" t="s">
        <v>11</v>
      </c>
      <c r="H2171" s="307" t="s">
        <v>11</v>
      </c>
    </row>
    <row r="2172" spans="1:8" x14ac:dyDescent="0.2">
      <c r="A2172" t="s">
        <v>48</v>
      </c>
      <c r="B2172" t="s">
        <v>110</v>
      </c>
      <c r="C2172" t="s">
        <v>940</v>
      </c>
      <c r="D2172">
        <v>3</v>
      </c>
      <c r="E2172" s="307">
        <v>3</v>
      </c>
      <c r="F2172" s="307" t="s">
        <v>7</v>
      </c>
      <c r="G2172" s="307" t="s">
        <v>11</v>
      </c>
      <c r="H2172" s="307" t="s">
        <v>11</v>
      </c>
    </row>
    <row r="2173" spans="1:8" x14ac:dyDescent="0.2">
      <c r="A2173" t="s">
        <v>48</v>
      </c>
      <c r="B2173" t="s">
        <v>110</v>
      </c>
      <c r="C2173" t="s">
        <v>2024</v>
      </c>
      <c r="D2173">
        <v>3</v>
      </c>
      <c r="E2173" s="307">
        <v>3</v>
      </c>
      <c r="F2173" s="307" t="s">
        <v>7</v>
      </c>
      <c r="G2173" s="307" t="s">
        <v>11</v>
      </c>
      <c r="H2173" s="307" t="s">
        <v>11</v>
      </c>
    </row>
    <row r="2174" spans="1:8" x14ac:dyDescent="0.2">
      <c r="A2174" t="s">
        <v>48</v>
      </c>
      <c r="B2174" t="s">
        <v>110</v>
      </c>
      <c r="C2174" t="s">
        <v>2025</v>
      </c>
      <c r="D2174">
        <v>3</v>
      </c>
      <c r="E2174" s="307">
        <v>3</v>
      </c>
      <c r="F2174" s="307" t="s">
        <v>7</v>
      </c>
      <c r="G2174" s="307" t="s">
        <v>11</v>
      </c>
      <c r="H2174" s="307" t="s">
        <v>11</v>
      </c>
    </row>
    <row r="2175" spans="1:8" x14ac:dyDescent="0.2">
      <c r="A2175" t="s">
        <v>48</v>
      </c>
      <c r="B2175" t="s">
        <v>110</v>
      </c>
      <c r="C2175" t="s">
        <v>827</v>
      </c>
      <c r="D2175">
        <v>3</v>
      </c>
      <c r="E2175" s="307">
        <v>3</v>
      </c>
      <c r="F2175" s="307" t="s">
        <v>7</v>
      </c>
      <c r="G2175" s="307" t="s">
        <v>11</v>
      </c>
      <c r="H2175" s="307" t="s">
        <v>11</v>
      </c>
    </row>
    <row r="2176" spans="1:8" x14ac:dyDescent="0.2">
      <c r="A2176" t="s">
        <v>48</v>
      </c>
      <c r="B2176" t="s">
        <v>110</v>
      </c>
      <c r="C2176" t="s">
        <v>829</v>
      </c>
      <c r="D2176">
        <v>3</v>
      </c>
      <c r="E2176" s="307">
        <v>3</v>
      </c>
      <c r="F2176" s="307" t="s">
        <v>7</v>
      </c>
      <c r="G2176" s="307" t="s">
        <v>11</v>
      </c>
      <c r="H2176" s="307" t="s">
        <v>11</v>
      </c>
    </row>
    <row r="2177" spans="1:8" x14ac:dyDescent="0.2">
      <c r="A2177" t="s">
        <v>48</v>
      </c>
      <c r="B2177" t="s">
        <v>110</v>
      </c>
      <c r="C2177" t="s">
        <v>2026</v>
      </c>
      <c r="D2177">
        <v>3</v>
      </c>
      <c r="E2177" s="307">
        <v>3</v>
      </c>
      <c r="F2177" s="307" t="s">
        <v>7</v>
      </c>
      <c r="G2177" s="307" t="s">
        <v>11</v>
      </c>
      <c r="H2177" s="307" t="s">
        <v>11</v>
      </c>
    </row>
    <row r="2178" spans="1:8" x14ac:dyDescent="0.2">
      <c r="A2178" t="s">
        <v>48</v>
      </c>
      <c r="B2178" t="s">
        <v>110</v>
      </c>
      <c r="C2178" t="s">
        <v>2027</v>
      </c>
      <c r="D2178">
        <v>3</v>
      </c>
      <c r="E2178" s="307">
        <v>3</v>
      </c>
      <c r="F2178" s="307" t="s">
        <v>7</v>
      </c>
      <c r="G2178" s="307" t="s">
        <v>11</v>
      </c>
      <c r="H2178" s="307" t="s">
        <v>11</v>
      </c>
    </row>
    <row r="2179" spans="1:8" x14ac:dyDescent="0.2">
      <c r="A2179" t="s">
        <v>48</v>
      </c>
      <c r="B2179" t="s">
        <v>110</v>
      </c>
      <c r="C2179" t="s">
        <v>733</v>
      </c>
      <c r="D2179">
        <v>3</v>
      </c>
      <c r="E2179" s="307">
        <v>3</v>
      </c>
      <c r="F2179" s="307" t="s">
        <v>7</v>
      </c>
      <c r="G2179" s="307" t="s">
        <v>11</v>
      </c>
      <c r="H2179" s="307" t="s">
        <v>11</v>
      </c>
    </row>
    <row r="2180" spans="1:8" x14ac:dyDescent="0.2">
      <c r="A2180" t="s">
        <v>48</v>
      </c>
      <c r="B2180" t="s">
        <v>110</v>
      </c>
      <c r="C2180" t="s">
        <v>2028</v>
      </c>
      <c r="D2180">
        <v>2</v>
      </c>
      <c r="E2180" s="307">
        <v>3</v>
      </c>
      <c r="F2180" s="307" t="s">
        <v>7</v>
      </c>
      <c r="G2180" s="307" t="s">
        <v>11</v>
      </c>
      <c r="H2180" s="307" t="s">
        <v>11</v>
      </c>
    </row>
    <row r="2181" spans="1:8" x14ac:dyDescent="0.2">
      <c r="A2181" t="s">
        <v>48</v>
      </c>
      <c r="B2181" t="s">
        <v>110</v>
      </c>
      <c r="C2181" t="s">
        <v>2029</v>
      </c>
      <c r="D2181">
        <v>3</v>
      </c>
      <c r="E2181" s="307">
        <v>3</v>
      </c>
      <c r="F2181" s="307" t="s">
        <v>7</v>
      </c>
      <c r="G2181" s="307" t="s">
        <v>11</v>
      </c>
      <c r="H2181" s="307" t="s">
        <v>11</v>
      </c>
    </row>
    <row r="2182" spans="1:8" x14ac:dyDescent="0.2">
      <c r="A2182" t="s">
        <v>48</v>
      </c>
      <c r="B2182" t="s">
        <v>110</v>
      </c>
      <c r="C2182" t="s">
        <v>2030</v>
      </c>
      <c r="D2182">
        <v>3</v>
      </c>
      <c r="E2182" s="307">
        <v>3</v>
      </c>
      <c r="F2182" s="307" t="s">
        <v>7</v>
      </c>
      <c r="G2182" s="307" t="s">
        <v>11</v>
      </c>
      <c r="H2182" s="307" t="s">
        <v>11</v>
      </c>
    </row>
    <row r="2183" spans="1:8" x14ac:dyDescent="0.2">
      <c r="A2183" t="s">
        <v>48</v>
      </c>
      <c r="B2183" t="s">
        <v>110</v>
      </c>
      <c r="C2183" t="s">
        <v>1094</v>
      </c>
      <c r="D2183">
        <v>3</v>
      </c>
      <c r="E2183" s="307">
        <v>3</v>
      </c>
      <c r="F2183" s="307" t="s">
        <v>7</v>
      </c>
      <c r="G2183" s="307" t="s">
        <v>11</v>
      </c>
      <c r="H2183" s="307" t="s">
        <v>11</v>
      </c>
    </row>
    <row r="2184" spans="1:8" x14ac:dyDescent="0.2">
      <c r="A2184" t="s">
        <v>48</v>
      </c>
      <c r="B2184" t="s">
        <v>110</v>
      </c>
      <c r="C2184" t="s">
        <v>1097</v>
      </c>
      <c r="D2184">
        <v>3</v>
      </c>
      <c r="E2184" s="307">
        <v>3</v>
      </c>
      <c r="F2184" s="307" t="s">
        <v>7</v>
      </c>
      <c r="G2184" s="307" t="s">
        <v>11</v>
      </c>
      <c r="H2184" s="307" t="s">
        <v>11</v>
      </c>
    </row>
    <row r="2185" spans="1:8" x14ac:dyDescent="0.2">
      <c r="A2185" t="s">
        <v>48</v>
      </c>
      <c r="B2185" t="s">
        <v>110</v>
      </c>
      <c r="C2185" t="s">
        <v>2031</v>
      </c>
      <c r="D2185">
        <v>3</v>
      </c>
      <c r="E2185" s="307">
        <v>3</v>
      </c>
      <c r="F2185" s="307" t="s">
        <v>7</v>
      </c>
      <c r="G2185" s="307" t="s">
        <v>11</v>
      </c>
      <c r="H2185" s="307" t="s">
        <v>11</v>
      </c>
    </row>
    <row r="2186" spans="1:8" x14ac:dyDescent="0.2">
      <c r="A2186" t="s">
        <v>48</v>
      </c>
      <c r="B2186" t="s">
        <v>110</v>
      </c>
      <c r="C2186" t="s">
        <v>1247</v>
      </c>
      <c r="D2186">
        <v>3</v>
      </c>
      <c r="E2186" s="307">
        <v>3</v>
      </c>
      <c r="F2186" s="307" t="s">
        <v>7</v>
      </c>
      <c r="G2186" s="307" t="s">
        <v>11</v>
      </c>
      <c r="H2186" s="307" t="s">
        <v>11</v>
      </c>
    </row>
    <row r="2187" spans="1:8" x14ac:dyDescent="0.2">
      <c r="A2187" t="s">
        <v>48</v>
      </c>
      <c r="B2187" t="s">
        <v>110</v>
      </c>
      <c r="C2187" t="s">
        <v>2032</v>
      </c>
      <c r="D2187">
        <v>3</v>
      </c>
      <c r="E2187" s="307">
        <v>3</v>
      </c>
      <c r="F2187" s="307" t="s">
        <v>7</v>
      </c>
      <c r="G2187" s="307" t="s">
        <v>11</v>
      </c>
      <c r="H2187" s="307" t="s">
        <v>11</v>
      </c>
    </row>
    <row r="2188" spans="1:8" x14ac:dyDescent="0.2">
      <c r="A2188" t="s">
        <v>48</v>
      </c>
      <c r="B2188" t="s">
        <v>110</v>
      </c>
      <c r="C2188" t="s">
        <v>2033</v>
      </c>
      <c r="D2188">
        <v>3</v>
      </c>
      <c r="E2188" s="307">
        <v>3</v>
      </c>
      <c r="F2188" s="307" t="s">
        <v>7</v>
      </c>
      <c r="G2188" s="307" t="s">
        <v>11</v>
      </c>
      <c r="H2188" s="307" t="s">
        <v>11</v>
      </c>
    </row>
    <row r="2189" spans="1:8" x14ac:dyDescent="0.2">
      <c r="A2189" t="s">
        <v>48</v>
      </c>
      <c r="B2189" t="s">
        <v>110</v>
      </c>
      <c r="C2189" t="s">
        <v>2034</v>
      </c>
      <c r="D2189">
        <v>3</v>
      </c>
      <c r="E2189" s="307">
        <v>3</v>
      </c>
      <c r="F2189" s="307" t="s">
        <v>7</v>
      </c>
      <c r="G2189" s="307" t="s">
        <v>11</v>
      </c>
      <c r="H2189" s="307" t="s">
        <v>11</v>
      </c>
    </row>
    <row r="2190" spans="1:8" x14ac:dyDescent="0.2">
      <c r="A2190" t="s">
        <v>48</v>
      </c>
      <c r="B2190" t="s">
        <v>110</v>
      </c>
      <c r="C2190" t="s">
        <v>2035</v>
      </c>
      <c r="D2190">
        <v>3</v>
      </c>
      <c r="E2190" s="307">
        <v>3</v>
      </c>
      <c r="F2190" s="307" t="s">
        <v>7</v>
      </c>
      <c r="G2190" s="307" t="s">
        <v>11</v>
      </c>
      <c r="H2190" s="307" t="s">
        <v>11</v>
      </c>
    </row>
    <row r="2191" spans="1:8" x14ac:dyDescent="0.2">
      <c r="A2191" t="s">
        <v>48</v>
      </c>
      <c r="B2191" t="s">
        <v>110</v>
      </c>
      <c r="C2191" t="s">
        <v>1353</v>
      </c>
      <c r="D2191">
        <v>3</v>
      </c>
      <c r="E2191" s="307">
        <v>3</v>
      </c>
      <c r="F2191" s="307" t="s">
        <v>7</v>
      </c>
      <c r="G2191" s="307" t="s">
        <v>11</v>
      </c>
      <c r="H2191" s="307" t="s">
        <v>11</v>
      </c>
    </row>
    <row r="2192" spans="1:8" x14ac:dyDescent="0.2">
      <c r="A2192" t="s">
        <v>48</v>
      </c>
      <c r="B2192" t="s">
        <v>110</v>
      </c>
      <c r="C2192" t="s">
        <v>1355</v>
      </c>
      <c r="D2192">
        <v>3</v>
      </c>
      <c r="E2192" s="307">
        <v>3</v>
      </c>
      <c r="F2192" s="307" t="s">
        <v>7</v>
      </c>
      <c r="G2192" s="307" t="s">
        <v>11</v>
      </c>
      <c r="H2192" s="307" t="s">
        <v>11</v>
      </c>
    </row>
    <row r="2193" spans="1:8" x14ac:dyDescent="0.2">
      <c r="A2193" t="s">
        <v>48</v>
      </c>
      <c r="B2193" t="s">
        <v>110</v>
      </c>
      <c r="C2193" t="s">
        <v>1356</v>
      </c>
      <c r="D2193">
        <v>3</v>
      </c>
      <c r="E2193" s="307">
        <v>3</v>
      </c>
      <c r="F2193" s="307" t="s">
        <v>7</v>
      </c>
      <c r="G2193" s="307" t="s">
        <v>11</v>
      </c>
      <c r="H2193" s="307" t="s">
        <v>11</v>
      </c>
    </row>
    <row r="2194" spans="1:8" x14ac:dyDescent="0.2">
      <c r="A2194" t="s">
        <v>48</v>
      </c>
      <c r="B2194" t="s">
        <v>110</v>
      </c>
      <c r="C2194" t="s">
        <v>2036</v>
      </c>
      <c r="D2194">
        <v>3</v>
      </c>
      <c r="E2194" s="307">
        <v>3</v>
      </c>
      <c r="F2194" s="307" t="s">
        <v>7</v>
      </c>
      <c r="G2194" s="307" t="s">
        <v>11</v>
      </c>
      <c r="H2194" s="307" t="s">
        <v>11</v>
      </c>
    </row>
    <row r="2195" spans="1:8" x14ac:dyDescent="0.2">
      <c r="A2195" t="s">
        <v>48</v>
      </c>
      <c r="B2195" t="s">
        <v>110</v>
      </c>
      <c r="C2195" t="s">
        <v>2037</v>
      </c>
      <c r="D2195">
        <v>3</v>
      </c>
      <c r="E2195" s="307">
        <v>3</v>
      </c>
      <c r="F2195" s="307" t="s">
        <v>7</v>
      </c>
      <c r="G2195" s="307" t="s">
        <v>11</v>
      </c>
      <c r="H2195" s="307" t="s">
        <v>11</v>
      </c>
    </row>
    <row r="2196" spans="1:8" x14ac:dyDescent="0.2">
      <c r="A2196" t="s">
        <v>48</v>
      </c>
      <c r="B2196" t="s">
        <v>110</v>
      </c>
      <c r="C2196" t="s">
        <v>1665</v>
      </c>
      <c r="D2196">
        <v>3</v>
      </c>
      <c r="E2196" s="307">
        <v>3</v>
      </c>
      <c r="F2196" s="307" t="s">
        <v>7</v>
      </c>
      <c r="G2196" s="307" t="s">
        <v>11</v>
      </c>
      <c r="H2196" s="307" t="s">
        <v>11</v>
      </c>
    </row>
    <row r="2197" spans="1:8" x14ac:dyDescent="0.2">
      <c r="A2197" t="s">
        <v>48</v>
      </c>
      <c r="B2197" t="s">
        <v>110</v>
      </c>
      <c r="C2197" t="s">
        <v>1357</v>
      </c>
      <c r="D2197">
        <v>3</v>
      </c>
      <c r="E2197" s="307">
        <v>3</v>
      </c>
      <c r="F2197" s="307" t="s">
        <v>7</v>
      </c>
      <c r="G2197" s="307" t="s">
        <v>11</v>
      </c>
      <c r="H2197" s="307" t="s">
        <v>11</v>
      </c>
    </row>
    <row r="2198" spans="1:8" x14ac:dyDescent="0.2">
      <c r="A2198" t="s">
        <v>48</v>
      </c>
      <c r="B2198" t="s">
        <v>110</v>
      </c>
      <c r="C2198" t="s">
        <v>2038</v>
      </c>
      <c r="D2198">
        <v>3</v>
      </c>
      <c r="E2198" s="307">
        <v>3</v>
      </c>
      <c r="F2198" s="307" t="s">
        <v>7</v>
      </c>
      <c r="G2198" s="307" t="s">
        <v>11</v>
      </c>
      <c r="H2198" s="307" t="s">
        <v>11</v>
      </c>
    </row>
    <row r="2199" spans="1:8" x14ac:dyDescent="0.2">
      <c r="A2199" t="s">
        <v>48</v>
      </c>
      <c r="B2199" t="s">
        <v>110</v>
      </c>
      <c r="C2199" t="s">
        <v>2039</v>
      </c>
      <c r="D2199">
        <v>3</v>
      </c>
      <c r="E2199" s="307">
        <v>3</v>
      </c>
      <c r="F2199" s="307" t="s">
        <v>7</v>
      </c>
      <c r="G2199" s="307" t="s">
        <v>11</v>
      </c>
      <c r="H2199" s="307" t="s">
        <v>11</v>
      </c>
    </row>
    <row r="2200" spans="1:8" x14ac:dyDescent="0.2">
      <c r="A2200" t="s">
        <v>48</v>
      </c>
      <c r="B2200" t="s">
        <v>110</v>
      </c>
      <c r="C2200" t="s">
        <v>2040</v>
      </c>
      <c r="D2200">
        <v>3</v>
      </c>
      <c r="E2200" s="307">
        <v>3</v>
      </c>
      <c r="F2200" s="307" t="s">
        <v>7</v>
      </c>
      <c r="G2200" s="307" t="s">
        <v>11</v>
      </c>
      <c r="H2200" s="307" t="s">
        <v>11</v>
      </c>
    </row>
    <row r="2201" spans="1:8" x14ac:dyDescent="0.2">
      <c r="A2201" t="s">
        <v>48</v>
      </c>
      <c r="B2201" t="s">
        <v>110</v>
      </c>
      <c r="C2201" t="s">
        <v>1021</v>
      </c>
      <c r="D2201">
        <v>3</v>
      </c>
      <c r="E2201" s="307">
        <v>3</v>
      </c>
      <c r="F2201" s="307" t="s">
        <v>7</v>
      </c>
      <c r="G2201" s="307" t="s">
        <v>11</v>
      </c>
      <c r="H2201" s="307" t="s">
        <v>11</v>
      </c>
    </row>
    <row r="2202" spans="1:8" x14ac:dyDescent="0.2">
      <c r="A2202" t="s">
        <v>48</v>
      </c>
      <c r="B2202" t="s">
        <v>110</v>
      </c>
      <c r="C2202" t="s">
        <v>2041</v>
      </c>
      <c r="D2202">
        <v>2</v>
      </c>
      <c r="E2202" s="307">
        <v>3</v>
      </c>
      <c r="F2202" s="307" t="s">
        <v>7</v>
      </c>
      <c r="G2202" s="307" t="s">
        <v>11</v>
      </c>
      <c r="H2202" s="307" t="s">
        <v>11</v>
      </c>
    </row>
    <row r="2203" spans="1:8" x14ac:dyDescent="0.2">
      <c r="A2203" t="s">
        <v>48</v>
      </c>
      <c r="B2203" t="s">
        <v>110</v>
      </c>
      <c r="C2203" t="s">
        <v>1111</v>
      </c>
      <c r="D2203">
        <v>3</v>
      </c>
      <c r="E2203" s="307">
        <v>3</v>
      </c>
      <c r="F2203" s="307" t="s">
        <v>7</v>
      </c>
      <c r="G2203" s="307" t="s">
        <v>11</v>
      </c>
      <c r="H2203" s="307" t="s">
        <v>11</v>
      </c>
    </row>
    <row r="2204" spans="1:8" x14ac:dyDescent="0.2">
      <c r="A2204" t="s">
        <v>48</v>
      </c>
      <c r="B2204" t="s">
        <v>110</v>
      </c>
      <c r="C2204" t="s">
        <v>1716</v>
      </c>
      <c r="D2204">
        <v>2</v>
      </c>
      <c r="E2204" s="307">
        <v>4</v>
      </c>
      <c r="F2204" s="307" t="s">
        <v>75</v>
      </c>
      <c r="G2204" s="307" t="s">
        <v>11</v>
      </c>
      <c r="H2204" s="307" t="s">
        <v>11</v>
      </c>
    </row>
    <row r="2205" spans="1:8" x14ac:dyDescent="0.2">
      <c r="A2205" t="s">
        <v>48</v>
      </c>
      <c r="B2205" t="s">
        <v>110</v>
      </c>
      <c r="C2205" t="s">
        <v>2042</v>
      </c>
      <c r="D2205">
        <v>3</v>
      </c>
      <c r="E2205" s="307">
        <v>3</v>
      </c>
      <c r="F2205" s="307" t="s">
        <v>7</v>
      </c>
      <c r="G2205" s="307" t="s">
        <v>11</v>
      </c>
      <c r="H2205" s="307" t="s">
        <v>11</v>
      </c>
    </row>
    <row r="2206" spans="1:8" x14ac:dyDescent="0.2">
      <c r="A2206" t="s">
        <v>48</v>
      </c>
      <c r="B2206" t="s">
        <v>110</v>
      </c>
      <c r="C2206" t="s">
        <v>2043</v>
      </c>
      <c r="D2206">
        <v>3</v>
      </c>
      <c r="E2206" s="307">
        <v>3</v>
      </c>
      <c r="F2206" s="307" t="s">
        <v>7</v>
      </c>
      <c r="G2206" s="307" t="s">
        <v>11</v>
      </c>
      <c r="H2206" s="307" t="s">
        <v>11</v>
      </c>
    </row>
    <row r="2207" spans="1:8" x14ac:dyDescent="0.2">
      <c r="A2207" t="s">
        <v>48</v>
      </c>
      <c r="B2207" t="s">
        <v>110</v>
      </c>
      <c r="C2207" t="s">
        <v>2044</v>
      </c>
      <c r="D2207">
        <v>3</v>
      </c>
      <c r="E2207" s="307">
        <v>3</v>
      </c>
      <c r="F2207" s="307" t="s">
        <v>7</v>
      </c>
      <c r="G2207" s="307" t="s">
        <v>11</v>
      </c>
      <c r="H2207" s="307" t="s">
        <v>11</v>
      </c>
    </row>
    <row r="2208" spans="1:8" x14ac:dyDescent="0.2">
      <c r="A2208" t="s">
        <v>48</v>
      </c>
      <c r="B2208" t="s">
        <v>110</v>
      </c>
      <c r="C2208" t="s">
        <v>750</v>
      </c>
      <c r="D2208">
        <v>3</v>
      </c>
      <c r="E2208" s="307">
        <v>3</v>
      </c>
      <c r="F2208" s="307" t="s">
        <v>7</v>
      </c>
      <c r="G2208" s="307" t="s">
        <v>11</v>
      </c>
      <c r="H2208" s="307" t="s">
        <v>11</v>
      </c>
    </row>
    <row r="2209" spans="1:8" x14ac:dyDescent="0.2">
      <c r="A2209" t="s">
        <v>48</v>
      </c>
      <c r="B2209" t="s">
        <v>110</v>
      </c>
      <c r="C2209" t="s">
        <v>2045</v>
      </c>
      <c r="D2209">
        <v>3</v>
      </c>
      <c r="E2209" s="307">
        <v>3</v>
      </c>
      <c r="F2209" s="307" t="s">
        <v>7</v>
      </c>
      <c r="G2209" s="307" t="s">
        <v>11</v>
      </c>
      <c r="H2209" s="307" t="s">
        <v>11</v>
      </c>
    </row>
    <row r="2210" spans="1:8" x14ac:dyDescent="0.2">
      <c r="A2210" t="s">
        <v>48</v>
      </c>
      <c r="B2210" t="s">
        <v>110</v>
      </c>
      <c r="C2210" t="s">
        <v>2046</v>
      </c>
      <c r="D2210">
        <v>3</v>
      </c>
      <c r="E2210" s="307">
        <v>3</v>
      </c>
      <c r="F2210" s="307" t="s">
        <v>7</v>
      </c>
      <c r="G2210" s="307" t="s">
        <v>11</v>
      </c>
      <c r="H2210" s="307" t="s">
        <v>11</v>
      </c>
    </row>
    <row r="2211" spans="1:8" x14ac:dyDescent="0.2">
      <c r="A2211" t="s">
        <v>48</v>
      </c>
      <c r="B2211" t="s">
        <v>110</v>
      </c>
      <c r="C2211" t="s">
        <v>2047</v>
      </c>
      <c r="D2211">
        <v>3</v>
      </c>
      <c r="E2211" s="307">
        <v>3</v>
      </c>
      <c r="F2211" s="307" t="s">
        <v>7</v>
      </c>
      <c r="G2211" s="307" t="s">
        <v>11</v>
      </c>
      <c r="H2211" s="307" t="s">
        <v>11</v>
      </c>
    </row>
    <row r="2212" spans="1:8" x14ac:dyDescent="0.2">
      <c r="A2212" t="s">
        <v>49</v>
      </c>
      <c r="B2212" t="s">
        <v>101</v>
      </c>
      <c r="C2212" t="s">
        <v>979</v>
      </c>
      <c r="D2212">
        <v>2</v>
      </c>
      <c r="E2212" s="307">
        <v>5</v>
      </c>
      <c r="F2212" s="307" t="s">
        <v>75</v>
      </c>
      <c r="G2212" s="307" t="s">
        <v>11</v>
      </c>
      <c r="H2212" s="307" t="s">
        <v>11</v>
      </c>
    </row>
    <row r="2213" spans="1:8" x14ac:dyDescent="0.2">
      <c r="A2213" t="s">
        <v>49</v>
      </c>
      <c r="B2213" t="s">
        <v>101</v>
      </c>
      <c r="C2213" t="s">
        <v>801</v>
      </c>
      <c r="D2213">
        <v>3</v>
      </c>
      <c r="E2213" s="307">
        <v>4</v>
      </c>
      <c r="F2213" s="307" t="s">
        <v>105</v>
      </c>
      <c r="G2213" s="307" t="s">
        <v>11</v>
      </c>
      <c r="H2213" s="307" t="s">
        <v>11</v>
      </c>
    </row>
    <row r="2214" spans="1:8" x14ac:dyDescent="0.2">
      <c r="A2214" t="s">
        <v>49</v>
      </c>
      <c r="B2214" t="s">
        <v>101</v>
      </c>
      <c r="C2214" t="s">
        <v>2048</v>
      </c>
      <c r="D2214">
        <v>3</v>
      </c>
      <c r="E2214" s="307">
        <v>4</v>
      </c>
      <c r="F2214" s="307" t="s">
        <v>105</v>
      </c>
      <c r="G2214" s="307" t="s">
        <v>11</v>
      </c>
      <c r="H2214" s="307" t="s">
        <v>11</v>
      </c>
    </row>
    <row r="2215" spans="1:8" x14ac:dyDescent="0.2">
      <c r="A2215" t="s">
        <v>49</v>
      </c>
      <c r="B2215" t="s">
        <v>101</v>
      </c>
      <c r="C2215" t="s">
        <v>2049</v>
      </c>
      <c r="D2215">
        <v>2</v>
      </c>
      <c r="E2215" s="307">
        <v>4</v>
      </c>
      <c r="F2215" s="307" t="s">
        <v>105</v>
      </c>
      <c r="G2215" s="307" t="s">
        <v>11</v>
      </c>
      <c r="H2215" s="307" t="s">
        <v>11</v>
      </c>
    </row>
    <row r="2216" spans="1:8" x14ac:dyDescent="0.2">
      <c r="A2216" t="s">
        <v>49</v>
      </c>
      <c r="B2216" t="s">
        <v>101</v>
      </c>
      <c r="C2216" t="s">
        <v>808</v>
      </c>
      <c r="D2216">
        <v>2</v>
      </c>
      <c r="E2216" s="307">
        <v>4</v>
      </c>
      <c r="F2216" s="307" t="s">
        <v>105</v>
      </c>
      <c r="G2216" s="307" t="s">
        <v>11</v>
      </c>
      <c r="H2216" s="307" t="s">
        <v>11</v>
      </c>
    </row>
    <row r="2217" spans="1:8" x14ac:dyDescent="0.2">
      <c r="A2217" t="s">
        <v>49</v>
      </c>
      <c r="B2217" t="s">
        <v>101</v>
      </c>
      <c r="C2217" t="s">
        <v>1806</v>
      </c>
      <c r="D2217">
        <v>3</v>
      </c>
      <c r="E2217" s="307">
        <v>4</v>
      </c>
      <c r="F2217" s="307" t="s">
        <v>105</v>
      </c>
      <c r="G2217" s="307" t="s">
        <v>11</v>
      </c>
      <c r="H2217" s="307" t="s">
        <v>11</v>
      </c>
    </row>
    <row r="2218" spans="1:8" x14ac:dyDescent="0.2">
      <c r="A2218" t="s">
        <v>49</v>
      </c>
      <c r="B2218" t="s">
        <v>101</v>
      </c>
      <c r="C2218" t="s">
        <v>2050</v>
      </c>
      <c r="D2218">
        <v>2</v>
      </c>
      <c r="E2218" s="307">
        <v>5</v>
      </c>
      <c r="F2218" s="307" t="s">
        <v>75</v>
      </c>
      <c r="G2218" s="307" t="s">
        <v>11</v>
      </c>
      <c r="H2218" s="307" t="s">
        <v>11</v>
      </c>
    </row>
    <row r="2219" spans="1:8" x14ac:dyDescent="0.2">
      <c r="A2219" t="s">
        <v>49</v>
      </c>
      <c r="B2219" t="s">
        <v>101</v>
      </c>
      <c r="C2219" t="s">
        <v>1826</v>
      </c>
      <c r="D2219">
        <v>3</v>
      </c>
      <c r="E2219" s="307">
        <v>4</v>
      </c>
      <c r="F2219" s="307" t="s">
        <v>105</v>
      </c>
      <c r="G2219" s="307" t="s">
        <v>11</v>
      </c>
      <c r="H2219" s="307" t="s">
        <v>11</v>
      </c>
    </row>
    <row r="2220" spans="1:8" x14ac:dyDescent="0.2">
      <c r="A2220" t="s">
        <v>49</v>
      </c>
      <c r="B2220" t="s">
        <v>101</v>
      </c>
      <c r="C2220" t="s">
        <v>2051</v>
      </c>
      <c r="D2220">
        <v>3</v>
      </c>
      <c r="E2220" s="307">
        <v>5</v>
      </c>
      <c r="F2220" s="307" t="s">
        <v>75</v>
      </c>
      <c r="G2220" s="307" t="s">
        <v>11</v>
      </c>
      <c r="H2220" s="307" t="s">
        <v>11</v>
      </c>
    </row>
    <row r="2221" spans="1:8" x14ac:dyDescent="0.2">
      <c r="A2221" t="s">
        <v>49</v>
      </c>
      <c r="B2221" t="s">
        <v>101</v>
      </c>
      <c r="C2221" t="s">
        <v>929</v>
      </c>
      <c r="D2221">
        <v>3</v>
      </c>
      <c r="E2221" s="307">
        <v>4</v>
      </c>
      <c r="F2221" s="307" t="s">
        <v>105</v>
      </c>
      <c r="G2221" s="307" t="s">
        <v>11</v>
      </c>
      <c r="H2221" s="307" t="s">
        <v>11</v>
      </c>
    </row>
    <row r="2222" spans="1:8" x14ac:dyDescent="0.2">
      <c r="A2222" t="s">
        <v>49</v>
      </c>
      <c r="B2222" t="s">
        <v>101</v>
      </c>
      <c r="C2222" t="s">
        <v>2052</v>
      </c>
      <c r="D2222">
        <v>2</v>
      </c>
      <c r="E2222" s="307">
        <v>5</v>
      </c>
      <c r="F2222" s="307" t="s">
        <v>75</v>
      </c>
      <c r="G2222" s="307" t="s">
        <v>11</v>
      </c>
      <c r="H2222" s="307" t="s">
        <v>11</v>
      </c>
    </row>
    <row r="2223" spans="1:8" x14ac:dyDescent="0.2">
      <c r="A2223" t="s">
        <v>49</v>
      </c>
      <c r="B2223" t="s">
        <v>101</v>
      </c>
      <c r="C2223" t="s">
        <v>819</v>
      </c>
      <c r="D2223">
        <v>2</v>
      </c>
      <c r="E2223" s="307">
        <v>5</v>
      </c>
      <c r="F2223" s="307" t="s">
        <v>75</v>
      </c>
      <c r="G2223" s="307" t="s">
        <v>11</v>
      </c>
      <c r="H2223" s="307" t="s">
        <v>11</v>
      </c>
    </row>
    <row r="2224" spans="1:8" x14ac:dyDescent="0.2">
      <c r="A2224" t="s">
        <v>49</v>
      </c>
      <c r="B2224" t="s">
        <v>101</v>
      </c>
      <c r="C2224" t="s">
        <v>2053</v>
      </c>
      <c r="D2224">
        <v>2</v>
      </c>
      <c r="E2224" s="307">
        <v>5</v>
      </c>
      <c r="F2224" s="307" t="s">
        <v>75</v>
      </c>
      <c r="G2224" s="307" t="s">
        <v>11</v>
      </c>
      <c r="H2224" s="307" t="s">
        <v>11</v>
      </c>
    </row>
    <row r="2225" spans="1:8" x14ac:dyDescent="0.2">
      <c r="A2225" t="s">
        <v>49</v>
      </c>
      <c r="B2225" t="s">
        <v>101</v>
      </c>
      <c r="C2225" t="s">
        <v>2054</v>
      </c>
      <c r="D2225">
        <v>2</v>
      </c>
      <c r="E2225" s="307">
        <v>5</v>
      </c>
      <c r="F2225" s="307" t="s">
        <v>75</v>
      </c>
      <c r="G2225" s="307" t="s">
        <v>11</v>
      </c>
      <c r="H2225" s="307" t="s">
        <v>11</v>
      </c>
    </row>
    <row r="2226" spans="1:8" x14ac:dyDescent="0.2">
      <c r="A2226" t="s">
        <v>49</v>
      </c>
      <c r="B2226" t="s">
        <v>101</v>
      </c>
      <c r="C2226" t="s">
        <v>721</v>
      </c>
      <c r="D2226">
        <v>3</v>
      </c>
      <c r="E2226" s="307">
        <v>4</v>
      </c>
      <c r="F2226" s="307" t="s">
        <v>105</v>
      </c>
      <c r="G2226" s="307" t="s">
        <v>11</v>
      </c>
      <c r="H2226" s="307" t="s">
        <v>11</v>
      </c>
    </row>
    <row r="2227" spans="1:8" x14ac:dyDescent="0.2">
      <c r="A2227" t="s">
        <v>49</v>
      </c>
      <c r="B2227" t="s">
        <v>101</v>
      </c>
      <c r="C2227" t="s">
        <v>722</v>
      </c>
      <c r="D2227">
        <v>2</v>
      </c>
      <c r="E2227" s="307">
        <v>5</v>
      </c>
      <c r="F2227" s="307" t="s">
        <v>75</v>
      </c>
      <c r="G2227" s="307" t="s">
        <v>11</v>
      </c>
      <c r="H2227" s="307" t="s">
        <v>11</v>
      </c>
    </row>
    <row r="2228" spans="1:8" x14ac:dyDescent="0.2">
      <c r="A2228" t="s">
        <v>49</v>
      </c>
      <c r="B2228" t="s">
        <v>101</v>
      </c>
      <c r="C2228" t="s">
        <v>2055</v>
      </c>
      <c r="D2228">
        <v>3</v>
      </c>
      <c r="E2228" s="307">
        <v>4</v>
      </c>
      <c r="F2228" s="307" t="s">
        <v>105</v>
      </c>
      <c r="G2228" s="307" t="s">
        <v>11</v>
      </c>
      <c r="H2228" s="307" t="s">
        <v>11</v>
      </c>
    </row>
    <row r="2229" spans="1:8" x14ac:dyDescent="0.2">
      <c r="A2229" t="s">
        <v>49</v>
      </c>
      <c r="B2229" t="s">
        <v>101</v>
      </c>
      <c r="C2229" t="s">
        <v>2056</v>
      </c>
      <c r="D2229">
        <v>2</v>
      </c>
      <c r="E2229" s="307">
        <v>5</v>
      </c>
      <c r="F2229" s="307" t="s">
        <v>75</v>
      </c>
      <c r="G2229" s="307" t="s">
        <v>11</v>
      </c>
      <c r="H2229" s="307" t="s">
        <v>11</v>
      </c>
    </row>
    <row r="2230" spans="1:8" x14ac:dyDescent="0.2">
      <c r="A2230" t="s">
        <v>49</v>
      </c>
      <c r="B2230" t="s">
        <v>101</v>
      </c>
      <c r="C2230" t="s">
        <v>871</v>
      </c>
      <c r="D2230">
        <v>2</v>
      </c>
      <c r="E2230" s="307">
        <v>5</v>
      </c>
      <c r="F2230" s="307" t="s">
        <v>75</v>
      </c>
      <c r="G2230" s="307" t="s">
        <v>11</v>
      </c>
      <c r="H2230" s="307" t="s">
        <v>11</v>
      </c>
    </row>
    <row r="2231" spans="1:8" x14ac:dyDescent="0.2">
      <c r="A2231" t="s">
        <v>49</v>
      </c>
      <c r="B2231" t="s">
        <v>101</v>
      </c>
      <c r="C2231" t="s">
        <v>1343</v>
      </c>
      <c r="D2231">
        <v>3</v>
      </c>
      <c r="E2231" s="307">
        <v>4</v>
      </c>
      <c r="F2231" s="307" t="s">
        <v>105</v>
      </c>
      <c r="G2231" s="307" t="s">
        <v>11</v>
      </c>
      <c r="H2231" s="307" t="s">
        <v>11</v>
      </c>
    </row>
    <row r="2232" spans="1:8" x14ac:dyDescent="0.2">
      <c r="A2232" t="s">
        <v>49</v>
      </c>
      <c r="B2232" t="s">
        <v>101</v>
      </c>
      <c r="C2232" t="s">
        <v>827</v>
      </c>
      <c r="D2232">
        <v>3</v>
      </c>
      <c r="E2232" s="307">
        <v>4</v>
      </c>
      <c r="F2232" s="307" t="s">
        <v>105</v>
      </c>
      <c r="G2232" s="307" t="s">
        <v>11</v>
      </c>
      <c r="H2232" s="307" t="s">
        <v>11</v>
      </c>
    </row>
    <row r="2233" spans="1:8" x14ac:dyDescent="0.2">
      <c r="A2233" t="s">
        <v>49</v>
      </c>
      <c r="B2233" t="s">
        <v>101</v>
      </c>
      <c r="C2233" t="s">
        <v>1290</v>
      </c>
      <c r="D2233">
        <v>3</v>
      </c>
      <c r="E2233" s="307">
        <v>4</v>
      </c>
      <c r="F2233" s="307" t="s">
        <v>105</v>
      </c>
      <c r="G2233" s="307" t="s">
        <v>11</v>
      </c>
      <c r="H2233" s="307" t="s">
        <v>11</v>
      </c>
    </row>
    <row r="2234" spans="1:8" x14ac:dyDescent="0.2">
      <c r="A2234" t="s">
        <v>49</v>
      </c>
      <c r="B2234" t="s">
        <v>101</v>
      </c>
      <c r="C2234" t="s">
        <v>2057</v>
      </c>
      <c r="D2234">
        <v>2</v>
      </c>
      <c r="E2234" s="307">
        <v>5</v>
      </c>
      <c r="F2234" s="307" t="s">
        <v>75</v>
      </c>
      <c r="G2234" s="307" t="s">
        <v>11</v>
      </c>
      <c r="H2234" s="307" t="s">
        <v>11</v>
      </c>
    </row>
    <row r="2235" spans="1:8" x14ac:dyDescent="0.2">
      <c r="A2235" t="s">
        <v>49</v>
      </c>
      <c r="B2235" t="s">
        <v>101</v>
      </c>
      <c r="C2235" t="s">
        <v>732</v>
      </c>
      <c r="D2235">
        <v>3</v>
      </c>
      <c r="E2235" s="307">
        <v>4</v>
      </c>
      <c r="F2235" s="307" t="s">
        <v>105</v>
      </c>
      <c r="G2235" s="307" t="s">
        <v>11</v>
      </c>
      <c r="H2235" s="307" t="s">
        <v>11</v>
      </c>
    </row>
    <row r="2236" spans="1:8" x14ac:dyDescent="0.2">
      <c r="A2236" t="s">
        <v>49</v>
      </c>
      <c r="B2236" t="s">
        <v>101</v>
      </c>
      <c r="C2236" t="s">
        <v>1993</v>
      </c>
      <c r="D2236">
        <v>2</v>
      </c>
      <c r="E2236" s="307">
        <v>5</v>
      </c>
      <c r="F2236" s="307" t="s">
        <v>75</v>
      </c>
      <c r="G2236" s="307" t="s">
        <v>11</v>
      </c>
      <c r="H2236" s="307" t="s">
        <v>11</v>
      </c>
    </row>
    <row r="2237" spans="1:8" x14ac:dyDescent="0.2">
      <c r="A2237" t="s">
        <v>49</v>
      </c>
      <c r="B2237" t="s">
        <v>101</v>
      </c>
      <c r="C2237" t="s">
        <v>2058</v>
      </c>
      <c r="D2237">
        <v>2</v>
      </c>
      <c r="E2237" s="307">
        <v>4</v>
      </c>
      <c r="F2237" s="307" t="s">
        <v>105</v>
      </c>
      <c r="G2237" s="307" t="s">
        <v>11</v>
      </c>
      <c r="H2237" s="307" t="s">
        <v>11</v>
      </c>
    </row>
    <row r="2238" spans="1:8" x14ac:dyDescent="0.2">
      <c r="A2238" t="s">
        <v>49</v>
      </c>
      <c r="B2238" t="s">
        <v>101</v>
      </c>
      <c r="C2238" t="s">
        <v>838</v>
      </c>
      <c r="D2238">
        <v>3</v>
      </c>
      <c r="E2238" s="307">
        <v>4</v>
      </c>
      <c r="F2238" s="307" t="s">
        <v>105</v>
      </c>
      <c r="G2238" s="307" t="s">
        <v>11</v>
      </c>
      <c r="H2238" s="307" t="s">
        <v>11</v>
      </c>
    </row>
    <row r="2239" spans="1:8" x14ac:dyDescent="0.2">
      <c r="A2239" t="s">
        <v>49</v>
      </c>
      <c r="B2239" t="s">
        <v>101</v>
      </c>
      <c r="C2239" t="s">
        <v>1368</v>
      </c>
      <c r="D2239">
        <v>2</v>
      </c>
      <c r="E2239" s="307">
        <v>5</v>
      </c>
      <c r="F2239" s="307" t="s">
        <v>75</v>
      </c>
      <c r="G2239" s="307" t="s">
        <v>11</v>
      </c>
      <c r="H2239" s="307" t="s">
        <v>11</v>
      </c>
    </row>
    <row r="2240" spans="1:8" x14ac:dyDescent="0.2">
      <c r="A2240" t="s">
        <v>49</v>
      </c>
      <c r="B2240" t="s">
        <v>101</v>
      </c>
      <c r="C2240" t="s">
        <v>2059</v>
      </c>
      <c r="D2240">
        <v>3</v>
      </c>
      <c r="E2240" s="307">
        <v>4</v>
      </c>
      <c r="F2240" s="307" t="s">
        <v>105</v>
      </c>
      <c r="G2240" s="307" t="s">
        <v>11</v>
      </c>
      <c r="H2240" s="307" t="s">
        <v>11</v>
      </c>
    </row>
    <row r="2241" spans="1:8" x14ac:dyDescent="0.2">
      <c r="A2241" t="s">
        <v>49</v>
      </c>
      <c r="B2241" t="s">
        <v>101</v>
      </c>
      <c r="C2241" t="s">
        <v>2060</v>
      </c>
      <c r="D2241">
        <v>2</v>
      </c>
      <c r="E2241" s="307">
        <v>5</v>
      </c>
      <c r="F2241" s="307" t="s">
        <v>75</v>
      </c>
      <c r="G2241" s="307" t="s">
        <v>11</v>
      </c>
      <c r="H2241" s="307" t="s">
        <v>11</v>
      </c>
    </row>
    <row r="2242" spans="1:8" x14ac:dyDescent="0.2">
      <c r="A2242" t="s">
        <v>49</v>
      </c>
      <c r="B2242" t="s">
        <v>101</v>
      </c>
      <c r="C2242" t="s">
        <v>850</v>
      </c>
      <c r="D2242">
        <v>2</v>
      </c>
      <c r="E2242" s="307">
        <v>5</v>
      </c>
      <c r="F2242" s="307" t="s">
        <v>75</v>
      </c>
      <c r="G2242" s="307" t="s">
        <v>11</v>
      </c>
      <c r="H2242" s="307" t="s">
        <v>11</v>
      </c>
    </row>
    <row r="2243" spans="1:8" x14ac:dyDescent="0.2">
      <c r="A2243" t="s">
        <v>49</v>
      </c>
      <c r="B2243" t="s">
        <v>101</v>
      </c>
      <c r="C2243" t="s">
        <v>2061</v>
      </c>
      <c r="D2243">
        <v>3</v>
      </c>
      <c r="E2243" s="307">
        <v>5</v>
      </c>
      <c r="F2243" s="307" t="s">
        <v>75</v>
      </c>
      <c r="G2243" s="307" t="s">
        <v>11</v>
      </c>
      <c r="H2243" s="307" t="s">
        <v>11</v>
      </c>
    </row>
    <row r="2244" spans="1:8" x14ac:dyDescent="0.2">
      <c r="A2244" t="s">
        <v>49</v>
      </c>
      <c r="B2244" t="s">
        <v>101</v>
      </c>
      <c r="C2244" t="s">
        <v>2062</v>
      </c>
      <c r="D2244">
        <v>2</v>
      </c>
      <c r="E2244" s="307">
        <v>5</v>
      </c>
      <c r="F2244" s="307" t="s">
        <v>75</v>
      </c>
      <c r="G2244" s="307" t="s">
        <v>11</v>
      </c>
      <c r="H2244" s="307" t="s">
        <v>11</v>
      </c>
    </row>
    <row r="2245" spans="1:8" x14ac:dyDescent="0.2">
      <c r="A2245" t="s">
        <v>49</v>
      </c>
      <c r="B2245" t="s">
        <v>101</v>
      </c>
      <c r="C2245" t="s">
        <v>750</v>
      </c>
      <c r="D2245">
        <v>2</v>
      </c>
      <c r="E2245" s="307">
        <v>4</v>
      </c>
      <c r="F2245" s="307" t="s">
        <v>105</v>
      </c>
      <c r="G2245" s="307" t="s">
        <v>11</v>
      </c>
      <c r="H2245" s="307" t="s">
        <v>11</v>
      </c>
    </row>
    <row r="2246" spans="1:8" x14ac:dyDescent="0.2">
      <c r="A2246" t="s">
        <v>49</v>
      </c>
      <c r="B2246" t="s">
        <v>101</v>
      </c>
      <c r="C2246" t="s">
        <v>1131</v>
      </c>
      <c r="D2246">
        <v>2</v>
      </c>
      <c r="E2246" s="307">
        <v>5</v>
      </c>
      <c r="F2246" s="307" t="s">
        <v>75</v>
      </c>
      <c r="G2246" s="307" t="s">
        <v>11</v>
      </c>
      <c r="H2246" s="307" t="s">
        <v>11</v>
      </c>
    </row>
    <row r="2247" spans="1:8" x14ac:dyDescent="0.2">
      <c r="A2247" t="s">
        <v>49</v>
      </c>
      <c r="B2247" t="s">
        <v>101</v>
      </c>
      <c r="C2247" t="s">
        <v>2063</v>
      </c>
      <c r="D2247">
        <v>2</v>
      </c>
      <c r="E2247" s="307">
        <v>4</v>
      </c>
      <c r="F2247" s="307" t="s">
        <v>105</v>
      </c>
      <c r="G2247" s="307" t="s">
        <v>11</v>
      </c>
      <c r="H2247" s="307" t="s">
        <v>11</v>
      </c>
    </row>
    <row r="2248" spans="1:8" x14ac:dyDescent="0.2">
      <c r="A2248" t="s">
        <v>50</v>
      </c>
      <c r="B2248" t="s">
        <v>81</v>
      </c>
      <c r="C2248" t="s">
        <v>911</v>
      </c>
      <c r="D2248">
        <v>1</v>
      </c>
      <c r="E2248" s="307">
        <v>5</v>
      </c>
      <c r="F2248" s="307" t="s">
        <v>7</v>
      </c>
      <c r="G2248" s="307" t="s">
        <v>11</v>
      </c>
      <c r="H2248" s="307" t="s">
        <v>11</v>
      </c>
    </row>
    <row r="2249" spans="1:8" x14ac:dyDescent="0.2">
      <c r="A2249" t="s">
        <v>50</v>
      </c>
      <c r="B2249" t="s">
        <v>81</v>
      </c>
      <c r="C2249" t="s">
        <v>2064</v>
      </c>
      <c r="D2249">
        <v>1</v>
      </c>
      <c r="E2249" s="307">
        <v>5</v>
      </c>
      <c r="F2249" s="307" t="s">
        <v>7</v>
      </c>
      <c r="G2249" s="307" t="s">
        <v>11</v>
      </c>
      <c r="H2249" s="307" t="s">
        <v>11</v>
      </c>
    </row>
    <row r="2250" spans="1:8" x14ac:dyDescent="0.2">
      <c r="A2250" t="s">
        <v>50</v>
      </c>
      <c r="B2250" t="s">
        <v>81</v>
      </c>
      <c r="C2250" t="s">
        <v>2065</v>
      </c>
      <c r="D2250">
        <v>1</v>
      </c>
      <c r="E2250" s="307">
        <v>5</v>
      </c>
      <c r="F2250" s="307" t="s">
        <v>7</v>
      </c>
      <c r="G2250" s="307" t="s">
        <v>11</v>
      </c>
      <c r="H2250" s="307" t="s">
        <v>11</v>
      </c>
    </row>
    <row r="2251" spans="1:8" x14ac:dyDescent="0.2">
      <c r="A2251" t="s">
        <v>50</v>
      </c>
      <c r="B2251" t="s">
        <v>81</v>
      </c>
      <c r="C2251" t="s">
        <v>2009</v>
      </c>
      <c r="D2251">
        <v>1</v>
      </c>
      <c r="E2251" s="307">
        <v>5</v>
      </c>
      <c r="F2251" s="307" t="s">
        <v>7</v>
      </c>
      <c r="G2251" s="307" t="s">
        <v>11</v>
      </c>
      <c r="H2251" s="307" t="s">
        <v>11</v>
      </c>
    </row>
    <row r="2252" spans="1:8" x14ac:dyDescent="0.2">
      <c r="A2252" t="s">
        <v>50</v>
      </c>
      <c r="B2252" t="s">
        <v>81</v>
      </c>
      <c r="C2252" t="s">
        <v>2066</v>
      </c>
      <c r="D2252">
        <v>1</v>
      </c>
      <c r="E2252" s="307">
        <v>5</v>
      </c>
      <c r="F2252" s="307" t="s">
        <v>7</v>
      </c>
      <c r="G2252" s="307" t="s">
        <v>11</v>
      </c>
      <c r="H2252" s="307" t="s">
        <v>11</v>
      </c>
    </row>
    <row r="2253" spans="1:8" x14ac:dyDescent="0.2">
      <c r="A2253" t="s">
        <v>50</v>
      </c>
      <c r="B2253" t="s">
        <v>81</v>
      </c>
      <c r="C2253" t="s">
        <v>2067</v>
      </c>
      <c r="D2253">
        <v>1</v>
      </c>
      <c r="E2253" s="307">
        <v>5</v>
      </c>
      <c r="F2253" s="307" t="s">
        <v>7</v>
      </c>
      <c r="G2253" s="307" t="s">
        <v>11</v>
      </c>
      <c r="H2253" s="307" t="s">
        <v>11</v>
      </c>
    </row>
    <row r="2254" spans="1:8" x14ac:dyDescent="0.2">
      <c r="A2254" t="s">
        <v>50</v>
      </c>
      <c r="B2254" t="s">
        <v>81</v>
      </c>
      <c r="C2254" t="s">
        <v>2068</v>
      </c>
      <c r="D2254">
        <v>1</v>
      </c>
      <c r="E2254" s="307">
        <v>5</v>
      </c>
      <c r="F2254" s="307" t="s">
        <v>7</v>
      </c>
      <c r="G2254" s="307" t="s">
        <v>11</v>
      </c>
      <c r="H2254" s="307" t="s">
        <v>11</v>
      </c>
    </row>
    <row r="2255" spans="1:8" x14ac:dyDescent="0.2">
      <c r="A2255" t="s">
        <v>50</v>
      </c>
      <c r="B2255" t="s">
        <v>81</v>
      </c>
      <c r="C2255" t="s">
        <v>981</v>
      </c>
      <c r="D2255">
        <v>1</v>
      </c>
      <c r="E2255" s="307">
        <v>5</v>
      </c>
      <c r="F2255" s="307" t="s">
        <v>7</v>
      </c>
      <c r="G2255" s="307" t="s">
        <v>11</v>
      </c>
      <c r="H2255" s="307" t="s">
        <v>11</v>
      </c>
    </row>
    <row r="2256" spans="1:8" x14ac:dyDescent="0.2">
      <c r="A2256" t="s">
        <v>50</v>
      </c>
      <c r="B2256" t="s">
        <v>81</v>
      </c>
      <c r="C2256" t="s">
        <v>2069</v>
      </c>
      <c r="D2256">
        <v>1</v>
      </c>
      <c r="E2256" s="307">
        <v>4</v>
      </c>
      <c r="F2256" s="307" t="s">
        <v>7</v>
      </c>
      <c r="G2256" s="307" t="s">
        <v>11</v>
      </c>
      <c r="H2256" s="307" t="s">
        <v>11</v>
      </c>
    </row>
    <row r="2257" spans="1:8" x14ac:dyDescent="0.2">
      <c r="A2257" t="s">
        <v>50</v>
      </c>
      <c r="B2257" t="s">
        <v>81</v>
      </c>
      <c r="C2257" t="s">
        <v>692</v>
      </c>
      <c r="D2257">
        <v>1</v>
      </c>
      <c r="E2257" s="307">
        <v>5</v>
      </c>
      <c r="F2257" s="307" t="s">
        <v>7</v>
      </c>
      <c r="G2257" s="307" t="s">
        <v>11</v>
      </c>
      <c r="H2257" s="307" t="s">
        <v>11</v>
      </c>
    </row>
    <row r="2258" spans="1:8" x14ac:dyDescent="0.2">
      <c r="A2258" t="s">
        <v>50</v>
      </c>
      <c r="B2258" t="s">
        <v>81</v>
      </c>
      <c r="C2258" t="s">
        <v>2070</v>
      </c>
      <c r="D2258">
        <v>2</v>
      </c>
      <c r="E2258" s="307">
        <v>5</v>
      </c>
      <c r="F2258" s="307" t="s">
        <v>7</v>
      </c>
      <c r="G2258" s="307" t="s">
        <v>11</v>
      </c>
      <c r="H2258" s="307" t="s">
        <v>11</v>
      </c>
    </row>
    <row r="2259" spans="1:8" x14ac:dyDescent="0.2">
      <c r="A2259" t="s">
        <v>50</v>
      </c>
      <c r="B2259" t="s">
        <v>81</v>
      </c>
      <c r="C2259" t="s">
        <v>1445</v>
      </c>
      <c r="D2259">
        <v>1</v>
      </c>
      <c r="E2259" s="307">
        <v>6</v>
      </c>
      <c r="F2259" s="307" t="s">
        <v>7</v>
      </c>
      <c r="G2259" s="307" t="s">
        <v>11</v>
      </c>
      <c r="H2259" s="307" t="s">
        <v>11</v>
      </c>
    </row>
    <row r="2260" spans="1:8" x14ac:dyDescent="0.2">
      <c r="A2260" t="s">
        <v>50</v>
      </c>
      <c r="B2260" t="s">
        <v>81</v>
      </c>
      <c r="C2260" t="s">
        <v>1720</v>
      </c>
      <c r="D2260">
        <v>1</v>
      </c>
      <c r="E2260" s="307">
        <v>5</v>
      </c>
      <c r="F2260" s="307" t="s">
        <v>7</v>
      </c>
      <c r="G2260" s="307" t="s">
        <v>11</v>
      </c>
      <c r="H2260" s="307" t="s">
        <v>11</v>
      </c>
    </row>
    <row r="2261" spans="1:8" x14ac:dyDescent="0.2">
      <c r="A2261" t="s">
        <v>50</v>
      </c>
      <c r="B2261" t="s">
        <v>81</v>
      </c>
      <c r="C2261" t="s">
        <v>2071</v>
      </c>
      <c r="D2261">
        <v>1</v>
      </c>
      <c r="E2261" s="307">
        <v>5</v>
      </c>
      <c r="F2261" s="307" t="s">
        <v>7</v>
      </c>
      <c r="G2261" s="307" t="s">
        <v>11</v>
      </c>
      <c r="H2261" s="307" t="s">
        <v>11</v>
      </c>
    </row>
    <row r="2262" spans="1:8" x14ac:dyDescent="0.2">
      <c r="A2262" t="s">
        <v>50</v>
      </c>
      <c r="B2262" t="s">
        <v>81</v>
      </c>
      <c r="C2262" t="s">
        <v>2072</v>
      </c>
      <c r="D2262">
        <v>1</v>
      </c>
      <c r="E2262" s="307">
        <v>4</v>
      </c>
      <c r="F2262" s="307" t="s">
        <v>7</v>
      </c>
      <c r="G2262" s="307" t="s">
        <v>11</v>
      </c>
      <c r="H2262" s="307" t="s">
        <v>11</v>
      </c>
    </row>
    <row r="2263" spans="1:8" x14ac:dyDescent="0.2">
      <c r="A2263" t="s">
        <v>50</v>
      </c>
      <c r="B2263" t="s">
        <v>81</v>
      </c>
      <c r="C2263" t="s">
        <v>2073</v>
      </c>
      <c r="D2263">
        <v>1</v>
      </c>
      <c r="E2263" s="307">
        <v>5</v>
      </c>
      <c r="F2263" s="307" t="s">
        <v>7</v>
      </c>
      <c r="G2263" s="307" t="s">
        <v>11</v>
      </c>
      <c r="H2263" s="307" t="s">
        <v>11</v>
      </c>
    </row>
    <row r="2264" spans="1:8" x14ac:dyDescent="0.2">
      <c r="A2264" t="s">
        <v>50</v>
      </c>
      <c r="B2264" t="s">
        <v>81</v>
      </c>
      <c r="C2264" t="s">
        <v>2074</v>
      </c>
      <c r="D2264">
        <v>1</v>
      </c>
      <c r="E2264" s="307">
        <v>6</v>
      </c>
      <c r="F2264" s="307" t="s">
        <v>7</v>
      </c>
      <c r="G2264" s="307" t="s">
        <v>11</v>
      </c>
      <c r="H2264" s="307" t="s">
        <v>11</v>
      </c>
    </row>
    <row r="2265" spans="1:8" x14ac:dyDescent="0.2">
      <c r="A2265" t="s">
        <v>50</v>
      </c>
      <c r="B2265" t="s">
        <v>81</v>
      </c>
      <c r="C2265" t="s">
        <v>1181</v>
      </c>
      <c r="D2265">
        <v>1</v>
      </c>
      <c r="E2265" s="307">
        <v>5</v>
      </c>
      <c r="F2265" s="307" t="s">
        <v>7</v>
      </c>
      <c r="G2265" s="307" t="s">
        <v>11</v>
      </c>
      <c r="H2265" s="307" t="s">
        <v>11</v>
      </c>
    </row>
    <row r="2266" spans="1:8" x14ac:dyDescent="0.2">
      <c r="A2266" t="s">
        <v>50</v>
      </c>
      <c r="B2266" t="s">
        <v>81</v>
      </c>
      <c r="C2266" t="s">
        <v>808</v>
      </c>
      <c r="D2266">
        <v>1</v>
      </c>
      <c r="E2266" s="307">
        <v>5</v>
      </c>
      <c r="F2266" s="307" t="s">
        <v>7</v>
      </c>
      <c r="G2266" s="307" t="s">
        <v>11</v>
      </c>
      <c r="H2266" s="307" t="s">
        <v>11</v>
      </c>
    </row>
    <row r="2267" spans="1:8" x14ac:dyDescent="0.2">
      <c r="A2267" t="s">
        <v>50</v>
      </c>
      <c r="B2267" t="s">
        <v>81</v>
      </c>
      <c r="C2267" t="s">
        <v>811</v>
      </c>
      <c r="D2267">
        <v>2</v>
      </c>
      <c r="E2267" s="307">
        <v>5</v>
      </c>
      <c r="F2267" s="307" t="s">
        <v>7</v>
      </c>
      <c r="G2267" s="307" t="s">
        <v>11</v>
      </c>
      <c r="H2267" s="307" t="s">
        <v>11</v>
      </c>
    </row>
    <row r="2268" spans="1:8" x14ac:dyDescent="0.2">
      <c r="A2268" t="s">
        <v>50</v>
      </c>
      <c r="B2268" t="s">
        <v>81</v>
      </c>
      <c r="C2268" t="s">
        <v>1183</v>
      </c>
      <c r="D2268">
        <v>1</v>
      </c>
      <c r="E2268" s="307">
        <v>5</v>
      </c>
      <c r="F2268" s="307" t="s">
        <v>7</v>
      </c>
      <c r="G2268" s="307" t="s">
        <v>11</v>
      </c>
      <c r="H2268" s="307" t="s">
        <v>11</v>
      </c>
    </row>
    <row r="2269" spans="1:8" x14ac:dyDescent="0.2">
      <c r="A2269" t="s">
        <v>50</v>
      </c>
      <c r="B2269" t="s">
        <v>81</v>
      </c>
      <c r="C2269" t="s">
        <v>2075</v>
      </c>
      <c r="D2269">
        <v>1</v>
      </c>
      <c r="E2269" s="307">
        <v>5</v>
      </c>
      <c r="F2269" s="307" t="s">
        <v>7</v>
      </c>
      <c r="G2269" s="307" t="s">
        <v>11</v>
      </c>
      <c r="H2269" s="307" t="s">
        <v>11</v>
      </c>
    </row>
    <row r="2270" spans="1:8" x14ac:dyDescent="0.2">
      <c r="A2270" t="s">
        <v>50</v>
      </c>
      <c r="B2270" t="s">
        <v>81</v>
      </c>
      <c r="C2270" t="s">
        <v>1233</v>
      </c>
      <c r="D2270">
        <v>1</v>
      </c>
      <c r="E2270" s="307">
        <v>4</v>
      </c>
      <c r="F2270" s="307" t="s">
        <v>7</v>
      </c>
      <c r="G2270" s="307" t="s">
        <v>11</v>
      </c>
      <c r="H2270" s="307" t="s">
        <v>11</v>
      </c>
    </row>
    <row r="2271" spans="1:8" x14ac:dyDescent="0.2">
      <c r="A2271" t="s">
        <v>50</v>
      </c>
      <c r="B2271" t="s">
        <v>81</v>
      </c>
      <c r="C2271" t="s">
        <v>1326</v>
      </c>
      <c r="D2271">
        <v>2</v>
      </c>
      <c r="E2271" s="307">
        <v>6</v>
      </c>
      <c r="F2271" s="307" t="s">
        <v>7</v>
      </c>
      <c r="G2271" s="307" t="s">
        <v>11</v>
      </c>
      <c r="H2271" s="307" t="s">
        <v>11</v>
      </c>
    </row>
    <row r="2272" spans="1:8" x14ac:dyDescent="0.2">
      <c r="A2272" t="s">
        <v>50</v>
      </c>
      <c r="B2272" t="s">
        <v>81</v>
      </c>
      <c r="C2272" t="s">
        <v>1855</v>
      </c>
      <c r="D2272">
        <v>2</v>
      </c>
      <c r="E2272" s="307">
        <v>5</v>
      </c>
      <c r="F2272" s="307" t="s">
        <v>7</v>
      </c>
      <c r="G2272" s="307" t="s">
        <v>11</v>
      </c>
      <c r="H2272" s="307" t="s">
        <v>11</v>
      </c>
    </row>
    <row r="2273" spans="1:8" x14ac:dyDescent="0.2">
      <c r="A2273" t="s">
        <v>50</v>
      </c>
      <c r="B2273" t="s">
        <v>81</v>
      </c>
      <c r="C2273" t="s">
        <v>714</v>
      </c>
      <c r="D2273">
        <v>2</v>
      </c>
      <c r="E2273" s="307">
        <v>5</v>
      </c>
      <c r="F2273" s="307" t="s">
        <v>7</v>
      </c>
      <c r="G2273" s="307" t="s">
        <v>11</v>
      </c>
      <c r="H2273" s="307" t="s">
        <v>11</v>
      </c>
    </row>
    <row r="2274" spans="1:8" x14ac:dyDescent="0.2">
      <c r="A2274" t="s">
        <v>50</v>
      </c>
      <c r="B2274" t="s">
        <v>81</v>
      </c>
      <c r="C2274" t="s">
        <v>2076</v>
      </c>
      <c r="D2274">
        <v>2</v>
      </c>
      <c r="E2274" s="307">
        <v>5</v>
      </c>
      <c r="F2274" s="307" t="s">
        <v>7</v>
      </c>
      <c r="G2274" s="307" t="s">
        <v>11</v>
      </c>
      <c r="H2274" s="307" t="s">
        <v>11</v>
      </c>
    </row>
    <row r="2275" spans="1:8" x14ac:dyDescent="0.2">
      <c r="A2275" t="s">
        <v>50</v>
      </c>
      <c r="B2275" t="s">
        <v>81</v>
      </c>
      <c r="C2275" t="s">
        <v>715</v>
      </c>
      <c r="D2275">
        <v>1</v>
      </c>
      <c r="E2275" s="307">
        <v>5</v>
      </c>
      <c r="F2275" s="307" t="s">
        <v>7</v>
      </c>
      <c r="G2275" s="307" t="s">
        <v>11</v>
      </c>
      <c r="H2275" s="307" t="s">
        <v>11</v>
      </c>
    </row>
    <row r="2276" spans="1:8" x14ac:dyDescent="0.2">
      <c r="A2276" t="s">
        <v>50</v>
      </c>
      <c r="B2276" t="s">
        <v>81</v>
      </c>
      <c r="C2276" t="s">
        <v>817</v>
      </c>
      <c r="D2276">
        <v>1</v>
      </c>
      <c r="E2276" s="307">
        <v>5</v>
      </c>
      <c r="F2276" s="307" t="s">
        <v>7</v>
      </c>
      <c r="G2276" s="307" t="s">
        <v>11</v>
      </c>
      <c r="H2276" s="307" t="s">
        <v>11</v>
      </c>
    </row>
    <row r="2277" spans="1:8" x14ac:dyDescent="0.2">
      <c r="A2277" t="s">
        <v>50</v>
      </c>
      <c r="B2277" t="s">
        <v>81</v>
      </c>
      <c r="C2277" t="s">
        <v>717</v>
      </c>
      <c r="D2277">
        <v>2</v>
      </c>
      <c r="E2277" s="307">
        <v>5</v>
      </c>
      <c r="F2277" s="307" t="s">
        <v>7</v>
      </c>
      <c r="G2277" s="307" t="s">
        <v>11</v>
      </c>
      <c r="H2277" s="307" t="s">
        <v>11</v>
      </c>
    </row>
    <row r="2278" spans="1:8" x14ac:dyDescent="0.2">
      <c r="A2278" t="s">
        <v>50</v>
      </c>
      <c r="B2278" t="s">
        <v>81</v>
      </c>
      <c r="C2278" t="s">
        <v>2077</v>
      </c>
      <c r="D2278">
        <v>1</v>
      </c>
      <c r="E2278" s="307">
        <v>5</v>
      </c>
      <c r="F2278" s="307" t="s">
        <v>7</v>
      </c>
      <c r="G2278" s="307" t="s">
        <v>11</v>
      </c>
      <c r="H2278" s="307" t="s">
        <v>11</v>
      </c>
    </row>
    <row r="2279" spans="1:8" x14ac:dyDescent="0.2">
      <c r="A2279" t="s">
        <v>50</v>
      </c>
      <c r="B2279" t="s">
        <v>81</v>
      </c>
      <c r="C2279" t="s">
        <v>2078</v>
      </c>
      <c r="D2279">
        <v>1</v>
      </c>
      <c r="E2279" s="307">
        <v>5</v>
      </c>
      <c r="F2279" s="307" t="s">
        <v>7</v>
      </c>
      <c r="G2279" s="307" t="s">
        <v>11</v>
      </c>
      <c r="H2279" s="307" t="s">
        <v>11</v>
      </c>
    </row>
    <row r="2280" spans="1:8" x14ac:dyDescent="0.2">
      <c r="A2280" t="s">
        <v>50</v>
      </c>
      <c r="B2280" t="s">
        <v>81</v>
      </c>
      <c r="C2280" t="s">
        <v>722</v>
      </c>
      <c r="D2280">
        <v>2</v>
      </c>
      <c r="E2280" s="307">
        <v>5</v>
      </c>
      <c r="F2280" s="307" t="s">
        <v>7</v>
      </c>
      <c r="G2280" s="307" t="s">
        <v>11</v>
      </c>
      <c r="H2280" s="307" t="s">
        <v>11</v>
      </c>
    </row>
    <row r="2281" spans="1:8" x14ac:dyDescent="0.2">
      <c r="A2281" t="s">
        <v>50</v>
      </c>
      <c r="B2281" t="s">
        <v>81</v>
      </c>
      <c r="C2281" t="s">
        <v>2079</v>
      </c>
      <c r="D2281">
        <v>1</v>
      </c>
      <c r="E2281" s="307">
        <v>5</v>
      </c>
      <c r="F2281" s="307" t="s">
        <v>7</v>
      </c>
      <c r="G2281" s="307" t="s">
        <v>11</v>
      </c>
      <c r="H2281" s="307" t="s">
        <v>11</v>
      </c>
    </row>
    <row r="2282" spans="1:8" x14ac:dyDescent="0.2">
      <c r="A2282" t="s">
        <v>50</v>
      </c>
      <c r="B2282" t="s">
        <v>81</v>
      </c>
      <c r="C2282" t="s">
        <v>2080</v>
      </c>
      <c r="D2282">
        <v>1</v>
      </c>
      <c r="E2282" s="307">
        <v>5</v>
      </c>
      <c r="F2282" s="307" t="s">
        <v>7</v>
      </c>
      <c r="G2282" s="307" t="s">
        <v>11</v>
      </c>
      <c r="H2282" s="307" t="s">
        <v>11</v>
      </c>
    </row>
    <row r="2283" spans="1:8" x14ac:dyDescent="0.2">
      <c r="A2283" t="s">
        <v>50</v>
      </c>
      <c r="B2283" t="s">
        <v>81</v>
      </c>
      <c r="C2283" t="s">
        <v>1778</v>
      </c>
      <c r="D2283">
        <v>1</v>
      </c>
      <c r="E2283" s="307">
        <v>5</v>
      </c>
      <c r="F2283" s="307" t="s">
        <v>7</v>
      </c>
      <c r="G2283" s="307" t="s">
        <v>11</v>
      </c>
      <c r="H2283" s="307" t="s">
        <v>11</v>
      </c>
    </row>
    <row r="2284" spans="1:8" x14ac:dyDescent="0.2">
      <c r="A2284" t="s">
        <v>50</v>
      </c>
      <c r="B2284" t="s">
        <v>81</v>
      </c>
      <c r="C2284" t="s">
        <v>725</v>
      </c>
      <c r="D2284">
        <v>2</v>
      </c>
      <c r="E2284" s="307">
        <v>5</v>
      </c>
      <c r="F2284" s="307" t="s">
        <v>7</v>
      </c>
      <c r="G2284" s="307" t="s">
        <v>11</v>
      </c>
      <c r="H2284" s="307" t="s">
        <v>11</v>
      </c>
    </row>
    <row r="2285" spans="1:8" x14ac:dyDescent="0.2">
      <c r="A2285" t="s">
        <v>50</v>
      </c>
      <c r="B2285" t="s">
        <v>81</v>
      </c>
      <c r="C2285" t="s">
        <v>2081</v>
      </c>
      <c r="D2285">
        <v>1</v>
      </c>
      <c r="E2285" s="307">
        <v>5</v>
      </c>
      <c r="F2285" s="307" t="s">
        <v>7</v>
      </c>
      <c r="G2285" s="307" t="s">
        <v>11</v>
      </c>
      <c r="H2285" s="307" t="s">
        <v>11</v>
      </c>
    </row>
    <row r="2286" spans="1:8" x14ac:dyDescent="0.2">
      <c r="A2286" t="s">
        <v>50</v>
      </c>
      <c r="B2286" t="s">
        <v>81</v>
      </c>
      <c r="C2286" t="s">
        <v>2082</v>
      </c>
      <c r="D2286">
        <v>1</v>
      </c>
      <c r="E2286" s="307">
        <v>5</v>
      </c>
      <c r="F2286" s="307" t="s">
        <v>7</v>
      </c>
      <c r="G2286" s="307" t="s">
        <v>11</v>
      </c>
      <c r="H2286" s="307" t="s">
        <v>11</v>
      </c>
    </row>
    <row r="2287" spans="1:8" x14ac:dyDescent="0.2">
      <c r="A2287" t="s">
        <v>50</v>
      </c>
      <c r="B2287" t="s">
        <v>81</v>
      </c>
      <c r="C2287" t="s">
        <v>2083</v>
      </c>
      <c r="D2287">
        <v>1</v>
      </c>
      <c r="E2287" s="307">
        <v>5</v>
      </c>
      <c r="F2287" s="307" t="s">
        <v>7</v>
      </c>
      <c r="G2287" s="307" t="s">
        <v>11</v>
      </c>
      <c r="H2287" s="307" t="s">
        <v>11</v>
      </c>
    </row>
    <row r="2288" spans="1:8" x14ac:dyDescent="0.2">
      <c r="A2288" t="s">
        <v>50</v>
      </c>
      <c r="B2288" t="s">
        <v>81</v>
      </c>
      <c r="C2288" t="s">
        <v>2084</v>
      </c>
      <c r="D2288">
        <v>1</v>
      </c>
      <c r="E2288" s="307">
        <v>5</v>
      </c>
      <c r="F2288" s="307" t="s">
        <v>7</v>
      </c>
      <c r="G2288" s="307" t="s">
        <v>11</v>
      </c>
      <c r="H2288" s="307" t="s">
        <v>11</v>
      </c>
    </row>
    <row r="2289" spans="1:8" x14ac:dyDescent="0.2">
      <c r="A2289" t="s">
        <v>50</v>
      </c>
      <c r="B2289" t="s">
        <v>81</v>
      </c>
      <c r="C2289" t="s">
        <v>2085</v>
      </c>
      <c r="D2289">
        <v>2</v>
      </c>
      <c r="E2289" s="307">
        <v>6</v>
      </c>
      <c r="F2289" s="307" t="s">
        <v>7</v>
      </c>
      <c r="G2289" s="307" t="s">
        <v>11</v>
      </c>
      <c r="H2289" s="307" t="s">
        <v>11</v>
      </c>
    </row>
    <row r="2290" spans="1:8" x14ac:dyDescent="0.2">
      <c r="A2290" t="s">
        <v>50</v>
      </c>
      <c r="B2290" t="s">
        <v>81</v>
      </c>
      <c r="C2290" t="s">
        <v>1209</v>
      </c>
      <c r="D2290">
        <v>2</v>
      </c>
      <c r="E2290" s="307">
        <v>5</v>
      </c>
      <c r="F2290" s="307" t="s">
        <v>7</v>
      </c>
      <c r="G2290" s="307" t="s">
        <v>11</v>
      </c>
      <c r="H2290" s="307" t="s">
        <v>11</v>
      </c>
    </row>
    <row r="2291" spans="1:8" x14ac:dyDescent="0.2">
      <c r="A2291" t="s">
        <v>50</v>
      </c>
      <c r="B2291" t="s">
        <v>81</v>
      </c>
      <c r="C2291" t="s">
        <v>2086</v>
      </c>
      <c r="D2291">
        <v>1</v>
      </c>
      <c r="E2291" s="307">
        <v>5</v>
      </c>
      <c r="F2291" s="307" t="s">
        <v>7</v>
      </c>
      <c r="G2291" s="307" t="s">
        <v>11</v>
      </c>
      <c r="H2291" s="307" t="s">
        <v>11</v>
      </c>
    </row>
    <row r="2292" spans="1:8" x14ac:dyDescent="0.2">
      <c r="A2292" t="s">
        <v>50</v>
      </c>
      <c r="B2292" t="s">
        <v>81</v>
      </c>
      <c r="C2292" t="s">
        <v>735</v>
      </c>
      <c r="D2292">
        <v>1</v>
      </c>
      <c r="E2292" s="307">
        <v>5</v>
      </c>
      <c r="F2292" s="307" t="s">
        <v>7</v>
      </c>
      <c r="G2292" s="307" t="s">
        <v>11</v>
      </c>
      <c r="H2292" s="307" t="s">
        <v>11</v>
      </c>
    </row>
    <row r="2293" spans="1:8" x14ac:dyDescent="0.2">
      <c r="A2293" t="s">
        <v>50</v>
      </c>
      <c r="B2293" t="s">
        <v>81</v>
      </c>
      <c r="C2293" t="s">
        <v>736</v>
      </c>
      <c r="D2293">
        <v>1</v>
      </c>
      <c r="E2293" s="307">
        <v>4</v>
      </c>
      <c r="F2293" s="307" t="s">
        <v>7</v>
      </c>
      <c r="G2293" s="307" t="s">
        <v>11</v>
      </c>
      <c r="H2293" s="307" t="s">
        <v>11</v>
      </c>
    </row>
    <row r="2294" spans="1:8" x14ac:dyDescent="0.2">
      <c r="A2294" t="s">
        <v>50</v>
      </c>
      <c r="B2294" t="s">
        <v>81</v>
      </c>
      <c r="C2294" t="s">
        <v>2087</v>
      </c>
      <c r="D2294">
        <v>1</v>
      </c>
      <c r="E2294" s="307">
        <v>5</v>
      </c>
      <c r="F2294" s="307" t="s">
        <v>7</v>
      </c>
      <c r="G2294" s="307" t="s">
        <v>11</v>
      </c>
      <c r="H2294" s="307" t="s">
        <v>11</v>
      </c>
    </row>
    <row r="2295" spans="1:8" x14ac:dyDescent="0.2">
      <c r="A2295" t="s">
        <v>50</v>
      </c>
      <c r="B2295" t="s">
        <v>81</v>
      </c>
      <c r="C2295" t="s">
        <v>1918</v>
      </c>
      <c r="D2295">
        <v>1</v>
      </c>
      <c r="E2295" s="307">
        <v>5</v>
      </c>
      <c r="F2295" s="307" t="s">
        <v>7</v>
      </c>
      <c r="G2295" s="307" t="s">
        <v>11</v>
      </c>
      <c r="H2295" s="307" t="s">
        <v>11</v>
      </c>
    </row>
    <row r="2296" spans="1:8" x14ac:dyDescent="0.2">
      <c r="A2296" t="s">
        <v>50</v>
      </c>
      <c r="B2296" t="s">
        <v>81</v>
      </c>
      <c r="C2296" t="s">
        <v>2088</v>
      </c>
      <c r="D2296">
        <v>1</v>
      </c>
      <c r="E2296" s="307">
        <v>5</v>
      </c>
      <c r="F2296" s="307" t="s">
        <v>7</v>
      </c>
      <c r="G2296" s="307" t="s">
        <v>11</v>
      </c>
      <c r="H2296" s="307" t="s">
        <v>11</v>
      </c>
    </row>
    <row r="2297" spans="1:8" x14ac:dyDescent="0.2">
      <c r="A2297" t="s">
        <v>50</v>
      </c>
      <c r="B2297" t="s">
        <v>81</v>
      </c>
      <c r="C2297" t="s">
        <v>738</v>
      </c>
      <c r="D2297">
        <v>1</v>
      </c>
      <c r="E2297" s="307">
        <v>5</v>
      </c>
      <c r="F2297" s="307" t="s">
        <v>7</v>
      </c>
      <c r="G2297" s="307" t="s">
        <v>11</v>
      </c>
      <c r="H2297" s="307" t="s">
        <v>11</v>
      </c>
    </row>
    <row r="2298" spans="1:8" x14ac:dyDescent="0.2">
      <c r="A2298" t="s">
        <v>50</v>
      </c>
      <c r="B2298" t="s">
        <v>81</v>
      </c>
      <c r="C2298" t="s">
        <v>2089</v>
      </c>
      <c r="D2298">
        <v>3</v>
      </c>
      <c r="E2298" s="307">
        <v>4</v>
      </c>
      <c r="F2298" s="307" t="s">
        <v>7</v>
      </c>
      <c r="G2298" s="307" t="s">
        <v>11</v>
      </c>
      <c r="H2298" s="307" t="s">
        <v>11</v>
      </c>
    </row>
    <row r="2299" spans="1:8" x14ac:dyDescent="0.2">
      <c r="A2299" t="s">
        <v>50</v>
      </c>
      <c r="B2299" t="s">
        <v>81</v>
      </c>
      <c r="C2299" t="s">
        <v>740</v>
      </c>
      <c r="D2299">
        <v>2</v>
      </c>
      <c r="E2299" s="307">
        <v>5</v>
      </c>
      <c r="F2299" s="307" t="s">
        <v>7</v>
      </c>
      <c r="G2299" s="307" t="s">
        <v>11</v>
      </c>
      <c r="H2299" s="307" t="s">
        <v>11</v>
      </c>
    </row>
    <row r="2300" spans="1:8" x14ac:dyDescent="0.2">
      <c r="A2300" t="s">
        <v>50</v>
      </c>
      <c r="B2300" t="s">
        <v>81</v>
      </c>
      <c r="C2300" t="s">
        <v>2090</v>
      </c>
      <c r="D2300">
        <v>2</v>
      </c>
      <c r="E2300" s="307">
        <v>6</v>
      </c>
      <c r="F2300" s="307" t="s">
        <v>7</v>
      </c>
      <c r="G2300" s="307" t="s">
        <v>11</v>
      </c>
      <c r="H2300" s="307" t="s">
        <v>11</v>
      </c>
    </row>
    <row r="2301" spans="1:8" x14ac:dyDescent="0.2">
      <c r="A2301" t="s">
        <v>50</v>
      </c>
      <c r="B2301" t="s">
        <v>81</v>
      </c>
      <c r="C2301" t="s">
        <v>2091</v>
      </c>
      <c r="D2301">
        <v>1</v>
      </c>
      <c r="E2301" s="307">
        <v>5</v>
      </c>
      <c r="F2301" s="307" t="s">
        <v>7</v>
      </c>
      <c r="G2301" s="307" t="s">
        <v>11</v>
      </c>
      <c r="H2301" s="307" t="s">
        <v>11</v>
      </c>
    </row>
    <row r="2302" spans="1:8" x14ac:dyDescent="0.2">
      <c r="A2302" t="s">
        <v>50</v>
      </c>
      <c r="B2302" t="s">
        <v>81</v>
      </c>
      <c r="C2302" t="s">
        <v>2092</v>
      </c>
      <c r="D2302">
        <v>1</v>
      </c>
      <c r="E2302" s="307">
        <v>5</v>
      </c>
      <c r="F2302" s="307" t="s">
        <v>7</v>
      </c>
      <c r="G2302" s="307" t="s">
        <v>11</v>
      </c>
      <c r="H2302" s="307" t="s">
        <v>11</v>
      </c>
    </row>
    <row r="2303" spans="1:8" x14ac:dyDescent="0.2">
      <c r="A2303" t="s">
        <v>50</v>
      </c>
      <c r="B2303" t="s">
        <v>81</v>
      </c>
      <c r="C2303" t="s">
        <v>1489</v>
      </c>
      <c r="D2303">
        <v>2</v>
      </c>
      <c r="E2303" s="307">
        <v>5</v>
      </c>
      <c r="F2303" s="307" t="s">
        <v>7</v>
      </c>
      <c r="G2303" s="307" t="s">
        <v>11</v>
      </c>
      <c r="H2303" s="307" t="s">
        <v>11</v>
      </c>
    </row>
    <row r="2304" spans="1:8" x14ac:dyDescent="0.2">
      <c r="A2304" t="s">
        <v>50</v>
      </c>
      <c r="B2304" t="s">
        <v>81</v>
      </c>
      <c r="C2304" t="s">
        <v>1259</v>
      </c>
      <c r="D2304">
        <v>1</v>
      </c>
      <c r="E2304" s="307">
        <v>5</v>
      </c>
      <c r="F2304" s="307" t="s">
        <v>7</v>
      </c>
      <c r="G2304" s="307" t="s">
        <v>11</v>
      </c>
      <c r="H2304" s="307" t="s">
        <v>11</v>
      </c>
    </row>
    <row r="2305" spans="1:8" x14ac:dyDescent="0.2">
      <c r="A2305" t="s">
        <v>50</v>
      </c>
      <c r="B2305" t="s">
        <v>81</v>
      </c>
      <c r="C2305" t="s">
        <v>2093</v>
      </c>
      <c r="D2305">
        <v>1</v>
      </c>
      <c r="E2305" s="307">
        <v>6</v>
      </c>
      <c r="F2305" s="307" t="s">
        <v>7</v>
      </c>
      <c r="G2305" s="307" t="s">
        <v>11</v>
      </c>
      <c r="H2305" s="307" t="s">
        <v>11</v>
      </c>
    </row>
    <row r="2306" spans="1:8" x14ac:dyDescent="0.2">
      <c r="A2306" t="s">
        <v>50</v>
      </c>
      <c r="B2306" t="s">
        <v>81</v>
      </c>
      <c r="C2306" t="s">
        <v>1870</v>
      </c>
      <c r="D2306">
        <v>1</v>
      </c>
      <c r="E2306" s="307">
        <v>6</v>
      </c>
      <c r="F2306" s="307" t="s">
        <v>7</v>
      </c>
      <c r="G2306" s="307" t="s">
        <v>11</v>
      </c>
      <c r="H2306" s="307" t="s">
        <v>11</v>
      </c>
    </row>
    <row r="2307" spans="1:8" x14ac:dyDescent="0.2">
      <c r="A2307" t="s">
        <v>50</v>
      </c>
      <c r="B2307" t="s">
        <v>81</v>
      </c>
      <c r="C2307" t="s">
        <v>850</v>
      </c>
      <c r="D2307">
        <v>1</v>
      </c>
      <c r="E2307" s="307">
        <v>5</v>
      </c>
      <c r="F2307" s="307" t="s">
        <v>7</v>
      </c>
      <c r="G2307" s="307" t="s">
        <v>11</v>
      </c>
      <c r="H2307" s="307" t="s">
        <v>11</v>
      </c>
    </row>
    <row r="2308" spans="1:8" x14ac:dyDescent="0.2">
      <c r="A2308" t="s">
        <v>50</v>
      </c>
      <c r="B2308" t="s">
        <v>81</v>
      </c>
      <c r="C2308" t="s">
        <v>2094</v>
      </c>
      <c r="D2308">
        <v>1</v>
      </c>
      <c r="E2308" s="307">
        <v>5</v>
      </c>
      <c r="F2308" s="307" t="s">
        <v>7</v>
      </c>
      <c r="G2308" s="307" t="s">
        <v>11</v>
      </c>
      <c r="H2308" s="307" t="s">
        <v>11</v>
      </c>
    </row>
    <row r="2309" spans="1:8" x14ac:dyDescent="0.2">
      <c r="A2309" t="s">
        <v>50</v>
      </c>
      <c r="B2309" t="s">
        <v>81</v>
      </c>
      <c r="C2309" t="s">
        <v>1128</v>
      </c>
      <c r="D2309">
        <v>2</v>
      </c>
      <c r="E2309" s="307">
        <v>5</v>
      </c>
      <c r="F2309" s="307" t="s">
        <v>7</v>
      </c>
      <c r="G2309" s="307" t="s">
        <v>11</v>
      </c>
      <c r="H2309" s="307" t="s">
        <v>11</v>
      </c>
    </row>
    <row r="2310" spans="1:8" x14ac:dyDescent="0.2">
      <c r="A2310" t="s">
        <v>50</v>
      </c>
      <c r="B2310" t="s">
        <v>81</v>
      </c>
      <c r="C2310" t="s">
        <v>750</v>
      </c>
      <c r="D2310">
        <v>2</v>
      </c>
      <c r="E2310" s="307">
        <v>5</v>
      </c>
      <c r="F2310" s="307" t="s">
        <v>7</v>
      </c>
      <c r="G2310" s="307" t="s">
        <v>11</v>
      </c>
      <c r="H2310" s="307" t="s">
        <v>11</v>
      </c>
    </row>
    <row r="2311" spans="1:8" x14ac:dyDescent="0.2">
      <c r="A2311" t="s">
        <v>50</v>
      </c>
      <c r="B2311" t="s">
        <v>81</v>
      </c>
      <c r="C2311" t="s">
        <v>1129</v>
      </c>
      <c r="D2311">
        <v>2</v>
      </c>
      <c r="E2311" s="307">
        <v>6</v>
      </c>
      <c r="F2311" s="307" t="s">
        <v>7</v>
      </c>
      <c r="G2311" s="307" t="s">
        <v>11</v>
      </c>
      <c r="H2311" s="307" t="s">
        <v>11</v>
      </c>
    </row>
    <row r="2312" spans="1:8" x14ac:dyDescent="0.2">
      <c r="A2312" t="s">
        <v>50</v>
      </c>
      <c r="B2312" t="s">
        <v>81</v>
      </c>
      <c r="C2312" t="s">
        <v>2095</v>
      </c>
      <c r="D2312">
        <v>1</v>
      </c>
      <c r="E2312" s="307">
        <v>5</v>
      </c>
      <c r="F2312" s="307" t="s">
        <v>7</v>
      </c>
      <c r="G2312" s="307" t="s">
        <v>11</v>
      </c>
      <c r="H2312" s="307" t="s">
        <v>11</v>
      </c>
    </row>
    <row r="2313" spans="1:8" x14ac:dyDescent="0.2">
      <c r="A2313" t="s">
        <v>50</v>
      </c>
      <c r="B2313" t="s">
        <v>81</v>
      </c>
      <c r="C2313" t="s">
        <v>1874</v>
      </c>
      <c r="D2313">
        <v>1</v>
      </c>
      <c r="E2313" s="307">
        <v>5</v>
      </c>
      <c r="F2313" s="307" t="s">
        <v>7</v>
      </c>
      <c r="G2313" s="307" t="s">
        <v>11</v>
      </c>
      <c r="H2313" s="307" t="s">
        <v>11</v>
      </c>
    </row>
    <row r="2314" spans="1:8" x14ac:dyDescent="0.2">
      <c r="A2314" t="s">
        <v>50</v>
      </c>
      <c r="B2314" t="s">
        <v>81</v>
      </c>
      <c r="C2314" t="s">
        <v>1491</v>
      </c>
      <c r="D2314">
        <v>1</v>
      </c>
      <c r="E2314" s="307">
        <v>4</v>
      </c>
      <c r="F2314" s="307" t="s">
        <v>7</v>
      </c>
      <c r="G2314" s="307" t="s">
        <v>11</v>
      </c>
      <c r="H2314" s="307" t="s">
        <v>11</v>
      </c>
    </row>
    <row r="2315" spans="1:8" x14ac:dyDescent="0.2">
      <c r="A2315" t="s">
        <v>69</v>
      </c>
      <c r="C2315" t="s">
        <v>2096</v>
      </c>
      <c r="D2315">
        <v>2</v>
      </c>
      <c r="E2315" s="307">
        <v>1</v>
      </c>
      <c r="F2315" s="307" t="s">
        <v>7</v>
      </c>
      <c r="G2315" s="307" t="s">
        <v>115</v>
      </c>
      <c r="H2315" s="307" t="s">
        <v>2885</v>
      </c>
    </row>
    <row r="2316" spans="1:8" x14ac:dyDescent="0.2">
      <c r="A2316" t="s">
        <v>51</v>
      </c>
      <c r="B2316" t="s">
        <v>102</v>
      </c>
      <c r="C2316" t="s">
        <v>1511</v>
      </c>
      <c r="D2316">
        <v>3</v>
      </c>
      <c r="E2316" s="307">
        <v>5</v>
      </c>
      <c r="F2316" s="307" t="s">
        <v>7</v>
      </c>
      <c r="G2316" s="307" t="s">
        <v>11</v>
      </c>
      <c r="H2316" s="307" t="s">
        <v>11</v>
      </c>
    </row>
    <row r="2317" spans="1:8" x14ac:dyDescent="0.2">
      <c r="A2317" t="s">
        <v>51</v>
      </c>
      <c r="B2317" t="s">
        <v>102</v>
      </c>
      <c r="C2317" t="s">
        <v>974</v>
      </c>
      <c r="D2317">
        <v>1</v>
      </c>
      <c r="E2317" s="307">
        <v>5</v>
      </c>
      <c r="F2317" s="307" t="s">
        <v>7</v>
      </c>
      <c r="G2317" s="307" t="s">
        <v>11</v>
      </c>
      <c r="H2317" s="307" t="s">
        <v>11</v>
      </c>
    </row>
    <row r="2318" spans="1:8" x14ac:dyDescent="0.2">
      <c r="A2318" t="s">
        <v>51</v>
      </c>
      <c r="B2318" t="s">
        <v>102</v>
      </c>
      <c r="C2318" t="s">
        <v>2097</v>
      </c>
      <c r="D2318">
        <v>2</v>
      </c>
      <c r="E2318" s="307">
        <v>5</v>
      </c>
      <c r="F2318" s="307" t="s">
        <v>7</v>
      </c>
      <c r="G2318" s="307" t="s">
        <v>11</v>
      </c>
      <c r="H2318" s="307" t="s">
        <v>11</v>
      </c>
    </row>
    <row r="2319" spans="1:8" x14ac:dyDescent="0.2">
      <c r="A2319" t="s">
        <v>51</v>
      </c>
      <c r="B2319" t="s">
        <v>102</v>
      </c>
      <c r="C2319" t="s">
        <v>2098</v>
      </c>
      <c r="D2319">
        <v>2</v>
      </c>
      <c r="E2319" s="307">
        <v>5</v>
      </c>
      <c r="F2319" s="307" t="s">
        <v>7</v>
      </c>
      <c r="G2319" s="307" t="s">
        <v>11</v>
      </c>
      <c r="H2319" s="307" t="s">
        <v>11</v>
      </c>
    </row>
    <row r="2320" spans="1:8" x14ac:dyDescent="0.2">
      <c r="A2320" t="s">
        <v>51</v>
      </c>
      <c r="B2320" t="s">
        <v>102</v>
      </c>
      <c r="C2320" t="s">
        <v>750</v>
      </c>
      <c r="D2320">
        <v>1</v>
      </c>
      <c r="E2320" s="307">
        <v>5</v>
      </c>
      <c r="F2320" s="307" t="s">
        <v>7</v>
      </c>
      <c r="G2320" s="307" t="s">
        <v>11</v>
      </c>
      <c r="H2320" s="307" t="s">
        <v>11</v>
      </c>
    </row>
    <row r="2321" spans="1:8" x14ac:dyDescent="0.2">
      <c r="A2321" t="s">
        <v>52</v>
      </c>
      <c r="B2321" t="s">
        <v>118</v>
      </c>
      <c r="C2321" t="s">
        <v>2099</v>
      </c>
      <c r="D2321">
        <v>2</v>
      </c>
      <c r="E2321" s="307">
        <v>3</v>
      </c>
      <c r="F2321" s="307" t="s">
        <v>7</v>
      </c>
      <c r="G2321" s="307" t="s">
        <v>11</v>
      </c>
      <c r="H2321" s="307" t="s">
        <v>11</v>
      </c>
    </row>
    <row r="2322" spans="1:8" x14ac:dyDescent="0.2">
      <c r="A2322" t="s">
        <v>52</v>
      </c>
      <c r="B2322" t="s">
        <v>118</v>
      </c>
      <c r="C2322" t="s">
        <v>2100</v>
      </c>
      <c r="D2322">
        <v>3</v>
      </c>
      <c r="E2322" s="307">
        <v>3</v>
      </c>
      <c r="F2322" s="307" t="s">
        <v>7</v>
      </c>
      <c r="G2322" s="307" t="s">
        <v>11</v>
      </c>
      <c r="H2322" s="307" t="s">
        <v>11</v>
      </c>
    </row>
    <row r="2323" spans="1:8" x14ac:dyDescent="0.2">
      <c r="A2323" t="s">
        <v>52</v>
      </c>
      <c r="B2323" t="s">
        <v>118</v>
      </c>
      <c r="C2323" t="s">
        <v>2101</v>
      </c>
      <c r="D2323">
        <v>3</v>
      </c>
      <c r="E2323" s="307">
        <v>3</v>
      </c>
      <c r="F2323" s="307" t="s">
        <v>7</v>
      </c>
      <c r="G2323" s="307" t="s">
        <v>115</v>
      </c>
      <c r="H2323" s="307" t="s">
        <v>11</v>
      </c>
    </row>
    <row r="2324" spans="1:8" x14ac:dyDescent="0.2">
      <c r="A2324" t="s">
        <v>52</v>
      </c>
      <c r="B2324" t="s">
        <v>118</v>
      </c>
      <c r="C2324" t="s">
        <v>1314</v>
      </c>
      <c r="D2324">
        <v>2</v>
      </c>
      <c r="E2324" s="307">
        <v>3</v>
      </c>
      <c r="F2324" s="307" t="s">
        <v>7</v>
      </c>
      <c r="G2324" s="307" t="s">
        <v>11</v>
      </c>
      <c r="H2324" s="307" t="s">
        <v>11</v>
      </c>
    </row>
    <row r="2325" spans="1:8" x14ac:dyDescent="0.2">
      <c r="A2325" t="s">
        <v>52</v>
      </c>
      <c r="B2325" t="s">
        <v>118</v>
      </c>
      <c r="C2325" t="s">
        <v>2102</v>
      </c>
      <c r="D2325">
        <v>3</v>
      </c>
      <c r="E2325" s="307">
        <v>3</v>
      </c>
      <c r="F2325" s="307" t="s">
        <v>7</v>
      </c>
      <c r="G2325" s="307" t="s">
        <v>115</v>
      </c>
      <c r="H2325" s="307" t="s">
        <v>11</v>
      </c>
    </row>
    <row r="2326" spans="1:8" x14ac:dyDescent="0.2">
      <c r="A2326" t="s">
        <v>52</v>
      </c>
      <c r="B2326" t="s">
        <v>118</v>
      </c>
      <c r="C2326" t="s">
        <v>2103</v>
      </c>
      <c r="D2326">
        <v>3</v>
      </c>
      <c r="E2326" s="307">
        <v>3</v>
      </c>
      <c r="F2326" s="307" t="s">
        <v>7</v>
      </c>
      <c r="G2326" s="307" t="s">
        <v>115</v>
      </c>
      <c r="H2326" s="307" t="s">
        <v>11</v>
      </c>
    </row>
    <row r="2327" spans="1:8" x14ac:dyDescent="0.2">
      <c r="A2327" t="s">
        <v>52</v>
      </c>
      <c r="B2327" t="s">
        <v>118</v>
      </c>
      <c r="C2327" t="s">
        <v>1881</v>
      </c>
      <c r="D2327">
        <v>3</v>
      </c>
      <c r="E2327" s="307">
        <v>3</v>
      </c>
      <c r="F2327" s="307" t="s">
        <v>7</v>
      </c>
      <c r="G2327" s="307" t="s">
        <v>115</v>
      </c>
      <c r="H2327" s="307" t="s">
        <v>11</v>
      </c>
    </row>
    <row r="2328" spans="1:8" x14ac:dyDescent="0.2">
      <c r="A2328" t="s">
        <v>52</v>
      </c>
      <c r="B2328" t="s">
        <v>118</v>
      </c>
      <c r="C2328" t="s">
        <v>2104</v>
      </c>
      <c r="D2328">
        <v>3</v>
      </c>
      <c r="E2328" s="307">
        <v>3</v>
      </c>
      <c r="F2328" s="307" t="s">
        <v>7</v>
      </c>
      <c r="G2328" s="307" t="s">
        <v>115</v>
      </c>
      <c r="H2328" s="307" t="s">
        <v>11</v>
      </c>
    </row>
    <row r="2329" spans="1:8" x14ac:dyDescent="0.2">
      <c r="A2329" t="s">
        <v>52</v>
      </c>
      <c r="B2329" t="s">
        <v>118</v>
      </c>
      <c r="C2329" t="s">
        <v>693</v>
      </c>
      <c r="D2329">
        <v>3</v>
      </c>
      <c r="E2329" s="307">
        <v>3</v>
      </c>
      <c r="F2329" s="307" t="s">
        <v>7</v>
      </c>
      <c r="G2329" s="307" t="s">
        <v>11</v>
      </c>
      <c r="H2329" s="307" t="s">
        <v>11</v>
      </c>
    </row>
    <row r="2330" spans="1:8" x14ac:dyDescent="0.2">
      <c r="A2330" t="s">
        <v>52</v>
      </c>
      <c r="B2330" t="s">
        <v>118</v>
      </c>
      <c r="C2330" t="s">
        <v>2105</v>
      </c>
      <c r="D2330">
        <v>3</v>
      </c>
      <c r="E2330" s="307">
        <v>3</v>
      </c>
      <c r="F2330" s="307" t="s">
        <v>7</v>
      </c>
      <c r="G2330" s="307" t="s">
        <v>115</v>
      </c>
      <c r="H2330" s="307" t="s">
        <v>11</v>
      </c>
    </row>
    <row r="2331" spans="1:8" x14ac:dyDescent="0.2">
      <c r="A2331" t="s">
        <v>52</v>
      </c>
      <c r="B2331" t="s">
        <v>118</v>
      </c>
      <c r="C2331" t="s">
        <v>695</v>
      </c>
      <c r="D2331">
        <v>2</v>
      </c>
      <c r="E2331" s="307">
        <v>3</v>
      </c>
      <c r="F2331" s="307" t="s">
        <v>7</v>
      </c>
      <c r="G2331" s="307" t="s">
        <v>11</v>
      </c>
      <c r="H2331" s="307" t="s">
        <v>11</v>
      </c>
    </row>
    <row r="2332" spans="1:8" x14ac:dyDescent="0.2">
      <c r="A2332" t="s">
        <v>52</v>
      </c>
      <c r="B2332" t="s">
        <v>118</v>
      </c>
      <c r="C2332" t="s">
        <v>2072</v>
      </c>
      <c r="D2332">
        <v>3</v>
      </c>
      <c r="E2332" s="307">
        <v>3</v>
      </c>
      <c r="F2332" s="307" t="s">
        <v>7</v>
      </c>
      <c r="G2332" s="307" t="s">
        <v>11</v>
      </c>
      <c r="H2332" s="307" t="s">
        <v>11</v>
      </c>
    </row>
    <row r="2333" spans="1:8" x14ac:dyDescent="0.2">
      <c r="A2333" t="s">
        <v>52</v>
      </c>
      <c r="B2333" t="s">
        <v>118</v>
      </c>
      <c r="C2333" t="s">
        <v>2106</v>
      </c>
      <c r="D2333">
        <v>3</v>
      </c>
      <c r="E2333" s="307">
        <v>3</v>
      </c>
      <c r="F2333" s="307" t="s">
        <v>7</v>
      </c>
      <c r="G2333" s="307" t="s">
        <v>11</v>
      </c>
      <c r="H2333" s="307" t="s">
        <v>11</v>
      </c>
    </row>
    <row r="2334" spans="1:8" x14ac:dyDescent="0.2">
      <c r="A2334" t="s">
        <v>52</v>
      </c>
      <c r="B2334" t="s">
        <v>118</v>
      </c>
      <c r="C2334" t="s">
        <v>2107</v>
      </c>
      <c r="D2334">
        <v>3</v>
      </c>
      <c r="E2334" s="307">
        <v>3</v>
      </c>
      <c r="F2334" s="307" t="s">
        <v>7</v>
      </c>
      <c r="G2334" s="307" t="s">
        <v>11</v>
      </c>
      <c r="H2334" s="307" t="s">
        <v>11</v>
      </c>
    </row>
    <row r="2335" spans="1:8" x14ac:dyDescent="0.2">
      <c r="A2335" t="s">
        <v>52</v>
      </c>
      <c r="B2335" t="s">
        <v>118</v>
      </c>
      <c r="C2335" t="s">
        <v>2108</v>
      </c>
      <c r="D2335">
        <v>3</v>
      </c>
      <c r="E2335" s="307">
        <v>3</v>
      </c>
      <c r="F2335" s="307" t="s">
        <v>7</v>
      </c>
      <c r="G2335" s="307" t="s">
        <v>115</v>
      </c>
      <c r="H2335" s="307" t="s">
        <v>11</v>
      </c>
    </row>
    <row r="2336" spans="1:8" x14ac:dyDescent="0.2">
      <c r="A2336" t="s">
        <v>52</v>
      </c>
      <c r="B2336" t="s">
        <v>118</v>
      </c>
      <c r="C2336" t="s">
        <v>2109</v>
      </c>
      <c r="D2336">
        <v>3</v>
      </c>
      <c r="E2336" s="307">
        <v>3</v>
      </c>
      <c r="F2336" s="307" t="s">
        <v>7</v>
      </c>
      <c r="G2336" s="307" t="s">
        <v>11</v>
      </c>
      <c r="H2336" s="307" t="s">
        <v>11</v>
      </c>
    </row>
    <row r="2337" spans="1:8" x14ac:dyDescent="0.2">
      <c r="A2337" t="s">
        <v>52</v>
      </c>
      <c r="B2337" t="s">
        <v>118</v>
      </c>
      <c r="C2337" t="s">
        <v>2110</v>
      </c>
      <c r="D2337">
        <v>3</v>
      </c>
      <c r="E2337" s="307">
        <v>3</v>
      </c>
      <c r="F2337" s="307" t="s">
        <v>7</v>
      </c>
      <c r="G2337" s="307" t="s">
        <v>11</v>
      </c>
      <c r="H2337" s="307" t="s">
        <v>11</v>
      </c>
    </row>
    <row r="2338" spans="1:8" x14ac:dyDescent="0.2">
      <c r="A2338" t="s">
        <v>52</v>
      </c>
      <c r="B2338" t="s">
        <v>118</v>
      </c>
      <c r="C2338" t="s">
        <v>1500</v>
      </c>
      <c r="D2338">
        <v>3</v>
      </c>
      <c r="E2338" s="307">
        <v>3</v>
      </c>
      <c r="F2338" s="307" t="s">
        <v>7</v>
      </c>
      <c r="G2338" s="307" t="s">
        <v>115</v>
      </c>
      <c r="H2338" s="307" t="s">
        <v>11</v>
      </c>
    </row>
    <row r="2339" spans="1:8" x14ac:dyDescent="0.2">
      <c r="A2339" t="s">
        <v>52</v>
      </c>
      <c r="B2339" t="s">
        <v>118</v>
      </c>
      <c r="C2339" t="s">
        <v>2111</v>
      </c>
      <c r="D2339">
        <v>3</v>
      </c>
      <c r="E2339" s="307">
        <v>3</v>
      </c>
      <c r="F2339" s="307" t="s">
        <v>7</v>
      </c>
      <c r="G2339" s="307" t="s">
        <v>11</v>
      </c>
      <c r="H2339" s="307" t="s">
        <v>11</v>
      </c>
    </row>
    <row r="2340" spans="1:8" x14ac:dyDescent="0.2">
      <c r="A2340" t="s">
        <v>52</v>
      </c>
      <c r="B2340" t="s">
        <v>118</v>
      </c>
      <c r="C2340" t="s">
        <v>966</v>
      </c>
      <c r="D2340">
        <v>3</v>
      </c>
      <c r="E2340" s="307">
        <v>3</v>
      </c>
      <c r="F2340" s="307" t="s">
        <v>7</v>
      </c>
      <c r="G2340" s="307" t="s">
        <v>11</v>
      </c>
      <c r="H2340" s="307" t="s">
        <v>11</v>
      </c>
    </row>
    <row r="2341" spans="1:8" x14ac:dyDescent="0.2">
      <c r="A2341" t="s">
        <v>52</v>
      </c>
      <c r="B2341" t="s">
        <v>118</v>
      </c>
      <c r="C2341" t="s">
        <v>2112</v>
      </c>
      <c r="D2341">
        <v>3</v>
      </c>
      <c r="E2341" s="307">
        <v>3</v>
      </c>
      <c r="F2341" s="307" t="s">
        <v>7</v>
      </c>
      <c r="G2341" s="307" t="s">
        <v>11</v>
      </c>
      <c r="H2341" s="307" t="s">
        <v>11</v>
      </c>
    </row>
    <row r="2342" spans="1:8" x14ac:dyDescent="0.2">
      <c r="A2342" t="s">
        <v>52</v>
      </c>
      <c r="B2342" t="s">
        <v>118</v>
      </c>
      <c r="C2342" t="s">
        <v>2113</v>
      </c>
      <c r="D2342">
        <v>3</v>
      </c>
      <c r="E2342" s="307">
        <v>3</v>
      </c>
      <c r="F2342" s="307" t="s">
        <v>7</v>
      </c>
      <c r="G2342" s="307" t="s">
        <v>115</v>
      </c>
      <c r="H2342" s="307" t="s">
        <v>11</v>
      </c>
    </row>
    <row r="2343" spans="1:8" x14ac:dyDescent="0.2">
      <c r="A2343" t="s">
        <v>52</v>
      </c>
      <c r="B2343" t="s">
        <v>118</v>
      </c>
      <c r="C2343" t="s">
        <v>2114</v>
      </c>
      <c r="D2343">
        <v>1</v>
      </c>
      <c r="E2343" s="307">
        <v>3</v>
      </c>
      <c r="F2343" s="307" t="s">
        <v>7</v>
      </c>
      <c r="G2343" s="307" t="s">
        <v>11</v>
      </c>
      <c r="H2343" s="307" t="s">
        <v>11</v>
      </c>
    </row>
    <row r="2344" spans="1:8" x14ac:dyDescent="0.2">
      <c r="A2344" t="s">
        <v>52</v>
      </c>
      <c r="B2344" t="s">
        <v>118</v>
      </c>
      <c r="C2344" t="s">
        <v>1334</v>
      </c>
      <c r="D2344">
        <v>3</v>
      </c>
      <c r="E2344" s="307">
        <v>3</v>
      </c>
      <c r="F2344" s="307" t="s">
        <v>7</v>
      </c>
      <c r="G2344" s="307" t="s">
        <v>11</v>
      </c>
      <c r="H2344" s="307" t="s">
        <v>11</v>
      </c>
    </row>
    <row r="2345" spans="1:8" x14ac:dyDescent="0.2">
      <c r="A2345" t="s">
        <v>52</v>
      </c>
      <c r="B2345" t="s">
        <v>118</v>
      </c>
      <c r="C2345" t="s">
        <v>2115</v>
      </c>
      <c r="D2345">
        <v>3</v>
      </c>
      <c r="E2345" s="307">
        <v>3</v>
      </c>
      <c r="F2345" s="307" t="s">
        <v>7</v>
      </c>
      <c r="G2345" s="307" t="s">
        <v>115</v>
      </c>
      <c r="H2345" s="307" t="s">
        <v>11</v>
      </c>
    </row>
    <row r="2346" spans="1:8" x14ac:dyDescent="0.2">
      <c r="A2346" t="s">
        <v>52</v>
      </c>
      <c r="B2346" t="s">
        <v>118</v>
      </c>
      <c r="C2346" t="s">
        <v>2116</v>
      </c>
      <c r="D2346">
        <v>3</v>
      </c>
      <c r="E2346" s="307">
        <v>3</v>
      </c>
      <c r="F2346" s="307" t="s">
        <v>7</v>
      </c>
      <c r="G2346" s="307" t="s">
        <v>115</v>
      </c>
      <c r="H2346" s="307" t="s">
        <v>11</v>
      </c>
    </row>
    <row r="2347" spans="1:8" x14ac:dyDescent="0.2">
      <c r="A2347" t="s">
        <v>52</v>
      </c>
      <c r="B2347" t="s">
        <v>118</v>
      </c>
      <c r="C2347" t="s">
        <v>1085</v>
      </c>
      <c r="D2347">
        <v>3</v>
      </c>
      <c r="E2347" s="307">
        <v>3</v>
      </c>
      <c r="F2347" s="307" t="s">
        <v>7</v>
      </c>
      <c r="G2347" s="307" t="s">
        <v>115</v>
      </c>
      <c r="H2347" s="307" t="s">
        <v>11</v>
      </c>
    </row>
    <row r="2348" spans="1:8" x14ac:dyDescent="0.2">
      <c r="A2348" t="s">
        <v>52</v>
      </c>
      <c r="B2348" t="s">
        <v>118</v>
      </c>
      <c r="C2348" t="s">
        <v>2117</v>
      </c>
      <c r="D2348">
        <v>3</v>
      </c>
      <c r="E2348" s="307">
        <v>3</v>
      </c>
      <c r="F2348" s="307" t="s">
        <v>7</v>
      </c>
      <c r="G2348" s="307" t="s">
        <v>11</v>
      </c>
      <c r="H2348" s="307" t="s">
        <v>11</v>
      </c>
    </row>
    <row r="2349" spans="1:8" x14ac:dyDescent="0.2">
      <c r="A2349" t="s">
        <v>52</v>
      </c>
      <c r="B2349" t="s">
        <v>118</v>
      </c>
      <c r="C2349" t="s">
        <v>1778</v>
      </c>
      <c r="D2349">
        <v>3</v>
      </c>
      <c r="E2349" s="307">
        <v>3</v>
      </c>
      <c r="F2349" s="307" t="s">
        <v>7</v>
      </c>
      <c r="G2349" s="307" t="s">
        <v>11</v>
      </c>
      <c r="H2349" s="307" t="s">
        <v>11</v>
      </c>
    </row>
    <row r="2350" spans="1:8" x14ac:dyDescent="0.2">
      <c r="A2350" t="s">
        <v>52</v>
      </c>
      <c r="B2350" t="s">
        <v>118</v>
      </c>
      <c r="C2350" t="s">
        <v>1090</v>
      </c>
      <c r="D2350">
        <v>2</v>
      </c>
      <c r="E2350" s="307">
        <v>3</v>
      </c>
      <c r="F2350" s="307" t="s">
        <v>7</v>
      </c>
      <c r="G2350" s="307" t="s">
        <v>11</v>
      </c>
      <c r="H2350" s="307" t="s">
        <v>11</v>
      </c>
    </row>
    <row r="2351" spans="1:8" x14ac:dyDescent="0.2">
      <c r="A2351" t="s">
        <v>52</v>
      </c>
      <c r="B2351" t="s">
        <v>118</v>
      </c>
      <c r="C2351" t="s">
        <v>726</v>
      </c>
      <c r="D2351">
        <v>3</v>
      </c>
      <c r="E2351" s="307">
        <v>3</v>
      </c>
      <c r="F2351" s="307" t="s">
        <v>7</v>
      </c>
      <c r="G2351" s="307" t="s">
        <v>11</v>
      </c>
      <c r="H2351" s="307" t="s">
        <v>11</v>
      </c>
    </row>
    <row r="2352" spans="1:8" x14ac:dyDescent="0.2">
      <c r="A2352" t="s">
        <v>52</v>
      </c>
      <c r="B2352" t="s">
        <v>118</v>
      </c>
      <c r="C2352" t="s">
        <v>2118</v>
      </c>
      <c r="D2352">
        <v>3</v>
      </c>
      <c r="E2352" s="307">
        <v>3</v>
      </c>
      <c r="F2352" s="307" t="s">
        <v>7</v>
      </c>
      <c r="G2352" s="307" t="s">
        <v>11</v>
      </c>
      <c r="H2352" s="307" t="s">
        <v>11</v>
      </c>
    </row>
    <row r="2353" spans="1:8" x14ac:dyDescent="0.2">
      <c r="A2353" t="s">
        <v>52</v>
      </c>
      <c r="B2353" t="s">
        <v>118</v>
      </c>
      <c r="C2353" t="s">
        <v>732</v>
      </c>
      <c r="D2353">
        <v>3</v>
      </c>
      <c r="E2353" s="307">
        <v>3</v>
      </c>
      <c r="F2353" s="307" t="s">
        <v>7</v>
      </c>
      <c r="G2353" s="307" t="s">
        <v>11</v>
      </c>
      <c r="H2353" s="307" t="s">
        <v>11</v>
      </c>
    </row>
    <row r="2354" spans="1:8" x14ac:dyDescent="0.2">
      <c r="A2354" t="s">
        <v>52</v>
      </c>
      <c r="B2354" t="s">
        <v>118</v>
      </c>
      <c r="C2354" t="s">
        <v>2119</v>
      </c>
      <c r="D2354">
        <v>3</v>
      </c>
      <c r="E2354" s="307">
        <v>3</v>
      </c>
      <c r="F2354" s="307" t="s">
        <v>7</v>
      </c>
      <c r="G2354" s="307" t="s">
        <v>11</v>
      </c>
      <c r="H2354" s="307" t="s">
        <v>11</v>
      </c>
    </row>
    <row r="2355" spans="1:8" x14ac:dyDescent="0.2">
      <c r="A2355" t="s">
        <v>52</v>
      </c>
      <c r="B2355" t="s">
        <v>118</v>
      </c>
      <c r="C2355" t="s">
        <v>2120</v>
      </c>
      <c r="D2355">
        <v>3</v>
      </c>
      <c r="E2355" s="307">
        <v>3</v>
      </c>
      <c r="F2355" s="307" t="s">
        <v>7</v>
      </c>
      <c r="G2355" s="307" t="s">
        <v>11</v>
      </c>
      <c r="H2355" s="307" t="s">
        <v>11</v>
      </c>
    </row>
    <row r="2356" spans="1:8" x14ac:dyDescent="0.2">
      <c r="A2356" t="s">
        <v>52</v>
      </c>
      <c r="B2356" t="s">
        <v>118</v>
      </c>
      <c r="C2356" t="s">
        <v>2121</v>
      </c>
      <c r="D2356">
        <v>3</v>
      </c>
      <c r="E2356" s="307">
        <v>3</v>
      </c>
      <c r="F2356" s="307" t="s">
        <v>7</v>
      </c>
      <c r="G2356" s="307" t="s">
        <v>11</v>
      </c>
      <c r="H2356" s="307" t="s">
        <v>11</v>
      </c>
    </row>
    <row r="2357" spans="1:8" x14ac:dyDescent="0.2">
      <c r="A2357" t="s">
        <v>52</v>
      </c>
      <c r="B2357" t="s">
        <v>118</v>
      </c>
      <c r="C2357" t="s">
        <v>1099</v>
      </c>
      <c r="D2357">
        <v>2</v>
      </c>
      <c r="E2357" s="307">
        <v>3</v>
      </c>
      <c r="F2357" s="307" t="s">
        <v>7</v>
      </c>
      <c r="G2357" s="307" t="s">
        <v>11</v>
      </c>
      <c r="H2357" s="307" t="s">
        <v>11</v>
      </c>
    </row>
    <row r="2358" spans="1:8" x14ac:dyDescent="0.2">
      <c r="A2358" t="s">
        <v>52</v>
      </c>
      <c r="B2358" t="s">
        <v>118</v>
      </c>
      <c r="C2358" t="s">
        <v>2122</v>
      </c>
      <c r="D2358">
        <v>3</v>
      </c>
      <c r="E2358" s="307">
        <v>3</v>
      </c>
      <c r="F2358" s="307" t="s">
        <v>7</v>
      </c>
      <c r="G2358" s="307" t="s">
        <v>11</v>
      </c>
      <c r="H2358" s="307" t="s">
        <v>11</v>
      </c>
    </row>
    <row r="2359" spans="1:8" x14ac:dyDescent="0.2">
      <c r="A2359" t="s">
        <v>52</v>
      </c>
      <c r="B2359" t="s">
        <v>118</v>
      </c>
      <c r="C2359" t="s">
        <v>739</v>
      </c>
      <c r="D2359">
        <v>2</v>
      </c>
      <c r="E2359" s="307">
        <v>3</v>
      </c>
      <c r="F2359" s="307" t="s">
        <v>7</v>
      </c>
      <c r="G2359" s="307" t="s">
        <v>11</v>
      </c>
      <c r="H2359" s="307" t="s">
        <v>11</v>
      </c>
    </row>
    <row r="2360" spans="1:8" x14ac:dyDescent="0.2">
      <c r="A2360" t="s">
        <v>52</v>
      </c>
      <c r="B2360" t="s">
        <v>118</v>
      </c>
      <c r="C2360" t="s">
        <v>1214</v>
      </c>
      <c r="D2360">
        <v>3</v>
      </c>
      <c r="E2360" s="307">
        <v>3</v>
      </c>
      <c r="F2360" s="307" t="s">
        <v>7</v>
      </c>
      <c r="G2360" s="307" t="s">
        <v>11</v>
      </c>
      <c r="H2360" s="307" t="s">
        <v>11</v>
      </c>
    </row>
    <row r="2361" spans="1:8" x14ac:dyDescent="0.2">
      <c r="A2361" t="s">
        <v>52</v>
      </c>
      <c r="B2361" t="s">
        <v>118</v>
      </c>
      <c r="C2361" t="s">
        <v>2123</v>
      </c>
      <c r="D2361">
        <v>3</v>
      </c>
      <c r="E2361" s="307">
        <v>3</v>
      </c>
      <c r="F2361" s="307" t="s">
        <v>7</v>
      </c>
      <c r="G2361" s="307" t="s">
        <v>11</v>
      </c>
      <c r="H2361" s="307" t="s">
        <v>11</v>
      </c>
    </row>
    <row r="2362" spans="1:8" x14ac:dyDescent="0.2">
      <c r="A2362" t="s">
        <v>52</v>
      </c>
      <c r="B2362" t="s">
        <v>118</v>
      </c>
      <c r="C2362" t="s">
        <v>2124</v>
      </c>
      <c r="D2362">
        <v>2</v>
      </c>
      <c r="E2362" s="307">
        <v>3</v>
      </c>
      <c r="F2362" s="307" t="s">
        <v>7</v>
      </c>
      <c r="G2362" s="307" t="s">
        <v>11</v>
      </c>
      <c r="H2362" s="307" t="s">
        <v>11</v>
      </c>
    </row>
    <row r="2363" spans="1:8" x14ac:dyDescent="0.2">
      <c r="A2363" t="s">
        <v>52</v>
      </c>
      <c r="B2363" t="s">
        <v>118</v>
      </c>
      <c r="C2363" t="s">
        <v>745</v>
      </c>
      <c r="D2363">
        <v>3</v>
      </c>
      <c r="E2363" s="307">
        <v>3</v>
      </c>
      <c r="F2363" s="307" t="s">
        <v>7</v>
      </c>
      <c r="G2363" s="307" t="s">
        <v>11</v>
      </c>
      <c r="H2363" s="307" t="s">
        <v>11</v>
      </c>
    </row>
    <row r="2364" spans="1:8" x14ac:dyDescent="0.2">
      <c r="A2364" t="s">
        <v>52</v>
      </c>
      <c r="B2364" t="s">
        <v>118</v>
      </c>
      <c r="C2364" t="s">
        <v>850</v>
      </c>
      <c r="D2364">
        <v>3</v>
      </c>
      <c r="E2364" s="307">
        <v>3</v>
      </c>
      <c r="F2364" s="307" t="s">
        <v>7</v>
      </c>
      <c r="G2364" s="307" t="s">
        <v>11</v>
      </c>
      <c r="H2364" s="307" t="s">
        <v>11</v>
      </c>
    </row>
    <row r="2365" spans="1:8" x14ac:dyDescent="0.2">
      <c r="A2365" t="s">
        <v>52</v>
      </c>
      <c r="B2365" t="s">
        <v>118</v>
      </c>
      <c r="C2365" t="s">
        <v>2125</v>
      </c>
      <c r="D2365">
        <v>3</v>
      </c>
      <c r="E2365" s="307">
        <v>3</v>
      </c>
      <c r="F2365" s="307" t="s">
        <v>7</v>
      </c>
      <c r="G2365" s="307" t="s">
        <v>11</v>
      </c>
      <c r="H2365" s="307" t="s">
        <v>11</v>
      </c>
    </row>
    <row r="2366" spans="1:8" x14ac:dyDescent="0.2">
      <c r="A2366" t="s">
        <v>52</v>
      </c>
      <c r="B2366" t="s">
        <v>118</v>
      </c>
      <c r="C2366" t="s">
        <v>1491</v>
      </c>
      <c r="D2366">
        <v>2</v>
      </c>
      <c r="E2366" s="307">
        <v>3</v>
      </c>
      <c r="F2366" s="307" t="s">
        <v>7</v>
      </c>
      <c r="G2366" s="307" t="s">
        <v>11</v>
      </c>
      <c r="H2366" s="307" t="s">
        <v>11</v>
      </c>
    </row>
    <row r="2367" spans="1:8" x14ac:dyDescent="0.2">
      <c r="A2367" t="s">
        <v>53</v>
      </c>
      <c r="B2367" t="s">
        <v>82</v>
      </c>
      <c r="C2367" t="s">
        <v>2126</v>
      </c>
      <c r="D2367">
        <v>1</v>
      </c>
      <c r="E2367" s="307">
        <v>6</v>
      </c>
      <c r="F2367" s="307" t="s">
        <v>7</v>
      </c>
      <c r="G2367" s="307" t="s">
        <v>11</v>
      </c>
      <c r="H2367" s="307" t="s">
        <v>11</v>
      </c>
    </row>
    <row r="2368" spans="1:8" x14ac:dyDescent="0.2">
      <c r="A2368" t="s">
        <v>53</v>
      </c>
      <c r="B2368" t="s">
        <v>82</v>
      </c>
      <c r="C2368" t="s">
        <v>2127</v>
      </c>
      <c r="D2368">
        <v>1</v>
      </c>
      <c r="E2368" s="307">
        <v>6</v>
      </c>
      <c r="F2368" s="307" t="s">
        <v>7</v>
      </c>
      <c r="G2368" s="307" t="s">
        <v>11</v>
      </c>
      <c r="H2368" s="307" t="s">
        <v>11</v>
      </c>
    </row>
    <row r="2369" spans="1:8" x14ac:dyDescent="0.2">
      <c r="A2369" t="s">
        <v>53</v>
      </c>
      <c r="B2369" t="s">
        <v>82</v>
      </c>
      <c r="C2369" t="s">
        <v>2128</v>
      </c>
      <c r="D2369">
        <v>2</v>
      </c>
      <c r="E2369" s="307">
        <v>5</v>
      </c>
      <c r="F2369" s="307" t="s">
        <v>7</v>
      </c>
      <c r="G2369" s="307" t="s">
        <v>11</v>
      </c>
      <c r="H2369" s="307" t="s">
        <v>11</v>
      </c>
    </row>
    <row r="2370" spans="1:8" x14ac:dyDescent="0.2">
      <c r="A2370" t="s">
        <v>53</v>
      </c>
      <c r="B2370" t="s">
        <v>82</v>
      </c>
      <c r="C2370" t="s">
        <v>2129</v>
      </c>
      <c r="D2370">
        <v>1</v>
      </c>
      <c r="E2370" s="307">
        <v>5</v>
      </c>
      <c r="F2370" s="307" t="s">
        <v>7</v>
      </c>
      <c r="G2370" s="307" t="s">
        <v>11</v>
      </c>
      <c r="H2370" s="307" t="s">
        <v>11</v>
      </c>
    </row>
    <row r="2371" spans="1:8" x14ac:dyDescent="0.2">
      <c r="A2371" t="s">
        <v>53</v>
      </c>
      <c r="B2371" t="s">
        <v>82</v>
      </c>
      <c r="C2371" t="s">
        <v>2130</v>
      </c>
      <c r="D2371">
        <v>1</v>
      </c>
      <c r="E2371" s="307">
        <v>6</v>
      </c>
      <c r="F2371" s="307" t="s">
        <v>7</v>
      </c>
      <c r="G2371" s="307" t="s">
        <v>11</v>
      </c>
      <c r="H2371" s="307" t="s">
        <v>11</v>
      </c>
    </row>
    <row r="2372" spans="1:8" x14ac:dyDescent="0.2">
      <c r="A2372" t="s">
        <v>53</v>
      </c>
      <c r="B2372" t="s">
        <v>82</v>
      </c>
      <c r="C2372" t="s">
        <v>1176</v>
      </c>
      <c r="D2372">
        <v>1</v>
      </c>
      <c r="E2372" s="307">
        <v>6</v>
      </c>
      <c r="F2372" s="307" t="s">
        <v>7</v>
      </c>
      <c r="G2372" s="307" t="s">
        <v>11</v>
      </c>
      <c r="H2372" s="307" t="s">
        <v>11</v>
      </c>
    </row>
    <row r="2373" spans="1:8" x14ac:dyDescent="0.2">
      <c r="A2373" t="s">
        <v>53</v>
      </c>
      <c r="B2373" t="s">
        <v>82</v>
      </c>
      <c r="C2373" t="s">
        <v>2131</v>
      </c>
      <c r="D2373">
        <v>1</v>
      </c>
      <c r="E2373" s="307">
        <v>6</v>
      </c>
      <c r="F2373" s="307" t="s">
        <v>7</v>
      </c>
      <c r="G2373" s="307" t="s">
        <v>11</v>
      </c>
      <c r="H2373" s="307" t="s">
        <v>11</v>
      </c>
    </row>
    <row r="2374" spans="1:8" x14ac:dyDescent="0.2">
      <c r="A2374" t="s">
        <v>53</v>
      </c>
      <c r="B2374" t="s">
        <v>82</v>
      </c>
      <c r="C2374" t="s">
        <v>1757</v>
      </c>
      <c r="D2374">
        <v>1</v>
      </c>
      <c r="E2374" s="307">
        <v>6</v>
      </c>
      <c r="F2374" s="307" t="s">
        <v>7</v>
      </c>
      <c r="G2374" s="307" t="s">
        <v>11</v>
      </c>
      <c r="H2374" s="307" t="s">
        <v>11</v>
      </c>
    </row>
    <row r="2375" spans="1:8" x14ac:dyDescent="0.2">
      <c r="A2375" t="s">
        <v>53</v>
      </c>
      <c r="B2375" t="s">
        <v>82</v>
      </c>
      <c r="C2375" t="s">
        <v>858</v>
      </c>
      <c r="D2375">
        <v>2</v>
      </c>
      <c r="E2375" s="307">
        <v>6</v>
      </c>
      <c r="F2375" s="307" t="s">
        <v>7</v>
      </c>
      <c r="G2375" s="307" t="s">
        <v>11</v>
      </c>
      <c r="H2375" s="307" t="s">
        <v>11</v>
      </c>
    </row>
    <row r="2376" spans="1:8" x14ac:dyDescent="0.2">
      <c r="A2376" t="s">
        <v>53</v>
      </c>
      <c r="B2376" t="s">
        <v>82</v>
      </c>
      <c r="C2376" t="s">
        <v>1393</v>
      </c>
      <c r="D2376">
        <v>1</v>
      </c>
      <c r="E2376" s="307">
        <v>6</v>
      </c>
      <c r="F2376" s="307" t="s">
        <v>7</v>
      </c>
      <c r="G2376" s="307" t="s">
        <v>11</v>
      </c>
      <c r="H2376" s="307" t="s">
        <v>11</v>
      </c>
    </row>
    <row r="2377" spans="1:8" x14ac:dyDescent="0.2">
      <c r="A2377" t="s">
        <v>53</v>
      </c>
      <c r="B2377" t="s">
        <v>82</v>
      </c>
      <c r="C2377" t="s">
        <v>2132</v>
      </c>
      <c r="D2377">
        <v>1</v>
      </c>
      <c r="E2377" s="307">
        <v>5</v>
      </c>
      <c r="F2377" s="307" t="s">
        <v>7</v>
      </c>
      <c r="G2377" s="307" t="s">
        <v>11</v>
      </c>
      <c r="H2377" s="307" t="s">
        <v>11</v>
      </c>
    </row>
    <row r="2378" spans="1:8" x14ac:dyDescent="0.2">
      <c r="A2378" t="s">
        <v>53</v>
      </c>
      <c r="B2378" t="s">
        <v>82</v>
      </c>
      <c r="C2378" t="s">
        <v>806</v>
      </c>
      <c r="D2378">
        <v>1</v>
      </c>
      <c r="E2378" s="307">
        <v>6</v>
      </c>
      <c r="F2378" s="307" t="s">
        <v>7</v>
      </c>
      <c r="G2378" s="307" t="s">
        <v>11</v>
      </c>
      <c r="H2378" s="307" t="s">
        <v>11</v>
      </c>
    </row>
    <row r="2379" spans="1:8" x14ac:dyDescent="0.2">
      <c r="A2379" t="s">
        <v>53</v>
      </c>
      <c r="B2379" t="s">
        <v>82</v>
      </c>
      <c r="C2379" t="s">
        <v>699</v>
      </c>
      <c r="D2379">
        <v>1</v>
      </c>
      <c r="E2379" s="307">
        <v>5</v>
      </c>
      <c r="F2379" s="307" t="s">
        <v>7</v>
      </c>
      <c r="G2379" s="307" t="s">
        <v>11</v>
      </c>
      <c r="H2379" s="307" t="s">
        <v>11</v>
      </c>
    </row>
    <row r="2380" spans="1:8" x14ac:dyDescent="0.2">
      <c r="A2380" t="s">
        <v>53</v>
      </c>
      <c r="B2380" t="s">
        <v>82</v>
      </c>
      <c r="C2380" t="s">
        <v>2133</v>
      </c>
      <c r="D2380">
        <v>1</v>
      </c>
      <c r="E2380" s="307">
        <v>6</v>
      </c>
      <c r="F2380" s="307" t="s">
        <v>7</v>
      </c>
      <c r="G2380" s="307" t="s">
        <v>11</v>
      </c>
      <c r="H2380" s="307" t="s">
        <v>11</v>
      </c>
    </row>
    <row r="2381" spans="1:8" x14ac:dyDescent="0.2">
      <c r="A2381" t="s">
        <v>53</v>
      </c>
      <c r="B2381" t="s">
        <v>82</v>
      </c>
      <c r="C2381" t="s">
        <v>2134</v>
      </c>
      <c r="D2381">
        <v>1</v>
      </c>
      <c r="E2381" s="307">
        <v>6</v>
      </c>
      <c r="F2381" s="307" t="s">
        <v>7</v>
      </c>
      <c r="G2381" s="307" t="s">
        <v>11</v>
      </c>
      <c r="H2381" s="307" t="s">
        <v>11</v>
      </c>
    </row>
    <row r="2382" spans="1:8" x14ac:dyDescent="0.2">
      <c r="A2382" t="s">
        <v>53</v>
      </c>
      <c r="B2382" t="s">
        <v>82</v>
      </c>
      <c r="C2382" t="s">
        <v>925</v>
      </c>
      <c r="D2382">
        <v>2</v>
      </c>
      <c r="E2382" s="307">
        <v>6</v>
      </c>
      <c r="F2382" s="307" t="s">
        <v>7</v>
      </c>
      <c r="G2382" s="307" t="s">
        <v>11</v>
      </c>
      <c r="H2382" s="307" t="s">
        <v>11</v>
      </c>
    </row>
    <row r="2383" spans="1:8" x14ac:dyDescent="0.2">
      <c r="A2383" t="s">
        <v>53</v>
      </c>
      <c r="B2383" t="s">
        <v>82</v>
      </c>
      <c r="C2383" t="s">
        <v>2135</v>
      </c>
      <c r="D2383">
        <v>1</v>
      </c>
      <c r="E2383" s="307">
        <v>6</v>
      </c>
      <c r="F2383" s="307" t="s">
        <v>7</v>
      </c>
      <c r="G2383" s="307" t="s">
        <v>11</v>
      </c>
      <c r="H2383" s="307" t="s">
        <v>11</v>
      </c>
    </row>
    <row r="2384" spans="1:8" x14ac:dyDescent="0.2">
      <c r="A2384" t="s">
        <v>53</v>
      </c>
      <c r="B2384" t="s">
        <v>82</v>
      </c>
      <c r="C2384" t="s">
        <v>2136</v>
      </c>
      <c r="D2384">
        <v>1</v>
      </c>
      <c r="E2384" s="307">
        <v>6</v>
      </c>
      <c r="F2384" s="307" t="s">
        <v>7</v>
      </c>
      <c r="G2384" s="307" t="s">
        <v>11</v>
      </c>
      <c r="H2384" s="307" t="s">
        <v>11</v>
      </c>
    </row>
    <row r="2385" spans="1:8" x14ac:dyDescent="0.2">
      <c r="A2385" t="s">
        <v>53</v>
      </c>
      <c r="B2385" t="s">
        <v>82</v>
      </c>
      <c r="C2385" t="s">
        <v>1763</v>
      </c>
      <c r="D2385">
        <v>1</v>
      </c>
      <c r="E2385" s="307">
        <v>6</v>
      </c>
      <c r="F2385" s="307" t="s">
        <v>7</v>
      </c>
      <c r="G2385" s="307" t="s">
        <v>11</v>
      </c>
      <c r="H2385" s="307" t="s">
        <v>11</v>
      </c>
    </row>
    <row r="2386" spans="1:8" x14ac:dyDescent="0.2">
      <c r="A2386" t="s">
        <v>53</v>
      </c>
      <c r="B2386" t="s">
        <v>82</v>
      </c>
      <c r="C2386" t="s">
        <v>2017</v>
      </c>
      <c r="D2386">
        <v>2</v>
      </c>
      <c r="E2386" s="307">
        <v>6</v>
      </c>
      <c r="F2386" s="307" t="s">
        <v>7</v>
      </c>
      <c r="G2386" s="307" t="s">
        <v>11</v>
      </c>
      <c r="H2386" s="307" t="s">
        <v>11</v>
      </c>
    </row>
    <row r="2387" spans="1:8" x14ac:dyDescent="0.2">
      <c r="A2387" t="s">
        <v>53</v>
      </c>
      <c r="B2387" t="s">
        <v>82</v>
      </c>
      <c r="C2387" t="s">
        <v>929</v>
      </c>
      <c r="D2387">
        <v>1</v>
      </c>
      <c r="E2387" s="307">
        <v>5</v>
      </c>
      <c r="F2387" s="307" t="s">
        <v>7</v>
      </c>
      <c r="G2387" s="307" t="s">
        <v>11</v>
      </c>
      <c r="H2387" s="307" t="s">
        <v>11</v>
      </c>
    </row>
    <row r="2388" spans="1:8" x14ac:dyDescent="0.2">
      <c r="A2388" t="s">
        <v>53</v>
      </c>
      <c r="B2388" t="s">
        <v>82</v>
      </c>
      <c r="C2388" t="s">
        <v>2137</v>
      </c>
      <c r="D2388">
        <v>1</v>
      </c>
      <c r="E2388" s="307">
        <v>6</v>
      </c>
      <c r="F2388" s="307" t="s">
        <v>7</v>
      </c>
      <c r="G2388" s="307" t="s">
        <v>11</v>
      </c>
      <c r="H2388" s="307" t="s">
        <v>11</v>
      </c>
    </row>
    <row r="2389" spans="1:8" x14ac:dyDescent="0.2">
      <c r="A2389" t="s">
        <v>53</v>
      </c>
      <c r="B2389" t="s">
        <v>82</v>
      </c>
      <c r="C2389" t="s">
        <v>2138</v>
      </c>
      <c r="D2389">
        <v>2</v>
      </c>
      <c r="E2389" s="307">
        <v>6</v>
      </c>
      <c r="F2389" s="307" t="s">
        <v>7</v>
      </c>
      <c r="G2389" s="307" t="s">
        <v>11</v>
      </c>
      <c r="H2389" s="307" t="s">
        <v>11</v>
      </c>
    </row>
    <row r="2390" spans="1:8" x14ac:dyDescent="0.2">
      <c r="A2390" t="s">
        <v>53</v>
      </c>
      <c r="B2390" t="s">
        <v>82</v>
      </c>
      <c r="C2390" t="s">
        <v>2139</v>
      </c>
      <c r="D2390">
        <v>1</v>
      </c>
      <c r="E2390" s="307">
        <v>6</v>
      </c>
      <c r="F2390" s="307" t="s">
        <v>7</v>
      </c>
      <c r="G2390" s="307" t="s">
        <v>11</v>
      </c>
      <c r="H2390" s="307" t="s">
        <v>11</v>
      </c>
    </row>
    <row r="2391" spans="1:8" x14ac:dyDescent="0.2">
      <c r="A2391" t="s">
        <v>53</v>
      </c>
      <c r="B2391" t="s">
        <v>82</v>
      </c>
      <c r="C2391" t="s">
        <v>819</v>
      </c>
      <c r="D2391">
        <v>1</v>
      </c>
      <c r="E2391" s="307">
        <v>6</v>
      </c>
      <c r="F2391" s="307" t="s">
        <v>7</v>
      </c>
      <c r="G2391" s="307" t="s">
        <v>11</v>
      </c>
      <c r="H2391" s="307" t="s">
        <v>11</v>
      </c>
    </row>
    <row r="2392" spans="1:8" x14ac:dyDescent="0.2">
      <c r="A2392" t="s">
        <v>53</v>
      </c>
      <c r="B2392" t="s">
        <v>82</v>
      </c>
      <c r="C2392" t="s">
        <v>2140</v>
      </c>
      <c r="D2392">
        <v>2</v>
      </c>
      <c r="E2392" s="307">
        <v>5</v>
      </c>
      <c r="F2392" s="307" t="s">
        <v>7</v>
      </c>
      <c r="G2392" s="307" t="s">
        <v>11</v>
      </c>
      <c r="H2392" s="307" t="s">
        <v>11</v>
      </c>
    </row>
    <row r="2393" spans="1:8" x14ac:dyDescent="0.2">
      <c r="A2393" t="s">
        <v>53</v>
      </c>
      <c r="B2393" t="s">
        <v>82</v>
      </c>
      <c r="C2393" t="s">
        <v>2141</v>
      </c>
      <c r="D2393">
        <v>2</v>
      </c>
      <c r="E2393" s="307">
        <v>6</v>
      </c>
      <c r="F2393" s="307" t="s">
        <v>7</v>
      </c>
      <c r="G2393" s="307" t="s">
        <v>11</v>
      </c>
      <c r="H2393" s="307" t="s">
        <v>11</v>
      </c>
    </row>
    <row r="2394" spans="1:8" x14ac:dyDescent="0.2">
      <c r="A2394" t="s">
        <v>53</v>
      </c>
      <c r="B2394" t="s">
        <v>82</v>
      </c>
      <c r="C2394" t="s">
        <v>2142</v>
      </c>
      <c r="D2394">
        <v>1</v>
      </c>
      <c r="E2394" s="307">
        <v>6</v>
      </c>
      <c r="F2394" s="307" t="s">
        <v>7</v>
      </c>
      <c r="G2394" s="307" t="s">
        <v>11</v>
      </c>
      <c r="H2394" s="307" t="s">
        <v>11</v>
      </c>
    </row>
    <row r="2395" spans="1:8" x14ac:dyDescent="0.2">
      <c r="A2395" t="s">
        <v>53</v>
      </c>
      <c r="B2395" t="s">
        <v>82</v>
      </c>
      <c r="C2395" t="s">
        <v>2143</v>
      </c>
      <c r="D2395">
        <v>1</v>
      </c>
      <c r="E2395" s="307">
        <v>6</v>
      </c>
      <c r="F2395" s="307" t="s">
        <v>7</v>
      </c>
      <c r="G2395" s="307" t="s">
        <v>11</v>
      </c>
      <c r="H2395" s="307" t="s">
        <v>11</v>
      </c>
    </row>
    <row r="2396" spans="1:8" x14ac:dyDescent="0.2">
      <c r="A2396" t="s">
        <v>53</v>
      </c>
      <c r="B2396" t="s">
        <v>82</v>
      </c>
      <c r="C2396" t="s">
        <v>2144</v>
      </c>
      <c r="D2396">
        <v>1</v>
      </c>
      <c r="E2396" s="307">
        <v>6</v>
      </c>
      <c r="F2396" s="307" t="s">
        <v>7</v>
      </c>
      <c r="G2396" s="307" t="s">
        <v>11</v>
      </c>
      <c r="H2396" s="307" t="s">
        <v>11</v>
      </c>
    </row>
    <row r="2397" spans="1:8" x14ac:dyDescent="0.2">
      <c r="A2397" t="s">
        <v>53</v>
      </c>
      <c r="B2397" t="s">
        <v>82</v>
      </c>
      <c r="C2397" t="s">
        <v>1831</v>
      </c>
      <c r="D2397">
        <v>2</v>
      </c>
      <c r="E2397" s="307">
        <v>6</v>
      </c>
      <c r="F2397" s="307" t="s">
        <v>7</v>
      </c>
      <c r="G2397" s="307" t="s">
        <v>11</v>
      </c>
      <c r="H2397" s="307" t="s">
        <v>11</v>
      </c>
    </row>
    <row r="2398" spans="1:8" x14ac:dyDescent="0.2">
      <c r="A2398" t="s">
        <v>53</v>
      </c>
      <c r="B2398" t="s">
        <v>82</v>
      </c>
      <c r="C2398" t="s">
        <v>2021</v>
      </c>
      <c r="D2398">
        <v>1</v>
      </c>
      <c r="E2398" s="307">
        <v>6</v>
      </c>
      <c r="F2398" s="307" t="s">
        <v>7</v>
      </c>
      <c r="G2398" s="307" t="s">
        <v>11</v>
      </c>
      <c r="H2398" s="307" t="s">
        <v>11</v>
      </c>
    </row>
    <row r="2399" spans="1:8" x14ac:dyDescent="0.2">
      <c r="A2399" t="s">
        <v>53</v>
      </c>
      <c r="B2399" t="s">
        <v>82</v>
      </c>
      <c r="C2399" t="s">
        <v>2145</v>
      </c>
      <c r="D2399">
        <v>1</v>
      </c>
      <c r="E2399" s="307">
        <v>5</v>
      </c>
      <c r="F2399" s="307" t="s">
        <v>7</v>
      </c>
      <c r="G2399" s="307" t="s">
        <v>11</v>
      </c>
      <c r="H2399" s="307" t="s">
        <v>11</v>
      </c>
    </row>
    <row r="2400" spans="1:8" x14ac:dyDescent="0.2">
      <c r="A2400" t="s">
        <v>53</v>
      </c>
      <c r="B2400" t="s">
        <v>82</v>
      </c>
      <c r="C2400" t="s">
        <v>1909</v>
      </c>
      <c r="D2400">
        <v>1</v>
      </c>
      <c r="E2400" s="307">
        <v>6</v>
      </c>
      <c r="F2400" s="307" t="s">
        <v>7</v>
      </c>
      <c r="G2400" s="307" t="s">
        <v>11</v>
      </c>
      <c r="H2400" s="307" t="s">
        <v>11</v>
      </c>
    </row>
    <row r="2401" spans="1:8" x14ac:dyDescent="0.2">
      <c r="A2401" t="s">
        <v>53</v>
      </c>
      <c r="B2401" t="s">
        <v>82</v>
      </c>
      <c r="C2401" t="s">
        <v>721</v>
      </c>
      <c r="D2401">
        <v>2</v>
      </c>
      <c r="E2401" s="307">
        <v>5</v>
      </c>
      <c r="F2401" s="307" t="s">
        <v>7</v>
      </c>
      <c r="G2401" s="307" t="s">
        <v>11</v>
      </c>
      <c r="H2401" s="307" t="s">
        <v>11</v>
      </c>
    </row>
    <row r="2402" spans="1:8" x14ac:dyDescent="0.2">
      <c r="A2402" t="s">
        <v>53</v>
      </c>
      <c r="B2402" t="s">
        <v>82</v>
      </c>
      <c r="C2402" t="s">
        <v>2146</v>
      </c>
      <c r="D2402">
        <v>1</v>
      </c>
      <c r="E2402" s="307">
        <v>6</v>
      </c>
      <c r="F2402" s="307" t="s">
        <v>7</v>
      </c>
      <c r="G2402" s="307" t="s">
        <v>11</v>
      </c>
      <c r="H2402" s="307" t="s">
        <v>11</v>
      </c>
    </row>
    <row r="2403" spans="1:8" x14ac:dyDescent="0.2">
      <c r="A2403" t="s">
        <v>53</v>
      </c>
      <c r="B2403" t="s">
        <v>82</v>
      </c>
      <c r="C2403" t="s">
        <v>1088</v>
      </c>
      <c r="D2403">
        <v>2</v>
      </c>
      <c r="E2403" s="307">
        <v>6</v>
      </c>
      <c r="F2403" s="307" t="s">
        <v>7</v>
      </c>
      <c r="G2403" s="307" t="s">
        <v>11</v>
      </c>
      <c r="H2403" s="307" t="s">
        <v>11</v>
      </c>
    </row>
    <row r="2404" spans="1:8" x14ac:dyDescent="0.2">
      <c r="A2404" t="s">
        <v>53</v>
      </c>
      <c r="B2404" t="s">
        <v>82</v>
      </c>
      <c r="C2404" t="s">
        <v>2147</v>
      </c>
      <c r="D2404">
        <v>1</v>
      </c>
      <c r="E2404" s="307">
        <v>6</v>
      </c>
      <c r="F2404" s="307" t="s">
        <v>7</v>
      </c>
      <c r="G2404" s="307" t="s">
        <v>11</v>
      </c>
      <c r="H2404" s="307" t="s">
        <v>11</v>
      </c>
    </row>
    <row r="2405" spans="1:8" x14ac:dyDescent="0.2">
      <c r="A2405" t="s">
        <v>53</v>
      </c>
      <c r="B2405" t="s">
        <v>82</v>
      </c>
      <c r="C2405" t="s">
        <v>871</v>
      </c>
      <c r="D2405">
        <v>1</v>
      </c>
      <c r="E2405" s="307">
        <v>6</v>
      </c>
      <c r="F2405" s="307" t="s">
        <v>7</v>
      </c>
      <c r="G2405" s="307" t="s">
        <v>11</v>
      </c>
      <c r="H2405" s="307" t="s">
        <v>11</v>
      </c>
    </row>
    <row r="2406" spans="1:8" x14ac:dyDescent="0.2">
      <c r="A2406" t="s">
        <v>53</v>
      </c>
      <c r="B2406" t="s">
        <v>82</v>
      </c>
      <c r="C2406" t="s">
        <v>725</v>
      </c>
      <c r="D2406">
        <v>2</v>
      </c>
      <c r="E2406" s="307">
        <v>6</v>
      </c>
      <c r="F2406" s="307" t="s">
        <v>7</v>
      </c>
      <c r="G2406" s="307" t="s">
        <v>11</v>
      </c>
      <c r="H2406" s="307" t="s">
        <v>11</v>
      </c>
    </row>
    <row r="2407" spans="1:8" x14ac:dyDescent="0.2">
      <c r="A2407" t="s">
        <v>53</v>
      </c>
      <c r="B2407" t="s">
        <v>82</v>
      </c>
      <c r="C2407" t="s">
        <v>827</v>
      </c>
      <c r="D2407">
        <v>1</v>
      </c>
      <c r="E2407" s="307">
        <v>6</v>
      </c>
      <c r="F2407" s="307" t="s">
        <v>7</v>
      </c>
      <c r="G2407" s="307" t="s">
        <v>11</v>
      </c>
      <c r="H2407" s="307" t="s">
        <v>11</v>
      </c>
    </row>
    <row r="2408" spans="1:8" x14ac:dyDescent="0.2">
      <c r="A2408" t="s">
        <v>53</v>
      </c>
      <c r="B2408" t="s">
        <v>82</v>
      </c>
      <c r="C2408" t="s">
        <v>2148</v>
      </c>
      <c r="D2408">
        <v>1</v>
      </c>
      <c r="E2408" s="307">
        <v>6</v>
      </c>
      <c r="F2408" s="307" t="s">
        <v>7</v>
      </c>
      <c r="G2408" s="307" t="s">
        <v>11</v>
      </c>
      <c r="H2408" s="307" t="s">
        <v>11</v>
      </c>
    </row>
    <row r="2409" spans="1:8" x14ac:dyDescent="0.2">
      <c r="A2409" t="s">
        <v>53</v>
      </c>
      <c r="B2409" t="s">
        <v>82</v>
      </c>
      <c r="C2409" t="s">
        <v>733</v>
      </c>
      <c r="D2409">
        <v>1</v>
      </c>
      <c r="E2409" s="307">
        <v>6</v>
      </c>
      <c r="F2409" s="307" t="s">
        <v>7</v>
      </c>
      <c r="G2409" s="307" t="s">
        <v>11</v>
      </c>
      <c r="H2409" s="307" t="s">
        <v>11</v>
      </c>
    </row>
    <row r="2410" spans="1:8" x14ac:dyDescent="0.2">
      <c r="A2410" t="s">
        <v>53</v>
      </c>
      <c r="B2410" t="s">
        <v>82</v>
      </c>
      <c r="C2410" t="s">
        <v>2149</v>
      </c>
      <c r="D2410">
        <v>1</v>
      </c>
      <c r="E2410" s="307">
        <v>6</v>
      </c>
      <c r="F2410" s="307" t="s">
        <v>7</v>
      </c>
      <c r="G2410" s="307" t="s">
        <v>11</v>
      </c>
      <c r="H2410" s="307" t="s">
        <v>11</v>
      </c>
    </row>
    <row r="2411" spans="1:8" x14ac:dyDescent="0.2">
      <c r="A2411" t="s">
        <v>53</v>
      </c>
      <c r="B2411" t="s">
        <v>82</v>
      </c>
      <c r="C2411" t="s">
        <v>1345</v>
      </c>
      <c r="D2411">
        <v>1</v>
      </c>
      <c r="E2411" s="307">
        <v>6</v>
      </c>
      <c r="F2411" s="307" t="s">
        <v>7</v>
      </c>
      <c r="G2411" s="307" t="s">
        <v>11</v>
      </c>
      <c r="H2411" s="307" t="s">
        <v>11</v>
      </c>
    </row>
    <row r="2412" spans="1:8" x14ac:dyDescent="0.2">
      <c r="A2412" t="s">
        <v>53</v>
      </c>
      <c r="B2412" t="s">
        <v>82</v>
      </c>
      <c r="C2412" t="s">
        <v>1346</v>
      </c>
      <c r="D2412">
        <v>2</v>
      </c>
      <c r="E2412" s="307">
        <v>6</v>
      </c>
      <c r="F2412" s="307" t="s">
        <v>7</v>
      </c>
      <c r="G2412" s="307" t="s">
        <v>11</v>
      </c>
      <c r="H2412" s="307" t="s">
        <v>11</v>
      </c>
    </row>
    <row r="2413" spans="1:8" x14ac:dyDescent="0.2">
      <c r="A2413" t="s">
        <v>53</v>
      </c>
      <c r="B2413" t="s">
        <v>82</v>
      </c>
      <c r="C2413" t="s">
        <v>2150</v>
      </c>
      <c r="D2413">
        <v>2</v>
      </c>
      <c r="E2413" s="307">
        <v>5</v>
      </c>
      <c r="F2413" s="307" t="s">
        <v>7</v>
      </c>
      <c r="G2413" s="307" t="s">
        <v>11</v>
      </c>
      <c r="H2413" s="307" t="s">
        <v>11</v>
      </c>
    </row>
    <row r="2414" spans="1:8" x14ac:dyDescent="0.2">
      <c r="A2414" t="s">
        <v>53</v>
      </c>
      <c r="B2414" t="s">
        <v>82</v>
      </c>
      <c r="C2414" t="s">
        <v>2151</v>
      </c>
      <c r="D2414">
        <v>1</v>
      </c>
      <c r="E2414" s="307">
        <v>6</v>
      </c>
      <c r="F2414" s="307" t="s">
        <v>7</v>
      </c>
      <c r="G2414" s="307" t="s">
        <v>11</v>
      </c>
      <c r="H2414" s="307" t="s">
        <v>11</v>
      </c>
    </row>
    <row r="2415" spans="1:8" x14ac:dyDescent="0.2">
      <c r="A2415" t="s">
        <v>53</v>
      </c>
      <c r="B2415" t="s">
        <v>82</v>
      </c>
      <c r="C2415" t="s">
        <v>2152</v>
      </c>
      <c r="D2415">
        <v>1</v>
      </c>
      <c r="E2415" s="307">
        <v>6</v>
      </c>
      <c r="F2415" s="307" t="s">
        <v>7</v>
      </c>
      <c r="G2415" s="307" t="s">
        <v>11</v>
      </c>
      <c r="H2415" s="307" t="s">
        <v>11</v>
      </c>
    </row>
    <row r="2416" spans="1:8" x14ac:dyDescent="0.2">
      <c r="A2416" t="s">
        <v>53</v>
      </c>
      <c r="B2416" t="s">
        <v>82</v>
      </c>
      <c r="C2416" t="s">
        <v>2153</v>
      </c>
      <c r="D2416">
        <v>1</v>
      </c>
      <c r="E2416" s="307">
        <v>6</v>
      </c>
      <c r="F2416" s="307" t="s">
        <v>7</v>
      </c>
      <c r="G2416" s="307" t="s">
        <v>11</v>
      </c>
      <c r="H2416" s="307" t="s">
        <v>11</v>
      </c>
    </row>
    <row r="2417" spans="1:8" x14ac:dyDescent="0.2">
      <c r="A2417" t="s">
        <v>53</v>
      </c>
      <c r="B2417" t="s">
        <v>82</v>
      </c>
      <c r="C2417" t="s">
        <v>1620</v>
      </c>
      <c r="D2417">
        <v>2</v>
      </c>
      <c r="E2417" s="307">
        <v>6</v>
      </c>
      <c r="F2417" s="307" t="s">
        <v>7</v>
      </c>
      <c r="G2417" s="307" t="s">
        <v>11</v>
      </c>
      <c r="H2417" s="307" t="s">
        <v>11</v>
      </c>
    </row>
    <row r="2418" spans="1:8" x14ac:dyDescent="0.2">
      <c r="A2418" t="s">
        <v>53</v>
      </c>
      <c r="B2418" t="s">
        <v>82</v>
      </c>
      <c r="C2418" t="s">
        <v>1785</v>
      </c>
      <c r="D2418">
        <v>1</v>
      </c>
      <c r="E2418" s="307">
        <v>6</v>
      </c>
      <c r="F2418" s="307" t="s">
        <v>7</v>
      </c>
      <c r="G2418" s="307" t="s">
        <v>11</v>
      </c>
      <c r="H2418" s="307" t="s">
        <v>11</v>
      </c>
    </row>
    <row r="2419" spans="1:8" x14ac:dyDescent="0.2">
      <c r="A2419" t="s">
        <v>53</v>
      </c>
      <c r="B2419" t="s">
        <v>82</v>
      </c>
      <c r="C2419" t="s">
        <v>2090</v>
      </c>
      <c r="D2419">
        <v>1</v>
      </c>
      <c r="E2419" s="307">
        <v>6</v>
      </c>
      <c r="F2419" s="307" t="s">
        <v>7</v>
      </c>
      <c r="G2419" s="307" t="s">
        <v>11</v>
      </c>
      <c r="H2419" s="307" t="s">
        <v>11</v>
      </c>
    </row>
    <row r="2420" spans="1:8" x14ac:dyDescent="0.2">
      <c r="A2420" t="s">
        <v>53</v>
      </c>
      <c r="B2420" t="s">
        <v>82</v>
      </c>
      <c r="C2420" t="s">
        <v>2154</v>
      </c>
      <c r="D2420">
        <v>1</v>
      </c>
      <c r="E2420" s="307">
        <v>6</v>
      </c>
      <c r="F2420" s="307" t="s">
        <v>7</v>
      </c>
      <c r="G2420" s="307" t="s">
        <v>11</v>
      </c>
      <c r="H2420" s="307" t="s">
        <v>11</v>
      </c>
    </row>
    <row r="2421" spans="1:8" x14ac:dyDescent="0.2">
      <c r="A2421" t="s">
        <v>53</v>
      </c>
      <c r="B2421" t="s">
        <v>82</v>
      </c>
      <c r="C2421" t="s">
        <v>2155</v>
      </c>
      <c r="D2421">
        <v>1</v>
      </c>
      <c r="E2421" s="307">
        <v>6</v>
      </c>
      <c r="F2421" s="307" t="s">
        <v>7</v>
      </c>
      <c r="G2421" s="307" t="s">
        <v>11</v>
      </c>
      <c r="H2421" s="307" t="s">
        <v>11</v>
      </c>
    </row>
    <row r="2422" spans="1:8" x14ac:dyDescent="0.2">
      <c r="A2422" t="s">
        <v>53</v>
      </c>
      <c r="B2422" t="s">
        <v>82</v>
      </c>
      <c r="C2422" t="s">
        <v>1713</v>
      </c>
      <c r="D2422">
        <v>2</v>
      </c>
      <c r="E2422" s="307">
        <v>6</v>
      </c>
      <c r="F2422" s="307" t="s">
        <v>7</v>
      </c>
      <c r="G2422" s="307" t="s">
        <v>11</v>
      </c>
      <c r="H2422" s="307" t="s">
        <v>11</v>
      </c>
    </row>
    <row r="2423" spans="1:8" x14ac:dyDescent="0.2">
      <c r="A2423" t="s">
        <v>53</v>
      </c>
      <c r="B2423" t="s">
        <v>82</v>
      </c>
      <c r="C2423" t="s">
        <v>2156</v>
      </c>
      <c r="D2423">
        <v>1</v>
      </c>
      <c r="E2423" s="307">
        <v>6</v>
      </c>
      <c r="F2423" s="307" t="s">
        <v>7</v>
      </c>
      <c r="G2423" s="307" t="s">
        <v>11</v>
      </c>
      <c r="H2423" s="307" t="s">
        <v>11</v>
      </c>
    </row>
    <row r="2424" spans="1:8" x14ac:dyDescent="0.2">
      <c r="A2424" t="s">
        <v>53</v>
      </c>
      <c r="B2424" t="s">
        <v>82</v>
      </c>
      <c r="C2424" t="s">
        <v>2157</v>
      </c>
      <c r="D2424">
        <v>1</v>
      </c>
      <c r="E2424" s="307">
        <v>6</v>
      </c>
      <c r="F2424" s="307" t="s">
        <v>7</v>
      </c>
      <c r="G2424" s="307" t="s">
        <v>11</v>
      </c>
      <c r="H2424" s="307" t="s">
        <v>11</v>
      </c>
    </row>
    <row r="2425" spans="1:8" x14ac:dyDescent="0.2">
      <c r="A2425" t="s">
        <v>53</v>
      </c>
      <c r="B2425" t="s">
        <v>82</v>
      </c>
      <c r="C2425" t="s">
        <v>2158</v>
      </c>
      <c r="D2425">
        <v>1</v>
      </c>
      <c r="E2425" s="307">
        <v>6</v>
      </c>
      <c r="F2425" s="307" t="s">
        <v>7</v>
      </c>
      <c r="G2425" s="307" t="s">
        <v>11</v>
      </c>
      <c r="H2425" s="307" t="s">
        <v>11</v>
      </c>
    </row>
    <row r="2426" spans="1:8" x14ac:dyDescent="0.2">
      <c r="A2426" t="s">
        <v>53</v>
      </c>
      <c r="B2426" t="s">
        <v>82</v>
      </c>
      <c r="C2426" t="s">
        <v>1432</v>
      </c>
      <c r="D2426">
        <v>2</v>
      </c>
      <c r="E2426" s="307">
        <v>5</v>
      </c>
      <c r="F2426" s="307" t="s">
        <v>7</v>
      </c>
      <c r="G2426" s="307" t="s">
        <v>11</v>
      </c>
      <c r="H2426" s="307" t="s">
        <v>11</v>
      </c>
    </row>
    <row r="2427" spans="1:8" x14ac:dyDescent="0.2">
      <c r="A2427" t="s">
        <v>53</v>
      </c>
      <c r="B2427" t="s">
        <v>82</v>
      </c>
      <c r="C2427" t="s">
        <v>2159</v>
      </c>
      <c r="D2427">
        <v>2</v>
      </c>
      <c r="E2427" s="307">
        <v>5</v>
      </c>
      <c r="F2427" s="307" t="s">
        <v>7</v>
      </c>
      <c r="G2427" s="307" t="s">
        <v>11</v>
      </c>
      <c r="H2427" s="307" t="s">
        <v>11</v>
      </c>
    </row>
    <row r="2428" spans="1:8" x14ac:dyDescent="0.2">
      <c r="A2428" t="s">
        <v>53</v>
      </c>
      <c r="B2428" t="s">
        <v>82</v>
      </c>
      <c r="C2428" t="s">
        <v>1124</v>
      </c>
      <c r="D2428">
        <v>1</v>
      </c>
      <c r="E2428" s="307">
        <v>6</v>
      </c>
      <c r="F2428" s="307" t="s">
        <v>7</v>
      </c>
      <c r="G2428" s="307" t="s">
        <v>11</v>
      </c>
      <c r="H2428" s="307" t="s">
        <v>11</v>
      </c>
    </row>
    <row r="2429" spans="1:8" x14ac:dyDescent="0.2">
      <c r="A2429" t="s">
        <v>53</v>
      </c>
      <c r="B2429" t="s">
        <v>82</v>
      </c>
      <c r="C2429" t="s">
        <v>850</v>
      </c>
      <c r="D2429">
        <v>1</v>
      </c>
      <c r="E2429" s="307">
        <v>5</v>
      </c>
      <c r="F2429" s="307" t="s">
        <v>7</v>
      </c>
      <c r="G2429" s="307" t="s">
        <v>11</v>
      </c>
      <c r="H2429" s="307" t="s">
        <v>11</v>
      </c>
    </row>
    <row r="2430" spans="1:8" x14ac:dyDescent="0.2">
      <c r="A2430" t="s">
        <v>53</v>
      </c>
      <c r="B2430" t="s">
        <v>82</v>
      </c>
      <c r="C2430" t="s">
        <v>2160</v>
      </c>
      <c r="D2430">
        <v>1</v>
      </c>
      <c r="E2430" s="307">
        <v>6</v>
      </c>
      <c r="F2430" s="307" t="s">
        <v>7</v>
      </c>
      <c r="G2430" s="307" t="s">
        <v>11</v>
      </c>
      <c r="H2430" s="307" t="s">
        <v>11</v>
      </c>
    </row>
    <row r="2431" spans="1:8" x14ac:dyDescent="0.2">
      <c r="A2431" t="s">
        <v>53</v>
      </c>
      <c r="B2431" t="s">
        <v>82</v>
      </c>
      <c r="C2431" t="s">
        <v>2161</v>
      </c>
      <c r="D2431">
        <v>1</v>
      </c>
      <c r="E2431" s="307">
        <v>5</v>
      </c>
      <c r="F2431" s="307" t="s">
        <v>7</v>
      </c>
      <c r="G2431" s="307" t="s">
        <v>11</v>
      </c>
      <c r="H2431" s="307" t="s">
        <v>11</v>
      </c>
    </row>
    <row r="2432" spans="1:8" x14ac:dyDescent="0.2">
      <c r="A2432" t="s">
        <v>53</v>
      </c>
      <c r="B2432" t="s">
        <v>82</v>
      </c>
      <c r="C2432" t="s">
        <v>2162</v>
      </c>
      <c r="D2432">
        <v>2</v>
      </c>
      <c r="E2432" s="307">
        <v>6</v>
      </c>
      <c r="F2432" s="307" t="s">
        <v>7</v>
      </c>
      <c r="G2432" s="307" t="s">
        <v>11</v>
      </c>
      <c r="H2432" s="307" t="s">
        <v>11</v>
      </c>
    </row>
    <row r="2433" spans="1:8" x14ac:dyDescent="0.2">
      <c r="A2433" t="s">
        <v>55</v>
      </c>
      <c r="B2433" t="s">
        <v>111</v>
      </c>
      <c r="C2433" t="s">
        <v>1314</v>
      </c>
      <c r="D2433">
        <v>1</v>
      </c>
      <c r="E2433" s="307">
        <v>4</v>
      </c>
      <c r="F2433" s="307" t="s">
        <v>7</v>
      </c>
      <c r="G2433" s="307" t="s">
        <v>11</v>
      </c>
      <c r="H2433" s="307" t="s">
        <v>11</v>
      </c>
    </row>
    <row r="2434" spans="1:8" x14ac:dyDescent="0.2">
      <c r="A2434" t="s">
        <v>55</v>
      </c>
      <c r="B2434" t="s">
        <v>111</v>
      </c>
      <c r="C2434" t="s">
        <v>2066</v>
      </c>
      <c r="D2434">
        <v>1</v>
      </c>
      <c r="E2434" s="307">
        <v>4</v>
      </c>
      <c r="F2434" s="307" t="s">
        <v>7</v>
      </c>
      <c r="G2434" s="307" t="s">
        <v>11</v>
      </c>
      <c r="H2434" s="307" t="s">
        <v>11</v>
      </c>
    </row>
    <row r="2435" spans="1:8" x14ac:dyDescent="0.2">
      <c r="A2435" t="s">
        <v>55</v>
      </c>
      <c r="B2435" t="s">
        <v>111</v>
      </c>
      <c r="C2435" t="s">
        <v>801</v>
      </c>
      <c r="D2435">
        <v>2</v>
      </c>
      <c r="E2435" s="307">
        <v>4</v>
      </c>
      <c r="F2435" s="307" t="s">
        <v>7</v>
      </c>
      <c r="G2435" s="307" t="s">
        <v>11</v>
      </c>
      <c r="H2435" s="307" t="s">
        <v>11</v>
      </c>
    </row>
    <row r="2436" spans="1:8" x14ac:dyDescent="0.2">
      <c r="A2436" t="s">
        <v>55</v>
      </c>
      <c r="B2436" t="s">
        <v>111</v>
      </c>
      <c r="C2436" t="s">
        <v>2163</v>
      </c>
      <c r="D2436">
        <v>3</v>
      </c>
      <c r="E2436" s="307">
        <v>4</v>
      </c>
      <c r="F2436" s="307" t="s">
        <v>7</v>
      </c>
      <c r="G2436" s="307" t="s">
        <v>11</v>
      </c>
      <c r="H2436" s="307" t="s">
        <v>11</v>
      </c>
    </row>
    <row r="2437" spans="1:8" x14ac:dyDescent="0.2">
      <c r="A2437" t="s">
        <v>55</v>
      </c>
      <c r="B2437" t="s">
        <v>111</v>
      </c>
      <c r="C2437" t="s">
        <v>690</v>
      </c>
      <c r="D2437">
        <v>1</v>
      </c>
      <c r="E2437" s="307">
        <v>4</v>
      </c>
      <c r="F2437" s="307" t="s">
        <v>7</v>
      </c>
      <c r="G2437" s="307" t="s">
        <v>11</v>
      </c>
      <c r="H2437" s="307" t="s">
        <v>11</v>
      </c>
    </row>
    <row r="2438" spans="1:8" x14ac:dyDescent="0.2">
      <c r="A2438" t="s">
        <v>55</v>
      </c>
      <c r="B2438" t="s">
        <v>111</v>
      </c>
      <c r="C2438" t="s">
        <v>803</v>
      </c>
      <c r="D2438">
        <v>1</v>
      </c>
      <c r="E2438" s="307">
        <v>4</v>
      </c>
      <c r="F2438" s="307" t="s">
        <v>7</v>
      </c>
      <c r="G2438" s="307" t="s">
        <v>11</v>
      </c>
      <c r="H2438" s="307" t="s">
        <v>11</v>
      </c>
    </row>
    <row r="2439" spans="1:8" x14ac:dyDescent="0.2">
      <c r="A2439" t="s">
        <v>55</v>
      </c>
      <c r="B2439" t="s">
        <v>111</v>
      </c>
      <c r="C2439" t="s">
        <v>1393</v>
      </c>
      <c r="D2439">
        <v>3</v>
      </c>
      <c r="E2439" s="307">
        <v>4</v>
      </c>
      <c r="F2439" s="307" t="s">
        <v>7</v>
      </c>
      <c r="G2439" s="307" t="s">
        <v>11</v>
      </c>
      <c r="H2439" s="307" t="s">
        <v>11</v>
      </c>
    </row>
    <row r="2440" spans="1:8" x14ac:dyDescent="0.2">
      <c r="A2440" t="s">
        <v>55</v>
      </c>
      <c r="B2440" t="s">
        <v>111</v>
      </c>
      <c r="C2440" t="s">
        <v>2164</v>
      </c>
      <c r="D2440">
        <v>2</v>
      </c>
      <c r="E2440" s="307">
        <v>4</v>
      </c>
      <c r="F2440" s="307" t="s">
        <v>7</v>
      </c>
      <c r="G2440" s="307" t="s">
        <v>11</v>
      </c>
      <c r="H2440" s="307" t="s">
        <v>11</v>
      </c>
    </row>
    <row r="2441" spans="1:8" x14ac:dyDescent="0.2">
      <c r="A2441" t="s">
        <v>55</v>
      </c>
      <c r="B2441" t="s">
        <v>111</v>
      </c>
      <c r="C2441" t="s">
        <v>804</v>
      </c>
      <c r="D2441">
        <v>3</v>
      </c>
      <c r="E2441" s="307">
        <v>4</v>
      </c>
      <c r="F2441" s="307" t="s">
        <v>7</v>
      </c>
      <c r="G2441" s="307" t="s">
        <v>11</v>
      </c>
      <c r="H2441" s="307" t="s">
        <v>11</v>
      </c>
    </row>
    <row r="2442" spans="1:8" x14ac:dyDescent="0.2">
      <c r="A2442" t="s">
        <v>55</v>
      </c>
      <c r="B2442" t="s">
        <v>111</v>
      </c>
      <c r="C2442" t="s">
        <v>1395</v>
      </c>
      <c r="D2442">
        <v>2</v>
      </c>
      <c r="E2442" s="307">
        <v>4</v>
      </c>
      <c r="F2442" s="307" t="s">
        <v>7</v>
      </c>
      <c r="G2442" s="307" t="s">
        <v>11</v>
      </c>
      <c r="H2442" s="307" t="s">
        <v>11</v>
      </c>
    </row>
    <row r="2443" spans="1:8" x14ac:dyDescent="0.2">
      <c r="A2443" t="s">
        <v>55</v>
      </c>
      <c r="B2443" t="s">
        <v>111</v>
      </c>
      <c r="C2443" t="s">
        <v>2165</v>
      </c>
      <c r="D2443">
        <v>2</v>
      </c>
      <c r="E2443" s="307">
        <v>4</v>
      </c>
      <c r="F2443" s="307" t="s">
        <v>7</v>
      </c>
      <c r="G2443" s="307" t="s">
        <v>11</v>
      </c>
      <c r="H2443" s="307" t="s">
        <v>11</v>
      </c>
    </row>
    <row r="2444" spans="1:8" x14ac:dyDescent="0.2">
      <c r="A2444" t="s">
        <v>55</v>
      </c>
      <c r="B2444" t="s">
        <v>111</v>
      </c>
      <c r="C2444" t="s">
        <v>2072</v>
      </c>
      <c r="D2444">
        <v>2</v>
      </c>
      <c r="E2444" s="307">
        <v>3</v>
      </c>
      <c r="F2444" s="307" t="s">
        <v>7</v>
      </c>
      <c r="G2444" s="307" t="s">
        <v>11</v>
      </c>
      <c r="H2444" s="307" t="s">
        <v>11</v>
      </c>
    </row>
    <row r="2445" spans="1:8" x14ac:dyDescent="0.2">
      <c r="A2445" t="s">
        <v>55</v>
      </c>
      <c r="B2445" t="s">
        <v>111</v>
      </c>
      <c r="C2445" t="s">
        <v>1447</v>
      </c>
      <c r="D2445">
        <v>1</v>
      </c>
      <c r="E2445" s="307">
        <v>4</v>
      </c>
      <c r="F2445" s="307" t="s">
        <v>7</v>
      </c>
      <c r="G2445" s="307" t="s">
        <v>11</v>
      </c>
      <c r="H2445" s="307" t="s">
        <v>11</v>
      </c>
    </row>
    <row r="2446" spans="1:8" x14ac:dyDescent="0.2">
      <c r="A2446" t="s">
        <v>55</v>
      </c>
      <c r="B2446" t="s">
        <v>111</v>
      </c>
      <c r="C2446" t="s">
        <v>699</v>
      </c>
      <c r="D2446">
        <v>2</v>
      </c>
      <c r="E2446" s="307">
        <v>4</v>
      </c>
      <c r="F2446" s="307" t="s">
        <v>7</v>
      </c>
      <c r="G2446" s="307" t="s">
        <v>11</v>
      </c>
      <c r="H2446" s="307" t="s">
        <v>11</v>
      </c>
    </row>
    <row r="2447" spans="1:8" x14ac:dyDescent="0.2">
      <c r="A2447" t="s">
        <v>55</v>
      </c>
      <c r="B2447" t="s">
        <v>111</v>
      </c>
      <c r="C2447" t="s">
        <v>2166</v>
      </c>
      <c r="D2447">
        <v>2</v>
      </c>
      <c r="E2447" s="307">
        <v>4</v>
      </c>
      <c r="F2447" s="307" t="s">
        <v>7</v>
      </c>
      <c r="G2447" s="307" t="s">
        <v>11</v>
      </c>
      <c r="H2447" s="307" t="s">
        <v>11</v>
      </c>
    </row>
    <row r="2448" spans="1:8" x14ac:dyDescent="0.2">
      <c r="A2448" t="s">
        <v>55</v>
      </c>
      <c r="B2448" t="s">
        <v>111</v>
      </c>
      <c r="C2448" t="s">
        <v>701</v>
      </c>
      <c r="D2448">
        <v>2</v>
      </c>
      <c r="E2448" s="307">
        <v>4</v>
      </c>
      <c r="F2448" s="307" t="s">
        <v>7</v>
      </c>
      <c r="G2448" s="307" t="s">
        <v>11</v>
      </c>
      <c r="H2448" s="307" t="s">
        <v>11</v>
      </c>
    </row>
    <row r="2449" spans="1:8" x14ac:dyDescent="0.2">
      <c r="A2449" t="s">
        <v>55</v>
      </c>
      <c r="B2449" t="s">
        <v>111</v>
      </c>
      <c r="C2449" t="s">
        <v>2167</v>
      </c>
      <c r="D2449">
        <v>3</v>
      </c>
      <c r="E2449" s="307">
        <v>3</v>
      </c>
      <c r="F2449" s="307" t="s">
        <v>7</v>
      </c>
      <c r="G2449" s="307" t="s">
        <v>11</v>
      </c>
      <c r="H2449" s="307" t="s">
        <v>11</v>
      </c>
    </row>
    <row r="2450" spans="1:8" x14ac:dyDescent="0.2">
      <c r="A2450" t="s">
        <v>55</v>
      </c>
      <c r="B2450" t="s">
        <v>111</v>
      </c>
      <c r="C2450" t="s">
        <v>1183</v>
      </c>
      <c r="D2450">
        <v>3</v>
      </c>
      <c r="E2450" s="307">
        <v>4</v>
      </c>
      <c r="F2450" s="307" t="s">
        <v>7</v>
      </c>
      <c r="G2450" s="307" t="s">
        <v>11</v>
      </c>
      <c r="H2450" s="307" t="s">
        <v>11</v>
      </c>
    </row>
    <row r="2451" spans="1:8" x14ac:dyDescent="0.2">
      <c r="A2451" t="s">
        <v>55</v>
      </c>
      <c r="B2451" t="s">
        <v>111</v>
      </c>
      <c r="C2451" t="s">
        <v>1895</v>
      </c>
      <c r="D2451">
        <v>1</v>
      </c>
      <c r="E2451" s="307">
        <v>4</v>
      </c>
      <c r="F2451" s="307" t="s">
        <v>7</v>
      </c>
      <c r="G2451" s="307" t="s">
        <v>11</v>
      </c>
      <c r="H2451" s="307" t="s">
        <v>11</v>
      </c>
    </row>
    <row r="2452" spans="1:8" x14ac:dyDescent="0.2">
      <c r="A2452" t="s">
        <v>55</v>
      </c>
      <c r="B2452" t="s">
        <v>111</v>
      </c>
      <c r="C2452" t="s">
        <v>1058</v>
      </c>
      <c r="D2452">
        <v>2</v>
      </c>
      <c r="E2452" s="307">
        <v>4</v>
      </c>
      <c r="F2452" s="307" t="s">
        <v>7</v>
      </c>
      <c r="G2452" s="307" t="s">
        <v>11</v>
      </c>
      <c r="H2452" s="307" t="s">
        <v>11</v>
      </c>
    </row>
    <row r="2453" spans="1:8" x14ac:dyDescent="0.2">
      <c r="A2453" t="s">
        <v>55</v>
      </c>
      <c r="B2453" t="s">
        <v>111</v>
      </c>
      <c r="C2453" t="s">
        <v>1059</v>
      </c>
      <c r="D2453">
        <v>2</v>
      </c>
      <c r="E2453" s="307">
        <v>4</v>
      </c>
      <c r="F2453" s="307" t="s">
        <v>7</v>
      </c>
      <c r="G2453" s="307" t="s">
        <v>11</v>
      </c>
      <c r="H2453" s="307" t="s">
        <v>11</v>
      </c>
    </row>
    <row r="2454" spans="1:8" x14ac:dyDescent="0.2">
      <c r="A2454" t="s">
        <v>55</v>
      </c>
      <c r="B2454" t="s">
        <v>111</v>
      </c>
      <c r="C2454" t="s">
        <v>2168</v>
      </c>
      <c r="D2454">
        <v>2</v>
      </c>
      <c r="E2454" s="307">
        <v>4</v>
      </c>
      <c r="F2454" s="307" t="s">
        <v>7</v>
      </c>
      <c r="G2454" s="307" t="s">
        <v>11</v>
      </c>
      <c r="H2454" s="307" t="s">
        <v>11</v>
      </c>
    </row>
    <row r="2455" spans="1:8" x14ac:dyDescent="0.2">
      <c r="A2455" t="s">
        <v>55</v>
      </c>
      <c r="B2455" t="s">
        <v>111</v>
      </c>
      <c r="C2455" t="s">
        <v>2169</v>
      </c>
      <c r="D2455">
        <v>3</v>
      </c>
      <c r="E2455" s="307">
        <v>3</v>
      </c>
      <c r="F2455" s="307" t="s">
        <v>7</v>
      </c>
      <c r="G2455" s="307" t="s">
        <v>11</v>
      </c>
      <c r="H2455" s="307" t="s">
        <v>11</v>
      </c>
    </row>
    <row r="2456" spans="1:8" x14ac:dyDescent="0.2">
      <c r="A2456" t="s">
        <v>55</v>
      </c>
      <c r="B2456" t="s">
        <v>111</v>
      </c>
      <c r="C2456" t="s">
        <v>714</v>
      </c>
      <c r="D2456">
        <v>3</v>
      </c>
      <c r="E2456" s="307">
        <v>3</v>
      </c>
      <c r="F2456" s="307" t="s">
        <v>7</v>
      </c>
      <c r="G2456" s="307" t="s">
        <v>11</v>
      </c>
      <c r="H2456" s="307" t="s">
        <v>11</v>
      </c>
    </row>
    <row r="2457" spans="1:8" x14ac:dyDescent="0.2">
      <c r="A2457" t="s">
        <v>55</v>
      </c>
      <c r="B2457" t="s">
        <v>111</v>
      </c>
      <c r="C2457" t="s">
        <v>2170</v>
      </c>
      <c r="D2457">
        <v>2</v>
      </c>
      <c r="E2457" s="307">
        <v>4</v>
      </c>
      <c r="F2457" s="307" t="s">
        <v>7</v>
      </c>
      <c r="G2457" s="307" t="s">
        <v>11</v>
      </c>
      <c r="H2457" s="307" t="s">
        <v>11</v>
      </c>
    </row>
    <row r="2458" spans="1:8" x14ac:dyDescent="0.2">
      <c r="A2458" t="s">
        <v>55</v>
      </c>
      <c r="B2458" t="s">
        <v>111</v>
      </c>
      <c r="C2458" t="s">
        <v>715</v>
      </c>
      <c r="D2458">
        <v>3</v>
      </c>
      <c r="E2458" s="307">
        <v>4</v>
      </c>
      <c r="F2458" s="307" t="s">
        <v>7</v>
      </c>
      <c r="G2458" s="307" t="s">
        <v>11</v>
      </c>
      <c r="H2458" s="307" t="s">
        <v>11</v>
      </c>
    </row>
    <row r="2459" spans="1:8" x14ac:dyDescent="0.2">
      <c r="A2459" t="s">
        <v>55</v>
      </c>
      <c r="B2459" t="s">
        <v>111</v>
      </c>
      <c r="C2459" t="s">
        <v>1237</v>
      </c>
      <c r="D2459">
        <v>3</v>
      </c>
      <c r="E2459" s="307">
        <v>4</v>
      </c>
      <c r="F2459" s="307" t="s">
        <v>7</v>
      </c>
      <c r="G2459" s="307" t="s">
        <v>11</v>
      </c>
      <c r="H2459" s="307" t="s">
        <v>11</v>
      </c>
    </row>
    <row r="2460" spans="1:8" x14ac:dyDescent="0.2">
      <c r="A2460" t="s">
        <v>55</v>
      </c>
      <c r="B2460" t="s">
        <v>111</v>
      </c>
      <c r="C2460" t="s">
        <v>2171</v>
      </c>
      <c r="D2460">
        <v>1</v>
      </c>
      <c r="E2460" s="307">
        <v>4</v>
      </c>
      <c r="F2460" s="307" t="s">
        <v>7</v>
      </c>
      <c r="G2460" s="307" t="s">
        <v>11</v>
      </c>
      <c r="H2460" s="307" t="s">
        <v>11</v>
      </c>
    </row>
    <row r="2461" spans="1:8" x14ac:dyDescent="0.2">
      <c r="A2461" t="s">
        <v>55</v>
      </c>
      <c r="B2461" t="s">
        <v>111</v>
      </c>
      <c r="C2461" t="s">
        <v>2172</v>
      </c>
      <c r="D2461">
        <v>1</v>
      </c>
      <c r="E2461" s="307">
        <v>4</v>
      </c>
      <c r="F2461" s="307" t="s">
        <v>7</v>
      </c>
      <c r="G2461" s="307" t="s">
        <v>11</v>
      </c>
      <c r="H2461" s="307" t="s">
        <v>11</v>
      </c>
    </row>
    <row r="2462" spans="1:8" x14ac:dyDescent="0.2">
      <c r="A2462" t="s">
        <v>55</v>
      </c>
      <c r="B2462" t="s">
        <v>111</v>
      </c>
      <c r="C2462" t="s">
        <v>717</v>
      </c>
      <c r="D2462">
        <v>1</v>
      </c>
      <c r="E2462" s="307">
        <v>4</v>
      </c>
      <c r="F2462" s="307" t="s">
        <v>7</v>
      </c>
      <c r="G2462" s="307" t="s">
        <v>11</v>
      </c>
      <c r="H2462" s="307" t="s">
        <v>11</v>
      </c>
    </row>
    <row r="2463" spans="1:8" x14ac:dyDescent="0.2">
      <c r="A2463" t="s">
        <v>55</v>
      </c>
      <c r="B2463" t="s">
        <v>111</v>
      </c>
      <c r="C2463" t="s">
        <v>1190</v>
      </c>
      <c r="D2463">
        <v>3</v>
      </c>
      <c r="E2463" s="307">
        <v>4</v>
      </c>
      <c r="F2463" s="307" t="s">
        <v>7</v>
      </c>
      <c r="G2463" s="307" t="s">
        <v>11</v>
      </c>
      <c r="H2463" s="307" t="s">
        <v>11</v>
      </c>
    </row>
    <row r="2464" spans="1:8" x14ac:dyDescent="0.2">
      <c r="A2464" t="s">
        <v>55</v>
      </c>
      <c r="B2464" t="s">
        <v>111</v>
      </c>
      <c r="C2464" t="s">
        <v>2173</v>
      </c>
      <c r="D2464">
        <v>1</v>
      </c>
      <c r="E2464" s="307">
        <v>4</v>
      </c>
      <c r="F2464" s="307" t="s">
        <v>7</v>
      </c>
      <c r="G2464" s="307" t="s">
        <v>11</v>
      </c>
      <c r="H2464" s="307" t="s">
        <v>11</v>
      </c>
    </row>
    <row r="2465" spans="1:8" x14ac:dyDescent="0.2">
      <c r="A2465" t="s">
        <v>55</v>
      </c>
      <c r="B2465" t="s">
        <v>111</v>
      </c>
      <c r="C2465" t="s">
        <v>995</v>
      </c>
      <c r="D2465">
        <v>2</v>
      </c>
      <c r="E2465" s="307">
        <v>4</v>
      </c>
      <c r="F2465" s="307" t="s">
        <v>7</v>
      </c>
      <c r="G2465" s="307" t="s">
        <v>11</v>
      </c>
      <c r="H2465" s="307" t="s">
        <v>11</v>
      </c>
    </row>
    <row r="2466" spans="1:8" x14ac:dyDescent="0.2">
      <c r="A2466" t="s">
        <v>55</v>
      </c>
      <c r="B2466" t="s">
        <v>111</v>
      </c>
      <c r="C2466" t="s">
        <v>1079</v>
      </c>
      <c r="D2466">
        <v>1</v>
      </c>
      <c r="E2466" s="307">
        <v>4</v>
      </c>
      <c r="F2466" s="307" t="s">
        <v>7</v>
      </c>
      <c r="G2466" s="307" t="s">
        <v>11</v>
      </c>
      <c r="H2466" s="307" t="s">
        <v>11</v>
      </c>
    </row>
    <row r="2467" spans="1:8" x14ac:dyDescent="0.2">
      <c r="A2467" t="s">
        <v>55</v>
      </c>
      <c r="B2467" t="s">
        <v>111</v>
      </c>
      <c r="C2467" t="s">
        <v>2174</v>
      </c>
      <c r="D2467">
        <v>3</v>
      </c>
      <c r="E2467" s="307">
        <v>3</v>
      </c>
      <c r="F2467" s="307" t="s">
        <v>7</v>
      </c>
      <c r="G2467" s="307" t="s">
        <v>11</v>
      </c>
      <c r="H2467" s="307" t="s">
        <v>11</v>
      </c>
    </row>
    <row r="2468" spans="1:8" x14ac:dyDescent="0.2">
      <c r="A2468" t="s">
        <v>55</v>
      </c>
      <c r="B2468" t="s">
        <v>111</v>
      </c>
      <c r="C2468" t="s">
        <v>1191</v>
      </c>
      <c r="D2468">
        <v>2</v>
      </c>
      <c r="E2468" s="307">
        <v>3</v>
      </c>
      <c r="F2468" s="307" t="s">
        <v>7</v>
      </c>
      <c r="G2468" s="307" t="s">
        <v>11</v>
      </c>
      <c r="H2468" s="307" t="s">
        <v>11</v>
      </c>
    </row>
    <row r="2469" spans="1:8" x14ac:dyDescent="0.2">
      <c r="A2469" t="s">
        <v>55</v>
      </c>
      <c r="B2469" t="s">
        <v>111</v>
      </c>
      <c r="C2469" t="s">
        <v>2175</v>
      </c>
      <c r="D2469">
        <v>1</v>
      </c>
      <c r="E2469" s="307">
        <v>4</v>
      </c>
      <c r="F2469" s="307" t="s">
        <v>7</v>
      </c>
      <c r="G2469" s="307" t="s">
        <v>11</v>
      </c>
      <c r="H2469" s="307" t="s">
        <v>11</v>
      </c>
    </row>
    <row r="2470" spans="1:8" x14ac:dyDescent="0.2">
      <c r="A2470" t="s">
        <v>55</v>
      </c>
      <c r="B2470" t="s">
        <v>111</v>
      </c>
      <c r="C2470" t="s">
        <v>1906</v>
      </c>
      <c r="D2470">
        <v>3</v>
      </c>
      <c r="E2470" s="307">
        <v>3</v>
      </c>
      <c r="F2470" s="307" t="s">
        <v>7</v>
      </c>
      <c r="G2470" s="307" t="s">
        <v>11</v>
      </c>
      <c r="H2470" s="307" t="s">
        <v>11</v>
      </c>
    </row>
    <row r="2471" spans="1:8" x14ac:dyDescent="0.2">
      <c r="A2471" t="s">
        <v>55</v>
      </c>
      <c r="B2471" t="s">
        <v>111</v>
      </c>
      <c r="C2471" t="s">
        <v>1192</v>
      </c>
      <c r="D2471">
        <v>2</v>
      </c>
      <c r="E2471" s="307">
        <v>3</v>
      </c>
      <c r="F2471" s="307" t="s">
        <v>7</v>
      </c>
      <c r="G2471" s="307" t="s">
        <v>11</v>
      </c>
      <c r="H2471" s="307" t="s">
        <v>11</v>
      </c>
    </row>
    <row r="2472" spans="1:8" x14ac:dyDescent="0.2">
      <c r="A2472" t="s">
        <v>55</v>
      </c>
      <c r="B2472" t="s">
        <v>111</v>
      </c>
      <c r="C2472" t="s">
        <v>719</v>
      </c>
      <c r="D2472">
        <v>3</v>
      </c>
      <c r="E2472" s="307">
        <v>4</v>
      </c>
      <c r="F2472" s="307" t="s">
        <v>7</v>
      </c>
      <c r="G2472" s="307" t="s">
        <v>11</v>
      </c>
      <c r="H2472" s="307" t="s">
        <v>11</v>
      </c>
    </row>
    <row r="2473" spans="1:8" x14ac:dyDescent="0.2">
      <c r="A2473" t="s">
        <v>55</v>
      </c>
      <c r="B2473" t="s">
        <v>111</v>
      </c>
      <c r="C2473" t="s">
        <v>1407</v>
      </c>
      <c r="D2473">
        <v>1</v>
      </c>
      <c r="E2473" s="307">
        <v>4</v>
      </c>
      <c r="F2473" s="307" t="s">
        <v>7</v>
      </c>
      <c r="G2473" s="307" t="s">
        <v>11</v>
      </c>
      <c r="H2473" s="307" t="s">
        <v>11</v>
      </c>
    </row>
    <row r="2474" spans="1:8" x14ac:dyDescent="0.2">
      <c r="A2474" t="s">
        <v>55</v>
      </c>
      <c r="B2474" t="s">
        <v>111</v>
      </c>
      <c r="C2474" t="s">
        <v>720</v>
      </c>
      <c r="D2474">
        <v>2</v>
      </c>
      <c r="E2474" s="307">
        <v>4</v>
      </c>
      <c r="F2474" s="307" t="s">
        <v>7</v>
      </c>
      <c r="G2474" s="307" t="s">
        <v>11</v>
      </c>
      <c r="H2474" s="307" t="s">
        <v>11</v>
      </c>
    </row>
    <row r="2475" spans="1:8" x14ac:dyDescent="0.2">
      <c r="A2475" t="s">
        <v>55</v>
      </c>
      <c r="B2475" t="s">
        <v>111</v>
      </c>
      <c r="C2475" t="s">
        <v>1654</v>
      </c>
      <c r="D2475">
        <v>1</v>
      </c>
      <c r="E2475" s="307">
        <v>4</v>
      </c>
      <c r="F2475" s="307" t="s">
        <v>7</v>
      </c>
      <c r="G2475" s="307" t="s">
        <v>11</v>
      </c>
      <c r="H2475" s="307" t="s">
        <v>11</v>
      </c>
    </row>
    <row r="2476" spans="1:8" x14ac:dyDescent="0.2">
      <c r="A2476" t="s">
        <v>55</v>
      </c>
      <c r="B2476" t="s">
        <v>111</v>
      </c>
      <c r="C2476" t="s">
        <v>721</v>
      </c>
      <c r="D2476">
        <v>1</v>
      </c>
      <c r="E2476" s="307">
        <v>4</v>
      </c>
      <c r="F2476" s="307" t="s">
        <v>7</v>
      </c>
      <c r="G2476" s="307" t="s">
        <v>11</v>
      </c>
      <c r="H2476" s="307" t="s">
        <v>11</v>
      </c>
    </row>
    <row r="2477" spans="1:8" x14ac:dyDescent="0.2">
      <c r="A2477" t="s">
        <v>55</v>
      </c>
      <c r="B2477" t="s">
        <v>111</v>
      </c>
      <c r="C2477" t="s">
        <v>722</v>
      </c>
      <c r="D2477">
        <v>1</v>
      </c>
      <c r="E2477" s="307">
        <v>4</v>
      </c>
      <c r="F2477" s="307" t="s">
        <v>7</v>
      </c>
      <c r="G2477" s="307" t="s">
        <v>11</v>
      </c>
      <c r="H2477" s="307" t="s">
        <v>11</v>
      </c>
    </row>
    <row r="2478" spans="1:8" x14ac:dyDescent="0.2">
      <c r="A2478" t="s">
        <v>55</v>
      </c>
      <c r="B2478" t="s">
        <v>111</v>
      </c>
      <c r="C2478" t="s">
        <v>825</v>
      </c>
      <c r="D2478">
        <v>2</v>
      </c>
      <c r="E2478" s="307">
        <v>4</v>
      </c>
      <c r="F2478" s="307" t="s">
        <v>7</v>
      </c>
      <c r="G2478" s="307" t="s">
        <v>11</v>
      </c>
      <c r="H2478" s="307" t="s">
        <v>11</v>
      </c>
    </row>
    <row r="2479" spans="1:8" x14ac:dyDescent="0.2">
      <c r="A2479" t="s">
        <v>55</v>
      </c>
      <c r="B2479" t="s">
        <v>111</v>
      </c>
      <c r="C2479" t="s">
        <v>1199</v>
      </c>
      <c r="D2479">
        <v>1</v>
      </c>
      <c r="E2479" s="307">
        <v>4</v>
      </c>
      <c r="F2479" s="307" t="s">
        <v>7</v>
      </c>
      <c r="G2479" s="307" t="s">
        <v>11</v>
      </c>
      <c r="H2479" s="307" t="s">
        <v>11</v>
      </c>
    </row>
    <row r="2480" spans="1:8" x14ac:dyDescent="0.2">
      <c r="A2480" t="s">
        <v>55</v>
      </c>
      <c r="B2480" t="s">
        <v>111</v>
      </c>
      <c r="C2480" t="s">
        <v>871</v>
      </c>
      <c r="D2480">
        <v>3</v>
      </c>
      <c r="E2480" s="307">
        <v>3</v>
      </c>
      <c r="F2480" s="307" t="s">
        <v>7</v>
      </c>
      <c r="G2480" s="307" t="s">
        <v>11</v>
      </c>
      <c r="H2480" s="307" t="s">
        <v>11</v>
      </c>
    </row>
    <row r="2481" spans="1:8" x14ac:dyDescent="0.2">
      <c r="A2481" t="s">
        <v>55</v>
      </c>
      <c r="B2481" t="s">
        <v>111</v>
      </c>
      <c r="C2481" t="s">
        <v>724</v>
      </c>
      <c r="D2481">
        <v>3</v>
      </c>
      <c r="E2481" s="307">
        <v>3</v>
      </c>
      <c r="F2481" s="307" t="s">
        <v>7</v>
      </c>
      <c r="G2481" s="307" t="s">
        <v>11</v>
      </c>
      <c r="H2481" s="307" t="s">
        <v>11</v>
      </c>
    </row>
    <row r="2482" spans="1:8" x14ac:dyDescent="0.2">
      <c r="A2482" t="s">
        <v>55</v>
      </c>
      <c r="B2482" t="s">
        <v>111</v>
      </c>
      <c r="C2482" t="s">
        <v>725</v>
      </c>
      <c r="D2482">
        <v>1</v>
      </c>
      <c r="E2482" s="307">
        <v>4</v>
      </c>
      <c r="F2482" s="307" t="s">
        <v>7</v>
      </c>
      <c r="G2482" s="307" t="s">
        <v>11</v>
      </c>
      <c r="H2482" s="307" t="s">
        <v>11</v>
      </c>
    </row>
    <row r="2483" spans="1:8" x14ac:dyDescent="0.2">
      <c r="A2483" t="s">
        <v>55</v>
      </c>
      <c r="B2483" t="s">
        <v>111</v>
      </c>
      <c r="C2483" t="s">
        <v>1163</v>
      </c>
      <c r="D2483">
        <v>1</v>
      </c>
      <c r="E2483" s="307">
        <v>4</v>
      </c>
      <c r="F2483" s="307" t="s">
        <v>7</v>
      </c>
      <c r="G2483" s="307" t="s">
        <v>11</v>
      </c>
      <c r="H2483" s="307" t="s">
        <v>11</v>
      </c>
    </row>
    <row r="2484" spans="1:8" x14ac:dyDescent="0.2">
      <c r="A2484" t="s">
        <v>55</v>
      </c>
      <c r="B2484" t="s">
        <v>111</v>
      </c>
      <c r="C2484" t="s">
        <v>827</v>
      </c>
      <c r="D2484">
        <v>1</v>
      </c>
      <c r="E2484" s="307">
        <v>4</v>
      </c>
      <c r="F2484" s="307" t="s">
        <v>7</v>
      </c>
      <c r="G2484" s="307" t="s">
        <v>11</v>
      </c>
      <c r="H2484" s="307" t="s">
        <v>11</v>
      </c>
    </row>
    <row r="2485" spans="1:8" x14ac:dyDescent="0.2">
      <c r="A2485" t="s">
        <v>55</v>
      </c>
      <c r="B2485" t="s">
        <v>111</v>
      </c>
      <c r="C2485" t="s">
        <v>2176</v>
      </c>
      <c r="D2485">
        <v>1</v>
      </c>
      <c r="E2485" s="307">
        <v>4</v>
      </c>
      <c r="F2485" s="307" t="s">
        <v>7</v>
      </c>
      <c r="G2485" s="307" t="s">
        <v>11</v>
      </c>
      <c r="H2485" s="307" t="s">
        <v>11</v>
      </c>
    </row>
    <row r="2486" spans="1:8" x14ac:dyDescent="0.2">
      <c r="A2486" t="s">
        <v>55</v>
      </c>
      <c r="B2486" t="s">
        <v>111</v>
      </c>
      <c r="C2486" t="s">
        <v>729</v>
      </c>
      <c r="D2486">
        <v>2</v>
      </c>
      <c r="E2486" s="307">
        <v>4</v>
      </c>
      <c r="F2486" s="307" t="s">
        <v>7</v>
      </c>
      <c r="G2486" s="307" t="s">
        <v>11</v>
      </c>
      <c r="H2486" s="307" t="s">
        <v>11</v>
      </c>
    </row>
    <row r="2487" spans="1:8" x14ac:dyDescent="0.2">
      <c r="A2487" t="s">
        <v>55</v>
      </c>
      <c r="B2487" t="s">
        <v>111</v>
      </c>
      <c r="C2487" t="s">
        <v>730</v>
      </c>
      <c r="D2487">
        <v>3</v>
      </c>
      <c r="E2487" s="307">
        <v>3</v>
      </c>
      <c r="F2487" s="307" t="s">
        <v>7</v>
      </c>
      <c r="G2487" s="307" t="s">
        <v>11</v>
      </c>
      <c r="H2487" s="307" t="s">
        <v>11</v>
      </c>
    </row>
    <row r="2488" spans="1:8" x14ac:dyDescent="0.2">
      <c r="A2488" t="s">
        <v>55</v>
      </c>
      <c r="B2488" t="s">
        <v>111</v>
      </c>
      <c r="C2488" t="s">
        <v>732</v>
      </c>
      <c r="D2488">
        <v>3</v>
      </c>
      <c r="E2488" s="307">
        <v>4</v>
      </c>
      <c r="F2488" s="307" t="s">
        <v>7</v>
      </c>
      <c r="G2488" s="307" t="s">
        <v>11</v>
      </c>
      <c r="H2488" s="307" t="s">
        <v>11</v>
      </c>
    </row>
    <row r="2489" spans="1:8" x14ac:dyDescent="0.2">
      <c r="A2489" t="s">
        <v>55</v>
      </c>
      <c r="B2489" t="s">
        <v>111</v>
      </c>
      <c r="C2489" t="s">
        <v>733</v>
      </c>
      <c r="D2489">
        <v>1</v>
      </c>
      <c r="E2489" s="307">
        <v>4</v>
      </c>
      <c r="F2489" s="307" t="s">
        <v>7</v>
      </c>
      <c r="G2489" s="307" t="s">
        <v>11</v>
      </c>
      <c r="H2489" s="307" t="s">
        <v>11</v>
      </c>
    </row>
    <row r="2490" spans="1:8" x14ac:dyDescent="0.2">
      <c r="A2490" t="s">
        <v>55</v>
      </c>
      <c r="B2490" t="s">
        <v>111</v>
      </c>
      <c r="C2490" t="s">
        <v>2177</v>
      </c>
      <c r="D2490">
        <v>1</v>
      </c>
      <c r="E2490" s="307">
        <v>4</v>
      </c>
      <c r="F2490" s="307" t="s">
        <v>7</v>
      </c>
      <c r="G2490" s="307" t="s">
        <v>11</v>
      </c>
      <c r="H2490" s="307" t="s">
        <v>11</v>
      </c>
    </row>
    <row r="2491" spans="1:8" x14ac:dyDescent="0.2">
      <c r="A2491" t="s">
        <v>55</v>
      </c>
      <c r="B2491" t="s">
        <v>111</v>
      </c>
      <c r="C2491" t="s">
        <v>2178</v>
      </c>
      <c r="D2491">
        <v>1</v>
      </c>
      <c r="E2491" s="307">
        <v>4</v>
      </c>
      <c r="F2491" s="307" t="s">
        <v>7</v>
      </c>
      <c r="G2491" s="307" t="s">
        <v>11</v>
      </c>
      <c r="H2491" s="307" t="s">
        <v>11</v>
      </c>
    </row>
    <row r="2492" spans="1:8" x14ac:dyDescent="0.2">
      <c r="A2492" t="s">
        <v>55</v>
      </c>
      <c r="B2492" t="s">
        <v>111</v>
      </c>
      <c r="C2492" t="s">
        <v>2179</v>
      </c>
      <c r="D2492">
        <v>2</v>
      </c>
      <c r="E2492" s="307">
        <v>3</v>
      </c>
      <c r="F2492" s="307" t="s">
        <v>7</v>
      </c>
      <c r="G2492" s="307" t="s">
        <v>11</v>
      </c>
      <c r="H2492" s="307" t="s">
        <v>11</v>
      </c>
    </row>
    <row r="2493" spans="1:8" x14ac:dyDescent="0.2">
      <c r="A2493" t="s">
        <v>55</v>
      </c>
      <c r="B2493" t="s">
        <v>111</v>
      </c>
      <c r="C2493" t="s">
        <v>1992</v>
      </c>
      <c r="D2493">
        <v>1</v>
      </c>
      <c r="E2493" s="307">
        <v>4</v>
      </c>
      <c r="F2493" s="307" t="s">
        <v>7</v>
      </c>
      <c r="G2493" s="307" t="s">
        <v>11</v>
      </c>
      <c r="H2493" s="307" t="s">
        <v>11</v>
      </c>
    </row>
    <row r="2494" spans="1:8" x14ac:dyDescent="0.2">
      <c r="A2494" t="s">
        <v>55</v>
      </c>
      <c r="B2494" t="s">
        <v>111</v>
      </c>
      <c r="C2494" t="s">
        <v>735</v>
      </c>
      <c r="D2494">
        <v>1</v>
      </c>
      <c r="E2494" s="307">
        <v>4</v>
      </c>
      <c r="F2494" s="307" t="s">
        <v>7</v>
      </c>
      <c r="G2494" s="307" t="s">
        <v>11</v>
      </c>
      <c r="H2494" s="307" t="s">
        <v>11</v>
      </c>
    </row>
    <row r="2495" spans="1:8" x14ac:dyDescent="0.2">
      <c r="A2495" t="s">
        <v>55</v>
      </c>
      <c r="B2495" t="s">
        <v>111</v>
      </c>
      <c r="C2495" t="s">
        <v>736</v>
      </c>
      <c r="D2495">
        <v>2</v>
      </c>
      <c r="E2495" s="307">
        <v>4</v>
      </c>
      <c r="F2495" s="307" t="s">
        <v>7</v>
      </c>
      <c r="G2495" s="307" t="s">
        <v>11</v>
      </c>
      <c r="H2495" s="307" t="s">
        <v>11</v>
      </c>
    </row>
    <row r="2496" spans="1:8" x14ac:dyDescent="0.2">
      <c r="A2496" t="s">
        <v>55</v>
      </c>
      <c r="B2496" t="s">
        <v>111</v>
      </c>
      <c r="C2496" t="s">
        <v>1915</v>
      </c>
      <c r="D2496">
        <v>1</v>
      </c>
      <c r="E2496" s="307">
        <v>4</v>
      </c>
      <c r="F2496" s="307" t="s">
        <v>7</v>
      </c>
      <c r="G2496" s="307" t="s">
        <v>11</v>
      </c>
      <c r="H2496" s="307" t="s">
        <v>11</v>
      </c>
    </row>
    <row r="2497" spans="1:8" x14ac:dyDescent="0.2">
      <c r="A2497" t="s">
        <v>55</v>
      </c>
      <c r="B2497" t="s">
        <v>111</v>
      </c>
      <c r="C2497" t="s">
        <v>737</v>
      </c>
      <c r="D2497">
        <v>3</v>
      </c>
      <c r="E2497" s="307">
        <v>4</v>
      </c>
      <c r="F2497" s="307" t="s">
        <v>7</v>
      </c>
      <c r="G2497" s="307" t="s">
        <v>11</v>
      </c>
      <c r="H2497" s="307" t="s">
        <v>11</v>
      </c>
    </row>
    <row r="2498" spans="1:8" x14ac:dyDescent="0.2">
      <c r="A2498" t="s">
        <v>55</v>
      </c>
      <c r="B2498" t="s">
        <v>111</v>
      </c>
      <c r="C2498" t="s">
        <v>2180</v>
      </c>
      <c r="D2498">
        <v>3</v>
      </c>
      <c r="E2498" s="307">
        <v>4</v>
      </c>
      <c r="F2498" s="307" t="s">
        <v>7</v>
      </c>
      <c r="G2498" s="307" t="s">
        <v>11</v>
      </c>
      <c r="H2498" s="307" t="s">
        <v>11</v>
      </c>
    </row>
    <row r="2499" spans="1:8" x14ac:dyDescent="0.2">
      <c r="A2499" t="s">
        <v>55</v>
      </c>
      <c r="B2499" t="s">
        <v>111</v>
      </c>
      <c r="C2499" t="s">
        <v>2181</v>
      </c>
      <c r="D2499">
        <v>2</v>
      </c>
      <c r="E2499" s="307">
        <v>4</v>
      </c>
      <c r="F2499" s="307" t="s">
        <v>7</v>
      </c>
      <c r="G2499" s="307" t="s">
        <v>11</v>
      </c>
      <c r="H2499" s="307" t="s">
        <v>11</v>
      </c>
    </row>
    <row r="2500" spans="1:8" x14ac:dyDescent="0.2">
      <c r="A2500" t="s">
        <v>55</v>
      </c>
      <c r="B2500" t="s">
        <v>111</v>
      </c>
      <c r="C2500" t="s">
        <v>738</v>
      </c>
      <c r="D2500">
        <v>1</v>
      </c>
      <c r="E2500" s="307">
        <v>4</v>
      </c>
      <c r="F2500" s="307" t="s">
        <v>7</v>
      </c>
      <c r="G2500" s="307" t="s">
        <v>11</v>
      </c>
      <c r="H2500" s="307" t="s">
        <v>11</v>
      </c>
    </row>
    <row r="2501" spans="1:8" x14ac:dyDescent="0.2">
      <c r="A2501" t="s">
        <v>55</v>
      </c>
      <c r="B2501" t="s">
        <v>111</v>
      </c>
      <c r="C2501" t="s">
        <v>2182</v>
      </c>
      <c r="D2501">
        <v>2</v>
      </c>
      <c r="E2501" s="307">
        <v>4</v>
      </c>
      <c r="F2501" s="307" t="s">
        <v>7</v>
      </c>
      <c r="G2501" s="307" t="s">
        <v>11</v>
      </c>
      <c r="H2501" s="307" t="s">
        <v>11</v>
      </c>
    </row>
    <row r="2502" spans="1:8" x14ac:dyDescent="0.2">
      <c r="A2502" t="s">
        <v>55</v>
      </c>
      <c r="B2502" t="s">
        <v>111</v>
      </c>
      <c r="C2502" t="s">
        <v>838</v>
      </c>
      <c r="D2502">
        <v>2</v>
      </c>
      <c r="E2502" s="307">
        <v>4</v>
      </c>
      <c r="F2502" s="307" t="s">
        <v>7</v>
      </c>
      <c r="G2502" s="307" t="s">
        <v>11</v>
      </c>
      <c r="H2502" s="307" t="s">
        <v>11</v>
      </c>
    </row>
    <row r="2503" spans="1:8" x14ac:dyDescent="0.2">
      <c r="A2503" t="s">
        <v>55</v>
      </c>
      <c r="B2503" t="s">
        <v>111</v>
      </c>
      <c r="C2503" t="s">
        <v>1016</v>
      </c>
      <c r="D2503">
        <v>2</v>
      </c>
      <c r="E2503" s="307">
        <v>4</v>
      </c>
      <c r="F2503" s="307" t="s">
        <v>7</v>
      </c>
      <c r="G2503" s="307" t="s">
        <v>11</v>
      </c>
      <c r="H2503" s="307" t="s">
        <v>11</v>
      </c>
    </row>
    <row r="2504" spans="1:8" x14ac:dyDescent="0.2">
      <c r="A2504" t="s">
        <v>55</v>
      </c>
      <c r="B2504" t="s">
        <v>111</v>
      </c>
      <c r="C2504" t="s">
        <v>2183</v>
      </c>
      <c r="D2504">
        <v>3</v>
      </c>
      <c r="E2504" s="307">
        <v>4</v>
      </c>
      <c r="F2504" s="307" t="s">
        <v>7</v>
      </c>
      <c r="G2504" s="307" t="s">
        <v>11</v>
      </c>
      <c r="H2504" s="307" t="s">
        <v>11</v>
      </c>
    </row>
    <row r="2505" spans="1:8" x14ac:dyDescent="0.2">
      <c r="A2505" t="s">
        <v>55</v>
      </c>
      <c r="B2505" t="s">
        <v>111</v>
      </c>
      <c r="C2505" t="s">
        <v>2184</v>
      </c>
      <c r="D2505">
        <v>1</v>
      </c>
      <c r="E2505" s="307">
        <v>4</v>
      </c>
      <c r="F2505" s="307" t="s">
        <v>7</v>
      </c>
      <c r="G2505" s="307" t="s">
        <v>11</v>
      </c>
      <c r="H2505" s="307" t="s">
        <v>11</v>
      </c>
    </row>
    <row r="2506" spans="1:8" x14ac:dyDescent="0.2">
      <c r="A2506" t="s">
        <v>55</v>
      </c>
      <c r="B2506" t="s">
        <v>111</v>
      </c>
      <c r="C2506" t="s">
        <v>1428</v>
      </c>
      <c r="D2506">
        <v>2</v>
      </c>
      <c r="E2506" s="307">
        <v>4</v>
      </c>
      <c r="F2506" s="307" t="s">
        <v>7</v>
      </c>
      <c r="G2506" s="307" t="s">
        <v>11</v>
      </c>
      <c r="H2506" s="307" t="s">
        <v>11</v>
      </c>
    </row>
    <row r="2507" spans="1:8" x14ac:dyDescent="0.2">
      <c r="A2507" t="s">
        <v>55</v>
      </c>
      <c r="B2507" t="s">
        <v>111</v>
      </c>
      <c r="C2507" t="s">
        <v>1927</v>
      </c>
      <c r="D2507">
        <v>1</v>
      </c>
      <c r="E2507" s="307">
        <v>4</v>
      </c>
      <c r="F2507" s="307" t="s">
        <v>7</v>
      </c>
      <c r="G2507" s="307" t="s">
        <v>11</v>
      </c>
      <c r="H2507" s="307" t="s">
        <v>11</v>
      </c>
    </row>
    <row r="2508" spans="1:8" x14ac:dyDescent="0.2">
      <c r="A2508" t="s">
        <v>55</v>
      </c>
      <c r="B2508" t="s">
        <v>111</v>
      </c>
      <c r="C2508" t="s">
        <v>844</v>
      </c>
      <c r="D2508">
        <v>3</v>
      </c>
      <c r="E2508" s="307">
        <v>4</v>
      </c>
      <c r="F2508" s="307" t="s">
        <v>7</v>
      </c>
      <c r="G2508" s="307" t="s">
        <v>11</v>
      </c>
      <c r="H2508" s="307" t="s">
        <v>11</v>
      </c>
    </row>
    <row r="2509" spans="1:8" x14ac:dyDescent="0.2">
      <c r="A2509" t="s">
        <v>55</v>
      </c>
      <c r="B2509" t="s">
        <v>111</v>
      </c>
      <c r="C2509" t="s">
        <v>2185</v>
      </c>
      <c r="D2509">
        <v>3</v>
      </c>
      <c r="E2509" s="307">
        <v>4</v>
      </c>
      <c r="F2509" s="307" t="s">
        <v>7</v>
      </c>
      <c r="G2509" s="307" t="s">
        <v>11</v>
      </c>
      <c r="H2509" s="307" t="s">
        <v>11</v>
      </c>
    </row>
    <row r="2510" spans="1:8" x14ac:dyDescent="0.2">
      <c r="A2510" t="s">
        <v>55</v>
      </c>
      <c r="B2510" t="s">
        <v>111</v>
      </c>
      <c r="C2510" t="s">
        <v>847</v>
      </c>
      <c r="D2510">
        <v>2</v>
      </c>
      <c r="E2510" s="307">
        <v>4</v>
      </c>
      <c r="F2510" s="307" t="s">
        <v>7</v>
      </c>
      <c r="G2510" s="307" t="s">
        <v>11</v>
      </c>
      <c r="H2510" s="307" t="s">
        <v>11</v>
      </c>
    </row>
    <row r="2511" spans="1:8" x14ac:dyDescent="0.2">
      <c r="A2511" t="s">
        <v>55</v>
      </c>
      <c r="B2511" t="s">
        <v>111</v>
      </c>
      <c r="C2511" t="s">
        <v>744</v>
      </c>
      <c r="D2511">
        <v>3</v>
      </c>
      <c r="E2511" s="307">
        <v>3</v>
      </c>
      <c r="F2511" s="307" t="s">
        <v>7</v>
      </c>
      <c r="G2511" s="307" t="s">
        <v>11</v>
      </c>
      <c r="H2511" s="307" t="s">
        <v>11</v>
      </c>
    </row>
    <row r="2512" spans="1:8" x14ac:dyDescent="0.2">
      <c r="A2512" t="s">
        <v>55</v>
      </c>
      <c r="B2512" t="s">
        <v>111</v>
      </c>
      <c r="C2512" t="s">
        <v>1369</v>
      </c>
      <c r="D2512">
        <v>1</v>
      </c>
      <c r="E2512" s="307">
        <v>4</v>
      </c>
      <c r="F2512" s="307" t="s">
        <v>7</v>
      </c>
      <c r="G2512" s="307" t="s">
        <v>11</v>
      </c>
      <c r="H2512" s="307" t="s">
        <v>11</v>
      </c>
    </row>
    <row r="2513" spans="1:8" x14ac:dyDescent="0.2">
      <c r="A2513" t="s">
        <v>55</v>
      </c>
      <c r="B2513" t="s">
        <v>111</v>
      </c>
      <c r="C2513" t="s">
        <v>1112</v>
      </c>
      <c r="D2513">
        <v>2</v>
      </c>
      <c r="E2513" s="307">
        <v>4</v>
      </c>
      <c r="F2513" s="307" t="s">
        <v>7</v>
      </c>
      <c r="G2513" s="307" t="s">
        <v>11</v>
      </c>
      <c r="H2513" s="307" t="s">
        <v>11</v>
      </c>
    </row>
    <row r="2514" spans="1:8" x14ac:dyDescent="0.2">
      <c r="A2514" t="s">
        <v>55</v>
      </c>
      <c r="B2514" t="s">
        <v>111</v>
      </c>
      <c r="C2514" t="s">
        <v>1259</v>
      </c>
      <c r="D2514">
        <v>1</v>
      </c>
      <c r="E2514" s="307">
        <v>4</v>
      </c>
      <c r="F2514" s="307" t="s">
        <v>7</v>
      </c>
      <c r="G2514" s="307" t="s">
        <v>11</v>
      </c>
      <c r="H2514" s="307" t="s">
        <v>11</v>
      </c>
    </row>
    <row r="2515" spans="1:8" x14ac:dyDescent="0.2">
      <c r="A2515" t="s">
        <v>55</v>
      </c>
      <c r="B2515" t="s">
        <v>111</v>
      </c>
      <c r="C2515" t="s">
        <v>1373</v>
      </c>
      <c r="D2515">
        <v>2</v>
      </c>
      <c r="E2515" s="307">
        <v>4</v>
      </c>
      <c r="F2515" s="307" t="s">
        <v>7</v>
      </c>
      <c r="G2515" s="307" t="s">
        <v>11</v>
      </c>
      <c r="H2515" s="307" t="s">
        <v>11</v>
      </c>
    </row>
    <row r="2516" spans="1:8" x14ac:dyDescent="0.2">
      <c r="A2516" t="s">
        <v>55</v>
      </c>
      <c r="B2516" t="s">
        <v>111</v>
      </c>
      <c r="C2516" t="s">
        <v>1262</v>
      </c>
      <c r="D2516">
        <v>3</v>
      </c>
      <c r="E2516" s="307">
        <v>3</v>
      </c>
      <c r="F2516" s="307" t="s">
        <v>7</v>
      </c>
      <c r="G2516" s="307" t="s">
        <v>11</v>
      </c>
      <c r="H2516" s="307" t="s">
        <v>11</v>
      </c>
    </row>
    <row r="2517" spans="1:8" x14ac:dyDescent="0.2">
      <c r="A2517" t="s">
        <v>55</v>
      </c>
      <c r="B2517" t="s">
        <v>111</v>
      </c>
      <c r="C2517" t="s">
        <v>2186</v>
      </c>
      <c r="D2517">
        <v>1</v>
      </c>
      <c r="E2517" s="307">
        <v>4</v>
      </c>
      <c r="F2517" s="307" t="s">
        <v>7</v>
      </c>
      <c r="G2517" s="307" t="s">
        <v>11</v>
      </c>
      <c r="H2517" s="307" t="s">
        <v>11</v>
      </c>
    </row>
    <row r="2518" spans="1:8" x14ac:dyDescent="0.2">
      <c r="A2518" t="s">
        <v>55</v>
      </c>
      <c r="B2518" t="s">
        <v>111</v>
      </c>
      <c r="C2518" t="s">
        <v>2187</v>
      </c>
      <c r="D2518">
        <v>2</v>
      </c>
      <c r="E2518" s="307">
        <v>4</v>
      </c>
      <c r="F2518" s="307" t="s">
        <v>7</v>
      </c>
      <c r="G2518" s="307" t="s">
        <v>11</v>
      </c>
      <c r="H2518" s="307" t="s">
        <v>11</v>
      </c>
    </row>
    <row r="2519" spans="1:8" x14ac:dyDescent="0.2">
      <c r="A2519" t="s">
        <v>55</v>
      </c>
      <c r="B2519" t="s">
        <v>111</v>
      </c>
      <c r="C2519" t="s">
        <v>850</v>
      </c>
      <c r="D2519">
        <v>1</v>
      </c>
      <c r="E2519" s="307">
        <v>4</v>
      </c>
      <c r="F2519" s="307" t="s">
        <v>7</v>
      </c>
      <c r="G2519" s="307" t="s">
        <v>11</v>
      </c>
      <c r="H2519" s="307" t="s">
        <v>11</v>
      </c>
    </row>
    <row r="2520" spans="1:8" x14ac:dyDescent="0.2">
      <c r="A2520" t="s">
        <v>55</v>
      </c>
      <c r="B2520" t="s">
        <v>111</v>
      </c>
      <c r="C2520" t="s">
        <v>851</v>
      </c>
      <c r="D2520">
        <v>2</v>
      </c>
      <c r="E2520" s="307">
        <v>4</v>
      </c>
      <c r="F2520" s="307" t="s">
        <v>7</v>
      </c>
      <c r="G2520" s="307" t="s">
        <v>11</v>
      </c>
      <c r="H2520" s="307" t="s">
        <v>11</v>
      </c>
    </row>
    <row r="2521" spans="1:8" x14ac:dyDescent="0.2">
      <c r="A2521" t="s">
        <v>55</v>
      </c>
      <c r="B2521" t="s">
        <v>111</v>
      </c>
      <c r="C2521" t="s">
        <v>1128</v>
      </c>
      <c r="D2521">
        <v>2</v>
      </c>
      <c r="E2521" s="307">
        <v>4</v>
      </c>
      <c r="F2521" s="307" t="s">
        <v>7</v>
      </c>
      <c r="G2521" s="307" t="s">
        <v>11</v>
      </c>
      <c r="H2521" s="307" t="s">
        <v>11</v>
      </c>
    </row>
    <row r="2522" spans="1:8" x14ac:dyDescent="0.2">
      <c r="A2522" t="s">
        <v>55</v>
      </c>
      <c r="B2522" t="s">
        <v>111</v>
      </c>
      <c r="C2522" t="s">
        <v>750</v>
      </c>
      <c r="D2522">
        <v>1</v>
      </c>
      <c r="E2522" s="307">
        <v>4</v>
      </c>
      <c r="F2522" s="307" t="s">
        <v>7</v>
      </c>
      <c r="G2522" s="307" t="s">
        <v>11</v>
      </c>
      <c r="H2522" s="307" t="s">
        <v>11</v>
      </c>
    </row>
    <row r="2523" spans="1:8" x14ac:dyDescent="0.2">
      <c r="A2523" t="s">
        <v>55</v>
      </c>
      <c r="B2523" t="s">
        <v>111</v>
      </c>
      <c r="C2523" t="s">
        <v>1129</v>
      </c>
      <c r="D2523">
        <v>1</v>
      </c>
      <c r="E2523" s="307">
        <v>4</v>
      </c>
      <c r="F2523" s="307" t="s">
        <v>7</v>
      </c>
      <c r="G2523" s="307" t="s">
        <v>11</v>
      </c>
      <c r="H2523" s="307" t="s">
        <v>11</v>
      </c>
    </row>
    <row r="2524" spans="1:8" x14ac:dyDescent="0.2">
      <c r="A2524" t="s">
        <v>55</v>
      </c>
      <c r="B2524" t="s">
        <v>111</v>
      </c>
      <c r="C2524" t="s">
        <v>2188</v>
      </c>
      <c r="D2524">
        <v>3</v>
      </c>
      <c r="E2524" s="307">
        <v>4</v>
      </c>
      <c r="F2524" s="307" t="s">
        <v>7</v>
      </c>
      <c r="G2524" s="307" t="s">
        <v>11</v>
      </c>
      <c r="H2524" s="307" t="s">
        <v>11</v>
      </c>
    </row>
    <row r="2525" spans="1:8" x14ac:dyDescent="0.2">
      <c r="A2525" t="s">
        <v>55</v>
      </c>
      <c r="B2525" t="s">
        <v>111</v>
      </c>
      <c r="C2525" t="s">
        <v>852</v>
      </c>
      <c r="D2525">
        <v>2</v>
      </c>
      <c r="E2525" s="307">
        <v>4</v>
      </c>
      <c r="F2525" s="307" t="s">
        <v>7</v>
      </c>
      <c r="G2525" s="307" t="s">
        <v>11</v>
      </c>
      <c r="H2525" s="307" t="s">
        <v>11</v>
      </c>
    </row>
    <row r="2526" spans="1:8" x14ac:dyDescent="0.2">
      <c r="A2526" t="s">
        <v>55</v>
      </c>
      <c r="B2526" t="s">
        <v>111</v>
      </c>
      <c r="C2526" t="s">
        <v>1225</v>
      </c>
      <c r="D2526">
        <v>1</v>
      </c>
      <c r="E2526" s="307">
        <v>4</v>
      </c>
      <c r="F2526" s="307" t="s">
        <v>7</v>
      </c>
      <c r="G2526" s="307" t="s">
        <v>11</v>
      </c>
      <c r="H2526" s="307" t="s">
        <v>11</v>
      </c>
    </row>
    <row r="2527" spans="1:8" x14ac:dyDescent="0.2">
      <c r="A2527" t="s">
        <v>55</v>
      </c>
      <c r="B2527" t="s">
        <v>111</v>
      </c>
      <c r="C2527" t="s">
        <v>1378</v>
      </c>
      <c r="D2527">
        <v>1</v>
      </c>
      <c r="E2527" s="307">
        <v>4</v>
      </c>
      <c r="F2527" s="307" t="s">
        <v>7</v>
      </c>
      <c r="G2527" s="307" t="s">
        <v>11</v>
      </c>
      <c r="H2527" s="307" t="s">
        <v>11</v>
      </c>
    </row>
    <row r="2528" spans="1:8" x14ac:dyDescent="0.2">
      <c r="A2528" t="s">
        <v>57</v>
      </c>
      <c r="B2528" t="s">
        <v>112</v>
      </c>
      <c r="C2528" t="s">
        <v>1314</v>
      </c>
      <c r="D2528">
        <v>3</v>
      </c>
      <c r="E2528" s="307">
        <v>2</v>
      </c>
      <c r="F2528" s="307" t="s">
        <v>7</v>
      </c>
      <c r="G2528" s="307" t="s">
        <v>115</v>
      </c>
      <c r="H2528" s="307" t="s">
        <v>11</v>
      </c>
    </row>
    <row r="2529" spans="1:8" x14ac:dyDescent="0.2">
      <c r="A2529" t="s">
        <v>57</v>
      </c>
      <c r="B2529" t="s">
        <v>112</v>
      </c>
      <c r="C2529" t="s">
        <v>2189</v>
      </c>
      <c r="D2529">
        <v>3</v>
      </c>
      <c r="E2529" s="307">
        <v>3</v>
      </c>
      <c r="F2529" s="307" t="s">
        <v>75</v>
      </c>
      <c r="G2529" s="307" t="s">
        <v>11</v>
      </c>
      <c r="H2529" s="307" t="s">
        <v>11</v>
      </c>
    </row>
    <row r="2530" spans="1:8" x14ac:dyDescent="0.2">
      <c r="A2530" t="s">
        <v>57</v>
      </c>
      <c r="B2530" t="s">
        <v>112</v>
      </c>
      <c r="C2530" t="s">
        <v>2190</v>
      </c>
      <c r="D2530">
        <v>3</v>
      </c>
      <c r="E2530" s="307">
        <v>2</v>
      </c>
      <c r="F2530" s="307" t="s">
        <v>7</v>
      </c>
      <c r="G2530" s="307" t="s">
        <v>115</v>
      </c>
      <c r="H2530" s="307" t="s">
        <v>11</v>
      </c>
    </row>
    <row r="2531" spans="1:8" x14ac:dyDescent="0.2">
      <c r="A2531" t="s">
        <v>57</v>
      </c>
      <c r="B2531" t="s">
        <v>112</v>
      </c>
      <c r="C2531" t="s">
        <v>2191</v>
      </c>
      <c r="D2531">
        <v>3</v>
      </c>
      <c r="E2531" s="307">
        <v>2</v>
      </c>
      <c r="F2531" s="307" t="s">
        <v>7</v>
      </c>
      <c r="G2531" s="307" t="s">
        <v>115</v>
      </c>
      <c r="H2531" s="307" t="s">
        <v>11</v>
      </c>
    </row>
    <row r="2532" spans="1:8" x14ac:dyDescent="0.2">
      <c r="A2532" t="s">
        <v>57</v>
      </c>
      <c r="B2532" t="s">
        <v>112</v>
      </c>
      <c r="C2532" t="s">
        <v>2192</v>
      </c>
      <c r="D2532">
        <v>3</v>
      </c>
      <c r="E2532" s="307">
        <v>3</v>
      </c>
      <c r="F2532" s="307" t="s">
        <v>7</v>
      </c>
      <c r="G2532" s="307" t="s">
        <v>11</v>
      </c>
      <c r="H2532" s="307" t="s">
        <v>11</v>
      </c>
    </row>
    <row r="2533" spans="1:8" x14ac:dyDescent="0.2">
      <c r="A2533" t="s">
        <v>57</v>
      </c>
      <c r="B2533" t="s">
        <v>112</v>
      </c>
      <c r="C2533" t="s">
        <v>2065</v>
      </c>
      <c r="D2533">
        <v>2</v>
      </c>
      <c r="E2533" s="307">
        <v>4</v>
      </c>
      <c r="F2533" s="307" t="s">
        <v>75</v>
      </c>
      <c r="G2533" s="307" t="s">
        <v>11</v>
      </c>
      <c r="H2533" s="307" t="s">
        <v>11</v>
      </c>
    </row>
    <row r="2534" spans="1:8" x14ac:dyDescent="0.2">
      <c r="A2534" t="s">
        <v>57</v>
      </c>
      <c r="B2534" t="s">
        <v>112</v>
      </c>
      <c r="C2534" t="s">
        <v>2193</v>
      </c>
      <c r="D2534">
        <v>3</v>
      </c>
      <c r="E2534" s="307">
        <v>2</v>
      </c>
      <c r="F2534" s="307" t="s">
        <v>7</v>
      </c>
      <c r="G2534" s="307" t="s">
        <v>115</v>
      </c>
      <c r="H2534" s="307" t="s">
        <v>11</v>
      </c>
    </row>
    <row r="2535" spans="1:8" x14ac:dyDescent="0.2">
      <c r="A2535" t="s">
        <v>57</v>
      </c>
      <c r="B2535" t="s">
        <v>112</v>
      </c>
      <c r="C2535" t="s">
        <v>2194</v>
      </c>
      <c r="D2535">
        <v>3</v>
      </c>
      <c r="E2535" s="307">
        <v>2</v>
      </c>
      <c r="F2535" s="307" t="s">
        <v>7</v>
      </c>
      <c r="G2535" s="307" t="s">
        <v>115</v>
      </c>
      <c r="H2535" s="307" t="s">
        <v>11</v>
      </c>
    </row>
    <row r="2536" spans="1:8" x14ac:dyDescent="0.2">
      <c r="A2536" t="s">
        <v>57</v>
      </c>
      <c r="B2536" t="s">
        <v>112</v>
      </c>
      <c r="C2536" t="s">
        <v>2195</v>
      </c>
      <c r="D2536">
        <v>2</v>
      </c>
      <c r="E2536" s="307">
        <v>4</v>
      </c>
      <c r="F2536" s="307" t="s">
        <v>75</v>
      </c>
      <c r="G2536" s="307" t="s">
        <v>11</v>
      </c>
      <c r="H2536" s="307" t="s">
        <v>11</v>
      </c>
    </row>
    <row r="2537" spans="1:8" x14ac:dyDescent="0.2">
      <c r="A2537" t="s">
        <v>57</v>
      </c>
      <c r="B2537" t="s">
        <v>112</v>
      </c>
      <c r="C2537" t="s">
        <v>2196</v>
      </c>
      <c r="D2537">
        <v>3</v>
      </c>
      <c r="E2537" s="307">
        <v>2</v>
      </c>
      <c r="F2537" s="307" t="s">
        <v>75</v>
      </c>
      <c r="G2537" s="307" t="s">
        <v>11</v>
      </c>
      <c r="H2537" s="307" t="s">
        <v>11</v>
      </c>
    </row>
    <row r="2538" spans="1:8" x14ac:dyDescent="0.2">
      <c r="A2538" t="s">
        <v>57</v>
      </c>
      <c r="B2538" t="s">
        <v>112</v>
      </c>
      <c r="C2538" t="s">
        <v>2197</v>
      </c>
      <c r="D2538">
        <v>3</v>
      </c>
      <c r="E2538" s="307">
        <v>2</v>
      </c>
      <c r="F2538" s="307" t="s">
        <v>7</v>
      </c>
      <c r="G2538" s="307" t="s">
        <v>115</v>
      </c>
      <c r="H2538" s="307" t="s">
        <v>11</v>
      </c>
    </row>
    <row r="2539" spans="1:8" x14ac:dyDescent="0.2">
      <c r="A2539" t="s">
        <v>57</v>
      </c>
      <c r="B2539" t="s">
        <v>112</v>
      </c>
      <c r="C2539" t="s">
        <v>2198</v>
      </c>
      <c r="D2539">
        <v>3</v>
      </c>
      <c r="E2539" s="307">
        <v>3</v>
      </c>
      <c r="F2539" s="307" t="s">
        <v>75</v>
      </c>
      <c r="G2539" s="307" t="s">
        <v>11</v>
      </c>
      <c r="H2539" s="307" t="s">
        <v>11</v>
      </c>
    </row>
    <row r="2540" spans="1:8" x14ac:dyDescent="0.2">
      <c r="A2540" t="s">
        <v>57</v>
      </c>
      <c r="B2540" t="s">
        <v>112</v>
      </c>
      <c r="C2540" t="s">
        <v>2199</v>
      </c>
      <c r="D2540">
        <v>3</v>
      </c>
      <c r="E2540" s="307">
        <v>2</v>
      </c>
      <c r="F2540" s="307" t="s">
        <v>7</v>
      </c>
      <c r="G2540" s="307" t="s">
        <v>115</v>
      </c>
      <c r="H2540" s="307" t="s">
        <v>11</v>
      </c>
    </row>
    <row r="2541" spans="1:8" x14ac:dyDescent="0.2">
      <c r="A2541" t="s">
        <v>57</v>
      </c>
      <c r="B2541" t="s">
        <v>112</v>
      </c>
      <c r="C2541" t="s">
        <v>1384</v>
      </c>
      <c r="D2541">
        <v>3</v>
      </c>
      <c r="E2541" s="307">
        <v>2</v>
      </c>
      <c r="F2541" s="307" t="s">
        <v>7</v>
      </c>
      <c r="G2541" s="307" t="s">
        <v>115</v>
      </c>
      <c r="H2541" s="307" t="s">
        <v>11</v>
      </c>
    </row>
    <row r="2542" spans="1:8" x14ac:dyDescent="0.2">
      <c r="A2542" t="s">
        <v>57</v>
      </c>
      <c r="B2542" t="s">
        <v>112</v>
      </c>
      <c r="C2542" t="s">
        <v>2200</v>
      </c>
      <c r="D2542">
        <v>3</v>
      </c>
      <c r="E2542" s="307">
        <v>2</v>
      </c>
      <c r="F2542" s="307" t="s">
        <v>7</v>
      </c>
      <c r="G2542" s="307" t="s">
        <v>115</v>
      </c>
      <c r="H2542" s="307" t="s">
        <v>11</v>
      </c>
    </row>
    <row r="2543" spans="1:8" x14ac:dyDescent="0.2">
      <c r="A2543" t="s">
        <v>57</v>
      </c>
      <c r="B2543" t="s">
        <v>112</v>
      </c>
      <c r="C2543" t="s">
        <v>2201</v>
      </c>
      <c r="D2543">
        <v>3</v>
      </c>
      <c r="E2543" s="307">
        <v>3</v>
      </c>
      <c r="F2543" s="307" t="s">
        <v>7</v>
      </c>
      <c r="G2543" s="307" t="s">
        <v>115</v>
      </c>
      <c r="H2543" s="307" t="s">
        <v>11</v>
      </c>
    </row>
    <row r="2544" spans="1:8" x14ac:dyDescent="0.2">
      <c r="A2544" t="s">
        <v>57</v>
      </c>
      <c r="B2544" t="s">
        <v>112</v>
      </c>
      <c r="C2544" t="s">
        <v>2202</v>
      </c>
      <c r="D2544">
        <v>3</v>
      </c>
      <c r="E2544" s="307">
        <v>3</v>
      </c>
      <c r="F2544" s="307" t="s">
        <v>75</v>
      </c>
      <c r="G2544" s="307" t="s">
        <v>11</v>
      </c>
      <c r="H2544" s="307" t="s">
        <v>11</v>
      </c>
    </row>
    <row r="2545" spans="1:8" x14ac:dyDescent="0.2">
      <c r="A2545" t="s">
        <v>57</v>
      </c>
      <c r="B2545" t="s">
        <v>112</v>
      </c>
      <c r="C2545" t="s">
        <v>2203</v>
      </c>
      <c r="D2545">
        <v>3</v>
      </c>
      <c r="E2545" s="307">
        <v>2</v>
      </c>
      <c r="F2545" s="307" t="s">
        <v>7</v>
      </c>
      <c r="G2545" s="307" t="s">
        <v>115</v>
      </c>
      <c r="H2545" s="307" t="s">
        <v>11</v>
      </c>
    </row>
    <row r="2546" spans="1:8" x14ac:dyDescent="0.2">
      <c r="A2546" t="s">
        <v>57</v>
      </c>
      <c r="B2546" t="s">
        <v>112</v>
      </c>
      <c r="C2546" t="s">
        <v>2204</v>
      </c>
      <c r="D2546">
        <v>3</v>
      </c>
      <c r="E2546" s="307">
        <v>3</v>
      </c>
      <c r="F2546" s="307" t="s">
        <v>7</v>
      </c>
      <c r="G2546" s="307" t="s">
        <v>115</v>
      </c>
      <c r="H2546" s="307" t="s">
        <v>11</v>
      </c>
    </row>
    <row r="2547" spans="1:8" x14ac:dyDescent="0.2">
      <c r="A2547" t="s">
        <v>57</v>
      </c>
      <c r="B2547" t="s">
        <v>112</v>
      </c>
      <c r="C2547" t="s">
        <v>2205</v>
      </c>
      <c r="D2547">
        <v>3</v>
      </c>
      <c r="E2547" s="307">
        <v>2</v>
      </c>
      <c r="F2547" s="307" t="s">
        <v>7</v>
      </c>
      <c r="G2547" s="307" t="s">
        <v>115</v>
      </c>
      <c r="H2547" s="307" t="s">
        <v>11</v>
      </c>
    </row>
    <row r="2548" spans="1:8" x14ac:dyDescent="0.2">
      <c r="A2548" t="s">
        <v>57</v>
      </c>
      <c r="B2548" t="s">
        <v>112</v>
      </c>
      <c r="C2548" t="s">
        <v>2206</v>
      </c>
      <c r="D2548">
        <v>3</v>
      </c>
      <c r="E2548" s="307">
        <v>2</v>
      </c>
      <c r="F2548" s="307" t="s">
        <v>7</v>
      </c>
      <c r="G2548" s="307" t="s">
        <v>115</v>
      </c>
      <c r="H2548" s="307" t="s">
        <v>11</v>
      </c>
    </row>
    <row r="2549" spans="1:8" x14ac:dyDescent="0.2">
      <c r="A2549" t="s">
        <v>57</v>
      </c>
      <c r="B2549" t="s">
        <v>112</v>
      </c>
      <c r="C2549" t="s">
        <v>2207</v>
      </c>
      <c r="D2549">
        <v>2</v>
      </c>
      <c r="E2549" s="307">
        <v>3</v>
      </c>
      <c r="F2549" s="307" t="s">
        <v>75</v>
      </c>
      <c r="G2549" s="307" t="s">
        <v>11</v>
      </c>
      <c r="H2549" s="307" t="s">
        <v>11</v>
      </c>
    </row>
    <row r="2550" spans="1:8" x14ac:dyDescent="0.2">
      <c r="A2550" t="s">
        <v>57</v>
      </c>
      <c r="B2550" t="s">
        <v>112</v>
      </c>
      <c r="C2550" t="s">
        <v>2208</v>
      </c>
      <c r="D2550">
        <v>3</v>
      </c>
      <c r="E2550" s="307">
        <v>4</v>
      </c>
      <c r="F2550" s="307" t="s">
        <v>75</v>
      </c>
      <c r="G2550" s="307" t="s">
        <v>11</v>
      </c>
      <c r="H2550" s="307" t="s">
        <v>11</v>
      </c>
    </row>
    <row r="2551" spans="1:8" x14ac:dyDescent="0.2">
      <c r="A2551" t="s">
        <v>57</v>
      </c>
      <c r="B2551" t="s">
        <v>112</v>
      </c>
      <c r="C2551" t="s">
        <v>1037</v>
      </c>
      <c r="D2551">
        <v>3</v>
      </c>
      <c r="E2551" s="307">
        <v>2</v>
      </c>
      <c r="F2551" s="307" t="s">
        <v>7</v>
      </c>
      <c r="G2551" s="307" t="s">
        <v>115</v>
      </c>
      <c r="H2551" s="307" t="s">
        <v>11</v>
      </c>
    </row>
    <row r="2552" spans="1:8" x14ac:dyDescent="0.2">
      <c r="A2552" t="s">
        <v>57</v>
      </c>
      <c r="B2552" t="s">
        <v>112</v>
      </c>
      <c r="C2552" t="s">
        <v>1176</v>
      </c>
      <c r="D2552">
        <v>3</v>
      </c>
      <c r="E2552" s="307">
        <v>3</v>
      </c>
      <c r="F2552" s="307" t="s">
        <v>7</v>
      </c>
      <c r="G2552" s="307" t="s">
        <v>115</v>
      </c>
      <c r="H2552" s="307" t="s">
        <v>11</v>
      </c>
    </row>
    <row r="2553" spans="1:8" x14ac:dyDescent="0.2">
      <c r="A2553" t="s">
        <v>57</v>
      </c>
      <c r="B2553" t="s">
        <v>112</v>
      </c>
      <c r="C2553" t="s">
        <v>2209</v>
      </c>
      <c r="D2553">
        <v>3</v>
      </c>
      <c r="E2553" s="307">
        <v>2</v>
      </c>
      <c r="F2553" s="307" t="s">
        <v>7</v>
      </c>
      <c r="G2553" s="307" t="s">
        <v>115</v>
      </c>
      <c r="H2553" s="307" t="s">
        <v>11</v>
      </c>
    </row>
    <row r="2554" spans="1:8" x14ac:dyDescent="0.2">
      <c r="A2554" t="s">
        <v>57</v>
      </c>
      <c r="B2554" t="s">
        <v>112</v>
      </c>
      <c r="C2554" t="s">
        <v>2210</v>
      </c>
      <c r="D2554">
        <v>3</v>
      </c>
      <c r="E2554" s="307">
        <v>3</v>
      </c>
      <c r="F2554" s="307" t="s">
        <v>7</v>
      </c>
      <c r="G2554" s="307" t="s">
        <v>115</v>
      </c>
      <c r="H2554" s="307" t="s">
        <v>11</v>
      </c>
    </row>
    <row r="2555" spans="1:8" x14ac:dyDescent="0.2">
      <c r="A2555" t="s">
        <v>57</v>
      </c>
      <c r="B2555" t="s">
        <v>112</v>
      </c>
      <c r="C2555" t="s">
        <v>1391</v>
      </c>
      <c r="D2555">
        <v>3</v>
      </c>
      <c r="E2555" s="307">
        <v>2</v>
      </c>
      <c r="F2555" s="307" t="s">
        <v>7</v>
      </c>
      <c r="G2555" s="307" t="s">
        <v>115</v>
      </c>
      <c r="H2555" s="307" t="s">
        <v>11</v>
      </c>
    </row>
    <row r="2556" spans="1:8" x14ac:dyDescent="0.2">
      <c r="A2556" t="s">
        <v>57</v>
      </c>
      <c r="B2556" t="s">
        <v>112</v>
      </c>
      <c r="C2556" t="s">
        <v>693</v>
      </c>
      <c r="D2556">
        <v>3</v>
      </c>
      <c r="E2556" s="307">
        <v>2</v>
      </c>
      <c r="F2556" s="307" t="s">
        <v>7</v>
      </c>
      <c r="G2556" s="307" t="s">
        <v>115</v>
      </c>
      <c r="H2556" s="307" t="s">
        <v>11</v>
      </c>
    </row>
    <row r="2557" spans="1:8" x14ac:dyDescent="0.2">
      <c r="A2557" t="s">
        <v>57</v>
      </c>
      <c r="B2557" t="s">
        <v>112</v>
      </c>
      <c r="C2557" t="s">
        <v>2211</v>
      </c>
      <c r="D2557">
        <v>3</v>
      </c>
      <c r="E2557" s="307">
        <v>3</v>
      </c>
      <c r="F2557" s="307" t="s">
        <v>75</v>
      </c>
      <c r="G2557" s="307" t="s">
        <v>11</v>
      </c>
      <c r="H2557" s="307" t="s">
        <v>11</v>
      </c>
    </row>
    <row r="2558" spans="1:8" x14ac:dyDescent="0.2">
      <c r="A2558" t="s">
        <v>57</v>
      </c>
      <c r="B2558" t="s">
        <v>112</v>
      </c>
      <c r="C2558" t="s">
        <v>1445</v>
      </c>
      <c r="D2558">
        <v>3</v>
      </c>
      <c r="E2558" s="307">
        <v>2</v>
      </c>
      <c r="F2558" s="307" t="s">
        <v>7</v>
      </c>
      <c r="G2558" s="307" t="s">
        <v>115</v>
      </c>
      <c r="H2558" s="307" t="s">
        <v>11</v>
      </c>
    </row>
    <row r="2559" spans="1:8" x14ac:dyDescent="0.2">
      <c r="A2559" t="s">
        <v>57</v>
      </c>
      <c r="B2559" t="s">
        <v>112</v>
      </c>
      <c r="C2559" t="s">
        <v>2212</v>
      </c>
      <c r="D2559">
        <v>3</v>
      </c>
      <c r="E2559" s="307">
        <v>3</v>
      </c>
      <c r="F2559" s="307" t="s">
        <v>7</v>
      </c>
      <c r="G2559" s="307" t="s">
        <v>115</v>
      </c>
      <c r="H2559" s="307" t="s">
        <v>11</v>
      </c>
    </row>
    <row r="2560" spans="1:8" x14ac:dyDescent="0.2">
      <c r="A2560" t="s">
        <v>57</v>
      </c>
      <c r="B2560" t="s">
        <v>112</v>
      </c>
      <c r="C2560" t="s">
        <v>2213</v>
      </c>
      <c r="D2560">
        <v>2</v>
      </c>
      <c r="E2560" s="307">
        <v>4</v>
      </c>
      <c r="F2560" s="307" t="s">
        <v>75</v>
      </c>
      <c r="G2560" s="307" t="s">
        <v>11</v>
      </c>
      <c r="H2560" s="307" t="s">
        <v>11</v>
      </c>
    </row>
    <row r="2561" spans="1:8" x14ac:dyDescent="0.2">
      <c r="A2561" t="s">
        <v>57</v>
      </c>
      <c r="B2561" t="s">
        <v>112</v>
      </c>
      <c r="C2561" t="s">
        <v>1178</v>
      </c>
      <c r="D2561">
        <v>3</v>
      </c>
      <c r="E2561" s="307">
        <v>3</v>
      </c>
      <c r="F2561" s="307" t="s">
        <v>7</v>
      </c>
      <c r="G2561" s="307" t="s">
        <v>115</v>
      </c>
      <c r="H2561" s="307" t="s">
        <v>11</v>
      </c>
    </row>
    <row r="2562" spans="1:8" x14ac:dyDescent="0.2">
      <c r="A2562" t="s">
        <v>57</v>
      </c>
      <c r="B2562" t="s">
        <v>112</v>
      </c>
      <c r="C2562" t="s">
        <v>2214</v>
      </c>
      <c r="D2562">
        <v>2</v>
      </c>
      <c r="E2562" s="307">
        <v>4</v>
      </c>
      <c r="F2562" s="307" t="s">
        <v>75</v>
      </c>
      <c r="G2562" s="307" t="s">
        <v>11</v>
      </c>
      <c r="H2562" s="307" t="s">
        <v>11</v>
      </c>
    </row>
    <row r="2563" spans="1:8" x14ac:dyDescent="0.2">
      <c r="A2563" t="s">
        <v>57</v>
      </c>
      <c r="B2563" t="s">
        <v>112</v>
      </c>
      <c r="C2563" t="s">
        <v>694</v>
      </c>
      <c r="D2563">
        <v>3</v>
      </c>
      <c r="E2563" s="307">
        <v>2</v>
      </c>
      <c r="F2563" s="307" t="s">
        <v>7</v>
      </c>
      <c r="G2563" s="307" t="s">
        <v>115</v>
      </c>
      <c r="H2563" s="307" t="s">
        <v>11</v>
      </c>
    </row>
    <row r="2564" spans="1:8" x14ac:dyDescent="0.2">
      <c r="A2564" t="s">
        <v>57</v>
      </c>
      <c r="B2564" t="s">
        <v>112</v>
      </c>
      <c r="C2564" t="s">
        <v>695</v>
      </c>
      <c r="D2564">
        <v>3</v>
      </c>
      <c r="E2564" s="307">
        <v>2</v>
      </c>
      <c r="F2564" s="307" t="s">
        <v>7</v>
      </c>
      <c r="G2564" s="307" t="s">
        <v>115</v>
      </c>
      <c r="H2564" s="307" t="s">
        <v>11</v>
      </c>
    </row>
    <row r="2565" spans="1:8" x14ac:dyDescent="0.2">
      <c r="A2565" t="s">
        <v>57</v>
      </c>
      <c r="B2565" t="s">
        <v>112</v>
      </c>
      <c r="C2565" t="s">
        <v>2215</v>
      </c>
      <c r="D2565">
        <v>3</v>
      </c>
      <c r="E2565" s="307">
        <v>3</v>
      </c>
      <c r="F2565" s="307" t="s">
        <v>75</v>
      </c>
      <c r="G2565" s="307" t="s">
        <v>11</v>
      </c>
      <c r="H2565" s="307" t="s">
        <v>11</v>
      </c>
    </row>
    <row r="2566" spans="1:8" x14ac:dyDescent="0.2">
      <c r="A2566" t="s">
        <v>57</v>
      </c>
      <c r="B2566" t="s">
        <v>112</v>
      </c>
      <c r="C2566" t="s">
        <v>699</v>
      </c>
      <c r="D2566">
        <v>3</v>
      </c>
      <c r="E2566" s="307">
        <v>3</v>
      </c>
      <c r="F2566" s="307" t="s">
        <v>7</v>
      </c>
      <c r="G2566" s="307" t="s">
        <v>11</v>
      </c>
      <c r="H2566" s="307" t="s">
        <v>11</v>
      </c>
    </row>
    <row r="2567" spans="1:8" x14ac:dyDescent="0.2">
      <c r="A2567" t="s">
        <v>57</v>
      </c>
      <c r="B2567" t="s">
        <v>112</v>
      </c>
      <c r="C2567" t="s">
        <v>2216</v>
      </c>
      <c r="D2567">
        <v>3</v>
      </c>
      <c r="E2567" s="307">
        <v>4</v>
      </c>
      <c r="F2567" s="307" t="s">
        <v>75</v>
      </c>
      <c r="G2567" s="307" t="s">
        <v>11</v>
      </c>
      <c r="H2567" s="307" t="s">
        <v>11</v>
      </c>
    </row>
    <row r="2568" spans="1:8" x14ac:dyDescent="0.2">
      <c r="A2568" t="s">
        <v>57</v>
      </c>
      <c r="B2568" t="s">
        <v>112</v>
      </c>
      <c r="C2568" t="s">
        <v>2217</v>
      </c>
      <c r="D2568">
        <v>3</v>
      </c>
      <c r="E2568" s="307">
        <v>3</v>
      </c>
      <c r="F2568" s="307" t="s">
        <v>75</v>
      </c>
      <c r="G2568" s="307" t="s">
        <v>11</v>
      </c>
      <c r="H2568" s="307" t="s">
        <v>11</v>
      </c>
    </row>
    <row r="2569" spans="1:8" x14ac:dyDescent="0.2">
      <c r="A2569" t="s">
        <v>57</v>
      </c>
      <c r="B2569" t="s">
        <v>112</v>
      </c>
      <c r="C2569" t="s">
        <v>2218</v>
      </c>
      <c r="D2569">
        <v>3</v>
      </c>
      <c r="E2569" s="307">
        <v>3</v>
      </c>
      <c r="F2569" s="307" t="s">
        <v>75</v>
      </c>
      <c r="G2569" s="307" t="s">
        <v>11</v>
      </c>
      <c r="H2569" s="307" t="s">
        <v>11</v>
      </c>
    </row>
    <row r="2570" spans="1:8" x14ac:dyDescent="0.2">
      <c r="A2570" t="s">
        <v>57</v>
      </c>
      <c r="B2570" t="s">
        <v>112</v>
      </c>
      <c r="C2570" t="s">
        <v>2219</v>
      </c>
      <c r="D2570">
        <v>3</v>
      </c>
      <c r="E2570" s="307">
        <v>3</v>
      </c>
      <c r="F2570" s="307" t="s">
        <v>7</v>
      </c>
      <c r="G2570" s="307" t="s">
        <v>115</v>
      </c>
      <c r="H2570" s="307" t="s">
        <v>11</v>
      </c>
    </row>
    <row r="2571" spans="1:8" x14ac:dyDescent="0.2">
      <c r="A2571" t="s">
        <v>57</v>
      </c>
      <c r="B2571" t="s">
        <v>112</v>
      </c>
      <c r="C2571" t="s">
        <v>2220</v>
      </c>
      <c r="D2571">
        <v>3</v>
      </c>
      <c r="E2571" s="307">
        <v>3</v>
      </c>
      <c r="F2571" s="307" t="s">
        <v>75</v>
      </c>
      <c r="G2571" s="307" t="s">
        <v>11</v>
      </c>
      <c r="H2571" s="307" t="s">
        <v>11</v>
      </c>
    </row>
    <row r="2572" spans="1:8" x14ac:dyDescent="0.2">
      <c r="A2572" t="s">
        <v>57</v>
      </c>
      <c r="B2572" t="s">
        <v>112</v>
      </c>
      <c r="C2572" t="s">
        <v>2221</v>
      </c>
      <c r="D2572">
        <v>3</v>
      </c>
      <c r="E2572" s="307">
        <v>2</v>
      </c>
      <c r="F2572" s="307" t="s">
        <v>7</v>
      </c>
      <c r="G2572" s="307" t="s">
        <v>115</v>
      </c>
      <c r="H2572" s="307" t="s">
        <v>11</v>
      </c>
    </row>
    <row r="2573" spans="1:8" x14ac:dyDescent="0.2">
      <c r="A2573" t="s">
        <v>57</v>
      </c>
      <c r="B2573" t="s">
        <v>112</v>
      </c>
      <c r="C2573" t="s">
        <v>2222</v>
      </c>
      <c r="D2573">
        <v>3</v>
      </c>
      <c r="E2573" s="307">
        <v>2</v>
      </c>
      <c r="F2573" s="307" t="s">
        <v>7</v>
      </c>
      <c r="G2573" s="307" t="s">
        <v>115</v>
      </c>
      <c r="H2573" s="307" t="s">
        <v>11</v>
      </c>
    </row>
    <row r="2574" spans="1:8" x14ac:dyDescent="0.2">
      <c r="A2574" t="s">
        <v>57</v>
      </c>
      <c r="B2574" t="s">
        <v>112</v>
      </c>
      <c r="C2574" t="s">
        <v>1323</v>
      </c>
      <c r="D2574">
        <v>3</v>
      </c>
      <c r="E2574" s="307">
        <v>3</v>
      </c>
      <c r="F2574" s="307" t="s">
        <v>7</v>
      </c>
      <c r="G2574" s="307" t="s">
        <v>115</v>
      </c>
      <c r="H2574" s="307" t="s">
        <v>11</v>
      </c>
    </row>
    <row r="2575" spans="1:8" x14ac:dyDescent="0.2">
      <c r="A2575" t="s">
        <v>57</v>
      </c>
      <c r="B2575" t="s">
        <v>112</v>
      </c>
      <c r="C2575" t="s">
        <v>2223</v>
      </c>
      <c r="D2575">
        <v>3</v>
      </c>
      <c r="E2575" s="307">
        <v>3</v>
      </c>
      <c r="F2575" s="307" t="s">
        <v>75</v>
      </c>
      <c r="G2575" s="307" t="s">
        <v>11</v>
      </c>
      <c r="H2575" s="307" t="s">
        <v>11</v>
      </c>
    </row>
    <row r="2576" spans="1:8" x14ac:dyDescent="0.2">
      <c r="A2576" t="s">
        <v>57</v>
      </c>
      <c r="B2576" t="s">
        <v>112</v>
      </c>
      <c r="C2576" t="s">
        <v>2224</v>
      </c>
      <c r="D2576">
        <v>3</v>
      </c>
      <c r="E2576" s="307">
        <v>3</v>
      </c>
      <c r="F2576" s="307" t="s">
        <v>7</v>
      </c>
      <c r="G2576" s="307" t="s">
        <v>11</v>
      </c>
      <c r="H2576" s="307" t="s">
        <v>11</v>
      </c>
    </row>
    <row r="2577" spans="1:8" x14ac:dyDescent="0.2">
      <c r="A2577" t="s">
        <v>57</v>
      </c>
      <c r="B2577" t="s">
        <v>112</v>
      </c>
      <c r="C2577" t="s">
        <v>2225</v>
      </c>
      <c r="D2577">
        <v>3</v>
      </c>
      <c r="E2577" s="307">
        <v>2</v>
      </c>
      <c r="F2577" s="307" t="s">
        <v>7</v>
      </c>
      <c r="G2577" s="307" t="s">
        <v>115</v>
      </c>
      <c r="H2577" s="307" t="s">
        <v>11</v>
      </c>
    </row>
    <row r="2578" spans="1:8" x14ac:dyDescent="0.2">
      <c r="A2578" t="s">
        <v>57</v>
      </c>
      <c r="B2578" t="s">
        <v>112</v>
      </c>
      <c r="C2578" t="s">
        <v>2226</v>
      </c>
      <c r="D2578">
        <v>3</v>
      </c>
      <c r="E2578" s="307">
        <v>3</v>
      </c>
      <c r="F2578" s="307" t="s">
        <v>75</v>
      </c>
      <c r="G2578" s="307" t="s">
        <v>11</v>
      </c>
      <c r="H2578" s="307" t="s">
        <v>11</v>
      </c>
    </row>
    <row r="2579" spans="1:8" x14ac:dyDescent="0.2">
      <c r="A2579" t="s">
        <v>57</v>
      </c>
      <c r="B2579" t="s">
        <v>112</v>
      </c>
      <c r="C2579" t="s">
        <v>2227</v>
      </c>
      <c r="D2579">
        <v>3</v>
      </c>
      <c r="E2579" s="307">
        <v>3</v>
      </c>
      <c r="F2579" s="307" t="s">
        <v>75</v>
      </c>
      <c r="G2579" s="307" t="s">
        <v>11</v>
      </c>
      <c r="H2579" s="307" t="s">
        <v>11</v>
      </c>
    </row>
    <row r="2580" spans="1:8" x14ac:dyDescent="0.2">
      <c r="A2580" t="s">
        <v>57</v>
      </c>
      <c r="B2580" t="s">
        <v>112</v>
      </c>
      <c r="C2580" t="s">
        <v>2167</v>
      </c>
      <c r="D2580">
        <v>3</v>
      </c>
      <c r="E2580" s="307">
        <v>3</v>
      </c>
      <c r="F2580" s="307" t="s">
        <v>75</v>
      </c>
      <c r="G2580" s="307" t="s">
        <v>11</v>
      </c>
      <c r="H2580" s="307" t="s">
        <v>11</v>
      </c>
    </row>
    <row r="2581" spans="1:8" x14ac:dyDescent="0.2">
      <c r="A2581" t="s">
        <v>57</v>
      </c>
      <c r="B2581" t="s">
        <v>112</v>
      </c>
      <c r="C2581" t="s">
        <v>2228</v>
      </c>
      <c r="D2581">
        <v>2</v>
      </c>
      <c r="E2581" s="307">
        <v>3</v>
      </c>
      <c r="F2581" s="307" t="s">
        <v>75</v>
      </c>
      <c r="G2581" s="307" t="s">
        <v>11</v>
      </c>
      <c r="H2581" s="307" t="s">
        <v>11</v>
      </c>
    </row>
    <row r="2582" spans="1:8" x14ac:dyDescent="0.2">
      <c r="A2582" t="s">
        <v>57</v>
      </c>
      <c r="B2582" t="s">
        <v>112</v>
      </c>
      <c r="C2582" t="s">
        <v>2229</v>
      </c>
      <c r="D2582">
        <v>2</v>
      </c>
      <c r="E2582" s="307">
        <v>3</v>
      </c>
      <c r="F2582" s="307" t="s">
        <v>75</v>
      </c>
      <c r="G2582" s="307" t="s">
        <v>11</v>
      </c>
      <c r="H2582" s="307" t="s">
        <v>11</v>
      </c>
    </row>
    <row r="2583" spans="1:8" x14ac:dyDescent="0.2">
      <c r="A2583" t="s">
        <v>57</v>
      </c>
      <c r="B2583" t="s">
        <v>112</v>
      </c>
      <c r="C2583" t="s">
        <v>2230</v>
      </c>
      <c r="D2583">
        <v>2</v>
      </c>
      <c r="E2583" s="307">
        <v>4</v>
      </c>
      <c r="F2583" s="307" t="s">
        <v>75</v>
      </c>
      <c r="G2583" s="307" t="s">
        <v>11</v>
      </c>
      <c r="H2583" s="307" t="s">
        <v>11</v>
      </c>
    </row>
    <row r="2584" spans="1:8" x14ac:dyDescent="0.2">
      <c r="A2584" t="s">
        <v>57</v>
      </c>
      <c r="B2584" t="s">
        <v>112</v>
      </c>
      <c r="C2584" t="s">
        <v>709</v>
      </c>
      <c r="D2584">
        <v>3</v>
      </c>
      <c r="E2584" s="307">
        <v>3</v>
      </c>
      <c r="F2584" s="307" t="s">
        <v>7</v>
      </c>
      <c r="G2584" s="307" t="s">
        <v>115</v>
      </c>
      <c r="H2584" s="307" t="s">
        <v>11</v>
      </c>
    </row>
    <row r="2585" spans="1:8" x14ac:dyDescent="0.2">
      <c r="A2585" t="s">
        <v>57</v>
      </c>
      <c r="B2585" t="s">
        <v>112</v>
      </c>
      <c r="C2585" t="s">
        <v>1057</v>
      </c>
      <c r="D2585">
        <v>3</v>
      </c>
      <c r="E2585" s="307">
        <v>3</v>
      </c>
      <c r="F2585" s="307" t="s">
        <v>75</v>
      </c>
      <c r="G2585" s="307" t="s">
        <v>11</v>
      </c>
      <c r="H2585" s="307" t="s">
        <v>11</v>
      </c>
    </row>
    <row r="2586" spans="1:8" x14ac:dyDescent="0.2">
      <c r="A2586" t="s">
        <v>57</v>
      </c>
      <c r="B2586" t="s">
        <v>112</v>
      </c>
      <c r="C2586" t="s">
        <v>2231</v>
      </c>
      <c r="D2586">
        <v>3</v>
      </c>
      <c r="E2586" s="307">
        <v>2</v>
      </c>
      <c r="F2586" s="307" t="s">
        <v>7</v>
      </c>
      <c r="G2586" s="307" t="s">
        <v>115</v>
      </c>
      <c r="H2586" s="307" t="s">
        <v>11</v>
      </c>
    </row>
    <row r="2587" spans="1:8" x14ac:dyDescent="0.2">
      <c r="A2587" t="s">
        <v>57</v>
      </c>
      <c r="B2587" t="s">
        <v>112</v>
      </c>
      <c r="C2587" t="s">
        <v>2232</v>
      </c>
      <c r="D2587">
        <v>2</v>
      </c>
      <c r="E2587" s="307">
        <v>4</v>
      </c>
      <c r="F2587" s="307" t="s">
        <v>75</v>
      </c>
      <c r="G2587" s="307" t="s">
        <v>11</v>
      </c>
      <c r="H2587" s="307" t="s">
        <v>11</v>
      </c>
    </row>
    <row r="2588" spans="1:8" x14ac:dyDescent="0.2">
      <c r="A2588" t="s">
        <v>57</v>
      </c>
      <c r="B2588" t="s">
        <v>112</v>
      </c>
      <c r="C2588" t="s">
        <v>926</v>
      </c>
      <c r="D2588">
        <v>3</v>
      </c>
      <c r="E2588" s="307">
        <v>3</v>
      </c>
      <c r="F2588" s="307" t="s">
        <v>7</v>
      </c>
      <c r="G2588" s="307" t="s">
        <v>11</v>
      </c>
      <c r="H2588" s="307" t="s">
        <v>11</v>
      </c>
    </row>
    <row r="2589" spans="1:8" x14ac:dyDescent="0.2">
      <c r="A2589" t="s">
        <v>57</v>
      </c>
      <c r="B2589" t="s">
        <v>112</v>
      </c>
      <c r="C2589" t="s">
        <v>2233</v>
      </c>
      <c r="D2589">
        <v>3</v>
      </c>
      <c r="E2589" s="307">
        <v>3</v>
      </c>
      <c r="F2589" s="307" t="s">
        <v>7</v>
      </c>
      <c r="G2589" s="307" t="s">
        <v>115</v>
      </c>
      <c r="H2589" s="307" t="s">
        <v>11</v>
      </c>
    </row>
    <row r="2590" spans="1:8" x14ac:dyDescent="0.2">
      <c r="A2590" t="s">
        <v>57</v>
      </c>
      <c r="B2590" t="s">
        <v>112</v>
      </c>
      <c r="C2590" t="s">
        <v>2234</v>
      </c>
      <c r="D2590">
        <v>3</v>
      </c>
      <c r="E2590" s="307">
        <v>3</v>
      </c>
      <c r="F2590" s="307" t="s">
        <v>75</v>
      </c>
      <c r="G2590" s="307" t="s">
        <v>11</v>
      </c>
      <c r="H2590" s="307" t="s">
        <v>11</v>
      </c>
    </row>
    <row r="2591" spans="1:8" x14ac:dyDescent="0.2">
      <c r="A2591" t="s">
        <v>57</v>
      </c>
      <c r="B2591" t="s">
        <v>112</v>
      </c>
      <c r="C2591" t="s">
        <v>2235</v>
      </c>
      <c r="D2591">
        <v>3</v>
      </c>
      <c r="E2591" s="307">
        <v>2</v>
      </c>
      <c r="F2591" s="307" t="s">
        <v>75</v>
      </c>
      <c r="G2591" s="307" t="s">
        <v>11</v>
      </c>
      <c r="H2591" s="307" t="s">
        <v>11</v>
      </c>
    </row>
    <row r="2592" spans="1:8" x14ac:dyDescent="0.2">
      <c r="A2592" t="s">
        <v>57</v>
      </c>
      <c r="B2592" t="s">
        <v>112</v>
      </c>
      <c r="C2592" t="s">
        <v>2236</v>
      </c>
      <c r="D2592">
        <v>2</v>
      </c>
      <c r="E2592" s="307">
        <v>4</v>
      </c>
      <c r="F2592" s="307" t="s">
        <v>75</v>
      </c>
      <c r="G2592" s="307" t="s">
        <v>11</v>
      </c>
      <c r="H2592" s="307" t="s">
        <v>11</v>
      </c>
    </row>
    <row r="2593" spans="1:8" x14ac:dyDescent="0.2">
      <c r="A2593" t="s">
        <v>57</v>
      </c>
      <c r="B2593" t="s">
        <v>112</v>
      </c>
      <c r="C2593" t="s">
        <v>989</v>
      </c>
      <c r="D2593">
        <v>3</v>
      </c>
      <c r="E2593" s="307">
        <v>2</v>
      </c>
      <c r="F2593" s="307" t="s">
        <v>7</v>
      </c>
      <c r="G2593" s="307" t="s">
        <v>115</v>
      </c>
      <c r="H2593" s="307" t="s">
        <v>11</v>
      </c>
    </row>
    <row r="2594" spans="1:8" x14ac:dyDescent="0.2">
      <c r="A2594" t="s">
        <v>57</v>
      </c>
      <c r="B2594" t="s">
        <v>112</v>
      </c>
      <c r="C2594" t="s">
        <v>2237</v>
      </c>
      <c r="D2594">
        <v>3</v>
      </c>
      <c r="E2594" s="307">
        <v>3</v>
      </c>
      <c r="F2594" s="307" t="s">
        <v>7</v>
      </c>
      <c r="G2594" s="307" t="s">
        <v>11</v>
      </c>
      <c r="H2594" s="307" t="s">
        <v>11</v>
      </c>
    </row>
    <row r="2595" spans="1:8" x14ac:dyDescent="0.2">
      <c r="A2595" t="s">
        <v>57</v>
      </c>
      <c r="B2595" t="s">
        <v>112</v>
      </c>
      <c r="C2595" t="s">
        <v>2238</v>
      </c>
      <c r="D2595">
        <v>3</v>
      </c>
      <c r="E2595" s="307">
        <v>3</v>
      </c>
      <c r="F2595" s="307" t="s">
        <v>75</v>
      </c>
      <c r="G2595" s="307" t="s">
        <v>11</v>
      </c>
      <c r="H2595" s="307" t="s">
        <v>11</v>
      </c>
    </row>
    <row r="2596" spans="1:8" x14ac:dyDescent="0.2">
      <c r="A2596" t="s">
        <v>57</v>
      </c>
      <c r="B2596" t="s">
        <v>112</v>
      </c>
      <c r="C2596" t="s">
        <v>1187</v>
      </c>
      <c r="D2596">
        <v>3</v>
      </c>
      <c r="E2596" s="307">
        <v>2</v>
      </c>
      <c r="F2596" s="307" t="s">
        <v>75</v>
      </c>
      <c r="G2596" s="307" t="s">
        <v>11</v>
      </c>
      <c r="H2596" s="307" t="s">
        <v>11</v>
      </c>
    </row>
    <row r="2597" spans="1:8" x14ac:dyDescent="0.2">
      <c r="A2597" t="s">
        <v>57</v>
      </c>
      <c r="B2597" t="s">
        <v>112</v>
      </c>
      <c r="C2597" t="s">
        <v>931</v>
      </c>
      <c r="D2597">
        <v>3</v>
      </c>
      <c r="E2597" s="307">
        <v>3</v>
      </c>
      <c r="F2597" s="307" t="s">
        <v>75</v>
      </c>
      <c r="G2597" s="307" t="s">
        <v>11</v>
      </c>
      <c r="H2597" s="307" t="s">
        <v>11</v>
      </c>
    </row>
    <row r="2598" spans="1:8" x14ac:dyDescent="0.2">
      <c r="A2598" t="s">
        <v>57</v>
      </c>
      <c r="B2598" t="s">
        <v>112</v>
      </c>
      <c r="C2598" t="s">
        <v>1327</v>
      </c>
      <c r="D2598">
        <v>3</v>
      </c>
      <c r="E2598" s="307">
        <v>3</v>
      </c>
      <c r="F2598" s="307" t="s">
        <v>7</v>
      </c>
      <c r="G2598" s="307" t="s">
        <v>115</v>
      </c>
      <c r="H2598" s="307" t="s">
        <v>11</v>
      </c>
    </row>
    <row r="2599" spans="1:8" x14ac:dyDescent="0.2">
      <c r="A2599" t="s">
        <v>57</v>
      </c>
      <c r="B2599" t="s">
        <v>112</v>
      </c>
      <c r="C2599" t="s">
        <v>2239</v>
      </c>
      <c r="D2599">
        <v>3</v>
      </c>
      <c r="E2599" s="307">
        <v>3</v>
      </c>
      <c r="F2599" s="307" t="s">
        <v>7</v>
      </c>
      <c r="G2599" s="307" t="s">
        <v>115</v>
      </c>
      <c r="H2599" s="307" t="s">
        <v>11</v>
      </c>
    </row>
    <row r="2600" spans="1:8" x14ac:dyDescent="0.2">
      <c r="A2600" t="s">
        <v>57</v>
      </c>
      <c r="B2600" t="s">
        <v>112</v>
      </c>
      <c r="C2600" t="s">
        <v>2240</v>
      </c>
      <c r="D2600">
        <v>3</v>
      </c>
      <c r="E2600" s="307">
        <v>2</v>
      </c>
      <c r="F2600" s="307" t="s">
        <v>7</v>
      </c>
      <c r="G2600" s="307" t="s">
        <v>115</v>
      </c>
      <c r="H2600" s="307" t="s">
        <v>11</v>
      </c>
    </row>
    <row r="2601" spans="1:8" x14ac:dyDescent="0.2">
      <c r="A2601" t="s">
        <v>57</v>
      </c>
      <c r="B2601" t="s">
        <v>112</v>
      </c>
      <c r="C2601" t="s">
        <v>1068</v>
      </c>
      <c r="D2601">
        <v>3</v>
      </c>
      <c r="E2601" s="307">
        <v>3</v>
      </c>
      <c r="F2601" s="307" t="s">
        <v>7</v>
      </c>
      <c r="G2601" s="307" t="s">
        <v>11</v>
      </c>
      <c r="H2601" s="307" t="s">
        <v>11</v>
      </c>
    </row>
    <row r="2602" spans="1:8" x14ac:dyDescent="0.2">
      <c r="A2602" t="s">
        <v>57</v>
      </c>
      <c r="B2602" t="s">
        <v>112</v>
      </c>
      <c r="C2602" t="s">
        <v>714</v>
      </c>
      <c r="D2602">
        <v>3</v>
      </c>
      <c r="E2602" s="307">
        <v>2</v>
      </c>
      <c r="F2602" s="307" t="s">
        <v>7</v>
      </c>
      <c r="G2602" s="307" t="s">
        <v>115</v>
      </c>
      <c r="H2602" s="307" t="s">
        <v>11</v>
      </c>
    </row>
    <row r="2603" spans="1:8" x14ac:dyDescent="0.2">
      <c r="A2603" t="s">
        <v>57</v>
      </c>
      <c r="B2603" t="s">
        <v>112</v>
      </c>
      <c r="C2603" t="s">
        <v>2241</v>
      </c>
      <c r="D2603">
        <v>3</v>
      </c>
      <c r="E2603" s="307">
        <v>3</v>
      </c>
      <c r="F2603" s="307" t="s">
        <v>75</v>
      </c>
      <c r="G2603" s="307" t="s">
        <v>11</v>
      </c>
      <c r="H2603" s="307" t="s">
        <v>11</v>
      </c>
    </row>
    <row r="2604" spans="1:8" x14ac:dyDescent="0.2">
      <c r="A2604" t="s">
        <v>57</v>
      </c>
      <c r="B2604" t="s">
        <v>112</v>
      </c>
      <c r="C2604" t="s">
        <v>1069</v>
      </c>
      <c r="D2604">
        <v>2</v>
      </c>
      <c r="E2604" s="307">
        <v>4</v>
      </c>
      <c r="F2604" s="307" t="s">
        <v>75</v>
      </c>
      <c r="G2604" s="307" t="s">
        <v>11</v>
      </c>
      <c r="H2604" s="307" t="s">
        <v>11</v>
      </c>
    </row>
    <row r="2605" spans="1:8" x14ac:dyDescent="0.2">
      <c r="A2605" t="s">
        <v>57</v>
      </c>
      <c r="B2605" t="s">
        <v>112</v>
      </c>
      <c r="C2605" t="s">
        <v>2242</v>
      </c>
      <c r="D2605">
        <v>3</v>
      </c>
      <c r="E2605" s="307">
        <v>3</v>
      </c>
      <c r="F2605" s="307" t="s">
        <v>75</v>
      </c>
      <c r="G2605" s="307" t="s">
        <v>11</v>
      </c>
      <c r="H2605" s="307" t="s">
        <v>11</v>
      </c>
    </row>
    <row r="2606" spans="1:8" x14ac:dyDescent="0.2">
      <c r="A2606" t="s">
        <v>57</v>
      </c>
      <c r="B2606" t="s">
        <v>112</v>
      </c>
      <c r="C2606" t="s">
        <v>2243</v>
      </c>
      <c r="D2606">
        <v>3</v>
      </c>
      <c r="E2606" s="307">
        <v>2</v>
      </c>
      <c r="F2606" s="307" t="s">
        <v>7</v>
      </c>
      <c r="G2606" s="307" t="s">
        <v>115</v>
      </c>
      <c r="H2606" s="307" t="s">
        <v>11</v>
      </c>
    </row>
    <row r="2607" spans="1:8" x14ac:dyDescent="0.2">
      <c r="A2607" t="s">
        <v>57</v>
      </c>
      <c r="B2607" t="s">
        <v>112</v>
      </c>
      <c r="C2607" t="s">
        <v>715</v>
      </c>
      <c r="D2607">
        <v>3</v>
      </c>
      <c r="E2607" s="307">
        <v>3</v>
      </c>
      <c r="F2607" s="307" t="s">
        <v>7</v>
      </c>
      <c r="G2607" s="307" t="s">
        <v>115</v>
      </c>
      <c r="H2607" s="307" t="s">
        <v>11</v>
      </c>
    </row>
    <row r="2608" spans="1:8" x14ac:dyDescent="0.2">
      <c r="A2608" t="s">
        <v>57</v>
      </c>
      <c r="B2608" t="s">
        <v>112</v>
      </c>
      <c r="C2608" t="s">
        <v>2244</v>
      </c>
      <c r="D2608">
        <v>3</v>
      </c>
      <c r="E2608" s="307">
        <v>2</v>
      </c>
      <c r="F2608" s="307" t="s">
        <v>7</v>
      </c>
      <c r="G2608" s="307" t="s">
        <v>115</v>
      </c>
      <c r="H2608" s="307" t="s">
        <v>11</v>
      </c>
    </row>
    <row r="2609" spans="1:8" x14ac:dyDescent="0.2">
      <c r="A2609" t="s">
        <v>57</v>
      </c>
      <c r="B2609" t="s">
        <v>112</v>
      </c>
      <c r="C2609" t="s">
        <v>2245</v>
      </c>
      <c r="D2609">
        <v>3</v>
      </c>
      <c r="E2609" s="307">
        <v>2</v>
      </c>
      <c r="F2609" s="307" t="s">
        <v>75</v>
      </c>
      <c r="G2609" s="307" t="s">
        <v>11</v>
      </c>
      <c r="H2609" s="307" t="s">
        <v>11</v>
      </c>
    </row>
    <row r="2610" spans="1:8" x14ac:dyDescent="0.2">
      <c r="A2610" t="s">
        <v>57</v>
      </c>
      <c r="B2610" t="s">
        <v>112</v>
      </c>
      <c r="C2610" t="s">
        <v>2246</v>
      </c>
      <c r="D2610">
        <v>3</v>
      </c>
      <c r="E2610" s="307">
        <v>3</v>
      </c>
      <c r="F2610" s="307" t="s">
        <v>75</v>
      </c>
      <c r="G2610" s="307" t="s">
        <v>11</v>
      </c>
      <c r="H2610" s="307" t="s">
        <v>11</v>
      </c>
    </row>
    <row r="2611" spans="1:8" x14ac:dyDescent="0.2">
      <c r="A2611" t="s">
        <v>57</v>
      </c>
      <c r="B2611" t="s">
        <v>112</v>
      </c>
      <c r="C2611" t="s">
        <v>2247</v>
      </c>
      <c r="D2611">
        <v>3</v>
      </c>
      <c r="E2611" s="307">
        <v>2</v>
      </c>
      <c r="F2611" s="307" t="s">
        <v>7</v>
      </c>
      <c r="G2611" s="307" t="s">
        <v>115</v>
      </c>
      <c r="H2611" s="307" t="s">
        <v>11</v>
      </c>
    </row>
    <row r="2612" spans="1:8" x14ac:dyDescent="0.2">
      <c r="A2612" t="s">
        <v>57</v>
      </c>
      <c r="B2612" t="s">
        <v>112</v>
      </c>
      <c r="C2612" t="s">
        <v>2248</v>
      </c>
      <c r="D2612">
        <v>2</v>
      </c>
      <c r="E2612" s="307">
        <v>3</v>
      </c>
      <c r="F2612" s="307" t="s">
        <v>75</v>
      </c>
      <c r="G2612" s="307" t="s">
        <v>11</v>
      </c>
      <c r="H2612" s="307" t="s">
        <v>11</v>
      </c>
    </row>
    <row r="2613" spans="1:8" x14ac:dyDescent="0.2">
      <c r="A2613" t="s">
        <v>57</v>
      </c>
      <c r="B2613" t="s">
        <v>112</v>
      </c>
      <c r="C2613" t="s">
        <v>2249</v>
      </c>
      <c r="D2613">
        <v>3</v>
      </c>
      <c r="E2613" s="307">
        <v>3</v>
      </c>
      <c r="F2613" s="307" t="s">
        <v>7</v>
      </c>
      <c r="G2613" s="307" t="s">
        <v>115</v>
      </c>
      <c r="H2613" s="307" t="s">
        <v>11</v>
      </c>
    </row>
    <row r="2614" spans="1:8" x14ac:dyDescent="0.2">
      <c r="A2614" t="s">
        <v>57</v>
      </c>
      <c r="B2614" t="s">
        <v>112</v>
      </c>
      <c r="C2614" t="s">
        <v>2250</v>
      </c>
      <c r="D2614">
        <v>3</v>
      </c>
      <c r="E2614" s="307">
        <v>3</v>
      </c>
      <c r="F2614" s="307" t="s">
        <v>75</v>
      </c>
      <c r="G2614" s="307" t="s">
        <v>11</v>
      </c>
      <c r="H2614" s="307" t="s">
        <v>11</v>
      </c>
    </row>
    <row r="2615" spans="1:8" x14ac:dyDescent="0.2">
      <c r="A2615" t="s">
        <v>57</v>
      </c>
      <c r="B2615" t="s">
        <v>112</v>
      </c>
      <c r="C2615" t="s">
        <v>2251</v>
      </c>
      <c r="D2615">
        <v>3</v>
      </c>
      <c r="E2615" s="307">
        <v>2</v>
      </c>
      <c r="F2615" s="307" t="s">
        <v>7</v>
      </c>
      <c r="G2615" s="307" t="s">
        <v>115</v>
      </c>
      <c r="H2615" s="307" t="s">
        <v>11</v>
      </c>
    </row>
    <row r="2616" spans="1:8" x14ac:dyDescent="0.2">
      <c r="A2616" t="s">
        <v>57</v>
      </c>
      <c r="B2616" t="s">
        <v>112</v>
      </c>
      <c r="C2616" t="s">
        <v>2252</v>
      </c>
      <c r="D2616">
        <v>3</v>
      </c>
      <c r="E2616" s="307">
        <v>2</v>
      </c>
      <c r="F2616" s="307" t="s">
        <v>7</v>
      </c>
      <c r="G2616" s="307" t="s">
        <v>115</v>
      </c>
      <c r="H2616" s="307" t="s">
        <v>11</v>
      </c>
    </row>
    <row r="2617" spans="1:8" x14ac:dyDescent="0.2">
      <c r="A2617" t="s">
        <v>57</v>
      </c>
      <c r="B2617" t="s">
        <v>112</v>
      </c>
      <c r="C2617" t="s">
        <v>1332</v>
      </c>
      <c r="D2617">
        <v>2</v>
      </c>
      <c r="E2617" s="307">
        <v>4</v>
      </c>
      <c r="F2617" s="307" t="s">
        <v>75</v>
      </c>
      <c r="G2617" s="307" t="s">
        <v>11</v>
      </c>
      <c r="H2617" s="307" t="s">
        <v>11</v>
      </c>
    </row>
    <row r="2618" spans="1:8" x14ac:dyDescent="0.2">
      <c r="A2618" t="s">
        <v>57</v>
      </c>
      <c r="B2618" t="s">
        <v>112</v>
      </c>
      <c r="C2618" t="s">
        <v>1403</v>
      </c>
      <c r="D2618">
        <v>3</v>
      </c>
      <c r="E2618" s="307">
        <v>3</v>
      </c>
      <c r="F2618" s="307" t="s">
        <v>7</v>
      </c>
      <c r="G2618" s="307" t="s">
        <v>11</v>
      </c>
      <c r="H2618" s="307" t="s">
        <v>11</v>
      </c>
    </row>
    <row r="2619" spans="1:8" x14ac:dyDescent="0.2">
      <c r="A2619" t="s">
        <v>57</v>
      </c>
      <c r="B2619" t="s">
        <v>112</v>
      </c>
      <c r="C2619" t="s">
        <v>2253</v>
      </c>
      <c r="D2619">
        <v>3</v>
      </c>
      <c r="E2619" s="307">
        <v>3</v>
      </c>
      <c r="F2619" s="307" t="s">
        <v>7</v>
      </c>
      <c r="G2619" s="307" t="s">
        <v>115</v>
      </c>
      <c r="H2619" s="307" t="s">
        <v>11</v>
      </c>
    </row>
    <row r="2620" spans="1:8" x14ac:dyDescent="0.2">
      <c r="A2620" t="s">
        <v>57</v>
      </c>
      <c r="B2620" t="s">
        <v>112</v>
      </c>
      <c r="C2620" t="s">
        <v>2254</v>
      </c>
      <c r="D2620">
        <v>3</v>
      </c>
      <c r="E2620" s="307">
        <v>2</v>
      </c>
      <c r="F2620" s="307" t="s">
        <v>7</v>
      </c>
      <c r="G2620" s="307" t="s">
        <v>115</v>
      </c>
      <c r="H2620" s="307" t="s">
        <v>11</v>
      </c>
    </row>
    <row r="2621" spans="1:8" x14ac:dyDescent="0.2">
      <c r="A2621" t="s">
        <v>57</v>
      </c>
      <c r="B2621" t="s">
        <v>112</v>
      </c>
      <c r="C2621" t="s">
        <v>1830</v>
      </c>
      <c r="D2621">
        <v>3</v>
      </c>
      <c r="E2621" s="307">
        <v>2</v>
      </c>
      <c r="F2621" s="307" t="s">
        <v>7</v>
      </c>
      <c r="G2621" s="307" t="s">
        <v>115</v>
      </c>
      <c r="H2621" s="307" t="s">
        <v>11</v>
      </c>
    </row>
    <row r="2622" spans="1:8" x14ac:dyDescent="0.2">
      <c r="A2622" t="s">
        <v>57</v>
      </c>
      <c r="B2622" t="s">
        <v>112</v>
      </c>
      <c r="C2622" t="s">
        <v>718</v>
      </c>
      <c r="D2622">
        <v>2</v>
      </c>
      <c r="E2622" s="307">
        <v>4</v>
      </c>
      <c r="F2622" s="307" t="s">
        <v>75</v>
      </c>
      <c r="G2622" s="307" t="s">
        <v>11</v>
      </c>
      <c r="H2622" s="307" t="s">
        <v>11</v>
      </c>
    </row>
    <row r="2623" spans="1:8" x14ac:dyDescent="0.2">
      <c r="A2623" t="s">
        <v>57</v>
      </c>
      <c r="B2623" t="s">
        <v>112</v>
      </c>
      <c r="C2623" t="s">
        <v>1078</v>
      </c>
      <c r="D2623">
        <v>3</v>
      </c>
      <c r="E2623" s="307">
        <v>3</v>
      </c>
      <c r="F2623" s="307" t="s">
        <v>75</v>
      </c>
      <c r="G2623" s="307" t="s">
        <v>11</v>
      </c>
      <c r="H2623" s="307" t="s">
        <v>11</v>
      </c>
    </row>
    <row r="2624" spans="1:8" x14ac:dyDescent="0.2">
      <c r="A2624" t="s">
        <v>57</v>
      </c>
      <c r="B2624" t="s">
        <v>112</v>
      </c>
      <c r="C2624" t="s">
        <v>995</v>
      </c>
      <c r="D2624">
        <v>3</v>
      </c>
      <c r="E2624" s="307">
        <v>3</v>
      </c>
      <c r="F2624" s="307" t="s">
        <v>7</v>
      </c>
      <c r="G2624" s="307" t="s">
        <v>115</v>
      </c>
      <c r="H2624" s="307" t="s">
        <v>11</v>
      </c>
    </row>
    <row r="2625" spans="1:8" x14ac:dyDescent="0.2">
      <c r="A2625" t="s">
        <v>57</v>
      </c>
      <c r="B2625" t="s">
        <v>112</v>
      </c>
      <c r="C2625" t="s">
        <v>2255</v>
      </c>
      <c r="D2625">
        <v>2</v>
      </c>
      <c r="E2625" s="307">
        <v>4</v>
      </c>
      <c r="F2625" s="307" t="s">
        <v>75</v>
      </c>
      <c r="G2625" s="307" t="s">
        <v>11</v>
      </c>
      <c r="H2625" s="307" t="s">
        <v>11</v>
      </c>
    </row>
    <row r="2626" spans="1:8" x14ac:dyDescent="0.2">
      <c r="A2626" t="s">
        <v>57</v>
      </c>
      <c r="B2626" t="s">
        <v>112</v>
      </c>
      <c r="C2626" t="s">
        <v>2174</v>
      </c>
      <c r="D2626">
        <v>3</v>
      </c>
      <c r="E2626" s="307">
        <v>3</v>
      </c>
      <c r="F2626" s="307" t="s">
        <v>75</v>
      </c>
      <c r="G2626" s="307" t="s">
        <v>11</v>
      </c>
      <c r="H2626" s="307" t="s">
        <v>11</v>
      </c>
    </row>
    <row r="2627" spans="1:8" x14ac:dyDescent="0.2">
      <c r="A2627" t="s">
        <v>57</v>
      </c>
      <c r="B2627" t="s">
        <v>112</v>
      </c>
      <c r="C2627" t="s">
        <v>1191</v>
      </c>
      <c r="D2627">
        <v>3</v>
      </c>
      <c r="E2627" s="307">
        <v>2</v>
      </c>
      <c r="F2627" s="307" t="s">
        <v>7</v>
      </c>
      <c r="G2627" s="307" t="s">
        <v>115</v>
      </c>
      <c r="H2627" s="307" t="s">
        <v>11</v>
      </c>
    </row>
    <row r="2628" spans="1:8" x14ac:dyDescent="0.2">
      <c r="A2628" t="s">
        <v>57</v>
      </c>
      <c r="B2628" t="s">
        <v>112</v>
      </c>
      <c r="C2628" t="s">
        <v>1081</v>
      </c>
      <c r="D2628">
        <v>3</v>
      </c>
      <c r="E2628" s="307">
        <v>2</v>
      </c>
      <c r="F2628" s="307" t="s">
        <v>7</v>
      </c>
      <c r="G2628" s="307" t="s">
        <v>115</v>
      </c>
      <c r="H2628" s="307" t="s">
        <v>11</v>
      </c>
    </row>
    <row r="2629" spans="1:8" x14ac:dyDescent="0.2">
      <c r="A2629" t="s">
        <v>57</v>
      </c>
      <c r="B2629" t="s">
        <v>112</v>
      </c>
      <c r="C2629" t="s">
        <v>1238</v>
      </c>
      <c r="D2629">
        <v>3</v>
      </c>
      <c r="E2629" s="307">
        <v>3</v>
      </c>
      <c r="F2629" s="307" t="s">
        <v>7</v>
      </c>
      <c r="G2629" s="307" t="s">
        <v>115</v>
      </c>
      <c r="H2629" s="307" t="s">
        <v>11</v>
      </c>
    </row>
    <row r="2630" spans="1:8" x14ac:dyDescent="0.2">
      <c r="A2630" t="s">
        <v>57</v>
      </c>
      <c r="B2630" t="s">
        <v>112</v>
      </c>
      <c r="C2630" t="s">
        <v>2256</v>
      </c>
      <c r="D2630">
        <v>2</v>
      </c>
      <c r="E2630" s="307">
        <v>4</v>
      </c>
      <c r="F2630" s="307" t="s">
        <v>75</v>
      </c>
      <c r="G2630" s="307" t="s">
        <v>11</v>
      </c>
      <c r="H2630" s="307" t="s">
        <v>11</v>
      </c>
    </row>
    <row r="2631" spans="1:8" x14ac:dyDescent="0.2">
      <c r="A2631" t="s">
        <v>57</v>
      </c>
      <c r="B2631" t="s">
        <v>112</v>
      </c>
      <c r="C2631" t="s">
        <v>1337</v>
      </c>
      <c r="D2631">
        <v>3</v>
      </c>
      <c r="E2631" s="307">
        <v>3</v>
      </c>
      <c r="F2631" s="307" t="s">
        <v>75</v>
      </c>
      <c r="G2631" s="307" t="s">
        <v>11</v>
      </c>
      <c r="H2631" s="307" t="s">
        <v>11</v>
      </c>
    </row>
    <row r="2632" spans="1:8" x14ac:dyDescent="0.2">
      <c r="A2632" t="s">
        <v>57</v>
      </c>
      <c r="B2632" t="s">
        <v>112</v>
      </c>
      <c r="C2632" t="s">
        <v>2257</v>
      </c>
      <c r="D2632">
        <v>3</v>
      </c>
      <c r="E2632" s="307">
        <v>2</v>
      </c>
      <c r="F2632" s="307" t="s">
        <v>7</v>
      </c>
      <c r="G2632" s="307" t="s">
        <v>115</v>
      </c>
      <c r="H2632" s="307" t="s">
        <v>11</v>
      </c>
    </row>
    <row r="2633" spans="1:8" x14ac:dyDescent="0.2">
      <c r="A2633" t="s">
        <v>57</v>
      </c>
      <c r="B2633" t="s">
        <v>112</v>
      </c>
      <c r="C2633" t="s">
        <v>2258</v>
      </c>
      <c r="D2633">
        <v>2</v>
      </c>
      <c r="E2633" s="307">
        <v>3</v>
      </c>
      <c r="F2633" s="307" t="s">
        <v>75</v>
      </c>
      <c r="G2633" s="307" t="s">
        <v>11</v>
      </c>
      <c r="H2633" s="307" t="s">
        <v>11</v>
      </c>
    </row>
    <row r="2634" spans="1:8" x14ac:dyDescent="0.2">
      <c r="A2634" t="s">
        <v>57</v>
      </c>
      <c r="B2634" t="s">
        <v>112</v>
      </c>
      <c r="C2634" t="s">
        <v>1192</v>
      </c>
      <c r="D2634">
        <v>3</v>
      </c>
      <c r="E2634" s="307">
        <v>3</v>
      </c>
      <c r="F2634" s="307" t="s">
        <v>7</v>
      </c>
      <c r="G2634" s="307" t="s">
        <v>115</v>
      </c>
      <c r="H2634" s="307" t="s">
        <v>11</v>
      </c>
    </row>
    <row r="2635" spans="1:8" x14ac:dyDescent="0.2">
      <c r="A2635" t="s">
        <v>57</v>
      </c>
      <c r="B2635" t="s">
        <v>112</v>
      </c>
      <c r="C2635" t="s">
        <v>1832</v>
      </c>
      <c r="D2635">
        <v>3</v>
      </c>
      <c r="E2635" s="307">
        <v>2</v>
      </c>
      <c r="F2635" s="307" t="s">
        <v>7</v>
      </c>
      <c r="G2635" s="307" t="s">
        <v>115</v>
      </c>
      <c r="H2635" s="307" t="s">
        <v>11</v>
      </c>
    </row>
    <row r="2636" spans="1:8" x14ac:dyDescent="0.2">
      <c r="A2636" t="s">
        <v>57</v>
      </c>
      <c r="B2636" t="s">
        <v>112</v>
      </c>
      <c r="C2636" t="s">
        <v>1731</v>
      </c>
      <c r="D2636">
        <v>3</v>
      </c>
      <c r="E2636" s="307">
        <v>2</v>
      </c>
      <c r="F2636" s="307" t="s">
        <v>7</v>
      </c>
      <c r="G2636" s="307" t="s">
        <v>115</v>
      </c>
      <c r="H2636" s="307" t="s">
        <v>11</v>
      </c>
    </row>
    <row r="2637" spans="1:8" x14ac:dyDescent="0.2">
      <c r="A2637" t="s">
        <v>57</v>
      </c>
      <c r="B2637" t="s">
        <v>112</v>
      </c>
      <c r="C2637" t="s">
        <v>2259</v>
      </c>
      <c r="D2637">
        <v>2</v>
      </c>
      <c r="E2637" s="307">
        <v>4</v>
      </c>
      <c r="F2637" s="307" t="s">
        <v>75</v>
      </c>
      <c r="G2637" s="307" t="s">
        <v>11</v>
      </c>
      <c r="H2637" s="307" t="s">
        <v>11</v>
      </c>
    </row>
    <row r="2638" spans="1:8" x14ac:dyDescent="0.2">
      <c r="A2638" t="s">
        <v>57</v>
      </c>
      <c r="B2638" t="s">
        <v>112</v>
      </c>
      <c r="C2638" t="s">
        <v>2260</v>
      </c>
      <c r="D2638">
        <v>3</v>
      </c>
      <c r="E2638" s="307">
        <v>3</v>
      </c>
      <c r="F2638" s="307" t="s">
        <v>7</v>
      </c>
      <c r="G2638" s="307" t="s">
        <v>115</v>
      </c>
      <c r="H2638" s="307" t="s">
        <v>11</v>
      </c>
    </row>
    <row r="2639" spans="1:8" x14ac:dyDescent="0.2">
      <c r="A2639" t="s">
        <v>57</v>
      </c>
      <c r="B2639" t="s">
        <v>112</v>
      </c>
      <c r="C2639" t="s">
        <v>1408</v>
      </c>
      <c r="D2639">
        <v>3</v>
      </c>
      <c r="E2639" s="307">
        <v>3</v>
      </c>
      <c r="F2639" s="307" t="s">
        <v>7</v>
      </c>
      <c r="G2639" s="307" t="s">
        <v>115</v>
      </c>
      <c r="H2639" s="307" t="s">
        <v>11</v>
      </c>
    </row>
    <row r="2640" spans="1:8" x14ac:dyDescent="0.2">
      <c r="A2640" t="s">
        <v>57</v>
      </c>
      <c r="B2640" t="s">
        <v>112</v>
      </c>
      <c r="C2640" t="s">
        <v>720</v>
      </c>
      <c r="D2640">
        <v>3</v>
      </c>
      <c r="E2640" s="307">
        <v>2</v>
      </c>
      <c r="F2640" s="307" t="s">
        <v>7</v>
      </c>
      <c r="G2640" s="307" t="s">
        <v>115</v>
      </c>
      <c r="H2640" s="307" t="s">
        <v>11</v>
      </c>
    </row>
    <row r="2641" spans="1:8" x14ac:dyDescent="0.2">
      <c r="A2641" t="s">
        <v>57</v>
      </c>
      <c r="B2641" t="s">
        <v>112</v>
      </c>
      <c r="C2641" t="s">
        <v>822</v>
      </c>
      <c r="D2641">
        <v>3</v>
      </c>
      <c r="E2641" s="307">
        <v>3</v>
      </c>
      <c r="F2641" s="307" t="s">
        <v>75</v>
      </c>
      <c r="G2641" s="307" t="s">
        <v>11</v>
      </c>
      <c r="H2641" s="307" t="s">
        <v>11</v>
      </c>
    </row>
    <row r="2642" spans="1:8" x14ac:dyDescent="0.2">
      <c r="A2642" t="s">
        <v>57</v>
      </c>
      <c r="B2642" t="s">
        <v>112</v>
      </c>
      <c r="C2642" t="s">
        <v>2261</v>
      </c>
      <c r="D2642">
        <v>2</v>
      </c>
      <c r="E2642" s="307">
        <v>3</v>
      </c>
      <c r="F2642" s="307" t="s">
        <v>75</v>
      </c>
      <c r="G2642" s="307" t="s">
        <v>11</v>
      </c>
      <c r="H2642" s="307" t="s">
        <v>11</v>
      </c>
    </row>
    <row r="2643" spans="1:8" x14ac:dyDescent="0.2">
      <c r="A2643" t="s">
        <v>57</v>
      </c>
      <c r="B2643" t="s">
        <v>112</v>
      </c>
      <c r="C2643" t="s">
        <v>2262</v>
      </c>
      <c r="D2643">
        <v>3</v>
      </c>
      <c r="E2643" s="307">
        <v>3</v>
      </c>
      <c r="F2643" s="307" t="s">
        <v>7</v>
      </c>
      <c r="G2643" s="307" t="s">
        <v>115</v>
      </c>
      <c r="H2643" s="307" t="s">
        <v>11</v>
      </c>
    </row>
    <row r="2644" spans="1:8" x14ac:dyDescent="0.2">
      <c r="A2644" t="s">
        <v>57</v>
      </c>
      <c r="B2644" t="s">
        <v>112</v>
      </c>
      <c r="C2644" t="s">
        <v>2145</v>
      </c>
      <c r="D2644">
        <v>2</v>
      </c>
      <c r="E2644" s="307">
        <v>4</v>
      </c>
      <c r="F2644" s="307" t="s">
        <v>75</v>
      </c>
      <c r="G2644" s="307" t="s">
        <v>11</v>
      </c>
      <c r="H2644" s="307" t="s">
        <v>11</v>
      </c>
    </row>
    <row r="2645" spans="1:8" x14ac:dyDescent="0.2">
      <c r="A2645" t="s">
        <v>57</v>
      </c>
      <c r="B2645" t="s">
        <v>112</v>
      </c>
      <c r="C2645" t="s">
        <v>2263</v>
      </c>
      <c r="D2645">
        <v>3</v>
      </c>
      <c r="E2645" s="307">
        <v>3</v>
      </c>
      <c r="F2645" s="307" t="s">
        <v>75</v>
      </c>
      <c r="G2645" s="307" t="s">
        <v>11</v>
      </c>
      <c r="H2645" s="307" t="s">
        <v>11</v>
      </c>
    </row>
    <row r="2646" spans="1:8" x14ac:dyDescent="0.2">
      <c r="A2646" t="s">
        <v>57</v>
      </c>
      <c r="B2646" t="s">
        <v>112</v>
      </c>
      <c r="C2646" t="s">
        <v>2264</v>
      </c>
      <c r="D2646">
        <v>3</v>
      </c>
      <c r="E2646" s="307">
        <v>3</v>
      </c>
      <c r="F2646" s="307" t="s">
        <v>7</v>
      </c>
      <c r="G2646" s="307" t="s">
        <v>11</v>
      </c>
      <c r="H2646" s="307" t="s">
        <v>11</v>
      </c>
    </row>
    <row r="2647" spans="1:8" x14ac:dyDescent="0.2">
      <c r="A2647" t="s">
        <v>57</v>
      </c>
      <c r="B2647" t="s">
        <v>112</v>
      </c>
      <c r="C2647" t="s">
        <v>721</v>
      </c>
      <c r="D2647">
        <v>3</v>
      </c>
      <c r="E2647" s="307">
        <v>2</v>
      </c>
      <c r="F2647" s="307" t="s">
        <v>7</v>
      </c>
      <c r="G2647" s="307" t="s">
        <v>115</v>
      </c>
      <c r="H2647" s="307" t="s">
        <v>11</v>
      </c>
    </row>
    <row r="2648" spans="1:8" x14ac:dyDescent="0.2">
      <c r="A2648" t="s">
        <v>57</v>
      </c>
      <c r="B2648" t="s">
        <v>112</v>
      </c>
      <c r="C2648" t="s">
        <v>1085</v>
      </c>
      <c r="D2648">
        <v>3</v>
      </c>
      <c r="E2648" s="307">
        <v>2</v>
      </c>
      <c r="F2648" s="307" t="s">
        <v>7</v>
      </c>
      <c r="G2648" s="307" t="s">
        <v>115</v>
      </c>
      <c r="H2648" s="307" t="s">
        <v>11</v>
      </c>
    </row>
    <row r="2649" spans="1:8" x14ac:dyDescent="0.2">
      <c r="A2649" t="s">
        <v>57</v>
      </c>
      <c r="B2649" t="s">
        <v>112</v>
      </c>
      <c r="C2649" t="s">
        <v>1086</v>
      </c>
      <c r="D2649">
        <v>2</v>
      </c>
      <c r="E2649" s="307">
        <v>3</v>
      </c>
      <c r="F2649" s="307" t="s">
        <v>75</v>
      </c>
      <c r="G2649" s="307" t="s">
        <v>11</v>
      </c>
      <c r="H2649" s="307" t="s">
        <v>11</v>
      </c>
    </row>
    <row r="2650" spans="1:8" x14ac:dyDescent="0.2">
      <c r="A2650" t="s">
        <v>57</v>
      </c>
      <c r="B2650" t="s">
        <v>112</v>
      </c>
      <c r="C2650" t="s">
        <v>722</v>
      </c>
      <c r="D2650">
        <v>3</v>
      </c>
      <c r="E2650" s="307">
        <v>2</v>
      </c>
      <c r="F2650" s="307" t="s">
        <v>7</v>
      </c>
      <c r="G2650" s="307" t="s">
        <v>115</v>
      </c>
      <c r="H2650" s="307" t="s">
        <v>11</v>
      </c>
    </row>
    <row r="2651" spans="1:8" x14ac:dyDescent="0.2">
      <c r="A2651" t="s">
        <v>57</v>
      </c>
      <c r="B2651" t="s">
        <v>112</v>
      </c>
      <c r="C2651" t="s">
        <v>2265</v>
      </c>
      <c r="D2651">
        <v>3</v>
      </c>
      <c r="E2651" s="307">
        <v>2</v>
      </c>
      <c r="F2651" s="307" t="s">
        <v>7</v>
      </c>
      <c r="G2651" s="307" t="s">
        <v>115</v>
      </c>
      <c r="H2651" s="307" t="s">
        <v>11</v>
      </c>
    </row>
    <row r="2652" spans="1:8" x14ac:dyDescent="0.2">
      <c r="A2652" t="s">
        <v>57</v>
      </c>
      <c r="B2652" t="s">
        <v>112</v>
      </c>
      <c r="C2652" t="s">
        <v>2266</v>
      </c>
      <c r="D2652">
        <v>3</v>
      </c>
      <c r="E2652" s="307">
        <v>2</v>
      </c>
      <c r="F2652" s="307" t="s">
        <v>7</v>
      </c>
      <c r="G2652" s="307" t="s">
        <v>115</v>
      </c>
      <c r="H2652" s="307" t="s">
        <v>11</v>
      </c>
    </row>
    <row r="2653" spans="1:8" x14ac:dyDescent="0.2">
      <c r="A2653" t="s">
        <v>57</v>
      </c>
      <c r="B2653" t="s">
        <v>112</v>
      </c>
      <c r="C2653" t="s">
        <v>825</v>
      </c>
      <c r="D2653">
        <v>3</v>
      </c>
      <c r="E2653" s="307">
        <v>3</v>
      </c>
      <c r="F2653" s="307" t="s">
        <v>7</v>
      </c>
      <c r="G2653" s="307" t="s">
        <v>115</v>
      </c>
      <c r="H2653" s="307" t="s">
        <v>11</v>
      </c>
    </row>
    <row r="2654" spans="1:8" x14ac:dyDescent="0.2">
      <c r="A2654" t="s">
        <v>57</v>
      </c>
      <c r="B2654" t="s">
        <v>112</v>
      </c>
      <c r="C2654" t="s">
        <v>1088</v>
      </c>
      <c r="D2654">
        <v>3</v>
      </c>
      <c r="E2654" s="307">
        <v>3</v>
      </c>
      <c r="F2654" s="307" t="s">
        <v>75</v>
      </c>
      <c r="G2654" s="307" t="s">
        <v>11</v>
      </c>
      <c r="H2654" s="307" t="s">
        <v>11</v>
      </c>
    </row>
    <row r="2655" spans="1:8" x14ac:dyDescent="0.2">
      <c r="A2655" t="s">
        <v>57</v>
      </c>
      <c r="B2655" t="s">
        <v>112</v>
      </c>
      <c r="C2655" t="s">
        <v>2267</v>
      </c>
      <c r="D2655">
        <v>3</v>
      </c>
      <c r="E2655" s="307">
        <v>2</v>
      </c>
      <c r="F2655" s="307" t="s">
        <v>7</v>
      </c>
      <c r="G2655" s="307" t="s">
        <v>115</v>
      </c>
      <c r="H2655" s="307" t="s">
        <v>11</v>
      </c>
    </row>
    <row r="2656" spans="1:8" x14ac:dyDescent="0.2">
      <c r="A2656" t="s">
        <v>57</v>
      </c>
      <c r="B2656" t="s">
        <v>112</v>
      </c>
      <c r="C2656" t="s">
        <v>2268</v>
      </c>
      <c r="D2656">
        <v>3</v>
      </c>
      <c r="E2656" s="307">
        <v>3</v>
      </c>
      <c r="F2656" s="307" t="s">
        <v>7</v>
      </c>
      <c r="G2656" s="307" t="s">
        <v>115</v>
      </c>
      <c r="H2656" s="307" t="s">
        <v>11</v>
      </c>
    </row>
    <row r="2657" spans="1:8" x14ac:dyDescent="0.2">
      <c r="A2657" t="s">
        <v>57</v>
      </c>
      <c r="B2657" t="s">
        <v>112</v>
      </c>
      <c r="C2657" t="s">
        <v>1198</v>
      </c>
      <c r="D2657">
        <v>3</v>
      </c>
      <c r="E2657" s="307">
        <v>3</v>
      </c>
      <c r="F2657" s="307" t="s">
        <v>7</v>
      </c>
      <c r="G2657" s="307" t="s">
        <v>115</v>
      </c>
      <c r="H2657" s="307" t="s">
        <v>11</v>
      </c>
    </row>
    <row r="2658" spans="1:8" x14ac:dyDescent="0.2">
      <c r="A2658" t="s">
        <v>57</v>
      </c>
      <c r="B2658" t="s">
        <v>112</v>
      </c>
      <c r="C2658" t="s">
        <v>2269</v>
      </c>
      <c r="D2658">
        <v>3</v>
      </c>
      <c r="E2658" s="307">
        <v>2</v>
      </c>
      <c r="F2658" s="307" t="s">
        <v>7</v>
      </c>
      <c r="G2658" s="307" t="s">
        <v>115</v>
      </c>
      <c r="H2658" s="307" t="s">
        <v>11</v>
      </c>
    </row>
    <row r="2659" spans="1:8" x14ac:dyDescent="0.2">
      <c r="A2659" t="s">
        <v>57</v>
      </c>
      <c r="B2659" t="s">
        <v>112</v>
      </c>
      <c r="C2659" t="s">
        <v>974</v>
      </c>
      <c r="D2659">
        <v>3</v>
      </c>
      <c r="E2659" s="307">
        <v>3</v>
      </c>
      <c r="F2659" s="307" t="s">
        <v>75</v>
      </c>
      <c r="G2659" s="307" t="s">
        <v>11</v>
      </c>
      <c r="H2659" s="307" t="s">
        <v>11</v>
      </c>
    </row>
    <row r="2660" spans="1:8" x14ac:dyDescent="0.2">
      <c r="A2660" t="s">
        <v>57</v>
      </c>
      <c r="B2660" t="s">
        <v>112</v>
      </c>
      <c r="C2660" t="s">
        <v>2270</v>
      </c>
      <c r="D2660">
        <v>3</v>
      </c>
      <c r="E2660" s="307">
        <v>3</v>
      </c>
      <c r="F2660" s="307" t="s">
        <v>75</v>
      </c>
      <c r="G2660" s="307" t="s">
        <v>11</v>
      </c>
      <c r="H2660" s="307" t="s">
        <v>11</v>
      </c>
    </row>
    <row r="2661" spans="1:8" x14ac:dyDescent="0.2">
      <c r="A2661" t="s">
        <v>57</v>
      </c>
      <c r="B2661" t="s">
        <v>112</v>
      </c>
      <c r="C2661" t="s">
        <v>2271</v>
      </c>
      <c r="D2661">
        <v>3</v>
      </c>
      <c r="E2661" s="307">
        <v>3</v>
      </c>
      <c r="F2661" s="307" t="s">
        <v>75</v>
      </c>
      <c r="G2661" s="307" t="s">
        <v>11</v>
      </c>
      <c r="H2661" s="307" t="s">
        <v>11</v>
      </c>
    </row>
    <row r="2662" spans="1:8" x14ac:dyDescent="0.2">
      <c r="A2662" t="s">
        <v>57</v>
      </c>
      <c r="B2662" t="s">
        <v>112</v>
      </c>
      <c r="C2662" t="s">
        <v>2272</v>
      </c>
      <c r="D2662">
        <v>3</v>
      </c>
      <c r="E2662" s="307">
        <v>3</v>
      </c>
      <c r="F2662" s="307" t="s">
        <v>75</v>
      </c>
      <c r="G2662" s="307" t="s">
        <v>11</v>
      </c>
      <c r="H2662" s="307" t="s">
        <v>11</v>
      </c>
    </row>
    <row r="2663" spans="1:8" x14ac:dyDescent="0.2">
      <c r="A2663" t="s">
        <v>57</v>
      </c>
      <c r="B2663" t="s">
        <v>112</v>
      </c>
      <c r="C2663" t="s">
        <v>2273</v>
      </c>
      <c r="D2663">
        <v>3</v>
      </c>
      <c r="E2663" s="307">
        <v>2</v>
      </c>
      <c r="F2663" s="307" t="s">
        <v>75</v>
      </c>
      <c r="G2663" s="307" t="s">
        <v>11</v>
      </c>
      <c r="H2663" s="307" t="s">
        <v>11</v>
      </c>
    </row>
    <row r="2664" spans="1:8" x14ac:dyDescent="0.2">
      <c r="A2664" t="s">
        <v>57</v>
      </c>
      <c r="B2664" t="s">
        <v>112</v>
      </c>
      <c r="C2664" t="s">
        <v>2274</v>
      </c>
      <c r="D2664">
        <v>3</v>
      </c>
      <c r="E2664" s="307">
        <v>2</v>
      </c>
      <c r="F2664" s="307" t="s">
        <v>7</v>
      </c>
      <c r="G2664" s="307" t="s">
        <v>115</v>
      </c>
      <c r="H2664" s="307" t="s">
        <v>11</v>
      </c>
    </row>
    <row r="2665" spans="1:8" x14ac:dyDescent="0.2">
      <c r="A2665" t="s">
        <v>57</v>
      </c>
      <c r="B2665" t="s">
        <v>112</v>
      </c>
      <c r="C2665" t="s">
        <v>1199</v>
      </c>
      <c r="D2665">
        <v>3</v>
      </c>
      <c r="E2665" s="307">
        <v>3</v>
      </c>
      <c r="F2665" s="307" t="s">
        <v>75</v>
      </c>
      <c r="G2665" s="307" t="s">
        <v>11</v>
      </c>
      <c r="H2665" s="307" t="s">
        <v>11</v>
      </c>
    </row>
    <row r="2666" spans="1:8" x14ac:dyDescent="0.2">
      <c r="A2666" t="s">
        <v>57</v>
      </c>
      <c r="B2666" t="s">
        <v>112</v>
      </c>
      <c r="C2666" t="s">
        <v>1200</v>
      </c>
      <c r="D2666">
        <v>3</v>
      </c>
      <c r="E2666" s="307">
        <v>2</v>
      </c>
      <c r="F2666" s="307" t="s">
        <v>75</v>
      </c>
      <c r="G2666" s="307" t="s">
        <v>11</v>
      </c>
      <c r="H2666" s="307" t="s">
        <v>11</v>
      </c>
    </row>
    <row r="2667" spans="1:8" x14ac:dyDescent="0.2">
      <c r="A2667" t="s">
        <v>57</v>
      </c>
      <c r="B2667" t="s">
        <v>112</v>
      </c>
      <c r="C2667" t="s">
        <v>723</v>
      </c>
      <c r="D2667">
        <v>3</v>
      </c>
      <c r="E2667" s="307">
        <v>3</v>
      </c>
      <c r="F2667" s="307" t="s">
        <v>7</v>
      </c>
      <c r="G2667" s="307" t="s">
        <v>115</v>
      </c>
      <c r="H2667" s="307" t="s">
        <v>11</v>
      </c>
    </row>
    <row r="2668" spans="1:8" x14ac:dyDescent="0.2">
      <c r="A2668" t="s">
        <v>57</v>
      </c>
      <c r="B2668" t="s">
        <v>112</v>
      </c>
      <c r="C2668" t="s">
        <v>2275</v>
      </c>
      <c r="D2668">
        <v>2</v>
      </c>
      <c r="E2668" s="307">
        <v>4</v>
      </c>
      <c r="F2668" s="307" t="s">
        <v>75</v>
      </c>
      <c r="G2668" s="307" t="s">
        <v>11</v>
      </c>
      <c r="H2668" s="307" t="s">
        <v>11</v>
      </c>
    </row>
    <row r="2669" spans="1:8" x14ac:dyDescent="0.2">
      <c r="A2669" t="s">
        <v>57</v>
      </c>
      <c r="B2669" t="s">
        <v>112</v>
      </c>
      <c r="C2669" t="s">
        <v>2276</v>
      </c>
      <c r="D2669">
        <v>3</v>
      </c>
      <c r="E2669" s="307">
        <v>3</v>
      </c>
      <c r="F2669" s="307" t="s">
        <v>7</v>
      </c>
      <c r="G2669" s="307" t="s">
        <v>115</v>
      </c>
      <c r="H2669" s="307" t="s">
        <v>11</v>
      </c>
    </row>
    <row r="2670" spans="1:8" x14ac:dyDescent="0.2">
      <c r="A2670" t="s">
        <v>57</v>
      </c>
      <c r="B2670" t="s">
        <v>112</v>
      </c>
      <c r="C2670" t="s">
        <v>2277</v>
      </c>
      <c r="D2670">
        <v>3</v>
      </c>
      <c r="E2670" s="307">
        <v>2</v>
      </c>
      <c r="F2670" s="307" t="s">
        <v>7</v>
      </c>
      <c r="G2670" s="307" t="s">
        <v>115</v>
      </c>
      <c r="H2670" s="307" t="s">
        <v>11</v>
      </c>
    </row>
    <row r="2671" spans="1:8" x14ac:dyDescent="0.2">
      <c r="A2671" t="s">
        <v>57</v>
      </c>
      <c r="B2671" t="s">
        <v>112</v>
      </c>
      <c r="C2671" t="s">
        <v>726</v>
      </c>
      <c r="D2671">
        <v>3</v>
      </c>
      <c r="E2671" s="307">
        <v>2</v>
      </c>
      <c r="F2671" s="307" t="s">
        <v>7</v>
      </c>
      <c r="G2671" s="307" t="s">
        <v>115</v>
      </c>
      <c r="H2671" s="307" t="s">
        <v>11</v>
      </c>
    </row>
    <row r="2672" spans="1:8" x14ac:dyDescent="0.2">
      <c r="A2672" t="s">
        <v>57</v>
      </c>
      <c r="B2672" t="s">
        <v>112</v>
      </c>
      <c r="C2672" t="s">
        <v>1003</v>
      </c>
      <c r="D2672">
        <v>3</v>
      </c>
      <c r="E2672" s="307">
        <v>2</v>
      </c>
      <c r="F2672" s="307" t="s">
        <v>7</v>
      </c>
      <c r="G2672" s="307" t="s">
        <v>115</v>
      </c>
      <c r="H2672" s="307" t="s">
        <v>11</v>
      </c>
    </row>
    <row r="2673" spans="1:8" x14ac:dyDescent="0.2">
      <c r="A2673" t="s">
        <v>57</v>
      </c>
      <c r="B2673" t="s">
        <v>112</v>
      </c>
      <c r="C2673" t="s">
        <v>1005</v>
      </c>
      <c r="D2673">
        <v>3</v>
      </c>
      <c r="E2673" s="307">
        <v>2</v>
      </c>
      <c r="F2673" s="307" t="s">
        <v>7</v>
      </c>
      <c r="G2673" s="307" t="s">
        <v>115</v>
      </c>
      <c r="H2673" s="307" t="s">
        <v>11</v>
      </c>
    </row>
    <row r="2674" spans="1:8" x14ac:dyDescent="0.2">
      <c r="A2674" t="s">
        <v>57</v>
      </c>
      <c r="B2674" t="s">
        <v>112</v>
      </c>
      <c r="C2674" t="s">
        <v>727</v>
      </c>
      <c r="D2674">
        <v>3</v>
      </c>
      <c r="E2674" s="307">
        <v>2</v>
      </c>
      <c r="F2674" s="307" t="s">
        <v>7</v>
      </c>
      <c r="G2674" s="307" t="s">
        <v>115</v>
      </c>
      <c r="H2674" s="307" t="s">
        <v>11</v>
      </c>
    </row>
    <row r="2675" spans="1:8" x14ac:dyDescent="0.2">
      <c r="A2675" t="s">
        <v>57</v>
      </c>
      <c r="B2675" t="s">
        <v>112</v>
      </c>
      <c r="C2675" t="s">
        <v>2278</v>
      </c>
      <c r="D2675">
        <v>2</v>
      </c>
      <c r="E2675" s="307">
        <v>4</v>
      </c>
      <c r="F2675" s="307" t="s">
        <v>75</v>
      </c>
      <c r="G2675" s="307" t="s">
        <v>11</v>
      </c>
      <c r="H2675" s="307" t="s">
        <v>11</v>
      </c>
    </row>
    <row r="2676" spans="1:8" x14ac:dyDescent="0.2">
      <c r="A2676" t="s">
        <v>57</v>
      </c>
      <c r="B2676" t="s">
        <v>112</v>
      </c>
      <c r="C2676" t="s">
        <v>2279</v>
      </c>
      <c r="D2676">
        <v>3</v>
      </c>
      <c r="E2676" s="307">
        <v>2</v>
      </c>
      <c r="F2676" s="307" t="s">
        <v>7</v>
      </c>
      <c r="G2676" s="307" t="s">
        <v>115</v>
      </c>
      <c r="H2676" s="307" t="s">
        <v>11</v>
      </c>
    </row>
    <row r="2677" spans="1:8" x14ac:dyDescent="0.2">
      <c r="A2677" t="s">
        <v>57</v>
      </c>
      <c r="B2677" t="s">
        <v>112</v>
      </c>
      <c r="C2677" t="s">
        <v>2280</v>
      </c>
      <c r="D2677">
        <v>2</v>
      </c>
      <c r="E2677" s="307">
        <v>3</v>
      </c>
      <c r="F2677" s="307" t="s">
        <v>7</v>
      </c>
      <c r="G2677" s="307" t="s">
        <v>115</v>
      </c>
      <c r="H2677" s="307" t="s">
        <v>11</v>
      </c>
    </row>
    <row r="2678" spans="1:8" x14ac:dyDescent="0.2">
      <c r="A2678" t="s">
        <v>57</v>
      </c>
      <c r="B2678" t="s">
        <v>112</v>
      </c>
      <c r="C2678" t="s">
        <v>2281</v>
      </c>
      <c r="D2678">
        <v>3</v>
      </c>
      <c r="E2678" s="307">
        <v>3</v>
      </c>
      <c r="F2678" s="307" t="s">
        <v>75</v>
      </c>
      <c r="G2678" s="307" t="s">
        <v>11</v>
      </c>
      <c r="H2678" s="307" t="s">
        <v>11</v>
      </c>
    </row>
    <row r="2679" spans="1:8" x14ac:dyDescent="0.2">
      <c r="A2679" t="s">
        <v>57</v>
      </c>
      <c r="B2679" t="s">
        <v>112</v>
      </c>
      <c r="C2679" t="s">
        <v>2282</v>
      </c>
      <c r="D2679">
        <v>2</v>
      </c>
      <c r="E2679" s="307">
        <v>3</v>
      </c>
      <c r="F2679" s="307" t="s">
        <v>75</v>
      </c>
      <c r="G2679" s="307" t="s">
        <v>11</v>
      </c>
      <c r="H2679" s="307" t="s">
        <v>11</v>
      </c>
    </row>
    <row r="2680" spans="1:8" x14ac:dyDescent="0.2">
      <c r="A2680" t="s">
        <v>57</v>
      </c>
      <c r="B2680" t="s">
        <v>112</v>
      </c>
      <c r="C2680" t="s">
        <v>2283</v>
      </c>
      <c r="D2680">
        <v>2</v>
      </c>
      <c r="E2680" s="307">
        <v>3</v>
      </c>
      <c r="F2680" s="307" t="s">
        <v>75</v>
      </c>
      <c r="G2680" s="307" t="s">
        <v>11</v>
      </c>
      <c r="H2680" s="307" t="s">
        <v>11</v>
      </c>
    </row>
    <row r="2681" spans="1:8" x14ac:dyDescent="0.2">
      <c r="A2681" t="s">
        <v>57</v>
      </c>
      <c r="B2681" t="s">
        <v>112</v>
      </c>
      <c r="C2681" t="s">
        <v>730</v>
      </c>
      <c r="D2681">
        <v>3</v>
      </c>
      <c r="E2681" s="307">
        <v>2</v>
      </c>
      <c r="F2681" s="307" t="s">
        <v>7</v>
      </c>
      <c r="G2681" s="307" t="s">
        <v>115</v>
      </c>
      <c r="H2681" s="307" t="s">
        <v>11</v>
      </c>
    </row>
    <row r="2682" spans="1:8" x14ac:dyDescent="0.2">
      <c r="A2682" t="s">
        <v>57</v>
      </c>
      <c r="B2682" t="s">
        <v>112</v>
      </c>
      <c r="C2682" t="s">
        <v>732</v>
      </c>
      <c r="D2682">
        <v>3</v>
      </c>
      <c r="E2682" s="307">
        <v>3</v>
      </c>
      <c r="F2682" s="307" t="s">
        <v>7</v>
      </c>
      <c r="G2682" s="307" t="s">
        <v>115</v>
      </c>
      <c r="H2682" s="307" t="s">
        <v>11</v>
      </c>
    </row>
    <row r="2683" spans="1:8" x14ac:dyDescent="0.2">
      <c r="A2683" t="s">
        <v>57</v>
      </c>
      <c r="B2683" t="s">
        <v>112</v>
      </c>
      <c r="C2683" t="s">
        <v>1007</v>
      </c>
      <c r="D2683">
        <v>3</v>
      </c>
      <c r="E2683" s="307">
        <v>3</v>
      </c>
      <c r="F2683" s="307" t="s">
        <v>75</v>
      </c>
      <c r="G2683" s="307" t="s">
        <v>11</v>
      </c>
      <c r="H2683" s="307" t="s">
        <v>11</v>
      </c>
    </row>
    <row r="2684" spans="1:8" x14ac:dyDescent="0.2">
      <c r="A2684" t="s">
        <v>57</v>
      </c>
      <c r="B2684" t="s">
        <v>112</v>
      </c>
      <c r="C2684" t="s">
        <v>1203</v>
      </c>
      <c r="D2684">
        <v>2</v>
      </c>
      <c r="E2684" s="307">
        <v>3</v>
      </c>
      <c r="F2684" s="307" t="s">
        <v>75</v>
      </c>
      <c r="G2684" s="307" t="s">
        <v>11</v>
      </c>
      <c r="H2684" s="307" t="s">
        <v>11</v>
      </c>
    </row>
    <row r="2685" spans="1:8" x14ac:dyDescent="0.2">
      <c r="A2685" t="s">
        <v>57</v>
      </c>
      <c r="B2685" t="s">
        <v>112</v>
      </c>
      <c r="C2685" t="s">
        <v>2284</v>
      </c>
      <c r="D2685">
        <v>3</v>
      </c>
      <c r="E2685" s="307">
        <v>2</v>
      </c>
      <c r="F2685" s="307" t="s">
        <v>7</v>
      </c>
      <c r="G2685" s="307" t="s">
        <v>115</v>
      </c>
      <c r="H2685" s="307" t="s">
        <v>11</v>
      </c>
    </row>
    <row r="2686" spans="1:8" x14ac:dyDescent="0.2">
      <c r="A2686" t="s">
        <v>57</v>
      </c>
      <c r="B2686" t="s">
        <v>112</v>
      </c>
      <c r="C2686" t="s">
        <v>2285</v>
      </c>
      <c r="D2686">
        <v>3</v>
      </c>
      <c r="E2686" s="307">
        <v>2</v>
      </c>
      <c r="F2686" s="307" t="s">
        <v>75</v>
      </c>
      <c r="G2686" s="307" t="s">
        <v>11</v>
      </c>
      <c r="H2686" s="307" t="s">
        <v>11</v>
      </c>
    </row>
    <row r="2687" spans="1:8" x14ac:dyDescent="0.2">
      <c r="A2687" t="s">
        <v>57</v>
      </c>
      <c r="B2687" t="s">
        <v>112</v>
      </c>
      <c r="C2687" t="s">
        <v>2286</v>
      </c>
      <c r="D2687">
        <v>3</v>
      </c>
      <c r="E2687" s="307">
        <v>3</v>
      </c>
      <c r="F2687" s="307" t="s">
        <v>75</v>
      </c>
      <c r="G2687" s="307" t="s">
        <v>11</v>
      </c>
      <c r="H2687" s="307" t="s">
        <v>11</v>
      </c>
    </row>
    <row r="2688" spans="1:8" x14ac:dyDescent="0.2">
      <c r="A2688" t="s">
        <v>57</v>
      </c>
      <c r="B2688" t="s">
        <v>112</v>
      </c>
      <c r="C2688" t="s">
        <v>2287</v>
      </c>
      <c r="D2688">
        <v>3</v>
      </c>
      <c r="E2688" s="307">
        <v>2</v>
      </c>
      <c r="F2688" s="307" t="s">
        <v>7</v>
      </c>
      <c r="G2688" s="307" t="s">
        <v>115</v>
      </c>
      <c r="H2688" s="307" t="s">
        <v>11</v>
      </c>
    </row>
    <row r="2689" spans="1:8" x14ac:dyDescent="0.2">
      <c r="A2689" t="s">
        <v>57</v>
      </c>
      <c r="B2689" t="s">
        <v>112</v>
      </c>
      <c r="C2689" t="s">
        <v>2288</v>
      </c>
      <c r="D2689">
        <v>3</v>
      </c>
      <c r="E2689" s="307">
        <v>2</v>
      </c>
      <c r="F2689" s="307" t="s">
        <v>7</v>
      </c>
      <c r="G2689" s="307" t="s">
        <v>115</v>
      </c>
      <c r="H2689" s="307" t="s">
        <v>11</v>
      </c>
    </row>
    <row r="2690" spans="1:8" x14ac:dyDescent="0.2">
      <c r="A2690" t="s">
        <v>57</v>
      </c>
      <c r="B2690" t="s">
        <v>112</v>
      </c>
      <c r="C2690" t="s">
        <v>1991</v>
      </c>
      <c r="D2690">
        <v>3</v>
      </c>
      <c r="E2690" s="307">
        <v>2</v>
      </c>
      <c r="F2690" s="307" t="s">
        <v>75</v>
      </c>
      <c r="G2690" s="307" t="s">
        <v>11</v>
      </c>
      <c r="H2690" s="307" t="s">
        <v>11</v>
      </c>
    </row>
    <row r="2691" spans="1:8" x14ac:dyDescent="0.2">
      <c r="A2691" t="s">
        <v>57</v>
      </c>
      <c r="B2691" t="s">
        <v>112</v>
      </c>
      <c r="C2691" t="s">
        <v>1208</v>
      </c>
      <c r="D2691">
        <v>3</v>
      </c>
      <c r="E2691" s="307">
        <v>3</v>
      </c>
      <c r="F2691" s="307" t="s">
        <v>75</v>
      </c>
      <c r="G2691" s="307" t="s">
        <v>11</v>
      </c>
      <c r="H2691" s="307" t="s">
        <v>11</v>
      </c>
    </row>
    <row r="2692" spans="1:8" x14ac:dyDescent="0.2">
      <c r="A2692" t="s">
        <v>57</v>
      </c>
      <c r="B2692" t="s">
        <v>112</v>
      </c>
      <c r="C2692" t="s">
        <v>1560</v>
      </c>
      <c r="D2692">
        <v>3</v>
      </c>
      <c r="E2692" s="307">
        <v>3</v>
      </c>
      <c r="F2692" s="307" t="s">
        <v>75</v>
      </c>
      <c r="G2692" s="307" t="s">
        <v>11</v>
      </c>
      <c r="H2692" s="307" t="s">
        <v>11</v>
      </c>
    </row>
    <row r="2693" spans="1:8" x14ac:dyDescent="0.2">
      <c r="A2693" t="s">
        <v>57</v>
      </c>
      <c r="B2693" t="s">
        <v>112</v>
      </c>
      <c r="C2693" t="s">
        <v>2289</v>
      </c>
      <c r="D2693">
        <v>3</v>
      </c>
      <c r="E2693" s="307">
        <v>2</v>
      </c>
      <c r="F2693" s="307" t="s">
        <v>7</v>
      </c>
      <c r="G2693" s="307" t="s">
        <v>115</v>
      </c>
      <c r="H2693" s="307" t="s">
        <v>11</v>
      </c>
    </row>
    <row r="2694" spans="1:8" x14ac:dyDescent="0.2">
      <c r="A2694" t="s">
        <v>57</v>
      </c>
      <c r="B2694" t="s">
        <v>112</v>
      </c>
      <c r="C2694" t="s">
        <v>1295</v>
      </c>
      <c r="D2694">
        <v>3</v>
      </c>
      <c r="E2694" s="307">
        <v>3</v>
      </c>
      <c r="F2694" s="307" t="s">
        <v>7</v>
      </c>
      <c r="G2694" s="307" t="s">
        <v>115</v>
      </c>
      <c r="H2694" s="307" t="s">
        <v>11</v>
      </c>
    </row>
    <row r="2695" spans="1:8" x14ac:dyDescent="0.2">
      <c r="A2695" t="s">
        <v>57</v>
      </c>
      <c r="B2695" t="s">
        <v>112</v>
      </c>
      <c r="C2695" t="s">
        <v>1096</v>
      </c>
      <c r="D2695">
        <v>3</v>
      </c>
      <c r="E2695" s="307">
        <v>3</v>
      </c>
      <c r="F2695" s="307" t="s">
        <v>75</v>
      </c>
      <c r="G2695" s="307" t="s">
        <v>11</v>
      </c>
      <c r="H2695" s="307" t="s">
        <v>11</v>
      </c>
    </row>
    <row r="2696" spans="1:8" x14ac:dyDescent="0.2">
      <c r="A2696" t="s">
        <v>57</v>
      </c>
      <c r="B2696" t="s">
        <v>112</v>
      </c>
      <c r="C2696" t="s">
        <v>2290</v>
      </c>
      <c r="D2696">
        <v>3</v>
      </c>
      <c r="E2696" s="307">
        <v>3</v>
      </c>
      <c r="F2696" s="307" t="s">
        <v>7</v>
      </c>
      <c r="G2696" s="307" t="s">
        <v>11</v>
      </c>
      <c r="H2696" s="307" t="s">
        <v>11</v>
      </c>
    </row>
    <row r="2697" spans="1:8" x14ac:dyDescent="0.2">
      <c r="A2697" t="s">
        <v>57</v>
      </c>
      <c r="B2697" t="s">
        <v>112</v>
      </c>
      <c r="C2697" t="s">
        <v>736</v>
      </c>
      <c r="D2697">
        <v>3</v>
      </c>
      <c r="E2697" s="307">
        <v>2</v>
      </c>
      <c r="F2697" s="307" t="s">
        <v>7</v>
      </c>
      <c r="G2697" s="307" t="s">
        <v>115</v>
      </c>
      <c r="H2697" s="307" t="s">
        <v>11</v>
      </c>
    </row>
    <row r="2698" spans="1:8" x14ac:dyDescent="0.2">
      <c r="A2698" t="s">
        <v>57</v>
      </c>
      <c r="B2698" t="s">
        <v>112</v>
      </c>
      <c r="C2698" t="s">
        <v>1915</v>
      </c>
      <c r="D2698">
        <v>2</v>
      </c>
      <c r="E2698" s="307">
        <v>4</v>
      </c>
      <c r="F2698" s="307" t="s">
        <v>75</v>
      </c>
      <c r="G2698" s="307" t="s">
        <v>11</v>
      </c>
      <c r="H2698" s="307" t="s">
        <v>11</v>
      </c>
    </row>
    <row r="2699" spans="1:8" x14ac:dyDescent="0.2">
      <c r="A2699" t="s">
        <v>57</v>
      </c>
      <c r="B2699" t="s">
        <v>112</v>
      </c>
      <c r="C2699" t="s">
        <v>1347</v>
      </c>
      <c r="D2699">
        <v>3</v>
      </c>
      <c r="E2699" s="307">
        <v>3</v>
      </c>
      <c r="F2699" s="307" t="s">
        <v>7</v>
      </c>
      <c r="G2699" s="307" t="s">
        <v>115</v>
      </c>
      <c r="H2699" s="307" t="s">
        <v>11</v>
      </c>
    </row>
    <row r="2700" spans="1:8" x14ac:dyDescent="0.2">
      <c r="A2700" t="s">
        <v>57</v>
      </c>
      <c r="B2700" t="s">
        <v>112</v>
      </c>
      <c r="C2700" t="s">
        <v>2291</v>
      </c>
      <c r="D2700">
        <v>3</v>
      </c>
      <c r="E2700" s="307">
        <v>3</v>
      </c>
      <c r="F2700" s="307" t="s">
        <v>75</v>
      </c>
      <c r="G2700" s="307" t="s">
        <v>11</v>
      </c>
      <c r="H2700" s="307" t="s">
        <v>11</v>
      </c>
    </row>
    <row r="2701" spans="1:8" x14ac:dyDescent="0.2">
      <c r="A2701" t="s">
        <v>57</v>
      </c>
      <c r="B2701" t="s">
        <v>112</v>
      </c>
      <c r="C2701" t="s">
        <v>2292</v>
      </c>
      <c r="D2701">
        <v>3</v>
      </c>
      <c r="E2701" s="307">
        <v>3</v>
      </c>
      <c r="F2701" s="307" t="s">
        <v>7</v>
      </c>
      <c r="G2701" s="307" t="s">
        <v>115</v>
      </c>
      <c r="H2701" s="307" t="s">
        <v>11</v>
      </c>
    </row>
    <row r="2702" spans="1:8" x14ac:dyDescent="0.2">
      <c r="A2702" t="s">
        <v>57</v>
      </c>
      <c r="B2702" t="s">
        <v>112</v>
      </c>
      <c r="C2702" t="s">
        <v>2293</v>
      </c>
      <c r="D2702">
        <v>3</v>
      </c>
      <c r="E2702" s="307">
        <v>3</v>
      </c>
      <c r="F2702" s="307" t="s">
        <v>7</v>
      </c>
      <c r="G2702" s="307" t="s">
        <v>115</v>
      </c>
      <c r="H2702" s="307" t="s">
        <v>11</v>
      </c>
    </row>
    <row r="2703" spans="1:8" x14ac:dyDescent="0.2">
      <c r="A2703" t="s">
        <v>57</v>
      </c>
      <c r="B2703" t="s">
        <v>112</v>
      </c>
      <c r="C2703" t="s">
        <v>834</v>
      </c>
      <c r="D2703">
        <v>3</v>
      </c>
      <c r="E2703" s="307">
        <v>2</v>
      </c>
      <c r="F2703" s="307" t="s">
        <v>7</v>
      </c>
      <c r="G2703" s="307" t="s">
        <v>115</v>
      </c>
      <c r="H2703" s="307" t="s">
        <v>11</v>
      </c>
    </row>
    <row r="2704" spans="1:8" x14ac:dyDescent="0.2">
      <c r="A2704" t="s">
        <v>57</v>
      </c>
      <c r="B2704" t="s">
        <v>112</v>
      </c>
      <c r="C2704" t="s">
        <v>2294</v>
      </c>
      <c r="D2704">
        <v>3</v>
      </c>
      <c r="E2704" s="307">
        <v>3</v>
      </c>
      <c r="F2704" s="307" t="s">
        <v>75</v>
      </c>
      <c r="G2704" s="307" t="s">
        <v>11</v>
      </c>
      <c r="H2704" s="307" t="s">
        <v>11</v>
      </c>
    </row>
    <row r="2705" spans="1:8" x14ac:dyDescent="0.2">
      <c r="A2705" t="s">
        <v>57</v>
      </c>
      <c r="B2705" t="s">
        <v>112</v>
      </c>
      <c r="C2705" t="s">
        <v>2295</v>
      </c>
      <c r="D2705">
        <v>3</v>
      </c>
      <c r="E2705" s="307">
        <v>2</v>
      </c>
      <c r="F2705" s="307" t="s">
        <v>7</v>
      </c>
      <c r="G2705" s="307" t="s">
        <v>115</v>
      </c>
      <c r="H2705" s="307" t="s">
        <v>11</v>
      </c>
    </row>
    <row r="2706" spans="1:8" x14ac:dyDescent="0.2">
      <c r="A2706" t="s">
        <v>57</v>
      </c>
      <c r="B2706" t="s">
        <v>112</v>
      </c>
      <c r="C2706" t="s">
        <v>2296</v>
      </c>
      <c r="D2706">
        <v>2</v>
      </c>
      <c r="E2706" s="307">
        <v>4</v>
      </c>
      <c r="F2706" s="307" t="s">
        <v>75</v>
      </c>
      <c r="G2706" s="307" t="s">
        <v>11</v>
      </c>
      <c r="H2706" s="307" t="s">
        <v>11</v>
      </c>
    </row>
    <row r="2707" spans="1:8" x14ac:dyDescent="0.2">
      <c r="A2707" t="s">
        <v>57</v>
      </c>
      <c r="B2707" t="s">
        <v>112</v>
      </c>
      <c r="C2707" t="s">
        <v>1424</v>
      </c>
      <c r="D2707">
        <v>2</v>
      </c>
      <c r="E2707" s="307">
        <v>4</v>
      </c>
      <c r="F2707" s="307" t="s">
        <v>75</v>
      </c>
      <c r="G2707" s="307" t="s">
        <v>11</v>
      </c>
      <c r="H2707" s="307" t="s">
        <v>11</v>
      </c>
    </row>
    <row r="2708" spans="1:8" x14ac:dyDescent="0.2">
      <c r="A2708" t="s">
        <v>57</v>
      </c>
      <c r="B2708" t="s">
        <v>112</v>
      </c>
      <c r="C2708" t="s">
        <v>883</v>
      </c>
      <c r="D2708">
        <v>3</v>
      </c>
      <c r="E2708" s="307">
        <v>2</v>
      </c>
      <c r="F2708" s="307" t="s">
        <v>7</v>
      </c>
      <c r="G2708" s="307" t="s">
        <v>115</v>
      </c>
      <c r="H2708" s="307" t="s">
        <v>11</v>
      </c>
    </row>
    <row r="2709" spans="1:8" x14ac:dyDescent="0.2">
      <c r="A2709" t="s">
        <v>57</v>
      </c>
      <c r="B2709" t="s">
        <v>112</v>
      </c>
      <c r="C2709" t="s">
        <v>2297</v>
      </c>
      <c r="D2709">
        <v>3</v>
      </c>
      <c r="E2709" s="307">
        <v>3</v>
      </c>
      <c r="F2709" s="307" t="s">
        <v>7</v>
      </c>
      <c r="G2709" s="307" t="s">
        <v>115</v>
      </c>
      <c r="H2709" s="307" t="s">
        <v>11</v>
      </c>
    </row>
    <row r="2710" spans="1:8" x14ac:dyDescent="0.2">
      <c r="A2710" t="s">
        <v>57</v>
      </c>
      <c r="B2710" t="s">
        <v>112</v>
      </c>
      <c r="C2710" t="s">
        <v>1663</v>
      </c>
      <c r="D2710">
        <v>3</v>
      </c>
      <c r="E2710" s="307">
        <v>3</v>
      </c>
      <c r="F2710" s="307" t="s">
        <v>7</v>
      </c>
      <c r="G2710" s="307" t="s">
        <v>115</v>
      </c>
      <c r="H2710" s="307" t="s">
        <v>11</v>
      </c>
    </row>
    <row r="2711" spans="1:8" x14ac:dyDescent="0.2">
      <c r="A2711" t="s">
        <v>57</v>
      </c>
      <c r="B2711" t="s">
        <v>112</v>
      </c>
      <c r="C2711" t="s">
        <v>2298</v>
      </c>
      <c r="D2711">
        <v>3</v>
      </c>
      <c r="E2711" s="307">
        <v>3</v>
      </c>
      <c r="F2711" s="307" t="s">
        <v>7</v>
      </c>
      <c r="G2711" s="307" t="s">
        <v>115</v>
      </c>
      <c r="H2711" s="307" t="s">
        <v>11</v>
      </c>
    </row>
    <row r="2712" spans="1:8" x14ac:dyDescent="0.2">
      <c r="A2712" t="s">
        <v>57</v>
      </c>
      <c r="B2712" t="s">
        <v>112</v>
      </c>
      <c r="C2712" t="s">
        <v>2299</v>
      </c>
      <c r="D2712">
        <v>2</v>
      </c>
      <c r="E2712" s="307">
        <v>4</v>
      </c>
      <c r="F2712" s="307" t="s">
        <v>75</v>
      </c>
      <c r="G2712" s="307" t="s">
        <v>11</v>
      </c>
      <c r="H2712" s="307" t="s">
        <v>11</v>
      </c>
    </row>
    <row r="2713" spans="1:8" x14ac:dyDescent="0.2">
      <c r="A2713" t="s">
        <v>57</v>
      </c>
      <c r="B2713" t="s">
        <v>112</v>
      </c>
      <c r="C2713" t="s">
        <v>2300</v>
      </c>
      <c r="D2713">
        <v>3</v>
      </c>
      <c r="E2713" s="307">
        <v>3</v>
      </c>
      <c r="F2713" s="307" t="s">
        <v>75</v>
      </c>
      <c r="G2713" s="307" t="s">
        <v>11</v>
      </c>
      <c r="H2713" s="307" t="s">
        <v>11</v>
      </c>
    </row>
    <row r="2714" spans="1:8" x14ac:dyDescent="0.2">
      <c r="A2714" t="s">
        <v>57</v>
      </c>
      <c r="B2714" t="s">
        <v>112</v>
      </c>
      <c r="C2714" t="s">
        <v>838</v>
      </c>
      <c r="D2714">
        <v>3</v>
      </c>
      <c r="E2714" s="307">
        <v>2</v>
      </c>
      <c r="F2714" s="307" t="s">
        <v>7</v>
      </c>
      <c r="G2714" s="307" t="s">
        <v>115</v>
      </c>
      <c r="H2714" s="307" t="s">
        <v>11</v>
      </c>
    </row>
    <row r="2715" spans="1:8" x14ac:dyDescent="0.2">
      <c r="A2715" t="s">
        <v>57</v>
      </c>
      <c r="B2715" t="s">
        <v>112</v>
      </c>
      <c r="C2715" t="s">
        <v>2090</v>
      </c>
      <c r="D2715">
        <v>2</v>
      </c>
      <c r="E2715" s="307">
        <v>4</v>
      </c>
      <c r="F2715" s="307" t="s">
        <v>75</v>
      </c>
      <c r="G2715" s="307" t="s">
        <v>11</v>
      </c>
      <c r="H2715" s="307" t="s">
        <v>11</v>
      </c>
    </row>
    <row r="2716" spans="1:8" x14ac:dyDescent="0.2">
      <c r="A2716" t="s">
        <v>57</v>
      </c>
      <c r="B2716" t="s">
        <v>112</v>
      </c>
      <c r="C2716" t="s">
        <v>2301</v>
      </c>
      <c r="D2716">
        <v>2</v>
      </c>
      <c r="E2716" s="307">
        <v>3</v>
      </c>
      <c r="F2716" s="307" t="s">
        <v>75</v>
      </c>
      <c r="G2716" s="307" t="s">
        <v>11</v>
      </c>
      <c r="H2716" s="307" t="s">
        <v>11</v>
      </c>
    </row>
    <row r="2717" spans="1:8" x14ac:dyDescent="0.2">
      <c r="A2717" t="s">
        <v>57</v>
      </c>
      <c r="B2717" t="s">
        <v>112</v>
      </c>
      <c r="C2717" t="s">
        <v>2302</v>
      </c>
      <c r="D2717">
        <v>3</v>
      </c>
      <c r="E2717" s="307">
        <v>3</v>
      </c>
      <c r="F2717" s="307" t="s">
        <v>7</v>
      </c>
      <c r="G2717" s="307" t="s">
        <v>115</v>
      </c>
      <c r="H2717" s="307" t="s">
        <v>11</v>
      </c>
    </row>
    <row r="2718" spans="1:8" x14ac:dyDescent="0.2">
      <c r="A2718" t="s">
        <v>57</v>
      </c>
      <c r="B2718" t="s">
        <v>112</v>
      </c>
      <c r="C2718" t="s">
        <v>2303</v>
      </c>
      <c r="D2718">
        <v>2</v>
      </c>
      <c r="E2718" s="307">
        <v>4</v>
      </c>
      <c r="F2718" s="307" t="s">
        <v>75</v>
      </c>
      <c r="G2718" s="307" t="s">
        <v>11</v>
      </c>
      <c r="H2718" s="307" t="s">
        <v>11</v>
      </c>
    </row>
    <row r="2719" spans="1:8" x14ac:dyDescent="0.2">
      <c r="A2719" t="s">
        <v>57</v>
      </c>
      <c r="B2719" t="s">
        <v>112</v>
      </c>
      <c r="C2719" t="s">
        <v>2304</v>
      </c>
      <c r="D2719">
        <v>3</v>
      </c>
      <c r="E2719" s="307">
        <v>3</v>
      </c>
      <c r="F2719" s="307" t="s">
        <v>75</v>
      </c>
      <c r="G2719" s="307" t="s">
        <v>11</v>
      </c>
      <c r="H2719" s="307" t="s">
        <v>11</v>
      </c>
    </row>
    <row r="2720" spans="1:8" x14ac:dyDescent="0.2">
      <c r="A2720" t="s">
        <v>57</v>
      </c>
      <c r="B2720" t="s">
        <v>112</v>
      </c>
      <c r="C2720" t="s">
        <v>2305</v>
      </c>
      <c r="D2720">
        <v>3</v>
      </c>
      <c r="E2720" s="307">
        <v>2</v>
      </c>
      <c r="F2720" s="307" t="s">
        <v>75</v>
      </c>
      <c r="G2720" s="307" t="s">
        <v>11</v>
      </c>
      <c r="H2720" s="307" t="s">
        <v>11</v>
      </c>
    </row>
    <row r="2721" spans="1:8" x14ac:dyDescent="0.2">
      <c r="A2721" t="s">
        <v>57</v>
      </c>
      <c r="B2721" t="s">
        <v>112</v>
      </c>
      <c r="C2721" t="s">
        <v>1463</v>
      </c>
      <c r="D2721">
        <v>3</v>
      </c>
      <c r="E2721" s="307">
        <v>3</v>
      </c>
      <c r="F2721" s="307" t="s">
        <v>7</v>
      </c>
      <c r="G2721" s="307" t="s">
        <v>115</v>
      </c>
      <c r="H2721" s="307" t="s">
        <v>11</v>
      </c>
    </row>
    <row r="2722" spans="1:8" x14ac:dyDescent="0.2">
      <c r="A2722" t="s">
        <v>57</v>
      </c>
      <c r="B2722" t="s">
        <v>112</v>
      </c>
      <c r="C2722" t="s">
        <v>2306</v>
      </c>
      <c r="D2722">
        <v>2</v>
      </c>
      <c r="E2722" s="307">
        <v>3</v>
      </c>
      <c r="F2722" s="307" t="s">
        <v>75</v>
      </c>
      <c r="G2722" s="307" t="s">
        <v>11</v>
      </c>
      <c r="H2722" s="307" t="s">
        <v>11</v>
      </c>
    </row>
    <row r="2723" spans="1:8" x14ac:dyDescent="0.2">
      <c r="A2723" t="s">
        <v>57</v>
      </c>
      <c r="B2723" t="s">
        <v>112</v>
      </c>
      <c r="C2723" t="s">
        <v>2307</v>
      </c>
      <c r="D2723">
        <v>3</v>
      </c>
      <c r="E2723" s="307">
        <v>2</v>
      </c>
      <c r="F2723" s="307" t="s">
        <v>7</v>
      </c>
      <c r="G2723" s="307" t="s">
        <v>115</v>
      </c>
      <c r="H2723" s="307" t="s">
        <v>11</v>
      </c>
    </row>
    <row r="2724" spans="1:8" x14ac:dyDescent="0.2">
      <c r="A2724" t="s">
        <v>57</v>
      </c>
      <c r="B2724" t="s">
        <v>112</v>
      </c>
      <c r="C2724" t="s">
        <v>2154</v>
      </c>
      <c r="D2724">
        <v>2</v>
      </c>
      <c r="E2724" s="307">
        <v>4</v>
      </c>
      <c r="F2724" s="307" t="s">
        <v>75</v>
      </c>
      <c r="G2724" s="307" t="s">
        <v>11</v>
      </c>
      <c r="H2724" s="307" t="s">
        <v>11</v>
      </c>
    </row>
    <row r="2725" spans="1:8" x14ac:dyDescent="0.2">
      <c r="A2725" t="s">
        <v>57</v>
      </c>
      <c r="B2725" t="s">
        <v>112</v>
      </c>
      <c r="C2725" t="s">
        <v>1428</v>
      </c>
      <c r="D2725">
        <v>3</v>
      </c>
      <c r="E2725" s="307">
        <v>2</v>
      </c>
      <c r="F2725" s="307" t="s">
        <v>7</v>
      </c>
      <c r="G2725" s="307" t="s">
        <v>115</v>
      </c>
      <c r="H2725" s="307" t="s">
        <v>11</v>
      </c>
    </row>
    <row r="2726" spans="1:8" x14ac:dyDescent="0.2">
      <c r="A2726" t="s">
        <v>57</v>
      </c>
      <c r="B2726" t="s">
        <v>112</v>
      </c>
      <c r="C2726" t="s">
        <v>2308</v>
      </c>
      <c r="D2726">
        <v>3</v>
      </c>
      <c r="E2726" s="307">
        <v>3</v>
      </c>
      <c r="F2726" s="307" t="s">
        <v>7</v>
      </c>
      <c r="G2726" s="307" t="s">
        <v>115</v>
      </c>
      <c r="H2726" s="307" t="s">
        <v>11</v>
      </c>
    </row>
    <row r="2727" spans="1:8" x14ac:dyDescent="0.2">
      <c r="A2727" t="s">
        <v>57</v>
      </c>
      <c r="B2727" t="s">
        <v>112</v>
      </c>
      <c r="C2727" t="s">
        <v>2309</v>
      </c>
      <c r="D2727">
        <v>3</v>
      </c>
      <c r="E2727" s="307">
        <v>3</v>
      </c>
      <c r="F2727" s="307" t="s">
        <v>75</v>
      </c>
      <c r="G2727" s="307" t="s">
        <v>11</v>
      </c>
      <c r="H2727" s="307" t="s">
        <v>11</v>
      </c>
    </row>
    <row r="2728" spans="1:8" x14ac:dyDescent="0.2">
      <c r="A2728" t="s">
        <v>57</v>
      </c>
      <c r="B2728" t="s">
        <v>112</v>
      </c>
      <c r="C2728" t="s">
        <v>2310</v>
      </c>
      <c r="D2728">
        <v>3</v>
      </c>
      <c r="E2728" s="307">
        <v>3</v>
      </c>
      <c r="F2728" s="307" t="s">
        <v>7</v>
      </c>
      <c r="G2728" s="307" t="s">
        <v>115</v>
      </c>
      <c r="H2728" s="307" t="s">
        <v>11</v>
      </c>
    </row>
    <row r="2729" spans="1:8" x14ac:dyDescent="0.2">
      <c r="A2729" t="s">
        <v>57</v>
      </c>
      <c r="B2729" t="s">
        <v>112</v>
      </c>
      <c r="C2729" t="s">
        <v>1464</v>
      </c>
      <c r="D2729">
        <v>3</v>
      </c>
      <c r="E2729" s="307">
        <v>3</v>
      </c>
      <c r="F2729" s="307" t="s">
        <v>7</v>
      </c>
      <c r="G2729" s="307" t="s">
        <v>115</v>
      </c>
      <c r="H2729" s="307" t="s">
        <v>11</v>
      </c>
    </row>
    <row r="2730" spans="1:8" x14ac:dyDescent="0.2">
      <c r="A2730" t="s">
        <v>57</v>
      </c>
      <c r="B2730" t="s">
        <v>112</v>
      </c>
      <c r="C2730" t="s">
        <v>2311</v>
      </c>
      <c r="D2730">
        <v>3</v>
      </c>
      <c r="E2730" s="307">
        <v>3</v>
      </c>
      <c r="F2730" s="307" t="s">
        <v>7</v>
      </c>
      <c r="G2730" s="307" t="s">
        <v>115</v>
      </c>
      <c r="H2730" s="307" t="s">
        <v>11</v>
      </c>
    </row>
    <row r="2731" spans="1:8" x14ac:dyDescent="0.2">
      <c r="A2731" t="s">
        <v>57</v>
      </c>
      <c r="B2731" t="s">
        <v>112</v>
      </c>
      <c r="C2731" t="s">
        <v>2312</v>
      </c>
      <c r="D2731">
        <v>3</v>
      </c>
      <c r="E2731" s="307">
        <v>2</v>
      </c>
      <c r="F2731" s="307" t="s">
        <v>7</v>
      </c>
      <c r="G2731" s="307" t="s">
        <v>115</v>
      </c>
      <c r="H2731" s="307" t="s">
        <v>11</v>
      </c>
    </row>
    <row r="2732" spans="1:8" x14ac:dyDescent="0.2">
      <c r="A2732" t="s">
        <v>57</v>
      </c>
      <c r="B2732" t="s">
        <v>112</v>
      </c>
      <c r="C2732" t="s">
        <v>2313</v>
      </c>
      <c r="D2732">
        <v>3</v>
      </c>
      <c r="E2732" s="307">
        <v>2</v>
      </c>
      <c r="F2732" s="307" t="s">
        <v>7</v>
      </c>
      <c r="G2732" s="307" t="s">
        <v>115</v>
      </c>
      <c r="H2732" s="307" t="s">
        <v>11</v>
      </c>
    </row>
    <row r="2733" spans="1:8" x14ac:dyDescent="0.2">
      <c r="A2733" t="s">
        <v>57</v>
      </c>
      <c r="B2733" t="s">
        <v>112</v>
      </c>
      <c r="C2733" t="s">
        <v>2314</v>
      </c>
      <c r="D2733">
        <v>3</v>
      </c>
      <c r="E2733" s="307">
        <v>3</v>
      </c>
      <c r="F2733" s="307" t="s">
        <v>7</v>
      </c>
      <c r="G2733" s="307" t="s">
        <v>115</v>
      </c>
      <c r="H2733" s="307" t="s">
        <v>11</v>
      </c>
    </row>
    <row r="2734" spans="1:8" x14ac:dyDescent="0.2">
      <c r="A2734" t="s">
        <v>57</v>
      </c>
      <c r="B2734" t="s">
        <v>112</v>
      </c>
      <c r="C2734" t="s">
        <v>2315</v>
      </c>
      <c r="D2734">
        <v>3</v>
      </c>
      <c r="E2734" s="307">
        <v>3</v>
      </c>
      <c r="F2734" s="307" t="s">
        <v>75</v>
      </c>
      <c r="G2734" s="307" t="s">
        <v>11</v>
      </c>
      <c r="H2734" s="307" t="s">
        <v>11</v>
      </c>
    </row>
    <row r="2735" spans="1:8" x14ac:dyDescent="0.2">
      <c r="A2735" t="s">
        <v>57</v>
      </c>
      <c r="B2735" t="s">
        <v>112</v>
      </c>
      <c r="C2735" t="s">
        <v>2316</v>
      </c>
      <c r="D2735">
        <v>3</v>
      </c>
      <c r="E2735" s="307">
        <v>3</v>
      </c>
      <c r="F2735" s="307" t="s">
        <v>75</v>
      </c>
      <c r="G2735" s="307" t="s">
        <v>11</v>
      </c>
      <c r="H2735" s="307" t="s">
        <v>11</v>
      </c>
    </row>
    <row r="2736" spans="1:8" x14ac:dyDescent="0.2">
      <c r="A2736" t="s">
        <v>57</v>
      </c>
      <c r="B2736" t="s">
        <v>112</v>
      </c>
      <c r="C2736" t="s">
        <v>2317</v>
      </c>
      <c r="D2736">
        <v>3</v>
      </c>
      <c r="E2736" s="307">
        <v>3</v>
      </c>
      <c r="F2736" s="307" t="s">
        <v>75</v>
      </c>
      <c r="G2736" s="307" t="s">
        <v>11</v>
      </c>
      <c r="H2736" s="307" t="s">
        <v>11</v>
      </c>
    </row>
    <row r="2737" spans="1:8" x14ac:dyDescent="0.2">
      <c r="A2737" t="s">
        <v>57</v>
      </c>
      <c r="B2737" t="s">
        <v>112</v>
      </c>
      <c r="C2737" t="s">
        <v>744</v>
      </c>
      <c r="D2737">
        <v>3</v>
      </c>
      <c r="E2737" s="307">
        <v>3</v>
      </c>
      <c r="F2737" s="307" t="s">
        <v>7</v>
      </c>
      <c r="G2737" s="307" t="s">
        <v>115</v>
      </c>
      <c r="H2737" s="307" t="s">
        <v>11</v>
      </c>
    </row>
    <row r="2738" spans="1:8" x14ac:dyDescent="0.2">
      <c r="A2738" t="s">
        <v>57</v>
      </c>
      <c r="B2738" t="s">
        <v>112</v>
      </c>
      <c r="C2738" t="s">
        <v>1368</v>
      </c>
      <c r="D2738">
        <v>2</v>
      </c>
      <c r="E2738" s="307">
        <v>4</v>
      </c>
      <c r="F2738" s="307" t="s">
        <v>75</v>
      </c>
      <c r="G2738" s="307" t="s">
        <v>11</v>
      </c>
      <c r="H2738" s="307" t="s">
        <v>11</v>
      </c>
    </row>
    <row r="2739" spans="1:8" x14ac:dyDescent="0.2">
      <c r="A2739" t="s">
        <v>57</v>
      </c>
      <c r="B2739" t="s">
        <v>112</v>
      </c>
      <c r="C2739" t="s">
        <v>1369</v>
      </c>
      <c r="D2739">
        <v>3</v>
      </c>
      <c r="E2739" s="307">
        <v>3</v>
      </c>
      <c r="F2739" s="307" t="s">
        <v>7</v>
      </c>
      <c r="G2739" s="307" t="s">
        <v>115</v>
      </c>
      <c r="H2739" s="307" t="s">
        <v>11</v>
      </c>
    </row>
    <row r="2740" spans="1:8" x14ac:dyDescent="0.2">
      <c r="A2740" t="s">
        <v>57</v>
      </c>
      <c r="B2740" t="s">
        <v>112</v>
      </c>
      <c r="C2740" t="s">
        <v>2318</v>
      </c>
      <c r="D2740">
        <v>3</v>
      </c>
      <c r="E2740" s="307">
        <v>3</v>
      </c>
      <c r="F2740" s="307" t="s">
        <v>7</v>
      </c>
      <c r="G2740" s="307" t="s">
        <v>115</v>
      </c>
      <c r="H2740" s="307" t="s">
        <v>11</v>
      </c>
    </row>
    <row r="2741" spans="1:8" x14ac:dyDescent="0.2">
      <c r="A2741" t="s">
        <v>57</v>
      </c>
      <c r="B2741" t="s">
        <v>112</v>
      </c>
      <c r="C2741" t="s">
        <v>2319</v>
      </c>
      <c r="D2741">
        <v>3</v>
      </c>
      <c r="E2741" s="307">
        <v>2</v>
      </c>
      <c r="F2741" s="307" t="s">
        <v>7</v>
      </c>
      <c r="G2741" s="307" t="s">
        <v>115</v>
      </c>
      <c r="H2741" s="307" t="s">
        <v>11</v>
      </c>
    </row>
    <row r="2742" spans="1:8" x14ac:dyDescent="0.2">
      <c r="A2742" t="s">
        <v>57</v>
      </c>
      <c r="B2742" t="s">
        <v>112</v>
      </c>
      <c r="C2742" t="s">
        <v>1111</v>
      </c>
      <c r="D2742">
        <v>3</v>
      </c>
      <c r="E2742" s="307">
        <v>3</v>
      </c>
      <c r="F2742" s="307" t="s">
        <v>7</v>
      </c>
      <c r="G2742" s="307" t="s">
        <v>11</v>
      </c>
      <c r="H2742" s="307" t="s">
        <v>11</v>
      </c>
    </row>
    <row r="2743" spans="1:8" x14ac:dyDescent="0.2">
      <c r="A2743" t="s">
        <v>57</v>
      </c>
      <c r="B2743" t="s">
        <v>112</v>
      </c>
      <c r="C2743" t="s">
        <v>2320</v>
      </c>
      <c r="D2743">
        <v>3</v>
      </c>
      <c r="E2743" s="307">
        <v>3</v>
      </c>
      <c r="F2743" s="307" t="s">
        <v>75</v>
      </c>
      <c r="G2743" s="307" t="s">
        <v>11</v>
      </c>
      <c r="H2743" s="307" t="s">
        <v>11</v>
      </c>
    </row>
    <row r="2744" spans="1:8" x14ac:dyDescent="0.2">
      <c r="A2744" t="s">
        <v>57</v>
      </c>
      <c r="B2744" t="s">
        <v>112</v>
      </c>
      <c r="C2744" t="s">
        <v>2321</v>
      </c>
      <c r="D2744">
        <v>3</v>
      </c>
      <c r="E2744" s="307">
        <v>3</v>
      </c>
      <c r="F2744" s="307" t="s">
        <v>75</v>
      </c>
      <c r="G2744" s="307" t="s">
        <v>11</v>
      </c>
      <c r="H2744" s="307" t="s">
        <v>11</v>
      </c>
    </row>
    <row r="2745" spans="1:8" x14ac:dyDescent="0.2">
      <c r="A2745" t="s">
        <v>57</v>
      </c>
      <c r="B2745" t="s">
        <v>112</v>
      </c>
      <c r="C2745" t="s">
        <v>2322</v>
      </c>
      <c r="D2745">
        <v>3</v>
      </c>
      <c r="E2745" s="307">
        <v>3</v>
      </c>
      <c r="F2745" s="307" t="s">
        <v>75</v>
      </c>
      <c r="G2745" s="307" t="s">
        <v>11</v>
      </c>
      <c r="H2745" s="307" t="s">
        <v>11</v>
      </c>
    </row>
    <row r="2746" spans="1:8" x14ac:dyDescent="0.2">
      <c r="A2746" t="s">
        <v>57</v>
      </c>
      <c r="B2746" t="s">
        <v>112</v>
      </c>
      <c r="C2746" t="s">
        <v>2323</v>
      </c>
      <c r="D2746">
        <v>2</v>
      </c>
      <c r="E2746" s="307">
        <v>4</v>
      </c>
      <c r="F2746" s="307" t="s">
        <v>75</v>
      </c>
      <c r="G2746" s="307" t="s">
        <v>11</v>
      </c>
      <c r="H2746" s="307" t="s">
        <v>11</v>
      </c>
    </row>
    <row r="2747" spans="1:8" x14ac:dyDescent="0.2">
      <c r="A2747" t="s">
        <v>57</v>
      </c>
      <c r="B2747" t="s">
        <v>112</v>
      </c>
      <c r="C2747" t="s">
        <v>2324</v>
      </c>
      <c r="D2747">
        <v>3</v>
      </c>
      <c r="E2747" s="307">
        <v>3</v>
      </c>
      <c r="F2747" s="307" t="s">
        <v>7</v>
      </c>
      <c r="G2747" s="307" t="s">
        <v>115</v>
      </c>
      <c r="H2747" s="307" t="s">
        <v>11</v>
      </c>
    </row>
    <row r="2748" spans="1:8" x14ac:dyDescent="0.2">
      <c r="A2748" t="s">
        <v>57</v>
      </c>
      <c r="B2748" t="s">
        <v>112</v>
      </c>
      <c r="C2748" t="s">
        <v>1023</v>
      </c>
      <c r="D2748">
        <v>3</v>
      </c>
      <c r="E2748" s="307">
        <v>3</v>
      </c>
      <c r="F2748" s="307" t="s">
        <v>75</v>
      </c>
      <c r="G2748" s="307" t="s">
        <v>11</v>
      </c>
      <c r="H2748" s="307" t="s">
        <v>11</v>
      </c>
    </row>
    <row r="2749" spans="1:8" x14ac:dyDescent="0.2">
      <c r="A2749" t="s">
        <v>57</v>
      </c>
      <c r="B2749" t="s">
        <v>112</v>
      </c>
      <c r="C2749" t="s">
        <v>1117</v>
      </c>
      <c r="D2749">
        <v>2</v>
      </c>
      <c r="E2749" s="307">
        <v>3</v>
      </c>
      <c r="F2749" s="307" t="s">
        <v>75</v>
      </c>
      <c r="G2749" s="307" t="s">
        <v>11</v>
      </c>
      <c r="H2749" s="307" t="s">
        <v>11</v>
      </c>
    </row>
    <row r="2750" spans="1:8" x14ac:dyDescent="0.2">
      <c r="A2750" t="s">
        <v>57</v>
      </c>
      <c r="B2750" t="s">
        <v>112</v>
      </c>
      <c r="C2750" t="s">
        <v>2325</v>
      </c>
      <c r="D2750">
        <v>3</v>
      </c>
      <c r="E2750" s="307">
        <v>3</v>
      </c>
      <c r="F2750" s="307" t="s">
        <v>75</v>
      </c>
      <c r="G2750" s="307" t="s">
        <v>11</v>
      </c>
      <c r="H2750" s="307" t="s">
        <v>11</v>
      </c>
    </row>
    <row r="2751" spans="1:8" x14ac:dyDescent="0.2">
      <c r="A2751" t="s">
        <v>57</v>
      </c>
      <c r="B2751" t="s">
        <v>112</v>
      </c>
      <c r="C2751" t="s">
        <v>2326</v>
      </c>
      <c r="D2751">
        <v>3</v>
      </c>
      <c r="E2751" s="307">
        <v>3</v>
      </c>
      <c r="F2751" s="307" t="s">
        <v>75</v>
      </c>
      <c r="G2751" s="307" t="s">
        <v>11</v>
      </c>
      <c r="H2751" s="307" t="s">
        <v>11</v>
      </c>
    </row>
    <row r="2752" spans="1:8" x14ac:dyDescent="0.2">
      <c r="A2752" t="s">
        <v>57</v>
      </c>
      <c r="B2752" t="s">
        <v>112</v>
      </c>
      <c r="C2752" t="s">
        <v>2327</v>
      </c>
      <c r="D2752">
        <v>3</v>
      </c>
      <c r="E2752" s="307">
        <v>3</v>
      </c>
      <c r="F2752" s="307" t="s">
        <v>7</v>
      </c>
      <c r="G2752" s="307" t="s">
        <v>115</v>
      </c>
      <c r="H2752" s="307" t="s">
        <v>11</v>
      </c>
    </row>
    <row r="2753" spans="1:8" x14ac:dyDescent="0.2">
      <c r="A2753" t="s">
        <v>57</v>
      </c>
      <c r="B2753" t="s">
        <v>112</v>
      </c>
      <c r="C2753" t="s">
        <v>2328</v>
      </c>
      <c r="D2753">
        <v>3</v>
      </c>
      <c r="E2753" s="307">
        <v>3</v>
      </c>
      <c r="F2753" s="307" t="s">
        <v>75</v>
      </c>
      <c r="G2753" s="307" t="s">
        <v>11</v>
      </c>
      <c r="H2753" s="307" t="s">
        <v>11</v>
      </c>
    </row>
    <row r="2754" spans="1:8" x14ac:dyDescent="0.2">
      <c r="A2754" t="s">
        <v>57</v>
      </c>
      <c r="B2754" t="s">
        <v>112</v>
      </c>
      <c r="C2754" t="s">
        <v>2329</v>
      </c>
      <c r="D2754">
        <v>3</v>
      </c>
      <c r="E2754" s="307">
        <v>2</v>
      </c>
      <c r="F2754" s="307" t="s">
        <v>7</v>
      </c>
      <c r="G2754" s="307" t="s">
        <v>115</v>
      </c>
      <c r="H2754" s="307" t="s">
        <v>11</v>
      </c>
    </row>
    <row r="2755" spans="1:8" x14ac:dyDescent="0.2">
      <c r="A2755" t="s">
        <v>57</v>
      </c>
      <c r="B2755" t="s">
        <v>112</v>
      </c>
      <c r="C2755" t="s">
        <v>905</v>
      </c>
      <c r="D2755">
        <v>3</v>
      </c>
      <c r="E2755" s="307">
        <v>2</v>
      </c>
      <c r="F2755" s="307" t="s">
        <v>7</v>
      </c>
      <c r="G2755" s="307" t="s">
        <v>115</v>
      </c>
      <c r="H2755" s="307" t="s">
        <v>11</v>
      </c>
    </row>
    <row r="2756" spans="1:8" x14ac:dyDescent="0.2">
      <c r="A2756" t="s">
        <v>57</v>
      </c>
      <c r="B2756" t="s">
        <v>112</v>
      </c>
      <c r="C2756" t="s">
        <v>2330</v>
      </c>
      <c r="D2756">
        <v>3</v>
      </c>
      <c r="E2756" s="307">
        <v>2</v>
      </c>
      <c r="F2756" s="307" t="s">
        <v>7</v>
      </c>
      <c r="G2756" s="307" t="s">
        <v>115</v>
      </c>
      <c r="H2756" s="307" t="s">
        <v>11</v>
      </c>
    </row>
    <row r="2757" spans="1:8" x14ac:dyDescent="0.2">
      <c r="A2757" t="s">
        <v>57</v>
      </c>
      <c r="B2757" t="s">
        <v>112</v>
      </c>
      <c r="C2757" t="s">
        <v>2331</v>
      </c>
      <c r="D2757">
        <v>3</v>
      </c>
      <c r="E2757" s="307">
        <v>3</v>
      </c>
      <c r="F2757" s="307" t="s">
        <v>7</v>
      </c>
      <c r="G2757" s="307" t="s">
        <v>115</v>
      </c>
      <c r="H2757" s="307" t="s">
        <v>11</v>
      </c>
    </row>
    <row r="2758" spans="1:8" x14ac:dyDescent="0.2">
      <c r="A2758" t="s">
        <v>57</v>
      </c>
      <c r="B2758" t="s">
        <v>112</v>
      </c>
      <c r="C2758" t="s">
        <v>2332</v>
      </c>
      <c r="D2758">
        <v>3</v>
      </c>
      <c r="E2758" s="307">
        <v>3</v>
      </c>
      <c r="F2758" s="307" t="s">
        <v>75</v>
      </c>
      <c r="G2758" s="307" t="s">
        <v>11</v>
      </c>
      <c r="H2758" s="307" t="s">
        <v>11</v>
      </c>
    </row>
    <row r="2759" spans="1:8" x14ac:dyDescent="0.2">
      <c r="A2759" t="s">
        <v>57</v>
      </c>
      <c r="B2759" t="s">
        <v>112</v>
      </c>
      <c r="C2759" t="s">
        <v>2333</v>
      </c>
      <c r="D2759">
        <v>3</v>
      </c>
      <c r="E2759" s="307">
        <v>2</v>
      </c>
      <c r="F2759" s="307" t="s">
        <v>75</v>
      </c>
      <c r="G2759" s="307" t="s">
        <v>11</v>
      </c>
      <c r="H2759" s="307" t="s">
        <v>11</v>
      </c>
    </row>
    <row r="2760" spans="1:8" x14ac:dyDescent="0.2">
      <c r="A2760" t="s">
        <v>57</v>
      </c>
      <c r="B2760" t="s">
        <v>112</v>
      </c>
      <c r="C2760" t="s">
        <v>2334</v>
      </c>
      <c r="D2760">
        <v>3</v>
      </c>
      <c r="E2760" s="307">
        <v>2</v>
      </c>
      <c r="F2760" s="307" t="s">
        <v>75</v>
      </c>
      <c r="G2760" s="307" t="s">
        <v>11</v>
      </c>
      <c r="H2760" s="307" t="s">
        <v>11</v>
      </c>
    </row>
    <row r="2761" spans="1:8" x14ac:dyDescent="0.2">
      <c r="A2761" t="s">
        <v>57</v>
      </c>
      <c r="B2761" t="s">
        <v>112</v>
      </c>
      <c r="C2761" t="s">
        <v>2335</v>
      </c>
      <c r="D2761">
        <v>3</v>
      </c>
      <c r="E2761" s="307">
        <v>3</v>
      </c>
      <c r="F2761" s="307" t="s">
        <v>7</v>
      </c>
      <c r="G2761" s="307" t="s">
        <v>115</v>
      </c>
      <c r="H2761" s="307" t="s">
        <v>11</v>
      </c>
    </row>
    <row r="2762" spans="1:8" x14ac:dyDescent="0.2">
      <c r="A2762" t="s">
        <v>57</v>
      </c>
      <c r="B2762" t="s">
        <v>112</v>
      </c>
      <c r="C2762" t="s">
        <v>2336</v>
      </c>
      <c r="D2762">
        <v>3</v>
      </c>
      <c r="E2762" s="307">
        <v>2</v>
      </c>
      <c r="F2762" s="307" t="s">
        <v>7</v>
      </c>
      <c r="G2762" s="307" t="s">
        <v>115</v>
      </c>
      <c r="H2762" s="307" t="s">
        <v>11</v>
      </c>
    </row>
    <row r="2763" spans="1:8" x14ac:dyDescent="0.2">
      <c r="A2763" t="s">
        <v>57</v>
      </c>
      <c r="B2763" t="s">
        <v>112</v>
      </c>
      <c r="C2763" t="s">
        <v>749</v>
      </c>
      <c r="D2763">
        <v>3</v>
      </c>
      <c r="E2763" s="307">
        <v>2</v>
      </c>
      <c r="F2763" s="307" t="s">
        <v>7</v>
      </c>
      <c r="G2763" s="307" t="s">
        <v>115</v>
      </c>
      <c r="H2763" s="307" t="s">
        <v>11</v>
      </c>
    </row>
    <row r="2764" spans="1:8" x14ac:dyDescent="0.2">
      <c r="A2764" t="s">
        <v>57</v>
      </c>
      <c r="B2764" t="s">
        <v>112</v>
      </c>
      <c r="C2764" t="s">
        <v>2337</v>
      </c>
      <c r="D2764">
        <v>3</v>
      </c>
      <c r="E2764" s="307">
        <v>2</v>
      </c>
      <c r="F2764" s="307" t="s">
        <v>7</v>
      </c>
      <c r="G2764" s="307" t="s">
        <v>115</v>
      </c>
      <c r="H2764" s="307" t="s">
        <v>11</v>
      </c>
    </row>
    <row r="2765" spans="1:8" x14ac:dyDescent="0.2">
      <c r="A2765" t="s">
        <v>57</v>
      </c>
      <c r="B2765" t="s">
        <v>112</v>
      </c>
      <c r="C2765" t="s">
        <v>1969</v>
      </c>
      <c r="D2765">
        <v>3</v>
      </c>
      <c r="E2765" s="307">
        <v>3</v>
      </c>
      <c r="F2765" s="307" t="s">
        <v>75</v>
      </c>
      <c r="G2765" s="307" t="s">
        <v>11</v>
      </c>
      <c r="H2765" s="307" t="s">
        <v>11</v>
      </c>
    </row>
    <row r="2766" spans="1:8" x14ac:dyDescent="0.2">
      <c r="A2766" t="s">
        <v>57</v>
      </c>
      <c r="B2766" t="s">
        <v>112</v>
      </c>
      <c r="C2766" t="s">
        <v>750</v>
      </c>
      <c r="D2766">
        <v>3</v>
      </c>
      <c r="E2766" s="307">
        <v>2</v>
      </c>
      <c r="F2766" s="307" t="s">
        <v>7</v>
      </c>
      <c r="G2766" s="307" t="s">
        <v>115</v>
      </c>
      <c r="H2766" s="307" t="s">
        <v>11</v>
      </c>
    </row>
    <row r="2767" spans="1:8" x14ac:dyDescent="0.2">
      <c r="A2767" t="s">
        <v>57</v>
      </c>
      <c r="B2767" t="s">
        <v>112</v>
      </c>
      <c r="C2767" t="s">
        <v>2338</v>
      </c>
      <c r="D2767">
        <v>3</v>
      </c>
      <c r="E2767" s="307">
        <v>2</v>
      </c>
      <c r="F2767" s="307" t="s">
        <v>75</v>
      </c>
      <c r="G2767" s="307" t="s">
        <v>11</v>
      </c>
      <c r="H2767" s="307" t="s">
        <v>11</v>
      </c>
    </row>
    <row r="2768" spans="1:8" x14ac:dyDescent="0.2">
      <c r="A2768" t="s">
        <v>57</v>
      </c>
      <c r="B2768" t="s">
        <v>112</v>
      </c>
      <c r="C2768" t="s">
        <v>2339</v>
      </c>
      <c r="D2768">
        <v>3</v>
      </c>
      <c r="E2768" s="307">
        <v>2</v>
      </c>
      <c r="F2768" s="307" t="s">
        <v>7</v>
      </c>
      <c r="G2768" s="307" t="s">
        <v>115</v>
      </c>
      <c r="H2768" s="307" t="s">
        <v>11</v>
      </c>
    </row>
    <row r="2769" spans="1:8" x14ac:dyDescent="0.2">
      <c r="A2769" t="s">
        <v>57</v>
      </c>
      <c r="B2769" t="s">
        <v>112</v>
      </c>
      <c r="C2769" t="s">
        <v>1131</v>
      </c>
      <c r="D2769">
        <v>3</v>
      </c>
      <c r="E2769" s="307">
        <v>3</v>
      </c>
      <c r="F2769" s="307" t="s">
        <v>75</v>
      </c>
      <c r="G2769" s="307" t="s">
        <v>11</v>
      </c>
      <c r="H2769" s="307" t="s">
        <v>11</v>
      </c>
    </row>
    <row r="2770" spans="1:8" x14ac:dyDescent="0.2">
      <c r="A2770" t="s">
        <v>57</v>
      </c>
      <c r="B2770" t="s">
        <v>112</v>
      </c>
      <c r="C2770" t="s">
        <v>1377</v>
      </c>
      <c r="D2770">
        <v>3</v>
      </c>
      <c r="E2770" s="307">
        <v>3</v>
      </c>
      <c r="F2770" s="307" t="s">
        <v>7</v>
      </c>
      <c r="G2770" s="307" t="s">
        <v>11</v>
      </c>
      <c r="H2770" s="307" t="s">
        <v>11</v>
      </c>
    </row>
    <row r="2771" spans="1:8" x14ac:dyDescent="0.2">
      <c r="A2771" t="s">
        <v>57</v>
      </c>
      <c r="B2771" t="s">
        <v>112</v>
      </c>
      <c r="C2771" t="s">
        <v>2340</v>
      </c>
      <c r="D2771">
        <v>3</v>
      </c>
      <c r="E2771" s="307">
        <v>3</v>
      </c>
      <c r="F2771" s="307" t="s">
        <v>75</v>
      </c>
      <c r="G2771" s="307" t="s">
        <v>11</v>
      </c>
      <c r="H2771" s="307" t="s">
        <v>11</v>
      </c>
    </row>
    <row r="2772" spans="1:8" x14ac:dyDescent="0.2">
      <c r="A2772" t="s">
        <v>57</v>
      </c>
      <c r="B2772" t="s">
        <v>112</v>
      </c>
      <c r="C2772" t="s">
        <v>2341</v>
      </c>
      <c r="D2772">
        <v>3</v>
      </c>
      <c r="E2772" s="307">
        <v>2</v>
      </c>
      <c r="F2772" s="307" t="s">
        <v>7</v>
      </c>
      <c r="G2772" s="307" t="s">
        <v>115</v>
      </c>
      <c r="H2772" s="307" t="s">
        <v>11</v>
      </c>
    </row>
    <row r="2773" spans="1:8" x14ac:dyDescent="0.2">
      <c r="A2773" t="s">
        <v>57</v>
      </c>
      <c r="B2773" t="s">
        <v>112</v>
      </c>
      <c r="C2773" t="s">
        <v>1225</v>
      </c>
      <c r="D2773">
        <v>3</v>
      </c>
      <c r="E2773" s="307">
        <v>2</v>
      </c>
      <c r="F2773" s="307" t="s">
        <v>7</v>
      </c>
      <c r="G2773" s="307" t="s">
        <v>115</v>
      </c>
      <c r="H2773" s="307" t="s">
        <v>11</v>
      </c>
    </row>
    <row r="2774" spans="1:8" x14ac:dyDescent="0.2">
      <c r="A2774" t="s">
        <v>57</v>
      </c>
      <c r="B2774" t="s">
        <v>112</v>
      </c>
      <c r="C2774" t="s">
        <v>1378</v>
      </c>
      <c r="D2774">
        <v>3</v>
      </c>
      <c r="E2774" s="307">
        <v>2</v>
      </c>
      <c r="F2774" s="307" t="s">
        <v>7</v>
      </c>
      <c r="G2774" s="307" t="s">
        <v>115</v>
      </c>
      <c r="H2774" s="307" t="s">
        <v>11</v>
      </c>
    </row>
    <row r="2775" spans="1:8" x14ac:dyDescent="0.2">
      <c r="A2775" t="s">
        <v>57</v>
      </c>
      <c r="B2775" t="s">
        <v>112</v>
      </c>
      <c r="C2775" t="s">
        <v>2342</v>
      </c>
      <c r="D2775">
        <v>3</v>
      </c>
      <c r="E2775" s="307">
        <v>3</v>
      </c>
      <c r="F2775" s="307" t="s">
        <v>75</v>
      </c>
      <c r="G2775" s="307" t="s">
        <v>11</v>
      </c>
      <c r="H2775" s="307" t="s">
        <v>11</v>
      </c>
    </row>
    <row r="2776" spans="1:8" x14ac:dyDescent="0.2">
      <c r="A2776" t="s">
        <v>57</v>
      </c>
      <c r="B2776" t="s">
        <v>112</v>
      </c>
      <c r="C2776" t="s">
        <v>2343</v>
      </c>
      <c r="D2776">
        <v>3</v>
      </c>
      <c r="E2776" s="307">
        <v>3</v>
      </c>
      <c r="F2776" s="307" t="s">
        <v>7</v>
      </c>
      <c r="G2776" s="307" t="s">
        <v>11</v>
      </c>
      <c r="H2776" s="307" t="s">
        <v>11</v>
      </c>
    </row>
    <row r="2777" spans="1:8" x14ac:dyDescent="0.2">
      <c r="A2777" t="s">
        <v>57</v>
      </c>
      <c r="B2777" t="s">
        <v>112</v>
      </c>
      <c r="C2777" t="s">
        <v>2005</v>
      </c>
      <c r="D2777">
        <v>3</v>
      </c>
      <c r="E2777" s="307">
        <v>3</v>
      </c>
      <c r="F2777" s="307" t="s">
        <v>7</v>
      </c>
      <c r="G2777" s="307" t="s">
        <v>115</v>
      </c>
      <c r="H2777" s="307" t="s">
        <v>11</v>
      </c>
    </row>
    <row r="2778" spans="1:8" x14ac:dyDescent="0.2">
      <c r="A2778" t="s">
        <v>57</v>
      </c>
      <c r="B2778" t="s">
        <v>112</v>
      </c>
      <c r="C2778" t="s">
        <v>2344</v>
      </c>
      <c r="D2778">
        <v>3</v>
      </c>
      <c r="E2778" s="307">
        <v>4</v>
      </c>
      <c r="F2778" s="307" t="s">
        <v>75</v>
      </c>
      <c r="G2778" s="307" t="s">
        <v>11</v>
      </c>
      <c r="H2778" s="307" t="s">
        <v>11</v>
      </c>
    </row>
    <row r="2779" spans="1:8" x14ac:dyDescent="0.2">
      <c r="A2779" t="s">
        <v>57</v>
      </c>
      <c r="B2779" t="s">
        <v>112</v>
      </c>
      <c r="C2779" t="s">
        <v>2345</v>
      </c>
      <c r="D2779">
        <v>3</v>
      </c>
      <c r="E2779" s="307">
        <v>3</v>
      </c>
      <c r="F2779" s="307" t="s">
        <v>7</v>
      </c>
      <c r="G2779" s="307" t="s">
        <v>11</v>
      </c>
      <c r="H2779" s="307" t="s">
        <v>11</v>
      </c>
    </row>
    <row r="2780" spans="1:8" x14ac:dyDescent="0.2">
      <c r="A2780" t="s">
        <v>57</v>
      </c>
      <c r="B2780" t="s">
        <v>112</v>
      </c>
      <c r="C2780" t="s">
        <v>2346</v>
      </c>
      <c r="D2780">
        <v>3</v>
      </c>
      <c r="E2780" s="307">
        <v>2</v>
      </c>
      <c r="F2780" s="307" t="s">
        <v>75</v>
      </c>
      <c r="G2780" s="307" t="s">
        <v>11</v>
      </c>
      <c r="H2780" s="307" t="s">
        <v>11</v>
      </c>
    </row>
    <row r="2781" spans="1:8" x14ac:dyDescent="0.2">
      <c r="A2781" t="s">
        <v>57</v>
      </c>
      <c r="B2781" t="s">
        <v>112</v>
      </c>
      <c r="C2781" t="s">
        <v>2347</v>
      </c>
      <c r="D2781">
        <v>3</v>
      </c>
      <c r="E2781" s="307">
        <v>2</v>
      </c>
      <c r="F2781" s="307" t="s">
        <v>75</v>
      </c>
      <c r="G2781" s="307" t="s">
        <v>11</v>
      </c>
      <c r="H2781" s="307" t="s">
        <v>11</v>
      </c>
    </row>
    <row r="2782" spans="1:8" x14ac:dyDescent="0.2">
      <c r="A2782" t="s">
        <v>58</v>
      </c>
      <c r="B2782" t="s">
        <v>83</v>
      </c>
      <c r="C2782" t="s">
        <v>2009</v>
      </c>
      <c r="D2782">
        <v>2</v>
      </c>
      <c r="E2782" s="307">
        <v>5</v>
      </c>
      <c r="F2782" s="307" t="s">
        <v>75</v>
      </c>
      <c r="G2782" s="307" t="s">
        <v>11</v>
      </c>
      <c r="H2782" s="307" t="s">
        <v>11</v>
      </c>
    </row>
    <row r="2783" spans="1:8" x14ac:dyDescent="0.2">
      <c r="A2783" t="s">
        <v>58</v>
      </c>
      <c r="B2783" t="s">
        <v>83</v>
      </c>
      <c r="C2783" t="s">
        <v>2348</v>
      </c>
      <c r="D2783">
        <v>2</v>
      </c>
      <c r="E2783" s="307">
        <v>6</v>
      </c>
      <c r="F2783" s="307" t="s">
        <v>75</v>
      </c>
      <c r="G2783" s="307" t="s">
        <v>11</v>
      </c>
      <c r="H2783" s="307" t="s">
        <v>11</v>
      </c>
    </row>
    <row r="2784" spans="1:8" x14ac:dyDescent="0.2">
      <c r="A2784" t="s">
        <v>58</v>
      </c>
      <c r="B2784" t="s">
        <v>83</v>
      </c>
      <c r="C2784" t="s">
        <v>2349</v>
      </c>
      <c r="D2784">
        <v>2</v>
      </c>
      <c r="E2784" s="307">
        <v>6</v>
      </c>
      <c r="F2784" s="307" t="s">
        <v>75</v>
      </c>
      <c r="G2784" s="307" t="s">
        <v>11</v>
      </c>
      <c r="H2784" s="307" t="s">
        <v>11</v>
      </c>
    </row>
    <row r="2785" spans="1:8" x14ac:dyDescent="0.2">
      <c r="A2785" t="s">
        <v>58</v>
      </c>
      <c r="B2785" t="s">
        <v>83</v>
      </c>
      <c r="C2785" t="s">
        <v>1720</v>
      </c>
      <c r="D2785">
        <v>1</v>
      </c>
      <c r="E2785" s="307">
        <v>6</v>
      </c>
      <c r="F2785" s="307" t="s">
        <v>75</v>
      </c>
      <c r="G2785" s="307" t="s">
        <v>11</v>
      </c>
      <c r="H2785" s="307" t="s">
        <v>11</v>
      </c>
    </row>
    <row r="2786" spans="1:8" x14ac:dyDescent="0.2">
      <c r="A2786" t="s">
        <v>58</v>
      </c>
      <c r="B2786" t="s">
        <v>83</v>
      </c>
      <c r="C2786" t="s">
        <v>2350</v>
      </c>
      <c r="D2786">
        <v>2</v>
      </c>
      <c r="E2786" s="307">
        <v>6</v>
      </c>
      <c r="F2786" s="307" t="s">
        <v>75</v>
      </c>
      <c r="G2786" s="307" t="s">
        <v>11</v>
      </c>
      <c r="H2786" s="307" t="s">
        <v>11</v>
      </c>
    </row>
    <row r="2787" spans="1:8" x14ac:dyDescent="0.2">
      <c r="A2787" t="s">
        <v>58</v>
      </c>
      <c r="B2787" t="s">
        <v>83</v>
      </c>
      <c r="C2787" t="s">
        <v>1280</v>
      </c>
      <c r="D2787">
        <v>2</v>
      </c>
      <c r="E2787" s="307">
        <v>5</v>
      </c>
      <c r="F2787" s="307" t="s">
        <v>75</v>
      </c>
      <c r="G2787" s="307" t="s">
        <v>11</v>
      </c>
      <c r="H2787" s="307" t="s">
        <v>11</v>
      </c>
    </row>
    <row r="2788" spans="1:8" x14ac:dyDescent="0.2">
      <c r="A2788" t="s">
        <v>58</v>
      </c>
      <c r="B2788" t="s">
        <v>83</v>
      </c>
      <c r="C2788" t="s">
        <v>2351</v>
      </c>
      <c r="D2788">
        <v>1</v>
      </c>
      <c r="E2788" s="307">
        <v>6</v>
      </c>
      <c r="F2788" s="307" t="s">
        <v>75</v>
      </c>
      <c r="G2788" s="307" t="s">
        <v>11</v>
      </c>
      <c r="H2788" s="307" t="s">
        <v>11</v>
      </c>
    </row>
    <row r="2789" spans="1:8" x14ac:dyDescent="0.2">
      <c r="A2789" t="s">
        <v>58</v>
      </c>
      <c r="B2789" t="s">
        <v>83</v>
      </c>
      <c r="C2789" t="s">
        <v>2352</v>
      </c>
      <c r="D2789">
        <v>2</v>
      </c>
      <c r="E2789" s="307">
        <v>5</v>
      </c>
      <c r="F2789" s="307" t="s">
        <v>75</v>
      </c>
      <c r="G2789" s="307" t="s">
        <v>11</v>
      </c>
      <c r="H2789" s="307" t="s">
        <v>11</v>
      </c>
    </row>
    <row r="2790" spans="1:8" x14ac:dyDescent="0.2">
      <c r="A2790" t="s">
        <v>58</v>
      </c>
      <c r="B2790" t="s">
        <v>83</v>
      </c>
      <c r="C2790" t="s">
        <v>934</v>
      </c>
      <c r="D2790">
        <v>2</v>
      </c>
      <c r="E2790" s="307">
        <v>5</v>
      </c>
      <c r="F2790" s="307" t="s">
        <v>75</v>
      </c>
      <c r="G2790" s="307" t="s">
        <v>11</v>
      </c>
      <c r="H2790" s="307" t="s">
        <v>11</v>
      </c>
    </row>
    <row r="2791" spans="1:8" x14ac:dyDescent="0.2">
      <c r="A2791" t="s">
        <v>58</v>
      </c>
      <c r="B2791" t="s">
        <v>83</v>
      </c>
      <c r="C2791" t="s">
        <v>936</v>
      </c>
      <c r="D2791">
        <v>1</v>
      </c>
      <c r="E2791" s="307">
        <v>5</v>
      </c>
      <c r="F2791" s="307" t="s">
        <v>75</v>
      </c>
      <c r="G2791" s="307" t="s">
        <v>11</v>
      </c>
      <c r="H2791" s="307" t="s">
        <v>11</v>
      </c>
    </row>
    <row r="2792" spans="1:8" x14ac:dyDescent="0.2">
      <c r="A2792" t="s">
        <v>58</v>
      </c>
      <c r="B2792" t="s">
        <v>83</v>
      </c>
      <c r="C2792" t="s">
        <v>1545</v>
      </c>
      <c r="D2792">
        <v>2</v>
      </c>
      <c r="E2792" s="307">
        <v>5</v>
      </c>
      <c r="F2792" s="307" t="s">
        <v>75</v>
      </c>
      <c r="G2792" s="307" t="s">
        <v>11</v>
      </c>
      <c r="H2792" s="307" t="s">
        <v>11</v>
      </c>
    </row>
    <row r="2793" spans="1:8" x14ac:dyDescent="0.2">
      <c r="A2793" t="s">
        <v>58</v>
      </c>
      <c r="B2793" t="s">
        <v>83</v>
      </c>
      <c r="C2793" t="s">
        <v>2353</v>
      </c>
      <c r="D2793">
        <v>2</v>
      </c>
      <c r="E2793" s="307">
        <v>5</v>
      </c>
      <c r="F2793" s="307" t="s">
        <v>75</v>
      </c>
      <c r="G2793" s="307" t="s">
        <v>11</v>
      </c>
      <c r="H2793" s="307" t="s">
        <v>11</v>
      </c>
    </row>
    <row r="2794" spans="1:8" x14ac:dyDescent="0.2">
      <c r="A2794" t="s">
        <v>58</v>
      </c>
      <c r="B2794" t="s">
        <v>83</v>
      </c>
      <c r="C2794" t="s">
        <v>1196</v>
      </c>
      <c r="D2794">
        <v>2</v>
      </c>
      <c r="E2794" s="307">
        <v>5</v>
      </c>
      <c r="F2794" s="307" t="s">
        <v>75</v>
      </c>
      <c r="G2794" s="307" t="s">
        <v>11</v>
      </c>
      <c r="H2794" s="307" t="s">
        <v>11</v>
      </c>
    </row>
    <row r="2795" spans="1:8" x14ac:dyDescent="0.2">
      <c r="A2795" t="s">
        <v>58</v>
      </c>
      <c r="B2795" t="s">
        <v>83</v>
      </c>
      <c r="C2795" t="s">
        <v>2354</v>
      </c>
      <c r="D2795">
        <v>2</v>
      </c>
      <c r="E2795" s="307">
        <v>5</v>
      </c>
      <c r="F2795" s="307" t="s">
        <v>75</v>
      </c>
      <c r="G2795" s="307" t="s">
        <v>11</v>
      </c>
      <c r="H2795" s="307" t="s">
        <v>11</v>
      </c>
    </row>
    <row r="2796" spans="1:8" x14ac:dyDescent="0.2">
      <c r="A2796" t="s">
        <v>58</v>
      </c>
      <c r="B2796" t="s">
        <v>83</v>
      </c>
      <c r="C2796" t="s">
        <v>737</v>
      </c>
      <c r="D2796">
        <v>2</v>
      </c>
      <c r="E2796" s="307">
        <v>6</v>
      </c>
      <c r="F2796" s="307" t="s">
        <v>75</v>
      </c>
      <c r="G2796" s="307" t="s">
        <v>11</v>
      </c>
      <c r="H2796" s="307" t="s">
        <v>11</v>
      </c>
    </row>
    <row r="2797" spans="1:8" x14ac:dyDescent="0.2">
      <c r="A2797" t="s">
        <v>58</v>
      </c>
      <c r="B2797" t="s">
        <v>83</v>
      </c>
      <c r="C2797" t="s">
        <v>2355</v>
      </c>
      <c r="D2797">
        <v>1</v>
      </c>
      <c r="E2797" s="307">
        <v>5</v>
      </c>
      <c r="F2797" s="307" t="s">
        <v>75</v>
      </c>
      <c r="G2797" s="307" t="s">
        <v>11</v>
      </c>
      <c r="H2797" s="307" t="s">
        <v>11</v>
      </c>
    </row>
    <row r="2798" spans="1:8" x14ac:dyDescent="0.2">
      <c r="A2798" t="s">
        <v>58</v>
      </c>
      <c r="B2798" t="s">
        <v>83</v>
      </c>
      <c r="C2798" t="s">
        <v>2356</v>
      </c>
      <c r="D2798">
        <v>2</v>
      </c>
      <c r="E2798" s="307">
        <v>6</v>
      </c>
      <c r="F2798" s="307" t="s">
        <v>75</v>
      </c>
      <c r="G2798" s="307" t="s">
        <v>11</v>
      </c>
      <c r="H2798" s="307" t="s">
        <v>11</v>
      </c>
    </row>
    <row r="2799" spans="1:8" x14ac:dyDescent="0.2">
      <c r="A2799" t="s">
        <v>58</v>
      </c>
      <c r="B2799" t="s">
        <v>83</v>
      </c>
      <c r="C2799" t="s">
        <v>2357</v>
      </c>
      <c r="D2799">
        <v>2</v>
      </c>
      <c r="E2799" s="307">
        <v>5</v>
      </c>
      <c r="F2799" s="307" t="s">
        <v>75</v>
      </c>
      <c r="G2799" s="307" t="s">
        <v>11</v>
      </c>
      <c r="H2799" s="307" t="s">
        <v>11</v>
      </c>
    </row>
    <row r="2800" spans="1:8" x14ac:dyDescent="0.2">
      <c r="A2800" t="s">
        <v>58</v>
      </c>
      <c r="B2800" t="s">
        <v>83</v>
      </c>
      <c r="C2800" t="s">
        <v>960</v>
      </c>
      <c r="D2800">
        <v>2</v>
      </c>
      <c r="E2800" s="307">
        <v>5</v>
      </c>
      <c r="F2800" s="307" t="s">
        <v>75</v>
      </c>
      <c r="G2800" s="307" t="s">
        <v>11</v>
      </c>
      <c r="H2800" s="307" t="s">
        <v>11</v>
      </c>
    </row>
    <row r="2801" spans="1:8" x14ac:dyDescent="0.2">
      <c r="A2801" t="s">
        <v>58</v>
      </c>
      <c r="B2801" t="s">
        <v>83</v>
      </c>
      <c r="C2801" t="s">
        <v>2358</v>
      </c>
      <c r="D2801">
        <v>1</v>
      </c>
      <c r="E2801" s="307">
        <v>5</v>
      </c>
      <c r="F2801" s="307" t="s">
        <v>75</v>
      </c>
      <c r="G2801" s="307" t="s">
        <v>11</v>
      </c>
      <c r="H2801" s="307" t="s">
        <v>11</v>
      </c>
    </row>
    <row r="2802" spans="1:8" x14ac:dyDescent="0.2">
      <c r="A2802" t="s">
        <v>58</v>
      </c>
      <c r="B2802" t="s">
        <v>83</v>
      </c>
      <c r="C2802" t="s">
        <v>847</v>
      </c>
      <c r="D2802">
        <v>1</v>
      </c>
      <c r="E2802" s="307">
        <v>5</v>
      </c>
      <c r="F2802" s="307" t="s">
        <v>75</v>
      </c>
      <c r="G2802" s="307" t="s">
        <v>11</v>
      </c>
      <c r="H2802" s="307" t="s">
        <v>11</v>
      </c>
    </row>
    <row r="2803" spans="1:8" x14ac:dyDescent="0.2">
      <c r="A2803" t="s">
        <v>58</v>
      </c>
      <c r="B2803" t="s">
        <v>83</v>
      </c>
      <c r="C2803" t="s">
        <v>963</v>
      </c>
      <c r="D2803">
        <v>2</v>
      </c>
      <c r="E2803" s="307">
        <v>6</v>
      </c>
      <c r="F2803" s="307" t="s">
        <v>75</v>
      </c>
      <c r="G2803" s="307" t="s">
        <v>11</v>
      </c>
      <c r="H2803" s="307" t="s">
        <v>11</v>
      </c>
    </row>
    <row r="2804" spans="1:8" x14ac:dyDescent="0.2">
      <c r="A2804" t="s">
        <v>58</v>
      </c>
      <c r="B2804" t="s">
        <v>83</v>
      </c>
      <c r="C2804" t="s">
        <v>2359</v>
      </c>
      <c r="D2804">
        <v>2</v>
      </c>
      <c r="E2804" s="307">
        <v>5</v>
      </c>
      <c r="F2804" s="307" t="s">
        <v>75</v>
      </c>
      <c r="G2804" s="307" t="s">
        <v>11</v>
      </c>
      <c r="H2804" s="307" t="s">
        <v>11</v>
      </c>
    </row>
    <row r="2805" spans="1:8" x14ac:dyDescent="0.2">
      <c r="A2805" t="s">
        <v>58</v>
      </c>
      <c r="B2805" t="s">
        <v>83</v>
      </c>
      <c r="C2805" t="s">
        <v>2360</v>
      </c>
      <c r="D2805">
        <v>1</v>
      </c>
      <c r="E2805" s="307">
        <v>6</v>
      </c>
      <c r="F2805" s="307" t="s">
        <v>75</v>
      </c>
      <c r="G2805" s="307" t="s">
        <v>11</v>
      </c>
      <c r="H2805" s="307" t="s">
        <v>11</v>
      </c>
    </row>
    <row r="2806" spans="1:8" x14ac:dyDescent="0.2">
      <c r="A2806" t="s">
        <v>58</v>
      </c>
      <c r="B2806" t="s">
        <v>83</v>
      </c>
      <c r="C2806" t="s">
        <v>2361</v>
      </c>
      <c r="D2806">
        <v>2</v>
      </c>
      <c r="E2806" s="307">
        <v>5</v>
      </c>
      <c r="F2806" s="307" t="s">
        <v>75</v>
      </c>
      <c r="G2806" s="307" t="s">
        <v>11</v>
      </c>
      <c r="H2806" s="307" t="s">
        <v>11</v>
      </c>
    </row>
    <row r="2807" spans="1:8" x14ac:dyDescent="0.2">
      <c r="A2807" t="s">
        <v>58</v>
      </c>
      <c r="B2807" t="s">
        <v>83</v>
      </c>
      <c r="C2807" t="s">
        <v>2362</v>
      </c>
      <c r="D2807">
        <v>2</v>
      </c>
      <c r="E2807" s="307">
        <v>6</v>
      </c>
      <c r="F2807" s="307" t="s">
        <v>75</v>
      </c>
      <c r="G2807" s="307" t="s">
        <v>11</v>
      </c>
      <c r="H2807" s="307" t="s">
        <v>11</v>
      </c>
    </row>
    <row r="2808" spans="1:8" x14ac:dyDescent="0.2">
      <c r="A2808" t="s">
        <v>58</v>
      </c>
      <c r="B2808" t="s">
        <v>83</v>
      </c>
      <c r="C2808" t="s">
        <v>750</v>
      </c>
      <c r="D2808">
        <v>2</v>
      </c>
      <c r="E2808" s="307">
        <v>3</v>
      </c>
      <c r="F2808" s="307" t="s">
        <v>75</v>
      </c>
      <c r="G2808" s="307" t="s">
        <v>11</v>
      </c>
      <c r="H2808" s="307" t="s">
        <v>11</v>
      </c>
    </row>
    <row r="2809" spans="1:8" x14ac:dyDescent="0.2">
      <c r="A2809" t="s">
        <v>58</v>
      </c>
      <c r="B2809" t="s">
        <v>83</v>
      </c>
      <c r="C2809" t="s">
        <v>1129</v>
      </c>
      <c r="D2809">
        <v>2</v>
      </c>
      <c r="E2809" s="307">
        <v>5</v>
      </c>
      <c r="F2809" s="307" t="s">
        <v>75</v>
      </c>
      <c r="G2809" s="307" t="s">
        <v>11</v>
      </c>
      <c r="H2809" s="307" t="s">
        <v>11</v>
      </c>
    </row>
    <row r="2810" spans="1:8" x14ac:dyDescent="0.2">
      <c r="A2810" t="s">
        <v>58</v>
      </c>
      <c r="B2810" t="s">
        <v>83</v>
      </c>
      <c r="C2810" t="s">
        <v>2363</v>
      </c>
      <c r="D2810">
        <v>2</v>
      </c>
      <c r="E2810" s="307">
        <v>5</v>
      </c>
      <c r="F2810" s="307" t="s">
        <v>75</v>
      </c>
      <c r="G2810" s="307" t="s">
        <v>11</v>
      </c>
      <c r="H2810" s="307" t="s">
        <v>11</v>
      </c>
    </row>
    <row r="2811" spans="1:8" x14ac:dyDescent="0.2">
      <c r="A2811" t="s">
        <v>60</v>
      </c>
      <c r="B2811" t="s">
        <v>84</v>
      </c>
      <c r="C2811" t="s">
        <v>2364</v>
      </c>
      <c r="D2811">
        <v>2</v>
      </c>
      <c r="E2811" s="307">
        <v>6</v>
      </c>
      <c r="F2811" s="307" t="s">
        <v>7</v>
      </c>
      <c r="G2811" s="307" t="s">
        <v>11</v>
      </c>
      <c r="H2811" s="307" t="s">
        <v>11</v>
      </c>
    </row>
    <row r="2812" spans="1:8" x14ac:dyDescent="0.2">
      <c r="A2812" t="s">
        <v>60</v>
      </c>
      <c r="B2812" t="s">
        <v>84</v>
      </c>
      <c r="C2812" t="s">
        <v>2365</v>
      </c>
      <c r="D2812">
        <v>2</v>
      </c>
      <c r="E2812" s="307">
        <v>6</v>
      </c>
      <c r="F2812" s="307" t="s">
        <v>7</v>
      </c>
      <c r="G2812" s="307" t="s">
        <v>11</v>
      </c>
      <c r="H2812" s="307" t="s">
        <v>11</v>
      </c>
    </row>
    <row r="2813" spans="1:8" x14ac:dyDescent="0.2">
      <c r="A2813" t="s">
        <v>60</v>
      </c>
      <c r="B2813" t="s">
        <v>84</v>
      </c>
      <c r="C2813" t="s">
        <v>2366</v>
      </c>
      <c r="D2813">
        <v>2</v>
      </c>
      <c r="E2813" s="307">
        <v>6</v>
      </c>
      <c r="F2813" s="307" t="s">
        <v>7</v>
      </c>
      <c r="G2813" s="307" t="s">
        <v>11</v>
      </c>
      <c r="H2813" s="307" t="s">
        <v>11</v>
      </c>
    </row>
    <row r="2814" spans="1:8" x14ac:dyDescent="0.2">
      <c r="A2814" t="s">
        <v>60</v>
      </c>
      <c r="B2814" t="s">
        <v>84</v>
      </c>
      <c r="C2814" t="s">
        <v>2367</v>
      </c>
      <c r="D2814">
        <v>3</v>
      </c>
      <c r="E2814" s="307">
        <v>6</v>
      </c>
      <c r="F2814" s="307" t="s">
        <v>7</v>
      </c>
      <c r="G2814" s="307" t="s">
        <v>11</v>
      </c>
      <c r="H2814" s="307" t="s">
        <v>11</v>
      </c>
    </row>
    <row r="2815" spans="1:8" x14ac:dyDescent="0.2">
      <c r="A2815" t="s">
        <v>60</v>
      </c>
      <c r="B2815" t="s">
        <v>84</v>
      </c>
      <c r="C2815" t="s">
        <v>1513</v>
      </c>
      <c r="D2815">
        <v>2</v>
      </c>
      <c r="E2815" s="307">
        <v>6</v>
      </c>
      <c r="F2815" s="307" t="s">
        <v>7</v>
      </c>
      <c r="G2815" s="307" t="s">
        <v>11</v>
      </c>
      <c r="H2815" s="307" t="s">
        <v>11</v>
      </c>
    </row>
    <row r="2816" spans="1:8" x14ac:dyDescent="0.2">
      <c r="A2816" t="s">
        <v>60</v>
      </c>
      <c r="B2816" t="s">
        <v>84</v>
      </c>
      <c r="C2816" t="s">
        <v>715</v>
      </c>
      <c r="D2816">
        <v>2</v>
      </c>
      <c r="E2816" s="307">
        <v>6</v>
      </c>
      <c r="F2816" s="307" t="s">
        <v>7</v>
      </c>
      <c r="G2816" s="307" t="s">
        <v>11</v>
      </c>
      <c r="H2816" s="307" t="s">
        <v>11</v>
      </c>
    </row>
    <row r="2817" spans="1:8" x14ac:dyDescent="0.2">
      <c r="A2817" t="s">
        <v>60</v>
      </c>
      <c r="B2817" t="s">
        <v>84</v>
      </c>
      <c r="C2817" t="s">
        <v>2368</v>
      </c>
      <c r="D2817">
        <v>3</v>
      </c>
      <c r="E2817" s="307">
        <v>6</v>
      </c>
      <c r="F2817" s="307" t="s">
        <v>7</v>
      </c>
      <c r="G2817" s="307" t="s">
        <v>11</v>
      </c>
      <c r="H2817" s="307" t="s">
        <v>11</v>
      </c>
    </row>
    <row r="2818" spans="1:8" x14ac:dyDescent="0.2">
      <c r="A2818" t="s">
        <v>60</v>
      </c>
      <c r="B2818" t="s">
        <v>84</v>
      </c>
      <c r="C2818" t="s">
        <v>2369</v>
      </c>
      <c r="D2818">
        <v>2</v>
      </c>
      <c r="E2818" s="307">
        <v>6</v>
      </c>
      <c r="F2818" s="307" t="s">
        <v>7</v>
      </c>
      <c r="G2818" s="307" t="s">
        <v>11</v>
      </c>
      <c r="H2818" s="307" t="s">
        <v>11</v>
      </c>
    </row>
    <row r="2819" spans="1:8" x14ac:dyDescent="0.2">
      <c r="A2819" t="s">
        <v>60</v>
      </c>
      <c r="B2819" t="s">
        <v>84</v>
      </c>
      <c r="C2819" t="s">
        <v>883</v>
      </c>
      <c r="D2819">
        <v>2</v>
      </c>
      <c r="E2819" s="307">
        <v>6</v>
      </c>
      <c r="F2819" s="307" t="s">
        <v>7</v>
      </c>
      <c r="G2819" s="307" t="s">
        <v>11</v>
      </c>
      <c r="H2819" s="307" t="s">
        <v>11</v>
      </c>
    </row>
    <row r="2820" spans="1:8" x14ac:dyDescent="0.2">
      <c r="A2820" t="s">
        <v>60</v>
      </c>
      <c r="B2820" t="s">
        <v>84</v>
      </c>
      <c r="C2820" t="s">
        <v>1459</v>
      </c>
      <c r="D2820">
        <v>2</v>
      </c>
      <c r="E2820" s="307">
        <v>6</v>
      </c>
      <c r="F2820" s="307" t="s">
        <v>7</v>
      </c>
      <c r="G2820" s="307" t="s">
        <v>11</v>
      </c>
      <c r="H2820" s="307" t="s">
        <v>11</v>
      </c>
    </row>
    <row r="2821" spans="1:8" x14ac:dyDescent="0.2">
      <c r="A2821" t="s">
        <v>60</v>
      </c>
      <c r="B2821" t="s">
        <v>84</v>
      </c>
      <c r="C2821" t="s">
        <v>2370</v>
      </c>
      <c r="D2821">
        <v>2</v>
      </c>
      <c r="E2821" s="307">
        <v>6</v>
      </c>
      <c r="F2821" s="307" t="s">
        <v>7</v>
      </c>
      <c r="G2821" s="307" t="s">
        <v>11</v>
      </c>
      <c r="H2821" s="307" t="s">
        <v>11</v>
      </c>
    </row>
    <row r="2822" spans="1:8" x14ac:dyDescent="0.2">
      <c r="A2822" t="s">
        <v>60</v>
      </c>
      <c r="B2822" t="s">
        <v>84</v>
      </c>
      <c r="C2822" t="s">
        <v>750</v>
      </c>
      <c r="D2822">
        <v>2</v>
      </c>
      <c r="E2822" s="307">
        <v>6</v>
      </c>
      <c r="F2822" s="307" t="s">
        <v>7</v>
      </c>
      <c r="G2822" s="307" t="s">
        <v>11</v>
      </c>
      <c r="H2822" s="307" t="s">
        <v>11</v>
      </c>
    </row>
    <row r="2823" spans="1:8" x14ac:dyDescent="0.2">
      <c r="A2823" t="s">
        <v>60</v>
      </c>
      <c r="B2823" t="s">
        <v>84</v>
      </c>
      <c r="C2823" t="s">
        <v>973</v>
      </c>
      <c r="D2823">
        <v>2</v>
      </c>
      <c r="E2823" s="307">
        <v>6</v>
      </c>
      <c r="F2823" s="307" t="s">
        <v>7</v>
      </c>
      <c r="G2823" s="307" t="s">
        <v>11</v>
      </c>
      <c r="H2823" s="307" t="s">
        <v>11</v>
      </c>
    </row>
    <row r="2824" spans="1:8" x14ac:dyDescent="0.2">
      <c r="A2824" t="s">
        <v>60</v>
      </c>
      <c r="B2824" t="s">
        <v>84</v>
      </c>
      <c r="C2824" t="s">
        <v>2371</v>
      </c>
      <c r="D2824">
        <v>2</v>
      </c>
      <c r="E2824" s="307">
        <v>6</v>
      </c>
      <c r="F2824" s="307" t="s">
        <v>7</v>
      </c>
      <c r="G2824" s="307" t="s">
        <v>11</v>
      </c>
      <c r="H2824" s="307" t="s">
        <v>11</v>
      </c>
    </row>
    <row r="2825" spans="1:8" x14ac:dyDescent="0.2">
      <c r="A2825" t="s">
        <v>70</v>
      </c>
      <c r="C2825" t="s">
        <v>2372</v>
      </c>
      <c r="D2825" t="s">
        <v>11</v>
      </c>
      <c r="E2825" s="307">
        <v>1</v>
      </c>
      <c r="F2825" s="307" t="s">
        <v>7</v>
      </c>
      <c r="G2825" s="307" t="s">
        <v>115</v>
      </c>
      <c r="H2825" s="307" t="s">
        <v>2885</v>
      </c>
    </row>
    <row r="2826" spans="1:8" x14ac:dyDescent="0.2">
      <c r="A2826" t="s">
        <v>59</v>
      </c>
      <c r="B2826" t="s">
        <v>113</v>
      </c>
      <c r="C2826" t="s">
        <v>2373</v>
      </c>
      <c r="D2826">
        <v>3</v>
      </c>
      <c r="E2826" s="307">
        <v>4</v>
      </c>
      <c r="F2826" s="307" t="s">
        <v>7</v>
      </c>
      <c r="G2826" s="307" t="s">
        <v>11</v>
      </c>
      <c r="H2826" s="307" t="s">
        <v>11</v>
      </c>
    </row>
    <row r="2827" spans="1:8" x14ac:dyDescent="0.2">
      <c r="A2827" t="s">
        <v>59</v>
      </c>
      <c r="B2827" t="s">
        <v>113</v>
      </c>
      <c r="C2827" t="s">
        <v>2374</v>
      </c>
      <c r="D2827">
        <v>2</v>
      </c>
      <c r="E2827" s="307">
        <v>4</v>
      </c>
      <c r="F2827" s="307" t="s">
        <v>7</v>
      </c>
      <c r="G2827" s="307" t="s">
        <v>11</v>
      </c>
      <c r="H2827" s="307" t="s">
        <v>11</v>
      </c>
    </row>
    <row r="2828" spans="1:8" x14ac:dyDescent="0.2">
      <c r="A2828" t="s">
        <v>59</v>
      </c>
      <c r="B2828" t="s">
        <v>113</v>
      </c>
      <c r="C2828" t="s">
        <v>2375</v>
      </c>
      <c r="D2828">
        <v>3</v>
      </c>
      <c r="E2828" s="307">
        <v>4</v>
      </c>
      <c r="F2828" s="307" t="s">
        <v>7</v>
      </c>
      <c r="G2828" s="307" t="s">
        <v>11</v>
      </c>
      <c r="H2828" s="307" t="s">
        <v>11</v>
      </c>
    </row>
    <row r="2829" spans="1:8" x14ac:dyDescent="0.2">
      <c r="A2829" t="s">
        <v>59</v>
      </c>
      <c r="B2829" t="s">
        <v>113</v>
      </c>
      <c r="C2829" t="s">
        <v>1877</v>
      </c>
      <c r="D2829">
        <v>1</v>
      </c>
      <c r="E2829" s="307">
        <v>4</v>
      </c>
      <c r="F2829" s="307" t="s">
        <v>7</v>
      </c>
      <c r="G2829" s="307" t="s">
        <v>11</v>
      </c>
      <c r="H2829" s="307" t="s">
        <v>11</v>
      </c>
    </row>
    <row r="2830" spans="1:8" x14ac:dyDescent="0.2">
      <c r="A2830" t="s">
        <v>59</v>
      </c>
      <c r="B2830" t="s">
        <v>113</v>
      </c>
      <c r="C2830" t="s">
        <v>2376</v>
      </c>
      <c r="D2830">
        <v>1</v>
      </c>
      <c r="E2830" s="307">
        <v>4</v>
      </c>
      <c r="F2830" s="307" t="s">
        <v>7</v>
      </c>
      <c r="G2830" s="307" t="s">
        <v>11</v>
      </c>
      <c r="H2830" s="307" t="s">
        <v>11</v>
      </c>
    </row>
    <row r="2831" spans="1:8" x14ac:dyDescent="0.2">
      <c r="A2831" t="s">
        <v>59</v>
      </c>
      <c r="B2831" t="s">
        <v>113</v>
      </c>
      <c r="C2831" t="s">
        <v>2377</v>
      </c>
      <c r="D2831">
        <v>2</v>
      </c>
      <c r="E2831" s="307">
        <v>4</v>
      </c>
      <c r="F2831" s="307" t="s">
        <v>7</v>
      </c>
      <c r="G2831" s="307" t="s">
        <v>11</v>
      </c>
      <c r="H2831" s="307" t="s">
        <v>11</v>
      </c>
    </row>
    <row r="2832" spans="1:8" x14ac:dyDescent="0.2">
      <c r="A2832" t="s">
        <v>59</v>
      </c>
      <c r="B2832" t="s">
        <v>113</v>
      </c>
      <c r="C2832" t="s">
        <v>2378</v>
      </c>
      <c r="D2832">
        <v>1</v>
      </c>
      <c r="E2832" s="307">
        <v>4</v>
      </c>
      <c r="F2832" s="307" t="s">
        <v>7</v>
      </c>
      <c r="G2832" s="307" t="s">
        <v>11</v>
      </c>
      <c r="H2832" s="307" t="s">
        <v>11</v>
      </c>
    </row>
    <row r="2833" spans="1:8" x14ac:dyDescent="0.2">
      <c r="A2833" t="s">
        <v>59</v>
      </c>
      <c r="B2833" t="s">
        <v>113</v>
      </c>
      <c r="C2833" t="s">
        <v>2379</v>
      </c>
      <c r="D2833">
        <v>2</v>
      </c>
      <c r="E2833" s="307">
        <v>4</v>
      </c>
      <c r="F2833" s="307" t="s">
        <v>7</v>
      </c>
      <c r="G2833" s="307" t="s">
        <v>11</v>
      </c>
      <c r="H2833" s="307" t="s">
        <v>11</v>
      </c>
    </row>
    <row r="2834" spans="1:8" x14ac:dyDescent="0.2">
      <c r="A2834" t="s">
        <v>59</v>
      </c>
      <c r="B2834" t="s">
        <v>113</v>
      </c>
      <c r="C2834" t="s">
        <v>2380</v>
      </c>
      <c r="D2834">
        <v>1</v>
      </c>
      <c r="E2834" s="307">
        <v>4</v>
      </c>
      <c r="F2834" s="307" t="s">
        <v>7</v>
      </c>
      <c r="G2834" s="307" t="s">
        <v>11</v>
      </c>
      <c r="H2834" s="307" t="s">
        <v>11</v>
      </c>
    </row>
    <row r="2835" spans="1:8" x14ac:dyDescent="0.2">
      <c r="A2835" t="s">
        <v>59</v>
      </c>
      <c r="B2835" t="s">
        <v>113</v>
      </c>
      <c r="C2835" t="s">
        <v>1383</v>
      </c>
      <c r="D2835">
        <v>1</v>
      </c>
      <c r="E2835" s="307">
        <v>4</v>
      </c>
      <c r="F2835" s="307" t="s">
        <v>7</v>
      </c>
      <c r="G2835" s="307" t="s">
        <v>11</v>
      </c>
      <c r="H2835" s="307" t="s">
        <v>11</v>
      </c>
    </row>
    <row r="2836" spans="1:8" x14ac:dyDescent="0.2">
      <c r="A2836" t="s">
        <v>59</v>
      </c>
      <c r="B2836" t="s">
        <v>113</v>
      </c>
      <c r="C2836" t="s">
        <v>2066</v>
      </c>
      <c r="D2836">
        <v>2</v>
      </c>
      <c r="E2836" s="307">
        <v>4</v>
      </c>
      <c r="F2836" s="307" t="s">
        <v>7</v>
      </c>
      <c r="G2836" s="307" t="s">
        <v>11</v>
      </c>
      <c r="H2836" s="307" t="s">
        <v>11</v>
      </c>
    </row>
    <row r="2837" spans="1:8" x14ac:dyDescent="0.2">
      <c r="A2837" t="s">
        <v>59</v>
      </c>
      <c r="B2837" t="s">
        <v>113</v>
      </c>
      <c r="C2837" t="s">
        <v>2381</v>
      </c>
      <c r="D2837">
        <v>1</v>
      </c>
      <c r="E2837" s="307">
        <v>4</v>
      </c>
      <c r="F2837" s="307" t="s">
        <v>7</v>
      </c>
      <c r="G2837" s="307" t="s">
        <v>11</v>
      </c>
      <c r="H2837" s="307" t="s">
        <v>11</v>
      </c>
    </row>
    <row r="2838" spans="1:8" x14ac:dyDescent="0.2">
      <c r="A2838" t="s">
        <v>59</v>
      </c>
      <c r="B2838" t="s">
        <v>113</v>
      </c>
      <c r="C2838" t="s">
        <v>2382</v>
      </c>
      <c r="D2838">
        <v>1</v>
      </c>
      <c r="E2838" s="307">
        <v>4</v>
      </c>
      <c r="F2838" s="307" t="s">
        <v>7</v>
      </c>
      <c r="G2838" s="307" t="s">
        <v>11</v>
      </c>
      <c r="H2838" s="307" t="s">
        <v>11</v>
      </c>
    </row>
    <row r="2839" spans="1:8" x14ac:dyDescent="0.2">
      <c r="A2839" t="s">
        <v>59</v>
      </c>
      <c r="B2839" t="s">
        <v>113</v>
      </c>
      <c r="C2839" t="s">
        <v>2383</v>
      </c>
      <c r="D2839">
        <v>1</v>
      </c>
      <c r="E2839" s="307">
        <v>4</v>
      </c>
      <c r="F2839" s="307" t="s">
        <v>7</v>
      </c>
      <c r="G2839" s="307" t="s">
        <v>11</v>
      </c>
      <c r="H2839" s="307" t="s">
        <v>11</v>
      </c>
    </row>
    <row r="2840" spans="1:8" x14ac:dyDescent="0.2">
      <c r="A2840" t="s">
        <v>59</v>
      </c>
      <c r="B2840" t="s">
        <v>113</v>
      </c>
      <c r="C2840" t="s">
        <v>1884</v>
      </c>
      <c r="D2840">
        <v>1</v>
      </c>
      <c r="E2840" s="307">
        <v>4</v>
      </c>
      <c r="F2840" s="307" t="s">
        <v>7</v>
      </c>
      <c r="G2840" s="307" t="s">
        <v>11</v>
      </c>
      <c r="H2840" s="307" t="s">
        <v>11</v>
      </c>
    </row>
    <row r="2841" spans="1:8" x14ac:dyDescent="0.2">
      <c r="A2841" t="s">
        <v>59</v>
      </c>
      <c r="B2841" t="s">
        <v>113</v>
      </c>
      <c r="C2841" t="s">
        <v>1275</v>
      </c>
      <c r="D2841">
        <v>2</v>
      </c>
      <c r="E2841" s="307">
        <v>4</v>
      </c>
      <c r="F2841" s="307" t="s">
        <v>7</v>
      </c>
      <c r="G2841" s="307" t="s">
        <v>11</v>
      </c>
      <c r="H2841" s="307" t="s">
        <v>11</v>
      </c>
    </row>
    <row r="2842" spans="1:8" x14ac:dyDescent="0.2">
      <c r="A2842" t="s">
        <v>59</v>
      </c>
      <c r="B2842" t="s">
        <v>113</v>
      </c>
      <c r="C2842" t="s">
        <v>2384</v>
      </c>
      <c r="D2842">
        <v>1</v>
      </c>
      <c r="E2842" s="307">
        <v>4</v>
      </c>
      <c r="F2842" s="307" t="s">
        <v>7</v>
      </c>
      <c r="G2842" s="307" t="s">
        <v>11</v>
      </c>
      <c r="H2842" s="307" t="s">
        <v>11</v>
      </c>
    </row>
    <row r="2843" spans="1:8" x14ac:dyDescent="0.2">
      <c r="A2843" t="s">
        <v>59</v>
      </c>
      <c r="B2843" t="s">
        <v>113</v>
      </c>
      <c r="C2843" t="s">
        <v>2385</v>
      </c>
      <c r="D2843">
        <v>1</v>
      </c>
      <c r="E2843" s="307">
        <v>4</v>
      </c>
      <c r="F2843" s="307" t="s">
        <v>7</v>
      </c>
      <c r="G2843" s="307" t="s">
        <v>11</v>
      </c>
      <c r="H2843" s="307" t="s">
        <v>11</v>
      </c>
    </row>
    <row r="2844" spans="1:8" x14ac:dyDescent="0.2">
      <c r="A2844" t="s">
        <v>59</v>
      </c>
      <c r="B2844" t="s">
        <v>113</v>
      </c>
      <c r="C2844" t="s">
        <v>1393</v>
      </c>
      <c r="D2844">
        <v>1</v>
      </c>
      <c r="E2844" s="307">
        <v>4</v>
      </c>
      <c r="F2844" s="307" t="s">
        <v>7</v>
      </c>
      <c r="G2844" s="307" t="s">
        <v>11</v>
      </c>
      <c r="H2844" s="307" t="s">
        <v>11</v>
      </c>
    </row>
    <row r="2845" spans="1:8" x14ac:dyDescent="0.2">
      <c r="A2845" t="s">
        <v>59</v>
      </c>
      <c r="B2845" t="s">
        <v>113</v>
      </c>
      <c r="C2845" t="s">
        <v>1497</v>
      </c>
      <c r="D2845">
        <v>3</v>
      </c>
      <c r="E2845" s="307">
        <v>4</v>
      </c>
      <c r="F2845" s="307" t="s">
        <v>7</v>
      </c>
      <c r="G2845" s="307" t="s">
        <v>11</v>
      </c>
      <c r="H2845" s="307" t="s">
        <v>11</v>
      </c>
    </row>
    <row r="2846" spans="1:8" x14ac:dyDescent="0.2">
      <c r="A2846" t="s">
        <v>59</v>
      </c>
      <c r="B2846" t="s">
        <v>113</v>
      </c>
      <c r="C2846" t="s">
        <v>804</v>
      </c>
      <c r="D2846">
        <v>2</v>
      </c>
      <c r="E2846" s="307">
        <v>4</v>
      </c>
      <c r="F2846" s="307" t="s">
        <v>7</v>
      </c>
      <c r="G2846" s="307" t="s">
        <v>11</v>
      </c>
      <c r="H2846" s="307" t="s">
        <v>11</v>
      </c>
    </row>
    <row r="2847" spans="1:8" x14ac:dyDescent="0.2">
      <c r="A2847" t="s">
        <v>59</v>
      </c>
      <c r="B2847" t="s">
        <v>113</v>
      </c>
      <c r="C2847" t="s">
        <v>2386</v>
      </c>
      <c r="D2847">
        <v>3</v>
      </c>
      <c r="E2847" s="307">
        <v>4</v>
      </c>
      <c r="F2847" s="307" t="s">
        <v>7</v>
      </c>
      <c r="G2847" s="307" t="s">
        <v>11</v>
      </c>
      <c r="H2847" s="307" t="s">
        <v>11</v>
      </c>
    </row>
    <row r="2848" spans="1:8" x14ac:dyDescent="0.2">
      <c r="A2848" t="s">
        <v>59</v>
      </c>
      <c r="B2848" t="s">
        <v>113</v>
      </c>
      <c r="C2848" t="s">
        <v>984</v>
      </c>
      <c r="D2848">
        <v>2</v>
      </c>
      <c r="E2848" s="307">
        <v>4</v>
      </c>
      <c r="F2848" s="307" t="s">
        <v>7</v>
      </c>
      <c r="G2848" s="307" t="s">
        <v>11</v>
      </c>
      <c r="H2848" s="307" t="s">
        <v>11</v>
      </c>
    </row>
    <row r="2849" spans="1:8" x14ac:dyDescent="0.2">
      <c r="A2849" t="s">
        <v>59</v>
      </c>
      <c r="B2849" t="s">
        <v>113</v>
      </c>
      <c r="C2849" t="s">
        <v>2387</v>
      </c>
      <c r="D2849">
        <v>2</v>
      </c>
      <c r="E2849" s="307">
        <v>4</v>
      </c>
      <c r="F2849" s="307" t="s">
        <v>7</v>
      </c>
      <c r="G2849" s="307" t="s">
        <v>11</v>
      </c>
      <c r="H2849" s="307" t="s">
        <v>11</v>
      </c>
    </row>
    <row r="2850" spans="1:8" x14ac:dyDescent="0.2">
      <c r="A2850" t="s">
        <v>59</v>
      </c>
      <c r="B2850" t="s">
        <v>113</v>
      </c>
      <c r="C2850" t="s">
        <v>2388</v>
      </c>
      <c r="D2850">
        <v>3</v>
      </c>
      <c r="E2850" s="307">
        <v>4</v>
      </c>
      <c r="F2850" s="307" t="s">
        <v>7</v>
      </c>
      <c r="G2850" s="307" t="s">
        <v>11</v>
      </c>
      <c r="H2850" s="307" t="s">
        <v>11</v>
      </c>
    </row>
    <row r="2851" spans="1:8" x14ac:dyDescent="0.2">
      <c r="A2851" t="s">
        <v>59</v>
      </c>
      <c r="B2851" t="s">
        <v>113</v>
      </c>
      <c r="C2851" t="s">
        <v>2106</v>
      </c>
      <c r="D2851">
        <v>1</v>
      </c>
      <c r="E2851" s="307">
        <v>4</v>
      </c>
      <c r="F2851" s="307" t="s">
        <v>7</v>
      </c>
      <c r="G2851" s="307" t="s">
        <v>11</v>
      </c>
      <c r="H2851" s="307" t="s">
        <v>11</v>
      </c>
    </row>
    <row r="2852" spans="1:8" x14ac:dyDescent="0.2">
      <c r="A2852" t="s">
        <v>59</v>
      </c>
      <c r="B2852" t="s">
        <v>113</v>
      </c>
      <c r="C2852" t="s">
        <v>698</v>
      </c>
      <c r="D2852">
        <v>1</v>
      </c>
      <c r="E2852" s="307">
        <v>4</v>
      </c>
      <c r="F2852" s="307" t="s">
        <v>7</v>
      </c>
      <c r="G2852" s="307" t="s">
        <v>11</v>
      </c>
      <c r="H2852" s="307" t="s">
        <v>11</v>
      </c>
    </row>
    <row r="2853" spans="1:8" x14ac:dyDescent="0.2">
      <c r="A2853" t="s">
        <v>59</v>
      </c>
      <c r="B2853" t="s">
        <v>113</v>
      </c>
      <c r="C2853" t="s">
        <v>2389</v>
      </c>
      <c r="D2853">
        <v>3</v>
      </c>
      <c r="E2853" s="307">
        <v>4</v>
      </c>
      <c r="F2853" s="307" t="s">
        <v>7</v>
      </c>
      <c r="G2853" s="307" t="s">
        <v>11</v>
      </c>
      <c r="H2853" s="307" t="s">
        <v>11</v>
      </c>
    </row>
    <row r="2854" spans="1:8" x14ac:dyDescent="0.2">
      <c r="A2854" t="s">
        <v>59</v>
      </c>
      <c r="B2854" t="s">
        <v>113</v>
      </c>
      <c r="C2854" t="s">
        <v>2390</v>
      </c>
      <c r="D2854">
        <v>1</v>
      </c>
      <c r="E2854" s="307">
        <v>4</v>
      </c>
      <c r="F2854" s="307" t="s">
        <v>7</v>
      </c>
      <c r="G2854" s="307" t="s">
        <v>11</v>
      </c>
      <c r="H2854" s="307" t="s">
        <v>11</v>
      </c>
    </row>
    <row r="2855" spans="1:8" x14ac:dyDescent="0.2">
      <c r="A2855" t="s">
        <v>59</v>
      </c>
      <c r="B2855" t="s">
        <v>113</v>
      </c>
      <c r="C2855" t="s">
        <v>2015</v>
      </c>
      <c r="D2855">
        <v>1</v>
      </c>
      <c r="E2855" s="307">
        <v>4</v>
      </c>
      <c r="F2855" s="307" t="s">
        <v>7</v>
      </c>
      <c r="G2855" s="307" t="s">
        <v>11</v>
      </c>
      <c r="H2855" s="307" t="s">
        <v>11</v>
      </c>
    </row>
    <row r="2856" spans="1:8" x14ac:dyDescent="0.2">
      <c r="A2856" t="s">
        <v>59</v>
      </c>
      <c r="B2856" t="s">
        <v>113</v>
      </c>
      <c r="C2856" t="s">
        <v>2391</v>
      </c>
      <c r="D2856">
        <v>2</v>
      </c>
      <c r="E2856" s="307">
        <v>4</v>
      </c>
      <c r="F2856" s="307" t="s">
        <v>7</v>
      </c>
      <c r="G2856" s="307" t="s">
        <v>11</v>
      </c>
      <c r="H2856" s="307" t="s">
        <v>11</v>
      </c>
    </row>
    <row r="2857" spans="1:8" x14ac:dyDescent="0.2">
      <c r="A2857" t="s">
        <v>59</v>
      </c>
      <c r="B2857" t="s">
        <v>113</v>
      </c>
      <c r="C2857" t="s">
        <v>1183</v>
      </c>
      <c r="D2857">
        <v>1</v>
      </c>
      <c r="E2857" s="307">
        <v>4</v>
      </c>
      <c r="F2857" s="307" t="s">
        <v>7</v>
      </c>
      <c r="G2857" s="307" t="s">
        <v>11</v>
      </c>
      <c r="H2857" s="307" t="s">
        <v>11</v>
      </c>
    </row>
    <row r="2858" spans="1:8" x14ac:dyDescent="0.2">
      <c r="A2858" t="s">
        <v>59</v>
      </c>
      <c r="B2858" t="s">
        <v>113</v>
      </c>
      <c r="C2858" t="s">
        <v>2392</v>
      </c>
      <c r="D2858">
        <v>1</v>
      </c>
      <c r="E2858" s="307">
        <v>4</v>
      </c>
      <c r="F2858" s="307" t="s">
        <v>7</v>
      </c>
      <c r="G2858" s="307" t="s">
        <v>11</v>
      </c>
      <c r="H2858" s="307" t="s">
        <v>11</v>
      </c>
    </row>
    <row r="2859" spans="1:8" x14ac:dyDescent="0.2">
      <c r="A2859" t="s">
        <v>59</v>
      </c>
      <c r="B2859" t="s">
        <v>113</v>
      </c>
      <c r="C2859" t="s">
        <v>2393</v>
      </c>
      <c r="D2859">
        <v>2</v>
      </c>
      <c r="E2859" s="307">
        <v>4</v>
      </c>
      <c r="F2859" s="307" t="s">
        <v>7</v>
      </c>
      <c r="G2859" s="307" t="s">
        <v>11</v>
      </c>
      <c r="H2859" s="307" t="s">
        <v>11</v>
      </c>
    </row>
    <row r="2860" spans="1:8" x14ac:dyDescent="0.2">
      <c r="A2860" t="s">
        <v>59</v>
      </c>
      <c r="B2860" t="s">
        <v>113</v>
      </c>
      <c r="C2860" t="s">
        <v>2394</v>
      </c>
      <c r="D2860">
        <v>1</v>
      </c>
      <c r="E2860" s="307">
        <v>4</v>
      </c>
      <c r="F2860" s="307" t="s">
        <v>7</v>
      </c>
      <c r="G2860" s="307" t="s">
        <v>11</v>
      </c>
      <c r="H2860" s="307" t="s">
        <v>11</v>
      </c>
    </row>
    <row r="2861" spans="1:8" x14ac:dyDescent="0.2">
      <c r="A2861" t="s">
        <v>59</v>
      </c>
      <c r="B2861" t="s">
        <v>113</v>
      </c>
      <c r="C2861" t="s">
        <v>1513</v>
      </c>
      <c r="D2861">
        <v>3</v>
      </c>
      <c r="E2861" s="307">
        <v>4</v>
      </c>
      <c r="F2861" s="307" t="s">
        <v>7</v>
      </c>
      <c r="G2861" s="307" t="s">
        <v>11</v>
      </c>
      <c r="H2861" s="307" t="s">
        <v>11</v>
      </c>
    </row>
    <row r="2862" spans="1:8" x14ac:dyDescent="0.2">
      <c r="A2862" t="s">
        <v>59</v>
      </c>
      <c r="B2862" t="s">
        <v>113</v>
      </c>
      <c r="C2862" t="s">
        <v>2395</v>
      </c>
      <c r="D2862">
        <v>1</v>
      </c>
      <c r="E2862" s="307">
        <v>4</v>
      </c>
      <c r="F2862" s="307" t="s">
        <v>7</v>
      </c>
      <c r="G2862" s="307" t="s">
        <v>11</v>
      </c>
      <c r="H2862" s="307" t="s">
        <v>11</v>
      </c>
    </row>
    <row r="2863" spans="1:8" x14ac:dyDescent="0.2">
      <c r="A2863" t="s">
        <v>59</v>
      </c>
      <c r="B2863" t="s">
        <v>113</v>
      </c>
      <c r="C2863" t="s">
        <v>2396</v>
      </c>
      <c r="D2863">
        <v>1</v>
      </c>
      <c r="E2863" s="307">
        <v>4</v>
      </c>
      <c r="F2863" s="307" t="s">
        <v>7</v>
      </c>
      <c r="G2863" s="307" t="s">
        <v>11</v>
      </c>
      <c r="H2863" s="307" t="s">
        <v>11</v>
      </c>
    </row>
    <row r="2864" spans="1:8" x14ac:dyDescent="0.2">
      <c r="A2864" t="s">
        <v>59</v>
      </c>
      <c r="B2864" t="s">
        <v>113</v>
      </c>
      <c r="C2864" t="s">
        <v>2397</v>
      </c>
      <c r="D2864">
        <v>1</v>
      </c>
      <c r="E2864" s="307">
        <v>4</v>
      </c>
      <c r="F2864" s="307" t="s">
        <v>7</v>
      </c>
      <c r="G2864" s="307" t="s">
        <v>11</v>
      </c>
      <c r="H2864" s="307" t="s">
        <v>11</v>
      </c>
    </row>
    <row r="2865" spans="1:8" x14ac:dyDescent="0.2">
      <c r="A2865" t="s">
        <v>59</v>
      </c>
      <c r="B2865" t="s">
        <v>113</v>
      </c>
      <c r="C2865" t="s">
        <v>2398</v>
      </c>
      <c r="D2865">
        <v>2</v>
      </c>
      <c r="E2865" s="307">
        <v>4</v>
      </c>
      <c r="F2865" s="307" t="s">
        <v>7</v>
      </c>
      <c r="G2865" s="307" t="s">
        <v>11</v>
      </c>
      <c r="H2865" s="307" t="s">
        <v>11</v>
      </c>
    </row>
    <row r="2866" spans="1:8" x14ac:dyDescent="0.2">
      <c r="A2866" t="s">
        <v>59</v>
      </c>
      <c r="B2866" t="s">
        <v>113</v>
      </c>
      <c r="C2866" t="s">
        <v>1069</v>
      </c>
      <c r="D2866">
        <v>2</v>
      </c>
      <c r="E2866" s="307">
        <v>4</v>
      </c>
      <c r="F2866" s="307" t="s">
        <v>7</v>
      </c>
      <c r="G2866" s="307" t="s">
        <v>11</v>
      </c>
      <c r="H2866" s="307" t="s">
        <v>11</v>
      </c>
    </row>
    <row r="2867" spans="1:8" x14ac:dyDescent="0.2">
      <c r="A2867" t="s">
        <v>59</v>
      </c>
      <c r="B2867" t="s">
        <v>113</v>
      </c>
      <c r="C2867" t="s">
        <v>2399</v>
      </c>
      <c r="D2867">
        <v>1</v>
      </c>
      <c r="E2867" s="307">
        <v>4</v>
      </c>
      <c r="F2867" s="307" t="s">
        <v>7</v>
      </c>
      <c r="G2867" s="307" t="s">
        <v>11</v>
      </c>
      <c r="H2867" s="307" t="s">
        <v>11</v>
      </c>
    </row>
    <row r="2868" spans="1:8" x14ac:dyDescent="0.2">
      <c r="A2868" t="s">
        <v>59</v>
      </c>
      <c r="B2868" t="s">
        <v>113</v>
      </c>
      <c r="C2868" t="s">
        <v>715</v>
      </c>
      <c r="D2868">
        <v>2</v>
      </c>
      <c r="E2868" s="307">
        <v>4</v>
      </c>
      <c r="F2868" s="307" t="s">
        <v>7</v>
      </c>
      <c r="G2868" s="307" t="s">
        <v>11</v>
      </c>
      <c r="H2868" s="307" t="s">
        <v>11</v>
      </c>
    </row>
    <row r="2869" spans="1:8" x14ac:dyDescent="0.2">
      <c r="A2869" t="s">
        <v>59</v>
      </c>
      <c r="B2869" t="s">
        <v>113</v>
      </c>
      <c r="C2869" t="s">
        <v>2400</v>
      </c>
      <c r="D2869">
        <v>2</v>
      </c>
      <c r="E2869" s="307">
        <v>4</v>
      </c>
      <c r="F2869" s="307" t="s">
        <v>7</v>
      </c>
      <c r="G2869" s="307" t="s">
        <v>11</v>
      </c>
      <c r="H2869" s="307" t="s">
        <v>11</v>
      </c>
    </row>
    <row r="2870" spans="1:8" x14ac:dyDescent="0.2">
      <c r="A2870" t="s">
        <v>59</v>
      </c>
      <c r="B2870" t="s">
        <v>113</v>
      </c>
      <c r="C2870" t="s">
        <v>1501</v>
      </c>
      <c r="D2870">
        <v>1</v>
      </c>
      <c r="E2870" s="307">
        <v>4</v>
      </c>
      <c r="F2870" s="307" t="s">
        <v>7</v>
      </c>
      <c r="G2870" s="307" t="s">
        <v>11</v>
      </c>
      <c r="H2870" s="307" t="s">
        <v>11</v>
      </c>
    </row>
    <row r="2871" spans="1:8" x14ac:dyDescent="0.2">
      <c r="A2871" t="s">
        <v>59</v>
      </c>
      <c r="B2871" t="s">
        <v>113</v>
      </c>
      <c r="C2871" t="s">
        <v>2401</v>
      </c>
      <c r="D2871">
        <v>1</v>
      </c>
      <c r="E2871" s="307">
        <v>4</v>
      </c>
      <c r="F2871" s="307" t="s">
        <v>7</v>
      </c>
      <c r="G2871" s="307" t="s">
        <v>11</v>
      </c>
      <c r="H2871" s="307" t="s">
        <v>11</v>
      </c>
    </row>
    <row r="2872" spans="1:8" x14ac:dyDescent="0.2">
      <c r="A2872" t="s">
        <v>59</v>
      </c>
      <c r="B2872" t="s">
        <v>113</v>
      </c>
      <c r="C2872" t="s">
        <v>2402</v>
      </c>
      <c r="D2872">
        <v>2</v>
      </c>
      <c r="E2872" s="307">
        <v>4</v>
      </c>
      <c r="F2872" s="307" t="s">
        <v>7</v>
      </c>
      <c r="G2872" s="307" t="s">
        <v>11</v>
      </c>
      <c r="H2872" s="307" t="s">
        <v>11</v>
      </c>
    </row>
    <row r="2873" spans="1:8" x14ac:dyDescent="0.2">
      <c r="A2873" t="s">
        <v>59</v>
      </c>
      <c r="B2873" t="s">
        <v>113</v>
      </c>
      <c r="C2873" t="s">
        <v>2171</v>
      </c>
      <c r="D2873">
        <v>1</v>
      </c>
      <c r="E2873" s="307">
        <v>4</v>
      </c>
      <c r="F2873" s="307" t="s">
        <v>7</v>
      </c>
      <c r="G2873" s="307" t="s">
        <v>11</v>
      </c>
      <c r="H2873" s="307" t="s">
        <v>11</v>
      </c>
    </row>
    <row r="2874" spans="1:8" x14ac:dyDescent="0.2">
      <c r="A2874" t="s">
        <v>59</v>
      </c>
      <c r="B2874" t="s">
        <v>113</v>
      </c>
      <c r="C2874" t="s">
        <v>1815</v>
      </c>
      <c r="D2874">
        <v>3</v>
      </c>
      <c r="E2874" s="307">
        <v>4</v>
      </c>
      <c r="F2874" s="307" t="s">
        <v>7</v>
      </c>
      <c r="G2874" s="307" t="s">
        <v>11</v>
      </c>
      <c r="H2874" s="307" t="s">
        <v>11</v>
      </c>
    </row>
    <row r="2875" spans="1:8" x14ac:dyDescent="0.2">
      <c r="A2875" t="s">
        <v>59</v>
      </c>
      <c r="B2875" t="s">
        <v>113</v>
      </c>
      <c r="C2875" t="s">
        <v>2403</v>
      </c>
      <c r="D2875">
        <v>1</v>
      </c>
      <c r="E2875" s="307">
        <v>4</v>
      </c>
      <c r="F2875" s="307" t="s">
        <v>7</v>
      </c>
      <c r="G2875" s="307" t="s">
        <v>11</v>
      </c>
      <c r="H2875" s="307" t="s">
        <v>11</v>
      </c>
    </row>
    <row r="2876" spans="1:8" x14ac:dyDescent="0.2">
      <c r="A2876" t="s">
        <v>59</v>
      </c>
      <c r="B2876" t="s">
        <v>113</v>
      </c>
      <c r="C2876" t="s">
        <v>1403</v>
      </c>
      <c r="D2876">
        <v>2</v>
      </c>
      <c r="E2876" s="307">
        <v>4</v>
      </c>
      <c r="F2876" s="307" t="s">
        <v>7</v>
      </c>
      <c r="G2876" s="307" t="s">
        <v>11</v>
      </c>
      <c r="H2876" s="307" t="s">
        <v>11</v>
      </c>
    </row>
    <row r="2877" spans="1:8" x14ac:dyDescent="0.2">
      <c r="A2877" t="s">
        <v>59</v>
      </c>
      <c r="B2877" t="s">
        <v>113</v>
      </c>
      <c r="C2877" t="s">
        <v>717</v>
      </c>
      <c r="D2877">
        <v>2</v>
      </c>
      <c r="E2877" s="307">
        <v>4</v>
      </c>
      <c r="F2877" s="307" t="s">
        <v>7</v>
      </c>
      <c r="G2877" s="307" t="s">
        <v>11</v>
      </c>
      <c r="H2877" s="307" t="s">
        <v>11</v>
      </c>
    </row>
    <row r="2878" spans="1:8" x14ac:dyDescent="0.2">
      <c r="A2878" t="s">
        <v>59</v>
      </c>
      <c r="B2878" t="s">
        <v>113</v>
      </c>
      <c r="C2878" t="s">
        <v>2404</v>
      </c>
      <c r="D2878">
        <v>3</v>
      </c>
      <c r="E2878" s="307">
        <v>4</v>
      </c>
      <c r="F2878" s="307" t="s">
        <v>7</v>
      </c>
      <c r="G2878" s="307" t="s">
        <v>11</v>
      </c>
      <c r="H2878" s="307" t="s">
        <v>11</v>
      </c>
    </row>
    <row r="2879" spans="1:8" x14ac:dyDescent="0.2">
      <c r="A2879" t="s">
        <v>59</v>
      </c>
      <c r="B2879" t="s">
        <v>113</v>
      </c>
      <c r="C2879" t="s">
        <v>1904</v>
      </c>
      <c r="D2879">
        <v>2</v>
      </c>
      <c r="E2879" s="307">
        <v>4</v>
      </c>
      <c r="F2879" s="307" t="s">
        <v>7</v>
      </c>
      <c r="G2879" s="307" t="s">
        <v>11</v>
      </c>
      <c r="H2879" s="307" t="s">
        <v>11</v>
      </c>
    </row>
    <row r="2880" spans="1:8" x14ac:dyDescent="0.2">
      <c r="A2880" t="s">
        <v>59</v>
      </c>
      <c r="B2880" t="s">
        <v>113</v>
      </c>
      <c r="C2880" t="s">
        <v>2405</v>
      </c>
      <c r="D2880">
        <v>3</v>
      </c>
      <c r="E2880" s="307">
        <v>4</v>
      </c>
      <c r="F2880" s="307" t="s">
        <v>7</v>
      </c>
      <c r="G2880" s="307" t="s">
        <v>11</v>
      </c>
      <c r="H2880" s="307" t="s">
        <v>11</v>
      </c>
    </row>
    <row r="2881" spans="1:8" x14ac:dyDescent="0.2">
      <c r="A2881" t="s">
        <v>59</v>
      </c>
      <c r="B2881" t="s">
        <v>113</v>
      </c>
      <c r="C2881" t="s">
        <v>2406</v>
      </c>
      <c r="D2881">
        <v>3</v>
      </c>
      <c r="E2881" s="307">
        <v>4</v>
      </c>
      <c r="F2881" s="307" t="s">
        <v>7</v>
      </c>
      <c r="G2881" s="307" t="s">
        <v>11</v>
      </c>
      <c r="H2881" s="307" t="s">
        <v>11</v>
      </c>
    </row>
    <row r="2882" spans="1:8" x14ac:dyDescent="0.2">
      <c r="A2882" t="s">
        <v>59</v>
      </c>
      <c r="B2882" t="s">
        <v>113</v>
      </c>
      <c r="C2882" t="s">
        <v>2407</v>
      </c>
      <c r="D2882">
        <v>1</v>
      </c>
      <c r="E2882" s="307">
        <v>4</v>
      </c>
      <c r="F2882" s="307" t="s">
        <v>7</v>
      </c>
      <c r="G2882" s="307" t="s">
        <v>11</v>
      </c>
      <c r="H2882" s="307" t="s">
        <v>11</v>
      </c>
    </row>
    <row r="2883" spans="1:8" x14ac:dyDescent="0.2">
      <c r="A2883" t="s">
        <v>59</v>
      </c>
      <c r="B2883" t="s">
        <v>113</v>
      </c>
      <c r="C2883" t="s">
        <v>2408</v>
      </c>
      <c r="D2883">
        <v>3</v>
      </c>
      <c r="E2883" s="307">
        <v>4</v>
      </c>
      <c r="F2883" s="307" t="s">
        <v>7</v>
      </c>
      <c r="G2883" s="307" t="s">
        <v>11</v>
      </c>
      <c r="H2883" s="307" t="s">
        <v>11</v>
      </c>
    </row>
    <row r="2884" spans="1:8" x14ac:dyDescent="0.2">
      <c r="A2884" t="s">
        <v>59</v>
      </c>
      <c r="B2884" t="s">
        <v>113</v>
      </c>
      <c r="C2884" t="s">
        <v>719</v>
      </c>
      <c r="D2884">
        <v>1</v>
      </c>
      <c r="E2884" s="307">
        <v>4</v>
      </c>
      <c r="F2884" s="307" t="s">
        <v>7</v>
      </c>
      <c r="G2884" s="307" t="s">
        <v>11</v>
      </c>
      <c r="H2884" s="307" t="s">
        <v>11</v>
      </c>
    </row>
    <row r="2885" spans="1:8" x14ac:dyDescent="0.2">
      <c r="A2885" t="s">
        <v>59</v>
      </c>
      <c r="B2885" t="s">
        <v>113</v>
      </c>
      <c r="C2885" t="s">
        <v>1986</v>
      </c>
      <c r="D2885">
        <v>1</v>
      </c>
      <c r="E2885" s="307">
        <v>4</v>
      </c>
      <c r="F2885" s="307" t="s">
        <v>7</v>
      </c>
      <c r="G2885" s="307" t="s">
        <v>11</v>
      </c>
      <c r="H2885" s="307" t="s">
        <v>11</v>
      </c>
    </row>
    <row r="2886" spans="1:8" x14ac:dyDescent="0.2">
      <c r="A2886" t="s">
        <v>59</v>
      </c>
      <c r="B2886" t="s">
        <v>113</v>
      </c>
      <c r="C2886" t="s">
        <v>2409</v>
      </c>
      <c r="D2886">
        <v>3</v>
      </c>
      <c r="E2886" s="307">
        <v>4</v>
      </c>
      <c r="F2886" s="307" t="s">
        <v>7</v>
      </c>
      <c r="G2886" s="307" t="s">
        <v>11</v>
      </c>
      <c r="H2886" s="307" t="s">
        <v>11</v>
      </c>
    </row>
    <row r="2887" spans="1:8" x14ac:dyDescent="0.2">
      <c r="A2887" t="s">
        <v>59</v>
      </c>
      <c r="B2887" t="s">
        <v>113</v>
      </c>
      <c r="C2887" t="s">
        <v>2410</v>
      </c>
      <c r="D2887">
        <v>3</v>
      </c>
      <c r="E2887" s="307">
        <v>4</v>
      </c>
      <c r="F2887" s="307" t="s">
        <v>7</v>
      </c>
      <c r="G2887" s="307" t="s">
        <v>11</v>
      </c>
      <c r="H2887" s="307" t="s">
        <v>11</v>
      </c>
    </row>
    <row r="2888" spans="1:8" x14ac:dyDescent="0.2">
      <c r="A2888" t="s">
        <v>59</v>
      </c>
      <c r="B2888" t="s">
        <v>113</v>
      </c>
      <c r="C2888" t="s">
        <v>2411</v>
      </c>
      <c r="D2888">
        <v>3</v>
      </c>
      <c r="E2888" s="307">
        <v>4</v>
      </c>
      <c r="F2888" s="307" t="s">
        <v>7</v>
      </c>
      <c r="G2888" s="307" t="s">
        <v>11</v>
      </c>
      <c r="H2888" s="307" t="s">
        <v>11</v>
      </c>
    </row>
    <row r="2889" spans="1:8" x14ac:dyDescent="0.2">
      <c r="A2889" t="s">
        <v>59</v>
      </c>
      <c r="B2889" t="s">
        <v>113</v>
      </c>
      <c r="C2889" t="s">
        <v>2412</v>
      </c>
      <c r="D2889">
        <v>3</v>
      </c>
      <c r="E2889" s="307">
        <v>4</v>
      </c>
      <c r="F2889" s="307" t="s">
        <v>7</v>
      </c>
      <c r="G2889" s="307" t="s">
        <v>11</v>
      </c>
      <c r="H2889" s="307" t="s">
        <v>11</v>
      </c>
    </row>
    <row r="2890" spans="1:8" x14ac:dyDescent="0.2">
      <c r="A2890" t="s">
        <v>59</v>
      </c>
      <c r="B2890" t="s">
        <v>113</v>
      </c>
      <c r="C2890" t="s">
        <v>2413</v>
      </c>
      <c r="D2890">
        <v>3</v>
      </c>
      <c r="E2890" s="307">
        <v>4</v>
      </c>
      <c r="F2890" s="307" t="s">
        <v>7</v>
      </c>
      <c r="G2890" s="307" t="s">
        <v>11</v>
      </c>
      <c r="H2890" s="307" t="s">
        <v>11</v>
      </c>
    </row>
    <row r="2891" spans="1:8" x14ac:dyDescent="0.2">
      <c r="A2891" t="s">
        <v>59</v>
      </c>
      <c r="B2891" t="s">
        <v>113</v>
      </c>
      <c r="C2891" t="s">
        <v>2414</v>
      </c>
      <c r="D2891">
        <v>3</v>
      </c>
      <c r="E2891" s="307">
        <v>4</v>
      </c>
      <c r="F2891" s="307" t="s">
        <v>7</v>
      </c>
      <c r="G2891" s="307" t="s">
        <v>11</v>
      </c>
      <c r="H2891" s="307" t="s">
        <v>11</v>
      </c>
    </row>
    <row r="2892" spans="1:8" x14ac:dyDescent="0.2">
      <c r="A2892" t="s">
        <v>59</v>
      </c>
      <c r="B2892" t="s">
        <v>113</v>
      </c>
      <c r="C2892" t="s">
        <v>1778</v>
      </c>
      <c r="D2892">
        <v>3</v>
      </c>
      <c r="E2892" s="307">
        <v>4</v>
      </c>
      <c r="F2892" s="307" t="s">
        <v>7</v>
      </c>
      <c r="G2892" s="307" t="s">
        <v>11</v>
      </c>
      <c r="H2892" s="307" t="s">
        <v>11</v>
      </c>
    </row>
    <row r="2893" spans="1:8" x14ac:dyDescent="0.2">
      <c r="A2893" t="s">
        <v>59</v>
      </c>
      <c r="B2893" t="s">
        <v>113</v>
      </c>
      <c r="C2893" t="s">
        <v>726</v>
      </c>
      <c r="D2893">
        <v>1</v>
      </c>
      <c r="E2893" s="307">
        <v>4</v>
      </c>
      <c r="F2893" s="307" t="s">
        <v>7</v>
      </c>
      <c r="G2893" s="307" t="s">
        <v>11</v>
      </c>
      <c r="H2893" s="307" t="s">
        <v>11</v>
      </c>
    </row>
    <row r="2894" spans="1:8" x14ac:dyDescent="0.2">
      <c r="A2894" t="s">
        <v>59</v>
      </c>
      <c r="B2894" t="s">
        <v>113</v>
      </c>
      <c r="C2894" t="s">
        <v>2415</v>
      </c>
      <c r="D2894">
        <v>1</v>
      </c>
      <c r="E2894" s="307">
        <v>4</v>
      </c>
      <c r="F2894" s="307" t="s">
        <v>7</v>
      </c>
      <c r="G2894" s="307" t="s">
        <v>11</v>
      </c>
      <c r="H2894" s="307" t="s">
        <v>11</v>
      </c>
    </row>
    <row r="2895" spans="1:8" x14ac:dyDescent="0.2">
      <c r="A2895" t="s">
        <v>59</v>
      </c>
      <c r="B2895" t="s">
        <v>113</v>
      </c>
      <c r="C2895" t="s">
        <v>2416</v>
      </c>
      <c r="D2895">
        <v>2</v>
      </c>
      <c r="E2895" s="307">
        <v>4</v>
      </c>
      <c r="F2895" s="307" t="s">
        <v>7</v>
      </c>
      <c r="G2895" s="307" t="s">
        <v>11</v>
      </c>
      <c r="H2895" s="307" t="s">
        <v>11</v>
      </c>
    </row>
    <row r="2896" spans="1:8" x14ac:dyDescent="0.2">
      <c r="A2896" t="s">
        <v>59</v>
      </c>
      <c r="B2896" t="s">
        <v>113</v>
      </c>
      <c r="C2896" t="s">
        <v>1291</v>
      </c>
      <c r="D2896">
        <v>1</v>
      </c>
      <c r="E2896" s="307">
        <v>4</v>
      </c>
      <c r="F2896" s="307" t="s">
        <v>7</v>
      </c>
      <c r="G2896" s="307" t="s">
        <v>11</v>
      </c>
      <c r="H2896" s="307" t="s">
        <v>11</v>
      </c>
    </row>
    <row r="2897" spans="1:8" x14ac:dyDescent="0.2">
      <c r="A2897" t="s">
        <v>59</v>
      </c>
      <c r="B2897" t="s">
        <v>113</v>
      </c>
      <c r="C2897" t="s">
        <v>2417</v>
      </c>
      <c r="D2897">
        <v>2</v>
      </c>
      <c r="E2897" s="307">
        <v>4</v>
      </c>
      <c r="F2897" s="307" t="s">
        <v>7</v>
      </c>
      <c r="G2897" s="307" t="s">
        <v>11</v>
      </c>
      <c r="H2897" s="307" t="s">
        <v>11</v>
      </c>
    </row>
    <row r="2898" spans="1:8" x14ac:dyDescent="0.2">
      <c r="A2898" t="s">
        <v>59</v>
      </c>
      <c r="B2898" t="s">
        <v>113</v>
      </c>
      <c r="C2898" t="s">
        <v>2418</v>
      </c>
      <c r="D2898">
        <v>2</v>
      </c>
      <c r="E2898" s="307">
        <v>4</v>
      </c>
      <c r="F2898" s="307" t="s">
        <v>7</v>
      </c>
      <c r="G2898" s="307" t="s">
        <v>11</v>
      </c>
      <c r="H2898" s="307" t="s">
        <v>11</v>
      </c>
    </row>
    <row r="2899" spans="1:8" x14ac:dyDescent="0.2">
      <c r="A2899" t="s">
        <v>59</v>
      </c>
      <c r="B2899" t="s">
        <v>113</v>
      </c>
      <c r="C2899" t="s">
        <v>730</v>
      </c>
      <c r="D2899">
        <v>2</v>
      </c>
      <c r="E2899" s="307">
        <v>4</v>
      </c>
      <c r="F2899" s="307" t="s">
        <v>7</v>
      </c>
      <c r="G2899" s="307" t="s">
        <v>11</v>
      </c>
      <c r="H2899" s="307" t="s">
        <v>11</v>
      </c>
    </row>
    <row r="2900" spans="1:8" x14ac:dyDescent="0.2">
      <c r="A2900" t="s">
        <v>59</v>
      </c>
      <c r="B2900" t="s">
        <v>113</v>
      </c>
      <c r="C2900" t="s">
        <v>2419</v>
      </c>
      <c r="D2900">
        <v>2</v>
      </c>
      <c r="E2900" s="307">
        <v>4</v>
      </c>
      <c r="F2900" s="307" t="s">
        <v>7</v>
      </c>
      <c r="G2900" s="307" t="s">
        <v>11</v>
      </c>
      <c r="H2900" s="307" t="s">
        <v>11</v>
      </c>
    </row>
    <row r="2901" spans="1:8" x14ac:dyDescent="0.2">
      <c r="A2901" t="s">
        <v>59</v>
      </c>
      <c r="B2901" t="s">
        <v>113</v>
      </c>
      <c r="C2901" t="s">
        <v>2420</v>
      </c>
      <c r="D2901">
        <v>2</v>
      </c>
      <c r="E2901" s="307">
        <v>4</v>
      </c>
      <c r="F2901" s="307" t="s">
        <v>7</v>
      </c>
      <c r="G2901" s="307" t="s">
        <v>11</v>
      </c>
      <c r="H2901" s="307" t="s">
        <v>11</v>
      </c>
    </row>
    <row r="2902" spans="1:8" x14ac:dyDescent="0.2">
      <c r="A2902" t="s">
        <v>59</v>
      </c>
      <c r="B2902" t="s">
        <v>113</v>
      </c>
      <c r="C2902" t="s">
        <v>2421</v>
      </c>
      <c r="D2902">
        <v>1</v>
      </c>
      <c r="E2902" s="307">
        <v>4</v>
      </c>
      <c r="F2902" s="307" t="s">
        <v>7</v>
      </c>
      <c r="G2902" s="307" t="s">
        <v>11</v>
      </c>
      <c r="H2902" s="307" t="s">
        <v>11</v>
      </c>
    </row>
    <row r="2903" spans="1:8" x14ac:dyDescent="0.2">
      <c r="A2903" t="s">
        <v>59</v>
      </c>
      <c r="B2903" t="s">
        <v>113</v>
      </c>
      <c r="C2903" t="s">
        <v>2422</v>
      </c>
      <c r="D2903">
        <v>3</v>
      </c>
      <c r="E2903" s="307">
        <v>4</v>
      </c>
      <c r="F2903" s="307" t="s">
        <v>7</v>
      </c>
      <c r="G2903" s="307" t="s">
        <v>11</v>
      </c>
      <c r="H2903" s="307" t="s">
        <v>11</v>
      </c>
    </row>
    <row r="2904" spans="1:8" x14ac:dyDescent="0.2">
      <c r="A2904" t="s">
        <v>59</v>
      </c>
      <c r="B2904" t="s">
        <v>113</v>
      </c>
      <c r="C2904" t="s">
        <v>1914</v>
      </c>
      <c r="D2904">
        <v>2</v>
      </c>
      <c r="E2904" s="307">
        <v>4</v>
      </c>
      <c r="F2904" s="307" t="s">
        <v>7</v>
      </c>
      <c r="G2904" s="307" t="s">
        <v>11</v>
      </c>
      <c r="H2904" s="307" t="s">
        <v>11</v>
      </c>
    </row>
    <row r="2905" spans="1:8" x14ac:dyDescent="0.2">
      <c r="A2905" t="s">
        <v>59</v>
      </c>
      <c r="B2905" t="s">
        <v>113</v>
      </c>
      <c r="C2905" t="s">
        <v>969</v>
      </c>
      <c r="D2905">
        <v>3</v>
      </c>
      <c r="E2905" s="307">
        <v>4</v>
      </c>
      <c r="F2905" s="307" t="s">
        <v>7</v>
      </c>
      <c r="G2905" s="307" t="s">
        <v>11</v>
      </c>
      <c r="H2905" s="307" t="s">
        <v>11</v>
      </c>
    </row>
    <row r="2906" spans="1:8" x14ac:dyDescent="0.2">
      <c r="A2906" t="s">
        <v>59</v>
      </c>
      <c r="B2906" t="s">
        <v>113</v>
      </c>
      <c r="C2906" t="s">
        <v>736</v>
      </c>
      <c r="D2906">
        <v>1</v>
      </c>
      <c r="E2906" s="307">
        <v>4</v>
      </c>
      <c r="F2906" s="307" t="s">
        <v>7</v>
      </c>
      <c r="G2906" s="307" t="s">
        <v>11</v>
      </c>
      <c r="H2906" s="307" t="s">
        <v>11</v>
      </c>
    </row>
    <row r="2907" spans="1:8" x14ac:dyDescent="0.2">
      <c r="A2907" t="s">
        <v>59</v>
      </c>
      <c r="B2907" t="s">
        <v>113</v>
      </c>
      <c r="C2907" t="s">
        <v>1422</v>
      </c>
      <c r="D2907">
        <v>2</v>
      </c>
      <c r="E2907" s="307">
        <v>4</v>
      </c>
      <c r="F2907" s="307" t="s">
        <v>7</v>
      </c>
      <c r="G2907" s="307" t="s">
        <v>11</v>
      </c>
      <c r="H2907" s="307" t="s">
        <v>11</v>
      </c>
    </row>
    <row r="2908" spans="1:8" x14ac:dyDescent="0.2">
      <c r="A2908" t="s">
        <v>59</v>
      </c>
      <c r="B2908" t="s">
        <v>113</v>
      </c>
      <c r="C2908" t="s">
        <v>2423</v>
      </c>
      <c r="D2908">
        <v>3</v>
      </c>
      <c r="E2908" s="307">
        <v>4</v>
      </c>
      <c r="F2908" s="307" t="s">
        <v>7</v>
      </c>
      <c r="G2908" s="307" t="s">
        <v>11</v>
      </c>
      <c r="H2908" s="307" t="s">
        <v>11</v>
      </c>
    </row>
    <row r="2909" spans="1:8" x14ac:dyDescent="0.2">
      <c r="A2909" t="s">
        <v>59</v>
      </c>
      <c r="B2909" t="s">
        <v>113</v>
      </c>
      <c r="C2909" t="s">
        <v>2424</v>
      </c>
      <c r="D2909">
        <v>3</v>
      </c>
      <c r="E2909" s="307">
        <v>4</v>
      </c>
      <c r="F2909" s="307" t="s">
        <v>7</v>
      </c>
      <c r="G2909" s="307" t="s">
        <v>11</v>
      </c>
      <c r="H2909" s="307" t="s">
        <v>11</v>
      </c>
    </row>
    <row r="2910" spans="1:8" x14ac:dyDescent="0.2">
      <c r="A2910" t="s">
        <v>59</v>
      </c>
      <c r="B2910" t="s">
        <v>113</v>
      </c>
      <c r="C2910" t="s">
        <v>2425</v>
      </c>
      <c r="D2910">
        <v>3</v>
      </c>
      <c r="E2910" s="307">
        <v>4</v>
      </c>
      <c r="F2910" s="307" t="s">
        <v>7</v>
      </c>
      <c r="G2910" s="307" t="s">
        <v>11</v>
      </c>
      <c r="H2910" s="307" t="s">
        <v>11</v>
      </c>
    </row>
    <row r="2911" spans="1:8" x14ac:dyDescent="0.2">
      <c r="A2911" t="s">
        <v>59</v>
      </c>
      <c r="B2911" t="s">
        <v>113</v>
      </c>
      <c r="C2911" t="s">
        <v>1918</v>
      </c>
      <c r="D2911">
        <v>3</v>
      </c>
      <c r="E2911" s="307">
        <v>4</v>
      </c>
      <c r="F2911" s="307" t="s">
        <v>7</v>
      </c>
      <c r="G2911" s="307" t="s">
        <v>11</v>
      </c>
      <c r="H2911" s="307" t="s">
        <v>11</v>
      </c>
    </row>
    <row r="2912" spans="1:8" x14ac:dyDescent="0.2">
      <c r="A2912" t="s">
        <v>59</v>
      </c>
      <c r="B2912" t="s">
        <v>113</v>
      </c>
      <c r="C2912" t="s">
        <v>2088</v>
      </c>
      <c r="D2912">
        <v>3</v>
      </c>
      <c r="E2912" s="307">
        <v>4</v>
      </c>
      <c r="F2912" s="307" t="s">
        <v>7</v>
      </c>
      <c r="G2912" s="307" t="s">
        <v>11</v>
      </c>
      <c r="H2912" s="307" t="s">
        <v>11</v>
      </c>
    </row>
    <row r="2913" spans="1:8" x14ac:dyDescent="0.2">
      <c r="A2913" t="s">
        <v>59</v>
      </c>
      <c r="B2913" t="s">
        <v>113</v>
      </c>
      <c r="C2913" t="s">
        <v>2426</v>
      </c>
      <c r="D2913">
        <v>2</v>
      </c>
      <c r="E2913" s="307">
        <v>4</v>
      </c>
      <c r="F2913" s="307" t="s">
        <v>7</v>
      </c>
      <c r="G2913" s="307" t="s">
        <v>11</v>
      </c>
      <c r="H2913" s="307" t="s">
        <v>11</v>
      </c>
    </row>
    <row r="2914" spans="1:8" x14ac:dyDescent="0.2">
      <c r="A2914" t="s">
        <v>59</v>
      </c>
      <c r="B2914" t="s">
        <v>113</v>
      </c>
      <c r="C2914" t="s">
        <v>2427</v>
      </c>
      <c r="D2914">
        <v>1</v>
      </c>
      <c r="E2914" s="307">
        <v>4</v>
      </c>
      <c r="F2914" s="307" t="s">
        <v>7</v>
      </c>
      <c r="G2914" s="307" t="s">
        <v>11</v>
      </c>
      <c r="H2914" s="307" t="s">
        <v>11</v>
      </c>
    </row>
    <row r="2915" spans="1:8" x14ac:dyDescent="0.2">
      <c r="A2915" t="s">
        <v>59</v>
      </c>
      <c r="B2915" t="s">
        <v>113</v>
      </c>
      <c r="C2915" t="s">
        <v>883</v>
      </c>
      <c r="D2915">
        <v>1</v>
      </c>
      <c r="E2915" s="307">
        <v>4</v>
      </c>
      <c r="F2915" s="307" t="s">
        <v>7</v>
      </c>
      <c r="G2915" s="307" t="s">
        <v>11</v>
      </c>
      <c r="H2915" s="307" t="s">
        <v>11</v>
      </c>
    </row>
    <row r="2916" spans="1:8" x14ac:dyDescent="0.2">
      <c r="A2916" t="s">
        <v>59</v>
      </c>
      <c r="B2916" t="s">
        <v>113</v>
      </c>
      <c r="C2916" t="s">
        <v>1299</v>
      </c>
      <c r="D2916">
        <v>1</v>
      </c>
      <c r="E2916" s="307">
        <v>4</v>
      </c>
      <c r="F2916" s="307" t="s">
        <v>7</v>
      </c>
      <c r="G2916" s="307" t="s">
        <v>11</v>
      </c>
      <c r="H2916" s="307" t="s">
        <v>11</v>
      </c>
    </row>
    <row r="2917" spans="1:8" x14ac:dyDescent="0.2">
      <c r="A2917" t="s">
        <v>59</v>
      </c>
      <c r="B2917" t="s">
        <v>113</v>
      </c>
      <c r="C2917" t="s">
        <v>2428</v>
      </c>
      <c r="D2917">
        <v>1</v>
      </c>
      <c r="E2917" s="307">
        <v>4</v>
      </c>
      <c r="F2917" s="307" t="s">
        <v>7</v>
      </c>
      <c r="G2917" s="307" t="s">
        <v>11</v>
      </c>
      <c r="H2917" s="307" t="s">
        <v>11</v>
      </c>
    </row>
    <row r="2918" spans="1:8" x14ac:dyDescent="0.2">
      <c r="A2918" t="s">
        <v>59</v>
      </c>
      <c r="B2918" t="s">
        <v>113</v>
      </c>
      <c r="C2918" t="s">
        <v>2429</v>
      </c>
      <c r="D2918">
        <v>3</v>
      </c>
      <c r="E2918" s="307">
        <v>4</v>
      </c>
      <c r="F2918" s="307" t="s">
        <v>7</v>
      </c>
      <c r="G2918" s="307" t="s">
        <v>11</v>
      </c>
      <c r="H2918" s="307" t="s">
        <v>11</v>
      </c>
    </row>
    <row r="2919" spans="1:8" x14ac:dyDescent="0.2">
      <c r="A2919" t="s">
        <v>59</v>
      </c>
      <c r="B2919" t="s">
        <v>113</v>
      </c>
      <c r="C2919" t="s">
        <v>2430</v>
      </c>
      <c r="D2919">
        <v>1</v>
      </c>
      <c r="E2919" s="307">
        <v>4</v>
      </c>
      <c r="F2919" s="307" t="s">
        <v>7</v>
      </c>
      <c r="G2919" s="307" t="s">
        <v>11</v>
      </c>
      <c r="H2919" s="307" t="s">
        <v>11</v>
      </c>
    </row>
    <row r="2920" spans="1:8" x14ac:dyDescent="0.2">
      <c r="A2920" t="s">
        <v>59</v>
      </c>
      <c r="B2920" t="s">
        <v>113</v>
      </c>
      <c r="C2920" t="s">
        <v>2431</v>
      </c>
      <c r="D2920">
        <v>3</v>
      </c>
      <c r="E2920" s="307">
        <v>4</v>
      </c>
      <c r="F2920" s="307" t="s">
        <v>7</v>
      </c>
      <c r="G2920" s="307" t="s">
        <v>11</v>
      </c>
      <c r="H2920" s="307" t="s">
        <v>11</v>
      </c>
    </row>
    <row r="2921" spans="1:8" x14ac:dyDescent="0.2">
      <c r="A2921" t="s">
        <v>59</v>
      </c>
      <c r="B2921" t="s">
        <v>113</v>
      </c>
      <c r="C2921" t="s">
        <v>2432</v>
      </c>
      <c r="D2921">
        <v>3</v>
      </c>
      <c r="E2921" s="307">
        <v>4</v>
      </c>
      <c r="F2921" s="307" t="s">
        <v>7</v>
      </c>
      <c r="G2921" s="307" t="s">
        <v>11</v>
      </c>
      <c r="H2921" s="307" t="s">
        <v>11</v>
      </c>
    </row>
    <row r="2922" spans="1:8" x14ac:dyDescent="0.2">
      <c r="A2922" t="s">
        <v>59</v>
      </c>
      <c r="B2922" t="s">
        <v>113</v>
      </c>
      <c r="C2922" t="s">
        <v>2433</v>
      </c>
      <c r="D2922">
        <v>1</v>
      </c>
      <c r="E2922" s="307">
        <v>4</v>
      </c>
      <c r="F2922" s="307" t="s">
        <v>7</v>
      </c>
      <c r="G2922" s="307" t="s">
        <v>11</v>
      </c>
      <c r="H2922" s="307" t="s">
        <v>11</v>
      </c>
    </row>
    <row r="2923" spans="1:8" x14ac:dyDescent="0.2">
      <c r="A2923" t="s">
        <v>59</v>
      </c>
      <c r="B2923" t="s">
        <v>113</v>
      </c>
      <c r="C2923" t="s">
        <v>2434</v>
      </c>
      <c r="D2923">
        <v>2</v>
      </c>
      <c r="E2923" s="307">
        <v>4</v>
      </c>
      <c r="F2923" s="307" t="s">
        <v>7</v>
      </c>
      <c r="G2923" s="307" t="s">
        <v>11</v>
      </c>
      <c r="H2923" s="307" t="s">
        <v>11</v>
      </c>
    </row>
    <row r="2924" spans="1:8" x14ac:dyDescent="0.2">
      <c r="A2924" t="s">
        <v>59</v>
      </c>
      <c r="B2924" t="s">
        <v>113</v>
      </c>
      <c r="C2924" t="s">
        <v>2435</v>
      </c>
      <c r="D2924">
        <v>3</v>
      </c>
      <c r="E2924" s="307">
        <v>4</v>
      </c>
      <c r="F2924" s="307" t="s">
        <v>7</v>
      </c>
      <c r="G2924" s="307" t="s">
        <v>11</v>
      </c>
      <c r="H2924" s="307" t="s">
        <v>11</v>
      </c>
    </row>
    <row r="2925" spans="1:8" x14ac:dyDescent="0.2">
      <c r="A2925" t="s">
        <v>59</v>
      </c>
      <c r="B2925" t="s">
        <v>113</v>
      </c>
      <c r="C2925" t="s">
        <v>2436</v>
      </c>
      <c r="D2925">
        <v>2</v>
      </c>
      <c r="E2925" s="307">
        <v>4</v>
      </c>
      <c r="F2925" s="307" t="s">
        <v>7</v>
      </c>
      <c r="G2925" s="307" t="s">
        <v>11</v>
      </c>
      <c r="H2925" s="307" t="s">
        <v>11</v>
      </c>
    </row>
    <row r="2926" spans="1:8" x14ac:dyDescent="0.2">
      <c r="A2926" t="s">
        <v>59</v>
      </c>
      <c r="B2926" t="s">
        <v>113</v>
      </c>
      <c r="C2926" t="s">
        <v>841</v>
      </c>
      <c r="D2926">
        <v>1</v>
      </c>
      <c r="E2926" s="307">
        <v>4</v>
      </c>
      <c r="F2926" s="307" t="s">
        <v>7</v>
      </c>
      <c r="G2926" s="307" t="s">
        <v>11</v>
      </c>
      <c r="H2926" s="307" t="s">
        <v>11</v>
      </c>
    </row>
    <row r="2927" spans="1:8" x14ac:dyDescent="0.2">
      <c r="A2927" t="s">
        <v>59</v>
      </c>
      <c r="B2927" t="s">
        <v>113</v>
      </c>
      <c r="C2927" t="s">
        <v>2437</v>
      </c>
      <c r="D2927">
        <v>1</v>
      </c>
      <c r="E2927" s="307">
        <v>4</v>
      </c>
      <c r="F2927" s="307" t="s">
        <v>7</v>
      </c>
      <c r="G2927" s="307" t="s">
        <v>11</v>
      </c>
      <c r="H2927" s="307" t="s">
        <v>11</v>
      </c>
    </row>
    <row r="2928" spans="1:8" x14ac:dyDescent="0.2">
      <c r="A2928" t="s">
        <v>59</v>
      </c>
      <c r="B2928" t="s">
        <v>113</v>
      </c>
      <c r="C2928" t="s">
        <v>2438</v>
      </c>
      <c r="D2928">
        <v>2</v>
      </c>
      <c r="E2928" s="307">
        <v>4</v>
      </c>
      <c r="F2928" s="307" t="s">
        <v>7</v>
      </c>
      <c r="G2928" s="307" t="s">
        <v>11</v>
      </c>
      <c r="H2928" s="307" t="s">
        <v>11</v>
      </c>
    </row>
    <row r="2929" spans="1:8" x14ac:dyDescent="0.2">
      <c r="A2929" t="s">
        <v>59</v>
      </c>
      <c r="B2929" t="s">
        <v>113</v>
      </c>
      <c r="C2929" t="s">
        <v>1106</v>
      </c>
      <c r="D2929">
        <v>3</v>
      </c>
      <c r="E2929" s="307">
        <v>4</v>
      </c>
      <c r="F2929" s="307" t="s">
        <v>7</v>
      </c>
      <c r="G2929" s="307" t="s">
        <v>11</v>
      </c>
      <c r="H2929" s="307" t="s">
        <v>11</v>
      </c>
    </row>
    <row r="2930" spans="1:8" x14ac:dyDescent="0.2">
      <c r="A2930" t="s">
        <v>59</v>
      </c>
      <c r="B2930" t="s">
        <v>113</v>
      </c>
      <c r="C2930" t="s">
        <v>2439</v>
      </c>
      <c r="D2930">
        <v>3</v>
      </c>
      <c r="E2930" s="307">
        <v>4</v>
      </c>
      <c r="F2930" s="307" t="s">
        <v>7</v>
      </c>
      <c r="G2930" s="307" t="s">
        <v>11</v>
      </c>
      <c r="H2930" s="307" t="s">
        <v>11</v>
      </c>
    </row>
    <row r="2931" spans="1:8" x14ac:dyDescent="0.2">
      <c r="A2931" t="s">
        <v>59</v>
      </c>
      <c r="B2931" t="s">
        <v>113</v>
      </c>
      <c r="C2931" t="s">
        <v>2440</v>
      </c>
      <c r="D2931">
        <v>1</v>
      </c>
      <c r="E2931" s="307">
        <v>4</v>
      </c>
      <c r="F2931" s="307" t="s">
        <v>7</v>
      </c>
      <c r="G2931" s="307" t="s">
        <v>11</v>
      </c>
      <c r="H2931" s="307" t="s">
        <v>11</v>
      </c>
    </row>
    <row r="2932" spans="1:8" x14ac:dyDescent="0.2">
      <c r="A2932" t="s">
        <v>59</v>
      </c>
      <c r="B2932" t="s">
        <v>113</v>
      </c>
      <c r="C2932" t="s">
        <v>2441</v>
      </c>
      <c r="D2932">
        <v>1</v>
      </c>
      <c r="E2932" s="307">
        <v>4</v>
      </c>
      <c r="F2932" s="307" t="s">
        <v>7</v>
      </c>
      <c r="G2932" s="307" t="s">
        <v>11</v>
      </c>
      <c r="H2932" s="307" t="s">
        <v>11</v>
      </c>
    </row>
    <row r="2933" spans="1:8" x14ac:dyDescent="0.2">
      <c r="A2933" t="s">
        <v>59</v>
      </c>
      <c r="B2933" t="s">
        <v>113</v>
      </c>
      <c r="C2933" t="s">
        <v>2442</v>
      </c>
      <c r="D2933">
        <v>1</v>
      </c>
      <c r="E2933" s="307">
        <v>4</v>
      </c>
      <c r="F2933" s="307" t="s">
        <v>7</v>
      </c>
      <c r="G2933" s="307" t="s">
        <v>11</v>
      </c>
      <c r="H2933" s="307" t="s">
        <v>11</v>
      </c>
    </row>
    <row r="2934" spans="1:8" x14ac:dyDescent="0.2">
      <c r="A2934" t="s">
        <v>59</v>
      </c>
      <c r="B2934" t="s">
        <v>113</v>
      </c>
      <c r="C2934" t="s">
        <v>1809</v>
      </c>
      <c r="D2934">
        <v>1</v>
      </c>
      <c r="E2934" s="307">
        <v>4</v>
      </c>
      <c r="F2934" s="307" t="s">
        <v>7</v>
      </c>
      <c r="G2934" s="307" t="s">
        <v>11</v>
      </c>
      <c r="H2934" s="307" t="s">
        <v>11</v>
      </c>
    </row>
    <row r="2935" spans="1:8" x14ac:dyDescent="0.2">
      <c r="A2935" t="s">
        <v>59</v>
      </c>
      <c r="B2935" t="s">
        <v>113</v>
      </c>
      <c r="C2935" t="s">
        <v>742</v>
      </c>
      <c r="D2935">
        <v>1</v>
      </c>
      <c r="E2935" s="307">
        <v>4</v>
      </c>
      <c r="F2935" s="307" t="s">
        <v>7</v>
      </c>
      <c r="G2935" s="307" t="s">
        <v>11</v>
      </c>
      <c r="H2935" s="307" t="s">
        <v>11</v>
      </c>
    </row>
    <row r="2936" spans="1:8" x14ac:dyDescent="0.2">
      <c r="A2936" t="s">
        <v>59</v>
      </c>
      <c r="B2936" t="s">
        <v>113</v>
      </c>
      <c r="C2936" t="s">
        <v>1821</v>
      </c>
      <c r="D2936">
        <v>1</v>
      </c>
      <c r="E2936" s="307">
        <v>4</v>
      </c>
      <c r="F2936" s="307" t="s">
        <v>7</v>
      </c>
      <c r="G2936" s="307" t="s">
        <v>11</v>
      </c>
      <c r="H2936" s="307" t="s">
        <v>11</v>
      </c>
    </row>
    <row r="2937" spans="1:8" x14ac:dyDescent="0.2">
      <c r="A2937" t="s">
        <v>59</v>
      </c>
      <c r="B2937" t="s">
        <v>113</v>
      </c>
      <c r="C2937" t="s">
        <v>844</v>
      </c>
      <c r="D2937">
        <v>1</v>
      </c>
      <c r="E2937" s="307">
        <v>4</v>
      </c>
      <c r="F2937" s="307" t="s">
        <v>7</v>
      </c>
      <c r="G2937" s="307" t="s">
        <v>11</v>
      </c>
      <c r="H2937" s="307" t="s">
        <v>11</v>
      </c>
    </row>
    <row r="2938" spans="1:8" x14ac:dyDescent="0.2">
      <c r="A2938" t="s">
        <v>59</v>
      </c>
      <c r="B2938" t="s">
        <v>113</v>
      </c>
      <c r="C2938" t="s">
        <v>2443</v>
      </c>
      <c r="D2938">
        <v>1</v>
      </c>
      <c r="E2938" s="307">
        <v>4</v>
      </c>
      <c r="F2938" s="307" t="s">
        <v>7</v>
      </c>
      <c r="G2938" s="307" t="s">
        <v>11</v>
      </c>
      <c r="H2938" s="307" t="s">
        <v>11</v>
      </c>
    </row>
    <row r="2939" spans="1:8" x14ac:dyDescent="0.2">
      <c r="A2939" t="s">
        <v>59</v>
      </c>
      <c r="B2939" t="s">
        <v>113</v>
      </c>
      <c r="C2939" t="s">
        <v>2444</v>
      </c>
      <c r="D2939">
        <v>1</v>
      </c>
      <c r="E2939" s="307">
        <v>4</v>
      </c>
      <c r="F2939" s="307" t="s">
        <v>7</v>
      </c>
      <c r="G2939" s="307" t="s">
        <v>11</v>
      </c>
      <c r="H2939" s="307" t="s">
        <v>11</v>
      </c>
    </row>
    <row r="2940" spans="1:8" x14ac:dyDescent="0.2">
      <c r="A2940" t="s">
        <v>59</v>
      </c>
      <c r="B2940" t="s">
        <v>113</v>
      </c>
      <c r="C2940" t="s">
        <v>2445</v>
      </c>
      <c r="D2940">
        <v>3</v>
      </c>
      <c r="E2940" s="307">
        <v>4</v>
      </c>
      <c r="F2940" s="307" t="s">
        <v>7</v>
      </c>
      <c r="G2940" s="307" t="s">
        <v>11</v>
      </c>
      <c r="H2940" s="307" t="s">
        <v>11</v>
      </c>
    </row>
    <row r="2941" spans="1:8" x14ac:dyDescent="0.2">
      <c r="A2941" t="s">
        <v>59</v>
      </c>
      <c r="B2941" t="s">
        <v>113</v>
      </c>
      <c r="C2941" t="s">
        <v>2446</v>
      </c>
      <c r="D2941">
        <v>1</v>
      </c>
      <c r="E2941" s="307">
        <v>4</v>
      </c>
      <c r="F2941" s="307" t="s">
        <v>7</v>
      </c>
      <c r="G2941" s="307" t="s">
        <v>11</v>
      </c>
      <c r="H2941" s="307" t="s">
        <v>11</v>
      </c>
    </row>
    <row r="2942" spans="1:8" x14ac:dyDescent="0.2">
      <c r="A2942" t="s">
        <v>59</v>
      </c>
      <c r="B2942" t="s">
        <v>113</v>
      </c>
      <c r="C2942" t="s">
        <v>1370</v>
      </c>
      <c r="D2942">
        <v>1</v>
      </c>
      <c r="E2942" s="307">
        <v>4</v>
      </c>
      <c r="F2942" s="307" t="s">
        <v>7</v>
      </c>
      <c r="G2942" s="307" t="s">
        <v>11</v>
      </c>
      <c r="H2942" s="307" t="s">
        <v>11</v>
      </c>
    </row>
    <row r="2943" spans="1:8" x14ac:dyDescent="0.2">
      <c r="A2943" t="s">
        <v>59</v>
      </c>
      <c r="B2943" t="s">
        <v>113</v>
      </c>
      <c r="C2943" t="s">
        <v>2447</v>
      </c>
      <c r="D2943">
        <v>1</v>
      </c>
      <c r="E2943" s="307">
        <v>4</v>
      </c>
      <c r="F2943" s="307" t="s">
        <v>7</v>
      </c>
      <c r="G2943" s="307" t="s">
        <v>11</v>
      </c>
      <c r="H2943" s="307" t="s">
        <v>11</v>
      </c>
    </row>
    <row r="2944" spans="1:8" x14ac:dyDescent="0.2">
      <c r="A2944" t="s">
        <v>59</v>
      </c>
      <c r="B2944" t="s">
        <v>113</v>
      </c>
      <c r="C2944" t="s">
        <v>2448</v>
      </c>
      <c r="D2944">
        <v>3</v>
      </c>
      <c r="E2944" s="307">
        <v>4</v>
      </c>
      <c r="F2944" s="307" t="s">
        <v>7</v>
      </c>
      <c r="G2944" s="307" t="s">
        <v>11</v>
      </c>
      <c r="H2944" s="307" t="s">
        <v>11</v>
      </c>
    </row>
    <row r="2945" spans="1:8" x14ac:dyDescent="0.2">
      <c r="A2945" t="s">
        <v>59</v>
      </c>
      <c r="B2945" t="s">
        <v>113</v>
      </c>
      <c r="C2945" t="s">
        <v>1931</v>
      </c>
      <c r="D2945">
        <v>3</v>
      </c>
      <c r="E2945" s="307">
        <v>4</v>
      </c>
      <c r="F2945" s="307" t="s">
        <v>7</v>
      </c>
      <c r="G2945" s="307" t="s">
        <v>11</v>
      </c>
      <c r="H2945" s="307" t="s">
        <v>11</v>
      </c>
    </row>
    <row r="2946" spans="1:8" x14ac:dyDescent="0.2">
      <c r="A2946" t="s">
        <v>59</v>
      </c>
      <c r="B2946" t="s">
        <v>113</v>
      </c>
      <c r="C2946" t="s">
        <v>976</v>
      </c>
      <c r="D2946">
        <v>3</v>
      </c>
      <c r="E2946" s="307">
        <v>4</v>
      </c>
      <c r="F2946" s="307" t="s">
        <v>7</v>
      </c>
      <c r="G2946" s="307" t="s">
        <v>11</v>
      </c>
      <c r="H2946" s="307" t="s">
        <v>11</v>
      </c>
    </row>
    <row r="2947" spans="1:8" x14ac:dyDescent="0.2">
      <c r="A2947" t="s">
        <v>59</v>
      </c>
      <c r="B2947" t="s">
        <v>113</v>
      </c>
      <c r="C2947" t="s">
        <v>1220</v>
      </c>
      <c r="D2947">
        <v>1</v>
      </c>
      <c r="E2947" s="307">
        <v>4</v>
      </c>
      <c r="F2947" s="307" t="s">
        <v>7</v>
      </c>
      <c r="G2947" s="307" t="s">
        <v>11</v>
      </c>
      <c r="H2947" s="307" t="s">
        <v>11</v>
      </c>
    </row>
    <row r="2948" spans="1:8" x14ac:dyDescent="0.2">
      <c r="A2948" t="s">
        <v>59</v>
      </c>
      <c r="B2948" t="s">
        <v>113</v>
      </c>
      <c r="C2948" t="s">
        <v>2449</v>
      </c>
      <c r="D2948">
        <v>3</v>
      </c>
      <c r="E2948" s="307">
        <v>4</v>
      </c>
      <c r="F2948" s="307" t="s">
        <v>7</v>
      </c>
      <c r="G2948" s="307" t="s">
        <v>11</v>
      </c>
      <c r="H2948" s="307" t="s">
        <v>11</v>
      </c>
    </row>
    <row r="2949" spans="1:8" x14ac:dyDescent="0.2">
      <c r="A2949" t="s">
        <v>59</v>
      </c>
      <c r="B2949" t="s">
        <v>113</v>
      </c>
      <c r="C2949" t="s">
        <v>1128</v>
      </c>
      <c r="D2949">
        <v>1</v>
      </c>
      <c r="E2949" s="307">
        <v>4</v>
      </c>
      <c r="F2949" s="307" t="s">
        <v>7</v>
      </c>
      <c r="G2949" s="307" t="s">
        <v>11</v>
      </c>
      <c r="H2949" s="307" t="s">
        <v>11</v>
      </c>
    </row>
    <row r="2950" spans="1:8" x14ac:dyDescent="0.2">
      <c r="A2950" t="s">
        <v>59</v>
      </c>
      <c r="B2950" t="s">
        <v>113</v>
      </c>
      <c r="C2950" t="s">
        <v>750</v>
      </c>
      <c r="D2950">
        <v>1</v>
      </c>
      <c r="E2950" s="307">
        <v>4</v>
      </c>
      <c r="F2950" s="307" t="s">
        <v>7</v>
      </c>
      <c r="G2950" s="307" t="s">
        <v>11</v>
      </c>
      <c r="H2950" s="307" t="s">
        <v>11</v>
      </c>
    </row>
    <row r="2951" spans="1:8" x14ac:dyDescent="0.2">
      <c r="A2951" t="s">
        <v>59</v>
      </c>
      <c r="B2951" t="s">
        <v>113</v>
      </c>
      <c r="C2951" t="s">
        <v>2450</v>
      </c>
      <c r="D2951">
        <v>1</v>
      </c>
      <c r="E2951" s="307">
        <v>4</v>
      </c>
      <c r="F2951" s="307" t="s">
        <v>7</v>
      </c>
      <c r="G2951" s="307" t="s">
        <v>11</v>
      </c>
      <c r="H2951" s="307" t="s">
        <v>11</v>
      </c>
    </row>
    <row r="2952" spans="1:8" x14ac:dyDescent="0.2">
      <c r="A2952" t="s">
        <v>59</v>
      </c>
      <c r="B2952" t="s">
        <v>113</v>
      </c>
      <c r="C2952" t="s">
        <v>2095</v>
      </c>
      <c r="D2952">
        <v>3</v>
      </c>
      <c r="E2952" s="307">
        <v>4</v>
      </c>
      <c r="F2952" s="307" t="s">
        <v>7</v>
      </c>
      <c r="G2952" s="307" t="s">
        <v>11</v>
      </c>
      <c r="H2952" s="307" t="s">
        <v>11</v>
      </c>
    </row>
    <row r="2953" spans="1:8" x14ac:dyDescent="0.2">
      <c r="A2953" t="s">
        <v>59</v>
      </c>
      <c r="B2953" t="s">
        <v>113</v>
      </c>
      <c r="C2953" t="s">
        <v>2451</v>
      </c>
      <c r="D2953">
        <v>3</v>
      </c>
      <c r="E2953" s="307">
        <v>4</v>
      </c>
      <c r="F2953" s="307" t="s">
        <v>7</v>
      </c>
      <c r="G2953" s="307" t="s">
        <v>11</v>
      </c>
      <c r="H2953" s="307" t="s">
        <v>11</v>
      </c>
    </row>
    <row r="2954" spans="1:8" x14ac:dyDescent="0.2">
      <c r="A2954" t="s">
        <v>59</v>
      </c>
      <c r="B2954" t="s">
        <v>113</v>
      </c>
      <c r="C2954" t="s">
        <v>2452</v>
      </c>
      <c r="D2954">
        <v>1</v>
      </c>
      <c r="E2954" s="307">
        <v>4</v>
      </c>
      <c r="F2954" s="307" t="s">
        <v>7</v>
      </c>
      <c r="G2954" s="307" t="s">
        <v>11</v>
      </c>
      <c r="H2954" s="307" t="s">
        <v>11</v>
      </c>
    </row>
    <row r="2955" spans="1:8" x14ac:dyDescent="0.2">
      <c r="A2955" t="s">
        <v>59</v>
      </c>
      <c r="B2955" t="s">
        <v>113</v>
      </c>
      <c r="C2955" t="s">
        <v>2343</v>
      </c>
      <c r="D2955">
        <v>2</v>
      </c>
      <c r="E2955" s="307">
        <v>4</v>
      </c>
      <c r="F2955" s="307" t="s">
        <v>7</v>
      </c>
      <c r="G2955" s="307" t="s">
        <v>11</v>
      </c>
      <c r="H2955" s="307" t="s">
        <v>11</v>
      </c>
    </row>
    <row r="2956" spans="1:8" x14ac:dyDescent="0.2">
      <c r="A2956" t="s">
        <v>59</v>
      </c>
      <c r="B2956" t="s">
        <v>113</v>
      </c>
      <c r="C2956" t="s">
        <v>2453</v>
      </c>
      <c r="D2956">
        <v>1</v>
      </c>
      <c r="E2956" s="307">
        <v>4</v>
      </c>
      <c r="F2956" s="307" t="s">
        <v>7</v>
      </c>
      <c r="G2956" s="307" t="s">
        <v>11</v>
      </c>
      <c r="H2956" s="307" t="s">
        <v>11</v>
      </c>
    </row>
    <row r="2957" spans="1:8" x14ac:dyDescent="0.2">
      <c r="A2957" t="s">
        <v>59</v>
      </c>
      <c r="B2957" t="s">
        <v>113</v>
      </c>
      <c r="C2957" t="s">
        <v>1491</v>
      </c>
      <c r="D2957">
        <v>3</v>
      </c>
      <c r="E2957" s="307">
        <v>4</v>
      </c>
      <c r="F2957" s="307" t="s">
        <v>7</v>
      </c>
      <c r="G2957" s="307" t="s">
        <v>11</v>
      </c>
      <c r="H2957" s="307" t="s">
        <v>11</v>
      </c>
    </row>
    <row r="2958" spans="1:8" x14ac:dyDescent="0.2">
      <c r="A2958" t="s">
        <v>61</v>
      </c>
      <c r="B2958" t="s">
        <v>85</v>
      </c>
      <c r="C2958" t="s">
        <v>911</v>
      </c>
      <c r="D2958">
        <v>2</v>
      </c>
      <c r="E2958" s="307">
        <v>5</v>
      </c>
      <c r="F2958" s="307" t="s">
        <v>75</v>
      </c>
      <c r="G2958" s="307" t="s">
        <v>11</v>
      </c>
      <c r="H2958" s="307" t="s">
        <v>11</v>
      </c>
    </row>
    <row r="2959" spans="1:8" x14ac:dyDescent="0.2">
      <c r="A2959" t="s">
        <v>61</v>
      </c>
      <c r="B2959" t="s">
        <v>85</v>
      </c>
      <c r="C2959" t="s">
        <v>2454</v>
      </c>
      <c r="D2959">
        <v>2</v>
      </c>
      <c r="E2959" s="307">
        <v>5</v>
      </c>
      <c r="F2959" s="307" t="s">
        <v>75</v>
      </c>
      <c r="G2959" s="307" t="s">
        <v>11</v>
      </c>
      <c r="H2959" s="307" t="s">
        <v>11</v>
      </c>
    </row>
    <row r="2960" spans="1:8" x14ac:dyDescent="0.2">
      <c r="A2960" t="s">
        <v>61</v>
      </c>
      <c r="B2960" t="s">
        <v>85</v>
      </c>
      <c r="C2960" t="s">
        <v>801</v>
      </c>
      <c r="D2960">
        <v>2</v>
      </c>
      <c r="E2960" s="307">
        <v>5</v>
      </c>
      <c r="F2960" s="307" t="s">
        <v>75</v>
      </c>
      <c r="G2960" s="307" t="s">
        <v>11</v>
      </c>
      <c r="H2960" s="307" t="s">
        <v>11</v>
      </c>
    </row>
    <row r="2961" spans="1:8" x14ac:dyDescent="0.2">
      <c r="A2961" t="s">
        <v>61</v>
      </c>
      <c r="B2961" t="s">
        <v>85</v>
      </c>
      <c r="C2961" t="s">
        <v>2455</v>
      </c>
      <c r="D2961">
        <v>3</v>
      </c>
      <c r="E2961" s="307">
        <v>5</v>
      </c>
      <c r="F2961" s="307" t="s">
        <v>75</v>
      </c>
      <c r="G2961" s="307" t="s">
        <v>11</v>
      </c>
      <c r="H2961" s="307" t="s">
        <v>11</v>
      </c>
    </row>
    <row r="2962" spans="1:8" x14ac:dyDescent="0.2">
      <c r="A2962" t="s">
        <v>61</v>
      </c>
      <c r="B2962" t="s">
        <v>85</v>
      </c>
      <c r="C2962" t="s">
        <v>2456</v>
      </c>
      <c r="D2962">
        <v>3</v>
      </c>
      <c r="E2962" s="307">
        <v>4</v>
      </c>
      <c r="F2962" s="307" t="s">
        <v>105</v>
      </c>
      <c r="G2962" s="307" t="s">
        <v>11</v>
      </c>
      <c r="H2962" s="307" t="s">
        <v>11</v>
      </c>
    </row>
    <row r="2963" spans="1:8" x14ac:dyDescent="0.2">
      <c r="A2963" t="s">
        <v>61</v>
      </c>
      <c r="B2963" t="s">
        <v>85</v>
      </c>
      <c r="C2963" t="s">
        <v>806</v>
      </c>
      <c r="D2963">
        <v>1</v>
      </c>
      <c r="E2963" s="307">
        <v>4</v>
      </c>
      <c r="F2963" s="307" t="s">
        <v>105</v>
      </c>
      <c r="G2963" s="307" t="s">
        <v>11</v>
      </c>
      <c r="H2963" s="307" t="s">
        <v>11</v>
      </c>
    </row>
    <row r="2964" spans="1:8" x14ac:dyDescent="0.2">
      <c r="A2964" t="s">
        <v>61</v>
      </c>
      <c r="B2964" t="s">
        <v>85</v>
      </c>
      <c r="C2964" t="s">
        <v>808</v>
      </c>
      <c r="D2964">
        <v>2</v>
      </c>
      <c r="E2964" s="307">
        <v>5</v>
      </c>
      <c r="F2964" s="307" t="s">
        <v>75</v>
      </c>
      <c r="G2964" s="307" t="s">
        <v>11</v>
      </c>
      <c r="H2964" s="307" t="s">
        <v>11</v>
      </c>
    </row>
    <row r="2965" spans="1:8" x14ac:dyDescent="0.2">
      <c r="A2965" t="s">
        <v>61</v>
      </c>
      <c r="B2965" t="s">
        <v>85</v>
      </c>
      <c r="C2965" t="s">
        <v>2457</v>
      </c>
      <c r="D2965">
        <v>3</v>
      </c>
      <c r="E2965" s="307">
        <v>4</v>
      </c>
      <c r="F2965" s="307" t="s">
        <v>105</v>
      </c>
      <c r="G2965" s="307" t="s">
        <v>11</v>
      </c>
      <c r="H2965" s="307" t="s">
        <v>11</v>
      </c>
    </row>
    <row r="2966" spans="1:8" x14ac:dyDescent="0.2">
      <c r="A2966" t="s">
        <v>61</v>
      </c>
      <c r="B2966" t="s">
        <v>85</v>
      </c>
      <c r="C2966" t="s">
        <v>929</v>
      </c>
      <c r="D2966">
        <v>2</v>
      </c>
      <c r="E2966" s="307">
        <v>5</v>
      </c>
      <c r="F2966" s="307" t="s">
        <v>75</v>
      </c>
      <c r="G2966" s="307" t="s">
        <v>11</v>
      </c>
      <c r="H2966" s="307" t="s">
        <v>11</v>
      </c>
    </row>
    <row r="2967" spans="1:8" x14ac:dyDescent="0.2">
      <c r="A2967" t="s">
        <v>61</v>
      </c>
      <c r="B2967" t="s">
        <v>85</v>
      </c>
      <c r="C2967" t="s">
        <v>2458</v>
      </c>
      <c r="D2967">
        <v>1</v>
      </c>
      <c r="E2967" s="307">
        <v>6</v>
      </c>
      <c r="F2967" s="307" t="s">
        <v>75</v>
      </c>
      <c r="G2967" s="307" t="s">
        <v>11</v>
      </c>
      <c r="H2967" s="307" t="s">
        <v>11</v>
      </c>
    </row>
    <row r="2968" spans="1:8" x14ac:dyDescent="0.2">
      <c r="A2968" t="s">
        <v>61</v>
      </c>
      <c r="B2968" t="s">
        <v>85</v>
      </c>
      <c r="C2968" t="s">
        <v>715</v>
      </c>
      <c r="D2968">
        <v>2</v>
      </c>
      <c r="E2968" s="307">
        <v>5</v>
      </c>
      <c r="F2968" s="307" t="s">
        <v>75</v>
      </c>
      <c r="G2968" s="307" t="s">
        <v>11</v>
      </c>
      <c r="H2968" s="307" t="s">
        <v>11</v>
      </c>
    </row>
    <row r="2969" spans="1:8" x14ac:dyDescent="0.2">
      <c r="A2969" t="s">
        <v>61</v>
      </c>
      <c r="B2969" t="s">
        <v>85</v>
      </c>
      <c r="C2969" t="s">
        <v>934</v>
      </c>
      <c r="D2969">
        <v>2</v>
      </c>
      <c r="E2969" s="307">
        <v>5</v>
      </c>
      <c r="F2969" s="307" t="s">
        <v>75</v>
      </c>
      <c r="G2969" s="307" t="s">
        <v>11</v>
      </c>
      <c r="H2969" s="307" t="s">
        <v>11</v>
      </c>
    </row>
    <row r="2970" spans="1:8" x14ac:dyDescent="0.2">
      <c r="A2970" t="s">
        <v>61</v>
      </c>
      <c r="B2970" t="s">
        <v>85</v>
      </c>
      <c r="C2970" t="s">
        <v>819</v>
      </c>
      <c r="D2970">
        <v>2</v>
      </c>
      <c r="E2970" s="307">
        <v>5</v>
      </c>
      <c r="F2970" s="307" t="s">
        <v>75</v>
      </c>
      <c r="G2970" s="307" t="s">
        <v>11</v>
      </c>
      <c r="H2970" s="307" t="s">
        <v>11</v>
      </c>
    </row>
    <row r="2971" spans="1:8" x14ac:dyDescent="0.2">
      <c r="A2971" t="s">
        <v>61</v>
      </c>
      <c r="B2971" t="s">
        <v>85</v>
      </c>
      <c r="C2971" t="s">
        <v>2459</v>
      </c>
      <c r="D2971">
        <v>3</v>
      </c>
      <c r="E2971" s="307">
        <v>4</v>
      </c>
      <c r="F2971" s="307" t="s">
        <v>105</v>
      </c>
      <c r="G2971" s="307" t="s">
        <v>11</v>
      </c>
      <c r="H2971" s="307" t="s">
        <v>11</v>
      </c>
    </row>
    <row r="2972" spans="1:8" x14ac:dyDescent="0.2">
      <c r="A2972" t="s">
        <v>61</v>
      </c>
      <c r="B2972" t="s">
        <v>85</v>
      </c>
      <c r="C2972" t="s">
        <v>2460</v>
      </c>
      <c r="D2972">
        <v>3</v>
      </c>
      <c r="E2972" s="307">
        <v>4</v>
      </c>
      <c r="F2972" s="307" t="s">
        <v>105</v>
      </c>
      <c r="G2972" s="307" t="s">
        <v>11</v>
      </c>
      <c r="H2972" s="307" t="s">
        <v>11</v>
      </c>
    </row>
    <row r="2973" spans="1:8" x14ac:dyDescent="0.2">
      <c r="A2973" t="s">
        <v>61</v>
      </c>
      <c r="B2973" t="s">
        <v>85</v>
      </c>
      <c r="C2973" t="s">
        <v>722</v>
      </c>
      <c r="D2973">
        <v>3</v>
      </c>
      <c r="E2973" s="307">
        <v>4</v>
      </c>
      <c r="F2973" s="307" t="s">
        <v>105</v>
      </c>
      <c r="G2973" s="307" t="s">
        <v>11</v>
      </c>
      <c r="H2973" s="307" t="s">
        <v>11</v>
      </c>
    </row>
    <row r="2974" spans="1:8" x14ac:dyDescent="0.2">
      <c r="A2974" t="s">
        <v>61</v>
      </c>
      <c r="B2974" t="s">
        <v>85</v>
      </c>
      <c r="C2974" t="s">
        <v>2272</v>
      </c>
      <c r="D2974">
        <v>3</v>
      </c>
      <c r="E2974" s="307">
        <v>4</v>
      </c>
      <c r="F2974" s="307" t="s">
        <v>105</v>
      </c>
      <c r="G2974" s="307" t="s">
        <v>11</v>
      </c>
      <c r="H2974" s="307" t="s">
        <v>11</v>
      </c>
    </row>
    <row r="2975" spans="1:8" x14ac:dyDescent="0.2">
      <c r="A2975" t="s">
        <v>61</v>
      </c>
      <c r="B2975" t="s">
        <v>85</v>
      </c>
      <c r="C2975" t="s">
        <v>2461</v>
      </c>
      <c r="D2975">
        <v>3</v>
      </c>
      <c r="E2975" s="307">
        <v>4</v>
      </c>
      <c r="F2975" s="307" t="s">
        <v>105</v>
      </c>
      <c r="G2975" s="307" t="s">
        <v>11</v>
      </c>
      <c r="H2975" s="307" t="s">
        <v>11</v>
      </c>
    </row>
    <row r="2976" spans="1:8" x14ac:dyDescent="0.2">
      <c r="A2976" t="s">
        <v>61</v>
      </c>
      <c r="B2976" t="s">
        <v>85</v>
      </c>
      <c r="C2976" t="s">
        <v>2462</v>
      </c>
      <c r="D2976">
        <v>2</v>
      </c>
      <c r="E2976" s="307">
        <v>5</v>
      </c>
      <c r="F2976" s="307" t="s">
        <v>75</v>
      </c>
      <c r="G2976" s="307" t="s">
        <v>11</v>
      </c>
      <c r="H2976" s="307" t="s">
        <v>11</v>
      </c>
    </row>
    <row r="2977" spans="1:8" x14ac:dyDescent="0.2">
      <c r="A2977" t="s">
        <v>61</v>
      </c>
      <c r="B2977" t="s">
        <v>85</v>
      </c>
      <c r="C2977" t="s">
        <v>2463</v>
      </c>
      <c r="D2977">
        <v>2</v>
      </c>
      <c r="E2977" s="307">
        <v>5</v>
      </c>
      <c r="F2977" s="307" t="s">
        <v>75</v>
      </c>
      <c r="G2977" s="307" t="s">
        <v>11</v>
      </c>
      <c r="H2977" s="307" t="s">
        <v>11</v>
      </c>
    </row>
    <row r="2978" spans="1:8" x14ac:dyDescent="0.2">
      <c r="A2978" t="s">
        <v>61</v>
      </c>
      <c r="B2978" t="s">
        <v>85</v>
      </c>
      <c r="C2978" t="s">
        <v>1163</v>
      </c>
      <c r="D2978">
        <v>3</v>
      </c>
      <c r="E2978" s="307">
        <v>4</v>
      </c>
      <c r="F2978" s="307" t="s">
        <v>105</v>
      </c>
      <c r="G2978" s="307" t="s">
        <v>11</v>
      </c>
      <c r="H2978" s="307" t="s">
        <v>11</v>
      </c>
    </row>
    <row r="2979" spans="1:8" x14ac:dyDescent="0.2">
      <c r="A2979" t="s">
        <v>61</v>
      </c>
      <c r="B2979" t="s">
        <v>85</v>
      </c>
      <c r="C2979" t="s">
        <v>827</v>
      </c>
      <c r="D2979">
        <v>2</v>
      </c>
      <c r="E2979" s="307">
        <v>5</v>
      </c>
      <c r="F2979" s="307" t="s">
        <v>75</v>
      </c>
      <c r="G2979" s="307" t="s">
        <v>11</v>
      </c>
      <c r="H2979" s="307" t="s">
        <v>11</v>
      </c>
    </row>
    <row r="2980" spans="1:8" x14ac:dyDescent="0.2">
      <c r="A2980" t="s">
        <v>61</v>
      </c>
      <c r="B2980" t="s">
        <v>85</v>
      </c>
      <c r="C2980" t="s">
        <v>1203</v>
      </c>
      <c r="D2980">
        <v>3</v>
      </c>
      <c r="E2980" s="307">
        <v>4</v>
      </c>
      <c r="F2980" s="307" t="s">
        <v>105</v>
      </c>
      <c r="G2980" s="307" t="s">
        <v>11</v>
      </c>
      <c r="H2980" s="307" t="s">
        <v>11</v>
      </c>
    </row>
    <row r="2981" spans="1:8" x14ac:dyDescent="0.2">
      <c r="A2981" t="s">
        <v>61</v>
      </c>
      <c r="B2981" t="s">
        <v>85</v>
      </c>
      <c r="C2981" t="s">
        <v>2464</v>
      </c>
      <c r="D2981">
        <v>1</v>
      </c>
      <c r="E2981" s="307">
        <v>6</v>
      </c>
      <c r="F2981" s="307" t="s">
        <v>75</v>
      </c>
      <c r="G2981" s="307" t="s">
        <v>11</v>
      </c>
      <c r="H2981" s="307" t="s">
        <v>11</v>
      </c>
    </row>
    <row r="2982" spans="1:8" x14ac:dyDescent="0.2">
      <c r="A2982" t="s">
        <v>61</v>
      </c>
      <c r="B2982" t="s">
        <v>85</v>
      </c>
      <c r="C2982" t="s">
        <v>2465</v>
      </c>
      <c r="D2982">
        <v>3</v>
      </c>
      <c r="E2982" s="307">
        <v>4</v>
      </c>
      <c r="F2982" s="307" t="s">
        <v>105</v>
      </c>
      <c r="G2982" s="307" t="s">
        <v>11</v>
      </c>
      <c r="H2982" s="307" t="s">
        <v>11</v>
      </c>
    </row>
    <row r="2983" spans="1:8" x14ac:dyDescent="0.2">
      <c r="A2983" t="s">
        <v>61</v>
      </c>
      <c r="B2983" t="s">
        <v>85</v>
      </c>
      <c r="C2983" t="s">
        <v>2466</v>
      </c>
      <c r="D2983">
        <v>1</v>
      </c>
      <c r="E2983" s="307">
        <v>6</v>
      </c>
      <c r="F2983" s="307" t="s">
        <v>75</v>
      </c>
      <c r="G2983" s="307" t="s">
        <v>11</v>
      </c>
      <c r="H2983" s="307" t="s">
        <v>11</v>
      </c>
    </row>
    <row r="2984" spans="1:8" x14ac:dyDescent="0.2">
      <c r="A2984" t="s">
        <v>61</v>
      </c>
      <c r="B2984" t="s">
        <v>85</v>
      </c>
      <c r="C2984" t="s">
        <v>1103</v>
      </c>
      <c r="D2984">
        <v>3</v>
      </c>
      <c r="E2984" s="307">
        <v>4</v>
      </c>
      <c r="F2984" s="307" t="s">
        <v>105</v>
      </c>
      <c r="G2984" s="307" t="s">
        <v>11</v>
      </c>
      <c r="H2984" s="307" t="s">
        <v>11</v>
      </c>
    </row>
    <row r="2985" spans="1:8" x14ac:dyDescent="0.2">
      <c r="A2985" t="s">
        <v>61</v>
      </c>
      <c r="B2985" t="s">
        <v>85</v>
      </c>
      <c r="C2985" t="s">
        <v>960</v>
      </c>
      <c r="D2985">
        <v>3</v>
      </c>
      <c r="E2985" s="307">
        <v>4</v>
      </c>
      <c r="F2985" s="307" t="s">
        <v>105</v>
      </c>
      <c r="G2985" s="307" t="s">
        <v>11</v>
      </c>
      <c r="H2985" s="307" t="s">
        <v>11</v>
      </c>
    </row>
    <row r="2986" spans="1:8" x14ac:dyDescent="0.2">
      <c r="A2986" t="s">
        <v>61</v>
      </c>
      <c r="B2986" t="s">
        <v>85</v>
      </c>
      <c r="C2986" t="s">
        <v>2467</v>
      </c>
      <c r="D2986">
        <v>3</v>
      </c>
      <c r="E2986" s="307">
        <v>4</v>
      </c>
      <c r="F2986" s="307" t="s">
        <v>105</v>
      </c>
      <c r="G2986" s="307" t="s">
        <v>11</v>
      </c>
      <c r="H2986" s="307" t="s">
        <v>11</v>
      </c>
    </row>
    <row r="2987" spans="1:8" x14ac:dyDescent="0.2">
      <c r="A2987" t="s">
        <v>61</v>
      </c>
      <c r="B2987" t="s">
        <v>85</v>
      </c>
      <c r="C2987" t="s">
        <v>2468</v>
      </c>
      <c r="D2987">
        <v>1</v>
      </c>
      <c r="E2987" s="307">
        <v>5</v>
      </c>
      <c r="F2987" s="307" t="s">
        <v>75</v>
      </c>
      <c r="G2987" s="307" t="s">
        <v>11</v>
      </c>
      <c r="H2987" s="307" t="s">
        <v>11</v>
      </c>
    </row>
    <row r="2988" spans="1:8" x14ac:dyDescent="0.2">
      <c r="A2988" t="s">
        <v>61</v>
      </c>
      <c r="B2988" t="s">
        <v>85</v>
      </c>
      <c r="C2988" t="s">
        <v>2469</v>
      </c>
      <c r="D2988">
        <v>3</v>
      </c>
      <c r="E2988" s="307">
        <v>4</v>
      </c>
      <c r="F2988" s="307" t="s">
        <v>105</v>
      </c>
      <c r="G2988" s="307" t="s">
        <v>11</v>
      </c>
      <c r="H2988" s="307" t="s">
        <v>11</v>
      </c>
    </row>
    <row r="2989" spans="1:8" x14ac:dyDescent="0.2">
      <c r="A2989" t="s">
        <v>61</v>
      </c>
      <c r="B2989" t="s">
        <v>85</v>
      </c>
      <c r="C2989" t="s">
        <v>2470</v>
      </c>
      <c r="D2989">
        <v>1</v>
      </c>
      <c r="E2989" s="307">
        <v>5</v>
      </c>
      <c r="F2989" s="307" t="s">
        <v>75</v>
      </c>
      <c r="G2989" s="307" t="s">
        <v>11</v>
      </c>
      <c r="H2989" s="307" t="s">
        <v>11</v>
      </c>
    </row>
    <row r="2990" spans="1:8" x14ac:dyDescent="0.2">
      <c r="A2990" t="s">
        <v>61</v>
      </c>
      <c r="B2990" t="s">
        <v>85</v>
      </c>
      <c r="C2990" t="s">
        <v>1372</v>
      </c>
      <c r="D2990">
        <v>1</v>
      </c>
      <c r="E2990" s="307">
        <v>6</v>
      </c>
      <c r="F2990" s="307" t="s">
        <v>75</v>
      </c>
      <c r="G2990" s="307" t="s">
        <v>11</v>
      </c>
      <c r="H2990" s="307" t="s">
        <v>11</v>
      </c>
    </row>
    <row r="2991" spans="1:8" x14ac:dyDescent="0.2">
      <c r="A2991" t="s">
        <v>61</v>
      </c>
      <c r="B2991" t="s">
        <v>85</v>
      </c>
      <c r="C2991" t="s">
        <v>1792</v>
      </c>
      <c r="D2991">
        <v>3</v>
      </c>
      <c r="E2991" s="307">
        <v>4</v>
      </c>
      <c r="F2991" s="307" t="s">
        <v>105</v>
      </c>
      <c r="G2991" s="307" t="s">
        <v>11</v>
      </c>
      <c r="H2991" s="307" t="s">
        <v>11</v>
      </c>
    </row>
    <row r="2992" spans="1:8" x14ac:dyDescent="0.2">
      <c r="A2992" t="s">
        <v>61</v>
      </c>
      <c r="B2992" t="s">
        <v>85</v>
      </c>
      <c r="C2992" t="s">
        <v>2471</v>
      </c>
      <c r="D2992">
        <v>3</v>
      </c>
      <c r="E2992" s="307">
        <v>4</v>
      </c>
      <c r="F2992" s="307" t="s">
        <v>105</v>
      </c>
      <c r="G2992" s="307" t="s">
        <v>11</v>
      </c>
      <c r="H2992" s="307" t="s">
        <v>11</v>
      </c>
    </row>
    <row r="2993" spans="1:8" x14ac:dyDescent="0.2">
      <c r="A2993" t="s">
        <v>61</v>
      </c>
      <c r="B2993" t="s">
        <v>85</v>
      </c>
      <c r="C2993" t="s">
        <v>2472</v>
      </c>
      <c r="D2993">
        <v>2</v>
      </c>
      <c r="E2993" s="307">
        <v>5</v>
      </c>
      <c r="F2993" s="307" t="s">
        <v>75</v>
      </c>
      <c r="G2993" s="307" t="s">
        <v>11</v>
      </c>
      <c r="H2993" s="307" t="s">
        <v>11</v>
      </c>
    </row>
    <row r="2994" spans="1:8" x14ac:dyDescent="0.2">
      <c r="A2994" t="s">
        <v>61</v>
      </c>
      <c r="B2994" t="s">
        <v>85</v>
      </c>
      <c r="C2994" t="s">
        <v>2473</v>
      </c>
      <c r="D2994">
        <v>3</v>
      </c>
      <c r="E2994" s="307">
        <v>4</v>
      </c>
      <c r="F2994" s="307" t="s">
        <v>105</v>
      </c>
      <c r="G2994" s="307" t="s">
        <v>11</v>
      </c>
      <c r="H2994" s="307" t="s">
        <v>11</v>
      </c>
    </row>
    <row r="2995" spans="1:8" x14ac:dyDescent="0.2">
      <c r="A2995" t="s">
        <v>61</v>
      </c>
      <c r="B2995" t="s">
        <v>85</v>
      </c>
      <c r="C2995" t="s">
        <v>2474</v>
      </c>
      <c r="D2995">
        <v>2</v>
      </c>
      <c r="E2995" s="307">
        <v>5</v>
      </c>
      <c r="F2995" s="307" t="s">
        <v>75</v>
      </c>
      <c r="G2995" s="307" t="s">
        <v>11</v>
      </c>
      <c r="H2995" s="307" t="s">
        <v>11</v>
      </c>
    </row>
    <row r="2996" spans="1:8" x14ac:dyDescent="0.2">
      <c r="A2996" t="s">
        <v>61</v>
      </c>
      <c r="B2996" t="s">
        <v>85</v>
      </c>
      <c r="C2996" t="s">
        <v>2475</v>
      </c>
      <c r="D2996">
        <v>2</v>
      </c>
      <c r="E2996" s="307">
        <v>5</v>
      </c>
      <c r="F2996" s="307" t="s">
        <v>75</v>
      </c>
      <c r="G2996" s="307" t="s">
        <v>11</v>
      </c>
      <c r="H2996" s="307" t="s">
        <v>11</v>
      </c>
    </row>
    <row r="2997" spans="1:8" x14ac:dyDescent="0.2">
      <c r="A2997" t="s">
        <v>63</v>
      </c>
      <c r="B2997" t="s">
        <v>103</v>
      </c>
      <c r="C2997" t="s">
        <v>688</v>
      </c>
      <c r="D2997">
        <v>2</v>
      </c>
      <c r="E2997" s="307">
        <v>5</v>
      </c>
      <c r="F2997" s="307" t="s">
        <v>7</v>
      </c>
      <c r="G2997" s="307" t="s">
        <v>11</v>
      </c>
      <c r="H2997" s="307" t="s">
        <v>11</v>
      </c>
    </row>
    <row r="2998" spans="1:8" x14ac:dyDescent="0.2">
      <c r="A2998" t="s">
        <v>63</v>
      </c>
      <c r="B2998" t="s">
        <v>103</v>
      </c>
      <c r="C2998" t="s">
        <v>2104</v>
      </c>
      <c r="D2998">
        <v>1</v>
      </c>
      <c r="E2998" s="307">
        <v>4</v>
      </c>
      <c r="F2998" s="307" t="s">
        <v>7</v>
      </c>
      <c r="G2998" s="307" t="s">
        <v>11</v>
      </c>
      <c r="H2998" s="307" t="s">
        <v>11</v>
      </c>
    </row>
    <row r="2999" spans="1:8" x14ac:dyDescent="0.2">
      <c r="A2999" t="s">
        <v>63</v>
      </c>
      <c r="B2999" t="s">
        <v>103</v>
      </c>
      <c r="C2999" t="s">
        <v>802</v>
      </c>
      <c r="D2999">
        <v>3</v>
      </c>
      <c r="E2999" s="307">
        <v>4</v>
      </c>
      <c r="F2999" s="307" t="s">
        <v>7</v>
      </c>
      <c r="G2999" s="307" t="s">
        <v>11</v>
      </c>
      <c r="H2999" s="307" t="s">
        <v>11</v>
      </c>
    </row>
    <row r="3000" spans="1:8" x14ac:dyDescent="0.2">
      <c r="A3000" t="s">
        <v>63</v>
      </c>
      <c r="B3000" t="s">
        <v>103</v>
      </c>
      <c r="C3000" t="s">
        <v>2476</v>
      </c>
      <c r="D3000">
        <v>2</v>
      </c>
      <c r="E3000" s="307">
        <v>4</v>
      </c>
      <c r="F3000" s="307" t="s">
        <v>7</v>
      </c>
      <c r="G3000" s="307" t="s">
        <v>11</v>
      </c>
      <c r="H3000" s="307" t="s">
        <v>11</v>
      </c>
    </row>
    <row r="3001" spans="1:8" x14ac:dyDescent="0.2">
      <c r="A3001" t="s">
        <v>63</v>
      </c>
      <c r="B3001" t="s">
        <v>103</v>
      </c>
      <c r="C3001" t="s">
        <v>2477</v>
      </c>
      <c r="D3001">
        <v>1</v>
      </c>
      <c r="E3001" s="307">
        <v>5</v>
      </c>
      <c r="F3001" s="307" t="s">
        <v>7</v>
      </c>
      <c r="G3001" s="307" t="s">
        <v>11</v>
      </c>
      <c r="H3001" s="307" t="s">
        <v>11</v>
      </c>
    </row>
    <row r="3002" spans="1:8" x14ac:dyDescent="0.2">
      <c r="A3002" t="s">
        <v>63</v>
      </c>
      <c r="B3002" t="s">
        <v>103</v>
      </c>
      <c r="C3002" t="s">
        <v>2478</v>
      </c>
      <c r="D3002">
        <v>2</v>
      </c>
      <c r="E3002" s="307">
        <v>4</v>
      </c>
      <c r="F3002" s="307" t="s">
        <v>7</v>
      </c>
      <c r="G3002" s="307" t="s">
        <v>11</v>
      </c>
      <c r="H3002" s="307" t="s">
        <v>11</v>
      </c>
    </row>
    <row r="3003" spans="1:8" x14ac:dyDescent="0.2">
      <c r="A3003" t="s">
        <v>63</v>
      </c>
      <c r="B3003" t="s">
        <v>103</v>
      </c>
      <c r="C3003" t="s">
        <v>693</v>
      </c>
      <c r="D3003">
        <v>2</v>
      </c>
      <c r="E3003" s="307">
        <v>4</v>
      </c>
      <c r="F3003" s="307" t="s">
        <v>7</v>
      </c>
      <c r="G3003" s="307" t="s">
        <v>11</v>
      </c>
      <c r="H3003" s="307" t="s">
        <v>11</v>
      </c>
    </row>
    <row r="3004" spans="1:8" x14ac:dyDescent="0.2">
      <c r="A3004" t="s">
        <v>63</v>
      </c>
      <c r="B3004" t="s">
        <v>103</v>
      </c>
      <c r="C3004" t="s">
        <v>699</v>
      </c>
      <c r="D3004">
        <v>2</v>
      </c>
      <c r="E3004" s="307">
        <v>4</v>
      </c>
      <c r="F3004" s="307" t="s">
        <v>7</v>
      </c>
      <c r="G3004" s="307" t="s">
        <v>11</v>
      </c>
      <c r="H3004" s="307" t="s">
        <v>11</v>
      </c>
    </row>
    <row r="3005" spans="1:8" x14ac:dyDescent="0.2">
      <c r="A3005" t="s">
        <v>63</v>
      </c>
      <c r="B3005" t="s">
        <v>103</v>
      </c>
      <c r="C3005" t="s">
        <v>2479</v>
      </c>
      <c r="D3005">
        <v>2</v>
      </c>
      <c r="E3005" s="307">
        <v>5</v>
      </c>
      <c r="F3005" s="307" t="s">
        <v>7</v>
      </c>
      <c r="G3005" s="307" t="s">
        <v>11</v>
      </c>
      <c r="H3005" s="307" t="s">
        <v>11</v>
      </c>
    </row>
    <row r="3006" spans="1:8" x14ac:dyDescent="0.2">
      <c r="A3006" t="s">
        <v>63</v>
      </c>
      <c r="B3006" t="s">
        <v>103</v>
      </c>
      <c r="C3006" t="s">
        <v>714</v>
      </c>
      <c r="D3006">
        <v>2</v>
      </c>
      <c r="E3006" s="307">
        <v>5</v>
      </c>
      <c r="F3006" s="307" t="s">
        <v>7</v>
      </c>
      <c r="G3006" s="307" t="s">
        <v>11</v>
      </c>
      <c r="H3006" s="307" t="s">
        <v>11</v>
      </c>
    </row>
    <row r="3007" spans="1:8" x14ac:dyDescent="0.2">
      <c r="A3007" t="s">
        <v>63</v>
      </c>
      <c r="B3007" t="s">
        <v>103</v>
      </c>
      <c r="C3007" t="s">
        <v>1071</v>
      </c>
      <c r="D3007">
        <v>2</v>
      </c>
      <c r="E3007" s="307">
        <v>4</v>
      </c>
      <c r="F3007" s="307" t="s">
        <v>7</v>
      </c>
      <c r="G3007" s="307" t="s">
        <v>11</v>
      </c>
      <c r="H3007" s="307" t="s">
        <v>11</v>
      </c>
    </row>
    <row r="3008" spans="1:8" x14ac:dyDescent="0.2">
      <c r="A3008" t="s">
        <v>63</v>
      </c>
      <c r="B3008" t="s">
        <v>103</v>
      </c>
      <c r="C3008" t="s">
        <v>819</v>
      </c>
      <c r="D3008">
        <v>1</v>
      </c>
      <c r="E3008" s="307">
        <v>5</v>
      </c>
      <c r="F3008" s="307" t="s">
        <v>7</v>
      </c>
      <c r="G3008" s="307" t="s">
        <v>11</v>
      </c>
      <c r="H3008" s="307" t="s">
        <v>11</v>
      </c>
    </row>
    <row r="3009" spans="1:8" x14ac:dyDescent="0.2">
      <c r="A3009" t="s">
        <v>63</v>
      </c>
      <c r="B3009" t="s">
        <v>103</v>
      </c>
      <c r="C3009" t="s">
        <v>2480</v>
      </c>
      <c r="D3009">
        <v>1</v>
      </c>
      <c r="E3009" s="307">
        <v>5</v>
      </c>
      <c r="F3009" s="307" t="s">
        <v>7</v>
      </c>
      <c r="G3009" s="307" t="s">
        <v>11</v>
      </c>
      <c r="H3009" s="307" t="s">
        <v>11</v>
      </c>
    </row>
    <row r="3010" spans="1:8" x14ac:dyDescent="0.2">
      <c r="A3010" t="s">
        <v>63</v>
      </c>
      <c r="B3010" t="s">
        <v>103</v>
      </c>
      <c r="C3010" t="s">
        <v>1515</v>
      </c>
      <c r="D3010">
        <v>1</v>
      </c>
      <c r="E3010" s="307">
        <v>5</v>
      </c>
      <c r="F3010" s="307" t="s">
        <v>7</v>
      </c>
      <c r="G3010" s="307" t="s">
        <v>11</v>
      </c>
      <c r="H3010" s="307" t="s">
        <v>11</v>
      </c>
    </row>
    <row r="3011" spans="1:8" x14ac:dyDescent="0.2">
      <c r="A3011" t="s">
        <v>63</v>
      </c>
      <c r="B3011" t="s">
        <v>103</v>
      </c>
      <c r="C3011" t="s">
        <v>1079</v>
      </c>
      <c r="D3011">
        <v>1</v>
      </c>
      <c r="E3011" s="307">
        <v>5</v>
      </c>
      <c r="F3011" s="307" t="s">
        <v>7</v>
      </c>
      <c r="G3011" s="307" t="s">
        <v>11</v>
      </c>
      <c r="H3011" s="307" t="s">
        <v>11</v>
      </c>
    </row>
    <row r="3012" spans="1:8" x14ac:dyDescent="0.2">
      <c r="A3012" t="s">
        <v>63</v>
      </c>
      <c r="B3012" t="s">
        <v>103</v>
      </c>
      <c r="C3012" t="s">
        <v>2481</v>
      </c>
      <c r="D3012">
        <v>1</v>
      </c>
      <c r="E3012" s="307">
        <v>5</v>
      </c>
      <c r="F3012" s="307" t="s">
        <v>7</v>
      </c>
      <c r="G3012" s="307" t="s">
        <v>11</v>
      </c>
      <c r="H3012" s="307" t="s">
        <v>11</v>
      </c>
    </row>
    <row r="3013" spans="1:8" x14ac:dyDescent="0.2">
      <c r="A3013" t="s">
        <v>63</v>
      </c>
      <c r="B3013" t="s">
        <v>103</v>
      </c>
      <c r="C3013" t="s">
        <v>1238</v>
      </c>
      <c r="D3013">
        <v>2</v>
      </c>
      <c r="E3013" s="307">
        <v>5</v>
      </c>
      <c r="F3013" s="307" t="s">
        <v>7</v>
      </c>
      <c r="G3013" s="307" t="s">
        <v>11</v>
      </c>
      <c r="H3013" s="307" t="s">
        <v>11</v>
      </c>
    </row>
    <row r="3014" spans="1:8" x14ac:dyDescent="0.2">
      <c r="A3014" t="s">
        <v>63</v>
      </c>
      <c r="B3014" t="s">
        <v>103</v>
      </c>
      <c r="C3014" t="s">
        <v>721</v>
      </c>
      <c r="D3014">
        <v>2</v>
      </c>
      <c r="E3014" s="307">
        <v>4</v>
      </c>
      <c r="F3014" s="307" t="s">
        <v>7</v>
      </c>
      <c r="G3014" s="307" t="s">
        <v>11</v>
      </c>
      <c r="H3014" s="307" t="s">
        <v>11</v>
      </c>
    </row>
    <row r="3015" spans="1:8" x14ac:dyDescent="0.2">
      <c r="A3015" t="s">
        <v>63</v>
      </c>
      <c r="B3015" t="s">
        <v>103</v>
      </c>
      <c r="C3015" t="s">
        <v>722</v>
      </c>
      <c r="D3015">
        <v>1</v>
      </c>
      <c r="E3015" s="307">
        <v>4</v>
      </c>
      <c r="F3015" s="307" t="s">
        <v>7</v>
      </c>
      <c r="G3015" s="307" t="s">
        <v>11</v>
      </c>
      <c r="H3015" s="307" t="s">
        <v>11</v>
      </c>
    </row>
    <row r="3016" spans="1:8" x14ac:dyDescent="0.2">
      <c r="A3016" t="s">
        <v>63</v>
      </c>
      <c r="B3016" t="s">
        <v>103</v>
      </c>
      <c r="C3016" t="s">
        <v>2482</v>
      </c>
      <c r="D3016">
        <v>3</v>
      </c>
      <c r="E3016" s="307">
        <v>4</v>
      </c>
      <c r="F3016" s="307" t="s">
        <v>7</v>
      </c>
      <c r="G3016" s="307" t="s">
        <v>11</v>
      </c>
      <c r="H3016" s="307" t="s">
        <v>11</v>
      </c>
    </row>
    <row r="3017" spans="1:8" x14ac:dyDescent="0.2">
      <c r="A3017" t="s">
        <v>63</v>
      </c>
      <c r="B3017" t="s">
        <v>103</v>
      </c>
      <c r="C3017" t="s">
        <v>1163</v>
      </c>
      <c r="D3017">
        <v>2</v>
      </c>
      <c r="E3017" s="307">
        <v>5</v>
      </c>
      <c r="F3017" s="307" t="s">
        <v>7</v>
      </c>
      <c r="G3017" s="307" t="s">
        <v>11</v>
      </c>
      <c r="H3017" s="307" t="s">
        <v>11</v>
      </c>
    </row>
    <row r="3018" spans="1:8" x14ac:dyDescent="0.2">
      <c r="A3018" t="s">
        <v>63</v>
      </c>
      <c r="B3018" t="s">
        <v>103</v>
      </c>
      <c r="C3018" t="s">
        <v>827</v>
      </c>
      <c r="D3018">
        <v>2</v>
      </c>
      <c r="E3018" s="307">
        <v>4</v>
      </c>
      <c r="F3018" s="307" t="s">
        <v>7</v>
      </c>
      <c r="G3018" s="307" t="s">
        <v>11</v>
      </c>
      <c r="H3018" s="307" t="s">
        <v>11</v>
      </c>
    </row>
    <row r="3019" spans="1:8" x14ac:dyDescent="0.2">
      <c r="A3019" t="s">
        <v>63</v>
      </c>
      <c r="B3019" t="s">
        <v>103</v>
      </c>
      <c r="C3019" t="s">
        <v>829</v>
      </c>
      <c r="D3019">
        <v>3</v>
      </c>
      <c r="E3019" s="307">
        <v>4</v>
      </c>
      <c r="F3019" s="307" t="s">
        <v>7</v>
      </c>
      <c r="G3019" s="307" t="s">
        <v>11</v>
      </c>
      <c r="H3019" s="307" t="s">
        <v>11</v>
      </c>
    </row>
    <row r="3020" spans="1:8" x14ac:dyDescent="0.2">
      <c r="A3020" t="s">
        <v>63</v>
      </c>
      <c r="B3020" t="s">
        <v>103</v>
      </c>
      <c r="C3020" t="s">
        <v>732</v>
      </c>
      <c r="D3020">
        <v>2</v>
      </c>
      <c r="E3020" s="307">
        <v>5</v>
      </c>
      <c r="F3020" s="307" t="s">
        <v>7</v>
      </c>
      <c r="G3020" s="307" t="s">
        <v>11</v>
      </c>
      <c r="H3020" s="307" t="s">
        <v>11</v>
      </c>
    </row>
    <row r="3021" spans="1:8" x14ac:dyDescent="0.2">
      <c r="A3021" t="s">
        <v>63</v>
      </c>
      <c r="B3021" t="s">
        <v>103</v>
      </c>
      <c r="C3021" t="s">
        <v>733</v>
      </c>
      <c r="D3021">
        <v>1</v>
      </c>
      <c r="E3021" s="307">
        <v>5</v>
      </c>
      <c r="F3021" s="307" t="s">
        <v>7</v>
      </c>
      <c r="G3021" s="307" t="s">
        <v>11</v>
      </c>
      <c r="H3021" s="307" t="s">
        <v>11</v>
      </c>
    </row>
    <row r="3022" spans="1:8" x14ac:dyDescent="0.2">
      <c r="A3022" t="s">
        <v>63</v>
      </c>
      <c r="B3022" t="s">
        <v>103</v>
      </c>
      <c r="C3022" t="s">
        <v>1203</v>
      </c>
      <c r="D3022">
        <v>2</v>
      </c>
      <c r="E3022" s="307">
        <v>4</v>
      </c>
      <c r="F3022" s="307" t="s">
        <v>7</v>
      </c>
      <c r="G3022" s="307" t="s">
        <v>11</v>
      </c>
      <c r="H3022" s="307" t="s">
        <v>11</v>
      </c>
    </row>
    <row r="3023" spans="1:8" x14ac:dyDescent="0.2">
      <c r="A3023" t="s">
        <v>63</v>
      </c>
      <c r="B3023" t="s">
        <v>103</v>
      </c>
      <c r="C3023" t="s">
        <v>1913</v>
      </c>
      <c r="D3023">
        <v>3</v>
      </c>
      <c r="E3023" s="307">
        <v>4</v>
      </c>
      <c r="F3023" s="307" t="s">
        <v>7</v>
      </c>
      <c r="G3023" s="307" t="s">
        <v>11</v>
      </c>
      <c r="H3023" s="307" t="s">
        <v>11</v>
      </c>
    </row>
    <row r="3024" spans="1:8" x14ac:dyDescent="0.2">
      <c r="A3024" t="s">
        <v>63</v>
      </c>
      <c r="B3024" t="s">
        <v>103</v>
      </c>
      <c r="C3024" t="s">
        <v>1209</v>
      </c>
      <c r="D3024">
        <v>1</v>
      </c>
      <c r="E3024" s="307">
        <v>4</v>
      </c>
      <c r="F3024" s="307" t="s">
        <v>7</v>
      </c>
      <c r="G3024" s="307" t="s">
        <v>11</v>
      </c>
      <c r="H3024" s="307" t="s">
        <v>11</v>
      </c>
    </row>
    <row r="3025" spans="1:8" x14ac:dyDescent="0.2">
      <c r="A3025" t="s">
        <v>63</v>
      </c>
      <c r="B3025" t="s">
        <v>103</v>
      </c>
      <c r="C3025" t="s">
        <v>946</v>
      </c>
      <c r="D3025">
        <v>1</v>
      </c>
      <c r="E3025" s="307">
        <v>5</v>
      </c>
      <c r="F3025" s="307" t="s">
        <v>7</v>
      </c>
      <c r="G3025" s="307" t="s">
        <v>11</v>
      </c>
      <c r="H3025" s="307" t="s">
        <v>11</v>
      </c>
    </row>
    <row r="3026" spans="1:8" x14ac:dyDescent="0.2">
      <c r="A3026" t="s">
        <v>63</v>
      </c>
      <c r="B3026" t="s">
        <v>103</v>
      </c>
      <c r="C3026" t="s">
        <v>2483</v>
      </c>
      <c r="D3026">
        <v>3</v>
      </c>
      <c r="E3026" s="307">
        <v>4</v>
      </c>
      <c r="F3026" s="307" t="s">
        <v>7</v>
      </c>
      <c r="G3026" s="307" t="s">
        <v>11</v>
      </c>
      <c r="H3026" s="307" t="s">
        <v>11</v>
      </c>
    </row>
    <row r="3027" spans="1:8" x14ac:dyDescent="0.2">
      <c r="A3027" t="s">
        <v>63</v>
      </c>
      <c r="B3027" t="s">
        <v>103</v>
      </c>
      <c r="C3027" t="s">
        <v>2484</v>
      </c>
      <c r="D3027">
        <v>1</v>
      </c>
      <c r="E3027" s="307">
        <v>5</v>
      </c>
      <c r="F3027" s="307" t="s">
        <v>7</v>
      </c>
      <c r="G3027" s="307" t="s">
        <v>11</v>
      </c>
      <c r="H3027" s="307" t="s">
        <v>11</v>
      </c>
    </row>
    <row r="3028" spans="1:8" x14ac:dyDescent="0.2">
      <c r="A3028" t="s">
        <v>63</v>
      </c>
      <c r="B3028" t="s">
        <v>103</v>
      </c>
      <c r="C3028" t="s">
        <v>735</v>
      </c>
      <c r="D3028">
        <v>1</v>
      </c>
      <c r="E3028" s="307">
        <v>4</v>
      </c>
      <c r="F3028" s="307" t="s">
        <v>7</v>
      </c>
      <c r="G3028" s="307" t="s">
        <v>11</v>
      </c>
      <c r="H3028" s="307" t="s">
        <v>11</v>
      </c>
    </row>
    <row r="3029" spans="1:8" x14ac:dyDescent="0.2">
      <c r="A3029" t="s">
        <v>63</v>
      </c>
      <c r="B3029" t="s">
        <v>103</v>
      </c>
      <c r="C3029" t="s">
        <v>737</v>
      </c>
      <c r="D3029">
        <v>1</v>
      </c>
      <c r="E3029" s="307">
        <v>4</v>
      </c>
      <c r="F3029" s="307" t="s">
        <v>7</v>
      </c>
      <c r="G3029" s="307" t="s">
        <v>11</v>
      </c>
      <c r="H3029" s="307" t="s">
        <v>11</v>
      </c>
    </row>
    <row r="3030" spans="1:8" x14ac:dyDescent="0.2">
      <c r="A3030" t="s">
        <v>63</v>
      </c>
      <c r="B3030" t="s">
        <v>103</v>
      </c>
      <c r="C3030" t="s">
        <v>1423</v>
      </c>
      <c r="D3030">
        <v>2</v>
      </c>
      <c r="E3030" s="307">
        <v>5</v>
      </c>
      <c r="F3030" s="307" t="s">
        <v>7</v>
      </c>
      <c r="G3030" s="307" t="s">
        <v>11</v>
      </c>
      <c r="H3030" s="307" t="s">
        <v>11</v>
      </c>
    </row>
    <row r="3031" spans="1:8" x14ac:dyDescent="0.2">
      <c r="A3031" t="s">
        <v>63</v>
      </c>
      <c r="B3031" t="s">
        <v>103</v>
      </c>
      <c r="C3031" t="s">
        <v>1248</v>
      </c>
      <c r="D3031">
        <v>1</v>
      </c>
      <c r="E3031" s="307">
        <v>5</v>
      </c>
      <c r="F3031" s="307" t="s">
        <v>7</v>
      </c>
      <c r="G3031" s="307" t="s">
        <v>11</v>
      </c>
      <c r="H3031" s="307" t="s">
        <v>11</v>
      </c>
    </row>
    <row r="3032" spans="1:8" x14ac:dyDescent="0.2">
      <c r="A3032" t="s">
        <v>63</v>
      </c>
      <c r="B3032" t="s">
        <v>103</v>
      </c>
      <c r="C3032" t="s">
        <v>1426</v>
      </c>
      <c r="D3032">
        <v>1</v>
      </c>
      <c r="E3032" s="307">
        <v>5</v>
      </c>
      <c r="F3032" s="307" t="s">
        <v>7</v>
      </c>
      <c r="G3032" s="307" t="s">
        <v>11</v>
      </c>
      <c r="H3032" s="307" t="s">
        <v>11</v>
      </c>
    </row>
    <row r="3033" spans="1:8" x14ac:dyDescent="0.2">
      <c r="A3033" t="s">
        <v>63</v>
      </c>
      <c r="B3033" t="s">
        <v>103</v>
      </c>
      <c r="C3033" t="s">
        <v>2485</v>
      </c>
      <c r="D3033">
        <v>2</v>
      </c>
      <c r="E3033" s="307">
        <v>4</v>
      </c>
      <c r="F3033" s="307" t="s">
        <v>7</v>
      </c>
      <c r="G3033" s="307" t="s">
        <v>11</v>
      </c>
      <c r="H3033" s="307" t="s">
        <v>11</v>
      </c>
    </row>
    <row r="3034" spans="1:8" x14ac:dyDescent="0.2">
      <c r="A3034" t="s">
        <v>63</v>
      </c>
      <c r="B3034" t="s">
        <v>103</v>
      </c>
      <c r="C3034" t="s">
        <v>1302</v>
      </c>
      <c r="D3034">
        <v>1</v>
      </c>
      <c r="E3034" s="307">
        <v>5</v>
      </c>
      <c r="F3034" s="307" t="s">
        <v>7</v>
      </c>
      <c r="G3034" s="307" t="s">
        <v>11</v>
      </c>
      <c r="H3034" s="307" t="s">
        <v>11</v>
      </c>
    </row>
    <row r="3035" spans="1:8" x14ac:dyDescent="0.2">
      <c r="A3035" t="s">
        <v>63</v>
      </c>
      <c r="B3035" t="s">
        <v>103</v>
      </c>
      <c r="C3035" t="s">
        <v>2486</v>
      </c>
      <c r="D3035">
        <v>1</v>
      </c>
      <c r="E3035" s="307">
        <v>5</v>
      </c>
      <c r="F3035" s="307" t="s">
        <v>7</v>
      </c>
      <c r="G3035" s="307" t="s">
        <v>11</v>
      </c>
      <c r="H3035" s="307" t="s">
        <v>11</v>
      </c>
    </row>
    <row r="3036" spans="1:8" x14ac:dyDescent="0.2">
      <c r="A3036" t="s">
        <v>63</v>
      </c>
      <c r="B3036" t="s">
        <v>103</v>
      </c>
      <c r="C3036" t="s">
        <v>1016</v>
      </c>
      <c r="D3036">
        <v>2</v>
      </c>
      <c r="E3036" s="307">
        <v>4</v>
      </c>
      <c r="F3036" s="307" t="s">
        <v>7</v>
      </c>
      <c r="G3036" s="307" t="s">
        <v>11</v>
      </c>
      <c r="H3036" s="307" t="s">
        <v>11</v>
      </c>
    </row>
    <row r="3037" spans="1:8" x14ac:dyDescent="0.2">
      <c r="A3037" t="s">
        <v>63</v>
      </c>
      <c r="B3037" t="s">
        <v>103</v>
      </c>
      <c r="C3037" t="s">
        <v>2487</v>
      </c>
      <c r="D3037">
        <v>2</v>
      </c>
      <c r="E3037" s="307">
        <v>5</v>
      </c>
      <c r="F3037" s="307" t="s">
        <v>7</v>
      </c>
      <c r="G3037" s="307" t="s">
        <v>11</v>
      </c>
      <c r="H3037" s="307" t="s">
        <v>11</v>
      </c>
    </row>
    <row r="3038" spans="1:8" x14ac:dyDescent="0.2">
      <c r="A3038" t="s">
        <v>63</v>
      </c>
      <c r="B3038" t="s">
        <v>103</v>
      </c>
      <c r="C3038" t="s">
        <v>741</v>
      </c>
      <c r="D3038">
        <v>2</v>
      </c>
      <c r="E3038" s="307">
        <v>5</v>
      </c>
      <c r="F3038" s="307" t="s">
        <v>7</v>
      </c>
      <c r="G3038" s="307" t="s">
        <v>11</v>
      </c>
      <c r="H3038" s="307" t="s">
        <v>11</v>
      </c>
    </row>
    <row r="3039" spans="1:8" x14ac:dyDescent="0.2">
      <c r="A3039" t="s">
        <v>63</v>
      </c>
      <c r="B3039" t="s">
        <v>103</v>
      </c>
      <c r="C3039" t="s">
        <v>2488</v>
      </c>
      <c r="D3039">
        <v>2</v>
      </c>
      <c r="E3039" s="307">
        <v>4</v>
      </c>
      <c r="F3039" s="307" t="s">
        <v>7</v>
      </c>
      <c r="G3039" s="307" t="s">
        <v>11</v>
      </c>
      <c r="H3039" s="307" t="s">
        <v>11</v>
      </c>
    </row>
    <row r="3040" spans="1:8" x14ac:dyDescent="0.2">
      <c r="A3040" t="s">
        <v>63</v>
      </c>
      <c r="B3040" t="s">
        <v>103</v>
      </c>
      <c r="C3040" t="s">
        <v>2184</v>
      </c>
      <c r="D3040">
        <v>2</v>
      </c>
      <c r="E3040" s="307">
        <v>4</v>
      </c>
      <c r="F3040" s="307" t="s">
        <v>7</v>
      </c>
      <c r="G3040" s="307" t="s">
        <v>11</v>
      </c>
      <c r="H3040" s="307" t="s">
        <v>11</v>
      </c>
    </row>
    <row r="3041" spans="1:8" x14ac:dyDescent="0.2">
      <c r="A3041" t="s">
        <v>63</v>
      </c>
      <c r="B3041" t="s">
        <v>103</v>
      </c>
      <c r="C3041" t="s">
        <v>2489</v>
      </c>
      <c r="D3041">
        <v>1</v>
      </c>
      <c r="E3041" s="307">
        <v>5</v>
      </c>
      <c r="F3041" s="307" t="s">
        <v>7</v>
      </c>
      <c r="G3041" s="307" t="s">
        <v>11</v>
      </c>
      <c r="H3041" s="307" t="s">
        <v>11</v>
      </c>
    </row>
    <row r="3042" spans="1:8" x14ac:dyDescent="0.2">
      <c r="A3042" t="s">
        <v>63</v>
      </c>
      <c r="B3042" t="s">
        <v>103</v>
      </c>
      <c r="C3042" t="s">
        <v>1023</v>
      </c>
      <c r="D3042">
        <v>2</v>
      </c>
      <c r="E3042" s="307">
        <v>5</v>
      </c>
      <c r="F3042" s="307" t="s">
        <v>7</v>
      </c>
      <c r="G3042" s="307" t="s">
        <v>11</v>
      </c>
      <c r="H3042" s="307" t="s">
        <v>11</v>
      </c>
    </row>
    <row r="3043" spans="1:8" x14ac:dyDescent="0.2">
      <c r="A3043" t="s">
        <v>63</v>
      </c>
      <c r="B3043" t="s">
        <v>103</v>
      </c>
      <c r="C3043" t="s">
        <v>2490</v>
      </c>
      <c r="D3043">
        <v>2</v>
      </c>
      <c r="E3043" s="307">
        <v>5</v>
      </c>
      <c r="F3043" s="307" t="s">
        <v>7</v>
      </c>
      <c r="G3043" s="307" t="s">
        <v>11</v>
      </c>
      <c r="H3043" s="307" t="s">
        <v>11</v>
      </c>
    </row>
    <row r="3044" spans="1:8" x14ac:dyDescent="0.2">
      <c r="A3044" t="s">
        <v>63</v>
      </c>
      <c r="B3044" t="s">
        <v>103</v>
      </c>
      <c r="C3044" t="s">
        <v>2330</v>
      </c>
      <c r="D3044">
        <v>2</v>
      </c>
      <c r="E3044" s="307">
        <v>4</v>
      </c>
      <c r="F3044" s="307" t="s">
        <v>7</v>
      </c>
      <c r="G3044" s="307" t="s">
        <v>11</v>
      </c>
      <c r="H3044" s="307" t="s">
        <v>11</v>
      </c>
    </row>
    <row r="3045" spans="1:8" x14ac:dyDescent="0.2">
      <c r="A3045" t="s">
        <v>63</v>
      </c>
      <c r="B3045" t="s">
        <v>103</v>
      </c>
      <c r="C3045" t="s">
        <v>2331</v>
      </c>
      <c r="D3045">
        <v>2</v>
      </c>
      <c r="E3045" s="307">
        <v>5</v>
      </c>
      <c r="F3045" s="307" t="s">
        <v>7</v>
      </c>
      <c r="G3045" s="307" t="s">
        <v>11</v>
      </c>
      <c r="H3045" s="307" t="s">
        <v>11</v>
      </c>
    </row>
    <row r="3046" spans="1:8" x14ac:dyDescent="0.2">
      <c r="A3046" t="s">
        <v>63</v>
      </c>
      <c r="B3046" t="s">
        <v>103</v>
      </c>
      <c r="C3046" t="s">
        <v>1129</v>
      </c>
      <c r="D3046">
        <v>2</v>
      </c>
      <c r="E3046" s="307">
        <v>4</v>
      </c>
      <c r="F3046" s="307" t="s">
        <v>7</v>
      </c>
      <c r="G3046" s="307" t="s">
        <v>11</v>
      </c>
      <c r="H3046" s="307" t="s">
        <v>11</v>
      </c>
    </row>
    <row r="3047" spans="1:8" x14ac:dyDescent="0.2">
      <c r="A3047" t="s">
        <v>63</v>
      </c>
      <c r="B3047" t="s">
        <v>103</v>
      </c>
      <c r="C3047" t="s">
        <v>1130</v>
      </c>
      <c r="D3047">
        <v>2</v>
      </c>
      <c r="E3047" s="307">
        <v>5</v>
      </c>
      <c r="F3047" s="307" t="s">
        <v>7</v>
      </c>
      <c r="G3047" s="307" t="s">
        <v>11</v>
      </c>
      <c r="H3047" s="307" t="s">
        <v>11</v>
      </c>
    </row>
    <row r="3048" spans="1:8" x14ac:dyDescent="0.2">
      <c r="A3048" t="s">
        <v>63</v>
      </c>
      <c r="B3048" t="s">
        <v>103</v>
      </c>
      <c r="C3048" t="s">
        <v>2491</v>
      </c>
      <c r="D3048">
        <v>1</v>
      </c>
      <c r="E3048" s="307">
        <v>5</v>
      </c>
      <c r="F3048" s="307" t="s">
        <v>7</v>
      </c>
      <c r="G3048" s="307" t="s">
        <v>11</v>
      </c>
      <c r="H3048" s="307" t="s">
        <v>11</v>
      </c>
    </row>
    <row r="3049" spans="1:8" x14ac:dyDescent="0.2">
      <c r="A3049" t="s">
        <v>63</v>
      </c>
      <c r="B3049" t="s">
        <v>103</v>
      </c>
      <c r="C3049" t="s">
        <v>2492</v>
      </c>
      <c r="D3049">
        <v>2</v>
      </c>
      <c r="E3049" s="307">
        <v>4</v>
      </c>
      <c r="F3049" s="307" t="s">
        <v>7</v>
      </c>
      <c r="G3049" s="307" t="s">
        <v>11</v>
      </c>
      <c r="H3049" s="307" t="s">
        <v>11</v>
      </c>
    </row>
    <row r="3050" spans="1:8" x14ac:dyDescent="0.2">
      <c r="A3050" t="s">
        <v>63</v>
      </c>
      <c r="B3050" t="s">
        <v>103</v>
      </c>
      <c r="C3050" t="s">
        <v>2005</v>
      </c>
      <c r="D3050">
        <v>2</v>
      </c>
      <c r="E3050" s="307">
        <v>4</v>
      </c>
      <c r="F3050" s="307" t="s">
        <v>7</v>
      </c>
      <c r="G3050" s="307" t="s">
        <v>11</v>
      </c>
      <c r="H3050" s="307" t="s">
        <v>11</v>
      </c>
    </row>
    <row r="3051" spans="1:8" x14ac:dyDescent="0.2">
      <c r="A3051" t="s">
        <v>63</v>
      </c>
      <c r="B3051" t="s">
        <v>103</v>
      </c>
      <c r="C3051" t="s">
        <v>1874</v>
      </c>
      <c r="D3051">
        <v>3</v>
      </c>
      <c r="E3051" s="307">
        <v>4</v>
      </c>
      <c r="F3051" s="307" t="s">
        <v>7</v>
      </c>
      <c r="G3051" s="307" t="s">
        <v>11</v>
      </c>
      <c r="H3051" s="307" t="s">
        <v>11</v>
      </c>
    </row>
    <row r="3052" spans="1:8" x14ac:dyDescent="0.2">
      <c r="A3052" t="s">
        <v>62</v>
      </c>
      <c r="B3052" t="s">
        <v>72</v>
      </c>
      <c r="C3052" t="s">
        <v>911</v>
      </c>
      <c r="D3052">
        <v>2</v>
      </c>
      <c r="E3052" s="307">
        <v>6</v>
      </c>
      <c r="F3052" s="307" t="s">
        <v>7</v>
      </c>
      <c r="G3052" s="307" t="s">
        <v>11</v>
      </c>
      <c r="H3052" s="307" t="s">
        <v>11</v>
      </c>
    </row>
    <row r="3053" spans="1:8" x14ac:dyDescent="0.2">
      <c r="A3053" t="s">
        <v>62</v>
      </c>
      <c r="B3053" t="s">
        <v>72</v>
      </c>
      <c r="C3053" t="s">
        <v>1972</v>
      </c>
      <c r="D3053">
        <v>2</v>
      </c>
      <c r="E3053" s="307">
        <v>7</v>
      </c>
      <c r="F3053" s="307" t="s">
        <v>11</v>
      </c>
      <c r="G3053" s="307" t="s">
        <v>11</v>
      </c>
      <c r="H3053" s="307" t="s">
        <v>11</v>
      </c>
    </row>
    <row r="3054" spans="1:8" x14ac:dyDescent="0.2">
      <c r="A3054" t="s">
        <v>62</v>
      </c>
      <c r="B3054" t="s">
        <v>72</v>
      </c>
      <c r="C3054" t="s">
        <v>2493</v>
      </c>
      <c r="D3054">
        <v>2</v>
      </c>
      <c r="E3054" s="307">
        <v>6</v>
      </c>
      <c r="F3054" s="307" t="s">
        <v>7</v>
      </c>
      <c r="G3054" s="307" t="s">
        <v>11</v>
      </c>
      <c r="H3054" s="307" t="s">
        <v>11</v>
      </c>
    </row>
    <row r="3055" spans="1:8" x14ac:dyDescent="0.2">
      <c r="A3055" t="s">
        <v>62</v>
      </c>
      <c r="B3055" t="s">
        <v>72</v>
      </c>
      <c r="C3055" t="s">
        <v>2494</v>
      </c>
      <c r="D3055">
        <v>2</v>
      </c>
      <c r="E3055" s="307">
        <v>7</v>
      </c>
      <c r="F3055" s="307" t="s">
        <v>11</v>
      </c>
      <c r="G3055" s="307" t="s">
        <v>11</v>
      </c>
      <c r="H3055" s="307" t="s">
        <v>11</v>
      </c>
    </row>
    <row r="3056" spans="1:8" x14ac:dyDescent="0.2">
      <c r="A3056" t="s">
        <v>62</v>
      </c>
      <c r="B3056" t="s">
        <v>72</v>
      </c>
      <c r="C3056" t="s">
        <v>1176</v>
      </c>
      <c r="D3056">
        <v>2</v>
      </c>
      <c r="E3056" s="307">
        <v>6</v>
      </c>
      <c r="F3056" s="307" t="s">
        <v>7</v>
      </c>
      <c r="G3056" s="307" t="s">
        <v>11</v>
      </c>
      <c r="H3056" s="307" t="s">
        <v>11</v>
      </c>
    </row>
    <row r="3057" spans="1:8" x14ac:dyDescent="0.2">
      <c r="A3057" t="s">
        <v>62</v>
      </c>
      <c r="B3057" t="s">
        <v>72</v>
      </c>
      <c r="C3057" t="s">
        <v>1757</v>
      </c>
      <c r="D3057">
        <v>1</v>
      </c>
      <c r="E3057" s="307">
        <v>6</v>
      </c>
      <c r="F3057" s="307" t="s">
        <v>7</v>
      </c>
      <c r="G3057" s="307" t="s">
        <v>11</v>
      </c>
      <c r="H3057" s="307" t="s">
        <v>11</v>
      </c>
    </row>
    <row r="3058" spans="1:8" x14ac:dyDescent="0.2">
      <c r="A3058" t="s">
        <v>62</v>
      </c>
      <c r="B3058" t="s">
        <v>72</v>
      </c>
      <c r="C3058" t="s">
        <v>2495</v>
      </c>
      <c r="D3058">
        <v>2</v>
      </c>
      <c r="E3058" s="307">
        <v>7</v>
      </c>
      <c r="F3058" s="307" t="s">
        <v>11</v>
      </c>
      <c r="G3058" s="307" t="s">
        <v>11</v>
      </c>
      <c r="H3058" s="307" t="s">
        <v>11</v>
      </c>
    </row>
    <row r="3059" spans="1:8" x14ac:dyDescent="0.2">
      <c r="A3059" t="s">
        <v>62</v>
      </c>
      <c r="B3059" t="s">
        <v>72</v>
      </c>
      <c r="C3059" t="s">
        <v>2496</v>
      </c>
      <c r="D3059">
        <v>2</v>
      </c>
      <c r="E3059" s="307">
        <v>6</v>
      </c>
      <c r="F3059" s="307" t="s">
        <v>7</v>
      </c>
      <c r="G3059" s="307" t="s">
        <v>11</v>
      </c>
      <c r="H3059" s="307" t="s">
        <v>11</v>
      </c>
    </row>
    <row r="3060" spans="1:8" x14ac:dyDescent="0.2">
      <c r="A3060" t="s">
        <v>62</v>
      </c>
      <c r="B3060" t="s">
        <v>72</v>
      </c>
      <c r="C3060" t="s">
        <v>1531</v>
      </c>
      <c r="D3060">
        <v>2</v>
      </c>
      <c r="E3060" s="307">
        <v>6</v>
      </c>
      <c r="F3060" s="307" t="s">
        <v>7</v>
      </c>
      <c r="G3060" s="307" t="s">
        <v>11</v>
      </c>
      <c r="H3060" s="307" t="s">
        <v>11</v>
      </c>
    </row>
    <row r="3061" spans="1:8" x14ac:dyDescent="0.2">
      <c r="A3061" t="s">
        <v>62</v>
      </c>
      <c r="B3061" t="s">
        <v>72</v>
      </c>
      <c r="C3061" t="s">
        <v>806</v>
      </c>
      <c r="D3061">
        <v>2</v>
      </c>
      <c r="E3061" s="307">
        <v>6</v>
      </c>
      <c r="F3061" s="307" t="s">
        <v>7</v>
      </c>
      <c r="G3061" s="307" t="s">
        <v>11</v>
      </c>
      <c r="H3061" s="307" t="s">
        <v>11</v>
      </c>
    </row>
    <row r="3062" spans="1:8" x14ac:dyDescent="0.2">
      <c r="A3062" t="s">
        <v>62</v>
      </c>
      <c r="B3062" t="s">
        <v>72</v>
      </c>
      <c r="C3062" t="s">
        <v>808</v>
      </c>
      <c r="D3062">
        <v>2</v>
      </c>
      <c r="E3062" s="307">
        <v>6</v>
      </c>
      <c r="F3062" s="307" t="s">
        <v>7</v>
      </c>
      <c r="G3062" s="307" t="s">
        <v>11</v>
      </c>
      <c r="H3062" s="307" t="s">
        <v>11</v>
      </c>
    </row>
    <row r="3063" spans="1:8" x14ac:dyDescent="0.2">
      <c r="A3063" t="s">
        <v>62</v>
      </c>
      <c r="B3063" t="s">
        <v>72</v>
      </c>
      <c r="C3063" t="s">
        <v>811</v>
      </c>
      <c r="D3063">
        <v>1</v>
      </c>
      <c r="E3063" s="307">
        <v>6</v>
      </c>
      <c r="F3063" s="307" t="s">
        <v>7</v>
      </c>
      <c r="G3063" s="307" t="s">
        <v>11</v>
      </c>
      <c r="H3063" s="307" t="s">
        <v>11</v>
      </c>
    </row>
    <row r="3064" spans="1:8" x14ac:dyDescent="0.2">
      <c r="A3064" t="s">
        <v>62</v>
      </c>
      <c r="B3064" t="s">
        <v>72</v>
      </c>
      <c r="C3064" t="s">
        <v>2497</v>
      </c>
      <c r="D3064">
        <v>1</v>
      </c>
      <c r="E3064" s="307">
        <v>6</v>
      </c>
      <c r="F3064" s="307" t="s">
        <v>7</v>
      </c>
      <c r="G3064" s="307" t="s">
        <v>11</v>
      </c>
      <c r="H3064" s="307" t="s">
        <v>11</v>
      </c>
    </row>
    <row r="3065" spans="1:8" x14ac:dyDescent="0.2">
      <c r="A3065" t="s">
        <v>62</v>
      </c>
      <c r="B3065" t="s">
        <v>72</v>
      </c>
      <c r="C3065" t="s">
        <v>1060</v>
      </c>
      <c r="D3065">
        <v>1</v>
      </c>
      <c r="E3065" s="307">
        <v>6</v>
      </c>
      <c r="F3065" s="307" t="s">
        <v>7</v>
      </c>
      <c r="G3065" s="307" t="s">
        <v>11</v>
      </c>
      <c r="H3065" s="307" t="s">
        <v>11</v>
      </c>
    </row>
    <row r="3066" spans="1:8" x14ac:dyDescent="0.2">
      <c r="A3066" t="s">
        <v>62</v>
      </c>
      <c r="B3066" t="s">
        <v>72</v>
      </c>
      <c r="C3066" t="s">
        <v>2498</v>
      </c>
      <c r="D3066">
        <v>1</v>
      </c>
      <c r="E3066" s="307">
        <v>6</v>
      </c>
      <c r="F3066" s="307" t="s">
        <v>7</v>
      </c>
      <c r="G3066" s="307" t="s">
        <v>11</v>
      </c>
      <c r="H3066" s="307" t="s">
        <v>11</v>
      </c>
    </row>
    <row r="3067" spans="1:8" x14ac:dyDescent="0.2">
      <c r="A3067" t="s">
        <v>62</v>
      </c>
      <c r="B3067" t="s">
        <v>72</v>
      </c>
      <c r="C3067" t="s">
        <v>929</v>
      </c>
      <c r="D3067">
        <v>2</v>
      </c>
      <c r="E3067" s="307">
        <v>7</v>
      </c>
      <c r="F3067" s="307" t="s">
        <v>11</v>
      </c>
      <c r="G3067" s="307" t="s">
        <v>11</v>
      </c>
      <c r="H3067" s="307" t="s">
        <v>11</v>
      </c>
    </row>
    <row r="3068" spans="1:8" x14ac:dyDescent="0.2">
      <c r="A3068" t="s">
        <v>62</v>
      </c>
      <c r="B3068" t="s">
        <v>72</v>
      </c>
      <c r="C3068" t="s">
        <v>1949</v>
      </c>
      <c r="D3068">
        <v>2</v>
      </c>
      <c r="E3068" s="307">
        <v>6</v>
      </c>
      <c r="F3068" s="307" t="s">
        <v>7</v>
      </c>
      <c r="G3068" s="307" t="s">
        <v>11</v>
      </c>
      <c r="H3068" s="307" t="s">
        <v>11</v>
      </c>
    </row>
    <row r="3069" spans="1:8" x14ac:dyDescent="0.2">
      <c r="A3069" t="s">
        <v>62</v>
      </c>
      <c r="B3069" t="s">
        <v>72</v>
      </c>
      <c r="C3069" t="s">
        <v>2499</v>
      </c>
      <c r="D3069">
        <v>2</v>
      </c>
      <c r="E3069" s="307">
        <v>6</v>
      </c>
      <c r="F3069" s="307" t="s">
        <v>7</v>
      </c>
      <c r="G3069" s="307" t="s">
        <v>11</v>
      </c>
      <c r="H3069" s="307" t="s">
        <v>11</v>
      </c>
    </row>
    <row r="3070" spans="1:8" x14ac:dyDescent="0.2">
      <c r="A3070" t="s">
        <v>62</v>
      </c>
      <c r="B3070" t="s">
        <v>72</v>
      </c>
      <c r="C3070" t="s">
        <v>2112</v>
      </c>
      <c r="D3070">
        <v>2</v>
      </c>
      <c r="E3070" s="307">
        <v>7</v>
      </c>
      <c r="F3070" s="307" t="s">
        <v>11</v>
      </c>
      <c r="G3070" s="307" t="s">
        <v>11</v>
      </c>
      <c r="H3070" s="307" t="s">
        <v>11</v>
      </c>
    </row>
    <row r="3071" spans="1:8" x14ac:dyDescent="0.2">
      <c r="A3071" t="s">
        <v>62</v>
      </c>
      <c r="B3071" t="s">
        <v>72</v>
      </c>
      <c r="C3071" t="s">
        <v>2500</v>
      </c>
      <c r="D3071">
        <v>1</v>
      </c>
      <c r="E3071" s="307">
        <v>6</v>
      </c>
      <c r="F3071" s="307" t="s">
        <v>7</v>
      </c>
      <c r="G3071" s="307" t="s">
        <v>11</v>
      </c>
      <c r="H3071" s="307" t="s">
        <v>11</v>
      </c>
    </row>
    <row r="3072" spans="1:8" x14ac:dyDescent="0.2">
      <c r="A3072" t="s">
        <v>62</v>
      </c>
      <c r="B3072" t="s">
        <v>72</v>
      </c>
      <c r="C3072" t="s">
        <v>2076</v>
      </c>
      <c r="D3072">
        <v>2</v>
      </c>
      <c r="E3072" s="307">
        <v>7</v>
      </c>
      <c r="F3072" s="307" t="s">
        <v>11</v>
      </c>
      <c r="G3072" s="307" t="s">
        <v>11</v>
      </c>
      <c r="H3072" s="307" t="s">
        <v>11</v>
      </c>
    </row>
    <row r="3073" spans="1:8" x14ac:dyDescent="0.2">
      <c r="A3073" t="s">
        <v>62</v>
      </c>
      <c r="B3073" t="s">
        <v>72</v>
      </c>
      <c r="C3073" t="s">
        <v>819</v>
      </c>
      <c r="D3073">
        <v>1</v>
      </c>
      <c r="E3073" s="307">
        <v>6</v>
      </c>
      <c r="F3073" s="307" t="s">
        <v>7</v>
      </c>
      <c r="G3073" s="307" t="s">
        <v>11</v>
      </c>
      <c r="H3073" s="307" t="s">
        <v>11</v>
      </c>
    </row>
    <row r="3074" spans="1:8" x14ac:dyDescent="0.2">
      <c r="A3074" t="s">
        <v>62</v>
      </c>
      <c r="B3074" t="s">
        <v>72</v>
      </c>
      <c r="C3074" t="s">
        <v>1404</v>
      </c>
      <c r="D3074">
        <v>1</v>
      </c>
      <c r="E3074" s="307">
        <v>6</v>
      </c>
      <c r="F3074" s="307" t="s">
        <v>7</v>
      </c>
      <c r="G3074" s="307" t="s">
        <v>11</v>
      </c>
      <c r="H3074" s="307" t="s">
        <v>11</v>
      </c>
    </row>
    <row r="3075" spans="1:8" x14ac:dyDescent="0.2">
      <c r="A3075" t="s">
        <v>62</v>
      </c>
      <c r="B3075" t="s">
        <v>72</v>
      </c>
      <c r="C3075" t="s">
        <v>2501</v>
      </c>
      <c r="D3075">
        <v>1</v>
      </c>
      <c r="E3075" s="307">
        <v>6</v>
      </c>
      <c r="F3075" s="307" t="s">
        <v>7</v>
      </c>
      <c r="G3075" s="307" t="s">
        <v>11</v>
      </c>
      <c r="H3075" s="307" t="s">
        <v>11</v>
      </c>
    </row>
    <row r="3076" spans="1:8" x14ac:dyDescent="0.2">
      <c r="A3076" t="s">
        <v>62</v>
      </c>
      <c r="B3076" t="s">
        <v>72</v>
      </c>
      <c r="C3076" t="s">
        <v>1287</v>
      </c>
      <c r="D3076">
        <v>1</v>
      </c>
      <c r="E3076" s="307">
        <v>6</v>
      </c>
      <c r="F3076" s="307" t="s">
        <v>7</v>
      </c>
      <c r="G3076" s="307" t="s">
        <v>11</v>
      </c>
      <c r="H3076" s="307" t="s">
        <v>11</v>
      </c>
    </row>
    <row r="3077" spans="1:8" x14ac:dyDescent="0.2">
      <c r="A3077" t="s">
        <v>62</v>
      </c>
      <c r="B3077" t="s">
        <v>72</v>
      </c>
      <c r="C3077" t="s">
        <v>1545</v>
      </c>
      <c r="D3077">
        <v>2</v>
      </c>
      <c r="E3077" s="307">
        <v>7</v>
      </c>
      <c r="F3077" s="307" t="s">
        <v>11</v>
      </c>
      <c r="G3077" s="307" t="s">
        <v>11</v>
      </c>
      <c r="H3077" s="307" t="s">
        <v>11</v>
      </c>
    </row>
    <row r="3078" spans="1:8" x14ac:dyDescent="0.2">
      <c r="A3078" t="s">
        <v>62</v>
      </c>
      <c r="B3078" t="s">
        <v>72</v>
      </c>
      <c r="C3078" t="s">
        <v>721</v>
      </c>
      <c r="D3078">
        <v>2</v>
      </c>
      <c r="E3078" s="307">
        <v>6</v>
      </c>
      <c r="F3078" s="307" t="s">
        <v>7</v>
      </c>
      <c r="G3078" s="307" t="s">
        <v>11</v>
      </c>
      <c r="H3078" s="307" t="s">
        <v>11</v>
      </c>
    </row>
    <row r="3079" spans="1:8" x14ac:dyDescent="0.2">
      <c r="A3079" t="s">
        <v>62</v>
      </c>
      <c r="B3079" t="s">
        <v>72</v>
      </c>
      <c r="C3079" t="s">
        <v>722</v>
      </c>
      <c r="D3079">
        <v>1</v>
      </c>
      <c r="E3079" s="307">
        <v>6</v>
      </c>
      <c r="F3079" s="307" t="s">
        <v>7</v>
      </c>
      <c r="G3079" s="307" t="s">
        <v>11</v>
      </c>
      <c r="H3079" s="307" t="s">
        <v>11</v>
      </c>
    </row>
    <row r="3080" spans="1:8" x14ac:dyDescent="0.2">
      <c r="A3080" t="s">
        <v>62</v>
      </c>
      <c r="B3080" t="s">
        <v>72</v>
      </c>
      <c r="C3080" t="s">
        <v>763</v>
      </c>
      <c r="D3080">
        <v>2</v>
      </c>
      <c r="E3080" s="307">
        <v>6</v>
      </c>
      <c r="F3080" s="307" t="s">
        <v>7</v>
      </c>
      <c r="G3080" s="307" t="s">
        <v>11</v>
      </c>
      <c r="H3080" s="307" t="s">
        <v>11</v>
      </c>
    </row>
    <row r="3081" spans="1:8" x14ac:dyDescent="0.2">
      <c r="A3081" t="s">
        <v>62</v>
      </c>
      <c r="B3081" t="s">
        <v>72</v>
      </c>
      <c r="C3081" t="s">
        <v>2502</v>
      </c>
      <c r="D3081">
        <v>2</v>
      </c>
      <c r="E3081" s="307">
        <v>6</v>
      </c>
      <c r="F3081" s="307" t="s">
        <v>7</v>
      </c>
      <c r="G3081" s="307" t="s">
        <v>11</v>
      </c>
      <c r="H3081" s="307" t="s">
        <v>11</v>
      </c>
    </row>
    <row r="3082" spans="1:8" x14ac:dyDescent="0.2">
      <c r="A3082" t="s">
        <v>62</v>
      </c>
      <c r="B3082" t="s">
        <v>72</v>
      </c>
      <c r="C3082" t="s">
        <v>2503</v>
      </c>
      <c r="D3082">
        <v>2</v>
      </c>
      <c r="E3082" s="307">
        <v>6</v>
      </c>
      <c r="F3082" s="307" t="s">
        <v>7</v>
      </c>
      <c r="G3082" s="307" t="s">
        <v>11</v>
      </c>
      <c r="H3082" s="307" t="s">
        <v>11</v>
      </c>
    </row>
    <row r="3083" spans="1:8" x14ac:dyDescent="0.2">
      <c r="A3083" t="s">
        <v>62</v>
      </c>
      <c r="B3083" t="s">
        <v>72</v>
      </c>
      <c r="C3083" t="s">
        <v>2504</v>
      </c>
      <c r="D3083">
        <v>2</v>
      </c>
      <c r="E3083" s="307">
        <v>6</v>
      </c>
      <c r="F3083" s="307" t="s">
        <v>7</v>
      </c>
      <c r="G3083" s="307" t="s">
        <v>11</v>
      </c>
      <c r="H3083" s="307" t="s">
        <v>11</v>
      </c>
    </row>
    <row r="3084" spans="1:8" x14ac:dyDescent="0.2">
      <c r="A3084" t="s">
        <v>62</v>
      </c>
      <c r="B3084" t="s">
        <v>72</v>
      </c>
      <c r="C3084" t="s">
        <v>826</v>
      </c>
      <c r="D3084">
        <v>1</v>
      </c>
      <c r="E3084" s="307">
        <v>6</v>
      </c>
      <c r="F3084" s="307" t="s">
        <v>7</v>
      </c>
      <c r="G3084" s="307" t="s">
        <v>11</v>
      </c>
      <c r="H3084" s="307" t="s">
        <v>11</v>
      </c>
    </row>
    <row r="3085" spans="1:8" x14ac:dyDescent="0.2">
      <c r="A3085" t="s">
        <v>62</v>
      </c>
      <c r="B3085" t="s">
        <v>72</v>
      </c>
      <c r="C3085" t="s">
        <v>2505</v>
      </c>
      <c r="D3085">
        <v>1</v>
      </c>
      <c r="E3085" s="307">
        <v>7</v>
      </c>
      <c r="F3085" s="307" t="s">
        <v>11</v>
      </c>
      <c r="G3085" s="307" t="s">
        <v>11</v>
      </c>
      <c r="H3085" s="307" t="s">
        <v>11</v>
      </c>
    </row>
    <row r="3086" spans="1:8" x14ac:dyDescent="0.2">
      <c r="A3086" t="s">
        <v>62</v>
      </c>
      <c r="B3086" t="s">
        <v>72</v>
      </c>
      <c r="C3086" t="s">
        <v>827</v>
      </c>
      <c r="D3086">
        <v>2</v>
      </c>
      <c r="E3086" s="307">
        <v>7</v>
      </c>
      <c r="F3086" s="307" t="s">
        <v>11</v>
      </c>
      <c r="G3086" s="307" t="s">
        <v>11</v>
      </c>
      <c r="H3086" s="307" t="s">
        <v>11</v>
      </c>
    </row>
    <row r="3087" spans="1:8" x14ac:dyDescent="0.2">
      <c r="A3087" t="s">
        <v>62</v>
      </c>
      <c r="B3087" t="s">
        <v>72</v>
      </c>
      <c r="C3087" t="s">
        <v>2506</v>
      </c>
      <c r="D3087">
        <v>2</v>
      </c>
      <c r="E3087" s="307">
        <v>6</v>
      </c>
      <c r="F3087" s="307" t="s">
        <v>7</v>
      </c>
      <c r="G3087" s="307" t="s">
        <v>11</v>
      </c>
      <c r="H3087" s="307" t="s">
        <v>11</v>
      </c>
    </row>
    <row r="3088" spans="1:8" x14ac:dyDescent="0.2">
      <c r="A3088" t="s">
        <v>62</v>
      </c>
      <c r="B3088" t="s">
        <v>72</v>
      </c>
      <c r="C3088" t="s">
        <v>2507</v>
      </c>
      <c r="D3088">
        <v>1</v>
      </c>
      <c r="E3088" s="307">
        <v>6</v>
      </c>
      <c r="F3088" s="307" t="s">
        <v>7</v>
      </c>
      <c r="G3088" s="307" t="s">
        <v>11</v>
      </c>
      <c r="H3088" s="307" t="s">
        <v>11</v>
      </c>
    </row>
    <row r="3089" spans="1:8" x14ac:dyDescent="0.2">
      <c r="A3089" t="s">
        <v>62</v>
      </c>
      <c r="B3089" t="s">
        <v>72</v>
      </c>
      <c r="C3089" t="s">
        <v>2508</v>
      </c>
      <c r="D3089">
        <v>2</v>
      </c>
      <c r="E3089" s="307">
        <v>6</v>
      </c>
      <c r="F3089" s="307" t="s">
        <v>7</v>
      </c>
      <c r="G3089" s="307" t="s">
        <v>11</v>
      </c>
      <c r="H3089" s="307" t="s">
        <v>11</v>
      </c>
    </row>
    <row r="3090" spans="1:8" x14ac:dyDescent="0.2">
      <c r="A3090" t="s">
        <v>62</v>
      </c>
      <c r="B3090" t="s">
        <v>72</v>
      </c>
      <c r="C3090" t="s">
        <v>1557</v>
      </c>
      <c r="D3090">
        <v>2</v>
      </c>
      <c r="E3090" s="307">
        <v>6</v>
      </c>
      <c r="F3090" s="307" t="s">
        <v>7</v>
      </c>
      <c r="G3090" s="307" t="s">
        <v>11</v>
      </c>
      <c r="H3090" s="307" t="s">
        <v>11</v>
      </c>
    </row>
    <row r="3091" spans="1:8" x14ac:dyDescent="0.2">
      <c r="A3091" t="s">
        <v>62</v>
      </c>
      <c r="B3091" t="s">
        <v>72</v>
      </c>
      <c r="C3091" t="s">
        <v>1559</v>
      </c>
      <c r="D3091">
        <v>1</v>
      </c>
      <c r="E3091" s="307">
        <v>6</v>
      </c>
      <c r="F3091" s="307" t="s">
        <v>7</v>
      </c>
      <c r="G3091" s="307" t="s">
        <v>11</v>
      </c>
      <c r="H3091" s="307" t="s">
        <v>11</v>
      </c>
    </row>
    <row r="3092" spans="1:8" x14ac:dyDescent="0.2">
      <c r="A3092" t="s">
        <v>62</v>
      </c>
      <c r="B3092" t="s">
        <v>72</v>
      </c>
      <c r="C3092" t="s">
        <v>2509</v>
      </c>
      <c r="D3092">
        <v>2</v>
      </c>
      <c r="E3092" s="307">
        <v>6</v>
      </c>
      <c r="F3092" s="307" t="s">
        <v>7</v>
      </c>
      <c r="G3092" s="307" t="s">
        <v>11</v>
      </c>
      <c r="H3092" s="307" t="s">
        <v>11</v>
      </c>
    </row>
    <row r="3093" spans="1:8" x14ac:dyDescent="0.2">
      <c r="A3093" t="s">
        <v>62</v>
      </c>
      <c r="B3093" t="s">
        <v>72</v>
      </c>
      <c r="C3093" t="s">
        <v>735</v>
      </c>
      <c r="D3093">
        <v>2</v>
      </c>
      <c r="E3093" s="307">
        <v>6</v>
      </c>
      <c r="F3093" s="307" t="s">
        <v>7</v>
      </c>
      <c r="G3093" s="307" t="s">
        <v>11</v>
      </c>
      <c r="H3093" s="307" t="s">
        <v>11</v>
      </c>
    </row>
    <row r="3094" spans="1:8" x14ac:dyDescent="0.2">
      <c r="A3094" t="s">
        <v>62</v>
      </c>
      <c r="B3094" t="s">
        <v>72</v>
      </c>
      <c r="C3094" t="s">
        <v>2510</v>
      </c>
      <c r="D3094">
        <v>2</v>
      </c>
      <c r="E3094" s="307">
        <v>6</v>
      </c>
      <c r="F3094" s="307" t="s">
        <v>7</v>
      </c>
      <c r="G3094" s="307" t="s">
        <v>11</v>
      </c>
      <c r="H3094" s="307" t="s">
        <v>11</v>
      </c>
    </row>
    <row r="3095" spans="1:8" x14ac:dyDescent="0.2">
      <c r="A3095" t="s">
        <v>62</v>
      </c>
      <c r="B3095" t="s">
        <v>72</v>
      </c>
      <c r="C3095" t="s">
        <v>1166</v>
      </c>
      <c r="D3095">
        <v>2</v>
      </c>
      <c r="E3095" s="307">
        <v>7</v>
      </c>
      <c r="F3095" s="307" t="s">
        <v>11</v>
      </c>
      <c r="G3095" s="307" t="s">
        <v>11</v>
      </c>
      <c r="H3095" s="307" t="s">
        <v>11</v>
      </c>
    </row>
    <row r="3096" spans="1:8" x14ac:dyDescent="0.2">
      <c r="A3096" t="s">
        <v>62</v>
      </c>
      <c r="B3096" t="s">
        <v>72</v>
      </c>
      <c r="C3096" t="s">
        <v>2511</v>
      </c>
      <c r="D3096">
        <v>2</v>
      </c>
      <c r="E3096" s="307">
        <v>6</v>
      </c>
      <c r="F3096" s="307" t="s">
        <v>7</v>
      </c>
      <c r="G3096" s="307" t="s">
        <v>11</v>
      </c>
      <c r="H3096" s="307" t="s">
        <v>11</v>
      </c>
    </row>
    <row r="3097" spans="1:8" x14ac:dyDescent="0.2">
      <c r="A3097" t="s">
        <v>62</v>
      </c>
      <c r="B3097" t="s">
        <v>72</v>
      </c>
      <c r="C3097" t="s">
        <v>2512</v>
      </c>
      <c r="D3097">
        <v>2</v>
      </c>
      <c r="E3097" s="307">
        <v>6</v>
      </c>
      <c r="F3097" s="307" t="s">
        <v>7</v>
      </c>
      <c r="G3097" s="307" t="s">
        <v>11</v>
      </c>
      <c r="H3097" s="307" t="s">
        <v>11</v>
      </c>
    </row>
    <row r="3098" spans="1:8" x14ac:dyDescent="0.2">
      <c r="A3098" t="s">
        <v>62</v>
      </c>
      <c r="B3098" t="s">
        <v>72</v>
      </c>
      <c r="C3098" t="s">
        <v>2513</v>
      </c>
      <c r="D3098">
        <v>1</v>
      </c>
      <c r="E3098" s="307">
        <v>6</v>
      </c>
      <c r="F3098" s="307" t="s">
        <v>7</v>
      </c>
      <c r="G3098" s="307" t="s">
        <v>11</v>
      </c>
      <c r="H3098" s="307" t="s">
        <v>11</v>
      </c>
    </row>
    <row r="3099" spans="1:8" x14ac:dyDescent="0.2">
      <c r="A3099" t="s">
        <v>62</v>
      </c>
      <c r="B3099" t="s">
        <v>72</v>
      </c>
      <c r="C3099" t="s">
        <v>1103</v>
      </c>
      <c r="D3099">
        <v>1</v>
      </c>
      <c r="E3099" s="307">
        <v>6</v>
      </c>
      <c r="F3099" s="307" t="s">
        <v>7</v>
      </c>
      <c r="G3099" s="307" t="s">
        <v>11</v>
      </c>
      <c r="H3099" s="307" t="s">
        <v>11</v>
      </c>
    </row>
    <row r="3100" spans="1:8" x14ac:dyDescent="0.2">
      <c r="A3100" t="s">
        <v>62</v>
      </c>
      <c r="B3100" t="s">
        <v>72</v>
      </c>
      <c r="C3100" t="s">
        <v>838</v>
      </c>
      <c r="D3100">
        <v>2</v>
      </c>
      <c r="E3100" s="307">
        <v>6</v>
      </c>
      <c r="F3100" s="307" t="s">
        <v>7</v>
      </c>
      <c r="G3100" s="307" t="s">
        <v>11</v>
      </c>
      <c r="H3100" s="307" t="s">
        <v>11</v>
      </c>
    </row>
    <row r="3101" spans="1:8" x14ac:dyDescent="0.2">
      <c r="A3101" t="s">
        <v>62</v>
      </c>
      <c r="B3101" t="s">
        <v>72</v>
      </c>
      <c r="C3101" t="s">
        <v>1996</v>
      </c>
      <c r="D3101">
        <v>1</v>
      </c>
      <c r="E3101" s="307">
        <v>6</v>
      </c>
      <c r="F3101" s="307" t="s">
        <v>7</v>
      </c>
      <c r="G3101" s="307" t="s">
        <v>11</v>
      </c>
      <c r="H3101" s="307" t="s">
        <v>11</v>
      </c>
    </row>
    <row r="3102" spans="1:8" x14ac:dyDescent="0.2">
      <c r="A3102" t="s">
        <v>62</v>
      </c>
      <c r="B3102" t="s">
        <v>72</v>
      </c>
      <c r="C3102" t="s">
        <v>2514</v>
      </c>
      <c r="D3102">
        <v>2</v>
      </c>
      <c r="E3102" s="307">
        <v>7</v>
      </c>
      <c r="F3102" s="307" t="s">
        <v>11</v>
      </c>
      <c r="G3102" s="307" t="s">
        <v>11</v>
      </c>
      <c r="H3102" s="307" t="s">
        <v>11</v>
      </c>
    </row>
    <row r="3103" spans="1:8" x14ac:dyDescent="0.2">
      <c r="A3103" t="s">
        <v>62</v>
      </c>
      <c r="B3103" t="s">
        <v>72</v>
      </c>
      <c r="C3103" t="s">
        <v>2515</v>
      </c>
      <c r="D3103">
        <v>2</v>
      </c>
      <c r="E3103" s="307">
        <v>6</v>
      </c>
      <c r="F3103" s="307" t="s">
        <v>7</v>
      </c>
      <c r="G3103" s="307" t="s">
        <v>11</v>
      </c>
      <c r="H3103" s="307" t="s">
        <v>11</v>
      </c>
    </row>
    <row r="3104" spans="1:8" x14ac:dyDescent="0.2">
      <c r="A3104" t="s">
        <v>62</v>
      </c>
      <c r="B3104" t="s">
        <v>72</v>
      </c>
      <c r="C3104" t="s">
        <v>1214</v>
      </c>
      <c r="D3104">
        <v>1</v>
      </c>
      <c r="E3104" s="307">
        <v>6</v>
      </c>
      <c r="F3104" s="307" t="s">
        <v>7</v>
      </c>
      <c r="G3104" s="307" t="s">
        <v>11</v>
      </c>
      <c r="H3104" s="307" t="s">
        <v>11</v>
      </c>
    </row>
    <row r="3105" spans="1:8" x14ac:dyDescent="0.2">
      <c r="A3105" t="s">
        <v>62</v>
      </c>
      <c r="B3105" t="s">
        <v>72</v>
      </c>
      <c r="C3105" t="s">
        <v>1627</v>
      </c>
      <c r="D3105">
        <v>1</v>
      </c>
      <c r="E3105" s="307">
        <v>6</v>
      </c>
      <c r="F3105" s="307" t="s">
        <v>7</v>
      </c>
      <c r="G3105" s="307" t="s">
        <v>11</v>
      </c>
      <c r="H3105" s="307" t="s">
        <v>11</v>
      </c>
    </row>
    <row r="3106" spans="1:8" x14ac:dyDescent="0.2">
      <c r="A3106" t="s">
        <v>62</v>
      </c>
      <c r="B3106" t="s">
        <v>72</v>
      </c>
      <c r="C3106" t="s">
        <v>2310</v>
      </c>
      <c r="D3106">
        <v>2</v>
      </c>
      <c r="E3106" s="307">
        <v>6</v>
      </c>
      <c r="F3106" s="307" t="s">
        <v>7</v>
      </c>
      <c r="G3106" s="307" t="s">
        <v>11</v>
      </c>
      <c r="H3106" s="307" t="s">
        <v>11</v>
      </c>
    </row>
    <row r="3107" spans="1:8" x14ac:dyDescent="0.2">
      <c r="A3107" t="s">
        <v>62</v>
      </c>
      <c r="B3107" t="s">
        <v>72</v>
      </c>
      <c r="C3107" t="s">
        <v>2516</v>
      </c>
      <c r="D3107">
        <v>1</v>
      </c>
      <c r="E3107" s="307">
        <v>6</v>
      </c>
      <c r="F3107" s="307" t="s">
        <v>7</v>
      </c>
      <c r="G3107" s="307" t="s">
        <v>11</v>
      </c>
      <c r="H3107" s="307" t="s">
        <v>11</v>
      </c>
    </row>
    <row r="3108" spans="1:8" x14ac:dyDescent="0.2">
      <c r="A3108" t="s">
        <v>62</v>
      </c>
      <c r="B3108" t="s">
        <v>72</v>
      </c>
      <c r="C3108" t="s">
        <v>2517</v>
      </c>
      <c r="D3108">
        <v>2</v>
      </c>
      <c r="E3108" s="307">
        <v>6</v>
      </c>
      <c r="F3108" s="307" t="s">
        <v>7</v>
      </c>
      <c r="G3108" s="307" t="s">
        <v>11</v>
      </c>
      <c r="H3108" s="307" t="s">
        <v>11</v>
      </c>
    </row>
    <row r="3109" spans="1:8" x14ac:dyDescent="0.2">
      <c r="A3109" t="s">
        <v>62</v>
      </c>
      <c r="B3109" t="s">
        <v>72</v>
      </c>
      <c r="C3109" t="s">
        <v>2518</v>
      </c>
      <c r="D3109">
        <v>2</v>
      </c>
      <c r="E3109" s="307">
        <v>7</v>
      </c>
      <c r="F3109" s="307" t="s">
        <v>11</v>
      </c>
      <c r="G3109" s="307" t="s">
        <v>11</v>
      </c>
      <c r="H3109" s="307" t="s">
        <v>11</v>
      </c>
    </row>
    <row r="3110" spans="1:8" x14ac:dyDescent="0.2">
      <c r="A3110" t="s">
        <v>62</v>
      </c>
      <c r="B3110" t="s">
        <v>72</v>
      </c>
      <c r="C3110" t="s">
        <v>2519</v>
      </c>
      <c r="D3110">
        <v>1</v>
      </c>
      <c r="E3110" s="307">
        <v>6</v>
      </c>
      <c r="F3110" s="307" t="s">
        <v>7</v>
      </c>
      <c r="G3110" s="307" t="s">
        <v>11</v>
      </c>
      <c r="H3110" s="307" t="s">
        <v>11</v>
      </c>
    </row>
    <row r="3111" spans="1:8" x14ac:dyDescent="0.2">
      <c r="A3111" t="s">
        <v>62</v>
      </c>
      <c r="B3111" t="s">
        <v>72</v>
      </c>
      <c r="C3111" t="s">
        <v>2520</v>
      </c>
      <c r="D3111">
        <v>2</v>
      </c>
      <c r="E3111" s="307">
        <v>6</v>
      </c>
      <c r="F3111" s="307" t="s">
        <v>7</v>
      </c>
      <c r="G3111" s="307" t="s">
        <v>11</v>
      </c>
      <c r="H3111" s="307" t="s">
        <v>11</v>
      </c>
    </row>
    <row r="3112" spans="1:8" x14ac:dyDescent="0.2">
      <c r="A3112" t="s">
        <v>62</v>
      </c>
      <c r="B3112" t="s">
        <v>72</v>
      </c>
      <c r="C3112" t="s">
        <v>1023</v>
      </c>
      <c r="D3112">
        <v>2</v>
      </c>
      <c r="E3112" s="307">
        <v>7</v>
      </c>
      <c r="F3112" s="307" t="s">
        <v>11</v>
      </c>
      <c r="G3112" s="307" t="s">
        <v>11</v>
      </c>
      <c r="H3112" s="307" t="s">
        <v>11</v>
      </c>
    </row>
    <row r="3113" spans="1:8" x14ac:dyDescent="0.2">
      <c r="A3113" t="s">
        <v>62</v>
      </c>
      <c r="B3113" t="s">
        <v>72</v>
      </c>
      <c r="C3113" t="s">
        <v>2521</v>
      </c>
      <c r="D3113">
        <v>2</v>
      </c>
      <c r="E3113" s="307">
        <v>6</v>
      </c>
      <c r="F3113" s="307" t="s">
        <v>7</v>
      </c>
      <c r="G3113" s="307" t="s">
        <v>11</v>
      </c>
      <c r="H3113" s="307" t="s">
        <v>11</v>
      </c>
    </row>
    <row r="3114" spans="1:8" x14ac:dyDescent="0.2">
      <c r="A3114" t="s">
        <v>62</v>
      </c>
      <c r="B3114" t="s">
        <v>72</v>
      </c>
      <c r="C3114" t="s">
        <v>1477</v>
      </c>
      <c r="D3114">
        <v>1</v>
      </c>
      <c r="E3114" s="307">
        <v>6</v>
      </c>
      <c r="F3114" s="307" t="s">
        <v>7</v>
      </c>
      <c r="G3114" s="307" t="s">
        <v>11</v>
      </c>
      <c r="H3114" s="307" t="s">
        <v>11</v>
      </c>
    </row>
    <row r="3115" spans="1:8" x14ac:dyDescent="0.2">
      <c r="A3115" t="s">
        <v>62</v>
      </c>
      <c r="B3115" t="s">
        <v>72</v>
      </c>
      <c r="C3115" t="s">
        <v>2522</v>
      </c>
      <c r="D3115">
        <v>2</v>
      </c>
      <c r="E3115" s="307">
        <v>7</v>
      </c>
      <c r="F3115" s="307" t="s">
        <v>11</v>
      </c>
      <c r="G3115" s="307" t="s">
        <v>11</v>
      </c>
      <c r="H3115" s="307" t="s">
        <v>11</v>
      </c>
    </row>
    <row r="3116" spans="1:8" x14ac:dyDescent="0.2">
      <c r="A3116" t="s">
        <v>62</v>
      </c>
      <c r="B3116" t="s">
        <v>72</v>
      </c>
      <c r="C3116" t="s">
        <v>2160</v>
      </c>
      <c r="D3116">
        <v>1</v>
      </c>
      <c r="E3116" s="307">
        <v>6</v>
      </c>
      <c r="F3116" s="307" t="s">
        <v>7</v>
      </c>
      <c r="G3116" s="307" t="s">
        <v>11</v>
      </c>
      <c r="H3116" s="307" t="s">
        <v>11</v>
      </c>
    </row>
    <row r="3117" spans="1:8" x14ac:dyDescent="0.2">
      <c r="A3117" t="s">
        <v>62</v>
      </c>
      <c r="B3117" t="s">
        <v>72</v>
      </c>
      <c r="C3117" t="s">
        <v>2523</v>
      </c>
      <c r="D3117">
        <v>2</v>
      </c>
      <c r="E3117" s="307">
        <v>7</v>
      </c>
      <c r="F3117" s="307" t="s">
        <v>11</v>
      </c>
      <c r="G3117" s="307" t="s">
        <v>11</v>
      </c>
      <c r="H3117" s="307" t="s">
        <v>11</v>
      </c>
    </row>
    <row r="3118" spans="1:8" x14ac:dyDescent="0.2">
      <c r="A3118" t="s">
        <v>62</v>
      </c>
      <c r="B3118" t="s">
        <v>72</v>
      </c>
      <c r="C3118" t="s">
        <v>750</v>
      </c>
      <c r="D3118">
        <v>1</v>
      </c>
      <c r="E3118" s="307">
        <v>6</v>
      </c>
      <c r="F3118" s="307" t="s">
        <v>7</v>
      </c>
      <c r="G3118" s="307" t="s">
        <v>11</v>
      </c>
      <c r="H3118" s="307" t="s">
        <v>11</v>
      </c>
    </row>
    <row r="3119" spans="1:8" x14ac:dyDescent="0.2">
      <c r="A3119" t="s">
        <v>62</v>
      </c>
      <c r="B3119" t="s">
        <v>72</v>
      </c>
      <c r="C3119" t="s">
        <v>2524</v>
      </c>
      <c r="D3119">
        <v>1</v>
      </c>
      <c r="E3119" s="307">
        <v>6</v>
      </c>
      <c r="F3119" s="307" t="s">
        <v>7</v>
      </c>
      <c r="G3119" s="307" t="s">
        <v>11</v>
      </c>
      <c r="H3119" s="307" t="s">
        <v>11</v>
      </c>
    </row>
    <row r="3120" spans="1:8" x14ac:dyDescent="0.2">
      <c r="A3120" t="s">
        <v>62</v>
      </c>
      <c r="B3120" t="s">
        <v>72</v>
      </c>
      <c r="C3120" t="s">
        <v>2525</v>
      </c>
      <c r="D3120">
        <v>1</v>
      </c>
      <c r="E3120" s="307">
        <v>6</v>
      </c>
      <c r="F3120" s="307" t="s">
        <v>7</v>
      </c>
      <c r="G3120" s="307" t="s">
        <v>11</v>
      </c>
      <c r="H3120" s="307" t="s">
        <v>11</v>
      </c>
    </row>
    <row r="3121" spans="1:8" x14ac:dyDescent="0.2">
      <c r="A3121" t="s">
        <v>62</v>
      </c>
      <c r="B3121" t="s">
        <v>72</v>
      </c>
      <c r="C3121" t="s">
        <v>2526</v>
      </c>
      <c r="D3121">
        <v>2</v>
      </c>
      <c r="E3121" s="307">
        <v>6</v>
      </c>
      <c r="F3121" s="307" t="s">
        <v>7</v>
      </c>
      <c r="G3121" s="307" t="s">
        <v>11</v>
      </c>
      <c r="H3121" s="307" t="s">
        <v>11</v>
      </c>
    </row>
    <row r="3122" spans="1:8" x14ac:dyDescent="0.2">
      <c r="A3122" t="s">
        <v>62</v>
      </c>
      <c r="B3122" t="s">
        <v>72</v>
      </c>
      <c r="C3122" t="s">
        <v>1226</v>
      </c>
      <c r="D3122">
        <v>2</v>
      </c>
      <c r="E3122" s="307">
        <v>6</v>
      </c>
      <c r="F3122" s="307" t="s">
        <v>7</v>
      </c>
      <c r="G3122" s="307" t="s">
        <v>11</v>
      </c>
      <c r="H3122" s="307" t="s">
        <v>11</v>
      </c>
    </row>
    <row r="3123" spans="1:8" x14ac:dyDescent="0.2">
      <c r="A3123" t="s">
        <v>62</v>
      </c>
      <c r="B3123" t="s">
        <v>72</v>
      </c>
      <c r="C3123" t="s">
        <v>2005</v>
      </c>
      <c r="D3123">
        <v>1</v>
      </c>
      <c r="E3123" s="307">
        <v>6</v>
      </c>
      <c r="F3123" s="307" t="s">
        <v>7</v>
      </c>
      <c r="G3123" s="307" t="s">
        <v>11</v>
      </c>
      <c r="H3123" s="307" t="s">
        <v>11</v>
      </c>
    </row>
    <row r="3124" spans="1:8" x14ac:dyDescent="0.2">
      <c r="A3124" t="s">
        <v>64</v>
      </c>
      <c r="B3124" t="s">
        <v>73</v>
      </c>
      <c r="C3124" t="s">
        <v>1846</v>
      </c>
      <c r="D3124">
        <v>1</v>
      </c>
      <c r="E3124" s="307">
        <v>6</v>
      </c>
      <c r="F3124" s="307" t="s">
        <v>75</v>
      </c>
      <c r="G3124" s="307" t="s">
        <v>11</v>
      </c>
      <c r="H3124" s="307" t="s">
        <v>11</v>
      </c>
    </row>
    <row r="3125" spans="1:8" x14ac:dyDescent="0.2">
      <c r="A3125" t="s">
        <v>64</v>
      </c>
      <c r="B3125" t="s">
        <v>73</v>
      </c>
      <c r="C3125" t="s">
        <v>1718</v>
      </c>
      <c r="D3125">
        <v>1</v>
      </c>
      <c r="E3125" s="307">
        <v>6</v>
      </c>
      <c r="F3125" s="307" t="s">
        <v>75</v>
      </c>
      <c r="G3125" s="307" t="s">
        <v>11</v>
      </c>
      <c r="H3125" s="307" t="s">
        <v>11</v>
      </c>
    </row>
    <row r="3126" spans="1:8" x14ac:dyDescent="0.2">
      <c r="A3126" t="s">
        <v>64</v>
      </c>
      <c r="B3126" t="s">
        <v>73</v>
      </c>
      <c r="C3126" t="s">
        <v>1393</v>
      </c>
      <c r="D3126">
        <v>1</v>
      </c>
      <c r="E3126" s="307">
        <v>6</v>
      </c>
      <c r="F3126" s="307" t="s">
        <v>75</v>
      </c>
      <c r="G3126" s="307" t="s">
        <v>11</v>
      </c>
      <c r="H3126" s="307" t="s">
        <v>11</v>
      </c>
    </row>
    <row r="3127" spans="1:8" x14ac:dyDescent="0.2">
      <c r="A3127" t="s">
        <v>64</v>
      </c>
      <c r="B3127" t="s">
        <v>73</v>
      </c>
      <c r="C3127" t="s">
        <v>1720</v>
      </c>
      <c r="D3127">
        <v>1</v>
      </c>
      <c r="E3127" s="307">
        <v>6</v>
      </c>
      <c r="F3127" s="307" t="s">
        <v>75</v>
      </c>
      <c r="G3127" s="307" t="s">
        <v>11</v>
      </c>
      <c r="H3127" s="307" t="s">
        <v>11</v>
      </c>
    </row>
    <row r="3128" spans="1:8" x14ac:dyDescent="0.2">
      <c r="A3128" t="s">
        <v>64</v>
      </c>
      <c r="B3128" t="s">
        <v>73</v>
      </c>
      <c r="C3128" t="s">
        <v>2527</v>
      </c>
      <c r="D3128">
        <v>1</v>
      </c>
      <c r="E3128" s="307">
        <v>6</v>
      </c>
      <c r="F3128" s="307" t="s">
        <v>75</v>
      </c>
      <c r="G3128" s="307" t="s">
        <v>11</v>
      </c>
      <c r="H3128" s="307" t="s">
        <v>11</v>
      </c>
    </row>
    <row r="3129" spans="1:8" x14ac:dyDescent="0.2">
      <c r="A3129" t="s">
        <v>64</v>
      </c>
      <c r="B3129" t="s">
        <v>73</v>
      </c>
      <c r="C3129" t="s">
        <v>2050</v>
      </c>
      <c r="D3129">
        <v>1</v>
      </c>
      <c r="E3129" s="307">
        <v>6</v>
      </c>
      <c r="F3129" s="307" t="s">
        <v>75</v>
      </c>
      <c r="G3129" s="307" t="s">
        <v>11</v>
      </c>
      <c r="H3129" s="307" t="s">
        <v>11</v>
      </c>
    </row>
    <row r="3130" spans="1:8" x14ac:dyDescent="0.2">
      <c r="A3130" t="s">
        <v>64</v>
      </c>
      <c r="B3130" t="s">
        <v>73</v>
      </c>
      <c r="C3130" t="s">
        <v>933</v>
      </c>
      <c r="D3130">
        <v>1</v>
      </c>
      <c r="E3130" s="307">
        <v>6</v>
      </c>
      <c r="F3130" s="307" t="s">
        <v>75</v>
      </c>
      <c r="G3130" s="307" t="s">
        <v>11</v>
      </c>
      <c r="H3130" s="307" t="s">
        <v>11</v>
      </c>
    </row>
    <row r="3131" spans="1:8" x14ac:dyDescent="0.2">
      <c r="A3131" t="s">
        <v>64</v>
      </c>
      <c r="B3131" t="s">
        <v>73</v>
      </c>
      <c r="C3131" t="s">
        <v>2528</v>
      </c>
      <c r="D3131">
        <v>1</v>
      </c>
      <c r="E3131" s="307">
        <v>5</v>
      </c>
      <c r="F3131" s="307" t="s">
        <v>75</v>
      </c>
      <c r="G3131" s="307" t="s">
        <v>11</v>
      </c>
      <c r="H3131" s="307" t="s">
        <v>11</v>
      </c>
    </row>
    <row r="3132" spans="1:8" x14ac:dyDescent="0.2">
      <c r="A3132" t="s">
        <v>64</v>
      </c>
      <c r="B3132" t="s">
        <v>73</v>
      </c>
      <c r="C3132" t="s">
        <v>2529</v>
      </c>
      <c r="D3132">
        <v>1</v>
      </c>
      <c r="E3132" s="307">
        <v>6</v>
      </c>
      <c r="F3132" s="307" t="s">
        <v>75</v>
      </c>
      <c r="G3132" s="307" t="s">
        <v>11</v>
      </c>
      <c r="H3132" s="307" t="s">
        <v>11</v>
      </c>
    </row>
    <row r="3133" spans="1:8" x14ac:dyDescent="0.2">
      <c r="A3133" t="s">
        <v>64</v>
      </c>
      <c r="B3133" t="s">
        <v>73</v>
      </c>
      <c r="C3133" t="s">
        <v>825</v>
      </c>
      <c r="D3133">
        <v>1</v>
      </c>
      <c r="E3133" s="307">
        <v>6</v>
      </c>
      <c r="F3133" s="307" t="s">
        <v>75</v>
      </c>
      <c r="G3133" s="307" t="s">
        <v>11</v>
      </c>
      <c r="H3133" s="307" t="s">
        <v>11</v>
      </c>
    </row>
    <row r="3134" spans="1:8" x14ac:dyDescent="0.2">
      <c r="A3134" t="s">
        <v>64</v>
      </c>
      <c r="B3134" t="s">
        <v>73</v>
      </c>
      <c r="C3134" t="s">
        <v>2530</v>
      </c>
      <c r="D3134">
        <v>1</v>
      </c>
      <c r="E3134" s="307">
        <v>6</v>
      </c>
      <c r="F3134" s="307" t="s">
        <v>75</v>
      </c>
      <c r="G3134" s="307" t="s">
        <v>11</v>
      </c>
      <c r="H3134" s="307" t="s">
        <v>11</v>
      </c>
    </row>
    <row r="3135" spans="1:8" x14ac:dyDescent="0.2">
      <c r="A3135" t="s">
        <v>64</v>
      </c>
      <c r="B3135" t="s">
        <v>73</v>
      </c>
      <c r="C3135" t="s">
        <v>827</v>
      </c>
      <c r="D3135">
        <v>1</v>
      </c>
      <c r="E3135" s="307">
        <v>7</v>
      </c>
      <c r="F3135" s="307" t="s">
        <v>11</v>
      </c>
      <c r="G3135" s="307" t="s">
        <v>11</v>
      </c>
      <c r="H3135" s="307" t="s">
        <v>11</v>
      </c>
    </row>
    <row r="3136" spans="1:8" x14ac:dyDescent="0.2">
      <c r="A3136" t="s">
        <v>64</v>
      </c>
      <c r="B3136" t="s">
        <v>73</v>
      </c>
      <c r="C3136" t="s">
        <v>2531</v>
      </c>
      <c r="D3136">
        <v>1</v>
      </c>
      <c r="E3136" s="307">
        <v>6</v>
      </c>
      <c r="F3136" s="307" t="s">
        <v>75</v>
      </c>
      <c r="G3136" s="307" t="s">
        <v>11</v>
      </c>
      <c r="H3136" s="307" t="s">
        <v>11</v>
      </c>
    </row>
    <row r="3137" spans="1:8" x14ac:dyDescent="0.2">
      <c r="A3137" t="s">
        <v>64</v>
      </c>
      <c r="B3137" t="s">
        <v>73</v>
      </c>
      <c r="C3137" t="s">
        <v>2532</v>
      </c>
      <c r="D3137">
        <v>1</v>
      </c>
      <c r="E3137" s="307">
        <v>6</v>
      </c>
      <c r="F3137" s="307" t="s">
        <v>75</v>
      </c>
      <c r="G3137" s="307" t="s">
        <v>11</v>
      </c>
      <c r="H3137" s="307" t="s">
        <v>11</v>
      </c>
    </row>
    <row r="3138" spans="1:8" x14ac:dyDescent="0.2">
      <c r="A3138" t="s">
        <v>64</v>
      </c>
      <c r="B3138" t="s">
        <v>73</v>
      </c>
      <c r="C3138" t="s">
        <v>952</v>
      </c>
      <c r="D3138">
        <v>1</v>
      </c>
      <c r="E3138" s="307">
        <v>6</v>
      </c>
      <c r="F3138" s="307" t="s">
        <v>75</v>
      </c>
      <c r="G3138" s="307" t="s">
        <v>11</v>
      </c>
      <c r="H3138" s="307" t="s">
        <v>11</v>
      </c>
    </row>
    <row r="3139" spans="1:8" x14ac:dyDescent="0.2">
      <c r="A3139" t="s">
        <v>64</v>
      </c>
      <c r="B3139" t="s">
        <v>73</v>
      </c>
      <c r="C3139" t="s">
        <v>1705</v>
      </c>
      <c r="D3139">
        <v>2</v>
      </c>
      <c r="E3139" s="307">
        <v>5</v>
      </c>
      <c r="F3139" s="307" t="s">
        <v>75</v>
      </c>
      <c r="G3139" s="307" t="s">
        <v>11</v>
      </c>
      <c r="H3139" s="307" t="s">
        <v>11</v>
      </c>
    </row>
    <row r="3140" spans="1:8" x14ac:dyDescent="0.2">
      <c r="A3140" t="s">
        <v>64</v>
      </c>
      <c r="B3140" t="s">
        <v>73</v>
      </c>
      <c r="C3140" t="s">
        <v>1367</v>
      </c>
      <c r="D3140">
        <v>1</v>
      </c>
      <c r="E3140" s="307">
        <v>6</v>
      </c>
      <c r="F3140" s="307" t="s">
        <v>75</v>
      </c>
      <c r="G3140" s="307" t="s">
        <v>11</v>
      </c>
      <c r="H3140" s="307" t="s">
        <v>11</v>
      </c>
    </row>
    <row r="3141" spans="1:8" x14ac:dyDescent="0.2">
      <c r="A3141" t="s">
        <v>64</v>
      </c>
      <c r="B3141" t="s">
        <v>73</v>
      </c>
      <c r="C3141" t="s">
        <v>2533</v>
      </c>
      <c r="D3141">
        <v>1</v>
      </c>
      <c r="E3141" s="307">
        <v>7</v>
      </c>
      <c r="F3141" s="307" t="s">
        <v>11</v>
      </c>
      <c r="G3141" s="307" t="s">
        <v>11</v>
      </c>
      <c r="H3141" s="307" t="s">
        <v>11</v>
      </c>
    </row>
    <row r="3142" spans="1:8" x14ac:dyDescent="0.2">
      <c r="A3142" t="s">
        <v>64</v>
      </c>
      <c r="B3142" t="s">
        <v>73</v>
      </c>
      <c r="C3142" t="s">
        <v>2534</v>
      </c>
      <c r="D3142">
        <v>1</v>
      </c>
      <c r="E3142" s="307">
        <v>6</v>
      </c>
      <c r="F3142" s="307" t="s">
        <v>75</v>
      </c>
      <c r="G3142" s="307" t="s">
        <v>11</v>
      </c>
      <c r="H3142" s="307" t="s">
        <v>11</v>
      </c>
    </row>
    <row r="3143" spans="1:8" x14ac:dyDescent="0.2">
      <c r="A3143" t="s">
        <v>64</v>
      </c>
      <c r="B3143" t="s">
        <v>73</v>
      </c>
      <c r="C3143" t="s">
        <v>1171</v>
      </c>
      <c r="D3143">
        <v>1</v>
      </c>
      <c r="E3143" s="307">
        <v>7</v>
      </c>
      <c r="F3143" s="307" t="s">
        <v>11</v>
      </c>
      <c r="G3143" s="307" t="s">
        <v>11</v>
      </c>
      <c r="H3143" s="307" t="s">
        <v>11</v>
      </c>
    </row>
    <row r="3144" spans="1:8" x14ac:dyDescent="0.2">
      <c r="A3144" t="s">
        <v>64</v>
      </c>
      <c r="B3144" t="s">
        <v>73</v>
      </c>
      <c r="C3144" t="s">
        <v>2535</v>
      </c>
      <c r="D3144">
        <v>1</v>
      </c>
      <c r="E3144" s="307">
        <v>6</v>
      </c>
      <c r="F3144" s="307" t="s">
        <v>75</v>
      </c>
      <c r="G3144" s="307" t="s">
        <v>11</v>
      </c>
      <c r="H3144" s="307" t="s">
        <v>11</v>
      </c>
    </row>
    <row r="3145" spans="1:8" x14ac:dyDescent="0.2">
      <c r="A3145" t="s">
        <v>64</v>
      </c>
      <c r="B3145" t="s">
        <v>73</v>
      </c>
      <c r="C3145" t="s">
        <v>2536</v>
      </c>
      <c r="D3145">
        <v>1</v>
      </c>
      <c r="E3145" s="307">
        <v>6</v>
      </c>
      <c r="F3145" s="307" t="s">
        <v>75</v>
      </c>
      <c r="G3145" s="307" t="s">
        <v>11</v>
      </c>
      <c r="H3145" s="307" t="s">
        <v>11</v>
      </c>
    </row>
    <row r="3146" spans="1:8" x14ac:dyDescent="0.2">
      <c r="A3146" t="s">
        <v>64</v>
      </c>
      <c r="B3146" t="s">
        <v>73</v>
      </c>
      <c r="C3146" t="s">
        <v>2537</v>
      </c>
      <c r="D3146">
        <v>2</v>
      </c>
      <c r="E3146" s="307">
        <v>6</v>
      </c>
      <c r="F3146" s="307" t="s">
        <v>75</v>
      </c>
      <c r="G3146" s="307" t="s">
        <v>11</v>
      </c>
      <c r="H3146" s="307" t="s">
        <v>11</v>
      </c>
    </row>
  </sheetData>
  <sheetProtection algorithmName="SHA-512" hashValue="y7ptwkBIvX7HEh7yMzWXmNp2p/oq/kUYTlpF8ri1BdNre4rjuDlwY0XuyutJ7QW3CwG2tDKvkYF84eA31KrPwA==" saltValue="y0962IGZUWPWIuD5e7wktg==" spinCount="100000" sheet="1" objects="1" scenarios="1" selectLockedCells="1" selectUnlockedCells="1"/>
  <sortState xmlns:xlrd2="http://schemas.microsoft.com/office/spreadsheetml/2017/richdata2" ref="J2:J52">
    <sortCondition ref="J52"/>
  </sortState>
  <pageMargins left="0.7" right="0.7" top="0.75" bottom="0.75" header="0.3" footer="0.3"/>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7">
    <pageSetUpPr fitToPage="1"/>
  </sheetPr>
  <dimension ref="A1:BI311"/>
  <sheetViews>
    <sheetView showGridLines="0" topLeftCell="H1" zoomScaleNormal="100" workbookViewId="0">
      <pane ySplit="7" topLeftCell="A296" activePane="bottomLeft" state="frozen"/>
      <selection activeCell="G45" sqref="G45:H45"/>
      <selection pane="bottomLeft" activeCell="X262" sqref="X262"/>
    </sheetView>
  </sheetViews>
  <sheetFormatPr baseColWidth="10" defaultColWidth="8.83203125" defaultRowHeight="15" x14ac:dyDescent="0.2"/>
  <cols>
    <col min="1" max="1" width="9.1640625" style="20" hidden="1" customWidth="1"/>
    <col min="2" max="2" width="7.33203125" style="20" hidden="1" customWidth="1"/>
    <col min="3" max="7" width="3.83203125" style="20" hidden="1" customWidth="1"/>
    <col min="8" max="8" width="3.83203125" style="20" customWidth="1"/>
    <col min="9" max="9" width="10.5" style="17" customWidth="1"/>
    <col min="10" max="11" width="3.83203125" style="17" customWidth="1"/>
    <col min="12" max="12" width="71.6640625" customWidth="1"/>
    <col min="13" max="13" width="13.5" style="70" customWidth="1"/>
    <col min="14" max="14" width="7.6640625" style="42" hidden="1" customWidth="1"/>
    <col min="15" max="15" width="7.6640625" style="83" customWidth="1"/>
    <col min="16" max="17" width="8.83203125" style="42" hidden="1" customWidth="1"/>
    <col min="18" max="21" width="8.83203125" hidden="1" customWidth="1"/>
    <col min="22" max="22" width="3" style="17" hidden="1" customWidth="1"/>
    <col min="23" max="23" width="21.5" style="17" customWidth="1"/>
    <col min="24" max="24" width="69" style="17" customWidth="1"/>
    <col min="25" max="25" width="34.83203125" style="704" hidden="1" customWidth="1"/>
    <col min="26" max="26" width="34.83203125" hidden="1" customWidth="1"/>
    <col min="27" max="27" width="9.1640625" style="707" hidden="1" customWidth="1"/>
    <col min="28" max="28" width="9.1640625" style="42" hidden="1" customWidth="1"/>
    <col min="29" max="37" width="9.1640625" style="17" hidden="1" customWidth="1"/>
    <col min="38" max="38" width="14.5" style="17" hidden="1" customWidth="1"/>
    <col min="39" max="39" width="3" style="17" hidden="1" customWidth="1"/>
    <col min="40" max="40" width="12.5" style="17" hidden="1" customWidth="1"/>
    <col min="41" max="41" width="2.1640625" style="17" hidden="1" customWidth="1"/>
    <col min="42" max="42" width="14.33203125" hidden="1" customWidth="1"/>
    <col min="43" max="43" width="2.1640625" hidden="1" customWidth="1"/>
    <col min="44" max="44" width="12.5" hidden="1" customWidth="1"/>
    <col min="45" max="45" width="2.1640625" hidden="1" customWidth="1"/>
    <col min="46" max="61" width="9.1640625" hidden="1" customWidth="1"/>
  </cols>
  <sheetData>
    <row r="1" spans="1:61" s="17" customFormat="1" x14ac:dyDescent="0.2">
      <c r="A1" s="20"/>
      <c r="B1" s="20"/>
      <c r="C1" s="20"/>
      <c r="D1" s="20"/>
      <c r="E1" s="20"/>
      <c r="F1" s="20"/>
      <c r="G1" s="20"/>
      <c r="H1" s="1674" t="s">
        <v>3446</v>
      </c>
      <c r="I1" s="1651" t="str">
        <f ca="1">IF(OR(AG3,AI3),"Errors on page, no Level reached","Total Chapter Points: "&amp;AG2)</f>
        <v>Total Chapter Points: 14</v>
      </c>
      <c r="J1" s="1651"/>
      <c r="K1" s="1651"/>
      <c r="L1" s="1651"/>
      <c r="M1" s="1675"/>
      <c r="N1" s="1675"/>
      <c r="O1" s="1675"/>
      <c r="P1" s="1675"/>
      <c r="Q1" s="1675"/>
      <c r="R1" s="1675"/>
      <c r="S1" s="1675"/>
      <c r="T1" s="1675"/>
      <c r="U1" s="1675"/>
      <c r="V1" s="1675"/>
      <c r="W1" s="1675"/>
      <c r="X1" s="520" t="s">
        <v>3423</v>
      </c>
      <c r="Y1" s="704"/>
      <c r="Z1"/>
      <c r="AA1" s="707"/>
      <c r="AB1" s="42"/>
      <c r="AF1" s="7" t="s">
        <v>274</v>
      </c>
      <c r="AG1" s="17">
        <f>Points!K15</f>
        <v>0</v>
      </c>
    </row>
    <row r="2" spans="1:61" s="17" customFormat="1" x14ac:dyDescent="0.2">
      <c r="A2" s="20"/>
      <c r="B2" s="20"/>
      <c r="C2" s="20"/>
      <c r="D2" s="20"/>
      <c r="E2" s="20"/>
      <c r="F2" s="20"/>
      <c r="G2" s="20"/>
      <c r="H2" s="1674"/>
      <c r="I2" s="1652" t="str">
        <f ca="1">IF(OR(AG3,AI3),"Errors on page, no Level reached","Total Project Points: "&amp;Dpoints)</f>
        <v>Total Project Points: 116</v>
      </c>
      <c r="J2" s="1652"/>
      <c r="K2" s="1652"/>
      <c r="L2" s="1652"/>
      <c r="M2" s="1675"/>
      <c r="N2" s="1675"/>
      <c r="O2" s="1675"/>
      <c r="P2" s="1675"/>
      <c r="Q2" s="1675"/>
      <c r="R2" s="1675"/>
      <c r="S2" s="1675"/>
      <c r="T2" s="1675"/>
      <c r="U2" s="1675"/>
      <c r="V2" s="1675"/>
      <c r="W2" s="1675"/>
      <c r="X2" s="520" t="s">
        <v>2890</v>
      </c>
      <c r="Y2" s="704"/>
      <c r="Z2"/>
      <c r="AA2" s="707"/>
      <c r="AB2" s="42"/>
      <c r="AF2" s="7" t="s">
        <v>273</v>
      </c>
      <c r="AG2" s="17">
        <f ca="1">Points!H15</f>
        <v>14</v>
      </c>
      <c r="AJ2"/>
      <c r="AK2"/>
    </row>
    <row r="3" spans="1:61" x14ac:dyDescent="0.2">
      <c r="H3" s="1674"/>
      <c r="I3" s="1652" t="str">
        <f ca="1">IF(OR(AG3,AI3),"Errors on page, no Level reached","Total Project Level: "&amp;Dlevel)</f>
        <v>Total Project Level: Bronze</v>
      </c>
      <c r="J3" s="1652"/>
      <c r="K3" s="1652"/>
      <c r="L3" s="1652"/>
      <c r="M3" s="1675"/>
      <c r="N3" s="1675"/>
      <c r="O3" s="1675"/>
      <c r="P3" s="1675"/>
      <c r="Q3" s="1675"/>
      <c r="R3" s="1675"/>
      <c r="S3" s="1675"/>
      <c r="T3" s="1675"/>
      <c r="U3" s="1675"/>
      <c r="V3" s="1675"/>
      <c r="W3" s="1675"/>
      <c r="X3" s="520" t="s">
        <v>2889</v>
      </c>
      <c r="AF3" s="7" t="s">
        <v>271</v>
      </c>
      <c r="AG3" s="17" t="b">
        <f>OR(AE:AE)</f>
        <v>0</v>
      </c>
      <c r="AH3" s="7" t="s">
        <v>272</v>
      </c>
      <c r="AI3" s="17" t="b">
        <f ca="1">OR(AD:AD)</f>
        <v>0</v>
      </c>
    </row>
    <row r="4" spans="1:61" s="59" customFormat="1" x14ac:dyDescent="0.2">
      <c r="A4" s="20"/>
      <c r="B4" s="20"/>
      <c r="C4" s="20"/>
      <c r="D4" s="20"/>
      <c r="E4" s="20"/>
      <c r="F4" s="20"/>
      <c r="G4" s="20"/>
      <c r="H4" s="1674"/>
      <c r="I4" s="1658" t="str">
        <f ca="1">IF(OR(AG3,AI3),"Errors on page, no Level reached","Points Needed to Earn Next Level: "&amp;DNext)</f>
        <v>Points Needed to Earn Next Level: 9</v>
      </c>
      <c r="J4" s="1659"/>
      <c r="K4" s="1659"/>
      <c r="L4" s="1660"/>
      <c r="M4" s="1675"/>
      <c r="N4" s="1675"/>
      <c r="O4" s="1675"/>
      <c r="P4" s="1675"/>
      <c r="Q4" s="1675"/>
      <c r="R4" s="1675"/>
      <c r="S4" s="1675"/>
      <c r="T4" s="1675"/>
      <c r="U4" s="1675"/>
      <c r="V4" s="1675"/>
      <c r="W4" s="1675"/>
      <c r="X4" s="1543" t="s">
        <v>5034</v>
      </c>
      <c r="Y4" s="704"/>
      <c r="AA4" s="707"/>
      <c r="AF4" s="58"/>
      <c r="AH4" s="58"/>
    </row>
    <row r="5" spans="1:61" s="59" customFormat="1" x14ac:dyDescent="0.2">
      <c r="A5" s="20"/>
      <c r="B5" s="20"/>
      <c r="C5" s="20"/>
      <c r="D5" s="20"/>
      <c r="E5" s="20"/>
      <c r="F5" s="20"/>
      <c r="G5" s="20"/>
      <c r="H5" s="1674"/>
      <c r="I5" s="1661" t="str">
        <f>"Revision Date:  "&amp;TEXT('Info &amp; Intro'!E7,"m/d/yyyy")</f>
        <v>Revision Date:  5/10/2020</v>
      </c>
      <c r="J5" s="1662"/>
      <c r="K5" s="1662"/>
      <c r="L5" s="1663"/>
      <c r="M5" s="1675"/>
      <c r="N5" s="1675"/>
      <c r="O5" s="1675"/>
      <c r="P5" s="1675"/>
      <c r="Q5" s="1675"/>
      <c r="R5" s="1675"/>
      <c r="S5" s="1675"/>
      <c r="T5" s="1675"/>
      <c r="U5" s="1675"/>
      <c r="V5" s="1675"/>
      <c r="W5" s="1675"/>
      <c r="X5" s="1543"/>
      <c r="Y5" s="704"/>
      <c r="AA5" s="707"/>
      <c r="AF5" s="58"/>
      <c r="AH5" s="58"/>
    </row>
    <row r="6" spans="1:61" s="42" customFormat="1" x14ac:dyDescent="0.2">
      <c r="A6" s="20"/>
      <c r="B6" s="20"/>
      <c r="C6" s="20"/>
      <c r="D6" s="20"/>
      <c r="E6" s="20"/>
      <c r="F6" s="20"/>
      <c r="G6" s="20"/>
      <c r="H6" s="1674"/>
      <c r="I6" s="1666" t="s">
        <v>247</v>
      </c>
      <c r="J6" s="1667"/>
      <c r="K6" s="1668"/>
      <c r="L6" s="1664" t="s">
        <v>680</v>
      </c>
      <c r="M6" s="1664" t="s">
        <v>248</v>
      </c>
      <c r="N6" s="1664"/>
      <c r="O6" s="36" t="s">
        <v>298</v>
      </c>
      <c r="P6" s="1664" t="s">
        <v>3456</v>
      </c>
      <c r="Q6" s="1664" t="s">
        <v>290</v>
      </c>
      <c r="R6" s="1664" t="s">
        <v>249</v>
      </c>
      <c r="S6" s="1664" t="s">
        <v>250</v>
      </c>
      <c r="T6" s="1664" t="s">
        <v>0</v>
      </c>
      <c r="U6" s="1664" t="s">
        <v>3457</v>
      </c>
      <c r="V6" s="1664"/>
      <c r="W6" s="1664" t="s">
        <v>251</v>
      </c>
      <c r="X6" s="1653" t="s">
        <v>1</v>
      </c>
      <c r="Y6" s="704"/>
      <c r="AA6" s="707"/>
      <c r="AC6" s="40" t="s">
        <v>288</v>
      </c>
      <c r="AD6" s="40" t="s">
        <v>0</v>
      </c>
      <c r="AE6" s="40" t="s">
        <v>287</v>
      </c>
    </row>
    <row r="7" spans="1:61" x14ac:dyDescent="0.2">
      <c r="H7" s="1674"/>
      <c r="I7" s="1666"/>
      <c r="J7" s="1667"/>
      <c r="K7" s="1668"/>
      <c r="L7" s="1665"/>
      <c r="M7" s="1665"/>
      <c r="N7" s="1665"/>
      <c r="O7" s="36" t="s">
        <v>299</v>
      </c>
      <c r="P7" s="1665"/>
      <c r="Q7" s="1665"/>
      <c r="R7" s="1665"/>
      <c r="S7" s="1665"/>
      <c r="T7" s="1665"/>
      <c r="U7" s="1665"/>
      <c r="V7" s="1665"/>
      <c r="W7" s="1665"/>
      <c r="X7" s="1654"/>
      <c r="AC7" s="5" t="s">
        <v>288</v>
      </c>
      <c r="AD7" s="5" t="s">
        <v>0</v>
      </c>
      <c r="AE7" s="5" t="s">
        <v>287</v>
      </c>
      <c r="AP7" s="17"/>
      <c r="AQ7" s="17"/>
    </row>
    <row r="8" spans="1:61" s="685" customFormat="1" hidden="1" x14ac:dyDescent="0.2">
      <c r="A8" s="20"/>
      <c r="B8" s="20"/>
      <c r="C8" s="20"/>
      <c r="D8" s="20"/>
      <c r="E8" s="20"/>
      <c r="F8" s="20"/>
      <c r="G8" s="20"/>
      <c r="H8" s="20"/>
      <c r="I8" s="687"/>
      <c r="J8" s="687"/>
      <c r="K8" s="687"/>
      <c r="L8" s="686"/>
      <c r="M8" s="686"/>
      <c r="N8" s="686"/>
      <c r="O8" s="36"/>
      <c r="P8" s="686"/>
      <c r="Q8" s="686"/>
      <c r="R8" s="686"/>
      <c r="S8" s="686"/>
      <c r="T8" s="686"/>
      <c r="U8" s="686"/>
      <c r="V8" s="686"/>
      <c r="W8" s="686"/>
      <c r="X8" s="687"/>
      <c r="Y8" s="704"/>
      <c r="AA8" s="707"/>
      <c r="AC8" s="684"/>
      <c r="AD8" s="684"/>
      <c r="AE8" s="684"/>
    </row>
    <row r="9" spans="1:61" ht="19" x14ac:dyDescent="0.25">
      <c r="A9" s="20" t="s">
        <v>246</v>
      </c>
      <c r="B9" s="20" t="s">
        <v>246</v>
      </c>
      <c r="C9" s="20" t="s">
        <v>246</v>
      </c>
      <c r="D9" s="20" t="s">
        <v>246</v>
      </c>
      <c r="E9" s="20" t="s">
        <v>246</v>
      </c>
      <c r="F9" s="20" t="s">
        <v>246</v>
      </c>
      <c r="G9" s="20" t="s">
        <v>246</v>
      </c>
      <c r="H9" s="693"/>
      <c r="I9" s="24" t="s">
        <v>3479</v>
      </c>
      <c r="J9" s="24"/>
      <c r="K9" s="24"/>
      <c r="L9" s="25"/>
      <c r="M9" s="26"/>
      <c r="N9" s="42" t="s">
        <v>246</v>
      </c>
      <c r="O9" s="26"/>
      <c r="P9" s="42" t="s">
        <v>246</v>
      </c>
      <c r="Q9" s="42" t="s">
        <v>246</v>
      </c>
      <c r="R9" s="34" t="s">
        <v>246</v>
      </c>
      <c r="S9" s="34" t="s">
        <v>246</v>
      </c>
      <c r="T9" s="34" t="s">
        <v>246</v>
      </c>
      <c r="U9" s="34" t="s">
        <v>246</v>
      </c>
      <c r="V9" s="34" t="s">
        <v>246</v>
      </c>
      <c r="W9" s="25"/>
      <c r="X9" s="25"/>
      <c r="Y9" s="703" t="s">
        <v>246</v>
      </c>
      <c r="Z9" s="39" t="s">
        <v>246</v>
      </c>
      <c r="AA9" s="705" t="s">
        <v>246</v>
      </c>
      <c r="AB9" s="683" t="s">
        <v>246</v>
      </c>
      <c r="AC9" s="31" t="s">
        <v>246</v>
      </c>
      <c r="AD9" s="31" t="s">
        <v>246</v>
      </c>
      <c r="AE9" s="31" t="s">
        <v>246</v>
      </c>
      <c r="AF9" s="31" t="s">
        <v>246</v>
      </c>
      <c r="AG9" s="31" t="s">
        <v>246</v>
      </c>
      <c r="AH9" s="31" t="s">
        <v>246</v>
      </c>
      <c r="AI9" s="31" t="s">
        <v>246</v>
      </c>
      <c r="AJ9" s="31" t="s">
        <v>246</v>
      </c>
      <c r="AK9" s="31" t="s">
        <v>246</v>
      </c>
      <c r="AL9" s="31" t="s">
        <v>246</v>
      </c>
      <c r="AM9" s="31" t="s">
        <v>246</v>
      </c>
      <c r="AN9" s="31" t="s">
        <v>246</v>
      </c>
      <c r="AO9" s="31" t="s">
        <v>246</v>
      </c>
      <c r="AP9" s="31" t="s">
        <v>246</v>
      </c>
      <c r="AQ9" s="31" t="s">
        <v>246</v>
      </c>
      <c r="AR9" s="31" t="s">
        <v>246</v>
      </c>
      <c r="AS9" s="31" t="s">
        <v>246</v>
      </c>
      <c r="AT9" s="39" t="s">
        <v>246</v>
      </c>
      <c r="AU9" s="39" t="s">
        <v>246</v>
      </c>
      <c r="AV9" s="39" t="s">
        <v>246</v>
      </c>
      <c r="AW9" s="39" t="s">
        <v>246</v>
      </c>
      <c r="AX9" s="39" t="s">
        <v>246</v>
      </c>
      <c r="AY9" s="39" t="s">
        <v>246</v>
      </c>
      <c r="AZ9" s="39" t="s">
        <v>246</v>
      </c>
      <c r="BA9" s="39" t="s">
        <v>246</v>
      </c>
      <c r="BB9" s="39" t="s">
        <v>246</v>
      </c>
      <c r="BC9" s="39" t="s">
        <v>246</v>
      </c>
      <c r="BD9" s="39" t="s">
        <v>246</v>
      </c>
      <c r="BE9" s="39" t="s">
        <v>246</v>
      </c>
      <c r="BF9" s="39" t="s">
        <v>246</v>
      </c>
      <c r="BG9" s="39" t="s">
        <v>246</v>
      </c>
      <c r="BH9" s="39" t="s">
        <v>246</v>
      </c>
      <c r="BI9" s="699" t="s">
        <v>246</v>
      </c>
    </row>
    <row r="10" spans="1:61" x14ac:dyDescent="0.2">
      <c r="B10" s="23" t="s">
        <v>253</v>
      </c>
      <c r="C10" s="23"/>
      <c r="D10" s="23"/>
      <c r="E10" s="23"/>
      <c r="F10" s="23"/>
      <c r="G10" s="23"/>
      <c r="H10" s="691"/>
      <c r="I10" s="89" t="s">
        <v>3480</v>
      </c>
      <c r="J10" s="89"/>
      <c r="K10" s="89"/>
      <c r="L10" s="1631" t="s">
        <v>3768</v>
      </c>
      <c r="M10" s="414"/>
      <c r="P10" s="271"/>
      <c r="Q10" s="271"/>
      <c r="R10" t="b">
        <v>0</v>
      </c>
      <c r="S10" t="b">
        <v>1</v>
      </c>
      <c r="T10" t="b">
        <v>0</v>
      </c>
      <c r="U10" s="17"/>
      <c r="AL10"/>
      <c r="AM10"/>
      <c r="AN10"/>
      <c r="AO10"/>
      <c r="BI10" s="701"/>
    </row>
    <row r="11" spans="1:61" x14ac:dyDescent="0.2">
      <c r="B11" s="23" t="s">
        <v>253</v>
      </c>
      <c r="C11" s="23"/>
      <c r="D11" s="23"/>
      <c r="E11" s="23"/>
      <c r="F11" s="23"/>
      <c r="G11" s="23"/>
      <c r="H11" s="691"/>
      <c r="I11" s="89"/>
      <c r="J11" s="89"/>
      <c r="K11" s="89"/>
      <c r="L11" s="1631"/>
      <c r="M11" s="414"/>
      <c r="P11" s="271"/>
      <c r="Q11" s="271"/>
      <c r="AX11" s="41" t="str">
        <f>'Overview (Design)'!A10</f>
        <v>Builder Name:</v>
      </c>
      <c r="AY11" t="str">
        <f>'Overview (Design)'!G10</f>
        <v>TWG Development</v>
      </c>
      <c r="BI11" s="701"/>
    </row>
    <row r="12" spans="1:61" x14ac:dyDescent="0.2">
      <c r="B12" s="23" t="s">
        <v>253</v>
      </c>
      <c r="C12" s="23"/>
      <c r="D12" s="23"/>
      <c r="E12" s="23"/>
      <c r="F12" s="23"/>
      <c r="G12" s="23"/>
      <c r="H12" s="691"/>
      <c r="I12" s="89"/>
      <c r="J12" s="89"/>
      <c r="K12" s="89"/>
      <c r="L12" s="1631"/>
      <c r="M12" s="414"/>
      <c r="P12" s="271"/>
      <c r="Q12" s="271"/>
      <c r="AX12" s="41" t="str">
        <f>'Overview (Design)'!A11</f>
        <v>Physical Address of Home:</v>
      </c>
      <c r="AY12" s="42" t="str">
        <f>'Overview (Design)'!G11</f>
        <v>330 Brownlee Road SW</v>
      </c>
      <c r="BI12" s="701"/>
    </row>
    <row r="13" spans="1:61" ht="19" x14ac:dyDescent="0.25">
      <c r="B13" s="23" t="s">
        <v>603</v>
      </c>
      <c r="C13" s="23"/>
      <c r="D13" s="23"/>
      <c r="E13" s="23"/>
      <c r="F13" s="23"/>
      <c r="G13" s="23"/>
      <c r="H13" s="691"/>
      <c r="I13" s="90" t="s">
        <v>3481</v>
      </c>
      <c r="J13" s="90"/>
      <c r="K13" s="90"/>
      <c r="L13" s="84"/>
      <c r="M13" s="415"/>
      <c r="N13" s="25"/>
      <c r="O13" s="71"/>
      <c r="P13" s="25"/>
      <c r="Q13" s="25"/>
      <c r="R13" s="25"/>
      <c r="S13" s="25"/>
      <c r="T13" s="25"/>
      <c r="U13" s="25"/>
      <c r="V13" s="25"/>
      <c r="W13" s="25"/>
      <c r="X13" s="25"/>
      <c r="AX13" s="41" t="str">
        <f>'Overview (Design)'!A12</f>
        <v>Community/Lot #:</v>
      </c>
      <c r="AY13" s="42">
        <f>'Overview (Design)'!G12</f>
        <v>0</v>
      </c>
      <c r="BI13" s="701"/>
    </row>
    <row r="14" spans="1:61" ht="15" customHeight="1" x14ac:dyDescent="0.2">
      <c r="B14" s="23" t="s">
        <v>258</v>
      </c>
      <c r="C14" s="23"/>
      <c r="D14" s="23"/>
      <c r="E14" s="23"/>
      <c r="F14" s="23"/>
      <c r="G14" s="23"/>
      <c r="H14" s="691"/>
      <c r="I14" s="89" t="s">
        <v>3482</v>
      </c>
      <c r="J14" s="89"/>
      <c r="K14" s="89"/>
      <c r="L14" s="1631" t="s">
        <v>3507</v>
      </c>
      <c r="M14" s="1655"/>
      <c r="N14" s="43"/>
      <c r="O14" s="1676"/>
      <c r="P14" s="266"/>
      <c r="Q14" s="266"/>
      <c r="R14" s="17"/>
      <c r="S14" s="17"/>
      <c r="T14" s="17"/>
      <c r="U14" s="17"/>
      <c r="W14" s="114"/>
      <c r="X14" s="1599"/>
      <c r="AL14" s="823"/>
      <c r="AM14" s="823"/>
      <c r="AN14" s="823"/>
      <c r="AO14" s="823"/>
      <c r="AP14" s="823"/>
      <c r="AQ14" s="823"/>
      <c r="AR14" s="1352" t="str">
        <f>SUBSTITUTE(SUBSTITUTE(SUBSTITUTE("dnt"&amp;$B14&amp;$C14&amp;$D14&amp;$E14&amp;$F14,".","_"),"(","_"),")","")</f>
        <v>dnt501_2</v>
      </c>
      <c r="AS14" s="1352" t="str">
        <f>IF(LEN(X14)=0,"",X14)</f>
        <v/>
      </c>
      <c r="AX14" s="41" t="str">
        <f>'Overview (Design)'!A13</f>
        <v>City:</v>
      </c>
      <c r="AY14" s="42" t="str">
        <f>'Overview (Design)'!G13</f>
        <v>Atlanta</v>
      </c>
      <c r="AZ14" s="42"/>
      <c r="BA14" s="42"/>
      <c r="BB14" s="42"/>
      <c r="BC14" s="42"/>
      <c r="BD14" s="42"/>
      <c r="BE14" s="42"/>
      <c r="BF14" s="42"/>
      <c r="BG14" s="42"/>
      <c r="BH14" s="42"/>
      <c r="BI14" s="701"/>
    </row>
    <row r="15" spans="1:61" x14ac:dyDescent="0.2">
      <c r="B15" s="23" t="s">
        <v>258</v>
      </c>
      <c r="C15" s="23"/>
      <c r="D15" s="23"/>
      <c r="E15" s="23"/>
      <c r="F15" s="23"/>
      <c r="G15" s="23"/>
      <c r="H15" s="691"/>
      <c r="I15" s="89"/>
      <c r="J15" s="89"/>
      <c r="K15" s="89"/>
      <c r="L15" s="1631"/>
      <c r="M15" s="1655"/>
      <c r="N15" s="43"/>
      <c r="O15" s="1676"/>
      <c r="P15" s="266"/>
      <c r="Q15" s="266"/>
      <c r="R15" s="17"/>
      <c r="S15" s="17"/>
      <c r="T15" s="17"/>
      <c r="U15" s="17"/>
      <c r="X15" s="1600"/>
      <c r="AL15" s="823"/>
      <c r="AM15" s="823"/>
      <c r="AN15" s="823"/>
      <c r="AO15" s="823"/>
      <c r="AP15" s="823"/>
      <c r="AQ15" s="823"/>
      <c r="AR15" s="823"/>
      <c r="AS15" s="823"/>
      <c r="AX15" s="41" t="str">
        <f>'Overview (Design)'!A14</f>
        <v>State:</v>
      </c>
      <c r="AY15" s="42" t="str">
        <f>'Overview (Design)'!G14</f>
        <v>Georgia</v>
      </c>
      <c r="AZ15" s="42"/>
      <c r="BA15" s="42"/>
      <c r="BB15" s="42"/>
      <c r="BC15" s="42" t="str">
        <f>'Overview (Design)'!K14</f>
        <v>State</v>
      </c>
      <c r="BD15" s="42" t="str">
        <f>'Overview (Design)'!L14</f>
        <v>County</v>
      </c>
      <c r="BE15" s="42" t="str">
        <f>'Overview (Design)'!M14</f>
        <v>Radon</v>
      </c>
      <c r="BF15" s="42" t="str">
        <f>'Overview (Design)'!N14</f>
        <v>Climate</v>
      </c>
      <c r="BG15" s="42" t="str">
        <f>'Overview (Design)'!O14</f>
        <v>Moist</v>
      </c>
      <c r="BH15" s="42" t="str">
        <f>'Overview (Design)'!P14</f>
        <v>WarmHumid</v>
      </c>
      <c r="BI15" s="701" t="str">
        <f>'Overview (Design)'!Q14</f>
        <v>Tropical</v>
      </c>
    </row>
    <row r="16" spans="1:61" x14ac:dyDescent="0.2">
      <c r="B16" s="23" t="s">
        <v>258</v>
      </c>
      <c r="C16" s="23" t="s">
        <v>254</v>
      </c>
      <c r="D16" s="23"/>
      <c r="E16" s="23"/>
      <c r="F16" s="691"/>
      <c r="G16" s="23"/>
      <c r="H16" s="691"/>
      <c r="I16" s="89"/>
      <c r="J16" s="93" t="s">
        <v>254</v>
      </c>
      <c r="K16" s="93"/>
      <c r="L16" s="1657" t="s">
        <v>3769</v>
      </c>
      <c r="M16" s="1641">
        <v>6</v>
      </c>
      <c r="N16" s="94"/>
      <c r="O16" s="1677">
        <f>M16*W16</f>
        <v>0</v>
      </c>
      <c r="P16" s="95" t="b">
        <v>1</v>
      </c>
      <c r="Q16" s="95" t="b">
        <v>1</v>
      </c>
      <c r="R16" s="17" t="b">
        <v>0</v>
      </c>
      <c r="S16" s="17" t="b">
        <v>1</v>
      </c>
      <c r="T16" s="17" t="b">
        <v>0</v>
      </c>
      <c r="U16" s="17"/>
      <c r="W16" s="27"/>
      <c r="X16" s="1600"/>
      <c r="AL16" s="1352" t="str">
        <f>SUBSTITUTE(SUBSTITUTE(SUBSTITUTE("dpa"&amp;$B16&amp;$C16&amp;$D16&amp;$E16&amp;$F16,".","_"),"(","_"),")","")</f>
        <v>dpa501_2_1</v>
      </c>
      <c r="AM16" s="1352">
        <f>M16</f>
        <v>6</v>
      </c>
      <c r="AN16" s="1352" t="str">
        <f>SUBSTITUTE(SUBSTITUTE(SUBSTITUTE("dpc"&amp;$B16&amp;$C16&amp;$D16&amp;$E16&amp;$F16,".","_"),"(","_"),")","")</f>
        <v>dpc501_2_1</v>
      </c>
      <c r="AO16" s="1352">
        <f>O16</f>
        <v>0</v>
      </c>
      <c r="AP16" s="1352" t="str">
        <f>SUBSTITUTE(SUBSTITUTE(SUBSTITUTE("dch"&amp;$B16&amp;$C16&amp;$D16&amp;$E16&amp;$F16,".","_"),"(","_"),")","")</f>
        <v>dch501_2_1</v>
      </c>
      <c r="AQ16" s="1352" t="str">
        <f>IF(LEN(W16)=0,"",W16)</f>
        <v/>
      </c>
      <c r="AR16" s="1352" t="str">
        <f>SUBSTITUTE(SUBSTITUTE(SUBSTITUTE("dnt"&amp;$B16&amp;$C16&amp;$D16&amp;$E16&amp;$F16,".","_"),"(","_"),")","")</f>
        <v>dnt501_2_1</v>
      </c>
      <c r="AS16" s="1352" t="str">
        <f>IF(LEN(X16)=0,"",X16)</f>
        <v/>
      </c>
      <c r="AX16" s="41" t="str">
        <f>'Overview (Design)'!A15</f>
        <v>County:</v>
      </c>
      <c r="AY16" s="42" t="str">
        <f>'Overview (Design)'!G15</f>
        <v xml:space="preserve">Fulton  </v>
      </c>
      <c r="AZ16" s="42"/>
      <c r="BA16" s="42"/>
      <c r="BB16" s="42"/>
      <c r="BC16" s="42" t="str">
        <f>'Overview (Design)'!K15</f>
        <v>Georgia</v>
      </c>
      <c r="BD16" s="42" t="str">
        <f>'Overview (Design)'!L15</f>
        <v xml:space="preserve">Fulton  </v>
      </c>
      <c r="BE16" s="42">
        <f>'Overview (Design)'!M15</f>
        <v>1</v>
      </c>
      <c r="BF16" s="42">
        <f>'Overview (Design)'!N15</f>
        <v>3</v>
      </c>
      <c r="BG16" s="42" t="str">
        <f>'Overview (Design)'!O15</f>
        <v>Moist</v>
      </c>
      <c r="BH16" s="42" t="str">
        <f>'Overview (Design)'!P15</f>
        <v xml:space="preserve"> </v>
      </c>
      <c r="BI16" s="701" t="str">
        <f>'Overview (Design)'!Q15</f>
        <v xml:space="preserve"> </v>
      </c>
    </row>
    <row r="17" spans="1:51" x14ac:dyDescent="0.2">
      <c r="B17" s="23" t="s">
        <v>258</v>
      </c>
      <c r="C17" s="23" t="s">
        <v>254</v>
      </c>
      <c r="D17" s="23"/>
      <c r="E17" s="23"/>
      <c r="F17" s="691"/>
      <c r="G17" s="23"/>
      <c r="H17" s="691"/>
      <c r="I17" s="89"/>
      <c r="J17" s="169"/>
      <c r="K17" s="169"/>
      <c r="L17" s="1650"/>
      <c r="M17" s="1656"/>
      <c r="N17" s="171"/>
      <c r="O17" s="1678"/>
      <c r="P17" s="265"/>
      <c r="Q17" s="265"/>
      <c r="R17" s="17"/>
      <c r="S17" s="17"/>
      <c r="T17" s="17"/>
      <c r="U17" s="17"/>
      <c r="W17"/>
      <c r="X17" s="1600"/>
      <c r="AX17" s="41" t="str">
        <f>'Overview (Design)'!A16</f>
        <v>Zip:</v>
      </c>
      <c r="AY17" s="42" t="str">
        <f>'Overview (Design)'!G16</f>
        <v>30311</v>
      </c>
    </row>
    <row r="18" spans="1:51" x14ac:dyDescent="0.2">
      <c r="B18" s="23" t="s">
        <v>258</v>
      </c>
      <c r="C18" s="23" t="s">
        <v>255</v>
      </c>
      <c r="D18" s="23"/>
      <c r="E18" s="23"/>
      <c r="F18" s="691"/>
      <c r="G18" s="23"/>
      <c r="H18" s="691"/>
      <c r="I18" s="89"/>
      <c r="J18" s="93" t="s">
        <v>255</v>
      </c>
      <c r="K18" s="93"/>
      <c r="L18" s="1609" t="s">
        <v>3770</v>
      </c>
      <c r="M18" s="1641">
        <v>3</v>
      </c>
      <c r="N18" s="94"/>
      <c r="O18" s="1677">
        <f>M18*W18</f>
        <v>3</v>
      </c>
      <c r="P18" s="95" t="b">
        <v>1</v>
      </c>
      <c r="Q18" s="95" t="b">
        <v>1</v>
      </c>
      <c r="R18" s="17" t="b">
        <v>0</v>
      </c>
      <c r="S18" s="17" t="b">
        <v>1</v>
      </c>
      <c r="T18" s="17" t="b">
        <v>0</v>
      </c>
      <c r="U18" s="17"/>
      <c r="W18" s="27" t="b">
        <v>1</v>
      </c>
      <c r="X18" s="1600" t="s">
        <v>5642</v>
      </c>
      <c r="AL18" s="1352" t="str">
        <f>SUBSTITUTE(SUBSTITUTE(SUBSTITUTE("dpa"&amp;$B18&amp;$C18&amp;$D18&amp;$E18&amp;$F18,".","_"),"(","_"),")","")</f>
        <v>dpa501_2_2</v>
      </c>
      <c r="AM18" s="1352">
        <f>M18</f>
        <v>3</v>
      </c>
      <c r="AN18" s="1352" t="str">
        <f>SUBSTITUTE(SUBSTITUTE(SUBSTITUTE("dpc"&amp;$B18&amp;$C18&amp;$D18&amp;$E18&amp;$F18,".","_"),"(","_"),")","")</f>
        <v>dpc501_2_2</v>
      </c>
      <c r="AO18" s="1352">
        <f>O18</f>
        <v>3</v>
      </c>
      <c r="AP18" s="1352" t="str">
        <f>SUBSTITUTE(SUBSTITUTE(SUBSTITUTE("dch"&amp;$B18&amp;$C18&amp;$D18&amp;$E18&amp;$F18,".","_"),"(","_"),")","")</f>
        <v>dch501_2_2</v>
      </c>
      <c r="AQ18" s="1352" t="b">
        <f>IF(LEN(W18)=0,"",W18)</f>
        <v>1</v>
      </c>
      <c r="AR18" s="1352" t="str">
        <f>SUBSTITUTE(SUBSTITUTE(SUBSTITUTE("dnt"&amp;$B18&amp;$C18&amp;$D18&amp;$E18&amp;$F18,".","_"),"(","_"),")","")</f>
        <v>dnt501_2_2</v>
      </c>
      <c r="AS18" s="1352" t="str">
        <f>IF(LEN(X18)=0,"",X18)</f>
        <v>Hamilton E. Holmes MARTA Station</v>
      </c>
      <c r="AX18" s="41"/>
      <c r="AY18" s="42"/>
    </row>
    <row r="19" spans="1:51" x14ac:dyDescent="0.2">
      <c r="B19" s="23" t="s">
        <v>258</v>
      </c>
      <c r="C19" s="23" t="s">
        <v>255</v>
      </c>
      <c r="D19" s="23"/>
      <c r="E19" s="23"/>
      <c r="F19" s="691"/>
      <c r="G19" s="23"/>
      <c r="H19" s="691"/>
      <c r="I19" s="89"/>
      <c r="J19" s="169"/>
      <c r="K19" s="169"/>
      <c r="L19" s="1612"/>
      <c r="M19" s="1656"/>
      <c r="N19" s="171"/>
      <c r="O19" s="1678"/>
      <c r="P19" s="265"/>
      <c r="Q19" s="265"/>
      <c r="R19" s="17"/>
      <c r="S19" s="17"/>
      <c r="T19" s="17"/>
      <c r="U19" s="17"/>
      <c r="W19"/>
      <c r="X19" s="1600"/>
      <c r="AX19" s="41" t="str">
        <f>'Overview (Design)'!A18</f>
        <v>Single-Family or Multifamily:</v>
      </c>
      <c r="AY19" s="42" t="str">
        <f>'Overview (Design)'!G18</f>
        <v>Multifamily</v>
      </c>
    </row>
    <row r="20" spans="1:51" ht="15" customHeight="1" x14ac:dyDescent="0.2">
      <c r="B20" s="23" t="s">
        <v>258</v>
      </c>
      <c r="C20" s="23" t="s">
        <v>256</v>
      </c>
      <c r="D20" s="23"/>
      <c r="E20" s="23"/>
      <c r="F20" s="691"/>
      <c r="G20" s="23"/>
      <c r="H20" s="691"/>
      <c r="I20" s="89"/>
      <c r="J20" s="860" t="s">
        <v>256</v>
      </c>
      <c r="K20" s="860"/>
      <c r="L20" s="1613" t="s">
        <v>3771</v>
      </c>
      <c r="M20" s="1640">
        <v>4</v>
      </c>
      <c r="N20" s="861"/>
      <c r="O20" s="1681">
        <f>M20*W20</f>
        <v>0</v>
      </c>
      <c r="P20" s="95" t="b">
        <v>1</v>
      </c>
      <c r="Q20" s="95" t="b">
        <v>1</v>
      </c>
      <c r="R20" s="17" t="b">
        <v>0</v>
      </c>
      <c r="S20" s="17" t="b">
        <f>LEN(W30)&lt;1</f>
        <v>1</v>
      </c>
      <c r="T20" s="17" t="b">
        <f>AND(LEN(W30)&gt;0,W20=TRUE)</f>
        <v>0</v>
      </c>
      <c r="U20" s="17"/>
      <c r="W20" s="27"/>
      <c r="X20" s="1600"/>
      <c r="AC20" s="17" t="b">
        <f>OR(AD20:AE20)</f>
        <v>0</v>
      </c>
      <c r="AD20" s="823" t="b">
        <f>T20</f>
        <v>0</v>
      </c>
      <c r="AE20" s="17" t="b">
        <f>AND(W20=TRUE,LEN(X20)=0)</f>
        <v>0</v>
      </c>
      <c r="AL20" s="1352" t="str">
        <f>SUBSTITUTE(SUBSTITUTE(SUBSTITUTE("dpa"&amp;$B20&amp;$C20&amp;$D20&amp;$E20&amp;$F20,".","_"),"(","_"),")","")</f>
        <v>dpa501_2_3</v>
      </c>
      <c r="AM20" s="1352">
        <f>M20</f>
        <v>4</v>
      </c>
      <c r="AN20" s="1352" t="str">
        <f>SUBSTITUTE(SUBSTITUTE(SUBSTITUTE("dpc"&amp;$B20&amp;$C20&amp;$D20&amp;$E20&amp;$F20,".","_"),"(","_"),")","")</f>
        <v>dpc501_2_3</v>
      </c>
      <c r="AO20" s="1352">
        <f>O20</f>
        <v>0</v>
      </c>
      <c r="AP20" s="1352" t="str">
        <f>SUBSTITUTE(SUBSTITUTE(SUBSTITUTE("dch"&amp;$B20&amp;$C20&amp;$D20&amp;$E20&amp;$F20,".","_"),"(","_"),")","")</f>
        <v>dch501_2_3</v>
      </c>
      <c r="AQ20" s="1352" t="str">
        <f>IF(LEN(W20)=0,"",W20)</f>
        <v/>
      </c>
      <c r="AR20" s="1352" t="str">
        <f>SUBSTITUTE(SUBSTITUTE(SUBSTITUTE("dnt"&amp;$B20&amp;$C20&amp;$D20&amp;$E20&amp;$F20,".","_"),"(","_"),")","")</f>
        <v>dnt501_2_3</v>
      </c>
      <c r="AS20" s="1352" t="str">
        <f>IF(LEN(X20)=0,"",X20)</f>
        <v/>
      </c>
      <c r="AX20" s="41" t="str">
        <f>'Overview (Design)'!A19</f>
        <v>Number of Units:</v>
      </c>
      <c r="AY20" s="42">
        <f>'Overview (Design)'!G19</f>
        <v>48</v>
      </c>
    </row>
    <row r="21" spans="1:51" x14ac:dyDescent="0.2">
      <c r="B21" s="23" t="s">
        <v>258</v>
      </c>
      <c r="C21" s="23" t="s">
        <v>256</v>
      </c>
      <c r="D21" s="23"/>
      <c r="E21" s="23"/>
      <c r="F21" s="691"/>
      <c r="G21" s="23"/>
      <c r="H21" s="691"/>
      <c r="I21" s="89"/>
      <c r="J21" s="93"/>
      <c r="K21" s="93"/>
      <c r="L21" s="1609"/>
      <c r="M21" s="1641"/>
      <c r="N21" s="94"/>
      <c r="O21" s="1677"/>
      <c r="P21" s="265"/>
      <c r="Q21" s="265"/>
      <c r="R21" s="17"/>
      <c r="S21" s="17"/>
      <c r="T21" s="17"/>
      <c r="U21" s="17"/>
      <c r="W21"/>
      <c r="X21" s="1600"/>
      <c r="AX21" s="41" t="str">
        <f>'Overview (Design)'!A23</f>
        <v>Project Name:</v>
      </c>
      <c r="AY21" s="42" t="str">
        <f>'Overview (Design)'!G23</f>
        <v>Towne West Manor</v>
      </c>
    </row>
    <row r="22" spans="1:51" x14ac:dyDescent="0.2">
      <c r="B22" s="23" t="s">
        <v>258</v>
      </c>
      <c r="C22" s="23" t="s">
        <v>256</v>
      </c>
      <c r="D22" s="23"/>
      <c r="E22" s="23"/>
      <c r="F22" s="691"/>
      <c r="G22" s="23"/>
      <c r="H22" s="691"/>
      <c r="I22" s="89"/>
      <c r="J22" s="93"/>
      <c r="K22" s="93"/>
      <c r="L22" s="1609"/>
      <c r="M22" s="1641"/>
      <c r="N22" s="94"/>
      <c r="O22" s="1677"/>
      <c r="P22" s="265"/>
      <c r="Q22" s="265"/>
      <c r="R22" s="17"/>
      <c r="S22" s="17"/>
      <c r="T22" s="17"/>
      <c r="U22" s="17"/>
      <c r="W22"/>
      <c r="X22" s="1600"/>
    </row>
    <row r="23" spans="1:51" x14ac:dyDescent="0.2">
      <c r="B23" s="23" t="s">
        <v>258</v>
      </c>
      <c r="C23" s="23" t="s">
        <v>256</v>
      </c>
      <c r="D23" s="23"/>
      <c r="E23" s="23"/>
      <c r="F23" s="691"/>
      <c r="G23" s="23"/>
      <c r="H23" s="691"/>
      <c r="I23" s="89"/>
      <c r="J23" s="93"/>
      <c r="K23" s="93"/>
      <c r="L23" s="1609"/>
      <c r="M23" s="1641"/>
      <c r="N23" s="94"/>
      <c r="O23" s="1677"/>
      <c r="P23" s="265"/>
      <c r="Q23" s="265"/>
      <c r="R23" s="17"/>
      <c r="S23" s="17"/>
      <c r="T23" s="17"/>
      <c r="U23" s="17"/>
      <c r="W23"/>
      <c r="X23" s="1600"/>
      <c r="AX23" s="41" t="str">
        <f>'Overview (Design)'!A25</f>
        <v>Above grade plane finished floor area:</v>
      </c>
      <c r="AY23" s="42">
        <f>'Overview (Design)'!G25</f>
        <v>1184</v>
      </c>
    </row>
    <row r="24" spans="1:51" x14ac:dyDescent="0.2">
      <c r="B24" s="23" t="s">
        <v>258</v>
      </c>
      <c r="C24" s="23" t="s">
        <v>256</v>
      </c>
      <c r="D24" s="23"/>
      <c r="E24" s="23"/>
      <c r="F24" s="691"/>
      <c r="G24" s="23"/>
      <c r="H24" s="691"/>
      <c r="I24" s="89"/>
      <c r="J24" s="93"/>
      <c r="K24" s="93"/>
      <c r="L24" s="97" t="s">
        <v>260</v>
      </c>
      <c r="M24" s="1641"/>
      <c r="N24" s="94"/>
      <c r="O24" s="1677"/>
      <c r="P24" s="265"/>
      <c r="Q24" s="265"/>
      <c r="R24" s="17"/>
      <c r="S24" s="17"/>
      <c r="T24" s="17"/>
      <c r="U24" s="17"/>
      <c r="W24"/>
      <c r="X24" s="1600"/>
      <c r="AX24" s="41" t="str">
        <f>'Overview (Design)'!A26</f>
        <v>Total conditioned floor area:</v>
      </c>
      <c r="AY24" s="42">
        <f>'Overview (Design)'!G26</f>
        <v>20128</v>
      </c>
    </row>
    <row r="25" spans="1:51" x14ac:dyDescent="0.2">
      <c r="B25" s="23" t="s">
        <v>258</v>
      </c>
      <c r="C25" s="23" t="s">
        <v>256</v>
      </c>
      <c r="D25" s="23"/>
      <c r="E25" s="23"/>
      <c r="F25" s="691"/>
      <c r="G25" s="23"/>
      <c r="H25" s="691"/>
      <c r="I25" s="89"/>
      <c r="J25" s="93"/>
      <c r="K25" s="93"/>
      <c r="L25" s="97" t="s">
        <v>261</v>
      </c>
      <c r="M25" s="1641"/>
      <c r="N25" s="94"/>
      <c r="O25" s="1677"/>
      <c r="P25" s="265"/>
      <c r="Q25" s="265"/>
      <c r="R25" s="17"/>
      <c r="S25" s="17"/>
      <c r="T25" s="17"/>
      <c r="U25" s="17"/>
      <c r="W25"/>
      <c r="X25" s="1600"/>
      <c r="AX25" s="381" t="str">
        <f>'Overview (Design)'!A27</f>
        <v>Stories above grade:</v>
      </c>
      <c r="AY25" s="382">
        <f>'Overview (Design)'!G27</f>
        <v>2</v>
      </c>
    </row>
    <row r="26" spans="1:51" x14ac:dyDescent="0.2">
      <c r="B26" s="23" t="s">
        <v>258</v>
      </c>
      <c r="C26" s="23" t="s">
        <v>256</v>
      </c>
      <c r="D26" s="23"/>
      <c r="E26" s="23"/>
      <c r="F26" s="691"/>
      <c r="G26" s="23"/>
      <c r="H26" s="691"/>
      <c r="I26" s="89"/>
      <c r="J26" s="93"/>
      <c r="K26" s="93"/>
      <c r="L26" s="97" t="s">
        <v>262</v>
      </c>
      <c r="M26" s="1641"/>
      <c r="N26" s="94"/>
      <c r="O26" s="1677"/>
      <c r="P26" s="265"/>
      <c r="Q26" s="265"/>
      <c r="R26" s="17"/>
      <c r="S26" s="17"/>
      <c r="T26" s="17"/>
      <c r="U26" s="17"/>
      <c r="W26"/>
      <c r="X26" s="1600"/>
      <c r="AX26" s="41"/>
      <c r="AY26" s="42"/>
    </row>
    <row r="27" spans="1:51" x14ac:dyDescent="0.2">
      <c r="B27" s="23" t="s">
        <v>258</v>
      </c>
      <c r="C27" s="23" t="s">
        <v>256</v>
      </c>
      <c r="D27" s="23"/>
      <c r="E27" s="23"/>
      <c r="F27" s="691"/>
      <c r="G27" s="23"/>
      <c r="H27" s="691"/>
      <c r="I27" s="89"/>
      <c r="J27" s="93"/>
      <c r="K27" s="93"/>
      <c r="L27" s="97" t="s">
        <v>3772</v>
      </c>
      <c r="M27" s="1641"/>
      <c r="N27" s="94"/>
      <c r="O27" s="1677"/>
      <c r="P27" s="265"/>
      <c r="Q27" s="265"/>
      <c r="R27" s="17"/>
      <c r="S27" s="17"/>
      <c r="T27" s="17"/>
      <c r="U27" s="17"/>
      <c r="W27"/>
      <c r="X27" s="1600"/>
      <c r="AX27" s="879" t="str">
        <f>'Overview (Design)'!A29</f>
        <v>Year Built:</v>
      </c>
      <c r="AY27" s="881">
        <f>'Overview (Design)'!G29</f>
        <v>1969</v>
      </c>
    </row>
    <row r="28" spans="1:51" x14ac:dyDescent="0.2">
      <c r="B28" s="23" t="s">
        <v>258</v>
      </c>
      <c r="C28" s="23" t="s">
        <v>256</v>
      </c>
      <c r="D28" s="23"/>
      <c r="E28" s="23"/>
      <c r="F28" s="691"/>
      <c r="G28" s="23"/>
      <c r="H28" s="691"/>
      <c r="I28" s="89"/>
      <c r="J28" s="93"/>
      <c r="K28" s="93"/>
      <c r="L28" s="837" t="s">
        <v>269</v>
      </c>
      <c r="M28" s="1641"/>
      <c r="N28" s="94"/>
      <c r="O28" s="1677"/>
      <c r="P28" s="265"/>
      <c r="Q28" s="265"/>
      <c r="R28" s="17"/>
      <c r="S28" s="17"/>
      <c r="T28" s="17"/>
      <c r="U28" s="17"/>
      <c r="X28" s="1600"/>
      <c r="AX28" s="1167" t="str">
        <f>'Overview (Design)'!A30</f>
        <v>Energy Baseline Year:</v>
      </c>
      <c r="AY28" s="1168">
        <f>'Overview (Design)'!G30</f>
        <v>2020</v>
      </c>
    </row>
    <row r="29" spans="1:51" s="823" customFormat="1" x14ac:dyDescent="0.2">
      <c r="A29" s="20"/>
      <c r="B29" s="23" t="s">
        <v>258</v>
      </c>
      <c r="C29" s="600" t="s">
        <v>256</v>
      </c>
      <c r="D29" s="858" t="s">
        <v>3931</v>
      </c>
      <c r="E29" s="23"/>
      <c r="F29" s="691"/>
      <c r="G29" s="23"/>
      <c r="H29" s="691"/>
      <c r="I29" s="89"/>
      <c r="J29" s="93"/>
      <c r="K29" s="93"/>
      <c r="L29" s="859" t="s">
        <v>101</v>
      </c>
      <c r="M29" s="824"/>
      <c r="N29" s="94"/>
      <c r="O29" s="833"/>
      <c r="P29" s="265"/>
      <c r="Q29" s="265"/>
      <c r="X29" s="1600"/>
      <c r="AL29" s="17"/>
      <c r="AM29" s="17"/>
      <c r="AN29" s="17"/>
      <c r="AO29" s="17"/>
      <c r="AP29"/>
      <c r="AQ29"/>
      <c r="AR29" s="1352" t="str">
        <f>SUBSTITUTE(SUBSTITUTE(SUBSTITUTE("dnt"&amp;$B29&amp;$C29&amp;$D29&amp;$E29&amp;$F29,".","_"),"(","_"),")","")</f>
        <v>dnt501_2_3_</v>
      </c>
      <c r="AS29" s="1352" t="str">
        <f>IF(LEN(X29)=0,"",X29)</f>
        <v/>
      </c>
      <c r="AW29"/>
      <c r="AX29" s="1167" t="str">
        <f>'Overview (Design)'!A31</f>
        <v>Water Baseline Year:</v>
      </c>
      <c r="AY29" s="1168">
        <f>'Overview (Design)'!G31</f>
        <v>2020</v>
      </c>
    </row>
    <row r="30" spans="1:51" s="823" customFormat="1" x14ac:dyDescent="0.2">
      <c r="A30" s="20"/>
      <c r="B30" s="23" t="s">
        <v>258</v>
      </c>
      <c r="C30" s="600" t="s">
        <v>256</v>
      </c>
      <c r="D30" s="858" t="s">
        <v>3931</v>
      </c>
      <c r="E30" s="23"/>
      <c r="F30" s="691"/>
      <c r="G30" s="23"/>
      <c r="H30" s="691"/>
      <c r="I30" s="89"/>
      <c r="J30" s="93"/>
      <c r="K30" s="93"/>
      <c r="L30" s="1680" t="s">
        <v>3929</v>
      </c>
      <c r="M30" s="824"/>
      <c r="N30" s="94"/>
      <c r="O30" s="1677">
        <f ca="1">IFERROR(INDEX({5,2},MATCH(W30,INDIRECT(U30),0)),0)*S30</f>
        <v>0</v>
      </c>
      <c r="P30" s="265" t="b">
        <v>1</v>
      </c>
      <c r="Q30" s="265" t="b">
        <v>1</v>
      </c>
      <c r="R30" s="823" t="b">
        <v>0</v>
      </c>
      <c r="S30" s="823" t="b">
        <f>NOT(W20)</f>
        <v>1</v>
      </c>
      <c r="T30" s="823" t="b">
        <f>AND(LEN(W30)&gt;0,W20=TRUE)</f>
        <v>0</v>
      </c>
      <c r="U30" s="823" t="str">
        <f>SUBSTITUTE(SUBSTITUTE(SUBSTITUTE("dd"&amp;$B30&amp;$C30&amp;$D30&amp;$E30&amp;$F30,".","_"),"(","_"),")","")</f>
        <v>dd501_2_3_</v>
      </c>
      <c r="W30" s="12"/>
      <c r="X30" s="1600"/>
      <c r="AC30" s="823" t="b">
        <f>OR(AD30:AE30)</f>
        <v>0</v>
      </c>
      <c r="AD30" s="823" t="b">
        <f>T30</f>
        <v>0</v>
      </c>
      <c r="AL30" s="17"/>
      <c r="AM30" s="17"/>
      <c r="AN30" s="1352" t="str">
        <f>SUBSTITUTE(SUBSTITUTE(SUBSTITUTE("dpc"&amp;$B30&amp;$C30&amp;$D30&amp;$E30&amp;$F30,".","_"),"(","_"),")","")</f>
        <v>dpc501_2_3_</v>
      </c>
      <c r="AO30" s="1352">
        <f ca="1">O30</f>
        <v>0</v>
      </c>
      <c r="AP30" s="1352" t="str">
        <f>SUBSTITUTE(SUBSTITUTE(SUBSTITUTE("dch"&amp;$B30&amp;$C30&amp;$D30&amp;$E30&amp;$F30,".","_"),"(","_"),")","")</f>
        <v>dch501_2_3_</v>
      </c>
      <c r="AQ30" s="1352" t="str">
        <f>IF(LEN(W30)=0,"",W30)</f>
        <v/>
      </c>
      <c r="AR30"/>
      <c r="AS30"/>
      <c r="AW30"/>
      <c r="AX30" s="41" t="str">
        <f>'Overview (Design)'!A32</f>
        <v xml:space="preserve">Project Description: </v>
      </c>
      <c r="AY30" s="42" t="str">
        <f>'Overview (Design)'!G32</f>
        <v>n/a</v>
      </c>
    </row>
    <row r="31" spans="1:51" s="823" customFormat="1" x14ac:dyDescent="0.2">
      <c r="A31" s="20"/>
      <c r="B31" s="23" t="s">
        <v>258</v>
      </c>
      <c r="C31" s="600" t="s">
        <v>256</v>
      </c>
      <c r="D31" s="858"/>
      <c r="E31" s="23"/>
      <c r="F31" s="691"/>
      <c r="G31" s="23"/>
      <c r="H31" s="691"/>
      <c r="I31" s="89"/>
      <c r="J31" s="93"/>
      <c r="K31" s="93"/>
      <c r="L31" s="1680"/>
      <c r="M31" s="824"/>
      <c r="N31" s="94"/>
      <c r="O31" s="1677"/>
      <c r="P31" s="265"/>
      <c r="Q31" s="265"/>
      <c r="X31" s="1600"/>
      <c r="AL31" s="17"/>
      <c r="AM31" s="17"/>
      <c r="AN31" s="17"/>
      <c r="AO31" s="17"/>
      <c r="AP31"/>
      <c r="AQ31"/>
      <c r="AR31"/>
      <c r="AS31"/>
      <c r="AX31"/>
      <c r="AY31"/>
    </row>
    <row r="32" spans="1:51" s="823" customFormat="1" x14ac:dyDescent="0.2">
      <c r="A32" s="20"/>
      <c r="B32" s="23" t="s">
        <v>258</v>
      </c>
      <c r="C32" s="600" t="s">
        <v>256</v>
      </c>
      <c r="D32" s="858"/>
      <c r="E32" s="23"/>
      <c r="F32" s="691"/>
      <c r="G32" s="23"/>
      <c r="H32" s="691"/>
      <c r="I32" s="89"/>
      <c r="J32" s="93"/>
      <c r="K32" s="93"/>
      <c r="L32" s="1680"/>
      <c r="M32" s="824"/>
      <c r="N32" s="94"/>
      <c r="O32" s="1677"/>
      <c r="P32" s="265"/>
      <c r="Q32" s="265"/>
      <c r="X32" s="1600"/>
      <c r="AL32" s="17"/>
      <c r="AM32" s="17"/>
      <c r="AN32" s="17"/>
      <c r="AO32" s="17"/>
      <c r="AP32"/>
      <c r="AQ32"/>
      <c r="AR32"/>
      <c r="AS32"/>
      <c r="AW32"/>
      <c r="AX32" s="1167" t="str">
        <f>'Overview (Design)'!A34</f>
        <v>Selected Energy Compliance Path:</v>
      </c>
      <c r="AY32" s="1168" t="str">
        <f>'Overview (Design)'!G34</f>
        <v>Performance</v>
      </c>
    </row>
    <row r="33" spans="1:60" s="823" customFormat="1" x14ac:dyDescent="0.2">
      <c r="A33" s="20"/>
      <c r="B33" s="23" t="s">
        <v>258</v>
      </c>
      <c r="C33" s="600" t="s">
        <v>256</v>
      </c>
      <c r="D33" s="600" t="s">
        <v>121</v>
      </c>
      <c r="E33" s="23"/>
      <c r="F33" s="691"/>
      <c r="G33" s="23"/>
      <c r="H33" s="691"/>
      <c r="I33" s="89"/>
      <c r="J33" s="93"/>
      <c r="K33" s="89" t="s">
        <v>121</v>
      </c>
      <c r="L33" s="859" t="s">
        <v>3930</v>
      </c>
      <c r="M33" s="824">
        <v>5</v>
      </c>
      <c r="N33" s="94"/>
      <c r="O33" s="833"/>
      <c r="P33" s="265"/>
      <c r="Q33" s="265"/>
      <c r="X33" s="1600"/>
      <c r="AL33" s="1352" t="str">
        <f>SUBSTITUTE(SUBSTITUTE(SUBSTITUTE("dpa"&amp;$B33&amp;$C33&amp;$D33&amp;$E33&amp;$F33,".","_"),"(","_"),")","")</f>
        <v>dpa501_2_3_a</v>
      </c>
      <c r="AM33" s="1352">
        <f>M33</f>
        <v>5</v>
      </c>
      <c r="AN33" s="17"/>
      <c r="AO33" s="17"/>
      <c r="AP33"/>
      <c r="AQ33"/>
      <c r="AR33"/>
      <c r="AS33"/>
      <c r="AW33"/>
      <c r="AX33" s="1167" t="str">
        <f>'Overview (Design)'!A35</f>
        <v>Selected Water Compliance Path:</v>
      </c>
      <c r="AY33" s="1168" t="str">
        <f>'Overview (Design)'!G35</f>
        <v>Prescriptive</v>
      </c>
    </row>
    <row r="34" spans="1:60" s="823" customFormat="1" x14ac:dyDescent="0.2">
      <c r="A34" s="20"/>
      <c r="B34" s="23" t="s">
        <v>258</v>
      </c>
      <c r="C34" s="600" t="s">
        <v>256</v>
      </c>
      <c r="D34" s="600" t="s">
        <v>122</v>
      </c>
      <c r="E34" s="23"/>
      <c r="F34" s="691"/>
      <c r="G34" s="23"/>
      <c r="H34" s="691"/>
      <c r="I34" s="89"/>
      <c r="J34" s="169"/>
      <c r="K34" s="169" t="s">
        <v>122</v>
      </c>
      <c r="L34" s="170" t="s">
        <v>265</v>
      </c>
      <c r="M34" s="825">
        <v>2</v>
      </c>
      <c r="N34" s="171"/>
      <c r="O34" s="834"/>
      <c r="P34" s="265"/>
      <c r="Q34" s="265"/>
      <c r="X34" s="1600"/>
      <c r="AL34" s="1352" t="str">
        <f>SUBSTITUTE(SUBSTITUTE(SUBSTITUTE("dpa"&amp;$B34&amp;$C34&amp;$D34&amp;$E34&amp;$F34,".","_"),"(","_"),")","")</f>
        <v>dpa501_2_3_b</v>
      </c>
      <c r="AM34" s="1352">
        <f>M34</f>
        <v>2</v>
      </c>
      <c r="AN34" s="17"/>
      <c r="AO34" s="17"/>
      <c r="AP34"/>
      <c r="AQ34"/>
      <c r="AR34"/>
      <c r="AS34"/>
      <c r="AW34"/>
      <c r="AX34" s="41" t="str">
        <f>'Overview (Design)'!A36</f>
        <v>Foundation Type:</v>
      </c>
      <c r="AY34" s="42" t="str">
        <f>'Overview (Design)'!G36</f>
        <v>Slab on grade</v>
      </c>
    </row>
    <row r="35" spans="1:60" x14ac:dyDescent="0.2">
      <c r="B35" s="23" t="s">
        <v>258</v>
      </c>
      <c r="C35" s="23" t="s">
        <v>259</v>
      </c>
      <c r="D35" s="23"/>
      <c r="E35" s="23"/>
      <c r="F35" s="691"/>
      <c r="G35" s="23"/>
      <c r="H35" s="691"/>
      <c r="I35" s="89"/>
      <c r="J35" s="93" t="s">
        <v>259</v>
      </c>
      <c r="K35" s="93"/>
      <c r="L35" s="1609" t="s">
        <v>3773</v>
      </c>
      <c r="M35" s="1641">
        <v>5</v>
      </c>
      <c r="N35" s="94"/>
      <c r="O35" s="1677">
        <f>M35*W35</f>
        <v>0</v>
      </c>
      <c r="P35" s="95" t="b">
        <v>1</v>
      </c>
      <c r="Q35" s="95" t="b">
        <v>1</v>
      </c>
      <c r="R35" s="17" t="b">
        <v>0</v>
      </c>
      <c r="S35" s="17" t="b">
        <v>1</v>
      </c>
      <c r="T35" s="17" t="b">
        <v>0</v>
      </c>
      <c r="U35" s="17"/>
      <c r="W35" s="27"/>
      <c r="X35" s="1600"/>
      <c r="AL35" s="1352" t="str">
        <f>SUBSTITUTE(SUBSTITUTE(SUBSTITUTE("dpa"&amp;$B35&amp;$C35&amp;$D35&amp;$E35&amp;$F35,".","_"),"(","_"),")","")</f>
        <v>dpa501_2_4</v>
      </c>
      <c r="AM35" s="1352">
        <f>M35</f>
        <v>5</v>
      </c>
      <c r="AN35" s="1352" t="str">
        <f>SUBSTITUTE(SUBSTITUTE(SUBSTITUTE("dpc"&amp;$B35&amp;$C35&amp;$D35&amp;$E35&amp;$F35,".","_"),"(","_"),")","")</f>
        <v>dpc501_2_4</v>
      </c>
      <c r="AO35" s="1352">
        <f>O35</f>
        <v>0</v>
      </c>
      <c r="AP35" s="1352" t="str">
        <f>SUBSTITUTE(SUBSTITUTE(SUBSTITUTE("dch"&amp;$B35&amp;$C35&amp;$D35&amp;$E35&amp;$F35,".","_"),"(","_"),")","")</f>
        <v>dch501_2_4</v>
      </c>
      <c r="AQ35" s="1352" t="str">
        <f>IF(LEN(W35)=0,"",W35)</f>
        <v/>
      </c>
      <c r="AR35" s="1352" t="str">
        <f>SUBSTITUTE(SUBSTITUTE(SUBSTITUTE("dnt"&amp;$B35&amp;$C35&amp;$D35&amp;$E35&amp;$F35,".","_"),"(","_"),")","")</f>
        <v>dnt501_2_4</v>
      </c>
      <c r="AS35" s="1352" t="str">
        <f>IF(LEN(X35)=0,"",X35)</f>
        <v/>
      </c>
      <c r="AX35" s="822"/>
      <c r="AY35" s="823"/>
    </row>
    <row r="36" spans="1:60" x14ac:dyDescent="0.2">
      <c r="B36" s="23" t="s">
        <v>258</v>
      </c>
      <c r="C36" s="23" t="s">
        <v>259</v>
      </c>
      <c r="D36" s="23"/>
      <c r="E36" s="23"/>
      <c r="F36" s="691"/>
      <c r="G36" s="23"/>
      <c r="H36" s="691"/>
      <c r="I36" s="89"/>
      <c r="J36" s="93"/>
      <c r="K36" s="93"/>
      <c r="L36" s="1609"/>
      <c r="M36" s="1641"/>
      <c r="N36" s="94"/>
      <c r="O36" s="1677"/>
      <c r="P36" s="265"/>
      <c r="Q36" s="265"/>
      <c r="R36" s="17"/>
      <c r="S36" s="17"/>
      <c r="T36" s="17"/>
      <c r="U36" s="17"/>
      <c r="W36"/>
      <c r="X36" s="1600"/>
      <c r="AW36" s="17"/>
      <c r="AX36" s="41" t="str">
        <f>'Overview (Design)'!A38</f>
        <v>Type of Heating System (main system):</v>
      </c>
      <c r="AY36" s="42" t="str">
        <f>'Overview (Design)'!G38</f>
        <v>Heat Pump</v>
      </c>
    </row>
    <row r="37" spans="1:60" x14ac:dyDescent="0.2">
      <c r="B37" s="23" t="s">
        <v>258</v>
      </c>
      <c r="C37" s="23" t="s">
        <v>259</v>
      </c>
      <c r="D37" s="23"/>
      <c r="E37" s="23"/>
      <c r="F37" s="691"/>
      <c r="G37" s="23"/>
      <c r="H37" s="691"/>
      <c r="I37" s="89"/>
      <c r="J37" s="169"/>
      <c r="K37" s="169"/>
      <c r="L37" s="1612"/>
      <c r="M37" s="1656"/>
      <c r="N37" s="171"/>
      <c r="O37" s="1678"/>
      <c r="P37" s="265"/>
      <c r="Q37" s="265"/>
      <c r="R37" s="17"/>
      <c r="S37" s="17"/>
      <c r="T37" s="17"/>
      <c r="U37" s="17"/>
      <c r="W37"/>
      <c r="X37" s="1600"/>
      <c r="AX37" s="41" t="str">
        <f>'Overview (Design)'!A39</f>
        <v>Type of Heating System (system 2):</v>
      </c>
      <c r="AY37" s="42">
        <f>'Overview (Design)'!G39</f>
        <v>0</v>
      </c>
    </row>
    <row r="38" spans="1:60" x14ac:dyDescent="0.2">
      <c r="B38" s="23" t="s">
        <v>258</v>
      </c>
      <c r="C38" s="23" t="s">
        <v>263</v>
      </c>
      <c r="D38" s="23"/>
      <c r="E38" s="23"/>
      <c r="F38" s="691"/>
      <c r="G38" s="23"/>
      <c r="H38" s="691"/>
      <c r="I38" s="89"/>
      <c r="J38" s="89" t="s">
        <v>263</v>
      </c>
      <c r="K38" s="89"/>
      <c r="L38" s="1611" t="s">
        <v>3774</v>
      </c>
      <c r="M38" s="1655"/>
      <c r="N38" s="43"/>
      <c r="O38" s="1679">
        <f ca="1">IFERROR(INDEX({2,4,6},MATCH(W38,INDIRECT(U38),0))+2*W43,0)*S38</f>
        <v>0</v>
      </c>
      <c r="P38" s="95" t="b">
        <v>1</v>
      </c>
      <c r="Q38" s="95" t="b">
        <v>1</v>
      </c>
      <c r="R38" s="17" t="b">
        <v>0</v>
      </c>
      <c r="S38" s="133" t="b">
        <f ca="1">IF($AY$19=INDEX(INDIRECT("ddSingleOrMulti"),2),TRUE,FALSE)</f>
        <v>1</v>
      </c>
      <c r="T38" s="96" t="b">
        <f ca="1">AND(NOT(S38),LEN(W38)&gt;0)</f>
        <v>0</v>
      </c>
      <c r="U38" s="17" t="str">
        <f>SUBSTITUTE(SUBSTITUTE(SUBSTITUTE("dd"&amp;$B38&amp;$C38&amp;$D38&amp;$E38&amp;$F38,".","_"),"(","_"),")","")</f>
        <v>dd501_2_5</v>
      </c>
      <c r="W38" s="12"/>
      <c r="X38" s="1600"/>
      <c r="AC38" s="133" t="b">
        <f ca="1">OR(AD38:AE38)</f>
        <v>0</v>
      </c>
      <c r="AD38" s="133" t="b">
        <f ca="1">T38</f>
        <v>0</v>
      </c>
      <c r="AN38" s="1352" t="str">
        <f>SUBSTITUTE(SUBSTITUTE(SUBSTITUTE("dpc"&amp;$B38&amp;$C38&amp;$D38&amp;$E38&amp;$F38,".","_"),"(","_"),")","")</f>
        <v>dpc501_2_5</v>
      </c>
      <c r="AO38" s="1352">
        <f ca="1">O38</f>
        <v>0</v>
      </c>
      <c r="AP38" s="1352" t="str">
        <f>SUBSTITUTE(SUBSTITUTE(SUBSTITUTE("dch"&amp;$B38&amp;$C38&amp;$D38&amp;$E38&amp;$F38,".","_"),"(","_"),")","")</f>
        <v>dch501_2_5</v>
      </c>
      <c r="AQ38" s="1352" t="str">
        <f>IF(LEN(W38)=0,"",W38)</f>
        <v/>
      </c>
      <c r="AR38" s="1352" t="str">
        <f>SUBSTITUTE(SUBSTITUTE(SUBSTITUTE("dnt"&amp;$B38&amp;$C38&amp;$D38&amp;$E38&amp;$F38,".","_"),"(","_"),")","")</f>
        <v>dnt501_2_5</v>
      </c>
      <c r="AS38" s="1352" t="str">
        <f>IF(LEN(X38)=0,"",X38)</f>
        <v/>
      </c>
      <c r="AT38" s="17"/>
      <c r="AX38" s="41" t="str">
        <f>'Overview (Design)'!A40</f>
        <v>Type of Heating System (system 3):</v>
      </c>
      <c r="AY38" s="42">
        <f>'Overview (Design)'!G40</f>
        <v>0</v>
      </c>
    </row>
    <row r="39" spans="1:60" x14ac:dyDescent="0.2">
      <c r="B39" s="23" t="s">
        <v>258</v>
      </c>
      <c r="C39" s="23" t="s">
        <v>263</v>
      </c>
      <c r="D39" s="23"/>
      <c r="E39" s="23"/>
      <c r="F39" s="691"/>
      <c r="G39" s="23"/>
      <c r="H39" s="691"/>
      <c r="I39" s="89"/>
      <c r="J39" s="89"/>
      <c r="K39" s="89"/>
      <c r="L39" s="1611"/>
      <c r="M39" s="1655"/>
      <c r="N39" s="43"/>
      <c r="O39" s="1679"/>
      <c r="P39" s="265"/>
      <c r="Q39" s="265"/>
      <c r="R39" s="17"/>
      <c r="S39" s="17"/>
      <c r="T39" s="17"/>
      <c r="U39" s="17"/>
      <c r="W39"/>
      <c r="X39" s="1600"/>
      <c r="AX39" s="41" t="str">
        <f>'Overview (Design)'!A41</f>
        <v>Primary Heating Fuel:</v>
      </c>
      <c r="AY39" s="42">
        <f>'Overview (Design)'!G41</f>
        <v>0</v>
      </c>
    </row>
    <row r="40" spans="1:60" x14ac:dyDescent="0.2">
      <c r="B40" s="23" t="s">
        <v>258</v>
      </c>
      <c r="C40" s="23" t="s">
        <v>263</v>
      </c>
      <c r="D40" s="23" t="s">
        <v>121</v>
      </c>
      <c r="E40" s="23"/>
      <c r="F40" s="691"/>
      <c r="G40" s="23"/>
      <c r="H40" s="691"/>
      <c r="I40" s="89"/>
      <c r="J40" s="89"/>
      <c r="K40" s="89" t="s">
        <v>121</v>
      </c>
      <c r="L40" s="85" t="s">
        <v>265</v>
      </c>
      <c r="M40" s="416">
        <v>2</v>
      </c>
      <c r="N40" s="43"/>
      <c r="O40" s="138"/>
      <c r="P40" s="332"/>
      <c r="Q40" s="332"/>
      <c r="R40" s="17"/>
      <c r="S40" s="17"/>
      <c r="T40" s="17"/>
      <c r="U40" s="17"/>
      <c r="W40"/>
      <c r="X40" s="1600"/>
      <c r="AL40" s="1352" t="str">
        <f>SUBSTITUTE(SUBSTITUTE(SUBSTITUTE("dpa"&amp;$B40&amp;$C40&amp;$D40&amp;$E40&amp;$F40,".","_"),"(","_"),")","")</f>
        <v>dpa501_2_5_a</v>
      </c>
      <c r="AM40" s="1352">
        <f>M40</f>
        <v>2</v>
      </c>
      <c r="AU40" s="17"/>
      <c r="AV40" s="17"/>
      <c r="AX40" s="381" t="str">
        <f>'Overview (Design)'!A42</f>
        <v>Heating Ducts:</v>
      </c>
      <c r="AY40" s="382" t="str">
        <f>'Overview (Design)'!G42</f>
        <v>Ducted</v>
      </c>
      <c r="AZ40" s="17"/>
      <c r="BA40" s="17"/>
      <c r="BB40" s="17"/>
      <c r="BC40" s="17"/>
      <c r="BD40" s="17"/>
      <c r="BE40" s="17"/>
      <c r="BF40" s="17"/>
      <c r="BG40" s="17"/>
      <c r="BH40" s="17"/>
    </row>
    <row r="41" spans="1:60" s="17" customFormat="1" x14ac:dyDescent="0.2">
      <c r="A41" s="20"/>
      <c r="B41" s="23" t="s">
        <v>258</v>
      </c>
      <c r="C41" s="23" t="s">
        <v>263</v>
      </c>
      <c r="D41" s="23" t="s">
        <v>122</v>
      </c>
      <c r="E41" s="23"/>
      <c r="F41" s="691"/>
      <c r="G41" s="23"/>
      <c r="H41" s="691"/>
      <c r="I41" s="89"/>
      <c r="J41" s="89"/>
      <c r="K41" s="89" t="s">
        <v>122</v>
      </c>
      <c r="L41" s="85" t="s">
        <v>266</v>
      </c>
      <c r="M41" s="416">
        <v>4</v>
      </c>
      <c r="N41" s="43"/>
      <c r="O41" s="138"/>
      <c r="P41" s="332"/>
      <c r="Q41" s="332"/>
      <c r="W41"/>
      <c r="X41" s="1600"/>
      <c r="Y41" s="704"/>
      <c r="Z41"/>
      <c r="AA41" s="707"/>
      <c r="AB41" s="42"/>
      <c r="AL41" s="1352" t="str">
        <f t="shared" ref="AL41:AL43" si="0">SUBSTITUTE(SUBSTITUTE(SUBSTITUTE("dpa"&amp;$B41&amp;$C41&amp;$D41&amp;$E41&amp;$F41,".","_"),"(","_"),")","")</f>
        <v>dpa501_2_5_b</v>
      </c>
      <c r="AM41" s="1352">
        <f t="shared" ref="AM41:AM43" si="1">M41</f>
        <v>4</v>
      </c>
      <c r="AP41"/>
      <c r="AQ41"/>
      <c r="AR41"/>
      <c r="AS41"/>
      <c r="AT41"/>
      <c r="AU41"/>
      <c r="AV41"/>
      <c r="AW41"/>
      <c r="AX41" s="381" t="str">
        <f>'Overview (Design)'!A43</f>
        <v>Type of Cooling System (main system):</v>
      </c>
      <c r="AY41" s="382" t="str">
        <f>'Overview (Design)'!G43</f>
        <v>Heat Pump</v>
      </c>
      <c r="AZ41"/>
      <c r="BA41"/>
      <c r="BB41"/>
      <c r="BC41"/>
      <c r="BD41"/>
      <c r="BE41"/>
      <c r="BF41"/>
      <c r="BG41"/>
      <c r="BH41"/>
    </row>
    <row r="42" spans="1:60" x14ac:dyDescent="0.2">
      <c r="B42" s="23" t="s">
        <v>258</v>
      </c>
      <c r="C42" s="23" t="s">
        <v>263</v>
      </c>
      <c r="D42" s="28" t="s">
        <v>123</v>
      </c>
      <c r="E42" s="28"/>
      <c r="F42" s="692"/>
      <c r="G42" s="28"/>
      <c r="H42" s="692"/>
      <c r="I42" s="89"/>
      <c r="J42" s="89"/>
      <c r="K42" s="91" t="s">
        <v>123</v>
      </c>
      <c r="L42" s="85" t="s">
        <v>267</v>
      </c>
      <c r="M42" s="416">
        <v>6</v>
      </c>
      <c r="N42" s="43"/>
      <c r="O42" s="138"/>
      <c r="P42" s="332"/>
      <c r="Q42" s="332"/>
      <c r="R42" s="17"/>
      <c r="S42" s="17"/>
      <c r="T42" s="17"/>
      <c r="U42" s="17"/>
      <c r="W42"/>
      <c r="X42" s="1600"/>
      <c r="AL42" s="1352" t="str">
        <f t="shared" si="0"/>
        <v>dpa501_2_5_c</v>
      </c>
      <c r="AM42" s="1352">
        <f t="shared" si="1"/>
        <v>6</v>
      </c>
      <c r="AX42" s="381" t="str">
        <f>'Overview (Design)'!A44</f>
        <v>Type of Cooling System (system 2):</v>
      </c>
      <c r="AY42" s="382">
        <f>'Overview (Design)'!G44</f>
        <v>0</v>
      </c>
    </row>
    <row r="43" spans="1:60" s="823" customFormat="1" ht="15" customHeight="1" x14ac:dyDescent="0.2">
      <c r="A43" s="20"/>
      <c r="B43" s="23" t="s">
        <v>258</v>
      </c>
      <c r="C43" s="23" t="s">
        <v>263</v>
      </c>
      <c r="D43" s="28" t="s">
        <v>366</v>
      </c>
      <c r="E43" s="28"/>
      <c r="F43" s="692"/>
      <c r="G43" s="28"/>
      <c r="H43" s="692"/>
      <c r="I43" s="89"/>
      <c r="J43" s="89"/>
      <c r="K43" s="91" t="s">
        <v>366</v>
      </c>
      <c r="L43" s="1634" t="s">
        <v>3932</v>
      </c>
      <c r="M43" s="1642" t="s">
        <v>3937</v>
      </c>
      <c r="N43" s="43"/>
      <c r="O43" s="829"/>
      <c r="P43" s="95" t="b">
        <v>1</v>
      </c>
      <c r="Q43" s="95" t="b">
        <v>1</v>
      </c>
      <c r="R43" s="823" t="b">
        <v>0</v>
      </c>
      <c r="S43" s="823" t="b">
        <f>LEN(W38)&gt;0</f>
        <v>0</v>
      </c>
      <c r="T43" s="823" t="b">
        <f>AND(W43=TRUE,NOT(S43))</f>
        <v>0</v>
      </c>
      <c r="W43" s="27"/>
      <c r="X43" s="1621"/>
      <c r="AC43" s="823" t="b">
        <f>OR(AD43:AE43)</f>
        <v>0</v>
      </c>
      <c r="AD43" s="823" t="b">
        <f>T43</f>
        <v>0</v>
      </c>
      <c r="AL43" s="1352" t="str">
        <f t="shared" si="0"/>
        <v>dpa501_2_5_d</v>
      </c>
      <c r="AM43" s="1352" t="str">
        <f t="shared" si="1"/>
        <v>2 points per
(a) – (c)</v>
      </c>
      <c r="AN43" s="17"/>
      <c r="AO43" s="17"/>
      <c r="AP43" s="1352" t="str">
        <f>SUBSTITUTE(SUBSTITUTE(SUBSTITUTE("dch"&amp;$B43&amp;$C43&amp;$D43&amp;$E43&amp;$F43,".","_"),"(","_"),")","")</f>
        <v>dch501_2_5_d</v>
      </c>
      <c r="AQ43" s="1352" t="str">
        <f>IF(LEN(W43)=0,"",W43)</f>
        <v/>
      </c>
      <c r="AR43" s="1352" t="str">
        <f>SUBSTITUTE(SUBSTITUTE(SUBSTITUTE("dnt"&amp;$B43&amp;$C43&amp;$D43&amp;$E43&amp;$F43,".","_"),"(","_"),")","")</f>
        <v>dnt501_2_5_d</v>
      </c>
      <c r="AS43" s="1352" t="str">
        <f>IF(LEN(X43)=0,"",X43)</f>
        <v/>
      </c>
      <c r="AW43"/>
      <c r="AX43" s="381" t="str">
        <f>'Overview (Design)'!A45</f>
        <v>Type of Cooling System (system 3):</v>
      </c>
      <c r="AY43" s="382">
        <f>'Overview (Design)'!G45</f>
        <v>0</v>
      </c>
    </row>
    <row r="44" spans="1:60" s="823" customFormat="1" x14ac:dyDescent="0.2">
      <c r="A44" s="20"/>
      <c r="B44" s="23" t="s">
        <v>258</v>
      </c>
      <c r="C44" s="23" t="s">
        <v>263</v>
      </c>
      <c r="D44" s="28" t="s">
        <v>366</v>
      </c>
      <c r="E44" s="28"/>
      <c r="F44" s="692"/>
      <c r="G44" s="28"/>
      <c r="H44" s="692"/>
      <c r="I44" s="89"/>
      <c r="J44" s="89"/>
      <c r="K44" s="91"/>
      <c r="L44" s="1639"/>
      <c r="M44" s="1643"/>
      <c r="N44" s="43"/>
      <c r="O44" s="829"/>
      <c r="X44" s="1599"/>
      <c r="AL44" s="17"/>
      <c r="AM44" s="17"/>
      <c r="AN44" s="17"/>
      <c r="AO44" s="17"/>
      <c r="AP44"/>
      <c r="AQ44"/>
      <c r="AR44"/>
      <c r="AS44"/>
      <c r="AW44"/>
      <c r="AX44" s="381" t="str">
        <f>'Overview (Design)'!A46</f>
        <v>Cooling Ducts:</v>
      </c>
      <c r="AY44" s="382" t="str">
        <f>'Overview (Design)'!G46</f>
        <v>Ducted</v>
      </c>
    </row>
    <row r="45" spans="1:60" s="823" customFormat="1" ht="15" customHeight="1" x14ac:dyDescent="0.2">
      <c r="A45" s="20"/>
      <c r="B45" s="23" t="s">
        <v>258</v>
      </c>
      <c r="C45" s="23" t="s">
        <v>264</v>
      </c>
      <c r="D45" s="28"/>
      <c r="E45" s="28"/>
      <c r="F45" s="692"/>
      <c r="G45" s="28"/>
      <c r="H45" s="692"/>
      <c r="I45" s="89"/>
      <c r="J45" s="860" t="s">
        <v>264</v>
      </c>
      <c r="K45" s="217"/>
      <c r="L45" s="1633" t="s">
        <v>3933</v>
      </c>
      <c r="M45" s="1640">
        <v>3</v>
      </c>
      <c r="N45" s="861"/>
      <c r="O45" s="1637">
        <f>M45*S45*W45</f>
        <v>0</v>
      </c>
      <c r="P45" s="95" t="b">
        <v>1</v>
      </c>
      <c r="Q45" s="95" t="b">
        <v>1</v>
      </c>
      <c r="R45" s="823" t="b">
        <v>0</v>
      </c>
      <c r="S45" s="864" t="b">
        <v>1</v>
      </c>
      <c r="T45" s="823" t="b">
        <v>0</v>
      </c>
      <c r="W45" s="27"/>
      <c r="X45" s="1621"/>
      <c r="AC45" s="823" t="b">
        <f>OR(AD45:AE45)</f>
        <v>0</v>
      </c>
      <c r="AD45" s="823" t="b">
        <v>0</v>
      </c>
      <c r="AE45" s="1" t="b">
        <f>AND(W45=TRUE,LEN(X45)=0)</f>
        <v>0</v>
      </c>
      <c r="AL45" s="1352" t="str">
        <f>SUBSTITUTE(SUBSTITUTE(SUBSTITUTE("dpa"&amp;$B45&amp;$C45&amp;$D45&amp;$E45&amp;$F45,".","_"),"(","_"),")","")</f>
        <v>dpa501_2_6</v>
      </c>
      <c r="AM45" s="1352">
        <f>M45</f>
        <v>3</v>
      </c>
      <c r="AN45" s="1352" t="str">
        <f>SUBSTITUTE(SUBSTITUTE(SUBSTITUTE("dpc"&amp;$B45&amp;$C45&amp;$D45&amp;$E45&amp;$F45,".","_"),"(","_"),")","")</f>
        <v>dpc501_2_6</v>
      </c>
      <c r="AO45" s="1352">
        <f>O45</f>
        <v>0</v>
      </c>
      <c r="AP45" s="1352" t="str">
        <f>SUBSTITUTE(SUBSTITUTE(SUBSTITUTE("dch"&amp;$B45&amp;$C45&amp;$D45&amp;$E45&amp;$F45,".","_"),"(","_"),")","")</f>
        <v>dch501_2_6</v>
      </c>
      <c r="AQ45" s="1352" t="str">
        <f>IF(LEN(W45)=0,"",W45)</f>
        <v/>
      </c>
      <c r="AR45" s="1352" t="str">
        <f>SUBSTITUTE(SUBSTITUTE(SUBSTITUTE("dnt"&amp;$B45&amp;$C45&amp;$D45&amp;$E45&amp;$F45,".","_"),"(","_"),")","")</f>
        <v>dnt501_2_6</v>
      </c>
      <c r="AS45" s="1352" t="str">
        <f>IF(LEN(X45)=0,"",X45)</f>
        <v/>
      </c>
      <c r="AW45"/>
      <c r="AX45" s="381"/>
      <c r="AY45" s="382"/>
    </row>
    <row r="46" spans="1:60" s="823" customFormat="1" x14ac:dyDescent="0.2">
      <c r="A46" s="20"/>
      <c r="B46" s="23" t="s">
        <v>258</v>
      </c>
      <c r="C46" s="23" t="s">
        <v>264</v>
      </c>
      <c r="D46" s="28"/>
      <c r="E46" s="28"/>
      <c r="F46" s="692"/>
      <c r="G46" s="28"/>
      <c r="H46" s="692"/>
      <c r="I46" s="89"/>
      <c r="J46" s="93"/>
      <c r="K46" s="111"/>
      <c r="L46" s="1634"/>
      <c r="M46" s="1641"/>
      <c r="N46" s="94"/>
      <c r="O46" s="1619"/>
      <c r="X46" s="1632"/>
      <c r="AL46" s="17"/>
      <c r="AM46" s="17"/>
      <c r="AN46" s="17"/>
      <c r="AO46" s="17"/>
      <c r="AP46"/>
      <c r="AQ46"/>
      <c r="AR46"/>
      <c r="AS46"/>
      <c r="AW46"/>
      <c r="AX46" s="381" t="str">
        <f>'Overview (Design)'!A48</f>
        <v>Maximum window and door SHGC:</v>
      </c>
      <c r="AY46" s="382">
        <f>'Overview (Design)'!G48</f>
        <v>0.22</v>
      </c>
    </row>
    <row r="47" spans="1:60" s="823" customFormat="1" x14ac:dyDescent="0.2">
      <c r="A47" s="20"/>
      <c r="B47" s="23" t="s">
        <v>258</v>
      </c>
      <c r="C47" s="23" t="s">
        <v>264</v>
      </c>
      <c r="D47" s="28"/>
      <c r="E47" s="28"/>
      <c r="F47" s="692"/>
      <c r="G47" s="28"/>
      <c r="H47" s="692"/>
      <c r="I47" s="89"/>
      <c r="J47" s="93"/>
      <c r="K47" s="111"/>
      <c r="L47" s="842" t="s">
        <v>3935</v>
      </c>
      <c r="M47" s="1641"/>
      <c r="N47" s="94"/>
      <c r="O47" s="1620"/>
      <c r="X47" s="1599"/>
      <c r="AL47" s="17"/>
      <c r="AM47" s="17"/>
      <c r="AN47" s="17"/>
      <c r="AO47" s="17"/>
      <c r="AP47"/>
      <c r="AQ47"/>
      <c r="AR47"/>
      <c r="AS47"/>
      <c r="AW47"/>
      <c r="AX47" s="381" t="str">
        <f>'Overview (Design)'!A49</f>
        <v>Maximum skylight SHGC:</v>
      </c>
      <c r="AY47" s="382">
        <f>'Overview (Design)'!G49</f>
        <v>0</v>
      </c>
    </row>
    <row r="48" spans="1:60" s="823" customFormat="1" ht="15" customHeight="1" x14ac:dyDescent="0.2">
      <c r="A48" s="20"/>
      <c r="B48" s="23" t="s">
        <v>258</v>
      </c>
      <c r="C48" s="23" t="s">
        <v>356</v>
      </c>
      <c r="D48" s="28"/>
      <c r="E48" s="28"/>
      <c r="F48" s="692"/>
      <c r="G48" s="28"/>
      <c r="H48" s="692"/>
      <c r="I48" s="89"/>
      <c r="J48" s="860" t="s">
        <v>356</v>
      </c>
      <c r="K48" s="195"/>
      <c r="L48" s="1633" t="s">
        <v>3934</v>
      </c>
      <c r="M48" s="1640">
        <v>5</v>
      </c>
      <c r="N48" s="861"/>
      <c r="O48" s="1637">
        <f>M48*S48*W48</f>
        <v>0</v>
      </c>
      <c r="P48" s="95" t="b">
        <v>1</v>
      </c>
      <c r="Q48" s="95" t="b">
        <v>1</v>
      </c>
      <c r="R48" s="823" t="b">
        <v>0</v>
      </c>
      <c r="S48" s="864" t="b">
        <v>1</v>
      </c>
      <c r="T48" s="823" t="b">
        <v>0</v>
      </c>
      <c r="W48" s="27"/>
      <c r="X48" s="1621"/>
      <c r="AC48" s="823" t="b">
        <f>OR(AD48:AE48)</f>
        <v>0</v>
      </c>
      <c r="AD48" s="823" t="b">
        <v>0</v>
      </c>
      <c r="AE48" s="1" t="b">
        <f>AND(W48=TRUE,LEN(X48)=0)</f>
        <v>0</v>
      </c>
      <c r="AL48" s="1352" t="str">
        <f>SUBSTITUTE(SUBSTITUTE(SUBSTITUTE("dpa"&amp;$B48&amp;$C48&amp;$D48&amp;$E48&amp;$F48,".","_"),"(","_"),")","")</f>
        <v>dpa501_2_7</v>
      </c>
      <c r="AM48" s="1352">
        <f>M48</f>
        <v>5</v>
      </c>
      <c r="AN48" s="1352" t="str">
        <f>SUBSTITUTE(SUBSTITUTE(SUBSTITUTE("dpc"&amp;$B48&amp;$C48&amp;$D48&amp;$E48&amp;$F48,".","_"),"(","_"),")","")</f>
        <v>dpc501_2_7</v>
      </c>
      <c r="AO48" s="1352">
        <f>O48</f>
        <v>0</v>
      </c>
      <c r="AP48" s="1352" t="str">
        <f>SUBSTITUTE(SUBSTITUTE(SUBSTITUTE("dch"&amp;$B48&amp;$C48&amp;$D48&amp;$E48&amp;$F48,".","_"),"(","_"),")","")</f>
        <v>dch501_2_7</v>
      </c>
      <c r="AQ48" s="1352" t="str">
        <f>IF(LEN(W48)=0,"",W48)</f>
        <v/>
      </c>
      <c r="AR48" s="1352" t="str">
        <f>SUBSTITUTE(SUBSTITUTE(SUBSTITUTE("dnt"&amp;$B48&amp;$C48&amp;$D48&amp;$E48&amp;$F48,".","_"),"(","_"),")","")</f>
        <v>dnt501_2_7</v>
      </c>
      <c r="AS48" s="1352" t="str">
        <f>IF(LEN(X48)=0,"",X48)</f>
        <v/>
      </c>
      <c r="AW48"/>
      <c r="AX48" s="381" t="str">
        <f>'Overview (Design)'!A50</f>
        <v>Maximum window and door U-value:</v>
      </c>
      <c r="AY48" s="382">
        <f>'Overview (Design)'!G50</f>
        <v>0.28999999999999998</v>
      </c>
    </row>
    <row r="49" spans="1:51" s="823" customFormat="1" x14ac:dyDescent="0.2">
      <c r="A49" s="20"/>
      <c r="B49" s="23" t="s">
        <v>258</v>
      </c>
      <c r="C49" s="23" t="s">
        <v>356</v>
      </c>
      <c r="D49" s="28"/>
      <c r="E49" s="28"/>
      <c r="F49" s="692"/>
      <c r="G49" s="28"/>
      <c r="H49" s="692"/>
      <c r="I49" s="89"/>
      <c r="J49" s="93"/>
      <c r="K49" s="96"/>
      <c r="L49" s="1634"/>
      <c r="M49" s="1641"/>
      <c r="N49" s="94"/>
      <c r="O49" s="1619"/>
      <c r="X49" s="1632"/>
      <c r="AL49" s="17"/>
      <c r="AM49" s="17"/>
      <c r="AN49" s="17"/>
      <c r="AO49" s="17"/>
      <c r="AP49"/>
      <c r="AQ49"/>
      <c r="AR49"/>
      <c r="AS49"/>
      <c r="AW49"/>
      <c r="AX49" s="381" t="str">
        <f>'Overview (Design)'!A51</f>
        <v>Maximum skylight U-value:</v>
      </c>
      <c r="AY49" s="382">
        <f>'Overview (Design)'!G51</f>
        <v>0</v>
      </c>
    </row>
    <row r="50" spans="1:51" s="823" customFormat="1" x14ac:dyDescent="0.2">
      <c r="A50" s="20"/>
      <c r="B50" s="23" t="s">
        <v>258</v>
      </c>
      <c r="C50" s="23" t="s">
        <v>356</v>
      </c>
      <c r="D50" s="28"/>
      <c r="E50" s="28"/>
      <c r="F50" s="692"/>
      <c r="G50" s="28"/>
      <c r="H50" s="692"/>
      <c r="I50" s="89"/>
      <c r="J50" s="93"/>
      <c r="K50" s="96"/>
      <c r="L50" s="840" t="s">
        <v>3936</v>
      </c>
      <c r="M50" s="1641"/>
      <c r="N50" s="94"/>
      <c r="O50" s="1620"/>
      <c r="X50" s="1599"/>
      <c r="AL50" s="17"/>
      <c r="AM50" s="17"/>
      <c r="AN50" s="17"/>
      <c r="AO50" s="17"/>
      <c r="AP50"/>
      <c r="AQ50"/>
      <c r="AR50"/>
      <c r="AS50"/>
      <c r="AW50" s="812"/>
      <c r="AX50" s="41" t="str">
        <f>'Overview (Design)'!A52</f>
        <v>Renewable Energy:</v>
      </c>
      <c r="AY50" s="42">
        <f>'Overview (Design)'!G52</f>
        <v>0</v>
      </c>
    </row>
    <row r="51" spans="1:51" ht="19" x14ac:dyDescent="0.25">
      <c r="B51" s="23" t="s">
        <v>441</v>
      </c>
      <c r="C51" s="23"/>
      <c r="D51" s="23"/>
      <c r="E51" s="23"/>
      <c r="F51" s="691"/>
      <c r="G51" s="23"/>
      <c r="H51" s="691"/>
      <c r="I51" s="72" t="s">
        <v>3483</v>
      </c>
      <c r="J51" s="72"/>
      <c r="K51" s="72"/>
      <c r="L51" s="72"/>
      <c r="M51" s="339"/>
      <c r="N51" s="25"/>
      <c r="O51" s="419"/>
      <c r="P51" s="25"/>
      <c r="Q51" s="25"/>
      <c r="R51" s="25"/>
      <c r="S51" s="25"/>
      <c r="T51" s="25"/>
      <c r="U51" s="25"/>
      <c r="V51" s="25"/>
      <c r="W51" s="25"/>
      <c r="X51" s="25"/>
      <c r="AX51" s="41" t="str">
        <f>'Overview (Design)'!A53</f>
        <v>Thermal Envelope Insulation:</v>
      </c>
      <c r="AY51" s="42">
        <f>'Overview (Design)'!G53</f>
        <v>0</v>
      </c>
    </row>
    <row r="52" spans="1:51" x14ac:dyDescent="0.2">
      <c r="B52" s="23" t="s">
        <v>345</v>
      </c>
      <c r="C52" s="23"/>
      <c r="D52" s="23"/>
      <c r="E52" s="23"/>
      <c r="F52" s="691"/>
      <c r="G52" s="23"/>
      <c r="H52" s="691"/>
      <c r="I52" s="68" t="s">
        <v>3484</v>
      </c>
      <c r="J52" s="92"/>
      <c r="K52" s="92"/>
      <c r="L52" s="1631" t="s">
        <v>3508</v>
      </c>
      <c r="M52" s="1628">
        <v>4</v>
      </c>
      <c r="O52" s="1669">
        <f>M52*W52</f>
        <v>0</v>
      </c>
      <c r="P52" s="332" t="b">
        <v>1</v>
      </c>
      <c r="Q52" s="332" t="b">
        <v>1</v>
      </c>
      <c r="R52" s="66" t="b">
        <v>0</v>
      </c>
      <c r="S52" s="66" t="b">
        <v>1</v>
      </c>
      <c r="T52" s="66" t="b">
        <v>0</v>
      </c>
      <c r="W52" s="27"/>
      <c r="X52" s="1600"/>
      <c r="AL52" s="1352" t="str">
        <f>SUBSTITUTE(SUBSTITUTE(SUBSTITUTE("dpa"&amp;$B52&amp;$C52&amp;$D52&amp;$E52&amp;$F52,".","_"),"(","_"),")","")</f>
        <v>dpa502_1</v>
      </c>
      <c r="AM52" s="1352">
        <f>M52</f>
        <v>4</v>
      </c>
      <c r="AN52" s="1352" t="str">
        <f>SUBSTITUTE(SUBSTITUTE(SUBSTITUTE("dpc"&amp;$B52&amp;$C52&amp;$D52&amp;$E52&amp;$F52,".","_"),"(","_"),")","")</f>
        <v>dpc502_1</v>
      </c>
      <c r="AO52" s="1352">
        <f>O52</f>
        <v>0</v>
      </c>
      <c r="AP52" s="1352" t="str">
        <f>SUBSTITUTE(SUBSTITUTE(SUBSTITUTE("dch"&amp;$B52&amp;$C52&amp;$D52&amp;$E52&amp;$F52,".","_"),"(","_"),")","")</f>
        <v>dch502_1</v>
      </c>
      <c r="AQ52" s="1352" t="str">
        <f>IF(LEN(W52)=0,"",W52)</f>
        <v/>
      </c>
      <c r="AR52" s="1352" t="str">
        <f>SUBSTITUTE(SUBSTITUTE(SUBSTITUTE("dnt"&amp;$B52&amp;$C52&amp;$D52&amp;$E52&amp;$F52,".","_"),"(","_"),")","")</f>
        <v>dnt502_1</v>
      </c>
      <c r="AS52" s="1352" t="str">
        <f>IF(LEN(X52)=0,"",X52)</f>
        <v/>
      </c>
      <c r="AX52" s="41" t="str">
        <f>'Overview (Design)'!A54</f>
        <v>Attic Type:</v>
      </c>
      <c r="AY52" s="42" t="str">
        <f>'Overview (Design)'!G54</f>
        <v>Vented</v>
      </c>
    </row>
    <row r="53" spans="1:51" x14ac:dyDescent="0.2">
      <c r="B53" s="23" t="s">
        <v>345</v>
      </c>
      <c r="C53" s="23"/>
      <c r="D53" s="23"/>
      <c r="E53" s="23"/>
      <c r="F53" s="691"/>
      <c r="G53" s="23"/>
      <c r="H53" s="691"/>
      <c r="I53" s="92"/>
      <c r="J53" s="92"/>
      <c r="K53" s="92"/>
      <c r="L53" s="1631"/>
      <c r="M53" s="1628"/>
      <c r="O53" s="1669"/>
      <c r="P53" s="332"/>
      <c r="Q53" s="332"/>
      <c r="X53" s="1600"/>
      <c r="AX53" s="41" t="str">
        <f>'Overview (Design)'!A55</f>
        <v>Attached Garage:</v>
      </c>
      <c r="AY53" s="42" t="str">
        <f>'Overview (Design)'!G55</f>
        <v>No</v>
      </c>
    </row>
    <row r="54" spans="1:51" x14ac:dyDescent="0.2">
      <c r="B54" s="23" t="s">
        <v>345</v>
      </c>
      <c r="C54" s="23"/>
      <c r="D54" s="23"/>
      <c r="E54" s="23"/>
      <c r="F54" s="691"/>
      <c r="G54" s="23"/>
      <c r="H54" s="691"/>
      <c r="I54" s="92"/>
      <c r="J54" s="92"/>
      <c r="K54" s="92"/>
      <c r="L54" s="1631"/>
      <c r="M54" s="1628"/>
      <c r="O54" s="1669"/>
      <c r="P54" s="332"/>
      <c r="Q54" s="332"/>
      <c r="X54" s="1600"/>
      <c r="AX54" s="41" t="str">
        <f>'Overview (Design)'!A56</f>
        <v>Recessed Lighting:</v>
      </c>
      <c r="AY54" s="42">
        <f>'Overview (Design)'!G56</f>
        <v>0</v>
      </c>
    </row>
    <row r="55" spans="1:51" x14ac:dyDescent="0.2">
      <c r="B55" s="23" t="s">
        <v>345</v>
      </c>
      <c r="C55" s="23"/>
      <c r="D55" s="23"/>
      <c r="E55" s="23"/>
      <c r="F55" s="691"/>
      <c r="G55" s="23"/>
      <c r="H55" s="691"/>
      <c r="I55" s="92"/>
      <c r="J55" s="92"/>
      <c r="K55" s="92"/>
      <c r="L55" s="1631"/>
      <c r="M55" s="1628"/>
      <c r="O55" s="1669"/>
      <c r="P55" s="332"/>
      <c r="Q55" s="332"/>
      <c r="X55" s="1600"/>
      <c r="AX55" s="41"/>
      <c r="AY55" s="42"/>
    </row>
    <row r="56" spans="1:51" ht="19" x14ac:dyDescent="0.25">
      <c r="B56" s="23" t="s">
        <v>346</v>
      </c>
      <c r="C56" s="23"/>
      <c r="D56" s="23"/>
      <c r="E56" s="23"/>
      <c r="F56" s="691"/>
      <c r="G56" s="23"/>
      <c r="H56" s="691"/>
      <c r="I56" s="72" t="s">
        <v>3485</v>
      </c>
      <c r="J56" s="90"/>
      <c r="K56" s="90"/>
      <c r="L56" s="86"/>
      <c r="M56" s="339"/>
      <c r="N56" s="25"/>
      <c r="O56" s="419"/>
      <c r="P56" s="25"/>
      <c r="Q56" s="25"/>
      <c r="R56" s="25"/>
      <c r="S56" s="25"/>
      <c r="T56" s="25"/>
      <c r="U56" s="25"/>
      <c r="V56" s="25"/>
      <c r="W56" s="25"/>
      <c r="X56" s="25"/>
      <c r="AX56" s="41" t="str">
        <f>'Overview (Design)'!A58</f>
        <v>Special Design Features:</v>
      </c>
      <c r="AY56" s="42">
        <f>'Overview (Design)'!G58</f>
        <v>0</v>
      </c>
    </row>
    <row r="57" spans="1:51" x14ac:dyDescent="0.2">
      <c r="B57" s="23" t="s">
        <v>347</v>
      </c>
      <c r="C57" s="23"/>
      <c r="D57" s="23"/>
      <c r="E57" s="23"/>
      <c r="F57" s="691"/>
      <c r="G57" s="23"/>
      <c r="H57" s="691"/>
      <c r="I57" s="590" t="s">
        <v>3486</v>
      </c>
      <c r="J57" s="103"/>
      <c r="K57" s="103"/>
      <c r="L57" s="1629" t="s">
        <v>3509</v>
      </c>
      <c r="M57" s="371"/>
      <c r="N57" s="96"/>
      <c r="O57" s="238"/>
      <c r="P57" s="96"/>
      <c r="Q57" s="96"/>
      <c r="R57" s="96"/>
      <c r="S57" s="96"/>
      <c r="T57" s="96"/>
      <c r="U57" s="96"/>
      <c r="V57" s="96"/>
      <c r="W57" s="96"/>
      <c r="X57" s="1601"/>
      <c r="AR57" s="1352" t="str">
        <f>SUBSTITUTE(SUBSTITUTE(SUBSTITUTE("dnt"&amp;$B57&amp;$C57&amp;$D57&amp;$E57&amp;$F57,".","_"),"(","_"),")","")</f>
        <v>dnt503_0</v>
      </c>
      <c r="AS57" s="1352" t="str">
        <f>IF(LEN(X57)=0,"",X57)</f>
        <v/>
      </c>
      <c r="AX57" s="41" t="str">
        <f>'Overview (Design)'!A59</f>
        <v>Passive Solar:</v>
      </c>
      <c r="AY57" s="42">
        <f>'Overview (Design)'!G59</f>
        <v>0</v>
      </c>
    </row>
    <row r="58" spans="1:51" x14ac:dyDescent="0.2">
      <c r="B58" s="23" t="s">
        <v>347</v>
      </c>
      <c r="C58" s="23"/>
      <c r="D58" s="23"/>
      <c r="E58" s="23"/>
      <c r="F58" s="691"/>
      <c r="G58" s="23"/>
      <c r="H58" s="691"/>
      <c r="I58" s="103"/>
      <c r="J58" s="103"/>
      <c r="K58" s="103"/>
      <c r="L58" s="1629"/>
      <c r="M58" s="371"/>
      <c r="N58" s="96"/>
      <c r="O58" s="238"/>
      <c r="P58" s="96"/>
      <c r="Q58" s="96"/>
      <c r="R58" s="96"/>
      <c r="S58" s="96"/>
      <c r="T58" s="96"/>
      <c r="U58" s="96"/>
      <c r="V58" s="96"/>
      <c r="W58" s="96"/>
      <c r="X58" s="1601"/>
      <c r="AX58" s="41" t="str">
        <f>'Overview (Design)'!A60</f>
        <v>Mass Walls:</v>
      </c>
      <c r="AY58" s="42">
        <f>'Overview (Design)'!G60</f>
        <v>0</v>
      </c>
    </row>
    <row r="59" spans="1:51" x14ac:dyDescent="0.2">
      <c r="B59" s="23" t="s">
        <v>347</v>
      </c>
      <c r="C59" s="23"/>
      <c r="D59" s="23"/>
      <c r="E59" s="23"/>
      <c r="F59" s="691"/>
      <c r="G59" s="23"/>
      <c r="H59" s="691"/>
      <c r="I59" s="103"/>
      <c r="J59" s="103"/>
      <c r="K59" s="103"/>
      <c r="L59" s="1629"/>
      <c r="M59" s="371"/>
      <c r="N59" s="96"/>
      <c r="O59" s="238"/>
      <c r="P59" s="96"/>
      <c r="Q59" s="96"/>
      <c r="R59" s="96"/>
      <c r="S59" s="96"/>
      <c r="T59" s="96"/>
      <c r="U59" s="96"/>
      <c r="V59" s="96"/>
      <c r="W59" s="96"/>
      <c r="X59" s="1601"/>
      <c r="AX59" s="41" t="e">
        <f>'Overview (Design)'!#REF!</f>
        <v>#REF!</v>
      </c>
      <c r="AY59" s="42" t="e">
        <f>'Overview (Design)'!#REF!</f>
        <v>#REF!</v>
      </c>
    </row>
    <row r="60" spans="1:51" x14ac:dyDescent="0.2">
      <c r="B60" s="23" t="s">
        <v>347</v>
      </c>
      <c r="C60" s="23"/>
      <c r="D60" s="23"/>
      <c r="E60" s="23"/>
      <c r="F60" s="691"/>
      <c r="G60" s="23"/>
      <c r="H60" s="691"/>
      <c r="I60" s="103"/>
      <c r="J60" s="103"/>
      <c r="K60" s="103"/>
      <c r="L60" s="1629"/>
      <c r="M60" s="371"/>
      <c r="N60" s="96"/>
      <c r="O60" s="238"/>
      <c r="P60" s="96"/>
      <c r="Q60" s="96"/>
      <c r="R60" s="96"/>
      <c r="S60" s="96"/>
      <c r="T60" s="96"/>
      <c r="U60" s="96"/>
      <c r="V60" s="96"/>
      <c r="W60" s="96"/>
      <c r="X60" s="1601"/>
      <c r="AX60" s="41" t="str">
        <f>'Overview (Design)'!A61</f>
        <v>Radiant/Hydronic:</v>
      </c>
      <c r="AY60" s="42">
        <f>'Overview (Design)'!G61</f>
        <v>0</v>
      </c>
    </row>
    <row r="61" spans="1:51" ht="16" thickBot="1" x14ac:dyDescent="0.25">
      <c r="B61" s="23" t="s">
        <v>347</v>
      </c>
      <c r="C61" s="23"/>
      <c r="D61" s="23"/>
      <c r="E61" s="23"/>
      <c r="F61" s="691"/>
      <c r="G61" s="23"/>
      <c r="H61" s="691"/>
      <c r="I61" s="104"/>
      <c r="J61" s="104"/>
      <c r="K61" s="104"/>
      <c r="L61" s="105" t="s">
        <v>348</v>
      </c>
      <c r="M61" s="375"/>
      <c r="N61" s="100"/>
      <c r="O61" s="240"/>
      <c r="P61" s="100"/>
      <c r="Q61" s="100"/>
      <c r="R61" s="100"/>
      <c r="S61" s="100"/>
      <c r="T61" s="100"/>
      <c r="U61" s="100"/>
      <c r="V61" s="100"/>
      <c r="W61" s="100"/>
      <c r="X61" s="1602"/>
      <c r="AX61" s="41" t="str">
        <f>'Overview (Design)'!A62</f>
        <v>Tankless Water Heater:</v>
      </c>
      <c r="AY61" s="42">
        <f>'Overview (Design)'!G62</f>
        <v>0</v>
      </c>
    </row>
    <row r="62" spans="1:51" ht="16" thickTop="1" x14ac:dyDescent="0.2">
      <c r="B62" s="23" t="s">
        <v>349</v>
      </c>
      <c r="C62" s="23"/>
      <c r="D62" s="23"/>
      <c r="E62" s="23"/>
      <c r="F62" s="691"/>
      <c r="G62" s="23"/>
      <c r="H62" s="691"/>
      <c r="I62" s="136" t="s">
        <v>3487</v>
      </c>
      <c r="J62" s="283"/>
      <c r="K62" s="283"/>
      <c r="L62" s="1646" t="s">
        <v>3510</v>
      </c>
      <c r="M62" s="370"/>
      <c r="N62" s="106"/>
      <c r="O62" s="421"/>
      <c r="P62" s="106"/>
      <c r="Q62" s="106"/>
      <c r="R62" s="106"/>
      <c r="S62" s="106"/>
      <c r="T62" s="106"/>
      <c r="U62" s="106"/>
      <c r="V62" s="106"/>
      <c r="W62" s="106"/>
      <c r="X62" s="1603"/>
      <c r="AR62" s="1352" t="str">
        <f>SUBSTITUTE(SUBSTITUTE(SUBSTITUTE("dnt"&amp;$B62&amp;$C62&amp;$D62&amp;$E62&amp;$F62,".","_"),"(","_"),")","")</f>
        <v>dnt503_1</v>
      </c>
      <c r="AS62" s="1352" t="str">
        <f>IF(LEN(X62)=0,"",X62)</f>
        <v/>
      </c>
      <c r="AX62" s="41" t="str">
        <f>'Overview (Design)'!A63</f>
        <v>Composting Toilet:</v>
      </c>
      <c r="AY62" s="42">
        <f>'Overview (Design)'!G63</f>
        <v>0</v>
      </c>
    </row>
    <row r="63" spans="1:51" s="812" customFormat="1" x14ac:dyDescent="0.2">
      <c r="A63" s="20"/>
      <c r="B63" s="23" t="s">
        <v>349</v>
      </c>
      <c r="C63" s="23"/>
      <c r="D63" s="23"/>
      <c r="E63" s="23"/>
      <c r="F63" s="691"/>
      <c r="G63" s="23"/>
      <c r="H63" s="691"/>
      <c r="I63" s="136"/>
      <c r="J63" s="816"/>
      <c r="K63" s="816"/>
      <c r="L63" s="1647"/>
      <c r="M63" s="815"/>
      <c r="N63" s="96"/>
      <c r="O63" s="814"/>
      <c r="P63" s="96"/>
      <c r="Q63" s="96"/>
      <c r="R63" s="96"/>
      <c r="S63" s="96"/>
      <c r="T63" s="96"/>
      <c r="U63" s="96"/>
      <c r="V63" s="96"/>
      <c r="W63" s="96"/>
      <c r="X63" s="1599"/>
      <c r="AL63" s="17"/>
      <c r="AM63" s="17"/>
      <c r="AN63" s="17"/>
      <c r="AO63" s="17"/>
      <c r="AP63"/>
      <c r="AQ63"/>
      <c r="AR63"/>
      <c r="AS63"/>
      <c r="AX63" s="41"/>
      <c r="AY63" s="42"/>
    </row>
    <row r="64" spans="1:51" x14ac:dyDescent="0.2">
      <c r="B64" s="23" t="s">
        <v>349</v>
      </c>
      <c r="C64" s="23" t="s">
        <v>254</v>
      </c>
      <c r="D64" s="23"/>
      <c r="E64" s="23"/>
      <c r="F64" s="691"/>
      <c r="G64" s="23"/>
      <c r="H64" s="691"/>
      <c r="I64" s="103"/>
      <c r="J64" s="169" t="s">
        <v>254</v>
      </c>
      <c r="K64" s="172"/>
      <c r="L64" s="170" t="s">
        <v>350</v>
      </c>
      <c r="M64" s="373">
        <v>5</v>
      </c>
      <c r="N64" s="173"/>
      <c r="O64" s="422">
        <f>M64*W64</f>
        <v>0</v>
      </c>
      <c r="P64" s="332" t="b">
        <v>1</v>
      </c>
      <c r="Q64" s="332" t="b">
        <v>0</v>
      </c>
      <c r="R64" s="96" t="b">
        <v>0</v>
      </c>
      <c r="S64" s="96" t="b">
        <v>1</v>
      </c>
      <c r="T64" s="96" t="b">
        <v>0</v>
      </c>
      <c r="U64" s="96"/>
      <c r="V64" s="96"/>
      <c r="W64" s="27"/>
      <c r="X64" s="1601"/>
      <c r="AL64" s="1352" t="str">
        <f>SUBSTITUTE(SUBSTITUTE(SUBSTITUTE("dpa"&amp;$B64&amp;$C64&amp;$D64&amp;$E64&amp;$F64,".","_"),"(","_"),")","")</f>
        <v>dpa503_1_1</v>
      </c>
      <c r="AM64" s="1352">
        <f>M64</f>
        <v>5</v>
      </c>
      <c r="AN64" s="1352" t="str">
        <f>SUBSTITUTE(SUBSTITUTE(SUBSTITUTE("dpc"&amp;$B64&amp;$C64&amp;$D64&amp;$E64&amp;$F64,".","_"),"(","_"),")","")</f>
        <v>dpc503_1_1</v>
      </c>
      <c r="AO64" s="1352">
        <f>O64</f>
        <v>0</v>
      </c>
      <c r="AP64" s="1352" t="str">
        <f>SUBSTITUTE(SUBSTITUTE(SUBSTITUTE("dch"&amp;$B64&amp;$C64&amp;$D64&amp;$E64&amp;$F64,".","_"),"(","_"),")","")</f>
        <v>dch503_1_1</v>
      </c>
      <c r="AQ64" s="1352" t="str">
        <f>IF(LEN(W64)=0,"",W64)</f>
        <v/>
      </c>
      <c r="AU64" s="42"/>
      <c r="AV64" s="42"/>
      <c r="AX64" s="41" t="str">
        <f>'Overview (Design)'!A65</f>
        <v>Local Energy Code:</v>
      </c>
      <c r="AY64" s="42" t="str">
        <f>'Overview (Design)'!G65</f>
        <v>2015 IECC</v>
      </c>
    </row>
    <row r="65" spans="1:51" x14ac:dyDescent="0.2">
      <c r="B65" s="23" t="s">
        <v>349</v>
      </c>
      <c r="C65" s="23" t="s">
        <v>255</v>
      </c>
      <c r="D65" s="23"/>
      <c r="E65" s="23"/>
      <c r="F65" s="691"/>
      <c r="G65" s="23"/>
      <c r="H65" s="691"/>
      <c r="I65" s="103"/>
      <c r="J65" s="93" t="s">
        <v>255</v>
      </c>
      <c r="K65" s="103"/>
      <c r="L65" s="1609" t="s">
        <v>351</v>
      </c>
      <c r="M65" s="1623">
        <v>6</v>
      </c>
      <c r="N65" s="96"/>
      <c r="O65" s="1619">
        <f>M65*S65*W65</f>
        <v>0</v>
      </c>
      <c r="P65" s="332" t="b">
        <v>1</v>
      </c>
      <c r="Q65" s="332" t="b">
        <v>0</v>
      </c>
      <c r="R65" s="96" t="b">
        <v>0</v>
      </c>
      <c r="S65" s="96" t="b">
        <f>IF(W64=TRUE,TRUE,FALSE)</f>
        <v>0</v>
      </c>
      <c r="T65" s="96" t="b">
        <f>AND(NOT(S65),W65=TRUE)</f>
        <v>0</v>
      </c>
      <c r="U65" s="96"/>
      <c r="V65" s="96"/>
      <c r="W65" s="27"/>
      <c r="X65" s="1601"/>
      <c r="AC65" s="78" t="b">
        <f>OR(AD65:AE65)</f>
        <v>0</v>
      </c>
      <c r="AD65" s="73" t="b">
        <f>T65</f>
        <v>0</v>
      </c>
      <c r="AL65" s="1352" t="str">
        <f>SUBSTITUTE(SUBSTITUTE(SUBSTITUTE("dpa"&amp;$B65&amp;$C65&amp;$D65&amp;$E65&amp;$F65,".","_"),"(","_"),")","")</f>
        <v>dpa503_1_2</v>
      </c>
      <c r="AM65" s="1352">
        <f>M65</f>
        <v>6</v>
      </c>
      <c r="AN65" s="1352" t="str">
        <f>SUBSTITUTE(SUBSTITUTE(SUBSTITUTE("dpc"&amp;$B65&amp;$C65&amp;$D65&amp;$E65&amp;$F65,".","_"),"(","_"),")","")</f>
        <v>dpc503_1_2</v>
      </c>
      <c r="AO65" s="1352">
        <f>O65</f>
        <v>0</v>
      </c>
      <c r="AP65" s="1352" t="str">
        <f>SUBSTITUTE(SUBSTITUTE(SUBSTITUTE("dch"&amp;$B65&amp;$C65&amp;$D65&amp;$E65&amp;$F65,".","_"),"(","_"),")","")</f>
        <v>dch503_1_2</v>
      </c>
      <c r="AQ65" s="1352" t="str">
        <f>IF(LEN(W65)=0,"",W65)</f>
        <v/>
      </c>
      <c r="AU65" s="42"/>
      <c r="AV65" s="42"/>
      <c r="AX65" s="41" t="str">
        <f>'Overview (Design)'!A66</f>
        <v>Local Building Code:</v>
      </c>
      <c r="AY65" s="42" t="str">
        <f>'Overview (Design)'!G66</f>
        <v>2018 IBC</v>
      </c>
    </row>
    <row r="66" spans="1:51" x14ac:dyDescent="0.2">
      <c r="B66" s="23" t="s">
        <v>349</v>
      </c>
      <c r="C66" s="23" t="s">
        <v>255</v>
      </c>
      <c r="D66" s="23"/>
      <c r="E66" s="23"/>
      <c r="F66" s="691"/>
      <c r="G66" s="23"/>
      <c r="H66" s="691"/>
      <c r="I66" s="103"/>
      <c r="J66" s="169"/>
      <c r="K66" s="172"/>
      <c r="L66" s="1612"/>
      <c r="M66" s="1624"/>
      <c r="N66" s="173"/>
      <c r="O66" s="1620"/>
      <c r="P66" s="96"/>
      <c r="Q66" s="96"/>
      <c r="R66" s="96"/>
      <c r="S66" s="96"/>
      <c r="T66" s="96"/>
      <c r="U66" s="96"/>
      <c r="V66" s="96"/>
      <c r="W66" s="96"/>
      <c r="X66" s="1601"/>
      <c r="AU66" s="42"/>
      <c r="AV66" s="42"/>
    </row>
    <row r="67" spans="1:51" x14ac:dyDescent="0.2">
      <c r="B67" s="23" t="s">
        <v>349</v>
      </c>
      <c r="C67" s="23" t="s">
        <v>256</v>
      </c>
      <c r="D67" s="23"/>
      <c r="E67" s="23"/>
      <c r="F67" s="691"/>
      <c r="G67" s="23"/>
      <c r="H67" s="691"/>
      <c r="I67" s="103"/>
      <c r="J67" s="93" t="s">
        <v>256</v>
      </c>
      <c r="K67" s="103"/>
      <c r="L67" s="1609" t="s">
        <v>352</v>
      </c>
      <c r="M67" s="1623">
        <v>4</v>
      </c>
      <c r="N67" s="96"/>
      <c r="O67" s="1619">
        <f>M67*S67*W67</f>
        <v>0</v>
      </c>
      <c r="P67" s="332" t="b">
        <v>1</v>
      </c>
      <c r="Q67" s="332" t="b">
        <v>0</v>
      </c>
      <c r="R67" s="96" t="b">
        <v>0</v>
      </c>
      <c r="S67" s="96" t="b">
        <f>IF(AND(W64=TRUE,W65=TRUE),TRUE,FALSE)</f>
        <v>0</v>
      </c>
      <c r="T67" s="96" t="b">
        <f>AND(NOT(S67),W67=TRUE)</f>
        <v>0</v>
      </c>
      <c r="U67" s="96"/>
      <c r="V67" s="96"/>
      <c r="W67" s="27"/>
      <c r="X67" s="1601"/>
      <c r="AC67" s="78" t="b">
        <f>OR(AD67:AE67)</f>
        <v>0</v>
      </c>
      <c r="AD67" s="73" t="b">
        <f>T67</f>
        <v>0</v>
      </c>
      <c r="AL67" s="1352" t="str">
        <f>SUBSTITUTE(SUBSTITUTE(SUBSTITUTE("dpa"&amp;$B67&amp;$C67&amp;$D67&amp;$E67&amp;$F67,".","_"),"(","_"),")","")</f>
        <v>dpa503_1_3</v>
      </c>
      <c r="AM67" s="1352">
        <f>M67</f>
        <v>4</v>
      </c>
      <c r="AN67" s="1352" t="str">
        <f>SUBSTITUTE(SUBSTITUTE(SUBSTITUTE("dpc"&amp;$B67&amp;$C67&amp;$D67&amp;$E67&amp;$F67,".","_"),"(","_"),")","")</f>
        <v>dpc503_1_3</v>
      </c>
      <c r="AO67" s="1352">
        <f>O67</f>
        <v>0</v>
      </c>
      <c r="AP67" s="1352" t="str">
        <f>SUBSTITUTE(SUBSTITUTE(SUBSTITUTE("dch"&amp;$B67&amp;$C67&amp;$D67&amp;$E67&amp;$F67,".","_"),"(","_"),")","")</f>
        <v>dch503_1_3</v>
      </c>
      <c r="AQ67" s="1352" t="str">
        <f>IF(LEN(W67)=0,"",W67)</f>
        <v/>
      </c>
      <c r="AU67" s="42"/>
      <c r="AV67" s="42"/>
      <c r="AX67" s="812"/>
      <c r="AY67" s="812"/>
    </row>
    <row r="68" spans="1:51" x14ac:dyDescent="0.2">
      <c r="B68" s="23" t="s">
        <v>349</v>
      </c>
      <c r="C68" s="23" t="s">
        <v>256</v>
      </c>
      <c r="D68" s="23"/>
      <c r="E68" s="23"/>
      <c r="F68" s="691"/>
      <c r="G68" s="23"/>
      <c r="H68" s="691"/>
      <c r="I68" s="103"/>
      <c r="J68" s="169"/>
      <c r="K68" s="172"/>
      <c r="L68" s="1612"/>
      <c r="M68" s="1624"/>
      <c r="N68" s="173"/>
      <c r="O68" s="1620"/>
      <c r="P68" s="96"/>
      <c r="Q68" s="96"/>
      <c r="R68" s="96"/>
      <c r="S68" s="96"/>
      <c r="T68" s="96"/>
      <c r="U68" s="96"/>
      <c r="V68" s="96"/>
      <c r="W68" s="96"/>
      <c r="X68" s="1601"/>
      <c r="AU68" s="42"/>
      <c r="AV68" s="42"/>
    </row>
    <row r="69" spans="1:51" x14ac:dyDescent="0.2">
      <c r="B69" s="23" t="s">
        <v>349</v>
      </c>
      <c r="C69" s="23" t="s">
        <v>259</v>
      </c>
      <c r="D69" s="23"/>
      <c r="E69" s="23"/>
      <c r="F69" s="691"/>
      <c r="G69" s="23"/>
      <c r="H69" s="691"/>
      <c r="I69" s="103"/>
      <c r="J69" s="860" t="s">
        <v>259</v>
      </c>
      <c r="K69" s="865"/>
      <c r="L69" s="1649" t="s">
        <v>353</v>
      </c>
      <c r="M69" s="1636">
        <v>4</v>
      </c>
      <c r="N69"/>
      <c r="O69" s="1637">
        <f>M69*W69</f>
        <v>0</v>
      </c>
      <c r="P69" s="332" t="b">
        <v>1</v>
      </c>
      <c r="Q69" s="332" t="b">
        <v>0</v>
      </c>
      <c r="R69" s="96" t="b">
        <v>0</v>
      </c>
      <c r="S69" s="96" t="b">
        <v>1</v>
      </c>
      <c r="T69" s="96" t="b">
        <v>0</v>
      </c>
      <c r="U69" s="96"/>
      <c r="V69" s="96"/>
      <c r="W69" s="27"/>
      <c r="X69" s="1601"/>
      <c r="AL69" s="1352" t="str">
        <f>SUBSTITUTE(SUBSTITUTE(SUBSTITUTE("dpa"&amp;$B69&amp;$C69&amp;$D69&amp;$E69&amp;$F69,".","_"),"(","_"),")","")</f>
        <v>dpa503_1_4</v>
      </c>
      <c r="AM69" s="1352">
        <f>M69</f>
        <v>4</v>
      </c>
      <c r="AN69" s="1352" t="str">
        <f>SUBSTITUTE(SUBSTITUTE(SUBSTITUTE("dpc"&amp;$B69&amp;$C69&amp;$D69&amp;$E69&amp;$F69,".","_"),"(","_"),")","")</f>
        <v>dpc503_1_4</v>
      </c>
      <c r="AO69" s="1352">
        <f>O69</f>
        <v>0</v>
      </c>
      <c r="AP69" s="1352" t="str">
        <f>SUBSTITUTE(SUBSTITUTE(SUBSTITUTE("dch"&amp;$B69&amp;$C69&amp;$D69&amp;$E69&amp;$F69,".","_"),"(","_"),")","")</f>
        <v>dch503_1_4</v>
      </c>
      <c r="AQ69" s="1352" t="str">
        <f>IF(LEN(W69)=0,"",W69)</f>
        <v/>
      </c>
      <c r="AU69" s="42"/>
      <c r="AV69" s="42"/>
    </row>
    <row r="70" spans="1:51" s="1280" customFormat="1" x14ac:dyDescent="0.2">
      <c r="A70" s="20"/>
      <c r="B70" s="23" t="s">
        <v>349</v>
      </c>
      <c r="C70" s="23" t="s">
        <v>259</v>
      </c>
      <c r="D70" s="23"/>
      <c r="E70" s="23"/>
      <c r="F70" s="691"/>
      <c r="G70" s="23"/>
      <c r="H70" s="691"/>
      <c r="I70" s="103"/>
      <c r="J70" s="169"/>
      <c r="K70" s="172"/>
      <c r="L70" s="1650"/>
      <c r="M70" s="1624"/>
      <c r="N70"/>
      <c r="O70" s="1620"/>
      <c r="R70" s="1304"/>
      <c r="S70" s="1304"/>
      <c r="T70" s="1304"/>
      <c r="U70" s="1304"/>
      <c r="V70" s="1304"/>
      <c r="W70"/>
      <c r="X70" s="1601"/>
      <c r="AL70" s="17"/>
      <c r="AM70" s="17"/>
      <c r="AN70" s="17"/>
      <c r="AO70" s="17"/>
      <c r="AP70"/>
      <c r="AQ70"/>
      <c r="AR70"/>
      <c r="AS70"/>
    </row>
    <row r="71" spans="1:51" ht="15.75" customHeight="1" x14ac:dyDescent="0.2">
      <c r="B71" s="23" t="s">
        <v>349</v>
      </c>
      <c r="C71" s="23" t="s">
        <v>263</v>
      </c>
      <c r="D71" s="23"/>
      <c r="E71" s="23"/>
      <c r="F71" s="691"/>
      <c r="G71" s="23"/>
      <c r="H71" s="691"/>
      <c r="I71" s="103"/>
      <c r="J71" s="169" t="s">
        <v>263</v>
      </c>
      <c r="K71" s="172"/>
      <c r="L71" s="170" t="s">
        <v>354</v>
      </c>
      <c r="M71" s="373">
        <v>3</v>
      </c>
      <c r="N71" s="173"/>
      <c r="O71" s="422">
        <f>M71*W71</f>
        <v>0</v>
      </c>
      <c r="P71" s="332" t="b">
        <v>1</v>
      </c>
      <c r="Q71" s="332" t="b">
        <v>0</v>
      </c>
      <c r="R71" s="96" t="b">
        <v>0</v>
      </c>
      <c r="S71" s="96" t="b">
        <v>1</v>
      </c>
      <c r="T71" s="96" t="b">
        <v>0</v>
      </c>
      <c r="U71" s="96"/>
      <c r="V71" s="96"/>
      <c r="W71" s="27"/>
      <c r="X71" s="1601"/>
      <c r="AL71" s="1352" t="str">
        <f>SUBSTITUTE(SUBSTITUTE(SUBSTITUTE("dpa"&amp;$B71&amp;$C71&amp;$D71&amp;$E71&amp;$F71,".","_"),"(","_"),")","")</f>
        <v>dpa503_1_5</v>
      </c>
      <c r="AM71" s="1352">
        <f>M71</f>
        <v>3</v>
      </c>
      <c r="AN71" s="1352" t="str">
        <f>SUBSTITUTE(SUBSTITUTE(SUBSTITUTE("dpc"&amp;$B71&amp;$C71&amp;$D71&amp;$E71&amp;$F71,".","_"),"(","_"),")","")</f>
        <v>dpc503_1_5</v>
      </c>
      <c r="AO71" s="1352">
        <f>O71</f>
        <v>0</v>
      </c>
      <c r="AP71" s="1352" t="str">
        <f>SUBSTITUTE(SUBSTITUTE(SUBSTITUTE("dch"&amp;$B71&amp;$C71&amp;$D71&amp;$E71&amp;$F71,".","_"),"(","_"),")","")</f>
        <v>dch503_1_5</v>
      </c>
      <c r="AQ71" s="1352" t="str">
        <f>IF(LEN(W71)=0,"",W71)</f>
        <v/>
      </c>
      <c r="AU71" s="42"/>
      <c r="AV71" s="42"/>
    </row>
    <row r="72" spans="1:51" x14ac:dyDescent="0.2">
      <c r="B72" s="23" t="s">
        <v>349</v>
      </c>
      <c r="C72" s="23" t="s">
        <v>264</v>
      </c>
      <c r="D72" s="23"/>
      <c r="E72" s="23"/>
      <c r="F72" s="691"/>
      <c r="G72" s="23"/>
      <c r="H72" s="691"/>
      <c r="I72" s="103"/>
      <c r="J72" s="93" t="s">
        <v>264</v>
      </c>
      <c r="K72" s="103"/>
      <c r="L72" s="1609" t="s">
        <v>355</v>
      </c>
      <c r="M72" s="1623">
        <v>4</v>
      </c>
      <c r="N72" s="96"/>
      <c r="O72" s="1619">
        <f>M72*W72</f>
        <v>0</v>
      </c>
      <c r="P72" s="332" t="b">
        <v>1</v>
      </c>
      <c r="Q72" s="332" t="b">
        <v>0</v>
      </c>
      <c r="R72" s="96" t="b">
        <v>0</v>
      </c>
      <c r="S72" s="96" t="b">
        <v>1</v>
      </c>
      <c r="T72" s="96" t="b">
        <v>0</v>
      </c>
      <c r="U72" s="96"/>
      <c r="V72" s="96"/>
      <c r="W72" s="27"/>
      <c r="X72" s="1601"/>
      <c r="AL72" s="1352" t="str">
        <f>SUBSTITUTE(SUBSTITUTE(SUBSTITUTE("dpa"&amp;$B72&amp;$C72&amp;$D72&amp;$E72&amp;$F72,".","_"),"(","_"),")","")</f>
        <v>dpa503_1_6</v>
      </c>
      <c r="AM72" s="1352">
        <f>M72</f>
        <v>4</v>
      </c>
      <c r="AN72" s="1352" t="str">
        <f>SUBSTITUTE(SUBSTITUTE(SUBSTITUTE("dpc"&amp;$B72&amp;$C72&amp;$D72&amp;$E72&amp;$F72,".","_"),"(","_"),")","")</f>
        <v>dpc503_1_6</v>
      </c>
      <c r="AO72" s="1352">
        <f>O72</f>
        <v>0</v>
      </c>
      <c r="AP72" s="1352" t="str">
        <f>SUBSTITUTE(SUBSTITUTE(SUBSTITUTE("dch"&amp;$B72&amp;$C72&amp;$D72&amp;$E72&amp;$F72,".","_"),"(","_"),")","")</f>
        <v>dch503_1_6</v>
      </c>
      <c r="AQ72" s="1352" t="str">
        <f>IF(LEN(W72)=0,"",W72)</f>
        <v/>
      </c>
      <c r="AU72" s="42"/>
      <c r="AV72" s="42"/>
    </row>
    <row r="73" spans="1:51" x14ac:dyDescent="0.2">
      <c r="B73" s="23" t="s">
        <v>349</v>
      </c>
      <c r="C73" s="23" t="s">
        <v>264</v>
      </c>
      <c r="D73" s="23"/>
      <c r="E73" s="23"/>
      <c r="F73" s="691"/>
      <c r="G73" s="23"/>
      <c r="H73" s="691"/>
      <c r="I73" s="103"/>
      <c r="J73" s="169"/>
      <c r="K73" s="172"/>
      <c r="L73" s="1612"/>
      <c r="M73" s="1624"/>
      <c r="N73" s="173"/>
      <c r="O73" s="1620"/>
      <c r="P73" s="96"/>
      <c r="Q73" s="96"/>
      <c r="R73" s="96"/>
      <c r="S73" s="96"/>
      <c r="T73" s="96"/>
      <c r="U73" s="96"/>
      <c r="V73" s="96"/>
      <c r="W73" s="96"/>
      <c r="X73" s="1601"/>
      <c r="AU73" s="42"/>
      <c r="AV73" s="42"/>
    </row>
    <row r="74" spans="1:51" ht="15" customHeight="1" x14ac:dyDescent="0.2">
      <c r="B74" s="23" t="s">
        <v>349</v>
      </c>
      <c r="C74" s="23" t="s">
        <v>356</v>
      </c>
      <c r="D74" s="23"/>
      <c r="E74" s="23"/>
      <c r="F74" s="691"/>
      <c r="G74" s="23"/>
      <c r="H74" s="691"/>
      <c r="I74" s="103"/>
      <c r="J74" s="93" t="s">
        <v>356</v>
      </c>
      <c r="K74" s="103"/>
      <c r="L74" s="1613" t="s">
        <v>3775</v>
      </c>
      <c r="M74" s="1636">
        <v>5</v>
      </c>
      <c r="N74" s="96"/>
      <c r="O74" s="1637">
        <f>M74*W74</f>
        <v>0</v>
      </c>
      <c r="P74" s="332" t="b">
        <v>1</v>
      </c>
      <c r="Q74" s="332" t="b">
        <v>0</v>
      </c>
      <c r="R74" s="96" t="b">
        <v>0</v>
      </c>
      <c r="S74" s="96" t="b">
        <v>1</v>
      </c>
      <c r="T74" s="96" t="b">
        <v>0</v>
      </c>
      <c r="U74" s="96"/>
      <c r="V74" s="96"/>
      <c r="W74" s="27"/>
      <c r="X74" s="1601"/>
      <c r="AL74" s="1352" t="str">
        <f>SUBSTITUTE(SUBSTITUTE(SUBSTITUTE("dpa"&amp;$B74&amp;$C74&amp;$D74&amp;$E74&amp;$F74,".","_"),"(","_"),")","")</f>
        <v>dpa503_1_7</v>
      </c>
      <c r="AM74" s="1352">
        <f>M74</f>
        <v>5</v>
      </c>
      <c r="AN74" s="1352" t="str">
        <f>SUBSTITUTE(SUBSTITUTE(SUBSTITUTE("dpc"&amp;$B74&amp;$C74&amp;$D74&amp;$E74&amp;$F74,".","_"),"(","_"),")","")</f>
        <v>dpc503_1_7</v>
      </c>
      <c r="AO74" s="1352">
        <f>O74</f>
        <v>0</v>
      </c>
      <c r="AP74" s="1352" t="str">
        <f>SUBSTITUTE(SUBSTITUTE(SUBSTITUTE("dch"&amp;$B74&amp;$C74&amp;$D74&amp;$E74&amp;$F74,".","_"),"(","_"),")","")</f>
        <v>dch503_1_7</v>
      </c>
      <c r="AQ74" s="1352" t="str">
        <f>IF(LEN(W74)=0,"",W74)</f>
        <v/>
      </c>
      <c r="AU74" s="42"/>
      <c r="AV74" s="42"/>
    </row>
    <row r="75" spans="1:51" s="823" customFormat="1" x14ac:dyDescent="0.2">
      <c r="A75" s="20"/>
      <c r="B75" s="23" t="s">
        <v>349</v>
      </c>
      <c r="C75" s="23" t="s">
        <v>356</v>
      </c>
      <c r="D75" s="23"/>
      <c r="E75" s="23"/>
      <c r="F75" s="691"/>
      <c r="G75" s="23"/>
      <c r="H75" s="691"/>
      <c r="I75" s="103"/>
      <c r="J75" s="93"/>
      <c r="K75" s="103"/>
      <c r="L75" s="1609"/>
      <c r="M75" s="1623"/>
      <c r="N75" s="96"/>
      <c r="O75" s="1619"/>
      <c r="R75" s="96"/>
      <c r="S75" s="96"/>
      <c r="T75" s="96"/>
      <c r="U75" s="96"/>
      <c r="V75" s="96"/>
      <c r="W75"/>
      <c r="X75" s="1621"/>
      <c r="AL75" s="17"/>
      <c r="AM75" s="17"/>
      <c r="AN75" s="17"/>
      <c r="AO75" s="17"/>
      <c r="AP75"/>
      <c r="AQ75"/>
      <c r="AR75"/>
      <c r="AS75"/>
      <c r="AX75"/>
      <c r="AY75"/>
    </row>
    <row r="76" spans="1:51" s="823" customFormat="1" ht="15" customHeight="1" x14ac:dyDescent="0.2">
      <c r="A76" s="20"/>
      <c r="B76" s="23" t="s">
        <v>349</v>
      </c>
      <c r="C76" s="23" t="s">
        <v>389</v>
      </c>
      <c r="D76" s="23"/>
      <c r="E76" s="23"/>
      <c r="F76" s="691"/>
      <c r="G76" s="23"/>
      <c r="H76" s="691"/>
      <c r="I76" s="103"/>
      <c r="J76" s="860" t="s">
        <v>389</v>
      </c>
      <c r="K76" s="865"/>
      <c r="L76" s="1633" t="s">
        <v>3938</v>
      </c>
      <c r="M76" s="1636">
        <v>6</v>
      </c>
      <c r="N76" s="96"/>
      <c r="O76" s="1637">
        <f>M76*W76</f>
        <v>0</v>
      </c>
      <c r="P76" s="823" t="b">
        <v>1</v>
      </c>
      <c r="Q76" s="823" t="b">
        <v>0</v>
      </c>
      <c r="R76" s="96" t="b">
        <v>0</v>
      </c>
      <c r="S76" s="96" t="b">
        <v>1</v>
      </c>
      <c r="T76" s="96" t="b">
        <v>0</v>
      </c>
      <c r="U76" s="96"/>
      <c r="V76" s="96"/>
      <c r="W76" s="27"/>
      <c r="X76" s="1621"/>
      <c r="AL76" s="1352" t="str">
        <f>SUBSTITUTE(SUBSTITUTE(SUBSTITUTE("dpa"&amp;$B76&amp;$C76&amp;$D76&amp;$E76&amp;$F76,".","_"),"(","_"),")","")</f>
        <v>dpa503_1_8</v>
      </c>
      <c r="AM76" s="1352">
        <f>M76</f>
        <v>6</v>
      </c>
      <c r="AN76" s="1352" t="str">
        <f>SUBSTITUTE(SUBSTITUTE(SUBSTITUTE("dpc"&amp;$B76&amp;$C76&amp;$D76&amp;$E76&amp;$F76,".","_"),"(","_"),")","")</f>
        <v>dpc503_1_8</v>
      </c>
      <c r="AO76" s="1352">
        <f>O76</f>
        <v>0</v>
      </c>
      <c r="AP76" s="1352" t="str">
        <f>SUBSTITUTE(SUBSTITUTE(SUBSTITUTE("dch"&amp;$B76&amp;$C76&amp;$D76&amp;$E76&amp;$F76,".","_"),"(","_"),")","")</f>
        <v>dch503_1_8</v>
      </c>
      <c r="AQ76" s="1352" t="str">
        <f>IF(LEN(W76)=0,"",W76)</f>
        <v/>
      </c>
      <c r="AR76"/>
      <c r="AS76"/>
      <c r="AX76"/>
      <c r="AY76"/>
    </row>
    <row r="77" spans="1:51" s="823" customFormat="1" x14ac:dyDescent="0.2">
      <c r="A77" s="20"/>
      <c r="B77" s="23" t="s">
        <v>349</v>
      </c>
      <c r="C77" s="23" t="s">
        <v>389</v>
      </c>
      <c r="D77" s="23"/>
      <c r="E77" s="23"/>
      <c r="F77" s="691"/>
      <c r="G77" s="23"/>
      <c r="H77" s="691"/>
      <c r="I77" s="103"/>
      <c r="J77" s="93"/>
      <c r="K77" s="103"/>
      <c r="L77" s="1634"/>
      <c r="M77" s="1623"/>
      <c r="N77" s="96"/>
      <c r="O77" s="1619"/>
      <c r="R77" s="96"/>
      <c r="S77" s="96"/>
      <c r="T77" s="96"/>
      <c r="U77" s="96"/>
      <c r="V77" s="96"/>
      <c r="W77"/>
      <c r="X77" s="1621"/>
      <c r="AL77" s="17"/>
      <c r="AM77" s="17"/>
      <c r="AN77" s="17"/>
      <c r="AO77" s="17"/>
      <c r="AP77"/>
      <c r="AQ77"/>
      <c r="AR77"/>
      <c r="AS77"/>
      <c r="AX77"/>
      <c r="AY77"/>
    </row>
    <row r="78" spans="1:51" s="823" customFormat="1" x14ac:dyDescent="0.2">
      <c r="A78" s="20"/>
      <c r="B78" s="23" t="s">
        <v>349</v>
      </c>
      <c r="C78" s="23" t="s">
        <v>389</v>
      </c>
      <c r="D78" s="23"/>
      <c r="E78" s="23"/>
      <c r="F78" s="691"/>
      <c r="G78" s="23"/>
      <c r="H78" s="691"/>
      <c r="I78" s="103"/>
      <c r="J78" s="93"/>
      <c r="K78" s="103"/>
      <c r="L78" s="1634"/>
      <c r="M78" s="1623"/>
      <c r="N78" s="96"/>
      <c r="O78" s="1619"/>
      <c r="R78" s="96"/>
      <c r="S78" s="96"/>
      <c r="T78" s="96"/>
      <c r="U78" s="96"/>
      <c r="V78" s="96"/>
      <c r="W78"/>
      <c r="X78" s="1621"/>
      <c r="AL78" s="17"/>
      <c r="AM78" s="17"/>
      <c r="AN78" s="17"/>
      <c r="AO78" s="17"/>
      <c r="AP78"/>
      <c r="AQ78"/>
      <c r="AR78"/>
      <c r="AS78"/>
      <c r="AX78"/>
      <c r="AY78"/>
    </row>
    <row r="79" spans="1:51" s="823" customFormat="1" x14ac:dyDescent="0.2">
      <c r="A79" s="20"/>
      <c r="B79" s="23" t="s">
        <v>349</v>
      </c>
      <c r="C79" s="23" t="s">
        <v>389</v>
      </c>
      <c r="D79" s="23"/>
      <c r="E79" s="23"/>
      <c r="F79" s="691"/>
      <c r="G79" s="23"/>
      <c r="H79" s="691"/>
      <c r="I79" s="103"/>
      <c r="J79" s="93"/>
      <c r="K79" s="103"/>
      <c r="L79" s="1634"/>
      <c r="M79" s="1623"/>
      <c r="N79" s="96"/>
      <c r="O79" s="1619"/>
      <c r="R79" s="96"/>
      <c r="S79" s="96"/>
      <c r="T79" s="96"/>
      <c r="U79" s="96"/>
      <c r="V79" s="96"/>
      <c r="W79"/>
      <c r="X79" s="1621"/>
      <c r="AL79" s="17"/>
      <c r="AM79" s="17"/>
      <c r="AN79" s="17"/>
      <c r="AO79" s="17"/>
      <c r="AP79"/>
      <c r="AQ79"/>
      <c r="AR79"/>
      <c r="AS79"/>
    </row>
    <row r="80" spans="1:51" s="823" customFormat="1" ht="16" thickBot="1" x14ac:dyDescent="0.25">
      <c r="A80" s="20"/>
      <c r="B80" s="23" t="s">
        <v>349</v>
      </c>
      <c r="C80" s="23" t="s">
        <v>389</v>
      </c>
      <c r="D80" s="23"/>
      <c r="E80" s="23"/>
      <c r="F80" s="691"/>
      <c r="G80" s="23"/>
      <c r="H80" s="691"/>
      <c r="I80" s="103"/>
      <c r="J80" s="98"/>
      <c r="K80" s="104"/>
      <c r="L80" s="1635"/>
      <c r="M80" s="1627"/>
      <c r="N80" s="96"/>
      <c r="O80" s="1638"/>
      <c r="R80" s="96"/>
      <c r="S80" s="96"/>
      <c r="T80" s="96"/>
      <c r="U80" s="96"/>
      <c r="V80" s="96"/>
      <c r="W80"/>
      <c r="X80" s="1621"/>
      <c r="AL80" s="17"/>
      <c r="AM80" s="17"/>
      <c r="AN80" s="17"/>
      <c r="AO80" s="17"/>
      <c r="AP80"/>
      <c r="AQ80"/>
      <c r="AR80"/>
      <c r="AS80"/>
    </row>
    <row r="81" spans="1:51" ht="16" thickTop="1" x14ac:dyDescent="0.2">
      <c r="B81" s="23" t="s">
        <v>357</v>
      </c>
      <c r="C81" s="23"/>
      <c r="D81" s="23"/>
      <c r="E81" s="23"/>
      <c r="F81" s="691"/>
      <c r="G81" s="23"/>
      <c r="H81" s="691"/>
      <c r="I81" s="107" t="s">
        <v>3488</v>
      </c>
      <c r="J81" s="108"/>
      <c r="K81" s="108"/>
      <c r="L81" s="125" t="s">
        <v>3511</v>
      </c>
      <c r="M81" s="370"/>
      <c r="N81" s="106"/>
      <c r="O81" s="421"/>
      <c r="P81" s="106"/>
      <c r="Q81" s="106"/>
      <c r="R81" s="106"/>
      <c r="S81" s="106"/>
      <c r="T81" s="106"/>
      <c r="U81" s="106"/>
      <c r="V81" s="106"/>
      <c r="W81" s="106" t="s">
        <v>602</v>
      </c>
      <c r="X81" s="1603"/>
      <c r="AR81" s="1352" t="str">
        <f>SUBSTITUTE(SUBSTITUTE(SUBSTITUTE("dnt"&amp;$B81&amp;$C81&amp;$D81&amp;$E81&amp;$F81,".","_"),"(","_"),")","")</f>
        <v>dnt503_2</v>
      </c>
      <c r="AS81" s="1352" t="str">
        <f>IF(LEN(X81)=0,"",X81)</f>
        <v/>
      </c>
      <c r="AU81" s="42"/>
      <c r="AV81" s="42"/>
      <c r="AX81" s="823"/>
      <c r="AY81" s="823"/>
    </row>
    <row r="82" spans="1:51" x14ac:dyDescent="0.2">
      <c r="B82" s="23" t="s">
        <v>357</v>
      </c>
      <c r="C82" s="23"/>
      <c r="D82" s="23"/>
      <c r="E82" s="23"/>
      <c r="F82" s="691"/>
      <c r="G82" s="23"/>
      <c r="H82" s="691"/>
      <c r="I82" s="102"/>
      <c r="J82" s="103"/>
      <c r="K82" s="103"/>
      <c r="L82" s="159" t="s">
        <v>2851</v>
      </c>
      <c r="M82" s="371"/>
      <c r="N82" s="96"/>
      <c r="O82" s="238"/>
      <c r="P82" s="332" t="b">
        <v>1</v>
      </c>
      <c r="Q82" s="332" t="b">
        <v>1</v>
      </c>
      <c r="R82" s="96" t="b">
        <v>0</v>
      </c>
      <c r="S82" s="96" t="b">
        <v>1</v>
      </c>
      <c r="T82" s="96" t="b">
        <v>0</v>
      </c>
      <c r="U82" s="96"/>
      <c r="V82" s="96"/>
      <c r="W82" s="109"/>
      <c r="X82" s="1601"/>
      <c r="Z82" s="73"/>
      <c r="AB82" s="73"/>
      <c r="AC82" s="73"/>
      <c r="AD82" s="73"/>
      <c r="AE82" s="73"/>
      <c r="AF82" s="73"/>
      <c r="AG82" s="73"/>
      <c r="AH82" s="73"/>
      <c r="AI82" s="73"/>
      <c r="AJ82" s="73"/>
      <c r="AK82" s="73"/>
      <c r="AP82" s="1352" t="str">
        <f>SUBSTITUTE(SUBSTITUTE(SUBSTITUTE("dch"&amp;$B82&amp;$C82&amp;$D82&amp;$E82&amp;$F82,".","_"),"(","_"),")","")</f>
        <v>dch503_2</v>
      </c>
      <c r="AQ82" s="1352" t="str">
        <f>IF(LEN(W82)=0,"",W82)</f>
        <v/>
      </c>
      <c r="AU82" s="42"/>
      <c r="AV82" s="42"/>
      <c r="AX82" s="823"/>
      <c r="AY82" s="823"/>
    </row>
    <row r="83" spans="1:51" x14ac:dyDescent="0.2">
      <c r="B83" s="23" t="s">
        <v>357</v>
      </c>
      <c r="C83" s="23" t="s">
        <v>254</v>
      </c>
      <c r="D83" s="23"/>
      <c r="E83" s="23"/>
      <c r="F83" s="691"/>
      <c r="G83" s="23"/>
      <c r="H83" s="691"/>
      <c r="I83" s="103"/>
      <c r="J83" s="169" t="s">
        <v>254</v>
      </c>
      <c r="K83" s="172"/>
      <c r="L83" s="170" t="s">
        <v>3776</v>
      </c>
      <c r="M83" s="373">
        <v>5</v>
      </c>
      <c r="N83" s="173"/>
      <c r="O83" s="422">
        <f>M83*W83*S83</f>
        <v>0</v>
      </c>
      <c r="P83" s="332" t="b">
        <v>1</v>
      </c>
      <c r="Q83" s="332" t="b">
        <v>1</v>
      </c>
      <c r="R83" s="96" t="b">
        <v>0</v>
      </c>
      <c r="S83" s="96" t="b">
        <f>IF(W82&gt;=0.25,TRUE,FALSE)</f>
        <v>0</v>
      </c>
      <c r="T83" s="96" t="b">
        <f>AND(NOT(S83),W83=TRUE)</f>
        <v>0</v>
      </c>
      <c r="U83" s="96"/>
      <c r="V83" s="96"/>
      <c r="W83" s="27"/>
      <c r="X83" s="1601"/>
      <c r="AC83" s="78" t="b">
        <f>OR(AD83:AE83)</f>
        <v>0</v>
      </c>
      <c r="AD83" s="17" t="b">
        <f>T83</f>
        <v>0</v>
      </c>
      <c r="AL83" s="1352" t="str">
        <f>SUBSTITUTE(SUBSTITUTE(SUBSTITUTE("dpa"&amp;$B83&amp;$C83&amp;$D83&amp;$E83&amp;$F83,".","_"),"(","_"),")","")</f>
        <v>dpa503_2_1</v>
      </c>
      <c r="AM83" s="1352">
        <f>M83</f>
        <v>5</v>
      </c>
      <c r="AN83" s="1352" t="str">
        <f>SUBSTITUTE(SUBSTITUTE(SUBSTITUTE("dpc"&amp;$B83&amp;$C83&amp;$D83&amp;$E83&amp;$F83,".","_"),"(","_"),")","")</f>
        <v>dpc503_2_1</v>
      </c>
      <c r="AO83" s="1352">
        <f>O83</f>
        <v>0</v>
      </c>
      <c r="AP83" s="1352" t="str">
        <f>SUBSTITUTE(SUBSTITUTE(SUBSTITUTE("dch"&amp;$B83&amp;$C83&amp;$D83&amp;$E83&amp;$F83,".","_"),"(","_"),")","")</f>
        <v>dch503_2_1</v>
      </c>
      <c r="AQ83" s="1352" t="str">
        <f>IF(LEN(W83)=0,"",W83)</f>
        <v/>
      </c>
      <c r="AU83" s="42"/>
      <c r="AV83" s="42"/>
      <c r="AX83" s="823"/>
      <c r="AY83" s="823"/>
    </row>
    <row r="84" spans="1:51" x14ac:dyDescent="0.2">
      <c r="B84" s="23" t="s">
        <v>357</v>
      </c>
      <c r="C84" s="23" t="s">
        <v>255</v>
      </c>
      <c r="D84" s="23"/>
      <c r="E84" s="23"/>
      <c r="F84" s="691"/>
      <c r="G84" s="23"/>
      <c r="H84" s="691"/>
      <c r="I84" s="103"/>
      <c r="J84" s="93" t="s">
        <v>255</v>
      </c>
      <c r="K84" s="103"/>
      <c r="L84" s="1609" t="s">
        <v>3777</v>
      </c>
      <c r="M84" s="1623">
        <v>5</v>
      </c>
      <c r="N84" s="96"/>
      <c r="O84" s="1619">
        <f>M84*W84*S84</f>
        <v>0</v>
      </c>
      <c r="P84" s="332" t="b">
        <v>1</v>
      </c>
      <c r="Q84" s="332" t="b">
        <v>1</v>
      </c>
      <c r="R84" s="96" t="b">
        <v>0</v>
      </c>
      <c r="S84" s="96" t="b">
        <f>S83</f>
        <v>0</v>
      </c>
      <c r="T84" s="96" t="b">
        <f>AND(NOT(S84),W84=TRUE)</f>
        <v>0</v>
      </c>
      <c r="U84" s="96"/>
      <c r="V84" s="96"/>
      <c r="W84" s="27"/>
      <c r="X84" s="1601"/>
      <c r="AC84" s="78" t="b">
        <f>OR(AD84:AE84)</f>
        <v>0</v>
      </c>
      <c r="AD84" s="73" t="b">
        <f>T84</f>
        <v>0</v>
      </c>
      <c r="AL84" s="1352" t="str">
        <f>SUBSTITUTE(SUBSTITUTE(SUBSTITUTE("dpa"&amp;$B84&amp;$C84&amp;$D84&amp;$E84&amp;$F84,".","_"),"(","_"),")","")</f>
        <v>dpa503_2_2</v>
      </c>
      <c r="AM84" s="1352">
        <f>M84</f>
        <v>5</v>
      </c>
      <c r="AN84" s="1352" t="str">
        <f>SUBSTITUTE(SUBSTITUTE(SUBSTITUTE("dpc"&amp;$B84&amp;$C84&amp;$D84&amp;$E84&amp;$F84,".","_"),"(","_"),")","")</f>
        <v>dpc503_2_2</v>
      </c>
      <c r="AO84" s="1352">
        <f>O84</f>
        <v>0</v>
      </c>
      <c r="AP84" s="1352" t="str">
        <f>SUBSTITUTE(SUBSTITUTE(SUBSTITUTE("dch"&amp;$B84&amp;$C84&amp;$D84&amp;$E84&amp;$F84,".","_"),"(","_"),")","")</f>
        <v>dch503_2_2</v>
      </c>
      <c r="AQ84" s="1352" t="str">
        <f>IF(LEN(W84)=0,"",W84)</f>
        <v/>
      </c>
      <c r="AU84" s="42"/>
      <c r="AV84" s="42"/>
      <c r="AX84" s="823"/>
      <c r="AY84" s="823"/>
    </row>
    <row r="85" spans="1:51" x14ac:dyDescent="0.2">
      <c r="B85" s="23" t="s">
        <v>357</v>
      </c>
      <c r="C85" s="23" t="s">
        <v>255</v>
      </c>
      <c r="D85" s="23"/>
      <c r="E85" s="23"/>
      <c r="F85" s="691"/>
      <c r="G85" s="23"/>
      <c r="H85" s="691"/>
      <c r="I85" s="103"/>
      <c r="J85" s="172"/>
      <c r="K85" s="172"/>
      <c r="L85" s="1612"/>
      <c r="M85" s="1624"/>
      <c r="N85" s="173"/>
      <c r="O85" s="1620"/>
      <c r="P85" s="96"/>
      <c r="Q85" s="96"/>
      <c r="R85" s="96"/>
      <c r="S85" s="96"/>
      <c r="T85" s="96"/>
      <c r="U85" s="96"/>
      <c r="V85" s="96"/>
      <c r="W85" s="96"/>
      <c r="X85" s="1601"/>
      <c r="AU85" s="42"/>
      <c r="AV85" s="42"/>
    </row>
    <row r="86" spans="1:51" x14ac:dyDescent="0.2">
      <c r="B86" s="23" t="s">
        <v>357</v>
      </c>
      <c r="C86" s="23" t="s">
        <v>256</v>
      </c>
      <c r="D86" s="23"/>
      <c r="E86" s="23"/>
      <c r="F86" s="691"/>
      <c r="G86" s="23"/>
      <c r="H86" s="691"/>
      <c r="I86" s="103"/>
      <c r="J86" s="93" t="s">
        <v>256</v>
      </c>
      <c r="K86" s="103"/>
      <c r="L86" s="1609" t="s">
        <v>3778</v>
      </c>
      <c r="M86" s="371"/>
      <c r="N86" s="96"/>
      <c r="O86" s="1619">
        <f ca="1">S86*IFERROR(INDEX({1,4,6},MATCH(W86,INDIRECT(U86))),0)</f>
        <v>0</v>
      </c>
      <c r="P86" s="332" t="b">
        <v>1</v>
      </c>
      <c r="Q86" s="332" t="b">
        <v>1</v>
      </c>
      <c r="R86" s="96" t="b">
        <v>0</v>
      </c>
      <c r="S86" s="96" t="b">
        <f>S83</f>
        <v>0</v>
      </c>
      <c r="T86" s="96" t="b">
        <f>AND(NOT(S86),LEN(W86)&gt;0)</f>
        <v>0</v>
      </c>
      <c r="U86" s="96" t="str">
        <f>SUBSTITUTE(SUBSTITUTE(SUBSTITUTE("dd"&amp;B86&amp;C86&amp;D86&amp;E86&amp;F86,".","_"),"(","_"),")","")</f>
        <v>dd503_2_3</v>
      </c>
      <c r="V86" s="96"/>
      <c r="W86" s="12"/>
      <c r="X86" s="1601"/>
      <c r="AC86" s="78" t="b">
        <f>OR(AD86:AE86)</f>
        <v>0</v>
      </c>
      <c r="AD86" s="73" t="b">
        <f>T86</f>
        <v>0</v>
      </c>
      <c r="AN86" s="1352" t="str">
        <f>SUBSTITUTE(SUBSTITUTE(SUBSTITUTE("dpc"&amp;$B86&amp;$C86&amp;$D86&amp;$E86&amp;$F86,".","_"),"(","_"),")","")</f>
        <v>dpc503_2_3</v>
      </c>
      <c r="AO86" s="1352">
        <f ca="1">O86</f>
        <v>0</v>
      </c>
      <c r="AP86" s="1352" t="str">
        <f>SUBSTITUTE(SUBSTITUTE(SUBSTITUTE("dch"&amp;$B86&amp;$C86&amp;$D86&amp;$E86&amp;$F86,".","_"),"(","_"),")","")</f>
        <v>dch503_2_3</v>
      </c>
      <c r="AQ86" s="1352" t="str">
        <f>IF(LEN(W86)=0,"",W86)</f>
        <v/>
      </c>
      <c r="AU86" s="42"/>
      <c r="AV86" s="42"/>
    </row>
    <row r="87" spans="1:51" x14ac:dyDescent="0.2">
      <c r="B87" s="23" t="s">
        <v>357</v>
      </c>
      <c r="C87" s="23" t="s">
        <v>256</v>
      </c>
      <c r="D87" s="23"/>
      <c r="E87" s="23"/>
      <c r="F87" s="691"/>
      <c r="G87" s="23"/>
      <c r="H87" s="691"/>
      <c r="I87" s="103"/>
      <c r="J87" s="103"/>
      <c r="K87" s="103"/>
      <c r="L87" s="1609"/>
      <c r="M87" s="371"/>
      <c r="N87" s="96"/>
      <c r="O87" s="1619"/>
      <c r="P87" s="96"/>
      <c r="Q87" s="96"/>
      <c r="R87" s="96"/>
      <c r="S87" s="96"/>
      <c r="T87" s="96"/>
      <c r="U87" s="96"/>
      <c r="V87" s="96"/>
      <c r="W87" s="96"/>
      <c r="X87" s="1601"/>
      <c r="AT87" s="73"/>
      <c r="AU87" s="42"/>
      <c r="AV87" s="42"/>
    </row>
    <row r="88" spans="1:51" x14ac:dyDescent="0.2">
      <c r="B88" s="23" t="s">
        <v>357</v>
      </c>
      <c r="C88" s="23" t="s">
        <v>256</v>
      </c>
      <c r="D88" s="23" t="s">
        <v>121</v>
      </c>
      <c r="E88" s="23"/>
      <c r="F88" s="691"/>
      <c r="G88" s="23"/>
      <c r="H88" s="691"/>
      <c r="I88" s="103"/>
      <c r="J88" s="103"/>
      <c r="K88" s="93" t="s">
        <v>121</v>
      </c>
      <c r="L88" s="97" t="s">
        <v>629</v>
      </c>
      <c r="M88" s="371">
        <v>1</v>
      </c>
      <c r="N88" s="96"/>
      <c r="O88" s="238"/>
      <c r="P88" s="96"/>
      <c r="Q88" s="96"/>
      <c r="R88" s="96"/>
      <c r="S88" s="96"/>
      <c r="T88" s="96"/>
      <c r="U88" s="96"/>
      <c r="V88" s="96"/>
      <c r="W88" s="96"/>
      <c r="X88" s="1601"/>
      <c r="AL88" s="1352" t="str">
        <f>SUBSTITUTE(SUBSTITUTE(SUBSTITUTE("dpa"&amp;$B88&amp;$C88&amp;$D88&amp;$E88&amp;$F88,".","_"),"(","_"),")","")</f>
        <v>dpa503_2_3_a</v>
      </c>
      <c r="AM88" s="1352">
        <f>M88</f>
        <v>1</v>
      </c>
      <c r="AU88" s="42"/>
      <c r="AV88" s="42"/>
    </row>
    <row r="89" spans="1:51" s="73" customFormat="1" x14ac:dyDescent="0.2">
      <c r="A89" s="20"/>
      <c r="B89" s="23" t="s">
        <v>357</v>
      </c>
      <c r="C89" s="23" t="s">
        <v>256</v>
      </c>
      <c r="D89" s="23" t="s">
        <v>122</v>
      </c>
      <c r="E89" s="23"/>
      <c r="F89" s="691"/>
      <c r="G89" s="23"/>
      <c r="H89" s="691"/>
      <c r="I89" s="103"/>
      <c r="J89" s="103"/>
      <c r="K89" s="93" t="s">
        <v>122</v>
      </c>
      <c r="L89" s="97" t="s">
        <v>358</v>
      </c>
      <c r="M89" s="371">
        <v>4</v>
      </c>
      <c r="N89" s="96"/>
      <c r="O89" s="238"/>
      <c r="P89" s="96"/>
      <c r="Q89" s="96"/>
      <c r="R89" s="96"/>
      <c r="S89" s="96"/>
      <c r="T89" s="96"/>
      <c r="U89" s="96"/>
      <c r="V89" s="96"/>
      <c r="W89" s="96"/>
      <c r="X89" s="1601"/>
      <c r="Y89" s="704"/>
      <c r="Z89"/>
      <c r="AA89" s="707"/>
      <c r="AB89" s="42"/>
      <c r="AC89" s="17"/>
      <c r="AD89" s="17"/>
      <c r="AE89" s="17"/>
      <c r="AF89" s="17"/>
      <c r="AG89" s="17"/>
      <c r="AH89" s="17"/>
      <c r="AI89" s="17"/>
      <c r="AJ89" s="17"/>
      <c r="AK89" s="17"/>
      <c r="AL89" s="1352" t="str">
        <f t="shared" ref="AL89:AL90" si="2">SUBSTITUTE(SUBSTITUTE(SUBSTITUTE("dpa"&amp;$B89&amp;$C89&amp;$D89&amp;$E89&amp;$F89,".","_"),"(","_"),")","")</f>
        <v>dpa503_2_3_b</v>
      </c>
      <c r="AM89" s="1352">
        <f t="shared" ref="AM89:AM90" si="3">M89</f>
        <v>4</v>
      </c>
      <c r="AN89" s="17"/>
      <c r="AO89" s="17"/>
      <c r="AP89"/>
      <c r="AQ89"/>
      <c r="AR89"/>
      <c r="AS89"/>
      <c r="AT89"/>
      <c r="AX89"/>
      <c r="AY89"/>
    </row>
    <row r="90" spans="1:51" x14ac:dyDescent="0.2">
      <c r="B90" s="23" t="s">
        <v>357</v>
      </c>
      <c r="C90" s="23" t="s">
        <v>256</v>
      </c>
      <c r="D90" s="28" t="s">
        <v>123</v>
      </c>
      <c r="E90" s="28"/>
      <c r="F90" s="692"/>
      <c r="G90" s="28"/>
      <c r="H90" s="692"/>
      <c r="I90" s="103"/>
      <c r="J90" s="172"/>
      <c r="K90" s="174" t="s">
        <v>123</v>
      </c>
      <c r="L90" s="170" t="s">
        <v>359</v>
      </c>
      <c r="M90" s="373">
        <v>6</v>
      </c>
      <c r="N90" s="96"/>
      <c r="O90" s="422"/>
      <c r="P90" s="96"/>
      <c r="Q90" s="96"/>
      <c r="R90" s="96"/>
      <c r="S90" s="96"/>
      <c r="T90" s="96"/>
      <c r="U90" s="96"/>
      <c r="V90" s="96"/>
      <c r="W90" s="96"/>
      <c r="X90" s="1601"/>
      <c r="AL90" s="1352" t="str">
        <f t="shared" si="2"/>
        <v>dpa503_2_3_c</v>
      </c>
      <c r="AM90" s="1352">
        <f t="shared" si="3"/>
        <v>6</v>
      </c>
      <c r="AU90" s="42"/>
      <c r="AV90" s="42"/>
    </row>
    <row r="91" spans="1:51" x14ac:dyDescent="0.2">
      <c r="B91" s="23" t="s">
        <v>357</v>
      </c>
      <c r="C91" s="23" t="s">
        <v>259</v>
      </c>
      <c r="D91" s="23"/>
      <c r="E91" s="23"/>
      <c r="F91" s="691"/>
      <c r="G91" s="23"/>
      <c r="H91" s="691"/>
      <c r="I91" s="103"/>
      <c r="J91" s="93" t="s">
        <v>259</v>
      </c>
      <c r="K91" s="103"/>
      <c r="L91" s="1609" t="s">
        <v>360</v>
      </c>
      <c r="M91" s="1623">
        <v>6</v>
      </c>
      <c r="N91" s="195"/>
      <c r="O91" s="1619">
        <f>M91*W91*S91</f>
        <v>0</v>
      </c>
      <c r="P91" s="332" t="b">
        <v>1</v>
      </c>
      <c r="Q91" s="332" t="b">
        <v>1</v>
      </c>
      <c r="R91" s="96" t="b">
        <v>0</v>
      </c>
      <c r="S91" s="96" t="b">
        <f>S83</f>
        <v>0</v>
      </c>
      <c r="T91" s="96" t="b">
        <f>AND(NOT(S91),W91=TRUE)</f>
        <v>0</v>
      </c>
      <c r="U91" s="96"/>
      <c r="V91" s="96"/>
      <c r="W91" s="27"/>
      <c r="X91" s="1601"/>
      <c r="AC91" s="78" t="b">
        <f>OR(AD91:AE91)</f>
        <v>0</v>
      </c>
      <c r="AD91" s="73" t="b">
        <f>T91</f>
        <v>0</v>
      </c>
      <c r="AL91" s="1352" t="str">
        <f>SUBSTITUTE(SUBSTITUTE(SUBSTITUTE("dpa"&amp;$B91&amp;$C91&amp;$D91&amp;$E91&amp;$F91,".","_"),"(","_"),")","")</f>
        <v>dpa503_2_4</v>
      </c>
      <c r="AM91" s="1352">
        <f>M91</f>
        <v>6</v>
      </c>
      <c r="AN91" s="1352" t="str">
        <f>SUBSTITUTE(SUBSTITUTE(SUBSTITUTE("dpc"&amp;$B91&amp;$C91&amp;$D91&amp;$E91&amp;$F91,".","_"),"(","_"),")","")</f>
        <v>dpc503_2_4</v>
      </c>
      <c r="AO91" s="1352">
        <f>O91</f>
        <v>0</v>
      </c>
      <c r="AP91" s="1352" t="str">
        <f>SUBSTITUTE(SUBSTITUTE(SUBSTITUTE("dch"&amp;$B91&amp;$C91&amp;$D91&amp;$E91&amp;$F91,".","_"),"(","_"),")","")</f>
        <v>dch503_2_4</v>
      </c>
      <c r="AQ91" s="1352" t="str">
        <f>IF(LEN(W91)=0,"",W91)</f>
        <v/>
      </c>
      <c r="AU91" s="42"/>
      <c r="AV91" s="42"/>
      <c r="AX91" s="73"/>
      <c r="AY91" s="73"/>
    </row>
    <row r="92" spans="1:51" x14ac:dyDescent="0.2">
      <c r="B92" s="23" t="s">
        <v>357</v>
      </c>
      <c r="C92" s="23" t="s">
        <v>259</v>
      </c>
      <c r="D92" s="23"/>
      <c r="E92" s="23"/>
      <c r="F92" s="691"/>
      <c r="G92" s="23"/>
      <c r="H92" s="691"/>
      <c r="I92" s="103"/>
      <c r="J92" s="172"/>
      <c r="K92" s="172"/>
      <c r="L92" s="1612"/>
      <c r="M92" s="1624"/>
      <c r="N92" s="173"/>
      <c r="O92" s="1620"/>
      <c r="P92" s="96"/>
      <c r="Q92" s="96"/>
      <c r="R92" s="96"/>
      <c r="S92" s="96"/>
      <c r="T92" s="96"/>
      <c r="U92" s="96"/>
      <c r="V92" s="96"/>
      <c r="W92" s="96"/>
      <c r="X92" s="1601"/>
      <c r="AU92" s="42"/>
      <c r="AV92" s="42"/>
    </row>
    <row r="93" spans="1:51" ht="16" thickBot="1" x14ac:dyDescent="0.25">
      <c r="B93" s="23" t="s">
        <v>357</v>
      </c>
      <c r="C93" s="23" t="s">
        <v>263</v>
      </c>
      <c r="D93" s="23"/>
      <c r="E93" s="23"/>
      <c r="F93" s="691"/>
      <c r="G93" s="23"/>
      <c r="H93" s="691"/>
      <c r="I93" s="104"/>
      <c r="J93" s="98" t="s">
        <v>263</v>
      </c>
      <c r="K93" s="104"/>
      <c r="L93" s="99" t="s">
        <v>361</v>
      </c>
      <c r="M93" s="375">
        <v>5</v>
      </c>
      <c r="N93" s="100"/>
      <c r="O93" s="240">
        <f>M93*W93*S93</f>
        <v>0</v>
      </c>
      <c r="P93" s="332" t="b">
        <v>1</v>
      </c>
      <c r="Q93" s="332" t="b">
        <v>1</v>
      </c>
      <c r="R93" s="100" t="b">
        <v>0</v>
      </c>
      <c r="S93" s="100" t="b">
        <f>S83</f>
        <v>0</v>
      </c>
      <c r="T93" s="96" t="b">
        <f>AND(NOT(S93),W93=TRUE)</f>
        <v>0</v>
      </c>
      <c r="U93" s="100"/>
      <c r="V93" s="100"/>
      <c r="W93" s="27"/>
      <c r="X93" s="1602"/>
      <c r="AC93" s="78" t="b">
        <f>OR(AD93:AE93)</f>
        <v>0</v>
      </c>
      <c r="AD93" s="73" t="b">
        <f>T93</f>
        <v>0</v>
      </c>
      <c r="AL93" s="1352" t="str">
        <f>SUBSTITUTE(SUBSTITUTE(SUBSTITUTE("dpa"&amp;$B93&amp;$C93&amp;$D93&amp;$E93&amp;$F93,".","_"),"(","_"),")","")</f>
        <v>dpa503_2_5</v>
      </c>
      <c r="AM93" s="1352">
        <f>M93</f>
        <v>5</v>
      </c>
      <c r="AN93" s="1352" t="str">
        <f>SUBSTITUTE(SUBSTITUTE(SUBSTITUTE("dpc"&amp;$B93&amp;$C93&amp;$D93&amp;$E93&amp;$F93,".","_"),"(","_"),")","")</f>
        <v>dpc503_2_5</v>
      </c>
      <c r="AO93" s="1352">
        <f>O93</f>
        <v>0</v>
      </c>
      <c r="AP93" s="1352" t="str">
        <f>SUBSTITUTE(SUBSTITUTE(SUBSTITUTE("dch"&amp;$B93&amp;$C93&amp;$D93&amp;$E93&amp;$F93,".","_"),"(","_"),")","")</f>
        <v>dch503_2_5</v>
      </c>
      <c r="AQ93" s="1352" t="str">
        <f>IF(LEN(W93)=0,"",W93)</f>
        <v/>
      </c>
      <c r="AU93" s="42"/>
      <c r="AV93" s="42"/>
    </row>
    <row r="94" spans="1:51" ht="16" thickTop="1" x14ac:dyDescent="0.2">
      <c r="B94" s="23" t="s">
        <v>362</v>
      </c>
      <c r="C94" s="23"/>
      <c r="D94" s="23"/>
      <c r="E94" s="23"/>
      <c r="F94" s="691"/>
      <c r="G94" s="23"/>
      <c r="H94" s="691"/>
      <c r="I94" s="107" t="s">
        <v>3489</v>
      </c>
      <c r="J94" s="108"/>
      <c r="K94" s="108"/>
      <c r="L94" s="1683" t="s">
        <v>5035</v>
      </c>
      <c r="M94" s="370"/>
      <c r="N94" s="106"/>
      <c r="O94" s="421"/>
      <c r="P94" s="106"/>
      <c r="Q94" s="106"/>
      <c r="R94" s="106"/>
      <c r="S94" s="106"/>
      <c r="T94" s="106"/>
      <c r="U94" s="106"/>
      <c r="V94" s="106"/>
      <c r="W94" s="106"/>
      <c r="X94" s="1603"/>
      <c r="AR94" s="1352" t="str">
        <f>SUBSTITUTE(SUBSTITUTE(SUBSTITUTE("dnt"&amp;$B94&amp;$C94&amp;$D94&amp;$E94&amp;$F94,".","_"),"(","_"),")","")</f>
        <v>dnt503_3</v>
      </c>
      <c r="AS94" s="1352" t="str">
        <f>IF(LEN(X94)=0,"",X94)</f>
        <v/>
      </c>
      <c r="AU94" s="42"/>
      <c r="AV94" s="42"/>
    </row>
    <row r="95" spans="1:51" x14ac:dyDescent="0.2">
      <c r="B95" s="23" t="s">
        <v>362</v>
      </c>
      <c r="C95" s="23"/>
      <c r="D95" s="23"/>
      <c r="E95" s="23"/>
      <c r="F95" s="691"/>
      <c r="G95" s="23"/>
      <c r="H95" s="691"/>
      <c r="I95" s="103"/>
      <c r="J95" s="103"/>
      <c r="K95" s="103"/>
      <c r="L95" s="1629"/>
      <c r="M95" s="371"/>
      <c r="N95" s="96"/>
      <c r="O95" s="238"/>
      <c r="P95" s="96"/>
      <c r="Q95" s="96"/>
      <c r="R95" s="96"/>
      <c r="S95" s="96"/>
      <c r="T95" s="96"/>
      <c r="U95" s="96"/>
      <c r="V95" s="96"/>
      <c r="W95" s="96"/>
      <c r="X95" s="1601"/>
      <c r="AU95" s="42"/>
      <c r="AV95" s="42"/>
    </row>
    <row r="96" spans="1:51" x14ac:dyDescent="0.2">
      <c r="B96" s="23" t="s">
        <v>362</v>
      </c>
      <c r="C96" s="23"/>
      <c r="D96" s="23"/>
      <c r="E96" s="23"/>
      <c r="F96" s="691"/>
      <c r="G96" s="23"/>
      <c r="H96" s="691"/>
      <c r="I96" s="103"/>
      <c r="J96" s="103"/>
      <c r="K96" s="103"/>
      <c r="L96" s="159" t="s">
        <v>3780</v>
      </c>
      <c r="M96" s="371"/>
      <c r="N96" s="96"/>
      <c r="O96" s="238"/>
      <c r="P96" s="96"/>
      <c r="Q96" s="96"/>
      <c r="R96" s="96"/>
      <c r="S96" s="96"/>
      <c r="T96" s="96"/>
      <c r="U96" s="96"/>
      <c r="V96" s="96"/>
      <c r="W96" s="96"/>
      <c r="X96" s="1601"/>
      <c r="Z96" s="123"/>
      <c r="AB96" s="123"/>
      <c r="AC96" s="123"/>
      <c r="AD96" s="123"/>
      <c r="AE96" s="123"/>
      <c r="AF96" s="123"/>
      <c r="AG96" s="123"/>
      <c r="AH96" s="123"/>
      <c r="AI96" s="123"/>
      <c r="AJ96" s="123"/>
      <c r="AK96" s="123"/>
      <c r="AU96" s="42"/>
      <c r="AV96" s="42"/>
    </row>
    <row r="97" spans="1:51" x14ac:dyDescent="0.2">
      <c r="B97" s="23" t="s">
        <v>362</v>
      </c>
      <c r="C97" s="23" t="s">
        <v>254</v>
      </c>
      <c r="D97" s="23"/>
      <c r="E97" s="23"/>
      <c r="F97" s="691"/>
      <c r="G97" s="23"/>
      <c r="H97" s="691"/>
      <c r="I97" s="103"/>
      <c r="J97" s="93" t="s">
        <v>254</v>
      </c>
      <c r="K97" s="103"/>
      <c r="L97" s="1609" t="s">
        <v>3781</v>
      </c>
      <c r="M97" s="1623">
        <v>2</v>
      </c>
      <c r="N97" s="96"/>
      <c r="O97" s="1619">
        <f>M97*W97</f>
        <v>0</v>
      </c>
      <c r="P97" s="332" t="b">
        <v>1</v>
      </c>
      <c r="Q97" s="332" t="b">
        <v>0</v>
      </c>
      <c r="R97" s="96" t="b">
        <v>0</v>
      </c>
      <c r="S97" s="96" t="b">
        <v>1</v>
      </c>
      <c r="T97" s="96" t="b">
        <v>0</v>
      </c>
      <c r="U97" s="96"/>
      <c r="V97" s="96"/>
      <c r="W97" s="27"/>
      <c r="X97" s="1601"/>
      <c r="AL97" s="1352" t="str">
        <f>SUBSTITUTE(SUBSTITUTE(SUBSTITUTE("dpa"&amp;$B97&amp;$C97&amp;$D97&amp;$E97&amp;$F97,".","_"),"(","_"),")","")</f>
        <v>dpa503_3_1</v>
      </c>
      <c r="AM97" s="1352">
        <f>M97</f>
        <v>2</v>
      </c>
      <c r="AN97" s="1352" t="str">
        <f>SUBSTITUTE(SUBSTITUTE(SUBSTITUTE("dpc"&amp;$B97&amp;$C97&amp;$D97&amp;$E97&amp;$F97,".","_"),"(","_"),")","")</f>
        <v>dpc503_3_1</v>
      </c>
      <c r="AO97" s="1352">
        <f>O97</f>
        <v>0</v>
      </c>
      <c r="AP97" s="1352" t="str">
        <f>SUBSTITUTE(SUBSTITUTE(SUBSTITUTE("dch"&amp;$B97&amp;$C97&amp;$D97&amp;$E97&amp;$F97,".","_"),"(","_"),")","")</f>
        <v>dch503_3_1</v>
      </c>
      <c r="AQ97" s="1352" t="str">
        <f>IF(LEN(W97)=0,"",W97)</f>
        <v/>
      </c>
      <c r="AU97" s="42"/>
      <c r="AV97" s="42"/>
    </row>
    <row r="98" spans="1:51" x14ac:dyDescent="0.2">
      <c r="B98" s="23" t="s">
        <v>362</v>
      </c>
      <c r="C98" s="23" t="s">
        <v>254</v>
      </c>
      <c r="D98" s="23"/>
      <c r="E98" s="23"/>
      <c r="F98" s="691"/>
      <c r="G98" s="23"/>
      <c r="H98" s="691"/>
      <c r="I98" s="103"/>
      <c r="J98" s="169"/>
      <c r="K98" s="172"/>
      <c r="L98" s="1612"/>
      <c r="M98" s="1624"/>
      <c r="N98" s="173"/>
      <c r="O98" s="1620"/>
      <c r="P98" s="96"/>
      <c r="Q98" s="96"/>
      <c r="R98" s="96"/>
      <c r="S98" s="96"/>
      <c r="T98" s="96"/>
      <c r="U98" s="96"/>
      <c r="V98" s="96"/>
      <c r="W98" s="96"/>
      <c r="X98" s="1601"/>
      <c r="AU98" s="42"/>
      <c r="AV98" s="42"/>
    </row>
    <row r="99" spans="1:51" x14ac:dyDescent="0.2">
      <c r="B99" s="23" t="s">
        <v>362</v>
      </c>
      <c r="C99" s="23" t="s">
        <v>255</v>
      </c>
      <c r="D99" s="23"/>
      <c r="E99" s="23"/>
      <c r="F99" s="691"/>
      <c r="G99" s="23"/>
      <c r="H99" s="691"/>
      <c r="I99" s="103"/>
      <c r="J99" s="93" t="s">
        <v>255</v>
      </c>
      <c r="K99" s="103"/>
      <c r="L99" s="1151" t="s">
        <v>3782</v>
      </c>
      <c r="M99" s="1157">
        <v>2</v>
      </c>
      <c r="N99" s="1158"/>
      <c r="O99" s="1158">
        <f>M99*MIN(W100+W101+W103+W104,1)*S100</f>
        <v>0</v>
      </c>
      <c r="P99" s="332" t="b">
        <v>1</v>
      </c>
      <c r="Q99" s="332" t="b">
        <v>0</v>
      </c>
      <c r="R99" s="96" t="b">
        <v>0</v>
      </c>
      <c r="S99" s="96" t="b">
        <v>1</v>
      </c>
      <c r="T99" s="96" t="b">
        <v>0</v>
      </c>
      <c r="U99" s="96"/>
      <c r="V99" s="96"/>
      <c r="W99" s="96"/>
      <c r="X99" s="1601"/>
      <c r="AL99" s="1352" t="str">
        <f>SUBSTITUTE(SUBSTITUTE(SUBSTITUTE("dpa"&amp;$B99&amp;$C99&amp;$D99&amp;$E99&amp;$F99,".","_"),"(","_"),")","")</f>
        <v>dpa503_3_2</v>
      </c>
      <c r="AM99" s="1352">
        <f>M99</f>
        <v>2</v>
      </c>
      <c r="AN99" s="1352" t="str">
        <f>SUBSTITUTE(SUBSTITUTE(SUBSTITUTE("dpc"&amp;$B99&amp;$C99&amp;$D99&amp;$E99&amp;$F99,".","_"),"(","_"),")","")</f>
        <v>dpc503_3_2</v>
      </c>
      <c r="AO99" s="1352">
        <f>O99</f>
        <v>0</v>
      </c>
      <c r="AU99" s="42"/>
      <c r="AV99" s="42"/>
    </row>
    <row r="100" spans="1:51" x14ac:dyDescent="0.2">
      <c r="B100" s="23" t="s">
        <v>362</v>
      </c>
      <c r="C100" s="23" t="s">
        <v>255</v>
      </c>
      <c r="D100" s="23" t="s">
        <v>121</v>
      </c>
      <c r="E100" s="23"/>
      <c r="F100" s="691"/>
      <c r="G100" s="23"/>
      <c r="H100" s="691"/>
      <c r="I100" s="103"/>
      <c r="J100" s="103"/>
      <c r="K100" s="93" t="s">
        <v>121</v>
      </c>
      <c r="L100" s="97" t="s">
        <v>363</v>
      </c>
      <c r="M100" s="1155"/>
      <c r="N100" s="1153"/>
      <c r="O100" s="1153"/>
      <c r="P100" s="332" t="b">
        <v>1</v>
      </c>
      <c r="Q100" s="332" t="b">
        <v>0</v>
      </c>
      <c r="R100" s="96" t="b">
        <v>0</v>
      </c>
      <c r="S100" s="96" t="b">
        <v>1</v>
      </c>
      <c r="T100" s="96" t="b">
        <v>0</v>
      </c>
      <c r="U100" s="96"/>
      <c r="V100" s="96"/>
      <c r="W100" s="27"/>
      <c r="X100" s="1601"/>
      <c r="AP100" s="1352" t="str">
        <f>SUBSTITUTE(SUBSTITUTE(SUBSTITUTE("dch"&amp;$B100&amp;$C100&amp;$D100&amp;$E100&amp;$F100,".","_"),"(","_"),")","")</f>
        <v>dch503_3_2_a</v>
      </c>
      <c r="AQ100" s="1352" t="str">
        <f>IF(LEN(W100)=0,"",W100)</f>
        <v/>
      </c>
      <c r="AT100" s="123"/>
      <c r="AU100" s="42"/>
      <c r="AV100" s="42"/>
    </row>
    <row r="101" spans="1:51" x14ac:dyDescent="0.2">
      <c r="B101" s="23" t="s">
        <v>362</v>
      </c>
      <c r="C101" s="23" t="s">
        <v>255</v>
      </c>
      <c r="D101" s="23" t="s">
        <v>122</v>
      </c>
      <c r="E101" s="23"/>
      <c r="F101" s="691"/>
      <c r="G101" s="23"/>
      <c r="H101" s="691"/>
      <c r="I101" s="103"/>
      <c r="J101" s="103"/>
      <c r="K101" s="93" t="s">
        <v>122</v>
      </c>
      <c r="L101" s="1609" t="s">
        <v>364</v>
      </c>
      <c r="M101" s="1155"/>
      <c r="N101" s="1153"/>
      <c r="O101" s="1153"/>
      <c r="P101" s="332" t="b">
        <v>1</v>
      </c>
      <c r="Q101" s="332" t="b">
        <v>0</v>
      </c>
      <c r="R101" s="96" t="b">
        <v>0</v>
      </c>
      <c r="S101" s="96" t="b">
        <v>1</v>
      </c>
      <c r="T101" s="96" t="b">
        <v>0</v>
      </c>
      <c r="U101" s="96"/>
      <c r="V101" s="96"/>
      <c r="W101" s="27"/>
      <c r="X101" s="1601"/>
      <c r="AP101" s="1352" t="str">
        <f>SUBSTITUTE(SUBSTITUTE(SUBSTITUTE("dch"&amp;$B101&amp;$C101&amp;$D101&amp;$E101&amp;$F101,".","_"),"(","_"),")","")</f>
        <v>dch503_3_2_b</v>
      </c>
      <c r="AQ101" s="1352" t="str">
        <f>IF(LEN(W101)=0,"",W101)</f>
        <v/>
      </c>
      <c r="AU101" s="42"/>
      <c r="AV101" s="42"/>
    </row>
    <row r="102" spans="1:51" s="123" customFormat="1" x14ac:dyDescent="0.2">
      <c r="A102" s="20"/>
      <c r="B102" s="23" t="s">
        <v>362</v>
      </c>
      <c r="C102" s="23" t="s">
        <v>255</v>
      </c>
      <c r="D102" s="23" t="s">
        <v>122</v>
      </c>
      <c r="E102" s="23"/>
      <c r="F102" s="691"/>
      <c r="G102" s="23"/>
      <c r="H102" s="691"/>
      <c r="I102" s="103"/>
      <c r="J102" s="103"/>
      <c r="K102" s="103"/>
      <c r="L102" s="1609"/>
      <c r="M102" s="1155"/>
      <c r="N102" s="1153"/>
      <c r="O102" s="1153"/>
      <c r="P102" s="96"/>
      <c r="Q102" s="96"/>
      <c r="R102" s="96"/>
      <c r="S102" s="96"/>
      <c r="T102" s="96"/>
      <c r="U102" s="96"/>
      <c r="V102" s="96"/>
      <c r="W102" s="96"/>
      <c r="X102" s="1601"/>
      <c r="Y102" s="704"/>
      <c r="Z102"/>
      <c r="AA102" s="707"/>
      <c r="AB102" s="42"/>
      <c r="AC102" s="17"/>
      <c r="AD102" s="17"/>
      <c r="AE102" s="17"/>
      <c r="AF102" s="17"/>
      <c r="AG102" s="17"/>
      <c r="AH102" s="17"/>
      <c r="AI102" s="17"/>
      <c r="AJ102" s="17"/>
      <c r="AK102" s="17"/>
      <c r="AL102" s="17"/>
      <c r="AM102" s="17"/>
      <c r="AN102" s="17"/>
      <c r="AO102" s="17"/>
      <c r="AP102"/>
      <c r="AQ102"/>
      <c r="AR102"/>
      <c r="AS102"/>
      <c r="AT102"/>
      <c r="AX102"/>
      <c r="AY102"/>
    </row>
    <row r="103" spans="1:51" x14ac:dyDescent="0.2">
      <c r="B103" s="23" t="s">
        <v>362</v>
      </c>
      <c r="C103" s="23" t="s">
        <v>255</v>
      </c>
      <c r="D103" s="28" t="s">
        <v>123</v>
      </c>
      <c r="E103" s="28"/>
      <c r="F103" s="692"/>
      <c r="G103" s="28"/>
      <c r="H103" s="692"/>
      <c r="I103" s="103"/>
      <c r="J103" s="103"/>
      <c r="K103" s="111" t="s">
        <v>123</v>
      </c>
      <c r="L103" s="97" t="s">
        <v>365</v>
      </c>
      <c r="M103" s="1155"/>
      <c r="N103" s="1153"/>
      <c r="O103" s="1153"/>
      <c r="P103" s="332" t="b">
        <v>1</v>
      </c>
      <c r="Q103" s="332" t="b">
        <v>0</v>
      </c>
      <c r="R103" s="96" t="b">
        <v>0</v>
      </c>
      <c r="S103" s="96" t="b">
        <v>1</v>
      </c>
      <c r="T103" s="96" t="b">
        <v>0</v>
      </c>
      <c r="U103" s="96"/>
      <c r="V103" s="96"/>
      <c r="W103" s="27"/>
      <c r="X103" s="1601"/>
      <c r="AP103" s="1352" t="str">
        <f>SUBSTITUTE(SUBSTITUTE(SUBSTITUTE("dch"&amp;$B103&amp;$C103&amp;$D103&amp;$E103&amp;$F103,".","_"),"(","_"),")","")</f>
        <v>dch503_3_2_c</v>
      </c>
      <c r="AQ103" s="1352" t="str">
        <f>IF(LEN(W103)=0,"",W103)</f>
        <v/>
      </c>
      <c r="AU103" s="42"/>
      <c r="AV103" s="42"/>
    </row>
    <row r="104" spans="1:51" x14ac:dyDescent="0.2">
      <c r="B104" s="23" t="s">
        <v>362</v>
      </c>
      <c r="C104" s="23" t="s">
        <v>255</v>
      </c>
      <c r="D104" s="28" t="s">
        <v>366</v>
      </c>
      <c r="E104" s="28"/>
      <c r="F104" s="692"/>
      <c r="G104" s="28"/>
      <c r="H104" s="692"/>
      <c r="I104" s="103"/>
      <c r="J104" s="172"/>
      <c r="K104" s="174" t="s">
        <v>366</v>
      </c>
      <c r="L104" s="170" t="s">
        <v>367</v>
      </c>
      <c r="M104" s="1156"/>
      <c r="N104" s="173"/>
      <c r="O104" s="1154"/>
      <c r="P104" s="332" t="b">
        <v>1</v>
      </c>
      <c r="Q104" s="332" t="b">
        <v>0</v>
      </c>
      <c r="R104" s="96" t="b">
        <v>0</v>
      </c>
      <c r="S104" s="96" t="b">
        <v>1</v>
      </c>
      <c r="T104" s="96" t="b">
        <v>0</v>
      </c>
      <c r="U104" s="96"/>
      <c r="V104" s="96"/>
      <c r="W104" s="27"/>
      <c r="X104" s="1601"/>
      <c r="AP104" s="1352" t="str">
        <f>SUBSTITUTE(SUBSTITUTE(SUBSTITUTE("dch"&amp;$B104&amp;$C104&amp;$D104&amp;$E104&amp;$F104,".","_"),"(","_"),")","")</f>
        <v>dch503_3_2_d</v>
      </c>
      <c r="AU104" s="42"/>
      <c r="AV104" s="42"/>
      <c r="AX104" s="123"/>
      <c r="AY104" s="123"/>
    </row>
    <row r="105" spans="1:51" ht="16" thickBot="1" x14ac:dyDescent="0.25">
      <c r="B105" s="23" t="s">
        <v>362</v>
      </c>
      <c r="C105" s="23" t="s">
        <v>256</v>
      </c>
      <c r="D105" s="23"/>
      <c r="E105" s="23"/>
      <c r="F105" s="691"/>
      <c r="G105" s="23"/>
      <c r="H105" s="691"/>
      <c r="I105" s="104"/>
      <c r="J105" s="98" t="s">
        <v>256</v>
      </c>
      <c r="K105" s="104"/>
      <c r="L105" s="99" t="s">
        <v>3783</v>
      </c>
      <c r="M105" s="375">
        <v>5</v>
      </c>
      <c r="N105" s="100"/>
      <c r="O105" s="240">
        <f>M105*W105</f>
        <v>0</v>
      </c>
      <c r="P105" s="332" t="b">
        <v>1</v>
      </c>
      <c r="Q105" s="332" t="b">
        <v>0</v>
      </c>
      <c r="R105" s="100" t="b">
        <v>0</v>
      </c>
      <c r="S105" s="100" t="b">
        <v>1</v>
      </c>
      <c r="T105" s="100" t="b">
        <v>0</v>
      </c>
      <c r="U105" s="100"/>
      <c r="V105" s="100"/>
      <c r="W105" s="184"/>
      <c r="X105" s="1602"/>
      <c r="AL105" s="1352" t="str">
        <f>SUBSTITUTE(SUBSTITUTE(SUBSTITUTE("dpa"&amp;$B105&amp;$C105&amp;$D105&amp;$E105&amp;$F105,".","_"),"(","_"),")","")</f>
        <v>dpa503_3_3</v>
      </c>
      <c r="AM105" s="1352">
        <f>M105</f>
        <v>5</v>
      </c>
      <c r="AN105" s="1352" t="str">
        <f>SUBSTITUTE(SUBSTITUTE(SUBSTITUTE("dpc"&amp;$B105&amp;$C105&amp;$D105&amp;$E105&amp;$F105,".","_"),"(","_"),")","")</f>
        <v>dpc503_3_3</v>
      </c>
      <c r="AO105" s="1352">
        <f>O105</f>
        <v>0</v>
      </c>
      <c r="AP105" s="1352" t="str">
        <f>SUBSTITUTE(SUBSTITUTE(SUBSTITUTE("dch"&amp;$B105&amp;$C105&amp;$D105&amp;$E105&amp;$F105,".","_"),"(","_"),")","")</f>
        <v>dch503_3_3</v>
      </c>
      <c r="AQ105" s="1352" t="str">
        <f>IF(LEN(W105)=0,"",W105)</f>
        <v/>
      </c>
      <c r="AU105" s="42"/>
      <c r="AV105" s="42"/>
    </row>
    <row r="106" spans="1:51" ht="16" thickTop="1" x14ac:dyDescent="0.2">
      <c r="B106" s="23" t="s">
        <v>368</v>
      </c>
      <c r="C106" s="23"/>
      <c r="D106" s="23"/>
      <c r="E106" s="23"/>
      <c r="F106" s="691"/>
      <c r="G106" s="23"/>
      <c r="H106" s="691"/>
      <c r="I106" s="68" t="s">
        <v>3490</v>
      </c>
      <c r="J106" s="92"/>
      <c r="K106" s="92"/>
      <c r="L106" s="1683" t="s">
        <v>3512</v>
      </c>
      <c r="M106" s="374"/>
      <c r="O106" s="138"/>
      <c r="P106" s="332"/>
      <c r="Q106" s="332"/>
      <c r="W106" s="183"/>
      <c r="X106" s="1670"/>
      <c r="AR106" s="1352" t="str">
        <f>SUBSTITUTE(SUBSTITUTE(SUBSTITUTE("dnt"&amp;$B106&amp;$C106&amp;$D106&amp;$E106&amp;$F106,".","_"),"(","_"),")","")</f>
        <v>dnt503_4</v>
      </c>
      <c r="AS106" s="1352" t="str">
        <f>IF(LEN(X106)=0,"",X106)</f>
        <v/>
      </c>
      <c r="AU106" s="42"/>
      <c r="AV106" s="42"/>
    </row>
    <row r="107" spans="1:51" x14ac:dyDescent="0.2">
      <c r="B107" s="23" t="s">
        <v>368</v>
      </c>
      <c r="C107" s="23"/>
      <c r="D107" s="23"/>
      <c r="E107" s="23"/>
      <c r="F107" s="691"/>
      <c r="G107" s="23"/>
      <c r="H107" s="691"/>
      <c r="I107" s="92"/>
      <c r="J107" s="92"/>
      <c r="K107" s="92"/>
      <c r="L107" s="1631"/>
      <c r="M107" s="374"/>
      <c r="O107" s="138"/>
      <c r="P107" s="332"/>
      <c r="Q107" s="332"/>
      <c r="X107" s="1632"/>
      <c r="AU107" s="42"/>
      <c r="AV107" s="42"/>
    </row>
    <row r="108" spans="1:51" x14ac:dyDescent="0.2">
      <c r="B108" s="23" t="s">
        <v>368</v>
      </c>
      <c r="C108" s="23"/>
      <c r="D108" s="23"/>
      <c r="E108" s="23"/>
      <c r="F108" s="691"/>
      <c r="G108" s="23"/>
      <c r="H108" s="691"/>
      <c r="I108" s="92"/>
      <c r="J108" s="92"/>
      <c r="K108" s="92"/>
      <c r="L108" s="1631"/>
      <c r="M108" s="374"/>
      <c r="O108" s="138"/>
      <c r="P108" s="332"/>
      <c r="Q108" s="332"/>
      <c r="X108" s="1632"/>
      <c r="AU108" s="42"/>
      <c r="AV108" s="42"/>
    </row>
    <row r="109" spans="1:51" x14ac:dyDescent="0.2">
      <c r="B109" s="23" t="s">
        <v>368</v>
      </c>
      <c r="C109" s="23"/>
      <c r="D109" s="23"/>
      <c r="E109" s="23"/>
      <c r="F109" s="691"/>
      <c r="G109" s="23"/>
      <c r="H109" s="691"/>
      <c r="I109" s="92"/>
      <c r="J109" s="92"/>
      <c r="K109" s="92"/>
      <c r="L109" s="1631"/>
      <c r="M109" s="374"/>
      <c r="N109" s="123"/>
      <c r="O109" s="138"/>
      <c r="P109" s="332"/>
      <c r="Q109" s="332"/>
      <c r="R109" s="123"/>
      <c r="S109" s="123"/>
      <c r="T109" s="123"/>
      <c r="U109" s="123"/>
      <c r="V109" s="123"/>
      <c r="W109" s="123"/>
      <c r="X109" s="1632"/>
      <c r="Z109" s="123"/>
      <c r="AB109" s="123"/>
      <c r="AC109" s="123"/>
      <c r="AD109" s="123"/>
      <c r="AE109" s="123"/>
      <c r="AF109" s="123"/>
      <c r="AG109" s="123"/>
      <c r="AH109" s="123"/>
      <c r="AI109" s="123"/>
      <c r="AJ109" s="123"/>
      <c r="AK109" s="123"/>
      <c r="AU109" s="42"/>
      <c r="AV109" s="42"/>
    </row>
    <row r="110" spans="1:51" x14ac:dyDescent="0.2">
      <c r="B110" s="23" t="s">
        <v>368</v>
      </c>
      <c r="C110" s="23"/>
      <c r="D110" s="23"/>
      <c r="E110" s="23"/>
      <c r="F110" s="691"/>
      <c r="G110" s="23"/>
      <c r="H110" s="691"/>
      <c r="I110" s="92"/>
      <c r="J110" s="92"/>
      <c r="K110" s="92"/>
      <c r="L110" s="1673" t="s">
        <v>2538</v>
      </c>
      <c r="M110" s="374"/>
      <c r="N110" s="133"/>
      <c r="O110" s="138"/>
      <c r="P110" s="332"/>
      <c r="Q110" s="332"/>
      <c r="R110" s="133"/>
      <c r="S110" s="133"/>
      <c r="T110" s="133"/>
      <c r="U110" s="133"/>
      <c r="V110" s="133"/>
      <c r="W110" s="133"/>
      <c r="X110" s="1632"/>
      <c r="Z110" s="133"/>
      <c r="AB110" s="133"/>
      <c r="AC110" s="133"/>
      <c r="AD110" s="133"/>
      <c r="AE110" s="133"/>
      <c r="AF110" s="133"/>
      <c r="AG110" s="133"/>
      <c r="AH110" s="133"/>
      <c r="AI110" s="133"/>
      <c r="AJ110" s="133"/>
      <c r="AK110" s="133"/>
      <c r="AU110" s="42"/>
      <c r="AV110" s="42"/>
    </row>
    <row r="111" spans="1:51" x14ac:dyDescent="0.2">
      <c r="B111" s="23" t="s">
        <v>368</v>
      </c>
      <c r="C111" s="23"/>
      <c r="D111" s="23"/>
      <c r="E111" s="23"/>
      <c r="F111" s="691"/>
      <c r="G111" s="23"/>
      <c r="H111" s="691"/>
      <c r="I111" s="92"/>
      <c r="J111" s="92"/>
      <c r="K111" s="92"/>
      <c r="L111" s="1673"/>
      <c r="M111" s="374"/>
      <c r="N111" s="133"/>
      <c r="O111" s="138"/>
      <c r="P111" s="332"/>
      <c r="Q111" s="332"/>
      <c r="R111" s="133"/>
      <c r="S111" s="133"/>
      <c r="T111" s="133"/>
      <c r="U111" s="133"/>
      <c r="V111" s="133"/>
      <c r="W111" s="133"/>
      <c r="X111" s="1632"/>
      <c r="Z111" s="133"/>
      <c r="AB111" s="133"/>
      <c r="AC111" s="133"/>
      <c r="AD111" s="133"/>
      <c r="AE111" s="133"/>
      <c r="AF111" s="133"/>
      <c r="AG111" s="133"/>
      <c r="AH111" s="133"/>
      <c r="AI111" s="133"/>
      <c r="AJ111" s="133"/>
      <c r="AK111" s="133"/>
      <c r="AU111" s="42"/>
      <c r="AV111" s="42"/>
    </row>
    <row r="112" spans="1:51" x14ac:dyDescent="0.2">
      <c r="B112" s="23" t="s">
        <v>368</v>
      </c>
      <c r="C112" s="23"/>
      <c r="D112" s="23"/>
      <c r="E112" s="23"/>
      <c r="F112" s="691"/>
      <c r="G112" s="23"/>
      <c r="H112" s="691"/>
      <c r="I112" s="92"/>
      <c r="J112" s="92"/>
      <c r="K112" s="92"/>
      <c r="L112" s="1673"/>
      <c r="M112" s="374"/>
      <c r="N112" s="133"/>
      <c r="O112" s="138"/>
      <c r="P112" s="332"/>
      <c r="Q112" s="332"/>
      <c r="R112" s="133"/>
      <c r="S112" s="133"/>
      <c r="T112" s="133"/>
      <c r="U112" s="133"/>
      <c r="V112" s="133"/>
      <c r="W112" s="133"/>
      <c r="X112" s="1599"/>
      <c r="Z112" s="133"/>
      <c r="AB112" s="133"/>
      <c r="AC112" s="133"/>
      <c r="AD112" s="133"/>
      <c r="AE112" s="133"/>
      <c r="AF112" s="133"/>
      <c r="AG112" s="133"/>
      <c r="AH112" s="133"/>
      <c r="AI112" s="133"/>
      <c r="AJ112" s="133"/>
      <c r="AK112" s="133"/>
      <c r="AU112" s="42"/>
      <c r="AV112" s="42"/>
    </row>
    <row r="113" spans="1:51" ht="15.75" customHeight="1" x14ac:dyDescent="0.2">
      <c r="B113" s="23" t="s">
        <v>368</v>
      </c>
      <c r="C113" s="23" t="s">
        <v>254</v>
      </c>
      <c r="D113" s="23"/>
      <c r="E113" s="23"/>
      <c r="F113" s="691"/>
      <c r="G113" s="23"/>
      <c r="H113" s="691"/>
      <c r="I113" s="92"/>
      <c r="J113" s="93" t="s">
        <v>254</v>
      </c>
      <c r="K113" s="103"/>
      <c r="L113" s="1609" t="s">
        <v>369</v>
      </c>
      <c r="M113" s="1623">
        <v>7</v>
      </c>
      <c r="N113" s="96"/>
      <c r="O113" s="1619">
        <f>M113*W113</f>
        <v>0</v>
      </c>
      <c r="P113" s="332" t="b">
        <v>1</v>
      </c>
      <c r="Q113" s="332" t="b">
        <v>0</v>
      </c>
      <c r="R113" s="66" t="b">
        <v>0</v>
      </c>
      <c r="S113" s="66" t="b">
        <v>1</v>
      </c>
      <c r="T113" s="66" t="b">
        <v>0</v>
      </c>
      <c r="W113" s="27"/>
      <c r="X113" s="1600"/>
      <c r="AL113" s="1352" t="str">
        <f>SUBSTITUTE(SUBSTITUTE(SUBSTITUTE("dpa"&amp;$B113&amp;$C113&amp;$D113&amp;$E113&amp;$F113,".","_"),"(","_"),")","")</f>
        <v>dpa503_4_1</v>
      </c>
      <c r="AM113" s="1352">
        <f>M113</f>
        <v>7</v>
      </c>
      <c r="AN113" s="1352" t="str">
        <f>SUBSTITUTE(SUBSTITUTE(SUBSTITUTE("dpc"&amp;$B113&amp;$C113&amp;$D113&amp;$E113&amp;$F113,".","_"),"(","_"),")","")</f>
        <v>dpc503_4_1</v>
      </c>
      <c r="AO113" s="1352">
        <f>O113</f>
        <v>0</v>
      </c>
      <c r="AP113" s="1352" t="str">
        <f>SUBSTITUTE(SUBSTITUTE(SUBSTITUTE("dch"&amp;$B113&amp;$C113&amp;$D113&amp;$E113&amp;$F113,".","_"),"(","_"),")","")</f>
        <v>dch503_4_1</v>
      </c>
      <c r="AQ113" s="1352" t="str">
        <f>IF(LEN(W113)=0,"",W113)</f>
        <v/>
      </c>
      <c r="AR113" s="1352" t="str">
        <f>SUBSTITUTE(SUBSTITUTE(SUBSTITUTE("dnt"&amp;$B113&amp;$C113&amp;$D113&amp;$E113&amp;$F113,".","_"),"(","_"),")","")</f>
        <v>dnt503_4_1</v>
      </c>
      <c r="AS113" s="1352" t="str">
        <f>IF(LEN(X113)=0,"",X113)</f>
        <v/>
      </c>
      <c r="AU113" s="42"/>
      <c r="AV113" s="42"/>
    </row>
    <row r="114" spans="1:51" x14ac:dyDescent="0.2">
      <c r="B114" s="23" t="s">
        <v>368</v>
      </c>
      <c r="C114" s="23" t="s">
        <v>254</v>
      </c>
      <c r="D114" s="23"/>
      <c r="E114" s="23"/>
      <c r="F114" s="691"/>
      <c r="G114" s="23"/>
      <c r="H114" s="691"/>
      <c r="I114" s="92"/>
      <c r="J114" s="93"/>
      <c r="K114" s="103"/>
      <c r="L114" s="1609"/>
      <c r="M114" s="1623"/>
      <c r="N114" s="96"/>
      <c r="O114" s="1619"/>
      <c r="P114" s="332"/>
      <c r="Q114" s="332"/>
      <c r="X114" s="1600"/>
      <c r="AT114" s="123"/>
      <c r="AU114" s="42"/>
      <c r="AV114" s="42"/>
    </row>
    <row r="115" spans="1:51" x14ac:dyDescent="0.2">
      <c r="B115" s="23" t="s">
        <v>368</v>
      </c>
      <c r="C115" s="23" t="s">
        <v>254</v>
      </c>
      <c r="D115" s="23"/>
      <c r="E115" s="23"/>
      <c r="F115" s="691"/>
      <c r="G115" s="23"/>
      <c r="H115" s="691"/>
      <c r="I115" s="92"/>
      <c r="J115" s="172"/>
      <c r="K115" s="172"/>
      <c r="L115" s="1612"/>
      <c r="M115" s="1624"/>
      <c r="N115" s="173"/>
      <c r="O115" s="1620"/>
      <c r="P115" s="332"/>
      <c r="Q115" s="332"/>
      <c r="X115" s="1600"/>
      <c r="AT115" s="133"/>
      <c r="AU115" s="42"/>
      <c r="AV115" s="42"/>
    </row>
    <row r="116" spans="1:51" x14ac:dyDescent="0.2">
      <c r="B116" s="23" t="s">
        <v>368</v>
      </c>
      <c r="C116" s="23" t="s">
        <v>255</v>
      </c>
      <c r="D116" s="23"/>
      <c r="E116" s="23"/>
      <c r="F116" s="691"/>
      <c r="G116" s="23"/>
      <c r="H116" s="691"/>
      <c r="I116" s="92"/>
      <c r="J116" s="89" t="s">
        <v>255</v>
      </c>
      <c r="K116" s="92"/>
      <c r="L116" s="1611" t="s">
        <v>370</v>
      </c>
      <c r="M116" s="374"/>
      <c r="O116" s="1669">
        <f ca="1">S116*IFERROR(INDEX({5,8,10},MATCH(W116,INDIRECT(U116))),0)</f>
        <v>0</v>
      </c>
      <c r="P116" s="332" t="b">
        <v>1</v>
      </c>
      <c r="Q116" s="332" t="b">
        <v>0</v>
      </c>
      <c r="R116" s="66" t="b">
        <v>0</v>
      </c>
      <c r="S116" s="66" t="b">
        <v>1</v>
      </c>
      <c r="T116" s="66" t="b">
        <v>0</v>
      </c>
      <c r="U116" s="66" t="str">
        <f>SUBSTITUTE(SUBSTITUTE(SUBSTITUTE("dd"&amp;B116&amp;C116&amp;D116&amp;E116&amp;F116,".","_"),"(","_"),")","")</f>
        <v>dd503_4_2</v>
      </c>
      <c r="W116" s="12"/>
      <c r="X116" s="1600"/>
      <c r="AN116" s="1352" t="str">
        <f>SUBSTITUTE(SUBSTITUTE(SUBSTITUTE("dpc"&amp;$B116&amp;$C116&amp;$D116&amp;$E116&amp;$F116,".","_"),"(","_"),")","")</f>
        <v>dpc503_4_2</v>
      </c>
      <c r="AO116" s="1352">
        <f ca="1">O116</f>
        <v>0</v>
      </c>
      <c r="AP116" s="1352" t="str">
        <f>SUBSTITUTE(SUBSTITUTE(SUBSTITUTE("dch"&amp;$B116&amp;$C116&amp;$D116&amp;$E116&amp;$F116,".","_"),"(","_"),")","")</f>
        <v>dch503_4_2</v>
      </c>
      <c r="AQ116" s="1352" t="str">
        <f>IF(LEN(W116)=0,"",W116)</f>
        <v/>
      </c>
      <c r="AR116" s="1352" t="str">
        <f>SUBSTITUTE(SUBSTITUTE(SUBSTITUTE("dnt"&amp;$B116&amp;$C116&amp;$D116&amp;$E116&amp;$F116,".","_"),"(","_"),")","")</f>
        <v>dnt503_4_2</v>
      </c>
      <c r="AS116" s="1352" t="str">
        <f>IF(LEN(X116)=0,"",X116)</f>
        <v/>
      </c>
      <c r="AU116" s="42"/>
      <c r="AV116" s="42"/>
    </row>
    <row r="117" spans="1:51" x14ac:dyDescent="0.2">
      <c r="B117" s="23" t="s">
        <v>368</v>
      </c>
      <c r="C117" s="23" t="s">
        <v>255</v>
      </c>
      <c r="D117" s="23"/>
      <c r="E117" s="23"/>
      <c r="F117" s="691"/>
      <c r="G117" s="23"/>
      <c r="H117" s="691"/>
      <c r="I117" s="92"/>
      <c r="J117" s="92"/>
      <c r="K117" s="92"/>
      <c r="L117" s="1611"/>
      <c r="M117" s="374"/>
      <c r="O117" s="1669"/>
      <c r="P117" s="332"/>
      <c r="Q117" s="332"/>
      <c r="X117" s="1600"/>
      <c r="AU117" s="42"/>
      <c r="AV117" s="42"/>
    </row>
    <row r="118" spans="1:51" x14ac:dyDescent="0.2">
      <c r="B118" s="23" t="s">
        <v>368</v>
      </c>
      <c r="C118" s="23" t="s">
        <v>255</v>
      </c>
      <c r="D118" s="23"/>
      <c r="E118" s="23"/>
      <c r="F118" s="691"/>
      <c r="G118" s="23"/>
      <c r="H118" s="691"/>
      <c r="I118" s="92"/>
      <c r="J118" s="92"/>
      <c r="K118" s="92"/>
      <c r="L118" s="1611"/>
      <c r="M118" s="374"/>
      <c r="O118" s="1669"/>
      <c r="P118" s="332"/>
      <c r="Q118" s="332"/>
      <c r="X118" s="1600"/>
      <c r="AU118" s="42"/>
      <c r="AV118" s="42"/>
      <c r="AX118" s="123"/>
      <c r="AY118" s="123"/>
    </row>
    <row r="119" spans="1:51" x14ac:dyDescent="0.2">
      <c r="B119" s="23" t="s">
        <v>368</v>
      </c>
      <c r="C119" s="23" t="s">
        <v>255</v>
      </c>
      <c r="D119" s="23"/>
      <c r="E119" s="23"/>
      <c r="F119" s="691"/>
      <c r="G119" s="23"/>
      <c r="H119" s="691"/>
      <c r="I119" s="92"/>
      <c r="J119" s="92"/>
      <c r="K119" s="92"/>
      <c r="L119" s="1611"/>
      <c r="M119" s="374"/>
      <c r="O119" s="1669"/>
      <c r="P119" s="332"/>
      <c r="Q119" s="332"/>
      <c r="X119" s="1600"/>
      <c r="AU119" s="42"/>
      <c r="AV119" s="42"/>
      <c r="AX119" s="133"/>
      <c r="AY119" s="133"/>
    </row>
    <row r="120" spans="1:51" x14ac:dyDescent="0.2">
      <c r="B120" s="23" t="s">
        <v>368</v>
      </c>
      <c r="C120" s="23" t="s">
        <v>255</v>
      </c>
      <c r="D120" s="23" t="s">
        <v>121</v>
      </c>
      <c r="E120" s="23"/>
      <c r="F120" s="691"/>
      <c r="G120" s="23"/>
      <c r="H120" s="691"/>
      <c r="I120" s="92"/>
      <c r="J120" s="92"/>
      <c r="K120" s="89" t="s">
        <v>121</v>
      </c>
      <c r="L120" s="85" t="s">
        <v>371</v>
      </c>
      <c r="M120" s="374">
        <v>5</v>
      </c>
      <c r="O120" s="138"/>
      <c r="P120" s="332"/>
      <c r="Q120" s="332"/>
      <c r="X120" s="1600"/>
      <c r="AL120" s="1352" t="str">
        <f>SUBSTITUTE(SUBSTITUTE(SUBSTITUTE("dpa"&amp;$B120&amp;$C120&amp;$D120&amp;$E120&amp;$F120,".","_"),"(","_"),")","")</f>
        <v>dpa503_4_2_a</v>
      </c>
      <c r="AM120" s="1352">
        <f>M120</f>
        <v>5</v>
      </c>
      <c r="AU120" s="42"/>
      <c r="AV120" s="42"/>
    </row>
    <row r="121" spans="1:51" x14ac:dyDescent="0.2">
      <c r="B121" s="23" t="s">
        <v>368</v>
      </c>
      <c r="C121" s="23" t="s">
        <v>255</v>
      </c>
      <c r="D121" s="23" t="s">
        <v>122</v>
      </c>
      <c r="E121" s="23"/>
      <c r="F121" s="691"/>
      <c r="G121" s="23"/>
      <c r="H121" s="691"/>
      <c r="I121" s="92"/>
      <c r="J121" s="92"/>
      <c r="K121" s="89" t="s">
        <v>122</v>
      </c>
      <c r="L121" s="85" t="s">
        <v>372</v>
      </c>
      <c r="M121" s="374">
        <v>8</v>
      </c>
      <c r="O121" s="138"/>
      <c r="P121" s="332"/>
      <c r="Q121" s="332"/>
      <c r="X121" s="1600"/>
      <c r="AL121" s="1352" t="str">
        <f>SUBSTITUTE(SUBSTITUTE(SUBSTITUTE("dpa"&amp;$B121&amp;$C121&amp;$D121&amp;$E121&amp;$F121,".","_"),"(","_"),")","")</f>
        <v>dpa503_4_2_b</v>
      </c>
      <c r="AM121" s="1352">
        <f>M121</f>
        <v>8</v>
      </c>
      <c r="AU121" s="42"/>
      <c r="AV121" s="42"/>
    </row>
    <row r="122" spans="1:51" x14ac:dyDescent="0.2">
      <c r="B122" s="23" t="s">
        <v>368</v>
      </c>
      <c r="C122" s="23" t="s">
        <v>255</v>
      </c>
      <c r="D122" s="23" t="s">
        <v>123</v>
      </c>
      <c r="E122" s="23"/>
      <c r="F122" s="691"/>
      <c r="G122" s="23"/>
      <c r="H122" s="691"/>
      <c r="I122" s="92"/>
      <c r="J122" s="172"/>
      <c r="K122" s="174" t="s">
        <v>123</v>
      </c>
      <c r="L122" s="170" t="s">
        <v>373</v>
      </c>
      <c r="M122" s="373">
        <v>10</v>
      </c>
      <c r="N122" s="173"/>
      <c r="O122" s="422"/>
      <c r="P122" s="332"/>
      <c r="Q122" s="332"/>
      <c r="X122" s="1600"/>
      <c r="AL122" s="1352" t="str">
        <f>SUBSTITUTE(SUBSTITUTE(SUBSTITUTE("dpa"&amp;$B122&amp;$C122&amp;$D122&amp;$E122&amp;$F122,".","_"),"(","_"),")","")</f>
        <v>dpa503_4_2_c</v>
      </c>
      <c r="AM122" s="1352">
        <f>M122</f>
        <v>10</v>
      </c>
      <c r="AU122" s="42"/>
      <c r="AV122" s="42"/>
    </row>
    <row r="123" spans="1:51" x14ac:dyDescent="0.2">
      <c r="B123" s="23" t="s">
        <v>368</v>
      </c>
      <c r="C123" s="23" t="s">
        <v>256</v>
      </c>
      <c r="D123" s="23"/>
      <c r="E123" s="23"/>
      <c r="F123" s="691"/>
      <c r="G123" s="23"/>
      <c r="H123" s="691"/>
      <c r="I123" s="103"/>
      <c r="J123" s="93" t="s">
        <v>256</v>
      </c>
      <c r="K123" s="111"/>
      <c r="L123" s="1609" t="s">
        <v>374</v>
      </c>
      <c r="M123" s="832"/>
      <c r="N123" s="96"/>
      <c r="O123" s="1619">
        <f ca="1">S123*IFERROR(INDEX({5,8,10},MATCH(W123,INDIRECT(U123))),0)</f>
        <v>0</v>
      </c>
      <c r="P123" s="96" t="b">
        <v>1</v>
      </c>
      <c r="Q123" s="96" t="b">
        <v>1</v>
      </c>
      <c r="R123" s="96" t="b">
        <v>0</v>
      </c>
      <c r="S123" s="96" t="b">
        <v>1</v>
      </c>
      <c r="T123" s="96" t="b">
        <v>0</v>
      </c>
      <c r="U123" s="96" t="str">
        <f>SUBSTITUTE(SUBSTITUTE(SUBSTITUTE("dd"&amp;B123&amp;C123&amp;D123&amp;E123&amp;F123,".","_"),"(","_"),")","")</f>
        <v>dd503_4_3</v>
      </c>
      <c r="V123" s="96"/>
      <c r="W123" s="110"/>
      <c r="X123" s="1601"/>
      <c r="AN123" s="1352" t="str">
        <f>SUBSTITUTE(SUBSTITUTE(SUBSTITUTE("dpc"&amp;$B123&amp;$C123&amp;$D123&amp;$E123&amp;$F123,".","_"),"(","_"),")","")</f>
        <v>dpc503_4_3</v>
      </c>
      <c r="AO123" s="1352">
        <f ca="1">O123</f>
        <v>0</v>
      </c>
      <c r="AP123" s="1352" t="str">
        <f>SUBSTITUTE(SUBSTITUTE(SUBSTITUTE("dch"&amp;$B123&amp;$C123&amp;$D123&amp;$E123&amp;$F123,".","_"),"(","_"),")","")</f>
        <v>dch503_4_3</v>
      </c>
      <c r="AQ123" s="1352" t="str">
        <f>IF(LEN(W123)=0,"",W123)</f>
        <v/>
      </c>
      <c r="AR123" s="1352" t="str">
        <f>SUBSTITUTE(SUBSTITUTE(SUBSTITUTE("dnt"&amp;$B123&amp;$C123&amp;$D123&amp;$E123&amp;$F123,".","_"),"(","_"),")","")</f>
        <v>dnt503_4_3</v>
      </c>
      <c r="AS123" s="1352" t="str">
        <f>IF(LEN(X123)=0,"",X123)</f>
        <v/>
      </c>
      <c r="AU123" s="42"/>
      <c r="AV123" s="42"/>
    </row>
    <row r="124" spans="1:51" x14ac:dyDescent="0.2">
      <c r="B124" s="23" t="s">
        <v>368</v>
      </c>
      <c r="C124" s="23" t="s">
        <v>256</v>
      </c>
      <c r="D124" s="23"/>
      <c r="E124" s="23"/>
      <c r="F124" s="691"/>
      <c r="G124" s="23"/>
      <c r="H124" s="691"/>
      <c r="I124" s="103"/>
      <c r="J124" s="103"/>
      <c r="K124" s="103"/>
      <c r="L124" s="1609"/>
      <c r="M124" s="832"/>
      <c r="N124" s="96"/>
      <c r="O124" s="1619"/>
      <c r="P124" s="96"/>
      <c r="Q124" s="96"/>
      <c r="R124" s="96"/>
      <c r="S124" s="96"/>
      <c r="T124" s="96"/>
      <c r="U124" s="96"/>
      <c r="V124" s="96"/>
      <c r="W124" s="96"/>
      <c r="X124" s="1601"/>
      <c r="AU124" s="42"/>
      <c r="AV124" s="42"/>
    </row>
    <row r="125" spans="1:51" x14ac:dyDescent="0.2">
      <c r="B125" s="23" t="s">
        <v>368</v>
      </c>
      <c r="C125" s="23" t="s">
        <v>256</v>
      </c>
      <c r="D125" s="23" t="s">
        <v>121</v>
      </c>
      <c r="E125" s="23"/>
      <c r="F125" s="691"/>
      <c r="G125" s="23"/>
      <c r="H125" s="691"/>
      <c r="I125" s="103"/>
      <c r="J125" s="103"/>
      <c r="K125" s="93" t="s">
        <v>121</v>
      </c>
      <c r="L125" s="862" t="s">
        <v>3939</v>
      </c>
      <c r="M125" s="832">
        <v>5</v>
      </c>
      <c r="N125" s="96"/>
      <c r="O125" s="828"/>
      <c r="P125" s="96"/>
      <c r="Q125" s="96"/>
      <c r="R125" s="96"/>
      <c r="S125" s="96"/>
      <c r="T125" s="96"/>
      <c r="U125" s="96"/>
      <c r="V125" s="96"/>
      <c r="W125" s="96"/>
      <c r="X125" s="1601"/>
      <c r="AL125" s="1352" t="str">
        <f>SUBSTITUTE(SUBSTITUTE(SUBSTITUTE("dpa"&amp;$B125&amp;$C125&amp;$D125&amp;$E125&amp;$F125,".","_"),"(","_"),")","")</f>
        <v>dpa503_4_3_a</v>
      </c>
      <c r="AM125" s="1352">
        <f>M125</f>
        <v>5</v>
      </c>
      <c r="AU125" s="42"/>
      <c r="AV125" s="42"/>
    </row>
    <row r="126" spans="1:51" x14ac:dyDescent="0.2">
      <c r="B126" s="23" t="s">
        <v>368</v>
      </c>
      <c r="C126" s="23" t="s">
        <v>256</v>
      </c>
      <c r="D126" s="23" t="s">
        <v>122</v>
      </c>
      <c r="E126" s="23"/>
      <c r="F126" s="691"/>
      <c r="G126" s="23"/>
      <c r="H126" s="691"/>
      <c r="I126" s="103"/>
      <c r="J126" s="103"/>
      <c r="K126" s="93" t="s">
        <v>122</v>
      </c>
      <c r="L126" s="862" t="s">
        <v>3940</v>
      </c>
      <c r="M126" s="832">
        <v>8</v>
      </c>
      <c r="N126" s="96"/>
      <c r="O126" s="828"/>
      <c r="P126" s="96"/>
      <c r="Q126" s="96"/>
      <c r="R126" s="96"/>
      <c r="S126" s="96"/>
      <c r="T126" s="96"/>
      <c r="U126" s="96"/>
      <c r="V126" s="96"/>
      <c r="W126" s="96"/>
      <c r="X126" s="1601"/>
      <c r="AL126" s="1352" t="str">
        <f>SUBSTITUTE(SUBSTITUTE(SUBSTITUTE("dpa"&amp;$B126&amp;$C126&amp;$D126&amp;$E126&amp;$F126,".","_"),"(","_"),")","")</f>
        <v>dpa503_4_3_b</v>
      </c>
      <c r="AM126" s="1352">
        <f>M126</f>
        <v>8</v>
      </c>
      <c r="AU126" s="42"/>
      <c r="AV126" s="42"/>
    </row>
    <row r="127" spans="1:51" x14ac:dyDescent="0.2">
      <c r="B127" s="23" t="s">
        <v>368</v>
      </c>
      <c r="C127" s="23" t="s">
        <v>256</v>
      </c>
      <c r="D127" s="23" t="s">
        <v>123</v>
      </c>
      <c r="E127" s="23"/>
      <c r="F127" s="691"/>
      <c r="G127" s="23"/>
      <c r="H127" s="691"/>
      <c r="I127" s="103"/>
      <c r="J127" s="103"/>
      <c r="K127" s="111" t="s">
        <v>123</v>
      </c>
      <c r="L127" s="862" t="s">
        <v>3941</v>
      </c>
      <c r="M127" s="832">
        <v>10</v>
      </c>
      <c r="N127" s="96"/>
      <c r="O127" s="828"/>
      <c r="P127" s="96"/>
      <c r="Q127" s="96"/>
      <c r="R127" s="96"/>
      <c r="S127" s="96"/>
      <c r="T127" s="96"/>
      <c r="U127" s="96"/>
      <c r="V127" s="96"/>
      <c r="W127" s="96"/>
      <c r="X127" s="1621"/>
      <c r="AL127" s="1352" t="str">
        <f>SUBSTITUTE(SUBSTITUTE(SUBSTITUTE("dpa"&amp;$B127&amp;$C127&amp;$D127&amp;$E127&amp;$F127,".","_"),"(","_"),")","")</f>
        <v>dpa503_4_3_c</v>
      </c>
      <c r="AM127" s="1352">
        <f>M127</f>
        <v>10</v>
      </c>
      <c r="AU127" s="42"/>
      <c r="AV127" s="42"/>
    </row>
    <row r="128" spans="1:51" s="823" customFormat="1" x14ac:dyDescent="0.2">
      <c r="A128" s="20"/>
      <c r="B128" s="23" t="s">
        <v>368</v>
      </c>
      <c r="C128" s="23" t="s">
        <v>256</v>
      </c>
      <c r="D128" s="23" t="s">
        <v>3931</v>
      </c>
      <c r="E128" s="23"/>
      <c r="F128" s="691"/>
      <c r="G128" s="23"/>
      <c r="H128" s="691"/>
      <c r="I128" s="103"/>
      <c r="J128" s="103"/>
      <c r="K128" s="111"/>
      <c r="L128" s="1634" t="s">
        <v>3943</v>
      </c>
      <c r="M128" s="1623">
        <f ca="1">S123*IFERROR(INDEX({2,4,6},MATCH(W123,INDIRECT(U123))),0)</f>
        <v>0</v>
      </c>
      <c r="N128" s="991"/>
      <c r="O128" s="1619">
        <f ca="1">M128*S128*W128</f>
        <v>0</v>
      </c>
      <c r="P128" s="96" t="b">
        <v>1</v>
      </c>
      <c r="Q128" s="96" t="b">
        <v>1</v>
      </c>
      <c r="R128" s="96" t="b">
        <v>0</v>
      </c>
      <c r="S128" s="96" t="b">
        <f>LEN(W123)&gt;0</f>
        <v>0</v>
      </c>
      <c r="T128" s="96" t="b">
        <f>AND(W128=TRUE,LEN(W123)=0)</f>
        <v>0</v>
      </c>
      <c r="U128" s="96"/>
      <c r="V128" s="96"/>
      <c r="W128" s="27"/>
      <c r="X128" s="1600"/>
      <c r="AC128" s="823" t="b">
        <f>OR(AD128:AE128)</f>
        <v>0</v>
      </c>
      <c r="AD128" s="823" t="b">
        <f>T128</f>
        <v>0</v>
      </c>
      <c r="AL128" s="1352" t="str">
        <f>SUBSTITUTE(SUBSTITUTE(SUBSTITUTE("dpa"&amp;$B128&amp;$C128&amp;$D128&amp;$E128&amp;$F128,".","_"),"(","_"),")","")</f>
        <v>dpa503_4_3_</v>
      </c>
      <c r="AM128" s="1352">
        <f ca="1">M128</f>
        <v>0</v>
      </c>
      <c r="AN128" s="1352" t="str">
        <f>SUBSTITUTE(SUBSTITUTE(SUBSTITUTE("dpc"&amp;$B128&amp;$C128&amp;$D128&amp;$E128&amp;$F128,".","_"),"(","_"),")","")</f>
        <v>dpc503_4_3_</v>
      </c>
      <c r="AO128" s="1352">
        <f ca="1">O128</f>
        <v>0</v>
      </c>
      <c r="AP128" s="1352" t="str">
        <f>SUBSTITUTE(SUBSTITUTE(SUBSTITUTE("dch"&amp;$B128&amp;$C128&amp;$D128&amp;$E128&amp;$F128,".","_"),"(","_"),")","")</f>
        <v>dch503_4_3_</v>
      </c>
      <c r="AQ128" s="1352" t="str">
        <f>IF(LEN(W128)=0,"",W128)</f>
        <v/>
      </c>
      <c r="AR128" s="1352" t="str">
        <f>SUBSTITUTE(SUBSTITUTE(SUBSTITUTE("dnt"&amp;$B128&amp;$C128&amp;$D128&amp;$E128&amp;$F128,".","_"),"(","_"),")","")</f>
        <v>dnt503_4_3_</v>
      </c>
      <c r="AS128" s="1352" t="str">
        <f>IF(LEN(X128)=0,"",X128)</f>
        <v/>
      </c>
      <c r="AX128"/>
      <c r="AY128"/>
    </row>
    <row r="129" spans="1:51" s="823" customFormat="1" x14ac:dyDescent="0.2">
      <c r="A129" s="20"/>
      <c r="B129" s="23" t="s">
        <v>368</v>
      </c>
      <c r="C129" s="23" t="s">
        <v>256</v>
      </c>
      <c r="D129" s="23" t="s">
        <v>3931</v>
      </c>
      <c r="E129" s="23"/>
      <c r="F129" s="691"/>
      <c r="G129" s="23"/>
      <c r="H129" s="691"/>
      <c r="I129" s="103"/>
      <c r="J129" s="172"/>
      <c r="K129" s="174"/>
      <c r="L129" s="1639"/>
      <c r="M129" s="1624"/>
      <c r="N129" s="173"/>
      <c r="O129" s="1620"/>
      <c r="P129" s="96"/>
      <c r="Q129" s="96"/>
      <c r="R129" s="96"/>
      <c r="S129" s="96"/>
      <c r="T129" s="96"/>
      <c r="U129" s="96"/>
      <c r="V129" s="96"/>
      <c r="W129" s="96"/>
      <c r="X129" s="1600"/>
      <c r="AL129" s="17"/>
      <c r="AM129" s="17"/>
      <c r="AN129" s="17"/>
      <c r="AO129" s="17"/>
      <c r="AP129"/>
      <c r="AQ129"/>
      <c r="AR129"/>
      <c r="AS129"/>
      <c r="AX129"/>
      <c r="AY129"/>
    </row>
    <row r="130" spans="1:51" s="823" customFormat="1" ht="15" customHeight="1" x14ac:dyDescent="0.2">
      <c r="A130" s="20"/>
      <c r="B130" s="23" t="s">
        <v>368</v>
      </c>
      <c r="C130" s="23" t="s">
        <v>259</v>
      </c>
      <c r="D130" s="23"/>
      <c r="E130" s="23"/>
      <c r="F130" s="691"/>
      <c r="G130" s="23"/>
      <c r="H130" s="691"/>
      <c r="I130" s="103"/>
      <c r="J130" s="93" t="s">
        <v>259</v>
      </c>
      <c r="K130" s="111"/>
      <c r="L130" s="1609" t="s">
        <v>3942</v>
      </c>
      <c r="M130" s="1623">
        <v>8</v>
      </c>
      <c r="N130" s="96"/>
      <c r="O130" s="1644">
        <f>M130*S130*W130</f>
        <v>0</v>
      </c>
      <c r="P130" s="96" t="b">
        <v>1</v>
      </c>
      <c r="Q130" s="96" t="b">
        <v>1</v>
      </c>
      <c r="R130" s="96" t="b">
        <v>0</v>
      </c>
      <c r="S130" s="464" t="b">
        <v>1</v>
      </c>
      <c r="T130" s="464" t="b">
        <v>0</v>
      </c>
      <c r="U130" s="96"/>
      <c r="V130" s="96"/>
      <c r="W130" s="27"/>
      <c r="X130" s="1632"/>
      <c r="AL130" s="1352" t="str">
        <f>SUBSTITUTE(SUBSTITUTE(SUBSTITUTE("dpa"&amp;$B130&amp;$C130&amp;$D130&amp;$E130&amp;$F130,".","_"),"(","_"),")","")</f>
        <v>dpa503_4_4</v>
      </c>
      <c r="AM130" s="1352">
        <f>M130</f>
        <v>8</v>
      </c>
      <c r="AN130" s="1352" t="str">
        <f>SUBSTITUTE(SUBSTITUTE(SUBSTITUTE("dpc"&amp;$B130&amp;$C130&amp;$D130&amp;$E130&amp;$F130,".","_"),"(","_"),")","")</f>
        <v>dpc503_4_4</v>
      </c>
      <c r="AO130" s="1352">
        <f>O130</f>
        <v>0</v>
      </c>
      <c r="AP130" s="1352" t="str">
        <f>SUBSTITUTE(SUBSTITUTE(SUBSTITUTE("dch"&amp;$B130&amp;$C130&amp;$D130&amp;$E130&amp;$F130,".","_"),"(","_"),")","")</f>
        <v>dch503_4_4</v>
      </c>
      <c r="AQ130" s="1352" t="str">
        <f>IF(LEN(W130)=0,"",W130)</f>
        <v/>
      </c>
      <c r="AR130" s="1352" t="str">
        <f>SUBSTITUTE(SUBSTITUTE(SUBSTITUTE("dnt"&amp;$B130&amp;$C130&amp;$D130&amp;$E130&amp;$F130,".","_"),"(","_"),")","")</f>
        <v>dnt503_4_4</v>
      </c>
      <c r="AS130" s="1352" t="str">
        <f>IF(LEN(X130)=0,"",X130)</f>
        <v/>
      </c>
      <c r="AX130"/>
      <c r="AY130"/>
    </row>
    <row r="131" spans="1:51" s="823" customFormat="1" x14ac:dyDescent="0.2">
      <c r="A131" s="20"/>
      <c r="B131" s="23" t="s">
        <v>368</v>
      </c>
      <c r="C131" s="23" t="s">
        <v>259</v>
      </c>
      <c r="D131" s="23"/>
      <c r="E131" s="23"/>
      <c r="F131" s="691"/>
      <c r="G131" s="23"/>
      <c r="H131" s="691"/>
      <c r="I131" s="103"/>
      <c r="J131" s="103"/>
      <c r="K131" s="103"/>
      <c r="L131" s="1609"/>
      <c r="M131" s="1623"/>
      <c r="N131" s="96"/>
      <c r="O131" s="1644"/>
      <c r="P131" s="96"/>
      <c r="Q131" s="96"/>
      <c r="R131" s="96"/>
      <c r="S131" s="96"/>
      <c r="T131" s="96"/>
      <c r="U131" s="96"/>
      <c r="V131" s="96"/>
      <c r="W131" s="96"/>
      <c r="X131" s="1632"/>
      <c r="AL131" s="17"/>
      <c r="AM131" s="17"/>
      <c r="AN131" s="17"/>
      <c r="AO131" s="17"/>
      <c r="AP131"/>
      <c r="AQ131"/>
      <c r="AR131"/>
      <c r="AS131"/>
      <c r="AX131"/>
      <c r="AY131"/>
    </row>
    <row r="132" spans="1:51" s="823" customFormat="1" ht="16" thickBot="1" x14ac:dyDescent="0.25">
      <c r="A132" s="20"/>
      <c r="B132" s="23" t="s">
        <v>368</v>
      </c>
      <c r="C132" s="23" t="s">
        <v>259</v>
      </c>
      <c r="D132" s="23"/>
      <c r="E132" s="23"/>
      <c r="F132" s="691"/>
      <c r="G132" s="23"/>
      <c r="H132" s="691"/>
      <c r="I132" s="104"/>
      <c r="J132" s="104"/>
      <c r="K132" s="112"/>
      <c r="L132" s="1610"/>
      <c r="M132" s="1627"/>
      <c r="N132" s="100"/>
      <c r="O132" s="1645"/>
      <c r="P132" s="100"/>
      <c r="Q132" s="100"/>
      <c r="R132" s="100"/>
      <c r="S132" s="100"/>
      <c r="T132" s="100"/>
      <c r="U132" s="100"/>
      <c r="V132" s="100"/>
      <c r="W132" s="100"/>
      <c r="X132" s="1648"/>
      <c r="AL132" s="17"/>
      <c r="AM132" s="17"/>
      <c r="AN132" s="17"/>
      <c r="AO132" s="17"/>
      <c r="AP132"/>
      <c r="AQ132"/>
      <c r="AR132"/>
      <c r="AS132"/>
    </row>
    <row r="133" spans="1:51" ht="16" thickTop="1" x14ac:dyDescent="0.2">
      <c r="B133" s="23" t="s">
        <v>375</v>
      </c>
      <c r="C133" s="23"/>
      <c r="D133" s="23"/>
      <c r="E133" s="23"/>
      <c r="F133" s="691"/>
      <c r="G133" s="23"/>
      <c r="H133" s="691"/>
      <c r="I133" s="68" t="s">
        <v>3491</v>
      </c>
      <c r="J133" s="92"/>
      <c r="K133" s="92"/>
      <c r="L133" s="1631" t="s">
        <v>3513</v>
      </c>
      <c r="M133" s="374"/>
      <c r="O133" s="4"/>
      <c r="P133" s="332"/>
      <c r="Q133" s="332"/>
      <c r="X133" s="1599"/>
      <c r="AR133" s="1352" t="str">
        <f>SUBSTITUTE(SUBSTITUTE(SUBSTITUTE("dnt"&amp;$B133&amp;$C133&amp;$D133&amp;$E133&amp;$F133,".","_"),"(","_"),")","")</f>
        <v>dnt503_5</v>
      </c>
      <c r="AS133" s="1352" t="str">
        <f>IF(LEN(X133)=0,"",X133)</f>
        <v/>
      </c>
      <c r="AU133" s="42"/>
      <c r="AV133" s="42"/>
      <c r="AX133" s="823"/>
      <c r="AY133" s="823"/>
    </row>
    <row r="134" spans="1:51" x14ac:dyDescent="0.2">
      <c r="B134" s="23" t="s">
        <v>375</v>
      </c>
      <c r="C134" s="23"/>
      <c r="D134" s="23"/>
      <c r="E134" s="23"/>
      <c r="F134" s="691"/>
      <c r="G134" s="23"/>
      <c r="H134" s="691"/>
      <c r="I134" s="92"/>
      <c r="J134" s="92"/>
      <c r="K134" s="92"/>
      <c r="L134" s="1631"/>
      <c r="M134" s="374"/>
      <c r="O134" s="4"/>
      <c r="P134" s="332"/>
      <c r="Q134" s="332"/>
      <c r="X134" s="1600"/>
      <c r="AU134" s="42"/>
      <c r="AV134" s="42"/>
      <c r="AX134" s="823"/>
      <c r="AY134" s="823"/>
    </row>
    <row r="135" spans="1:51" x14ac:dyDescent="0.2">
      <c r="B135" s="23" t="s">
        <v>375</v>
      </c>
      <c r="C135" s="23"/>
      <c r="D135" s="23"/>
      <c r="E135" s="23"/>
      <c r="F135" s="691"/>
      <c r="G135" s="23"/>
      <c r="H135" s="691"/>
      <c r="I135" s="92"/>
      <c r="J135" s="92"/>
      <c r="K135" s="92"/>
      <c r="L135" s="1673" t="s">
        <v>376</v>
      </c>
      <c r="M135" s="374"/>
      <c r="O135" s="4"/>
      <c r="P135" s="96" t="b">
        <v>0</v>
      </c>
      <c r="Q135" s="96" t="b">
        <v>1</v>
      </c>
      <c r="R135" s="78" t="b">
        <v>0</v>
      </c>
      <c r="S135" s="78" t="b">
        <v>1</v>
      </c>
      <c r="T135" s="78" t="b">
        <v>0</v>
      </c>
      <c r="U135" s="78" t="str">
        <f>SUBSTITUTE(SUBSTITUTE(SUBSTITUTE("dd"&amp;B135&amp;C135&amp;D135&amp;E135&amp;F135,".","_"),"(","_"),")","")</f>
        <v>dd503_5</v>
      </c>
      <c r="W135" s="122"/>
      <c r="X135" s="1600"/>
      <c r="AP135" s="1352" t="str">
        <f>SUBSTITUTE(SUBSTITUTE(SUBSTITUTE("dch"&amp;$B135&amp;$C135&amp;$D135&amp;$E135&amp;$F135,".","_"),"(","_"),")","")</f>
        <v>dch503_5</v>
      </c>
      <c r="AQ135" s="1352" t="str">
        <f>IF(LEN(W135)=0,"",W135)</f>
        <v/>
      </c>
      <c r="AU135" s="42"/>
      <c r="AV135" s="42"/>
      <c r="AX135" s="823"/>
      <c r="AY135" s="823"/>
    </row>
    <row r="136" spans="1:51" x14ac:dyDescent="0.2">
      <c r="B136" s="23" t="s">
        <v>375</v>
      </c>
      <c r="C136" s="23"/>
      <c r="D136" s="23"/>
      <c r="E136" s="23"/>
      <c r="F136" s="691"/>
      <c r="G136" s="23"/>
      <c r="H136" s="691"/>
      <c r="I136" s="92"/>
      <c r="J136" s="92"/>
      <c r="K136" s="92"/>
      <c r="L136" s="1673"/>
      <c r="M136" s="374"/>
      <c r="O136" s="4"/>
      <c r="P136" s="332"/>
      <c r="Q136" s="332"/>
      <c r="X136" s="1600"/>
      <c r="AU136" s="42"/>
      <c r="AV136" s="42"/>
      <c r="AX136" s="823"/>
      <c r="AY136" s="823"/>
    </row>
    <row r="137" spans="1:51" x14ac:dyDescent="0.2">
      <c r="B137" s="23" t="s">
        <v>375</v>
      </c>
      <c r="C137" s="23" t="s">
        <v>254</v>
      </c>
      <c r="D137" s="23"/>
      <c r="E137" s="23"/>
      <c r="F137" s="691"/>
      <c r="G137" s="23"/>
      <c r="H137" s="691"/>
      <c r="I137" s="92"/>
      <c r="J137" s="89" t="s">
        <v>254</v>
      </c>
      <c r="K137" s="92"/>
      <c r="L137" s="1611" t="s">
        <v>377</v>
      </c>
      <c r="M137" s="374"/>
      <c r="O137" s="1669">
        <f ca="1">S137*IFERROR(INDEX(M139:M142,MATCH(W137,INDIRECT(U137))),0)</f>
        <v>0</v>
      </c>
      <c r="P137" s="96" t="b">
        <v>0</v>
      </c>
      <c r="Q137" s="96" t="b">
        <v>1</v>
      </c>
      <c r="R137" s="66" t="b">
        <v>0</v>
      </c>
      <c r="S137" s="66" t="b">
        <f>NOT(ISBLANK(W135))</f>
        <v>0</v>
      </c>
      <c r="T137" s="96" t="b">
        <f>AND(NOT(S137),LEN(W137)&gt;0)</f>
        <v>0</v>
      </c>
      <c r="U137" s="66" t="str">
        <f>SUBSTITUTE(SUBSTITUTE(SUBSTITUTE("dd"&amp;B137&amp;C137&amp;D137&amp;E137&amp;F137,".","_"),"(","_"),")","")</f>
        <v>dd503_5_1</v>
      </c>
      <c r="W137" s="122"/>
      <c r="X137" s="1600"/>
      <c r="AC137" s="123" t="b">
        <f>OR(AD137:AE137)</f>
        <v>0</v>
      </c>
      <c r="AD137" s="123" t="b">
        <f>T137</f>
        <v>0</v>
      </c>
      <c r="AN137" s="1352" t="str">
        <f>SUBSTITUTE(SUBSTITUTE(SUBSTITUTE("dpc"&amp;$B137&amp;$C137&amp;$D137&amp;$E137&amp;$F137,".","_"),"(","_"),")","")</f>
        <v>dpc503_5_1</v>
      </c>
      <c r="AO137" s="1352">
        <f ca="1">O137</f>
        <v>0</v>
      </c>
      <c r="AP137" s="1352" t="str">
        <f>SUBSTITUTE(SUBSTITUTE(SUBSTITUTE("dch"&amp;$B137&amp;$C137&amp;$D137&amp;$E137&amp;$F137,".","_"),"(","_"),")","")</f>
        <v>dch503_5_1</v>
      </c>
      <c r="AQ137" s="1352" t="str">
        <f>IF(LEN(W137)=0,"",W137)</f>
        <v/>
      </c>
      <c r="AR137" s="1352" t="str">
        <f>SUBSTITUTE(SUBSTITUTE(SUBSTITUTE("dnt"&amp;$B137&amp;$C137&amp;$D137&amp;$E137&amp;$F137,".","_"),"(","_"),")","")</f>
        <v>dnt503_5_1</v>
      </c>
      <c r="AS137" s="1352" t="str">
        <f>IF(LEN(X137)=0,"",X137)</f>
        <v/>
      </c>
      <c r="AU137" s="42"/>
      <c r="AV137" s="42"/>
    </row>
    <row r="138" spans="1:51" x14ac:dyDescent="0.2">
      <c r="B138" s="23" t="s">
        <v>375</v>
      </c>
      <c r="C138" s="23" t="s">
        <v>254</v>
      </c>
      <c r="D138" s="23"/>
      <c r="E138" s="23"/>
      <c r="F138" s="691"/>
      <c r="G138" s="23"/>
      <c r="H138" s="691"/>
      <c r="I138" s="92"/>
      <c r="J138" s="89"/>
      <c r="K138" s="92"/>
      <c r="L138" s="1611"/>
      <c r="M138" s="374"/>
      <c r="O138" s="1669"/>
      <c r="P138" s="332"/>
      <c r="Q138" s="332"/>
      <c r="X138" s="1600"/>
      <c r="AU138" s="42"/>
      <c r="AV138" s="42"/>
    </row>
    <row r="139" spans="1:51" x14ac:dyDescent="0.2">
      <c r="B139" s="23" t="s">
        <v>375</v>
      </c>
      <c r="C139" s="23" t="s">
        <v>254</v>
      </c>
      <c r="D139" s="23" t="s">
        <v>121</v>
      </c>
      <c r="E139" s="23"/>
      <c r="F139" s="691"/>
      <c r="G139" s="23"/>
      <c r="H139" s="691"/>
      <c r="I139" s="92"/>
      <c r="J139" s="92"/>
      <c r="K139" s="89" t="s">
        <v>121</v>
      </c>
      <c r="L139" s="85" t="s">
        <v>378</v>
      </c>
      <c r="M139" s="417">
        <f ca="1">4*IFERROR(INDEX({0.5,0.5,1},MATCH($W$135,INDIRECT($U$135),0)),0)</f>
        <v>0</v>
      </c>
      <c r="O139" s="138"/>
      <c r="P139" s="332"/>
      <c r="Q139" s="332"/>
      <c r="X139" s="1600"/>
      <c r="AL139" s="1352" t="str">
        <f>SUBSTITUTE(SUBSTITUTE(SUBSTITUTE("dpa"&amp;$B139&amp;$C139&amp;$D139&amp;$E139&amp;$F139,".","_"),"(","_"),")","")</f>
        <v>dpa503_5_1_a</v>
      </c>
      <c r="AM139" s="1352">
        <f ca="1">M139</f>
        <v>0</v>
      </c>
      <c r="AU139" s="42"/>
      <c r="AV139" s="42"/>
    </row>
    <row r="140" spans="1:51" x14ac:dyDescent="0.2">
      <c r="B140" s="23" t="s">
        <v>375</v>
      </c>
      <c r="C140" s="23" t="s">
        <v>254</v>
      </c>
      <c r="D140" s="23" t="s">
        <v>122</v>
      </c>
      <c r="E140" s="23"/>
      <c r="F140" s="691"/>
      <c r="G140" s="23"/>
      <c r="H140" s="691"/>
      <c r="I140" s="92"/>
      <c r="J140" s="92"/>
      <c r="K140" s="89" t="s">
        <v>122</v>
      </c>
      <c r="L140" s="85" t="s">
        <v>379</v>
      </c>
      <c r="M140" s="417">
        <f ca="1">3*IFERROR(INDEX({0.5,0.5,1},MATCH($W$135,INDIRECT($U$135),0)),0)</f>
        <v>0</v>
      </c>
      <c r="O140" s="138"/>
      <c r="P140" s="332"/>
      <c r="Q140" s="332"/>
      <c r="X140" s="1600"/>
      <c r="AL140" s="1352" t="str">
        <f>SUBSTITUTE(SUBSTITUTE(SUBSTITUTE("dpa"&amp;$B140&amp;$C140&amp;$D140&amp;$E140&amp;$F140,".","_"),"(","_"),")","")</f>
        <v>dpa503_5_1_b</v>
      </c>
      <c r="AM140" s="1352">
        <f ca="1">M140</f>
        <v>0</v>
      </c>
      <c r="AU140" s="42"/>
      <c r="AV140" s="42"/>
    </row>
    <row r="141" spans="1:51" x14ac:dyDescent="0.2">
      <c r="B141" s="23" t="s">
        <v>375</v>
      </c>
      <c r="C141" s="23" t="s">
        <v>254</v>
      </c>
      <c r="D141" s="23" t="s">
        <v>123</v>
      </c>
      <c r="E141" s="23"/>
      <c r="F141" s="691"/>
      <c r="G141" s="23"/>
      <c r="H141" s="691"/>
      <c r="I141" s="92"/>
      <c r="J141" s="92"/>
      <c r="K141" s="91" t="s">
        <v>123</v>
      </c>
      <c r="L141" s="85" t="s">
        <v>380</v>
      </c>
      <c r="M141" s="417">
        <f ca="1">2*IFERROR(INDEX({0.5,0.5,1},MATCH($W$135,INDIRECT($U$135),0)),0)</f>
        <v>0</v>
      </c>
      <c r="O141" s="138"/>
      <c r="P141" s="332"/>
      <c r="Q141" s="332"/>
      <c r="X141" s="1600"/>
      <c r="AL141" s="1352" t="str">
        <f>SUBSTITUTE(SUBSTITUTE(SUBSTITUTE("dpa"&amp;$B141&amp;$C141&amp;$D141&amp;$E141&amp;$F141,".","_"),"(","_"),")","")</f>
        <v>dpa503_5_1_c</v>
      </c>
      <c r="AM141" s="1352">
        <f ca="1">M141</f>
        <v>0</v>
      </c>
      <c r="AU141" s="42"/>
      <c r="AV141" s="42"/>
    </row>
    <row r="142" spans="1:51" x14ac:dyDescent="0.2">
      <c r="B142" s="23" t="s">
        <v>375</v>
      </c>
      <c r="C142" s="23" t="s">
        <v>254</v>
      </c>
      <c r="D142" s="23" t="s">
        <v>366</v>
      </c>
      <c r="E142" s="23"/>
      <c r="F142" s="691"/>
      <c r="G142" s="23"/>
      <c r="H142" s="691"/>
      <c r="I142" s="92"/>
      <c r="J142" s="172"/>
      <c r="K142" s="174" t="s">
        <v>366</v>
      </c>
      <c r="L142" s="170" t="s">
        <v>381</v>
      </c>
      <c r="M142" s="418">
        <f ca="1">1*IFERROR(INDEX({0.5,0.5,1},MATCH($W$135,INDIRECT($U$135),0)),0)</f>
        <v>0</v>
      </c>
      <c r="N142" s="173"/>
      <c r="O142" s="422"/>
      <c r="P142" s="332"/>
      <c r="Q142" s="332"/>
      <c r="X142" s="1600"/>
      <c r="AL142" s="1352" t="str">
        <f>SUBSTITUTE(SUBSTITUTE(SUBSTITUTE("dpa"&amp;$B142&amp;$C142&amp;$D142&amp;$E142&amp;$F142,".","_"),"(","_"),")","")</f>
        <v>dpa503_5_1_d</v>
      </c>
      <c r="AM142" s="1352">
        <f ca="1">M142</f>
        <v>0</v>
      </c>
      <c r="AU142" s="42"/>
      <c r="AV142" s="42"/>
    </row>
    <row r="143" spans="1:51" x14ac:dyDescent="0.2">
      <c r="B143" s="23" t="s">
        <v>375</v>
      </c>
      <c r="C143" s="23" t="s">
        <v>255</v>
      </c>
      <c r="D143" s="23"/>
      <c r="E143" s="23"/>
      <c r="F143" s="691"/>
      <c r="G143" s="23"/>
      <c r="H143" s="691"/>
      <c r="I143" s="92"/>
      <c r="J143" s="93" t="s">
        <v>255</v>
      </c>
      <c r="K143" s="103"/>
      <c r="L143" s="1609" t="s">
        <v>382</v>
      </c>
      <c r="M143" s="1671">
        <f ca="1">7*IFERROR(INDEX({0.5,0.5,1},MATCH($W$135,INDIRECT($U$135),0)),0)</f>
        <v>0</v>
      </c>
      <c r="N143" s="96"/>
      <c r="O143" s="1619">
        <f ca="1">M143*S143*W143</f>
        <v>0</v>
      </c>
      <c r="P143" s="332" t="b">
        <v>0</v>
      </c>
      <c r="Q143" s="332" t="b">
        <v>1</v>
      </c>
      <c r="R143" s="66" t="b">
        <v>0</v>
      </c>
      <c r="S143" s="123" t="b">
        <f>NOT(ISBLANK(W135))</f>
        <v>0</v>
      </c>
      <c r="T143" s="96" t="b">
        <f>AND(NOT(S143),W143=TRUE)</f>
        <v>0</v>
      </c>
      <c r="W143" s="27"/>
      <c r="X143" s="1600"/>
      <c r="AC143" s="123" t="b">
        <f>OR(AD143:AE143)</f>
        <v>0</v>
      </c>
      <c r="AD143" s="123" t="b">
        <f>T143</f>
        <v>0</v>
      </c>
      <c r="AL143" s="1352" t="str">
        <f>SUBSTITUTE(SUBSTITUTE(SUBSTITUTE("dpa"&amp;$B143&amp;$C143&amp;$D143&amp;$E143&amp;$F143,".","_"),"(","_"),")","")</f>
        <v>dpa503_5_2</v>
      </c>
      <c r="AM143" s="1352">
        <f ca="1">M143</f>
        <v>0</v>
      </c>
      <c r="AN143" s="1352" t="str">
        <f>SUBSTITUTE(SUBSTITUTE(SUBSTITUTE("dpc"&amp;$B143&amp;$C143&amp;$D143&amp;$E143&amp;$F143,".","_"),"(","_"),")","")</f>
        <v>dpc503_5_2</v>
      </c>
      <c r="AO143" s="1352">
        <f ca="1">O143</f>
        <v>0</v>
      </c>
      <c r="AP143" s="1352" t="str">
        <f>SUBSTITUTE(SUBSTITUTE(SUBSTITUTE("dch"&amp;$B143&amp;$C143&amp;$D143&amp;$E143&amp;$F143,".","_"),"(","_"),")","")</f>
        <v>dch503_5_2</v>
      </c>
      <c r="AQ143" s="1352" t="str">
        <f>IF(LEN(W143)=0,"",W143)</f>
        <v/>
      </c>
      <c r="AR143" s="1352" t="str">
        <f>SUBSTITUTE(SUBSTITUTE(SUBSTITUTE("dnt"&amp;$B143&amp;$C143&amp;$D143&amp;$E143&amp;$F143,".","_"),"(","_"),")","")</f>
        <v>dnt503_5_2</v>
      </c>
      <c r="AS143" s="1352" t="str">
        <f>IF(LEN(X143)=0,"",X143)</f>
        <v/>
      </c>
      <c r="AU143" s="42"/>
      <c r="AV143" s="42"/>
    </row>
    <row r="144" spans="1:51" x14ac:dyDescent="0.2">
      <c r="B144" s="23" t="s">
        <v>375</v>
      </c>
      <c r="C144" s="23" t="s">
        <v>255</v>
      </c>
      <c r="D144" s="23"/>
      <c r="E144" s="23"/>
      <c r="F144" s="691"/>
      <c r="G144" s="23"/>
      <c r="H144" s="691"/>
      <c r="I144" s="92"/>
      <c r="J144" s="172"/>
      <c r="K144" s="172"/>
      <c r="L144" s="1612"/>
      <c r="M144" s="1672"/>
      <c r="N144" s="173"/>
      <c r="O144" s="1620"/>
      <c r="P144" s="332"/>
      <c r="Q144" s="332"/>
      <c r="X144" s="1600"/>
      <c r="AU144" s="42"/>
      <c r="AV144" s="42"/>
    </row>
    <row r="145" spans="1:51" ht="15" customHeight="1" x14ac:dyDescent="0.2">
      <c r="B145" s="23" t="s">
        <v>375</v>
      </c>
      <c r="C145" s="23" t="s">
        <v>256</v>
      </c>
      <c r="D145" s="23"/>
      <c r="E145" s="23"/>
      <c r="F145" s="691"/>
      <c r="G145" s="23"/>
      <c r="H145" s="691"/>
      <c r="I145" s="92"/>
      <c r="J145" s="93" t="s">
        <v>256</v>
      </c>
      <c r="K145" s="103"/>
      <c r="L145" s="1613" t="s">
        <v>3944</v>
      </c>
      <c r="M145" s="1671">
        <f ca="1">3*IFERROR(INDEX({0.5,0.5,1},MATCH($W$135,INDIRECT($U$135),0)),0)</f>
        <v>0</v>
      </c>
      <c r="N145" s="96"/>
      <c r="O145" s="1619">
        <f ca="1">M145*S145*W145</f>
        <v>0</v>
      </c>
      <c r="P145" s="332" t="b">
        <v>0</v>
      </c>
      <c r="Q145" s="332" t="b">
        <v>1</v>
      </c>
      <c r="R145" s="66" t="b">
        <v>0</v>
      </c>
      <c r="S145" s="123" t="b">
        <f>NOT(ISBLANK(W135))</f>
        <v>0</v>
      </c>
      <c r="T145" s="96" t="b">
        <f>AND(NOT(S145),W145=TRUE)</f>
        <v>0</v>
      </c>
      <c r="W145" s="27"/>
      <c r="X145" s="1600"/>
      <c r="AC145" s="123" t="b">
        <f>OR(AD145:AE145)</f>
        <v>0</v>
      </c>
      <c r="AD145" s="123" t="b">
        <f>T145</f>
        <v>0</v>
      </c>
      <c r="AL145" s="1352" t="str">
        <f>SUBSTITUTE(SUBSTITUTE(SUBSTITUTE("dpa"&amp;$B145&amp;$C145&amp;$D145&amp;$E145&amp;$F145,".","_"),"(","_"),")","")</f>
        <v>dpa503_5_3</v>
      </c>
      <c r="AM145" s="1352">
        <f ca="1">M145</f>
        <v>0</v>
      </c>
      <c r="AN145" s="1352" t="str">
        <f>SUBSTITUTE(SUBSTITUTE(SUBSTITUTE("dpc"&amp;$B145&amp;$C145&amp;$D145&amp;$E145&amp;$F145,".","_"),"(","_"),")","")</f>
        <v>dpc503_5_3</v>
      </c>
      <c r="AO145" s="1352">
        <f ca="1">O145</f>
        <v>0</v>
      </c>
      <c r="AP145" s="1352" t="str">
        <f>SUBSTITUTE(SUBSTITUTE(SUBSTITUTE("dch"&amp;$B145&amp;$C145&amp;$D145&amp;$E145&amp;$F145,".","_"),"(","_"),")","")</f>
        <v>dch503_5_3</v>
      </c>
      <c r="AQ145" s="1352" t="str">
        <f>IF(LEN(W145)=0,"",W145)</f>
        <v/>
      </c>
      <c r="AR145" s="1352" t="str">
        <f>SUBSTITUTE(SUBSTITUTE(SUBSTITUTE("dnt"&amp;$B145&amp;$C145&amp;$D145&amp;$E145&amp;$F145,".","_"),"(","_"),")","")</f>
        <v>dnt503_5_3</v>
      </c>
      <c r="AS145" s="1352" t="str">
        <f>IF(LEN(X145)=0,"",X145)</f>
        <v/>
      </c>
      <c r="AU145" s="42"/>
      <c r="AV145" s="42"/>
    </row>
    <row r="146" spans="1:51" s="823" customFormat="1" x14ac:dyDescent="0.2">
      <c r="A146" s="20"/>
      <c r="B146" s="23" t="s">
        <v>375</v>
      </c>
      <c r="C146" s="23" t="s">
        <v>256</v>
      </c>
      <c r="D146" s="23"/>
      <c r="E146" s="23"/>
      <c r="F146" s="691"/>
      <c r="G146" s="23"/>
      <c r="H146" s="691"/>
      <c r="I146" s="92"/>
      <c r="J146" s="93"/>
      <c r="K146" s="103"/>
      <c r="L146" s="1609"/>
      <c r="M146" s="1671"/>
      <c r="N146" s="96"/>
      <c r="O146" s="1619"/>
      <c r="T146" s="96"/>
      <c r="W146"/>
      <c r="X146" s="1600"/>
      <c r="AL146" s="17"/>
      <c r="AM146" s="17"/>
      <c r="AN146" s="17"/>
      <c r="AO146" s="17"/>
      <c r="AP146"/>
      <c r="AQ146"/>
      <c r="AR146"/>
      <c r="AS146"/>
      <c r="AX146"/>
      <c r="AY146"/>
    </row>
    <row r="147" spans="1:51" x14ac:dyDescent="0.2">
      <c r="B147" s="23" t="s">
        <v>375</v>
      </c>
      <c r="C147" s="23" t="s">
        <v>256</v>
      </c>
      <c r="D147" s="23"/>
      <c r="E147" s="23"/>
      <c r="F147" s="691"/>
      <c r="G147" s="23"/>
      <c r="H147" s="691"/>
      <c r="I147" s="92"/>
      <c r="J147" s="172"/>
      <c r="K147" s="172"/>
      <c r="L147" s="1612"/>
      <c r="M147" s="1672"/>
      <c r="N147" s="173"/>
      <c r="O147" s="1620"/>
      <c r="P147" s="332"/>
      <c r="Q147" s="332"/>
      <c r="X147" s="1600"/>
      <c r="AU147" s="42"/>
      <c r="AV147" s="42"/>
    </row>
    <row r="148" spans="1:51" ht="15" customHeight="1" x14ac:dyDescent="0.2">
      <c r="B148" s="23" t="s">
        <v>375</v>
      </c>
      <c r="C148" s="23" t="s">
        <v>259</v>
      </c>
      <c r="D148" s="23"/>
      <c r="E148" s="23"/>
      <c r="F148" s="691"/>
      <c r="G148" s="23"/>
      <c r="H148" s="691"/>
      <c r="I148" s="92"/>
      <c r="J148" s="93" t="s">
        <v>259</v>
      </c>
      <c r="K148" s="103"/>
      <c r="L148" s="1609" t="s">
        <v>3945</v>
      </c>
      <c r="M148" s="1671">
        <f ca="1">5*IFERROR(INDEX({0.5,0.5,1},MATCH($W$135,INDIRECT($U$135),0)),0)</f>
        <v>0</v>
      </c>
      <c r="N148" s="96"/>
      <c r="O148" s="1619">
        <f ca="1">M148*S148*W148</f>
        <v>0</v>
      </c>
      <c r="P148" s="332" t="b">
        <v>0</v>
      </c>
      <c r="Q148" s="332" t="b">
        <v>1</v>
      </c>
      <c r="R148" s="66" t="b">
        <v>0</v>
      </c>
      <c r="S148" s="123" t="b">
        <f>NOT(ISBLANK(W135))</f>
        <v>0</v>
      </c>
      <c r="T148" s="96" t="b">
        <f>AND(NOT(S148),W148=TRUE)</f>
        <v>0</v>
      </c>
      <c r="W148" s="27"/>
      <c r="X148" s="1600"/>
      <c r="AC148" s="123" t="b">
        <f>OR(AD148:AE148)</f>
        <v>0</v>
      </c>
      <c r="AD148" s="123" t="b">
        <f>T148</f>
        <v>0</v>
      </c>
      <c r="AL148" s="1352" t="str">
        <f>SUBSTITUTE(SUBSTITUTE(SUBSTITUTE("dpa"&amp;$B148&amp;$C148&amp;$D148&amp;$E148&amp;$F148,".","_"),"(","_"),")","")</f>
        <v>dpa503_5_4</v>
      </c>
      <c r="AM148" s="1352">
        <f ca="1">M148</f>
        <v>0</v>
      </c>
      <c r="AN148" s="1352" t="str">
        <f>SUBSTITUTE(SUBSTITUTE(SUBSTITUTE("dpc"&amp;$B148&amp;$C148&amp;$D148&amp;$E148&amp;$F148,".","_"),"(","_"),")","")</f>
        <v>dpc503_5_4</v>
      </c>
      <c r="AO148" s="1352">
        <f ca="1">O148</f>
        <v>0</v>
      </c>
      <c r="AP148" s="1352" t="str">
        <f>SUBSTITUTE(SUBSTITUTE(SUBSTITUTE("dch"&amp;$B148&amp;$C148&amp;$D148&amp;$E148&amp;$F148,".","_"),"(","_"),")","")</f>
        <v>dch503_5_4</v>
      </c>
      <c r="AQ148" s="1352" t="str">
        <f>IF(LEN(W148)=0,"",W148)</f>
        <v/>
      </c>
      <c r="AR148" s="1352" t="str">
        <f>SUBSTITUTE(SUBSTITUTE(SUBSTITUTE("dnt"&amp;$B148&amp;$C148&amp;$D148&amp;$E148&amp;$F148,".","_"),"(","_"),")","")</f>
        <v>dnt503_5_4</v>
      </c>
      <c r="AS148" s="1352" t="str">
        <f>IF(LEN(X148)=0,"",X148)</f>
        <v/>
      </c>
      <c r="AU148" s="42"/>
      <c r="AV148" s="42"/>
    </row>
    <row r="149" spans="1:51" x14ac:dyDescent="0.2">
      <c r="B149" s="23" t="s">
        <v>375</v>
      </c>
      <c r="C149" s="23" t="s">
        <v>259</v>
      </c>
      <c r="D149" s="23"/>
      <c r="E149" s="23"/>
      <c r="F149" s="691"/>
      <c r="G149" s="23"/>
      <c r="H149" s="691"/>
      <c r="I149" s="92"/>
      <c r="J149" s="172"/>
      <c r="K149" s="172"/>
      <c r="L149" s="1612"/>
      <c r="M149" s="1672"/>
      <c r="N149" s="173"/>
      <c r="O149" s="1620"/>
      <c r="P149" s="332"/>
      <c r="Q149" s="332"/>
      <c r="X149" s="1600"/>
      <c r="AU149" s="42"/>
      <c r="AV149" s="42"/>
    </row>
    <row r="150" spans="1:51" s="823" customFormat="1" x14ac:dyDescent="0.2">
      <c r="A150" s="20"/>
      <c r="B150" s="23" t="s">
        <v>375</v>
      </c>
      <c r="C150" s="23" t="s">
        <v>263</v>
      </c>
      <c r="D150" s="23"/>
      <c r="E150" s="23"/>
      <c r="F150" s="691"/>
      <c r="G150" s="23"/>
      <c r="H150" s="691"/>
      <c r="I150" s="92"/>
      <c r="J150" s="860" t="s">
        <v>263</v>
      </c>
      <c r="K150" s="865"/>
      <c r="L150" s="1649" t="s">
        <v>3946</v>
      </c>
      <c r="M150" s="1684">
        <f ca="1">3*IFERROR(INDEX({0.5,0.5,1},MATCH($W$135,INDIRECT($U$135),0)),0)</f>
        <v>0</v>
      </c>
      <c r="N150" s="195"/>
      <c r="O150" s="1619">
        <f ca="1">M150*S150*W150</f>
        <v>0</v>
      </c>
      <c r="P150" s="823" t="b">
        <v>0</v>
      </c>
      <c r="Q150" s="823" t="b">
        <v>1</v>
      </c>
      <c r="R150" s="823" t="b">
        <v>0</v>
      </c>
      <c r="S150" s="823" t="b">
        <f>NOT(ISBLANK(W135))</f>
        <v>0</v>
      </c>
      <c r="T150" s="96" t="b">
        <f>AND(NOT(S150),W150=TRUE)</f>
        <v>0</v>
      </c>
      <c r="W150" s="27"/>
      <c r="X150" s="1621"/>
      <c r="AC150" s="1150" t="b">
        <f>OR(AD150:AE150)</f>
        <v>0</v>
      </c>
      <c r="AD150" s="1150" t="b">
        <f>T150</f>
        <v>0</v>
      </c>
      <c r="AL150" s="1352" t="str">
        <f>SUBSTITUTE(SUBSTITUTE(SUBSTITUTE("dpa"&amp;$B150&amp;$C150&amp;$D150&amp;$E150&amp;$F150,".","_"),"(","_"),")","")</f>
        <v>dpa503_5_5</v>
      </c>
      <c r="AM150" s="1352">
        <f ca="1">M150</f>
        <v>0</v>
      </c>
      <c r="AN150" s="1352" t="str">
        <f>SUBSTITUTE(SUBSTITUTE(SUBSTITUTE("dpc"&amp;$B150&amp;$C150&amp;$D150&amp;$E150&amp;$F150,".","_"),"(","_"),")","")</f>
        <v>dpc503_5_5</v>
      </c>
      <c r="AO150" s="1352">
        <f ca="1">O150</f>
        <v>0</v>
      </c>
      <c r="AP150" s="1352" t="str">
        <f>SUBSTITUTE(SUBSTITUTE(SUBSTITUTE("dch"&amp;$B150&amp;$C150&amp;$D150&amp;$E150&amp;$F150,".","_"),"(","_"),")","")</f>
        <v>dch503_5_5</v>
      </c>
      <c r="AQ150" s="1352" t="str">
        <f>IF(LEN(W150)=0,"",W150)</f>
        <v/>
      </c>
      <c r="AR150" s="1352" t="str">
        <f>SUBSTITUTE(SUBSTITUTE(SUBSTITUTE("dnt"&amp;$B150&amp;$C150&amp;$D150&amp;$E150&amp;$F150,".","_"),"(","_"),")","")</f>
        <v>dnt503_5_5</v>
      </c>
      <c r="AS150" s="1352" t="str">
        <f>IF(LEN(X150)=0,"",X150)</f>
        <v/>
      </c>
    </row>
    <row r="151" spans="1:51" s="823" customFormat="1" x14ac:dyDescent="0.2">
      <c r="A151" s="20"/>
      <c r="B151" s="23" t="s">
        <v>375</v>
      </c>
      <c r="C151" s="23" t="s">
        <v>263</v>
      </c>
      <c r="D151" s="23"/>
      <c r="E151" s="23"/>
      <c r="F151" s="691"/>
      <c r="G151" s="23"/>
      <c r="H151" s="691"/>
      <c r="I151" s="92"/>
      <c r="J151" s="172"/>
      <c r="K151" s="172"/>
      <c r="L151" s="1650"/>
      <c r="M151" s="1672"/>
      <c r="N151" s="173"/>
      <c r="O151" s="1620"/>
      <c r="X151" s="1599"/>
      <c r="AL151" s="17"/>
      <c r="AM151" s="17"/>
      <c r="AN151" s="17"/>
      <c r="AO151" s="17"/>
      <c r="AP151"/>
      <c r="AQ151"/>
      <c r="AR151"/>
      <c r="AS151"/>
      <c r="AX151"/>
      <c r="AY151"/>
    </row>
    <row r="152" spans="1:51" x14ac:dyDescent="0.2">
      <c r="B152" s="23" t="s">
        <v>375</v>
      </c>
      <c r="C152" s="23" t="s">
        <v>264</v>
      </c>
      <c r="D152" s="23"/>
      <c r="E152" s="23"/>
      <c r="F152" s="691"/>
      <c r="G152" s="23"/>
      <c r="H152" s="691"/>
      <c r="I152" s="92"/>
      <c r="J152" s="89" t="s">
        <v>264</v>
      </c>
      <c r="K152" s="92"/>
      <c r="L152" s="85" t="s">
        <v>3784</v>
      </c>
      <c r="M152" s="417"/>
      <c r="O152" s="138">
        <f ca="1">S152*IFERROR(INDEX(M153:M156,MATCH(W152,INDIRECT(U152))),0)</f>
        <v>0</v>
      </c>
      <c r="P152" s="332" t="b">
        <v>0</v>
      </c>
      <c r="Q152" s="332" t="b">
        <v>1</v>
      </c>
      <c r="R152" s="66" t="b">
        <v>0</v>
      </c>
      <c r="S152" s="123" t="b">
        <f>NOT(ISBLANK(W135))</f>
        <v>0</v>
      </c>
      <c r="T152" s="96" t="b">
        <f>AND(NOT(S152),LEN(W152)&gt;0)</f>
        <v>0</v>
      </c>
      <c r="U152" s="66" t="str">
        <f>SUBSTITUTE(SUBSTITUTE(SUBSTITUTE("dd"&amp;B152&amp;C152&amp;D152&amp;E152&amp;F152,".","_"),"(","_"),")","")</f>
        <v>dd503_5_6</v>
      </c>
      <c r="W152" s="122"/>
      <c r="X152" s="1600"/>
      <c r="AC152" s="123" t="b">
        <f>OR(AD152:AE152)</f>
        <v>0</v>
      </c>
      <c r="AD152" s="123" t="b">
        <f>T152</f>
        <v>0</v>
      </c>
      <c r="AN152" s="1352" t="str">
        <f>SUBSTITUTE(SUBSTITUTE(SUBSTITUTE("dpc"&amp;$B152&amp;$C152&amp;$D152&amp;$E152&amp;$F152,".","_"),"(","_"),")","")</f>
        <v>dpc503_5_6</v>
      </c>
      <c r="AO152" s="1352">
        <f ca="1">O152</f>
        <v>0</v>
      </c>
      <c r="AP152" s="1352" t="str">
        <f>SUBSTITUTE(SUBSTITUTE(SUBSTITUTE("dch"&amp;$B152&amp;$C152&amp;$D152&amp;$E152&amp;$F152,".","_"),"(","_"),")","")</f>
        <v>dch503_5_6</v>
      </c>
      <c r="AQ152" s="1352" t="str">
        <f>IF(LEN(W152)=0,"",W152)</f>
        <v/>
      </c>
      <c r="AR152" s="1352" t="str">
        <f>SUBSTITUTE(SUBSTITUTE(SUBSTITUTE("dnt"&amp;$B152&amp;$C152&amp;$D152&amp;$E152&amp;$F152,".","_"),"(","_"),")","")</f>
        <v>dnt503_5_6</v>
      </c>
      <c r="AS152" s="1352" t="str">
        <f>IF(LEN(X152)=0,"",X152)</f>
        <v/>
      </c>
      <c r="AU152" s="42"/>
      <c r="AV152" s="42"/>
    </row>
    <row r="153" spans="1:51" x14ac:dyDescent="0.2">
      <c r="B153" s="23" t="s">
        <v>375</v>
      </c>
      <c r="C153" s="23" t="s">
        <v>264</v>
      </c>
      <c r="D153" s="23" t="s">
        <v>121</v>
      </c>
      <c r="E153" s="23"/>
      <c r="F153" s="691"/>
      <c r="G153" s="23"/>
      <c r="H153" s="691"/>
      <c r="I153" s="92"/>
      <c r="J153" s="92"/>
      <c r="K153" s="89" t="s">
        <v>121</v>
      </c>
      <c r="L153" s="85" t="s">
        <v>383</v>
      </c>
      <c r="M153" s="417">
        <f ca="1">5*IFERROR(INDEX({0.5,0.5,1},MATCH($W$135,INDIRECT($U$135),0)),0)</f>
        <v>0</v>
      </c>
      <c r="O153" s="138"/>
      <c r="P153" s="332"/>
      <c r="Q153" s="332"/>
      <c r="X153" s="1600"/>
      <c r="AL153" s="1352" t="str">
        <f t="shared" ref="AL153:AL158" si="4">SUBSTITUTE(SUBSTITUTE(SUBSTITUTE("dpa"&amp;$B153&amp;$C153&amp;$D153&amp;$E153&amp;$F153,".","_"),"(","_"),")","")</f>
        <v>dpa503_5_6_a</v>
      </c>
      <c r="AM153" s="1352">
        <f t="shared" ref="AM153:AM158" ca="1" si="5">M153</f>
        <v>0</v>
      </c>
      <c r="AU153" s="42"/>
      <c r="AV153" s="42"/>
    </row>
    <row r="154" spans="1:51" x14ac:dyDescent="0.2">
      <c r="B154" s="23" t="s">
        <v>375</v>
      </c>
      <c r="C154" s="23" t="s">
        <v>264</v>
      </c>
      <c r="D154" s="23" t="s">
        <v>122</v>
      </c>
      <c r="E154" s="23"/>
      <c r="F154" s="691"/>
      <c r="G154" s="23"/>
      <c r="H154" s="691"/>
      <c r="I154" s="92"/>
      <c r="J154" s="92"/>
      <c r="K154" s="89" t="s">
        <v>122</v>
      </c>
      <c r="L154" s="85" t="s">
        <v>384</v>
      </c>
      <c r="M154" s="417">
        <f ca="1">4*IFERROR(INDEX({0.5,0.5,1},MATCH($W$135,INDIRECT($U$135),0)),0)</f>
        <v>0</v>
      </c>
      <c r="O154" s="138"/>
      <c r="P154" s="332"/>
      <c r="Q154" s="332"/>
      <c r="X154" s="1600"/>
      <c r="AL154" s="1352" t="str">
        <f t="shared" si="4"/>
        <v>dpa503_5_6_b</v>
      </c>
      <c r="AM154" s="1352">
        <f t="shared" ca="1" si="5"/>
        <v>0</v>
      </c>
      <c r="AU154" s="42"/>
      <c r="AV154" s="42"/>
      <c r="AX154" s="823"/>
      <c r="AY154" s="823"/>
    </row>
    <row r="155" spans="1:51" x14ac:dyDescent="0.2">
      <c r="B155" s="23" t="s">
        <v>375</v>
      </c>
      <c r="C155" s="23" t="s">
        <v>264</v>
      </c>
      <c r="D155" s="23" t="s">
        <v>123</v>
      </c>
      <c r="E155" s="23"/>
      <c r="F155" s="691"/>
      <c r="G155" s="23"/>
      <c r="H155" s="691"/>
      <c r="I155" s="92"/>
      <c r="J155" s="92"/>
      <c r="K155" s="91" t="s">
        <v>123</v>
      </c>
      <c r="L155" s="85" t="s">
        <v>385</v>
      </c>
      <c r="M155" s="417">
        <f ca="1">3*IFERROR(INDEX({0.5,0.5,1},MATCH($W$135,INDIRECT($U$135),0)),0)</f>
        <v>0</v>
      </c>
      <c r="O155" s="138"/>
      <c r="P155" s="332"/>
      <c r="Q155" s="332"/>
      <c r="X155" s="1600"/>
      <c r="AL155" s="1352" t="str">
        <f t="shared" si="4"/>
        <v>dpa503_5_6_c</v>
      </c>
      <c r="AM155" s="1352">
        <f t="shared" ca="1" si="5"/>
        <v>0</v>
      </c>
      <c r="AU155" s="42"/>
      <c r="AV155" s="42"/>
      <c r="AX155" s="823"/>
      <c r="AY155" s="823"/>
    </row>
    <row r="156" spans="1:51" x14ac:dyDescent="0.2">
      <c r="B156" s="23" t="s">
        <v>375</v>
      </c>
      <c r="C156" s="23" t="s">
        <v>264</v>
      </c>
      <c r="D156" s="23" t="s">
        <v>366</v>
      </c>
      <c r="E156" s="23"/>
      <c r="F156" s="691"/>
      <c r="G156" s="23"/>
      <c r="H156" s="691"/>
      <c r="I156" s="92"/>
      <c r="J156" s="172"/>
      <c r="K156" s="174" t="s">
        <v>366</v>
      </c>
      <c r="L156" s="170" t="s">
        <v>386</v>
      </c>
      <c r="M156" s="418">
        <f ca="1">2*IFERROR(INDEX({0.5,0.5,1},MATCH($W$135,INDIRECT($U$135),0)),0)</f>
        <v>0</v>
      </c>
      <c r="N156" s="173"/>
      <c r="O156" s="422"/>
      <c r="P156" s="332"/>
      <c r="Q156" s="332"/>
      <c r="X156" s="1600"/>
      <c r="AL156" s="1352" t="str">
        <f t="shared" si="4"/>
        <v>dpa503_5_6_d</v>
      </c>
      <c r="AM156" s="1352">
        <f t="shared" ca="1" si="5"/>
        <v>0</v>
      </c>
      <c r="AU156" s="42"/>
      <c r="AV156" s="42"/>
    </row>
    <row r="157" spans="1:51" x14ac:dyDescent="0.2">
      <c r="B157" s="23" t="s">
        <v>375</v>
      </c>
      <c r="C157" s="23" t="s">
        <v>356</v>
      </c>
      <c r="D157" s="23"/>
      <c r="E157" s="23"/>
      <c r="F157" s="691"/>
      <c r="G157" s="23"/>
      <c r="H157" s="691"/>
      <c r="I157" s="92"/>
      <c r="J157" s="169" t="s">
        <v>356</v>
      </c>
      <c r="K157" s="172"/>
      <c r="L157" s="170" t="s">
        <v>387</v>
      </c>
      <c r="M157" s="418">
        <f ca="1">5*IFERROR(INDEX({0.5,0.5,1},MATCH($W$135,INDIRECT($U$135),0)),0)</f>
        <v>0</v>
      </c>
      <c r="N157" s="173"/>
      <c r="O157" s="422">
        <f ca="1">M157*S157*W157</f>
        <v>0</v>
      </c>
      <c r="P157" s="332" t="b">
        <v>0</v>
      </c>
      <c r="Q157" s="332" t="b">
        <v>1</v>
      </c>
      <c r="R157" s="66" t="b">
        <v>0</v>
      </c>
      <c r="S157" s="123" t="b">
        <f>NOT(ISBLANK(W135))</f>
        <v>0</v>
      </c>
      <c r="T157" s="96" t="b">
        <f>AND(NOT(S157),W157=TRUE)</f>
        <v>0</v>
      </c>
      <c r="W157" s="27"/>
      <c r="X157" s="74"/>
      <c r="AC157" s="123" t="b">
        <f>OR(AD157:AE157)</f>
        <v>0</v>
      </c>
      <c r="AD157" s="123" t="b">
        <f>T157</f>
        <v>0</v>
      </c>
      <c r="AL157" s="1352" t="str">
        <f t="shared" si="4"/>
        <v>dpa503_5_7</v>
      </c>
      <c r="AM157" s="1352">
        <f t="shared" ca="1" si="5"/>
        <v>0</v>
      </c>
      <c r="AN157" s="1352" t="str">
        <f>SUBSTITUTE(SUBSTITUTE(SUBSTITUTE("dpc"&amp;$B157&amp;$C157&amp;$D157&amp;$E157&amp;$F157,".","_"),"(","_"),")","")</f>
        <v>dpc503_5_7</v>
      </c>
      <c r="AO157" s="1352">
        <f ca="1">O157</f>
        <v>0</v>
      </c>
      <c r="AP157" s="1352" t="str">
        <f>SUBSTITUTE(SUBSTITUTE(SUBSTITUTE("dch"&amp;$B157&amp;$C157&amp;$D157&amp;$E157&amp;$F157,".","_"),"(","_"),")","")</f>
        <v>dch503_5_7</v>
      </c>
      <c r="AQ157" s="1352" t="str">
        <f>IF(LEN(W157)=0,"",W157)</f>
        <v/>
      </c>
      <c r="AR157" s="1352" t="str">
        <f>SUBSTITUTE(SUBSTITUTE(SUBSTITUTE("dnt"&amp;$B157&amp;$C157&amp;$D157&amp;$E157&amp;$F157,".","_"),"(","_"),")","")</f>
        <v>dnt503_5_7</v>
      </c>
      <c r="AS157" s="1352" t="str">
        <f>IF(LEN(X157)=0,"",X157)</f>
        <v/>
      </c>
      <c r="AU157" s="42"/>
      <c r="AV157" s="42"/>
    </row>
    <row r="158" spans="1:51" x14ac:dyDescent="0.2">
      <c r="B158" s="23" t="s">
        <v>375</v>
      </c>
      <c r="C158" s="23" t="s">
        <v>389</v>
      </c>
      <c r="D158" s="23"/>
      <c r="E158" s="23"/>
      <c r="F158" s="691"/>
      <c r="G158" s="23"/>
      <c r="H158" s="691"/>
      <c r="I158" s="92"/>
      <c r="J158" s="93" t="s">
        <v>389</v>
      </c>
      <c r="K158" s="103"/>
      <c r="L158" s="1609" t="s">
        <v>388</v>
      </c>
      <c r="M158" s="1671">
        <f ca="1">5*IFERROR(INDEX({0.5,0.5,1},MATCH($W$135,INDIRECT($U$135),0)),0)</f>
        <v>0</v>
      </c>
      <c r="N158" s="96"/>
      <c r="O158" s="1619">
        <f ca="1">M158*S158*W158</f>
        <v>0</v>
      </c>
      <c r="P158" s="332" t="b">
        <v>0</v>
      </c>
      <c r="Q158" s="332" t="b">
        <v>1</v>
      </c>
      <c r="R158" s="66" t="b">
        <v>0</v>
      </c>
      <c r="S158" s="123" t="b">
        <f>NOT(ISBLANK(W135))</f>
        <v>0</v>
      </c>
      <c r="T158" s="96" t="b">
        <f>AND(NOT(S158),W158=TRUE)</f>
        <v>0</v>
      </c>
      <c r="W158" s="27"/>
      <c r="X158" s="1600"/>
      <c r="AC158" s="123" t="b">
        <f>OR(AD158:AE158)</f>
        <v>0</v>
      </c>
      <c r="AD158" s="123" t="b">
        <f>T158</f>
        <v>0</v>
      </c>
      <c r="AL158" s="1352" t="str">
        <f t="shared" si="4"/>
        <v>dpa503_5_8</v>
      </c>
      <c r="AM158" s="1352">
        <f t="shared" ca="1" si="5"/>
        <v>0</v>
      </c>
      <c r="AN158" s="1352" t="str">
        <f>SUBSTITUTE(SUBSTITUTE(SUBSTITUTE("dpc"&amp;$B158&amp;$C158&amp;$D158&amp;$E158&amp;$F158,".","_"),"(","_"),")","")</f>
        <v>dpc503_5_8</v>
      </c>
      <c r="AO158" s="1352">
        <f ca="1">O158</f>
        <v>0</v>
      </c>
      <c r="AP158" s="1352" t="str">
        <f>SUBSTITUTE(SUBSTITUTE(SUBSTITUTE("dch"&amp;$B158&amp;$C158&amp;$D158&amp;$E158&amp;$F158,".","_"),"(","_"),")","")</f>
        <v>dch503_5_8</v>
      </c>
      <c r="AQ158" s="1352" t="str">
        <f>IF(LEN(W158)=0,"",W158)</f>
        <v/>
      </c>
      <c r="AR158" s="1352" t="str">
        <f>SUBSTITUTE(SUBSTITUTE(SUBSTITUTE("dnt"&amp;$B158&amp;$C158&amp;$D158&amp;$E158&amp;$F158,".","_"),"(","_"),")","")</f>
        <v>dnt503_5_8</v>
      </c>
      <c r="AS158" s="1352" t="str">
        <f>IF(LEN(X158)=0,"",X158)</f>
        <v/>
      </c>
      <c r="AU158" s="42"/>
      <c r="AV158" s="42"/>
    </row>
    <row r="159" spans="1:51" x14ac:dyDescent="0.2">
      <c r="B159" s="23" t="s">
        <v>375</v>
      </c>
      <c r="C159" s="23" t="s">
        <v>389</v>
      </c>
      <c r="D159" s="23"/>
      <c r="E159" s="23"/>
      <c r="F159" s="691"/>
      <c r="G159" s="23"/>
      <c r="H159" s="691"/>
      <c r="I159" s="92"/>
      <c r="J159" s="103"/>
      <c r="K159" s="103"/>
      <c r="L159" s="1609"/>
      <c r="M159" s="1671"/>
      <c r="N159" s="96"/>
      <c r="O159" s="1619"/>
      <c r="P159" s="332"/>
      <c r="Q159" s="332"/>
      <c r="X159" s="1600"/>
    </row>
    <row r="160" spans="1:51" x14ac:dyDescent="0.2">
      <c r="B160" s="23" t="s">
        <v>375</v>
      </c>
      <c r="C160" s="23" t="s">
        <v>389</v>
      </c>
      <c r="D160" s="23"/>
      <c r="E160" s="23"/>
      <c r="F160" s="691"/>
      <c r="G160" s="23"/>
      <c r="H160" s="691"/>
      <c r="I160" s="92"/>
      <c r="J160" s="103"/>
      <c r="K160" s="103"/>
      <c r="L160" s="1609"/>
      <c r="M160" s="1671"/>
      <c r="N160" s="96"/>
      <c r="O160" s="1619"/>
      <c r="P160" s="332"/>
      <c r="Q160" s="332"/>
      <c r="X160" s="1600"/>
    </row>
    <row r="161" spans="1:51" x14ac:dyDescent="0.2">
      <c r="B161" s="23" t="s">
        <v>375</v>
      </c>
      <c r="C161" s="23" t="s">
        <v>389</v>
      </c>
      <c r="D161" s="23"/>
      <c r="E161" s="23"/>
      <c r="F161" s="691"/>
      <c r="G161" s="23"/>
      <c r="H161" s="691"/>
      <c r="I161" s="92"/>
      <c r="J161" s="103"/>
      <c r="K161" s="103"/>
      <c r="L161" s="1609"/>
      <c r="M161" s="1671"/>
      <c r="N161" s="96"/>
      <c r="O161" s="1619"/>
      <c r="P161" s="332"/>
      <c r="Q161" s="332"/>
      <c r="X161" s="1600"/>
    </row>
    <row r="162" spans="1:51" x14ac:dyDescent="0.2">
      <c r="B162" s="23" t="s">
        <v>375</v>
      </c>
      <c r="C162" s="23" t="s">
        <v>389</v>
      </c>
      <c r="D162" s="23"/>
      <c r="E162" s="23"/>
      <c r="F162" s="691"/>
      <c r="G162" s="23"/>
      <c r="H162" s="691"/>
      <c r="I162" s="92"/>
      <c r="J162" s="172"/>
      <c r="K162" s="172"/>
      <c r="L162" s="1612"/>
      <c r="M162" s="1672"/>
      <c r="N162" s="173"/>
      <c r="O162" s="1620"/>
      <c r="P162" s="332"/>
      <c r="Q162" s="332"/>
      <c r="X162" s="1600"/>
    </row>
    <row r="163" spans="1:51" x14ac:dyDescent="0.2">
      <c r="B163" s="23" t="s">
        <v>375</v>
      </c>
      <c r="C163" s="23" t="s">
        <v>391</v>
      </c>
      <c r="D163" s="23"/>
      <c r="E163" s="23"/>
      <c r="F163" s="691"/>
      <c r="G163" s="23"/>
      <c r="H163" s="691"/>
      <c r="I163" s="92"/>
      <c r="J163" s="93" t="s">
        <v>391</v>
      </c>
      <c r="K163" s="103"/>
      <c r="L163" s="1609" t="s">
        <v>390</v>
      </c>
      <c r="M163" s="1671">
        <f ca="1">5*IFERROR(INDEX({0.5,0.5,1},MATCH($W$135,INDIRECT($U$135),0)),0)</f>
        <v>0</v>
      </c>
      <c r="N163" s="96"/>
      <c r="O163" s="1619">
        <f ca="1">M163*S163*W163</f>
        <v>0</v>
      </c>
      <c r="P163" s="96" t="b">
        <v>0</v>
      </c>
      <c r="Q163" s="96" t="b">
        <v>1</v>
      </c>
      <c r="R163" s="66" t="b">
        <v>0</v>
      </c>
      <c r="S163" s="123" t="b">
        <f>NOT(ISBLANK(W135))</f>
        <v>0</v>
      </c>
      <c r="T163" s="96" t="b">
        <f>AND(NOT(S163),W163=TRUE)</f>
        <v>0</v>
      </c>
      <c r="W163" s="27"/>
      <c r="X163" s="1600"/>
      <c r="AC163" s="123" t="b">
        <f>OR(AD163:AE163)</f>
        <v>0</v>
      </c>
      <c r="AD163" s="123" t="b">
        <f>T163</f>
        <v>0</v>
      </c>
      <c r="AL163" s="1352" t="str">
        <f>SUBSTITUTE(SUBSTITUTE(SUBSTITUTE("dpa"&amp;$B163&amp;$C163&amp;$D163&amp;$E163&amp;$F163,".","_"),"(","_"),")","")</f>
        <v>dpa503_5_9</v>
      </c>
      <c r="AM163" s="1352">
        <f ca="1">M163</f>
        <v>0</v>
      </c>
      <c r="AN163" s="1352" t="str">
        <f>SUBSTITUTE(SUBSTITUTE(SUBSTITUTE("dpc"&amp;$B163&amp;$C163&amp;$D163&amp;$E163&amp;$F163,".","_"),"(","_"),")","")</f>
        <v>dpc503_5_9</v>
      </c>
      <c r="AO163" s="1352">
        <f ca="1">O163</f>
        <v>0</v>
      </c>
      <c r="AP163" s="1352" t="str">
        <f>SUBSTITUTE(SUBSTITUTE(SUBSTITUTE("dch"&amp;$B163&amp;$C163&amp;$D163&amp;$E163&amp;$F163,".","_"),"(","_"),")","")</f>
        <v>dch503_5_9</v>
      </c>
      <c r="AQ163" s="1352" t="str">
        <f>IF(LEN(W163)=0,"",W163)</f>
        <v/>
      </c>
      <c r="AR163" s="1352" t="str">
        <f>SUBSTITUTE(SUBSTITUTE(SUBSTITUTE("dnt"&amp;$B163&amp;$C163&amp;$D163&amp;$E163&amp;$F163,".","_"),"(","_"),")","")</f>
        <v>dnt503_5_9</v>
      </c>
      <c r="AS163" s="1352" t="str">
        <f>IF(LEN(X163)=0,"",X163)</f>
        <v/>
      </c>
    </row>
    <row r="164" spans="1:51" x14ac:dyDescent="0.2">
      <c r="B164" s="23" t="s">
        <v>375</v>
      </c>
      <c r="C164" s="23" t="s">
        <v>391</v>
      </c>
      <c r="D164" s="23"/>
      <c r="E164" s="23"/>
      <c r="F164" s="691"/>
      <c r="G164" s="23"/>
      <c r="H164" s="691"/>
      <c r="I164" s="92"/>
      <c r="J164" s="172"/>
      <c r="K164" s="172"/>
      <c r="L164" s="1612"/>
      <c r="M164" s="1672"/>
      <c r="N164" s="173"/>
      <c r="O164" s="1620"/>
      <c r="P164" s="332"/>
      <c r="Q164" s="332"/>
      <c r="X164" s="1600"/>
    </row>
    <row r="165" spans="1:51" x14ac:dyDescent="0.2">
      <c r="B165" s="23" t="s">
        <v>375</v>
      </c>
      <c r="C165" s="23" t="s">
        <v>392</v>
      </c>
      <c r="D165" s="23"/>
      <c r="E165" s="23"/>
      <c r="F165" s="691"/>
      <c r="G165" s="23"/>
      <c r="H165" s="691"/>
      <c r="I165" s="92"/>
      <c r="J165" s="93" t="s">
        <v>392</v>
      </c>
      <c r="K165" s="103"/>
      <c r="L165" s="1609" t="s">
        <v>3785</v>
      </c>
      <c r="M165" s="1636">
        <v>3</v>
      </c>
      <c r="N165" s="96"/>
      <c r="O165" s="1637">
        <f>M165*S165*W165</f>
        <v>0</v>
      </c>
      <c r="P165" s="96" t="b">
        <v>0</v>
      </c>
      <c r="Q165" s="96" t="b">
        <v>1</v>
      </c>
      <c r="R165" s="66" t="b">
        <v>0</v>
      </c>
      <c r="S165" s="123" t="b">
        <f>NOT(ISBLANK(W135))</f>
        <v>0</v>
      </c>
      <c r="T165" s="96" t="b">
        <f>AND(NOT(S165),W165=TRUE)</f>
        <v>0</v>
      </c>
      <c r="W165" s="27"/>
      <c r="X165" s="1621"/>
      <c r="AC165" s="123" t="b">
        <f>OR(AD165:AE165)</f>
        <v>0</v>
      </c>
      <c r="AD165" s="123" t="b">
        <f>T165</f>
        <v>0</v>
      </c>
      <c r="AL165" s="1352" t="str">
        <f>SUBSTITUTE(SUBSTITUTE(SUBSTITUTE("dpa"&amp;$B165&amp;$C165&amp;$D165&amp;$E165&amp;$F165,".","_"),"(","_"),")","")</f>
        <v>dpa503_5_10</v>
      </c>
      <c r="AM165" s="1352">
        <f>M165</f>
        <v>3</v>
      </c>
      <c r="AN165" s="1352" t="str">
        <f>SUBSTITUTE(SUBSTITUTE(SUBSTITUTE("dpc"&amp;$B165&amp;$C165&amp;$D165&amp;$E165&amp;$F165,".","_"),"(","_"),")","")</f>
        <v>dpc503_5_10</v>
      </c>
      <c r="AO165" s="1352">
        <f>O165</f>
        <v>0</v>
      </c>
      <c r="AP165" s="1352" t="str">
        <f>SUBSTITUTE(SUBSTITUTE(SUBSTITUTE("dch"&amp;$B165&amp;$C165&amp;$D165&amp;$E165&amp;$F165,".","_"),"(","_"),")","")</f>
        <v>dch503_5_10</v>
      </c>
      <c r="AQ165" s="1352" t="str">
        <f>IF(LEN(W165)=0,"",W165)</f>
        <v/>
      </c>
      <c r="AR165" s="1352" t="str">
        <f>SUBSTITUTE(SUBSTITUTE(SUBSTITUTE("dnt"&amp;$B165&amp;$C165&amp;$D165&amp;$E165&amp;$F165,".","_"),"(","_"),")","")</f>
        <v>dnt503_5_10</v>
      </c>
      <c r="AS165" s="1352" t="str">
        <f>IF(LEN(X165)=0,"",X165)</f>
        <v/>
      </c>
    </row>
    <row r="166" spans="1:51" x14ac:dyDescent="0.2">
      <c r="B166" s="23" t="s">
        <v>375</v>
      </c>
      <c r="C166" s="23" t="s">
        <v>392</v>
      </c>
      <c r="D166" s="23"/>
      <c r="E166" s="23"/>
      <c r="F166" s="691"/>
      <c r="G166" s="23"/>
      <c r="H166" s="691"/>
      <c r="I166" s="92"/>
      <c r="J166" s="103"/>
      <c r="K166" s="103"/>
      <c r="L166" s="1609"/>
      <c r="M166" s="1623"/>
      <c r="N166" s="96"/>
      <c r="O166" s="1619"/>
      <c r="P166" s="332"/>
      <c r="Q166" s="332"/>
      <c r="X166" s="1632"/>
    </row>
    <row r="167" spans="1:51" x14ac:dyDescent="0.2">
      <c r="B167" s="23" t="s">
        <v>375</v>
      </c>
      <c r="C167" s="23" t="s">
        <v>392</v>
      </c>
      <c r="D167" s="23"/>
      <c r="E167" s="23"/>
      <c r="F167" s="691"/>
      <c r="G167" s="23"/>
      <c r="H167" s="691"/>
      <c r="I167" s="92"/>
      <c r="J167" s="172"/>
      <c r="K167" s="172"/>
      <c r="L167" s="1612"/>
      <c r="M167" s="1624"/>
      <c r="N167" s="173"/>
      <c r="O167" s="1620"/>
      <c r="P167" s="332"/>
      <c r="Q167" s="332"/>
      <c r="R167" s="155"/>
      <c r="S167" s="155"/>
      <c r="T167" s="155"/>
      <c r="U167" s="155"/>
      <c r="V167" s="155"/>
      <c r="W167" s="155"/>
      <c r="X167" s="1599"/>
      <c r="Z167" s="155"/>
      <c r="AB167" s="155"/>
      <c r="AC167" s="155"/>
      <c r="AD167" s="155"/>
      <c r="AE167" s="155"/>
      <c r="AF167" s="155"/>
      <c r="AG167" s="155"/>
      <c r="AH167" s="155"/>
      <c r="AI167" s="155"/>
      <c r="AJ167" s="155"/>
      <c r="AK167" s="155"/>
    </row>
    <row r="168" spans="1:51" x14ac:dyDescent="0.2">
      <c r="B168" s="23" t="s">
        <v>375</v>
      </c>
      <c r="C168" s="23" t="s">
        <v>394</v>
      </c>
      <c r="D168" s="23"/>
      <c r="E168" s="23"/>
      <c r="F168" s="691"/>
      <c r="G168" s="23"/>
      <c r="H168" s="691"/>
      <c r="I168" s="92"/>
      <c r="J168" s="93" t="s">
        <v>394</v>
      </c>
      <c r="K168" s="103"/>
      <c r="L168" s="1609" t="s">
        <v>393</v>
      </c>
      <c r="M168" s="1623">
        <v>4</v>
      </c>
      <c r="N168" s="96"/>
      <c r="O168" s="1619">
        <f>M168*S168*W168</f>
        <v>0</v>
      </c>
      <c r="P168" s="96" t="b">
        <v>0</v>
      </c>
      <c r="Q168" s="96" t="b">
        <v>1</v>
      </c>
      <c r="R168" s="66" t="b">
        <v>0</v>
      </c>
      <c r="S168" s="123" t="b">
        <f>NOT(ISBLANK(W135))</f>
        <v>0</v>
      </c>
      <c r="T168" s="96" t="b">
        <f>AND(NOT(S168),W168=TRUE)</f>
        <v>0</v>
      </c>
      <c r="W168" s="27"/>
      <c r="X168" s="1600"/>
      <c r="AC168" s="123" t="b">
        <f>OR(AD168:AE168)</f>
        <v>0</v>
      </c>
      <c r="AD168" s="123" t="b">
        <f>T168</f>
        <v>0</v>
      </c>
      <c r="AL168" s="1352" t="str">
        <f>SUBSTITUTE(SUBSTITUTE(SUBSTITUTE("dpa"&amp;$B168&amp;$C168&amp;$D168&amp;$E168&amp;$F168,".","_"),"(","_"),")","")</f>
        <v>dpa503_5_11</v>
      </c>
      <c r="AM168" s="1352">
        <f>M168</f>
        <v>4</v>
      </c>
      <c r="AN168" s="1352" t="str">
        <f>SUBSTITUTE(SUBSTITUTE(SUBSTITUTE("dpc"&amp;$B168&amp;$C168&amp;$D168&amp;$E168&amp;$F168,".","_"),"(","_"),")","")</f>
        <v>dpc503_5_11</v>
      </c>
      <c r="AO168" s="1352">
        <f>O168</f>
        <v>0</v>
      </c>
      <c r="AP168" s="1352" t="str">
        <f>SUBSTITUTE(SUBSTITUTE(SUBSTITUTE("dch"&amp;$B168&amp;$C168&amp;$D168&amp;$E168&amp;$F168,".","_"),"(","_"),")","")</f>
        <v>dch503_5_11</v>
      </c>
      <c r="AQ168" s="1352" t="str">
        <f>IF(LEN(W168)=0,"",W168)</f>
        <v/>
      </c>
      <c r="AR168" s="1352" t="str">
        <f>SUBSTITUTE(SUBSTITUTE(SUBSTITUTE("dnt"&amp;$B168&amp;$C168&amp;$D168&amp;$E168&amp;$F168,".","_"),"(","_"),")","")</f>
        <v>dnt503_5_11</v>
      </c>
      <c r="AS168" s="1352" t="str">
        <f>IF(LEN(X168)=0,"",X168)</f>
        <v/>
      </c>
    </row>
    <row r="169" spans="1:51" x14ac:dyDescent="0.2">
      <c r="B169" s="23" t="s">
        <v>375</v>
      </c>
      <c r="C169" s="23" t="s">
        <v>394</v>
      </c>
      <c r="D169" s="23"/>
      <c r="E169" s="23"/>
      <c r="F169" s="691"/>
      <c r="G169" s="23"/>
      <c r="H169" s="691"/>
      <c r="I169" s="92"/>
      <c r="J169" s="172"/>
      <c r="K169" s="172"/>
      <c r="L169" s="1612"/>
      <c r="M169" s="1624"/>
      <c r="N169" s="173"/>
      <c r="O169" s="1620"/>
      <c r="P169" s="332"/>
      <c r="Q169" s="332"/>
      <c r="X169" s="1600"/>
    </row>
    <row r="170" spans="1:51" x14ac:dyDescent="0.2">
      <c r="B170" s="23" t="s">
        <v>375</v>
      </c>
      <c r="C170" s="23" t="s">
        <v>396</v>
      </c>
      <c r="D170" s="23"/>
      <c r="E170" s="23"/>
      <c r="F170" s="691"/>
      <c r="G170" s="23"/>
      <c r="H170" s="691"/>
      <c r="I170" s="92"/>
      <c r="J170" s="93" t="s">
        <v>396</v>
      </c>
      <c r="K170" s="103"/>
      <c r="L170" s="1609" t="s">
        <v>395</v>
      </c>
      <c r="M170" s="1623">
        <v>3</v>
      </c>
      <c r="N170" s="96"/>
      <c r="O170" s="1619">
        <f>M170*S170*W170</f>
        <v>0</v>
      </c>
      <c r="P170" s="96" t="b">
        <v>0</v>
      </c>
      <c r="Q170" s="96" t="b">
        <v>1</v>
      </c>
      <c r="R170" s="66" t="b">
        <v>0</v>
      </c>
      <c r="S170" s="123" t="b">
        <f>NOT(ISBLANK(W135))</f>
        <v>0</v>
      </c>
      <c r="T170" s="96" t="b">
        <f>AND(NOT(S170),W170=TRUE)</f>
        <v>0</v>
      </c>
      <c r="W170" s="27"/>
      <c r="X170" s="1600"/>
      <c r="AC170" s="123" t="b">
        <f>OR(AD170:AE170)</f>
        <v>0</v>
      </c>
      <c r="AD170" s="123" t="b">
        <f>T170</f>
        <v>0</v>
      </c>
      <c r="AL170" s="1352" t="str">
        <f>SUBSTITUTE(SUBSTITUTE(SUBSTITUTE("dpa"&amp;$B170&amp;$C170&amp;$D170&amp;$E170&amp;$F170,".","_"),"(","_"),")","")</f>
        <v>dpa503_5_12</v>
      </c>
      <c r="AM170" s="1352">
        <f>M170</f>
        <v>3</v>
      </c>
      <c r="AN170" s="1352" t="str">
        <f>SUBSTITUTE(SUBSTITUTE(SUBSTITUTE("dpc"&amp;$B170&amp;$C170&amp;$D170&amp;$E170&amp;$F170,".","_"),"(","_"),")","")</f>
        <v>dpc503_5_12</v>
      </c>
      <c r="AO170" s="1352">
        <f>O170</f>
        <v>0</v>
      </c>
      <c r="AP170" s="1352" t="str">
        <f>SUBSTITUTE(SUBSTITUTE(SUBSTITUTE("dch"&amp;$B170&amp;$C170&amp;$D170&amp;$E170&amp;$F170,".","_"),"(","_"),")","")</f>
        <v>dch503_5_12</v>
      </c>
      <c r="AQ170" s="1352" t="str">
        <f>IF(LEN(W170)=0,"",W170)</f>
        <v/>
      </c>
      <c r="AR170" s="1352" t="str">
        <f>SUBSTITUTE(SUBSTITUTE(SUBSTITUTE("dnt"&amp;$B170&amp;$C170&amp;$D170&amp;$E170&amp;$F170,".","_"),"(","_"),")","")</f>
        <v>dnt503_5_12</v>
      </c>
      <c r="AS170" s="1352" t="str">
        <f>IF(LEN(X170)=0,"",X170)</f>
        <v/>
      </c>
    </row>
    <row r="171" spans="1:51" x14ac:dyDescent="0.2">
      <c r="B171" s="23" t="s">
        <v>375</v>
      </c>
      <c r="C171" s="23" t="s">
        <v>396</v>
      </c>
      <c r="D171" s="23"/>
      <c r="E171" s="23"/>
      <c r="F171" s="691"/>
      <c r="G171" s="23"/>
      <c r="H171" s="691"/>
      <c r="I171" s="92"/>
      <c r="J171" s="172"/>
      <c r="K171" s="172"/>
      <c r="L171" s="1612"/>
      <c r="M171" s="1624"/>
      <c r="N171" s="173"/>
      <c r="O171" s="1620"/>
      <c r="P171" s="332"/>
      <c r="Q171" s="332"/>
      <c r="X171" s="1600"/>
    </row>
    <row r="172" spans="1:51" x14ac:dyDescent="0.2">
      <c r="B172" s="23" t="s">
        <v>375</v>
      </c>
      <c r="C172" s="23" t="s">
        <v>2781</v>
      </c>
      <c r="D172" s="23"/>
      <c r="E172" s="23"/>
      <c r="F172" s="691"/>
      <c r="G172" s="23"/>
      <c r="H172" s="691"/>
      <c r="I172" s="103"/>
      <c r="J172" s="93" t="s">
        <v>2781</v>
      </c>
      <c r="K172" s="103"/>
      <c r="L172" s="1609" t="s">
        <v>397</v>
      </c>
      <c r="M172" s="1623">
        <v>6</v>
      </c>
      <c r="N172" s="96"/>
      <c r="O172" s="1669">
        <f>M172*S172*W172</f>
        <v>0</v>
      </c>
      <c r="P172" s="96" t="b">
        <v>0</v>
      </c>
      <c r="Q172" s="96" t="b">
        <v>1</v>
      </c>
      <c r="R172" s="96" t="b">
        <v>0</v>
      </c>
      <c r="S172" s="123" t="b">
        <f>NOT(ISBLANK(W135))</f>
        <v>0</v>
      </c>
      <c r="T172" s="96" t="b">
        <f>AND(NOT(S172),W172=TRUE)</f>
        <v>0</v>
      </c>
      <c r="U172" s="96"/>
      <c r="V172" s="96"/>
      <c r="W172" s="27"/>
      <c r="X172" s="1601"/>
      <c r="AC172" s="123" t="b">
        <f>OR(AD172:AE172)</f>
        <v>0</v>
      </c>
      <c r="AD172" s="123" t="b">
        <f>T172</f>
        <v>0</v>
      </c>
      <c r="AL172" s="1352" t="str">
        <f>SUBSTITUTE(SUBSTITUTE(SUBSTITUTE("dpa"&amp;$B172&amp;$C172&amp;$D172&amp;$E172&amp;$F172,".","_"),"(","_"),")","")</f>
        <v>dpa503_5_13</v>
      </c>
      <c r="AM172" s="1352">
        <f>M172</f>
        <v>6</v>
      </c>
      <c r="AN172" s="1352" t="str">
        <f>SUBSTITUTE(SUBSTITUTE(SUBSTITUTE("dpc"&amp;$B172&amp;$C172&amp;$D172&amp;$E172&amp;$F172,".","_"),"(","_"),")","")</f>
        <v>dpc503_5_13</v>
      </c>
      <c r="AO172" s="1352">
        <f>O172</f>
        <v>0</v>
      </c>
      <c r="AP172" s="1352" t="str">
        <f>SUBSTITUTE(SUBSTITUTE(SUBSTITUTE("dch"&amp;$B172&amp;$C172&amp;$D172&amp;$E172&amp;$F172,".","_"),"(","_"),")","")</f>
        <v>dch503_5_13</v>
      </c>
      <c r="AQ172" s="1352" t="str">
        <f>IF(LEN(W172)=0,"",W172)</f>
        <v/>
      </c>
      <c r="AR172" s="1352" t="str">
        <f>SUBSTITUTE(SUBSTITUTE(SUBSTITUTE("dnt"&amp;$B172&amp;$C172&amp;$D172&amp;$E172&amp;$F172,".","_"),"(","_"),")","")</f>
        <v>dnt503_5_13</v>
      </c>
      <c r="AS172" s="1352" t="str">
        <f>IF(LEN(X172)=0,"",X172)</f>
        <v/>
      </c>
      <c r="AT172" s="155"/>
    </row>
    <row r="173" spans="1:51" ht="16" thickBot="1" x14ac:dyDescent="0.25">
      <c r="B173" s="23" t="s">
        <v>375</v>
      </c>
      <c r="C173" s="23" t="s">
        <v>2781</v>
      </c>
      <c r="D173" s="23"/>
      <c r="E173" s="23"/>
      <c r="F173" s="691"/>
      <c r="G173" s="23"/>
      <c r="H173" s="691"/>
      <c r="I173" s="104"/>
      <c r="J173" s="104"/>
      <c r="K173" s="104"/>
      <c r="L173" s="1610"/>
      <c r="M173" s="1627"/>
      <c r="N173" s="100"/>
      <c r="O173" s="1638"/>
      <c r="P173" s="100"/>
      <c r="Q173" s="100"/>
      <c r="R173" s="100"/>
      <c r="S173" s="100"/>
      <c r="T173" s="100"/>
      <c r="U173" s="100"/>
      <c r="V173" s="100"/>
      <c r="W173" s="100"/>
      <c r="X173" s="1602"/>
    </row>
    <row r="174" spans="1:51" s="155" customFormat="1" ht="16" thickTop="1" x14ac:dyDescent="0.2">
      <c r="A174" s="20"/>
      <c r="B174" s="23" t="s">
        <v>398</v>
      </c>
      <c r="C174" s="23"/>
      <c r="D174" s="23"/>
      <c r="E174" s="23"/>
      <c r="F174" s="691"/>
      <c r="G174" s="23"/>
      <c r="H174" s="691"/>
      <c r="I174" s="68" t="s">
        <v>3492</v>
      </c>
      <c r="J174" s="92"/>
      <c r="K174" s="92"/>
      <c r="L174" s="1631" t="s">
        <v>3514</v>
      </c>
      <c r="M174" s="374"/>
      <c r="N174" s="42"/>
      <c r="O174" s="1682">
        <f>IF((M176*W176+M177*W177+M178*W178+M180*W180)&gt;=6,(M176*W176+M177*W177+M178*W178+M180*W180),0)</f>
        <v>0</v>
      </c>
      <c r="P174" s="332"/>
      <c r="Q174" s="332"/>
      <c r="R174" s="66"/>
      <c r="S174" s="66"/>
      <c r="T174" s="66"/>
      <c r="U174"/>
      <c r="V174" s="17"/>
      <c r="W174" s="17"/>
      <c r="X174" s="1603"/>
      <c r="Y174" s="704"/>
      <c r="Z174"/>
      <c r="AA174" s="707"/>
      <c r="AB174" s="42"/>
      <c r="AC174" s="17"/>
      <c r="AD174" s="17"/>
      <c r="AE174" s="17"/>
      <c r="AF174" s="17"/>
      <c r="AG174" s="17"/>
      <c r="AH174" s="17"/>
      <c r="AI174" s="17"/>
      <c r="AJ174" s="17"/>
      <c r="AK174" s="17"/>
      <c r="AL174" s="17"/>
      <c r="AM174" s="17"/>
      <c r="AN174" s="1352" t="str">
        <f>SUBSTITUTE(SUBSTITUTE(SUBSTITUTE("dpc"&amp;$B174&amp;$C174&amp;$D174&amp;$E174&amp;$F174,".","_"),"(","_"),")","")</f>
        <v>dpc503_6</v>
      </c>
      <c r="AO174" s="1352">
        <f>O174</f>
        <v>0</v>
      </c>
      <c r="AP174"/>
      <c r="AQ174"/>
      <c r="AR174" s="1352" t="str">
        <f>SUBSTITUTE(SUBSTITUTE(SUBSTITUTE("dnt"&amp;$B174&amp;$C174&amp;$D174&amp;$E174&amp;$F174,".","_"),"(","_"),")","")</f>
        <v>dnt503_6</v>
      </c>
      <c r="AS174" s="1352" t="str">
        <f>IF(LEN(X174)=0,"",X174)</f>
        <v/>
      </c>
      <c r="AT174"/>
      <c r="AX174"/>
      <c r="AY174"/>
    </row>
    <row r="175" spans="1:51" x14ac:dyDescent="0.2">
      <c r="B175" s="23" t="s">
        <v>398</v>
      </c>
      <c r="C175" s="23"/>
      <c r="D175" s="23"/>
      <c r="E175" s="23"/>
      <c r="F175" s="691"/>
      <c r="G175" s="23"/>
      <c r="H175" s="691"/>
      <c r="I175" s="92"/>
      <c r="J175" s="92"/>
      <c r="K175" s="92"/>
      <c r="L175" s="1631"/>
      <c r="M175" s="374"/>
      <c r="O175" s="1669"/>
      <c r="P175" s="332"/>
      <c r="Q175" s="332"/>
      <c r="X175" s="1601"/>
    </row>
    <row r="176" spans="1:51" x14ac:dyDescent="0.2">
      <c r="B176" s="23" t="s">
        <v>398</v>
      </c>
      <c r="C176" s="23" t="s">
        <v>254</v>
      </c>
      <c r="D176" s="23"/>
      <c r="E176" s="23"/>
      <c r="F176" s="691"/>
      <c r="G176" s="23"/>
      <c r="H176" s="691"/>
      <c r="I176" s="92"/>
      <c r="J176" s="169" t="s">
        <v>254</v>
      </c>
      <c r="K176" s="172"/>
      <c r="L176" s="170" t="s">
        <v>399</v>
      </c>
      <c r="M176" s="373">
        <v>3</v>
      </c>
      <c r="N176" s="173"/>
      <c r="O176" s="422"/>
      <c r="P176" s="332" t="b">
        <v>0</v>
      </c>
      <c r="Q176" s="332" t="b">
        <v>1</v>
      </c>
      <c r="R176" s="66" t="b">
        <v>0</v>
      </c>
      <c r="S176" s="66" t="b">
        <v>1</v>
      </c>
      <c r="T176" s="66" t="b">
        <v>0</v>
      </c>
      <c r="W176" s="27"/>
      <c r="X176" s="1601"/>
      <c r="AL176" s="1352" t="str">
        <f>SUBSTITUTE(SUBSTITUTE(SUBSTITUTE("dpa"&amp;$B176&amp;$C176&amp;$D176&amp;$E176&amp;$F176,".","_"),"(","_"),")","")</f>
        <v>dpa503_6_1</v>
      </c>
      <c r="AM176" s="1352">
        <f>M176</f>
        <v>3</v>
      </c>
      <c r="AP176" s="1352" t="str">
        <f>SUBSTITUTE(SUBSTITUTE(SUBSTITUTE("dch"&amp;$B176&amp;$C176&amp;$D176&amp;$E176&amp;$F176,".","_"),"(","_"),")","")</f>
        <v>dch503_6_1</v>
      </c>
      <c r="AQ176" s="1352" t="str">
        <f>IF(LEN(W176)=0,"",W176)</f>
        <v/>
      </c>
      <c r="AX176" s="155"/>
      <c r="AY176" s="155"/>
    </row>
    <row r="177" spans="2:45" x14ac:dyDescent="0.2">
      <c r="B177" s="23" t="s">
        <v>398</v>
      </c>
      <c r="C177" s="23" t="s">
        <v>255</v>
      </c>
      <c r="D177" s="23"/>
      <c r="E177" s="23"/>
      <c r="F177" s="691"/>
      <c r="G177" s="23"/>
      <c r="H177" s="691"/>
      <c r="I177" s="92"/>
      <c r="J177" s="169" t="s">
        <v>255</v>
      </c>
      <c r="K177" s="172"/>
      <c r="L177" s="170" t="s">
        <v>400</v>
      </c>
      <c r="M177" s="373">
        <v>3</v>
      </c>
      <c r="N177" s="173"/>
      <c r="O177" s="422"/>
      <c r="P177" s="332" t="b">
        <v>0</v>
      </c>
      <c r="Q177" s="332" t="b">
        <v>1</v>
      </c>
      <c r="R177" s="66" t="b">
        <v>0</v>
      </c>
      <c r="S177" s="66" t="b">
        <v>1</v>
      </c>
      <c r="T177" s="66" t="b">
        <v>0</v>
      </c>
      <c r="W177" s="27"/>
      <c r="X177" s="1601"/>
      <c r="AL177" s="1352" t="str">
        <f>SUBSTITUTE(SUBSTITUTE(SUBSTITUTE("dpa"&amp;$B177&amp;$C177&amp;$D177&amp;$E177&amp;$F177,".","_"),"(","_"),")","")</f>
        <v>dpa503_6_2</v>
      </c>
      <c r="AM177" s="1352">
        <f>M177</f>
        <v>3</v>
      </c>
      <c r="AP177" s="1352" t="str">
        <f>SUBSTITUTE(SUBSTITUTE(SUBSTITUTE("dch"&amp;$B177&amp;$C177&amp;$D177&amp;$E177&amp;$F177,".","_"),"(","_"),")","")</f>
        <v>dch503_6_2</v>
      </c>
      <c r="AQ177" s="1352" t="str">
        <f>IF(LEN(W177)=0,"",W177)</f>
        <v/>
      </c>
    </row>
    <row r="178" spans="2:45" x14ac:dyDescent="0.2">
      <c r="B178" s="23" t="s">
        <v>398</v>
      </c>
      <c r="C178" s="23" t="s">
        <v>256</v>
      </c>
      <c r="D178" s="23"/>
      <c r="E178" s="23"/>
      <c r="F178" s="691"/>
      <c r="G178" s="23"/>
      <c r="H178" s="691"/>
      <c r="I178" s="92"/>
      <c r="J178" s="93" t="s">
        <v>256</v>
      </c>
      <c r="K178" s="103"/>
      <c r="L178" s="1609" t="s">
        <v>401</v>
      </c>
      <c r="M178" s="1623">
        <v>3</v>
      </c>
      <c r="N178" s="96"/>
      <c r="O178" s="238"/>
      <c r="P178" s="332" t="b">
        <v>0</v>
      </c>
      <c r="Q178" s="332" t="b">
        <v>1</v>
      </c>
      <c r="R178" s="66" t="b">
        <v>0</v>
      </c>
      <c r="S178" s="66" t="b">
        <v>1</v>
      </c>
      <c r="T178" s="66" t="b">
        <v>0</v>
      </c>
      <c r="W178" s="27"/>
      <c r="X178" s="1601"/>
      <c r="AL178" s="1352" t="str">
        <f>SUBSTITUTE(SUBSTITUTE(SUBSTITUTE("dpa"&amp;$B178&amp;$C178&amp;$D178&amp;$E178&amp;$F178,".","_"),"(","_"),")","")</f>
        <v>dpa503_6_3</v>
      </c>
      <c r="AM178" s="1352">
        <f>M178</f>
        <v>3</v>
      </c>
      <c r="AP178" s="1352" t="str">
        <f>SUBSTITUTE(SUBSTITUTE(SUBSTITUTE("dch"&amp;$B178&amp;$C178&amp;$D178&amp;$E178&amp;$F178,".","_"),"(","_"),")","")</f>
        <v>dch503_6_3</v>
      </c>
      <c r="AQ178" s="1352" t="str">
        <f>IF(LEN(W178)=0,"",W178)</f>
        <v/>
      </c>
    </row>
    <row r="179" spans="2:45" x14ac:dyDescent="0.2">
      <c r="B179" s="23" t="s">
        <v>398</v>
      </c>
      <c r="C179" s="23" t="s">
        <v>256</v>
      </c>
      <c r="D179" s="23"/>
      <c r="E179" s="23"/>
      <c r="F179" s="691"/>
      <c r="G179" s="23"/>
      <c r="H179" s="691"/>
      <c r="I179" s="92"/>
      <c r="J179" s="172"/>
      <c r="K179" s="172"/>
      <c r="L179" s="1612"/>
      <c r="M179" s="1624"/>
      <c r="N179" s="173"/>
      <c r="O179" s="422"/>
      <c r="P179" s="332"/>
      <c r="Q179" s="332"/>
      <c r="X179" s="1601"/>
    </row>
    <row r="180" spans="2:45" ht="16" thickBot="1" x14ac:dyDescent="0.25">
      <c r="B180" s="23" t="s">
        <v>398</v>
      </c>
      <c r="C180" s="23" t="s">
        <v>259</v>
      </c>
      <c r="D180" s="23"/>
      <c r="E180" s="23"/>
      <c r="F180" s="691"/>
      <c r="G180" s="23"/>
      <c r="H180" s="691"/>
      <c r="I180" s="104"/>
      <c r="J180" s="98" t="s">
        <v>259</v>
      </c>
      <c r="K180" s="104"/>
      <c r="L180" s="99" t="s">
        <v>402</v>
      </c>
      <c r="M180" s="375">
        <v>3</v>
      </c>
      <c r="N180" s="100"/>
      <c r="O180" s="240"/>
      <c r="P180" s="332" t="b">
        <v>0</v>
      </c>
      <c r="Q180" s="332" t="b">
        <v>1</v>
      </c>
      <c r="R180" s="100" t="b">
        <v>0</v>
      </c>
      <c r="S180" s="100" t="b">
        <v>1</v>
      </c>
      <c r="T180" s="100" t="b">
        <v>0</v>
      </c>
      <c r="U180" s="100"/>
      <c r="V180" s="100"/>
      <c r="W180" s="184"/>
      <c r="X180" s="1602"/>
      <c r="AL180" s="1352" t="str">
        <f>SUBSTITUTE(SUBSTITUTE(SUBSTITUTE("dpa"&amp;$B180&amp;$C180&amp;$D180&amp;$E180&amp;$F180,".","_"),"(","_"),")","")</f>
        <v>dpa503_6_4</v>
      </c>
      <c r="AM180" s="1352">
        <f>M180</f>
        <v>3</v>
      </c>
      <c r="AP180" s="1352" t="str">
        <f>SUBSTITUTE(SUBSTITUTE(SUBSTITUTE("dch"&amp;$B180&amp;$C180&amp;$D180&amp;$E180&amp;$F180,".","_"),"(","_"),")","")</f>
        <v>dch503_6_4</v>
      </c>
      <c r="AQ180" s="1352" t="str">
        <f>IF(LEN(W180)=0,"",W180)</f>
        <v/>
      </c>
    </row>
    <row r="181" spans="2:45" ht="16" thickTop="1" x14ac:dyDescent="0.2">
      <c r="B181" s="23" t="s">
        <v>403</v>
      </c>
      <c r="C181" s="23"/>
      <c r="D181" s="23"/>
      <c r="E181" s="23"/>
      <c r="F181" s="691"/>
      <c r="G181" s="23"/>
      <c r="H181" s="691"/>
      <c r="I181" s="68" t="s">
        <v>3493</v>
      </c>
      <c r="J181" s="92"/>
      <c r="K181" s="92"/>
      <c r="L181" s="1631" t="s">
        <v>3515</v>
      </c>
      <c r="M181" s="374"/>
      <c r="O181" s="138"/>
      <c r="P181" s="332"/>
      <c r="Q181" s="332"/>
      <c r="R181" s="66"/>
      <c r="S181" s="66"/>
      <c r="T181" s="66"/>
      <c r="W181" s="183"/>
      <c r="X181" s="1599"/>
      <c r="AR181" s="1352" t="str">
        <f>SUBSTITUTE(SUBSTITUTE(SUBSTITUTE("dnt"&amp;$B181&amp;$C181&amp;$D181&amp;$E181&amp;$F181,".","_"),"(","_"),")","")</f>
        <v>dnt503_7</v>
      </c>
      <c r="AS181" s="1352" t="str">
        <f>IF(LEN(X181)=0,"",X181)</f>
        <v/>
      </c>
    </row>
    <row r="182" spans="2:45" x14ac:dyDescent="0.2">
      <c r="B182" s="23" t="s">
        <v>403</v>
      </c>
      <c r="C182" s="23"/>
      <c r="D182" s="23"/>
      <c r="E182" s="23"/>
      <c r="F182" s="691"/>
      <c r="G182" s="23"/>
      <c r="H182" s="691"/>
      <c r="I182" s="92"/>
      <c r="J182" s="92"/>
      <c r="K182" s="92"/>
      <c r="L182" s="1631"/>
      <c r="M182" s="374"/>
      <c r="O182" s="138"/>
      <c r="P182" s="332"/>
      <c r="Q182" s="332"/>
      <c r="X182" s="1601"/>
    </row>
    <row r="183" spans="2:45" x14ac:dyDescent="0.2">
      <c r="B183" s="23" t="s">
        <v>403</v>
      </c>
      <c r="C183" s="23" t="s">
        <v>254</v>
      </c>
      <c r="D183" s="23"/>
      <c r="E183" s="23"/>
      <c r="F183" s="691"/>
      <c r="G183" s="23"/>
      <c r="H183" s="691"/>
      <c r="I183" s="92"/>
      <c r="J183" s="93" t="s">
        <v>254</v>
      </c>
      <c r="K183" s="103"/>
      <c r="L183" s="1609" t="s">
        <v>3786</v>
      </c>
      <c r="M183" s="1623">
        <v>4</v>
      </c>
      <c r="N183" s="96"/>
      <c r="O183" s="1619">
        <f>M183*W183</f>
        <v>4</v>
      </c>
      <c r="P183" s="332" t="b">
        <v>1</v>
      </c>
      <c r="Q183" s="332" t="b">
        <v>1</v>
      </c>
      <c r="R183" s="66" t="b">
        <v>0</v>
      </c>
      <c r="S183" s="66" t="b">
        <v>1</v>
      </c>
      <c r="T183" s="66" t="b">
        <v>0</v>
      </c>
      <c r="W183" s="27" t="b">
        <v>1</v>
      </c>
      <c r="X183" s="1601"/>
      <c r="AL183" s="1352" t="str">
        <f>SUBSTITUTE(SUBSTITUTE(SUBSTITUTE("dpa"&amp;$B183&amp;$C183&amp;$D183&amp;$E183&amp;$F183,".","_"),"(","_"),")","")</f>
        <v>dpa503_7_1</v>
      </c>
      <c r="AM183" s="1352">
        <f>M183</f>
        <v>4</v>
      </c>
      <c r="AN183" s="1352" t="str">
        <f>SUBSTITUTE(SUBSTITUTE(SUBSTITUTE("dpc"&amp;$B183&amp;$C183&amp;$D183&amp;$E183&amp;$F183,".","_"),"(","_"),")","")</f>
        <v>dpc503_7_1</v>
      </c>
      <c r="AO183" s="1352">
        <f>O183</f>
        <v>4</v>
      </c>
      <c r="AP183" s="1352" t="str">
        <f>SUBSTITUTE(SUBSTITUTE(SUBSTITUTE("dch"&amp;$B183&amp;$C183&amp;$D183&amp;$E183&amp;$F183,".","_"),"(","_"),")","")</f>
        <v>dch503_7_1</v>
      </c>
      <c r="AQ183" s="1352" t="b">
        <f>IF(LEN(W183)=0,"",W183)</f>
        <v>1</v>
      </c>
    </row>
    <row r="184" spans="2:45" x14ac:dyDescent="0.2">
      <c r="B184" s="23" t="s">
        <v>403</v>
      </c>
      <c r="C184" s="23" t="s">
        <v>254</v>
      </c>
      <c r="D184" s="23"/>
      <c r="E184" s="23"/>
      <c r="F184" s="691"/>
      <c r="G184" s="23"/>
      <c r="H184" s="691"/>
      <c r="I184" s="92"/>
      <c r="J184" s="169"/>
      <c r="K184" s="172"/>
      <c r="L184" s="1612"/>
      <c r="M184" s="1624"/>
      <c r="N184" s="173"/>
      <c r="O184" s="1620"/>
      <c r="P184" s="332"/>
      <c r="Q184" s="332"/>
      <c r="X184" s="1601"/>
    </row>
    <row r="185" spans="2:45" x14ac:dyDescent="0.2">
      <c r="B185" s="23" t="s">
        <v>403</v>
      </c>
      <c r="C185" s="23" t="s">
        <v>255</v>
      </c>
      <c r="D185" s="23"/>
      <c r="E185" s="23"/>
      <c r="F185" s="691"/>
      <c r="G185" s="23"/>
      <c r="H185" s="691"/>
      <c r="I185" s="103"/>
      <c r="J185" s="93" t="s">
        <v>255</v>
      </c>
      <c r="K185" s="103"/>
      <c r="L185" s="1609" t="s">
        <v>3787</v>
      </c>
      <c r="M185" s="1623">
        <v>4</v>
      </c>
      <c r="N185" s="96"/>
      <c r="O185" s="1669">
        <f>M185*W185</f>
        <v>0</v>
      </c>
      <c r="P185" s="332" t="b">
        <v>1</v>
      </c>
      <c r="Q185" s="332" t="b">
        <v>1</v>
      </c>
      <c r="R185" s="96" t="b">
        <v>0</v>
      </c>
      <c r="S185" s="96" t="b">
        <v>1</v>
      </c>
      <c r="T185" s="96" t="b">
        <v>0</v>
      </c>
      <c r="U185" s="96"/>
      <c r="V185" s="96"/>
      <c r="W185" s="27"/>
      <c r="X185" s="1601"/>
      <c r="AL185" s="1352" t="str">
        <f>SUBSTITUTE(SUBSTITUTE(SUBSTITUTE("dpa"&amp;$B185&amp;$C185&amp;$D185&amp;$E185&amp;$F185,".","_"),"(","_"),")","")</f>
        <v>dpa503_7_2</v>
      </c>
      <c r="AM185" s="1352">
        <f>M185</f>
        <v>4</v>
      </c>
      <c r="AN185" s="1352" t="str">
        <f>SUBSTITUTE(SUBSTITUTE(SUBSTITUTE("dpc"&amp;$B185&amp;$C185&amp;$D185&amp;$E185&amp;$F185,".","_"),"(","_"),")","")</f>
        <v>dpc503_7_2</v>
      </c>
      <c r="AO185" s="1352">
        <f>O185</f>
        <v>0</v>
      </c>
      <c r="AP185" s="1352" t="str">
        <f>SUBSTITUTE(SUBSTITUTE(SUBSTITUTE("dch"&amp;$B185&amp;$C185&amp;$D185&amp;$E185&amp;$F185,".","_"),"(","_"),")","")</f>
        <v>dch503_7_2</v>
      </c>
      <c r="AQ185" s="1352" t="str">
        <f>IF(LEN(W185)=0,"",W185)</f>
        <v/>
      </c>
    </row>
    <row r="186" spans="2:45" ht="16" thickBot="1" x14ac:dyDescent="0.25">
      <c r="B186" s="23" t="s">
        <v>403</v>
      </c>
      <c r="C186" s="23" t="s">
        <v>255</v>
      </c>
      <c r="D186" s="23"/>
      <c r="E186" s="23"/>
      <c r="F186" s="691"/>
      <c r="G186" s="23"/>
      <c r="H186" s="691"/>
      <c r="I186" s="104"/>
      <c r="J186" s="104"/>
      <c r="K186" s="104"/>
      <c r="L186" s="1610"/>
      <c r="M186" s="1627"/>
      <c r="N186" s="100"/>
      <c r="O186" s="1638"/>
      <c r="P186" s="100"/>
      <c r="Q186" s="100"/>
      <c r="R186" s="100"/>
      <c r="S186" s="100"/>
      <c r="T186" s="100"/>
      <c r="U186" s="100"/>
      <c r="V186" s="100"/>
      <c r="W186" s="100"/>
      <c r="X186" s="1602"/>
    </row>
    <row r="187" spans="2:45" ht="20" thickTop="1" x14ac:dyDescent="0.25">
      <c r="B187" s="23" t="s">
        <v>5296</v>
      </c>
      <c r="C187" s="23"/>
      <c r="D187" s="23"/>
      <c r="E187" s="23"/>
      <c r="F187" s="691"/>
      <c r="G187" s="23"/>
      <c r="H187" s="691"/>
      <c r="I187" s="90" t="s">
        <v>3494</v>
      </c>
      <c r="J187" s="90"/>
      <c r="K187" s="90"/>
      <c r="L187" s="86"/>
      <c r="M187" s="339"/>
      <c r="N187" s="25"/>
      <c r="O187" s="419"/>
      <c r="P187" s="25"/>
      <c r="Q187" s="25"/>
      <c r="R187" s="25"/>
      <c r="S187" s="25"/>
      <c r="T187" s="25"/>
      <c r="U187" s="25"/>
      <c r="V187" s="25"/>
      <c r="W187" s="25"/>
      <c r="X187" s="25"/>
    </row>
    <row r="188" spans="2:45" x14ac:dyDescent="0.2">
      <c r="B188" s="23" t="s">
        <v>404</v>
      </c>
      <c r="C188" s="23"/>
      <c r="D188" s="23"/>
      <c r="E188" s="23"/>
      <c r="F188" s="691"/>
      <c r="G188" s="23"/>
      <c r="H188" s="691"/>
      <c r="I188" s="93" t="s">
        <v>3495</v>
      </c>
      <c r="J188" s="103"/>
      <c r="K188" s="103"/>
      <c r="L188" s="1629" t="s">
        <v>3788</v>
      </c>
      <c r="M188" s="371"/>
      <c r="N188" s="96"/>
      <c r="O188" s="238"/>
      <c r="P188" s="96"/>
      <c r="Q188" s="96"/>
      <c r="R188" s="96"/>
      <c r="S188" s="96"/>
      <c r="T188" s="96"/>
      <c r="U188" s="96"/>
      <c r="V188" s="96"/>
      <c r="W188" s="96"/>
      <c r="X188" s="114"/>
    </row>
    <row r="189" spans="2:45" ht="16" thickBot="1" x14ac:dyDescent="0.25">
      <c r="B189" s="23" t="s">
        <v>404</v>
      </c>
      <c r="C189" s="23"/>
      <c r="D189" s="23"/>
      <c r="E189" s="23"/>
      <c r="F189" s="691"/>
      <c r="G189" s="23"/>
      <c r="H189" s="691"/>
      <c r="I189" s="104"/>
      <c r="J189" s="104"/>
      <c r="K189" s="104"/>
      <c r="L189" s="1630"/>
      <c r="M189" s="375"/>
      <c r="N189" s="100"/>
      <c r="O189" s="240"/>
      <c r="P189" s="100"/>
      <c r="Q189" s="100"/>
      <c r="R189" s="100"/>
      <c r="S189" s="100"/>
      <c r="T189" s="100"/>
      <c r="U189" s="100"/>
      <c r="V189" s="100"/>
      <c r="W189" s="100"/>
      <c r="X189" s="113"/>
    </row>
    <row r="190" spans="2:45" ht="16" thickTop="1" x14ac:dyDescent="0.2">
      <c r="B190" s="23" t="s">
        <v>405</v>
      </c>
      <c r="C190" s="23"/>
      <c r="D190" s="23"/>
      <c r="E190" s="23"/>
      <c r="F190" s="691"/>
      <c r="G190" s="23"/>
      <c r="H190" s="691"/>
      <c r="I190" s="115" t="s">
        <v>3496</v>
      </c>
      <c r="J190" s="108"/>
      <c r="K190" s="108"/>
      <c r="L190" s="1683" t="s">
        <v>3789</v>
      </c>
      <c r="M190" s="1685">
        <v>4</v>
      </c>
      <c r="N190" s="106"/>
      <c r="O190" s="1682">
        <f>M190*W190*S190</f>
        <v>0</v>
      </c>
      <c r="P190" s="332" t="b">
        <v>1</v>
      </c>
      <c r="Q190" s="332" t="b">
        <v>1</v>
      </c>
      <c r="R190" s="106" t="b">
        <v>0</v>
      </c>
      <c r="S190" s="106" t="b">
        <f>IF((O97+O99+O105)&gt;0,TRUE,FALSE)</f>
        <v>0</v>
      </c>
      <c r="T190" s="96" t="b">
        <f>AND(NOT(S190),W190=TRUE)</f>
        <v>0</v>
      </c>
      <c r="U190" s="106"/>
      <c r="V190" s="106"/>
      <c r="W190" s="27"/>
      <c r="X190" s="1603"/>
      <c r="AC190" s="133" t="b">
        <f>OR(AD190:AE190)</f>
        <v>0</v>
      </c>
      <c r="AD190" s="133" t="b">
        <f>T190</f>
        <v>0</v>
      </c>
      <c r="AL190" s="1352" t="str">
        <f>SUBSTITUTE(SUBSTITUTE(SUBSTITUTE("dpa"&amp;$B190&amp;$C190&amp;$D190&amp;$E190&amp;$F190,".","_"),"(","_"),")","")</f>
        <v>dpa504_1</v>
      </c>
      <c r="AM190" s="1352">
        <f>M190</f>
        <v>4</v>
      </c>
      <c r="AN190" s="1352" t="str">
        <f>SUBSTITUTE(SUBSTITUTE(SUBSTITUTE("dpc"&amp;$B190&amp;$C190&amp;$D190&amp;$E190&amp;$F190,".","_"),"(","_"),")","")</f>
        <v>dpc504_1</v>
      </c>
      <c r="AO190" s="1352">
        <f>O190</f>
        <v>0</v>
      </c>
      <c r="AP190" s="1352" t="str">
        <f>SUBSTITUTE(SUBSTITUTE(SUBSTITUTE("dch"&amp;$B190&amp;$C190&amp;$D190&amp;$E190&amp;$F190,".","_"),"(","_"),")","")</f>
        <v>dch504_1</v>
      </c>
      <c r="AQ190" s="1352" t="str">
        <f>IF(LEN(W190)=0,"",W190)</f>
        <v/>
      </c>
      <c r="AR190" s="1352" t="str">
        <f>SUBSTITUTE(SUBSTITUTE(SUBSTITUTE("dnt"&amp;$B190&amp;$C190&amp;$D190&amp;$E190&amp;$F190,".","_"),"(","_"),")","")</f>
        <v>dnt504_1</v>
      </c>
      <c r="AS190" s="1352" t="str">
        <f>IF(LEN(X190)=0,"",X190)</f>
        <v/>
      </c>
    </row>
    <row r="191" spans="2:45" x14ac:dyDescent="0.2">
      <c r="B191" s="23" t="s">
        <v>405</v>
      </c>
      <c r="C191" s="23"/>
      <c r="D191" s="23"/>
      <c r="E191" s="23"/>
      <c r="F191" s="691"/>
      <c r="G191" s="23"/>
      <c r="H191" s="691"/>
      <c r="I191" s="103"/>
      <c r="J191" s="103"/>
      <c r="K191" s="103"/>
      <c r="L191" s="1629"/>
      <c r="M191" s="1623"/>
      <c r="N191" s="96"/>
      <c r="O191" s="1619"/>
      <c r="P191" s="96"/>
      <c r="Q191" s="96"/>
      <c r="R191" s="96"/>
      <c r="S191" s="96"/>
      <c r="T191" s="96"/>
      <c r="U191" s="96"/>
      <c r="V191" s="96"/>
      <c r="W191" s="96"/>
      <c r="X191" s="1601"/>
    </row>
    <row r="192" spans="2:45" x14ac:dyDescent="0.2">
      <c r="B192" s="23" t="s">
        <v>405</v>
      </c>
      <c r="C192" s="23"/>
      <c r="D192" s="23"/>
      <c r="E192" s="23"/>
      <c r="F192" s="691"/>
      <c r="G192" s="23"/>
      <c r="H192" s="691"/>
      <c r="I192" s="103"/>
      <c r="J192" s="103"/>
      <c r="K192" s="103"/>
      <c r="L192" s="1629"/>
      <c r="M192" s="1623"/>
      <c r="N192" s="96"/>
      <c r="O192" s="1619"/>
      <c r="P192" s="96"/>
      <c r="Q192" s="96"/>
      <c r="R192" s="96"/>
      <c r="S192" s="96"/>
      <c r="T192" s="96"/>
      <c r="U192" s="96"/>
      <c r="V192" s="96"/>
      <c r="W192" s="96"/>
      <c r="X192" s="1601"/>
    </row>
    <row r="193" spans="1:51" x14ac:dyDescent="0.2">
      <c r="B193" s="23" t="s">
        <v>405</v>
      </c>
      <c r="C193" s="23"/>
      <c r="D193" s="23"/>
      <c r="E193" s="23"/>
      <c r="F193" s="691"/>
      <c r="G193" s="23"/>
      <c r="H193" s="691"/>
      <c r="I193" s="103"/>
      <c r="J193" s="103"/>
      <c r="K193" s="103"/>
      <c r="L193" s="1629"/>
      <c r="M193" s="1623"/>
      <c r="N193" s="96"/>
      <c r="O193" s="1619"/>
      <c r="P193" s="96"/>
      <c r="Q193" s="96"/>
      <c r="R193" s="96"/>
      <c r="S193" s="96"/>
      <c r="T193" s="96"/>
      <c r="U193" s="96"/>
      <c r="V193" s="96"/>
      <c r="W193" s="96"/>
      <c r="X193" s="1601"/>
      <c r="Z193" s="123"/>
      <c r="AB193" s="123"/>
      <c r="AC193" s="123"/>
      <c r="AD193" s="123"/>
      <c r="AE193" s="123"/>
      <c r="AF193" s="123"/>
      <c r="AG193" s="123"/>
      <c r="AH193" s="123"/>
      <c r="AI193" s="123"/>
      <c r="AJ193" s="123"/>
      <c r="AK193" s="123"/>
    </row>
    <row r="194" spans="1:51" ht="16" thickBot="1" x14ac:dyDescent="0.25">
      <c r="B194" s="23" t="s">
        <v>405</v>
      </c>
      <c r="C194" s="23"/>
      <c r="D194" s="23"/>
      <c r="E194" s="23"/>
      <c r="F194" s="691"/>
      <c r="G194" s="23"/>
      <c r="H194" s="691"/>
      <c r="I194" s="104"/>
      <c r="J194" s="104"/>
      <c r="K194" s="104"/>
      <c r="L194" s="176" t="s">
        <v>3790</v>
      </c>
      <c r="M194" s="1627"/>
      <c r="N194" s="100"/>
      <c r="O194" s="1638"/>
      <c r="P194" s="100"/>
      <c r="Q194" s="100"/>
      <c r="R194" s="100"/>
      <c r="S194" s="100"/>
      <c r="T194" s="100"/>
      <c r="U194" s="100"/>
      <c r="V194" s="100"/>
      <c r="W194" s="100"/>
      <c r="X194" s="1602"/>
    </row>
    <row r="195" spans="1:51" ht="16" thickTop="1" x14ac:dyDescent="0.2">
      <c r="B195" s="23" t="s">
        <v>406</v>
      </c>
      <c r="C195" s="23"/>
      <c r="D195" s="23"/>
      <c r="E195" s="23"/>
      <c r="F195" s="691"/>
      <c r="G195" s="23"/>
      <c r="H195" s="691"/>
      <c r="I195" s="89" t="s">
        <v>3497</v>
      </c>
      <c r="J195" s="92"/>
      <c r="K195" s="92"/>
      <c r="L195" s="1631" t="s">
        <v>3516</v>
      </c>
      <c r="M195" s="374"/>
      <c r="O195" s="138"/>
      <c r="P195" s="332"/>
      <c r="Q195" s="332"/>
      <c r="R195" s="66"/>
      <c r="S195" s="66"/>
      <c r="T195" s="66"/>
      <c r="X195" s="1599"/>
      <c r="AR195" s="1352" t="str">
        <f>SUBSTITUTE(SUBSTITUTE(SUBSTITUTE("dnt"&amp;$B195&amp;$C195&amp;$D195&amp;$E195&amp;$F195,".","_"),"(","_"),")","")</f>
        <v>dnt504_2</v>
      </c>
      <c r="AS195" s="1352" t="str">
        <f>IF(LEN(X195)=0,"",X195)</f>
        <v/>
      </c>
    </row>
    <row r="196" spans="1:51" x14ac:dyDescent="0.2">
      <c r="B196" s="23" t="s">
        <v>406</v>
      </c>
      <c r="C196" s="23"/>
      <c r="D196" s="23"/>
      <c r="E196" s="23"/>
      <c r="F196" s="691"/>
      <c r="G196" s="23"/>
      <c r="H196" s="691"/>
      <c r="I196" s="92"/>
      <c r="J196" s="92"/>
      <c r="K196" s="92"/>
      <c r="L196" s="1631"/>
      <c r="M196" s="374"/>
      <c r="O196" s="138"/>
      <c r="P196" s="332"/>
      <c r="Q196" s="332"/>
      <c r="X196" s="1601"/>
    </row>
    <row r="197" spans="1:51" ht="15.75" customHeight="1" x14ac:dyDescent="0.2">
      <c r="B197" s="23" t="s">
        <v>406</v>
      </c>
      <c r="C197" s="23" t="s">
        <v>254</v>
      </c>
      <c r="D197" s="23"/>
      <c r="E197" s="23"/>
      <c r="F197" s="691"/>
      <c r="G197" s="23"/>
      <c r="H197" s="691"/>
      <c r="I197" s="92"/>
      <c r="J197" s="169" t="s">
        <v>254</v>
      </c>
      <c r="K197" s="172"/>
      <c r="L197" s="170" t="s">
        <v>407</v>
      </c>
      <c r="M197" s="373">
        <v>3</v>
      </c>
      <c r="N197" s="173"/>
      <c r="O197" s="422">
        <f>M197*W197</f>
        <v>0</v>
      </c>
      <c r="P197" s="332" t="b">
        <v>1</v>
      </c>
      <c r="Q197" s="332" t="b">
        <v>0</v>
      </c>
      <c r="R197" s="66" t="b">
        <v>0</v>
      </c>
      <c r="S197" s="66" t="b">
        <v>1</v>
      </c>
      <c r="T197" s="66" t="b">
        <v>0</v>
      </c>
      <c r="W197" s="27"/>
      <c r="X197" s="1601"/>
      <c r="AL197" s="1352" t="str">
        <f>SUBSTITUTE(SUBSTITUTE(SUBSTITUTE("dpa"&amp;$B197&amp;$C197&amp;$D197&amp;$E197&amp;$F197,".","_"),"(","_"),")","")</f>
        <v>dpa504_2_1</v>
      </c>
      <c r="AM197" s="1352">
        <f>M197</f>
        <v>3</v>
      </c>
      <c r="AN197" s="1352" t="str">
        <f>SUBSTITUTE(SUBSTITUTE(SUBSTITUTE("dpc"&amp;$B197&amp;$C197&amp;$D197&amp;$E197&amp;$F197,".","_"),"(","_"),")","")</f>
        <v>dpc504_2_1</v>
      </c>
      <c r="AO197" s="1352">
        <f>O197</f>
        <v>0</v>
      </c>
      <c r="AP197" s="1352" t="str">
        <f>SUBSTITUTE(SUBSTITUTE(SUBSTITUTE("dch"&amp;$B197&amp;$C197&amp;$D197&amp;$E197&amp;$F197,".","_"),"(","_"),")","")</f>
        <v>dch504_2_1</v>
      </c>
      <c r="AQ197" s="1352" t="str">
        <f>IF(LEN(W197)=0,"",W197)</f>
        <v/>
      </c>
    </row>
    <row r="198" spans="1:51" x14ac:dyDescent="0.2">
      <c r="B198" s="23" t="s">
        <v>406</v>
      </c>
      <c r="C198" s="23" t="s">
        <v>255</v>
      </c>
      <c r="D198" s="23"/>
      <c r="E198" s="23"/>
      <c r="F198" s="691"/>
      <c r="G198" s="23"/>
      <c r="H198" s="691"/>
      <c r="I198" s="92"/>
      <c r="J198" s="93" t="s">
        <v>255</v>
      </c>
      <c r="K198" s="103"/>
      <c r="L198" s="1609" t="s">
        <v>408</v>
      </c>
      <c r="M198" s="1623">
        <v>5</v>
      </c>
      <c r="N198" s="96"/>
      <c r="O198" s="1619">
        <f>M198*W198</f>
        <v>0</v>
      </c>
      <c r="P198" s="332" t="b">
        <v>1</v>
      </c>
      <c r="Q198" s="332" t="b">
        <v>0</v>
      </c>
      <c r="R198" s="66" t="b">
        <v>0</v>
      </c>
      <c r="S198" s="66" t="b">
        <v>1</v>
      </c>
      <c r="T198" s="66" t="b">
        <v>0</v>
      </c>
      <c r="W198" s="27"/>
      <c r="X198" s="1601"/>
      <c r="AL198" s="1352" t="str">
        <f>SUBSTITUTE(SUBSTITUTE(SUBSTITUTE("dpa"&amp;$B198&amp;$C198&amp;$D198&amp;$E198&amp;$F198,".","_"),"(","_"),")","")</f>
        <v>dpa504_2_2</v>
      </c>
      <c r="AM198" s="1352">
        <f>M198</f>
        <v>5</v>
      </c>
      <c r="AN198" s="1352" t="str">
        <f>SUBSTITUTE(SUBSTITUTE(SUBSTITUTE("dpc"&amp;$B198&amp;$C198&amp;$D198&amp;$E198&amp;$F198,".","_"),"(","_"),")","")</f>
        <v>dpc504_2_2</v>
      </c>
      <c r="AO198" s="1352">
        <f>O198</f>
        <v>0</v>
      </c>
      <c r="AP198" s="1352" t="str">
        <f>SUBSTITUTE(SUBSTITUTE(SUBSTITUTE("dch"&amp;$B198&amp;$C198&amp;$D198&amp;$E198&amp;$F198,".","_"),"(","_"),")","")</f>
        <v>dch504_2_2</v>
      </c>
      <c r="AQ198" s="1352" t="str">
        <f>IF(LEN(W198)=0,"",W198)</f>
        <v/>
      </c>
      <c r="AT198" s="123"/>
    </row>
    <row r="199" spans="1:51" x14ac:dyDescent="0.2">
      <c r="B199" s="23" t="s">
        <v>406</v>
      </c>
      <c r="C199" s="23" t="s">
        <v>255</v>
      </c>
      <c r="D199" s="23"/>
      <c r="E199" s="23"/>
      <c r="F199" s="691"/>
      <c r="G199" s="23"/>
      <c r="H199" s="691"/>
      <c r="I199" s="92"/>
      <c r="J199" s="169"/>
      <c r="K199" s="172"/>
      <c r="L199" s="1612"/>
      <c r="M199" s="1624"/>
      <c r="N199" s="173"/>
      <c r="O199" s="1620"/>
      <c r="P199" s="332"/>
      <c r="Q199" s="332"/>
      <c r="X199" s="1601"/>
    </row>
    <row r="200" spans="1:51" s="123" customFormat="1" x14ac:dyDescent="0.2">
      <c r="A200" s="20"/>
      <c r="B200" s="23" t="s">
        <v>406</v>
      </c>
      <c r="C200" s="23" t="s">
        <v>256</v>
      </c>
      <c r="D200" s="23"/>
      <c r="E200" s="23"/>
      <c r="F200" s="691"/>
      <c r="G200" s="23"/>
      <c r="H200" s="691"/>
      <c r="I200" s="103"/>
      <c r="J200" s="93" t="s">
        <v>256</v>
      </c>
      <c r="K200" s="103"/>
      <c r="L200" s="1609" t="s">
        <v>409</v>
      </c>
      <c r="M200" s="1623">
        <v>4</v>
      </c>
      <c r="N200" s="96"/>
      <c r="O200" s="1669">
        <f>M200*W200</f>
        <v>0</v>
      </c>
      <c r="P200" s="332" t="b">
        <v>1</v>
      </c>
      <c r="Q200" s="332" t="b">
        <v>0</v>
      </c>
      <c r="R200" s="96" t="b">
        <v>0</v>
      </c>
      <c r="S200" s="96" t="b">
        <v>1</v>
      </c>
      <c r="T200" s="96" t="b">
        <v>0</v>
      </c>
      <c r="U200" s="96"/>
      <c r="V200" s="96"/>
      <c r="W200" s="27"/>
      <c r="X200" s="1601"/>
      <c r="Y200" s="704"/>
      <c r="Z200"/>
      <c r="AA200" s="707"/>
      <c r="AB200" s="42"/>
      <c r="AC200" s="17"/>
      <c r="AD200" s="17"/>
      <c r="AE200" s="17"/>
      <c r="AF200" s="17"/>
      <c r="AG200" s="17"/>
      <c r="AH200" s="17"/>
      <c r="AI200" s="17"/>
      <c r="AJ200" s="17"/>
      <c r="AK200" s="17"/>
      <c r="AL200" s="1352" t="str">
        <f>SUBSTITUTE(SUBSTITUTE(SUBSTITUTE("dpa"&amp;$B200&amp;$C200&amp;$D200&amp;$E200&amp;$F200,".","_"),"(","_"),")","")</f>
        <v>dpa504_2_3</v>
      </c>
      <c r="AM200" s="1352">
        <f>M200</f>
        <v>4</v>
      </c>
      <c r="AN200" s="1352" t="str">
        <f>SUBSTITUTE(SUBSTITUTE(SUBSTITUTE("dpc"&amp;$B200&amp;$C200&amp;$D200&amp;$E200&amp;$F200,".","_"),"(","_"),")","")</f>
        <v>dpc504_2_3</v>
      </c>
      <c r="AO200" s="1352">
        <f>O200</f>
        <v>0</v>
      </c>
      <c r="AP200" s="1352" t="str">
        <f>SUBSTITUTE(SUBSTITUTE(SUBSTITUTE("dch"&amp;$B200&amp;$C200&amp;$D200&amp;$E200&amp;$F200,".","_"),"(","_"),")","")</f>
        <v>dch504_2_3</v>
      </c>
      <c r="AQ200" s="1352" t="str">
        <f>IF(LEN(W200)=0,"",W200)</f>
        <v/>
      </c>
      <c r="AR200"/>
      <c r="AS200"/>
      <c r="AT200"/>
      <c r="AX200"/>
      <c r="AY200"/>
    </row>
    <row r="201" spans="1:51" ht="16" thickBot="1" x14ac:dyDescent="0.25">
      <c r="B201" s="23" t="s">
        <v>406</v>
      </c>
      <c r="C201" s="23" t="s">
        <v>256</v>
      </c>
      <c r="D201" s="23"/>
      <c r="E201" s="23"/>
      <c r="F201" s="691"/>
      <c r="G201" s="23"/>
      <c r="H201" s="691"/>
      <c r="I201" s="104"/>
      <c r="J201" s="104"/>
      <c r="K201" s="104"/>
      <c r="L201" s="1610"/>
      <c r="M201" s="1627"/>
      <c r="N201" s="100"/>
      <c r="O201" s="1638"/>
      <c r="P201" s="100"/>
      <c r="Q201" s="100"/>
      <c r="R201" s="100"/>
      <c r="S201" s="100"/>
      <c r="T201" s="100"/>
      <c r="U201" s="100"/>
      <c r="V201" s="100"/>
      <c r="W201" s="100"/>
      <c r="X201" s="1602"/>
    </row>
    <row r="202" spans="1:51" ht="16" thickTop="1" x14ac:dyDescent="0.2">
      <c r="B202" s="23" t="s">
        <v>410</v>
      </c>
      <c r="C202" s="23"/>
      <c r="D202" s="23"/>
      <c r="E202" s="23"/>
      <c r="F202" s="691"/>
      <c r="G202" s="23"/>
      <c r="H202" s="691"/>
      <c r="I202" s="89" t="s">
        <v>3498</v>
      </c>
      <c r="J202" s="92"/>
      <c r="K202" s="92"/>
      <c r="L202" s="1631" t="s">
        <v>3791</v>
      </c>
      <c r="M202" s="374"/>
      <c r="O202" s="138"/>
      <c r="P202" s="332"/>
      <c r="Q202" s="332"/>
      <c r="X202" s="1599"/>
      <c r="AR202" s="1352" t="str">
        <f>SUBSTITUTE(SUBSTITUTE(SUBSTITUTE("dnt"&amp;$B202&amp;$C202&amp;$D202&amp;$E202&amp;$F202,".","_"),"(","_"),")","")</f>
        <v>dnt504_3</v>
      </c>
      <c r="AS202" s="1352" t="str">
        <f>IF(LEN(X202)=0,"",X202)</f>
        <v/>
      </c>
      <c r="AX202" s="123"/>
      <c r="AY202" s="123"/>
    </row>
    <row r="203" spans="1:51" x14ac:dyDescent="0.2">
      <c r="B203" s="23" t="s">
        <v>410</v>
      </c>
      <c r="C203" s="23"/>
      <c r="D203" s="23"/>
      <c r="E203" s="23"/>
      <c r="F203" s="691"/>
      <c r="G203" s="23"/>
      <c r="H203" s="691"/>
      <c r="I203" s="92"/>
      <c r="J203" s="92"/>
      <c r="K203" s="92"/>
      <c r="L203" s="1631"/>
      <c r="M203" s="374"/>
      <c r="O203" s="138"/>
      <c r="P203" s="332"/>
      <c r="Q203" s="332"/>
      <c r="X203" s="1600"/>
    </row>
    <row r="204" spans="1:51" x14ac:dyDescent="0.2">
      <c r="B204" s="23" t="s">
        <v>410</v>
      </c>
      <c r="C204" s="23"/>
      <c r="D204" s="23"/>
      <c r="E204" s="23"/>
      <c r="F204" s="691"/>
      <c r="G204" s="23"/>
      <c r="H204" s="691"/>
      <c r="I204" s="92"/>
      <c r="J204" s="92"/>
      <c r="K204" s="92"/>
      <c r="L204" s="1631"/>
      <c r="M204" s="374"/>
      <c r="O204" s="138"/>
      <c r="P204" s="332"/>
      <c r="Q204" s="332"/>
      <c r="X204" s="1600"/>
    </row>
    <row r="205" spans="1:51" x14ac:dyDescent="0.2">
      <c r="B205" s="23" t="s">
        <v>410</v>
      </c>
      <c r="C205" s="23" t="s">
        <v>254</v>
      </c>
      <c r="D205" s="23"/>
      <c r="E205" s="23"/>
      <c r="F205" s="691"/>
      <c r="G205" s="23"/>
      <c r="H205" s="691"/>
      <c r="I205" s="92"/>
      <c r="J205" s="93" t="s">
        <v>254</v>
      </c>
      <c r="K205" s="103"/>
      <c r="L205" s="1609" t="s">
        <v>411</v>
      </c>
      <c r="M205" s="1623">
        <v>5</v>
      </c>
      <c r="N205" s="96"/>
      <c r="O205" s="1619">
        <f>M205*W205</f>
        <v>0</v>
      </c>
      <c r="P205" s="332" t="b">
        <v>1</v>
      </c>
      <c r="Q205" s="332" t="b">
        <v>0</v>
      </c>
      <c r="R205" s="66" t="b">
        <v>0</v>
      </c>
      <c r="S205" s="66" t="b">
        <v>1</v>
      </c>
      <c r="T205" s="66" t="b">
        <v>0</v>
      </c>
      <c r="W205" s="27"/>
      <c r="X205" s="1600"/>
      <c r="AL205" s="1352" t="str">
        <f>SUBSTITUTE(SUBSTITUTE(SUBSTITUTE("dpa"&amp;$B205&amp;$C205&amp;$D205&amp;$E205&amp;$F205,".","_"),"(","_"),")","")</f>
        <v>dpa504_3_1</v>
      </c>
      <c r="AM205" s="1352">
        <f>M205</f>
        <v>5</v>
      </c>
      <c r="AN205" s="1352" t="str">
        <f>SUBSTITUTE(SUBSTITUTE(SUBSTITUTE("dpc"&amp;$B205&amp;$C205&amp;$D205&amp;$E205&amp;$F205,".","_"),"(","_"),")","")</f>
        <v>dpc504_3_1</v>
      </c>
      <c r="AO205" s="1352">
        <f>O205</f>
        <v>0</v>
      </c>
      <c r="AP205" s="1352" t="str">
        <f>SUBSTITUTE(SUBSTITUTE(SUBSTITUTE("dch"&amp;$B205&amp;$C205&amp;$D205&amp;$E205&amp;$F205,".","_"),"(","_"),")","")</f>
        <v>dch504_3_1</v>
      </c>
      <c r="AQ205" s="1352" t="str">
        <f>IF(LEN(W205)=0,"",W205)</f>
        <v/>
      </c>
      <c r="AR205" s="1352" t="str">
        <f>SUBSTITUTE(SUBSTITUTE(SUBSTITUTE("dnt"&amp;$B205&amp;$C205&amp;$D205&amp;$E205&amp;$F205,".","_"),"(","_"),")","")</f>
        <v>dnt504_3_1</v>
      </c>
      <c r="AS205" s="1352" t="str">
        <f>IF(LEN(X205)=0,"",X205)</f>
        <v/>
      </c>
    </row>
    <row r="206" spans="1:51" x14ac:dyDescent="0.2">
      <c r="B206" s="23" t="s">
        <v>410</v>
      </c>
      <c r="C206" s="23" t="s">
        <v>254</v>
      </c>
      <c r="D206" s="23"/>
      <c r="E206" s="23"/>
      <c r="F206" s="691"/>
      <c r="G206" s="23"/>
      <c r="H206" s="691"/>
      <c r="I206" s="92"/>
      <c r="J206" s="169"/>
      <c r="K206" s="172"/>
      <c r="L206" s="1612"/>
      <c r="M206" s="1624"/>
      <c r="N206" s="173"/>
      <c r="O206" s="1620"/>
      <c r="P206" s="332"/>
      <c r="Q206" s="332"/>
      <c r="X206" s="1600"/>
    </row>
    <row r="207" spans="1:51" x14ac:dyDescent="0.2">
      <c r="B207" s="23" t="s">
        <v>410</v>
      </c>
      <c r="C207" s="23" t="s">
        <v>255</v>
      </c>
      <c r="D207" s="23"/>
      <c r="E207" s="23"/>
      <c r="F207" s="691"/>
      <c r="G207" s="23"/>
      <c r="H207" s="691"/>
      <c r="I207" s="92"/>
      <c r="J207" s="169" t="s">
        <v>255</v>
      </c>
      <c r="K207" s="172"/>
      <c r="L207" s="170" t="s">
        <v>412</v>
      </c>
      <c r="M207" s="373">
        <v>5</v>
      </c>
      <c r="N207" s="173"/>
      <c r="O207" s="422">
        <f>M207*W207</f>
        <v>0</v>
      </c>
      <c r="P207" s="332" t="b">
        <v>1</v>
      </c>
      <c r="Q207" s="332" t="b">
        <v>0</v>
      </c>
      <c r="R207" s="66" t="b">
        <v>0</v>
      </c>
      <c r="S207" s="66" t="b">
        <v>1</v>
      </c>
      <c r="T207" s="66" t="b">
        <v>0</v>
      </c>
      <c r="W207" s="27"/>
      <c r="X207" s="124"/>
      <c r="AL207" s="1352" t="str">
        <f>SUBSTITUTE(SUBSTITUTE(SUBSTITUTE("dpa"&amp;$B207&amp;$C207&amp;$D207&amp;$E207&amp;$F207,".","_"),"(","_"),")","")</f>
        <v>dpa504_3_2</v>
      </c>
      <c r="AM207" s="1352">
        <f>M207</f>
        <v>5</v>
      </c>
      <c r="AN207" s="1352" t="str">
        <f>SUBSTITUTE(SUBSTITUTE(SUBSTITUTE("dpc"&amp;$B207&amp;$C207&amp;$D207&amp;$E207&amp;$F207,".","_"),"(","_"),")","")</f>
        <v>dpc504_3_2</v>
      </c>
      <c r="AO207" s="1352">
        <f>O207</f>
        <v>0</v>
      </c>
      <c r="AP207" s="1352" t="str">
        <f>SUBSTITUTE(SUBSTITUTE(SUBSTITUTE("dch"&amp;$B207&amp;$C207&amp;$D207&amp;$E207&amp;$F207,".","_"),"(","_"),")","")</f>
        <v>dch504_3_2</v>
      </c>
      <c r="AQ207" s="1352" t="str">
        <f>IF(LEN(W207)=0,"",W207)</f>
        <v/>
      </c>
      <c r="AR207" s="1352" t="str">
        <f>SUBSTITUTE(SUBSTITUTE(SUBSTITUTE("dnt"&amp;$B207&amp;$C207&amp;$D207&amp;$E207&amp;$F207,".","_"),"(","_"),")","")</f>
        <v>dnt504_3_2</v>
      </c>
      <c r="AS207" s="1352" t="str">
        <f>IF(LEN(X207)=0,"",X207)</f>
        <v/>
      </c>
    </row>
    <row r="208" spans="1:51" x14ac:dyDescent="0.2">
      <c r="B208" s="23" t="s">
        <v>410</v>
      </c>
      <c r="C208" s="23" t="s">
        <v>256</v>
      </c>
      <c r="D208" s="23"/>
      <c r="E208" s="23"/>
      <c r="F208" s="691"/>
      <c r="G208" s="23"/>
      <c r="H208" s="691"/>
      <c r="I208" s="92"/>
      <c r="J208" s="93" t="s">
        <v>256</v>
      </c>
      <c r="K208" s="103"/>
      <c r="L208" s="1609" t="s">
        <v>413</v>
      </c>
      <c r="M208" s="1623">
        <v>5</v>
      </c>
      <c r="N208" s="96"/>
      <c r="O208" s="1619">
        <f>M208*W208</f>
        <v>0</v>
      </c>
      <c r="P208" s="332" t="b">
        <v>1</v>
      </c>
      <c r="Q208" s="332" t="b">
        <v>0</v>
      </c>
      <c r="R208" s="66" t="b">
        <v>0</v>
      </c>
      <c r="S208" s="66" t="b">
        <v>1</v>
      </c>
      <c r="T208" s="66" t="b">
        <v>0</v>
      </c>
      <c r="W208" s="27"/>
      <c r="X208" s="1600"/>
      <c r="AL208" s="1352" t="str">
        <f>SUBSTITUTE(SUBSTITUTE(SUBSTITUTE("dpa"&amp;$B208&amp;$C208&amp;$D208&amp;$E208&amp;$F208,".","_"),"(","_"),")","")</f>
        <v>dpa504_3_3</v>
      </c>
      <c r="AM208" s="1352">
        <f>M208</f>
        <v>5</v>
      </c>
      <c r="AN208" s="1352" t="str">
        <f>SUBSTITUTE(SUBSTITUTE(SUBSTITUTE("dpc"&amp;$B208&amp;$C208&amp;$D208&amp;$E208&amp;$F208,".","_"),"(","_"),")","")</f>
        <v>dpc504_3_3</v>
      </c>
      <c r="AO208" s="1352">
        <f>O208</f>
        <v>0</v>
      </c>
      <c r="AP208" s="1352" t="str">
        <f>SUBSTITUTE(SUBSTITUTE(SUBSTITUTE("dch"&amp;$B208&amp;$C208&amp;$D208&amp;$E208&amp;$F208,".","_"),"(","_"),")","")</f>
        <v>dch504_3_3</v>
      </c>
      <c r="AQ208" s="1352" t="str">
        <f>IF(LEN(W208)=0,"",W208)</f>
        <v/>
      </c>
      <c r="AR208" s="1352" t="str">
        <f>SUBSTITUTE(SUBSTITUTE(SUBSTITUTE("dnt"&amp;$B208&amp;$C208&amp;$D208&amp;$E208&amp;$F208,".","_"),"(","_"),")","")</f>
        <v>dnt504_3_3</v>
      </c>
      <c r="AS208" s="1352" t="str">
        <f>IF(LEN(X208)=0,"",X208)</f>
        <v/>
      </c>
    </row>
    <row r="209" spans="2:45" x14ac:dyDescent="0.2">
      <c r="B209" s="23" t="s">
        <v>410</v>
      </c>
      <c r="C209" s="23" t="s">
        <v>256</v>
      </c>
      <c r="D209" s="23"/>
      <c r="E209" s="23"/>
      <c r="F209" s="691"/>
      <c r="G209" s="23"/>
      <c r="H209" s="691"/>
      <c r="I209" s="92"/>
      <c r="J209" s="172"/>
      <c r="K209" s="172"/>
      <c r="L209" s="1612"/>
      <c r="M209" s="1624"/>
      <c r="N209" s="173"/>
      <c r="O209" s="1620"/>
      <c r="P209" s="332"/>
      <c r="Q209" s="332"/>
      <c r="X209" s="1600"/>
    </row>
    <row r="210" spans="2:45" x14ac:dyDescent="0.2">
      <c r="B210" s="23" t="s">
        <v>410</v>
      </c>
      <c r="C210" s="23" t="s">
        <v>259</v>
      </c>
      <c r="D210" s="23"/>
      <c r="E210" s="23"/>
      <c r="F210" s="691"/>
      <c r="G210" s="23"/>
      <c r="H210" s="691"/>
      <c r="I210" s="92"/>
      <c r="J210" s="93" t="s">
        <v>259</v>
      </c>
      <c r="K210" s="103"/>
      <c r="L210" s="1609" t="s">
        <v>414</v>
      </c>
      <c r="M210" s="1623">
        <v>5</v>
      </c>
      <c r="N210" s="96"/>
      <c r="O210" s="1619">
        <f>M210*W210</f>
        <v>0</v>
      </c>
      <c r="P210" s="332" t="b">
        <v>1</v>
      </c>
      <c r="Q210" s="332" t="b">
        <v>0</v>
      </c>
      <c r="R210" s="66" t="b">
        <v>0</v>
      </c>
      <c r="S210" s="66" t="b">
        <v>1</v>
      </c>
      <c r="T210" s="66" t="b">
        <v>0</v>
      </c>
      <c r="W210" s="27"/>
      <c r="X210" s="1600"/>
      <c r="AL210" s="1352" t="str">
        <f>SUBSTITUTE(SUBSTITUTE(SUBSTITUTE("dpa"&amp;$B210&amp;$C210&amp;$D210&amp;$E210&amp;$F210,".","_"),"(","_"),")","")</f>
        <v>dpa504_3_4</v>
      </c>
      <c r="AM210" s="1352">
        <f>M210</f>
        <v>5</v>
      </c>
      <c r="AN210" s="1352" t="str">
        <f>SUBSTITUTE(SUBSTITUTE(SUBSTITUTE("dpc"&amp;$B210&amp;$C210&amp;$D210&amp;$E210&amp;$F210,".","_"),"(","_"),")","")</f>
        <v>dpc504_3_4</v>
      </c>
      <c r="AO210" s="1352">
        <f>O210</f>
        <v>0</v>
      </c>
      <c r="AP210" s="1352" t="str">
        <f>SUBSTITUTE(SUBSTITUTE(SUBSTITUTE("dch"&amp;$B210&amp;$C210&amp;$D210&amp;$E210&amp;$F210,".","_"),"(","_"),")","")</f>
        <v>dch504_3_4</v>
      </c>
      <c r="AQ210" s="1352" t="str">
        <f>IF(LEN(W210)=0,"",W210)</f>
        <v/>
      </c>
      <c r="AR210" s="1352" t="str">
        <f>SUBSTITUTE(SUBSTITUTE(SUBSTITUTE("dnt"&amp;$B210&amp;$C210&amp;$D210&amp;$E210&amp;$F210,".","_"),"(","_"),")","")</f>
        <v>dnt504_3_4</v>
      </c>
      <c r="AS210" s="1352" t="str">
        <f>IF(LEN(X210)=0,"",X210)</f>
        <v/>
      </c>
    </row>
    <row r="211" spans="2:45" x14ac:dyDescent="0.2">
      <c r="B211" s="23" t="s">
        <v>410</v>
      </c>
      <c r="C211" s="23" t="s">
        <v>259</v>
      </c>
      <c r="D211" s="23"/>
      <c r="E211" s="23"/>
      <c r="F211" s="691"/>
      <c r="G211" s="23"/>
      <c r="H211" s="691"/>
      <c r="I211" s="92"/>
      <c r="J211" s="172"/>
      <c r="K211" s="172"/>
      <c r="L211" s="1612"/>
      <c r="M211" s="1624"/>
      <c r="N211" s="173"/>
      <c r="O211" s="1620"/>
      <c r="P211" s="332"/>
      <c r="Q211" s="332"/>
      <c r="X211" s="1600"/>
    </row>
    <row r="212" spans="2:45" x14ac:dyDescent="0.2">
      <c r="B212" s="23" t="s">
        <v>410</v>
      </c>
      <c r="C212" s="23" t="s">
        <v>263</v>
      </c>
      <c r="D212" s="23"/>
      <c r="E212" s="23"/>
      <c r="F212" s="691"/>
      <c r="G212" s="23"/>
      <c r="H212" s="691"/>
      <c r="I212" s="92"/>
      <c r="J212" s="93" t="s">
        <v>263</v>
      </c>
      <c r="K212" s="103"/>
      <c r="L212" s="1609" t="s">
        <v>415</v>
      </c>
      <c r="M212" s="1623">
        <v>4</v>
      </c>
      <c r="N212" s="96"/>
      <c r="O212" s="1619">
        <f>M212*W212</f>
        <v>0</v>
      </c>
      <c r="P212" s="332" t="b">
        <v>1</v>
      </c>
      <c r="Q212" s="332" t="b">
        <v>0</v>
      </c>
      <c r="R212" s="66" t="b">
        <v>0</v>
      </c>
      <c r="S212" s="66" t="b">
        <v>1</v>
      </c>
      <c r="T212" s="66" t="b">
        <v>0</v>
      </c>
      <c r="W212" s="27"/>
      <c r="X212" s="1600"/>
      <c r="AL212" s="1352" t="str">
        <f>SUBSTITUTE(SUBSTITUTE(SUBSTITUTE("dpa"&amp;$B212&amp;$C212&amp;$D212&amp;$E212&amp;$F212,".","_"),"(","_"),")","")</f>
        <v>dpa504_3_5</v>
      </c>
      <c r="AM212" s="1352">
        <f>M212</f>
        <v>4</v>
      </c>
      <c r="AN212" s="1352" t="str">
        <f>SUBSTITUTE(SUBSTITUTE(SUBSTITUTE("dpc"&amp;$B212&amp;$C212&amp;$D212&amp;$E212&amp;$F212,".","_"),"(","_"),")","")</f>
        <v>dpc504_3_5</v>
      </c>
      <c r="AO212" s="1352">
        <f>O212</f>
        <v>0</v>
      </c>
      <c r="AP212" s="1352" t="str">
        <f>SUBSTITUTE(SUBSTITUTE(SUBSTITUTE("dch"&amp;$B212&amp;$C212&amp;$D212&amp;$E212&amp;$F212,".","_"),"(","_"),")","")</f>
        <v>dch504_3_5</v>
      </c>
      <c r="AQ212" s="1352" t="str">
        <f>IF(LEN(W212)=0,"",W212)</f>
        <v/>
      </c>
      <c r="AR212" s="1352" t="str">
        <f>SUBSTITUTE(SUBSTITUTE(SUBSTITUTE("dnt"&amp;$B212&amp;$C212&amp;$D212&amp;$E212&amp;$F212,".","_"),"(","_"),")","")</f>
        <v>dnt504_3_5</v>
      </c>
      <c r="AS212" s="1352" t="str">
        <f>IF(LEN(X212)=0,"",X212)</f>
        <v/>
      </c>
    </row>
    <row r="213" spans="2:45" x14ac:dyDescent="0.2">
      <c r="B213" s="23" t="s">
        <v>410</v>
      </c>
      <c r="C213" s="23" t="s">
        <v>263</v>
      </c>
      <c r="D213" s="23"/>
      <c r="E213" s="23"/>
      <c r="F213" s="691"/>
      <c r="G213" s="23"/>
      <c r="H213" s="691"/>
      <c r="I213" s="92"/>
      <c r="J213" s="103"/>
      <c r="K213" s="103"/>
      <c r="L213" s="1609"/>
      <c r="M213" s="1623"/>
      <c r="N213" s="96"/>
      <c r="O213" s="1619"/>
      <c r="P213" s="332"/>
      <c r="Q213" s="332"/>
      <c r="X213" s="1600"/>
    </row>
    <row r="214" spans="2:45" x14ac:dyDescent="0.2">
      <c r="B214" s="23" t="s">
        <v>410</v>
      </c>
      <c r="C214" s="23" t="s">
        <v>263</v>
      </c>
      <c r="D214" s="23"/>
      <c r="E214" s="23"/>
      <c r="F214" s="691"/>
      <c r="G214" s="23"/>
      <c r="H214" s="691"/>
      <c r="I214" s="92"/>
      <c r="J214" s="103"/>
      <c r="K214" s="103"/>
      <c r="L214" s="1609"/>
      <c r="M214" s="1623"/>
      <c r="N214" s="96"/>
      <c r="O214" s="1619"/>
      <c r="P214" s="332"/>
      <c r="Q214" s="332"/>
      <c r="X214" s="1600"/>
    </row>
    <row r="215" spans="2:45" x14ac:dyDescent="0.2">
      <c r="B215" s="23" t="s">
        <v>410</v>
      </c>
      <c r="C215" s="23" t="s">
        <v>263</v>
      </c>
      <c r="D215" s="23"/>
      <c r="E215" s="23"/>
      <c r="F215" s="691"/>
      <c r="G215" s="23"/>
      <c r="H215" s="691"/>
      <c r="I215" s="92"/>
      <c r="J215" s="172"/>
      <c r="K215" s="172"/>
      <c r="L215" s="1612"/>
      <c r="M215" s="1624"/>
      <c r="N215" s="173"/>
      <c r="O215" s="1620"/>
      <c r="P215" s="332"/>
      <c r="Q215" s="332"/>
      <c r="X215" s="1600"/>
    </row>
    <row r="216" spans="2:45" x14ac:dyDescent="0.2">
      <c r="B216" s="23" t="s">
        <v>410</v>
      </c>
      <c r="C216" s="23" t="s">
        <v>264</v>
      </c>
      <c r="D216" s="23"/>
      <c r="E216" s="23"/>
      <c r="F216" s="691"/>
      <c r="G216" s="23"/>
      <c r="H216" s="691"/>
      <c r="I216" s="92"/>
      <c r="J216" s="93" t="s">
        <v>264</v>
      </c>
      <c r="K216" s="103"/>
      <c r="L216" s="1609" t="s">
        <v>3792</v>
      </c>
      <c r="M216" s="1623">
        <v>3</v>
      </c>
      <c r="N216" s="96"/>
      <c r="O216" s="1619">
        <f>M216*W216</f>
        <v>0</v>
      </c>
      <c r="P216" s="332" t="b">
        <v>1</v>
      </c>
      <c r="Q216" s="332" t="b">
        <v>0</v>
      </c>
      <c r="R216" s="66" t="b">
        <v>0</v>
      </c>
      <c r="S216" s="66" t="b">
        <v>1</v>
      </c>
      <c r="T216" s="66" t="b">
        <v>0</v>
      </c>
      <c r="W216" s="27"/>
      <c r="X216" s="1600"/>
      <c r="AL216" s="1352" t="str">
        <f>SUBSTITUTE(SUBSTITUTE(SUBSTITUTE("dpa"&amp;$B216&amp;$C216&amp;$D216&amp;$E216&amp;$F216,".","_"),"(","_"),")","")</f>
        <v>dpa504_3_6</v>
      </c>
      <c r="AM216" s="1352">
        <f>M216</f>
        <v>3</v>
      </c>
      <c r="AN216" s="1352" t="str">
        <f>SUBSTITUTE(SUBSTITUTE(SUBSTITUTE("dpc"&amp;$B216&amp;$C216&amp;$D216&amp;$E216&amp;$F216,".","_"),"(","_"),")","")</f>
        <v>dpc504_3_6</v>
      </c>
      <c r="AO216" s="1352">
        <f>O216</f>
        <v>0</v>
      </c>
      <c r="AP216" s="1352" t="str">
        <f>SUBSTITUTE(SUBSTITUTE(SUBSTITUTE("dch"&amp;$B216&amp;$C216&amp;$D216&amp;$E216&amp;$F216,".","_"),"(","_"),")","")</f>
        <v>dch504_3_6</v>
      </c>
      <c r="AQ216" s="1352" t="str">
        <f>IF(LEN(W216)=0,"",W216)</f>
        <v/>
      </c>
      <c r="AR216" s="1352" t="str">
        <f>SUBSTITUTE(SUBSTITUTE(SUBSTITUTE("dnt"&amp;$B216&amp;$C216&amp;$D216&amp;$E216&amp;$F216,".","_"),"(","_"),")","")</f>
        <v>dnt504_3_6</v>
      </c>
      <c r="AS216" s="1352" t="str">
        <f>IF(LEN(X216)=0,"",X216)</f>
        <v/>
      </c>
    </row>
    <row r="217" spans="2:45" x14ac:dyDescent="0.2">
      <c r="B217" s="23" t="s">
        <v>410</v>
      </c>
      <c r="C217" s="23" t="s">
        <v>264</v>
      </c>
      <c r="D217" s="23"/>
      <c r="E217" s="23"/>
      <c r="F217" s="691"/>
      <c r="G217" s="23"/>
      <c r="H217" s="691"/>
      <c r="I217" s="92"/>
      <c r="J217" s="103"/>
      <c r="K217" s="103"/>
      <c r="L217" s="1609"/>
      <c r="M217" s="1623"/>
      <c r="N217" s="96"/>
      <c r="O217" s="1619"/>
      <c r="P217" s="332"/>
      <c r="Q217" s="332"/>
      <c r="X217" s="1600"/>
    </row>
    <row r="218" spans="2:45" x14ac:dyDescent="0.2">
      <c r="B218" s="23" t="s">
        <v>410</v>
      </c>
      <c r="C218" s="23" t="s">
        <v>264</v>
      </c>
      <c r="D218" s="23"/>
      <c r="E218" s="23"/>
      <c r="F218" s="691"/>
      <c r="G218" s="23"/>
      <c r="H218" s="691"/>
      <c r="I218" s="92"/>
      <c r="J218" s="172"/>
      <c r="K218" s="172"/>
      <c r="L218" s="1612"/>
      <c r="M218" s="1624"/>
      <c r="N218" s="173"/>
      <c r="O218" s="1620"/>
      <c r="P218" s="332"/>
      <c r="Q218" s="332"/>
      <c r="X218" s="1600"/>
    </row>
    <row r="219" spans="2:45" x14ac:dyDescent="0.2">
      <c r="B219" s="23" t="s">
        <v>410</v>
      </c>
      <c r="C219" s="23" t="s">
        <v>356</v>
      </c>
      <c r="D219" s="23"/>
      <c r="E219" s="23"/>
      <c r="F219" s="691"/>
      <c r="G219" s="23"/>
      <c r="H219" s="691"/>
      <c r="I219" s="92"/>
      <c r="J219" s="169" t="s">
        <v>356</v>
      </c>
      <c r="K219" s="172"/>
      <c r="L219" s="170" t="s">
        <v>416</v>
      </c>
      <c r="M219" s="373">
        <v>3</v>
      </c>
      <c r="N219" s="173"/>
      <c r="O219" s="422">
        <f>M219*W219</f>
        <v>0</v>
      </c>
      <c r="P219" s="332" t="b">
        <v>1</v>
      </c>
      <c r="Q219" s="332" t="b">
        <v>1</v>
      </c>
      <c r="R219" s="66" t="b">
        <v>0</v>
      </c>
      <c r="S219" s="66" t="b">
        <v>1</v>
      </c>
      <c r="T219" s="66" t="b">
        <v>0</v>
      </c>
      <c r="W219" s="27"/>
      <c r="X219" s="124"/>
      <c r="AL219" s="1352" t="str">
        <f>SUBSTITUTE(SUBSTITUTE(SUBSTITUTE("dpa"&amp;$B219&amp;$C219&amp;$D219&amp;$E219&amp;$F219,".","_"),"(","_"),")","")</f>
        <v>dpa504_3_7</v>
      </c>
      <c r="AM219" s="1352">
        <f>M219</f>
        <v>3</v>
      </c>
      <c r="AN219" s="1352" t="str">
        <f>SUBSTITUTE(SUBSTITUTE(SUBSTITUTE("dpc"&amp;$B219&amp;$C219&amp;$D219&amp;$E219&amp;$F219,".","_"),"(","_"),")","")</f>
        <v>dpc504_3_7</v>
      </c>
      <c r="AO219" s="1352">
        <f>O219</f>
        <v>0</v>
      </c>
      <c r="AP219" s="1352" t="str">
        <f>SUBSTITUTE(SUBSTITUTE(SUBSTITUTE("dch"&amp;$B219&amp;$C219&amp;$D219&amp;$E219&amp;$F219,".","_"),"(","_"),")","")</f>
        <v>dch504_3_7</v>
      </c>
      <c r="AQ219" s="1352" t="str">
        <f>IF(LEN(W219)=0,"",W219)</f>
        <v/>
      </c>
      <c r="AR219" s="1352" t="str">
        <f>SUBSTITUTE(SUBSTITUTE(SUBSTITUTE("dnt"&amp;$B219&amp;$C219&amp;$D219&amp;$E219&amp;$F219,".","_"),"(","_"),")","")</f>
        <v>dnt504_3_7</v>
      </c>
      <c r="AS219" s="1352" t="str">
        <f>IF(LEN(X219)=0,"",X219)</f>
        <v/>
      </c>
    </row>
    <row r="220" spans="2:45" x14ac:dyDescent="0.2">
      <c r="B220" s="23" t="s">
        <v>410</v>
      </c>
      <c r="C220" s="23" t="s">
        <v>389</v>
      </c>
      <c r="D220" s="23"/>
      <c r="E220" s="23"/>
      <c r="F220" s="691"/>
      <c r="G220" s="23"/>
      <c r="H220" s="691"/>
      <c r="I220" s="92"/>
      <c r="J220" s="93" t="s">
        <v>389</v>
      </c>
      <c r="K220" s="103"/>
      <c r="L220" s="157" t="s">
        <v>3793</v>
      </c>
      <c r="M220" s="1623">
        <v>5</v>
      </c>
      <c r="N220" s="96"/>
      <c r="O220" s="1619">
        <f>M220*MIN(1,(W221+W222+W223+W224+W225+W226))</f>
        <v>0</v>
      </c>
      <c r="P220" s="332"/>
      <c r="Q220" s="332"/>
      <c r="R220" s="66"/>
      <c r="S220" s="66"/>
      <c r="T220" s="66"/>
      <c r="W220"/>
      <c r="X220" s="1600"/>
      <c r="AC220"/>
      <c r="AD220"/>
      <c r="AE220"/>
      <c r="AL220" s="1352" t="str">
        <f>SUBSTITUTE(SUBSTITUTE(SUBSTITUTE("dpa"&amp;$B220&amp;$C220&amp;$D220&amp;$E220&amp;$F220,".","_"),"(","_"),")","")</f>
        <v>dpa504_3_8</v>
      </c>
      <c r="AM220" s="1352">
        <f>M220</f>
        <v>5</v>
      </c>
      <c r="AN220" s="1352" t="str">
        <f>SUBSTITUTE(SUBSTITUTE(SUBSTITUTE("dpc"&amp;$B220&amp;$C220&amp;$D220&amp;$E220&amp;$F220,".","_"),"(","_"),")","")</f>
        <v>dpc504_3_8</v>
      </c>
      <c r="AO220" s="1352">
        <f>O220</f>
        <v>0</v>
      </c>
      <c r="AR220" s="1352" t="str">
        <f>SUBSTITUTE(SUBSTITUTE(SUBSTITUTE("dnt"&amp;$B220&amp;$C220&amp;$D220&amp;$E220&amp;$F220,".","_"),"(","_"),")","")</f>
        <v>dnt504_3_8</v>
      </c>
      <c r="AS220" s="1352" t="str">
        <f>IF(LEN(X220)=0,"",X220)</f>
        <v/>
      </c>
    </row>
    <row r="221" spans="2:45" x14ac:dyDescent="0.2">
      <c r="B221" s="23" t="s">
        <v>410</v>
      </c>
      <c r="C221" s="23" t="s">
        <v>389</v>
      </c>
      <c r="D221" s="23" t="s">
        <v>2539</v>
      </c>
      <c r="E221" s="23"/>
      <c r="F221" s="691"/>
      <c r="G221" s="23"/>
      <c r="H221" s="691"/>
      <c r="I221" s="92"/>
      <c r="J221" s="103"/>
      <c r="K221" s="103"/>
      <c r="L221" s="157" t="s">
        <v>2551</v>
      </c>
      <c r="M221" s="1623"/>
      <c r="N221" s="96"/>
      <c r="O221" s="1619"/>
      <c r="P221" s="332" t="b">
        <v>1</v>
      </c>
      <c r="Q221" s="332" t="b">
        <v>1</v>
      </c>
      <c r="R221" s="133" t="b">
        <v>0</v>
      </c>
      <c r="S221" s="133" t="b">
        <v>1</v>
      </c>
      <c r="T221" s="133" t="b">
        <v>0</v>
      </c>
      <c r="U221" s="123"/>
      <c r="V221" s="123"/>
      <c r="W221" s="27"/>
      <c r="X221" s="1600"/>
      <c r="Z221" s="123"/>
      <c r="AB221" s="123"/>
      <c r="AC221" s="123"/>
      <c r="AD221" s="123"/>
      <c r="AE221" s="123"/>
      <c r="AF221" s="123"/>
      <c r="AG221" s="123"/>
      <c r="AH221" s="123"/>
      <c r="AI221" s="123"/>
      <c r="AJ221" s="123"/>
      <c r="AK221" s="123"/>
      <c r="AP221" s="1352" t="str">
        <f t="shared" ref="AP221:AP226" si="6">SUBSTITUTE(SUBSTITUTE(SUBSTITUTE("dch"&amp;$B221&amp;$C221&amp;$D221&amp;$E221&amp;$F221,".","_"),"(","_"),")","")</f>
        <v>dch504_3_8a</v>
      </c>
      <c r="AQ221" s="1352" t="str">
        <f t="shared" ref="AQ221:AQ226" si="7">IF(LEN(W221)=0,"",W221)</f>
        <v/>
      </c>
    </row>
    <row r="222" spans="2:45" x14ac:dyDescent="0.2">
      <c r="B222" s="23" t="s">
        <v>410</v>
      </c>
      <c r="C222" s="23" t="s">
        <v>389</v>
      </c>
      <c r="D222" s="23" t="s">
        <v>2540</v>
      </c>
      <c r="E222" s="23"/>
      <c r="F222" s="691"/>
      <c r="G222" s="23"/>
      <c r="H222" s="691"/>
      <c r="I222" s="92"/>
      <c r="J222" s="103"/>
      <c r="K222" s="103"/>
      <c r="L222" s="157" t="s">
        <v>2550</v>
      </c>
      <c r="M222" s="1623"/>
      <c r="N222" s="96"/>
      <c r="O222" s="1619"/>
      <c r="P222" s="332" t="b">
        <v>1</v>
      </c>
      <c r="Q222" s="332" t="b">
        <v>1</v>
      </c>
      <c r="R222" s="133" t="b">
        <v>0</v>
      </c>
      <c r="S222" s="133" t="b">
        <v>1</v>
      </c>
      <c r="T222" s="133" t="b">
        <v>0</v>
      </c>
      <c r="U222" s="133"/>
      <c r="V222" s="133"/>
      <c r="W222" s="27"/>
      <c r="X222" s="1600"/>
      <c r="Z222" s="133"/>
      <c r="AB222" s="133"/>
      <c r="AC222" s="133"/>
      <c r="AD222" s="133"/>
      <c r="AE222" s="133"/>
      <c r="AF222" s="133"/>
      <c r="AG222" s="133"/>
      <c r="AH222" s="133"/>
      <c r="AI222" s="133"/>
      <c r="AJ222" s="133"/>
      <c r="AK222" s="133"/>
      <c r="AP222" s="1352" t="str">
        <f t="shared" si="6"/>
        <v>dch504_3_8b</v>
      </c>
      <c r="AQ222" s="1352" t="str">
        <f t="shared" si="7"/>
        <v/>
      </c>
    </row>
    <row r="223" spans="2:45" x14ac:dyDescent="0.2">
      <c r="B223" s="23" t="s">
        <v>410</v>
      </c>
      <c r="C223" s="23" t="s">
        <v>389</v>
      </c>
      <c r="D223" s="23" t="s">
        <v>2541</v>
      </c>
      <c r="E223" s="23"/>
      <c r="F223" s="691"/>
      <c r="G223" s="23"/>
      <c r="H223" s="691"/>
      <c r="I223" s="92"/>
      <c r="J223" s="103"/>
      <c r="K223" s="103"/>
      <c r="L223" s="157" t="s">
        <v>2549</v>
      </c>
      <c r="M223" s="1623"/>
      <c r="N223" s="96"/>
      <c r="O223" s="1619"/>
      <c r="P223" s="332" t="b">
        <v>1</v>
      </c>
      <c r="Q223" s="332" t="b">
        <v>1</v>
      </c>
      <c r="R223" s="133" t="b">
        <v>0</v>
      </c>
      <c r="S223" s="133" t="b">
        <v>1</v>
      </c>
      <c r="T223" s="133" t="b">
        <v>0</v>
      </c>
      <c r="U223" s="133"/>
      <c r="V223" s="133"/>
      <c r="W223" s="27"/>
      <c r="X223" s="1600"/>
      <c r="Z223" s="133"/>
      <c r="AB223" s="133"/>
      <c r="AC223" s="133"/>
      <c r="AD223" s="133"/>
      <c r="AE223" s="133"/>
      <c r="AF223" s="133"/>
      <c r="AG223" s="133"/>
      <c r="AH223" s="133"/>
      <c r="AI223" s="133"/>
      <c r="AJ223" s="133"/>
      <c r="AK223" s="133"/>
      <c r="AP223" s="1352" t="str">
        <f t="shared" si="6"/>
        <v>dch504_3_8c</v>
      </c>
      <c r="AQ223" s="1352" t="str">
        <f t="shared" si="7"/>
        <v/>
      </c>
    </row>
    <row r="224" spans="2:45" x14ac:dyDescent="0.2">
      <c r="B224" s="23" t="s">
        <v>410</v>
      </c>
      <c r="C224" s="23" t="s">
        <v>389</v>
      </c>
      <c r="D224" s="23" t="s">
        <v>2542</v>
      </c>
      <c r="E224" s="23"/>
      <c r="F224" s="691"/>
      <c r="G224" s="23"/>
      <c r="H224" s="691"/>
      <c r="I224" s="92"/>
      <c r="J224" s="103"/>
      <c r="K224" s="103"/>
      <c r="L224" s="157" t="s">
        <v>2548</v>
      </c>
      <c r="M224" s="1623"/>
      <c r="N224" s="96"/>
      <c r="O224" s="1619"/>
      <c r="P224" s="332" t="b">
        <v>1</v>
      </c>
      <c r="Q224" s="332" t="b">
        <v>1</v>
      </c>
      <c r="R224" s="133" t="b">
        <v>0</v>
      </c>
      <c r="S224" s="133" t="b">
        <v>1</v>
      </c>
      <c r="T224" s="133" t="b">
        <v>0</v>
      </c>
      <c r="U224" s="133"/>
      <c r="V224" s="133"/>
      <c r="W224" s="27"/>
      <c r="X224" s="1600"/>
      <c r="Z224" s="133"/>
      <c r="AB224" s="133"/>
      <c r="AC224" s="133"/>
      <c r="AD224" s="133"/>
      <c r="AE224" s="133"/>
      <c r="AF224" s="133"/>
      <c r="AG224" s="133"/>
      <c r="AH224" s="133"/>
      <c r="AI224" s="133"/>
      <c r="AJ224" s="133"/>
      <c r="AK224" s="133"/>
      <c r="AP224" s="1352" t="str">
        <f t="shared" si="6"/>
        <v>dch504_3_8d</v>
      </c>
      <c r="AQ224" s="1352" t="str">
        <f t="shared" si="7"/>
        <v/>
      </c>
    </row>
    <row r="225" spans="1:51" x14ac:dyDescent="0.2">
      <c r="B225" s="23" t="s">
        <v>410</v>
      </c>
      <c r="C225" s="23" t="s">
        <v>389</v>
      </c>
      <c r="D225" s="23" t="s">
        <v>2543</v>
      </c>
      <c r="E225" s="23"/>
      <c r="F225" s="691"/>
      <c r="G225" s="23"/>
      <c r="H225" s="691"/>
      <c r="I225" s="92"/>
      <c r="J225" s="103"/>
      <c r="K225" s="103"/>
      <c r="L225" s="157" t="s">
        <v>2547</v>
      </c>
      <c r="M225" s="1623"/>
      <c r="N225" s="96"/>
      <c r="O225" s="1619"/>
      <c r="P225" s="332" t="b">
        <v>1</v>
      </c>
      <c r="Q225" s="332" t="b">
        <v>1</v>
      </c>
      <c r="R225" s="133" t="b">
        <v>0</v>
      </c>
      <c r="S225" s="133" t="b">
        <v>1</v>
      </c>
      <c r="T225" s="133" t="b">
        <v>0</v>
      </c>
      <c r="U225" s="133"/>
      <c r="V225" s="133"/>
      <c r="W225" s="27"/>
      <c r="X225" s="1600"/>
      <c r="Z225" s="133"/>
      <c r="AB225" s="133"/>
      <c r="AC225" s="133"/>
      <c r="AD225" s="133"/>
      <c r="AE225" s="133"/>
      <c r="AF225" s="133"/>
      <c r="AG225" s="133"/>
      <c r="AH225" s="133"/>
      <c r="AI225" s="133"/>
      <c r="AJ225" s="133"/>
      <c r="AK225" s="133"/>
      <c r="AP225" s="1352" t="str">
        <f t="shared" si="6"/>
        <v>dch504_3_8e</v>
      </c>
      <c r="AQ225" s="1352" t="str">
        <f t="shared" si="7"/>
        <v/>
      </c>
    </row>
    <row r="226" spans="1:51" x14ac:dyDescent="0.2">
      <c r="B226" s="23" t="s">
        <v>410</v>
      </c>
      <c r="C226" s="23" t="s">
        <v>389</v>
      </c>
      <c r="D226" s="23" t="s">
        <v>2544</v>
      </c>
      <c r="E226" s="23"/>
      <c r="F226" s="691"/>
      <c r="G226" s="23"/>
      <c r="H226" s="691"/>
      <c r="I226" s="92"/>
      <c r="J226" s="103"/>
      <c r="K226" s="103"/>
      <c r="L226" s="157" t="s">
        <v>2546</v>
      </c>
      <c r="M226" s="1623"/>
      <c r="N226" s="96"/>
      <c r="O226" s="1619"/>
      <c r="P226" s="332" t="b">
        <v>1</v>
      </c>
      <c r="Q226" s="332" t="b">
        <v>1</v>
      </c>
      <c r="R226" s="133" t="b">
        <v>0</v>
      </c>
      <c r="S226" s="133" t="b">
        <v>1</v>
      </c>
      <c r="T226" s="133" t="b">
        <v>0</v>
      </c>
      <c r="U226" s="133"/>
      <c r="V226" s="133"/>
      <c r="W226" s="27"/>
      <c r="X226" s="1600"/>
      <c r="Z226" s="133"/>
      <c r="AB226" s="133"/>
      <c r="AC226" s="133" t="b">
        <f>OR(AD226:AE226)</f>
        <v>0</v>
      </c>
      <c r="AD226" s="133" t="b">
        <v>0</v>
      </c>
      <c r="AE226" s="133" t="b">
        <f>AND(W226=TRUE,LEN(X220)=0)</f>
        <v>0</v>
      </c>
      <c r="AF226" s="133"/>
      <c r="AG226" s="133"/>
      <c r="AH226" s="133"/>
      <c r="AI226" s="133"/>
      <c r="AJ226" s="133"/>
      <c r="AK226" s="133"/>
      <c r="AP226" s="1352" t="str">
        <f t="shared" si="6"/>
        <v>dch504_3_8f</v>
      </c>
      <c r="AQ226" s="1352" t="str">
        <f t="shared" si="7"/>
        <v/>
      </c>
      <c r="AT226" s="123"/>
    </row>
    <row r="227" spans="1:51" ht="15" customHeight="1" x14ac:dyDescent="0.2">
      <c r="B227" s="23" t="s">
        <v>410</v>
      </c>
      <c r="C227" s="23" t="s">
        <v>389</v>
      </c>
      <c r="D227" s="23"/>
      <c r="E227" s="23"/>
      <c r="F227" s="691"/>
      <c r="G227" s="23"/>
      <c r="H227" s="691"/>
      <c r="I227" s="92"/>
      <c r="J227" s="172"/>
      <c r="K227" s="172"/>
      <c r="L227" s="175" t="s">
        <v>2545</v>
      </c>
      <c r="M227" s="1624"/>
      <c r="N227" s="173"/>
      <c r="O227" s="1620"/>
      <c r="P227" s="332"/>
      <c r="Q227" s="332"/>
      <c r="X227" s="1600"/>
      <c r="AT227" s="133"/>
    </row>
    <row r="228" spans="1:51" s="133" customFormat="1" ht="19" x14ac:dyDescent="0.25">
      <c r="A228" s="20"/>
      <c r="B228" s="23" t="s">
        <v>417</v>
      </c>
      <c r="C228" s="23"/>
      <c r="D228" s="23"/>
      <c r="E228" s="23"/>
      <c r="F228" s="691"/>
      <c r="G228" s="23"/>
      <c r="H228" s="691"/>
      <c r="I228" s="72" t="s">
        <v>3499</v>
      </c>
      <c r="J228" s="72"/>
      <c r="K228" s="72"/>
      <c r="L228" s="86"/>
      <c r="M228" s="339"/>
      <c r="N228" s="25"/>
      <c r="O228" s="419"/>
      <c r="P228" s="25"/>
      <c r="Q228" s="25"/>
      <c r="R228" s="25"/>
      <c r="S228" s="25"/>
      <c r="T228" s="25"/>
      <c r="U228" s="25"/>
      <c r="V228" s="25"/>
      <c r="W228" s="25"/>
      <c r="X228" s="25"/>
      <c r="Y228" s="704"/>
      <c r="Z228"/>
      <c r="AA228" s="707"/>
      <c r="AB228" s="42"/>
      <c r="AC228" s="17"/>
      <c r="AD228" s="17"/>
      <c r="AE228" s="17"/>
      <c r="AF228" s="17"/>
      <c r="AG228" s="17"/>
      <c r="AH228" s="17"/>
      <c r="AI228" s="17"/>
      <c r="AJ228" s="17"/>
      <c r="AK228" s="17"/>
      <c r="AL228" s="17"/>
      <c r="AM228" s="17"/>
      <c r="AN228" s="17"/>
      <c r="AO228" s="17"/>
      <c r="AP228"/>
      <c r="AQ228"/>
      <c r="AR228"/>
      <c r="AS228"/>
      <c r="AX228"/>
      <c r="AY228"/>
    </row>
    <row r="229" spans="1:51" s="133" customFormat="1" x14ac:dyDescent="0.2">
      <c r="A229" s="20"/>
      <c r="B229" s="23" t="s">
        <v>3213</v>
      </c>
      <c r="C229" s="23"/>
      <c r="D229" s="23"/>
      <c r="E229" s="23"/>
      <c r="F229" s="691"/>
      <c r="G229" s="23"/>
      <c r="H229" s="691"/>
      <c r="I229" s="93" t="s">
        <v>3500</v>
      </c>
      <c r="J229" s="103"/>
      <c r="K229" s="103"/>
      <c r="L229" s="1629" t="s">
        <v>3794</v>
      </c>
      <c r="M229" s="371"/>
      <c r="N229" s="96"/>
      <c r="O229" s="238"/>
      <c r="P229" s="96"/>
      <c r="Q229" s="96"/>
      <c r="R229" s="96"/>
      <c r="S229" s="96"/>
      <c r="T229" s="96"/>
      <c r="U229" s="96"/>
      <c r="V229" s="96"/>
      <c r="W229" s="96"/>
      <c r="X229" s="114"/>
      <c r="Y229" s="704"/>
      <c r="Z229"/>
      <c r="AA229" s="707"/>
      <c r="AB229" s="42"/>
      <c r="AC229" s="17"/>
      <c r="AD229" s="17"/>
      <c r="AE229" s="17"/>
      <c r="AF229" s="17"/>
      <c r="AG229" s="17"/>
      <c r="AH229" s="17"/>
      <c r="AI229" s="17"/>
      <c r="AJ229" s="17"/>
      <c r="AK229" s="17"/>
      <c r="AL229" s="17"/>
      <c r="AM229" s="17"/>
      <c r="AN229" s="17"/>
      <c r="AO229" s="17"/>
      <c r="AP229"/>
      <c r="AQ229"/>
      <c r="AR229"/>
      <c r="AS229"/>
      <c r="AX229"/>
      <c r="AY229"/>
    </row>
    <row r="230" spans="1:51" s="133" customFormat="1" x14ac:dyDescent="0.2">
      <c r="A230" s="20"/>
      <c r="B230" s="23" t="s">
        <v>3213</v>
      </c>
      <c r="C230" s="23"/>
      <c r="D230" s="23"/>
      <c r="E230" s="23"/>
      <c r="F230" s="691"/>
      <c r="G230" s="23"/>
      <c r="H230" s="691"/>
      <c r="I230" s="103"/>
      <c r="J230" s="103"/>
      <c r="K230" s="103"/>
      <c r="L230" s="1629"/>
      <c r="M230" s="371"/>
      <c r="N230" s="96"/>
      <c r="O230" s="238"/>
      <c r="P230" s="96"/>
      <c r="Q230" s="96"/>
      <c r="R230" s="96"/>
      <c r="S230" s="96"/>
      <c r="T230" s="96"/>
      <c r="U230" s="96"/>
      <c r="V230" s="96"/>
      <c r="W230" s="96"/>
      <c r="X230" s="114"/>
      <c r="Y230" s="704"/>
      <c r="Z230"/>
      <c r="AA230" s="707"/>
      <c r="AB230" s="42"/>
      <c r="AC230" s="17"/>
      <c r="AD230" s="17"/>
      <c r="AE230" s="17"/>
      <c r="AF230" s="17"/>
      <c r="AG230" s="17"/>
      <c r="AH230" s="17"/>
      <c r="AI230" s="17"/>
      <c r="AJ230" s="17"/>
      <c r="AK230" s="17"/>
      <c r="AL230" s="17"/>
      <c r="AM230" s="17"/>
      <c r="AN230" s="17"/>
      <c r="AO230" s="17"/>
      <c r="AP230"/>
      <c r="AQ230"/>
      <c r="AR230"/>
      <c r="AS230"/>
      <c r="AX230" s="123"/>
      <c r="AY230" s="123"/>
    </row>
    <row r="231" spans="1:51" s="133" customFormat="1" ht="16" thickBot="1" x14ac:dyDescent="0.25">
      <c r="A231" s="20"/>
      <c r="B231" s="23" t="s">
        <v>3213</v>
      </c>
      <c r="C231" s="23"/>
      <c r="D231" s="23"/>
      <c r="E231" s="23"/>
      <c r="F231" s="691"/>
      <c r="G231" s="23"/>
      <c r="H231" s="691"/>
      <c r="I231" s="104"/>
      <c r="J231" s="104"/>
      <c r="K231" s="104"/>
      <c r="L231" s="1630"/>
      <c r="M231" s="375"/>
      <c r="N231" s="100"/>
      <c r="O231" s="240"/>
      <c r="P231" s="100"/>
      <c r="Q231" s="100"/>
      <c r="R231" s="100"/>
      <c r="S231" s="100"/>
      <c r="T231" s="100"/>
      <c r="U231" s="100"/>
      <c r="V231" s="100"/>
      <c r="W231" s="100"/>
      <c r="X231" s="113"/>
      <c r="Y231" s="704"/>
      <c r="Z231"/>
      <c r="AA231" s="707"/>
      <c r="AB231" s="42"/>
      <c r="AC231" s="17"/>
      <c r="AD231" s="17"/>
      <c r="AE231" s="17"/>
      <c r="AF231" s="17"/>
      <c r="AG231" s="17"/>
      <c r="AH231" s="17"/>
      <c r="AI231" s="17"/>
      <c r="AJ231" s="17"/>
      <c r="AK231" s="17"/>
      <c r="AL231" s="17"/>
      <c r="AM231" s="17"/>
      <c r="AN231" s="17"/>
      <c r="AO231" s="17"/>
      <c r="AP231"/>
      <c r="AQ231"/>
      <c r="AR231"/>
      <c r="AS231"/>
      <c r="AT231"/>
    </row>
    <row r="232" spans="1:51" s="133" customFormat="1" ht="16" thickTop="1" x14ac:dyDescent="0.2">
      <c r="A232" s="20"/>
      <c r="B232" s="23" t="s">
        <v>418</v>
      </c>
      <c r="C232" s="23"/>
      <c r="D232" s="23"/>
      <c r="E232" s="23"/>
      <c r="F232" s="691"/>
      <c r="G232" s="23"/>
      <c r="H232" s="691"/>
      <c r="I232" s="89" t="s">
        <v>3501</v>
      </c>
      <c r="J232" s="92"/>
      <c r="K232" s="92"/>
      <c r="L232" s="1631" t="s">
        <v>3517</v>
      </c>
      <c r="M232" s="374"/>
      <c r="N232" s="42"/>
      <c r="O232" s="138"/>
      <c r="P232" s="332"/>
      <c r="Q232" s="332"/>
      <c r="R232"/>
      <c r="S232"/>
      <c r="T232"/>
      <c r="U232"/>
      <c r="V232" s="17"/>
      <c r="W232" s="17"/>
      <c r="X232"/>
      <c r="Y232" s="704"/>
      <c r="Z232"/>
      <c r="AA232" s="707"/>
      <c r="AB232" s="42"/>
      <c r="AC232" s="17"/>
      <c r="AD232" s="17"/>
      <c r="AE232" s="17"/>
      <c r="AF232" s="17"/>
      <c r="AG232" s="17"/>
      <c r="AH232" s="17"/>
      <c r="AI232" s="17"/>
      <c r="AJ232" s="17"/>
      <c r="AK232" s="17"/>
      <c r="AL232" s="17"/>
      <c r="AM232" s="17"/>
      <c r="AN232" s="17"/>
      <c r="AO232" s="17"/>
      <c r="AP232"/>
      <c r="AQ232"/>
      <c r="AR232"/>
      <c r="AS232"/>
      <c r="AT232"/>
    </row>
    <row r="233" spans="1:51" x14ac:dyDescent="0.2">
      <c r="B233" s="23" t="s">
        <v>418</v>
      </c>
      <c r="C233" s="23"/>
      <c r="D233" s="23"/>
      <c r="E233" s="23"/>
      <c r="F233" s="691"/>
      <c r="G233" s="23"/>
      <c r="H233" s="691"/>
      <c r="I233" s="92"/>
      <c r="J233" s="92"/>
      <c r="K233" s="92"/>
      <c r="L233" s="1631"/>
      <c r="M233" s="374"/>
      <c r="O233" s="138"/>
      <c r="P233" s="332"/>
      <c r="Q233" s="332"/>
      <c r="X233"/>
      <c r="AX233" s="133"/>
      <c r="AY233" s="133"/>
    </row>
    <row r="234" spans="1:51" x14ac:dyDescent="0.2">
      <c r="B234" s="23" t="s">
        <v>418</v>
      </c>
      <c r="C234" s="23" t="s">
        <v>254</v>
      </c>
      <c r="D234" s="23"/>
      <c r="E234" s="23"/>
      <c r="F234" s="691"/>
      <c r="G234" s="23"/>
      <c r="H234" s="691"/>
      <c r="I234" s="92"/>
      <c r="J234" s="93" t="s">
        <v>254</v>
      </c>
      <c r="K234" s="103"/>
      <c r="L234" s="1609" t="s">
        <v>419</v>
      </c>
      <c r="M234" s="1623">
        <v>5</v>
      </c>
      <c r="N234" s="96"/>
      <c r="O234" s="1619">
        <f>M234*S234*W234</f>
        <v>0</v>
      </c>
      <c r="P234" s="332" t="b">
        <v>0</v>
      </c>
      <c r="Q234" s="332" t="b">
        <v>1</v>
      </c>
      <c r="R234" s="66" t="b">
        <v>0</v>
      </c>
      <c r="S234" s="66" t="b">
        <v>1</v>
      </c>
      <c r="T234" s="66" t="b">
        <v>0</v>
      </c>
      <c r="W234" s="27"/>
      <c r="X234" s="1621"/>
      <c r="AL234" s="1352" t="str">
        <f>SUBSTITUTE(SUBSTITUTE(SUBSTITUTE("dpa"&amp;$B234&amp;$C234&amp;$D234&amp;$E234&amp;$F234,".","_"),"(","_"),")","")</f>
        <v>dpa505_1_1</v>
      </c>
      <c r="AM234" s="1352">
        <f>M234</f>
        <v>5</v>
      </c>
      <c r="AN234" s="1352" t="str">
        <f>SUBSTITUTE(SUBSTITUTE(SUBSTITUTE("dpc"&amp;$B234&amp;$C234&amp;$D234&amp;$E234&amp;$F234,".","_"),"(","_"),")","")</f>
        <v>dpc505_1_1</v>
      </c>
      <c r="AO234" s="1352">
        <f>O234</f>
        <v>0</v>
      </c>
      <c r="AP234" s="1352" t="str">
        <f>SUBSTITUTE(SUBSTITUTE(SUBSTITUTE("dch"&amp;$B234&amp;$C234&amp;$D234&amp;$E234&amp;$F234,".","_"),"(","_"),")","")</f>
        <v>dch505_1_1</v>
      </c>
      <c r="AQ234" s="1352" t="str">
        <f>IF(LEN(W234)=0,"",W234)</f>
        <v/>
      </c>
      <c r="AR234" s="1352" t="str">
        <f>SUBSTITUTE(SUBSTITUTE(SUBSTITUTE("dnt"&amp;$B234&amp;$C234&amp;$D234&amp;$E234&amp;$F234,".","_"),"(","_"),")","")</f>
        <v>dnt505_1_1</v>
      </c>
      <c r="AS234" s="1352" t="str">
        <f>IF(LEN(X234)=0,"",X234)</f>
        <v/>
      </c>
      <c r="AX234" s="133"/>
      <c r="AY234" s="133"/>
    </row>
    <row r="235" spans="1:51" x14ac:dyDescent="0.2">
      <c r="B235" s="23" t="s">
        <v>418</v>
      </c>
      <c r="C235" s="23" t="s">
        <v>254</v>
      </c>
      <c r="D235" s="23"/>
      <c r="E235" s="23"/>
      <c r="F235" s="691"/>
      <c r="G235" s="23"/>
      <c r="H235" s="691"/>
      <c r="I235" s="92"/>
      <c r="J235" s="169"/>
      <c r="K235" s="172"/>
      <c r="L235" s="1612"/>
      <c r="M235" s="1624"/>
      <c r="N235" s="173"/>
      <c r="O235" s="1620"/>
      <c r="P235" s="332"/>
      <c r="Q235" s="332"/>
      <c r="X235" s="1599"/>
    </row>
    <row r="236" spans="1:51" x14ac:dyDescent="0.2">
      <c r="B236" s="23" t="s">
        <v>418</v>
      </c>
      <c r="C236" s="23" t="s">
        <v>255</v>
      </c>
      <c r="D236" s="23"/>
      <c r="E236" s="23"/>
      <c r="F236" s="691"/>
      <c r="G236" s="23"/>
      <c r="H236" s="691"/>
      <c r="I236" s="92"/>
      <c r="J236" s="169" t="s">
        <v>255</v>
      </c>
      <c r="K236" s="172"/>
      <c r="L236" s="170" t="s">
        <v>420</v>
      </c>
      <c r="M236" s="373">
        <v>5</v>
      </c>
      <c r="N236" s="173"/>
      <c r="O236" s="422">
        <f ca="1">M236*S236*W236</f>
        <v>0</v>
      </c>
      <c r="P236" s="332" t="b">
        <v>0</v>
      </c>
      <c r="Q236" s="332" t="b">
        <v>1</v>
      </c>
      <c r="R236" s="66" t="b">
        <v>0</v>
      </c>
      <c r="S236" s="66" t="b">
        <f ca="1">IF($AY$19=INDEX(INDIRECT("ddSingleOrMulti"),2),TRUE,FALSE)</f>
        <v>1</v>
      </c>
      <c r="T236" s="96" t="b">
        <f ca="1">AND(NOT(S236),W236=TRUE)</f>
        <v>0</v>
      </c>
      <c r="W236" s="27"/>
      <c r="X236" s="276"/>
      <c r="AC236" s="78" t="b">
        <f ca="1">OR(AD236:AE236)</f>
        <v>0</v>
      </c>
      <c r="AD236" s="78" t="b">
        <f ca="1">T236</f>
        <v>0</v>
      </c>
      <c r="AL236" s="1352" t="str">
        <f>SUBSTITUTE(SUBSTITUTE(SUBSTITUTE("dpa"&amp;$B236&amp;$C236&amp;$D236&amp;$E236&amp;$F236,".","_"),"(","_"),")","")</f>
        <v>dpa505_1_2</v>
      </c>
      <c r="AM236" s="1352">
        <f>M236</f>
        <v>5</v>
      </c>
      <c r="AN236" s="1352" t="str">
        <f>SUBSTITUTE(SUBSTITUTE(SUBSTITUTE("dpc"&amp;$B236&amp;$C236&amp;$D236&amp;$E236&amp;$F236,".","_"),"(","_"),")","")</f>
        <v>dpc505_1_2</v>
      </c>
      <c r="AO236" s="1352">
        <f ca="1">O236</f>
        <v>0</v>
      </c>
      <c r="AP236" s="1352" t="str">
        <f>SUBSTITUTE(SUBSTITUTE(SUBSTITUTE("dch"&amp;$B236&amp;$C236&amp;$D236&amp;$E236&amp;$F236,".","_"),"(","_"),")","")</f>
        <v>dch505_1_2</v>
      </c>
      <c r="AQ236" s="1352" t="str">
        <f>IF(LEN(W236)=0,"",W236)</f>
        <v/>
      </c>
      <c r="AR236" s="1352" t="str">
        <f>SUBSTITUTE(SUBSTITUTE(SUBSTITUTE("dnt"&amp;$B236&amp;$C236&amp;$D236&amp;$E236&amp;$F236,".","_"),"(","_"),")","")</f>
        <v>dnt505_1_2</v>
      </c>
      <c r="AS236" s="1352" t="str">
        <f>IF(LEN(X236)=0,"",X236)</f>
        <v/>
      </c>
    </row>
    <row r="237" spans="1:51" x14ac:dyDescent="0.2">
      <c r="B237" s="23" t="s">
        <v>418</v>
      </c>
      <c r="C237" s="23" t="s">
        <v>256</v>
      </c>
      <c r="D237" s="23"/>
      <c r="E237" s="23"/>
      <c r="F237" s="691"/>
      <c r="G237" s="23"/>
      <c r="H237" s="691"/>
      <c r="I237" s="103"/>
      <c r="J237" s="93" t="s">
        <v>256</v>
      </c>
      <c r="K237" s="103"/>
      <c r="L237" s="97" t="s">
        <v>421</v>
      </c>
      <c r="M237" s="832"/>
      <c r="N237" s="96"/>
      <c r="O237" s="828">
        <f ca="1">S237*IFERROR(INDEX({4,5,6},MATCH(W237,INDIRECT(U237),0)),0)</f>
        <v>0</v>
      </c>
      <c r="P237" s="96" t="b">
        <v>0</v>
      </c>
      <c r="Q237" s="96" t="b">
        <v>1</v>
      </c>
      <c r="R237" s="96" t="b">
        <v>0</v>
      </c>
      <c r="S237" s="96" t="b">
        <v>1</v>
      </c>
      <c r="T237" s="96" t="b">
        <v>0</v>
      </c>
      <c r="U237" s="96" t="str">
        <f>SUBSTITUTE(SUBSTITUTE(SUBSTITUTE("dd"&amp;B237&amp;C237&amp;D237&amp;E237&amp;F237,".","_"),"(","_"),")","")</f>
        <v>dd505_1_3</v>
      </c>
      <c r="V237" s="96"/>
      <c r="W237" s="110"/>
      <c r="X237" s="1621"/>
      <c r="AN237" s="1352" t="str">
        <f>SUBSTITUTE(SUBSTITUTE(SUBSTITUTE("dpc"&amp;$B237&amp;$C237&amp;$D237&amp;$E237&amp;$F237,".","_"),"(","_"),")","")</f>
        <v>dpc505_1_3</v>
      </c>
      <c r="AO237" s="1352">
        <f ca="1">O237</f>
        <v>0</v>
      </c>
      <c r="AP237" s="1352" t="str">
        <f>SUBSTITUTE(SUBSTITUTE(SUBSTITUTE("dch"&amp;$B237&amp;$C237&amp;$D237&amp;$E237&amp;$F237,".","_"),"(","_"),")","")</f>
        <v>dch505_1_3</v>
      </c>
      <c r="AQ237" s="1352" t="str">
        <f>IF(LEN(W237)=0,"",W237)</f>
        <v/>
      </c>
      <c r="AR237" s="1352" t="str">
        <f>SUBSTITUTE(SUBSTITUTE(SUBSTITUTE("dnt"&amp;$B237&amp;$C237&amp;$D237&amp;$E237&amp;$F237,".","_"),"(","_"),")","")</f>
        <v>dnt505_1_3</v>
      </c>
      <c r="AS237" s="1352" t="str">
        <f>IF(LEN(X237)=0,"",X237)</f>
        <v/>
      </c>
    </row>
    <row r="238" spans="1:51" x14ac:dyDescent="0.2">
      <c r="B238" s="23" t="s">
        <v>418</v>
      </c>
      <c r="C238" s="23" t="s">
        <v>256</v>
      </c>
      <c r="D238" s="20" t="s">
        <v>121</v>
      </c>
      <c r="F238" s="693"/>
      <c r="H238" s="693"/>
      <c r="I238" s="866"/>
      <c r="J238" s="103"/>
      <c r="K238" s="93" t="s">
        <v>121</v>
      </c>
      <c r="L238" s="97" t="s">
        <v>422</v>
      </c>
      <c r="M238" s="832">
        <v>4</v>
      </c>
      <c r="N238" s="96"/>
      <c r="O238" s="828"/>
      <c r="P238" s="96"/>
      <c r="Q238" s="96"/>
      <c r="R238" s="96" t="b">
        <v>0</v>
      </c>
      <c r="S238" s="96" t="b">
        <v>1</v>
      </c>
      <c r="T238" s="96" t="b">
        <v>0</v>
      </c>
      <c r="U238" s="96"/>
      <c r="V238" s="96"/>
      <c r="W238" s="96"/>
      <c r="X238" s="1632"/>
      <c r="AL238" s="1352" t="str">
        <f>SUBSTITUTE(SUBSTITUTE(SUBSTITUTE("dpa"&amp;$B238&amp;$C238&amp;$D238&amp;$E238&amp;$F238,".","_"),"(","_"),")","")</f>
        <v>dpa505_1_3_a</v>
      </c>
      <c r="AM238" s="1352">
        <f>M238</f>
        <v>4</v>
      </c>
    </row>
    <row r="239" spans="1:51" x14ac:dyDescent="0.2">
      <c r="B239" s="23" t="s">
        <v>418</v>
      </c>
      <c r="C239" s="23" t="s">
        <v>256</v>
      </c>
      <c r="D239" s="20" t="s">
        <v>122</v>
      </c>
      <c r="F239" s="693"/>
      <c r="H239" s="693"/>
      <c r="I239" s="866"/>
      <c r="J239" s="103"/>
      <c r="K239" s="93" t="s">
        <v>122</v>
      </c>
      <c r="L239" s="97" t="s">
        <v>423</v>
      </c>
      <c r="M239" s="832">
        <v>5</v>
      </c>
      <c r="N239" s="96"/>
      <c r="O239" s="828"/>
      <c r="P239" s="96"/>
      <c r="Q239" s="96"/>
      <c r="R239" s="96" t="b">
        <v>0</v>
      </c>
      <c r="S239" s="96" t="b">
        <v>1</v>
      </c>
      <c r="T239" s="96" t="b">
        <v>0</v>
      </c>
      <c r="U239" s="96"/>
      <c r="V239" s="96"/>
      <c r="W239" s="96"/>
      <c r="X239" s="1632"/>
      <c r="AL239" s="1352" t="str">
        <f>SUBSTITUTE(SUBSTITUTE(SUBSTITUTE("dpa"&amp;$B239&amp;$C239&amp;$D239&amp;$E239&amp;$F239,".","_"),"(","_"),")","")</f>
        <v>dpa505_1_3_b</v>
      </c>
      <c r="AM239" s="1352">
        <f>M239</f>
        <v>5</v>
      </c>
    </row>
    <row r="240" spans="1:51" ht="16" thickBot="1" x14ac:dyDescent="0.25">
      <c r="B240" s="23" t="s">
        <v>418</v>
      </c>
      <c r="C240" s="23" t="s">
        <v>256</v>
      </c>
      <c r="D240" s="20" t="s">
        <v>123</v>
      </c>
      <c r="F240" s="693"/>
      <c r="H240" s="693"/>
      <c r="I240" s="116"/>
      <c r="J240" s="104"/>
      <c r="K240" s="112" t="s">
        <v>123</v>
      </c>
      <c r="L240" s="99" t="s">
        <v>359</v>
      </c>
      <c r="M240" s="835">
        <v>6</v>
      </c>
      <c r="N240" s="100"/>
      <c r="O240" s="838"/>
      <c r="P240" s="100"/>
      <c r="Q240" s="100"/>
      <c r="R240" s="100" t="b">
        <v>0</v>
      </c>
      <c r="S240" s="100" t="b">
        <v>1</v>
      </c>
      <c r="T240" s="100" t="b">
        <v>0</v>
      </c>
      <c r="U240" s="100"/>
      <c r="V240" s="100"/>
      <c r="W240" s="100"/>
      <c r="X240" s="1648"/>
      <c r="AL240" s="1352" t="str">
        <f>SUBSTITUTE(SUBSTITUTE(SUBSTITUTE("dpa"&amp;$B240&amp;$C240&amp;$D240&amp;$E240&amp;$F240,".","_"),"(","_"),")","")</f>
        <v>dpa505_1_3_c</v>
      </c>
      <c r="AM240" s="1352">
        <f>M240</f>
        <v>6</v>
      </c>
    </row>
    <row r="241" spans="2:45" ht="16" thickTop="1" x14ac:dyDescent="0.2">
      <c r="B241" s="23" t="s">
        <v>424</v>
      </c>
      <c r="C241" s="23"/>
      <c r="D241" s="23"/>
      <c r="E241" s="23"/>
      <c r="F241" s="691"/>
      <c r="G241" s="23"/>
      <c r="H241" s="691"/>
      <c r="I241" s="89" t="s">
        <v>3502</v>
      </c>
      <c r="J241" s="92"/>
      <c r="K241" s="92"/>
      <c r="L241" s="87" t="s">
        <v>3795</v>
      </c>
      <c r="M241" s="374"/>
      <c r="O241" s="138"/>
      <c r="P241" s="332"/>
      <c r="Q241" s="332"/>
      <c r="X241"/>
    </row>
    <row r="242" spans="2:45" x14ac:dyDescent="0.2">
      <c r="B242" s="23" t="s">
        <v>424</v>
      </c>
      <c r="C242" s="23" t="s">
        <v>254</v>
      </c>
      <c r="D242" s="23"/>
      <c r="E242" s="23"/>
      <c r="F242" s="691"/>
      <c r="G242" s="23"/>
      <c r="H242" s="691"/>
      <c r="I242" s="92"/>
      <c r="J242" s="89" t="s">
        <v>254</v>
      </c>
      <c r="K242" s="92"/>
      <c r="L242" s="1611" t="s">
        <v>425</v>
      </c>
      <c r="M242" s="1628">
        <v>5</v>
      </c>
      <c r="O242" s="1669">
        <f>M242*MIN(1,W244+W247+W251)</f>
        <v>0</v>
      </c>
      <c r="P242" s="332"/>
      <c r="Q242" s="332"/>
      <c r="R242" s="66" t="b">
        <v>0</v>
      </c>
      <c r="S242" s="66" t="b">
        <v>1</v>
      </c>
      <c r="T242" s="66" t="b">
        <v>0</v>
      </c>
      <c r="X242" s="1621"/>
      <c r="AL242" s="1352" t="str">
        <f>SUBSTITUTE(SUBSTITUTE(SUBSTITUTE("dpa"&amp;$B242&amp;$C242&amp;$D242&amp;$E242&amp;$F242,".","_"),"(","_"),")","")</f>
        <v>dpa505_2_1</v>
      </c>
      <c r="AM242" s="1352">
        <f>M242</f>
        <v>5</v>
      </c>
      <c r="AN242" s="1352" t="str">
        <f>SUBSTITUTE(SUBSTITUTE(SUBSTITUTE("dpc"&amp;$B242&amp;$C242&amp;$D242&amp;$E242&amp;$F242,".","_"),"(","_"),")","")</f>
        <v>dpc505_2_1</v>
      </c>
      <c r="AO242" s="1352">
        <f>O242</f>
        <v>0</v>
      </c>
      <c r="AR242" s="1352" t="str">
        <f>SUBSTITUTE(SUBSTITUTE(SUBSTITUTE("dnt"&amp;$B242&amp;$C242&amp;$D242&amp;$E242&amp;$F242,".","_"),"(","_"),")","")</f>
        <v>dnt505_2_1</v>
      </c>
      <c r="AS242" s="1352" t="str">
        <f>IF(LEN(X242)=0,"",X242)</f>
        <v/>
      </c>
    </row>
    <row r="243" spans="2:45" x14ac:dyDescent="0.2">
      <c r="B243" s="23" t="s">
        <v>424</v>
      </c>
      <c r="C243" s="23" t="s">
        <v>254</v>
      </c>
      <c r="D243" s="23"/>
      <c r="E243" s="23"/>
      <c r="F243" s="691"/>
      <c r="G243" s="23"/>
      <c r="H243" s="691"/>
      <c r="I243" s="92"/>
      <c r="J243" s="92"/>
      <c r="K243" s="92"/>
      <c r="L243" s="1611"/>
      <c r="M243" s="1628"/>
      <c r="O243" s="1669"/>
      <c r="P243" s="332"/>
      <c r="Q243" s="332"/>
      <c r="X243" s="1632"/>
    </row>
    <row r="244" spans="2:45" x14ac:dyDescent="0.2">
      <c r="B244" s="23" t="s">
        <v>424</v>
      </c>
      <c r="C244" s="23" t="s">
        <v>254</v>
      </c>
      <c r="D244" s="20" t="s">
        <v>121</v>
      </c>
      <c r="F244" s="693"/>
      <c r="H244" s="693"/>
      <c r="I244" s="88"/>
      <c r="J244" s="92"/>
      <c r="K244" s="89" t="s">
        <v>121</v>
      </c>
      <c r="L244" s="1611" t="s">
        <v>426</v>
      </c>
      <c r="M244" s="374"/>
      <c r="O244" s="138"/>
      <c r="P244" s="332" t="b">
        <v>0</v>
      </c>
      <c r="Q244" s="332" t="b">
        <v>1</v>
      </c>
      <c r="R244" s="66" t="b">
        <v>0</v>
      </c>
      <c r="S244" s="66" t="b">
        <v>1</v>
      </c>
      <c r="T244" s="66" t="b">
        <v>0</v>
      </c>
      <c r="W244" s="27"/>
      <c r="X244" s="1632"/>
      <c r="AP244" s="1352" t="str">
        <f>SUBSTITUTE(SUBSTITUTE(SUBSTITUTE("dch"&amp;$B244&amp;$C244&amp;$D244&amp;$E244&amp;$F244,".","_"),"(","_"),")","")</f>
        <v>dch505_2_1_a</v>
      </c>
      <c r="AQ244" s="1352" t="str">
        <f>IF(LEN(W244)=0,"",W244)</f>
        <v/>
      </c>
    </row>
    <row r="245" spans="2:45" x14ac:dyDescent="0.2">
      <c r="B245" s="23" t="s">
        <v>424</v>
      </c>
      <c r="C245" s="23" t="s">
        <v>254</v>
      </c>
      <c r="D245" s="20" t="s">
        <v>121</v>
      </c>
      <c r="F245" s="693"/>
      <c r="H245" s="693"/>
      <c r="I245" s="88"/>
      <c r="J245" s="92"/>
      <c r="K245" s="92"/>
      <c r="L245" s="1611"/>
      <c r="M245" s="374"/>
      <c r="O245" s="138"/>
      <c r="P245" s="332"/>
      <c r="Q245" s="332"/>
      <c r="X245" s="1632"/>
    </row>
    <row r="246" spans="2:45" x14ac:dyDescent="0.2">
      <c r="B246" s="23" t="s">
        <v>424</v>
      </c>
      <c r="C246" s="23" t="s">
        <v>254</v>
      </c>
      <c r="D246" s="20" t="s">
        <v>121</v>
      </c>
      <c r="F246" s="693"/>
      <c r="H246" s="693"/>
      <c r="I246" s="88"/>
      <c r="J246" s="92"/>
      <c r="K246" s="92"/>
      <c r="L246" s="1611"/>
      <c r="M246" s="374"/>
      <c r="O246" s="138"/>
      <c r="P246" s="332"/>
      <c r="Q246" s="332"/>
      <c r="X246" s="1632"/>
    </row>
    <row r="247" spans="2:45" x14ac:dyDescent="0.2">
      <c r="B247" s="23" t="s">
        <v>424</v>
      </c>
      <c r="C247" s="23" t="s">
        <v>254</v>
      </c>
      <c r="D247" s="20" t="s">
        <v>122</v>
      </c>
      <c r="F247" s="693"/>
      <c r="H247" s="693"/>
      <c r="I247" s="88"/>
      <c r="J247" s="92"/>
      <c r="K247" s="89" t="s">
        <v>122</v>
      </c>
      <c r="L247" s="1611" t="s">
        <v>427</v>
      </c>
      <c r="M247" s="374"/>
      <c r="O247" s="138"/>
      <c r="P247" s="332" t="b">
        <v>0</v>
      </c>
      <c r="Q247" s="332" t="b">
        <v>1</v>
      </c>
      <c r="R247" s="66" t="b">
        <v>0</v>
      </c>
      <c r="S247" s="66" t="b">
        <v>1</v>
      </c>
      <c r="T247" s="66" t="b">
        <v>0</v>
      </c>
      <c r="W247" s="27"/>
      <c r="X247" s="1632"/>
      <c r="AP247" s="1352" t="str">
        <f>SUBSTITUTE(SUBSTITUTE(SUBSTITUTE("dch"&amp;$B247&amp;$C247&amp;$D247&amp;$E247&amp;$F247,".","_"),"(","_"),")","")</f>
        <v>dch505_2_1_b</v>
      </c>
      <c r="AQ247" s="1352" t="str">
        <f>IF(LEN(W247)=0,"",W247)</f>
        <v/>
      </c>
    </row>
    <row r="248" spans="2:45" x14ac:dyDescent="0.2">
      <c r="B248" s="23" t="s">
        <v>424</v>
      </c>
      <c r="C248" s="23" t="s">
        <v>254</v>
      </c>
      <c r="D248" s="20" t="s">
        <v>122</v>
      </c>
      <c r="F248" s="693"/>
      <c r="H248" s="693"/>
      <c r="I248" s="88"/>
      <c r="J248" s="92"/>
      <c r="K248" s="92"/>
      <c r="L248" s="1611"/>
      <c r="M248" s="374"/>
      <c r="O248" s="138"/>
      <c r="P248" s="332"/>
      <c r="Q248" s="332"/>
      <c r="X248" s="1632"/>
    </row>
    <row r="249" spans="2:45" x14ac:dyDescent="0.2">
      <c r="B249" s="23" t="s">
        <v>424</v>
      </c>
      <c r="C249" s="23" t="s">
        <v>254</v>
      </c>
      <c r="D249" s="20" t="s">
        <v>122</v>
      </c>
      <c r="F249" s="693"/>
      <c r="H249" s="693"/>
      <c r="I249" s="88"/>
      <c r="J249" s="92"/>
      <c r="K249" s="92"/>
      <c r="L249" s="1611"/>
      <c r="M249" s="374"/>
      <c r="O249" s="138"/>
      <c r="P249" s="332"/>
      <c r="Q249" s="332"/>
      <c r="X249" s="1632"/>
    </row>
    <row r="250" spans="2:45" x14ac:dyDescent="0.2">
      <c r="B250" s="23" t="s">
        <v>424</v>
      </c>
      <c r="C250" s="23" t="s">
        <v>254</v>
      </c>
      <c r="D250" s="20" t="s">
        <v>122</v>
      </c>
      <c r="F250" s="693"/>
      <c r="H250" s="693"/>
      <c r="I250" s="88"/>
      <c r="J250" s="92"/>
      <c r="K250" s="92"/>
      <c r="L250" s="1611"/>
      <c r="M250" s="374"/>
      <c r="O250" s="138"/>
      <c r="P250" s="332"/>
      <c r="Q250" s="332"/>
      <c r="X250" s="1632"/>
    </row>
    <row r="251" spans="2:45" x14ac:dyDescent="0.2">
      <c r="B251" s="23" t="s">
        <v>424</v>
      </c>
      <c r="C251" s="23" t="s">
        <v>254</v>
      </c>
      <c r="D251" s="20" t="s">
        <v>123</v>
      </c>
      <c r="F251" s="693"/>
      <c r="H251" s="693"/>
      <c r="I251" s="88"/>
      <c r="J251" s="172"/>
      <c r="K251" s="174" t="s">
        <v>123</v>
      </c>
      <c r="L251" s="170" t="s">
        <v>428</v>
      </c>
      <c r="M251" s="373"/>
      <c r="N251" s="173"/>
      <c r="O251" s="422"/>
      <c r="P251" s="332" t="b">
        <v>0</v>
      </c>
      <c r="Q251" s="332" t="b">
        <v>1</v>
      </c>
      <c r="R251" s="66" t="b">
        <v>0</v>
      </c>
      <c r="S251" s="66" t="b">
        <v>1</v>
      </c>
      <c r="T251" s="66" t="b">
        <v>0</v>
      </c>
      <c r="W251" s="27"/>
      <c r="X251" s="1599"/>
      <c r="AP251" s="1352" t="str">
        <f>SUBSTITUTE(SUBSTITUTE(SUBSTITUTE("dch"&amp;$B251&amp;$C251&amp;$D251&amp;$E251&amp;$F251,".","_"),"(","_"),")","")</f>
        <v>dch505_2_1_c</v>
      </c>
      <c r="AQ251" s="1352" t="str">
        <f>IF(LEN(W251)=0,"",W251)</f>
        <v/>
      </c>
    </row>
    <row r="252" spans="2:45" x14ac:dyDescent="0.2">
      <c r="B252" s="23" t="s">
        <v>424</v>
      </c>
      <c r="C252" s="23" t="s">
        <v>255</v>
      </c>
      <c r="D252" s="23"/>
      <c r="E252" s="23"/>
      <c r="F252" s="691"/>
      <c r="G252" s="23"/>
      <c r="H252" s="691"/>
      <c r="I252" s="103"/>
      <c r="J252" s="93" t="s">
        <v>255</v>
      </c>
      <c r="K252" s="103"/>
      <c r="L252" s="1609" t="s">
        <v>429</v>
      </c>
      <c r="M252" s="1623">
        <v>5</v>
      </c>
      <c r="N252" s="96"/>
      <c r="O252" s="1619">
        <f>M252*W252</f>
        <v>0</v>
      </c>
      <c r="P252" s="332" t="b">
        <v>0</v>
      </c>
      <c r="Q252" s="332" t="b">
        <v>1</v>
      </c>
      <c r="R252" s="96" t="b">
        <v>0</v>
      </c>
      <c r="S252" s="96" t="b">
        <v>1</v>
      </c>
      <c r="T252" s="96" t="b">
        <v>0</v>
      </c>
      <c r="U252" s="96"/>
      <c r="V252" s="96"/>
      <c r="W252" s="27"/>
      <c r="X252" s="1621"/>
      <c r="AL252" s="1352" t="str">
        <f>SUBSTITUTE(SUBSTITUTE(SUBSTITUTE("dpa"&amp;$B252&amp;$C252&amp;$D252&amp;$E252&amp;$F252,".","_"),"(","_"),")","")</f>
        <v>dpa505_2_2</v>
      </c>
      <c r="AM252" s="1352">
        <f>M252</f>
        <v>5</v>
      </c>
      <c r="AN252" s="1352" t="str">
        <f>SUBSTITUTE(SUBSTITUTE(SUBSTITUTE("dpc"&amp;$B252&amp;$C252&amp;$D252&amp;$E252&amp;$F252,".","_"),"(","_"),")","")</f>
        <v>dpc505_2_2</v>
      </c>
      <c r="AO252" s="1352">
        <f>O252</f>
        <v>0</v>
      </c>
      <c r="AP252" s="1352" t="str">
        <f>SUBSTITUTE(SUBSTITUTE(SUBSTITUTE("dch"&amp;$B252&amp;$C252&amp;$D252&amp;$E252&amp;$F252,".","_"),"(","_"),")","")</f>
        <v>dch505_2_2</v>
      </c>
      <c r="AQ252" s="1352" t="str">
        <f>IF(LEN(W252)=0,"",W252)</f>
        <v/>
      </c>
      <c r="AR252" s="1352" t="str">
        <f>SUBSTITUTE(SUBSTITUTE(SUBSTITUTE("dnt"&amp;$B252&amp;$C252&amp;$D252&amp;$E252&amp;$F252,".","_"),"(","_"),")","")</f>
        <v>dnt505_2_2</v>
      </c>
      <c r="AS252" s="1352" t="str">
        <f>IF(LEN(X252)=0,"",X252)</f>
        <v/>
      </c>
    </row>
    <row r="253" spans="2:45" x14ac:dyDescent="0.2">
      <c r="B253" s="23" t="s">
        <v>424</v>
      </c>
      <c r="C253" s="23" t="s">
        <v>255</v>
      </c>
      <c r="D253" s="23"/>
      <c r="E253" s="23"/>
      <c r="F253" s="691"/>
      <c r="G253" s="23"/>
      <c r="H253" s="691"/>
      <c r="I253" s="103"/>
      <c r="J253" s="103"/>
      <c r="K253" s="103"/>
      <c r="L253" s="1609"/>
      <c r="M253" s="1623"/>
      <c r="N253" s="96"/>
      <c r="O253" s="1619"/>
      <c r="P253" s="96"/>
      <c r="Q253" s="96"/>
      <c r="R253" s="96"/>
      <c r="S253" s="96"/>
      <c r="T253" s="96"/>
      <c r="U253" s="96"/>
      <c r="V253" s="96"/>
      <c r="W253" s="96"/>
      <c r="X253" s="1632"/>
    </row>
    <row r="254" spans="2:45" ht="16" thickBot="1" x14ac:dyDescent="0.25">
      <c r="B254" s="23" t="s">
        <v>424</v>
      </c>
      <c r="C254" s="23" t="s">
        <v>255</v>
      </c>
      <c r="D254" s="23"/>
      <c r="E254" s="23"/>
      <c r="F254" s="691"/>
      <c r="G254" s="23"/>
      <c r="H254" s="691"/>
      <c r="I254" s="104"/>
      <c r="J254" s="104"/>
      <c r="K254" s="104"/>
      <c r="L254" s="1610"/>
      <c r="M254" s="1627"/>
      <c r="N254" s="100"/>
      <c r="O254" s="1638"/>
      <c r="P254" s="100"/>
      <c r="Q254" s="100"/>
      <c r="R254" s="100"/>
      <c r="S254" s="100"/>
      <c r="T254" s="100"/>
      <c r="U254" s="100"/>
      <c r="V254" s="100"/>
      <c r="W254" s="100"/>
      <c r="X254" s="1648"/>
    </row>
    <row r="255" spans="2:45" ht="16" thickTop="1" x14ac:dyDescent="0.2">
      <c r="B255" s="23" t="s">
        <v>430</v>
      </c>
      <c r="C255" s="23"/>
      <c r="D255" s="23"/>
      <c r="E255" s="23"/>
      <c r="F255" s="691"/>
      <c r="G255" s="23"/>
      <c r="H255" s="691"/>
      <c r="I255" s="89" t="s">
        <v>3503</v>
      </c>
      <c r="J255" s="92"/>
      <c r="K255" s="92"/>
      <c r="L255" s="87" t="s">
        <v>3518</v>
      </c>
      <c r="M255" s="374"/>
      <c r="O255" s="138">
        <f ca="1">S255*IFERROR(INDEX({4,5,6,7,8},MATCH(W255,INDIRECT(U255),0)),0)</f>
        <v>7</v>
      </c>
      <c r="P255" s="332" t="b">
        <v>1</v>
      </c>
      <c r="Q255" s="332" t="b">
        <v>1</v>
      </c>
      <c r="R255" s="66" t="b">
        <v>0</v>
      </c>
      <c r="S255" s="66" t="b">
        <v>1</v>
      </c>
      <c r="T255" s="66" t="b">
        <v>0</v>
      </c>
      <c r="U255" s="66" t="str">
        <f>SUBSTITUTE(SUBSTITUTE(SUBSTITUTE("dd"&amp;B255&amp;C255&amp;D255&amp;E255&amp;F255,".","_"),"(","_"),")","")</f>
        <v>dd505_3</v>
      </c>
      <c r="W255" s="12" t="s">
        <v>259</v>
      </c>
      <c r="X255" s="1603" t="s">
        <v>5647</v>
      </c>
      <c r="AN255" s="1352" t="str">
        <f>SUBSTITUTE(SUBSTITUTE(SUBSTITUTE("dpc"&amp;$B255&amp;$C255&amp;$D255&amp;$E255&amp;$F255,".","_"),"(","_"),")","")</f>
        <v>dpc505_3</v>
      </c>
      <c r="AO255" s="1352">
        <f ca="1">O255</f>
        <v>7</v>
      </c>
      <c r="AP255" s="1352" t="str">
        <f>SUBSTITUTE(SUBSTITUTE(SUBSTITUTE("dch"&amp;$B255&amp;$C255&amp;$D255&amp;$E255&amp;$F255,".","_"),"(","_"),")","")</f>
        <v>dch505_3</v>
      </c>
      <c r="AQ255" s="1352" t="str">
        <f>IF(LEN(W255)=0,"",W255)</f>
        <v>(4)</v>
      </c>
      <c r="AR255" s="1352" t="str">
        <f>SUBSTITUTE(SUBSTITUTE(SUBSTITUTE("dnt"&amp;$B255&amp;$C255&amp;$D255&amp;$E255&amp;$F255,".","_"),"(","_"),")","")</f>
        <v>dnt505_3</v>
      </c>
      <c r="AS255" s="1352" t="str">
        <f>IF(LEN(X255)=0,"",X255)</f>
        <v>42 units per acre</v>
      </c>
    </row>
    <row r="256" spans="2:45" ht="16" x14ac:dyDescent="0.2">
      <c r="B256" s="23" t="s">
        <v>430</v>
      </c>
      <c r="C256" s="23" t="s">
        <v>254</v>
      </c>
      <c r="D256" s="23"/>
      <c r="E256" s="23"/>
      <c r="F256" s="691"/>
      <c r="G256" s="23"/>
      <c r="H256" s="691"/>
      <c r="I256" s="92"/>
      <c r="J256" s="169" t="s">
        <v>254</v>
      </c>
      <c r="K256" s="172"/>
      <c r="L256" s="170" t="s">
        <v>431</v>
      </c>
      <c r="M256" s="373">
        <v>4</v>
      </c>
      <c r="O256" s="138"/>
      <c r="P256" s="332"/>
      <c r="Q256" s="332"/>
      <c r="R256" s="66"/>
      <c r="S256" s="66"/>
      <c r="T256" s="66"/>
      <c r="X256" s="1601"/>
      <c r="AL256" s="1352" t="str">
        <f>SUBSTITUTE(SUBSTITUTE(SUBSTITUTE("dpa"&amp;$B256&amp;$C256&amp;$D256&amp;$E256&amp;$F256,".","_"),"(","_"),")","")</f>
        <v>dpa505_3_1</v>
      </c>
      <c r="AM256" s="1352">
        <f>M256</f>
        <v>4</v>
      </c>
    </row>
    <row r="257" spans="1:51" ht="16" x14ac:dyDescent="0.2">
      <c r="B257" s="23" t="s">
        <v>430</v>
      </c>
      <c r="C257" s="23" t="s">
        <v>255</v>
      </c>
      <c r="D257" s="23"/>
      <c r="E257" s="23"/>
      <c r="F257" s="691"/>
      <c r="G257" s="23"/>
      <c r="H257" s="691"/>
      <c r="I257" s="92"/>
      <c r="J257" s="169" t="s">
        <v>255</v>
      </c>
      <c r="K257" s="172"/>
      <c r="L257" s="170" t="s">
        <v>432</v>
      </c>
      <c r="M257" s="373">
        <v>5</v>
      </c>
      <c r="O257" s="138"/>
      <c r="P257" s="332"/>
      <c r="Q257" s="332"/>
      <c r="R257" s="66"/>
      <c r="S257" s="66"/>
      <c r="T257" s="66"/>
      <c r="X257" s="1601"/>
      <c r="AL257" s="1352" t="str">
        <f>SUBSTITUTE(SUBSTITUTE(SUBSTITUTE("dpa"&amp;$B257&amp;$C257&amp;$D257&amp;$E257&amp;$F257,".","_"),"(","_"),")","")</f>
        <v>dpa505_3_2</v>
      </c>
      <c r="AM257" s="1352">
        <f>M257</f>
        <v>5</v>
      </c>
    </row>
    <row r="258" spans="1:51" ht="16" x14ac:dyDescent="0.2">
      <c r="B258" s="23" t="s">
        <v>430</v>
      </c>
      <c r="C258" s="23" t="s">
        <v>256</v>
      </c>
      <c r="D258" s="23"/>
      <c r="E258" s="23"/>
      <c r="F258" s="691"/>
      <c r="G258" s="23"/>
      <c r="H258" s="691"/>
      <c r="I258" s="92"/>
      <c r="J258" s="169" t="s">
        <v>256</v>
      </c>
      <c r="K258" s="172"/>
      <c r="L258" s="170" t="s">
        <v>433</v>
      </c>
      <c r="M258" s="373">
        <v>6</v>
      </c>
      <c r="O258" s="138"/>
      <c r="P258" s="332"/>
      <c r="Q258" s="332"/>
      <c r="R258" s="66"/>
      <c r="S258" s="66"/>
      <c r="T258" s="66"/>
      <c r="X258" s="1601"/>
      <c r="AL258" s="1352" t="str">
        <f>SUBSTITUTE(SUBSTITUTE(SUBSTITUTE("dpa"&amp;$B258&amp;$C258&amp;$D258&amp;$E258&amp;$F258,".","_"),"(","_"),")","")</f>
        <v>dpa505_3_3</v>
      </c>
      <c r="AM258" s="1352">
        <f>M258</f>
        <v>6</v>
      </c>
    </row>
    <row r="259" spans="1:51" ht="16" x14ac:dyDescent="0.2">
      <c r="B259" s="23" t="s">
        <v>430</v>
      </c>
      <c r="C259" s="23" t="s">
        <v>259</v>
      </c>
      <c r="D259" s="23"/>
      <c r="E259" s="23"/>
      <c r="F259" s="691"/>
      <c r="G259" s="23"/>
      <c r="H259" s="691"/>
      <c r="I259" s="92"/>
      <c r="J259" s="169" t="s">
        <v>259</v>
      </c>
      <c r="K259" s="172"/>
      <c r="L259" s="170" t="s">
        <v>434</v>
      </c>
      <c r="M259" s="373">
        <v>7</v>
      </c>
      <c r="O259" s="138"/>
      <c r="P259" s="332"/>
      <c r="Q259" s="332"/>
      <c r="R259" s="66"/>
      <c r="S259" s="66"/>
      <c r="T259" s="66"/>
      <c r="X259" s="1601"/>
      <c r="AL259" s="1352" t="str">
        <f>SUBSTITUTE(SUBSTITUTE(SUBSTITUTE("dpa"&amp;$B259&amp;$C259&amp;$D259&amp;$E259&amp;$F259,".","_"),"(","_"),")","")</f>
        <v>dpa505_3_4</v>
      </c>
      <c r="AM259" s="1352">
        <f>M259</f>
        <v>7</v>
      </c>
    </row>
    <row r="260" spans="1:51" ht="17" thickBot="1" x14ac:dyDescent="0.25">
      <c r="B260" s="23" t="s">
        <v>430</v>
      </c>
      <c r="C260" s="23" t="s">
        <v>263</v>
      </c>
      <c r="D260" s="23"/>
      <c r="E260" s="23"/>
      <c r="F260" s="691"/>
      <c r="G260" s="23"/>
      <c r="H260" s="691"/>
      <c r="I260" s="104"/>
      <c r="J260" s="98" t="s">
        <v>263</v>
      </c>
      <c r="K260" s="104"/>
      <c r="L260" s="99" t="s">
        <v>435</v>
      </c>
      <c r="M260" s="375">
        <v>8</v>
      </c>
      <c r="N260" s="100"/>
      <c r="O260" s="240"/>
      <c r="P260" s="100"/>
      <c r="Q260" s="100"/>
      <c r="R260" s="100"/>
      <c r="S260" s="100"/>
      <c r="T260" s="100"/>
      <c r="U260" s="100"/>
      <c r="V260" s="100"/>
      <c r="W260" s="100"/>
      <c r="X260" s="1602"/>
      <c r="AL260" s="1352" t="str">
        <f>SUBSTITUTE(SUBSTITUTE(SUBSTITUTE("dpa"&amp;$B260&amp;$C260&amp;$D260&amp;$E260&amp;$F260,".","_"),"(","_"),")","")</f>
        <v>dpa505_3_5</v>
      </c>
      <c r="AM260" s="1352">
        <f>M260</f>
        <v>8</v>
      </c>
    </row>
    <row r="261" spans="1:51" ht="16" thickTop="1" x14ac:dyDescent="0.2">
      <c r="A261"/>
      <c r="B261" s="23">
        <v>505.4</v>
      </c>
      <c r="C261" s="600"/>
      <c r="D261" s="600"/>
      <c r="E261" s="4"/>
      <c r="F261" s="4"/>
      <c r="G261" s="4"/>
      <c r="H261" s="4"/>
      <c r="I261" s="69" t="s">
        <v>3504</v>
      </c>
      <c r="J261" s="69"/>
      <c r="K261" s="69"/>
      <c r="L261" s="136" t="s">
        <v>3957</v>
      </c>
      <c r="M261" s="841"/>
      <c r="N261"/>
      <c r="O261"/>
      <c r="P261"/>
      <c r="Q261"/>
      <c r="V261"/>
      <c r="W261"/>
      <c r="X261"/>
      <c r="Y261"/>
      <c r="AA261"/>
      <c r="AB261"/>
      <c r="AC261"/>
      <c r="AD261"/>
      <c r="AE261"/>
      <c r="AF261"/>
      <c r="AG261"/>
      <c r="AH261"/>
      <c r="AI261"/>
      <c r="AJ261"/>
      <c r="AK261"/>
    </row>
    <row r="262" spans="1:51" s="823" customFormat="1" ht="16" thickBot="1" x14ac:dyDescent="0.25">
      <c r="B262" s="23">
        <v>505.4</v>
      </c>
      <c r="C262" s="600" t="s">
        <v>254</v>
      </c>
      <c r="D262" s="600"/>
      <c r="E262" s="4"/>
      <c r="F262" s="4"/>
      <c r="G262" s="4"/>
      <c r="H262" s="4"/>
      <c r="I262" s="1082"/>
      <c r="J262" s="1082" t="s">
        <v>254</v>
      </c>
      <c r="K262" s="1082"/>
      <c r="L262" s="596" t="s">
        <v>3958</v>
      </c>
      <c r="M262" s="1083">
        <v>8</v>
      </c>
      <c r="N262" s="100"/>
      <c r="O262" s="1084">
        <f>M262*S262*W262</f>
        <v>0</v>
      </c>
      <c r="P262" s="100" t="b">
        <v>1</v>
      </c>
      <c r="Q262" s="100" t="b">
        <v>1</v>
      </c>
      <c r="R262" s="100" t="b">
        <v>0</v>
      </c>
      <c r="S262" s="100" t="b">
        <v>1</v>
      </c>
      <c r="T262" s="100" t="b">
        <v>0</v>
      </c>
      <c r="U262" s="100"/>
      <c r="V262" s="100"/>
      <c r="W262" s="101"/>
      <c r="X262" s="938"/>
      <c r="AL262" s="1352" t="str">
        <f>SUBSTITUTE(SUBSTITUTE(SUBSTITUTE("dpa"&amp;$B262&amp;$C262&amp;$D262&amp;$E262&amp;$F262,".","_"),"(","_"),")","")</f>
        <v>dpa505_4_1</v>
      </c>
      <c r="AM262" s="1352">
        <f>M262</f>
        <v>8</v>
      </c>
      <c r="AN262" s="1352" t="str">
        <f>SUBSTITUTE(SUBSTITUTE(SUBSTITUTE("dpc"&amp;$B262&amp;$C262&amp;$D262&amp;$E262&amp;$F262,".","_"),"(","_"),")","")</f>
        <v>dpc505_4_1</v>
      </c>
      <c r="AO262" s="1352">
        <f>O262</f>
        <v>0</v>
      </c>
      <c r="AP262" s="1352" t="str">
        <f>SUBSTITUTE(SUBSTITUTE(SUBSTITUTE("dch"&amp;$B262&amp;$C262&amp;$D262&amp;$E262&amp;$F262,".","_"),"(","_"),")","")</f>
        <v>dch505_4_1</v>
      </c>
      <c r="AQ262" s="1352" t="str">
        <f>IF(LEN(W262)=0,"",W262)</f>
        <v/>
      </c>
      <c r="AR262" s="1352" t="str">
        <f>SUBSTITUTE(SUBSTITUTE(SUBSTITUTE("dnt"&amp;$B262&amp;$C262&amp;$D262&amp;$E262&amp;$F262,".","_"),"(","_"),")","")</f>
        <v>dnt505_4_1</v>
      </c>
      <c r="AS262" s="1352" t="str">
        <f>IF(LEN(X262)=0,"",X262)</f>
        <v/>
      </c>
      <c r="AX262"/>
      <c r="AY262"/>
    </row>
    <row r="263" spans="1:51" s="823" customFormat="1" ht="16" thickTop="1" x14ac:dyDescent="0.2">
      <c r="B263" s="23">
        <v>505.5</v>
      </c>
      <c r="C263" s="600"/>
      <c r="D263" s="600"/>
      <c r="E263" s="4"/>
      <c r="F263" s="4"/>
      <c r="G263" s="4"/>
      <c r="H263" s="4"/>
      <c r="I263" s="69" t="s">
        <v>3505</v>
      </c>
      <c r="J263" s="69"/>
      <c r="K263" s="69"/>
      <c r="L263" s="1611" t="s">
        <v>3969</v>
      </c>
      <c r="M263" s="841"/>
      <c r="O263" s="867"/>
      <c r="AL263" s="17"/>
      <c r="AM263" s="17"/>
      <c r="AN263" s="17"/>
      <c r="AO263" s="17"/>
      <c r="AP263"/>
      <c r="AQ263"/>
      <c r="AR263"/>
      <c r="AS263"/>
      <c r="AX263"/>
      <c r="AY263"/>
    </row>
    <row r="264" spans="1:51" s="823" customFormat="1" x14ac:dyDescent="0.2">
      <c r="B264" s="23" t="s">
        <v>436</v>
      </c>
      <c r="C264" s="600"/>
      <c r="D264" s="600"/>
      <c r="E264" s="4"/>
      <c r="F264" s="4"/>
      <c r="G264" s="4"/>
      <c r="H264" s="4"/>
      <c r="I264" s="69"/>
      <c r="J264" s="69"/>
      <c r="K264" s="69"/>
      <c r="L264" s="1611"/>
      <c r="M264" s="841"/>
      <c r="O264" s="867"/>
      <c r="W264" s="823" t="s">
        <v>3977</v>
      </c>
      <c r="AL264" s="17"/>
      <c r="AM264" s="17"/>
      <c r="AN264" s="17"/>
      <c r="AO264" s="17"/>
      <c r="AP264"/>
      <c r="AQ264"/>
      <c r="AR264"/>
      <c r="AS264"/>
      <c r="AX264"/>
      <c r="AY264"/>
    </row>
    <row r="265" spans="1:51" s="823" customFormat="1" x14ac:dyDescent="0.2">
      <c r="B265" s="23" t="s">
        <v>436</v>
      </c>
      <c r="C265" s="600"/>
      <c r="D265" s="600" t="s">
        <v>121</v>
      </c>
      <c r="E265" s="4"/>
      <c r="F265" s="4"/>
      <c r="G265" s="4"/>
      <c r="H265" s="4"/>
      <c r="I265" s="69"/>
      <c r="J265" s="69"/>
      <c r="K265" s="430" t="s">
        <v>121</v>
      </c>
      <c r="L265" s="1609" t="s">
        <v>3959</v>
      </c>
      <c r="M265" s="1623" t="s">
        <v>3978</v>
      </c>
      <c r="N265" s="991"/>
      <c r="O265" s="1625">
        <f ca="1">IFERROR(INDEX({0,3,6,9},MATCH(W265,{0,250,500,750},1)),0)*S265</f>
        <v>0</v>
      </c>
      <c r="P265" s="823" t="b">
        <v>1</v>
      </c>
      <c r="Q265" s="823" t="b">
        <v>1</v>
      </c>
      <c r="R265" s="823" t="b">
        <v>0</v>
      </c>
      <c r="S265" s="823" t="b">
        <f ca="1">IF($AY$19=INDEX(INDIRECT("ddSingleOrMulti"),2),TRUE,FALSE)</f>
        <v>1</v>
      </c>
      <c r="T265" s="823" t="b">
        <f ca="1">AND(LEN(W265)&gt;0,NOT(S265))</f>
        <v>0</v>
      </c>
      <c r="W265" s="868"/>
      <c r="X265" s="1600"/>
      <c r="AC265" s="1150" t="b">
        <f ca="1">OR(AD265:AE265)</f>
        <v>0</v>
      </c>
      <c r="AD265" s="1150" t="b">
        <f ca="1">T265</f>
        <v>0</v>
      </c>
      <c r="AL265" s="1352" t="str">
        <f>SUBSTITUTE(SUBSTITUTE(SUBSTITUTE("dpa"&amp;$B265&amp;$C265&amp;$D265&amp;$E265&amp;$F265,".","_"),"(","_"),")","")</f>
        <v>dpa505_5_a</v>
      </c>
      <c r="AM265" s="1352" t="str">
        <f>M265</f>
        <v>9 max</v>
      </c>
      <c r="AN265" s="1352" t="str">
        <f>SUBSTITUTE(SUBSTITUTE(SUBSTITUTE("dpc"&amp;$B265&amp;$C265&amp;$D265&amp;$E265&amp;$F265,".","_"),"(","_"),")","")</f>
        <v>dpc505_5_a</v>
      </c>
      <c r="AO265" s="1352">
        <f ca="1">O265</f>
        <v>0</v>
      </c>
      <c r="AP265" s="1352" t="str">
        <f>SUBSTITUTE(SUBSTITUTE(SUBSTITUTE("dch"&amp;$B265&amp;$C265&amp;$D265&amp;$E265&amp;$F265,".","_"),"(","_"),")","")</f>
        <v>dch505_5_a</v>
      </c>
      <c r="AQ265" s="1352" t="str">
        <f>IF(LEN(W265)=0,"",W265)</f>
        <v/>
      </c>
      <c r="AR265" s="1352" t="str">
        <f>SUBSTITUTE(SUBSTITUTE(SUBSTITUTE("dnt"&amp;$B265&amp;$C265&amp;$D265&amp;$E265&amp;$F265,".","_"),"(","_"),")","")</f>
        <v>dnt505_5_a</v>
      </c>
      <c r="AS265" s="1352" t="str">
        <f>IF(LEN(X265)=0,"",X265)</f>
        <v/>
      </c>
      <c r="AX265"/>
      <c r="AY265"/>
    </row>
    <row r="266" spans="1:51" s="823" customFormat="1" x14ac:dyDescent="0.2">
      <c r="B266" s="23" t="s">
        <v>436</v>
      </c>
      <c r="C266" s="600"/>
      <c r="D266" s="600" t="s">
        <v>121</v>
      </c>
      <c r="E266" s="4"/>
      <c r="F266" s="4"/>
      <c r="G266" s="4"/>
      <c r="H266" s="4"/>
      <c r="I266" s="69"/>
      <c r="J266" s="69"/>
      <c r="K266" s="447"/>
      <c r="L266" s="1612"/>
      <c r="M266" s="1624"/>
      <c r="N266" s="173"/>
      <c r="O266" s="1626"/>
      <c r="X266" s="1600"/>
      <c r="AL266" s="17"/>
      <c r="AM266" s="17"/>
      <c r="AN266" s="17"/>
      <c r="AO266" s="17"/>
      <c r="AP266"/>
      <c r="AQ266"/>
      <c r="AR266"/>
      <c r="AS266"/>
    </row>
    <row r="267" spans="1:51" s="823" customFormat="1" x14ac:dyDescent="0.2">
      <c r="B267" s="23" t="s">
        <v>436</v>
      </c>
      <c r="C267" s="600"/>
      <c r="D267" s="600" t="s">
        <v>122</v>
      </c>
      <c r="E267" s="4"/>
      <c r="F267" s="4"/>
      <c r="G267" s="4"/>
      <c r="H267" s="4"/>
      <c r="I267" s="69"/>
      <c r="J267" s="69"/>
      <c r="K267" s="446" t="s">
        <v>122</v>
      </c>
      <c r="L267" s="1613" t="s">
        <v>3960</v>
      </c>
      <c r="M267" s="1614">
        <v>3</v>
      </c>
      <c r="N267" s="195"/>
      <c r="O267" s="1607">
        <f ca="1">M267*S267*W267</f>
        <v>0</v>
      </c>
      <c r="P267" s="823" t="b">
        <v>1</v>
      </c>
      <c r="Q267" s="823" t="b">
        <v>1</v>
      </c>
      <c r="R267" s="823" t="b">
        <v>0</v>
      </c>
      <c r="S267" s="823" t="b">
        <f ca="1">IF($AY$19=INDEX(INDIRECT("ddSingleOrMulti"),2),TRUE,FALSE)</f>
        <v>1</v>
      </c>
      <c r="T267" s="823" t="b">
        <f ca="1">AND(W267=TRUE,NOT(S267))</f>
        <v>0</v>
      </c>
      <c r="W267" s="27"/>
      <c r="X267" s="1600"/>
      <c r="AC267" s="1150" t="b">
        <f ca="1">OR(AD267:AE267)</f>
        <v>0</v>
      </c>
      <c r="AD267" s="1150" t="b">
        <f ca="1">T267</f>
        <v>0</v>
      </c>
      <c r="AL267" s="1352" t="str">
        <f>SUBSTITUTE(SUBSTITUTE(SUBSTITUTE("dpa"&amp;$B267&amp;$C267&amp;$D267&amp;$E267&amp;$F267,".","_"),"(","_"),")","")</f>
        <v>dpa505_5_b</v>
      </c>
      <c r="AM267" s="1352">
        <f>M267</f>
        <v>3</v>
      </c>
      <c r="AN267" s="1352" t="str">
        <f>SUBSTITUTE(SUBSTITUTE(SUBSTITUTE("dpc"&amp;$B267&amp;$C267&amp;$D267&amp;$E267&amp;$F267,".","_"),"(","_"),")","")</f>
        <v>dpc505_5_b</v>
      </c>
      <c r="AO267" s="1352">
        <f ca="1">O267</f>
        <v>0</v>
      </c>
      <c r="AP267" s="1352" t="str">
        <f>SUBSTITUTE(SUBSTITUTE(SUBSTITUTE("dch"&amp;$B267&amp;$C267&amp;$D267&amp;$E267&amp;$F267,".","_"),"(","_"),")","")</f>
        <v>dch505_5_b</v>
      </c>
      <c r="AQ267" s="1352" t="str">
        <f>IF(LEN(W267)=0,"",W267)</f>
        <v/>
      </c>
      <c r="AR267" s="1352" t="str">
        <f>SUBSTITUTE(SUBSTITUTE(SUBSTITUTE("dnt"&amp;$B267&amp;$C267&amp;$D267&amp;$E267&amp;$F267,".","_"),"(","_"),")","")</f>
        <v>dnt505_5_b</v>
      </c>
      <c r="AS267" s="1352" t="str">
        <f>IF(LEN(X267)=0,"",X267)</f>
        <v/>
      </c>
    </row>
    <row r="268" spans="1:51" s="823" customFormat="1" x14ac:dyDescent="0.2">
      <c r="B268" s="23" t="s">
        <v>436</v>
      </c>
      <c r="C268" s="600"/>
      <c r="D268" s="600" t="s">
        <v>122</v>
      </c>
      <c r="E268" s="4"/>
      <c r="F268" s="4"/>
      <c r="G268" s="4"/>
      <c r="H268" s="4"/>
      <c r="I268" s="69"/>
      <c r="J268" s="69"/>
      <c r="K268" s="430"/>
      <c r="L268" s="1609"/>
      <c r="M268" s="1615"/>
      <c r="N268" s="991"/>
      <c r="O268" s="1604"/>
      <c r="X268" s="1600"/>
      <c r="AL268" s="17"/>
      <c r="AM268" s="17"/>
      <c r="AN268" s="17"/>
      <c r="AO268" s="17"/>
      <c r="AP268"/>
      <c r="AQ268"/>
      <c r="AR268"/>
      <c r="AS268"/>
    </row>
    <row r="269" spans="1:51" s="823" customFormat="1" x14ac:dyDescent="0.2">
      <c r="B269" s="23" t="s">
        <v>436</v>
      </c>
      <c r="C269" s="600"/>
      <c r="D269" s="600" t="s">
        <v>122</v>
      </c>
      <c r="E269" s="4"/>
      <c r="F269" s="4"/>
      <c r="G269" s="4"/>
      <c r="H269" s="4"/>
      <c r="I269" s="69"/>
      <c r="J269" s="69"/>
      <c r="K269" s="447"/>
      <c r="L269" s="1612"/>
      <c r="M269" s="1616"/>
      <c r="N269" s="173"/>
      <c r="O269" s="1606"/>
      <c r="X269" s="1600"/>
      <c r="AL269" s="17"/>
      <c r="AM269" s="17"/>
      <c r="AN269" s="17"/>
      <c r="AO269" s="17"/>
      <c r="AP269"/>
      <c r="AQ269"/>
      <c r="AR269"/>
      <c r="AS269"/>
    </row>
    <row r="270" spans="1:51" s="823" customFormat="1" x14ac:dyDescent="0.2">
      <c r="B270" s="23" t="s">
        <v>436</v>
      </c>
      <c r="C270" s="600"/>
      <c r="D270" s="600" t="s">
        <v>123</v>
      </c>
      <c r="E270" s="4"/>
      <c r="F270" s="4"/>
      <c r="G270" s="4"/>
      <c r="H270" s="4"/>
      <c r="I270" s="430"/>
      <c r="J270" s="430"/>
      <c r="K270" s="1091" t="s">
        <v>123</v>
      </c>
      <c r="L270" s="211" t="s">
        <v>3961</v>
      </c>
      <c r="M270" s="1092">
        <v>1</v>
      </c>
      <c r="N270" s="214"/>
      <c r="O270" s="1093">
        <f ca="1">M270*S270*W270</f>
        <v>0</v>
      </c>
      <c r="P270" s="991" t="b">
        <v>1</v>
      </c>
      <c r="Q270" s="991" t="b">
        <v>1</v>
      </c>
      <c r="R270" s="991" t="b">
        <v>0</v>
      </c>
      <c r="S270" s="991" t="b">
        <f ca="1">IF($AY$19=INDEX(INDIRECT("ddSingleOrMulti"),2),TRUE,FALSE)</f>
        <v>1</v>
      </c>
      <c r="T270" s="991" t="b">
        <f ca="1">AND(W270=TRUE,NOT(S270))</f>
        <v>0</v>
      </c>
      <c r="U270" s="991"/>
      <c r="V270" s="991"/>
      <c r="W270" s="333"/>
      <c r="X270" s="936"/>
      <c r="AC270" s="1150" t="b">
        <f ca="1">OR(AD270:AE270)</f>
        <v>0</v>
      </c>
      <c r="AD270" s="1150" t="b">
        <f ca="1">T270</f>
        <v>0</v>
      </c>
      <c r="AL270" s="1352" t="str">
        <f>SUBSTITUTE(SUBSTITUTE(SUBSTITUTE("dpa"&amp;$B270&amp;$C270&amp;$D270&amp;$E270&amp;$F270,".","_"),"(","_"),")","")</f>
        <v>dpa505_5_c</v>
      </c>
      <c r="AM270" s="1352">
        <f>M270</f>
        <v>1</v>
      </c>
      <c r="AN270" s="1352" t="str">
        <f>SUBSTITUTE(SUBSTITUTE(SUBSTITUTE("dpc"&amp;$B270&amp;$C270&amp;$D270&amp;$E270&amp;$F270,".","_"),"(","_"),")","")</f>
        <v>dpc505_5_c</v>
      </c>
      <c r="AO270" s="1352">
        <f ca="1">O270</f>
        <v>0</v>
      </c>
      <c r="AP270" s="1352" t="str">
        <f>SUBSTITUTE(SUBSTITUTE(SUBSTITUTE("dch"&amp;$B270&amp;$C270&amp;$D270&amp;$E270&amp;$F270,".","_"),"(","_"),")","")</f>
        <v>dch505_5_c</v>
      </c>
      <c r="AQ270" s="1352" t="str">
        <f>IF(LEN(W270)=0,"",W270)</f>
        <v/>
      </c>
      <c r="AR270" s="1352" t="str">
        <f>SUBSTITUTE(SUBSTITUTE(SUBSTITUTE("dnt"&amp;$B270&amp;$C270&amp;$D270&amp;$E270&amp;$F270,".","_"),"(","_"),")","")</f>
        <v>dnt505_5_c</v>
      </c>
      <c r="AS270" s="1352" t="str">
        <f>IF(LEN(X270)=0,"",X270)</f>
        <v/>
      </c>
    </row>
    <row r="271" spans="1:51" s="823" customFormat="1" ht="16" thickBot="1" x14ac:dyDescent="0.25">
      <c r="B271" s="23" t="s">
        <v>436</v>
      </c>
      <c r="C271" s="600"/>
      <c r="D271" s="600" t="s">
        <v>366</v>
      </c>
      <c r="E271" s="4"/>
      <c r="F271" s="4"/>
      <c r="G271" s="4"/>
      <c r="H271" s="4"/>
      <c r="I271" s="1082"/>
      <c r="J271" s="1082"/>
      <c r="K271" s="1082" t="s">
        <v>366</v>
      </c>
      <c r="L271" s="596" t="s">
        <v>3962</v>
      </c>
      <c r="M271" s="1083">
        <v>1</v>
      </c>
      <c r="N271" s="100"/>
      <c r="O271" s="1084">
        <f ca="1">M271*S271*W271</f>
        <v>0</v>
      </c>
      <c r="P271" s="100" t="b">
        <v>1</v>
      </c>
      <c r="Q271" s="100" t="b">
        <v>1</v>
      </c>
      <c r="R271" s="100" t="b">
        <v>0</v>
      </c>
      <c r="S271" s="100" t="b">
        <f ca="1">IF($AY$19=INDEX(INDIRECT("ddSingleOrMulti"),2),TRUE,FALSE)</f>
        <v>1</v>
      </c>
      <c r="T271" s="100" t="b">
        <f ca="1">AND(W271=TRUE,NOT(S271))</f>
        <v>0</v>
      </c>
      <c r="U271" s="100"/>
      <c r="V271" s="100"/>
      <c r="W271" s="101"/>
      <c r="X271" s="938"/>
      <c r="AC271" s="1150" t="b">
        <f ca="1">OR(AD271:AE271)</f>
        <v>0</v>
      </c>
      <c r="AD271" s="1150" t="b">
        <f ca="1">T271</f>
        <v>0</v>
      </c>
      <c r="AL271" s="1352" t="str">
        <f>SUBSTITUTE(SUBSTITUTE(SUBSTITUTE("dpa"&amp;$B271&amp;$C271&amp;$D271&amp;$E271&amp;$F271,".","_"),"(","_"),")","")</f>
        <v>dpa505_5_d</v>
      </c>
      <c r="AM271" s="1352">
        <f>M271</f>
        <v>1</v>
      </c>
      <c r="AN271" s="1352" t="str">
        <f>SUBSTITUTE(SUBSTITUTE(SUBSTITUTE("dpc"&amp;$B271&amp;$C271&amp;$D271&amp;$E271&amp;$F271,".","_"),"(","_"),")","")</f>
        <v>dpc505_5_d</v>
      </c>
      <c r="AO271" s="1352">
        <f ca="1">O271</f>
        <v>0</v>
      </c>
      <c r="AP271" s="1352" t="str">
        <f>SUBSTITUTE(SUBSTITUTE(SUBSTITUTE("dch"&amp;$B271&amp;$C271&amp;$D271&amp;$E271&amp;$F271,".","_"),"(","_"),")","")</f>
        <v>dch505_5_d</v>
      </c>
      <c r="AQ271" s="1352" t="str">
        <f>IF(LEN(W271)=0,"",W271)</f>
        <v/>
      </c>
      <c r="AR271" s="1352" t="str">
        <f>SUBSTITUTE(SUBSTITUTE(SUBSTITUTE("dnt"&amp;$B271&amp;$C271&amp;$D271&amp;$E271&amp;$F271,".","_"),"(","_"),")","")</f>
        <v>dnt505_5_d</v>
      </c>
      <c r="AS271" s="1352" t="str">
        <f>IF(LEN(X271)=0,"",X271)</f>
        <v/>
      </c>
    </row>
    <row r="272" spans="1:51" s="823" customFormat="1" ht="15" customHeight="1" thickTop="1" x14ac:dyDescent="0.2">
      <c r="B272" s="23" t="s">
        <v>437</v>
      </c>
      <c r="C272" s="600"/>
      <c r="D272" s="600"/>
      <c r="E272" s="4"/>
      <c r="F272" s="4"/>
      <c r="G272" s="4"/>
      <c r="H272" s="4"/>
      <c r="I272" s="429" t="s">
        <v>3506</v>
      </c>
      <c r="J272" s="429"/>
      <c r="K272" s="429"/>
      <c r="L272" s="1608" t="s">
        <v>3975</v>
      </c>
      <c r="M272" s="1617" t="s">
        <v>3979</v>
      </c>
      <c r="N272" s="106"/>
      <c r="O272" s="106"/>
      <c r="P272" s="106"/>
      <c r="Q272" s="106"/>
      <c r="R272" s="106"/>
      <c r="S272" s="106"/>
      <c r="T272" s="106"/>
      <c r="U272" s="106"/>
      <c r="V272" s="106"/>
      <c r="W272" s="106"/>
      <c r="X272" s="1603"/>
      <c r="AL272" s="1352" t="str">
        <f>SUBSTITUTE(SUBSTITUTE(SUBSTITUTE("dpa"&amp;$B272&amp;$C272&amp;$D272&amp;$E272&amp;$F272,".","_"),"(","_"),")","")</f>
        <v>dpa505_6</v>
      </c>
      <c r="AM272" s="1352" t="str">
        <f>M272</f>
        <v>4 (10 max)</v>
      </c>
      <c r="AN272" s="17"/>
      <c r="AO272" s="17"/>
      <c r="AP272"/>
      <c r="AQ272"/>
      <c r="AR272" s="1352" t="str">
        <f>SUBSTITUTE(SUBSTITUTE(SUBSTITUTE("dnt"&amp;$B272&amp;$C272&amp;$D272&amp;$E272&amp;$F272,".","_"),"(","_"),")","")</f>
        <v>dnt505_6</v>
      </c>
      <c r="AS272" s="1352" t="str">
        <f>IF(LEN(X272)=0,"",X272)</f>
        <v/>
      </c>
    </row>
    <row r="273" spans="2:45" s="823" customFormat="1" x14ac:dyDescent="0.2">
      <c r="B273" s="23" t="s">
        <v>437</v>
      </c>
      <c r="C273" s="600"/>
      <c r="D273" s="600"/>
      <c r="E273" s="4"/>
      <c r="F273" s="4"/>
      <c r="G273" s="4"/>
      <c r="H273" s="4"/>
      <c r="I273" s="430"/>
      <c r="J273" s="430"/>
      <c r="K273" s="430"/>
      <c r="L273" s="1609"/>
      <c r="M273" s="1615"/>
      <c r="N273" s="991"/>
      <c r="O273" s="907">
        <f>IFERROR(INDEX({0,4,6,8,10},MATCH(W273,{0,0.02,0.03,0.04,0.05},1)),0)*S273</f>
        <v>0</v>
      </c>
      <c r="P273" s="991" t="b">
        <v>0</v>
      </c>
      <c r="Q273" s="991" t="b">
        <v>1</v>
      </c>
      <c r="R273" s="991" t="b">
        <v>0</v>
      </c>
      <c r="S273" s="991" t="b">
        <v>1</v>
      </c>
      <c r="T273" s="991" t="b">
        <v>0</v>
      </c>
      <c r="U273" s="991"/>
      <c r="V273" s="991"/>
      <c r="W273" s="977"/>
      <c r="X273" s="1601"/>
      <c r="AL273" s="17"/>
      <c r="AM273" s="17"/>
      <c r="AN273" s="1352" t="str">
        <f>SUBSTITUTE(SUBSTITUTE(SUBSTITUTE("dpc"&amp;$B273&amp;$C273&amp;$D273&amp;$E273&amp;$F273,".","_"),"(","_"),")","")</f>
        <v>dpc505_6</v>
      </c>
      <c r="AO273" s="1352">
        <f>O273</f>
        <v>0</v>
      </c>
      <c r="AP273" s="1352" t="str">
        <f>SUBSTITUTE(SUBSTITUTE(SUBSTITUTE("dch"&amp;$B273&amp;$C273&amp;$D273&amp;$E273&amp;$F273,".","_"),"(","_"),")","")</f>
        <v>dch505_6</v>
      </c>
      <c r="AQ273" s="1352" t="str">
        <f>IF(LEN(W273)=0,"",W273)</f>
        <v/>
      </c>
      <c r="AR273"/>
      <c r="AS273"/>
    </row>
    <row r="274" spans="2:45" s="823" customFormat="1" x14ac:dyDescent="0.2">
      <c r="B274" s="23" t="s">
        <v>437</v>
      </c>
      <c r="C274" s="600"/>
      <c r="D274" s="600"/>
      <c r="E274" s="4"/>
      <c r="F274" s="4"/>
      <c r="G274" s="4"/>
      <c r="H274" s="4"/>
      <c r="I274" s="430"/>
      <c r="J274" s="430"/>
      <c r="K274" s="430"/>
      <c r="L274" s="1609"/>
      <c r="M274" s="1615"/>
      <c r="N274" s="991"/>
      <c r="O274" s="907"/>
      <c r="P274" s="991"/>
      <c r="Q274" s="991"/>
      <c r="R274" s="991"/>
      <c r="S274" s="991"/>
      <c r="T274" s="991"/>
      <c r="U274" s="991"/>
      <c r="V274" s="991"/>
      <c r="W274" s="991"/>
      <c r="X274" s="1601"/>
      <c r="AL274" s="17"/>
      <c r="AM274" s="17"/>
      <c r="AN274" s="17"/>
      <c r="AO274" s="17"/>
      <c r="AP274"/>
      <c r="AQ274"/>
      <c r="AR274"/>
      <c r="AS274"/>
    </row>
    <row r="275" spans="2:45" s="823" customFormat="1" x14ac:dyDescent="0.2">
      <c r="B275" s="23" t="s">
        <v>437</v>
      </c>
      <c r="C275" s="600"/>
      <c r="D275" s="600"/>
      <c r="E275" s="4"/>
      <c r="F275" s="4"/>
      <c r="G275" s="4"/>
      <c r="H275" s="4"/>
      <c r="I275" s="430"/>
      <c r="J275" s="430"/>
      <c r="K275" s="430"/>
      <c r="L275" s="1609"/>
      <c r="M275" s="966"/>
      <c r="N275" s="991"/>
      <c r="O275" s="1085"/>
      <c r="P275" s="991"/>
      <c r="Q275" s="991"/>
      <c r="R275" s="991"/>
      <c r="S275" s="991"/>
      <c r="T275" s="991"/>
      <c r="U275" s="991"/>
      <c r="V275" s="991"/>
      <c r="W275" s="991"/>
      <c r="X275" s="1601"/>
      <c r="AL275" s="17"/>
      <c r="AM275" s="17"/>
      <c r="AN275" s="17"/>
      <c r="AO275" s="17"/>
      <c r="AP275"/>
      <c r="AQ275"/>
      <c r="AR275"/>
      <c r="AS275"/>
    </row>
    <row r="276" spans="2:45" s="823" customFormat="1" x14ac:dyDescent="0.2">
      <c r="B276" s="23" t="s">
        <v>437</v>
      </c>
      <c r="C276" s="600"/>
      <c r="D276" s="600"/>
      <c r="E276" s="4"/>
      <c r="F276" s="4"/>
      <c r="G276" s="4"/>
      <c r="H276" s="4"/>
      <c r="I276" s="430"/>
      <c r="J276" s="430"/>
      <c r="K276" s="430"/>
      <c r="L276" s="1609" t="s">
        <v>3976</v>
      </c>
      <c r="M276" s="966"/>
      <c r="N276" s="991"/>
      <c r="O276" s="1085"/>
      <c r="P276" s="991"/>
      <c r="Q276" s="991"/>
      <c r="R276" s="991"/>
      <c r="S276" s="991"/>
      <c r="T276" s="991"/>
      <c r="U276" s="991"/>
      <c r="V276" s="991"/>
      <c r="W276" s="991"/>
      <c r="X276" s="1601"/>
      <c r="AL276" s="17"/>
      <c r="AM276" s="17"/>
      <c r="AN276" s="17"/>
      <c r="AO276" s="17"/>
      <c r="AP276"/>
      <c r="AQ276"/>
      <c r="AR276"/>
      <c r="AS276"/>
    </row>
    <row r="277" spans="2:45" s="823" customFormat="1" ht="15" customHeight="1" x14ac:dyDescent="0.2">
      <c r="B277" s="23" t="s">
        <v>437</v>
      </c>
      <c r="C277" s="600"/>
      <c r="D277" s="600"/>
      <c r="E277" s="4"/>
      <c r="F277" s="4"/>
      <c r="G277" s="4"/>
      <c r="H277" s="4"/>
      <c r="I277" s="430"/>
      <c r="J277" s="430"/>
      <c r="K277" s="430"/>
      <c r="L277" s="1609"/>
      <c r="M277" s="966"/>
      <c r="N277" s="991"/>
      <c r="O277" s="1085"/>
      <c r="P277" s="991"/>
      <c r="Q277" s="991"/>
      <c r="R277" s="991"/>
      <c r="S277" s="991"/>
      <c r="T277" s="991"/>
      <c r="U277" s="991"/>
      <c r="V277" s="991"/>
      <c r="W277" s="991"/>
      <c r="X277" s="1601"/>
      <c r="AL277" s="17"/>
      <c r="AM277" s="17"/>
      <c r="AN277" s="17"/>
      <c r="AO277" s="17"/>
      <c r="AP277"/>
      <c r="AQ277"/>
      <c r="AR277"/>
      <c r="AS277"/>
    </row>
    <row r="278" spans="2:45" s="823" customFormat="1" x14ac:dyDescent="0.2">
      <c r="B278" s="23" t="s">
        <v>437</v>
      </c>
      <c r="C278" s="600"/>
      <c r="D278" s="600"/>
      <c r="E278" s="4"/>
      <c r="F278" s="4"/>
      <c r="G278" s="4"/>
      <c r="H278" s="4"/>
      <c r="I278" s="430"/>
      <c r="J278" s="430"/>
      <c r="K278" s="430"/>
      <c r="L278" s="1609"/>
      <c r="M278" s="966"/>
      <c r="N278" s="991"/>
      <c r="O278" s="1085"/>
      <c r="P278" s="991"/>
      <c r="Q278" s="991"/>
      <c r="R278" s="991"/>
      <c r="S278" s="991"/>
      <c r="T278" s="991"/>
      <c r="U278" s="991"/>
      <c r="V278" s="991"/>
      <c r="W278" s="991"/>
      <c r="X278" s="1601"/>
      <c r="AL278" s="17"/>
      <c r="AM278" s="17"/>
      <c r="AN278" s="17"/>
      <c r="AO278" s="17"/>
      <c r="AP278"/>
      <c r="AQ278"/>
      <c r="AR278"/>
      <c r="AS278"/>
    </row>
    <row r="279" spans="2:45" s="823" customFormat="1" x14ac:dyDescent="0.2">
      <c r="B279" s="23" t="s">
        <v>437</v>
      </c>
      <c r="C279" s="600"/>
      <c r="D279" s="600"/>
      <c r="E279" s="4"/>
      <c r="F279" s="4"/>
      <c r="G279" s="4"/>
      <c r="H279" s="4"/>
      <c r="I279" s="430"/>
      <c r="J279" s="430"/>
      <c r="K279" s="430"/>
      <c r="L279" s="1609"/>
      <c r="M279" s="966"/>
      <c r="N279" s="991"/>
      <c r="O279" s="1085"/>
      <c r="P279" s="991"/>
      <c r="Q279" s="991"/>
      <c r="R279" s="991"/>
      <c r="S279" s="991"/>
      <c r="T279" s="991"/>
      <c r="U279" s="991"/>
      <c r="V279" s="991"/>
      <c r="W279" s="991"/>
      <c r="X279" s="1601"/>
      <c r="AL279" s="17"/>
      <c r="AM279" s="17"/>
      <c r="AN279" s="17"/>
      <c r="AO279" s="17"/>
      <c r="AP279"/>
      <c r="AQ279"/>
      <c r="AR279"/>
      <c r="AS279"/>
    </row>
    <row r="280" spans="2:45" s="823" customFormat="1" x14ac:dyDescent="0.2">
      <c r="B280" s="23" t="s">
        <v>437</v>
      </c>
      <c r="C280" s="600"/>
      <c r="D280" s="600"/>
      <c r="E280" s="4"/>
      <c r="F280" s="4"/>
      <c r="G280" s="4"/>
      <c r="H280" s="4"/>
      <c r="I280" s="430"/>
      <c r="J280" s="430"/>
      <c r="K280" s="430"/>
      <c r="L280" s="1609"/>
      <c r="M280" s="966"/>
      <c r="N280" s="991"/>
      <c r="O280" s="1085"/>
      <c r="P280" s="991"/>
      <c r="Q280" s="991"/>
      <c r="R280" s="991"/>
      <c r="S280" s="991"/>
      <c r="T280" s="991"/>
      <c r="U280" s="991"/>
      <c r="V280" s="991"/>
      <c r="W280" s="991"/>
      <c r="X280" s="1601"/>
      <c r="AL280" s="17"/>
      <c r="AM280" s="17"/>
      <c r="AN280" s="17"/>
      <c r="AO280" s="17"/>
      <c r="AP280"/>
      <c r="AQ280"/>
      <c r="AR280"/>
      <c r="AS280"/>
    </row>
    <row r="281" spans="2:45" s="823" customFormat="1" x14ac:dyDescent="0.2">
      <c r="B281" s="23" t="s">
        <v>437</v>
      </c>
      <c r="C281" s="600"/>
      <c r="D281" s="600"/>
      <c r="E281" s="4"/>
      <c r="F281" s="4"/>
      <c r="G281" s="4"/>
      <c r="H281" s="4"/>
      <c r="I281" s="430"/>
      <c r="J281" s="430"/>
      <c r="K281" s="430"/>
      <c r="L281" s="1609"/>
      <c r="M281" s="966"/>
      <c r="N281" s="991"/>
      <c r="O281" s="1085"/>
      <c r="P281" s="991"/>
      <c r="Q281" s="991"/>
      <c r="R281" s="991"/>
      <c r="S281" s="991"/>
      <c r="T281" s="991"/>
      <c r="U281" s="991"/>
      <c r="V281" s="991"/>
      <c r="W281" s="991"/>
      <c r="X281" s="1601"/>
      <c r="AL281" s="17"/>
      <c r="AM281" s="17"/>
      <c r="AN281" s="17"/>
      <c r="AO281" s="17"/>
      <c r="AP281"/>
      <c r="AQ281"/>
      <c r="AR281"/>
      <c r="AS281"/>
    </row>
    <row r="282" spans="2:45" s="823" customFormat="1" ht="16" thickBot="1" x14ac:dyDescent="0.25">
      <c r="B282" s="23" t="s">
        <v>437</v>
      </c>
      <c r="C282" s="600"/>
      <c r="D282" s="600"/>
      <c r="E282" s="4"/>
      <c r="F282" s="4"/>
      <c r="G282" s="4"/>
      <c r="H282" s="4"/>
      <c r="I282" s="1082"/>
      <c r="J282" s="1082"/>
      <c r="K282" s="1082"/>
      <c r="L282" s="1610"/>
      <c r="M282" s="931"/>
      <c r="N282" s="100"/>
      <c r="O282" s="1086"/>
      <c r="P282" s="100"/>
      <c r="Q282" s="100"/>
      <c r="R282" s="100"/>
      <c r="S282" s="100"/>
      <c r="T282" s="100"/>
      <c r="U282" s="100"/>
      <c r="V282" s="100"/>
      <c r="W282" s="100"/>
      <c r="X282" s="1602"/>
      <c r="AL282" s="17"/>
      <c r="AM282" s="17"/>
      <c r="AN282" s="17"/>
      <c r="AO282" s="17"/>
      <c r="AP282"/>
      <c r="AQ282"/>
      <c r="AR282"/>
      <c r="AS282"/>
    </row>
    <row r="283" spans="2:45" s="823" customFormat="1" ht="16" thickTop="1" x14ac:dyDescent="0.2">
      <c r="B283" s="23" t="s">
        <v>3952</v>
      </c>
      <c r="C283" s="600"/>
      <c r="D283" s="600"/>
      <c r="E283" s="4"/>
      <c r="F283" s="4"/>
      <c r="G283" s="4"/>
      <c r="H283" s="4"/>
      <c r="I283" s="429" t="s">
        <v>3947</v>
      </c>
      <c r="J283" s="429"/>
      <c r="K283" s="429"/>
      <c r="L283" s="1608" t="s">
        <v>3970</v>
      </c>
      <c r="M283" s="1617">
        <v>4</v>
      </c>
      <c r="N283" s="106"/>
      <c r="O283" s="1622">
        <f ca="1">M283*S283*W283</f>
        <v>0</v>
      </c>
      <c r="P283" s="106" t="b">
        <v>0</v>
      </c>
      <c r="Q283" s="106" t="b">
        <v>1</v>
      </c>
      <c r="R283" s="106" t="b">
        <v>0</v>
      </c>
      <c r="S283" s="106" t="b">
        <f ca="1">IF($AY$19=INDEX(INDIRECT("ddSingleOrMulti"),2),TRUE,FALSE)</f>
        <v>1</v>
      </c>
      <c r="T283" s="106" t="b">
        <f ca="1">AND(W283=TRUE,NOT(S283))</f>
        <v>0</v>
      </c>
      <c r="U283" s="106"/>
      <c r="V283" s="106"/>
      <c r="W283" s="334"/>
      <c r="X283" s="1603"/>
      <c r="AC283" s="1150" t="b">
        <f ca="1">OR(AD283:AE283)</f>
        <v>0</v>
      </c>
      <c r="AD283" s="1150" t="b">
        <f ca="1">T283</f>
        <v>0</v>
      </c>
      <c r="AL283" s="1352" t="str">
        <f>SUBSTITUTE(SUBSTITUTE(SUBSTITUTE("dpa"&amp;$B283&amp;$C283&amp;$D283&amp;$E283&amp;$F283,".","_"),"(","_"),")","")</f>
        <v>dpa505_7</v>
      </c>
      <c r="AM283" s="1352">
        <f>M283</f>
        <v>4</v>
      </c>
      <c r="AN283" s="1352" t="str">
        <f>SUBSTITUTE(SUBSTITUTE(SUBSTITUTE("dpc"&amp;$B283&amp;$C283&amp;$D283&amp;$E283&amp;$F283,".","_"),"(","_"),")","")</f>
        <v>dpc505_7</v>
      </c>
      <c r="AO283" s="1352">
        <f ca="1">O283</f>
        <v>0</v>
      </c>
      <c r="AP283" s="1352" t="str">
        <f>SUBSTITUTE(SUBSTITUTE(SUBSTITUTE("dch"&amp;$B283&amp;$C283&amp;$D283&amp;$E283&amp;$F283,".","_"),"(","_"),")","")</f>
        <v>dch505_7</v>
      </c>
      <c r="AQ283" s="1352" t="str">
        <f>IF(LEN(W283)=0,"",W283)</f>
        <v/>
      </c>
      <c r="AR283" s="1352" t="str">
        <f>SUBSTITUTE(SUBSTITUTE(SUBSTITUTE("dnt"&amp;$B283&amp;$C283&amp;$D283&amp;$E283&amp;$F283,".","_"),"(","_"),")","")</f>
        <v>dnt505_7</v>
      </c>
      <c r="AS283" s="1352" t="str">
        <f>IF(LEN(X283)=0,"",X283)</f>
        <v/>
      </c>
    </row>
    <row r="284" spans="2:45" s="823" customFormat="1" x14ac:dyDescent="0.2">
      <c r="B284" s="23" t="s">
        <v>3952</v>
      </c>
      <c r="C284" s="600"/>
      <c r="D284" s="600"/>
      <c r="E284" s="4"/>
      <c r="F284" s="4"/>
      <c r="G284" s="4"/>
      <c r="H284" s="4"/>
      <c r="I284" s="430"/>
      <c r="J284" s="430"/>
      <c r="K284" s="430"/>
      <c r="L284" s="1609"/>
      <c r="M284" s="1615"/>
      <c r="N284" s="991"/>
      <c r="O284" s="1604"/>
      <c r="P284" s="991"/>
      <c r="Q284" s="991"/>
      <c r="R284" s="991"/>
      <c r="S284" s="991"/>
      <c r="T284" s="991"/>
      <c r="U284" s="991"/>
      <c r="V284" s="991"/>
      <c r="W284" s="991"/>
      <c r="X284" s="1601"/>
      <c r="AL284" s="17"/>
      <c r="AM284" s="17"/>
      <c r="AN284" s="17"/>
      <c r="AO284" s="17"/>
      <c r="AP284"/>
      <c r="AQ284"/>
      <c r="AR284"/>
      <c r="AS284"/>
    </row>
    <row r="285" spans="2:45" s="823" customFormat="1" x14ac:dyDescent="0.2">
      <c r="B285" s="23" t="s">
        <v>3952</v>
      </c>
      <c r="C285" s="600"/>
      <c r="D285" s="600"/>
      <c r="E285" s="4"/>
      <c r="F285" s="4"/>
      <c r="G285" s="4"/>
      <c r="H285" s="4"/>
      <c r="I285" s="430"/>
      <c r="J285" s="430"/>
      <c r="K285" s="430"/>
      <c r="L285" s="1609"/>
      <c r="M285" s="1615"/>
      <c r="N285" s="991"/>
      <c r="O285" s="1604"/>
      <c r="P285" s="991"/>
      <c r="Q285" s="991"/>
      <c r="R285" s="991"/>
      <c r="S285" s="991"/>
      <c r="T285" s="991"/>
      <c r="U285" s="991"/>
      <c r="V285" s="991"/>
      <c r="W285" s="991"/>
      <c r="X285" s="1601"/>
      <c r="AL285" s="17"/>
      <c r="AM285" s="17"/>
      <c r="AN285" s="17"/>
      <c r="AO285" s="17"/>
      <c r="AP285"/>
      <c r="AQ285"/>
      <c r="AR285"/>
      <c r="AS285"/>
    </row>
    <row r="286" spans="2:45" s="823" customFormat="1" ht="16" thickBot="1" x14ac:dyDescent="0.25">
      <c r="B286" s="23" t="s">
        <v>3952</v>
      </c>
      <c r="C286" s="600"/>
      <c r="D286" s="600"/>
      <c r="E286" s="4"/>
      <c r="F286" s="4"/>
      <c r="G286" s="4"/>
      <c r="H286" s="4"/>
      <c r="I286" s="1082"/>
      <c r="J286" s="1082"/>
      <c r="K286" s="1082"/>
      <c r="L286" s="1610"/>
      <c r="M286" s="931"/>
      <c r="N286" s="100"/>
      <c r="O286" s="1086"/>
      <c r="P286" s="100"/>
      <c r="Q286" s="100"/>
      <c r="R286" s="100"/>
      <c r="S286" s="100"/>
      <c r="T286" s="100"/>
      <c r="U286" s="100"/>
      <c r="V286" s="100"/>
      <c r="W286" s="100"/>
      <c r="X286" s="1602"/>
      <c r="AL286" s="17"/>
      <c r="AM286" s="17"/>
      <c r="AN286" s="17"/>
      <c r="AO286" s="17"/>
      <c r="AP286"/>
      <c r="AQ286"/>
      <c r="AR286"/>
      <c r="AS286"/>
    </row>
    <row r="287" spans="2:45" s="823" customFormat="1" ht="17" thickTop="1" thickBot="1" x14ac:dyDescent="0.25">
      <c r="B287" s="23" t="s">
        <v>3953</v>
      </c>
      <c r="C287" s="600"/>
      <c r="D287" s="600"/>
      <c r="E287" s="4"/>
      <c r="F287" s="4"/>
      <c r="G287" s="4"/>
      <c r="H287" s="4"/>
      <c r="I287" s="1087" t="s">
        <v>3948</v>
      </c>
      <c r="J287" s="1087"/>
      <c r="K287" s="1087"/>
      <c r="L287" s="1088" t="s">
        <v>3971</v>
      </c>
      <c r="M287" s="1089">
        <v>5</v>
      </c>
      <c r="N287" s="118"/>
      <c r="O287" s="1090">
        <f>M287*S287*W287</f>
        <v>0</v>
      </c>
      <c r="P287" s="118" t="b">
        <v>1</v>
      </c>
      <c r="Q287" s="118" t="b">
        <v>1</v>
      </c>
      <c r="R287" s="118" t="b">
        <v>0</v>
      </c>
      <c r="S287" s="118" t="b">
        <v>1</v>
      </c>
      <c r="T287" s="118" t="b">
        <v>0</v>
      </c>
      <c r="U287" s="118"/>
      <c r="V287" s="118"/>
      <c r="W287" s="120"/>
      <c r="X287" s="128"/>
      <c r="AL287" s="1352" t="str">
        <f>SUBSTITUTE(SUBSTITUTE(SUBSTITUTE("dpa"&amp;$B287&amp;$C287&amp;$D287&amp;$E287&amp;$F287,".","_"),"(","_"),")","")</f>
        <v>dpa505_8</v>
      </c>
      <c r="AM287" s="1352">
        <f>M287</f>
        <v>5</v>
      </c>
      <c r="AN287" s="1352" t="str">
        <f>SUBSTITUTE(SUBSTITUTE(SUBSTITUTE("dpc"&amp;$B287&amp;$C287&amp;$D287&amp;$E287&amp;$F287,".","_"),"(","_"),")","")</f>
        <v>dpc505_8</v>
      </c>
      <c r="AO287" s="1352">
        <f>O287</f>
        <v>0</v>
      </c>
      <c r="AP287" s="1352" t="str">
        <f>SUBSTITUTE(SUBSTITUTE(SUBSTITUTE("dch"&amp;$B287&amp;$C287&amp;$D287&amp;$E287&amp;$F287,".","_"),"(","_"),")","")</f>
        <v>dch505_8</v>
      </c>
      <c r="AQ287" s="1352" t="str">
        <f>IF(LEN(W287)=0,"",W287)</f>
        <v/>
      </c>
      <c r="AR287" s="1352" t="str">
        <f>SUBSTITUTE(SUBSTITUTE(SUBSTITUTE("dnt"&amp;$B287&amp;$C287&amp;$D287&amp;$E287&amp;$F287,".","_"),"(","_"),")","")</f>
        <v>dnt505_8</v>
      </c>
      <c r="AS287" s="1352" t="str">
        <f>IF(LEN(X287)=0,"",X287)</f>
        <v/>
      </c>
    </row>
    <row r="288" spans="2:45" s="823" customFormat="1" ht="16" thickTop="1" x14ac:dyDescent="0.2">
      <c r="B288" s="23" t="s">
        <v>3954</v>
      </c>
      <c r="C288" s="600"/>
      <c r="D288" s="600"/>
      <c r="E288" s="4"/>
      <c r="F288" s="4"/>
      <c r="G288" s="4"/>
      <c r="H288" s="4"/>
      <c r="I288" s="69" t="s">
        <v>3949</v>
      </c>
      <c r="J288" s="69"/>
      <c r="K288" s="69"/>
      <c r="L288" s="1611" t="s">
        <v>3972</v>
      </c>
      <c r="M288" s="841"/>
      <c r="O288" s="867"/>
      <c r="AL288" s="17"/>
      <c r="AM288" s="17"/>
      <c r="AN288" s="17"/>
      <c r="AO288" s="17"/>
      <c r="AP288"/>
      <c r="AQ288"/>
      <c r="AR288"/>
      <c r="AS288"/>
    </row>
    <row r="289" spans="2:45" s="823" customFormat="1" x14ac:dyDescent="0.2">
      <c r="B289" s="23" t="s">
        <v>3954</v>
      </c>
      <c r="C289" s="600"/>
      <c r="D289" s="600"/>
      <c r="E289" s="4"/>
      <c r="F289" s="4"/>
      <c r="G289" s="4"/>
      <c r="H289" s="4"/>
      <c r="I289" s="69"/>
      <c r="J289" s="69"/>
      <c r="K289" s="69"/>
      <c r="L289" s="1611"/>
      <c r="M289" s="841"/>
      <c r="O289" s="867"/>
      <c r="AL289" s="17"/>
      <c r="AM289" s="17"/>
      <c r="AN289" s="17"/>
      <c r="AO289" s="17"/>
      <c r="AP289"/>
      <c r="AQ289"/>
      <c r="AR289"/>
      <c r="AS289"/>
    </row>
    <row r="290" spans="2:45" s="823" customFormat="1" x14ac:dyDescent="0.2">
      <c r="B290" s="23" t="s">
        <v>3954</v>
      </c>
      <c r="C290" s="600"/>
      <c r="D290" s="600" t="s">
        <v>121</v>
      </c>
      <c r="E290" s="4"/>
      <c r="F290" s="4"/>
      <c r="G290" s="4"/>
      <c r="H290" s="4"/>
      <c r="I290" s="69"/>
      <c r="J290" s="69"/>
      <c r="K290" s="430" t="s">
        <v>121</v>
      </c>
      <c r="L290" s="1609" t="s">
        <v>3963</v>
      </c>
      <c r="M290" s="1615">
        <v>3</v>
      </c>
      <c r="N290" s="991"/>
      <c r="O290" s="1604">
        <f ca="1">M290*S290*W290</f>
        <v>0</v>
      </c>
      <c r="P290" s="823" t="b">
        <v>0</v>
      </c>
      <c r="Q290" s="823" t="b">
        <v>1</v>
      </c>
      <c r="R290" s="823" t="b">
        <v>0</v>
      </c>
      <c r="S290" s="823" t="b">
        <f ca="1">IF($AY$19=INDEX(INDIRECT("ddSingleOrMulti"),2),TRUE,FALSE)</f>
        <v>1</v>
      </c>
      <c r="T290" s="823" t="b">
        <f ca="1">AND(W290=TRUE,NOT(S290))</f>
        <v>0</v>
      </c>
      <c r="W290" s="27"/>
      <c r="X290" s="1600"/>
      <c r="AC290" s="1150" t="b">
        <f ca="1">OR(AD290:AE290)</f>
        <v>0</v>
      </c>
      <c r="AD290" s="1150" t="b">
        <f ca="1">T290</f>
        <v>0</v>
      </c>
      <c r="AL290" s="1352" t="str">
        <f>SUBSTITUTE(SUBSTITUTE(SUBSTITUTE("dpa"&amp;$B290&amp;$C290&amp;$D290&amp;$E290&amp;$F290,".","_"),"(","_"),")","")</f>
        <v>dpa505_9_a</v>
      </c>
      <c r="AM290" s="1352">
        <f>M290</f>
        <v>3</v>
      </c>
      <c r="AN290" s="1352" t="str">
        <f>SUBSTITUTE(SUBSTITUTE(SUBSTITUTE("dpc"&amp;$B290&amp;$C290&amp;$D290&amp;$E290&amp;$F290,".","_"),"(","_"),")","")</f>
        <v>dpc505_9_a</v>
      </c>
      <c r="AO290" s="1352">
        <f ca="1">O290</f>
        <v>0</v>
      </c>
      <c r="AP290" s="1352" t="str">
        <f>SUBSTITUTE(SUBSTITUTE(SUBSTITUTE("dch"&amp;$B290&amp;$C290&amp;$D290&amp;$E290&amp;$F290,".","_"),"(","_"),")","")</f>
        <v>dch505_9_a</v>
      </c>
      <c r="AQ290" s="1352" t="str">
        <f>IF(LEN(W290)=0,"",W290)</f>
        <v/>
      </c>
      <c r="AR290" s="1352" t="str">
        <f>SUBSTITUTE(SUBSTITUTE(SUBSTITUTE("dnt"&amp;$B290&amp;$C290&amp;$D290&amp;$E290&amp;$F290,".","_"),"(","_"),")","")</f>
        <v>dnt505_9_a</v>
      </c>
      <c r="AS290" s="1352" t="str">
        <f>IF(LEN(X290)=0,"",X290)</f>
        <v/>
      </c>
    </row>
    <row r="291" spans="2:45" s="823" customFormat="1" x14ac:dyDescent="0.2">
      <c r="B291" s="23" t="s">
        <v>3954</v>
      </c>
      <c r="C291" s="600"/>
      <c r="D291" s="600" t="s">
        <v>121</v>
      </c>
      <c r="E291" s="4"/>
      <c r="F291" s="4"/>
      <c r="G291" s="4"/>
      <c r="H291" s="4"/>
      <c r="I291" s="69"/>
      <c r="J291" s="69"/>
      <c r="K291" s="430"/>
      <c r="L291" s="1609"/>
      <c r="M291" s="1615"/>
      <c r="N291" s="991"/>
      <c r="O291" s="1604"/>
      <c r="X291" s="1600"/>
      <c r="AL291" s="17"/>
      <c r="AM291" s="17"/>
      <c r="AN291" s="17"/>
      <c r="AO291" s="17"/>
      <c r="AP291"/>
      <c r="AQ291"/>
      <c r="AR291"/>
      <c r="AS291"/>
    </row>
    <row r="292" spans="2:45" s="823" customFormat="1" x14ac:dyDescent="0.2">
      <c r="B292" s="23" t="s">
        <v>3954</v>
      </c>
      <c r="C292" s="600"/>
      <c r="D292" s="600" t="s">
        <v>121</v>
      </c>
      <c r="E292" s="4"/>
      <c r="F292" s="4"/>
      <c r="G292" s="4"/>
      <c r="H292" s="4"/>
      <c r="I292" s="69"/>
      <c r="J292" s="69"/>
      <c r="K292" s="447"/>
      <c r="L292" s="1612"/>
      <c r="M292" s="1616"/>
      <c r="N292" s="173"/>
      <c r="O292" s="1606"/>
      <c r="X292" s="1600"/>
      <c r="AL292" s="17"/>
      <c r="AM292" s="17"/>
      <c r="AN292" s="17"/>
      <c r="AO292" s="17"/>
      <c r="AP292"/>
      <c r="AQ292"/>
      <c r="AR292"/>
      <c r="AS292"/>
    </row>
    <row r="293" spans="2:45" s="823" customFormat="1" x14ac:dyDescent="0.2">
      <c r="B293" s="23" t="s">
        <v>3954</v>
      </c>
      <c r="C293" s="600"/>
      <c r="D293" s="600" t="s">
        <v>122</v>
      </c>
      <c r="E293" s="4"/>
      <c r="F293" s="4"/>
      <c r="G293" s="4"/>
      <c r="H293" s="4"/>
      <c r="I293" s="69"/>
      <c r="J293" s="69"/>
      <c r="K293" s="1091" t="s">
        <v>122</v>
      </c>
      <c r="L293" s="211" t="s">
        <v>3964</v>
      </c>
      <c r="M293" s="1092">
        <v>3</v>
      </c>
      <c r="N293" s="214"/>
      <c r="O293" s="1093">
        <f ca="1">M293*S293*W293</f>
        <v>0</v>
      </c>
      <c r="P293" s="823" t="b">
        <v>0</v>
      </c>
      <c r="Q293" s="823" t="b">
        <v>1</v>
      </c>
      <c r="R293" s="823" t="b">
        <v>0</v>
      </c>
      <c r="S293" s="823" t="b">
        <f ca="1">IF($AY$19=INDEX(INDIRECT("ddSingleOrMulti"),2),TRUE,FALSE)</f>
        <v>1</v>
      </c>
      <c r="T293" s="823" t="b">
        <f ca="1">AND(W293=TRUE,NOT(S293))</f>
        <v>0</v>
      </c>
      <c r="W293" s="27"/>
      <c r="X293" s="827"/>
      <c r="AC293" s="1150" t="b">
        <f ca="1">OR(AD293:AE293)</f>
        <v>0</v>
      </c>
      <c r="AD293" s="1150" t="b">
        <f ca="1">T293</f>
        <v>0</v>
      </c>
      <c r="AL293" s="1352" t="str">
        <f>SUBSTITUTE(SUBSTITUTE(SUBSTITUTE("dpa"&amp;$B293&amp;$C293&amp;$D293&amp;$E293&amp;$F293,".","_"),"(","_"),")","")</f>
        <v>dpa505_9_b</v>
      </c>
      <c r="AM293" s="1352">
        <f>M293</f>
        <v>3</v>
      </c>
      <c r="AN293" s="1352" t="str">
        <f>SUBSTITUTE(SUBSTITUTE(SUBSTITUTE("dpc"&amp;$B293&amp;$C293&amp;$D293&amp;$E293&amp;$F293,".","_"),"(","_"),")","")</f>
        <v>dpc505_9_b</v>
      </c>
      <c r="AO293" s="1352">
        <f ca="1">O293</f>
        <v>0</v>
      </c>
      <c r="AP293" s="1352" t="str">
        <f>SUBSTITUTE(SUBSTITUTE(SUBSTITUTE("dch"&amp;$B293&amp;$C293&amp;$D293&amp;$E293&amp;$F293,".","_"),"(","_"),")","")</f>
        <v>dch505_9_b</v>
      </c>
      <c r="AQ293" s="1352" t="str">
        <f>IF(LEN(W293)=0,"",W293)</f>
        <v/>
      </c>
      <c r="AR293" s="1352" t="str">
        <f>SUBSTITUTE(SUBSTITUTE(SUBSTITUTE("dnt"&amp;$B293&amp;$C293&amp;$D293&amp;$E293&amp;$F293,".","_"),"(","_"),")","")</f>
        <v>dnt505_9_b</v>
      </c>
      <c r="AS293" s="1352" t="str">
        <f>IF(LEN(X293)=0,"",X293)</f>
        <v/>
      </c>
    </row>
    <row r="294" spans="2:45" s="823" customFormat="1" x14ac:dyDescent="0.2">
      <c r="B294" s="23" t="s">
        <v>3954</v>
      </c>
      <c r="C294" s="600"/>
      <c r="D294" s="600" t="s">
        <v>123</v>
      </c>
      <c r="E294" s="4"/>
      <c r="F294" s="4"/>
      <c r="G294" s="4"/>
      <c r="H294" s="4"/>
      <c r="I294" s="430"/>
      <c r="J294" s="430"/>
      <c r="K294" s="430" t="s">
        <v>123</v>
      </c>
      <c r="L294" s="1609" t="s">
        <v>3965</v>
      </c>
      <c r="M294" s="1615">
        <v>3</v>
      </c>
      <c r="N294" s="991"/>
      <c r="O294" s="1604">
        <f ca="1">M294*S294*W294</f>
        <v>0</v>
      </c>
      <c r="P294" s="991" t="b">
        <v>0</v>
      </c>
      <c r="Q294" s="991" t="b">
        <v>1</v>
      </c>
      <c r="R294" s="991" t="b">
        <v>0</v>
      </c>
      <c r="S294" s="991" t="b">
        <f ca="1">IF($AY$19=INDEX(INDIRECT("ddSingleOrMulti"),2),TRUE,FALSE)</f>
        <v>1</v>
      </c>
      <c r="T294" s="991" t="b">
        <f ca="1">AND(W294=TRUE,NOT(S294))</f>
        <v>0</v>
      </c>
      <c r="U294" s="991"/>
      <c r="V294" s="991"/>
      <c r="W294" s="333"/>
      <c r="X294" s="1601"/>
      <c r="AC294" s="1150" t="b">
        <f ca="1">OR(AD294:AE294)</f>
        <v>0</v>
      </c>
      <c r="AD294" s="1150" t="b">
        <f ca="1">T294</f>
        <v>0</v>
      </c>
      <c r="AL294" s="1352" t="str">
        <f>SUBSTITUTE(SUBSTITUTE(SUBSTITUTE("dpa"&amp;$B294&amp;$C294&amp;$D294&amp;$E294&amp;$F294,".","_"),"(","_"),")","")</f>
        <v>dpa505_9_c</v>
      </c>
      <c r="AM294" s="1352">
        <f>M294</f>
        <v>3</v>
      </c>
      <c r="AN294" s="1352" t="str">
        <f>SUBSTITUTE(SUBSTITUTE(SUBSTITUTE("dpc"&amp;$B294&amp;$C294&amp;$D294&amp;$E294&amp;$F294,".","_"),"(","_"),")","")</f>
        <v>dpc505_9_c</v>
      </c>
      <c r="AO294" s="1352">
        <f ca="1">O294</f>
        <v>0</v>
      </c>
      <c r="AP294" s="1352" t="str">
        <f>SUBSTITUTE(SUBSTITUTE(SUBSTITUTE("dch"&amp;$B294&amp;$C294&amp;$D294&amp;$E294&amp;$F294,".","_"),"(","_"),")","")</f>
        <v>dch505_9_c</v>
      </c>
      <c r="AQ294" s="1352" t="str">
        <f>IF(LEN(W294)=0,"",W294)</f>
        <v/>
      </c>
      <c r="AR294" s="1352" t="str">
        <f>SUBSTITUTE(SUBSTITUTE(SUBSTITUTE("dnt"&amp;$B294&amp;$C294&amp;$D294&amp;$E294&amp;$F294,".","_"),"(","_"),")","")</f>
        <v>dnt505_9_c</v>
      </c>
      <c r="AS294" s="1352" t="str">
        <f>IF(LEN(X294)=0,"",X294)</f>
        <v/>
      </c>
    </row>
    <row r="295" spans="2:45" s="823" customFormat="1" ht="16" thickBot="1" x14ac:dyDescent="0.25">
      <c r="B295" s="23" t="s">
        <v>3954</v>
      </c>
      <c r="C295" s="600"/>
      <c r="D295" s="600" t="s">
        <v>123</v>
      </c>
      <c r="E295" s="4"/>
      <c r="F295" s="4"/>
      <c r="G295" s="4"/>
      <c r="H295" s="4"/>
      <c r="I295" s="1082"/>
      <c r="J295" s="1082"/>
      <c r="K295" s="1082"/>
      <c r="L295" s="1610"/>
      <c r="M295" s="1618"/>
      <c r="N295" s="100"/>
      <c r="O295" s="1605"/>
      <c r="P295" s="100"/>
      <c r="Q295" s="100"/>
      <c r="R295" s="100"/>
      <c r="S295" s="100"/>
      <c r="T295" s="100"/>
      <c r="U295" s="100"/>
      <c r="V295" s="100"/>
      <c r="W295" s="100"/>
      <c r="X295" s="1602"/>
      <c r="AL295" s="17"/>
      <c r="AM295" s="17"/>
      <c r="AN295" s="17"/>
      <c r="AO295" s="17"/>
      <c r="AP295"/>
      <c r="AQ295"/>
      <c r="AR295"/>
      <c r="AS295"/>
    </row>
    <row r="296" spans="2:45" s="823" customFormat="1" ht="16" thickTop="1" x14ac:dyDescent="0.2">
      <c r="B296" s="23" t="s">
        <v>3955</v>
      </c>
      <c r="C296" s="600"/>
      <c r="D296" s="600"/>
      <c r="E296" s="4"/>
      <c r="F296" s="4"/>
      <c r="G296" s="4"/>
      <c r="H296" s="4"/>
      <c r="I296" s="69" t="s">
        <v>3950</v>
      </c>
      <c r="J296" s="69"/>
      <c r="K296" s="69"/>
      <c r="L296" s="1611" t="s">
        <v>3974</v>
      </c>
      <c r="M296" s="841"/>
      <c r="O296" s="867"/>
      <c r="AL296" s="17"/>
      <c r="AM296" s="17"/>
      <c r="AN296" s="17"/>
      <c r="AO296" s="17"/>
      <c r="AP296"/>
      <c r="AQ296"/>
      <c r="AR296"/>
      <c r="AS296"/>
    </row>
    <row r="297" spans="2:45" s="823" customFormat="1" x14ac:dyDescent="0.2">
      <c r="B297" s="23" t="s">
        <v>3955</v>
      </c>
      <c r="C297" s="600"/>
      <c r="D297" s="600"/>
      <c r="E297" s="4"/>
      <c r="F297" s="4"/>
      <c r="G297" s="4"/>
      <c r="H297" s="4"/>
      <c r="I297" s="69"/>
      <c r="J297" s="69"/>
      <c r="K297" s="69"/>
      <c r="L297" s="1611"/>
      <c r="M297" s="841"/>
      <c r="O297" s="867"/>
      <c r="AL297" s="17"/>
      <c r="AM297" s="17"/>
      <c r="AN297" s="17"/>
      <c r="AO297" s="17"/>
      <c r="AP297"/>
      <c r="AQ297"/>
      <c r="AR297"/>
      <c r="AS297"/>
    </row>
    <row r="298" spans="2:45" s="823" customFormat="1" x14ac:dyDescent="0.2">
      <c r="B298" s="23" t="s">
        <v>3955</v>
      </c>
      <c r="C298" s="600"/>
      <c r="D298" s="600"/>
      <c r="E298" s="4"/>
      <c r="F298" s="4"/>
      <c r="G298" s="4"/>
      <c r="H298" s="4"/>
      <c r="I298" s="69"/>
      <c r="J298" s="69"/>
      <c r="K298" s="69"/>
      <c r="L298" s="1611"/>
      <c r="M298" s="841"/>
      <c r="O298" s="867"/>
      <c r="AL298" s="17"/>
      <c r="AM298" s="17"/>
      <c r="AN298" s="17"/>
      <c r="AO298" s="17"/>
      <c r="AP298"/>
      <c r="AQ298"/>
      <c r="AR298"/>
      <c r="AS298"/>
    </row>
    <row r="299" spans="2:45" s="823" customFormat="1" x14ac:dyDescent="0.2">
      <c r="B299" s="23" t="s">
        <v>3955</v>
      </c>
      <c r="C299" s="600"/>
      <c r="D299" s="600" t="s">
        <v>121</v>
      </c>
      <c r="E299" s="4"/>
      <c r="F299" s="4"/>
      <c r="G299" s="4"/>
      <c r="H299" s="4"/>
      <c r="I299" s="69"/>
      <c r="J299" s="69"/>
      <c r="K299" s="430" t="s">
        <v>121</v>
      </c>
      <c r="L299" s="1609" t="s">
        <v>3966</v>
      </c>
      <c r="M299" s="1615">
        <v>3</v>
      </c>
      <c r="N299" s="991"/>
      <c r="O299" s="1604">
        <f ca="1">M299*S299*W299</f>
        <v>0</v>
      </c>
      <c r="P299" s="823" t="b">
        <v>0</v>
      </c>
      <c r="Q299" s="823" t="b">
        <v>1</v>
      </c>
      <c r="R299" s="823" t="b">
        <v>0</v>
      </c>
      <c r="S299" s="823" t="b">
        <f ca="1">IF($AY$19=INDEX(INDIRECT("ddSingleOrMulti"),2),TRUE,FALSE)</f>
        <v>1</v>
      </c>
      <c r="T299" s="823" t="b">
        <f ca="1">AND(W299=TRUE,NOT(S299))</f>
        <v>0</v>
      </c>
      <c r="W299" s="27"/>
      <c r="X299" s="1600"/>
      <c r="AC299" s="1150" t="b">
        <f ca="1">OR(AD299:AE299)</f>
        <v>0</v>
      </c>
      <c r="AD299" s="1150" t="b">
        <f ca="1">T299</f>
        <v>0</v>
      </c>
      <c r="AL299" s="1352" t="str">
        <f>SUBSTITUTE(SUBSTITUTE(SUBSTITUTE("dpa"&amp;$B299&amp;$C299&amp;$D299&amp;$E299&amp;$F299,".","_"),"(","_"),")","")</f>
        <v>dpa505_10_a</v>
      </c>
      <c r="AM299" s="1352">
        <f>M299</f>
        <v>3</v>
      </c>
      <c r="AN299" s="1352" t="str">
        <f>SUBSTITUTE(SUBSTITUTE(SUBSTITUTE("dpc"&amp;$B299&amp;$C299&amp;$D299&amp;$E299&amp;$F299,".","_"),"(","_"),")","")</f>
        <v>dpc505_10_a</v>
      </c>
      <c r="AO299" s="1352">
        <f ca="1">O299</f>
        <v>0</v>
      </c>
      <c r="AP299" s="1352" t="str">
        <f>SUBSTITUTE(SUBSTITUTE(SUBSTITUTE("dch"&amp;$B299&amp;$C299&amp;$D299&amp;$E299&amp;$F299,".","_"),"(","_"),")","")</f>
        <v>dch505_10_a</v>
      </c>
      <c r="AQ299" s="1352" t="str">
        <f>IF(LEN(W299)=0,"",W299)</f>
        <v/>
      </c>
      <c r="AR299" s="1352" t="str">
        <f>SUBSTITUTE(SUBSTITUTE(SUBSTITUTE("dnt"&amp;$B299&amp;$C299&amp;$D299&amp;$E299&amp;$F299,".","_"),"(","_"),")","")</f>
        <v>dnt505_10_a</v>
      </c>
      <c r="AS299" s="1352" t="str">
        <f>IF(LEN(X299)=0,"",X299)</f>
        <v/>
      </c>
    </row>
    <row r="300" spans="2:45" s="823" customFormat="1" x14ac:dyDescent="0.2">
      <c r="B300" s="23" t="s">
        <v>3955</v>
      </c>
      <c r="C300" s="600"/>
      <c r="D300" s="600" t="s">
        <v>121</v>
      </c>
      <c r="E300" s="4"/>
      <c r="F300" s="4"/>
      <c r="G300" s="4"/>
      <c r="H300" s="4"/>
      <c r="I300" s="69"/>
      <c r="J300" s="69"/>
      <c r="K300" s="447"/>
      <c r="L300" s="1612"/>
      <c r="M300" s="1616"/>
      <c r="N300" s="173"/>
      <c r="O300" s="1606"/>
      <c r="X300" s="1600"/>
      <c r="AL300" s="17"/>
      <c r="AM300" s="17"/>
      <c r="AN300" s="17"/>
      <c r="AO300" s="17"/>
      <c r="AP300"/>
      <c r="AQ300"/>
      <c r="AR300"/>
      <c r="AS300"/>
    </row>
    <row r="301" spans="2:45" s="823" customFormat="1" x14ac:dyDescent="0.2">
      <c r="B301" s="23" t="s">
        <v>3955</v>
      </c>
      <c r="C301" s="600"/>
      <c r="D301" s="600" t="s">
        <v>122</v>
      </c>
      <c r="E301" s="4"/>
      <c r="F301" s="4"/>
      <c r="G301" s="4"/>
      <c r="H301" s="4"/>
      <c r="I301" s="69"/>
      <c r="J301" s="69"/>
      <c r="K301" s="446" t="s">
        <v>122</v>
      </c>
      <c r="L301" s="1613" t="s">
        <v>3967</v>
      </c>
      <c r="M301" s="1614">
        <v>3</v>
      </c>
      <c r="N301" s="195"/>
      <c r="O301" s="1607">
        <f ca="1">M301*S301*W301</f>
        <v>0</v>
      </c>
      <c r="P301" s="823" t="b">
        <v>0</v>
      </c>
      <c r="Q301" s="823" t="b">
        <v>1</v>
      </c>
      <c r="R301" s="823" t="b">
        <v>0</v>
      </c>
      <c r="S301" s="823" t="b">
        <f ca="1">IF($AY$19=INDEX(INDIRECT("ddSingleOrMulti"),2),TRUE,FALSE)</f>
        <v>1</v>
      </c>
      <c r="T301" s="823" t="b">
        <f ca="1">AND(W301=TRUE,NOT(S301))</f>
        <v>0</v>
      </c>
      <c r="W301" s="27"/>
      <c r="X301" s="1600"/>
      <c r="AC301" s="1150" t="b">
        <f ca="1">OR(AD301:AE301)</f>
        <v>0</v>
      </c>
      <c r="AD301" s="1150" t="b">
        <f ca="1">T301</f>
        <v>0</v>
      </c>
      <c r="AL301" s="1352" t="str">
        <f>SUBSTITUTE(SUBSTITUTE(SUBSTITUTE("dpa"&amp;$B301&amp;$C301&amp;$D301&amp;$E301&amp;$F301,".","_"),"(","_"),")","")</f>
        <v>dpa505_10_b</v>
      </c>
      <c r="AM301" s="1352">
        <f>M301</f>
        <v>3</v>
      </c>
      <c r="AN301" s="1352" t="str">
        <f>SUBSTITUTE(SUBSTITUTE(SUBSTITUTE("dpc"&amp;$B301&amp;$C301&amp;$D301&amp;$E301&amp;$F301,".","_"),"(","_"),")","")</f>
        <v>dpc505_10_b</v>
      </c>
      <c r="AO301" s="1352">
        <f ca="1">O301</f>
        <v>0</v>
      </c>
      <c r="AP301" s="1352" t="str">
        <f>SUBSTITUTE(SUBSTITUTE(SUBSTITUTE("dch"&amp;$B301&amp;$C301&amp;$D301&amp;$E301&amp;$F301,".","_"),"(","_"),")","")</f>
        <v>dch505_10_b</v>
      </c>
      <c r="AQ301" s="1352" t="str">
        <f>IF(LEN(W301)=0,"",W301)</f>
        <v/>
      </c>
      <c r="AR301" s="1352" t="str">
        <f>SUBSTITUTE(SUBSTITUTE(SUBSTITUTE("dnt"&amp;$B301&amp;$C301&amp;$D301&amp;$E301&amp;$F301,".","_"),"(","_"),")","")</f>
        <v>dnt505_10_b</v>
      </c>
      <c r="AS301" s="1352" t="str">
        <f>IF(LEN(X301)=0,"",X301)</f>
        <v/>
      </c>
    </row>
    <row r="302" spans="2:45" s="823" customFormat="1" x14ac:dyDescent="0.2">
      <c r="B302" s="23" t="s">
        <v>3955</v>
      </c>
      <c r="C302" s="600"/>
      <c r="D302" s="600" t="s">
        <v>122</v>
      </c>
      <c r="E302" s="4"/>
      <c r="F302" s="4"/>
      <c r="G302" s="4"/>
      <c r="H302" s="4"/>
      <c r="I302" s="69"/>
      <c r="J302" s="69"/>
      <c r="K302" s="447"/>
      <c r="L302" s="1612"/>
      <c r="M302" s="1616"/>
      <c r="N302" s="173"/>
      <c r="O302" s="1606"/>
      <c r="X302" s="1600"/>
      <c r="AL302" s="17"/>
      <c r="AM302" s="17"/>
      <c r="AN302" s="17"/>
      <c r="AO302" s="17"/>
      <c r="AP302"/>
      <c r="AQ302"/>
      <c r="AR302"/>
      <c r="AS302"/>
    </row>
    <row r="303" spans="2:45" s="823" customFormat="1" x14ac:dyDescent="0.2">
      <c r="B303" s="23" t="s">
        <v>3955</v>
      </c>
      <c r="C303" s="600"/>
      <c r="D303" s="600" t="s">
        <v>123</v>
      </c>
      <c r="E303" s="4"/>
      <c r="F303" s="4"/>
      <c r="G303" s="4"/>
      <c r="H303" s="4"/>
      <c r="I303" s="430"/>
      <c r="J303" s="430"/>
      <c r="K303" s="430" t="s">
        <v>123</v>
      </c>
      <c r="L303" s="1609" t="s">
        <v>3968</v>
      </c>
      <c r="M303" s="1615">
        <v>3</v>
      </c>
      <c r="N303" s="991"/>
      <c r="O303" s="1604">
        <f ca="1">M303*S303*W303</f>
        <v>0</v>
      </c>
      <c r="P303" s="991" t="b">
        <v>0</v>
      </c>
      <c r="Q303" s="991" t="b">
        <v>1</v>
      </c>
      <c r="R303" s="991" t="b">
        <v>0</v>
      </c>
      <c r="S303" s="991" t="b">
        <f ca="1">IF($AY$19=INDEX(INDIRECT("ddSingleOrMulti"),2),TRUE,FALSE)</f>
        <v>1</v>
      </c>
      <c r="T303" s="991" t="b">
        <f ca="1">AND(W303=TRUE,NOT(S303))</f>
        <v>0</v>
      </c>
      <c r="U303" s="991"/>
      <c r="V303" s="991"/>
      <c r="W303" s="333"/>
      <c r="X303" s="1601"/>
      <c r="AC303" s="1150" t="b">
        <f ca="1">OR(AD303:AE303)</f>
        <v>0</v>
      </c>
      <c r="AD303" s="1150" t="b">
        <f ca="1">T303</f>
        <v>0</v>
      </c>
      <c r="AL303" s="1352" t="str">
        <f>SUBSTITUTE(SUBSTITUTE(SUBSTITUTE("dpa"&amp;$B303&amp;$C303&amp;$D303&amp;$E303&amp;$F303,".","_"),"(","_"),")","")</f>
        <v>dpa505_10_c</v>
      </c>
      <c r="AM303" s="1352">
        <f>M303</f>
        <v>3</v>
      </c>
      <c r="AN303" s="1352" t="str">
        <f>SUBSTITUTE(SUBSTITUTE(SUBSTITUTE("dpc"&amp;$B303&amp;$C303&amp;$D303&amp;$E303&amp;$F303,".","_"),"(","_"),")","")</f>
        <v>dpc505_10_c</v>
      </c>
      <c r="AO303" s="1352">
        <f ca="1">O303</f>
        <v>0</v>
      </c>
      <c r="AP303" s="1352" t="str">
        <f>SUBSTITUTE(SUBSTITUTE(SUBSTITUTE("dch"&amp;$B303&amp;$C303&amp;$D303&amp;$E303&amp;$F303,".","_"),"(","_"),")","")</f>
        <v>dch505_10_c</v>
      </c>
      <c r="AQ303" s="1352" t="str">
        <f>IF(LEN(W303)=0,"",W303)</f>
        <v/>
      </c>
      <c r="AR303" s="1352" t="str">
        <f>SUBSTITUTE(SUBSTITUTE(SUBSTITUTE("dnt"&amp;$B303&amp;$C303&amp;$D303&amp;$E303&amp;$F303,".","_"),"(","_"),")","")</f>
        <v>dnt505_10_c</v>
      </c>
      <c r="AS303" s="1352" t="str">
        <f>IF(LEN(X303)=0,"",X303)</f>
        <v/>
      </c>
    </row>
    <row r="304" spans="2:45" s="823" customFormat="1" ht="16" thickBot="1" x14ac:dyDescent="0.25">
      <c r="B304" s="23" t="s">
        <v>3955</v>
      </c>
      <c r="C304" s="600"/>
      <c r="D304" s="600" t="s">
        <v>123</v>
      </c>
      <c r="E304" s="4"/>
      <c r="F304" s="4"/>
      <c r="G304" s="4"/>
      <c r="H304" s="4"/>
      <c r="I304" s="1082"/>
      <c r="J304" s="1082"/>
      <c r="K304" s="1082"/>
      <c r="L304" s="1610"/>
      <c r="M304" s="1618"/>
      <c r="N304" s="100"/>
      <c r="O304" s="1605"/>
      <c r="P304" s="100"/>
      <c r="Q304" s="100"/>
      <c r="R304" s="100"/>
      <c r="S304" s="100"/>
      <c r="T304" s="100"/>
      <c r="U304" s="100"/>
      <c r="V304" s="100"/>
      <c r="W304" s="100"/>
      <c r="X304" s="1602"/>
      <c r="AL304" s="17"/>
      <c r="AM304" s="17"/>
      <c r="AN304" s="17"/>
      <c r="AO304" s="17"/>
      <c r="AP304"/>
      <c r="AQ304"/>
      <c r="AR304"/>
      <c r="AS304"/>
    </row>
    <row r="305" spans="2:51" s="823" customFormat="1" ht="16" thickTop="1" x14ac:dyDescent="0.2">
      <c r="B305" s="23" t="s">
        <v>3956</v>
      </c>
      <c r="C305" s="4"/>
      <c r="D305" s="4"/>
      <c r="E305" s="4"/>
      <c r="F305" s="4"/>
      <c r="G305" s="4"/>
      <c r="H305" s="4"/>
      <c r="I305" s="69" t="s">
        <v>3951</v>
      </c>
      <c r="J305" s="69"/>
      <c r="K305" s="69"/>
      <c r="L305" s="1611" t="s">
        <v>3973</v>
      </c>
      <c r="M305" s="1615">
        <v>2</v>
      </c>
      <c r="O305" s="1604">
        <f>M305*S305*W305</f>
        <v>0</v>
      </c>
      <c r="P305" s="823" t="b">
        <v>0</v>
      </c>
      <c r="Q305" s="823" t="b">
        <v>1</v>
      </c>
      <c r="R305" s="823" t="b">
        <v>0</v>
      </c>
      <c r="S305" s="823" t="b">
        <v>1</v>
      </c>
      <c r="T305" s="823" t="b">
        <v>0</v>
      </c>
      <c r="W305" s="119"/>
      <c r="X305" s="1599"/>
      <c r="AC305" s="1150" t="b">
        <f>OR(AD305:AE305)</f>
        <v>0</v>
      </c>
      <c r="AD305" s="1150" t="b">
        <f>T305</f>
        <v>0</v>
      </c>
      <c r="AL305" s="1352" t="str">
        <f>SUBSTITUTE(SUBSTITUTE(SUBSTITUTE("dpa"&amp;$B305&amp;$C305&amp;$D305&amp;$E305&amp;$F305,".","_"),"(","_"),")","")</f>
        <v>dpa505_11</v>
      </c>
      <c r="AM305" s="1352">
        <f>M305</f>
        <v>2</v>
      </c>
      <c r="AN305" s="1352" t="str">
        <f>SUBSTITUTE(SUBSTITUTE(SUBSTITUTE("dpc"&amp;$B305&amp;$C305&amp;$D305&amp;$E305&amp;$F305,".","_"),"(","_"),")","")</f>
        <v>dpc505_11</v>
      </c>
      <c r="AO305" s="1352">
        <f>O305</f>
        <v>0</v>
      </c>
      <c r="AP305" s="1352" t="str">
        <f>SUBSTITUTE(SUBSTITUTE(SUBSTITUTE("dch"&amp;$B305&amp;$C305&amp;$D305&amp;$E305&amp;$F305,".","_"),"(","_"),")","")</f>
        <v>dch505_11</v>
      </c>
      <c r="AQ305" s="1352" t="str">
        <f>IF(LEN(W305)=0,"",W305)</f>
        <v/>
      </c>
      <c r="AR305" s="1352" t="str">
        <f>SUBSTITUTE(SUBSTITUTE(SUBSTITUTE("dnt"&amp;$B305&amp;$C305&amp;$D305&amp;$E305&amp;$F305,".","_"),"(","_"),")","")</f>
        <v>dnt505_11</v>
      </c>
      <c r="AS305" s="1352" t="str">
        <f>IF(LEN(X305)=0,"",X305)</f>
        <v/>
      </c>
    </row>
    <row r="306" spans="2:51" s="823" customFormat="1" x14ac:dyDescent="0.2">
      <c r="B306" s="23" t="s">
        <v>3956</v>
      </c>
      <c r="C306" s="4"/>
      <c r="D306" s="4"/>
      <c r="E306" s="4"/>
      <c r="F306" s="4"/>
      <c r="G306" s="4"/>
      <c r="H306" s="4"/>
      <c r="I306" s="69"/>
      <c r="J306" s="69"/>
      <c r="K306" s="69"/>
      <c r="L306" s="1611"/>
      <c r="M306" s="1615"/>
      <c r="O306" s="1604"/>
      <c r="X306" s="1600"/>
      <c r="AL306" s="17"/>
      <c r="AM306" s="17"/>
      <c r="AN306" s="17"/>
      <c r="AO306" s="17"/>
      <c r="AP306"/>
      <c r="AQ306"/>
      <c r="AR306"/>
      <c r="AS306"/>
    </row>
    <row r="307" spans="2:51" s="823" customFormat="1" ht="16" thickBot="1" x14ac:dyDescent="0.25">
      <c r="B307" s="23" t="s">
        <v>3956</v>
      </c>
      <c r="C307" s="4"/>
      <c r="D307" s="4"/>
      <c r="E307" s="4"/>
      <c r="F307" s="4"/>
      <c r="G307" s="4"/>
      <c r="H307" s="4"/>
      <c r="I307" s="69"/>
      <c r="J307" s="69"/>
      <c r="K307" s="69"/>
      <c r="L307" s="1611"/>
      <c r="M307" s="1615"/>
      <c r="O307" s="1604"/>
      <c r="X307" s="1600"/>
      <c r="AL307" s="17"/>
      <c r="AM307" s="17"/>
      <c r="AN307" s="17"/>
      <c r="AO307" s="17"/>
      <c r="AP307"/>
      <c r="AQ307"/>
      <c r="AR307"/>
      <c r="AS307"/>
    </row>
    <row r="308" spans="2:51" ht="17" thickTop="1" thickBot="1" x14ac:dyDescent="0.25">
      <c r="I308" s="201" t="s">
        <v>631</v>
      </c>
      <c r="J308" s="202"/>
      <c r="K308" s="202"/>
      <c r="L308" s="202"/>
      <c r="M308" s="203"/>
      <c r="N308" s="202"/>
      <c r="O308" s="204"/>
      <c r="P308" s="202"/>
      <c r="Q308" s="202"/>
      <c r="R308" s="202"/>
      <c r="S308" s="202"/>
      <c r="T308" s="202"/>
      <c r="U308" s="202"/>
      <c r="V308" s="202"/>
      <c r="W308" s="202"/>
      <c r="X308" s="278" t="s">
        <v>630</v>
      </c>
      <c r="AX308" s="823"/>
      <c r="AY308" s="823"/>
    </row>
    <row r="309" spans="2:51" ht="16" thickTop="1" x14ac:dyDescent="0.2">
      <c r="AX309" s="823"/>
      <c r="AY309" s="823"/>
    </row>
    <row r="310" spans="2:51" x14ac:dyDescent="0.2">
      <c r="AX310" s="823"/>
      <c r="AY310" s="823"/>
    </row>
    <row r="311" spans="2:51" x14ac:dyDescent="0.2">
      <c r="AX311" s="823"/>
      <c r="AY311" s="823"/>
    </row>
  </sheetData>
  <sheetProtection algorithmName="SHA-512" hashValue="XDdiqcnjRa0BQO/Wt0ayKhR3L/iQOU8r9n+EVtEi40yKBMJh0tXY5fgI8beUBKbDg+2H6ekVyg1k5krUEZO3Yw==" saltValue="iq201hcqBTfR8+WCQ0WcZg==" spinCount="100000" sheet="1" objects="1" scenarios="1" selectLockedCells="1"/>
  <mergeCells count="281">
    <mergeCell ref="X255:X260"/>
    <mergeCell ref="M212:M215"/>
    <mergeCell ref="L200:L201"/>
    <mergeCell ref="X252:X254"/>
    <mergeCell ref="L52:L55"/>
    <mergeCell ref="L57:L60"/>
    <mergeCell ref="M210:M211"/>
    <mergeCell ref="M190:M194"/>
    <mergeCell ref="O242:O243"/>
    <mergeCell ref="O252:O254"/>
    <mergeCell ref="O220:O227"/>
    <mergeCell ref="O190:O194"/>
    <mergeCell ref="O198:O199"/>
    <mergeCell ref="O200:O201"/>
    <mergeCell ref="O205:O206"/>
    <mergeCell ref="O208:O209"/>
    <mergeCell ref="O210:O211"/>
    <mergeCell ref="O212:O215"/>
    <mergeCell ref="O216:O218"/>
    <mergeCell ref="M220:M227"/>
    <mergeCell ref="L202:L204"/>
    <mergeCell ref="L205:L206"/>
    <mergeCell ref="L185:L186"/>
    <mergeCell ref="L188:L189"/>
    <mergeCell ref="L150:L151"/>
    <mergeCell ref="M150:M151"/>
    <mergeCell ref="L137:L138"/>
    <mergeCell ref="L106:L109"/>
    <mergeCell ref="L110:L112"/>
    <mergeCell ref="L116:L119"/>
    <mergeCell ref="L123:L124"/>
    <mergeCell ref="L84:L85"/>
    <mergeCell ref="L133:L134"/>
    <mergeCell ref="L148:L149"/>
    <mergeCell ref="L86:L87"/>
    <mergeCell ref="L91:L92"/>
    <mergeCell ref="L113:L115"/>
    <mergeCell ref="L94:L95"/>
    <mergeCell ref="L97:L98"/>
    <mergeCell ref="L143:L144"/>
    <mergeCell ref="X242:X251"/>
    <mergeCell ref="X237:X240"/>
    <mergeCell ref="X220:X227"/>
    <mergeCell ref="X216:X218"/>
    <mergeCell ref="X210:X211"/>
    <mergeCell ref="X208:X209"/>
    <mergeCell ref="X205:X206"/>
    <mergeCell ref="X212:X215"/>
    <mergeCell ref="X234:X235"/>
    <mergeCell ref="X158:X162"/>
    <mergeCell ref="M165:M167"/>
    <mergeCell ref="L158:L162"/>
    <mergeCell ref="X163:X164"/>
    <mergeCell ref="M178:M179"/>
    <mergeCell ref="M163:M164"/>
    <mergeCell ref="M168:M169"/>
    <mergeCell ref="M170:M171"/>
    <mergeCell ref="M172:M173"/>
    <mergeCell ref="O163:O164"/>
    <mergeCell ref="O158:O162"/>
    <mergeCell ref="X165:X167"/>
    <mergeCell ref="L163:L164"/>
    <mergeCell ref="M158:M162"/>
    <mergeCell ref="L198:L199"/>
    <mergeCell ref="L195:L196"/>
    <mergeCell ref="O168:O169"/>
    <mergeCell ref="O170:O171"/>
    <mergeCell ref="O172:O173"/>
    <mergeCell ref="O183:O184"/>
    <mergeCell ref="O185:O186"/>
    <mergeCell ref="O174:O175"/>
    <mergeCell ref="L168:L169"/>
    <mergeCell ref="L170:L171"/>
    <mergeCell ref="L172:L173"/>
    <mergeCell ref="L174:L175"/>
    <mergeCell ref="L178:L179"/>
    <mergeCell ref="L181:L182"/>
    <mergeCell ref="L183:L184"/>
    <mergeCell ref="L190:L193"/>
    <mergeCell ref="M234:M235"/>
    <mergeCell ref="M198:M199"/>
    <mergeCell ref="M183:M184"/>
    <mergeCell ref="M185:M186"/>
    <mergeCell ref="X195:X201"/>
    <mergeCell ref="X190:X194"/>
    <mergeCell ref="X148:X149"/>
    <mergeCell ref="X152:X156"/>
    <mergeCell ref="M52:M55"/>
    <mergeCell ref="M65:M66"/>
    <mergeCell ref="M67:M68"/>
    <mergeCell ref="M208:M209"/>
    <mergeCell ref="O165:O167"/>
    <mergeCell ref="X181:X186"/>
    <mergeCell ref="M200:M201"/>
    <mergeCell ref="M205:M206"/>
    <mergeCell ref="X202:X204"/>
    <mergeCell ref="M216:M218"/>
    <mergeCell ref="X145:X147"/>
    <mergeCell ref="X81:X93"/>
    <mergeCell ref="X174:X180"/>
    <mergeCell ref="X168:X169"/>
    <mergeCell ref="X170:X171"/>
    <mergeCell ref="X172:X173"/>
    <mergeCell ref="L212:L215"/>
    <mergeCell ref="L216:L218"/>
    <mergeCell ref="L247:L250"/>
    <mergeCell ref="L252:L254"/>
    <mergeCell ref="L244:L246"/>
    <mergeCell ref="X35:X37"/>
    <mergeCell ref="M35:M37"/>
    <mergeCell ref="M18:M19"/>
    <mergeCell ref="L18:L19"/>
    <mergeCell ref="X18:X19"/>
    <mergeCell ref="X20:X28"/>
    <mergeCell ref="L35:L37"/>
    <mergeCell ref="L20:L23"/>
    <mergeCell ref="O35:O37"/>
    <mergeCell ref="O18:O19"/>
    <mergeCell ref="O20:O28"/>
    <mergeCell ref="O30:O32"/>
    <mergeCell ref="X29:X34"/>
    <mergeCell ref="X38:X42"/>
    <mergeCell ref="L38:L39"/>
    <mergeCell ref="M20:M28"/>
    <mergeCell ref="X52:X55"/>
    <mergeCell ref="X57:X61"/>
    <mergeCell ref="X62:X80"/>
    <mergeCell ref="H1:H7"/>
    <mergeCell ref="O52:O55"/>
    <mergeCell ref="M1:W5"/>
    <mergeCell ref="O148:O149"/>
    <mergeCell ref="O123:O124"/>
    <mergeCell ref="O137:O138"/>
    <mergeCell ref="O143:O144"/>
    <mergeCell ref="O84:O85"/>
    <mergeCell ref="O91:O92"/>
    <mergeCell ref="L145:L147"/>
    <mergeCell ref="O14:O15"/>
    <mergeCell ref="O16:O17"/>
    <mergeCell ref="N6:N7"/>
    <mergeCell ref="P6:P7"/>
    <mergeCell ref="V6:V7"/>
    <mergeCell ref="W6:W7"/>
    <mergeCell ref="Q6:Q7"/>
    <mergeCell ref="O38:O39"/>
    <mergeCell ref="M38:M39"/>
    <mergeCell ref="M145:M147"/>
    <mergeCell ref="M148:M149"/>
    <mergeCell ref="O145:O147"/>
    <mergeCell ref="M72:M73"/>
    <mergeCell ref="L30:L32"/>
    <mergeCell ref="X137:X142"/>
    <mergeCell ref="X143:X144"/>
    <mergeCell ref="L72:L73"/>
    <mergeCell ref="O65:O66"/>
    <mergeCell ref="O67:O68"/>
    <mergeCell ref="O113:O115"/>
    <mergeCell ref="O116:O119"/>
    <mergeCell ref="O72:O73"/>
    <mergeCell ref="X106:X112"/>
    <mergeCell ref="X113:X115"/>
    <mergeCell ref="X116:X122"/>
    <mergeCell ref="X123:X127"/>
    <mergeCell ref="X133:X136"/>
    <mergeCell ref="M97:M98"/>
    <mergeCell ref="X94:X105"/>
    <mergeCell ref="O97:O98"/>
    <mergeCell ref="O86:O87"/>
    <mergeCell ref="L65:L66"/>
    <mergeCell ref="L67:L68"/>
    <mergeCell ref="M143:M144"/>
    <mergeCell ref="L130:L132"/>
    <mergeCell ref="M130:M132"/>
    <mergeCell ref="L101:L102"/>
    <mergeCell ref="L135:L136"/>
    <mergeCell ref="X4:X5"/>
    <mergeCell ref="I1:L1"/>
    <mergeCell ref="I2:L2"/>
    <mergeCell ref="I3:L3"/>
    <mergeCell ref="X6:X7"/>
    <mergeCell ref="M14:M15"/>
    <mergeCell ref="M16:M17"/>
    <mergeCell ref="L14:L15"/>
    <mergeCell ref="L16:L17"/>
    <mergeCell ref="I4:L4"/>
    <mergeCell ref="I5:L5"/>
    <mergeCell ref="R6:R7"/>
    <mergeCell ref="S6:S7"/>
    <mergeCell ref="T6:T7"/>
    <mergeCell ref="U6:U7"/>
    <mergeCell ref="X14:X15"/>
    <mergeCell ref="X16:X17"/>
    <mergeCell ref="I6:K7"/>
    <mergeCell ref="L6:L7"/>
    <mergeCell ref="M6:M7"/>
    <mergeCell ref="L10:L12"/>
    <mergeCell ref="O130:O132"/>
    <mergeCell ref="L62:L63"/>
    <mergeCell ref="X130:X132"/>
    <mergeCell ref="X128:X129"/>
    <mergeCell ref="M128:M129"/>
    <mergeCell ref="L128:L129"/>
    <mergeCell ref="O128:O129"/>
    <mergeCell ref="O45:O47"/>
    <mergeCell ref="O48:O50"/>
    <mergeCell ref="M91:M92"/>
    <mergeCell ref="M84:M85"/>
    <mergeCell ref="M113:M115"/>
    <mergeCell ref="L69:L70"/>
    <mergeCell ref="M69:M70"/>
    <mergeCell ref="O69:O70"/>
    <mergeCell ref="X43:X44"/>
    <mergeCell ref="X45:X47"/>
    <mergeCell ref="X48:X50"/>
    <mergeCell ref="L74:L75"/>
    <mergeCell ref="L76:L80"/>
    <mergeCell ref="M74:M75"/>
    <mergeCell ref="O74:O75"/>
    <mergeCell ref="M76:M80"/>
    <mergeCell ref="O76:O80"/>
    <mergeCell ref="L43:L44"/>
    <mergeCell ref="L45:L46"/>
    <mergeCell ref="L48:L49"/>
    <mergeCell ref="M45:M47"/>
    <mergeCell ref="M48:M50"/>
    <mergeCell ref="M43:M44"/>
    <mergeCell ref="O150:O151"/>
    <mergeCell ref="X150:X151"/>
    <mergeCell ref="L263:L264"/>
    <mergeCell ref="L265:L266"/>
    <mergeCell ref="L267:L269"/>
    <mergeCell ref="L283:L286"/>
    <mergeCell ref="L288:L289"/>
    <mergeCell ref="L290:L292"/>
    <mergeCell ref="O267:O269"/>
    <mergeCell ref="O283:O285"/>
    <mergeCell ref="O290:O292"/>
    <mergeCell ref="M265:M266"/>
    <mergeCell ref="O265:O266"/>
    <mergeCell ref="X265:X266"/>
    <mergeCell ref="M252:M254"/>
    <mergeCell ref="M242:M243"/>
    <mergeCell ref="O234:O235"/>
    <mergeCell ref="L165:L167"/>
    <mergeCell ref="L229:L231"/>
    <mergeCell ref="L232:L233"/>
    <mergeCell ref="L234:L235"/>
    <mergeCell ref="L242:L243"/>
    <mergeCell ref="L208:L209"/>
    <mergeCell ref="L210:L211"/>
    <mergeCell ref="M267:M269"/>
    <mergeCell ref="M272:M274"/>
    <mergeCell ref="M283:M285"/>
    <mergeCell ref="M290:M292"/>
    <mergeCell ref="M294:M295"/>
    <mergeCell ref="M299:M300"/>
    <mergeCell ref="M301:M302"/>
    <mergeCell ref="M303:M304"/>
    <mergeCell ref="M305:M307"/>
    <mergeCell ref="O294:O295"/>
    <mergeCell ref="O299:O300"/>
    <mergeCell ref="O301:O302"/>
    <mergeCell ref="O303:O304"/>
    <mergeCell ref="O305:O307"/>
    <mergeCell ref="L272:L275"/>
    <mergeCell ref="L276:L282"/>
    <mergeCell ref="L294:L295"/>
    <mergeCell ref="L296:L298"/>
    <mergeCell ref="L299:L300"/>
    <mergeCell ref="L301:L302"/>
    <mergeCell ref="L303:L304"/>
    <mergeCell ref="L305:L307"/>
    <mergeCell ref="X305:X307"/>
    <mergeCell ref="X303:X304"/>
    <mergeCell ref="X301:X302"/>
    <mergeCell ref="X299:X300"/>
    <mergeCell ref="X294:X295"/>
    <mergeCell ref="X290:X292"/>
    <mergeCell ref="X283:X286"/>
    <mergeCell ref="X272:X282"/>
    <mergeCell ref="X267:X269"/>
  </mergeCells>
  <conditionalFormatting sqref="X2">
    <cfRule type="expression" dxfId="5747" priority="918">
      <formula>$AG$3</formula>
    </cfRule>
  </conditionalFormatting>
  <conditionalFormatting sqref="I1">
    <cfRule type="expression" dxfId="5746" priority="920">
      <formula>$AG$1="Gold"</formula>
    </cfRule>
    <cfRule type="expression" dxfId="5745" priority="921">
      <formula>$AG$1="Silver"</formula>
    </cfRule>
    <cfRule type="expression" dxfId="5744" priority="922">
      <formula>$AG$1="Bronze"</formula>
    </cfRule>
    <cfRule type="expression" dxfId="5743" priority="923">
      <formula>$AG$1="Emerald"</formula>
    </cfRule>
  </conditionalFormatting>
  <conditionalFormatting sqref="X3">
    <cfRule type="expression" dxfId="5742" priority="924">
      <formula>$AI$3</formula>
    </cfRule>
  </conditionalFormatting>
  <conditionalFormatting sqref="W38">
    <cfRule type="expression" dxfId="5741" priority="776">
      <formula>OR($T$38 = TRUE, AND(LEN(TRIM($W$38))&gt;0, $S$38 = FALSE))</formula>
    </cfRule>
    <cfRule type="expression" dxfId="5740" priority="777">
      <formula>$S$38 = FALSE</formula>
    </cfRule>
    <cfRule type="expression" dxfId="5739" priority="778">
      <formula>AND(IF($R$38,$W$38,TRUE),LEN(TRIM($W$38))&gt;0)</formula>
    </cfRule>
    <cfRule type="expression" dxfId="5738" priority="779">
      <formula>AND($R$38,$S$38)</formula>
    </cfRule>
  </conditionalFormatting>
  <conditionalFormatting sqref="W82">
    <cfRule type="notContainsBlanks" dxfId="5737" priority="925">
      <formula>LEN(TRIM(W82))&gt;0</formula>
    </cfRule>
  </conditionalFormatting>
  <conditionalFormatting sqref="W255">
    <cfRule type="expression" dxfId="5736" priority="515">
      <formula>AND($R$255,$S$255)</formula>
    </cfRule>
  </conditionalFormatting>
  <conditionalFormatting sqref="W255">
    <cfRule type="expression" dxfId="5735" priority="514">
      <formula>AND(IF($R$255,$W$255,TRUE),LEN(TRIM($W$255))&gt;0)</formula>
    </cfRule>
  </conditionalFormatting>
  <conditionalFormatting sqref="W255">
    <cfRule type="expression" dxfId="5734" priority="513">
      <formula>$S$255 = FALSE</formula>
    </cfRule>
  </conditionalFormatting>
  <conditionalFormatting sqref="W255">
    <cfRule type="expression" dxfId="5733" priority="512">
      <formula>OR($T$255 = TRUE, AND(LEN(TRIM($W$255))&gt;0, $S$255 = FALSE))</formula>
    </cfRule>
  </conditionalFormatting>
  <conditionalFormatting sqref="W237">
    <cfRule type="expression" dxfId="5732" priority="507">
      <formula>AND($R$237,$S$237)</formula>
    </cfRule>
  </conditionalFormatting>
  <conditionalFormatting sqref="W237">
    <cfRule type="expression" dxfId="5731" priority="506">
      <formula>AND(IF($R$237,$W$237,TRUE),LEN(TRIM($W$237))&gt;0)</formula>
    </cfRule>
  </conditionalFormatting>
  <conditionalFormatting sqref="W237">
    <cfRule type="expression" dxfId="5730" priority="505">
      <formula>$S$237 = FALSE</formula>
    </cfRule>
  </conditionalFormatting>
  <conditionalFormatting sqref="W237">
    <cfRule type="expression" dxfId="5729" priority="504">
      <formula>OR($T$237 = TRUE, AND(LEN(TRIM($W$237))&gt;0, $S$237 = FALSE))</formula>
    </cfRule>
  </conditionalFormatting>
  <conditionalFormatting sqref="W152">
    <cfRule type="expression" dxfId="5728" priority="495">
      <formula>AND($R$152,$S$152)</formula>
    </cfRule>
  </conditionalFormatting>
  <conditionalFormatting sqref="W152">
    <cfRule type="expression" dxfId="5727" priority="494">
      <formula>AND(IF($R$152,$W$152,TRUE),LEN(TRIM($W$152))&gt;0)</formula>
    </cfRule>
  </conditionalFormatting>
  <conditionalFormatting sqref="W152">
    <cfRule type="expression" dxfId="5726" priority="493">
      <formula>$S$152 = FALSE</formula>
    </cfRule>
  </conditionalFormatting>
  <conditionalFormatting sqref="W152">
    <cfRule type="expression" dxfId="5725" priority="492">
      <formula>OR($T$152 = TRUE, AND(LEN(TRIM($W$152))&gt;0, $S$152 = FALSE))</formula>
    </cfRule>
  </conditionalFormatting>
  <conditionalFormatting sqref="W137">
    <cfRule type="expression" dxfId="5724" priority="491">
      <formula>AND($R$137,$S$137)</formula>
    </cfRule>
  </conditionalFormatting>
  <conditionalFormatting sqref="W137">
    <cfRule type="expression" dxfId="5723" priority="490">
      <formula>AND(IF($R$137,$W$137,TRUE),LEN(TRIM($W$137))&gt;0)</formula>
    </cfRule>
  </conditionalFormatting>
  <conditionalFormatting sqref="W137">
    <cfRule type="expression" dxfId="5722" priority="489">
      <formula>$S$137 = FALSE</formula>
    </cfRule>
  </conditionalFormatting>
  <conditionalFormatting sqref="W137">
    <cfRule type="expression" dxfId="5721" priority="488">
      <formula>OR($T$137 = TRUE, AND(LEN(TRIM($W$137))&gt;0, $S$137 = FALSE))</formula>
    </cfRule>
  </conditionalFormatting>
  <conditionalFormatting sqref="W135">
    <cfRule type="expression" dxfId="5720" priority="484">
      <formula>OR($T$135 = TRUE, AND(LEN(TRIM($W$135))&gt;0, $S$135 = FALSE))</formula>
    </cfRule>
    <cfRule type="expression" dxfId="5719" priority="485">
      <formula>$S$135 = FALSE</formula>
    </cfRule>
    <cfRule type="expression" dxfId="5718" priority="486">
      <formula>AND(IF($R$135,$W$135,TRUE),LEN(TRIM($W$135))&gt;0)</formula>
    </cfRule>
    <cfRule type="expression" dxfId="5717" priority="487">
      <formula>AND($R$135,$S$135)</formula>
    </cfRule>
  </conditionalFormatting>
  <conditionalFormatting sqref="X220:X227">
    <cfRule type="expression" dxfId="5716" priority="474">
      <formula>$W$226=TRUE</formula>
    </cfRule>
  </conditionalFormatting>
  <conditionalFormatting sqref="W16">
    <cfRule type="expression" dxfId="5715" priority="390">
      <formula>OR($T$16 = TRUE, AND($W$16 = TRUE, $S$16 = FALSE))</formula>
    </cfRule>
    <cfRule type="expression" dxfId="5714" priority="391">
      <formula>$S$16 = FALSE</formula>
    </cfRule>
    <cfRule type="expression" dxfId="5713" priority="392">
      <formula>AND(IF($R$16,$W$16,TRUE),LEN(TRIM($W$16))&gt;0)</formula>
    </cfRule>
    <cfRule type="expression" dxfId="5712" priority="393">
      <formula>AND($R$16,$S$16)</formula>
    </cfRule>
  </conditionalFormatting>
  <conditionalFormatting sqref="W18">
    <cfRule type="expression" dxfId="5711" priority="386">
      <formula>OR($T$18 = TRUE, AND($W$18 = TRUE, $S$18 = FALSE))</formula>
    </cfRule>
    <cfRule type="expression" dxfId="5710" priority="387">
      <formula>$S$18 = FALSE</formula>
    </cfRule>
    <cfRule type="expression" dxfId="5709" priority="388">
      <formula>AND(IF($R$18,$W$18,TRUE),LEN(TRIM($W$18))&gt;0)</formula>
    </cfRule>
    <cfRule type="expression" dxfId="5708" priority="389">
      <formula>AND($R$18,$S$18)</formula>
    </cfRule>
  </conditionalFormatting>
  <conditionalFormatting sqref="W20">
    <cfRule type="expression" dxfId="5707" priority="378">
      <formula>OR($T$20 = TRUE, AND($W$20 = TRUE, $S$20 = FALSE))</formula>
    </cfRule>
    <cfRule type="expression" dxfId="5706" priority="379">
      <formula>$S$20 = FALSE</formula>
    </cfRule>
    <cfRule type="expression" dxfId="5705" priority="380">
      <formula>AND(IF($R$20,$W$20,TRUE),LEN(TRIM($W$20))&gt;0)</formula>
    </cfRule>
    <cfRule type="expression" dxfId="5704" priority="381">
      <formula>AND($R$20,$S$20)</formula>
    </cfRule>
  </conditionalFormatting>
  <conditionalFormatting sqref="W35">
    <cfRule type="expression" dxfId="5703" priority="374">
      <formula>OR($T$35 = TRUE, AND($W$35 = TRUE, $S$35 = FALSE))</formula>
    </cfRule>
    <cfRule type="expression" dxfId="5702" priority="375">
      <formula>$S$35 = FALSE</formula>
    </cfRule>
    <cfRule type="expression" dxfId="5701" priority="376">
      <formula>AND(IF($R$35,$W$35,TRUE),LEN(TRIM($W$35))&gt;0)</formula>
    </cfRule>
    <cfRule type="expression" dxfId="5700" priority="377">
      <formula>AND($R$35,$S$35)</formula>
    </cfRule>
  </conditionalFormatting>
  <conditionalFormatting sqref="W52">
    <cfRule type="expression" dxfId="5699" priority="370">
      <formula>OR($T$52 = TRUE, AND($W$52 = TRUE, $S$52 = FALSE))</formula>
    </cfRule>
    <cfRule type="expression" dxfId="5698" priority="371">
      <formula>$S$52 = FALSE</formula>
    </cfRule>
    <cfRule type="expression" dxfId="5697" priority="372">
      <formula>AND(IF($R$52,$W$52,TRUE),LEN(TRIM($W$52))&gt;0)</formula>
    </cfRule>
    <cfRule type="expression" dxfId="5696" priority="373">
      <formula>AND($R$52,$S$52)</formula>
    </cfRule>
  </conditionalFormatting>
  <conditionalFormatting sqref="W64">
    <cfRule type="expression" dxfId="5695" priority="366">
      <formula>OR($T$64 = TRUE, AND($W$64 = TRUE, $S$64 = FALSE))</formula>
    </cfRule>
    <cfRule type="expression" dxfId="5694" priority="367">
      <formula>$S$64 = FALSE</formula>
    </cfRule>
    <cfRule type="expression" dxfId="5693" priority="368">
      <formula>AND(IF($R$64,$W$64,TRUE),LEN(TRIM($W$64))&gt;0)</formula>
    </cfRule>
    <cfRule type="expression" dxfId="5692" priority="369">
      <formula>AND($R$64,$S$64)</formula>
    </cfRule>
  </conditionalFormatting>
  <conditionalFormatting sqref="W65">
    <cfRule type="expression" dxfId="5691" priority="362">
      <formula>OR($T$65 = TRUE, AND($W$65 = TRUE, $S$65 = FALSE))</formula>
    </cfRule>
    <cfRule type="expression" dxfId="5690" priority="363">
      <formula>$S$65 = FALSE</formula>
    </cfRule>
    <cfRule type="expression" dxfId="5689" priority="364">
      <formula>AND(IF($R$65,$W$65,TRUE),LEN(TRIM($W$65))&gt;0)</formula>
    </cfRule>
    <cfRule type="expression" dxfId="5688" priority="365">
      <formula>AND($R$65,$S$65)</formula>
    </cfRule>
  </conditionalFormatting>
  <conditionalFormatting sqref="W67">
    <cfRule type="expression" dxfId="5687" priority="358">
      <formula>OR($T$67 = TRUE, AND($W$67 = TRUE, $S$67 = FALSE))</formula>
    </cfRule>
    <cfRule type="expression" dxfId="5686" priority="359">
      <formula>$S$67 = FALSE</formula>
    </cfRule>
    <cfRule type="expression" dxfId="5685" priority="360">
      <formula>AND(IF($R$67,$W$67,TRUE),LEN(TRIM($W$67))&gt;0)</formula>
    </cfRule>
    <cfRule type="expression" dxfId="5684" priority="361">
      <formula>AND($R$67,$S$67)</formula>
    </cfRule>
  </conditionalFormatting>
  <conditionalFormatting sqref="W69">
    <cfRule type="expression" dxfId="5683" priority="357">
      <formula>AND($R$69,$S$69)</formula>
    </cfRule>
  </conditionalFormatting>
  <conditionalFormatting sqref="W69">
    <cfRule type="expression" dxfId="5682" priority="356">
      <formula>AND(IF($R$69,$W$69,TRUE),LEN(TRIM($W$69))&gt;0)</formula>
    </cfRule>
  </conditionalFormatting>
  <conditionalFormatting sqref="W69">
    <cfRule type="expression" dxfId="5681" priority="355">
      <formula>$S$69 = FALSE</formula>
    </cfRule>
  </conditionalFormatting>
  <conditionalFormatting sqref="W69">
    <cfRule type="expression" dxfId="5680" priority="354">
      <formula>OR($T$69 = TRUE, AND($W$69 = TRUE, $S$69 = FALSE))</formula>
    </cfRule>
  </conditionalFormatting>
  <conditionalFormatting sqref="W71">
    <cfRule type="expression" dxfId="5679" priority="353">
      <formula>AND($R$71,$S$71)</formula>
    </cfRule>
  </conditionalFormatting>
  <conditionalFormatting sqref="W71">
    <cfRule type="expression" dxfId="5678" priority="352">
      <formula>AND(IF($R$71,$W$71,TRUE),LEN(TRIM($W$71))&gt;0)</formula>
    </cfRule>
  </conditionalFormatting>
  <conditionalFormatting sqref="W71">
    <cfRule type="expression" dxfId="5677" priority="351">
      <formula>$S$71 = FALSE</formula>
    </cfRule>
  </conditionalFormatting>
  <conditionalFormatting sqref="W71">
    <cfRule type="expression" dxfId="5676" priority="350">
      <formula>OR($T$71 = TRUE, AND($W$71 = TRUE, $S$71 = FALSE))</formula>
    </cfRule>
  </conditionalFormatting>
  <conditionalFormatting sqref="W72">
    <cfRule type="expression" dxfId="5675" priority="349">
      <formula>AND($R$72,$S$72)</formula>
    </cfRule>
  </conditionalFormatting>
  <conditionalFormatting sqref="W72">
    <cfRule type="expression" dxfId="5674" priority="348">
      <formula>AND(IF($R$72,$W$72,TRUE),LEN(TRIM($W$72))&gt;0)</formula>
    </cfRule>
  </conditionalFormatting>
  <conditionalFormatting sqref="W72">
    <cfRule type="expression" dxfId="5673" priority="347">
      <formula>$S$72 = FALSE</formula>
    </cfRule>
  </conditionalFormatting>
  <conditionalFormatting sqref="W72">
    <cfRule type="expression" dxfId="5672" priority="346">
      <formula>OR($T$72 = TRUE, AND($W$72 = TRUE, $S$72 = FALSE))</formula>
    </cfRule>
  </conditionalFormatting>
  <conditionalFormatting sqref="W74">
    <cfRule type="expression" dxfId="5671" priority="345">
      <formula>AND($R$74,$S$74)</formula>
    </cfRule>
  </conditionalFormatting>
  <conditionalFormatting sqref="W74">
    <cfRule type="expression" dxfId="5670" priority="344">
      <formula>AND(IF($R$74,$W$74,TRUE),LEN(TRIM($W$74))&gt;0)</formula>
    </cfRule>
  </conditionalFormatting>
  <conditionalFormatting sqref="W74">
    <cfRule type="expression" dxfId="5669" priority="343">
      <formula>$S$74 = FALSE</formula>
    </cfRule>
  </conditionalFormatting>
  <conditionalFormatting sqref="W74">
    <cfRule type="expression" dxfId="5668" priority="342">
      <formula>OR($T$74 = TRUE, AND($W$74 = TRUE, $S$74 = FALSE))</formula>
    </cfRule>
  </conditionalFormatting>
  <conditionalFormatting sqref="W83">
    <cfRule type="expression" dxfId="5667" priority="341">
      <formula>AND($R$83,$S$83)</formula>
    </cfRule>
  </conditionalFormatting>
  <conditionalFormatting sqref="W83">
    <cfRule type="expression" dxfId="5666" priority="340">
      <formula>AND(IF($R$83,$W$83,TRUE),LEN(TRIM($W$83))&gt;0)</formula>
    </cfRule>
  </conditionalFormatting>
  <conditionalFormatting sqref="W83">
    <cfRule type="expression" dxfId="5665" priority="339">
      <formula>$S$83 = FALSE</formula>
    </cfRule>
  </conditionalFormatting>
  <conditionalFormatting sqref="W83">
    <cfRule type="expression" dxfId="5664" priority="338">
      <formula>OR($T$83 = TRUE, AND($W$83 = TRUE, $S$83 = FALSE))</formula>
    </cfRule>
  </conditionalFormatting>
  <conditionalFormatting sqref="W84">
    <cfRule type="expression" dxfId="5663" priority="337">
      <formula>AND($R$84,$S$84)</formula>
    </cfRule>
  </conditionalFormatting>
  <conditionalFormatting sqref="W84">
    <cfRule type="expression" dxfId="5662" priority="336">
      <formula>AND(IF($R$84,$W$84,TRUE),LEN(TRIM($W$84))&gt;0)</formula>
    </cfRule>
  </conditionalFormatting>
  <conditionalFormatting sqref="W84">
    <cfRule type="expression" dxfId="5661" priority="335">
      <formula>$S$84 = FALSE</formula>
    </cfRule>
  </conditionalFormatting>
  <conditionalFormatting sqref="W84">
    <cfRule type="expression" dxfId="5660" priority="334">
      <formula>OR($T$84 = TRUE, AND($W$84 = TRUE, $S$84 = FALSE))</formula>
    </cfRule>
  </conditionalFormatting>
  <conditionalFormatting sqref="W86">
    <cfRule type="expression" dxfId="5659" priority="329">
      <formula>AND($R$86,$S$86)</formula>
    </cfRule>
  </conditionalFormatting>
  <conditionalFormatting sqref="W86">
    <cfRule type="expression" dxfId="5658" priority="328">
      <formula>AND($W$86&lt;&gt;"Not Met",LEN(TRIM($W$86))&gt;0)</formula>
    </cfRule>
  </conditionalFormatting>
  <conditionalFormatting sqref="W86">
    <cfRule type="expression" dxfId="5657" priority="327">
      <formula>$S$86 = FALSE</formula>
    </cfRule>
  </conditionalFormatting>
  <conditionalFormatting sqref="W86">
    <cfRule type="expression" dxfId="5656" priority="326">
      <formula>OR($T$86 = TRUE, AND(LEN(TRIM($W$86))&gt;0, $S$86 = FALSE))</formula>
    </cfRule>
  </conditionalFormatting>
  <conditionalFormatting sqref="W91">
    <cfRule type="expression" dxfId="5655" priority="325">
      <formula>AND($R$91,$S$91)</formula>
    </cfRule>
  </conditionalFormatting>
  <conditionalFormatting sqref="W91">
    <cfRule type="expression" dxfId="5654" priority="324">
      <formula>AND(IF($R$91,$W$91,TRUE),LEN(TRIM($W$91))&gt;0)</formula>
    </cfRule>
  </conditionalFormatting>
  <conditionalFormatting sqref="W91">
    <cfRule type="expression" dxfId="5653" priority="323">
      <formula>$S$91 = FALSE</formula>
    </cfRule>
  </conditionalFormatting>
  <conditionalFormatting sqref="W91">
    <cfRule type="expression" dxfId="5652" priority="322">
      <formula>OR($T$91 = TRUE, AND($W$91 = TRUE, $S$91 = FALSE))</formula>
    </cfRule>
  </conditionalFormatting>
  <conditionalFormatting sqref="W93">
    <cfRule type="expression" dxfId="5651" priority="321">
      <formula>AND($R$93,$S$93)</formula>
    </cfRule>
  </conditionalFormatting>
  <conditionalFormatting sqref="W93">
    <cfRule type="expression" dxfId="5650" priority="320">
      <formula>AND(IF($R$93,$W$93,TRUE),LEN(TRIM($W$93))&gt;0)</formula>
    </cfRule>
  </conditionalFormatting>
  <conditionalFormatting sqref="W93">
    <cfRule type="expression" dxfId="5649" priority="319">
      <formula>$S$93 = FALSE</formula>
    </cfRule>
  </conditionalFormatting>
  <conditionalFormatting sqref="W93">
    <cfRule type="expression" dxfId="5648" priority="318">
      <formula>OR($T$93 = TRUE, AND($W$93 = TRUE, $S$93 = FALSE))</formula>
    </cfRule>
  </conditionalFormatting>
  <conditionalFormatting sqref="W97">
    <cfRule type="expression" dxfId="5647" priority="317">
      <formula>AND($R$97,$S$97)</formula>
    </cfRule>
  </conditionalFormatting>
  <conditionalFormatting sqref="W97">
    <cfRule type="expression" dxfId="5646" priority="316">
      <formula>AND(IF($R$97,$W$97,TRUE),LEN(TRIM($W$97))&gt;0)</formula>
    </cfRule>
  </conditionalFormatting>
  <conditionalFormatting sqref="W97">
    <cfRule type="expression" dxfId="5645" priority="315">
      <formula>$S$97 = FALSE</formula>
    </cfRule>
  </conditionalFormatting>
  <conditionalFormatting sqref="W97">
    <cfRule type="expression" dxfId="5644" priority="314">
      <formula>OR($T$97 = TRUE, AND($W$97 = TRUE, $S$97 = FALSE))</formula>
    </cfRule>
  </conditionalFormatting>
  <conditionalFormatting sqref="W100">
    <cfRule type="expression" dxfId="5643" priority="313">
      <formula>AND($R$100,$S$100)</formula>
    </cfRule>
  </conditionalFormatting>
  <conditionalFormatting sqref="W100">
    <cfRule type="expression" dxfId="5642" priority="312">
      <formula>AND(IF($R$100,$W$100,TRUE),LEN(TRIM($W$100))&gt;0)</formula>
    </cfRule>
  </conditionalFormatting>
  <conditionalFormatting sqref="W100">
    <cfRule type="expression" dxfId="5641" priority="311">
      <formula>$S$100 = FALSE</formula>
    </cfRule>
  </conditionalFormatting>
  <conditionalFormatting sqref="W100">
    <cfRule type="expression" dxfId="5640" priority="310">
      <formula>OR($T$100 = TRUE, AND($W$100 = TRUE, $S$100 = FALSE))</formula>
    </cfRule>
  </conditionalFormatting>
  <conditionalFormatting sqref="W101">
    <cfRule type="expression" dxfId="5639" priority="309">
      <formula>AND($R$101,$S$101)</formula>
    </cfRule>
  </conditionalFormatting>
  <conditionalFormatting sqref="W101">
    <cfRule type="expression" dxfId="5638" priority="308">
      <formula>AND(IF($R$101,$W$101,TRUE),LEN(TRIM($W$101))&gt;0)</formula>
    </cfRule>
  </conditionalFormatting>
  <conditionalFormatting sqref="W101">
    <cfRule type="expression" dxfId="5637" priority="307">
      <formula>$S$101 = FALSE</formula>
    </cfRule>
  </conditionalFormatting>
  <conditionalFormatting sqref="W101">
    <cfRule type="expression" dxfId="5636" priority="306">
      <formula>OR($T$101 = TRUE, AND($W$101 = TRUE, $S$101 = FALSE))</formula>
    </cfRule>
  </conditionalFormatting>
  <conditionalFormatting sqref="W103">
    <cfRule type="expression" dxfId="5635" priority="305">
      <formula>AND($R$103,$S$103)</formula>
    </cfRule>
  </conditionalFormatting>
  <conditionalFormatting sqref="W103">
    <cfRule type="expression" dxfId="5634" priority="304">
      <formula>AND(IF($R$103,$W$103,TRUE),LEN(TRIM($W$103))&gt;0)</formula>
    </cfRule>
  </conditionalFormatting>
  <conditionalFormatting sqref="W103">
    <cfRule type="expression" dxfId="5633" priority="303">
      <formula>$S$103 = FALSE</formula>
    </cfRule>
  </conditionalFormatting>
  <conditionalFormatting sqref="W103">
    <cfRule type="expression" dxfId="5632" priority="302">
      <formula>OR($T$103 = TRUE, AND($W$103 = TRUE, $S$103 = FALSE))</formula>
    </cfRule>
  </conditionalFormatting>
  <conditionalFormatting sqref="W104">
    <cfRule type="expression" dxfId="5631" priority="301">
      <formula>AND($R$104,$S$104)</formula>
    </cfRule>
  </conditionalFormatting>
  <conditionalFormatting sqref="W104">
    <cfRule type="expression" dxfId="5630" priority="300">
      <formula>AND(IF($R$104,$W$104,TRUE),LEN(TRIM($W$104))&gt;0)</formula>
    </cfRule>
  </conditionalFormatting>
  <conditionalFormatting sqref="W104">
    <cfRule type="expression" dxfId="5629" priority="299">
      <formula>$S$104 = FALSE</formula>
    </cfRule>
  </conditionalFormatting>
  <conditionalFormatting sqref="W104">
    <cfRule type="expression" dxfId="5628" priority="298">
      <formula>OR($T$104 = TRUE, AND($W$104 = TRUE, $S$104 = FALSE))</formula>
    </cfRule>
  </conditionalFormatting>
  <conditionalFormatting sqref="W105">
    <cfRule type="expression" dxfId="5627" priority="297">
      <formula>AND($R$105,$S$105)</formula>
    </cfRule>
  </conditionalFormatting>
  <conditionalFormatting sqref="W105">
    <cfRule type="expression" dxfId="5626" priority="296">
      <formula>AND(IF($R$105,$W$105,TRUE),LEN(TRIM($W$105))&gt;0)</formula>
    </cfRule>
  </conditionalFormatting>
  <conditionalFormatting sqref="W105">
    <cfRule type="expression" dxfId="5625" priority="295">
      <formula>$S$105 = FALSE</formula>
    </cfRule>
  </conditionalFormatting>
  <conditionalFormatting sqref="W105">
    <cfRule type="expression" dxfId="5624" priority="294">
      <formula>OR($T$105 = TRUE, AND($W$105 = TRUE, $S$105 = FALSE))</formula>
    </cfRule>
  </conditionalFormatting>
  <conditionalFormatting sqref="W113">
    <cfRule type="expression" dxfId="5623" priority="293">
      <formula>AND($R$113,$S$113)</formula>
    </cfRule>
  </conditionalFormatting>
  <conditionalFormatting sqref="W113">
    <cfRule type="expression" dxfId="5622" priority="292">
      <formula>AND(IF($R$113,$W$113,TRUE),LEN(TRIM($W$113))&gt;0)</formula>
    </cfRule>
  </conditionalFormatting>
  <conditionalFormatting sqref="W113">
    <cfRule type="expression" dxfId="5621" priority="291">
      <formula>$S$113 = FALSE</formula>
    </cfRule>
  </conditionalFormatting>
  <conditionalFormatting sqref="W113">
    <cfRule type="expression" dxfId="5620" priority="290">
      <formula>OR($T$113 = TRUE, AND($W$113 = TRUE, $S$113 = FALSE))</formula>
    </cfRule>
  </conditionalFormatting>
  <conditionalFormatting sqref="W143">
    <cfRule type="expression" dxfId="5619" priority="277">
      <formula>AND($R$143,$S$143)</formula>
    </cfRule>
  </conditionalFormatting>
  <conditionalFormatting sqref="W143">
    <cfRule type="expression" dxfId="5618" priority="276">
      <formula>AND(IF($R$143,$W$143,TRUE),LEN(TRIM($W$143))&gt;0)</formula>
    </cfRule>
  </conditionalFormatting>
  <conditionalFormatting sqref="W143">
    <cfRule type="expression" dxfId="5617" priority="275">
      <formula>$S$143 = FALSE</formula>
    </cfRule>
  </conditionalFormatting>
  <conditionalFormatting sqref="W143">
    <cfRule type="expression" dxfId="5616" priority="274">
      <formula>OR($T$143 = TRUE, AND($W$143 = TRUE, $S$143 = FALSE))</formula>
    </cfRule>
  </conditionalFormatting>
  <conditionalFormatting sqref="W145">
    <cfRule type="expression" dxfId="5615" priority="273">
      <formula>AND($R$145,$S$145)</formula>
    </cfRule>
  </conditionalFormatting>
  <conditionalFormatting sqref="W145">
    <cfRule type="expression" dxfId="5614" priority="272">
      <formula>AND(IF($R$145,$W$145,TRUE),LEN(TRIM($W$145))&gt;0)</formula>
    </cfRule>
  </conditionalFormatting>
  <conditionalFormatting sqref="W145">
    <cfRule type="expression" dxfId="5613" priority="271">
      <formula>$S$145 = FALSE</formula>
    </cfRule>
  </conditionalFormatting>
  <conditionalFormatting sqref="W145">
    <cfRule type="expression" dxfId="5612" priority="270">
      <formula>OR($T$145 = TRUE, AND($W$145 = TRUE, $S$145 = FALSE))</formula>
    </cfRule>
  </conditionalFormatting>
  <conditionalFormatting sqref="W148">
    <cfRule type="expression" dxfId="5611" priority="269">
      <formula>AND($R$148,$S$148)</formula>
    </cfRule>
  </conditionalFormatting>
  <conditionalFormatting sqref="W148">
    <cfRule type="expression" dxfId="5610" priority="268">
      <formula>AND(IF($R$148,$W$148,TRUE),LEN(TRIM($W$148))&gt;0)</formula>
    </cfRule>
  </conditionalFormatting>
  <conditionalFormatting sqref="W148">
    <cfRule type="expression" dxfId="5609" priority="267">
      <formula>$S$148 = FALSE</formula>
    </cfRule>
  </conditionalFormatting>
  <conditionalFormatting sqref="W148">
    <cfRule type="expression" dxfId="5608" priority="266">
      <formula>OR($T$148 = TRUE, AND($W$148 = TRUE, $S$148 = FALSE))</formula>
    </cfRule>
  </conditionalFormatting>
  <conditionalFormatting sqref="W157">
    <cfRule type="expression" dxfId="5607" priority="265">
      <formula>AND($R$157,$S$157)</formula>
    </cfRule>
  </conditionalFormatting>
  <conditionalFormatting sqref="W157">
    <cfRule type="expression" dxfId="5606" priority="264">
      <formula>AND(IF($R$157,$W$157,TRUE),LEN(TRIM($W$157))&gt;0)</formula>
    </cfRule>
  </conditionalFormatting>
  <conditionalFormatting sqref="W157">
    <cfRule type="expression" dxfId="5605" priority="263">
      <formula>$S$157 = FALSE</formula>
    </cfRule>
  </conditionalFormatting>
  <conditionalFormatting sqref="W157">
    <cfRule type="expression" dxfId="5604" priority="262">
      <formula>OR($T$157 = TRUE, AND($W$157 = TRUE, $S$157 = FALSE))</formula>
    </cfRule>
  </conditionalFormatting>
  <conditionalFormatting sqref="W158">
    <cfRule type="expression" dxfId="5603" priority="261">
      <formula>AND($R$158,$S$158)</formula>
    </cfRule>
  </conditionalFormatting>
  <conditionalFormatting sqref="W158">
    <cfRule type="expression" dxfId="5602" priority="260">
      <formula>AND(IF($R$158,$W$158,TRUE),LEN(TRIM($W$158))&gt;0)</formula>
    </cfRule>
  </conditionalFormatting>
  <conditionalFormatting sqref="W158">
    <cfRule type="expression" dxfId="5601" priority="259">
      <formula>$S$158 = FALSE</formula>
    </cfRule>
  </conditionalFormatting>
  <conditionalFormatting sqref="W158">
    <cfRule type="expression" dxfId="5600" priority="258">
      <formula>OR($T$158 = TRUE, AND($W$158 = TRUE, $S$158 = FALSE))</formula>
    </cfRule>
  </conditionalFormatting>
  <conditionalFormatting sqref="W163">
    <cfRule type="expression" dxfId="5599" priority="257">
      <formula>AND($R$163,$S$163)</formula>
    </cfRule>
  </conditionalFormatting>
  <conditionalFormatting sqref="W163">
    <cfRule type="expression" dxfId="5598" priority="256">
      <formula>AND(IF($R$163,$W$163,TRUE),LEN(TRIM($W$163))&gt;0)</formula>
    </cfRule>
  </conditionalFormatting>
  <conditionalFormatting sqref="W163">
    <cfRule type="expression" dxfId="5597" priority="255">
      <formula>$S$163 = FALSE</formula>
    </cfRule>
  </conditionalFormatting>
  <conditionalFormatting sqref="W163">
    <cfRule type="expression" dxfId="5596" priority="254">
      <formula>OR($T$163 = TRUE, AND($W$163 = TRUE, $S$163 = FALSE))</formula>
    </cfRule>
  </conditionalFormatting>
  <conditionalFormatting sqref="W165">
    <cfRule type="expression" dxfId="5595" priority="253">
      <formula>AND($R$165,$S$165)</formula>
    </cfRule>
  </conditionalFormatting>
  <conditionalFormatting sqref="W165">
    <cfRule type="expression" dxfId="5594" priority="252">
      <formula>AND(IF($R$165,$W$165,TRUE),LEN(TRIM($W$165))&gt;0)</formula>
    </cfRule>
  </conditionalFormatting>
  <conditionalFormatting sqref="W165">
    <cfRule type="expression" dxfId="5593" priority="251">
      <formula>$S$165 = FALSE</formula>
    </cfRule>
  </conditionalFormatting>
  <conditionalFormatting sqref="W165">
    <cfRule type="expression" dxfId="5592" priority="250">
      <formula>OR($T$165 = TRUE, AND($W$165 = TRUE, $S$165 = FALSE))</formula>
    </cfRule>
  </conditionalFormatting>
  <conditionalFormatting sqref="W168">
    <cfRule type="expression" dxfId="5591" priority="249">
      <formula>AND($R$168,$S$168)</formula>
    </cfRule>
  </conditionalFormatting>
  <conditionalFormatting sqref="W168">
    <cfRule type="expression" dxfId="5590" priority="248">
      <formula>AND(IF($R$168,$W$168,TRUE),LEN(TRIM($W$168))&gt;0)</formula>
    </cfRule>
  </conditionalFormatting>
  <conditionalFormatting sqref="W168">
    <cfRule type="expression" dxfId="5589" priority="247">
      <formula>$S$168 = FALSE</formula>
    </cfRule>
  </conditionalFormatting>
  <conditionalFormatting sqref="W168">
    <cfRule type="expression" dxfId="5588" priority="246">
      <formula>OR($T$168 = TRUE, AND($W$168 = TRUE, $S$168 = FALSE))</formula>
    </cfRule>
  </conditionalFormatting>
  <conditionalFormatting sqref="W170">
    <cfRule type="expression" dxfId="5587" priority="245">
      <formula>AND($R$170,$S$170)</formula>
    </cfRule>
  </conditionalFormatting>
  <conditionalFormatting sqref="W170">
    <cfRule type="expression" dxfId="5586" priority="244">
      <formula>AND(IF($R$170,$W$170,TRUE),LEN(TRIM($W$170))&gt;0)</formula>
    </cfRule>
  </conditionalFormatting>
  <conditionalFormatting sqref="W170">
    <cfRule type="expression" dxfId="5585" priority="243">
      <formula>$S$170 = FALSE</formula>
    </cfRule>
  </conditionalFormatting>
  <conditionalFormatting sqref="W170">
    <cfRule type="expression" dxfId="5584" priority="242">
      <formula>OR($T$170 = TRUE, AND($W$170 = TRUE, $S$170 = FALSE))</formula>
    </cfRule>
  </conditionalFormatting>
  <conditionalFormatting sqref="W172">
    <cfRule type="expression" dxfId="5583" priority="241">
      <formula>AND($R$172,$S$172)</formula>
    </cfRule>
  </conditionalFormatting>
  <conditionalFormatting sqref="W172">
    <cfRule type="expression" dxfId="5582" priority="240">
      <formula>AND(IF($R$172,$W$172,TRUE),LEN(TRIM($W$172))&gt;0)</formula>
    </cfRule>
  </conditionalFormatting>
  <conditionalFormatting sqref="W172">
    <cfRule type="expression" dxfId="5581" priority="239">
      <formula>$S$172 = FALSE</formula>
    </cfRule>
  </conditionalFormatting>
  <conditionalFormatting sqref="W172">
    <cfRule type="expression" dxfId="5580" priority="238">
      <formula>OR($T$172 = TRUE, AND($W$172 = TRUE, $S$172 = FALSE))</formula>
    </cfRule>
  </conditionalFormatting>
  <conditionalFormatting sqref="W176">
    <cfRule type="expression" dxfId="5579" priority="237">
      <formula>AND($R$176,$S$176)</formula>
    </cfRule>
  </conditionalFormatting>
  <conditionalFormatting sqref="W176">
    <cfRule type="expression" dxfId="5578" priority="236">
      <formula>AND(IF($R$176,$W$176,TRUE),LEN(TRIM($W$176))&gt;0)</formula>
    </cfRule>
  </conditionalFormatting>
  <conditionalFormatting sqref="W176">
    <cfRule type="expression" dxfId="5577" priority="235">
      <formula>$S$176 = FALSE</formula>
    </cfRule>
  </conditionalFormatting>
  <conditionalFormatting sqref="W176">
    <cfRule type="expression" dxfId="5576" priority="234">
      <formula>OR($T$176 = TRUE, AND($W$176 = TRUE, $S$176 = FALSE))</formula>
    </cfRule>
  </conditionalFormatting>
  <conditionalFormatting sqref="W177">
    <cfRule type="expression" dxfId="5575" priority="233">
      <formula>AND($R$177,$S$177)</formula>
    </cfRule>
  </conditionalFormatting>
  <conditionalFormatting sqref="W177">
    <cfRule type="expression" dxfId="5574" priority="232">
      <formula>AND(IF($R$177,$W$177,TRUE),LEN(TRIM($W$177))&gt;0)</formula>
    </cfRule>
  </conditionalFormatting>
  <conditionalFormatting sqref="W177">
    <cfRule type="expression" dxfId="5573" priority="231">
      <formula>$S$177 = FALSE</formula>
    </cfRule>
  </conditionalFormatting>
  <conditionalFormatting sqref="W177">
    <cfRule type="expression" dxfId="5572" priority="230">
      <formula>OR($T$177 = TRUE, AND($W$177 = TRUE, $S$177 = FALSE))</formula>
    </cfRule>
  </conditionalFormatting>
  <conditionalFormatting sqref="W178">
    <cfRule type="expression" dxfId="5571" priority="229">
      <formula>AND($R$178,$S$178)</formula>
    </cfRule>
  </conditionalFormatting>
  <conditionalFormatting sqref="W178">
    <cfRule type="expression" dxfId="5570" priority="228">
      <formula>AND(IF($R$178,$W$178,TRUE),LEN(TRIM($W$178))&gt;0)</formula>
    </cfRule>
  </conditionalFormatting>
  <conditionalFormatting sqref="W178">
    <cfRule type="expression" dxfId="5569" priority="227">
      <formula>$S$178 = FALSE</formula>
    </cfRule>
  </conditionalFormatting>
  <conditionalFormatting sqref="W178">
    <cfRule type="expression" dxfId="5568" priority="226">
      <formula>OR($T$178 = TRUE, AND($W$178 = TRUE, $S$178 = FALSE))</formula>
    </cfRule>
  </conditionalFormatting>
  <conditionalFormatting sqref="W180">
    <cfRule type="expression" dxfId="5567" priority="225">
      <formula>AND($R$180,$S$180)</formula>
    </cfRule>
  </conditionalFormatting>
  <conditionalFormatting sqref="W180">
    <cfRule type="expression" dxfId="5566" priority="224">
      <formula>AND(IF($R$180,$W$180,TRUE),LEN(TRIM($W$180))&gt;0)</formula>
    </cfRule>
  </conditionalFormatting>
  <conditionalFormatting sqref="W180">
    <cfRule type="expression" dxfId="5565" priority="223">
      <formula>$S$180 = FALSE</formula>
    </cfRule>
  </conditionalFormatting>
  <conditionalFormatting sqref="W180">
    <cfRule type="expression" dxfId="5564" priority="222">
      <formula>OR($T$180 = TRUE, AND($W$180 = TRUE, $S$180 = FALSE))</formula>
    </cfRule>
  </conditionalFormatting>
  <conditionalFormatting sqref="W183">
    <cfRule type="expression" dxfId="5563" priority="221">
      <formula>AND($R$183,$S$183)</formula>
    </cfRule>
  </conditionalFormatting>
  <conditionalFormatting sqref="W183">
    <cfRule type="expression" dxfId="5562" priority="220">
      <formula>AND(IF($R$183,$W$183,TRUE),LEN(TRIM($W$183))&gt;0)</formula>
    </cfRule>
  </conditionalFormatting>
  <conditionalFormatting sqref="W183">
    <cfRule type="expression" dxfId="5561" priority="219">
      <formula>$S$183 = FALSE</formula>
    </cfRule>
  </conditionalFormatting>
  <conditionalFormatting sqref="W183">
    <cfRule type="expression" dxfId="5560" priority="218">
      <formula>OR($T$183 = TRUE, AND($W$183 = TRUE, $S$183 = FALSE))</formula>
    </cfRule>
  </conditionalFormatting>
  <conditionalFormatting sqref="W185">
    <cfRule type="expression" dxfId="5559" priority="217">
      <formula>AND($R$185,$S$185)</formula>
    </cfRule>
  </conditionalFormatting>
  <conditionalFormatting sqref="W185">
    <cfRule type="expression" dxfId="5558" priority="216">
      <formula>AND(IF($R$185,$W$185,TRUE),LEN(TRIM($W$185))&gt;0)</formula>
    </cfRule>
  </conditionalFormatting>
  <conditionalFormatting sqref="W185">
    <cfRule type="expression" dxfId="5557" priority="215">
      <formula>$S$185 = FALSE</formula>
    </cfRule>
  </conditionalFormatting>
  <conditionalFormatting sqref="W185">
    <cfRule type="expression" dxfId="5556" priority="214">
      <formula>OR($T$185 = TRUE, AND($W$185 = TRUE, $S$185 = FALSE))</formula>
    </cfRule>
  </conditionalFormatting>
  <conditionalFormatting sqref="W190">
    <cfRule type="expression" dxfId="5555" priority="213">
      <formula>AND($R$190,$S$190)</formula>
    </cfRule>
  </conditionalFormatting>
  <conditionalFormatting sqref="W190">
    <cfRule type="expression" dxfId="5554" priority="212">
      <formula>AND(IF($R$190,$W$190,TRUE),LEN(TRIM($W$190))&gt;0)</formula>
    </cfRule>
  </conditionalFormatting>
  <conditionalFormatting sqref="W190">
    <cfRule type="expression" dxfId="5553" priority="211">
      <formula>$S$190 = FALSE</formula>
    </cfRule>
  </conditionalFormatting>
  <conditionalFormatting sqref="W190">
    <cfRule type="expression" dxfId="5552" priority="210">
      <formula>OR($T$190 = TRUE, AND($W$190 = TRUE, $S$190 = FALSE))</formula>
    </cfRule>
  </conditionalFormatting>
  <conditionalFormatting sqref="W197">
    <cfRule type="expression" dxfId="5551" priority="209">
      <formula>AND($R$197,$S$197)</formula>
    </cfRule>
  </conditionalFormatting>
  <conditionalFormatting sqref="W197">
    <cfRule type="expression" dxfId="5550" priority="208">
      <formula>AND(IF($R$197,$W$197,TRUE),LEN(TRIM($W$197))&gt;0)</formula>
    </cfRule>
  </conditionalFormatting>
  <conditionalFormatting sqref="W197">
    <cfRule type="expression" dxfId="5549" priority="207">
      <formula>$S$197 = FALSE</formula>
    </cfRule>
  </conditionalFormatting>
  <conditionalFormatting sqref="W197">
    <cfRule type="expression" dxfId="5548" priority="206">
      <formula>OR($T$197 = TRUE, AND($W$197 = TRUE, $S$197 = FALSE))</formula>
    </cfRule>
  </conditionalFormatting>
  <conditionalFormatting sqref="W198">
    <cfRule type="expression" dxfId="5547" priority="205">
      <formula>AND($R$198,$S$198)</formula>
    </cfRule>
  </conditionalFormatting>
  <conditionalFormatting sqref="W198">
    <cfRule type="expression" dxfId="5546" priority="204">
      <formula>AND(IF($R$198,$W$198,TRUE),LEN(TRIM($W$198))&gt;0)</formula>
    </cfRule>
  </conditionalFormatting>
  <conditionalFormatting sqref="W198">
    <cfRule type="expression" dxfId="5545" priority="203">
      <formula>$S$198 = FALSE</formula>
    </cfRule>
  </conditionalFormatting>
  <conditionalFormatting sqref="W198">
    <cfRule type="expression" dxfId="5544" priority="202">
      <formula>OR($T$198 = TRUE, AND($W$198 = TRUE, $S$198 = FALSE))</formula>
    </cfRule>
  </conditionalFormatting>
  <conditionalFormatting sqref="W200">
    <cfRule type="expression" dxfId="5543" priority="201">
      <formula>AND($R$200,$S$200)</formula>
    </cfRule>
  </conditionalFormatting>
  <conditionalFormatting sqref="W200">
    <cfRule type="expression" dxfId="5542" priority="200">
      <formula>AND(IF($R$200,$W$200,TRUE),LEN(TRIM($W$200))&gt;0)</formula>
    </cfRule>
  </conditionalFormatting>
  <conditionalFormatting sqref="W200">
    <cfRule type="expression" dxfId="5541" priority="199">
      <formula>$S$200 = FALSE</formula>
    </cfRule>
  </conditionalFormatting>
  <conditionalFormatting sqref="W200">
    <cfRule type="expression" dxfId="5540" priority="198">
      <formula>OR($T$200 = TRUE, AND($W$200 = TRUE, $S$200 = FALSE))</formula>
    </cfRule>
  </conditionalFormatting>
  <conditionalFormatting sqref="W205">
    <cfRule type="expression" dxfId="5539" priority="197">
      <formula>AND($R$205,$S$205)</formula>
    </cfRule>
  </conditionalFormatting>
  <conditionalFormatting sqref="W205">
    <cfRule type="expression" dxfId="5538" priority="196">
      <formula>AND(IF($R$205,$W$205,TRUE),LEN(TRIM($W$205))&gt;0)</formula>
    </cfRule>
  </conditionalFormatting>
  <conditionalFormatting sqref="W205">
    <cfRule type="expression" dxfId="5537" priority="195">
      <formula>$S$205 = FALSE</formula>
    </cfRule>
  </conditionalFormatting>
  <conditionalFormatting sqref="W205">
    <cfRule type="expression" dxfId="5536" priority="194">
      <formula>OR($T$205 = TRUE, AND($W$205 = TRUE, $S$205 = FALSE))</formula>
    </cfRule>
  </conditionalFormatting>
  <conditionalFormatting sqref="W207">
    <cfRule type="expression" dxfId="5535" priority="193">
      <formula>AND($R$207,$S$207)</formula>
    </cfRule>
  </conditionalFormatting>
  <conditionalFormatting sqref="W207">
    <cfRule type="expression" dxfId="5534" priority="192">
      <formula>AND(IF($R$207,$W$207,TRUE),LEN(TRIM($W$207))&gt;0)</formula>
    </cfRule>
  </conditionalFormatting>
  <conditionalFormatting sqref="W207">
    <cfRule type="expression" dxfId="5533" priority="191">
      <formula>$S$207 = FALSE</formula>
    </cfRule>
  </conditionalFormatting>
  <conditionalFormatting sqref="W207">
    <cfRule type="expression" dxfId="5532" priority="190">
      <formula>OR($T$207 = TRUE, AND($W$207 = TRUE, $S$207 = FALSE))</formula>
    </cfRule>
  </conditionalFormatting>
  <conditionalFormatting sqref="W208">
    <cfRule type="expression" dxfId="5531" priority="189">
      <formula>AND($R$208,$S$208)</formula>
    </cfRule>
  </conditionalFormatting>
  <conditionalFormatting sqref="W208">
    <cfRule type="expression" dxfId="5530" priority="188">
      <formula>AND(IF($R$208,$W$208,TRUE),LEN(TRIM($W$208))&gt;0)</formula>
    </cfRule>
  </conditionalFormatting>
  <conditionalFormatting sqref="W208">
    <cfRule type="expression" dxfId="5529" priority="187">
      <formula>$S$208 = FALSE</formula>
    </cfRule>
  </conditionalFormatting>
  <conditionalFormatting sqref="W208">
    <cfRule type="expression" dxfId="5528" priority="186">
      <formula>OR($T$208 = TRUE, AND($W$208 = TRUE, $S$208 = FALSE))</formula>
    </cfRule>
  </conditionalFormatting>
  <conditionalFormatting sqref="W210">
    <cfRule type="expression" dxfId="5527" priority="185">
      <formula>AND($R$210,$S$210)</formula>
    </cfRule>
  </conditionalFormatting>
  <conditionalFormatting sqref="W210">
    <cfRule type="expression" dxfId="5526" priority="184">
      <formula>AND(IF($R$210,$W$210,TRUE),LEN(TRIM($W$210))&gt;0)</formula>
    </cfRule>
  </conditionalFormatting>
  <conditionalFormatting sqref="W210">
    <cfRule type="expression" dxfId="5525" priority="183">
      <formula>$S$210 = FALSE</formula>
    </cfRule>
  </conditionalFormatting>
  <conditionalFormatting sqref="W210">
    <cfRule type="expression" dxfId="5524" priority="182">
      <formula>OR($T$210 = TRUE, AND($W$210 = TRUE, $S$210 = FALSE))</formula>
    </cfRule>
  </conditionalFormatting>
  <conditionalFormatting sqref="W212">
    <cfRule type="expression" dxfId="5523" priority="181">
      <formula>AND($R$212,$S$212)</formula>
    </cfRule>
  </conditionalFormatting>
  <conditionalFormatting sqref="W212">
    <cfRule type="expression" dxfId="5522" priority="180">
      <formula>AND(IF($R$212,$W$212,TRUE),LEN(TRIM($W$212))&gt;0)</formula>
    </cfRule>
  </conditionalFormatting>
  <conditionalFormatting sqref="W212">
    <cfRule type="expression" dxfId="5521" priority="179">
      <formula>$S$212 = FALSE</formula>
    </cfRule>
  </conditionalFormatting>
  <conditionalFormatting sqref="W212">
    <cfRule type="expression" dxfId="5520" priority="178">
      <formula>OR($T$212 = TRUE, AND($W$212 = TRUE, $S$212 = FALSE))</formula>
    </cfRule>
  </conditionalFormatting>
  <conditionalFormatting sqref="W216">
    <cfRule type="expression" dxfId="5519" priority="177">
      <formula>AND($R$216,$S$216)</formula>
    </cfRule>
  </conditionalFormatting>
  <conditionalFormatting sqref="W216">
    <cfRule type="expression" dxfId="5518" priority="176">
      <formula>AND(IF($R$216,$W$216,TRUE),LEN(TRIM($W$216))&gt;0)</formula>
    </cfRule>
  </conditionalFormatting>
  <conditionalFormatting sqref="W216">
    <cfRule type="expression" dxfId="5517" priority="175">
      <formula>$S$216 = FALSE</formula>
    </cfRule>
  </conditionalFormatting>
  <conditionalFormatting sqref="W216">
    <cfRule type="expression" dxfId="5516" priority="174">
      <formula>OR($T$216 = TRUE, AND($W$216 = TRUE, $S$216 = FALSE))</formula>
    </cfRule>
  </conditionalFormatting>
  <conditionalFormatting sqref="W219">
    <cfRule type="expression" dxfId="5515" priority="173">
      <formula>AND($R$219,$S$219)</formula>
    </cfRule>
  </conditionalFormatting>
  <conditionalFormatting sqref="W219">
    <cfRule type="expression" dxfId="5514" priority="172">
      <formula>AND(IF($R$219,$W$219,TRUE),LEN(TRIM($W$219))&gt;0)</formula>
    </cfRule>
  </conditionalFormatting>
  <conditionalFormatting sqref="W219">
    <cfRule type="expression" dxfId="5513" priority="171">
      <formula>$S$219 = FALSE</formula>
    </cfRule>
  </conditionalFormatting>
  <conditionalFormatting sqref="W219">
    <cfRule type="expression" dxfId="5512" priority="170">
      <formula>OR($T$219 = TRUE, AND($W$219 = TRUE, $S$219 = FALSE))</formula>
    </cfRule>
  </conditionalFormatting>
  <conditionalFormatting sqref="W221">
    <cfRule type="expression" dxfId="5511" priority="169">
      <formula>AND($R$221,$S$221)</formula>
    </cfRule>
  </conditionalFormatting>
  <conditionalFormatting sqref="W221">
    <cfRule type="expression" dxfId="5510" priority="168">
      <formula>AND(IF($R$221,$W$221,TRUE),LEN(TRIM($W$221))&gt;0)</formula>
    </cfRule>
  </conditionalFormatting>
  <conditionalFormatting sqref="W221">
    <cfRule type="expression" dxfId="5509" priority="167">
      <formula>$S$221 = FALSE</formula>
    </cfRule>
  </conditionalFormatting>
  <conditionalFormatting sqref="W221">
    <cfRule type="expression" dxfId="5508" priority="166">
      <formula>OR($T$221 = TRUE, AND($W$221 = TRUE, $S$221 = FALSE))</formula>
    </cfRule>
  </conditionalFormatting>
  <conditionalFormatting sqref="W222">
    <cfRule type="expression" dxfId="5507" priority="165">
      <formula>AND($R$222,$S$222)</formula>
    </cfRule>
  </conditionalFormatting>
  <conditionalFormatting sqref="W222">
    <cfRule type="expression" dxfId="5506" priority="164">
      <formula>AND(IF($R$222,$W$222,TRUE),LEN(TRIM($W$222))&gt;0)</formula>
    </cfRule>
  </conditionalFormatting>
  <conditionalFormatting sqref="W222">
    <cfRule type="expression" dxfId="5505" priority="163">
      <formula>$S$222 = FALSE</formula>
    </cfRule>
  </conditionalFormatting>
  <conditionalFormatting sqref="W222">
    <cfRule type="expression" dxfId="5504" priority="162">
      <formula>OR($T$222 = TRUE, AND($W$222 = TRUE, $S$222 = FALSE))</formula>
    </cfRule>
  </conditionalFormatting>
  <conditionalFormatting sqref="W223">
    <cfRule type="expression" dxfId="5503" priority="161">
      <formula>AND($R$223,$S$223)</formula>
    </cfRule>
  </conditionalFormatting>
  <conditionalFormatting sqref="W223">
    <cfRule type="expression" dxfId="5502" priority="160">
      <formula>AND(IF($R$223,$W$223,TRUE),LEN(TRIM($W$223))&gt;0)</formula>
    </cfRule>
  </conditionalFormatting>
  <conditionalFormatting sqref="W223">
    <cfRule type="expression" dxfId="5501" priority="159">
      <formula>$S$223 = FALSE</formula>
    </cfRule>
  </conditionalFormatting>
  <conditionalFormatting sqref="W223">
    <cfRule type="expression" dxfId="5500" priority="158">
      <formula>OR($T$223 = TRUE, AND($W$223 = TRUE, $S$223 = FALSE))</formula>
    </cfRule>
  </conditionalFormatting>
  <conditionalFormatting sqref="W224">
    <cfRule type="expression" dxfId="5499" priority="157">
      <formula>AND($R$224,$S$224)</formula>
    </cfRule>
  </conditionalFormatting>
  <conditionalFormatting sqref="W224">
    <cfRule type="expression" dxfId="5498" priority="156">
      <formula>AND(IF($R$224,$W$224,TRUE),LEN(TRIM($W$224))&gt;0)</formula>
    </cfRule>
  </conditionalFormatting>
  <conditionalFormatting sqref="W224">
    <cfRule type="expression" dxfId="5497" priority="155">
      <formula>$S$224 = FALSE</formula>
    </cfRule>
  </conditionalFormatting>
  <conditionalFormatting sqref="W224">
    <cfRule type="expression" dxfId="5496" priority="154">
      <formula>OR($T$224 = TRUE, AND($W$224 = TRUE, $S$224 = FALSE))</formula>
    </cfRule>
  </conditionalFormatting>
  <conditionalFormatting sqref="W225">
    <cfRule type="expression" dxfId="5495" priority="153">
      <formula>AND($R$225,$S$225)</formula>
    </cfRule>
  </conditionalFormatting>
  <conditionalFormatting sqref="W225">
    <cfRule type="expression" dxfId="5494" priority="152">
      <formula>AND(IF($R$225,$W$225,TRUE),LEN(TRIM($W$225))&gt;0)</formula>
    </cfRule>
  </conditionalFormatting>
  <conditionalFormatting sqref="W225">
    <cfRule type="expression" dxfId="5493" priority="151">
      <formula>$S$225 = FALSE</formula>
    </cfRule>
  </conditionalFormatting>
  <conditionalFormatting sqref="W225">
    <cfRule type="expression" dxfId="5492" priority="150">
      <formula>OR($T$225 = TRUE, AND($W$225 = TRUE, $S$225 = FALSE))</formula>
    </cfRule>
  </conditionalFormatting>
  <conditionalFormatting sqref="W226">
    <cfRule type="expression" dxfId="5491" priority="149">
      <formula>AND($R$226,$S$226)</formula>
    </cfRule>
  </conditionalFormatting>
  <conditionalFormatting sqref="W226">
    <cfRule type="expression" dxfId="5490" priority="148">
      <formula>AND(IF($R$226,$W$226,TRUE),LEN(TRIM($W$226))&gt;0)</formula>
    </cfRule>
  </conditionalFormatting>
  <conditionalFormatting sqref="W226">
    <cfRule type="expression" dxfId="5489" priority="147">
      <formula>$S$226 = FALSE</formula>
    </cfRule>
  </conditionalFormatting>
  <conditionalFormatting sqref="W226">
    <cfRule type="expression" dxfId="5488" priority="146">
      <formula>OR($T$226 = TRUE, AND($W$226 = TRUE, $S$226 = FALSE))</formula>
    </cfRule>
  </conditionalFormatting>
  <conditionalFormatting sqref="W234">
    <cfRule type="expression" dxfId="5487" priority="141">
      <formula>AND($R$234,$S$234)</formula>
    </cfRule>
  </conditionalFormatting>
  <conditionalFormatting sqref="W234">
    <cfRule type="expression" dxfId="5486" priority="140">
      <formula>AND(IF($R$234,$W$234,TRUE),LEN(TRIM($W$234))&gt;0)</formula>
    </cfRule>
  </conditionalFormatting>
  <conditionalFormatting sqref="W234">
    <cfRule type="expression" dxfId="5485" priority="139">
      <formula>$S$234 = FALSE</formula>
    </cfRule>
  </conditionalFormatting>
  <conditionalFormatting sqref="W234">
    <cfRule type="expression" dxfId="5484" priority="138">
      <formula>OR($T$234 = TRUE, AND($W$234 = TRUE, $S$234 = FALSE))</formula>
    </cfRule>
  </conditionalFormatting>
  <conditionalFormatting sqref="W236">
    <cfRule type="expression" dxfId="5483" priority="137">
      <formula>AND($R$236,$S$236)</formula>
    </cfRule>
  </conditionalFormatting>
  <conditionalFormatting sqref="W236">
    <cfRule type="expression" dxfId="5482" priority="136">
      <formula>AND(IF($R$236,$W$236,TRUE),LEN(TRIM($W$236))&gt;0)</formula>
    </cfRule>
  </conditionalFormatting>
  <conditionalFormatting sqref="W236">
    <cfRule type="expression" dxfId="5481" priority="135">
      <formula>$S$236 = FALSE</formula>
    </cfRule>
  </conditionalFormatting>
  <conditionalFormatting sqref="W236">
    <cfRule type="expression" dxfId="5480" priority="134">
      <formula>OR($T$236 = TRUE, AND($W$236 = TRUE, $S$236 = FALSE))</formula>
    </cfRule>
  </conditionalFormatting>
  <conditionalFormatting sqref="W244">
    <cfRule type="expression" dxfId="5479" priority="133">
      <formula>AND($R$244,$S$244)</formula>
    </cfRule>
  </conditionalFormatting>
  <conditionalFormatting sqref="W244">
    <cfRule type="expression" dxfId="5478" priority="132">
      <formula>AND(IF($R$244,$W$244,TRUE),LEN(TRIM($W$244))&gt;0)</formula>
    </cfRule>
  </conditionalFormatting>
  <conditionalFormatting sqref="W244">
    <cfRule type="expression" dxfId="5477" priority="131">
      <formula>$S$244 = FALSE</formula>
    </cfRule>
  </conditionalFormatting>
  <conditionalFormatting sqref="W244">
    <cfRule type="expression" dxfId="5476" priority="130">
      <formula>OR($T$244 = TRUE, AND($W$244 = TRUE, $S$244 = FALSE))</formula>
    </cfRule>
  </conditionalFormatting>
  <conditionalFormatting sqref="W247">
    <cfRule type="expression" dxfId="5475" priority="129">
      <formula>AND($R$247,$S$247)</formula>
    </cfRule>
  </conditionalFormatting>
  <conditionalFormatting sqref="W247">
    <cfRule type="expression" dxfId="5474" priority="128">
      <formula>AND(IF($R$247,$W$247,TRUE),LEN(TRIM($W$247))&gt;0)</formula>
    </cfRule>
  </conditionalFormatting>
  <conditionalFormatting sqref="W247">
    <cfRule type="expression" dxfId="5473" priority="127">
      <formula>$S$247 = FALSE</formula>
    </cfRule>
  </conditionalFormatting>
  <conditionalFormatting sqref="W247">
    <cfRule type="expression" dxfId="5472" priority="126">
      <formula>OR($T$247 = TRUE, AND($W$247 = TRUE, $S$247 = FALSE))</formula>
    </cfRule>
  </conditionalFormatting>
  <conditionalFormatting sqref="W251">
    <cfRule type="expression" dxfId="5471" priority="125">
      <formula>AND($R$251,$S$251)</formula>
    </cfRule>
  </conditionalFormatting>
  <conditionalFormatting sqref="W251">
    <cfRule type="expression" dxfId="5470" priority="124">
      <formula>AND(IF($R$251,$W$251,TRUE),LEN(TRIM($W$251))&gt;0)</formula>
    </cfRule>
  </conditionalFormatting>
  <conditionalFormatting sqref="W251">
    <cfRule type="expression" dxfId="5469" priority="123">
      <formula>$S$251 = FALSE</formula>
    </cfRule>
  </conditionalFormatting>
  <conditionalFormatting sqref="W251">
    <cfRule type="expression" dxfId="5468" priority="122">
      <formula>OR($T$251 = TRUE, AND($W$251 = TRUE, $S$251 = FALSE))</formula>
    </cfRule>
  </conditionalFormatting>
  <conditionalFormatting sqref="W252">
    <cfRule type="expression" dxfId="5467" priority="121">
      <formula>AND($R$252,$S$252)</formula>
    </cfRule>
  </conditionalFormatting>
  <conditionalFormatting sqref="W252">
    <cfRule type="expression" dxfId="5466" priority="120">
      <formula>AND(IF($R$252,$W$252,TRUE),LEN(TRIM($W$252))&gt;0)</formula>
    </cfRule>
  </conditionalFormatting>
  <conditionalFormatting sqref="W252">
    <cfRule type="expression" dxfId="5465" priority="119">
      <formula>$S$252 = FALSE</formula>
    </cfRule>
  </conditionalFormatting>
  <conditionalFormatting sqref="W252">
    <cfRule type="expression" dxfId="5464" priority="118">
      <formula>OR($T$252 = TRUE, AND($W$252 = TRUE, $S$252 = FALSE))</formula>
    </cfRule>
  </conditionalFormatting>
  <conditionalFormatting sqref="W116">
    <cfRule type="expression" dxfId="5463" priority="105">
      <formula>AND($R$116,$S$116)</formula>
    </cfRule>
  </conditionalFormatting>
  <conditionalFormatting sqref="W116">
    <cfRule type="expression" dxfId="5462" priority="104">
      <formula>AND($W$116&lt;&gt;"Not Met",LEN(TRIM($W$116))&gt;0)</formula>
    </cfRule>
  </conditionalFormatting>
  <conditionalFormatting sqref="W116">
    <cfRule type="expression" dxfId="5461" priority="103">
      <formula>$S$116 = FALSE</formula>
    </cfRule>
  </conditionalFormatting>
  <conditionalFormatting sqref="W116">
    <cfRule type="expression" dxfId="5460" priority="102">
      <formula>OR($T$116 = TRUE, AND(LEN(TRIM($W$116))&gt;0, $S$116 = FALSE))</formula>
    </cfRule>
  </conditionalFormatting>
  <conditionalFormatting sqref="W123">
    <cfRule type="expression" dxfId="5459" priority="101">
      <formula>AND($R$123,$S$123)</formula>
    </cfRule>
  </conditionalFormatting>
  <conditionalFormatting sqref="W123">
    <cfRule type="expression" dxfId="5458" priority="100">
      <formula>AND($W$123&lt;&gt;"Not Met",LEN(TRIM($W$123))&gt;0)</formula>
    </cfRule>
  </conditionalFormatting>
  <conditionalFormatting sqref="W123">
    <cfRule type="expression" dxfId="5457" priority="99">
      <formula>$S$123 = FALSE</formula>
    </cfRule>
  </conditionalFormatting>
  <conditionalFormatting sqref="W123">
    <cfRule type="expression" dxfId="5456" priority="98">
      <formula>OR($T$123 = TRUE, AND(LEN(TRIM($W$123))&gt;0, $S$123 = FALSE))</formula>
    </cfRule>
  </conditionalFormatting>
  <conditionalFormatting sqref="X1">
    <cfRule type="expression" dxfId="5455" priority="881">
      <formula>startError</formula>
    </cfRule>
  </conditionalFormatting>
  <conditionalFormatting sqref="X20:X28">
    <cfRule type="expression" dxfId="5454" priority="97">
      <formula>$W$20</formula>
    </cfRule>
  </conditionalFormatting>
  <conditionalFormatting sqref="W30">
    <cfRule type="expression" dxfId="5453" priority="93">
      <formula>OR($T$30 = TRUE, AND(LEN(TRIM($W$30))&gt;0, $S$30 = FALSE))</formula>
    </cfRule>
    <cfRule type="expression" dxfId="5452" priority="94">
      <formula>$S$30 = FALSE</formula>
    </cfRule>
    <cfRule type="expression" dxfId="5451" priority="95">
      <formula>AND($W$30&lt;&gt;"Not Met",LEN(TRIM($W$30))&gt;0)</formula>
    </cfRule>
    <cfRule type="expression" dxfId="5450" priority="96">
      <formula>AND($R$30,$S$30)</formula>
    </cfRule>
  </conditionalFormatting>
  <conditionalFormatting sqref="W43">
    <cfRule type="expression" dxfId="5449" priority="89">
      <formula>OR($T$43 = TRUE, AND($W$43 = TRUE, $S$43 = FALSE))</formula>
    </cfRule>
    <cfRule type="expression" dxfId="5448" priority="90">
      <formula>$S$43 = FALSE</formula>
    </cfRule>
    <cfRule type="expression" dxfId="5447" priority="91">
      <formula>AND(IF($R$43,$W$43,TRUE),LEN(TRIM($W$43))&gt;0)</formula>
    </cfRule>
    <cfRule type="expression" dxfId="5446" priority="92">
      <formula>AND($R$43,$S$43)</formula>
    </cfRule>
  </conditionalFormatting>
  <conditionalFormatting sqref="W45">
    <cfRule type="expression" dxfId="5445" priority="85">
      <formula>OR($T$45 = TRUE, AND($W$45 = TRUE, $S$45 = FALSE))</formula>
    </cfRule>
    <cfRule type="expression" dxfId="5444" priority="86">
      <formula>$S$45 = FALSE</formula>
    </cfRule>
    <cfRule type="expression" dxfId="5443" priority="87">
      <formula>AND(IF($R$45,$W$45,TRUE),LEN(TRIM($W$45))&gt;0)</formula>
    </cfRule>
    <cfRule type="expression" dxfId="5442" priority="88">
      <formula>AND($R$45,$S$45)</formula>
    </cfRule>
  </conditionalFormatting>
  <conditionalFormatting sqref="W48">
    <cfRule type="expression" dxfId="5441" priority="81">
      <formula>OR($T$48 = TRUE, AND($W$48 = TRUE, $S$48 = FALSE))</formula>
    </cfRule>
    <cfRule type="expression" dxfId="5440" priority="82">
      <formula>$S$48 = FALSE</formula>
    </cfRule>
    <cfRule type="expression" dxfId="5439" priority="83">
      <formula>AND(IF($R$48,$W$48,TRUE),LEN(TRIM($W$48))&gt;0)</formula>
    </cfRule>
    <cfRule type="expression" dxfId="5438" priority="84">
      <formula>AND($R$48,$S$48)</formula>
    </cfRule>
  </conditionalFormatting>
  <conditionalFormatting sqref="X45:X47">
    <cfRule type="expression" dxfId="5437" priority="80">
      <formula>$W$45</formula>
    </cfRule>
  </conditionalFormatting>
  <conditionalFormatting sqref="X48:X50">
    <cfRule type="expression" dxfId="5436" priority="79">
      <formula>$W$48</formula>
    </cfRule>
  </conditionalFormatting>
  <conditionalFormatting sqref="W76">
    <cfRule type="expression" dxfId="5435" priority="78">
      <formula>AND($R$76,$S$76)</formula>
    </cfRule>
  </conditionalFormatting>
  <conditionalFormatting sqref="W76">
    <cfRule type="expression" dxfId="5434" priority="77">
      <formula>AND(IF($R$76,$W$76,TRUE),LEN(TRIM($W$76))&gt;0)</formula>
    </cfRule>
  </conditionalFormatting>
  <conditionalFormatting sqref="W76">
    <cfRule type="expression" dxfId="5433" priority="76">
      <formula>$S$76 = FALSE</formula>
    </cfRule>
  </conditionalFormatting>
  <conditionalFormatting sqref="W76">
    <cfRule type="expression" dxfId="5432" priority="75">
      <formula>OR($T$76 = TRUE, AND($W$76 = TRUE, $S$76 = FALSE))</formula>
    </cfRule>
  </conditionalFormatting>
  <conditionalFormatting sqref="W128">
    <cfRule type="expression" dxfId="5431" priority="74">
      <formula>AND($R$128,$S$128)</formula>
    </cfRule>
  </conditionalFormatting>
  <conditionalFormatting sqref="W128">
    <cfRule type="expression" dxfId="5430" priority="73">
      <formula>AND(IF($R$128,$W$128,TRUE),LEN(TRIM($W$128))&gt;0)</formula>
    </cfRule>
  </conditionalFormatting>
  <conditionalFormatting sqref="W128">
    <cfRule type="expression" dxfId="5429" priority="72">
      <formula>$S$128 = FALSE</formula>
    </cfRule>
  </conditionalFormatting>
  <conditionalFormatting sqref="W128">
    <cfRule type="expression" dxfId="5428" priority="71">
      <formula>OR($T$128 = TRUE, AND($W$128 = TRUE, $S$128 = FALSE))</formula>
    </cfRule>
  </conditionalFormatting>
  <conditionalFormatting sqref="W130">
    <cfRule type="expression" dxfId="5427" priority="70">
      <formula>AND($R$130,$S$130)</formula>
    </cfRule>
  </conditionalFormatting>
  <conditionalFormatting sqref="W130">
    <cfRule type="expression" dxfId="5426" priority="69">
      <formula>AND(IF($R$130,$W$130,TRUE),LEN(TRIM($W$130))&gt;0)</formula>
    </cfRule>
  </conditionalFormatting>
  <conditionalFormatting sqref="W130">
    <cfRule type="expression" dxfId="5425" priority="68">
      <formula>$S$130 = FALSE</formula>
    </cfRule>
  </conditionalFormatting>
  <conditionalFormatting sqref="W130">
    <cfRule type="expression" dxfId="5424" priority="67">
      <formula>OR($T$130 = TRUE, AND($W$130 = TRUE, $S$130 = FALSE))</formula>
    </cfRule>
  </conditionalFormatting>
  <conditionalFormatting sqref="W150">
    <cfRule type="expression" dxfId="5423" priority="66">
      <formula>AND($R$150,$S$150)</formula>
    </cfRule>
  </conditionalFormatting>
  <conditionalFormatting sqref="W150">
    <cfRule type="expression" dxfId="5422" priority="65">
      <formula>AND(IF($R$150,$W$150,TRUE),LEN(TRIM($W$150))&gt;0)</formula>
    </cfRule>
  </conditionalFormatting>
  <conditionalFormatting sqref="W150">
    <cfRule type="expression" dxfId="5421" priority="64">
      <formula>$S$150 = FALSE</formula>
    </cfRule>
  </conditionalFormatting>
  <conditionalFormatting sqref="W150">
    <cfRule type="expression" dxfId="5420" priority="63">
      <formula>OR($T$150 = TRUE, AND($W$150 = TRUE, $S$150 = FALSE))</formula>
    </cfRule>
  </conditionalFormatting>
  <conditionalFormatting sqref="W271">
    <cfRule type="expression" dxfId="5419" priority="62">
      <formula>AND($R$271,$S$271)</formula>
    </cfRule>
  </conditionalFormatting>
  <conditionalFormatting sqref="W271">
    <cfRule type="expression" dxfId="5418" priority="61">
      <formula>AND(IF($R$271,$W$271,TRUE),LEN(TRIM($W$271))&gt;0)</formula>
    </cfRule>
  </conditionalFormatting>
  <conditionalFormatting sqref="W271">
    <cfRule type="expression" dxfId="5417" priority="60">
      <formula>$S$271 = FALSE</formula>
    </cfRule>
  </conditionalFormatting>
  <conditionalFormatting sqref="W271">
    <cfRule type="expression" dxfId="5416" priority="59">
      <formula>OR($T$271 = TRUE, AND($W$271 = TRUE, $S$271 = FALSE))</formula>
    </cfRule>
  </conditionalFormatting>
  <conditionalFormatting sqref="W270">
    <cfRule type="expression" dxfId="5415" priority="58">
      <formula>AND($R$270,$S$270)</formula>
    </cfRule>
  </conditionalFormatting>
  <conditionalFormatting sqref="W270">
    <cfRule type="expression" dxfId="5414" priority="57">
      <formula>AND(IF($R$270,$W$270,TRUE),LEN(TRIM($W$270))&gt;0)</formula>
    </cfRule>
  </conditionalFormatting>
  <conditionalFormatting sqref="W270">
    <cfRule type="expression" dxfId="5413" priority="56">
      <formula>$S$270 = FALSE</formula>
    </cfRule>
  </conditionalFormatting>
  <conditionalFormatting sqref="W270">
    <cfRule type="expression" dxfId="5412" priority="55">
      <formula>OR($T$270 = TRUE, AND($W$270 = TRUE, $S$270 = FALSE))</formula>
    </cfRule>
  </conditionalFormatting>
  <conditionalFormatting sqref="W267">
    <cfRule type="expression" dxfId="5411" priority="54">
      <formula>AND($R$267,$S$267)</formula>
    </cfRule>
  </conditionalFormatting>
  <conditionalFormatting sqref="W267">
    <cfRule type="expression" dxfId="5410" priority="53">
      <formula>AND(IF($R$267,$W$267,TRUE),LEN(TRIM($W$267))&gt;0)</formula>
    </cfRule>
  </conditionalFormatting>
  <conditionalFormatting sqref="W267">
    <cfRule type="expression" dxfId="5409" priority="52">
      <formula>$S$267 = FALSE</formula>
    </cfRule>
  </conditionalFormatting>
  <conditionalFormatting sqref="W267">
    <cfRule type="expression" dxfId="5408" priority="51">
      <formula>OR($T$267 = TRUE, AND($W$267 = TRUE, $S$267 = FALSE))</formula>
    </cfRule>
  </conditionalFormatting>
  <conditionalFormatting sqref="W262">
    <cfRule type="expression" dxfId="5407" priority="50">
      <formula>AND($R$262,$S$262)</formula>
    </cfRule>
  </conditionalFormatting>
  <conditionalFormatting sqref="W262">
    <cfRule type="expression" dxfId="5406" priority="49">
      <formula>AND(IF($R$262,$W$262,TRUE),LEN(TRIM($W$262))&gt;0)</formula>
    </cfRule>
  </conditionalFormatting>
  <conditionalFormatting sqref="W262">
    <cfRule type="expression" dxfId="5405" priority="48">
      <formula>$S$262 = FALSE</formula>
    </cfRule>
  </conditionalFormatting>
  <conditionalFormatting sqref="W262">
    <cfRule type="expression" dxfId="5404" priority="47">
      <formula>OR($T$262 = TRUE, AND($W$262 = TRUE, $S$262 = FALSE))</formula>
    </cfRule>
  </conditionalFormatting>
  <conditionalFormatting sqref="W283">
    <cfRule type="expression" dxfId="5403" priority="46">
      <formula>AND($R$283,$S$283)</formula>
    </cfRule>
  </conditionalFormatting>
  <conditionalFormatting sqref="W283">
    <cfRule type="expression" dxfId="5402" priority="45">
      <formula>AND(IF($R$283,$W$283,TRUE),LEN(TRIM($W$283))&gt;0)</formula>
    </cfRule>
  </conditionalFormatting>
  <conditionalFormatting sqref="W283">
    <cfRule type="expression" dxfId="5401" priority="44">
      <formula>$S$283 = FALSE</formula>
    </cfRule>
  </conditionalFormatting>
  <conditionalFormatting sqref="W283">
    <cfRule type="expression" dxfId="5400" priority="43">
      <formula>OR($T$283 = TRUE, AND($W$283 = TRUE, $S$283 = FALSE))</formula>
    </cfRule>
  </conditionalFormatting>
  <conditionalFormatting sqref="W287">
    <cfRule type="expression" dxfId="5399" priority="42">
      <formula>AND($R$287,$S$287)</formula>
    </cfRule>
  </conditionalFormatting>
  <conditionalFormatting sqref="W287">
    <cfRule type="expression" dxfId="5398" priority="41">
      <formula>AND(IF($R$287,$W$287,TRUE),LEN(TRIM($W$287))&gt;0)</formula>
    </cfRule>
  </conditionalFormatting>
  <conditionalFormatting sqref="W287">
    <cfRule type="expression" dxfId="5397" priority="40">
      <formula>$S$287 = FALSE</formula>
    </cfRule>
  </conditionalFormatting>
  <conditionalFormatting sqref="W287">
    <cfRule type="expression" dxfId="5396" priority="39">
      <formula>OR($T$287 = TRUE, AND($W$287 = TRUE, $S$287 = FALSE))</formula>
    </cfRule>
  </conditionalFormatting>
  <conditionalFormatting sqref="W290">
    <cfRule type="expression" dxfId="5395" priority="38">
      <formula>AND($R$290,$S$290)</formula>
    </cfRule>
  </conditionalFormatting>
  <conditionalFormatting sqref="W290">
    <cfRule type="expression" dxfId="5394" priority="37">
      <formula>AND(IF($R$290,$W$290,TRUE),LEN(TRIM($W$290))&gt;0)</formula>
    </cfRule>
  </conditionalFormatting>
  <conditionalFormatting sqref="W290">
    <cfRule type="expression" dxfId="5393" priority="36">
      <formula>$S$290 = FALSE</formula>
    </cfRule>
  </conditionalFormatting>
  <conditionalFormatting sqref="W290">
    <cfRule type="expression" dxfId="5392" priority="35">
      <formula>OR($T$290 = TRUE, AND($W$290 = TRUE, $S$290 = FALSE))</formula>
    </cfRule>
  </conditionalFormatting>
  <conditionalFormatting sqref="W293">
    <cfRule type="expression" dxfId="5391" priority="34">
      <formula>AND($R$293,$S$293)</formula>
    </cfRule>
  </conditionalFormatting>
  <conditionalFormatting sqref="W293">
    <cfRule type="expression" dxfId="5390" priority="33">
      <formula>AND(IF($R$293,$W$293,TRUE),LEN(TRIM($W$293))&gt;0)</formula>
    </cfRule>
  </conditionalFormatting>
  <conditionalFormatting sqref="W293">
    <cfRule type="expression" dxfId="5389" priority="32">
      <formula>$S$293 = FALSE</formula>
    </cfRule>
  </conditionalFormatting>
  <conditionalFormatting sqref="W293">
    <cfRule type="expression" dxfId="5388" priority="31">
      <formula>OR($T$293 = TRUE, AND($W$293 = TRUE, $S$293 = FALSE))</formula>
    </cfRule>
  </conditionalFormatting>
  <conditionalFormatting sqref="W294">
    <cfRule type="expression" dxfId="5387" priority="30">
      <formula>AND($R$294,$S$294)</formula>
    </cfRule>
  </conditionalFormatting>
  <conditionalFormatting sqref="W294">
    <cfRule type="expression" dxfId="5386" priority="29">
      <formula>AND(IF($R$294,$W$294,TRUE),LEN(TRIM($W$294))&gt;0)</formula>
    </cfRule>
  </conditionalFormatting>
  <conditionalFormatting sqref="W294">
    <cfRule type="expression" dxfId="5385" priority="28">
      <formula>$S$294 = FALSE</formula>
    </cfRule>
  </conditionalFormatting>
  <conditionalFormatting sqref="W294">
    <cfRule type="expression" dxfId="5384" priority="27">
      <formula>OR($T$294 = TRUE, AND($W$294 = TRUE, $S$294 = FALSE))</formula>
    </cfRule>
  </conditionalFormatting>
  <conditionalFormatting sqref="W299">
    <cfRule type="expression" dxfId="5383" priority="26">
      <formula>AND($R$299,$S$299)</formula>
    </cfRule>
  </conditionalFormatting>
  <conditionalFormatting sqref="W299">
    <cfRule type="expression" dxfId="5382" priority="25">
      <formula>AND(IF($R$299,$W$299,TRUE),LEN(TRIM($W$299))&gt;0)</formula>
    </cfRule>
  </conditionalFormatting>
  <conditionalFormatting sqref="W299">
    <cfRule type="expression" dxfId="5381" priority="24">
      <formula>$S$299 = FALSE</formula>
    </cfRule>
  </conditionalFormatting>
  <conditionalFormatting sqref="W299">
    <cfRule type="expression" dxfId="5380" priority="23">
      <formula>OR($T$299 = TRUE, AND($W$299 = TRUE, $S$299 = FALSE))</formula>
    </cfRule>
  </conditionalFormatting>
  <conditionalFormatting sqref="W301">
    <cfRule type="expression" dxfId="5379" priority="22">
      <formula>AND($R$301,$S$301)</formula>
    </cfRule>
  </conditionalFormatting>
  <conditionalFormatting sqref="W301">
    <cfRule type="expression" dxfId="5378" priority="21">
      <formula>AND(IF($R$301,$W$301,TRUE),LEN(TRIM($W$301))&gt;0)</formula>
    </cfRule>
  </conditionalFormatting>
  <conditionalFormatting sqref="W301">
    <cfRule type="expression" dxfId="5377" priority="20">
      <formula>$S$301 = FALSE</formula>
    </cfRule>
  </conditionalFormatting>
  <conditionalFormatting sqref="W301">
    <cfRule type="expression" dxfId="5376" priority="19">
      <formula>OR($T$301 = TRUE, AND($W$301 = TRUE, $S$301 = FALSE))</formula>
    </cfRule>
  </conditionalFormatting>
  <conditionalFormatting sqref="W303">
    <cfRule type="expression" dxfId="5375" priority="18">
      <formula>AND($R$303,$S$303)</formula>
    </cfRule>
  </conditionalFormatting>
  <conditionalFormatting sqref="W303">
    <cfRule type="expression" dxfId="5374" priority="17">
      <formula>AND(IF($R$303,$W$303,TRUE),LEN(TRIM($W$303))&gt;0)</formula>
    </cfRule>
  </conditionalFormatting>
  <conditionalFormatting sqref="W303">
    <cfRule type="expression" dxfId="5373" priority="16">
      <formula>$S$303 = FALSE</formula>
    </cfRule>
  </conditionalFormatting>
  <conditionalFormatting sqref="W303">
    <cfRule type="expression" dxfId="5372" priority="15">
      <formula>OR($T$303 = TRUE, AND($W$303 = TRUE, $S$303 = FALSE))</formula>
    </cfRule>
  </conditionalFormatting>
  <conditionalFormatting sqref="W305">
    <cfRule type="expression" dxfId="5371" priority="14">
      <formula>AND($R$305,$S$305)</formula>
    </cfRule>
  </conditionalFormatting>
  <conditionalFormatting sqref="W305">
    <cfRule type="expression" dxfId="5370" priority="13">
      <formula>AND(IF($R$305,$W$305,TRUE),LEN(TRIM($W$305))&gt;0)</formula>
    </cfRule>
  </conditionalFormatting>
  <conditionalFormatting sqref="W305">
    <cfRule type="expression" dxfId="5369" priority="12">
      <formula>$S$305 = FALSE</formula>
    </cfRule>
  </conditionalFormatting>
  <conditionalFormatting sqref="W305">
    <cfRule type="expression" dxfId="5368" priority="11">
      <formula>OR($T$305 = TRUE, AND($W$305 = TRUE, $S$305 = FALSE))</formula>
    </cfRule>
  </conditionalFormatting>
  <conditionalFormatting sqref="W265">
    <cfRule type="expression" dxfId="5367" priority="8">
      <formula>AND(R265,S265)</formula>
    </cfRule>
  </conditionalFormatting>
  <conditionalFormatting sqref="W265">
    <cfRule type="expression" dxfId="5366" priority="7">
      <formula>AND(S265,LEN(TRIM(W265))&gt;0)</formula>
    </cfRule>
  </conditionalFormatting>
  <conditionalFormatting sqref="W265">
    <cfRule type="expression" dxfId="5365" priority="6">
      <formula>S265 = FALSE</formula>
    </cfRule>
  </conditionalFormatting>
  <conditionalFormatting sqref="W265">
    <cfRule type="expression" dxfId="5364" priority="5">
      <formula>OR(T265 = TRUE, AND(LEN(W265) &gt; 0, S265 = FALSE))</formula>
    </cfRule>
  </conditionalFormatting>
  <conditionalFormatting sqref="W273">
    <cfRule type="expression" dxfId="5363" priority="4">
      <formula>AND(R273,S273)</formula>
    </cfRule>
  </conditionalFormatting>
  <conditionalFormatting sqref="W273">
    <cfRule type="expression" dxfId="5362" priority="3">
      <formula>AND(S273,LEN(TRIM(W273))&gt;0)</formula>
    </cfRule>
  </conditionalFormatting>
  <conditionalFormatting sqref="W273">
    <cfRule type="expression" dxfId="5361" priority="2">
      <formula>S273 = FALSE</formula>
    </cfRule>
  </conditionalFormatting>
  <conditionalFormatting sqref="W273">
    <cfRule type="expression" dxfId="5360" priority="1">
      <formula>OR(T273 = TRUE, AND(LEN(W273)&gt;0, S273 = FALSE))</formula>
    </cfRule>
  </conditionalFormatting>
  <dataValidations count="14">
    <dataValidation type="list" allowBlank="1" showInputMessage="1" showErrorMessage="1" error="Please use the dropdown." sqref="W38" xr:uid="{00000000-0002-0000-0300-000000000000}">
      <formula1>INDIRECT($U$38)</formula1>
    </dataValidation>
    <dataValidation type="decimal" allowBlank="1" showDropDown="1" showInputMessage="1" showErrorMessage="1" error="Enter Percentage" prompt="Enter Percentage" sqref="W82" xr:uid="{00000000-0002-0000-0300-000001000000}">
      <formula1>0</formula1>
      <formula2>1</formula2>
    </dataValidation>
    <dataValidation type="list" allowBlank="1" showInputMessage="1" showErrorMessage="1" error="Please use the dropdown." sqref="W255" xr:uid="{00000000-0002-0000-0300-000002000000}">
      <formula1>INDIRECT($U$255)</formula1>
    </dataValidation>
    <dataValidation type="list" allowBlank="1" showInputMessage="1" showErrorMessage="1" error="Please use the dropdown." sqref="W237" xr:uid="{00000000-0002-0000-0300-000004000000}">
      <formula1>INDIRECT($U$237)</formula1>
    </dataValidation>
    <dataValidation type="list" allowBlank="1" showInputMessage="1" showErrorMessage="1" error="Please use the dropdown." sqref="W152" xr:uid="{00000000-0002-0000-0300-000005000000}">
      <formula1>INDIRECT($U$152)</formula1>
    </dataValidation>
    <dataValidation type="list" allowBlank="1" showInputMessage="1" showErrorMessage="1" error="Please use the dropdown." sqref="W137" xr:uid="{00000000-0002-0000-0300-000006000000}">
      <formula1>INDIRECT($U$137)</formula1>
    </dataValidation>
    <dataValidation type="list" allowBlank="1" showInputMessage="1" showErrorMessage="1" error="Please use the dropdown." sqref="W135" xr:uid="{00000000-0002-0000-0300-000007000000}">
      <formula1>INDIRECT($U$135)</formula1>
    </dataValidation>
    <dataValidation type="list" allowBlank="1" showDropDown="1" showInputMessage="1" showErrorMessage="1" error="Use Checkbox" prompt="Use Checkbox" sqref="W145 W16 W251:W252 W247 W244 W236 W234 W221:W226 W219 W216 W212 W210 W207:W208 W205 W200 W197:W198 W190 W185 W183 W180 W176:W178 W172 W170 W168 W165 W163 W157:W158 W148 W128 W143 W113 W103:W105 W100:W101 W97 W93 W91 W83:W84 W43 W270:W271 W67 W64:W65 W52 W35 W20 W18 W150 W48 W45 W74 W76 W130 W305 W303 W301 W299 W293:W294 W290 W287 W283 W262 W267 W69 W71:W72" xr:uid="{00000000-0002-0000-0300-000008000000}">
      <formula1>TorF</formula1>
    </dataValidation>
    <dataValidation type="list" allowBlank="1" showInputMessage="1" showErrorMessage="1" error="Please use the dropdown." sqref="W86" xr:uid="{00000000-0002-0000-0300-000009000000}">
      <formula1>INDIRECT($U$86)</formula1>
    </dataValidation>
    <dataValidation type="list" allowBlank="1" showInputMessage="1" showErrorMessage="1" error="Please use the dropdown." sqref="W116" xr:uid="{00000000-0002-0000-0300-00000A000000}">
      <formula1>INDIRECT($U$116)</formula1>
    </dataValidation>
    <dataValidation type="list" allowBlank="1" showInputMessage="1" showErrorMessage="1" error="Please use the dropdown." sqref="W123" xr:uid="{00000000-0002-0000-0300-00000B000000}">
      <formula1>INDIRECT($U$123)</formula1>
    </dataValidation>
    <dataValidation type="list" allowBlank="1" showInputMessage="1" showErrorMessage="1" error="Please use the dropdown." sqref="W30" xr:uid="{F359DB94-6685-4D6B-9E33-4635C539489A}">
      <formula1>INDIRECT($U$30)</formula1>
    </dataValidation>
    <dataValidation type="decimal" allowBlank="1" showDropDown="1" showInputMessage="1" showErrorMessage="1" error="Enter a number" prompt="Enter square feet" sqref="W265" xr:uid="{A10EDE6E-EC08-4028-BC40-979ACB06D43A}">
      <formula1>0</formula1>
      <formula2>10000</formula2>
    </dataValidation>
    <dataValidation type="decimal" allowBlank="1" showDropDown="1" showInputMessage="1" showErrorMessage="1" error="Enter a percentage" prompt="Enter a percentage" sqref="W273" xr:uid="{A561446A-5EA5-4B5C-8E30-FE9B1FC4EAF5}">
      <formula1>0</formula1>
      <formula2>1</formula2>
    </dataValidation>
  </dataValidations>
  <hyperlinks>
    <hyperlink ref="X308" location="'Ch6'!A1" display="CLICK TO PROCEED TO CHAPTER 6 &gt;&gt;" xr:uid="{00000000-0004-0000-0300-000000000000}"/>
  </hyperlinks>
  <pageMargins left="0.7" right="0.7" top="0.75" bottom="0.75" header="0.3" footer="0.3"/>
  <pageSetup scale="61" fitToHeight="0" orientation="landscape" r:id="rId1"/>
  <rowBreaks count="5" manualBreakCount="5">
    <brk id="55" min="8" max="23" man="1"/>
    <brk id="105" min="8" max="23" man="1"/>
    <brk id="132" min="8" max="23" man="1"/>
    <brk id="186" min="8" max="23" man="1"/>
    <brk id="227" min="8" max="23" man="1"/>
  </rowBreaks>
  <drawing r:id="rId2"/>
  <legacyDrawing r:id="rId3"/>
  <mc:AlternateContent xmlns:mc="http://schemas.openxmlformats.org/markup-compatibility/2006">
    <mc:Choice Requires="x14">
      <controls>
        <mc:AlternateContent xmlns:mc="http://schemas.openxmlformats.org/markup-compatibility/2006">
          <mc:Choice Requires="x14">
            <control shapeId="3232" r:id="rId4" name="Check Box 160">
              <controlPr locked="0" defaultSize="0" autoFill="0" autoLine="0" autoPict="0">
                <anchor moveWithCells="1" sizeWithCells="1">
                  <from>
                    <xdr:col>22</xdr:col>
                    <xdr:colOff>0</xdr:colOff>
                    <xdr:row>15</xdr:row>
                    <xdr:rowOff>0</xdr:rowOff>
                  </from>
                  <to>
                    <xdr:col>22</xdr:col>
                    <xdr:colOff>177800</xdr:colOff>
                    <xdr:row>15</xdr:row>
                    <xdr:rowOff>177800</xdr:rowOff>
                  </to>
                </anchor>
              </controlPr>
            </control>
          </mc:Choice>
        </mc:AlternateContent>
        <mc:AlternateContent xmlns:mc="http://schemas.openxmlformats.org/markup-compatibility/2006">
          <mc:Choice Requires="x14">
            <control shapeId="3233" r:id="rId5" name="Check Box 161">
              <controlPr locked="0" defaultSize="0" autoFill="0" autoLine="0" autoPict="0">
                <anchor moveWithCells="1" sizeWithCells="1">
                  <from>
                    <xdr:col>22</xdr:col>
                    <xdr:colOff>0</xdr:colOff>
                    <xdr:row>17</xdr:row>
                    <xdr:rowOff>0</xdr:rowOff>
                  </from>
                  <to>
                    <xdr:col>22</xdr:col>
                    <xdr:colOff>177800</xdr:colOff>
                    <xdr:row>17</xdr:row>
                    <xdr:rowOff>177800</xdr:rowOff>
                  </to>
                </anchor>
              </controlPr>
            </control>
          </mc:Choice>
        </mc:AlternateContent>
        <mc:AlternateContent xmlns:mc="http://schemas.openxmlformats.org/markup-compatibility/2006">
          <mc:Choice Requires="x14">
            <control shapeId="3235" r:id="rId6" name="Check Box 163">
              <controlPr locked="0" defaultSize="0" autoFill="0" autoLine="0" autoPict="0">
                <anchor moveWithCells="1" sizeWithCells="1">
                  <from>
                    <xdr:col>22</xdr:col>
                    <xdr:colOff>0</xdr:colOff>
                    <xdr:row>19</xdr:row>
                    <xdr:rowOff>0</xdr:rowOff>
                  </from>
                  <to>
                    <xdr:col>22</xdr:col>
                    <xdr:colOff>177800</xdr:colOff>
                    <xdr:row>19</xdr:row>
                    <xdr:rowOff>177800</xdr:rowOff>
                  </to>
                </anchor>
              </controlPr>
            </control>
          </mc:Choice>
        </mc:AlternateContent>
        <mc:AlternateContent xmlns:mc="http://schemas.openxmlformats.org/markup-compatibility/2006">
          <mc:Choice Requires="x14">
            <control shapeId="3236" r:id="rId7" name="Check Box 164">
              <controlPr locked="0" defaultSize="0" autoFill="0" autoLine="0" autoPict="0">
                <anchor moveWithCells="1" sizeWithCells="1">
                  <from>
                    <xdr:col>22</xdr:col>
                    <xdr:colOff>0</xdr:colOff>
                    <xdr:row>34</xdr:row>
                    <xdr:rowOff>0</xdr:rowOff>
                  </from>
                  <to>
                    <xdr:col>22</xdr:col>
                    <xdr:colOff>177800</xdr:colOff>
                    <xdr:row>34</xdr:row>
                    <xdr:rowOff>177800</xdr:rowOff>
                  </to>
                </anchor>
              </controlPr>
            </control>
          </mc:Choice>
        </mc:AlternateContent>
        <mc:AlternateContent xmlns:mc="http://schemas.openxmlformats.org/markup-compatibility/2006">
          <mc:Choice Requires="x14">
            <control shapeId="3237" r:id="rId8" name="Check Box 165">
              <controlPr locked="0" defaultSize="0" autoFill="0" autoLine="0" autoPict="0">
                <anchor moveWithCells="1" sizeWithCells="1">
                  <from>
                    <xdr:col>22</xdr:col>
                    <xdr:colOff>0</xdr:colOff>
                    <xdr:row>51</xdr:row>
                    <xdr:rowOff>0</xdr:rowOff>
                  </from>
                  <to>
                    <xdr:col>22</xdr:col>
                    <xdr:colOff>177800</xdr:colOff>
                    <xdr:row>51</xdr:row>
                    <xdr:rowOff>177800</xdr:rowOff>
                  </to>
                </anchor>
              </controlPr>
            </control>
          </mc:Choice>
        </mc:AlternateContent>
        <mc:AlternateContent xmlns:mc="http://schemas.openxmlformats.org/markup-compatibility/2006">
          <mc:Choice Requires="x14">
            <control shapeId="3238" r:id="rId9" name="Check Box 166">
              <controlPr locked="0" defaultSize="0" autoFill="0" autoLine="0" autoPict="0">
                <anchor moveWithCells="1" sizeWithCells="1">
                  <from>
                    <xdr:col>22</xdr:col>
                    <xdr:colOff>0</xdr:colOff>
                    <xdr:row>63</xdr:row>
                    <xdr:rowOff>0</xdr:rowOff>
                  </from>
                  <to>
                    <xdr:col>22</xdr:col>
                    <xdr:colOff>177800</xdr:colOff>
                    <xdr:row>63</xdr:row>
                    <xdr:rowOff>177800</xdr:rowOff>
                  </to>
                </anchor>
              </controlPr>
            </control>
          </mc:Choice>
        </mc:AlternateContent>
        <mc:AlternateContent xmlns:mc="http://schemas.openxmlformats.org/markup-compatibility/2006">
          <mc:Choice Requires="x14">
            <control shapeId="3239" r:id="rId10" name="Check Box 167">
              <controlPr locked="0" defaultSize="0" autoFill="0" autoLine="0" autoPict="0">
                <anchor moveWithCells="1" sizeWithCells="1">
                  <from>
                    <xdr:col>22</xdr:col>
                    <xdr:colOff>0</xdr:colOff>
                    <xdr:row>64</xdr:row>
                    <xdr:rowOff>0</xdr:rowOff>
                  </from>
                  <to>
                    <xdr:col>22</xdr:col>
                    <xdr:colOff>177800</xdr:colOff>
                    <xdr:row>64</xdr:row>
                    <xdr:rowOff>177800</xdr:rowOff>
                  </to>
                </anchor>
              </controlPr>
            </control>
          </mc:Choice>
        </mc:AlternateContent>
        <mc:AlternateContent xmlns:mc="http://schemas.openxmlformats.org/markup-compatibility/2006">
          <mc:Choice Requires="x14">
            <control shapeId="3240" r:id="rId11" name="Check Box 168">
              <controlPr locked="0" defaultSize="0" autoFill="0" autoLine="0" autoPict="0">
                <anchor moveWithCells="1" sizeWithCells="1">
                  <from>
                    <xdr:col>22</xdr:col>
                    <xdr:colOff>0</xdr:colOff>
                    <xdr:row>66</xdr:row>
                    <xdr:rowOff>0</xdr:rowOff>
                  </from>
                  <to>
                    <xdr:col>22</xdr:col>
                    <xdr:colOff>177800</xdr:colOff>
                    <xdr:row>66</xdr:row>
                    <xdr:rowOff>177800</xdr:rowOff>
                  </to>
                </anchor>
              </controlPr>
            </control>
          </mc:Choice>
        </mc:AlternateContent>
        <mc:AlternateContent xmlns:mc="http://schemas.openxmlformats.org/markup-compatibility/2006">
          <mc:Choice Requires="x14">
            <control shapeId="3241" r:id="rId12" name="Check Box 169">
              <controlPr locked="0" defaultSize="0" autoFill="0" autoLine="0" autoPict="0">
                <anchor moveWithCells="1" sizeWithCells="1">
                  <from>
                    <xdr:col>22</xdr:col>
                    <xdr:colOff>0</xdr:colOff>
                    <xdr:row>68</xdr:row>
                    <xdr:rowOff>0</xdr:rowOff>
                  </from>
                  <to>
                    <xdr:col>22</xdr:col>
                    <xdr:colOff>177800</xdr:colOff>
                    <xdr:row>68</xdr:row>
                    <xdr:rowOff>177800</xdr:rowOff>
                  </to>
                </anchor>
              </controlPr>
            </control>
          </mc:Choice>
        </mc:AlternateContent>
        <mc:AlternateContent xmlns:mc="http://schemas.openxmlformats.org/markup-compatibility/2006">
          <mc:Choice Requires="x14">
            <control shapeId="3242" r:id="rId13" name="Check Box 170">
              <controlPr locked="0" defaultSize="0" autoFill="0" autoLine="0" autoPict="0">
                <anchor moveWithCells="1" sizeWithCells="1">
                  <from>
                    <xdr:col>22</xdr:col>
                    <xdr:colOff>0</xdr:colOff>
                    <xdr:row>70</xdr:row>
                    <xdr:rowOff>0</xdr:rowOff>
                  </from>
                  <to>
                    <xdr:col>22</xdr:col>
                    <xdr:colOff>177800</xdr:colOff>
                    <xdr:row>70</xdr:row>
                    <xdr:rowOff>177800</xdr:rowOff>
                  </to>
                </anchor>
              </controlPr>
            </control>
          </mc:Choice>
        </mc:AlternateContent>
        <mc:AlternateContent xmlns:mc="http://schemas.openxmlformats.org/markup-compatibility/2006">
          <mc:Choice Requires="x14">
            <control shapeId="3243" r:id="rId14" name="Check Box 171">
              <controlPr locked="0" defaultSize="0" autoFill="0" autoLine="0" autoPict="0">
                <anchor moveWithCells="1" sizeWithCells="1">
                  <from>
                    <xdr:col>22</xdr:col>
                    <xdr:colOff>0</xdr:colOff>
                    <xdr:row>71</xdr:row>
                    <xdr:rowOff>0</xdr:rowOff>
                  </from>
                  <to>
                    <xdr:col>22</xdr:col>
                    <xdr:colOff>177800</xdr:colOff>
                    <xdr:row>71</xdr:row>
                    <xdr:rowOff>177800</xdr:rowOff>
                  </to>
                </anchor>
              </controlPr>
            </control>
          </mc:Choice>
        </mc:AlternateContent>
        <mc:AlternateContent xmlns:mc="http://schemas.openxmlformats.org/markup-compatibility/2006">
          <mc:Choice Requires="x14">
            <control shapeId="3244" r:id="rId15" name="Check Box 172">
              <controlPr locked="0" defaultSize="0" autoFill="0" autoLine="0" autoPict="0">
                <anchor moveWithCells="1" sizeWithCells="1">
                  <from>
                    <xdr:col>22</xdr:col>
                    <xdr:colOff>0</xdr:colOff>
                    <xdr:row>73</xdr:row>
                    <xdr:rowOff>0</xdr:rowOff>
                  </from>
                  <to>
                    <xdr:col>22</xdr:col>
                    <xdr:colOff>177800</xdr:colOff>
                    <xdr:row>73</xdr:row>
                    <xdr:rowOff>177800</xdr:rowOff>
                  </to>
                </anchor>
              </controlPr>
            </control>
          </mc:Choice>
        </mc:AlternateContent>
        <mc:AlternateContent xmlns:mc="http://schemas.openxmlformats.org/markup-compatibility/2006">
          <mc:Choice Requires="x14">
            <control shapeId="3245" r:id="rId16" name="Check Box 173">
              <controlPr locked="0" defaultSize="0" autoFill="0" autoLine="0" autoPict="0">
                <anchor moveWithCells="1" sizeWithCells="1">
                  <from>
                    <xdr:col>22</xdr:col>
                    <xdr:colOff>0</xdr:colOff>
                    <xdr:row>82</xdr:row>
                    <xdr:rowOff>0</xdr:rowOff>
                  </from>
                  <to>
                    <xdr:col>22</xdr:col>
                    <xdr:colOff>177800</xdr:colOff>
                    <xdr:row>82</xdr:row>
                    <xdr:rowOff>177800</xdr:rowOff>
                  </to>
                </anchor>
              </controlPr>
            </control>
          </mc:Choice>
        </mc:AlternateContent>
        <mc:AlternateContent xmlns:mc="http://schemas.openxmlformats.org/markup-compatibility/2006">
          <mc:Choice Requires="x14">
            <control shapeId="3246" r:id="rId17" name="Check Box 174">
              <controlPr locked="0" defaultSize="0" autoFill="0" autoLine="0" autoPict="0">
                <anchor moveWithCells="1" sizeWithCells="1">
                  <from>
                    <xdr:col>22</xdr:col>
                    <xdr:colOff>0</xdr:colOff>
                    <xdr:row>83</xdr:row>
                    <xdr:rowOff>0</xdr:rowOff>
                  </from>
                  <to>
                    <xdr:col>22</xdr:col>
                    <xdr:colOff>177800</xdr:colOff>
                    <xdr:row>83</xdr:row>
                    <xdr:rowOff>177800</xdr:rowOff>
                  </to>
                </anchor>
              </controlPr>
            </control>
          </mc:Choice>
        </mc:AlternateContent>
        <mc:AlternateContent xmlns:mc="http://schemas.openxmlformats.org/markup-compatibility/2006">
          <mc:Choice Requires="x14">
            <control shapeId="3248" r:id="rId18" name="Check Box 176">
              <controlPr locked="0" defaultSize="0" autoFill="0" autoLine="0" autoPict="0">
                <anchor moveWithCells="1" sizeWithCells="1">
                  <from>
                    <xdr:col>22</xdr:col>
                    <xdr:colOff>0</xdr:colOff>
                    <xdr:row>90</xdr:row>
                    <xdr:rowOff>0</xdr:rowOff>
                  </from>
                  <to>
                    <xdr:col>22</xdr:col>
                    <xdr:colOff>177800</xdr:colOff>
                    <xdr:row>90</xdr:row>
                    <xdr:rowOff>177800</xdr:rowOff>
                  </to>
                </anchor>
              </controlPr>
            </control>
          </mc:Choice>
        </mc:AlternateContent>
        <mc:AlternateContent xmlns:mc="http://schemas.openxmlformats.org/markup-compatibility/2006">
          <mc:Choice Requires="x14">
            <control shapeId="3249" r:id="rId19" name="Check Box 177">
              <controlPr locked="0" defaultSize="0" autoFill="0" autoLine="0" autoPict="0">
                <anchor moveWithCells="1" sizeWithCells="1">
                  <from>
                    <xdr:col>22</xdr:col>
                    <xdr:colOff>0</xdr:colOff>
                    <xdr:row>92</xdr:row>
                    <xdr:rowOff>0</xdr:rowOff>
                  </from>
                  <to>
                    <xdr:col>22</xdr:col>
                    <xdr:colOff>177800</xdr:colOff>
                    <xdr:row>92</xdr:row>
                    <xdr:rowOff>177800</xdr:rowOff>
                  </to>
                </anchor>
              </controlPr>
            </control>
          </mc:Choice>
        </mc:AlternateContent>
        <mc:AlternateContent xmlns:mc="http://schemas.openxmlformats.org/markup-compatibility/2006">
          <mc:Choice Requires="x14">
            <control shapeId="3250" r:id="rId20" name="Check Box 178">
              <controlPr locked="0" defaultSize="0" autoFill="0" autoLine="0" autoPict="0">
                <anchor moveWithCells="1" sizeWithCells="1">
                  <from>
                    <xdr:col>22</xdr:col>
                    <xdr:colOff>0</xdr:colOff>
                    <xdr:row>96</xdr:row>
                    <xdr:rowOff>0</xdr:rowOff>
                  </from>
                  <to>
                    <xdr:col>22</xdr:col>
                    <xdr:colOff>177800</xdr:colOff>
                    <xdr:row>96</xdr:row>
                    <xdr:rowOff>177800</xdr:rowOff>
                  </to>
                </anchor>
              </controlPr>
            </control>
          </mc:Choice>
        </mc:AlternateContent>
        <mc:AlternateContent xmlns:mc="http://schemas.openxmlformats.org/markup-compatibility/2006">
          <mc:Choice Requires="x14">
            <control shapeId="3251" r:id="rId21" name="Check Box 179">
              <controlPr locked="0" defaultSize="0" autoFill="0" autoLine="0" autoPict="0">
                <anchor moveWithCells="1" sizeWithCells="1">
                  <from>
                    <xdr:col>22</xdr:col>
                    <xdr:colOff>0</xdr:colOff>
                    <xdr:row>99</xdr:row>
                    <xdr:rowOff>0</xdr:rowOff>
                  </from>
                  <to>
                    <xdr:col>22</xdr:col>
                    <xdr:colOff>177800</xdr:colOff>
                    <xdr:row>99</xdr:row>
                    <xdr:rowOff>177800</xdr:rowOff>
                  </to>
                </anchor>
              </controlPr>
            </control>
          </mc:Choice>
        </mc:AlternateContent>
        <mc:AlternateContent xmlns:mc="http://schemas.openxmlformats.org/markup-compatibility/2006">
          <mc:Choice Requires="x14">
            <control shapeId="3252" r:id="rId22" name="Check Box 180">
              <controlPr locked="0" defaultSize="0" autoFill="0" autoLine="0" autoPict="0">
                <anchor moveWithCells="1" sizeWithCells="1">
                  <from>
                    <xdr:col>22</xdr:col>
                    <xdr:colOff>0</xdr:colOff>
                    <xdr:row>100</xdr:row>
                    <xdr:rowOff>0</xdr:rowOff>
                  </from>
                  <to>
                    <xdr:col>22</xdr:col>
                    <xdr:colOff>177800</xdr:colOff>
                    <xdr:row>100</xdr:row>
                    <xdr:rowOff>177800</xdr:rowOff>
                  </to>
                </anchor>
              </controlPr>
            </control>
          </mc:Choice>
        </mc:AlternateContent>
        <mc:AlternateContent xmlns:mc="http://schemas.openxmlformats.org/markup-compatibility/2006">
          <mc:Choice Requires="x14">
            <control shapeId="3253" r:id="rId23" name="Check Box 181">
              <controlPr locked="0" defaultSize="0" autoFill="0" autoLine="0" autoPict="0">
                <anchor moveWithCells="1" sizeWithCells="1">
                  <from>
                    <xdr:col>22</xdr:col>
                    <xdr:colOff>0</xdr:colOff>
                    <xdr:row>102</xdr:row>
                    <xdr:rowOff>0</xdr:rowOff>
                  </from>
                  <to>
                    <xdr:col>22</xdr:col>
                    <xdr:colOff>177800</xdr:colOff>
                    <xdr:row>102</xdr:row>
                    <xdr:rowOff>177800</xdr:rowOff>
                  </to>
                </anchor>
              </controlPr>
            </control>
          </mc:Choice>
        </mc:AlternateContent>
        <mc:AlternateContent xmlns:mc="http://schemas.openxmlformats.org/markup-compatibility/2006">
          <mc:Choice Requires="x14">
            <control shapeId="3254" r:id="rId24" name="Check Box 182">
              <controlPr locked="0" defaultSize="0" autoFill="0" autoLine="0" autoPict="0">
                <anchor moveWithCells="1" sizeWithCells="1">
                  <from>
                    <xdr:col>22</xdr:col>
                    <xdr:colOff>0</xdr:colOff>
                    <xdr:row>103</xdr:row>
                    <xdr:rowOff>0</xdr:rowOff>
                  </from>
                  <to>
                    <xdr:col>22</xdr:col>
                    <xdr:colOff>177800</xdr:colOff>
                    <xdr:row>103</xdr:row>
                    <xdr:rowOff>177800</xdr:rowOff>
                  </to>
                </anchor>
              </controlPr>
            </control>
          </mc:Choice>
        </mc:AlternateContent>
        <mc:AlternateContent xmlns:mc="http://schemas.openxmlformats.org/markup-compatibility/2006">
          <mc:Choice Requires="x14">
            <control shapeId="3255" r:id="rId25" name="Check Box 183">
              <controlPr locked="0" defaultSize="0" autoFill="0" autoLine="0" autoPict="0">
                <anchor moveWithCells="1" sizeWithCells="1">
                  <from>
                    <xdr:col>22</xdr:col>
                    <xdr:colOff>0</xdr:colOff>
                    <xdr:row>104</xdr:row>
                    <xdr:rowOff>0</xdr:rowOff>
                  </from>
                  <to>
                    <xdr:col>22</xdr:col>
                    <xdr:colOff>177800</xdr:colOff>
                    <xdr:row>104</xdr:row>
                    <xdr:rowOff>177800</xdr:rowOff>
                  </to>
                </anchor>
              </controlPr>
            </control>
          </mc:Choice>
        </mc:AlternateContent>
        <mc:AlternateContent xmlns:mc="http://schemas.openxmlformats.org/markup-compatibility/2006">
          <mc:Choice Requires="x14">
            <control shapeId="3256" r:id="rId26" name="Check Box 184">
              <controlPr locked="0" defaultSize="0" autoFill="0" autoLine="0" autoPict="0">
                <anchor moveWithCells="1" sizeWithCells="1">
                  <from>
                    <xdr:col>22</xdr:col>
                    <xdr:colOff>0</xdr:colOff>
                    <xdr:row>112</xdr:row>
                    <xdr:rowOff>0</xdr:rowOff>
                  </from>
                  <to>
                    <xdr:col>22</xdr:col>
                    <xdr:colOff>177800</xdr:colOff>
                    <xdr:row>112</xdr:row>
                    <xdr:rowOff>177800</xdr:rowOff>
                  </to>
                </anchor>
              </controlPr>
            </control>
          </mc:Choice>
        </mc:AlternateContent>
        <mc:AlternateContent xmlns:mc="http://schemas.openxmlformats.org/markup-compatibility/2006">
          <mc:Choice Requires="x14">
            <control shapeId="3260" r:id="rId27" name="Check Box 188">
              <controlPr locked="0" defaultSize="0" autoFill="0" autoLine="0" autoPict="0">
                <anchor moveWithCells="1" sizeWithCells="1">
                  <from>
                    <xdr:col>22</xdr:col>
                    <xdr:colOff>0</xdr:colOff>
                    <xdr:row>142</xdr:row>
                    <xdr:rowOff>0</xdr:rowOff>
                  </from>
                  <to>
                    <xdr:col>22</xdr:col>
                    <xdr:colOff>177800</xdr:colOff>
                    <xdr:row>142</xdr:row>
                    <xdr:rowOff>177800</xdr:rowOff>
                  </to>
                </anchor>
              </controlPr>
            </control>
          </mc:Choice>
        </mc:AlternateContent>
        <mc:AlternateContent xmlns:mc="http://schemas.openxmlformats.org/markup-compatibility/2006">
          <mc:Choice Requires="x14">
            <control shapeId="3261" r:id="rId28" name="Check Box 189">
              <controlPr locked="0" defaultSize="0" autoFill="0" autoLine="0" autoPict="0">
                <anchor moveWithCells="1" sizeWithCells="1">
                  <from>
                    <xdr:col>22</xdr:col>
                    <xdr:colOff>0</xdr:colOff>
                    <xdr:row>144</xdr:row>
                    <xdr:rowOff>0</xdr:rowOff>
                  </from>
                  <to>
                    <xdr:col>22</xdr:col>
                    <xdr:colOff>177800</xdr:colOff>
                    <xdr:row>144</xdr:row>
                    <xdr:rowOff>177800</xdr:rowOff>
                  </to>
                </anchor>
              </controlPr>
            </control>
          </mc:Choice>
        </mc:AlternateContent>
        <mc:AlternateContent xmlns:mc="http://schemas.openxmlformats.org/markup-compatibility/2006">
          <mc:Choice Requires="x14">
            <control shapeId="3262" r:id="rId29" name="Check Box 190">
              <controlPr locked="0" defaultSize="0" autoFill="0" autoLine="0" autoPict="0">
                <anchor moveWithCells="1" sizeWithCells="1">
                  <from>
                    <xdr:col>22</xdr:col>
                    <xdr:colOff>0</xdr:colOff>
                    <xdr:row>147</xdr:row>
                    <xdr:rowOff>0</xdr:rowOff>
                  </from>
                  <to>
                    <xdr:col>22</xdr:col>
                    <xdr:colOff>177800</xdr:colOff>
                    <xdr:row>147</xdr:row>
                    <xdr:rowOff>177800</xdr:rowOff>
                  </to>
                </anchor>
              </controlPr>
            </control>
          </mc:Choice>
        </mc:AlternateContent>
        <mc:AlternateContent xmlns:mc="http://schemas.openxmlformats.org/markup-compatibility/2006">
          <mc:Choice Requires="x14">
            <control shapeId="3263" r:id="rId30" name="Check Box 191">
              <controlPr locked="0" defaultSize="0" autoFill="0" autoLine="0" autoPict="0">
                <anchor moveWithCells="1" sizeWithCells="1">
                  <from>
                    <xdr:col>22</xdr:col>
                    <xdr:colOff>0</xdr:colOff>
                    <xdr:row>156</xdr:row>
                    <xdr:rowOff>0</xdr:rowOff>
                  </from>
                  <to>
                    <xdr:col>22</xdr:col>
                    <xdr:colOff>177800</xdr:colOff>
                    <xdr:row>156</xdr:row>
                    <xdr:rowOff>177800</xdr:rowOff>
                  </to>
                </anchor>
              </controlPr>
            </control>
          </mc:Choice>
        </mc:AlternateContent>
        <mc:AlternateContent xmlns:mc="http://schemas.openxmlformats.org/markup-compatibility/2006">
          <mc:Choice Requires="x14">
            <control shapeId="3264" r:id="rId31" name="Check Box 192">
              <controlPr locked="0" defaultSize="0" autoFill="0" autoLine="0" autoPict="0">
                <anchor moveWithCells="1" sizeWithCells="1">
                  <from>
                    <xdr:col>22</xdr:col>
                    <xdr:colOff>0</xdr:colOff>
                    <xdr:row>157</xdr:row>
                    <xdr:rowOff>0</xdr:rowOff>
                  </from>
                  <to>
                    <xdr:col>22</xdr:col>
                    <xdr:colOff>177800</xdr:colOff>
                    <xdr:row>157</xdr:row>
                    <xdr:rowOff>177800</xdr:rowOff>
                  </to>
                </anchor>
              </controlPr>
            </control>
          </mc:Choice>
        </mc:AlternateContent>
        <mc:AlternateContent xmlns:mc="http://schemas.openxmlformats.org/markup-compatibility/2006">
          <mc:Choice Requires="x14">
            <control shapeId="3265" r:id="rId32" name="Check Box 193">
              <controlPr locked="0" defaultSize="0" autoFill="0" autoLine="0" autoPict="0">
                <anchor moveWithCells="1" sizeWithCells="1">
                  <from>
                    <xdr:col>22</xdr:col>
                    <xdr:colOff>0</xdr:colOff>
                    <xdr:row>162</xdr:row>
                    <xdr:rowOff>0</xdr:rowOff>
                  </from>
                  <to>
                    <xdr:col>22</xdr:col>
                    <xdr:colOff>177800</xdr:colOff>
                    <xdr:row>162</xdr:row>
                    <xdr:rowOff>177800</xdr:rowOff>
                  </to>
                </anchor>
              </controlPr>
            </control>
          </mc:Choice>
        </mc:AlternateContent>
        <mc:AlternateContent xmlns:mc="http://schemas.openxmlformats.org/markup-compatibility/2006">
          <mc:Choice Requires="x14">
            <control shapeId="3266" r:id="rId33" name="Check Box 194">
              <controlPr locked="0" defaultSize="0" autoFill="0" autoLine="0" autoPict="0">
                <anchor moveWithCells="1" sizeWithCells="1">
                  <from>
                    <xdr:col>22</xdr:col>
                    <xdr:colOff>0</xdr:colOff>
                    <xdr:row>164</xdr:row>
                    <xdr:rowOff>0</xdr:rowOff>
                  </from>
                  <to>
                    <xdr:col>22</xdr:col>
                    <xdr:colOff>177800</xdr:colOff>
                    <xdr:row>164</xdr:row>
                    <xdr:rowOff>177800</xdr:rowOff>
                  </to>
                </anchor>
              </controlPr>
            </control>
          </mc:Choice>
        </mc:AlternateContent>
        <mc:AlternateContent xmlns:mc="http://schemas.openxmlformats.org/markup-compatibility/2006">
          <mc:Choice Requires="x14">
            <control shapeId="3267" r:id="rId34" name="Check Box 195">
              <controlPr locked="0" defaultSize="0" autoFill="0" autoLine="0" autoPict="0">
                <anchor moveWithCells="1" sizeWithCells="1">
                  <from>
                    <xdr:col>22</xdr:col>
                    <xdr:colOff>0</xdr:colOff>
                    <xdr:row>167</xdr:row>
                    <xdr:rowOff>0</xdr:rowOff>
                  </from>
                  <to>
                    <xdr:col>22</xdr:col>
                    <xdr:colOff>177800</xdr:colOff>
                    <xdr:row>167</xdr:row>
                    <xdr:rowOff>177800</xdr:rowOff>
                  </to>
                </anchor>
              </controlPr>
            </control>
          </mc:Choice>
        </mc:AlternateContent>
        <mc:AlternateContent xmlns:mc="http://schemas.openxmlformats.org/markup-compatibility/2006">
          <mc:Choice Requires="x14">
            <control shapeId="3268" r:id="rId35" name="Check Box 196">
              <controlPr locked="0" defaultSize="0" autoFill="0" autoLine="0" autoPict="0">
                <anchor moveWithCells="1" sizeWithCells="1">
                  <from>
                    <xdr:col>22</xdr:col>
                    <xdr:colOff>0</xdr:colOff>
                    <xdr:row>169</xdr:row>
                    <xdr:rowOff>0</xdr:rowOff>
                  </from>
                  <to>
                    <xdr:col>22</xdr:col>
                    <xdr:colOff>177800</xdr:colOff>
                    <xdr:row>169</xdr:row>
                    <xdr:rowOff>177800</xdr:rowOff>
                  </to>
                </anchor>
              </controlPr>
            </control>
          </mc:Choice>
        </mc:AlternateContent>
        <mc:AlternateContent xmlns:mc="http://schemas.openxmlformats.org/markup-compatibility/2006">
          <mc:Choice Requires="x14">
            <control shapeId="3269" r:id="rId36" name="Check Box 197">
              <controlPr locked="0" defaultSize="0" autoFill="0" autoLine="0" autoPict="0">
                <anchor moveWithCells="1" sizeWithCells="1">
                  <from>
                    <xdr:col>22</xdr:col>
                    <xdr:colOff>0</xdr:colOff>
                    <xdr:row>171</xdr:row>
                    <xdr:rowOff>0</xdr:rowOff>
                  </from>
                  <to>
                    <xdr:col>22</xdr:col>
                    <xdr:colOff>177800</xdr:colOff>
                    <xdr:row>171</xdr:row>
                    <xdr:rowOff>177800</xdr:rowOff>
                  </to>
                </anchor>
              </controlPr>
            </control>
          </mc:Choice>
        </mc:AlternateContent>
        <mc:AlternateContent xmlns:mc="http://schemas.openxmlformats.org/markup-compatibility/2006">
          <mc:Choice Requires="x14">
            <control shapeId="3270" r:id="rId37" name="Check Box 198">
              <controlPr locked="0" defaultSize="0" autoFill="0" autoLine="0" autoPict="0">
                <anchor moveWithCells="1" sizeWithCells="1">
                  <from>
                    <xdr:col>22</xdr:col>
                    <xdr:colOff>0</xdr:colOff>
                    <xdr:row>175</xdr:row>
                    <xdr:rowOff>0</xdr:rowOff>
                  </from>
                  <to>
                    <xdr:col>22</xdr:col>
                    <xdr:colOff>177800</xdr:colOff>
                    <xdr:row>175</xdr:row>
                    <xdr:rowOff>177800</xdr:rowOff>
                  </to>
                </anchor>
              </controlPr>
            </control>
          </mc:Choice>
        </mc:AlternateContent>
        <mc:AlternateContent xmlns:mc="http://schemas.openxmlformats.org/markup-compatibility/2006">
          <mc:Choice Requires="x14">
            <control shapeId="3271" r:id="rId38" name="Check Box 199">
              <controlPr locked="0" defaultSize="0" autoFill="0" autoLine="0" autoPict="0">
                <anchor moveWithCells="1" sizeWithCells="1">
                  <from>
                    <xdr:col>22</xdr:col>
                    <xdr:colOff>0</xdr:colOff>
                    <xdr:row>176</xdr:row>
                    <xdr:rowOff>0</xdr:rowOff>
                  </from>
                  <to>
                    <xdr:col>22</xdr:col>
                    <xdr:colOff>177800</xdr:colOff>
                    <xdr:row>176</xdr:row>
                    <xdr:rowOff>177800</xdr:rowOff>
                  </to>
                </anchor>
              </controlPr>
            </control>
          </mc:Choice>
        </mc:AlternateContent>
        <mc:AlternateContent xmlns:mc="http://schemas.openxmlformats.org/markup-compatibility/2006">
          <mc:Choice Requires="x14">
            <control shapeId="3272" r:id="rId39" name="Check Box 200">
              <controlPr locked="0" defaultSize="0" autoFill="0" autoLine="0" autoPict="0">
                <anchor moveWithCells="1" sizeWithCells="1">
                  <from>
                    <xdr:col>22</xdr:col>
                    <xdr:colOff>0</xdr:colOff>
                    <xdr:row>177</xdr:row>
                    <xdr:rowOff>0</xdr:rowOff>
                  </from>
                  <to>
                    <xdr:col>22</xdr:col>
                    <xdr:colOff>177800</xdr:colOff>
                    <xdr:row>177</xdr:row>
                    <xdr:rowOff>177800</xdr:rowOff>
                  </to>
                </anchor>
              </controlPr>
            </control>
          </mc:Choice>
        </mc:AlternateContent>
        <mc:AlternateContent xmlns:mc="http://schemas.openxmlformats.org/markup-compatibility/2006">
          <mc:Choice Requires="x14">
            <control shapeId="3273" r:id="rId40" name="Check Box 201">
              <controlPr locked="0" defaultSize="0" autoFill="0" autoLine="0" autoPict="0">
                <anchor moveWithCells="1" sizeWithCells="1">
                  <from>
                    <xdr:col>22</xdr:col>
                    <xdr:colOff>0</xdr:colOff>
                    <xdr:row>179</xdr:row>
                    <xdr:rowOff>0</xdr:rowOff>
                  </from>
                  <to>
                    <xdr:col>22</xdr:col>
                    <xdr:colOff>177800</xdr:colOff>
                    <xdr:row>179</xdr:row>
                    <xdr:rowOff>177800</xdr:rowOff>
                  </to>
                </anchor>
              </controlPr>
            </control>
          </mc:Choice>
        </mc:AlternateContent>
        <mc:AlternateContent xmlns:mc="http://schemas.openxmlformats.org/markup-compatibility/2006">
          <mc:Choice Requires="x14">
            <control shapeId="3274" r:id="rId41" name="Check Box 202">
              <controlPr locked="0" defaultSize="0" autoFill="0" autoLine="0" autoPict="0">
                <anchor moveWithCells="1" sizeWithCells="1">
                  <from>
                    <xdr:col>22</xdr:col>
                    <xdr:colOff>0</xdr:colOff>
                    <xdr:row>182</xdr:row>
                    <xdr:rowOff>0</xdr:rowOff>
                  </from>
                  <to>
                    <xdr:col>22</xdr:col>
                    <xdr:colOff>177800</xdr:colOff>
                    <xdr:row>182</xdr:row>
                    <xdr:rowOff>177800</xdr:rowOff>
                  </to>
                </anchor>
              </controlPr>
            </control>
          </mc:Choice>
        </mc:AlternateContent>
        <mc:AlternateContent xmlns:mc="http://schemas.openxmlformats.org/markup-compatibility/2006">
          <mc:Choice Requires="x14">
            <control shapeId="3275" r:id="rId42" name="Check Box 203">
              <controlPr locked="0" defaultSize="0" autoFill="0" autoLine="0" autoPict="0">
                <anchor moveWithCells="1" sizeWithCells="1">
                  <from>
                    <xdr:col>22</xdr:col>
                    <xdr:colOff>0</xdr:colOff>
                    <xdr:row>184</xdr:row>
                    <xdr:rowOff>0</xdr:rowOff>
                  </from>
                  <to>
                    <xdr:col>22</xdr:col>
                    <xdr:colOff>177800</xdr:colOff>
                    <xdr:row>184</xdr:row>
                    <xdr:rowOff>177800</xdr:rowOff>
                  </to>
                </anchor>
              </controlPr>
            </control>
          </mc:Choice>
        </mc:AlternateContent>
        <mc:AlternateContent xmlns:mc="http://schemas.openxmlformats.org/markup-compatibility/2006">
          <mc:Choice Requires="x14">
            <control shapeId="3276" r:id="rId43" name="Check Box 204">
              <controlPr locked="0" defaultSize="0" autoFill="0" autoLine="0" autoPict="0">
                <anchor moveWithCells="1" sizeWithCells="1">
                  <from>
                    <xdr:col>22</xdr:col>
                    <xdr:colOff>0</xdr:colOff>
                    <xdr:row>189</xdr:row>
                    <xdr:rowOff>0</xdr:rowOff>
                  </from>
                  <to>
                    <xdr:col>22</xdr:col>
                    <xdr:colOff>177800</xdr:colOff>
                    <xdr:row>189</xdr:row>
                    <xdr:rowOff>177800</xdr:rowOff>
                  </to>
                </anchor>
              </controlPr>
            </control>
          </mc:Choice>
        </mc:AlternateContent>
        <mc:AlternateContent xmlns:mc="http://schemas.openxmlformats.org/markup-compatibility/2006">
          <mc:Choice Requires="x14">
            <control shapeId="3277" r:id="rId44" name="Check Box 205">
              <controlPr locked="0" defaultSize="0" autoFill="0" autoLine="0" autoPict="0">
                <anchor moveWithCells="1" sizeWithCells="1">
                  <from>
                    <xdr:col>22</xdr:col>
                    <xdr:colOff>0</xdr:colOff>
                    <xdr:row>196</xdr:row>
                    <xdr:rowOff>0</xdr:rowOff>
                  </from>
                  <to>
                    <xdr:col>22</xdr:col>
                    <xdr:colOff>177800</xdr:colOff>
                    <xdr:row>196</xdr:row>
                    <xdr:rowOff>177800</xdr:rowOff>
                  </to>
                </anchor>
              </controlPr>
            </control>
          </mc:Choice>
        </mc:AlternateContent>
        <mc:AlternateContent xmlns:mc="http://schemas.openxmlformats.org/markup-compatibility/2006">
          <mc:Choice Requires="x14">
            <control shapeId="3278" r:id="rId45" name="Check Box 206">
              <controlPr locked="0" defaultSize="0" autoFill="0" autoLine="0" autoPict="0">
                <anchor moveWithCells="1" sizeWithCells="1">
                  <from>
                    <xdr:col>22</xdr:col>
                    <xdr:colOff>0</xdr:colOff>
                    <xdr:row>197</xdr:row>
                    <xdr:rowOff>0</xdr:rowOff>
                  </from>
                  <to>
                    <xdr:col>22</xdr:col>
                    <xdr:colOff>177800</xdr:colOff>
                    <xdr:row>197</xdr:row>
                    <xdr:rowOff>177800</xdr:rowOff>
                  </to>
                </anchor>
              </controlPr>
            </control>
          </mc:Choice>
        </mc:AlternateContent>
        <mc:AlternateContent xmlns:mc="http://schemas.openxmlformats.org/markup-compatibility/2006">
          <mc:Choice Requires="x14">
            <control shapeId="3279" r:id="rId46" name="Check Box 207">
              <controlPr locked="0" defaultSize="0" autoFill="0" autoLine="0" autoPict="0">
                <anchor moveWithCells="1" sizeWithCells="1">
                  <from>
                    <xdr:col>22</xdr:col>
                    <xdr:colOff>0</xdr:colOff>
                    <xdr:row>199</xdr:row>
                    <xdr:rowOff>0</xdr:rowOff>
                  </from>
                  <to>
                    <xdr:col>22</xdr:col>
                    <xdr:colOff>177800</xdr:colOff>
                    <xdr:row>199</xdr:row>
                    <xdr:rowOff>177800</xdr:rowOff>
                  </to>
                </anchor>
              </controlPr>
            </control>
          </mc:Choice>
        </mc:AlternateContent>
        <mc:AlternateContent xmlns:mc="http://schemas.openxmlformats.org/markup-compatibility/2006">
          <mc:Choice Requires="x14">
            <control shapeId="3280" r:id="rId47" name="Check Box 208">
              <controlPr locked="0" defaultSize="0" autoFill="0" autoLine="0" autoPict="0">
                <anchor moveWithCells="1" sizeWithCells="1">
                  <from>
                    <xdr:col>22</xdr:col>
                    <xdr:colOff>0</xdr:colOff>
                    <xdr:row>204</xdr:row>
                    <xdr:rowOff>0</xdr:rowOff>
                  </from>
                  <to>
                    <xdr:col>22</xdr:col>
                    <xdr:colOff>177800</xdr:colOff>
                    <xdr:row>204</xdr:row>
                    <xdr:rowOff>177800</xdr:rowOff>
                  </to>
                </anchor>
              </controlPr>
            </control>
          </mc:Choice>
        </mc:AlternateContent>
        <mc:AlternateContent xmlns:mc="http://schemas.openxmlformats.org/markup-compatibility/2006">
          <mc:Choice Requires="x14">
            <control shapeId="3281" r:id="rId48" name="Check Box 209">
              <controlPr locked="0" defaultSize="0" autoFill="0" autoLine="0" autoPict="0">
                <anchor moveWithCells="1" sizeWithCells="1">
                  <from>
                    <xdr:col>22</xdr:col>
                    <xdr:colOff>0</xdr:colOff>
                    <xdr:row>206</xdr:row>
                    <xdr:rowOff>0</xdr:rowOff>
                  </from>
                  <to>
                    <xdr:col>22</xdr:col>
                    <xdr:colOff>177800</xdr:colOff>
                    <xdr:row>206</xdr:row>
                    <xdr:rowOff>177800</xdr:rowOff>
                  </to>
                </anchor>
              </controlPr>
            </control>
          </mc:Choice>
        </mc:AlternateContent>
        <mc:AlternateContent xmlns:mc="http://schemas.openxmlformats.org/markup-compatibility/2006">
          <mc:Choice Requires="x14">
            <control shapeId="3282" r:id="rId49" name="Check Box 210">
              <controlPr locked="0" defaultSize="0" autoFill="0" autoLine="0" autoPict="0">
                <anchor moveWithCells="1" sizeWithCells="1">
                  <from>
                    <xdr:col>22</xdr:col>
                    <xdr:colOff>0</xdr:colOff>
                    <xdr:row>207</xdr:row>
                    <xdr:rowOff>0</xdr:rowOff>
                  </from>
                  <to>
                    <xdr:col>22</xdr:col>
                    <xdr:colOff>177800</xdr:colOff>
                    <xdr:row>207</xdr:row>
                    <xdr:rowOff>177800</xdr:rowOff>
                  </to>
                </anchor>
              </controlPr>
            </control>
          </mc:Choice>
        </mc:AlternateContent>
        <mc:AlternateContent xmlns:mc="http://schemas.openxmlformats.org/markup-compatibility/2006">
          <mc:Choice Requires="x14">
            <control shapeId="3283" r:id="rId50" name="Check Box 211">
              <controlPr locked="0" defaultSize="0" autoFill="0" autoLine="0" autoPict="0">
                <anchor moveWithCells="1" sizeWithCells="1">
                  <from>
                    <xdr:col>22</xdr:col>
                    <xdr:colOff>0</xdr:colOff>
                    <xdr:row>209</xdr:row>
                    <xdr:rowOff>0</xdr:rowOff>
                  </from>
                  <to>
                    <xdr:col>22</xdr:col>
                    <xdr:colOff>177800</xdr:colOff>
                    <xdr:row>209</xdr:row>
                    <xdr:rowOff>177800</xdr:rowOff>
                  </to>
                </anchor>
              </controlPr>
            </control>
          </mc:Choice>
        </mc:AlternateContent>
        <mc:AlternateContent xmlns:mc="http://schemas.openxmlformats.org/markup-compatibility/2006">
          <mc:Choice Requires="x14">
            <control shapeId="3284" r:id="rId51" name="Check Box 212">
              <controlPr locked="0" defaultSize="0" autoFill="0" autoLine="0" autoPict="0">
                <anchor moveWithCells="1" sizeWithCells="1">
                  <from>
                    <xdr:col>22</xdr:col>
                    <xdr:colOff>0</xdr:colOff>
                    <xdr:row>211</xdr:row>
                    <xdr:rowOff>0</xdr:rowOff>
                  </from>
                  <to>
                    <xdr:col>22</xdr:col>
                    <xdr:colOff>177800</xdr:colOff>
                    <xdr:row>211</xdr:row>
                    <xdr:rowOff>177800</xdr:rowOff>
                  </to>
                </anchor>
              </controlPr>
            </control>
          </mc:Choice>
        </mc:AlternateContent>
        <mc:AlternateContent xmlns:mc="http://schemas.openxmlformats.org/markup-compatibility/2006">
          <mc:Choice Requires="x14">
            <control shapeId="3285" r:id="rId52" name="Check Box 213">
              <controlPr locked="0" defaultSize="0" autoFill="0" autoLine="0" autoPict="0">
                <anchor moveWithCells="1" sizeWithCells="1">
                  <from>
                    <xdr:col>22</xdr:col>
                    <xdr:colOff>0</xdr:colOff>
                    <xdr:row>215</xdr:row>
                    <xdr:rowOff>0</xdr:rowOff>
                  </from>
                  <to>
                    <xdr:col>22</xdr:col>
                    <xdr:colOff>177800</xdr:colOff>
                    <xdr:row>215</xdr:row>
                    <xdr:rowOff>177800</xdr:rowOff>
                  </to>
                </anchor>
              </controlPr>
            </control>
          </mc:Choice>
        </mc:AlternateContent>
        <mc:AlternateContent xmlns:mc="http://schemas.openxmlformats.org/markup-compatibility/2006">
          <mc:Choice Requires="x14">
            <control shapeId="3286" r:id="rId53" name="Check Box 214">
              <controlPr locked="0" defaultSize="0" autoFill="0" autoLine="0" autoPict="0">
                <anchor moveWithCells="1" sizeWithCells="1">
                  <from>
                    <xdr:col>22</xdr:col>
                    <xdr:colOff>0</xdr:colOff>
                    <xdr:row>218</xdr:row>
                    <xdr:rowOff>0</xdr:rowOff>
                  </from>
                  <to>
                    <xdr:col>22</xdr:col>
                    <xdr:colOff>177800</xdr:colOff>
                    <xdr:row>218</xdr:row>
                    <xdr:rowOff>177800</xdr:rowOff>
                  </to>
                </anchor>
              </controlPr>
            </control>
          </mc:Choice>
        </mc:AlternateContent>
        <mc:AlternateContent xmlns:mc="http://schemas.openxmlformats.org/markup-compatibility/2006">
          <mc:Choice Requires="x14">
            <control shapeId="3287" r:id="rId54" name="Check Box 215">
              <controlPr locked="0" defaultSize="0" autoFill="0" autoLine="0" autoPict="0">
                <anchor moveWithCells="1" sizeWithCells="1">
                  <from>
                    <xdr:col>22</xdr:col>
                    <xdr:colOff>0</xdr:colOff>
                    <xdr:row>220</xdr:row>
                    <xdr:rowOff>0</xdr:rowOff>
                  </from>
                  <to>
                    <xdr:col>22</xdr:col>
                    <xdr:colOff>177800</xdr:colOff>
                    <xdr:row>220</xdr:row>
                    <xdr:rowOff>177800</xdr:rowOff>
                  </to>
                </anchor>
              </controlPr>
            </control>
          </mc:Choice>
        </mc:AlternateContent>
        <mc:AlternateContent xmlns:mc="http://schemas.openxmlformats.org/markup-compatibility/2006">
          <mc:Choice Requires="x14">
            <control shapeId="3288" r:id="rId55" name="Check Box 216">
              <controlPr locked="0" defaultSize="0" autoFill="0" autoLine="0" autoPict="0">
                <anchor moveWithCells="1" sizeWithCells="1">
                  <from>
                    <xdr:col>22</xdr:col>
                    <xdr:colOff>0</xdr:colOff>
                    <xdr:row>221</xdr:row>
                    <xdr:rowOff>0</xdr:rowOff>
                  </from>
                  <to>
                    <xdr:col>22</xdr:col>
                    <xdr:colOff>177800</xdr:colOff>
                    <xdr:row>221</xdr:row>
                    <xdr:rowOff>177800</xdr:rowOff>
                  </to>
                </anchor>
              </controlPr>
            </control>
          </mc:Choice>
        </mc:AlternateContent>
        <mc:AlternateContent xmlns:mc="http://schemas.openxmlformats.org/markup-compatibility/2006">
          <mc:Choice Requires="x14">
            <control shapeId="3289" r:id="rId56" name="Check Box 217">
              <controlPr locked="0" defaultSize="0" autoFill="0" autoLine="0" autoPict="0">
                <anchor moveWithCells="1" sizeWithCells="1">
                  <from>
                    <xdr:col>22</xdr:col>
                    <xdr:colOff>0</xdr:colOff>
                    <xdr:row>222</xdr:row>
                    <xdr:rowOff>0</xdr:rowOff>
                  </from>
                  <to>
                    <xdr:col>22</xdr:col>
                    <xdr:colOff>177800</xdr:colOff>
                    <xdr:row>222</xdr:row>
                    <xdr:rowOff>177800</xdr:rowOff>
                  </to>
                </anchor>
              </controlPr>
            </control>
          </mc:Choice>
        </mc:AlternateContent>
        <mc:AlternateContent xmlns:mc="http://schemas.openxmlformats.org/markup-compatibility/2006">
          <mc:Choice Requires="x14">
            <control shapeId="3290" r:id="rId57" name="Check Box 218">
              <controlPr locked="0" defaultSize="0" autoFill="0" autoLine="0" autoPict="0">
                <anchor moveWithCells="1" sizeWithCells="1">
                  <from>
                    <xdr:col>22</xdr:col>
                    <xdr:colOff>0</xdr:colOff>
                    <xdr:row>223</xdr:row>
                    <xdr:rowOff>0</xdr:rowOff>
                  </from>
                  <to>
                    <xdr:col>22</xdr:col>
                    <xdr:colOff>177800</xdr:colOff>
                    <xdr:row>223</xdr:row>
                    <xdr:rowOff>177800</xdr:rowOff>
                  </to>
                </anchor>
              </controlPr>
            </control>
          </mc:Choice>
        </mc:AlternateContent>
        <mc:AlternateContent xmlns:mc="http://schemas.openxmlformats.org/markup-compatibility/2006">
          <mc:Choice Requires="x14">
            <control shapeId="3291" r:id="rId58" name="Check Box 219">
              <controlPr locked="0" defaultSize="0" autoFill="0" autoLine="0" autoPict="0">
                <anchor moveWithCells="1" sizeWithCells="1">
                  <from>
                    <xdr:col>22</xdr:col>
                    <xdr:colOff>0</xdr:colOff>
                    <xdr:row>224</xdr:row>
                    <xdr:rowOff>0</xdr:rowOff>
                  </from>
                  <to>
                    <xdr:col>22</xdr:col>
                    <xdr:colOff>177800</xdr:colOff>
                    <xdr:row>224</xdr:row>
                    <xdr:rowOff>177800</xdr:rowOff>
                  </to>
                </anchor>
              </controlPr>
            </control>
          </mc:Choice>
        </mc:AlternateContent>
        <mc:AlternateContent xmlns:mc="http://schemas.openxmlformats.org/markup-compatibility/2006">
          <mc:Choice Requires="x14">
            <control shapeId="3292" r:id="rId59" name="Check Box 220">
              <controlPr locked="0" defaultSize="0" autoFill="0" autoLine="0" autoPict="0">
                <anchor moveWithCells="1" sizeWithCells="1">
                  <from>
                    <xdr:col>22</xdr:col>
                    <xdr:colOff>0</xdr:colOff>
                    <xdr:row>225</xdr:row>
                    <xdr:rowOff>0</xdr:rowOff>
                  </from>
                  <to>
                    <xdr:col>22</xdr:col>
                    <xdr:colOff>177800</xdr:colOff>
                    <xdr:row>225</xdr:row>
                    <xdr:rowOff>177800</xdr:rowOff>
                  </to>
                </anchor>
              </controlPr>
            </control>
          </mc:Choice>
        </mc:AlternateContent>
        <mc:AlternateContent xmlns:mc="http://schemas.openxmlformats.org/markup-compatibility/2006">
          <mc:Choice Requires="x14">
            <control shapeId="3294" r:id="rId60" name="Check Box 222">
              <controlPr locked="0" defaultSize="0" autoFill="0" autoLine="0" autoPict="0">
                <anchor moveWithCells="1" sizeWithCells="1">
                  <from>
                    <xdr:col>22</xdr:col>
                    <xdr:colOff>0</xdr:colOff>
                    <xdr:row>233</xdr:row>
                    <xdr:rowOff>0</xdr:rowOff>
                  </from>
                  <to>
                    <xdr:col>22</xdr:col>
                    <xdr:colOff>177800</xdr:colOff>
                    <xdr:row>233</xdr:row>
                    <xdr:rowOff>177800</xdr:rowOff>
                  </to>
                </anchor>
              </controlPr>
            </control>
          </mc:Choice>
        </mc:AlternateContent>
        <mc:AlternateContent xmlns:mc="http://schemas.openxmlformats.org/markup-compatibility/2006">
          <mc:Choice Requires="x14">
            <control shapeId="3295" r:id="rId61" name="Check Box 223">
              <controlPr locked="0" defaultSize="0" autoFill="0" autoLine="0" autoPict="0">
                <anchor moveWithCells="1" sizeWithCells="1">
                  <from>
                    <xdr:col>22</xdr:col>
                    <xdr:colOff>0</xdr:colOff>
                    <xdr:row>235</xdr:row>
                    <xdr:rowOff>0</xdr:rowOff>
                  </from>
                  <to>
                    <xdr:col>22</xdr:col>
                    <xdr:colOff>177800</xdr:colOff>
                    <xdr:row>235</xdr:row>
                    <xdr:rowOff>177800</xdr:rowOff>
                  </to>
                </anchor>
              </controlPr>
            </control>
          </mc:Choice>
        </mc:AlternateContent>
        <mc:AlternateContent xmlns:mc="http://schemas.openxmlformats.org/markup-compatibility/2006">
          <mc:Choice Requires="x14">
            <control shapeId="3296" r:id="rId62" name="Check Box 224">
              <controlPr locked="0" defaultSize="0" autoFill="0" autoLine="0" autoPict="0">
                <anchor moveWithCells="1" sizeWithCells="1">
                  <from>
                    <xdr:col>22</xdr:col>
                    <xdr:colOff>0</xdr:colOff>
                    <xdr:row>243</xdr:row>
                    <xdr:rowOff>0</xdr:rowOff>
                  </from>
                  <to>
                    <xdr:col>22</xdr:col>
                    <xdr:colOff>177800</xdr:colOff>
                    <xdr:row>243</xdr:row>
                    <xdr:rowOff>177800</xdr:rowOff>
                  </to>
                </anchor>
              </controlPr>
            </control>
          </mc:Choice>
        </mc:AlternateContent>
        <mc:AlternateContent xmlns:mc="http://schemas.openxmlformats.org/markup-compatibility/2006">
          <mc:Choice Requires="x14">
            <control shapeId="3297" r:id="rId63" name="Check Box 225">
              <controlPr locked="0" defaultSize="0" autoFill="0" autoLine="0" autoPict="0">
                <anchor moveWithCells="1" sizeWithCells="1">
                  <from>
                    <xdr:col>22</xdr:col>
                    <xdr:colOff>0</xdr:colOff>
                    <xdr:row>246</xdr:row>
                    <xdr:rowOff>0</xdr:rowOff>
                  </from>
                  <to>
                    <xdr:col>22</xdr:col>
                    <xdr:colOff>177800</xdr:colOff>
                    <xdr:row>246</xdr:row>
                    <xdr:rowOff>177800</xdr:rowOff>
                  </to>
                </anchor>
              </controlPr>
            </control>
          </mc:Choice>
        </mc:AlternateContent>
        <mc:AlternateContent xmlns:mc="http://schemas.openxmlformats.org/markup-compatibility/2006">
          <mc:Choice Requires="x14">
            <control shapeId="3298" r:id="rId64" name="Check Box 226">
              <controlPr locked="0" defaultSize="0" autoFill="0" autoLine="0" autoPict="0">
                <anchor moveWithCells="1" sizeWithCells="1">
                  <from>
                    <xdr:col>22</xdr:col>
                    <xdr:colOff>0</xdr:colOff>
                    <xdr:row>250</xdr:row>
                    <xdr:rowOff>0</xdr:rowOff>
                  </from>
                  <to>
                    <xdr:col>22</xdr:col>
                    <xdr:colOff>177800</xdr:colOff>
                    <xdr:row>250</xdr:row>
                    <xdr:rowOff>177800</xdr:rowOff>
                  </to>
                </anchor>
              </controlPr>
            </control>
          </mc:Choice>
        </mc:AlternateContent>
        <mc:AlternateContent xmlns:mc="http://schemas.openxmlformats.org/markup-compatibility/2006">
          <mc:Choice Requires="x14">
            <control shapeId="3299" r:id="rId65" name="Check Box 227">
              <controlPr locked="0" defaultSize="0" autoFill="0" autoLine="0" autoPict="0">
                <anchor moveWithCells="1" sizeWithCells="1">
                  <from>
                    <xdr:col>22</xdr:col>
                    <xdr:colOff>0</xdr:colOff>
                    <xdr:row>251</xdr:row>
                    <xdr:rowOff>0</xdr:rowOff>
                  </from>
                  <to>
                    <xdr:col>22</xdr:col>
                    <xdr:colOff>177800</xdr:colOff>
                    <xdr:row>251</xdr:row>
                    <xdr:rowOff>177800</xdr:rowOff>
                  </to>
                </anchor>
              </controlPr>
            </control>
          </mc:Choice>
        </mc:AlternateContent>
        <mc:AlternateContent xmlns:mc="http://schemas.openxmlformats.org/markup-compatibility/2006">
          <mc:Choice Requires="x14">
            <control shapeId="3305" r:id="rId66" name="Check Box 233">
              <controlPr locked="0" defaultSize="0" autoFill="0" autoLine="0" autoPict="0">
                <anchor moveWithCells="1">
                  <from>
                    <xdr:col>22</xdr:col>
                    <xdr:colOff>0</xdr:colOff>
                    <xdr:row>42</xdr:row>
                    <xdr:rowOff>0</xdr:rowOff>
                  </from>
                  <to>
                    <xdr:col>22</xdr:col>
                    <xdr:colOff>177800</xdr:colOff>
                    <xdr:row>42</xdr:row>
                    <xdr:rowOff>177800</xdr:rowOff>
                  </to>
                </anchor>
              </controlPr>
            </control>
          </mc:Choice>
        </mc:AlternateContent>
        <mc:AlternateContent xmlns:mc="http://schemas.openxmlformats.org/markup-compatibility/2006">
          <mc:Choice Requires="x14">
            <control shapeId="3306" r:id="rId67" name="Check Box 234">
              <controlPr locked="0" defaultSize="0" autoFill="0" autoLine="0" autoPict="0">
                <anchor moveWithCells="1">
                  <from>
                    <xdr:col>22</xdr:col>
                    <xdr:colOff>0</xdr:colOff>
                    <xdr:row>44</xdr:row>
                    <xdr:rowOff>0</xdr:rowOff>
                  </from>
                  <to>
                    <xdr:col>22</xdr:col>
                    <xdr:colOff>177800</xdr:colOff>
                    <xdr:row>44</xdr:row>
                    <xdr:rowOff>177800</xdr:rowOff>
                  </to>
                </anchor>
              </controlPr>
            </control>
          </mc:Choice>
        </mc:AlternateContent>
        <mc:AlternateContent xmlns:mc="http://schemas.openxmlformats.org/markup-compatibility/2006">
          <mc:Choice Requires="x14">
            <control shapeId="3307" r:id="rId68" name="Check Box 235">
              <controlPr locked="0" defaultSize="0" autoFill="0" autoLine="0" autoPict="0">
                <anchor moveWithCells="1">
                  <from>
                    <xdr:col>22</xdr:col>
                    <xdr:colOff>0</xdr:colOff>
                    <xdr:row>47</xdr:row>
                    <xdr:rowOff>0</xdr:rowOff>
                  </from>
                  <to>
                    <xdr:col>22</xdr:col>
                    <xdr:colOff>177800</xdr:colOff>
                    <xdr:row>47</xdr:row>
                    <xdr:rowOff>177800</xdr:rowOff>
                  </to>
                </anchor>
              </controlPr>
            </control>
          </mc:Choice>
        </mc:AlternateContent>
        <mc:AlternateContent xmlns:mc="http://schemas.openxmlformats.org/markup-compatibility/2006">
          <mc:Choice Requires="x14">
            <control shapeId="3309" r:id="rId69" name="Check Box 237">
              <controlPr locked="0" defaultSize="0" autoFill="0" autoLine="0" autoPict="0">
                <anchor moveWithCells="1">
                  <from>
                    <xdr:col>22</xdr:col>
                    <xdr:colOff>0</xdr:colOff>
                    <xdr:row>75</xdr:row>
                    <xdr:rowOff>0</xdr:rowOff>
                  </from>
                  <to>
                    <xdr:col>22</xdr:col>
                    <xdr:colOff>177800</xdr:colOff>
                    <xdr:row>75</xdr:row>
                    <xdr:rowOff>177800</xdr:rowOff>
                  </to>
                </anchor>
              </controlPr>
            </control>
          </mc:Choice>
        </mc:AlternateContent>
        <mc:AlternateContent xmlns:mc="http://schemas.openxmlformats.org/markup-compatibility/2006">
          <mc:Choice Requires="x14">
            <control shapeId="3311" r:id="rId70" name="Check Box 239">
              <controlPr locked="0" defaultSize="0" autoFill="0" autoLine="0" autoPict="0">
                <anchor moveWithCells="1">
                  <from>
                    <xdr:col>22</xdr:col>
                    <xdr:colOff>0</xdr:colOff>
                    <xdr:row>127</xdr:row>
                    <xdr:rowOff>0</xdr:rowOff>
                  </from>
                  <to>
                    <xdr:col>22</xdr:col>
                    <xdr:colOff>177800</xdr:colOff>
                    <xdr:row>127</xdr:row>
                    <xdr:rowOff>177800</xdr:rowOff>
                  </to>
                </anchor>
              </controlPr>
            </control>
          </mc:Choice>
        </mc:AlternateContent>
        <mc:AlternateContent xmlns:mc="http://schemas.openxmlformats.org/markup-compatibility/2006">
          <mc:Choice Requires="x14">
            <control shapeId="3312" r:id="rId71" name="Check Box 240">
              <controlPr locked="0" defaultSize="0" autoFill="0" autoLine="0" autoPict="0">
                <anchor moveWithCells="1">
                  <from>
                    <xdr:col>22</xdr:col>
                    <xdr:colOff>0</xdr:colOff>
                    <xdr:row>129</xdr:row>
                    <xdr:rowOff>0</xdr:rowOff>
                  </from>
                  <to>
                    <xdr:col>22</xdr:col>
                    <xdr:colOff>177800</xdr:colOff>
                    <xdr:row>129</xdr:row>
                    <xdr:rowOff>177800</xdr:rowOff>
                  </to>
                </anchor>
              </controlPr>
            </control>
          </mc:Choice>
        </mc:AlternateContent>
        <mc:AlternateContent xmlns:mc="http://schemas.openxmlformats.org/markup-compatibility/2006">
          <mc:Choice Requires="x14">
            <control shapeId="3315" r:id="rId72" name="Check Box 243">
              <controlPr locked="0" defaultSize="0" autoFill="0" autoLine="0" autoPict="0">
                <anchor moveWithCells="1">
                  <from>
                    <xdr:col>22</xdr:col>
                    <xdr:colOff>0</xdr:colOff>
                    <xdr:row>149</xdr:row>
                    <xdr:rowOff>0</xdr:rowOff>
                  </from>
                  <to>
                    <xdr:col>22</xdr:col>
                    <xdr:colOff>177800</xdr:colOff>
                    <xdr:row>149</xdr:row>
                    <xdr:rowOff>177800</xdr:rowOff>
                  </to>
                </anchor>
              </controlPr>
            </control>
          </mc:Choice>
        </mc:AlternateContent>
        <mc:AlternateContent xmlns:mc="http://schemas.openxmlformats.org/markup-compatibility/2006">
          <mc:Choice Requires="x14">
            <control shapeId="3338" r:id="rId73" name="Check Box 266">
              <controlPr locked="0" defaultSize="0" autoFill="0" autoLine="0" autoPict="0">
                <anchor moveWithCells="1">
                  <from>
                    <xdr:col>22</xdr:col>
                    <xdr:colOff>0</xdr:colOff>
                    <xdr:row>270</xdr:row>
                    <xdr:rowOff>0</xdr:rowOff>
                  </from>
                  <to>
                    <xdr:col>22</xdr:col>
                    <xdr:colOff>177800</xdr:colOff>
                    <xdr:row>270</xdr:row>
                    <xdr:rowOff>177800</xdr:rowOff>
                  </to>
                </anchor>
              </controlPr>
            </control>
          </mc:Choice>
        </mc:AlternateContent>
        <mc:AlternateContent xmlns:mc="http://schemas.openxmlformats.org/markup-compatibility/2006">
          <mc:Choice Requires="x14">
            <control shapeId="3339" r:id="rId74" name="Check Box 267">
              <controlPr locked="0" defaultSize="0" autoFill="0" autoLine="0" autoPict="0">
                <anchor moveWithCells="1">
                  <from>
                    <xdr:col>22</xdr:col>
                    <xdr:colOff>0</xdr:colOff>
                    <xdr:row>269</xdr:row>
                    <xdr:rowOff>0</xdr:rowOff>
                  </from>
                  <to>
                    <xdr:col>22</xdr:col>
                    <xdr:colOff>177800</xdr:colOff>
                    <xdr:row>269</xdr:row>
                    <xdr:rowOff>177800</xdr:rowOff>
                  </to>
                </anchor>
              </controlPr>
            </control>
          </mc:Choice>
        </mc:AlternateContent>
        <mc:AlternateContent xmlns:mc="http://schemas.openxmlformats.org/markup-compatibility/2006">
          <mc:Choice Requires="x14">
            <control shapeId="3340" r:id="rId75" name="Check Box 268">
              <controlPr locked="0" defaultSize="0" autoFill="0" autoLine="0" autoPict="0">
                <anchor moveWithCells="1">
                  <from>
                    <xdr:col>22</xdr:col>
                    <xdr:colOff>0</xdr:colOff>
                    <xdr:row>266</xdr:row>
                    <xdr:rowOff>0</xdr:rowOff>
                  </from>
                  <to>
                    <xdr:col>22</xdr:col>
                    <xdr:colOff>177800</xdr:colOff>
                    <xdr:row>266</xdr:row>
                    <xdr:rowOff>177800</xdr:rowOff>
                  </to>
                </anchor>
              </controlPr>
            </control>
          </mc:Choice>
        </mc:AlternateContent>
        <mc:AlternateContent xmlns:mc="http://schemas.openxmlformats.org/markup-compatibility/2006">
          <mc:Choice Requires="x14">
            <control shapeId="3341" r:id="rId76" name="Check Box 269">
              <controlPr locked="0" defaultSize="0" autoFill="0" autoLine="0" autoPict="0">
                <anchor moveWithCells="1">
                  <from>
                    <xdr:col>22</xdr:col>
                    <xdr:colOff>0</xdr:colOff>
                    <xdr:row>261</xdr:row>
                    <xdr:rowOff>0</xdr:rowOff>
                  </from>
                  <to>
                    <xdr:col>22</xdr:col>
                    <xdr:colOff>177800</xdr:colOff>
                    <xdr:row>261</xdr:row>
                    <xdr:rowOff>177800</xdr:rowOff>
                  </to>
                </anchor>
              </controlPr>
            </control>
          </mc:Choice>
        </mc:AlternateContent>
        <mc:AlternateContent xmlns:mc="http://schemas.openxmlformats.org/markup-compatibility/2006">
          <mc:Choice Requires="x14">
            <control shapeId="3342" r:id="rId77" name="Check Box 270">
              <controlPr locked="0" defaultSize="0" autoFill="0" autoLine="0" autoPict="0">
                <anchor moveWithCells="1">
                  <from>
                    <xdr:col>22</xdr:col>
                    <xdr:colOff>0</xdr:colOff>
                    <xdr:row>282</xdr:row>
                    <xdr:rowOff>0</xdr:rowOff>
                  </from>
                  <to>
                    <xdr:col>22</xdr:col>
                    <xdr:colOff>177800</xdr:colOff>
                    <xdr:row>282</xdr:row>
                    <xdr:rowOff>177800</xdr:rowOff>
                  </to>
                </anchor>
              </controlPr>
            </control>
          </mc:Choice>
        </mc:AlternateContent>
        <mc:AlternateContent xmlns:mc="http://schemas.openxmlformats.org/markup-compatibility/2006">
          <mc:Choice Requires="x14">
            <control shapeId="3343" r:id="rId78" name="Check Box 271">
              <controlPr locked="0" defaultSize="0" autoFill="0" autoLine="0" autoPict="0">
                <anchor moveWithCells="1">
                  <from>
                    <xdr:col>22</xdr:col>
                    <xdr:colOff>0</xdr:colOff>
                    <xdr:row>286</xdr:row>
                    <xdr:rowOff>0</xdr:rowOff>
                  </from>
                  <to>
                    <xdr:col>22</xdr:col>
                    <xdr:colOff>177800</xdr:colOff>
                    <xdr:row>286</xdr:row>
                    <xdr:rowOff>177800</xdr:rowOff>
                  </to>
                </anchor>
              </controlPr>
            </control>
          </mc:Choice>
        </mc:AlternateContent>
        <mc:AlternateContent xmlns:mc="http://schemas.openxmlformats.org/markup-compatibility/2006">
          <mc:Choice Requires="x14">
            <control shapeId="3344" r:id="rId79" name="Check Box 272">
              <controlPr locked="0" defaultSize="0" autoFill="0" autoLine="0" autoPict="0">
                <anchor moveWithCells="1">
                  <from>
                    <xdr:col>22</xdr:col>
                    <xdr:colOff>0</xdr:colOff>
                    <xdr:row>289</xdr:row>
                    <xdr:rowOff>0</xdr:rowOff>
                  </from>
                  <to>
                    <xdr:col>22</xdr:col>
                    <xdr:colOff>177800</xdr:colOff>
                    <xdr:row>289</xdr:row>
                    <xdr:rowOff>177800</xdr:rowOff>
                  </to>
                </anchor>
              </controlPr>
            </control>
          </mc:Choice>
        </mc:AlternateContent>
        <mc:AlternateContent xmlns:mc="http://schemas.openxmlformats.org/markup-compatibility/2006">
          <mc:Choice Requires="x14">
            <control shapeId="3345" r:id="rId80" name="Check Box 273">
              <controlPr locked="0" defaultSize="0" autoFill="0" autoLine="0" autoPict="0">
                <anchor moveWithCells="1">
                  <from>
                    <xdr:col>22</xdr:col>
                    <xdr:colOff>0</xdr:colOff>
                    <xdr:row>292</xdr:row>
                    <xdr:rowOff>0</xdr:rowOff>
                  </from>
                  <to>
                    <xdr:col>22</xdr:col>
                    <xdr:colOff>177800</xdr:colOff>
                    <xdr:row>292</xdr:row>
                    <xdr:rowOff>177800</xdr:rowOff>
                  </to>
                </anchor>
              </controlPr>
            </control>
          </mc:Choice>
        </mc:AlternateContent>
        <mc:AlternateContent xmlns:mc="http://schemas.openxmlformats.org/markup-compatibility/2006">
          <mc:Choice Requires="x14">
            <control shapeId="3346" r:id="rId81" name="Check Box 274">
              <controlPr locked="0" defaultSize="0" autoFill="0" autoLine="0" autoPict="0">
                <anchor moveWithCells="1">
                  <from>
                    <xdr:col>22</xdr:col>
                    <xdr:colOff>0</xdr:colOff>
                    <xdr:row>293</xdr:row>
                    <xdr:rowOff>0</xdr:rowOff>
                  </from>
                  <to>
                    <xdr:col>22</xdr:col>
                    <xdr:colOff>177800</xdr:colOff>
                    <xdr:row>293</xdr:row>
                    <xdr:rowOff>177800</xdr:rowOff>
                  </to>
                </anchor>
              </controlPr>
            </control>
          </mc:Choice>
        </mc:AlternateContent>
        <mc:AlternateContent xmlns:mc="http://schemas.openxmlformats.org/markup-compatibility/2006">
          <mc:Choice Requires="x14">
            <control shapeId="3347" r:id="rId82" name="Check Box 275">
              <controlPr locked="0" defaultSize="0" autoFill="0" autoLine="0" autoPict="0">
                <anchor moveWithCells="1">
                  <from>
                    <xdr:col>22</xdr:col>
                    <xdr:colOff>0</xdr:colOff>
                    <xdr:row>298</xdr:row>
                    <xdr:rowOff>0</xdr:rowOff>
                  </from>
                  <to>
                    <xdr:col>22</xdr:col>
                    <xdr:colOff>177800</xdr:colOff>
                    <xdr:row>298</xdr:row>
                    <xdr:rowOff>177800</xdr:rowOff>
                  </to>
                </anchor>
              </controlPr>
            </control>
          </mc:Choice>
        </mc:AlternateContent>
        <mc:AlternateContent xmlns:mc="http://schemas.openxmlformats.org/markup-compatibility/2006">
          <mc:Choice Requires="x14">
            <control shapeId="3348" r:id="rId83" name="Check Box 276">
              <controlPr locked="0" defaultSize="0" autoFill="0" autoLine="0" autoPict="0">
                <anchor moveWithCells="1">
                  <from>
                    <xdr:col>22</xdr:col>
                    <xdr:colOff>0</xdr:colOff>
                    <xdr:row>300</xdr:row>
                    <xdr:rowOff>0</xdr:rowOff>
                  </from>
                  <to>
                    <xdr:col>22</xdr:col>
                    <xdr:colOff>177800</xdr:colOff>
                    <xdr:row>300</xdr:row>
                    <xdr:rowOff>177800</xdr:rowOff>
                  </to>
                </anchor>
              </controlPr>
            </control>
          </mc:Choice>
        </mc:AlternateContent>
        <mc:AlternateContent xmlns:mc="http://schemas.openxmlformats.org/markup-compatibility/2006">
          <mc:Choice Requires="x14">
            <control shapeId="3349" r:id="rId84" name="Check Box 277">
              <controlPr locked="0" defaultSize="0" autoFill="0" autoLine="0" autoPict="0">
                <anchor moveWithCells="1">
                  <from>
                    <xdr:col>22</xdr:col>
                    <xdr:colOff>0</xdr:colOff>
                    <xdr:row>302</xdr:row>
                    <xdr:rowOff>0</xdr:rowOff>
                  </from>
                  <to>
                    <xdr:col>22</xdr:col>
                    <xdr:colOff>177800</xdr:colOff>
                    <xdr:row>302</xdr:row>
                    <xdr:rowOff>177800</xdr:rowOff>
                  </to>
                </anchor>
              </controlPr>
            </control>
          </mc:Choice>
        </mc:AlternateContent>
        <mc:AlternateContent xmlns:mc="http://schemas.openxmlformats.org/markup-compatibility/2006">
          <mc:Choice Requires="x14">
            <control shapeId="3350" r:id="rId85" name="Check Box 278">
              <controlPr locked="0" defaultSize="0" autoFill="0" autoLine="0" autoPict="0">
                <anchor moveWithCells="1">
                  <from>
                    <xdr:col>22</xdr:col>
                    <xdr:colOff>0</xdr:colOff>
                    <xdr:row>304</xdr:row>
                    <xdr:rowOff>0</xdr:rowOff>
                  </from>
                  <to>
                    <xdr:col>22</xdr:col>
                    <xdr:colOff>177800</xdr:colOff>
                    <xdr:row>304</xdr:row>
                    <xdr:rowOff>177800</xdr:rowOff>
                  </to>
                </anchor>
              </controlPr>
            </control>
          </mc:Choice>
        </mc:AlternateContent>
      </controls>
    </mc:Choice>
  </mc:AlternateContent>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8">
    <pageSetUpPr fitToPage="1"/>
  </sheetPr>
  <dimension ref="A1:BI587"/>
  <sheetViews>
    <sheetView showGridLines="0" topLeftCell="H1" zoomScale="110" workbookViewId="0">
      <pane ySplit="7" topLeftCell="A564" activePane="bottomLeft" state="frozen"/>
      <selection activeCell="G45" sqref="G45:H45"/>
      <selection pane="bottomLeft" activeCell="X273" sqref="X273:X278"/>
    </sheetView>
  </sheetViews>
  <sheetFormatPr baseColWidth="10" defaultColWidth="9.1640625" defaultRowHeight="15" x14ac:dyDescent="0.2"/>
  <cols>
    <col min="1" max="1" width="9.1640625" style="20" hidden="1" customWidth="1"/>
    <col min="2" max="2" width="7.33203125" style="673" hidden="1" customWidth="1"/>
    <col min="3" max="7" width="3.83203125" style="20" hidden="1" customWidth="1"/>
    <col min="8" max="8" width="3.83203125" style="20" customWidth="1"/>
    <col min="9" max="9" width="10.5" style="66" customWidth="1"/>
    <col min="10" max="11" width="3.83203125" style="66" customWidth="1"/>
    <col min="12" max="12" width="71.6640625" style="66" customWidth="1"/>
    <col min="13" max="13" width="13.5" style="70" customWidth="1"/>
    <col min="14" max="14" width="7.6640625" style="66" hidden="1" customWidth="1"/>
    <col min="15" max="15" width="7.6640625" style="127" customWidth="1"/>
    <col min="16" max="21" width="8.83203125" style="66" hidden="1" customWidth="1"/>
    <col min="22" max="22" width="3" style="66" hidden="1" customWidth="1"/>
    <col min="23" max="23" width="21.5" style="66" customWidth="1"/>
    <col min="24" max="24" width="69" style="66" customWidth="1"/>
    <col min="25" max="25" width="34.83203125" style="704" hidden="1" customWidth="1"/>
    <col min="26" max="26" width="34.83203125" style="66" hidden="1" customWidth="1"/>
    <col min="27" max="27" width="9.1640625" style="707" hidden="1" customWidth="1"/>
    <col min="28" max="37" width="9.1640625" style="66" hidden="1" customWidth="1"/>
    <col min="38" max="38" width="16.5" style="66" hidden="1" customWidth="1"/>
    <col min="39" max="39" width="3" style="66" hidden="1" customWidth="1"/>
    <col min="40" max="40" width="15.6640625" style="66" hidden="1" customWidth="1"/>
    <col min="41" max="41" width="2.1640625" style="66" hidden="1" customWidth="1"/>
    <col min="42" max="42" width="15.6640625" style="66" hidden="1" customWidth="1"/>
    <col min="43" max="43" width="2.1640625" style="66" hidden="1" customWidth="1"/>
    <col min="44" max="44" width="15.6640625" style="66" hidden="1" customWidth="1"/>
    <col min="45" max="45" width="2.1640625" style="66" hidden="1" customWidth="1"/>
    <col min="46" max="61" width="9.1640625" style="66" hidden="1" customWidth="1"/>
    <col min="62" max="16384" width="9.1640625" style="66"/>
  </cols>
  <sheetData>
    <row r="1" spans="1:61" x14ac:dyDescent="0.2">
      <c r="H1" s="1674" t="s">
        <v>3446</v>
      </c>
      <c r="I1" s="1651" t="str">
        <f ca="1">IF(OR(AG3,AI3),"Errors on page, no Level reached","Total Chapter Points: "&amp;AG2)</f>
        <v>Total Chapter Points: 45</v>
      </c>
      <c r="J1" s="1651"/>
      <c r="K1" s="1651"/>
      <c r="L1" s="1651"/>
      <c r="M1" s="1675"/>
      <c r="N1" s="1675"/>
      <c r="O1" s="1675"/>
      <c r="P1" s="1675"/>
      <c r="Q1" s="1675"/>
      <c r="R1" s="1675"/>
      <c r="S1" s="1675"/>
      <c r="T1" s="1675"/>
      <c r="U1" s="1675"/>
      <c r="V1" s="1675"/>
      <c r="W1" s="1675"/>
      <c r="X1" s="520" t="s">
        <v>3423</v>
      </c>
      <c r="AF1" s="65" t="s">
        <v>438</v>
      </c>
      <c r="AG1" s="66">
        <f ca="1">IF(OR(AG3,AI3),"None",Ch6Level)</f>
        <v>0</v>
      </c>
    </row>
    <row r="2" spans="1:61" x14ac:dyDescent="0.2">
      <c r="H2" s="1674"/>
      <c r="I2" s="1652" t="str">
        <f ca="1">IF(OR(AG3,AI3),"Errors on page, no Level reached","Total Project Points: "&amp;Dpoints)</f>
        <v>Total Project Points: 116</v>
      </c>
      <c r="J2" s="1652"/>
      <c r="K2" s="1652"/>
      <c r="L2" s="1652"/>
      <c r="M2" s="1675"/>
      <c r="N2" s="1675"/>
      <c r="O2" s="1675"/>
      <c r="P2" s="1675"/>
      <c r="Q2" s="1675"/>
      <c r="R2" s="1675"/>
      <c r="S2" s="1675"/>
      <c r="T2" s="1675"/>
      <c r="U2" s="1675"/>
      <c r="V2" s="1675"/>
      <c r="W2" s="1675"/>
      <c r="X2" s="520" t="s">
        <v>2890</v>
      </c>
      <c r="AF2" s="65" t="s">
        <v>439</v>
      </c>
      <c r="AG2" s="66">
        <f ca="1">Ch6Points</f>
        <v>45</v>
      </c>
      <c r="AH2" s="66" t="s">
        <v>604</v>
      </c>
      <c r="AI2" s="66">
        <f>_xlfn.SINGLE(Ch6NLev)</f>
        <v>0</v>
      </c>
      <c r="AJ2"/>
      <c r="AK2"/>
    </row>
    <row r="3" spans="1:61" x14ac:dyDescent="0.2">
      <c r="H3" s="1674"/>
      <c r="I3" s="1652" t="str">
        <f ca="1">IF(OR(AG3,AI3),"Errors on page, no Level reached","Total Project Level: "&amp;Dlevel)</f>
        <v>Total Project Level: Bronze</v>
      </c>
      <c r="J3" s="1652"/>
      <c r="K3" s="1652"/>
      <c r="L3" s="1652"/>
      <c r="M3" s="1675"/>
      <c r="N3" s="1675"/>
      <c r="O3" s="1675"/>
      <c r="P3" s="1675"/>
      <c r="Q3" s="1675"/>
      <c r="R3" s="1675"/>
      <c r="S3" s="1675"/>
      <c r="T3" s="1675"/>
      <c r="U3" s="1675"/>
      <c r="V3" s="1675"/>
      <c r="W3" s="1675"/>
      <c r="X3" s="520" t="s">
        <v>2889</v>
      </c>
      <c r="AF3" s="65" t="s">
        <v>440</v>
      </c>
      <c r="AG3" s="66" t="b">
        <f ca="1">OR(AE:AE)</f>
        <v>0</v>
      </c>
      <c r="AH3" s="65" t="s">
        <v>605</v>
      </c>
      <c r="AI3" s="66" t="b">
        <f ca="1">OR(AD:AD)</f>
        <v>0</v>
      </c>
    </row>
    <row r="4" spans="1:61" x14ac:dyDescent="0.2">
      <c r="H4" s="1674"/>
      <c r="I4" s="1658" t="str">
        <f ca="1">IF(OR(AG3,AI3),"Errors on page, no Level reached","Points Needed to Earn Next Level: "&amp;DNext)</f>
        <v>Points Needed to Earn Next Level: 9</v>
      </c>
      <c r="J4" s="1659"/>
      <c r="K4" s="1659"/>
      <c r="L4" s="1660"/>
      <c r="M4" s="1675"/>
      <c r="N4" s="1675"/>
      <c r="O4" s="1675"/>
      <c r="P4" s="1675"/>
      <c r="Q4" s="1675"/>
      <c r="R4" s="1675"/>
      <c r="S4" s="1675"/>
      <c r="T4" s="1675"/>
      <c r="U4" s="1675"/>
      <c r="V4" s="1675"/>
      <c r="W4" s="1675"/>
      <c r="X4" s="1543" t="s">
        <v>5034</v>
      </c>
      <c r="AF4" s="65"/>
      <c r="AH4" s="65"/>
    </row>
    <row r="5" spans="1:61" x14ac:dyDescent="0.2">
      <c r="H5" s="1674"/>
      <c r="I5" s="1661" t="str">
        <f>"Revision Date:  "&amp;TEXT('Info &amp; Intro'!E7,"m/d/yyyy")</f>
        <v>Revision Date:  5/10/2020</v>
      </c>
      <c r="J5" s="1662"/>
      <c r="K5" s="1662"/>
      <c r="L5" s="1663"/>
      <c r="M5" s="1675"/>
      <c r="N5" s="1675"/>
      <c r="O5" s="1675"/>
      <c r="P5" s="1675"/>
      <c r="Q5" s="1675"/>
      <c r="R5" s="1675"/>
      <c r="S5" s="1675"/>
      <c r="T5" s="1675"/>
      <c r="U5" s="1675"/>
      <c r="V5" s="1675"/>
      <c r="W5" s="1675"/>
      <c r="X5" s="1543"/>
      <c r="AF5" s="65"/>
      <c r="AH5" s="65"/>
    </row>
    <row r="6" spans="1:61" x14ac:dyDescent="0.2">
      <c r="H6" s="1674"/>
      <c r="I6" s="1666" t="s">
        <v>247</v>
      </c>
      <c r="J6" s="1667"/>
      <c r="K6" s="1668"/>
      <c r="L6" s="1664" t="s">
        <v>681</v>
      </c>
      <c r="M6" s="1664" t="s">
        <v>248</v>
      </c>
      <c r="N6" s="1664"/>
      <c r="O6" s="36" t="s">
        <v>298</v>
      </c>
      <c r="P6" s="1664" t="s">
        <v>3456</v>
      </c>
      <c r="Q6" s="1664" t="s">
        <v>290</v>
      </c>
      <c r="R6" s="1664" t="s">
        <v>249</v>
      </c>
      <c r="S6" s="1664" t="s">
        <v>250</v>
      </c>
      <c r="T6" s="1664" t="s">
        <v>0</v>
      </c>
      <c r="U6" s="1664" t="s">
        <v>3457</v>
      </c>
      <c r="V6" s="1664"/>
      <c r="W6" s="1664" t="s">
        <v>251</v>
      </c>
      <c r="X6" s="1653" t="s">
        <v>1</v>
      </c>
      <c r="AC6" s="64" t="s">
        <v>288</v>
      </c>
      <c r="AD6" s="64" t="s">
        <v>0</v>
      </c>
      <c r="AE6" s="64" t="s">
        <v>287</v>
      </c>
    </row>
    <row r="7" spans="1:61" x14ac:dyDescent="0.2">
      <c r="H7" s="1674"/>
      <c r="I7" s="1666"/>
      <c r="J7" s="1667"/>
      <c r="K7" s="1668"/>
      <c r="L7" s="1665"/>
      <c r="M7" s="1665"/>
      <c r="N7" s="1665"/>
      <c r="O7" s="36" t="s">
        <v>299</v>
      </c>
      <c r="P7" s="1665"/>
      <c r="Q7" s="1665"/>
      <c r="R7" s="1665"/>
      <c r="S7" s="1665"/>
      <c r="T7" s="1665"/>
      <c r="U7" s="1665"/>
      <c r="V7" s="1665"/>
      <c r="W7" s="1665"/>
      <c r="X7" s="1654"/>
      <c r="AC7" s="64" t="s">
        <v>288</v>
      </c>
      <c r="AD7" s="64" t="s">
        <v>0</v>
      </c>
      <c r="AE7" s="64" t="s">
        <v>287</v>
      </c>
    </row>
    <row r="8" spans="1:61" s="685" customFormat="1" hidden="1" x14ac:dyDescent="0.2">
      <c r="A8" s="20"/>
      <c r="B8" s="673"/>
      <c r="C8" s="20"/>
      <c r="D8" s="20"/>
      <c r="E8" s="20"/>
      <c r="F8" s="20"/>
      <c r="G8" s="20"/>
      <c r="H8" s="20"/>
      <c r="I8" s="687"/>
      <c r="J8" s="687"/>
      <c r="K8" s="687"/>
      <c r="L8" s="686"/>
      <c r="M8" s="686"/>
      <c r="N8" s="686"/>
      <c r="O8" s="36"/>
      <c r="P8" s="686"/>
      <c r="Q8" s="686"/>
      <c r="R8" s="686"/>
      <c r="S8" s="686"/>
      <c r="T8" s="686"/>
      <c r="U8" s="686"/>
      <c r="V8" s="686"/>
      <c r="W8" s="686"/>
      <c r="X8" s="687"/>
      <c r="Y8" s="704"/>
      <c r="AA8" s="707"/>
      <c r="AC8" s="684"/>
      <c r="AD8" s="684"/>
      <c r="AE8" s="684"/>
    </row>
    <row r="9" spans="1:61" ht="19" x14ac:dyDescent="0.25">
      <c r="A9" s="20" t="s">
        <v>246</v>
      </c>
      <c r="B9" s="673" t="s">
        <v>246</v>
      </c>
      <c r="C9" s="20" t="s">
        <v>246</v>
      </c>
      <c r="D9" s="20" t="s">
        <v>246</v>
      </c>
      <c r="E9" s="20" t="s">
        <v>246</v>
      </c>
      <c r="F9" s="20" t="s">
        <v>246</v>
      </c>
      <c r="G9" s="20" t="s">
        <v>246</v>
      </c>
      <c r="H9" s="693"/>
      <c r="I9" s="24" t="s">
        <v>3519</v>
      </c>
      <c r="J9" s="24"/>
      <c r="K9" s="24"/>
      <c r="L9" s="25"/>
      <c r="M9" s="26"/>
      <c r="N9" s="66" t="s">
        <v>246</v>
      </c>
      <c r="O9" s="26"/>
      <c r="P9" s="66" t="s">
        <v>246</v>
      </c>
      <c r="Q9" s="66" t="s">
        <v>246</v>
      </c>
      <c r="R9" s="66" t="s">
        <v>246</v>
      </c>
      <c r="S9" s="66" t="s">
        <v>246</v>
      </c>
      <c r="T9" s="66" t="s">
        <v>246</v>
      </c>
      <c r="U9" s="66" t="s">
        <v>246</v>
      </c>
      <c r="V9" s="66" t="s">
        <v>246</v>
      </c>
      <c r="W9" s="25"/>
      <c r="X9" s="25"/>
      <c r="Y9" s="703" t="s">
        <v>246</v>
      </c>
      <c r="Z9" s="63" t="s">
        <v>246</v>
      </c>
      <c r="AA9" s="705" t="s">
        <v>246</v>
      </c>
      <c r="AB9" s="683" t="s">
        <v>246</v>
      </c>
      <c r="AC9" s="63" t="s">
        <v>246</v>
      </c>
      <c r="AD9" s="63" t="s">
        <v>246</v>
      </c>
      <c r="AE9" s="63" t="s">
        <v>246</v>
      </c>
      <c r="AF9" s="63" t="s">
        <v>246</v>
      </c>
      <c r="AG9" s="63" t="s">
        <v>246</v>
      </c>
      <c r="AH9" s="63" t="s">
        <v>246</v>
      </c>
      <c r="AI9" s="63" t="s">
        <v>246</v>
      </c>
      <c r="AJ9" s="63" t="s">
        <v>246</v>
      </c>
      <c r="AK9" s="63" t="s">
        <v>246</v>
      </c>
      <c r="AL9" s="63" t="s">
        <v>246</v>
      </c>
      <c r="AM9" s="63" t="s">
        <v>246</v>
      </c>
      <c r="AN9" s="63" t="s">
        <v>246</v>
      </c>
      <c r="AO9" s="63" t="s">
        <v>246</v>
      </c>
      <c r="AP9" s="63" t="s">
        <v>246</v>
      </c>
      <c r="AQ9" s="63" t="s">
        <v>246</v>
      </c>
      <c r="AR9" s="63" t="s">
        <v>246</v>
      </c>
      <c r="AS9" s="63" t="s">
        <v>246</v>
      </c>
      <c r="AT9" s="63" t="s">
        <v>246</v>
      </c>
      <c r="AU9" s="63" t="s">
        <v>246</v>
      </c>
      <c r="AV9" s="63" t="s">
        <v>246</v>
      </c>
      <c r="AW9" s="63" t="s">
        <v>246</v>
      </c>
      <c r="AX9" s="63" t="s">
        <v>246</v>
      </c>
      <c r="AY9" s="63" t="s">
        <v>246</v>
      </c>
      <c r="AZ9" s="63" t="s">
        <v>246</v>
      </c>
      <c r="BA9" s="63" t="s">
        <v>246</v>
      </c>
      <c r="BB9" s="63" t="s">
        <v>246</v>
      </c>
      <c r="BC9" s="63" t="s">
        <v>246</v>
      </c>
      <c r="BD9" s="63" t="s">
        <v>246</v>
      </c>
      <c r="BE9" s="63" t="s">
        <v>246</v>
      </c>
      <c r="BF9" s="63" t="s">
        <v>246</v>
      </c>
      <c r="BG9" s="63" t="s">
        <v>246</v>
      </c>
      <c r="BH9" s="63" t="s">
        <v>246</v>
      </c>
      <c r="BI9" s="699" t="s">
        <v>246</v>
      </c>
    </row>
    <row r="10" spans="1:61" x14ac:dyDescent="0.2">
      <c r="B10" s="79" t="s">
        <v>442</v>
      </c>
      <c r="C10" s="23"/>
      <c r="D10" s="23"/>
      <c r="E10" s="23"/>
      <c r="F10" s="23"/>
      <c r="G10" s="23"/>
      <c r="H10" s="691"/>
      <c r="I10" s="80" t="s">
        <v>3520</v>
      </c>
      <c r="J10" s="29"/>
      <c r="K10" s="89"/>
      <c r="L10" s="1631" t="s">
        <v>3636</v>
      </c>
      <c r="M10" s="82"/>
      <c r="N10"/>
      <c r="P10"/>
      <c r="Q10"/>
      <c r="R10"/>
      <c r="S10"/>
      <c r="T10"/>
      <c r="U10"/>
      <c r="V10"/>
      <c r="W10"/>
      <c r="X10"/>
      <c r="Z10"/>
      <c r="AB10"/>
      <c r="AC10"/>
      <c r="AD10"/>
      <c r="AE10"/>
      <c r="AF10"/>
      <c r="AG10"/>
      <c r="AH10"/>
      <c r="AI10"/>
      <c r="AJ10"/>
      <c r="AK10"/>
    </row>
    <row r="11" spans="1:61" x14ac:dyDescent="0.2">
      <c r="B11" s="79" t="s">
        <v>442</v>
      </c>
      <c r="C11" s="23"/>
      <c r="D11" s="23"/>
      <c r="E11" s="23"/>
      <c r="F11" s="23"/>
      <c r="G11" s="23"/>
      <c r="H11" s="691"/>
      <c r="I11" s="67"/>
      <c r="J11" s="4"/>
      <c r="K11" s="85"/>
      <c r="L11" s="1631"/>
      <c r="M11" s="82"/>
      <c r="N11"/>
      <c r="P11"/>
      <c r="Q11"/>
      <c r="R11"/>
      <c r="S11"/>
      <c r="T11"/>
      <c r="U11"/>
      <c r="V11"/>
      <c r="W11"/>
      <c r="X11"/>
      <c r="Z11"/>
      <c r="AB11"/>
      <c r="AC11"/>
      <c r="AD11"/>
      <c r="AE11"/>
      <c r="AF11"/>
      <c r="AG11"/>
      <c r="AH11"/>
      <c r="AI11"/>
      <c r="AJ11"/>
      <c r="AK11"/>
      <c r="AX11" s="65" t="str">
        <f>'Overview (Design)'!A10</f>
        <v>Builder Name:</v>
      </c>
      <c r="AY11" s="66" t="str">
        <f>'Overview (Design)'!G10</f>
        <v>TWG Development</v>
      </c>
    </row>
    <row r="12" spans="1:61" s="794" customFormat="1" x14ac:dyDescent="0.2">
      <c r="A12" s="20"/>
      <c r="B12" s="79" t="s">
        <v>442</v>
      </c>
      <c r="C12" s="23"/>
      <c r="D12" s="23"/>
      <c r="E12" s="23"/>
      <c r="F12" s="23"/>
      <c r="G12" s="23"/>
      <c r="H12" s="691"/>
      <c r="I12" s="67"/>
      <c r="J12" s="4"/>
      <c r="K12" s="85"/>
      <c r="L12" s="1631"/>
      <c r="M12" s="797"/>
      <c r="O12" s="802"/>
      <c r="AL12" s="66"/>
      <c r="AM12" s="66"/>
      <c r="AN12" s="66"/>
      <c r="AO12" s="66"/>
      <c r="AP12" s="66"/>
      <c r="AQ12" s="66"/>
      <c r="AR12" s="66"/>
      <c r="AS12" s="66"/>
      <c r="AX12" s="65" t="str">
        <f>'Overview (Design)'!A11</f>
        <v>Physical Address of Home:</v>
      </c>
      <c r="AY12" s="66" t="str">
        <f>'Overview (Design)'!G11</f>
        <v>330 Brownlee Road SW</v>
      </c>
      <c r="AZ12" s="66"/>
    </row>
    <row r="13" spans="1:61" ht="16" thickBot="1" x14ac:dyDescent="0.25">
      <c r="B13" s="79" t="s">
        <v>442</v>
      </c>
      <c r="C13" s="23"/>
      <c r="D13" s="23"/>
      <c r="E13" s="23"/>
      <c r="F13" s="23"/>
      <c r="G13" s="23"/>
      <c r="H13" s="691"/>
      <c r="I13" s="67"/>
      <c r="J13" s="4"/>
      <c r="K13" s="85"/>
      <c r="L13" s="1631"/>
      <c r="M13" s="82"/>
      <c r="N13"/>
      <c r="P13"/>
      <c r="Q13"/>
      <c r="R13"/>
      <c r="S13"/>
      <c r="T13"/>
      <c r="U13"/>
      <c r="V13"/>
      <c r="W13"/>
      <c r="X13"/>
      <c r="Z13"/>
      <c r="AB13"/>
      <c r="AC13"/>
      <c r="AD13"/>
      <c r="AE13"/>
      <c r="AF13"/>
      <c r="AG13"/>
      <c r="AH13"/>
      <c r="AI13"/>
      <c r="AJ13"/>
      <c r="AK13"/>
      <c r="AX13" s="65" t="str">
        <f>'Overview (Design)'!A12</f>
        <v>Community/Lot #:</v>
      </c>
      <c r="AY13" s="66">
        <f>'Overview (Design)'!G12</f>
        <v>0</v>
      </c>
    </row>
    <row r="14" spans="1:61" ht="16" thickTop="1" x14ac:dyDescent="0.2">
      <c r="B14" s="79">
        <v>601.1</v>
      </c>
      <c r="C14" s="23"/>
      <c r="D14" s="23"/>
      <c r="E14" s="23"/>
      <c r="F14" s="23"/>
      <c r="G14" s="23"/>
      <c r="H14" s="691"/>
      <c r="I14" s="177" t="s">
        <v>3521</v>
      </c>
      <c r="J14" s="178"/>
      <c r="K14" s="179"/>
      <c r="L14" s="1683" t="s">
        <v>3980</v>
      </c>
      <c r="M14" s="370"/>
      <c r="N14" s="178"/>
      <c r="O14" s="1682">
        <f>IFERROR(INDEX({14,12,9,6,3,0},MATCH(AY23,{1,701,1001,1501,2001,2501,100000},1)),0)</f>
        <v>9</v>
      </c>
      <c r="P14" s="106"/>
      <c r="Q14" s="106"/>
      <c r="R14" s="106"/>
      <c r="S14" s="106"/>
      <c r="T14" s="106"/>
      <c r="U14" s="106"/>
      <c r="V14" s="106"/>
      <c r="W14" s="106"/>
      <c r="X14" s="1603"/>
      <c r="Z14"/>
      <c r="AB14"/>
      <c r="AC14"/>
      <c r="AD14"/>
      <c r="AE14"/>
      <c r="AF14"/>
      <c r="AG14"/>
      <c r="AH14"/>
      <c r="AI14"/>
      <c r="AJ14"/>
      <c r="AK14"/>
      <c r="AN14" s="1352" t="str">
        <f>SUBSTITUTE(SUBSTITUTE(SUBSTITUTE("dpc"&amp;$B14&amp;$C14&amp;$D14&amp;$E14&amp;$F14,".","_"),"(","_"),")","")</f>
        <v>dpc601_1</v>
      </c>
      <c r="AO14" s="1352">
        <f>O14</f>
        <v>9</v>
      </c>
      <c r="AR14" s="1352" t="str">
        <f>SUBSTITUTE(SUBSTITUTE(SUBSTITUTE("dnt"&amp;$B14&amp;$C14&amp;$D14&amp;$E14&amp;$F14,".","_"),"(","_"),")","")</f>
        <v>dnt601_1</v>
      </c>
      <c r="AS14" s="1352" t="str">
        <f>IF(LEN(X14)=0,"",X14)</f>
        <v/>
      </c>
      <c r="AX14" s="65" t="str">
        <f>'Overview (Design)'!A13</f>
        <v>City:</v>
      </c>
      <c r="AY14" s="66" t="str">
        <f>'Overview (Design)'!G13</f>
        <v>Atlanta</v>
      </c>
    </row>
    <row r="15" spans="1:61" x14ac:dyDescent="0.2">
      <c r="B15" s="79">
        <v>601.1</v>
      </c>
      <c r="C15" s="23"/>
      <c r="D15" s="23"/>
      <c r="E15" s="23"/>
      <c r="F15" s="23"/>
      <c r="G15" s="23"/>
      <c r="H15" s="691"/>
      <c r="I15" s="130"/>
      <c r="J15" s="129"/>
      <c r="K15" s="97"/>
      <c r="L15" s="1629"/>
      <c r="M15" s="371"/>
      <c r="N15" s="129"/>
      <c r="O15" s="1619"/>
      <c r="P15" s="96"/>
      <c r="Q15" s="96"/>
      <c r="R15" s="96"/>
      <c r="S15" s="96"/>
      <c r="T15" s="96"/>
      <c r="U15" s="96"/>
      <c r="V15" s="96"/>
      <c r="W15" s="96"/>
      <c r="X15" s="1601"/>
      <c r="Z15"/>
      <c r="AB15"/>
      <c r="AC15"/>
      <c r="AD15"/>
      <c r="AE15"/>
      <c r="AF15"/>
      <c r="AG15"/>
      <c r="AH15"/>
      <c r="AI15"/>
      <c r="AJ15"/>
      <c r="AK15"/>
      <c r="AX15" s="65" t="str">
        <f>'Overview (Design)'!A14</f>
        <v>State:</v>
      </c>
      <c r="AY15" s="66" t="str">
        <f>'Overview (Design)'!G14</f>
        <v>Georgia</v>
      </c>
    </row>
    <row r="16" spans="1:61" x14ac:dyDescent="0.2">
      <c r="B16" s="79">
        <v>601.1</v>
      </c>
      <c r="C16" s="23"/>
      <c r="D16" s="23"/>
      <c r="E16" s="23"/>
      <c r="F16" s="23"/>
      <c r="G16" s="23"/>
      <c r="H16" s="691"/>
      <c r="I16" s="130"/>
      <c r="J16" s="129"/>
      <c r="K16" s="97"/>
      <c r="L16" s="1629"/>
      <c r="M16" s="371"/>
      <c r="N16" s="129"/>
      <c r="O16" s="1619"/>
      <c r="P16" s="96"/>
      <c r="Q16" s="96"/>
      <c r="R16" s="96"/>
      <c r="S16" s="96"/>
      <c r="T16" s="96"/>
      <c r="U16" s="96"/>
      <c r="V16" s="96"/>
      <c r="W16" s="96"/>
      <c r="X16" s="1601"/>
      <c r="Z16"/>
      <c r="AB16"/>
      <c r="AC16"/>
      <c r="AD16"/>
      <c r="AE16"/>
      <c r="AF16"/>
      <c r="AG16"/>
      <c r="AH16"/>
      <c r="AI16"/>
      <c r="AJ16"/>
      <c r="AK16"/>
      <c r="AX16" s="65" t="str">
        <f>'Overview (Design)'!A15</f>
        <v>County:</v>
      </c>
      <c r="AY16" s="66" t="str">
        <f>'Overview (Design)'!G15</f>
        <v xml:space="preserve">Fulton  </v>
      </c>
      <c r="BC16" s="66" t="str">
        <f>'Overview (Design)'!K14</f>
        <v>State</v>
      </c>
      <c r="BD16" s="66" t="str">
        <f>'Overview (Design)'!L14</f>
        <v>County</v>
      </c>
      <c r="BE16" s="66" t="str">
        <f>'Overview (Design)'!M14</f>
        <v>Radon</v>
      </c>
      <c r="BF16" s="66" t="str">
        <f>'Overview (Design)'!N14</f>
        <v>Climate</v>
      </c>
      <c r="BG16" s="66" t="str">
        <f>'Overview (Design)'!O14</f>
        <v>Moist</v>
      </c>
      <c r="BH16" s="66" t="str">
        <f>'Overview (Design)'!P14</f>
        <v>WarmHumid</v>
      </c>
      <c r="BI16" s="701" t="str">
        <f>'Overview (Design)'!Q14</f>
        <v>Tropical</v>
      </c>
    </row>
    <row r="17" spans="1:61" x14ac:dyDescent="0.2">
      <c r="B17" s="79">
        <v>601.1</v>
      </c>
      <c r="C17" s="23"/>
      <c r="D17" s="23"/>
      <c r="E17" s="23"/>
      <c r="F17" s="23"/>
      <c r="G17" s="23"/>
      <c r="H17" s="691"/>
      <c r="I17" s="130"/>
      <c r="J17" s="129"/>
      <c r="K17" s="97"/>
      <c r="L17" s="1629"/>
      <c r="M17" s="371"/>
      <c r="N17" s="129"/>
      <c r="O17" s="1619"/>
      <c r="P17" s="96"/>
      <c r="Q17" s="96"/>
      <c r="R17" s="96"/>
      <c r="S17" s="96"/>
      <c r="T17" s="96"/>
      <c r="U17" s="96"/>
      <c r="V17" s="96"/>
      <c r="W17" s="96"/>
      <c r="X17" s="1601"/>
      <c r="Z17"/>
      <c r="AB17"/>
      <c r="AC17" s="78"/>
      <c r="AD17" s="78"/>
      <c r="AE17" s="78"/>
      <c r="AF17"/>
      <c r="AG17"/>
      <c r="AH17"/>
      <c r="AI17"/>
      <c r="AJ17"/>
      <c r="AK17"/>
      <c r="AX17" s="65" t="str">
        <f>'Overview (Design)'!A16</f>
        <v>Zip:</v>
      </c>
      <c r="AY17" s="66" t="str">
        <f>'Overview (Design)'!G16</f>
        <v>30311</v>
      </c>
      <c r="BC17" s="66" t="str">
        <f>'Overview (Design)'!K15</f>
        <v>Georgia</v>
      </c>
      <c r="BD17" s="66" t="str">
        <f>'Overview (Design)'!L15</f>
        <v xml:space="preserve">Fulton  </v>
      </c>
      <c r="BE17" s="66">
        <f>'Overview (Design)'!M15</f>
        <v>1</v>
      </c>
      <c r="BF17" s="66">
        <f>'Overview (Design)'!N15</f>
        <v>3</v>
      </c>
      <c r="BG17" s="66" t="str">
        <f>'Overview (Design)'!O15</f>
        <v>Moist</v>
      </c>
      <c r="BH17" s="66" t="str">
        <f>'Overview (Design)'!P15</f>
        <v xml:space="preserve"> </v>
      </c>
      <c r="BI17" s="701" t="str">
        <f>'Overview (Design)'!Q15</f>
        <v xml:space="preserve"> </v>
      </c>
    </row>
    <row r="18" spans="1:61" ht="17" x14ac:dyDescent="0.2">
      <c r="B18" s="79">
        <v>601.1</v>
      </c>
      <c r="C18" s="23" t="s">
        <v>254</v>
      </c>
      <c r="D18" s="23"/>
      <c r="E18" s="23"/>
      <c r="F18" s="691"/>
      <c r="G18" s="23"/>
      <c r="H18" s="691"/>
      <c r="I18" s="130"/>
      <c r="J18" s="207" t="s">
        <v>254</v>
      </c>
      <c r="K18" s="170"/>
      <c r="L18" s="293" t="s">
        <v>443</v>
      </c>
      <c r="M18" s="373">
        <v>14</v>
      </c>
      <c r="N18" s="129"/>
      <c r="O18" s="238"/>
      <c r="P18" s="96"/>
      <c r="Q18" s="96"/>
      <c r="R18" s="96"/>
      <c r="S18" s="96"/>
      <c r="T18" s="96"/>
      <c r="U18" s="96"/>
      <c r="V18" s="96"/>
      <c r="W18" s="96"/>
      <c r="X18" s="1601"/>
      <c r="Z18"/>
      <c r="AB18"/>
      <c r="AC18"/>
      <c r="AD18"/>
      <c r="AE18"/>
      <c r="AF18"/>
      <c r="AG18"/>
      <c r="AH18"/>
      <c r="AI18"/>
      <c r="AJ18"/>
      <c r="AK18"/>
      <c r="AL18" s="1352" t="str">
        <f t="shared" ref="AL18:AL23" si="0">SUBSTITUTE(SUBSTITUTE(SUBSTITUTE("dpa"&amp;$B18&amp;$C18&amp;$D18&amp;$E18&amp;$F18,".","_"),"(","_"),")","")</f>
        <v>dpa601_1_1</v>
      </c>
      <c r="AM18" s="1352">
        <f t="shared" ref="AM18:AM23" si="1">M18</f>
        <v>14</v>
      </c>
      <c r="AX18" s="879"/>
    </row>
    <row r="19" spans="1:61" ht="17" x14ac:dyDescent="0.2">
      <c r="B19" s="79">
        <v>601.1</v>
      </c>
      <c r="C19" s="23" t="s">
        <v>255</v>
      </c>
      <c r="D19" s="23"/>
      <c r="E19" s="23"/>
      <c r="F19" s="691"/>
      <c r="G19" s="23"/>
      <c r="H19" s="691"/>
      <c r="I19" s="130"/>
      <c r="J19" s="209" t="s">
        <v>255</v>
      </c>
      <c r="K19" s="210"/>
      <c r="L19" s="310" t="s">
        <v>444</v>
      </c>
      <c r="M19" s="379">
        <v>12</v>
      </c>
      <c r="N19" s="129"/>
      <c r="O19" s="238"/>
      <c r="P19" s="96"/>
      <c r="Q19" s="96"/>
      <c r="R19" s="96"/>
      <c r="S19" s="96"/>
      <c r="T19" s="96"/>
      <c r="U19" s="96"/>
      <c r="V19" s="96"/>
      <c r="W19" s="96"/>
      <c r="X19" s="1601"/>
      <c r="Z19"/>
      <c r="AB19"/>
      <c r="AC19"/>
      <c r="AD19"/>
      <c r="AE19"/>
      <c r="AF19"/>
      <c r="AG19"/>
      <c r="AH19"/>
      <c r="AI19"/>
      <c r="AJ19"/>
      <c r="AK19"/>
      <c r="AL19" s="1352" t="str">
        <f t="shared" si="0"/>
        <v>dpa601_1_2</v>
      </c>
      <c r="AM19" s="1352">
        <f t="shared" si="1"/>
        <v>12</v>
      </c>
      <c r="AX19" s="65" t="str">
        <f>'Overview (Design)'!A18</f>
        <v>Single-Family or Multifamily:</v>
      </c>
      <c r="AY19" s="66" t="str">
        <f>'Overview (Design)'!G18</f>
        <v>Multifamily</v>
      </c>
    </row>
    <row r="20" spans="1:61" ht="17" x14ac:dyDescent="0.2">
      <c r="B20" s="79">
        <v>601.1</v>
      </c>
      <c r="C20" s="23" t="s">
        <v>256</v>
      </c>
      <c r="D20" s="23"/>
      <c r="E20" s="23"/>
      <c r="F20" s="691"/>
      <c r="G20" s="23"/>
      <c r="H20" s="691"/>
      <c r="I20" s="130"/>
      <c r="J20" s="209" t="s">
        <v>256</v>
      </c>
      <c r="K20" s="210"/>
      <c r="L20" s="310" t="s">
        <v>445</v>
      </c>
      <c r="M20" s="379">
        <v>9</v>
      </c>
      <c r="N20" s="129"/>
      <c r="O20" s="238"/>
      <c r="P20" s="96"/>
      <c r="Q20" s="96"/>
      <c r="R20" s="96"/>
      <c r="S20" s="96"/>
      <c r="T20" s="96"/>
      <c r="U20" s="96"/>
      <c r="V20" s="96"/>
      <c r="W20" s="96"/>
      <c r="X20" s="1601"/>
      <c r="Z20"/>
      <c r="AB20"/>
      <c r="AC20"/>
      <c r="AD20"/>
      <c r="AE20"/>
      <c r="AF20"/>
      <c r="AG20"/>
      <c r="AH20"/>
      <c r="AI20"/>
      <c r="AJ20"/>
      <c r="AK20"/>
      <c r="AL20" s="1352" t="str">
        <f t="shared" si="0"/>
        <v>dpa601_1_3</v>
      </c>
      <c r="AM20" s="1352">
        <f t="shared" si="1"/>
        <v>9</v>
      </c>
      <c r="AX20" s="65" t="str">
        <f>'Overview (Design)'!A19</f>
        <v>Number of Units:</v>
      </c>
      <c r="AY20" s="66">
        <f>'Overview (Design)'!G19</f>
        <v>48</v>
      </c>
    </row>
    <row r="21" spans="1:61" ht="17" x14ac:dyDescent="0.2">
      <c r="B21" s="79">
        <v>601.1</v>
      </c>
      <c r="C21" s="23" t="s">
        <v>259</v>
      </c>
      <c r="D21" s="23"/>
      <c r="E21" s="23"/>
      <c r="F21" s="691"/>
      <c r="G21" s="23"/>
      <c r="H21" s="691"/>
      <c r="I21" s="130"/>
      <c r="J21" s="209" t="s">
        <v>259</v>
      </c>
      <c r="K21" s="210"/>
      <c r="L21" s="310" t="s">
        <v>446</v>
      </c>
      <c r="M21" s="379">
        <v>6</v>
      </c>
      <c r="N21" s="129"/>
      <c r="O21" s="238"/>
      <c r="P21" s="96"/>
      <c r="Q21" s="96"/>
      <c r="R21" s="96"/>
      <c r="S21" s="96"/>
      <c r="T21" s="96"/>
      <c r="U21" s="96"/>
      <c r="V21" s="96"/>
      <c r="W21" s="96"/>
      <c r="X21" s="1601"/>
      <c r="Z21"/>
      <c r="AB21"/>
      <c r="AC21"/>
      <c r="AD21"/>
      <c r="AE21"/>
      <c r="AF21"/>
      <c r="AG21"/>
      <c r="AH21"/>
      <c r="AI21"/>
      <c r="AJ21"/>
      <c r="AK21"/>
      <c r="AL21" s="1352" t="str">
        <f t="shared" si="0"/>
        <v>dpa601_1_4</v>
      </c>
      <c r="AM21" s="1352">
        <f t="shared" si="1"/>
        <v>6</v>
      </c>
      <c r="AX21" s="65" t="str">
        <f>'Overview (Design)'!A23</f>
        <v>Project Name:</v>
      </c>
      <c r="AY21" s="66" t="str">
        <f>'Overview (Design)'!G23</f>
        <v>Towne West Manor</v>
      </c>
    </row>
    <row r="22" spans="1:61" ht="17" x14ac:dyDescent="0.2">
      <c r="B22" s="79">
        <v>601.1</v>
      </c>
      <c r="C22" s="23" t="s">
        <v>263</v>
      </c>
      <c r="D22" s="23"/>
      <c r="E22" s="23"/>
      <c r="F22" s="691"/>
      <c r="G22" s="23"/>
      <c r="H22" s="691"/>
      <c r="I22" s="130"/>
      <c r="J22" s="209" t="s">
        <v>263</v>
      </c>
      <c r="K22" s="210"/>
      <c r="L22" s="310" t="s">
        <v>447</v>
      </c>
      <c r="M22" s="379">
        <v>3</v>
      </c>
      <c r="N22" s="129"/>
      <c r="O22" s="238"/>
      <c r="P22" s="96"/>
      <c r="Q22" s="96"/>
      <c r="R22" s="96"/>
      <c r="S22" s="96"/>
      <c r="T22" s="96"/>
      <c r="U22" s="96"/>
      <c r="V22" s="96"/>
      <c r="W22" s="96"/>
      <c r="X22" s="1601"/>
      <c r="Z22"/>
      <c r="AB22"/>
      <c r="AC22"/>
      <c r="AD22"/>
      <c r="AE22"/>
      <c r="AF22"/>
      <c r="AG22"/>
      <c r="AH22"/>
      <c r="AI22"/>
      <c r="AJ22"/>
      <c r="AK22"/>
      <c r="AL22" s="1352" t="str">
        <f t="shared" si="0"/>
        <v>dpa601_1_5</v>
      </c>
      <c r="AM22" s="1352">
        <f t="shared" si="1"/>
        <v>3</v>
      </c>
    </row>
    <row r="23" spans="1:61" ht="17" x14ac:dyDescent="0.2">
      <c r="B23" s="79">
        <v>601.1</v>
      </c>
      <c r="C23" s="23" t="s">
        <v>264</v>
      </c>
      <c r="D23" s="23"/>
      <c r="E23" s="23"/>
      <c r="F23" s="691"/>
      <c r="G23" s="23"/>
      <c r="H23" s="691"/>
      <c r="I23" s="130"/>
      <c r="J23" s="180" t="s">
        <v>264</v>
      </c>
      <c r="K23" s="97"/>
      <c r="L23" s="292" t="s">
        <v>448</v>
      </c>
      <c r="M23" s="697" t="str">
        <f>IF(AY23&gt;4000,"Mandatory","N/A")</f>
        <v>N/A</v>
      </c>
      <c r="N23" s="129"/>
      <c r="O23" s="238"/>
      <c r="P23" s="96"/>
      <c r="Q23" s="96"/>
      <c r="R23" s="96"/>
      <c r="S23" s="96"/>
      <c r="T23" s="96"/>
      <c r="U23" s="96"/>
      <c r="V23" s="96"/>
      <c r="W23" s="96"/>
      <c r="X23" s="1601"/>
      <c r="Z23"/>
      <c r="AB23"/>
      <c r="AC23"/>
      <c r="AD23"/>
      <c r="AE23"/>
      <c r="AF23"/>
      <c r="AG23"/>
      <c r="AH23"/>
      <c r="AI23"/>
      <c r="AJ23"/>
      <c r="AK23"/>
      <c r="AL23" s="1352" t="str">
        <f t="shared" si="0"/>
        <v>dpa601_1_6</v>
      </c>
      <c r="AM23" s="1352" t="str">
        <f t="shared" si="1"/>
        <v>N/A</v>
      </c>
      <c r="AX23" s="65" t="str">
        <f>'Overview (Design)'!A25</f>
        <v>Above grade plane finished floor area:</v>
      </c>
      <c r="AY23" s="66">
        <f>'Overview (Design)'!G25</f>
        <v>1184</v>
      </c>
    </row>
    <row r="24" spans="1:61" x14ac:dyDescent="0.2">
      <c r="B24" s="79">
        <v>601.1</v>
      </c>
      <c r="C24" s="23" t="s">
        <v>264</v>
      </c>
      <c r="D24" s="23"/>
      <c r="E24" s="23"/>
      <c r="F24" s="691"/>
      <c r="G24" s="23"/>
      <c r="H24" s="691"/>
      <c r="I24" s="130"/>
      <c r="J24" s="129"/>
      <c r="K24" s="97"/>
      <c r="L24" s="1629" t="s">
        <v>3796</v>
      </c>
      <c r="M24" s="182" t="s">
        <v>675</v>
      </c>
      <c r="N24" s="129"/>
      <c r="O24" s="238"/>
      <c r="P24" s="96"/>
      <c r="Q24" s="96"/>
      <c r="R24" s="96"/>
      <c r="S24" s="96"/>
      <c r="T24" s="96"/>
      <c r="U24" s="96"/>
      <c r="V24" s="96"/>
      <c r="W24" s="96"/>
      <c r="X24" s="1601"/>
      <c r="Z24"/>
      <c r="AB24"/>
      <c r="AC24"/>
      <c r="AD24"/>
      <c r="AE24"/>
      <c r="AF24"/>
      <c r="AG24"/>
      <c r="AH24"/>
      <c r="AI24"/>
      <c r="AJ24"/>
      <c r="AK24"/>
      <c r="AL24" s="1352"/>
      <c r="AM24" s="1352"/>
      <c r="AX24" s="65" t="str">
        <f>'Overview (Design)'!A26</f>
        <v>Total conditioned floor area:</v>
      </c>
      <c r="AY24" s="66">
        <f>'Overview (Design)'!G26</f>
        <v>20128</v>
      </c>
    </row>
    <row r="25" spans="1:61" x14ac:dyDescent="0.2">
      <c r="B25" s="79">
        <v>601.1</v>
      </c>
      <c r="C25" s="23" t="s">
        <v>264</v>
      </c>
      <c r="D25" s="23"/>
      <c r="E25" s="23"/>
      <c r="F25" s="691"/>
      <c r="G25" s="23"/>
      <c r="H25" s="691"/>
      <c r="I25" s="130"/>
      <c r="J25" s="129"/>
      <c r="K25" s="97"/>
      <c r="L25" s="1629"/>
      <c r="M25" s="182">
        <f>MAX(0,ROUNDDOWN((AY23-4000)/100,0))</f>
        <v>0</v>
      </c>
      <c r="N25" s="129"/>
      <c r="O25" s="238"/>
      <c r="P25" s="96"/>
      <c r="Q25" s="96"/>
      <c r="R25" s="96"/>
      <c r="S25" s="96"/>
      <c r="T25" s="96"/>
      <c r="U25" s="96"/>
      <c r="V25" s="96"/>
      <c r="W25" s="96"/>
      <c r="X25" s="1601"/>
      <c r="Z25"/>
      <c r="AB25"/>
      <c r="AC25"/>
      <c r="AD25"/>
      <c r="AE25"/>
      <c r="AF25"/>
      <c r="AG25"/>
      <c r="AH25"/>
      <c r="AI25"/>
      <c r="AJ25"/>
      <c r="AK25"/>
      <c r="AL25" s="1352"/>
      <c r="AM25" s="1352"/>
      <c r="AX25" s="381" t="str">
        <f>'Overview (Design)'!A27</f>
        <v>Stories above grade:</v>
      </c>
      <c r="AY25" s="382">
        <f>'Overview (Design)'!G27</f>
        <v>2</v>
      </c>
    </row>
    <row r="26" spans="1:61" ht="15" customHeight="1" x14ac:dyDescent="0.2">
      <c r="B26" s="79">
        <v>601.1</v>
      </c>
      <c r="C26" s="23" t="s">
        <v>264</v>
      </c>
      <c r="D26" s="23"/>
      <c r="E26" s="23"/>
      <c r="F26" s="691"/>
      <c r="G26" s="23"/>
      <c r="H26" s="691"/>
      <c r="I26" s="130"/>
      <c r="J26" s="129"/>
      <c r="L26" s="1673" t="s">
        <v>3044</v>
      </c>
      <c r="M26" s="371"/>
      <c r="N26" s="129"/>
      <c r="O26" s="238"/>
      <c r="P26" s="96"/>
      <c r="Q26" s="96"/>
      <c r="R26" s="96"/>
      <c r="S26" s="96"/>
      <c r="T26" s="96"/>
      <c r="U26" s="96"/>
      <c r="V26" s="96"/>
      <c r="W26" s="96"/>
      <c r="X26" s="1601"/>
      <c r="Z26"/>
      <c r="AB26"/>
      <c r="AC26"/>
      <c r="AD26"/>
      <c r="AE26"/>
      <c r="AF26"/>
      <c r="AG26"/>
      <c r="AH26"/>
      <c r="AI26"/>
      <c r="AJ26"/>
      <c r="AK26"/>
      <c r="AX26" s="1167"/>
      <c r="AY26" s="1168"/>
    </row>
    <row r="27" spans="1:61" ht="16" thickBot="1" x14ac:dyDescent="0.25">
      <c r="B27" s="79">
        <v>601.1</v>
      </c>
      <c r="C27" s="23" t="s">
        <v>264</v>
      </c>
      <c r="D27" s="23"/>
      <c r="E27" s="23"/>
      <c r="F27" s="691"/>
      <c r="G27" s="23"/>
      <c r="H27" s="691"/>
      <c r="I27" s="130"/>
      <c r="J27" s="129"/>
      <c r="K27" s="206"/>
      <c r="L27" s="1673"/>
      <c r="M27" s="371"/>
      <c r="N27" s="129"/>
      <c r="O27" s="238"/>
      <c r="P27" s="96"/>
      <c r="Q27" s="96"/>
      <c r="R27" s="96"/>
      <c r="S27" s="96"/>
      <c r="T27" s="96"/>
      <c r="U27" s="96"/>
      <c r="V27" s="96"/>
      <c r="W27" s="96"/>
      <c r="X27" s="1621"/>
      <c r="Z27"/>
      <c r="AB27"/>
      <c r="AC27"/>
      <c r="AD27"/>
      <c r="AE27"/>
      <c r="AF27"/>
      <c r="AG27"/>
      <c r="AH27"/>
      <c r="AI27"/>
      <c r="AJ27"/>
      <c r="AK27"/>
      <c r="AX27" s="879" t="str">
        <f>'Overview (Design)'!A29</f>
        <v>Year Built:</v>
      </c>
      <c r="AY27" s="881">
        <f>'Overview (Design)'!G29</f>
        <v>1969</v>
      </c>
    </row>
    <row r="28" spans="1:61" ht="16" thickTop="1" x14ac:dyDescent="0.2">
      <c r="B28" s="79">
        <v>601.20000000000005</v>
      </c>
      <c r="C28" s="23"/>
      <c r="D28" s="23"/>
      <c r="E28" s="23"/>
      <c r="F28" s="691"/>
      <c r="G28" s="23"/>
      <c r="H28" s="691"/>
      <c r="I28" s="177" t="s">
        <v>3522</v>
      </c>
      <c r="J28" s="178"/>
      <c r="K28" s="179"/>
      <c r="L28" s="1683" t="s">
        <v>3797</v>
      </c>
      <c r="M28" s="370"/>
      <c r="N28" s="178"/>
      <c r="O28" s="421"/>
      <c r="P28" s="106"/>
      <c r="Q28" s="106"/>
      <c r="R28" s="106"/>
      <c r="S28" s="106"/>
      <c r="T28" s="106"/>
      <c r="U28" s="106"/>
      <c r="V28" s="106"/>
      <c r="W28" s="106"/>
      <c r="X28" s="183"/>
      <c r="Z28"/>
      <c r="AB28"/>
      <c r="AC28"/>
      <c r="AD28"/>
      <c r="AE28"/>
      <c r="AF28"/>
      <c r="AG28"/>
      <c r="AH28"/>
      <c r="AI28"/>
      <c r="AJ28"/>
      <c r="AK28"/>
      <c r="AX28" s="1167" t="str">
        <f>'Overview (Design)'!A30</f>
        <v>Energy Baseline Year:</v>
      </c>
      <c r="AY28" s="1168">
        <f>'Overview (Design)'!G30</f>
        <v>2020</v>
      </c>
      <c r="AZ28" s="1168"/>
    </row>
    <row r="29" spans="1:61" x14ac:dyDescent="0.2">
      <c r="B29" s="79">
        <v>601.20000000000005</v>
      </c>
      <c r="C29" s="23"/>
      <c r="D29" s="23"/>
      <c r="E29" s="23"/>
      <c r="F29" s="691"/>
      <c r="G29" s="23"/>
      <c r="H29" s="691"/>
      <c r="I29" s="130"/>
      <c r="J29" s="129"/>
      <c r="K29" s="97"/>
      <c r="L29" s="1629"/>
      <c r="M29" s="371"/>
      <c r="N29" s="129"/>
      <c r="O29" s="238"/>
      <c r="P29" s="96"/>
      <c r="Q29" s="96"/>
      <c r="R29" s="96"/>
      <c r="S29" s="96"/>
      <c r="T29" s="96"/>
      <c r="U29" s="96"/>
      <c r="V29" s="96"/>
      <c r="W29" s="96"/>
      <c r="X29" s="114"/>
      <c r="Z29"/>
      <c r="AB29"/>
      <c r="AC29"/>
      <c r="AD29"/>
      <c r="AE29"/>
      <c r="AF29"/>
      <c r="AG29"/>
      <c r="AH29"/>
      <c r="AI29"/>
      <c r="AJ29"/>
      <c r="AK29"/>
      <c r="AX29" s="1167" t="str">
        <f>'Overview (Design)'!A31</f>
        <v>Water Baseline Year:</v>
      </c>
      <c r="AY29" s="1168">
        <f>'Overview (Design)'!G31</f>
        <v>2020</v>
      </c>
      <c r="AZ29" s="1168"/>
    </row>
    <row r="30" spans="1:61" s="746" customFormat="1" x14ac:dyDescent="0.2">
      <c r="A30" s="20"/>
      <c r="B30" s="79">
        <v>601.20000000000005</v>
      </c>
      <c r="C30" s="23"/>
      <c r="D30" s="23"/>
      <c r="E30" s="23"/>
      <c r="F30" s="691"/>
      <c r="G30" s="23"/>
      <c r="H30" s="691"/>
      <c r="I30" s="130"/>
      <c r="J30" s="129"/>
      <c r="K30" s="97"/>
      <c r="L30" s="1705" t="s">
        <v>3814</v>
      </c>
      <c r="M30" s="747"/>
      <c r="N30" s="129"/>
      <c r="O30" s="749"/>
      <c r="P30" s="96"/>
      <c r="Q30" s="96"/>
      <c r="R30" s="96"/>
      <c r="S30" s="96"/>
      <c r="T30" s="96"/>
      <c r="U30" s="96"/>
      <c r="V30" s="96"/>
      <c r="W30" s="96"/>
      <c r="X30" s="114"/>
      <c r="AL30" s="66"/>
      <c r="AM30" s="66"/>
      <c r="AN30" s="66"/>
      <c r="AO30" s="66"/>
      <c r="AP30" s="66"/>
      <c r="AQ30" s="66"/>
      <c r="AR30" s="66"/>
      <c r="AS30" s="66"/>
      <c r="AX30" s="65" t="str">
        <f>'Overview (Design)'!A32</f>
        <v xml:space="preserve">Project Description: </v>
      </c>
      <c r="AY30" s="66" t="str">
        <f>'Overview (Design)'!G32</f>
        <v>n/a</v>
      </c>
      <c r="AZ30" s="66"/>
    </row>
    <row r="31" spans="1:61" s="746" customFormat="1" x14ac:dyDescent="0.2">
      <c r="A31" s="20"/>
      <c r="B31" s="79">
        <v>601.20000000000005</v>
      </c>
      <c r="C31" s="23"/>
      <c r="D31" s="23"/>
      <c r="E31" s="23"/>
      <c r="F31" s="691"/>
      <c r="G31" s="23"/>
      <c r="H31" s="691"/>
      <c r="I31" s="130"/>
      <c r="J31" s="129"/>
      <c r="K31" s="97"/>
      <c r="L31" s="1705"/>
      <c r="M31" s="747"/>
      <c r="N31" s="129"/>
      <c r="O31" s="749"/>
      <c r="P31" s="96"/>
      <c r="Q31" s="96"/>
      <c r="R31" s="96"/>
      <c r="S31" s="96"/>
      <c r="T31" s="96"/>
      <c r="U31" s="96"/>
      <c r="V31" s="96"/>
      <c r="W31" s="96"/>
      <c r="X31" s="114"/>
      <c r="AL31" s="66"/>
      <c r="AM31" s="66"/>
      <c r="AN31" s="66"/>
      <c r="AO31" s="66"/>
      <c r="AP31" s="66"/>
      <c r="AQ31" s="66"/>
      <c r="AR31" s="66"/>
      <c r="AS31" s="66"/>
      <c r="AX31" s="1167"/>
      <c r="AY31" s="1168"/>
      <c r="AZ31" s="66"/>
    </row>
    <row r="32" spans="1:61" x14ac:dyDescent="0.2">
      <c r="B32" s="79">
        <v>601.20000000000005</v>
      </c>
      <c r="C32" s="23" t="s">
        <v>254</v>
      </c>
      <c r="D32" s="23"/>
      <c r="E32" s="23"/>
      <c r="F32" s="691"/>
      <c r="G32" s="23"/>
      <c r="H32" s="691"/>
      <c r="I32" s="67"/>
      <c r="J32" s="180" t="s">
        <v>254</v>
      </c>
      <c r="K32" s="97"/>
      <c r="L32" s="1609" t="s">
        <v>450</v>
      </c>
      <c r="M32" s="1623">
        <v>3</v>
      </c>
      <c r="N32" s="129"/>
      <c r="O32" s="1619">
        <f>M32*S32*W32</f>
        <v>0</v>
      </c>
      <c r="P32" s="332" t="b">
        <v>1</v>
      </c>
      <c r="Q32" s="332" t="b">
        <v>0</v>
      </c>
      <c r="R32" s="126" t="b">
        <v>0</v>
      </c>
      <c r="S32" s="126" t="b">
        <v>1</v>
      </c>
      <c r="T32" s="126" t="b">
        <v>0</v>
      </c>
      <c r="U32"/>
      <c r="V32"/>
      <c r="W32" s="27"/>
      <c r="X32" s="1600"/>
      <c r="Z32"/>
      <c r="AB32"/>
      <c r="AC32"/>
      <c r="AD32"/>
      <c r="AE32"/>
      <c r="AF32"/>
      <c r="AG32"/>
      <c r="AH32"/>
      <c r="AI32"/>
      <c r="AJ32"/>
      <c r="AK32"/>
      <c r="AL32" s="1352" t="str">
        <f>SUBSTITUTE(SUBSTITUTE(SUBSTITUTE("dpa"&amp;$B32&amp;$C32&amp;$D32&amp;$E32&amp;$F32,".","_"),"(","_"),")","")</f>
        <v>dpa601_2_1</v>
      </c>
      <c r="AM32" s="1352">
        <f>M32</f>
        <v>3</v>
      </c>
      <c r="AN32" s="1352" t="str">
        <f>SUBSTITUTE(SUBSTITUTE(SUBSTITUTE("dpc"&amp;$B32&amp;$C32&amp;$D32&amp;$E32&amp;$F32,".","_"),"(","_"),")","")</f>
        <v>dpc601_2_1</v>
      </c>
      <c r="AO32" s="1352">
        <f>O32</f>
        <v>0</v>
      </c>
      <c r="AP32" s="1352" t="str">
        <f>SUBSTITUTE(SUBSTITUTE(SUBSTITUTE("dch"&amp;$B32&amp;$C32&amp;$D32&amp;$E32&amp;$F32,".","_"),"(","_"),")","")</f>
        <v>dch601_2_1</v>
      </c>
      <c r="AQ32" s="1352" t="str">
        <f>IF(LEN(W32)=0,"",W32)</f>
        <v/>
      </c>
      <c r="AR32" s="1352" t="str">
        <f>SUBSTITUTE(SUBSTITUTE(SUBSTITUTE("dnt"&amp;$B32&amp;$C32&amp;$D32&amp;$E32&amp;$F32,".","_"),"(","_"),")","")</f>
        <v>dnt601_2_1</v>
      </c>
      <c r="AS32" s="1352" t="str">
        <f>IF(LEN(X32)=0,"",X32)</f>
        <v/>
      </c>
      <c r="AX32" s="1167" t="str">
        <f>'Overview (Design)'!A34</f>
        <v>Selected Energy Compliance Path:</v>
      </c>
      <c r="AY32" s="1168" t="str">
        <f>'Overview (Design)'!G34</f>
        <v>Performance</v>
      </c>
      <c r="AZ32" s="746"/>
    </row>
    <row r="33" spans="1:52" x14ac:dyDescent="0.2">
      <c r="B33" s="79">
        <v>601.20000000000005</v>
      </c>
      <c r="C33" s="23" t="s">
        <v>254</v>
      </c>
      <c r="D33" s="23"/>
      <c r="E33" s="23"/>
      <c r="F33" s="691"/>
      <c r="G33" s="23"/>
      <c r="H33" s="691"/>
      <c r="I33" s="67"/>
      <c r="J33" s="129"/>
      <c r="K33" s="97"/>
      <c r="L33" s="1609"/>
      <c r="M33" s="1623"/>
      <c r="N33" s="129"/>
      <c r="O33" s="1619"/>
      <c r="P33" s="332"/>
      <c r="Q33" s="332"/>
      <c r="R33"/>
      <c r="S33"/>
      <c r="T33"/>
      <c r="U33"/>
      <c r="V33"/>
      <c r="W33"/>
      <c r="X33" s="1600"/>
      <c r="Z33"/>
      <c r="AB33"/>
      <c r="AC33"/>
      <c r="AD33"/>
      <c r="AE33"/>
      <c r="AF33"/>
      <c r="AG33"/>
      <c r="AH33"/>
      <c r="AI33"/>
      <c r="AJ33"/>
      <c r="AK33"/>
      <c r="AX33" s="1167" t="str">
        <f>'Overview (Design)'!A35</f>
        <v>Selected Water Compliance Path:</v>
      </c>
      <c r="AY33" s="1168" t="str">
        <f>'Overview (Design)'!G35</f>
        <v>Prescriptive</v>
      </c>
      <c r="AZ33" s="1168"/>
    </row>
    <row r="34" spans="1:52" x14ac:dyDescent="0.2">
      <c r="B34" s="79">
        <v>601.20000000000005</v>
      </c>
      <c r="C34" s="23" t="s">
        <v>254</v>
      </c>
      <c r="D34" s="23"/>
      <c r="E34" s="23"/>
      <c r="F34" s="691"/>
      <c r="G34" s="23"/>
      <c r="H34" s="691"/>
      <c r="I34" s="67"/>
      <c r="J34" s="213"/>
      <c r="K34" s="170"/>
      <c r="L34" s="1612"/>
      <c r="M34" s="1624"/>
      <c r="N34" s="213"/>
      <c r="O34" s="1620"/>
      <c r="P34" s="332"/>
      <c r="Q34" s="332"/>
      <c r="R34" s="126"/>
      <c r="S34" s="126"/>
      <c r="T34" s="126"/>
      <c r="U34" s="126"/>
      <c r="V34" s="126"/>
      <c r="W34" s="126"/>
      <c r="X34" s="1600"/>
      <c r="Z34"/>
      <c r="AB34"/>
      <c r="AC34"/>
      <c r="AD34"/>
      <c r="AE34"/>
      <c r="AF34"/>
      <c r="AG34"/>
      <c r="AH34"/>
      <c r="AI34"/>
      <c r="AJ34"/>
      <c r="AK34"/>
      <c r="AX34" s="65" t="str">
        <f>'Overview (Design)'!A36</f>
        <v>Foundation Type:</v>
      </c>
      <c r="AY34" s="66" t="str">
        <f>'Overview (Design)'!G36</f>
        <v>Slab on grade</v>
      </c>
      <c r="AZ34" s="1">
        <f>IFERROR(MATCH(AY34,ddFoundation,0),0)</f>
        <v>4</v>
      </c>
    </row>
    <row r="35" spans="1:52" x14ac:dyDescent="0.2">
      <c r="B35" s="79">
        <v>601.20000000000005</v>
      </c>
      <c r="C35" s="23" t="s">
        <v>255</v>
      </c>
      <c r="D35" s="23"/>
      <c r="E35" s="23"/>
      <c r="F35" s="691"/>
      <c r="G35" s="23"/>
      <c r="H35" s="691"/>
      <c r="I35" s="67"/>
      <c r="J35" s="180" t="s">
        <v>255</v>
      </c>
      <c r="K35" s="97"/>
      <c r="L35" s="1609" t="s">
        <v>451</v>
      </c>
      <c r="M35" s="1623">
        <v>3</v>
      </c>
      <c r="N35" s="129"/>
      <c r="O35" s="1619">
        <f>M35*S35*W35</f>
        <v>0</v>
      </c>
      <c r="P35" s="332" t="b">
        <v>1</v>
      </c>
      <c r="Q35" s="332" t="b">
        <v>0</v>
      </c>
      <c r="R35" s="126" t="b">
        <v>0</v>
      </c>
      <c r="S35" s="126" t="b">
        <v>1</v>
      </c>
      <c r="T35" s="126" t="b">
        <v>0</v>
      </c>
      <c r="U35"/>
      <c r="V35"/>
      <c r="W35" s="27"/>
      <c r="X35" s="1600"/>
      <c r="Z35"/>
      <c r="AB35"/>
      <c r="AC35"/>
      <c r="AD35"/>
      <c r="AE35"/>
      <c r="AF35"/>
      <c r="AG35"/>
      <c r="AH35"/>
      <c r="AI35"/>
      <c r="AJ35"/>
      <c r="AK35"/>
      <c r="AL35" s="1352" t="str">
        <f>SUBSTITUTE(SUBSTITUTE(SUBSTITUTE("dpa"&amp;$B35&amp;$C35&amp;$D35&amp;$E35&amp;$F35,".","_"),"(","_"),")","")</f>
        <v>dpa601_2_2</v>
      </c>
      <c r="AM35" s="1352">
        <f>M35</f>
        <v>3</v>
      </c>
      <c r="AN35" s="1352" t="str">
        <f>SUBSTITUTE(SUBSTITUTE(SUBSTITUTE("dpc"&amp;$B35&amp;$C35&amp;$D35&amp;$E35&amp;$F35,".","_"),"(","_"),")","")</f>
        <v>dpc601_2_2</v>
      </c>
      <c r="AO35" s="1352">
        <f>O35</f>
        <v>0</v>
      </c>
      <c r="AP35" s="1352" t="str">
        <f>SUBSTITUTE(SUBSTITUTE(SUBSTITUTE("dch"&amp;$B35&amp;$C35&amp;$D35&amp;$E35&amp;$F35,".","_"),"(","_"),")","")</f>
        <v>dch601_2_2</v>
      </c>
      <c r="AQ35" s="1352" t="str">
        <f>IF(LEN(W35)=0,"",W35)</f>
        <v/>
      </c>
      <c r="AR35" s="1352" t="str">
        <f>SUBSTITUTE(SUBSTITUTE(SUBSTITUTE("dnt"&amp;$B35&amp;$C35&amp;$D35&amp;$E35&amp;$F35,".","_"),"(","_"),")","")</f>
        <v>dnt601_2_2</v>
      </c>
      <c r="AS35" s="1352" t="str">
        <f>IF(LEN(X35)=0,"",X35)</f>
        <v/>
      </c>
      <c r="AX35" s="381"/>
      <c r="AY35" s="382"/>
    </row>
    <row r="36" spans="1:52" x14ac:dyDescent="0.2">
      <c r="B36" s="79">
        <v>601.20000000000005</v>
      </c>
      <c r="C36" s="23" t="s">
        <v>255</v>
      </c>
      <c r="D36" s="23"/>
      <c r="E36" s="23"/>
      <c r="F36" s="691"/>
      <c r="G36" s="23"/>
      <c r="H36" s="691"/>
      <c r="I36" s="67"/>
      <c r="J36" s="129"/>
      <c r="K36" s="97"/>
      <c r="L36" s="1609"/>
      <c r="M36" s="1623"/>
      <c r="N36" s="129"/>
      <c r="O36" s="1619"/>
      <c r="P36" s="332"/>
      <c r="Q36" s="332"/>
      <c r="R36"/>
      <c r="S36"/>
      <c r="T36"/>
      <c r="U36"/>
      <c r="V36"/>
      <c r="W36"/>
      <c r="X36" s="1600"/>
      <c r="Z36"/>
      <c r="AB36"/>
      <c r="AC36"/>
      <c r="AD36"/>
      <c r="AE36"/>
      <c r="AF36"/>
      <c r="AG36"/>
      <c r="AH36"/>
      <c r="AI36"/>
      <c r="AJ36"/>
      <c r="AK36"/>
      <c r="AX36" s="65" t="str">
        <f>'Overview (Design)'!A38</f>
        <v>Type of Heating System (main system):</v>
      </c>
      <c r="AY36" s="66" t="str">
        <f>'Overview (Design)'!G38</f>
        <v>Heat Pump</v>
      </c>
    </row>
    <row r="37" spans="1:52" x14ac:dyDescent="0.2">
      <c r="B37" s="79">
        <v>601.20000000000005</v>
      </c>
      <c r="C37" s="23" t="s">
        <v>255</v>
      </c>
      <c r="D37" s="23"/>
      <c r="E37" s="23"/>
      <c r="F37" s="691"/>
      <c r="G37" s="23"/>
      <c r="H37" s="691"/>
      <c r="I37" s="67"/>
      <c r="J37" s="213"/>
      <c r="K37" s="170"/>
      <c r="L37" s="1612"/>
      <c r="M37" s="1624"/>
      <c r="N37" s="213"/>
      <c r="O37" s="1620"/>
      <c r="P37" s="332"/>
      <c r="Q37" s="332"/>
      <c r="R37"/>
      <c r="S37"/>
      <c r="T37"/>
      <c r="U37"/>
      <c r="V37"/>
      <c r="W37"/>
      <c r="X37" s="1600"/>
      <c r="Z37"/>
      <c r="AB37"/>
      <c r="AC37"/>
      <c r="AD37"/>
      <c r="AE37"/>
      <c r="AF37"/>
      <c r="AG37"/>
      <c r="AH37"/>
      <c r="AI37"/>
      <c r="AJ37"/>
      <c r="AK37"/>
      <c r="AX37" s="65" t="str">
        <f>'Overview (Design)'!A39</f>
        <v>Type of Heating System (system 2):</v>
      </c>
      <c r="AY37" s="66">
        <f>'Overview (Design)'!G39</f>
        <v>0</v>
      </c>
    </row>
    <row r="38" spans="1:52" ht="15" customHeight="1" thickBot="1" x14ac:dyDescent="0.25">
      <c r="B38" s="79">
        <v>601.20000000000005</v>
      </c>
      <c r="C38" s="23" t="s">
        <v>256</v>
      </c>
      <c r="D38" s="23"/>
      <c r="E38" s="23"/>
      <c r="F38" s="691"/>
      <c r="G38" s="23"/>
      <c r="H38" s="691"/>
      <c r="I38" s="67"/>
      <c r="J38" s="29" t="s">
        <v>256</v>
      </c>
      <c r="K38" s="85"/>
      <c r="L38" s="299" t="s">
        <v>452</v>
      </c>
      <c r="M38" s="374">
        <v>3</v>
      </c>
      <c r="N38" s="4"/>
      <c r="O38" s="138">
        <f>M38*S38*W38</f>
        <v>0</v>
      </c>
      <c r="P38" s="332" t="b">
        <v>1</v>
      </c>
      <c r="Q38" s="332" t="b">
        <v>0</v>
      </c>
      <c r="R38" s="126" t="b">
        <v>0</v>
      </c>
      <c r="S38" s="126" t="b">
        <v>1</v>
      </c>
      <c r="T38" s="126" t="b">
        <v>0</v>
      </c>
      <c r="U38"/>
      <c r="V38"/>
      <c r="W38" s="27"/>
      <c r="X38" s="163"/>
      <c r="Z38"/>
      <c r="AB38"/>
      <c r="AC38"/>
      <c r="AD38"/>
      <c r="AE38"/>
      <c r="AF38"/>
      <c r="AG38"/>
      <c r="AH38"/>
      <c r="AI38"/>
      <c r="AJ38"/>
      <c r="AK38"/>
      <c r="AL38" s="1352" t="str">
        <f>SUBSTITUTE(SUBSTITUTE(SUBSTITUTE("dpa"&amp;$B38&amp;$C38&amp;$D38&amp;$E38&amp;$F38,".","_"),"(","_"),")","")</f>
        <v>dpa601_2_3</v>
      </c>
      <c r="AM38" s="1352">
        <f>M38</f>
        <v>3</v>
      </c>
      <c r="AN38" s="1352" t="str">
        <f>SUBSTITUTE(SUBSTITUTE(SUBSTITUTE("dpc"&amp;$B38&amp;$C38&amp;$D38&amp;$E38&amp;$F38,".","_"),"(","_"),")","")</f>
        <v>dpc601_2_3</v>
      </c>
      <c r="AO38" s="1352">
        <f>O38</f>
        <v>0</v>
      </c>
      <c r="AP38" s="1352" t="str">
        <f>SUBSTITUTE(SUBSTITUTE(SUBSTITUTE("dch"&amp;$B38&amp;$C38&amp;$D38&amp;$E38&amp;$F38,".","_"),"(","_"),")","")</f>
        <v>dch601_2_3</v>
      </c>
      <c r="AQ38" s="1352" t="str">
        <f>IF(LEN(W38)=0,"",W38)</f>
        <v/>
      </c>
      <c r="AR38" s="1352" t="str">
        <f>SUBSTITUTE(SUBSTITUTE(SUBSTITUTE("dnt"&amp;$B38&amp;$C38&amp;$D38&amp;$E38&amp;$F38,".","_"),"(","_"),")","")</f>
        <v>dnt601_2_3</v>
      </c>
      <c r="AS38" s="1352" t="str">
        <f>IF(LEN(X38)=0,"",X38)</f>
        <v/>
      </c>
      <c r="AX38" s="65" t="str">
        <f>'Overview (Design)'!A40</f>
        <v>Type of Heating System (system 3):</v>
      </c>
      <c r="AY38" s="66">
        <f>'Overview (Design)'!G40</f>
        <v>0</v>
      </c>
    </row>
    <row r="39" spans="1:52" ht="16" thickTop="1" x14ac:dyDescent="0.2">
      <c r="B39" s="79">
        <v>601.29999999999995</v>
      </c>
      <c r="C39" s="23"/>
      <c r="D39" s="23"/>
      <c r="E39" s="23"/>
      <c r="F39" s="691"/>
      <c r="G39" s="23"/>
      <c r="H39" s="691"/>
      <c r="I39" s="177" t="s">
        <v>3523</v>
      </c>
      <c r="J39" s="178"/>
      <c r="K39" s="179"/>
      <c r="L39" s="1683" t="s">
        <v>3798</v>
      </c>
      <c r="M39" s="370"/>
      <c r="N39" s="178"/>
      <c r="O39" s="421"/>
      <c r="P39" s="106"/>
      <c r="Q39" s="106"/>
      <c r="R39" s="106"/>
      <c r="S39" s="106"/>
      <c r="T39" s="106"/>
      <c r="U39" s="106"/>
      <c r="V39" s="106"/>
      <c r="W39" s="106"/>
      <c r="X39" s="183"/>
      <c r="Z39"/>
      <c r="AB39"/>
      <c r="AC39"/>
      <c r="AD39"/>
      <c r="AE39"/>
      <c r="AF39"/>
      <c r="AG39"/>
      <c r="AH39"/>
      <c r="AI39"/>
      <c r="AJ39"/>
      <c r="AK39"/>
      <c r="AX39" s="65" t="str">
        <f>'Overview (Design)'!A41</f>
        <v>Primary Heating Fuel:</v>
      </c>
      <c r="AY39" s="66">
        <f>'Overview (Design)'!G41</f>
        <v>0</v>
      </c>
    </row>
    <row r="40" spans="1:52" x14ac:dyDescent="0.2">
      <c r="B40" s="79">
        <v>601.29999999999995</v>
      </c>
      <c r="C40" s="23"/>
      <c r="D40" s="23"/>
      <c r="E40" s="23"/>
      <c r="F40" s="691"/>
      <c r="G40" s="23"/>
      <c r="H40" s="691"/>
      <c r="I40" s="130"/>
      <c r="J40" s="129"/>
      <c r="K40" s="97"/>
      <c r="L40" s="1629"/>
      <c r="M40" s="371"/>
      <c r="N40" s="129"/>
      <c r="O40" s="238"/>
      <c r="P40" s="96"/>
      <c r="Q40" s="96"/>
      <c r="R40" s="96"/>
      <c r="S40" s="96"/>
      <c r="T40" s="96"/>
      <c r="U40" s="96"/>
      <c r="V40" s="96"/>
      <c r="W40" s="96"/>
      <c r="X40" s="114"/>
      <c r="Z40"/>
      <c r="AB40"/>
      <c r="AC40"/>
      <c r="AD40"/>
      <c r="AE40"/>
      <c r="AF40"/>
      <c r="AG40"/>
      <c r="AH40"/>
      <c r="AI40"/>
      <c r="AJ40"/>
      <c r="AK40"/>
      <c r="AX40" s="381" t="str">
        <f>'Overview (Design)'!A42</f>
        <v>Heating Ducts:</v>
      </c>
      <c r="AY40" s="382" t="str">
        <f>'Overview (Design)'!G42</f>
        <v>Ducted</v>
      </c>
    </row>
    <row r="41" spans="1:52" x14ac:dyDescent="0.2">
      <c r="B41" s="79">
        <v>601.29999999999995</v>
      </c>
      <c r="C41" s="23"/>
      <c r="D41" s="23"/>
      <c r="E41" s="23"/>
      <c r="F41" s="691"/>
      <c r="G41" s="23"/>
      <c r="H41" s="691"/>
      <c r="I41" s="130"/>
      <c r="J41" s="129"/>
      <c r="K41" s="97"/>
      <c r="L41" s="1629"/>
      <c r="M41" s="371"/>
      <c r="N41" s="129"/>
      <c r="O41" s="238"/>
      <c r="P41" s="96"/>
      <c r="Q41" s="96"/>
      <c r="R41" s="96"/>
      <c r="S41" s="96"/>
      <c r="T41" s="96"/>
      <c r="U41" s="96"/>
      <c r="V41" s="96"/>
      <c r="W41" s="96"/>
      <c r="X41" s="114"/>
      <c r="Z41"/>
      <c r="AB41"/>
      <c r="AC41"/>
      <c r="AD41"/>
      <c r="AE41"/>
      <c r="AF41"/>
      <c r="AG41"/>
      <c r="AH41"/>
      <c r="AI41"/>
      <c r="AJ41"/>
      <c r="AK41"/>
      <c r="AX41" s="381" t="str">
        <f>'Overview (Design)'!A43</f>
        <v>Type of Cooling System (main system):</v>
      </c>
      <c r="AY41" s="382" t="str">
        <f>'Overview (Design)'!G43</f>
        <v>Heat Pump</v>
      </c>
    </row>
    <row r="42" spans="1:52" s="746" customFormat="1" x14ac:dyDescent="0.2">
      <c r="A42" s="20"/>
      <c r="B42" s="79">
        <v>601.29999999999995</v>
      </c>
      <c r="C42" s="23"/>
      <c r="D42" s="23"/>
      <c r="E42" s="23"/>
      <c r="F42" s="691"/>
      <c r="G42" s="23"/>
      <c r="H42" s="691"/>
      <c r="I42" s="130"/>
      <c r="J42" s="129"/>
      <c r="K42" s="97"/>
      <c r="L42" s="1705" t="s">
        <v>3815</v>
      </c>
      <c r="M42" s="747"/>
      <c r="N42" s="129"/>
      <c r="O42" s="749"/>
      <c r="P42" s="96"/>
      <c r="Q42" s="96"/>
      <c r="R42" s="96"/>
      <c r="S42" s="96"/>
      <c r="T42" s="96"/>
      <c r="U42" s="96"/>
      <c r="V42" s="96"/>
      <c r="W42" s="96"/>
      <c r="X42" s="114"/>
      <c r="AL42" s="66"/>
      <c r="AM42" s="66"/>
      <c r="AN42" s="66"/>
      <c r="AO42" s="66"/>
      <c r="AP42" s="66"/>
      <c r="AQ42" s="66"/>
      <c r="AR42" s="66"/>
      <c r="AS42" s="66"/>
      <c r="AX42" s="381" t="str">
        <f>'Overview (Design)'!A44</f>
        <v>Type of Cooling System (system 2):</v>
      </c>
      <c r="AY42" s="382">
        <f>'Overview (Design)'!G44</f>
        <v>0</v>
      </c>
    </row>
    <row r="43" spans="1:52" s="746" customFormat="1" x14ac:dyDescent="0.2">
      <c r="A43" s="20"/>
      <c r="B43" s="79">
        <v>601.29999999999995</v>
      </c>
      <c r="C43" s="23"/>
      <c r="D43" s="23"/>
      <c r="E43" s="23"/>
      <c r="F43" s="691"/>
      <c r="G43" s="23"/>
      <c r="H43" s="691"/>
      <c r="I43" s="130"/>
      <c r="J43" s="129"/>
      <c r="K43" s="97"/>
      <c r="L43" s="1705"/>
      <c r="M43" s="747"/>
      <c r="N43" s="129"/>
      <c r="O43" s="749"/>
      <c r="P43" s="96"/>
      <c r="Q43" s="96"/>
      <c r="R43" s="96"/>
      <c r="S43" s="96"/>
      <c r="T43" s="96"/>
      <c r="U43" s="96"/>
      <c r="V43" s="96"/>
      <c r="W43" s="96"/>
      <c r="X43" s="114"/>
      <c r="AL43" s="66"/>
      <c r="AM43" s="66"/>
      <c r="AN43" s="66"/>
      <c r="AO43" s="66"/>
      <c r="AP43" s="66"/>
      <c r="AQ43" s="66"/>
      <c r="AR43" s="66"/>
      <c r="AS43" s="66"/>
      <c r="AX43" s="381" t="str">
        <f>'Overview (Design)'!A45</f>
        <v>Type of Cooling System (system 3):</v>
      </c>
      <c r="AY43" s="382">
        <f>'Overview (Design)'!G45</f>
        <v>0</v>
      </c>
    </row>
    <row r="44" spans="1:52" x14ac:dyDescent="0.2">
      <c r="B44" s="79">
        <v>601.29999999999995</v>
      </c>
      <c r="C44" s="23" t="s">
        <v>254</v>
      </c>
      <c r="D44" s="23"/>
      <c r="E44" s="23"/>
      <c r="F44" s="691"/>
      <c r="G44" s="23"/>
      <c r="H44" s="691"/>
      <c r="I44" s="67"/>
      <c r="J44" s="207" t="s">
        <v>254</v>
      </c>
      <c r="K44" s="170"/>
      <c r="L44" s="296" t="s">
        <v>453</v>
      </c>
      <c r="M44" s="373">
        <v>3</v>
      </c>
      <c r="N44" s="213"/>
      <c r="O44" s="422">
        <f t="shared" ref="O44:O49" si="2">M44*S44*W44</f>
        <v>0</v>
      </c>
      <c r="P44" s="332" t="b">
        <v>1</v>
      </c>
      <c r="Q44" s="332" t="b">
        <v>0</v>
      </c>
      <c r="R44" s="126" t="b">
        <v>0</v>
      </c>
      <c r="S44" s="126" t="b">
        <v>1</v>
      </c>
      <c r="T44" s="126" t="b">
        <v>0</v>
      </c>
      <c r="U44"/>
      <c r="V44"/>
      <c r="W44" s="27"/>
      <c r="X44" s="156"/>
      <c r="Z44"/>
      <c r="AB44"/>
      <c r="AC44"/>
      <c r="AD44"/>
      <c r="AE44"/>
      <c r="AF44"/>
      <c r="AG44"/>
      <c r="AH44"/>
      <c r="AI44"/>
      <c r="AJ44"/>
      <c r="AK44"/>
      <c r="AL44" s="1352" t="str">
        <f t="shared" ref="AL44:AL49" si="3">SUBSTITUTE(SUBSTITUTE(SUBSTITUTE("dpa"&amp;$B44&amp;$C44&amp;$D44&amp;$E44&amp;$F44,".","_"),"(","_"),")","")</f>
        <v>dpa601_3_1</v>
      </c>
      <c r="AM44" s="1352">
        <f t="shared" ref="AM44:AM49" si="4">M44</f>
        <v>3</v>
      </c>
      <c r="AN44" s="1352" t="str">
        <f t="shared" ref="AN44:AN49" si="5">SUBSTITUTE(SUBSTITUTE(SUBSTITUTE("dpc"&amp;$B44&amp;$C44&amp;$D44&amp;$E44&amp;$F44,".","_"),"(","_"),")","")</f>
        <v>dpc601_3_1</v>
      </c>
      <c r="AO44" s="1352">
        <f t="shared" ref="AO44:AO49" si="6">O44</f>
        <v>0</v>
      </c>
      <c r="AP44" s="1352" t="str">
        <f t="shared" ref="AP44:AP49" si="7">SUBSTITUTE(SUBSTITUTE(SUBSTITUTE("dch"&amp;$B44&amp;$C44&amp;$D44&amp;$E44&amp;$F44,".","_"),"(","_"),")","")</f>
        <v>dch601_3_1</v>
      </c>
      <c r="AQ44" s="1352" t="str">
        <f t="shared" ref="AQ44:AQ49" si="8">IF(LEN(W44)=0,"",W44)</f>
        <v/>
      </c>
      <c r="AR44" s="1352" t="str">
        <f t="shared" ref="AR44:AR49" si="9">SUBSTITUTE(SUBSTITUTE(SUBSTITUTE("dnt"&amp;$B44&amp;$C44&amp;$D44&amp;$E44&amp;$F44,".","_"),"(","_"),")","")</f>
        <v>dnt601_3_1</v>
      </c>
      <c r="AS44" s="1352" t="str">
        <f t="shared" ref="AS44:AS49" si="10">IF(LEN(X44)=0,"",X44)</f>
        <v/>
      </c>
      <c r="AX44" s="381" t="str">
        <f>'Overview (Design)'!A46</f>
        <v>Cooling Ducts:</v>
      </c>
      <c r="AY44" s="382" t="str">
        <f>'Overview (Design)'!G46</f>
        <v>Ducted</v>
      </c>
    </row>
    <row r="45" spans="1:52" x14ac:dyDescent="0.2">
      <c r="B45" s="79">
        <v>601.29999999999995</v>
      </c>
      <c r="C45" s="23" t="s">
        <v>255</v>
      </c>
      <c r="D45" s="23"/>
      <c r="E45" s="23"/>
      <c r="F45" s="691"/>
      <c r="G45" s="23"/>
      <c r="H45" s="691"/>
      <c r="I45" s="67"/>
      <c r="J45" s="209" t="s">
        <v>255</v>
      </c>
      <c r="K45" s="210"/>
      <c r="L45" s="311" t="s">
        <v>454</v>
      </c>
      <c r="M45" s="379">
        <v>3</v>
      </c>
      <c r="N45" s="242"/>
      <c r="O45" s="378">
        <f t="shared" si="2"/>
        <v>0</v>
      </c>
      <c r="P45" s="332" t="b">
        <v>1</v>
      </c>
      <c r="Q45" s="332" t="b">
        <v>0</v>
      </c>
      <c r="R45" s="126" t="b">
        <v>0</v>
      </c>
      <c r="S45" s="126" t="b">
        <v>1</v>
      </c>
      <c r="T45" s="126" t="b">
        <v>0</v>
      </c>
      <c r="U45"/>
      <c r="V45"/>
      <c r="W45" s="27"/>
      <c r="X45" s="156"/>
      <c r="Z45"/>
      <c r="AB45"/>
      <c r="AC45"/>
      <c r="AD45"/>
      <c r="AE45"/>
      <c r="AF45"/>
      <c r="AG45"/>
      <c r="AH45"/>
      <c r="AI45"/>
      <c r="AJ45"/>
      <c r="AK45"/>
      <c r="AL45" s="1352" t="str">
        <f t="shared" si="3"/>
        <v>dpa601_3_2</v>
      </c>
      <c r="AM45" s="1352">
        <f t="shared" si="4"/>
        <v>3</v>
      </c>
      <c r="AN45" s="1352" t="str">
        <f t="shared" si="5"/>
        <v>dpc601_3_2</v>
      </c>
      <c r="AO45" s="1352">
        <f t="shared" si="6"/>
        <v>0</v>
      </c>
      <c r="AP45" s="1352" t="str">
        <f t="shared" si="7"/>
        <v>dch601_3_2</v>
      </c>
      <c r="AQ45" s="1352" t="str">
        <f t="shared" si="8"/>
        <v/>
      </c>
      <c r="AR45" s="1352" t="str">
        <f t="shared" si="9"/>
        <v>dnt601_3_2</v>
      </c>
      <c r="AS45" s="1352" t="str">
        <f t="shared" si="10"/>
        <v/>
      </c>
      <c r="AX45" s="381"/>
      <c r="AY45" s="382"/>
    </row>
    <row r="46" spans="1:52" x14ac:dyDescent="0.2">
      <c r="B46" s="79">
        <v>601.29999999999995</v>
      </c>
      <c r="C46" s="23" t="s">
        <v>256</v>
      </c>
      <c r="D46" s="23"/>
      <c r="E46" s="23"/>
      <c r="F46" s="691"/>
      <c r="G46" s="23"/>
      <c r="H46" s="691"/>
      <c r="I46" s="67"/>
      <c r="J46" s="209" t="s">
        <v>256</v>
      </c>
      <c r="K46" s="210"/>
      <c r="L46" s="311" t="s">
        <v>455</v>
      </c>
      <c r="M46" s="379">
        <v>3</v>
      </c>
      <c r="N46" s="242"/>
      <c r="O46" s="378">
        <f t="shared" si="2"/>
        <v>0</v>
      </c>
      <c r="P46" s="332" t="b">
        <v>1</v>
      </c>
      <c r="Q46" s="332" t="b">
        <v>0</v>
      </c>
      <c r="R46" s="126" t="b">
        <v>0</v>
      </c>
      <c r="S46" s="126" t="b">
        <v>1</v>
      </c>
      <c r="T46" s="126" t="b">
        <v>0</v>
      </c>
      <c r="U46"/>
      <c r="V46"/>
      <c r="W46" s="27"/>
      <c r="X46" s="156"/>
      <c r="Z46"/>
      <c r="AB46"/>
      <c r="AC46"/>
      <c r="AD46"/>
      <c r="AE46"/>
      <c r="AF46"/>
      <c r="AG46"/>
      <c r="AH46"/>
      <c r="AI46"/>
      <c r="AJ46"/>
      <c r="AK46"/>
      <c r="AL46" s="1352" t="str">
        <f t="shared" si="3"/>
        <v>dpa601_3_3</v>
      </c>
      <c r="AM46" s="1352">
        <f t="shared" si="4"/>
        <v>3</v>
      </c>
      <c r="AN46" s="1352" t="str">
        <f t="shared" si="5"/>
        <v>dpc601_3_3</v>
      </c>
      <c r="AO46" s="1352">
        <f t="shared" si="6"/>
        <v>0</v>
      </c>
      <c r="AP46" s="1352" t="str">
        <f t="shared" si="7"/>
        <v>dch601_3_3</v>
      </c>
      <c r="AQ46" s="1352" t="str">
        <f t="shared" si="8"/>
        <v/>
      </c>
      <c r="AR46" s="1352" t="str">
        <f t="shared" si="9"/>
        <v>dnt601_3_3</v>
      </c>
      <c r="AS46" s="1352" t="str">
        <f t="shared" si="10"/>
        <v/>
      </c>
      <c r="AX46" s="381" t="str">
        <f>'Overview (Design)'!A48</f>
        <v>Maximum window and door SHGC:</v>
      </c>
      <c r="AY46" s="382">
        <f>'Overview (Design)'!G48</f>
        <v>0.22</v>
      </c>
    </row>
    <row r="47" spans="1:52" x14ac:dyDescent="0.2">
      <c r="B47" s="79">
        <v>601.29999999999995</v>
      </c>
      <c r="C47" s="23" t="s">
        <v>259</v>
      </c>
      <c r="D47" s="23"/>
      <c r="E47" s="23"/>
      <c r="F47" s="691"/>
      <c r="G47" s="23"/>
      <c r="H47" s="691"/>
      <c r="I47" s="67"/>
      <c r="J47" s="209" t="s">
        <v>259</v>
      </c>
      <c r="K47" s="210"/>
      <c r="L47" s="311" t="s">
        <v>456</v>
      </c>
      <c r="M47" s="379">
        <v>3</v>
      </c>
      <c r="N47" s="242"/>
      <c r="O47" s="378">
        <f t="shared" si="2"/>
        <v>0</v>
      </c>
      <c r="P47" s="332" t="b">
        <v>1</v>
      </c>
      <c r="Q47" s="332" t="b">
        <v>0</v>
      </c>
      <c r="R47" s="126" t="b">
        <v>0</v>
      </c>
      <c r="S47" s="126" t="b">
        <v>1</v>
      </c>
      <c r="T47" s="126" t="b">
        <v>0</v>
      </c>
      <c r="U47"/>
      <c r="V47"/>
      <c r="W47" s="27"/>
      <c r="X47" s="156"/>
      <c r="Z47"/>
      <c r="AB47"/>
      <c r="AC47"/>
      <c r="AD47"/>
      <c r="AE47"/>
      <c r="AF47"/>
      <c r="AG47"/>
      <c r="AH47"/>
      <c r="AI47"/>
      <c r="AJ47"/>
      <c r="AK47"/>
      <c r="AL47" s="1352" t="str">
        <f t="shared" si="3"/>
        <v>dpa601_3_4</v>
      </c>
      <c r="AM47" s="1352">
        <f t="shared" si="4"/>
        <v>3</v>
      </c>
      <c r="AN47" s="1352" t="str">
        <f t="shared" si="5"/>
        <v>dpc601_3_4</v>
      </c>
      <c r="AO47" s="1352">
        <f t="shared" si="6"/>
        <v>0</v>
      </c>
      <c r="AP47" s="1352" t="str">
        <f t="shared" si="7"/>
        <v>dch601_3_4</v>
      </c>
      <c r="AQ47" s="1352" t="str">
        <f t="shared" si="8"/>
        <v/>
      </c>
      <c r="AR47" s="1352" t="str">
        <f t="shared" si="9"/>
        <v>dnt601_3_4</v>
      </c>
      <c r="AS47" s="1352" t="str">
        <f t="shared" si="10"/>
        <v/>
      </c>
      <c r="AX47" s="381" t="str">
        <f>'Overview (Design)'!A49</f>
        <v>Maximum skylight SHGC:</v>
      </c>
      <c r="AY47" s="382">
        <f>'Overview (Design)'!G49</f>
        <v>0</v>
      </c>
    </row>
    <row r="48" spans="1:52" ht="16" thickBot="1" x14ac:dyDescent="0.25">
      <c r="B48" s="79">
        <v>601.29999999999995</v>
      </c>
      <c r="C48" s="23" t="s">
        <v>263</v>
      </c>
      <c r="D48" s="23"/>
      <c r="E48" s="23"/>
      <c r="F48" s="691"/>
      <c r="G48" s="23"/>
      <c r="H48" s="691"/>
      <c r="I48" s="67"/>
      <c r="J48" s="29" t="s">
        <v>263</v>
      </c>
      <c r="K48" s="85"/>
      <c r="L48" s="299" t="s">
        <v>457</v>
      </c>
      <c r="M48" s="374">
        <v>1</v>
      </c>
      <c r="N48" s="4"/>
      <c r="O48" s="138">
        <f t="shared" si="2"/>
        <v>0</v>
      </c>
      <c r="P48" s="332" t="b">
        <v>1</v>
      </c>
      <c r="Q48" s="332" t="b">
        <v>0</v>
      </c>
      <c r="R48" s="126" t="b">
        <v>0</v>
      </c>
      <c r="S48" s="126" t="b">
        <v>1</v>
      </c>
      <c r="T48" s="126" t="b">
        <v>0</v>
      </c>
      <c r="U48"/>
      <c r="V48"/>
      <c r="W48" s="101"/>
      <c r="X48" s="163"/>
      <c r="Z48"/>
      <c r="AB48"/>
      <c r="AC48"/>
      <c r="AD48"/>
      <c r="AE48"/>
      <c r="AF48"/>
      <c r="AG48"/>
      <c r="AH48"/>
      <c r="AI48"/>
      <c r="AJ48"/>
      <c r="AK48"/>
      <c r="AL48" s="1352" t="str">
        <f t="shared" si="3"/>
        <v>dpa601_3_5</v>
      </c>
      <c r="AM48" s="1352">
        <f t="shared" si="4"/>
        <v>1</v>
      </c>
      <c r="AN48" s="1352" t="str">
        <f t="shared" si="5"/>
        <v>dpc601_3_5</v>
      </c>
      <c r="AO48" s="1352">
        <f t="shared" si="6"/>
        <v>0</v>
      </c>
      <c r="AP48" s="1352" t="str">
        <f t="shared" si="7"/>
        <v>dch601_3_5</v>
      </c>
      <c r="AQ48" s="1352" t="str">
        <f t="shared" si="8"/>
        <v/>
      </c>
      <c r="AR48" s="1352" t="str">
        <f t="shared" si="9"/>
        <v>dnt601_3_5</v>
      </c>
      <c r="AS48" s="1352" t="str">
        <f t="shared" si="10"/>
        <v/>
      </c>
      <c r="AX48" s="381" t="str">
        <f>'Overview (Design)'!A50</f>
        <v>Maximum window and door U-value:</v>
      </c>
      <c r="AY48" s="382">
        <f>'Overview (Design)'!G50</f>
        <v>0.28999999999999998</v>
      </c>
    </row>
    <row r="49" spans="1:51" ht="16" thickTop="1" x14ac:dyDescent="0.2">
      <c r="B49" s="79">
        <v>601.4</v>
      </c>
      <c r="C49" s="23"/>
      <c r="D49" s="23"/>
      <c r="E49" s="23"/>
      <c r="F49" s="691"/>
      <c r="G49" s="23"/>
      <c r="H49" s="691"/>
      <c r="I49" s="177" t="s">
        <v>3524</v>
      </c>
      <c r="J49" s="178"/>
      <c r="K49" s="179"/>
      <c r="L49" s="1683" t="s">
        <v>3799</v>
      </c>
      <c r="M49" s="1685">
        <v>4</v>
      </c>
      <c r="N49" s="178"/>
      <c r="O49" s="1682">
        <f t="shared" si="2"/>
        <v>0</v>
      </c>
      <c r="P49" s="332" t="b">
        <v>1</v>
      </c>
      <c r="Q49" s="332" t="b">
        <v>0</v>
      </c>
      <c r="R49" s="106" t="b">
        <v>0</v>
      </c>
      <c r="S49" s="106" t="b">
        <v>1</v>
      </c>
      <c r="T49" s="106" t="b">
        <v>0</v>
      </c>
      <c r="U49" s="106"/>
      <c r="V49" s="106"/>
      <c r="W49" s="119"/>
      <c r="X49" s="1603"/>
      <c r="Z49"/>
      <c r="AB49"/>
      <c r="AC49"/>
      <c r="AD49"/>
      <c r="AE49"/>
      <c r="AF49"/>
      <c r="AG49"/>
      <c r="AH49"/>
      <c r="AI49"/>
      <c r="AJ49"/>
      <c r="AK49"/>
      <c r="AL49" s="1352" t="str">
        <f t="shared" si="3"/>
        <v>dpa601_4</v>
      </c>
      <c r="AM49" s="1352">
        <f t="shared" si="4"/>
        <v>4</v>
      </c>
      <c r="AN49" s="1352" t="str">
        <f t="shared" si="5"/>
        <v>dpc601_4</v>
      </c>
      <c r="AO49" s="1352">
        <f t="shared" si="6"/>
        <v>0</v>
      </c>
      <c r="AP49" s="1352" t="str">
        <f t="shared" si="7"/>
        <v>dch601_4</v>
      </c>
      <c r="AQ49" s="1352" t="str">
        <f t="shared" si="8"/>
        <v/>
      </c>
      <c r="AR49" s="1352" t="str">
        <f t="shared" si="9"/>
        <v>dnt601_4</v>
      </c>
      <c r="AS49" s="1352" t="str">
        <f t="shared" si="10"/>
        <v/>
      </c>
      <c r="AX49" s="381" t="str">
        <f>'Overview (Design)'!A51</f>
        <v>Maximum skylight U-value:</v>
      </c>
      <c r="AY49" s="382">
        <f>'Overview (Design)'!G51</f>
        <v>0</v>
      </c>
    </row>
    <row r="50" spans="1:51" x14ac:dyDescent="0.2">
      <c r="B50" s="79">
        <v>601.4</v>
      </c>
      <c r="C50" s="23"/>
      <c r="D50" s="23"/>
      <c r="E50" s="23"/>
      <c r="F50" s="691"/>
      <c r="G50" s="23"/>
      <c r="H50" s="691"/>
      <c r="I50" s="130"/>
      <c r="J50" s="129"/>
      <c r="K50" s="97"/>
      <c r="L50" s="1629"/>
      <c r="M50" s="1623"/>
      <c r="N50" s="129"/>
      <c r="O50" s="1619"/>
      <c r="P50" s="96"/>
      <c r="Q50" s="96"/>
      <c r="R50" s="96"/>
      <c r="S50" s="96"/>
      <c r="T50" s="96"/>
      <c r="U50" s="96"/>
      <c r="V50" s="96"/>
      <c r="W50" s="96"/>
      <c r="X50" s="1601"/>
      <c r="Z50"/>
      <c r="AB50"/>
      <c r="AC50"/>
      <c r="AD50"/>
      <c r="AE50"/>
      <c r="AF50"/>
      <c r="AG50"/>
      <c r="AH50"/>
      <c r="AI50"/>
      <c r="AJ50"/>
      <c r="AK50"/>
      <c r="AX50" s="65" t="str">
        <f>'Overview (Design)'!A52</f>
        <v>Renewable Energy:</v>
      </c>
      <c r="AY50" s="66">
        <f>'Overview (Design)'!G52</f>
        <v>0</v>
      </c>
    </row>
    <row r="51" spans="1:51" ht="16" thickBot="1" x14ac:dyDescent="0.25">
      <c r="B51" s="79">
        <v>601.4</v>
      </c>
      <c r="C51" s="23"/>
      <c r="D51" s="23"/>
      <c r="E51" s="23"/>
      <c r="F51" s="691"/>
      <c r="G51" s="23"/>
      <c r="H51" s="691"/>
      <c r="I51" s="130"/>
      <c r="J51" s="129"/>
      <c r="K51" s="97"/>
      <c r="L51" s="1629"/>
      <c r="M51" s="1623"/>
      <c r="N51" s="129"/>
      <c r="O51" s="1619"/>
      <c r="P51" s="96"/>
      <c r="Q51" s="96"/>
      <c r="R51" s="96"/>
      <c r="S51" s="96"/>
      <c r="T51" s="96"/>
      <c r="U51" s="96"/>
      <c r="V51" s="96"/>
      <c r="W51" s="96"/>
      <c r="X51" s="1621"/>
      <c r="Z51"/>
      <c r="AB51"/>
      <c r="AC51"/>
      <c r="AD51"/>
      <c r="AE51"/>
      <c r="AF51"/>
      <c r="AG51"/>
      <c r="AH51"/>
      <c r="AI51"/>
      <c r="AJ51"/>
      <c r="AK51"/>
      <c r="AX51" s="65" t="str">
        <f>'Overview (Design)'!A53</f>
        <v>Thermal Envelope Insulation:</v>
      </c>
      <c r="AY51" s="66">
        <f>'Overview (Design)'!G53</f>
        <v>0</v>
      </c>
    </row>
    <row r="52" spans="1:51" ht="16" thickTop="1" x14ac:dyDescent="0.2">
      <c r="B52" s="79">
        <v>601.5</v>
      </c>
      <c r="C52" s="23"/>
      <c r="D52" s="23"/>
      <c r="E52" s="23"/>
      <c r="F52" s="691"/>
      <c r="G52" s="23"/>
      <c r="H52" s="691"/>
      <c r="I52" s="107" t="s">
        <v>3525</v>
      </c>
      <c r="J52" s="178"/>
      <c r="K52" s="179"/>
      <c r="L52" s="1683" t="s">
        <v>3635</v>
      </c>
      <c r="M52" s="1685" t="s">
        <v>458</v>
      </c>
      <c r="N52" s="178"/>
      <c r="O52" s="421"/>
      <c r="P52" s="106"/>
      <c r="Q52" s="106"/>
      <c r="R52" s="106"/>
      <c r="S52" s="106"/>
      <c r="T52" s="106"/>
      <c r="U52" s="106"/>
      <c r="V52" s="106"/>
      <c r="W52" s="106"/>
      <c r="X52" s="183"/>
      <c r="Z52"/>
      <c r="AB52"/>
      <c r="AC52"/>
      <c r="AD52"/>
      <c r="AE52"/>
      <c r="AF52"/>
      <c r="AG52"/>
      <c r="AH52"/>
      <c r="AI52"/>
      <c r="AJ52"/>
      <c r="AK52"/>
      <c r="AL52" s="1352" t="str">
        <f>SUBSTITUTE(SUBSTITUTE(SUBSTITUTE("dpa"&amp;$B52&amp;$C52&amp;$D52&amp;$E52&amp;$F52,".","_"),"(","_"),")","")</f>
        <v>dpa601_5</v>
      </c>
      <c r="AM52" s="1352" t="str">
        <f>M52</f>
        <v>13 Max</v>
      </c>
      <c r="AX52" s="65" t="str">
        <f>'Overview (Design)'!A54</f>
        <v>Attic Type:</v>
      </c>
      <c r="AY52" s="66" t="str">
        <f>'Overview (Design)'!G54</f>
        <v>Vented</v>
      </c>
    </row>
    <row r="53" spans="1:51" x14ac:dyDescent="0.2">
      <c r="B53" s="79">
        <v>601.5</v>
      </c>
      <c r="C53" s="23"/>
      <c r="D53" s="23"/>
      <c r="E53" s="23"/>
      <c r="F53" s="691"/>
      <c r="G53" s="23"/>
      <c r="H53" s="691"/>
      <c r="I53" s="130"/>
      <c r="J53" s="129"/>
      <c r="K53" s="97"/>
      <c r="L53" s="1629"/>
      <c r="M53" s="1623"/>
      <c r="N53" s="129"/>
      <c r="O53" s="238"/>
      <c r="P53" s="96"/>
      <c r="Q53" s="96"/>
      <c r="R53" s="96"/>
      <c r="S53" s="96"/>
      <c r="T53" s="96"/>
      <c r="U53" s="96"/>
      <c r="V53" s="96"/>
      <c r="W53" s="96"/>
      <c r="X53" s="114"/>
      <c r="Z53"/>
      <c r="AB53"/>
      <c r="AC53"/>
      <c r="AD53"/>
      <c r="AE53"/>
      <c r="AF53"/>
      <c r="AG53"/>
      <c r="AH53"/>
      <c r="AI53"/>
      <c r="AJ53"/>
      <c r="AK53"/>
      <c r="AX53" s="65" t="str">
        <f>'Overview (Design)'!A55</f>
        <v>Attached Garage:</v>
      </c>
      <c r="AY53" s="66" t="str">
        <f>'Overview (Design)'!G55</f>
        <v>No</v>
      </c>
    </row>
    <row r="54" spans="1:51" x14ac:dyDescent="0.2">
      <c r="B54" s="79">
        <v>601.5</v>
      </c>
      <c r="C54" s="23"/>
      <c r="D54" s="23"/>
      <c r="E54" s="23"/>
      <c r="F54" s="691"/>
      <c r="G54" s="23"/>
      <c r="H54" s="691"/>
      <c r="I54" s="130"/>
      <c r="J54" s="129"/>
      <c r="K54" s="97"/>
      <c r="L54" s="1629"/>
      <c r="M54" s="1623"/>
      <c r="N54" s="129"/>
      <c r="O54" s="238"/>
      <c r="P54" s="96"/>
      <c r="Q54" s="96"/>
      <c r="R54" s="96"/>
      <c r="S54" s="96"/>
      <c r="T54" s="96"/>
      <c r="U54" s="96"/>
      <c r="V54" s="96"/>
      <c r="W54" s="96"/>
      <c r="X54" s="114"/>
      <c r="Z54"/>
      <c r="AB54"/>
      <c r="AC54"/>
      <c r="AD54"/>
      <c r="AE54"/>
      <c r="AF54"/>
      <c r="AG54"/>
      <c r="AH54"/>
      <c r="AI54"/>
      <c r="AJ54"/>
      <c r="AK54"/>
      <c r="AX54" s="65" t="str">
        <f>'Overview (Design)'!A56</f>
        <v>Recessed Lighting:</v>
      </c>
      <c r="AY54" s="66">
        <f>'Overview (Design)'!G56</f>
        <v>0</v>
      </c>
    </row>
    <row r="55" spans="1:51" s="746" customFormat="1" x14ac:dyDescent="0.2">
      <c r="A55" s="20"/>
      <c r="B55" s="79">
        <v>601.5</v>
      </c>
      <c r="C55" s="23"/>
      <c r="D55" s="23"/>
      <c r="E55" s="23"/>
      <c r="F55" s="691"/>
      <c r="G55" s="23"/>
      <c r="H55" s="691"/>
      <c r="I55" s="130"/>
      <c r="J55" s="129"/>
      <c r="K55" s="97"/>
      <c r="L55" s="1705" t="s">
        <v>3816</v>
      </c>
      <c r="M55" s="747"/>
      <c r="N55" s="129"/>
      <c r="O55" s="749"/>
      <c r="P55" s="96"/>
      <c r="Q55" s="96"/>
      <c r="R55" s="96"/>
      <c r="S55" s="96"/>
      <c r="T55" s="96"/>
      <c r="U55" s="96"/>
      <c r="V55" s="96"/>
      <c r="W55" s="96"/>
      <c r="X55" s="114"/>
      <c r="AL55" s="66"/>
      <c r="AM55" s="66"/>
      <c r="AN55" s="66"/>
      <c r="AO55" s="66"/>
      <c r="AP55" s="66"/>
      <c r="AQ55" s="66"/>
      <c r="AR55" s="66"/>
      <c r="AS55" s="66"/>
      <c r="AX55" s="65"/>
      <c r="AY55" s="66"/>
    </row>
    <row r="56" spans="1:51" s="746" customFormat="1" x14ac:dyDescent="0.2">
      <c r="A56" s="20"/>
      <c r="B56" s="79">
        <v>601.5</v>
      </c>
      <c r="C56" s="23"/>
      <c r="D56" s="23"/>
      <c r="E56" s="23"/>
      <c r="F56" s="691"/>
      <c r="G56" s="23"/>
      <c r="H56" s="691"/>
      <c r="I56" s="130"/>
      <c r="J56" s="129"/>
      <c r="K56" s="97"/>
      <c r="L56" s="1705"/>
      <c r="M56" s="747"/>
      <c r="N56" s="129"/>
      <c r="O56" s="749"/>
      <c r="P56" s="96"/>
      <c r="Q56" s="96"/>
      <c r="R56" s="96"/>
      <c r="S56" s="96"/>
      <c r="T56" s="96"/>
      <c r="U56" s="96"/>
      <c r="V56" s="96"/>
      <c r="W56" s="96"/>
      <c r="X56" s="114"/>
      <c r="AL56" s="66"/>
      <c r="AM56" s="66"/>
      <c r="AN56" s="66"/>
      <c r="AO56" s="66"/>
      <c r="AP56" s="66"/>
      <c r="AQ56" s="66"/>
      <c r="AR56" s="66"/>
      <c r="AS56" s="66"/>
      <c r="AX56" s="65" t="str">
        <f>'Overview (Design)'!A58</f>
        <v>Special Design Features:</v>
      </c>
      <c r="AY56" s="66">
        <f>'Overview (Design)'!G58</f>
        <v>0</v>
      </c>
    </row>
    <row r="57" spans="1:51" x14ac:dyDescent="0.2">
      <c r="B57" s="79">
        <v>601.5</v>
      </c>
      <c r="C57" s="23" t="s">
        <v>254</v>
      </c>
      <c r="D57" s="23"/>
      <c r="E57" s="23"/>
      <c r="F57" s="691"/>
      <c r="G57" s="23"/>
      <c r="H57" s="691"/>
      <c r="I57" s="67"/>
      <c r="J57" s="207" t="s">
        <v>254</v>
      </c>
      <c r="K57" s="170"/>
      <c r="L57" s="296" t="s">
        <v>459</v>
      </c>
      <c r="M57" s="373">
        <v>4</v>
      </c>
      <c r="N57" s="213"/>
      <c r="O57" s="422">
        <f>M57*S57*W57</f>
        <v>0</v>
      </c>
      <c r="P57" s="332" t="b">
        <v>1</v>
      </c>
      <c r="Q57" s="332" t="b">
        <v>0</v>
      </c>
      <c r="R57" s="126" t="b">
        <v>0</v>
      </c>
      <c r="S57" s="722" t="b">
        <f>NOT(W60=TRUE)</f>
        <v>1</v>
      </c>
      <c r="T57" s="96" t="b">
        <f>AND(NOT(S57),W57=TRUE)</f>
        <v>0</v>
      </c>
      <c r="U57"/>
      <c r="V57"/>
      <c r="W57" s="27"/>
      <c r="X57" s="156"/>
      <c r="Z57"/>
      <c r="AB57"/>
      <c r="AC57" s="126" t="b">
        <f>OR(AD57:AE57)</f>
        <v>0</v>
      </c>
      <c r="AD57" s="126" t="b">
        <f>T57</f>
        <v>0</v>
      </c>
      <c r="AE57" s="126" t="b">
        <v>0</v>
      </c>
      <c r="AF57"/>
      <c r="AG57"/>
      <c r="AH57"/>
      <c r="AI57"/>
      <c r="AJ57"/>
      <c r="AK57"/>
      <c r="AL57" s="1352" t="str">
        <f>SUBSTITUTE(SUBSTITUTE(SUBSTITUTE("dpa"&amp;$B57&amp;$C57&amp;$D57&amp;$E57&amp;$F57,".","_"),"(","_"),")","")</f>
        <v>dpa601_5_1</v>
      </c>
      <c r="AM57" s="1352">
        <f>M57</f>
        <v>4</v>
      </c>
      <c r="AN57" s="1352" t="str">
        <f>SUBSTITUTE(SUBSTITUTE(SUBSTITUTE("dpc"&amp;$B57&amp;$C57&amp;$D57&amp;$E57&amp;$F57,".","_"),"(","_"),")","")</f>
        <v>dpc601_5_1</v>
      </c>
      <c r="AO57" s="1352">
        <f>O57</f>
        <v>0</v>
      </c>
      <c r="AP57" s="1352" t="str">
        <f>SUBSTITUTE(SUBSTITUTE(SUBSTITUTE("dch"&amp;$B57&amp;$C57&amp;$D57&amp;$E57&amp;$F57,".","_"),"(","_"),")","")</f>
        <v>dch601_5_1</v>
      </c>
      <c r="AQ57" s="1352" t="str">
        <f>IF(LEN(W57)=0,"",W57)</f>
        <v/>
      </c>
      <c r="AR57" s="1352" t="str">
        <f>SUBSTITUTE(SUBSTITUTE(SUBSTITUTE("dnt"&amp;$B57&amp;$C57&amp;$D57&amp;$E57&amp;$F57,".","_"),"(","_"),")","")</f>
        <v>dnt601_5_1</v>
      </c>
      <c r="AS57" s="1352" t="str">
        <f>IF(LEN(X57)=0,"",X57)</f>
        <v/>
      </c>
      <c r="AX57" s="65" t="str">
        <f>'Overview (Design)'!A59</f>
        <v>Passive Solar:</v>
      </c>
      <c r="AY57" s="66">
        <f>'Overview (Design)'!G59</f>
        <v>0</v>
      </c>
    </row>
    <row r="58" spans="1:51" x14ac:dyDescent="0.2">
      <c r="B58" s="79">
        <v>601.5</v>
      </c>
      <c r="C58" s="23" t="s">
        <v>255</v>
      </c>
      <c r="D58" s="23"/>
      <c r="E58" s="23"/>
      <c r="F58" s="691"/>
      <c r="G58" s="23"/>
      <c r="H58" s="691"/>
      <c r="I58" s="67"/>
      <c r="J58" s="209" t="s">
        <v>255</v>
      </c>
      <c r="K58" s="210"/>
      <c r="L58" s="311" t="s">
        <v>460</v>
      </c>
      <c r="M58" s="379">
        <v>4</v>
      </c>
      <c r="N58" s="242"/>
      <c r="O58" s="378">
        <f>M58*S58*W58</f>
        <v>0</v>
      </c>
      <c r="P58" s="332" t="b">
        <v>1</v>
      </c>
      <c r="Q58" s="332" t="b">
        <v>0</v>
      </c>
      <c r="R58" s="126" t="b">
        <v>0</v>
      </c>
      <c r="S58" s="722" t="b">
        <f>NOT(W60=TRUE)</f>
        <v>1</v>
      </c>
      <c r="T58" s="96" t="b">
        <f>AND(NOT(S58),W58=TRUE)</f>
        <v>0</v>
      </c>
      <c r="U58"/>
      <c r="V58"/>
      <c r="W58" s="27"/>
      <c r="X58" s="156"/>
      <c r="Z58"/>
      <c r="AB58"/>
      <c r="AC58" s="126" t="b">
        <f>OR(AD58:AE58)</f>
        <v>0</v>
      </c>
      <c r="AD58" s="126" t="b">
        <f>T58</f>
        <v>0</v>
      </c>
      <c r="AE58" s="126" t="b">
        <v>0</v>
      </c>
      <c r="AF58"/>
      <c r="AG58"/>
      <c r="AH58"/>
      <c r="AI58"/>
      <c r="AJ58"/>
      <c r="AK58"/>
      <c r="AL58" s="1352" t="str">
        <f>SUBSTITUTE(SUBSTITUTE(SUBSTITUTE("dpa"&amp;$B58&amp;$C58&amp;$D58&amp;$E58&amp;$F58,".","_"),"(","_"),")","")</f>
        <v>dpa601_5_2</v>
      </c>
      <c r="AM58" s="1352">
        <f>M58</f>
        <v>4</v>
      </c>
      <c r="AN58" s="1352" t="str">
        <f>SUBSTITUTE(SUBSTITUTE(SUBSTITUTE("dpc"&amp;$B58&amp;$C58&amp;$D58&amp;$E58&amp;$F58,".","_"),"(","_"),")","")</f>
        <v>dpc601_5_2</v>
      </c>
      <c r="AO58" s="1352">
        <f>O58</f>
        <v>0</v>
      </c>
      <c r="AP58" s="1352" t="str">
        <f>SUBSTITUTE(SUBSTITUTE(SUBSTITUTE("dch"&amp;$B58&amp;$C58&amp;$D58&amp;$E58&amp;$F58,".","_"),"(","_"),")","")</f>
        <v>dch601_5_2</v>
      </c>
      <c r="AQ58" s="1352" t="str">
        <f>IF(LEN(W58)=0,"",W58)</f>
        <v/>
      </c>
      <c r="AR58" s="1352" t="str">
        <f>SUBSTITUTE(SUBSTITUTE(SUBSTITUTE("dnt"&amp;$B58&amp;$C58&amp;$D58&amp;$E58&amp;$F58,".","_"),"(","_"),")","")</f>
        <v>dnt601_5_2</v>
      </c>
      <c r="AS58" s="1352" t="str">
        <f>IF(LEN(X58)=0,"",X58)</f>
        <v/>
      </c>
      <c r="AX58" s="65" t="str">
        <f>'Overview (Design)'!A60</f>
        <v>Mass Walls:</v>
      </c>
      <c r="AY58" s="66">
        <f>'Overview (Design)'!G60</f>
        <v>0</v>
      </c>
    </row>
    <row r="59" spans="1:51" x14ac:dyDescent="0.2">
      <c r="B59" s="79">
        <v>601.5</v>
      </c>
      <c r="C59" s="23" t="s">
        <v>256</v>
      </c>
      <c r="D59" s="23"/>
      <c r="E59" s="23"/>
      <c r="F59" s="691"/>
      <c r="G59" s="23"/>
      <c r="H59" s="691"/>
      <c r="I59" s="67"/>
      <c r="J59" s="209" t="s">
        <v>256</v>
      </c>
      <c r="K59" s="210"/>
      <c r="L59" s="311" t="s">
        <v>461</v>
      </c>
      <c r="M59" s="379">
        <v>4</v>
      </c>
      <c r="N59" s="242"/>
      <c r="O59" s="378">
        <f>M59*S59*W59</f>
        <v>0</v>
      </c>
      <c r="P59" s="332" t="b">
        <v>1</v>
      </c>
      <c r="Q59" s="332" t="b">
        <v>0</v>
      </c>
      <c r="R59" s="126" t="b">
        <v>0</v>
      </c>
      <c r="S59" s="722" t="b">
        <f>NOT(W60=TRUE)</f>
        <v>1</v>
      </c>
      <c r="T59" s="96" t="b">
        <f>AND(NOT(S59),W59=TRUE)</f>
        <v>0</v>
      </c>
      <c r="U59"/>
      <c r="V59"/>
      <c r="W59" s="27"/>
      <c r="X59" s="156"/>
      <c r="Z59"/>
      <c r="AB59"/>
      <c r="AC59" s="126" t="b">
        <f>OR(AD59:AE59)</f>
        <v>0</v>
      </c>
      <c r="AD59" s="126" t="b">
        <f>T59</f>
        <v>0</v>
      </c>
      <c r="AE59" s="126" t="b">
        <v>0</v>
      </c>
      <c r="AF59"/>
      <c r="AG59"/>
      <c r="AH59"/>
      <c r="AI59"/>
      <c r="AJ59"/>
      <c r="AK59"/>
      <c r="AL59" s="1352" t="str">
        <f>SUBSTITUTE(SUBSTITUTE(SUBSTITUTE("dpa"&amp;$B59&amp;$C59&amp;$D59&amp;$E59&amp;$F59,".","_"),"(","_"),")","")</f>
        <v>dpa601_5_3</v>
      </c>
      <c r="AM59" s="1352">
        <f>M59</f>
        <v>4</v>
      </c>
      <c r="AN59" s="1352" t="str">
        <f>SUBSTITUTE(SUBSTITUTE(SUBSTITUTE("dpc"&amp;$B59&amp;$C59&amp;$D59&amp;$E59&amp;$F59,".","_"),"(","_"),")","")</f>
        <v>dpc601_5_3</v>
      </c>
      <c r="AO59" s="1352">
        <f>O59</f>
        <v>0</v>
      </c>
      <c r="AP59" s="1352" t="str">
        <f>SUBSTITUTE(SUBSTITUTE(SUBSTITUTE("dch"&amp;$B59&amp;$C59&amp;$D59&amp;$E59&amp;$F59,".","_"),"(","_"),")","")</f>
        <v>dch601_5_3</v>
      </c>
      <c r="AQ59" s="1352" t="str">
        <f>IF(LEN(W59)=0,"",W59)</f>
        <v/>
      </c>
      <c r="AR59" s="1352" t="str">
        <f>SUBSTITUTE(SUBSTITUTE(SUBSTITUTE("dnt"&amp;$B59&amp;$C59&amp;$D59&amp;$E59&amp;$F59,".","_"),"(","_"),")","")</f>
        <v>dnt601_5_3</v>
      </c>
      <c r="AS59" s="1352" t="str">
        <f>IF(LEN(X59)=0,"",X59)</f>
        <v/>
      </c>
      <c r="AX59" s="65" t="e">
        <f>'Overview (Design)'!#REF!</f>
        <v>#REF!</v>
      </c>
      <c r="AY59" s="66" t="e">
        <f>'Overview (Design)'!#REF!</f>
        <v>#REF!</v>
      </c>
    </row>
    <row r="60" spans="1:51" ht="16" thickBot="1" x14ac:dyDescent="0.25">
      <c r="B60" s="79">
        <v>601.5</v>
      </c>
      <c r="C60" s="23" t="s">
        <v>259</v>
      </c>
      <c r="D60" s="23"/>
      <c r="E60" s="23"/>
      <c r="F60" s="691"/>
      <c r="G60" s="23"/>
      <c r="H60" s="691"/>
      <c r="I60" s="67"/>
      <c r="J60" s="209" t="s">
        <v>259</v>
      </c>
      <c r="K60" s="210"/>
      <c r="L60" s="311" t="s">
        <v>3800</v>
      </c>
      <c r="M60" s="379">
        <v>13</v>
      </c>
      <c r="N60" s="242"/>
      <c r="O60" s="378">
        <f>M60*S60*W60</f>
        <v>0</v>
      </c>
      <c r="P60" s="332" t="b">
        <v>1</v>
      </c>
      <c r="Q60" s="332" t="b">
        <v>0</v>
      </c>
      <c r="R60" s="126" t="b">
        <v>0</v>
      </c>
      <c r="S60" s="722" t="b">
        <f>NOT(OR(W57=TRUE,W58=TRUE,W59=TRUE))</f>
        <v>1</v>
      </c>
      <c r="T60" s="96" t="b">
        <f>AND(NOT(S60),W60=TRUE)</f>
        <v>0</v>
      </c>
      <c r="U60"/>
      <c r="V60"/>
      <c r="W60" s="27"/>
      <c r="X60" s="156"/>
      <c r="Z60"/>
      <c r="AB60"/>
      <c r="AC60" s="126" t="b">
        <f>OR(AD60:AE60)</f>
        <v>0</v>
      </c>
      <c r="AD60" s="126" t="b">
        <f>T60</f>
        <v>0</v>
      </c>
      <c r="AE60" s="126" t="b">
        <v>0</v>
      </c>
      <c r="AF60"/>
      <c r="AG60"/>
      <c r="AH60"/>
      <c r="AI60"/>
      <c r="AJ60"/>
      <c r="AK60"/>
      <c r="AL60" s="1352" t="str">
        <f>SUBSTITUTE(SUBSTITUTE(SUBSTITUTE("dpa"&amp;$B60&amp;$C60&amp;$D60&amp;$E60&amp;$F60,".","_"),"(","_"),")","")</f>
        <v>dpa601_5_4</v>
      </c>
      <c r="AM60" s="1352">
        <f>M60</f>
        <v>13</v>
      </c>
      <c r="AN60" s="1352" t="str">
        <f>SUBSTITUTE(SUBSTITUTE(SUBSTITUTE("dpc"&amp;$B60&amp;$C60&amp;$D60&amp;$E60&amp;$F60,".","_"),"(","_"),")","")</f>
        <v>dpc601_5_4</v>
      </c>
      <c r="AO60" s="1352">
        <f>O60</f>
        <v>0</v>
      </c>
      <c r="AP60" s="1352" t="str">
        <f>SUBSTITUTE(SUBSTITUTE(SUBSTITUTE("dch"&amp;$B60&amp;$C60&amp;$D60&amp;$E60&amp;$F60,".","_"),"(","_"),")","")</f>
        <v>dch601_5_4</v>
      </c>
      <c r="AQ60" s="1352" t="str">
        <f>IF(LEN(W60)=0,"",W60)</f>
        <v/>
      </c>
      <c r="AR60" s="1352" t="str">
        <f>SUBSTITUTE(SUBSTITUTE(SUBSTITUTE("dnt"&amp;$B60&amp;$C60&amp;$D60&amp;$E60&amp;$F60,".","_"),"(","_"),")","")</f>
        <v>dnt601_5_4</v>
      </c>
      <c r="AS60" s="1352" t="str">
        <f>IF(LEN(X60)=0,"",X60)</f>
        <v/>
      </c>
      <c r="AX60" s="65" t="str">
        <f>'Overview (Design)'!A61</f>
        <v>Radiant/Hydronic:</v>
      </c>
      <c r="AY60" s="66">
        <f>'Overview (Design)'!G61</f>
        <v>0</v>
      </c>
    </row>
    <row r="61" spans="1:51" ht="16" thickTop="1" x14ac:dyDescent="0.2">
      <c r="B61" s="79">
        <v>601.6</v>
      </c>
      <c r="C61" s="23"/>
      <c r="D61" s="23"/>
      <c r="E61" s="23"/>
      <c r="F61" s="691"/>
      <c r="G61" s="23"/>
      <c r="H61" s="691"/>
      <c r="I61" s="177" t="s">
        <v>3526</v>
      </c>
      <c r="J61" s="178"/>
      <c r="K61" s="179"/>
      <c r="L61" s="1683" t="s">
        <v>3634</v>
      </c>
      <c r="M61" s="1685" t="s">
        <v>462</v>
      </c>
      <c r="N61" s="178"/>
      <c r="O61" s="1682">
        <f ca="1">IFERROR(INDEX({4,6,8},MATCH(W62,INDIRECT(U62),0)),0)</f>
        <v>4</v>
      </c>
      <c r="P61" s="106"/>
      <c r="Q61" s="106"/>
      <c r="R61" s="106"/>
      <c r="S61" s="106"/>
      <c r="T61" s="106"/>
      <c r="U61" s="106"/>
      <c r="V61" s="106"/>
      <c r="W61" s="106" t="s">
        <v>5022</v>
      </c>
      <c r="X61" s="1603"/>
      <c r="Z61"/>
      <c r="AB61"/>
      <c r="AC61"/>
      <c r="AD61"/>
      <c r="AE61"/>
      <c r="AF61"/>
      <c r="AG61"/>
      <c r="AH61"/>
      <c r="AI61"/>
      <c r="AJ61"/>
      <c r="AK61"/>
      <c r="AL61" s="1352" t="str">
        <f>SUBSTITUTE(SUBSTITUTE(SUBSTITUTE("dpa"&amp;$B61&amp;$C61&amp;$D61&amp;$E61&amp;$F61,".","_"),"(","_"),")","")</f>
        <v>dpa601_6</v>
      </c>
      <c r="AM61" s="1352" t="str">
        <f>M61</f>
        <v>8 Max</v>
      </c>
      <c r="AN61" s="1352" t="str">
        <f>SUBSTITUTE(SUBSTITUTE(SUBSTITUTE("dpc"&amp;$B61&amp;$C61&amp;$D61&amp;$E61&amp;$F61,".","_"),"(","_"),")","")</f>
        <v>dpc601_6</v>
      </c>
      <c r="AO61" s="1352">
        <f ca="1">O61</f>
        <v>4</v>
      </c>
      <c r="AR61" s="1352" t="str">
        <f>SUBSTITUTE(SUBSTITUTE(SUBSTITUTE("dnt"&amp;$B61&amp;$C61&amp;$D61&amp;$E61&amp;$F61,".","_"),"(","_"),")","")</f>
        <v>dnt601_6</v>
      </c>
      <c r="AS61" s="1352" t="str">
        <f>IF(LEN(X61)=0,"",X61)</f>
        <v/>
      </c>
      <c r="AX61" s="65" t="str">
        <f>'Overview (Design)'!A62</f>
        <v>Tankless Water Heater:</v>
      </c>
      <c r="AY61" s="66">
        <f>'Overview (Design)'!G62</f>
        <v>0</v>
      </c>
    </row>
    <row r="62" spans="1:51" x14ac:dyDescent="0.2">
      <c r="B62" s="79">
        <v>601.6</v>
      </c>
      <c r="C62" s="23"/>
      <c r="D62" s="23"/>
      <c r="E62" s="23"/>
      <c r="F62" s="691"/>
      <c r="G62" s="23"/>
      <c r="H62" s="691"/>
      <c r="I62" s="130"/>
      <c r="J62" s="129"/>
      <c r="K62" s="97"/>
      <c r="L62" s="1629"/>
      <c r="M62" s="1623"/>
      <c r="N62" s="129"/>
      <c r="O62" s="1619"/>
      <c r="P62" s="332" t="b">
        <v>1</v>
      </c>
      <c r="Q62" s="332" t="b">
        <v>0</v>
      </c>
      <c r="R62" s="96" t="b">
        <v>0</v>
      </c>
      <c r="S62" s="96" t="b">
        <v>1</v>
      </c>
      <c r="T62" s="96" t="b">
        <v>0</v>
      </c>
      <c r="U62" s="96" t="str">
        <f>SUBSTITUTE(SUBSTITUTE(SUBSTITUTE("dd"&amp;B62&amp;C62&amp;D62&amp;E62&amp;F62,".","_"),"(","_"),")","")</f>
        <v>dd601_6</v>
      </c>
      <c r="V62" s="96"/>
      <c r="W62" s="1204" t="str">
        <f ca="1">IFERROR(INDEX(INDIRECT(U62),MIN(S64-1,3)),"no stacked stories")</f>
        <v>2 story bldg.</v>
      </c>
      <c r="X62" s="1601"/>
      <c r="Z62"/>
      <c r="AB62"/>
      <c r="AC62"/>
      <c r="AD62"/>
      <c r="AE62"/>
      <c r="AF62"/>
      <c r="AG62"/>
      <c r="AH62"/>
      <c r="AI62"/>
      <c r="AJ62"/>
      <c r="AK62"/>
      <c r="AP62" s="1352" t="str">
        <f>SUBSTITUTE(SUBSTITUTE(SUBSTITUTE("dch"&amp;$B62&amp;$C62&amp;$D62&amp;$E62&amp;$F62,".","_"),"(","_"),")","")</f>
        <v>dch601_6</v>
      </c>
      <c r="AQ62" s="1352" t="str">
        <f ca="1">IF(LEN(W62)=0,"",W62)</f>
        <v>2 story bldg.</v>
      </c>
      <c r="AX62" s="65" t="str">
        <f>'Overview (Design)'!A63</f>
        <v>Composting Toilet:</v>
      </c>
      <c r="AY62" s="66">
        <f>'Overview (Design)'!G63</f>
        <v>0</v>
      </c>
    </row>
    <row r="63" spans="1:51" x14ac:dyDescent="0.2">
      <c r="B63" s="79">
        <v>601.6</v>
      </c>
      <c r="C63" s="23"/>
      <c r="D63" s="23"/>
      <c r="E63" s="23"/>
      <c r="F63" s="691"/>
      <c r="G63" s="23"/>
      <c r="H63" s="691"/>
      <c r="I63" s="130"/>
      <c r="J63" s="129"/>
      <c r="K63" s="97"/>
      <c r="L63" s="1629"/>
      <c r="M63" s="1623"/>
      <c r="N63" s="129"/>
      <c r="O63" s="1619"/>
      <c r="P63" s="96"/>
      <c r="Q63" s="96"/>
      <c r="R63" s="96"/>
      <c r="S63" s="1" t="s">
        <v>5021</v>
      </c>
      <c r="T63" s="96"/>
      <c r="U63" s="96"/>
      <c r="V63" s="96"/>
      <c r="W63" s="96"/>
      <c r="X63" s="1601"/>
      <c r="Z63"/>
      <c r="AB63"/>
      <c r="AC63"/>
      <c r="AD63"/>
      <c r="AE63"/>
      <c r="AF63"/>
      <c r="AG63"/>
      <c r="AH63"/>
      <c r="AI63"/>
      <c r="AJ63"/>
      <c r="AK63"/>
      <c r="AX63" s="65"/>
    </row>
    <row r="64" spans="1:51" x14ac:dyDescent="0.2">
      <c r="B64" s="79">
        <v>601.6</v>
      </c>
      <c r="C64" s="23" t="s">
        <v>254</v>
      </c>
      <c r="D64" s="23"/>
      <c r="E64" s="23"/>
      <c r="F64" s="691"/>
      <c r="G64" s="23"/>
      <c r="H64" s="691"/>
      <c r="I64" s="130"/>
      <c r="J64" s="207" t="s">
        <v>254</v>
      </c>
      <c r="K64" s="170"/>
      <c r="L64" s="296" t="s">
        <v>463</v>
      </c>
      <c r="M64" s="373">
        <v>4</v>
      </c>
      <c r="N64" s="129"/>
      <c r="O64" s="238"/>
      <c r="P64" s="96"/>
      <c r="Q64" s="96"/>
      <c r="R64" s="96"/>
      <c r="S64" s="1">
        <f>AY25</f>
        <v>2</v>
      </c>
      <c r="T64" s="96"/>
      <c r="U64" s="96"/>
      <c r="V64" s="96"/>
      <c r="W64" s="96"/>
      <c r="X64" s="1601"/>
      <c r="Z64"/>
      <c r="AB64"/>
      <c r="AC64"/>
      <c r="AD64"/>
      <c r="AE64"/>
      <c r="AF64"/>
      <c r="AG64"/>
      <c r="AH64"/>
      <c r="AI64"/>
      <c r="AJ64"/>
      <c r="AK64"/>
      <c r="AL64" s="1352" t="str">
        <f>SUBSTITUTE(SUBSTITUTE(SUBSTITUTE("dpa"&amp;$B64&amp;$C64&amp;$D64&amp;$E64&amp;$F64,".","_"),"(","_"),")","")</f>
        <v>dpa601_6_1</v>
      </c>
      <c r="AM64" s="1352">
        <f>M64</f>
        <v>4</v>
      </c>
      <c r="AX64" s="65" t="str">
        <f>'Overview (Design)'!A65</f>
        <v>Local Energy Code:</v>
      </c>
      <c r="AY64" s="66" t="str">
        <f>'Overview (Design)'!G65</f>
        <v>2015 IECC</v>
      </c>
    </row>
    <row r="65" spans="1:52" ht="16" thickBot="1" x14ac:dyDescent="0.25">
      <c r="B65" s="79">
        <v>601.6</v>
      </c>
      <c r="C65" s="23" t="s">
        <v>255</v>
      </c>
      <c r="D65" s="23"/>
      <c r="E65" s="23"/>
      <c r="F65" s="691"/>
      <c r="G65" s="23"/>
      <c r="H65" s="691"/>
      <c r="I65" s="130"/>
      <c r="J65" s="180" t="s">
        <v>255</v>
      </c>
      <c r="K65" s="97"/>
      <c r="L65" s="295" t="s">
        <v>464</v>
      </c>
      <c r="M65" s="371">
        <v>2</v>
      </c>
      <c r="N65" s="129"/>
      <c r="O65" s="238"/>
      <c r="P65" s="96"/>
      <c r="Q65" s="96"/>
      <c r="R65" s="96"/>
      <c r="S65" s="96"/>
      <c r="T65" s="96"/>
      <c r="U65" s="96"/>
      <c r="V65" s="96"/>
      <c r="W65" s="96"/>
      <c r="X65" s="1621"/>
      <c r="Z65"/>
      <c r="AB65"/>
      <c r="AC65"/>
      <c r="AD65"/>
      <c r="AE65"/>
      <c r="AF65"/>
      <c r="AG65"/>
      <c r="AH65"/>
      <c r="AI65"/>
      <c r="AJ65"/>
      <c r="AK65"/>
      <c r="AL65" s="1352" t="str">
        <f>SUBSTITUTE(SUBSTITUTE(SUBSTITUTE("dpa"&amp;$B65&amp;$C65&amp;$D65&amp;$E65&amp;$F65,".","_"),"(","_"),")","")</f>
        <v>dpa601_6_2</v>
      </c>
      <c r="AM65" s="1352">
        <f>M65</f>
        <v>2</v>
      </c>
      <c r="AX65" s="65" t="str">
        <f>'Overview (Design)'!A66</f>
        <v>Local Building Code:</v>
      </c>
      <c r="AY65" s="66" t="str">
        <f>'Overview (Design)'!G66</f>
        <v>2018 IBC</v>
      </c>
    </row>
    <row r="66" spans="1:52" ht="16" thickTop="1" x14ac:dyDescent="0.2">
      <c r="B66" s="79">
        <v>601.70000000000005</v>
      </c>
      <c r="C66" s="23"/>
      <c r="D66" s="23"/>
      <c r="E66" s="23"/>
      <c r="F66" s="691"/>
      <c r="G66" s="23"/>
      <c r="H66" s="691"/>
      <c r="I66" s="177" t="s">
        <v>3527</v>
      </c>
      <c r="J66" s="178"/>
      <c r="K66" s="179"/>
      <c r="L66" s="1683" t="s">
        <v>3633</v>
      </c>
      <c r="M66" s="1685" t="s">
        <v>465</v>
      </c>
      <c r="N66" s="178"/>
      <c r="O66" s="1682">
        <f ca="1">MIN(12,IFERROR(INDEX({1,2,5},MATCH(W69,INDIRECT(U69),0)),0)+IFERROR(INDEX({1,2,5},MATCH(W70,INDIRECT(U70),0)),0)+IFERROR(INDEX({1,2,5},MATCH(W71,INDIRECT(U71),0)),0)+IFERROR(INDEX({1,2,5},MATCH(W75,INDIRECT(U75),0)),0)+IFERROR(INDEX({1,2,5},MATCH(W77,INDIRECT(U77),0)),0))</f>
        <v>7</v>
      </c>
      <c r="P66" s="106"/>
      <c r="Q66" s="106"/>
      <c r="R66" s="106"/>
      <c r="S66" s="106"/>
      <c r="T66" s="106"/>
      <c r="U66" s="106"/>
      <c r="V66" s="106"/>
      <c r="W66" s="106"/>
      <c r="X66" s="1670" t="s">
        <v>5651</v>
      </c>
      <c r="Z66"/>
      <c r="AB66"/>
      <c r="AC66"/>
      <c r="AD66"/>
      <c r="AE66"/>
      <c r="AF66"/>
      <c r="AG66"/>
      <c r="AH66"/>
      <c r="AI66"/>
      <c r="AJ66"/>
      <c r="AK66"/>
      <c r="AL66" s="1352" t="str">
        <f>SUBSTITUTE(SUBSTITUTE(SUBSTITUTE("dpa"&amp;$B66&amp;$C66&amp;$D66&amp;$E66&amp;$F66,".","_"),"(","_"),")","")</f>
        <v>dpa601_7</v>
      </c>
      <c r="AM66" s="1352" t="str">
        <f>M66</f>
        <v>12 Max</v>
      </c>
      <c r="AN66" s="1352" t="str">
        <f>SUBSTITUTE(SUBSTITUTE(SUBSTITUTE("dpc"&amp;$B66&amp;$C66&amp;$D66&amp;$E66&amp;$F66,".","_"),"(","_"),")","")</f>
        <v>dpc601_7</v>
      </c>
      <c r="AO66" s="1352">
        <f ca="1">O66</f>
        <v>7</v>
      </c>
      <c r="AR66" s="1352" t="str">
        <f>SUBSTITUTE(SUBSTITUTE(SUBSTITUTE("dnt"&amp;$B66&amp;$C66&amp;$D66&amp;$E66&amp;$F66,".","_"),"(","_"),")","")</f>
        <v>dnt601_7</v>
      </c>
      <c r="AS66" s="1352" t="str">
        <f>IF(LEN(X66)=0,"",X66)</f>
        <v>pre finished vinyl windows, LVT flooring on 50% of floor area</v>
      </c>
    </row>
    <row r="67" spans="1:52" x14ac:dyDescent="0.2">
      <c r="B67" s="79">
        <v>601.70000000000005</v>
      </c>
      <c r="C67" s="23"/>
      <c r="D67" s="23"/>
      <c r="E67" s="23"/>
      <c r="F67" s="691"/>
      <c r="G67" s="23"/>
      <c r="H67" s="691"/>
      <c r="I67" s="130"/>
      <c r="J67" s="129"/>
      <c r="K67" s="97"/>
      <c r="L67" s="1629"/>
      <c r="M67" s="1623"/>
      <c r="N67" s="129"/>
      <c r="O67" s="1619"/>
      <c r="P67" s="96"/>
      <c r="Q67" s="96"/>
      <c r="R67" s="96"/>
      <c r="S67" s="96"/>
      <c r="T67" s="96"/>
      <c r="U67" s="96"/>
      <c r="V67" s="96"/>
      <c r="W67" s="96"/>
      <c r="X67" s="1632"/>
      <c r="Z67"/>
      <c r="AB67"/>
      <c r="AC67"/>
      <c r="AD67"/>
      <c r="AE67"/>
      <c r="AF67"/>
      <c r="AG67"/>
      <c r="AH67"/>
      <c r="AI67"/>
      <c r="AJ67"/>
      <c r="AK67"/>
    </row>
    <row r="68" spans="1:52" x14ac:dyDescent="0.2">
      <c r="B68" s="79">
        <v>601.70000000000005</v>
      </c>
      <c r="C68" s="23"/>
      <c r="D68" s="23"/>
      <c r="E68" s="23"/>
      <c r="F68" s="691"/>
      <c r="G68" s="23"/>
      <c r="H68" s="691"/>
      <c r="I68" s="130"/>
      <c r="J68" s="129"/>
      <c r="K68" s="97"/>
      <c r="L68" s="297" t="s">
        <v>473</v>
      </c>
      <c r="M68" s="371"/>
      <c r="N68" s="129"/>
      <c r="O68" s="238"/>
      <c r="P68" s="96"/>
      <c r="Q68" s="96"/>
      <c r="R68" s="96"/>
      <c r="S68" s="96"/>
      <c r="T68" s="96"/>
      <c r="U68" s="96"/>
      <c r="V68" s="96"/>
      <c r="W68" s="96"/>
      <c r="X68" s="1632"/>
      <c r="Z68" s="131"/>
      <c r="AB68" s="131"/>
      <c r="AC68" s="131"/>
      <c r="AD68" s="131"/>
      <c r="AE68" s="131"/>
      <c r="AF68" s="131"/>
      <c r="AG68" s="131"/>
      <c r="AH68" s="131"/>
      <c r="AI68" s="131"/>
      <c r="AJ68" s="131"/>
      <c r="AK68" s="131"/>
      <c r="AT68" s="131"/>
    </row>
    <row r="69" spans="1:52" s="131" customFormat="1" x14ac:dyDescent="0.2">
      <c r="A69" s="20"/>
      <c r="B69" s="79">
        <v>601.70000000000005</v>
      </c>
      <c r="C69" s="23"/>
      <c r="D69" s="23" t="s">
        <v>121</v>
      </c>
      <c r="E69" s="23"/>
      <c r="F69" s="691"/>
      <c r="G69" s="23"/>
      <c r="H69" s="691"/>
      <c r="I69" s="130"/>
      <c r="J69" s="129"/>
      <c r="K69" s="169" t="s">
        <v>121</v>
      </c>
      <c r="L69" s="296" t="s">
        <v>466</v>
      </c>
      <c r="M69" s="371"/>
      <c r="N69" s="129"/>
      <c r="O69" s="238"/>
      <c r="P69" s="96" t="b">
        <v>1</v>
      </c>
      <c r="Q69" s="96" t="b">
        <v>1</v>
      </c>
      <c r="R69" s="96" t="b">
        <v>0</v>
      </c>
      <c r="S69" s="96" t="b">
        <v>1</v>
      </c>
      <c r="T69" s="96" t="b">
        <v>0</v>
      </c>
      <c r="U69" s="96" t="str">
        <f>SUBSTITUTE(SUBSTITUTE(SUBSTITUTE("dd"&amp;B69&amp;C69&amp;D69&amp;E69&amp;F69,".","_"),"(","_"),")","")</f>
        <v>dd601_7_a</v>
      </c>
      <c r="V69" s="96"/>
      <c r="W69" s="110"/>
      <c r="X69" s="1632"/>
      <c r="Y69" s="704"/>
      <c r="Z69"/>
      <c r="AA69" s="707"/>
      <c r="AB69"/>
      <c r="AC69"/>
      <c r="AD69"/>
      <c r="AE69"/>
      <c r="AF69"/>
      <c r="AG69"/>
      <c r="AH69"/>
      <c r="AI69"/>
      <c r="AJ69"/>
      <c r="AK69"/>
      <c r="AL69" s="66"/>
      <c r="AM69" s="66"/>
      <c r="AN69" s="66"/>
      <c r="AO69" s="66"/>
      <c r="AP69" s="1352" t="str">
        <f>SUBSTITUTE(SUBSTITUTE(SUBSTITUTE("dch"&amp;$B69&amp;$C69&amp;$D69&amp;$E69&amp;$F69,".","_"),"(","_"),")","")</f>
        <v>dch601_7_a</v>
      </c>
      <c r="AQ69" s="1352" t="str">
        <f>IF(LEN(W69)=0,"",W69)</f>
        <v/>
      </c>
      <c r="AR69" s="66"/>
      <c r="AS69" s="66"/>
      <c r="AT69" s="66"/>
      <c r="AX69" s="66"/>
      <c r="AY69" s="66"/>
      <c r="AZ69" s="66"/>
    </row>
    <row r="70" spans="1:52" x14ac:dyDescent="0.2">
      <c r="B70" s="79">
        <v>601.70000000000005</v>
      </c>
      <c r="C70" s="23"/>
      <c r="D70" s="23" t="s">
        <v>122</v>
      </c>
      <c r="E70" s="23"/>
      <c r="F70" s="691"/>
      <c r="G70" s="23"/>
      <c r="H70" s="691"/>
      <c r="I70" s="130"/>
      <c r="J70" s="129"/>
      <c r="K70" s="216" t="s">
        <v>122</v>
      </c>
      <c r="L70" s="311" t="s">
        <v>467</v>
      </c>
      <c r="M70" s="371"/>
      <c r="N70" s="129"/>
      <c r="O70" s="238"/>
      <c r="P70" s="96" t="b">
        <v>1</v>
      </c>
      <c r="Q70" s="96" t="b">
        <v>1</v>
      </c>
      <c r="R70" s="96" t="b">
        <v>0</v>
      </c>
      <c r="S70" s="96" t="b">
        <v>1</v>
      </c>
      <c r="T70" s="96" t="b">
        <v>0</v>
      </c>
      <c r="U70" s="96" t="str">
        <f>SUBSTITUTE(SUBSTITUTE(SUBSTITUTE("dd"&amp;B70&amp;C70&amp;D70&amp;E70&amp;F70,".","_"),"(","_"),")","")</f>
        <v>dd601_7_b</v>
      </c>
      <c r="V70" s="96"/>
      <c r="W70" s="110"/>
      <c r="X70" s="1632"/>
      <c r="Z70"/>
      <c r="AB70"/>
      <c r="AC70"/>
      <c r="AD70"/>
      <c r="AE70"/>
      <c r="AF70"/>
      <c r="AG70"/>
      <c r="AH70"/>
      <c r="AI70"/>
      <c r="AJ70"/>
      <c r="AK70"/>
      <c r="AP70" s="1352" t="str">
        <f>SUBSTITUTE(SUBSTITUTE(SUBSTITUTE("dch"&amp;$B70&amp;$C70&amp;$D70&amp;$E70&amp;$F70,".","_"),"(","_"),")","")</f>
        <v>dch601_7_b</v>
      </c>
      <c r="AQ70" s="1352" t="str">
        <f>IF(LEN(W70)=0,"",W70)</f>
        <v/>
      </c>
    </row>
    <row r="71" spans="1:52" x14ac:dyDescent="0.2">
      <c r="B71" s="79">
        <v>601.70000000000005</v>
      </c>
      <c r="C71" s="23"/>
      <c r="D71" s="28" t="s">
        <v>123</v>
      </c>
      <c r="E71" s="28"/>
      <c r="F71" s="692"/>
      <c r="G71" s="28"/>
      <c r="H71" s="692"/>
      <c r="I71" s="130"/>
      <c r="J71" s="129"/>
      <c r="K71" s="217" t="s">
        <v>123</v>
      </c>
      <c r="L71" s="1720" t="s">
        <v>468</v>
      </c>
      <c r="M71" s="371"/>
      <c r="N71" s="129"/>
      <c r="O71" s="238"/>
      <c r="P71" s="96" t="b">
        <v>1</v>
      </c>
      <c r="Q71" s="96" t="b">
        <v>1</v>
      </c>
      <c r="R71" s="96" t="b">
        <v>0</v>
      </c>
      <c r="S71" s="96" t="b">
        <v>1</v>
      </c>
      <c r="T71" s="96" t="b">
        <v>0</v>
      </c>
      <c r="U71" s="96" t="str">
        <f>SUBSTITUTE(SUBSTITUTE(SUBSTITUTE("dd"&amp;B71&amp;C71&amp;D71&amp;E71&amp;F71,".","_"),"(","_"),")","")</f>
        <v>dd601_7_c</v>
      </c>
      <c r="V71" s="96"/>
      <c r="W71" s="110" t="s">
        <v>2899</v>
      </c>
      <c r="X71" s="1632"/>
      <c r="Z71"/>
      <c r="AB71"/>
      <c r="AC71"/>
      <c r="AD71"/>
      <c r="AE71"/>
      <c r="AF71"/>
      <c r="AG71"/>
      <c r="AH71"/>
      <c r="AI71"/>
      <c r="AJ71"/>
      <c r="AK71"/>
      <c r="AP71" s="1352" t="str">
        <f>SUBSTITUTE(SUBSTITUTE(SUBSTITUTE("dch"&amp;$B71&amp;$C71&amp;$D71&amp;$E71&amp;$F71,".","_"),"(","_"),")","")</f>
        <v>dch601_7_c</v>
      </c>
      <c r="AQ71" s="1352" t="str">
        <f>IF(LEN(W71)=0,"",W71)</f>
        <v>90% or more</v>
      </c>
      <c r="AZ71" s="131"/>
    </row>
    <row r="72" spans="1:52" x14ac:dyDescent="0.2">
      <c r="B72" s="79">
        <v>601.70000000000005</v>
      </c>
      <c r="C72" s="23"/>
      <c r="D72" s="28" t="s">
        <v>123</v>
      </c>
      <c r="E72" s="28"/>
      <c r="F72" s="692"/>
      <c r="G72" s="28"/>
      <c r="H72" s="692"/>
      <c r="I72" s="130"/>
      <c r="J72" s="129"/>
      <c r="K72" s="97"/>
      <c r="L72" s="1721"/>
      <c r="M72" s="371"/>
      <c r="N72" s="129"/>
      <c r="O72" s="238"/>
      <c r="P72" s="96"/>
      <c r="Q72" s="96"/>
      <c r="R72" s="96"/>
      <c r="S72" s="96"/>
      <c r="T72" s="96"/>
      <c r="U72" s="96"/>
      <c r="V72" s="96"/>
      <c r="W72" s="96"/>
      <c r="X72" s="1632"/>
      <c r="Z72"/>
      <c r="AB72"/>
      <c r="AC72"/>
      <c r="AD72"/>
      <c r="AE72"/>
      <c r="AF72"/>
      <c r="AG72"/>
      <c r="AH72"/>
      <c r="AI72"/>
      <c r="AJ72"/>
      <c r="AK72"/>
    </row>
    <row r="73" spans="1:52" x14ac:dyDescent="0.2">
      <c r="B73" s="79">
        <v>601.70000000000005</v>
      </c>
      <c r="C73" s="23"/>
      <c r="D73" s="28" t="s">
        <v>123</v>
      </c>
      <c r="E73" s="28"/>
      <c r="F73" s="692"/>
      <c r="G73" s="28"/>
      <c r="H73" s="692"/>
      <c r="I73" s="130"/>
      <c r="J73" s="129"/>
      <c r="K73" s="97"/>
      <c r="L73" s="312" t="s">
        <v>469</v>
      </c>
      <c r="M73" s="371"/>
      <c r="N73" s="129"/>
      <c r="O73" s="238"/>
      <c r="P73" s="96"/>
      <c r="Q73" s="96"/>
      <c r="R73" s="96"/>
      <c r="S73" s="96"/>
      <c r="T73" s="96"/>
      <c r="U73" s="96"/>
      <c r="V73" s="96"/>
      <c r="W73" s="96"/>
      <c r="X73" s="1632"/>
      <c r="Z73"/>
      <c r="AB73"/>
      <c r="AC73"/>
      <c r="AD73"/>
      <c r="AE73"/>
      <c r="AF73"/>
      <c r="AG73"/>
      <c r="AH73"/>
      <c r="AI73"/>
      <c r="AJ73"/>
      <c r="AK73"/>
    </row>
    <row r="74" spans="1:52" x14ac:dyDescent="0.2">
      <c r="B74" s="79">
        <v>601.70000000000005</v>
      </c>
      <c r="C74" s="23"/>
      <c r="D74" s="28" t="s">
        <v>123</v>
      </c>
      <c r="E74" s="28"/>
      <c r="F74" s="692"/>
      <c r="G74" s="28"/>
      <c r="H74" s="692"/>
      <c r="I74" s="130"/>
      <c r="J74" s="129"/>
      <c r="K74" s="170"/>
      <c r="L74" s="293" t="s">
        <v>470</v>
      </c>
      <c r="M74" s="371"/>
      <c r="N74" s="129"/>
      <c r="O74" s="238"/>
      <c r="P74" s="96"/>
      <c r="Q74" s="96"/>
      <c r="R74" s="96"/>
      <c r="S74" s="96"/>
      <c r="T74" s="96"/>
      <c r="U74" s="96"/>
      <c r="V74" s="96"/>
      <c r="W74" s="96"/>
      <c r="X74" s="1632"/>
      <c r="Z74"/>
      <c r="AB74"/>
      <c r="AC74"/>
      <c r="AD74"/>
      <c r="AE74"/>
      <c r="AF74"/>
      <c r="AG74"/>
      <c r="AH74"/>
      <c r="AI74"/>
      <c r="AJ74"/>
      <c r="AK74"/>
    </row>
    <row r="75" spans="1:52" x14ac:dyDescent="0.2">
      <c r="B75" s="79">
        <v>601.70000000000005</v>
      </c>
      <c r="C75" s="23"/>
      <c r="D75" s="23" t="s">
        <v>366</v>
      </c>
      <c r="E75" s="23"/>
      <c r="F75" s="691"/>
      <c r="G75" s="23"/>
      <c r="H75" s="691"/>
      <c r="I75" s="130"/>
      <c r="J75" s="129"/>
      <c r="K75" s="218" t="s">
        <v>366</v>
      </c>
      <c r="L75" s="1613" t="s">
        <v>471</v>
      </c>
      <c r="M75" s="371"/>
      <c r="N75" s="129"/>
      <c r="O75" s="238"/>
      <c r="P75" s="96" t="b">
        <v>1</v>
      </c>
      <c r="Q75" s="96" t="b">
        <v>1</v>
      </c>
      <c r="R75" s="96" t="b">
        <v>0</v>
      </c>
      <c r="S75" s="96" t="b">
        <v>1</v>
      </c>
      <c r="T75" s="96" t="b">
        <v>0</v>
      </c>
      <c r="U75" s="96" t="str">
        <f>SUBSTITUTE(SUBSTITUTE(SUBSTITUTE("dd"&amp;B75&amp;C75&amp;D75&amp;E75&amp;F75,".","_"),"(","_"),")","")</f>
        <v>dd601_7_d</v>
      </c>
      <c r="V75" s="96"/>
      <c r="W75" s="110"/>
      <c r="X75" s="1632"/>
      <c r="Z75"/>
      <c r="AB75"/>
      <c r="AC75"/>
      <c r="AD75"/>
      <c r="AE75"/>
      <c r="AF75"/>
      <c r="AG75"/>
      <c r="AH75"/>
      <c r="AI75"/>
      <c r="AJ75"/>
      <c r="AK75"/>
      <c r="AP75" s="1352" t="str">
        <f>SUBSTITUTE(SUBSTITUTE(SUBSTITUTE("dch"&amp;$B75&amp;$C75&amp;$D75&amp;$E75&amp;$F75,".","_"),"(","_"),")","")</f>
        <v>dch601_7_d</v>
      </c>
      <c r="AQ75" s="1352" t="str">
        <f>IF(LEN(W75)=0,"",W75)</f>
        <v/>
      </c>
    </row>
    <row r="76" spans="1:52" x14ac:dyDescent="0.2">
      <c r="B76" s="79">
        <v>601.70000000000005</v>
      </c>
      <c r="C76" s="23"/>
      <c r="D76" s="23" t="s">
        <v>366</v>
      </c>
      <c r="E76" s="23"/>
      <c r="F76" s="691"/>
      <c r="G76" s="23"/>
      <c r="H76" s="691"/>
      <c r="I76" s="130"/>
      <c r="J76" s="129"/>
      <c r="K76" s="170"/>
      <c r="L76" s="1612"/>
      <c r="M76" s="371"/>
      <c r="N76" s="129"/>
      <c r="O76" s="238"/>
      <c r="P76" s="96"/>
      <c r="Q76" s="96"/>
      <c r="R76" s="96"/>
      <c r="S76" s="96"/>
      <c r="T76" s="96"/>
      <c r="U76" s="96"/>
      <c r="V76" s="96"/>
      <c r="W76" s="96"/>
      <c r="X76" s="1632"/>
      <c r="Z76"/>
      <c r="AB76"/>
      <c r="AC76"/>
      <c r="AD76"/>
      <c r="AE76"/>
      <c r="AF76"/>
      <c r="AG76"/>
      <c r="AH76"/>
      <c r="AI76"/>
      <c r="AJ76"/>
      <c r="AK76"/>
    </row>
    <row r="77" spans="1:52" x14ac:dyDescent="0.2">
      <c r="B77" s="79">
        <v>601.70000000000005</v>
      </c>
      <c r="C77" s="23"/>
      <c r="D77" s="23" t="s">
        <v>472</v>
      </c>
      <c r="E77" s="23"/>
      <c r="F77" s="691"/>
      <c r="G77" s="23"/>
      <c r="H77" s="691"/>
      <c r="I77" s="130"/>
      <c r="J77" s="129"/>
      <c r="K77" s="218" t="s">
        <v>472</v>
      </c>
      <c r="L77" s="1613" t="s">
        <v>3801</v>
      </c>
      <c r="M77" s="371"/>
      <c r="N77" s="129"/>
      <c r="O77" s="238"/>
      <c r="P77" s="96" t="b">
        <v>1</v>
      </c>
      <c r="Q77" s="96" t="b">
        <v>1</v>
      </c>
      <c r="R77" s="96" t="b">
        <v>0</v>
      </c>
      <c r="S77" s="96" t="b">
        <v>1</v>
      </c>
      <c r="T77" s="96" t="b">
        <v>0</v>
      </c>
      <c r="U77" s="96" t="str">
        <f>SUBSTITUTE(SUBSTITUTE(SUBSTITUTE("dd"&amp;B77&amp;C77&amp;D77&amp;E77&amp;F77,".","_"),"(","_"),")","")</f>
        <v>dd601_7_e</v>
      </c>
      <c r="V77" s="96"/>
      <c r="W77" s="110" t="s">
        <v>2898</v>
      </c>
      <c r="X77" s="1632"/>
      <c r="Z77"/>
      <c r="AB77"/>
      <c r="AC77"/>
      <c r="AD77"/>
      <c r="AE77"/>
      <c r="AF77"/>
      <c r="AG77"/>
      <c r="AH77"/>
      <c r="AI77"/>
      <c r="AJ77"/>
      <c r="AK77"/>
      <c r="AP77" s="1352" t="str">
        <f>SUBSTITUTE(SUBSTITUTE(SUBSTITUTE("dch"&amp;$B77&amp;$C77&amp;$D77&amp;$E77&amp;$F77,".","_"),"(","_"),")","")</f>
        <v>dch601_7_e</v>
      </c>
      <c r="AQ77" s="1352" t="str">
        <f>IF(LEN(W77)=0,"",W77)</f>
        <v>50% to less than 90%</v>
      </c>
    </row>
    <row r="78" spans="1:52" x14ac:dyDescent="0.2">
      <c r="B78" s="79">
        <v>601.70000000000005</v>
      </c>
      <c r="C78" s="23"/>
      <c r="D78" s="23" t="s">
        <v>472</v>
      </c>
      <c r="E78" s="23"/>
      <c r="F78" s="691"/>
      <c r="G78" s="23"/>
      <c r="H78" s="691"/>
      <c r="I78" s="130"/>
      <c r="J78" s="129"/>
      <c r="K78" s="170"/>
      <c r="L78" s="1612"/>
      <c r="M78" s="371"/>
      <c r="N78" s="129"/>
      <c r="O78" s="238"/>
      <c r="P78" s="96"/>
      <c r="Q78" s="96"/>
      <c r="R78" s="96"/>
      <c r="S78" s="96"/>
      <c r="T78" s="96"/>
      <c r="U78" s="96"/>
      <c r="V78" s="96"/>
      <c r="W78" s="96"/>
      <c r="X78" s="1632"/>
      <c r="Z78"/>
      <c r="AB78"/>
      <c r="AC78"/>
      <c r="AD78"/>
      <c r="AE78"/>
      <c r="AF78"/>
      <c r="AG78"/>
      <c r="AH78"/>
      <c r="AI78"/>
      <c r="AJ78"/>
      <c r="AK78"/>
    </row>
    <row r="79" spans="1:52" x14ac:dyDescent="0.2">
      <c r="B79" s="79">
        <v>601.70000000000005</v>
      </c>
      <c r="C79" s="23" t="s">
        <v>254</v>
      </c>
      <c r="D79" s="23"/>
      <c r="E79" s="23"/>
      <c r="F79" s="691"/>
      <c r="G79" s="23"/>
      <c r="H79" s="691"/>
      <c r="I79" s="130"/>
      <c r="J79" s="180" t="s">
        <v>254</v>
      </c>
      <c r="K79" s="97"/>
      <c r="L79" s="1649" t="s">
        <v>3802</v>
      </c>
      <c r="M79" s="1623">
        <v>5</v>
      </c>
      <c r="N79" s="129"/>
      <c r="O79" s="238"/>
      <c r="P79" s="96"/>
      <c r="Q79" s="96"/>
      <c r="R79" s="96"/>
      <c r="S79" s="96"/>
      <c r="T79" s="96"/>
      <c r="U79" s="96"/>
      <c r="V79" s="96"/>
      <c r="W79" s="96"/>
      <c r="X79" s="1632"/>
      <c r="Z79"/>
      <c r="AB79"/>
      <c r="AC79"/>
      <c r="AD79"/>
      <c r="AE79"/>
      <c r="AF79"/>
      <c r="AG79"/>
      <c r="AH79"/>
      <c r="AI79"/>
      <c r="AJ79"/>
      <c r="AK79"/>
      <c r="AL79" s="1352" t="str">
        <f>SUBSTITUTE(SUBSTITUTE(SUBSTITUTE("dpa"&amp;$B79&amp;$C79&amp;$D79&amp;$E79&amp;$F79,".","_"),"(","_"),")","")</f>
        <v>dpa601_7_1</v>
      </c>
      <c r="AM79" s="1352">
        <f>M79</f>
        <v>5</v>
      </c>
    </row>
    <row r="80" spans="1:52" s="905" customFormat="1" x14ac:dyDescent="0.2">
      <c r="A80" s="20"/>
      <c r="B80" s="79">
        <v>601.70000000000005</v>
      </c>
      <c r="C80" s="23" t="s">
        <v>254</v>
      </c>
      <c r="D80" s="23"/>
      <c r="E80" s="23"/>
      <c r="F80" s="691"/>
      <c r="G80" s="23"/>
      <c r="H80" s="691"/>
      <c r="I80" s="130"/>
      <c r="J80" s="207"/>
      <c r="K80" s="97"/>
      <c r="L80" s="1650"/>
      <c r="M80" s="1624"/>
      <c r="N80" s="129"/>
      <c r="O80" s="908"/>
      <c r="P80" s="991"/>
      <c r="Q80" s="991"/>
      <c r="R80" s="991"/>
      <c r="S80" s="991"/>
      <c r="T80" s="991"/>
      <c r="U80" s="991"/>
      <c r="V80" s="991"/>
      <c r="W80" s="991"/>
      <c r="X80" s="1632"/>
      <c r="AL80" s="66"/>
      <c r="AM80" s="66"/>
      <c r="AN80" s="66"/>
      <c r="AO80" s="66"/>
      <c r="AP80" s="66"/>
      <c r="AQ80" s="66"/>
      <c r="AR80" s="66"/>
      <c r="AS80" s="66"/>
      <c r="AX80" s="66"/>
      <c r="AY80" s="66"/>
      <c r="AZ80" s="66"/>
    </row>
    <row r="81" spans="1:52" x14ac:dyDescent="0.2">
      <c r="B81" s="79">
        <v>601.70000000000005</v>
      </c>
      <c r="C81" s="23" t="s">
        <v>255</v>
      </c>
      <c r="D81" s="23"/>
      <c r="E81" s="23"/>
      <c r="F81" s="691"/>
      <c r="G81" s="23"/>
      <c r="H81" s="691"/>
      <c r="I81" s="130"/>
      <c r="J81" s="180" t="s">
        <v>255</v>
      </c>
      <c r="K81" s="195"/>
      <c r="L81" s="1649" t="s">
        <v>3803</v>
      </c>
      <c r="M81" s="1636">
        <v>2</v>
      </c>
      <c r="N81" s="129"/>
      <c r="O81" s="238"/>
      <c r="P81" s="96"/>
      <c r="Q81" s="96"/>
      <c r="R81" s="96"/>
      <c r="S81" s="96"/>
      <c r="T81" s="96"/>
      <c r="U81" s="96"/>
      <c r="V81" s="96"/>
      <c r="W81" s="96"/>
      <c r="X81" s="1632"/>
      <c r="Z81"/>
      <c r="AB81"/>
      <c r="AC81"/>
      <c r="AD81"/>
      <c r="AE81"/>
      <c r="AF81"/>
      <c r="AG81"/>
      <c r="AH81"/>
      <c r="AI81"/>
      <c r="AJ81"/>
      <c r="AK81"/>
      <c r="AL81" s="1352" t="str">
        <f>SUBSTITUTE(SUBSTITUTE(SUBSTITUTE("dpa"&amp;$B81&amp;$C81&amp;$D81&amp;$E81&amp;$F81,".","_"),"(","_"),")","")</f>
        <v>dpa601_7_2</v>
      </c>
      <c r="AM81" s="1352">
        <f>M81</f>
        <v>2</v>
      </c>
    </row>
    <row r="82" spans="1:52" x14ac:dyDescent="0.2">
      <c r="B82" s="79">
        <v>601.70000000000005</v>
      </c>
      <c r="C82" s="23" t="s">
        <v>255</v>
      </c>
      <c r="D82" s="23"/>
      <c r="E82" s="23"/>
      <c r="F82" s="691"/>
      <c r="G82" s="23"/>
      <c r="H82" s="691"/>
      <c r="I82" s="130"/>
      <c r="J82" s="173"/>
      <c r="K82" s="170"/>
      <c r="L82" s="1650"/>
      <c r="M82" s="1624"/>
      <c r="N82" s="129"/>
      <c r="O82" s="238"/>
      <c r="P82" s="96"/>
      <c r="Q82" s="96"/>
      <c r="R82" s="96"/>
      <c r="S82" s="96"/>
      <c r="T82" s="96"/>
      <c r="U82" s="96"/>
      <c r="V82" s="96"/>
      <c r="W82" s="96"/>
      <c r="X82" s="1632"/>
      <c r="Z82" s="290"/>
      <c r="AB82" s="290"/>
      <c r="AC82" s="290"/>
      <c r="AD82" s="290"/>
      <c r="AE82" s="290"/>
      <c r="AF82" s="290"/>
      <c r="AG82" s="290"/>
      <c r="AH82" s="290"/>
      <c r="AI82" s="290"/>
      <c r="AJ82" s="290"/>
      <c r="AK82" s="290"/>
      <c r="AT82" s="290"/>
      <c r="AZ82" s="905"/>
    </row>
    <row r="83" spans="1:52" s="290" customFormat="1" x14ac:dyDescent="0.2">
      <c r="A83" s="20"/>
      <c r="B83" s="79">
        <v>601.70000000000005</v>
      </c>
      <c r="C83" s="23" t="s">
        <v>256</v>
      </c>
      <c r="D83" s="23"/>
      <c r="E83" s="23"/>
      <c r="F83" s="691"/>
      <c r="G83" s="23"/>
      <c r="H83" s="691"/>
      <c r="I83" s="130"/>
      <c r="J83" s="180" t="s">
        <v>256</v>
      </c>
      <c r="K83" s="97"/>
      <c r="L83" s="1657" t="s">
        <v>3804</v>
      </c>
      <c r="M83" s="371">
        <v>1</v>
      </c>
      <c r="N83" s="129"/>
      <c r="O83" s="238"/>
      <c r="P83" s="96"/>
      <c r="Q83" s="96"/>
      <c r="R83" s="96"/>
      <c r="S83" s="96"/>
      <c r="T83" s="96"/>
      <c r="U83" s="96"/>
      <c r="V83" s="96"/>
      <c r="W83" s="66"/>
      <c r="X83" s="1632"/>
      <c r="Y83" s="704"/>
      <c r="Z83"/>
      <c r="AA83" s="707"/>
      <c r="AB83"/>
      <c r="AC83"/>
      <c r="AD83"/>
      <c r="AE83"/>
      <c r="AF83"/>
      <c r="AG83"/>
      <c r="AH83"/>
      <c r="AI83"/>
      <c r="AJ83"/>
      <c r="AK83"/>
      <c r="AL83" s="1352" t="str">
        <f>SUBSTITUTE(SUBSTITUTE(SUBSTITUTE("dpa"&amp;$B83&amp;$C83&amp;$D83&amp;$E83&amp;$F83,".","_"),"(","_"),")","")</f>
        <v>dpa601_7_3</v>
      </c>
      <c r="AM83" s="1352">
        <f>M83</f>
        <v>1</v>
      </c>
      <c r="AN83" s="66"/>
      <c r="AO83" s="66"/>
      <c r="AP83" s="66"/>
      <c r="AQ83" s="66"/>
      <c r="AR83" s="66"/>
      <c r="AS83" s="66"/>
      <c r="AT83" s="66"/>
      <c r="AX83" s="905"/>
      <c r="AY83" s="905"/>
      <c r="AZ83" s="66"/>
    </row>
    <row r="84" spans="1:52" ht="16" thickBot="1" x14ac:dyDescent="0.25">
      <c r="B84" s="79">
        <v>601.70000000000005</v>
      </c>
      <c r="C84" s="23" t="s">
        <v>256</v>
      </c>
      <c r="D84" s="23"/>
      <c r="E84" s="23"/>
      <c r="F84" s="691"/>
      <c r="G84" s="23"/>
      <c r="H84" s="691"/>
      <c r="I84" s="130"/>
      <c r="J84" s="180"/>
      <c r="K84" s="97"/>
      <c r="L84" s="1713"/>
      <c r="M84" s="371"/>
      <c r="N84" s="129"/>
      <c r="O84" s="238"/>
      <c r="P84" s="96"/>
      <c r="Q84" s="96"/>
      <c r="R84" s="96"/>
      <c r="S84" s="96"/>
      <c r="T84" s="96"/>
      <c r="U84" s="96"/>
      <c r="V84" s="96"/>
      <c r="W84" s="113"/>
      <c r="X84" s="1648"/>
      <c r="Z84" s="290"/>
      <c r="AB84" s="290"/>
      <c r="AC84" s="290"/>
      <c r="AD84" s="290"/>
      <c r="AE84" s="290"/>
      <c r="AF84" s="290"/>
      <c r="AG84" s="290"/>
      <c r="AH84" s="290"/>
      <c r="AI84" s="290"/>
      <c r="AJ84" s="290"/>
      <c r="AK84" s="290"/>
      <c r="AT84" s="290"/>
    </row>
    <row r="85" spans="1:52" s="290" customFormat="1" ht="16" thickTop="1" x14ac:dyDescent="0.2">
      <c r="A85" s="20"/>
      <c r="B85" s="79">
        <v>601.79999999999995</v>
      </c>
      <c r="C85" s="23"/>
      <c r="D85" s="23"/>
      <c r="E85" s="23"/>
      <c r="F85" s="691"/>
      <c r="G85" s="23"/>
      <c r="H85" s="691"/>
      <c r="I85" s="177" t="s">
        <v>3528</v>
      </c>
      <c r="J85" s="178"/>
      <c r="K85" s="179"/>
      <c r="L85" s="1683" t="s">
        <v>3805</v>
      </c>
      <c r="M85" s="1685">
        <v>3</v>
      </c>
      <c r="N85" s="178"/>
      <c r="O85" s="1682">
        <f>M85*S85*W85</f>
        <v>0</v>
      </c>
      <c r="P85" s="332" t="b">
        <v>1</v>
      </c>
      <c r="Q85" s="332" t="b">
        <v>0</v>
      </c>
      <c r="R85" s="106" t="b">
        <v>0</v>
      </c>
      <c r="S85" s="106" t="b">
        <f>NOT(AZ34=1)</f>
        <v>1</v>
      </c>
      <c r="T85" s="96" t="b">
        <f>AND(NOT(S85),W85=TRUE)</f>
        <v>0</v>
      </c>
      <c r="U85" s="106"/>
      <c r="V85" s="106"/>
      <c r="W85" s="119"/>
      <c r="X85" s="1603"/>
      <c r="Y85" s="704"/>
      <c r="Z85"/>
      <c r="AA85" s="707"/>
      <c r="AB85"/>
      <c r="AC85" s="134" t="b">
        <f>OR(AD85:AE85)</f>
        <v>0</v>
      </c>
      <c r="AD85" s="134" t="b">
        <v>0</v>
      </c>
      <c r="AE85" s="134" t="b">
        <f>AND(W85=TRUE,LEN(X85)=0)</f>
        <v>0</v>
      </c>
      <c r="AF85"/>
      <c r="AG85"/>
      <c r="AH85"/>
      <c r="AI85"/>
      <c r="AJ85"/>
      <c r="AK85"/>
      <c r="AL85" s="1352" t="str">
        <f>SUBSTITUTE(SUBSTITUTE(SUBSTITUTE("dpa"&amp;$B85&amp;$C85&amp;$D85&amp;$E85&amp;$F85,".","_"),"(","_"),")","")</f>
        <v>dpa601_8</v>
      </c>
      <c r="AM85" s="1352">
        <f>M85</f>
        <v>3</v>
      </c>
      <c r="AN85" s="1352" t="str">
        <f>SUBSTITUTE(SUBSTITUTE(SUBSTITUTE("dpc"&amp;$B85&amp;$C85&amp;$D85&amp;$E85&amp;$F85,".","_"),"(","_"),")","")</f>
        <v>dpc601_8</v>
      </c>
      <c r="AO85" s="1352">
        <f>O85</f>
        <v>0</v>
      </c>
      <c r="AP85" s="1352" t="str">
        <f>SUBSTITUTE(SUBSTITUTE(SUBSTITUTE("dch"&amp;$B85&amp;$C85&amp;$D85&amp;$E85&amp;$F85,".","_"),"(","_"),")","")</f>
        <v>dch601_8</v>
      </c>
      <c r="AQ85" s="1352" t="str">
        <f>IF(LEN(W85)=0,"",W85)</f>
        <v/>
      </c>
      <c r="AR85" s="1352" t="str">
        <f>SUBSTITUTE(SUBSTITUTE(SUBSTITUTE("dnt"&amp;$B85&amp;$C85&amp;$D85&amp;$E85&amp;$F85,".","_"),"(","_"),")","")</f>
        <v>dnt601_8</v>
      </c>
      <c r="AS85" s="1352" t="str">
        <f>IF(LEN(X85)=0,"",X85)</f>
        <v/>
      </c>
      <c r="AT85" s="66"/>
    </row>
    <row r="86" spans="1:52" x14ac:dyDescent="0.2">
      <c r="B86" s="79">
        <v>601.79999999999995</v>
      </c>
      <c r="C86" s="23"/>
      <c r="D86" s="23"/>
      <c r="E86" s="23"/>
      <c r="F86" s="691"/>
      <c r="G86" s="23"/>
      <c r="H86" s="691"/>
      <c r="I86" s="130"/>
      <c r="J86" s="129"/>
      <c r="K86" s="97"/>
      <c r="L86" s="1629"/>
      <c r="M86" s="1623"/>
      <c r="N86" s="129"/>
      <c r="O86" s="1619"/>
      <c r="P86" s="96"/>
      <c r="Q86" s="96"/>
      <c r="R86" s="96"/>
      <c r="S86" s="96"/>
      <c r="T86" s="96"/>
      <c r="U86" s="96"/>
      <c r="V86" s="96"/>
      <c r="W86" s="96"/>
      <c r="X86" s="1601"/>
      <c r="Z86"/>
      <c r="AB86"/>
      <c r="AC86"/>
      <c r="AD86"/>
      <c r="AE86"/>
      <c r="AF86"/>
      <c r="AG86"/>
      <c r="AH86"/>
      <c r="AI86"/>
      <c r="AJ86"/>
      <c r="AK86"/>
    </row>
    <row r="87" spans="1:52" x14ac:dyDescent="0.2">
      <c r="B87" s="79">
        <v>601.79999999999995</v>
      </c>
      <c r="C87" s="23"/>
      <c r="D87" s="23"/>
      <c r="E87" s="23"/>
      <c r="F87" s="691"/>
      <c r="G87" s="23"/>
      <c r="H87" s="691"/>
      <c r="I87" s="130"/>
      <c r="J87" s="129"/>
      <c r="K87" s="97"/>
      <c r="L87" s="1629"/>
      <c r="M87" s="1623"/>
      <c r="N87" s="129"/>
      <c r="O87" s="1619"/>
      <c r="P87" s="96"/>
      <c r="Q87" s="96"/>
      <c r="R87" s="96"/>
      <c r="S87" s="96"/>
      <c r="T87" s="96"/>
      <c r="U87" s="96"/>
      <c r="V87" s="96"/>
      <c r="W87" s="96"/>
      <c r="X87" s="1601"/>
      <c r="Z87"/>
      <c r="AB87"/>
      <c r="AC87"/>
      <c r="AD87"/>
      <c r="AE87"/>
      <c r="AF87"/>
      <c r="AG87"/>
      <c r="AH87"/>
      <c r="AI87"/>
      <c r="AJ87"/>
      <c r="AK87"/>
      <c r="AX87" s="290"/>
      <c r="AY87" s="290"/>
      <c r="AZ87" s="290"/>
    </row>
    <row r="88" spans="1:52" x14ac:dyDescent="0.2">
      <c r="B88" s="79">
        <v>601.79999999999995</v>
      </c>
      <c r="C88" s="23"/>
      <c r="D88" s="23"/>
      <c r="E88" s="23"/>
      <c r="F88" s="691"/>
      <c r="G88" s="23"/>
      <c r="H88" s="691"/>
      <c r="I88" s="130"/>
      <c r="J88" s="129"/>
      <c r="K88" s="97"/>
      <c r="L88" s="1629"/>
      <c r="M88" s="1623"/>
      <c r="N88" s="129"/>
      <c r="O88" s="1619"/>
      <c r="P88" s="96"/>
      <c r="Q88" s="96"/>
      <c r="R88" s="96"/>
      <c r="S88" s="96"/>
      <c r="T88" s="96"/>
      <c r="U88" s="96"/>
      <c r="V88" s="96"/>
      <c r="W88" s="96"/>
      <c r="X88" s="1601"/>
      <c r="Z88"/>
      <c r="AB88"/>
      <c r="AC88"/>
      <c r="AD88"/>
      <c r="AE88"/>
      <c r="AF88"/>
      <c r="AG88"/>
      <c r="AH88"/>
      <c r="AI88"/>
      <c r="AJ88"/>
      <c r="AK88"/>
    </row>
    <row r="89" spans="1:52" x14ac:dyDescent="0.2">
      <c r="B89" s="79">
        <v>601.79999999999995</v>
      </c>
      <c r="C89" s="23"/>
      <c r="D89" s="23"/>
      <c r="E89" s="23"/>
      <c r="F89" s="691"/>
      <c r="G89" s="23"/>
      <c r="H89" s="691"/>
      <c r="I89" s="130"/>
      <c r="J89" s="129"/>
      <c r="K89" s="97"/>
      <c r="L89" s="1629"/>
      <c r="M89" s="1623"/>
      <c r="N89" s="129"/>
      <c r="O89" s="1619"/>
      <c r="P89" s="96"/>
      <c r="Q89" s="96"/>
      <c r="R89" s="96"/>
      <c r="S89" s="96"/>
      <c r="T89" s="96"/>
      <c r="U89" s="96"/>
      <c r="V89" s="96"/>
      <c r="W89" s="96"/>
      <c r="X89" s="1601"/>
      <c r="Z89"/>
      <c r="AB89"/>
      <c r="AC89"/>
      <c r="AD89"/>
      <c r="AE89"/>
      <c r="AF89"/>
      <c r="AG89"/>
      <c r="AH89"/>
      <c r="AI89"/>
      <c r="AJ89"/>
      <c r="AK89"/>
    </row>
    <row r="90" spans="1:52" x14ac:dyDescent="0.2">
      <c r="B90" s="79">
        <v>601.79999999999995</v>
      </c>
      <c r="C90" s="23"/>
      <c r="D90" s="23"/>
      <c r="E90" s="23"/>
      <c r="F90" s="691"/>
      <c r="G90" s="23"/>
      <c r="H90" s="691"/>
      <c r="I90" s="130"/>
      <c r="J90" s="129"/>
      <c r="K90" s="97"/>
      <c r="L90" s="1702" t="s">
        <v>676</v>
      </c>
      <c r="M90" s="1623"/>
      <c r="N90" s="129"/>
      <c r="O90" s="1619"/>
      <c r="P90" s="96"/>
      <c r="Q90" s="96"/>
      <c r="R90" s="96"/>
      <c r="S90" s="96"/>
      <c r="T90" s="96"/>
      <c r="U90" s="96"/>
      <c r="V90" s="96"/>
      <c r="W90" s="96"/>
      <c r="X90" s="1601"/>
      <c r="Z90"/>
      <c r="AB90"/>
      <c r="AC90"/>
      <c r="AD90"/>
      <c r="AE90"/>
      <c r="AF90"/>
      <c r="AG90"/>
      <c r="AH90"/>
      <c r="AI90"/>
      <c r="AJ90"/>
      <c r="AK90"/>
    </row>
    <row r="91" spans="1:52" x14ac:dyDescent="0.2">
      <c r="B91" s="79">
        <v>601.79999999999995</v>
      </c>
      <c r="C91" s="23"/>
      <c r="D91" s="23"/>
      <c r="E91" s="23"/>
      <c r="F91" s="691"/>
      <c r="G91" s="23"/>
      <c r="H91" s="691"/>
      <c r="I91" s="130"/>
      <c r="J91" s="129"/>
      <c r="K91" s="97"/>
      <c r="L91" s="1702"/>
      <c r="M91" s="1623"/>
      <c r="N91" s="129"/>
      <c r="O91" s="1619"/>
      <c r="P91" s="96"/>
      <c r="Q91" s="96"/>
      <c r="R91" s="96"/>
      <c r="S91" s="96"/>
      <c r="T91" s="96"/>
      <c r="U91" s="96"/>
      <c r="V91" s="96"/>
      <c r="W91" s="96"/>
      <c r="X91" s="1601"/>
      <c r="Z91"/>
      <c r="AB91"/>
      <c r="AC91"/>
      <c r="AD91"/>
      <c r="AE91"/>
      <c r="AF91"/>
      <c r="AG91"/>
      <c r="AH91"/>
      <c r="AI91"/>
      <c r="AJ91"/>
      <c r="AK91"/>
    </row>
    <row r="92" spans="1:52" x14ac:dyDescent="0.2">
      <c r="B92" s="79">
        <v>601.79999999999995</v>
      </c>
      <c r="C92" s="23"/>
      <c r="D92" s="23"/>
      <c r="E92" s="23"/>
      <c r="F92" s="691"/>
      <c r="G92" s="23"/>
      <c r="H92" s="691"/>
      <c r="I92" s="130"/>
      <c r="J92" s="129"/>
      <c r="K92" s="97"/>
      <c r="L92" s="1689"/>
      <c r="M92" s="1623"/>
      <c r="N92" s="129"/>
      <c r="O92" s="1619"/>
      <c r="P92" s="96"/>
      <c r="Q92" s="96"/>
      <c r="R92" s="96"/>
      <c r="S92" s="96"/>
      <c r="T92" s="96"/>
      <c r="U92" s="96"/>
      <c r="V92" s="96"/>
      <c r="W92" s="818"/>
      <c r="X92" s="1621"/>
      <c r="Z92"/>
      <c r="AB92"/>
      <c r="AC92"/>
      <c r="AD92"/>
      <c r="AE92"/>
      <c r="AF92"/>
      <c r="AG92"/>
      <c r="AH92"/>
      <c r="AI92"/>
      <c r="AJ92"/>
      <c r="AK92"/>
    </row>
    <row r="93" spans="1:52" ht="19" x14ac:dyDescent="0.25">
      <c r="B93" s="79">
        <v>602</v>
      </c>
      <c r="C93" s="23"/>
      <c r="D93" s="23"/>
      <c r="E93" s="23"/>
      <c r="F93" s="691"/>
      <c r="G93" s="23"/>
      <c r="H93" s="691"/>
      <c r="I93" s="72" t="s">
        <v>3529</v>
      </c>
      <c r="J93" s="72"/>
      <c r="K93" s="72"/>
      <c r="L93" s="233"/>
      <c r="M93" s="339"/>
      <c r="N93" s="428"/>
      <c r="O93" s="419"/>
      <c r="P93" s="25"/>
      <c r="Q93" s="25"/>
      <c r="R93" s="25"/>
      <c r="S93" s="25"/>
      <c r="T93" s="25"/>
      <c r="U93" s="25"/>
      <c r="V93" s="25"/>
      <c r="W93" s="25"/>
      <c r="X93" s="25"/>
      <c r="Z93"/>
      <c r="AB93"/>
      <c r="AC93"/>
      <c r="AD93"/>
      <c r="AE93"/>
      <c r="AF93"/>
      <c r="AG93"/>
      <c r="AH93"/>
      <c r="AI93"/>
      <c r="AJ93"/>
      <c r="AK93"/>
    </row>
    <row r="94" spans="1:52" x14ac:dyDescent="0.2">
      <c r="B94" s="79" t="s">
        <v>2681</v>
      </c>
      <c r="C94" s="23"/>
      <c r="D94" s="23"/>
      <c r="E94" s="23"/>
      <c r="F94" s="691"/>
      <c r="G94" s="23"/>
      <c r="H94" s="691"/>
      <c r="I94" s="80" t="s">
        <v>3530</v>
      </c>
      <c r="J94" s="4"/>
      <c r="K94" s="85"/>
      <c r="L94" s="1631" t="s">
        <v>3632</v>
      </c>
      <c r="M94" s="374"/>
      <c r="N94" s="4"/>
      <c r="O94" s="138"/>
      <c r="P94" s="332"/>
      <c r="Q94" s="332"/>
      <c r="R94"/>
      <c r="S94"/>
      <c r="T94"/>
      <c r="U94"/>
      <c r="V94"/>
      <c r="W94"/>
      <c r="X94"/>
      <c r="Z94"/>
      <c r="AB94"/>
      <c r="AC94"/>
      <c r="AD94"/>
      <c r="AE94"/>
      <c r="AF94"/>
      <c r="AG94"/>
      <c r="AH94"/>
      <c r="AI94"/>
      <c r="AJ94"/>
      <c r="AK94"/>
    </row>
    <row r="95" spans="1:52" ht="16" thickBot="1" x14ac:dyDescent="0.25">
      <c r="B95" s="79" t="s">
        <v>2681</v>
      </c>
      <c r="C95" s="23"/>
      <c r="D95" s="23"/>
      <c r="E95" s="23"/>
      <c r="F95" s="691"/>
      <c r="G95" s="23"/>
      <c r="H95" s="691"/>
      <c r="I95" s="67"/>
      <c r="J95" s="4"/>
      <c r="K95" s="85"/>
      <c r="L95" s="1631"/>
      <c r="M95" s="374"/>
      <c r="N95" s="4"/>
      <c r="O95" s="138"/>
      <c r="P95" s="332"/>
      <c r="Q95" s="332"/>
      <c r="R95"/>
      <c r="S95"/>
      <c r="T95"/>
      <c r="U95"/>
      <c r="V95"/>
      <c r="W95"/>
      <c r="X95"/>
      <c r="Z95"/>
      <c r="AB95"/>
      <c r="AC95"/>
      <c r="AD95"/>
      <c r="AE95"/>
      <c r="AF95"/>
      <c r="AG95"/>
      <c r="AH95"/>
      <c r="AI95"/>
      <c r="AJ95"/>
      <c r="AK95"/>
    </row>
    <row r="96" spans="1:52" ht="17" thickTop="1" thickBot="1" x14ac:dyDescent="0.25">
      <c r="B96" s="79">
        <v>602.1</v>
      </c>
      <c r="C96" s="23"/>
      <c r="D96" s="23"/>
      <c r="E96" s="23"/>
      <c r="F96" s="691"/>
      <c r="G96" s="23"/>
      <c r="H96" s="691"/>
      <c r="I96" s="177" t="s">
        <v>3531</v>
      </c>
      <c r="J96" s="178"/>
      <c r="K96" s="179"/>
      <c r="L96" s="313" t="s">
        <v>3631</v>
      </c>
      <c r="M96" s="370"/>
      <c r="N96" s="178"/>
      <c r="O96" s="421"/>
      <c r="P96" s="106"/>
      <c r="Q96" s="106"/>
      <c r="R96" s="106"/>
      <c r="S96" s="106"/>
      <c r="T96" s="106"/>
      <c r="U96" s="106"/>
      <c r="V96" s="106"/>
      <c r="W96" s="106"/>
      <c r="X96" s="106"/>
      <c r="Z96"/>
      <c r="AB96"/>
      <c r="AC96"/>
      <c r="AD96"/>
      <c r="AE96"/>
      <c r="AF96"/>
      <c r="AG96"/>
      <c r="AH96"/>
      <c r="AI96"/>
      <c r="AJ96"/>
      <c r="AK96"/>
    </row>
    <row r="97" spans="1:52" ht="16" thickTop="1" x14ac:dyDescent="0.2">
      <c r="B97" s="79" t="s">
        <v>474</v>
      </c>
      <c r="C97" s="23"/>
      <c r="D97" s="23"/>
      <c r="E97" s="23"/>
      <c r="F97" s="691"/>
      <c r="G97" s="23"/>
      <c r="H97" s="691"/>
      <c r="I97" s="177" t="s">
        <v>3532</v>
      </c>
      <c r="J97" s="178"/>
      <c r="K97" s="179"/>
      <c r="L97" s="313" t="s">
        <v>3630</v>
      </c>
      <c r="M97" s="370"/>
      <c r="N97" s="178"/>
      <c r="O97" s="421"/>
      <c r="P97" s="106"/>
      <c r="Q97" s="106"/>
      <c r="R97" s="106"/>
      <c r="S97" s="106"/>
      <c r="T97" s="106"/>
      <c r="U97" s="106"/>
      <c r="V97" s="106"/>
      <c r="W97" s="106"/>
      <c r="X97" s="106"/>
      <c r="Z97"/>
      <c r="AB97"/>
      <c r="AC97"/>
      <c r="AD97"/>
      <c r="AE97"/>
      <c r="AF97"/>
      <c r="AG97"/>
      <c r="AH97"/>
      <c r="AI97"/>
      <c r="AJ97"/>
      <c r="AK97"/>
    </row>
    <row r="98" spans="1:52" x14ac:dyDescent="0.2">
      <c r="B98" s="79" t="s">
        <v>475</v>
      </c>
      <c r="C98" s="23"/>
      <c r="D98" s="23"/>
      <c r="E98" s="23"/>
      <c r="F98" s="691"/>
      <c r="G98" s="23"/>
      <c r="H98" s="691"/>
      <c r="I98" s="130" t="s">
        <v>3533</v>
      </c>
      <c r="J98" s="129"/>
      <c r="K98" s="97"/>
      <c r="L98" s="1629" t="s">
        <v>3629</v>
      </c>
      <c r="M98" s="1697" t="str">
        <f>IF(R98,"Mandatory","N/A")</f>
        <v>Mandatory</v>
      </c>
      <c r="N98" s="4"/>
      <c r="O98" s="138"/>
      <c r="P98" s="332" t="b">
        <v>1</v>
      </c>
      <c r="Q98" s="332" t="b">
        <v>0</v>
      </c>
      <c r="R98" s="126" t="b">
        <f>S98</f>
        <v>1</v>
      </c>
      <c r="S98" s="126" t="b">
        <f>IF(OR(AZ34=2,AZ34=3),FALSE,TRUE)</f>
        <v>1</v>
      </c>
      <c r="T98" s="96" t="b">
        <f>AND(NOT(S98),LEN(W98)&gt;0)</f>
        <v>0</v>
      </c>
      <c r="U98" s="96" t="str">
        <f>SUBSTITUTE(SUBSTITUTE(SUBSTITUTE("dd"&amp;B98&amp;C98&amp;D98&amp;E98&amp;F98,".","_"),"(","_"),")","")</f>
        <v>dd602_1_1_1</v>
      </c>
      <c r="V98"/>
      <c r="W98" s="12" t="s">
        <v>2590</v>
      </c>
      <c r="X98" s="1621"/>
      <c r="Z98"/>
      <c r="AB98"/>
      <c r="AC98" s="137" t="b">
        <f>OR(AD98:AE98)</f>
        <v>0</v>
      </c>
      <c r="AD98" s="137" t="b">
        <f>T98</f>
        <v>0</v>
      </c>
      <c r="AE98" s="751" t="b">
        <f>AND(R98,NOT(W98="Met"),NOT(W98="N/A"))</f>
        <v>0</v>
      </c>
      <c r="AF98"/>
      <c r="AG98"/>
      <c r="AH98"/>
      <c r="AI98"/>
      <c r="AJ98"/>
      <c r="AK98"/>
      <c r="AL98" s="1352" t="str">
        <f>SUBSTITUTE(SUBSTITUTE(SUBSTITUTE("dpa"&amp;$B98&amp;$C98&amp;$D98&amp;$E98&amp;$F98,".","_"),"(","_"),")","")</f>
        <v>dpa602_1_1_1</v>
      </c>
      <c r="AM98" s="1352" t="str">
        <f>M98</f>
        <v>Mandatory</v>
      </c>
      <c r="AP98" s="1352" t="str">
        <f>SUBSTITUTE(SUBSTITUTE(SUBSTITUTE("dch"&amp;$B98&amp;$C98&amp;$D98&amp;$E98&amp;$F98,".","_"),"(","_"),")","")</f>
        <v>dch602_1_1_1</v>
      </c>
      <c r="AQ98" s="1352" t="str">
        <f>IF(LEN(W98)=0,"",W98)</f>
        <v>N/A</v>
      </c>
      <c r="AR98" s="1352" t="str">
        <f>SUBSTITUTE(SUBSTITUTE(SUBSTITUTE("dnt"&amp;$B98&amp;$C98&amp;$D98&amp;$E98&amp;$F98,".","_"),"(","_"),")","")</f>
        <v>dnt602_1_1_1</v>
      </c>
      <c r="AS98" s="1352" t="str">
        <f>IF(LEN(X98)=0,"",X98)</f>
        <v/>
      </c>
    </row>
    <row r="99" spans="1:52" x14ac:dyDescent="0.2">
      <c r="B99" s="79" t="s">
        <v>475</v>
      </c>
      <c r="C99" s="23"/>
      <c r="D99" s="23"/>
      <c r="E99" s="23"/>
      <c r="F99" s="691"/>
      <c r="G99" s="23"/>
      <c r="H99" s="691"/>
      <c r="I99" s="130"/>
      <c r="J99" s="129"/>
      <c r="K99" s="97"/>
      <c r="L99" s="1629"/>
      <c r="M99" s="1697"/>
      <c r="N99" s="4"/>
      <c r="O99" s="138"/>
      <c r="P99" s="332"/>
      <c r="Q99" s="332"/>
      <c r="R99"/>
      <c r="S99"/>
      <c r="T99"/>
      <c r="U99"/>
      <c r="V99"/>
      <c r="W99"/>
      <c r="X99" s="1632"/>
      <c r="Z99"/>
      <c r="AB99"/>
      <c r="AC99"/>
      <c r="AD99"/>
      <c r="AE99"/>
      <c r="AF99"/>
      <c r="AG99"/>
      <c r="AH99"/>
      <c r="AI99"/>
      <c r="AJ99"/>
      <c r="AK99"/>
    </row>
    <row r="100" spans="1:52" x14ac:dyDescent="0.2">
      <c r="B100" s="79" t="s">
        <v>475</v>
      </c>
      <c r="C100" s="23"/>
      <c r="D100" s="23"/>
      <c r="E100" s="23"/>
      <c r="F100" s="691"/>
      <c r="G100" s="23"/>
      <c r="H100" s="691"/>
      <c r="I100" s="130"/>
      <c r="J100" s="129"/>
      <c r="K100" s="97"/>
      <c r="L100" s="1629"/>
      <c r="M100" s="1697"/>
      <c r="N100" s="4"/>
      <c r="O100" s="138"/>
      <c r="P100" s="332"/>
      <c r="Q100" s="332"/>
      <c r="R100"/>
      <c r="S100"/>
      <c r="T100"/>
      <c r="U100"/>
      <c r="V100"/>
      <c r="W100"/>
      <c r="X100" s="1632"/>
      <c r="Z100"/>
      <c r="AB100"/>
      <c r="AC100"/>
      <c r="AD100"/>
      <c r="AE100"/>
      <c r="AF100"/>
      <c r="AG100"/>
      <c r="AH100"/>
      <c r="AI100"/>
      <c r="AJ100"/>
      <c r="AK100"/>
    </row>
    <row r="101" spans="1:52" s="746" customFormat="1" x14ac:dyDescent="0.2">
      <c r="A101" s="20"/>
      <c r="B101" s="79" t="s">
        <v>475</v>
      </c>
      <c r="C101" s="23"/>
      <c r="D101" s="23"/>
      <c r="E101" s="23"/>
      <c r="F101" s="691"/>
      <c r="G101" s="23"/>
      <c r="H101" s="691"/>
      <c r="I101" s="219"/>
      <c r="J101" s="213"/>
      <c r="K101" s="170"/>
      <c r="L101" s="710" t="s">
        <v>3817</v>
      </c>
      <c r="M101" s="754"/>
      <c r="N101" s="4"/>
      <c r="O101" s="748"/>
      <c r="X101" s="1599"/>
      <c r="AL101" s="66"/>
      <c r="AM101" s="66"/>
      <c r="AN101" s="66"/>
      <c r="AO101" s="66"/>
      <c r="AP101" s="66"/>
      <c r="AQ101" s="66"/>
      <c r="AR101" s="66"/>
      <c r="AS101" s="66"/>
      <c r="AX101" s="66"/>
      <c r="AY101" s="66"/>
      <c r="AZ101" s="66"/>
    </row>
    <row r="102" spans="1:52" x14ac:dyDescent="0.2">
      <c r="B102" s="79" t="s">
        <v>476</v>
      </c>
      <c r="C102" s="23"/>
      <c r="D102" s="23"/>
      <c r="E102" s="23"/>
      <c r="F102" s="691"/>
      <c r="G102" s="23"/>
      <c r="H102" s="691"/>
      <c r="I102" s="67" t="s">
        <v>3534</v>
      </c>
      <c r="J102" s="4"/>
      <c r="K102" s="85"/>
      <c r="L102" s="1631" t="s">
        <v>3806</v>
      </c>
      <c r="M102" s="1628">
        <v>3</v>
      </c>
      <c r="N102" s="4"/>
      <c r="O102" s="1669">
        <f>M102*S102*W102</f>
        <v>0</v>
      </c>
      <c r="P102" s="332" t="b">
        <v>1</v>
      </c>
      <c r="Q102" s="332" t="b">
        <v>0</v>
      </c>
      <c r="R102" s="126" t="b">
        <v>0</v>
      </c>
      <c r="S102" s="126" t="b">
        <v>1</v>
      </c>
      <c r="T102" s="126" t="b">
        <v>0</v>
      </c>
      <c r="U102"/>
      <c r="V102"/>
      <c r="W102" s="27"/>
      <c r="X102" s="1600"/>
      <c r="Z102"/>
      <c r="AB102"/>
      <c r="AC102"/>
      <c r="AD102"/>
      <c r="AE102"/>
      <c r="AF102"/>
      <c r="AG102"/>
      <c r="AH102"/>
      <c r="AI102"/>
      <c r="AJ102"/>
      <c r="AK102"/>
      <c r="AL102" s="1352" t="str">
        <f>SUBSTITUTE(SUBSTITUTE(SUBSTITUTE("dpa"&amp;$B102&amp;$C102&amp;$D102&amp;$E102&amp;$F102,".","_"),"(","_"),")","")</f>
        <v xml:space="preserve">dpa602_1_1_2 </v>
      </c>
      <c r="AM102" s="1352">
        <f>M102</f>
        <v>3</v>
      </c>
      <c r="AN102" s="1352" t="str">
        <f>SUBSTITUTE(SUBSTITUTE(SUBSTITUTE("dpc"&amp;$B102&amp;$C102&amp;$D102&amp;$E102&amp;$F102,".","_"),"(","_"),")","")</f>
        <v xml:space="preserve">dpc602_1_1_2 </v>
      </c>
      <c r="AO102" s="1352">
        <f>O102</f>
        <v>0</v>
      </c>
      <c r="AP102" s="1352" t="str">
        <f>SUBSTITUTE(SUBSTITUTE(SUBSTITUTE("dch"&amp;$B102&amp;$C102&amp;$D102&amp;$E102&amp;$F102,".","_"),"(","_"),")","")</f>
        <v xml:space="preserve">dch602_1_1_2 </v>
      </c>
      <c r="AQ102" s="1352" t="str">
        <f>IF(LEN(W102)=0,"",W102)</f>
        <v/>
      </c>
      <c r="AR102" s="1352" t="str">
        <f>SUBSTITUTE(SUBSTITUTE(SUBSTITUTE("dnt"&amp;$B102&amp;$C102&amp;$D102&amp;$E102&amp;$F102,".","_"),"(","_"),")","")</f>
        <v xml:space="preserve">dnt602_1_1_2 </v>
      </c>
      <c r="AS102" s="1352" t="str">
        <f>IF(LEN(X102)=0,"",X102)</f>
        <v/>
      </c>
    </row>
    <row r="103" spans="1:52" s="794" customFormat="1" x14ac:dyDescent="0.2">
      <c r="A103" s="20"/>
      <c r="B103" s="79" t="s">
        <v>476</v>
      </c>
      <c r="C103" s="23"/>
      <c r="D103" s="23"/>
      <c r="E103" s="23"/>
      <c r="F103" s="691"/>
      <c r="G103" s="23"/>
      <c r="H103" s="691"/>
      <c r="I103" s="67"/>
      <c r="J103" s="4"/>
      <c r="K103" s="85"/>
      <c r="L103" s="1631"/>
      <c r="M103" s="1628"/>
      <c r="N103" s="4"/>
      <c r="O103" s="1669"/>
      <c r="W103"/>
      <c r="X103" s="1600"/>
      <c r="AL103" s="66"/>
      <c r="AM103" s="66"/>
      <c r="AN103" s="66"/>
      <c r="AO103" s="66"/>
      <c r="AP103" s="66"/>
      <c r="AQ103" s="66"/>
      <c r="AR103" s="66"/>
      <c r="AS103" s="66"/>
      <c r="AX103" s="66"/>
      <c r="AY103" s="66"/>
      <c r="AZ103" s="746"/>
    </row>
    <row r="104" spans="1:52" ht="16" thickBot="1" x14ac:dyDescent="0.25">
      <c r="B104" s="79" t="s">
        <v>476</v>
      </c>
      <c r="C104" s="23"/>
      <c r="D104" s="23"/>
      <c r="E104" s="23"/>
      <c r="F104" s="691"/>
      <c r="G104" s="23"/>
      <c r="H104" s="691"/>
      <c r="I104" s="67"/>
      <c r="J104" s="4"/>
      <c r="K104" s="85"/>
      <c r="L104" s="1631"/>
      <c r="M104" s="1628"/>
      <c r="N104" s="4"/>
      <c r="O104" s="1669"/>
      <c r="P104" s="332"/>
      <c r="Q104" s="332"/>
      <c r="R104"/>
      <c r="S104"/>
      <c r="T104"/>
      <c r="U104"/>
      <c r="V104"/>
      <c r="W104"/>
      <c r="X104" s="1621"/>
      <c r="Z104"/>
      <c r="AB104"/>
      <c r="AC104"/>
      <c r="AD104"/>
      <c r="AE104"/>
      <c r="AF104"/>
      <c r="AG104"/>
      <c r="AH104"/>
      <c r="AI104"/>
      <c r="AJ104"/>
      <c r="AK104"/>
      <c r="AX104" s="746"/>
      <c r="AY104" s="746"/>
    </row>
    <row r="105" spans="1:52" ht="16" thickTop="1" x14ac:dyDescent="0.2">
      <c r="B105" s="674" t="s">
        <v>477</v>
      </c>
      <c r="C105" s="23"/>
      <c r="D105" s="23"/>
      <c r="E105" s="23"/>
      <c r="F105" s="691"/>
      <c r="G105" s="23"/>
      <c r="H105" s="691"/>
      <c r="I105" s="177" t="s">
        <v>3535</v>
      </c>
      <c r="J105" s="178"/>
      <c r="K105" s="179"/>
      <c r="L105" s="1683" t="s">
        <v>3807</v>
      </c>
      <c r="M105" s="1685">
        <v>4</v>
      </c>
      <c r="N105" s="178"/>
      <c r="O105" s="1682">
        <f>M105*OR(S108*W108,S109*W109)</f>
        <v>0</v>
      </c>
      <c r="P105" s="106"/>
      <c r="Q105" s="106"/>
      <c r="R105" s="106"/>
      <c r="S105" s="106"/>
      <c r="T105" s="106"/>
      <c r="U105" s="106"/>
      <c r="V105" s="106"/>
      <c r="W105" s="106"/>
      <c r="X105" s="1603"/>
      <c r="Z105"/>
      <c r="AB105"/>
      <c r="AC105"/>
      <c r="AD105"/>
      <c r="AE105"/>
      <c r="AF105"/>
      <c r="AG105"/>
      <c r="AH105"/>
      <c r="AI105"/>
      <c r="AJ105"/>
      <c r="AK105"/>
      <c r="AL105" s="1352" t="str">
        <f>SUBSTITUTE(SUBSTITUTE(SUBSTITUTE("dpa"&amp;$B105&amp;$C105&amp;$D105&amp;$E105&amp;$F105,".","_"),"(","_"),")","")</f>
        <v xml:space="preserve">dpa602_1_2 </v>
      </c>
      <c r="AM105" s="1352">
        <f>M105</f>
        <v>4</v>
      </c>
      <c r="AN105" s="1352" t="str">
        <f>SUBSTITUTE(SUBSTITUTE(SUBSTITUTE("dpc"&amp;$B105&amp;$C105&amp;$D105&amp;$E105&amp;$F105,".","_"),"(","_"),")","")</f>
        <v xml:space="preserve">dpc602_1_2 </v>
      </c>
      <c r="AO105" s="1352">
        <f>O105</f>
        <v>0</v>
      </c>
      <c r="AR105" s="1352" t="str">
        <f>SUBSTITUTE(SUBSTITUTE(SUBSTITUTE("dnt"&amp;$B105&amp;$C105&amp;$D105&amp;$E105&amp;$F105,".","_"),"(","_"),")","")</f>
        <v xml:space="preserve">dnt602_1_2 </v>
      </c>
      <c r="AS105" s="1352" t="str">
        <f>IF(LEN(X105)=0,"",X105)</f>
        <v/>
      </c>
      <c r="AZ105" s="794"/>
    </row>
    <row r="106" spans="1:52" s="794" customFormat="1" x14ac:dyDescent="0.2">
      <c r="A106" s="20"/>
      <c r="B106" s="674" t="s">
        <v>477</v>
      </c>
      <c r="C106" s="23"/>
      <c r="D106" s="23"/>
      <c r="E106" s="23"/>
      <c r="F106" s="691"/>
      <c r="G106" s="23"/>
      <c r="H106" s="691"/>
      <c r="I106" s="130"/>
      <c r="J106" s="129"/>
      <c r="K106" s="97"/>
      <c r="L106" s="1629"/>
      <c r="M106" s="1623"/>
      <c r="N106" s="129"/>
      <c r="O106" s="1619"/>
      <c r="P106" s="96"/>
      <c r="Q106" s="96"/>
      <c r="R106" s="96"/>
      <c r="S106" s="96"/>
      <c r="T106" s="96"/>
      <c r="U106" s="96"/>
      <c r="V106" s="96"/>
      <c r="W106" s="96"/>
      <c r="X106" s="1599"/>
      <c r="AL106" s="66"/>
      <c r="AM106" s="66"/>
      <c r="AN106" s="66"/>
      <c r="AO106" s="66"/>
      <c r="AP106" s="66"/>
      <c r="AQ106" s="66"/>
      <c r="AR106" s="66"/>
      <c r="AS106" s="66"/>
      <c r="AZ106" s="66"/>
    </row>
    <row r="107" spans="1:52" x14ac:dyDescent="0.2">
      <c r="B107" s="674" t="s">
        <v>477</v>
      </c>
      <c r="C107" s="23"/>
      <c r="D107" s="23"/>
      <c r="E107" s="23"/>
      <c r="F107" s="691"/>
      <c r="G107" s="23"/>
      <c r="H107" s="691"/>
      <c r="I107" s="130"/>
      <c r="J107" s="129"/>
      <c r="K107" s="97"/>
      <c r="L107" s="1629"/>
      <c r="M107" s="1623"/>
      <c r="N107" s="129"/>
      <c r="O107" s="1619"/>
      <c r="P107" s="96"/>
      <c r="Q107" s="96"/>
      <c r="R107" s="96"/>
      <c r="S107" s="96"/>
      <c r="T107" s="96"/>
      <c r="U107" s="96"/>
      <c r="V107" s="96"/>
      <c r="W107" s="96"/>
      <c r="X107" s="1601"/>
      <c r="Z107"/>
      <c r="AB107"/>
      <c r="AC107"/>
      <c r="AD107"/>
      <c r="AE107"/>
      <c r="AF107"/>
      <c r="AG107"/>
      <c r="AH107"/>
      <c r="AI107"/>
      <c r="AJ107"/>
      <c r="AK107"/>
    </row>
    <row r="108" spans="1:52" x14ac:dyDescent="0.2">
      <c r="B108" s="674" t="s">
        <v>477</v>
      </c>
      <c r="C108" s="23" t="s">
        <v>254</v>
      </c>
      <c r="D108" s="23"/>
      <c r="E108" s="23"/>
      <c r="F108" s="691"/>
      <c r="G108" s="23"/>
      <c r="H108" s="691"/>
      <c r="I108" s="130"/>
      <c r="J108" s="207" t="s">
        <v>254</v>
      </c>
      <c r="K108" s="170"/>
      <c r="L108" s="296" t="s">
        <v>478</v>
      </c>
      <c r="M108" s="1623"/>
      <c r="N108" s="129"/>
      <c r="O108" s="1619"/>
      <c r="P108" s="332" t="b">
        <v>1</v>
      </c>
      <c r="Q108" s="332" t="b">
        <v>0</v>
      </c>
      <c r="R108" s="96" t="b">
        <v>0</v>
      </c>
      <c r="S108" s="96" t="b">
        <f>NOT(AZ34=4)</f>
        <v>0</v>
      </c>
      <c r="T108" s="96" t="b">
        <f>AND(NOT(S108),W108=TRUE)</f>
        <v>0</v>
      </c>
      <c r="U108" s="96"/>
      <c r="V108" s="96"/>
      <c r="W108" s="27"/>
      <c r="X108" s="1601"/>
      <c r="Z108"/>
      <c r="AB108"/>
      <c r="AC108" s="137" t="b">
        <f>OR(AD108:AE108)</f>
        <v>0</v>
      </c>
      <c r="AD108" s="137" t="b">
        <f>T108</f>
        <v>0</v>
      </c>
      <c r="AE108"/>
      <c r="AF108"/>
      <c r="AG108"/>
      <c r="AH108"/>
      <c r="AI108"/>
      <c r="AJ108"/>
      <c r="AK108"/>
      <c r="AP108" s="1352" t="str">
        <f>SUBSTITUTE(SUBSTITUTE(SUBSTITUTE("dch"&amp;$B108&amp;$C108&amp;$D108&amp;$E108&amp;$F108,".","_"),"(","_"),")","")</f>
        <v>dch602_1_2 _1</v>
      </c>
      <c r="AQ108" s="1352" t="str">
        <f>IF(LEN(W108)=0,"",W108)</f>
        <v/>
      </c>
      <c r="AZ108" s="794"/>
    </row>
    <row r="109" spans="1:52" ht="16" thickBot="1" x14ac:dyDescent="0.25">
      <c r="B109" s="674" t="s">
        <v>477</v>
      </c>
      <c r="C109" s="23" t="s">
        <v>255</v>
      </c>
      <c r="D109" s="23"/>
      <c r="E109" s="23"/>
      <c r="F109" s="691"/>
      <c r="G109" s="23"/>
      <c r="H109" s="691"/>
      <c r="I109" s="189"/>
      <c r="J109" s="190" t="s">
        <v>255</v>
      </c>
      <c r="K109" s="99"/>
      <c r="L109" s="314" t="s">
        <v>479</v>
      </c>
      <c r="M109" s="1627"/>
      <c r="N109" s="239"/>
      <c r="O109" s="1638"/>
      <c r="P109" s="100"/>
      <c r="Q109" s="100"/>
      <c r="R109" s="100" t="b">
        <v>0</v>
      </c>
      <c r="S109" s="100" t="b">
        <f>NOT(AZ34=4)</f>
        <v>0</v>
      </c>
      <c r="T109" s="96" t="b">
        <f>AND(NOT(S109),W109=TRUE)</f>
        <v>0</v>
      </c>
      <c r="U109" s="100"/>
      <c r="V109" s="100"/>
      <c r="W109" s="27"/>
      <c r="X109" s="1602"/>
      <c r="Z109"/>
      <c r="AB109"/>
      <c r="AC109" s="137" t="b">
        <f>OR(AD109:AE109)</f>
        <v>0</v>
      </c>
      <c r="AD109" s="137" t="b">
        <f>T109</f>
        <v>0</v>
      </c>
      <c r="AE109"/>
      <c r="AF109"/>
      <c r="AG109"/>
      <c r="AH109"/>
      <c r="AI109"/>
      <c r="AJ109"/>
      <c r="AK109"/>
      <c r="AP109" s="1352" t="str">
        <f>SUBSTITUTE(SUBSTITUTE(SUBSTITUTE("dch"&amp;$B109&amp;$C109&amp;$D109&amp;$E109&amp;$F109,".","_"),"(","_"),")","")</f>
        <v>dch602_1_2 _2</v>
      </c>
      <c r="AQ109" s="1352" t="str">
        <f>IF(LEN(W109)=0,"",W109)</f>
        <v/>
      </c>
      <c r="AX109" s="794"/>
      <c r="AY109" s="794"/>
    </row>
    <row r="110" spans="1:52" ht="16" thickTop="1" x14ac:dyDescent="0.2">
      <c r="B110" s="79" t="s">
        <v>480</v>
      </c>
      <c r="C110" s="23"/>
      <c r="D110" s="23"/>
      <c r="E110" s="23"/>
      <c r="F110" s="691"/>
      <c r="G110" s="23"/>
      <c r="H110" s="691"/>
      <c r="I110" s="177" t="s">
        <v>3536</v>
      </c>
      <c r="J110" s="178"/>
      <c r="K110" s="179"/>
      <c r="L110" s="313" t="s">
        <v>3628</v>
      </c>
      <c r="M110" s="370"/>
      <c r="N110" s="178"/>
      <c r="O110" s="421"/>
      <c r="P110" s="106"/>
      <c r="Q110" s="106"/>
      <c r="R110" s="106"/>
      <c r="S110" s="106"/>
      <c r="T110" s="106"/>
      <c r="U110" s="106"/>
      <c r="V110" s="106"/>
      <c r="W110" s="284"/>
      <c r="X110" s="106"/>
      <c r="Z110"/>
      <c r="AB110"/>
      <c r="AC110"/>
      <c r="AD110"/>
      <c r="AE110"/>
      <c r="AF110"/>
      <c r="AG110"/>
      <c r="AH110"/>
      <c r="AI110"/>
      <c r="AJ110"/>
      <c r="AK110"/>
    </row>
    <row r="111" spans="1:52" x14ac:dyDescent="0.2">
      <c r="B111" s="79" t="s">
        <v>481</v>
      </c>
      <c r="C111" s="23"/>
      <c r="D111" s="23"/>
      <c r="E111" s="23"/>
      <c r="F111" s="691"/>
      <c r="G111" s="23"/>
      <c r="H111" s="691"/>
      <c r="I111" s="130" t="s">
        <v>3537</v>
      </c>
      <c r="J111" s="129"/>
      <c r="K111" s="97"/>
      <c r="L111" s="1629" t="s">
        <v>3627</v>
      </c>
      <c r="M111" s="1697" t="str">
        <f>IF(R111,"Mandatory","N/A")</f>
        <v>N/A</v>
      </c>
      <c r="N111" s="4"/>
      <c r="O111" s="138"/>
      <c r="P111" s="332" t="b">
        <v>1</v>
      </c>
      <c r="Q111" s="332" t="b">
        <v>0</v>
      </c>
      <c r="R111" s="137" t="b">
        <f>S111</f>
        <v>0</v>
      </c>
      <c r="S111" s="126" t="b">
        <f>OR(AZ34=1,AZ34=5,AZ34=6)</f>
        <v>0</v>
      </c>
      <c r="T111" s="96" t="b">
        <f>AND(NOT(S111),LEN(W111)&gt;0)</f>
        <v>0</v>
      </c>
      <c r="U111" s="96" t="str">
        <f>SUBSTITUTE(SUBSTITUTE(SUBSTITUTE("dd"&amp;B111&amp;C111&amp;D111&amp;E111&amp;F111,".","_"),"(","_"),")","")</f>
        <v>dd602_1_3_1</v>
      </c>
      <c r="V111"/>
      <c r="W111" s="12"/>
      <c r="X111" s="1621"/>
      <c r="Z111"/>
      <c r="AB111"/>
      <c r="AC111" s="137" t="b">
        <f>OR(AD111:AE111)</f>
        <v>0</v>
      </c>
      <c r="AD111" s="137" t="b">
        <f>T111</f>
        <v>0</v>
      </c>
      <c r="AE111" s="751" t="b">
        <f>AND(R111,NOT(W111="Met"),NOT(W111="N/A"))</f>
        <v>0</v>
      </c>
      <c r="AF111"/>
      <c r="AG111"/>
      <c r="AH111"/>
      <c r="AI111"/>
      <c r="AJ111"/>
      <c r="AK111"/>
      <c r="AL111" s="1352" t="str">
        <f>SUBSTITUTE(SUBSTITUTE(SUBSTITUTE("dpa"&amp;$B111&amp;$C111&amp;$D111&amp;$E111&amp;$F111,".","_"),"(","_"),")","")</f>
        <v>dpa602_1_3_1</v>
      </c>
      <c r="AM111" s="1352" t="str">
        <f>M111</f>
        <v>N/A</v>
      </c>
      <c r="AP111" s="1352" t="str">
        <f>SUBSTITUTE(SUBSTITUTE(SUBSTITUTE("dch"&amp;$B111&amp;$C111&amp;$D111&amp;$E111&amp;$F111,".","_"),"(","_"),")","")</f>
        <v>dch602_1_3_1</v>
      </c>
      <c r="AQ111" s="1352" t="str">
        <f>IF(LEN(W111)=0,"",W111)</f>
        <v/>
      </c>
      <c r="AR111" s="1352" t="str">
        <f>SUBSTITUTE(SUBSTITUTE(SUBSTITUTE("dnt"&amp;$B111&amp;$C111&amp;$D111&amp;$E111&amp;$F111,".","_"),"(","_"),")","")</f>
        <v>dnt602_1_3_1</v>
      </c>
      <c r="AS111" s="1352" t="str">
        <f>IF(LEN(X111)=0,"",X111)</f>
        <v/>
      </c>
    </row>
    <row r="112" spans="1:52" x14ac:dyDescent="0.2">
      <c r="B112" s="79" t="s">
        <v>481</v>
      </c>
      <c r="C112" s="23"/>
      <c r="D112" s="23"/>
      <c r="E112" s="23"/>
      <c r="F112" s="691"/>
      <c r="G112" s="23"/>
      <c r="H112" s="691"/>
      <c r="I112" s="130"/>
      <c r="J112" s="129"/>
      <c r="K112" s="97"/>
      <c r="L112" s="1629"/>
      <c r="M112" s="1697"/>
      <c r="N112" s="4"/>
      <c r="O112" s="138"/>
      <c r="P112" s="332"/>
      <c r="Q112" s="332"/>
      <c r="R112"/>
      <c r="S112"/>
      <c r="T112"/>
      <c r="U112"/>
      <c r="V112"/>
      <c r="W112"/>
      <c r="X112" s="1632"/>
      <c r="Z112"/>
      <c r="AB112"/>
      <c r="AC112"/>
      <c r="AD112"/>
      <c r="AE112"/>
      <c r="AF112"/>
      <c r="AG112"/>
      <c r="AH112"/>
      <c r="AI112"/>
      <c r="AJ112"/>
      <c r="AK112"/>
    </row>
    <row r="113" spans="1:52" s="751" customFormat="1" x14ac:dyDescent="0.2">
      <c r="A113" s="20"/>
      <c r="B113" s="79" t="s">
        <v>481</v>
      </c>
      <c r="C113" s="23"/>
      <c r="D113" s="23"/>
      <c r="E113" s="23"/>
      <c r="F113" s="691"/>
      <c r="G113" s="23"/>
      <c r="H113" s="691"/>
      <c r="I113" s="219"/>
      <c r="J113" s="213"/>
      <c r="K113" s="170"/>
      <c r="L113" s="710" t="s">
        <v>3818</v>
      </c>
      <c r="M113" s="754"/>
      <c r="N113" s="4"/>
      <c r="O113" s="752"/>
      <c r="X113" s="1599"/>
      <c r="AL113" s="66"/>
      <c r="AM113" s="66"/>
      <c r="AN113" s="66"/>
      <c r="AO113" s="66"/>
      <c r="AP113" s="66"/>
      <c r="AQ113" s="66"/>
      <c r="AR113" s="66"/>
      <c r="AS113" s="66"/>
      <c r="AX113" s="66"/>
      <c r="AY113" s="66"/>
      <c r="AZ113" s="66"/>
    </row>
    <row r="114" spans="1:52" x14ac:dyDescent="0.2">
      <c r="B114" s="600" t="s">
        <v>482</v>
      </c>
      <c r="C114" s="23"/>
      <c r="D114" s="23"/>
      <c r="E114" s="23"/>
      <c r="F114" s="691"/>
      <c r="G114" s="23"/>
      <c r="H114" s="691"/>
      <c r="I114" s="67" t="s">
        <v>3538</v>
      </c>
      <c r="J114" s="4"/>
      <c r="K114" s="85"/>
      <c r="L114" s="1631" t="s">
        <v>3808</v>
      </c>
      <c r="M114" s="1628">
        <v>4</v>
      </c>
      <c r="N114" s="4"/>
      <c r="O114" s="1669">
        <f>M114*S114*W114</f>
        <v>0</v>
      </c>
      <c r="P114" s="332" t="b">
        <v>1</v>
      </c>
      <c r="Q114" s="332" t="b">
        <v>0</v>
      </c>
      <c r="R114" s="126" t="b">
        <v>0</v>
      </c>
      <c r="S114" s="126" t="b">
        <v>1</v>
      </c>
      <c r="T114" s="126" t="b">
        <v>0</v>
      </c>
      <c r="U114"/>
      <c r="V114"/>
      <c r="W114" s="27"/>
      <c r="X114" s="1600"/>
      <c r="Z114"/>
      <c r="AB114"/>
      <c r="AC114"/>
      <c r="AD114"/>
      <c r="AE114"/>
      <c r="AF114"/>
      <c r="AG114"/>
      <c r="AH114"/>
      <c r="AI114"/>
      <c r="AJ114"/>
      <c r="AK114"/>
      <c r="AL114" s="1352" t="str">
        <f>SUBSTITUTE(SUBSTITUTE(SUBSTITUTE("dpa"&amp;$B114&amp;$C114&amp;$D114&amp;$E114&amp;$F114,".","_"),"(","_"),")","")</f>
        <v>dpa602_1_3_2</v>
      </c>
      <c r="AM114" s="1352">
        <f>M114</f>
        <v>4</v>
      </c>
      <c r="AN114" s="1352" t="str">
        <f>SUBSTITUTE(SUBSTITUTE(SUBSTITUTE("dpc"&amp;$B114&amp;$C114&amp;$D114&amp;$E114&amp;$F114,".","_"),"(","_"),")","")</f>
        <v>dpc602_1_3_2</v>
      </c>
      <c r="AO114" s="1352">
        <f>O114</f>
        <v>0</v>
      </c>
      <c r="AP114" s="1352" t="str">
        <f>SUBSTITUTE(SUBSTITUTE(SUBSTITUTE("dch"&amp;$B114&amp;$C114&amp;$D114&amp;$E114&amp;$F114,".","_"),"(","_"),")","")</f>
        <v>dch602_1_3_2</v>
      </c>
      <c r="AQ114" s="1352" t="str">
        <f>IF(LEN(W114)=0,"",W114)</f>
        <v/>
      </c>
      <c r="AR114" s="1352" t="str">
        <f>SUBSTITUTE(SUBSTITUTE(SUBSTITUTE("dnt"&amp;$B114&amp;$C114&amp;$D114&amp;$E114&amp;$F114,".","_"),"(","_"),")","")</f>
        <v>dnt602_1_3_2</v>
      </c>
      <c r="AS114" s="1352" t="str">
        <f>IF(LEN(X114)=0,"",X114)</f>
        <v/>
      </c>
    </row>
    <row r="115" spans="1:52" s="794" customFormat="1" x14ac:dyDescent="0.2">
      <c r="A115" s="20"/>
      <c r="B115" s="600" t="s">
        <v>482</v>
      </c>
      <c r="C115" s="23"/>
      <c r="D115" s="23"/>
      <c r="E115" s="23"/>
      <c r="F115" s="691"/>
      <c r="G115" s="23"/>
      <c r="H115" s="691"/>
      <c r="I115" s="67"/>
      <c r="J115" s="4"/>
      <c r="K115" s="85"/>
      <c r="L115" s="1631"/>
      <c r="M115" s="1628"/>
      <c r="N115" s="4"/>
      <c r="O115" s="1669"/>
      <c r="W115"/>
      <c r="X115" s="1600"/>
      <c r="AL115" s="66"/>
      <c r="AM115" s="66"/>
      <c r="AN115" s="66"/>
      <c r="AO115" s="66"/>
      <c r="AP115" s="66"/>
      <c r="AQ115" s="66"/>
      <c r="AR115" s="66"/>
      <c r="AS115" s="66"/>
      <c r="AX115" s="66"/>
      <c r="AY115" s="66"/>
      <c r="AZ115" s="751"/>
    </row>
    <row r="116" spans="1:52" ht="16" thickBot="1" x14ac:dyDescent="0.25">
      <c r="B116" s="600" t="s">
        <v>482</v>
      </c>
      <c r="C116" s="23"/>
      <c r="D116" s="23"/>
      <c r="E116" s="23"/>
      <c r="F116" s="691"/>
      <c r="G116" s="23"/>
      <c r="H116" s="691"/>
      <c r="I116" s="67"/>
      <c r="J116" s="4"/>
      <c r="K116" s="85"/>
      <c r="L116" s="1631"/>
      <c r="M116" s="1628"/>
      <c r="N116" s="4"/>
      <c r="O116" s="1669"/>
      <c r="P116" s="332"/>
      <c r="Q116" s="332"/>
      <c r="R116"/>
      <c r="S116"/>
      <c r="T116"/>
      <c r="U116"/>
      <c r="V116"/>
      <c r="W116"/>
      <c r="X116" s="1621"/>
      <c r="Z116"/>
      <c r="AB116"/>
      <c r="AC116"/>
      <c r="AD116"/>
      <c r="AE116"/>
      <c r="AF116"/>
      <c r="AG116"/>
      <c r="AH116"/>
      <c r="AI116"/>
      <c r="AJ116"/>
      <c r="AK116"/>
      <c r="AX116" s="751"/>
      <c r="AY116" s="751"/>
    </row>
    <row r="117" spans="1:52" ht="16" thickTop="1" x14ac:dyDescent="0.2">
      <c r="B117" s="79" t="s">
        <v>483</v>
      </c>
      <c r="C117" s="23"/>
      <c r="D117" s="23"/>
      <c r="E117" s="23"/>
      <c r="F117" s="691"/>
      <c r="G117" s="23"/>
      <c r="H117" s="691"/>
      <c r="I117" s="177" t="s">
        <v>3539</v>
      </c>
      <c r="J117" s="178"/>
      <c r="K117" s="179"/>
      <c r="L117" s="313" t="s">
        <v>3626</v>
      </c>
      <c r="M117" s="370"/>
      <c r="N117" s="178"/>
      <c r="O117" s="421"/>
      <c r="P117" s="106"/>
      <c r="Q117" s="106"/>
      <c r="R117" s="106"/>
      <c r="S117" s="106"/>
      <c r="T117" s="106"/>
      <c r="U117" s="106"/>
      <c r="V117" s="106"/>
      <c r="W117" s="106"/>
      <c r="X117" s="106"/>
      <c r="Z117"/>
      <c r="AB117"/>
      <c r="AC117"/>
      <c r="AD117"/>
      <c r="AE117"/>
      <c r="AF117"/>
      <c r="AG117"/>
      <c r="AH117"/>
      <c r="AI117"/>
      <c r="AJ117"/>
      <c r="AK117"/>
      <c r="AZ117" s="794"/>
    </row>
    <row r="118" spans="1:52" x14ac:dyDescent="0.2">
      <c r="B118" s="600" t="s">
        <v>484</v>
      </c>
      <c r="C118" s="23"/>
      <c r="D118" s="23"/>
      <c r="E118" s="23"/>
      <c r="F118" s="691"/>
      <c r="G118" s="23"/>
      <c r="H118" s="691"/>
      <c r="I118" s="67" t="s">
        <v>3540</v>
      </c>
      <c r="J118" s="4"/>
      <c r="K118" s="85"/>
      <c r="L118" s="1631" t="s">
        <v>3809</v>
      </c>
      <c r="M118" s="374"/>
      <c r="N118" s="4"/>
      <c r="O118" s="138"/>
      <c r="P118" s="332"/>
      <c r="Q118" s="332"/>
      <c r="R118"/>
      <c r="S118"/>
      <c r="T118"/>
      <c r="U118"/>
      <c r="V118"/>
      <c r="W118"/>
      <c r="X118"/>
      <c r="Z118"/>
      <c r="AB118"/>
      <c r="AC118"/>
      <c r="AD118"/>
      <c r="AE118"/>
      <c r="AF118"/>
      <c r="AG118"/>
      <c r="AH118"/>
      <c r="AI118"/>
      <c r="AJ118"/>
      <c r="AK118"/>
      <c r="AX118" s="794"/>
      <c r="AY118" s="794"/>
    </row>
    <row r="119" spans="1:52" x14ac:dyDescent="0.2">
      <c r="B119" s="600" t="s">
        <v>484</v>
      </c>
      <c r="C119" s="23"/>
      <c r="D119" s="23"/>
      <c r="E119" s="23"/>
      <c r="F119" s="691"/>
      <c r="G119" s="23"/>
      <c r="H119" s="691"/>
      <c r="I119" s="67"/>
      <c r="J119" s="4"/>
      <c r="K119" s="85"/>
      <c r="L119" s="1631"/>
      <c r="M119" s="374"/>
      <c r="N119" s="4"/>
      <c r="O119" s="138"/>
      <c r="P119" s="332"/>
      <c r="Q119" s="332"/>
      <c r="R119" s="137"/>
      <c r="S119" s="137"/>
      <c r="T119" s="137"/>
      <c r="U119" s="137"/>
      <c r="V119" s="137"/>
      <c r="W119" s="137"/>
      <c r="X119" s="137"/>
      <c r="Z119" s="137"/>
      <c r="AB119" s="137"/>
      <c r="AC119" s="137"/>
      <c r="AD119" s="137"/>
      <c r="AE119" s="137"/>
      <c r="AF119" s="137"/>
      <c r="AG119" s="137"/>
      <c r="AH119" s="137"/>
      <c r="AI119" s="137"/>
      <c r="AJ119" s="137"/>
      <c r="AK119" s="137"/>
      <c r="AT119" s="137"/>
    </row>
    <row r="120" spans="1:52" s="794" customFormat="1" x14ac:dyDescent="0.2">
      <c r="A120" s="20"/>
      <c r="B120" s="600" t="s">
        <v>484</v>
      </c>
      <c r="C120" s="23"/>
      <c r="D120" s="23"/>
      <c r="E120" s="23"/>
      <c r="F120" s="691"/>
      <c r="G120" s="23"/>
      <c r="H120" s="691"/>
      <c r="I120" s="67"/>
      <c r="J120" s="4"/>
      <c r="K120" s="85"/>
      <c r="L120" s="1631"/>
      <c r="M120" s="797"/>
      <c r="N120" s="4"/>
      <c r="O120" s="796"/>
      <c r="AL120" s="66"/>
      <c r="AM120" s="66"/>
      <c r="AN120" s="66"/>
      <c r="AO120" s="66"/>
      <c r="AP120" s="66"/>
      <c r="AQ120" s="66"/>
      <c r="AR120" s="66"/>
      <c r="AS120" s="66"/>
      <c r="AX120" s="66"/>
      <c r="AY120" s="66"/>
      <c r="AZ120" s="66"/>
    </row>
    <row r="121" spans="1:52" s="137" customFormat="1" x14ac:dyDescent="0.2">
      <c r="A121" s="20"/>
      <c r="B121" s="600" t="s">
        <v>484</v>
      </c>
      <c r="C121" s="23"/>
      <c r="D121" s="23"/>
      <c r="E121" s="23"/>
      <c r="F121" s="691"/>
      <c r="G121" s="23"/>
      <c r="H121" s="691"/>
      <c r="I121" s="67"/>
      <c r="J121" s="4"/>
      <c r="K121" s="85"/>
      <c r="L121" s="1631"/>
      <c r="M121" s="374"/>
      <c r="N121" s="4"/>
      <c r="O121" s="138"/>
      <c r="P121" s="332"/>
      <c r="Q121" s="332"/>
      <c r="R121"/>
      <c r="S121"/>
      <c r="T121"/>
      <c r="U121"/>
      <c r="V121"/>
      <c r="W121"/>
      <c r="X121"/>
      <c r="Y121" s="704"/>
      <c r="Z121"/>
      <c r="AA121" s="707"/>
      <c r="AB121"/>
      <c r="AC121"/>
      <c r="AD121"/>
      <c r="AE121"/>
      <c r="AF121"/>
      <c r="AG121"/>
      <c r="AH121"/>
      <c r="AI121"/>
      <c r="AJ121"/>
      <c r="AK121"/>
      <c r="AL121" s="66"/>
      <c r="AM121" s="66"/>
      <c r="AN121" s="66"/>
      <c r="AO121" s="66"/>
      <c r="AP121" s="66"/>
      <c r="AQ121" s="66"/>
      <c r="AR121" s="66"/>
      <c r="AS121" s="66"/>
      <c r="AT121" s="66"/>
      <c r="AX121" s="66"/>
      <c r="AY121" s="66"/>
      <c r="AZ121" s="66"/>
    </row>
    <row r="122" spans="1:52" x14ac:dyDescent="0.2">
      <c r="B122" s="600" t="s">
        <v>484</v>
      </c>
      <c r="C122" s="23" t="s">
        <v>254</v>
      </c>
      <c r="D122" s="23"/>
      <c r="E122" s="23"/>
      <c r="F122" s="691"/>
      <c r="G122" s="23"/>
      <c r="H122" s="691"/>
      <c r="I122" s="67"/>
      <c r="J122" s="180" t="s">
        <v>254</v>
      </c>
      <c r="K122" s="97"/>
      <c r="L122" s="1609" t="s">
        <v>485</v>
      </c>
      <c r="M122" s="1623">
        <v>6</v>
      </c>
      <c r="N122" s="129"/>
      <c r="O122" s="1619">
        <f>M122*S122*W122</f>
        <v>0</v>
      </c>
      <c r="P122" s="332" t="b">
        <v>1</v>
      </c>
      <c r="Q122" s="332" t="b">
        <v>0</v>
      </c>
      <c r="R122" s="126" t="b">
        <v>0</v>
      </c>
      <c r="S122" s="126" t="b">
        <f>OR(AZ34=2,AZ34=7)</f>
        <v>0</v>
      </c>
      <c r="T122" s="96" t="b">
        <f>AND(NOT(S122),W122=TRUE)</f>
        <v>0</v>
      </c>
      <c r="U122"/>
      <c r="V122"/>
      <c r="W122" s="27"/>
      <c r="X122" s="1600"/>
      <c r="Z122"/>
      <c r="AB122"/>
      <c r="AC122" s="137" t="b">
        <f>OR(AD122:AE122)</f>
        <v>0</v>
      </c>
      <c r="AD122" s="137" t="b">
        <f>T122</f>
        <v>0</v>
      </c>
      <c r="AE122"/>
      <c r="AF122"/>
      <c r="AG122"/>
      <c r="AH122"/>
      <c r="AI122"/>
      <c r="AJ122"/>
      <c r="AK122"/>
      <c r="AL122" s="1352" t="str">
        <f>SUBSTITUTE(SUBSTITUTE(SUBSTITUTE("dpa"&amp;$B122&amp;$C122&amp;$D122&amp;$E122&amp;$F122,".","_"),"(","_"),")","")</f>
        <v>dpa602_1_4_1_1</v>
      </c>
      <c r="AM122" s="1352">
        <f>M122</f>
        <v>6</v>
      </c>
      <c r="AN122" s="1352" t="str">
        <f>SUBSTITUTE(SUBSTITUTE(SUBSTITUTE("dpc"&amp;$B122&amp;$C122&amp;$D122&amp;$E122&amp;$F122,".","_"),"(","_"),")","")</f>
        <v>dpc602_1_4_1_1</v>
      </c>
      <c r="AO122" s="1352">
        <f>O122</f>
        <v>0</v>
      </c>
      <c r="AP122" s="1352" t="str">
        <f>SUBSTITUTE(SUBSTITUTE(SUBSTITUTE("dch"&amp;$B122&amp;$C122&amp;$D122&amp;$E122&amp;$F122,".","_"),"(","_"),")","")</f>
        <v>dch602_1_4_1_1</v>
      </c>
      <c r="AQ122" s="1352" t="str">
        <f>IF(LEN(W122)=0,"",W122)</f>
        <v/>
      </c>
      <c r="AR122" s="1352" t="str">
        <f>SUBSTITUTE(SUBSTITUTE(SUBSTITUTE("dnt"&amp;$B122&amp;$C122&amp;$D122&amp;$E122&amp;$F122,".","_"),"(","_"),")","")</f>
        <v>dnt602_1_4_1_1</v>
      </c>
      <c r="AS122" s="1352" t="str">
        <f>IF(LEN(X122)=0,"",X122)</f>
        <v/>
      </c>
      <c r="AX122" s="137"/>
      <c r="AY122" s="137"/>
      <c r="AZ122" s="794"/>
    </row>
    <row r="123" spans="1:52" x14ac:dyDescent="0.2">
      <c r="B123" s="600" t="s">
        <v>484</v>
      </c>
      <c r="C123" s="23" t="s">
        <v>254</v>
      </c>
      <c r="D123" s="23"/>
      <c r="E123" s="23"/>
      <c r="F123" s="691"/>
      <c r="G123" s="23"/>
      <c r="H123" s="691"/>
      <c r="I123" s="67"/>
      <c r="J123" s="213"/>
      <c r="K123" s="170"/>
      <c r="L123" s="1612"/>
      <c r="M123" s="1624"/>
      <c r="N123" s="213"/>
      <c r="O123" s="1620"/>
      <c r="P123" s="332"/>
      <c r="Q123" s="332"/>
      <c r="R123"/>
      <c r="S123"/>
      <c r="T123"/>
      <c r="U123"/>
      <c r="V123"/>
      <c r="W123"/>
      <c r="X123" s="1600"/>
      <c r="Z123"/>
      <c r="AB123"/>
      <c r="AC123"/>
      <c r="AD123"/>
      <c r="AE123"/>
      <c r="AF123"/>
      <c r="AG123"/>
      <c r="AH123"/>
      <c r="AI123"/>
      <c r="AJ123"/>
      <c r="AK123"/>
      <c r="AX123" s="794"/>
      <c r="AY123" s="794"/>
      <c r="AZ123" s="137"/>
    </row>
    <row r="124" spans="1:52" x14ac:dyDescent="0.2">
      <c r="B124" s="600" t="s">
        <v>484</v>
      </c>
      <c r="C124" s="23" t="s">
        <v>255</v>
      </c>
      <c r="D124" s="23"/>
      <c r="E124" s="23"/>
      <c r="F124" s="691"/>
      <c r="G124" s="23"/>
      <c r="H124" s="691"/>
      <c r="I124" s="130"/>
      <c r="J124" s="180" t="s">
        <v>255</v>
      </c>
      <c r="K124" s="97"/>
      <c r="L124" s="759" t="s">
        <v>486</v>
      </c>
      <c r="M124" s="760" t="str">
        <f>IF(R124,"Mandatory","N/A")</f>
        <v>N/A</v>
      </c>
      <c r="N124" s="4"/>
      <c r="O124" s="138"/>
      <c r="P124" s="332" t="b">
        <v>1</v>
      </c>
      <c r="Q124" s="332" t="b">
        <v>0</v>
      </c>
      <c r="R124" s="137" t="b">
        <f>S124</f>
        <v>0</v>
      </c>
      <c r="S124" s="137" t="b">
        <f>OR(AZ34=2,AZ34=7)</f>
        <v>0</v>
      </c>
      <c r="T124" s="96" t="b">
        <f>AND(NOT(S124),LEN(W124)&gt;0)</f>
        <v>0</v>
      </c>
      <c r="U124" s="96" t="str">
        <f>SUBSTITUTE(SUBSTITUTE(SUBSTITUTE("dd"&amp;B124&amp;C124&amp;D124&amp;E124&amp;F124,".","_"),"(","_"),")","")</f>
        <v>dd602_1_4_1_2</v>
      </c>
      <c r="V124"/>
      <c r="W124" s="12"/>
      <c r="X124" s="1621"/>
      <c r="Z124"/>
      <c r="AB124"/>
      <c r="AC124" s="137" t="b">
        <f>OR(AD124:AE124)</f>
        <v>0</v>
      </c>
      <c r="AD124" s="137" t="b">
        <f>T124</f>
        <v>0</v>
      </c>
      <c r="AE124" s="137" t="b">
        <f>AND(R124,NOT(W124="Met"),NOT(W124="N/A"))</f>
        <v>0</v>
      </c>
      <c r="AF124"/>
      <c r="AG124"/>
      <c r="AH124"/>
      <c r="AI124"/>
      <c r="AJ124"/>
      <c r="AK124"/>
      <c r="AL124" s="1352" t="str">
        <f>SUBSTITUTE(SUBSTITUTE(SUBSTITUTE("dpa"&amp;$B124&amp;$C124&amp;$D124&amp;$E124&amp;$F124,".","_"),"(","_"),")","")</f>
        <v>dpa602_1_4_1_2</v>
      </c>
      <c r="AM124" s="1352" t="str">
        <f>M124</f>
        <v>N/A</v>
      </c>
      <c r="AP124" s="1352" t="str">
        <f>SUBSTITUTE(SUBSTITUTE(SUBSTITUTE("dch"&amp;$B124&amp;$C124&amp;$D124&amp;$E124&amp;$F124,".","_"),"(","_"),")","")</f>
        <v>dch602_1_4_1_2</v>
      </c>
      <c r="AQ124" s="1352" t="str">
        <f>IF(LEN(W124)=0,"",W124)</f>
        <v/>
      </c>
      <c r="AR124" s="1352" t="str">
        <f>SUBSTITUTE(SUBSTITUTE(SUBSTITUTE("dnt"&amp;$B124&amp;$C124&amp;$D124&amp;$E124&amp;$F124,".","_"),"(","_"),")","")</f>
        <v>dnt602_1_4_1_2</v>
      </c>
      <c r="AS124" s="1352" t="str">
        <f>IF(LEN(X124)=0,"",X124)</f>
        <v/>
      </c>
    </row>
    <row r="125" spans="1:52" s="755" customFormat="1" x14ac:dyDescent="0.2">
      <c r="A125" s="20"/>
      <c r="B125" s="600" t="s">
        <v>484</v>
      </c>
      <c r="C125" s="23" t="s">
        <v>255</v>
      </c>
      <c r="D125" s="23"/>
      <c r="E125" s="23"/>
      <c r="F125" s="691"/>
      <c r="G125" s="23"/>
      <c r="H125" s="691"/>
      <c r="I125" s="219"/>
      <c r="J125" s="207"/>
      <c r="K125" s="170"/>
      <c r="L125" s="710" t="s">
        <v>3819</v>
      </c>
      <c r="M125" s="754"/>
      <c r="N125" s="4"/>
      <c r="O125" s="757"/>
      <c r="T125" s="96"/>
      <c r="U125" s="96"/>
      <c r="X125" s="1599"/>
      <c r="AL125" s="66"/>
      <c r="AM125" s="66"/>
      <c r="AN125" s="66"/>
      <c r="AO125" s="66"/>
      <c r="AP125" s="66"/>
      <c r="AQ125" s="66"/>
      <c r="AR125" s="66"/>
      <c r="AS125" s="66"/>
      <c r="AX125" s="66"/>
      <c r="AY125" s="66"/>
      <c r="AZ125" s="66"/>
    </row>
    <row r="126" spans="1:52" x14ac:dyDescent="0.2">
      <c r="B126" s="79" t="s">
        <v>487</v>
      </c>
      <c r="C126" s="23"/>
      <c r="D126" s="23"/>
      <c r="E126" s="23"/>
      <c r="F126" s="691"/>
      <c r="G126" s="23"/>
      <c r="H126" s="691"/>
      <c r="I126" s="67" t="s">
        <v>3541</v>
      </c>
      <c r="J126" s="4"/>
      <c r="K126" s="85"/>
      <c r="L126" s="1631" t="s">
        <v>3810</v>
      </c>
      <c r="M126" s="374"/>
      <c r="N126" s="4"/>
      <c r="O126" s="138"/>
      <c r="P126" s="332"/>
      <c r="Q126" s="332"/>
      <c r="R126"/>
      <c r="S126"/>
      <c r="T126"/>
      <c r="U126"/>
      <c r="V126"/>
      <c r="W126"/>
      <c r="X126"/>
      <c r="Z126"/>
      <c r="AB126"/>
      <c r="AC126"/>
      <c r="AD126"/>
      <c r="AE126"/>
      <c r="AF126"/>
      <c r="AG126"/>
      <c r="AH126"/>
      <c r="AI126"/>
      <c r="AJ126"/>
      <c r="AK126"/>
    </row>
    <row r="127" spans="1:52" ht="15" customHeight="1" x14ac:dyDescent="0.2">
      <c r="B127" s="79" t="s">
        <v>487</v>
      </c>
      <c r="C127" s="23"/>
      <c r="D127" s="23"/>
      <c r="E127" s="23"/>
      <c r="F127" s="691"/>
      <c r="G127" s="23"/>
      <c r="H127" s="691"/>
      <c r="I127" s="67"/>
      <c r="J127" s="4"/>
      <c r="K127" s="85"/>
      <c r="L127" s="1631"/>
      <c r="M127" s="374"/>
      <c r="N127" s="4"/>
      <c r="O127" s="138"/>
      <c r="P127" s="332"/>
      <c r="Q127" s="332"/>
      <c r="R127" s="137"/>
      <c r="S127" s="137"/>
      <c r="T127" s="137"/>
      <c r="U127" s="137"/>
      <c r="V127" s="137"/>
      <c r="W127" s="137"/>
      <c r="X127" s="137"/>
      <c r="Z127" s="137"/>
      <c r="AB127" s="137"/>
      <c r="AC127" s="137"/>
      <c r="AD127" s="137"/>
      <c r="AE127" s="137"/>
      <c r="AF127" s="137"/>
      <c r="AG127" s="137"/>
      <c r="AH127" s="137"/>
      <c r="AI127" s="137"/>
      <c r="AJ127" s="137"/>
      <c r="AK127" s="137"/>
      <c r="AT127" s="137"/>
      <c r="AZ127" s="755"/>
    </row>
    <row r="128" spans="1:52" s="794" customFormat="1" ht="15" customHeight="1" x14ac:dyDescent="0.2">
      <c r="A128" s="20"/>
      <c r="B128" s="79" t="s">
        <v>487</v>
      </c>
      <c r="C128" s="23"/>
      <c r="D128" s="23"/>
      <c r="E128" s="23"/>
      <c r="F128" s="691"/>
      <c r="G128" s="23"/>
      <c r="H128" s="691"/>
      <c r="I128" s="67"/>
      <c r="J128" s="4"/>
      <c r="K128" s="85"/>
      <c r="L128" s="1631"/>
      <c r="M128" s="797"/>
      <c r="N128" s="4"/>
      <c r="O128" s="796"/>
      <c r="AL128" s="66"/>
      <c r="AM128" s="66"/>
      <c r="AN128" s="66"/>
      <c r="AO128" s="66"/>
      <c r="AP128" s="66"/>
      <c r="AQ128" s="66"/>
      <c r="AR128" s="66"/>
      <c r="AS128" s="66"/>
      <c r="AX128" s="755"/>
      <c r="AY128" s="755"/>
      <c r="AZ128" s="66"/>
    </row>
    <row r="129" spans="1:52" s="794" customFormat="1" ht="15" customHeight="1" x14ac:dyDescent="0.2">
      <c r="A129" s="20"/>
      <c r="B129" s="79" t="s">
        <v>487</v>
      </c>
      <c r="C129" s="23"/>
      <c r="D129" s="23"/>
      <c r="E129" s="23"/>
      <c r="F129" s="691"/>
      <c r="G129" s="23"/>
      <c r="H129" s="691"/>
      <c r="I129" s="67"/>
      <c r="J129" s="4"/>
      <c r="K129" s="85"/>
      <c r="L129" s="1631"/>
      <c r="M129" s="797"/>
      <c r="N129" s="4"/>
      <c r="O129" s="796"/>
      <c r="AL129" s="66"/>
      <c r="AM129" s="66"/>
      <c r="AN129" s="66"/>
      <c r="AO129" s="66"/>
      <c r="AP129" s="66"/>
      <c r="AQ129" s="66"/>
      <c r="AR129" s="66"/>
      <c r="AS129" s="66"/>
      <c r="AX129" s="66"/>
      <c r="AY129" s="66"/>
      <c r="AZ129" s="66"/>
    </row>
    <row r="130" spans="1:52" s="137" customFormat="1" x14ac:dyDescent="0.2">
      <c r="A130" s="20"/>
      <c r="B130" s="79" t="s">
        <v>487</v>
      </c>
      <c r="C130" s="23"/>
      <c r="D130" s="23"/>
      <c r="E130" s="23"/>
      <c r="F130" s="691"/>
      <c r="G130" s="23"/>
      <c r="H130" s="691"/>
      <c r="I130" s="67"/>
      <c r="J130" s="4"/>
      <c r="K130" s="85"/>
      <c r="L130" s="1631"/>
      <c r="M130" s="374"/>
      <c r="N130" s="4"/>
      <c r="O130" s="138"/>
      <c r="P130" s="332"/>
      <c r="Q130" s="332"/>
      <c r="Y130" s="704"/>
      <c r="AA130" s="707"/>
      <c r="AL130" s="66"/>
      <c r="AM130" s="66"/>
      <c r="AN130" s="66"/>
      <c r="AO130" s="66"/>
      <c r="AP130" s="66"/>
      <c r="AQ130" s="66"/>
      <c r="AR130" s="66"/>
      <c r="AS130" s="66"/>
      <c r="AZ130" s="794"/>
    </row>
    <row r="131" spans="1:52" s="137" customFormat="1" x14ac:dyDescent="0.2">
      <c r="A131" s="20"/>
      <c r="B131" s="79" t="s">
        <v>487</v>
      </c>
      <c r="C131" s="23" t="s">
        <v>254</v>
      </c>
      <c r="D131" s="23"/>
      <c r="E131" s="23"/>
      <c r="F131" s="691"/>
      <c r="G131" s="23"/>
      <c r="H131" s="691"/>
      <c r="I131" s="67"/>
      <c r="J131" s="180" t="s">
        <v>254</v>
      </c>
      <c r="K131" s="97"/>
      <c r="L131" s="1609" t="s">
        <v>2591</v>
      </c>
      <c r="M131" s="1623">
        <v>8</v>
      </c>
      <c r="N131" s="129"/>
      <c r="O131" s="1619">
        <f>M131*S131*W131</f>
        <v>0</v>
      </c>
      <c r="P131" s="332" t="b">
        <v>1</v>
      </c>
      <c r="Q131" s="332" t="b">
        <v>0</v>
      </c>
      <c r="R131" s="137" t="b">
        <v>0</v>
      </c>
      <c r="S131" s="137" t="b">
        <f>OR(AZ34=3,AZ34=7)</f>
        <v>0</v>
      </c>
      <c r="T131" s="96" t="b">
        <f>AND(NOT(S131),W131=TRUE)</f>
        <v>0</v>
      </c>
      <c r="W131" s="27"/>
      <c r="X131" s="1600"/>
      <c r="Y131" s="704"/>
      <c r="AA131" s="707"/>
      <c r="AC131" s="137" t="b">
        <f>OR(AD131:AE131)</f>
        <v>0</v>
      </c>
      <c r="AD131" s="137" t="b">
        <f>T131</f>
        <v>0</v>
      </c>
      <c r="AL131" s="1352" t="str">
        <f>SUBSTITUTE(SUBSTITUTE(SUBSTITUTE("dpa"&amp;$B131&amp;$C131&amp;$D131&amp;$E131&amp;$F131,".","_"),"(","_"),")","")</f>
        <v>dpa602_1_4_2_1</v>
      </c>
      <c r="AM131" s="1352">
        <f>M131</f>
        <v>8</v>
      </c>
      <c r="AN131" s="1352" t="str">
        <f>SUBSTITUTE(SUBSTITUTE(SUBSTITUTE("dpc"&amp;$B131&amp;$C131&amp;$D131&amp;$E131&amp;$F131,".","_"),"(","_"),")","")</f>
        <v>dpc602_1_4_2_1</v>
      </c>
      <c r="AO131" s="1352">
        <f>O131</f>
        <v>0</v>
      </c>
      <c r="AP131" s="1352" t="str">
        <f>SUBSTITUTE(SUBSTITUTE(SUBSTITUTE("dch"&amp;$B131&amp;$C131&amp;$D131&amp;$E131&amp;$F131,".","_"),"(","_"),")","")</f>
        <v>dch602_1_4_2_1</v>
      </c>
      <c r="AQ131" s="1352" t="str">
        <f>IF(LEN(W131)=0,"",W131)</f>
        <v/>
      </c>
      <c r="AR131" s="1352" t="str">
        <f>SUBSTITUTE(SUBSTITUTE(SUBSTITUTE("dnt"&amp;$B131&amp;$C131&amp;$D131&amp;$E131&amp;$F131,".","_"),"(","_"),")","")</f>
        <v>dnt602_1_4_2_1</v>
      </c>
      <c r="AS131" s="1352" t="str">
        <f>IF(LEN(X131)=0,"",X131)</f>
        <v/>
      </c>
      <c r="AX131" s="794"/>
      <c r="AY131" s="794"/>
      <c r="AZ131" s="794"/>
    </row>
    <row r="132" spans="1:52" s="137" customFormat="1" ht="15" customHeight="1" x14ac:dyDescent="0.2">
      <c r="A132" s="20"/>
      <c r="B132" s="79" t="s">
        <v>487</v>
      </c>
      <c r="C132" s="23" t="s">
        <v>254</v>
      </c>
      <c r="D132" s="23"/>
      <c r="E132" s="23"/>
      <c r="F132" s="691"/>
      <c r="G132" s="23"/>
      <c r="H132" s="691"/>
      <c r="I132" s="67"/>
      <c r="J132" s="213"/>
      <c r="K132" s="170"/>
      <c r="L132" s="1612"/>
      <c r="M132" s="1624"/>
      <c r="N132" s="213"/>
      <c r="O132" s="1620"/>
      <c r="P132" s="332"/>
      <c r="Q132" s="332"/>
      <c r="X132" s="1600"/>
      <c r="Y132" s="704"/>
      <c r="AA132" s="707"/>
      <c r="AL132" s="66"/>
      <c r="AM132" s="66"/>
      <c r="AN132" s="66"/>
      <c r="AO132" s="66"/>
      <c r="AP132" s="66"/>
      <c r="AQ132" s="66"/>
      <c r="AR132" s="66"/>
      <c r="AS132" s="66"/>
      <c r="AX132" s="794"/>
      <c r="AY132" s="794"/>
    </row>
    <row r="133" spans="1:52" s="137" customFormat="1" x14ac:dyDescent="0.2">
      <c r="A133" s="20"/>
      <c r="B133" s="79" t="s">
        <v>487</v>
      </c>
      <c r="C133" s="23" t="s">
        <v>255</v>
      </c>
      <c r="D133" s="23"/>
      <c r="E133" s="23"/>
      <c r="F133" s="691"/>
      <c r="G133" s="23"/>
      <c r="H133" s="691"/>
      <c r="I133" s="67"/>
      <c r="J133" s="29" t="s">
        <v>255</v>
      </c>
      <c r="K133" s="85"/>
      <c r="L133" s="1611" t="s">
        <v>2592</v>
      </c>
      <c r="M133" s="1714" t="str">
        <f>IF(R133,"Mandatory","N/A")</f>
        <v>N/A</v>
      </c>
      <c r="N133" s="4"/>
      <c r="O133" s="138"/>
      <c r="P133" s="332" t="b">
        <v>1</v>
      </c>
      <c r="Q133" s="332" t="b">
        <v>0</v>
      </c>
      <c r="R133" s="137" t="b">
        <f>S133</f>
        <v>0</v>
      </c>
      <c r="S133" s="137" t="b">
        <f>OR(AZ34=3,AZ34=7)</f>
        <v>0</v>
      </c>
      <c r="T133" s="96" t="b">
        <f>AND(NOT(S133),LEN(W133)&gt;0)</f>
        <v>0</v>
      </c>
      <c r="U133" s="96" t="str">
        <f>SUBSTITUTE(SUBSTITUTE(SUBSTITUTE("dd"&amp;B133&amp;C133&amp;D133&amp;E133&amp;F133,".","_"),"(","_"),")","")</f>
        <v>dd602_1_4_2_2</v>
      </c>
      <c r="W133" s="12"/>
      <c r="X133" s="1600"/>
      <c r="Y133" s="704"/>
      <c r="AA133" s="707"/>
      <c r="AC133" s="137" t="b">
        <f>OR(AD133:AE133)</f>
        <v>0</v>
      </c>
      <c r="AD133" s="137" t="b">
        <f>T133</f>
        <v>0</v>
      </c>
      <c r="AE133" s="137" t="b">
        <f>AND(R133,NOT(W133="Met"),NOT(W133="N/A"))</f>
        <v>0</v>
      </c>
      <c r="AL133" s="1352" t="str">
        <f>SUBSTITUTE(SUBSTITUTE(SUBSTITUTE("dpa"&amp;$B133&amp;$C133&amp;$D133&amp;$E133&amp;$F133,".","_"),"(","_"),")","")</f>
        <v>dpa602_1_4_2_2</v>
      </c>
      <c r="AM133" s="1352" t="str">
        <f>M133</f>
        <v>N/A</v>
      </c>
      <c r="AN133" s="66"/>
      <c r="AO133" s="66"/>
      <c r="AP133" s="1352" t="str">
        <f>SUBSTITUTE(SUBSTITUTE(SUBSTITUTE("dch"&amp;$B133&amp;$C133&amp;$D133&amp;$E133&amp;$F133,".","_"),"(","_"),")","")</f>
        <v>dch602_1_4_2_2</v>
      </c>
      <c r="AQ133" s="1352" t="str">
        <f>IF(LEN(W133)=0,"",W133)</f>
        <v/>
      </c>
      <c r="AR133" s="1352" t="str">
        <f>SUBSTITUTE(SUBSTITUTE(SUBSTITUTE("dnt"&amp;$B133&amp;$C133&amp;$D133&amp;$E133&amp;$F133,".","_"),"(","_"),")","")</f>
        <v>dnt602_1_4_2_2</v>
      </c>
      <c r="AS133" s="1352" t="str">
        <f>IF(LEN(X133)=0,"",X133)</f>
        <v/>
      </c>
    </row>
    <row r="134" spans="1:52" s="137" customFormat="1" x14ac:dyDescent="0.2">
      <c r="A134" s="20"/>
      <c r="B134" s="79" t="s">
        <v>487</v>
      </c>
      <c r="C134" s="23" t="s">
        <v>255</v>
      </c>
      <c r="D134" s="23"/>
      <c r="E134" s="23"/>
      <c r="F134" s="691"/>
      <c r="G134" s="23"/>
      <c r="H134" s="691"/>
      <c r="I134" s="67"/>
      <c r="J134" s="4"/>
      <c r="K134" s="85"/>
      <c r="L134" s="1611"/>
      <c r="M134" s="1714"/>
      <c r="N134" s="4"/>
      <c r="O134" s="138"/>
      <c r="P134" s="332"/>
      <c r="Q134" s="332"/>
      <c r="R134"/>
      <c r="S134"/>
      <c r="T134"/>
      <c r="U134"/>
      <c r="V134"/>
      <c r="W134"/>
      <c r="X134" s="1600"/>
      <c r="Y134" s="704"/>
      <c r="Z134"/>
      <c r="AA134" s="707"/>
      <c r="AB134"/>
      <c r="AC134"/>
      <c r="AD134"/>
      <c r="AE134"/>
      <c r="AF134"/>
      <c r="AG134"/>
      <c r="AH134"/>
      <c r="AI134"/>
      <c r="AJ134"/>
      <c r="AK134"/>
      <c r="AL134" s="66"/>
      <c r="AM134" s="66"/>
      <c r="AN134" s="66"/>
      <c r="AO134" s="66"/>
      <c r="AP134" s="66"/>
      <c r="AQ134" s="66"/>
      <c r="AR134" s="66"/>
      <c r="AS134" s="66"/>
      <c r="AT134" s="66"/>
    </row>
    <row r="135" spans="1:52" s="755" customFormat="1" x14ac:dyDescent="0.2">
      <c r="A135" s="20"/>
      <c r="B135" s="79" t="s">
        <v>487</v>
      </c>
      <c r="C135" s="23" t="s">
        <v>255</v>
      </c>
      <c r="D135" s="23"/>
      <c r="E135" s="23"/>
      <c r="F135" s="691"/>
      <c r="G135" s="23"/>
      <c r="H135" s="691"/>
      <c r="I135" s="67"/>
      <c r="J135" s="4"/>
      <c r="K135" s="85"/>
      <c r="L135" s="1707" t="s">
        <v>3820</v>
      </c>
      <c r="M135" s="773"/>
      <c r="N135" s="4"/>
      <c r="O135" s="757"/>
      <c r="X135" s="1600"/>
      <c r="AL135" s="66"/>
      <c r="AM135" s="66"/>
      <c r="AN135" s="66"/>
      <c r="AO135" s="66"/>
      <c r="AP135" s="66"/>
      <c r="AQ135" s="66"/>
      <c r="AR135" s="66"/>
      <c r="AS135" s="66"/>
      <c r="AX135" s="137"/>
      <c r="AY135" s="137"/>
      <c r="AZ135" s="137"/>
    </row>
    <row r="136" spans="1:52" s="755" customFormat="1" ht="16" thickBot="1" x14ac:dyDescent="0.25">
      <c r="A136" s="20"/>
      <c r="B136" s="79" t="s">
        <v>487</v>
      </c>
      <c r="C136" s="23" t="s">
        <v>255</v>
      </c>
      <c r="D136" s="23"/>
      <c r="E136" s="23"/>
      <c r="F136" s="691"/>
      <c r="G136" s="23"/>
      <c r="H136" s="691"/>
      <c r="I136" s="67"/>
      <c r="J136" s="4"/>
      <c r="K136" s="85"/>
      <c r="L136" s="1706"/>
      <c r="M136" s="773"/>
      <c r="N136" s="4"/>
      <c r="O136" s="757"/>
      <c r="X136" s="1600"/>
      <c r="AL136" s="66"/>
      <c r="AM136" s="66"/>
      <c r="AN136" s="66"/>
      <c r="AO136" s="66"/>
      <c r="AP136" s="66"/>
      <c r="AQ136" s="66"/>
      <c r="AR136" s="66"/>
      <c r="AS136" s="66"/>
      <c r="AX136" s="137"/>
      <c r="AY136" s="137"/>
      <c r="AZ136" s="137"/>
    </row>
    <row r="137" spans="1:52" ht="16" thickTop="1" x14ac:dyDescent="0.2">
      <c r="B137" s="79" t="s">
        <v>488</v>
      </c>
      <c r="C137" s="23"/>
      <c r="D137" s="23"/>
      <c r="E137" s="23"/>
      <c r="F137" s="691"/>
      <c r="G137" s="23"/>
      <c r="H137" s="691"/>
      <c r="I137" s="177" t="s">
        <v>3542</v>
      </c>
      <c r="J137" s="178"/>
      <c r="K137" s="179"/>
      <c r="L137" s="294" t="s">
        <v>3625</v>
      </c>
      <c r="M137" s="370"/>
      <c r="N137" s="178"/>
      <c r="O137" s="421"/>
      <c r="P137" s="106"/>
      <c r="Q137" s="106"/>
      <c r="R137" s="106"/>
      <c r="S137" s="106"/>
      <c r="T137" s="106"/>
      <c r="U137" s="106"/>
      <c r="V137" s="106"/>
      <c r="W137" s="106" t="s">
        <v>677</v>
      </c>
      <c r="X137" s="106"/>
      <c r="Z137"/>
      <c r="AB137"/>
      <c r="AC137"/>
      <c r="AD137"/>
      <c r="AE137"/>
      <c r="AF137"/>
      <c r="AG137"/>
      <c r="AH137"/>
      <c r="AI137"/>
      <c r="AJ137"/>
      <c r="AK137"/>
      <c r="AZ137" s="755"/>
    </row>
    <row r="138" spans="1:52" x14ac:dyDescent="0.2">
      <c r="B138" s="79" t="s">
        <v>488</v>
      </c>
      <c r="C138" s="23"/>
      <c r="D138" s="23"/>
      <c r="E138" s="23"/>
      <c r="F138" s="691"/>
      <c r="G138" s="23"/>
      <c r="H138" s="691"/>
      <c r="I138" s="67"/>
      <c r="J138" s="4"/>
      <c r="K138" s="85"/>
      <c r="L138" s="305" t="s">
        <v>2583</v>
      </c>
      <c r="M138" s="374"/>
      <c r="N138" s="4"/>
      <c r="O138" s="138"/>
      <c r="P138" s="332" t="b">
        <v>1</v>
      </c>
      <c r="Q138" s="332" t="b">
        <v>0</v>
      </c>
      <c r="R138" s="131" t="b">
        <v>0</v>
      </c>
      <c r="S138" s="131" t="b">
        <v>1</v>
      </c>
      <c r="T138" s="131" t="b">
        <v>0</v>
      </c>
      <c r="U138" s="96" t="str">
        <f>SUBSTITUTE(SUBSTITUTE(SUBSTITUTE("dd"&amp;B138&amp;C138&amp;D138&amp;E138&amp;F138,".","_"),"(","_"),")","")</f>
        <v>dd602_1_5</v>
      </c>
      <c r="V138" s="131"/>
      <c r="W138" s="12"/>
      <c r="X138" s="1600"/>
      <c r="Z138" s="131"/>
      <c r="AB138" s="131"/>
      <c r="AC138" s="131"/>
      <c r="AD138" s="131"/>
      <c r="AE138" s="131"/>
      <c r="AF138" s="131"/>
      <c r="AG138" s="131"/>
      <c r="AH138" s="131"/>
      <c r="AI138" s="131"/>
      <c r="AJ138" s="131"/>
      <c r="AK138" s="131"/>
      <c r="AP138" s="1352" t="str">
        <f>SUBSTITUTE(SUBSTITUTE(SUBSTITUTE("dch"&amp;$B138&amp;$C138&amp;$D138&amp;$E138&amp;$F138,".","_"),"(","_"),")","")</f>
        <v>dch602_1_5</v>
      </c>
      <c r="AQ138" s="1352" t="str">
        <f>IF(LEN(W138)=0,"",W138)</f>
        <v/>
      </c>
      <c r="AR138" s="1352" t="str">
        <f>SUBSTITUTE(SUBSTITUTE(SUBSTITUTE("dnt"&amp;$B138&amp;$C138&amp;$D138&amp;$E138&amp;$F138,".","_"),"(","_"),")","")</f>
        <v>dnt602_1_5</v>
      </c>
      <c r="AS138" s="1352" t="str">
        <f>IF(LEN(X138)=0,"",X138)</f>
        <v/>
      </c>
      <c r="AT138" s="131"/>
      <c r="AX138" s="755"/>
      <c r="AY138" s="755"/>
      <c r="AZ138" s="755"/>
    </row>
    <row r="139" spans="1:52" s="131" customFormat="1" x14ac:dyDescent="0.2">
      <c r="A139" s="20"/>
      <c r="B139" s="79" t="s">
        <v>488</v>
      </c>
      <c r="C139" s="23" t="s">
        <v>254</v>
      </c>
      <c r="D139" s="23"/>
      <c r="E139" s="23"/>
      <c r="F139" s="691"/>
      <c r="G139" s="23"/>
      <c r="H139" s="691"/>
      <c r="I139" s="67"/>
      <c r="J139" s="180" t="s">
        <v>254</v>
      </c>
      <c r="K139" s="97"/>
      <c r="L139" s="1609" t="s">
        <v>489</v>
      </c>
      <c r="M139" s="1623">
        <v>4</v>
      </c>
      <c r="N139" s="129"/>
      <c r="O139" s="1619">
        <f ca="1">M139*S139*W139</f>
        <v>0</v>
      </c>
      <c r="P139" s="332" t="b">
        <v>1</v>
      </c>
      <c r="Q139" s="332" t="b">
        <v>0</v>
      </c>
      <c r="R139" s="126" t="b">
        <v>0</v>
      </c>
      <c r="S139" s="131" t="b">
        <f ca="1">IF(IFERROR(MATCH(W138,INDIRECT(U138),0),0)=3,TRUE,FALSE)</f>
        <v>0</v>
      </c>
      <c r="T139" s="96" t="b">
        <f ca="1">AND(NOT(S139),W139=TRUE)</f>
        <v>0</v>
      </c>
      <c r="U139"/>
      <c r="V139"/>
      <c r="W139" s="27"/>
      <c r="X139" s="1600"/>
      <c r="Y139" s="704"/>
      <c r="Z139"/>
      <c r="AA139" s="707"/>
      <c r="AB139"/>
      <c r="AC139" s="137" t="b">
        <f ca="1">OR(AD139:AE139)</f>
        <v>0</v>
      </c>
      <c r="AD139" s="137" t="b">
        <f ca="1">T139</f>
        <v>0</v>
      </c>
      <c r="AE139" s="137" t="b">
        <v>0</v>
      </c>
      <c r="AF139"/>
      <c r="AG139"/>
      <c r="AH139"/>
      <c r="AI139"/>
      <c r="AJ139"/>
      <c r="AK139"/>
      <c r="AL139" s="1352" t="str">
        <f>SUBSTITUTE(SUBSTITUTE(SUBSTITUTE("dpa"&amp;$B139&amp;$C139&amp;$D139&amp;$E139&amp;$F139,".","_"),"(","_"),")","")</f>
        <v>dpa602_1_5_1</v>
      </c>
      <c r="AM139" s="1352">
        <f>M139</f>
        <v>4</v>
      </c>
      <c r="AN139" s="1352" t="str">
        <f>SUBSTITUTE(SUBSTITUTE(SUBSTITUTE("dpc"&amp;$B139&amp;$C139&amp;$D139&amp;$E139&amp;$F139,".","_"),"(","_"),")","")</f>
        <v>dpc602_1_5_1</v>
      </c>
      <c r="AO139" s="1352">
        <f ca="1">O139</f>
        <v>0</v>
      </c>
      <c r="AP139" s="1352" t="str">
        <f>SUBSTITUTE(SUBSTITUTE(SUBSTITUTE("dch"&amp;$B139&amp;$C139&amp;$D139&amp;$E139&amp;$F139,".","_"),"(","_"),")","")</f>
        <v>dch602_1_5_1</v>
      </c>
      <c r="AQ139" s="1352" t="str">
        <f>IF(LEN(W139)=0,"",W139)</f>
        <v/>
      </c>
      <c r="AR139" s="66"/>
      <c r="AS139" s="66"/>
      <c r="AT139" s="66"/>
      <c r="AX139" s="755"/>
      <c r="AY139" s="755"/>
      <c r="AZ139" s="66"/>
    </row>
    <row r="140" spans="1:52" x14ac:dyDescent="0.2">
      <c r="B140" s="79" t="s">
        <v>488</v>
      </c>
      <c r="C140" s="23" t="s">
        <v>254</v>
      </c>
      <c r="D140" s="23"/>
      <c r="E140" s="23"/>
      <c r="F140" s="691"/>
      <c r="G140" s="23"/>
      <c r="H140" s="691"/>
      <c r="I140" s="67"/>
      <c r="J140" s="213"/>
      <c r="K140" s="170"/>
      <c r="L140" s="1612"/>
      <c r="M140" s="1624"/>
      <c r="N140" s="213"/>
      <c r="O140" s="1620"/>
      <c r="P140" s="332"/>
      <c r="Q140" s="332"/>
      <c r="R140"/>
      <c r="S140"/>
      <c r="T140"/>
      <c r="U140"/>
      <c r="V140"/>
      <c r="W140"/>
      <c r="X140" s="1600"/>
      <c r="Z140"/>
      <c r="AB140"/>
      <c r="AC140"/>
      <c r="AD140"/>
      <c r="AE140"/>
      <c r="AF140"/>
      <c r="AG140"/>
      <c r="AH140"/>
      <c r="AI140"/>
      <c r="AJ140"/>
      <c r="AK140"/>
    </row>
    <row r="141" spans="1:52" x14ac:dyDescent="0.2">
      <c r="B141" s="79" t="s">
        <v>488</v>
      </c>
      <c r="C141" s="23" t="s">
        <v>255</v>
      </c>
      <c r="D141" s="23"/>
      <c r="E141" s="23"/>
      <c r="F141" s="691"/>
      <c r="G141" s="23"/>
      <c r="H141" s="691"/>
      <c r="I141" s="67"/>
      <c r="J141" s="29" t="s">
        <v>255</v>
      </c>
      <c r="K141" s="85"/>
      <c r="L141" s="1611" t="s">
        <v>490</v>
      </c>
      <c r="M141" s="1628">
        <v>4</v>
      </c>
      <c r="N141" s="4"/>
      <c r="O141" s="1669">
        <f ca="1">M141*S141*W141</f>
        <v>0</v>
      </c>
      <c r="P141" s="332" t="b">
        <v>1</v>
      </c>
      <c r="Q141" s="332" t="b">
        <v>0</v>
      </c>
      <c r="R141" s="126" t="b">
        <v>0</v>
      </c>
      <c r="S141" s="131" t="b">
        <f ca="1">IF(IFERROR(MATCH(W138,INDIRECT(U138),0),0)=4,TRUE,FALSE)</f>
        <v>0</v>
      </c>
      <c r="T141" s="96" t="b">
        <f ca="1">AND(NOT(S141),W141=TRUE)</f>
        <v>0</v>
      </c>
      <c r="U141"/>
      <c r="V141"/>
      <c r="W141" s="27"/>
      <c r="X141" s="1600"/>
      <c r="Z141"/>
      <c r="AB141"/>
      <c r="AC141" s="137" t="b">
        <f ca="1">OR(AD141:AE141)</f>
        <v>0</v>
      </c>
      <c r="AD141" s="137" t="b">
        <f ca="1">T141</f>
        <v>0</v>
      </c>
      <c r="AE141" s="137" t="b">
        <v>0</v>
      </c>
      <c r="AF141"/>
      <c r="AG141"/>
      <c r="AH141"/>
      <c r="AI141"/>
      <c r="AJ141"/>
      <c r="AK141"/>
      <c r="AL141" s="1352" t="str">
        <f>SUBSTITUTE(SUBSTITUTE(SUBSTITUTE("dpa"&amp;$B141&amp;$C141&amp;$D141&amp;$E141&amp;$F141,".","_"),"(","_"),")","")</f>
        <v>dpa602_1_5_2</v>
      </c>
      <c r="AM141" s="1352">
        <f>M141</f>
        <v>4</v>
      </c>
      <c r="AN141" s="1352" t="str">
        <f>SUBSTITUTE(SUBSTITUTE(SUBSTITUTE("dpc"&amp;$B141&amp;$C141&amp;$D141&amp;$E141&amp;$F141,".","_"),"(","_"),")","")</f>
        <v>dpc602_1_5_2</v>
      </c>
      <c r="AO141" s="1352">
        <f ca="1">O141</f>
        <v>0</v>
      </c>
      <c r="AP141" s="1352" t="str">
        <f>SUBSTITUTE(SUBSTITUTE(SUBSTITUTE("dch"&amp;$B141&amp;$C141&amp;$D141&amp;$E141&amp;$F141,".","_"),"(","_"),")","")</f>
        <v>dch602_1_5_2</v>
      </c>
      <c r="AQ141" s="1352" t="str">
        <f>IF(LEN(W141)=0,"",W141)</f>
        <v/>
      </c>
      <c r="AX141" s="131"/>
      <c r="AY141" s="131"/>
      <c r="AZ141" s="131"/>
    </row>
    <row r="142" spans="1:52" x14ac:dyDescent="0.2">
      <c r="B142" s="79" t="s">
        <v>488</v>
      </c>
      <c r="C142" s="23" t="s">
        <v>255</v>
      </c>
      <c r="D142" s="23"/>
      <c r="E142" s="23"/>
      <c r="F142" s="691"/>
      <c r="G142" s="23"/>
      <c r="H142" s="691"/>
      <c r="I142" s="67"/>
      <c r="J142" s="4"/>
      <c r="K142" s="85"/>
      <c r="L142" s="1611"/>
      <c r="M142" s="1628"/>
      <c r="N142" s="4"/>
      <c r="O142" s="1669"/>
      <c r="P142" s="332"/>
      <c r="Q142" s="332"/>
      <c r="R142"/>
      <c r="S142"/>
      <c r="T142"/>
      <c r="U142"/>
      <c r="V142"/>
      <c r="W142"/>
      <c r="X142" s="1600"/>
      <c r="Z142"/>
      <c r="AB142"/>
      <c r="AC142"/>
      <c r="AD142"/>
      <c r="AE142"/>
      <c r="AF142"/>
      <c r="AG142"/>
      <c r="AH142"/>
      <c r="AI142"/>
      <c r="AJ142"/>
      <c r="AK142"/>
    </row>
    <row r="143" spans="1:52" ht="16" thickBot="1" x14ac:dyDescent="0.25">
      <c r="B143" s="79" t="s">
        <v>488</v>
      </c>
      <c r="C143" s="23" t="s">
        <v>255</v>
      </c>
      <c r="D143" s="23"/>
      <c r="E143" s="23"/>
      <c r="F143" s="691"/>
      <c r="G143" s="23"/>
      <c r="H143" s="691"/>
      <c r="I143" s="67"/>
      <c r="J143" s="4"/>
      <c r="K143" s="85"/>
      <c r="L143" s="1611"/>
      <c r="M143" s="1628"/>
      <c r="N143" s="4"/>
      <c r="O143" s="1669"/>
      <c r="P143" s="332"/>
      <c r="Q143" s="332"/>
      <c r="R143" s="155"/>
      <c r="S143" s="155"/>
      <c r="T143" s="155"/>
      <c r="U143" s="155"/>
      <c r="V143" s="155"/>
      <c r="W143" s="155"/>
      <c r="X143" s="1600"/>
      <c r="Z143" s="155"/>
      <c r="AB143" s="155"/>
      <c r="AC143" s="155"/>
      <c r="AD143" s="155"/>
      <c r="AE143" s="155"/>
      <c r="AF143" s="155"/>
      <c r="AG143" s="155"/>
      <c r="AH143" s="155"/>
      <c r="AI143" s="155"/>
      <c r="AJ143" s="155"/>
      <c r="AK143" s="155"/>
      <c r="AT143" s="155"/>
    </row>
    <row r="144" spans="1:52" s="155" customFormat="1" ht="16" thickTop="1" x14ac:dyDescent="0.2">
      <c r="A144" s="20"/>
      <c r="B144" s="79" t="s">
        <v>491</v>
      </c>
      <c r="C144" s="23"/>
      <c r="D144" s="23"/>
      <c r="E144" s="23"/>
      <c r="F144" s="691"/>
      <c r="G144" s="23"/>
      <c r="H144" s="691"/>
      <c r="I144" s="177" t="s">
        <v>3543</v>
      </c>
      <c r="J144" s="178"/>
      <c r="K144" s="179"/>
      <c r="L144" s="1683" t="s">
        <v>3624</v>
      </c>
      <c r="M144" s="370"/>
      <c r="N144" s="178"/>
      <c r="O144" s="421"/>
      <c r="P144" s="106"/>
      <c r="Q144" s="106"/>
      <c r="R144" s="106"/>
      <c r="S144" s="106"/>
      <c r="T144" s="106"/>
      <c r="U144" s="106"/>
      <c r="V144" s="106"/>
      <c r="W144" s="106"/>
      <c r="X144" s="106"/>
      <c r="Y144" s="704"/>
      <c r="Z144"/>
      <c r="AA144" s="707"/>
      <c r="AB144"/>
      <c r="AC144"/>
      <c r="AD144"/>
      <c r="AE144"/>
      <c r="AF144"/>
      <c r="AG144"/>
      <c r="AH144"/>
      <c r="AI144"/>
      <c r="AJ144"/>
      <c r="AK144"/>
      <c r="AL144" s="66"/>
      <c r="AM144" s="66"/>
      <c r="AN144" s="66"/>
      <c r="AO144" s="66"/>
      <c r="AP144" s="66"/>
      <c r="AQ144" s="66"/>
      <c r="AR144" s="66"/>
      <c r="AS144" s="66"/>
      <c r="AT144" s="66"/>
      <c r="AX144" s="66"/>
      <c r="AY144" s="66"/>
      <c r="AZ144" s="66"/>
    </row>
    <row r="145" spans="1:52" ht="15" customHeight="1" x14ac:dyDescent="0.2">
      <c r="B145" s="79" t="s">
        <v>491</v>
      </c>
      <c r="C145" s="23"/>
      <c r="D145" s="23"/>
      <c r="E145" s="23"/>
      <c r="F145" s="691"/>
      <c r="G145" s="23"/>
      <c r="H145" s="691"/>
      <c r="I145" s="130"/>
      <c r="J145" s="129"/>
      <c r="K145" s="97"/>
      <c r="L145" s="1629"/>
      <c r="M145" s="371"/>
      <c r="N145" s="129"/>
      <c r="O145" s="238"/>
      <c r="P145" s="96"/>
      <c r="Q145" s="96"/>
      <c r="R145" s="96"/>
      <c r="S145" s="96"/>
      <c r="T145" s="96"/>
      <c r="U145" s="96"/>
      <c r="V145" s="96"/>
      <c r="W145" s="96"/>
      <c r="X145" s="96"/>
      <c r="Z145" s="134"/>
      <c r="AB145" s="134"/>
      <c r="AC145" s="134"/>
      <c r="AD145" s="134"/>
      <c r="AE145" s="134"/>
      <c r="AF145" s="134"/>
      <c r="AG145" s="134"/>
      <c r="AH145" s="134"/>
      <c r="AI145" s="134"/>
      <c r="AJ145" s="134"/>
      <c r="AK145" s="134"/>
      <c r="AT145" s="134"/>
    </row>
    <row r="146" spans="1:52" s="134" customFormat="1" x14ac:dyDescent="0.2">
      <c r="A146" s="20"/>
      <c r="B146" s="79" t="s">
        <v>491</v>
      </c>
      <c r="C146" s="23"/>
      <c r="D146" s="23"/>
      <c r="E146" s="23"/>
      <c r="F146" s="691"/>
      <c r="G146" s="23"/>
      <c r="H146" s="691"/>
      <c r="I146" s="67"/>
      <c r="J146" s="4"/>
      <c r="K146" s="85"/>
      <c r="L146" s="305" t="s">
        <v>2583</v>
      </c>
      <c r="M146" s="374"/>
      <c r="N146" s="4"/>
      <c r="O146" s="138"/>
      <c r="P146" s="332"/>
      <c r="Q146" s="332"/>
      <c r="R146" s="66"/>
      <c r="S146" s="66"/>
      <c r="T146" s="66"/>
      <c r="U146" s="96"/>
      <c r="V146"/>
      <c r="W146" s="66"/>
      <c r="X146"/>
      <c r="Y146" s="704"/>
      <c r="Z146"/>
      <c r="AA146" s="707"/>
      <c r="AB146"/>
      <c r="AC146"/>
      <c r="AD146"/>
      <c r="AE146"/>
      <c r="AF146"/>
      <c r="AG146"/>
      <c r="AH146"/>
      <c r="AI146"/>
      <c r="AJ146"/>
      <c r="AK146"/>
      <c r="AL146" s="66"/>
      <c r="AM146" s="66"/>
      <c r="AN146" s="66"/>
      <c r="AO146" s="66"/>
      <c r="AP146" s="66"/>
      <c r="AQ146" s="66"/>
      <c r="AR146" s="66"/>
      <c r="AS146" s="66"/>
      <c r="AT146" s="66"/>
      <c r="AX146" s="155"/>
      <c r="AY146" s="155"/>
      <c r="AZ146" s="155"/>
    </row>
    <row r="147" spans="1:52" x14ac:dyDescent="0.2">
      <c r="B147" s="79" t="s">
        <v>491</v>
      </c>
      <c r="C147" s="23" t="s">
        <v>254</v>
      </c>
      <c r="D147" s="23"/>
      <c r="E147" s="23"/>
      <c r="F147" s="691"/>
      <c r="G147" s="23"/>
      <c r="H147" s="691"/>
      <c r="I147" s="67"/>
      <c r="J147" s="180" t="s">
        <v>254</v>
      </c>
      <c r="K147" s="97"/>
      <c r="L147" s="1609" t="s">
        <v>492</v>
      </c>
      <c r="M147" s="1623">
        <v>2</v>
      </c>
      <c r="N147" s="129"/>
      <c r="O147" s="1619">
        <f ca="1">M147*S147*W147</f>
        <v>0</v>
      </c>
      <c r="P147" s="332" t="b">
        <v>1</v>
      </c>
      <c r="Q147" s="332" t="b">
        <v>1</v>
      </c>
      <c r="R147" s="126" t="b">
        <v>0</v>
      </c>
      <c r="S147" s="126" t="b">
        <f ca="1">IF(IFERROR(MATCH(W138,INDIRECT(U138),0),0)=2,TRUE,FALSE)</f>
        <v>0</v>
      </c>
      <c r="T147" s="96" t="b">
        <f ca="1">AND(NOT(S147),W147=TRUE)</f>
        <v>0</v>
      </c>
      <c r="U147"/>
      <c r="V147"/>
      <c r="W147" s="27"/>
      <c r="X147" s="1600"/>
      <c r="Z147"/>
      <c r="AB147"/>
      <c r="AC147" s="131" t="b">
        <f ca="1">OR(AD147:AE147)</f>
        <v>0</v>
      </c>
      <c r="AD147" s="131" t="b">
        <f ca="1">T147</f>
        <v>0</v>
      </c>
      <c r="AE147" s="131" t="b">
        <v>0</v>
      </c>
      <c r="AF147"/>
      <c r="AG147"/>
      <c r="AH147"/>
      <c r="AI147"/>
      <c r="AJ147"/>
      <c r="AK147"/>
      <c r="AL147" s="1352" t="str">
        <f>SUBSTITUTE(SUBSTITUTE(SUBSTITUTE("dpa"&amp;$B147&amp;$C147&amp;$D147&amp;$E147&amp;$F147,".","_"),"(","_"),")","")</f>
        <v>dpa602_1_6_1</v>
      </c>
      <c r="AM147" s="1352">
        <f>M147</f>
        <v>2</v>
      </c>
      <c r="AN147" s="1352" t="str">
        <f>SUBSTITUTE(SUBSTITUTE(SUBSTITUTE("dpc"&amp;$B147&amp;$C147&amp;$D147&amp;$E147&amp;$F147,".","_"),"(","_"),")","")</f>
        <v>dpc602_1_6_1</v>
      </c>
      <c r="AO147" s="1352">
        <f ca="1">O147</f>
        <v>0</v>
      </c>
      <c r="AP147" s="1352" t="str">
        <f>SUBSTITUTE(SUBSTITUTE(SUBSTITUTE("dch"&amp;$B147&amp;$C147&amp;$D147&amp;$E147&amp;$F147,".","_"),"(","_"),")","")</f>
        <v>dch602_1_6_1</v>
      </c>
      <c r="AQ147" s="1352" t="str">
        <f>IF(LEN(W147)=0,"",W147)</f>
        <v/>
      </c>
      <c r="AR147" s="1352" t="str">
        <f>SUBSTITUTE(SUBSTITUTE(SUBSTITUTE("dnt"&amp;$B147&amp;$C147&amp;$D147&amp;$E147&amp;$F147,".","_"),"(","_"),")","")</f>
        <v>dnt602_1_6_1</v>
      </c>
      <c r="AS147" s="1352" t="str">
        <f>IF(LEN(X147)=0,"",X147)</f>
        <v/>
      </c>
    </row>
    <row r="148" spans="1:52" x14ac:dyDescent="0.2">
      <c r="B148" s="79" t="s">
        <v>491</v>
      </c>
      <c r="C148" s="23" t="s">
        <v>254</v>
      </c>
      <c r="D148" s="23"/>
      <c r="E148" s="23"/>
      <c r="F148" s="691"/>
      <c r="G148" s="23"/>
      <c r="H148" s="691"/>
      <c r="I148" s="67"/>
      <c r="J148" s="129"/>
      <c r="K148" s="97"/>
      <c r="L148" s="1609"/>
      <c r="M148" s="1623"/>
      <c r="N148" s="129"/>
      <c r="O148" s="1619"/>
      <c r="P148" s="332"/>
      <c r="Q148" s="332"/>
      <c r="R148"/>
      <c r="S148"/>
      <c r="T148"/>
      <c r="U148"/>
      <c r="V148"/>
      <c r="W148"/>
      <c r="X148" s="1600"/>
      <c r="Z148"/>
      <c r="AB148"/>
      <c r="AC148"/>
      <c r="AD148"/>
      <c r="AE148"/>
      <c r="AF148"/>
      <c r="AG148"/>
      <c r="AH148"/>
      <c r="AI148"/>
      <c r="AJ148"/>
      <c r="AK148"/>
      <c r="AX148" s="134"/>
      <c r="AY148" s="134"/>
      <c r="AZ148" s="134"/>
    </row>
    <row r="149" spans="1:52" x14ac:dyDescent="0.2">
      <c r="B149" s="79" t="s">
        <v>491</v>
      </c>
      <c r="C149" s="23" t="s">
        <v>254</v>
      </c>
      <c r="D149" s="23"/>
      <c r="E149" s="23"/>
      <c r="F149" s="691"/>
      <c r="G149" s="23"/>
      <c r="H149" s="691"/>
      <c r="I149" s="67"/>
      <c r="J149" s="129"/>
      <c r="K149" s="97"/>
      <c r="L149" s="1609"/>
      <c r="M149" s="1623"/>
      <c r="N149" s="129"/>
      <c r="O149" s="1619"/>
      <c r="P149" s="332"/>
      <c r="Q149" s="332"/>
      <c r="R149"/>
      <c r="S149"/>
      <c r="T149"/>
      <c r="U149"/>
      <c r="V149"/>
      <c r="W149"/>
      <c r="X149" s="1600"/>
      <c r="Z149"/>
      <c r="AB149"/>
      <c r="AC149"/>
      <c r="AD149"/>
      <c r="AE149"/>
      <c r="AF149"/>
      <c r="AG149"/>
      <c r="AH149"/>
      <c r="AI149"/>
      <c r="AJ149"/>
      <c r="AK149"/>
    </row>
    <row r="150" spans="1:52" x14ac:dyDescent="0.2">
      <c r="B150" s="79" t="s">
        <v>491</v>
      </c>
      <c r="C150" s="23" t="s">
        <v>254</v>
      </c>
      <c r="D150" s="23"/>
      <c r="E150" s="23"/>
      <c r="F150" s="691"/>
      <c r="G150" s="23"/>
      <c r="H150" s="691"/>
      <c r="I150" s="67"/>
      <c r="J150" s="213"/>
      <c r="K150" s="170"/>
      <c r="L150" s="1612"/>
      <c r="M150" s="1624"/>
      <c r="N150" s="213"/>
      <c r="O150" s="1620"/>
      <c r="P150" s="332"/>
      <c r="Q150" s="332"/>
      <c r="R150" s="131"/>
      <c r="S150" s="131"/>
      <c r="T150" s="131"/>
      <c r="U150" s="131"/>
      <c r="V150" s="131"/>
      <c r="W150" s="131"/>
      <c r="X150" s="1600"/>
      <c r="Z150" s="131"/>
      <c r="AB150" s="131"/>
      <c r="AC150" s="131"/>
      <c r="AD150" s="131"/>
      <c r="AE150" s="131"/>
      <c r="AF150" s="131"/>
      <c r="AG150" s="131"/>
      <c r="AH150" s="131"/>
      <c r="AI150" s="131"/>
      <c r="AJ150" s="131"/>
      <c r="AK150" s="131"/>
      <c r="AT150" s="131"/>
    </row>
    <row r="151" spans="1:52" s="131" customFormat="1" x14ac:dyDescent="0.2">
      <c r="A151" s="20"/>
      <c r="B151" s="79" t="s">
        <v>491</v>
      </c>
      <c r="C151" s="23" t="s">
        <v>255</v>
      </c>
      <c r="D151" s="23"/>
      <c r="E151" s="23"/>
      <c r="F151" s="691"/>
      <c r="G151" s="23"/>
      <c r="H151" s="691"/>
      <c r="I151" s="67"/>
      <c r="J151" s="212" t="s">
        <v>255</v>
      </c>
      <c r="K151" s="194"/>
      <c r="L151" s="1613" t="s">
        <v>493</v>
      </c>
      <c r="M151" s="1636">
        <v>4</v>
      </c>
      <c r="N151" s="193"/>
      <c r="O151" s="1637">
        <f ca="1">M151*S151*W151</f>
        <v>0</v>
      </c>
      <c r="P151" s="332" t="b">
        <v>1</v>
      </c>
      <c r="Q151" s="332" t="b">
        <v>1</v>
      </c>
      <c r="R151" s="126" t="b">
        <v>0</v>
      </c>
      <c r="S151" s="131" t="b">
        <f ca="1">IF(IFERROR(MATCH(W138,INDIRECT(U138),0),0)=3,TRUE,FALSE)</f>
        <v>0</v>
      </c>
      <c r="T151" s="96" t="b">
        <f ca="1">AND(NOT(S151),W151=TRUE)</f>
        <v>0</v>
      </c>
      <c r="U151"/>
      <c r="V151"/>
      <c r="W151" s="27"/>
      <c r="X151" s="1600"/>
      <c r="Y151" s="704"/>
      <c r="Z151"/>
      <c r="AA151" s="707"/>
      <c r="AB151"/>
      <c r="AC151" s="131" t="b">
        <f ca="1">OR(AD151:AE151)</f>
        <v>0</v>
      </c>
      <c r="AD151" s="131" t="b">
        <f ca="1">T151</f>
        <v>0</v>
      </c>
      <c r="AE151" s="131" t="b">
        <v>0</v>
      </c>
      <c r="AF151"/>
      <c r="AG151"/>
      <c r="AH151"/>
      <c r="AI151"/>
      <c r="AJ151"/>
      <c r="AK151"/>
      <c r="AL151" s="1352" t="str">
        <f>SUBSTITUTE(SUBSTITUTE(SUBSTITUTE("dpa"&amp;$B151&amp;$C151&amp;$D151&amp;$E151&amp;$F151,".","_"),"(","_"),")","")</f>
        <v>dpa602_1_6_2</v>
      </c>
      <c r="AM151" s="1352">
        <f>M151</f>
        <v>4</v>
      </c>
      <c r="AN151" s="1352" t="str">
        <f>SUBSTITUTE(SUBSTITUTE(SUBSTITUTE("dpc"&amp;$B151&amp;$C151&amp;$D151&amp;$E151&amp;$F151,".","_"),"(","_"),")","")</f>
        <v>dpc602_1_6_2</v>
      </c>
      <c r="AO151" s="1352">
        <f ca="1">O151</f>
        <v>0</v>
      </c>
      <c r="AP151" s="1352" t="str">
        <f>SUBSTITUTE(SUBSTITUTE(SUBSTITUTE("dch"&amp;$B151&amp;$C151&amp;$D151&amp;$E151&amp;$F151,".","_"),"(","_"),")","")</f>
        <v>dch602_1_6_2</v>
      </c>
      <c r="AQ151" s="1352" t="str">
        <f>IF(LEN(W151)=0,"",W151)</f>
        <v/>
      </c>
      <c r="AR151" s="66"/>
      <c r="AS151" s="66"/>
      <c r="AT151" s="66"/>
      <c r="AX151" s="66"/>
      <c r="AY151" s="66"/>
      <c r="AZ151" s="66"/>
    </row>
    <row r="152" spans="1:52" x14ac:dyDescent="0.2">
      <c r="B152" s="79" t="s">
        <v>491</v>
      </c>
      <c r="C152" s="23" t="s">
        <v>255</v>
      </c>
      <c r="D152" s="23"/>
      <c r="E152" s="23"/>
      <c r="F152" s="691"/>
      <c r="G152" s="23"/>
      <c r="H152" s="691"/>
      <c r="I152" s="67"/>
      <c r="J152" s="129"/>
      <c r="K152" s="97"/>
      <c r="L152" s="1609"/>
      <c r="M152" s="1623"/>
      <c r="N152" s="129"/>
      <c r="O152" s="1619"/>
      <c r="P152" s="332"/>
      <c r="Q152" s="332"/>
      <c r="R152"/>
      <c r="S152"/>
      <c r="T152"/>
      <c r="U152"/>
      <c r="V152"/>
      <c r="W152"/>
      <c r="X152" s="1600"/>
      <c r="Z152"/>
      <c r="AB152"/>
      <c r="AC152"/>
      <c r="AD152"/>
      <c r="AE152"/>
      <c r="AF152"/>
      <c r="AG152"/>
      <c r="AH152"/>
      <c r="AI152"/>
      <c r="AJ152"/>
      <c r="AK152"/>
    </row>
    <row r="153" spans="1:52" x14ac:dyDescent="0.2">
      <c r="B153" s="79" t="s">
        <v>491</v>
      </c>
      <c r="C153" s="23" t="s">
        <v>255</v>
      </c>
      <c r="D153" s="23"/>
      <c r="E153" s="23"/>
      <c r="F153" s="691"/>
      <c r="G153" s="23"/>
      <c r="H153" s="691"/>
      <c r="I153" s="67"/>
      <c r="J153" s="129"/>
      <c r="K153" s="97"/>
      <c r="L153" s="1609"/>
      <c r="M153" s="1623"/>
      <c r="N153" s="129"/>
      <c r="O153" s="1619"/>
      <c r="P153" s="332"/>
      <c r="Q153" s="332"/>
      <c r="R153"/>
      <c r="S153"/>
      <c r="T153"/>
      <c r="U153"/>
      <c r="V153"/>
      <c r="W153"/>
      <c r="X153" s="1600"/>
      <c r="Z153"/>
      <c r="AB153"/>
      <c r="AC153"/>
      <c r="AD153"/>
      <c r="AE153"/>
      <c r="AF153"/>
      <c r="AG153"/>
      <c r="AH153"/>
      <c r="AI153"/>
      <c r="AJ153"/>
      <c r="AK153"/>
      <c r="AX153" s="131"/>
      <c r="AY153" s="131"/>
      <c r="AZ153" s="131"/>
    </row>
    <row r="154" spans="1:52" x14ac:dyDescent="0.2">
      <c r="B154" s="79" t="s">
        <v>491</v>
      </c>
      <c r="C154" s="23" t="s">
        <v>255</v>
      </c>
      <c r="D154" s="23"/>
      <c r="E154" s="23"/>
      <c r="F154" s="691"/>
      <c r="G154" s="23"/>
      <c r="H154" s="691"/>
      <c r="I154" s="67"/>
      <c r="J154" s="213"/>
      <c r="K154" s="170"/>
      <c r="L154" s="1612"/>
      <c r="M154" s="1624"/>
      <c r="N154" s="213"/>
      <c r="O154" s="1620"/>
      <c r="P154" s="332"/>
      <c r="Q154" s="332"/>
      <c r="R154" s="131"/>
      <c r="S154" s="131"/>
      <c r="T154" s="131"/>
      <c r="U154" s="131"/>
      <c r="V154" s="131"/>
      <c r="W154" s="131"/>
      <c r="X154" s="1600"/>
      <c r="Z154" s="131"/>
      <c r="AB154" s="131"/>
      <c r="AC154" s="131"/>
      <c r="AD154" s="131"/>
      <c r="AE154" s="131"/>
      <c r="AF154" s="131"/>
      <c r="AG154" s="131"/>
      <c r="AH154" s="131"/>
      <c r="AI154" s="131"/>
      <c r="AJ154" s="131"/>
      <c r="AK154" s="131"/>
      <c r="AT154" s="131"/>
    </row>
    <row r="155" spans="1:52" s="131" customFormat="1" x14ac:dyDescent="0.2">
      <c r="A155" s="20"/>
      <c r="B155" s="79" t="s">
        <v>491</v>
      </c>
      <c r="C155" s="23" t="s">
        <v>256</v>
      </c>
      <c r="D155" s="23"/>
      <c r="E155" s="23"/>
      <c r="F155" s="691"/>
      <c r="G155" s="23"/>
      <c r="H155" s="691"/>
      <c r="I155" s="67"/>
      <c r="J155" s="29" t="s">
        <v>256</v>
      </c>
      <c r="K155" s="85"/>
      <c r="L155" s="1611" t="s">
        <v>494</v>
      </c>
      <c r="M155" s="1628">
        <v>6</v>
      </c>
      <c r="N155" s="4"/>
      <c r="O155" s="1669">
        <f ca="1">M155*S155*W155</f>
        <v>0</v>
      </c>
      <c r="P155" s="332" t="b">
        <v>1</v>
      </c>
      <c r="Q155" s="332" t="b">
        <v>1</v>
      </c>
      <c r="R155" s="126" t="b">
        <v>0</v>
      </c>
      <c r="S155" s="131" t="b">
        <f ca="1">IF(IFERROR(MATCH(W138,INDIRECT(U138),0),0)=4,TRUE,FALSE)</f>
        <v>0</v>
      </c>
      <c r="T155" s="96" t="b">
        <f ca="1">AND(NOT(S155),W155=TRUE)</f>
        <v>0</v>
      </c>
      <c r="U155"/>
      <c r="V155"/>
      <c r="W155" s="27"/>
      <c r="X155" s="1600"/>
      <c r="Y155" s="704"/>
      <c r="Z155"/>
      <c r="AA155" s="707"/>
      <c r="AB155"/>
      <c r="AC155" s="131" t="b">
        <f ca="1">OR(AD155:AE155)</f>
        <v>0</v>
      </c>
      <c r="AD155" s="131" t="b">
        <f ca="1">T155</f>
        <v>0</v>
      </c>
      <c r="AE155" s="131" t="b">
        <v>0</v>
      </c>
      <c r="AF155"/>
      <c r="AG155"/>
      <c r="AH155"/>
      <c r="AI155"/>
      <c r="AJ155"/>
      <c r="AK155"/>
      <c r="AL155" s="1352" t="str">
        <f>SUBSTITUTE(SUBSTITUTE(SUBSTITUTE("dpa"&amp;$B155&amp;$C155&amp;$D155&amp;$E155&amp;$F155,".","_"),"(","_"),")","")</f>
        <v>dpa602_1_6_3</v>
      </c>
      <c r="AM155" s="1352">
        <f>M155</f>
        <v>6</v>
      </c>
      <c r="AN155" s="1352" t="str">
        <f>SUBSTITUTE(SUBSTITUTE(SUBSTITUTE("dpc"&amp;$B155&amp;$C155&amp;$D155&amp;$E155&amp;$F155,".","_"),"(","_"),")","")</f>
        <v>dpc602_1_6_3</v>
      </c>
      <c r="AO155" s="1352">
        <f ca="1">O155</f>
        <v>0</v>
      </c>
      <c r="AP155" s="1352" t="str">
        <f>SUBSTITUTE(SUBSTITUTE(SUBSTITUTE("dch"&amp;$B155&amp;$C155&amp;$D155&amp;$E155&amp;$F155,".","_"),"(","_"),")","")</f>
        <v>dch602_1_6_3</v>
      </c>
      <c r="AQ155" s="1352" t="str">
        <f>IF(LEN(W155)=0,"",W155)</f>
        <v/>
      </c>
      <c r="AR155" s="66"/>
      <c r="AS155" s="66"/>
      <c r="AT155" s="66"/>
      <c r="AX155" s="66"/>
      <c r="AY155" s="66"/>
      <c r="AZ155" s="66"/>
    </row>
    <row r="156" spans="1:52" x14ac:dyDescent="0.2">
      <c r="B156" s="79" t="s">
        <v>491</v>
      </c>
      <c r="C156" s="23" t="s">
        <v>256</v>
      </c>
      <c r="D156" s="23"/>
      <c r="E156" s="23"/>
      <c r="F156" s="691"/>
      <c r="G156" s="23"/>
      <c r="H156" s="691"/>
      <c r="I156" s="67"/>
      <c r="J156" s="4"/>
      <c r="K156" s="85"/>
      <c r="L156" s="1611"/>
      <c r="M156" s="1628"/>
      <c r="N156" s="4"/>
      <c r="O156" s="1669"/>
      <c r="P156" s="332"/>
      <c r="Q156" s="332"/>
      <c r="R156"/>
      <c r="S156"/>
      <c r="T156"/>
      <c r="U156"/>
      <c r="V156"/>
      <c r="W156"/>
      <c r="X156" s="1600"/>
      <c r="Z156"/>
      <c r="AB156"/>
      <c r="AC156"/>
      <c r="AD156"/>
      <c r="AE156"/>
      <c r="AF156"/>
      <c r="AG156"/>
      <c r="AH156"/>
      <c r="AI156"/>
      <c r="AJ156"/>
      <c r="AK156"/>
    </row>
    <row r="157" spans="1:52" ht="16" thickBot="1" x14ac:dyDescent="0.25">
      <c r="B157" s="79" t="s">
        <v>491</v>
      </c>
      <c r="C157" s="23" t="s">
        <v>256</v>
      </c>
      <c r="D157" s="23"/>
      <c r="E157" s="23"/>
      <c r="F157" s="691"/>
      <c r="G157" s="23"/>
      <c r="H157" s="691"/>
      <c r="I157" s="67"/>
      <c r="J157" s="4"/>
      <c r="K157" s="85"/>
      <c r="L157" s="1611"/>
      <c r="M157" s="1628"/>
      <c r="N157" s="4"/>
      <c r="O157" s="1669"/>
      <c r="P157" s="332"/>
      <c r="Q157" s="332"/>
      <c r="R157"/>
      <c r="S157"/>
      <c r="T157"/>
      <c r="U157"/>
      <c r="V157"/>
      <c r="W157"/>
      <c r="X157" s="1621"/>
      <c r="Z157"/>
      <c r="AB157"/>
      <c r="AC157"/>
      <c r="AD157"/>
      <c r="AE157"/>
      <c r="AF157"/>
      <c r="AG157"/>
      <c r="AH157"/>
      <c r="AI157"/>
      <c r="AJ157"/>
      <c r="AK157"/>
      <c r="AX157" s="131"/>
      <c r="AY157" s="131"/>
      <c r="AZ157" s="131"/>
    </row>
    <row r="158" spans="1:52" ht="16" thickTop="1" x14ac:dyDescent="0.2">
      <c r="B158" s="79" t="s">
        <v>495</v>
      </c>
      <c r="C158" s="23"/>
      <c r="D158" s="23"/>
      <c r="E158" s="23"/>
      <c r="F158" s="691"/>
      <c r="G158" s="23"/>
      <c r="H158" s="691"/>
      <c r="I158" s="177" t="s">
        <v>3544</v>
      </c>
      <c r="J158" s="178"/>
      <c r="K158" s="179"/>
      <c r="L158" s="313" t="s">
        <v>3623</v>
      </c>
      <c r="M158" s="370"/>
      <c r="N158" s="178"/>
      <c r="O158" s="421"/>
      <c r="P158" s="106"/>
      <c r="Q158" s="106"/>
      <c r="R158" s="106"/>
      <c r="S158" s="106"/>
      <c r="T158" s="106"/>
      <c r="U158" s="106"/>
      <c r="V158" s="106"/>
      <c r="W158" s="106"/>
      <c r="X158" s="106"/>
      <c r="Z158"/>
      <c r="AB158"/>
      <c r="AC158"/>
      <c r="AD158"/>
      <c r="AE158"/>
      <c r="AF158"/>
      <c r="AG158"/>
      <c r="AH158"/>
      <c r="AI158"/>
      <c r="AJ158"/>
      <c r="AK158"/>
    </row>
    <row r="159" spans="1:52" x14ac:dyDescent="0.2">
      <c r="B159" s="600" t="s">
        <v>496</v>
      </c>
      <c r="C159" s="23"/>
      <c r="D159" s="23"/>
      <c r="E159" s="23"/>
      <c r="F159" s="691"/>
      <c r="G159" s="23"/>
      <c r="H159" s="691"/>
      <c r="I159" s="67" t="s">
        <v>3545</v>
      </c>
      <c r="J159" s="4"/>
      <c r="K159" s="85"/>
      <c r="L159" s="304" t="s">
        <v>3622</v>
      </c>
      <c r="M159" s="374"/>
      <c r="N159" s="4"/>
      <c r="O159" s="138"/>
      <c r="P159" s="332"/>
      <c r="Q159" s="332"/>
      <c r="R159"/>
      <c r="S159"/>
      <c r="T159"/>
      <c r="U159"/>
      <c r="V159"/>
      <c r="W159"/>
      <c r="X159"/>
      <c r="Z159"/>
      <c r="AB159"/>
      <c r="AC159"/>
      <c r="AD159"/>
      <c r="AE159"/>
      <c r="AF159"/>
      <c r="AG159"/>
      <c r="AH159"/>
      <c r="AI159"/>
      <c r="AJ159"/>
      <c r="AK159"/>
    </row>
    <row r="160" spans="1:52" x14ac:dyDescent="0.2">
      <c r="B160" s="600" t="s">
        <v>496</v>
      </c>
      <c r="C160" s="23" t="s">
        <v>254</v>
      </c>
      <c r="D160" s="23"/>
      <c r="E160" s="23"/>
      <c r="F160" s="691"/>
      <c r="G160" s="23"/>
      <c r="H160" s="691"/>
      <c r="I160" s="67"/>
      <c r="J160" s="180" t="s">
        <v>254</v>
      </c>
      <c r="K160" s="97"/>
      <c r="L160" s="1609" t="s">
        <v>497</v>
      </c>
      <c r="M160" s="1623">
        <v>2</v>
      </c>
      <c r="N160" s="129"/>
      <c r="O160" s="1619">
        <f>M160*S160*W160</f>
        <v>2</v>
      </c>
      <c r="P160" s="332" t="b">
        <v>1</v>
      </c>
      <c r="Q160" s="332" t="b">
        <v>0</v>
      </c>
      <c r="R160" s="126" t="b">
        <v>0</v>
      </c>
      <c r="S160" s="126" t="b">
        <v>1</v>
      </c>
      <c r="T160" s="126" t="b">
        <v>0</v>
      </c>
      <c r="U160"/>
      <c r="V160"/>
      <c r="W160" s="27" t="b">
        <v>1</v>
      </c>
      <c r="X160" s="1600"/>
      <c r="Z160"/>
      <c r="AB160"/>
      <c r="AC160"/>
      <c r="AD160"/>
      <c r="AE160"/>
      <c r="AF160"/>
      <c r="AG160"/>
      <c r="AH160"/>
      <c r="AI160"/>
      <c r="AJ160"/>
      <c r="AK160"/>
      <c r="AL160" s="1352" t="str">
        <f>SUBSTITUTE(SUBSTITUTE(SUBSTITUTE("dpa"&amp;$B160&amp;$C160&amp;$D160&amp;$E160&amp;$F160,".","_"),"(","_"),")","")</f>
        <v>dpa602_1_7_1_1</v>
      </c>
      <c r="AM160" s="1352">
        <f>M160</f>
        <v>2</v>
      </c>
      <c r="AN160" s="1352" t="str">
        <f>SUBSTITUTE(SUBSTITUTE(SUBSTITUTE("dpc"&amp;$B160&amp;$C160&amp;$D160&amp;$E160&amp;$F160,".","_"),"(","_"),")","")</f>
        <v>dpc602_1_7_1_1</v>
      </c>
      <c r="AO160" s="1352">
        <f>O160</f>
        <v>2</v>
      </c>
      <c r="AP160" s="1352" t="str">
        <f>SUBSTITUTE(SUBSTITUTE(SUBSTITUTE("dch"&amp;$B160&amp;$C160&amp;$D160&amp;$E160&amp;$F160,".","_"),"(","_"),")","")</f>
        <v>dch602_1_7_1_1</v>
      </c>
      <c r="AQ160" s="1352" t="b">
        <f>IF(LEN(W160)=0,"",W160)</f>
        <v>1</v>
      </c>
      <c r="AR160" s="1352" t="str">
        <f>SUBSTITUTE(SUBSTITUTE(SUBSTITUTE("dnt"&amp;$B160&amp;$C160&amp;$D160&amp;$E160&amp;$F160,".","_"),"(","_"),")","")</f>
        <v>dnt602_1_7_1_1</v>
      </c>
      <c r="AS160" s="1352" t="str">
        <f>IF(LEN(X160)=0,"",X160)</f>
        <v/>
      </c>
    </row>
    <row r="161" spans="1:52" x14ac:dyDescent="0.2">
      <c r="B161" s="600" t="s">
        <v>496</v>
      </c>
      <c r="C161" s="23" t="s">
        <v>254</v>
      </c>
      <c r="D161" s="23"/>
      <c r="E161" s="23"/>
      <c r="F161" s="691"/>
      <c r="G161" s="23"/>
      <c r="H161" s="691"/>
      <c r="I161" s="67"/>
      <c r="J161" s="213"/>
      <c r="K161" s="170"/>
      <c r="L161" s="1612"/>
      <c r="M161" s="1624"/>
      <c r="N161" s="213"/>
      <c r="O161" s="1620"/>
      <c r="P161" s="332"/>
      <c r="Q161" s="332"/>
      <c r="R161"/>
      <c r="S161"/>
      <c r="T161"/>
      <c r="U161"/>
      <c r="V161"/>
      <c r="W161"/>
      <c r="X161" s="1600"/>
      <c r="Z161"/>
      <c r="AB161"/>
      <c r="AC161"/>
      <c r="AD161"/>
      <c r="AE161"/>
      <c r="AF161"/>
      <c r="AG161"/>
      <c r="AH161"/>
      <c r="AI161"/>
      <c r="AJ161"/>
      <c r="AK161"/>
    </row>
    <row r="162" spans="1:52" x14ac:dyDescent="0.2">
      <c r="B162" s="600" t="s">
        <v>496</v>
      </c>
      <c r="C162" s="23" t="s">
        <v>255</v>
      </c>
      <c r="D162" s="23"/>
      <c r="E162" s="23"/>
      <c r="F162" s="691"/>
      <c r="G162" s="23"/>
      <c r="H162" s="691"/>
      <c r="I162" s="67"/>
      <c r="J162" s="180" t="s">
        <v>255</v>
      </c>
      <c r="K162" s="97"/>
      <c r="L162" s="1609" t="s">
        <v>498</v>
      </c>
      <c r="M162" s="1708" t="str">
        <f>IF(R162,"Mandatory
2","N/A")</f>
        <v>Mandatory
2</v>
      </c>
      <c r="N162" s="129"/>
      <c r="O162" s="1619">
        <f>IF(AND(S162,W162="Met"),2,0)</f>
        <v>0</v>
      </c>
      <c r="P162" s="332" t="b">
        <v>1</v>
      </c>
      <c r="Q162" s="332" t="b">
        <v>0</v>
      </c>
      <c r="R162" s="137" t="b">
        <f>S162</f>
        <v>1</v>
      </c>
      <c r="S162" s="126" t="b">
        <v>1</v>
      </c>
      <c r="T162" s="126" t="b">
        <v>0</v>
      </c>
      <c r="U162" s="96" t="str">
        <f>SUBSTITUTE(SUBSTITUTE(SUBSTITUTE("dd"&amp;B162&amp;C162&amp;D162&amp;E162&amp;F162,".","_"),"(","_"),")","")</f>
        <v>dd602_1_7_1_2</v>
      </c>
      <c r="V162"/>
      <c r="W162" s="12" t="s">
        <v>2590</v>
      </c>
      <c r="X162" s="1600" t="s">
        <v>5643</v>
      </c>
      <c r="Z162"/>
      <c r="AB162"/>
      <c r="AC162" s="131" t="b">
        <f>OR(AD162:AE162)</f>
        <v>0</v>
      </c>
      <c r="AD162" s="131" t="b">
        <f>T162</f>
        <v>0</v>
      </c>
      <c r="AE162" s="131" t="b">
        <f>OR(AND(R162,NOT(W162="Met"),NOT(W162="N/A")),AND(W162="N/A",ISBLANK(X162)))</f>
        <v>0</v>
      </c>
      <c r="AF162"/>
      <c r="AG162"/>
      <c r="AH162"/>
      <c r="AI162"/>
      <c r="AJ162"/>
      <c r="AK162"/>
      <c r="AL162" s="1352" t="str">
        <f>SUBSTITUTE(SUBSTITUTE(SUBSTITUTE("dpa"&amp;$B162&amp;$C162&amp;$D162&amp;$E162&amp;$F162,".","_"),"(","_"),")","")</f>
        <v>dpa602_1_7_1_2</v>
      </c>
      <c r="AM162" s="1352" t="str">
        <f>M162</f>
        <v>Mandatory
2</v>
      </c>
      <c r="AN162" s="1352" t="str">
        <f>SUBSTITUTE(SUBSTITUTE(SUBSTITUTE("dpc"&amp;$B162&amp;$C162&amp;$D162&amp;$E162&amp;$F162,".","_"),"(","_"),")","")</f>
        <v>dpc602_1_7_1_2</v>
      </c>
      <c r="AO162" s="1352">
        <f>O162</f>
        <v>0</v>
      </c>
      <c r="AP162" s="1352" t="str">
        <f>SUBSTITUTE(SUBSTITUTE(SUBSTITUTE("dch"&amp;$B162&amp;$C162&amp;$D162&amp;$E162&amp;$F162,".","_"),"(","_"),")","")</f>
        <v>dch602_1_7_1_2</v>
      </c>
      <c r="AQ162" s="1352" t="str">
        <f>IF(LEN(W162)=0,"",W162)</f>
        <v>N/A</v>
      </c>
      <c r="AR162" s="1352" t="str">
        <f>SUBSTITUTE(SUBSTITUTE(SUBSTITUTE("dnt"&amp;$B162&amp;$C162&amp;$D162&amp;$E162&amp;$F162,".","_"),"(","_"),")","")</f>
        <v>dnt602_1_7_1_2</v>
      </c>
      <c r="AS162" s="1352" t="str">
        <f>IF(LEN(X162)=0,"",X162)</f>
        <v>No new insulation in cavities</v>
      </c>
    </row>
    <row r="163" spans="1:52" x14ac:dyDescent="0.2">
      <c r="B163" s="600" t="s">
        <v>496</v>
      </c>
      <c r="C163" s="23" t="s">
        <v>255</v>
      </c>
      <c r="D163" s="23"/>
      <c r="E163" s="23"/>
      <c r="F163" s="691"/>
      <c r="G163" s="23"/>
      <c r="H163" s="691"/>
      <c r="I163" s="67"/>
      <c r="J163" s="129"/>
      <c r="K163" s="97"/>
      <c r="L163" s="1609"/>
      <c r="M163" s="1708"/>
      <c r="N163" s="129"/>
      <c r="O163" s="1619"/>
      <c r="P163" s="332"/>
      <c r="Q163" s="332"/>
      <c r="R163"/>
      <c r="S163"/>
      <c r="T163"/>
      <c r="U163"/>
      <c r="V163"/>
      <c r="W163"/>
      <c r="X163" s="1600"/>
      <c r="Z163"/>
      <c r="AB163"/>
      <c r="AC163" s="137"/>
      <c r="AD163" s="137"/>
      <c r="AE163" s="137"/>
      <c r="AF163"/>
      <c r="AG163"/>
      <c r="AH163"/>
      <c r="AI163"/>
      <c r="AJ163"/>
      <c r="AK163"/>
    </row>
    <row r="164" spans="1:52" x14ac:dyDescent="0.2">
      <c r="B164" s="600" t="s">
        <v>496</v>
      </c>
      <c r="C164" s="23" t="s">
        <v>255</v>
      </c>
      <c r="D164" s="23"/>
      <c r="E164" s="23"/>
      <c r="F164" s="691"/>
      <c r="G164" s="23"/>
      <c r="H164" s="691"/>
      <c r="I164" s="67"/>
      <c r="J164" s="213"/>
      <c r="K164" s="170"/>
      <c r="L164" s="220" t="s">
        <v>678</v>
      </c>
      <c r="M164" s="1709"/>
      <c r="N164" s="213"/>
      <c r="O164" s="1620"/>
      <c r="P164" s="332"/>
      <c r="Q164" s="332"/>
      <c r="R164" s="131"/>
      <c r="S164" s="131"/>
      <c r="T164" s="131"/>
      <c r="U164" s="131"/>
      <c r="V164" s="131"/>
      <c r="W164" s="131"/>
      <c r="X164" s="1600"/>
      <c r="Z164" s="131"/>
      <c r="AB164" s="131"/>
      <c r="AC164" s="131"/>
      <c r="AD164" s="131"/>
      <c r="AE164" s="131"/>
      <c r="AF164" s="131"/>
      <c r="AG164" s="131"/>
      <c r="AH164" s="131"/>
      <c r="AI164" s="131"/>
      <c r="AJ164" s="131"/>
      <c r="AK164" s="131"/>
      <c r="AT164" s="131"/>
    </row>
    <row r="165" spans="1:52" s="131" customFormat="1" x14ac:dyDescent="0.2">
      <c r="A165" s="20"/>
      <c r="B165" s="600" t="s">
        <v>496</v>
      </c>
      <c r="C165" s="23" t="s">
        <v>256</v>
      </c>
      <c r="D165" s="23"/>
      <c r="E165" s="23"/>
      <c r="F165" s="691"/>
      <c r="G165" s="23"/>
      <c r="H165" s="691"/>
      <c r="I165" s="130"/>
      <c r="J165" s="180" t="s">
        <v>256</v>
      </c>
      <c r="K165" s="97"/>
      <c r="L165" s="1609" t="s">
        <v>499</v>
      </c>
      <c r="M165" s="1692">
        <v>4</v>
      </c>
      <c r="N165" s="129"/>
      <c r="O165" s="1619">
        <f>M165*S165*W165</f>
        <v>0</v>
      </c>
      <c r="P165" s="332" t="b">
        <v>1</v>
      </c>
      <c r="Q165" s="332" t="b">
        <v>0</v>
      </c>
      <c r="R165" s="126" t="b">
        <v>0</v>
      </c>
      <c r="S165" s="126" t="b">
        <v>1</v>
      </c>
      <c r="T165" s="126" t="b">
        <v>0</v>
      </c>
      <c r="U165"/>
      <c r="V165"/>
      <c r="W165" s="27"/>
      <c r="X165" s="1600"/>
      <c r="Y165" s="704"/>
      <c r="Z165"/>
      <c r="AA165" s="707"/>
      <c r="AB165"/>
      <c r="AC165"/>
      <c r="AD165"/>
      <c r="AE165"/>
      <c r="AF165"/>
      <c r="AG165"/>
      <c r="AH165"/>
      <c r="AI165"/>
      <c r="AJ165"/>
      <c r="AK165"/>
      <c r="AL165" s="1352" t="str">
        <f>SUBSTITUTE(SUBSTITUTE(SUBSTITUTE("dpa"&amp;$B165&amp;$C165&amp;$D165&amp;$E165&amp;$F165,".","_"),"(","_"),")","")</f>
        <v>dpa602_1_7_1_3</v>
      </c>
      <c r="AM165" s="1352">
        <f>M165</f>
        <v>4</v>
      </c>
      <c r="AN165" s="1352" t="str">
        <f>SUBSTITUTE(SUBSTITUTE(SUBSTITUTE("dpc"&amp;$B165&amp;$C165&amp;$D165&amp;$E165&amp;$F165,".","_"),"(","_"),")","")</f>
        <v>dpc602_1_7_1_3</v>
      </c>
      <c r="AO165" s="1352">
        <f>O165</f>
        <v>0</v>
      </c>
      <c r="AP165" s="1352" t="str">
        <f>SUBSTITUTE(SUBSTITUTE(SUBSTITUTE("dch"&amp;$B165&amp;$C165&amp;$D165&amp;$E165&amp;$F165,".","_"),"(","_"),")","")</f>
        <v>dch602_1_7_1_3</v>
      </c>
      <c r="AQ165" s="1352" t="str">
        <f>IF(LEN(W165)=0,"",W165)</f>
        <v/>
      </c>
      <c r="AR165" s="1352" t="str">
        <f>SUBSTITUTE(SUBSTITUTE(SUBSTITUTE("dnt"&amp;$B165&amp;$C165&amp;$D165&amp;$E165&amp;$F165,".","_"),"(","_"),")","")</f>
        <v>dnt602_1_7_1_3</v>
      </c>
      <c r="AS165" s="1352" t="str">
        <f>IF(LEN(X165)=0,"",X165)</f>
        <v/>
      </c>
      <c r="AT165" s="66"/>
      <c r="AX165" s="66"/>
      <c r="AY165" s="66"/>
      <c r="AZ165" s="66"/>
    </row>
    <row r="166" spans="1:52" x14ac:dyDescent="0.2">
      <c r="B166" s="600" t="s">
        <v>496</v>
      </c>
      <c r="C166" s="23" t="s">
        <v>256</v>
      </c>
      <c r="D166" s="23"/>
      <c r="E166" s="23"/>
      <c r="F166" s="691"/>
      <c r="G166" s="23"/>
      <c r="H166" s="691"/>
      <c r="I166" s="219"/>
      <c r="J166" s="213"/>
      <c r="K166" s="170"/>
      <c r="L166" s="1612"/>
      <c r="M166" s="1711"/>
      <c r="N166" s="213"/>
      <c r="O166" s="1620"/>
      <c r="P166" s="332"/>
      <c r="Q166" s="332"/>
      <c r="R166"/>
      <c r="S166"/>
      <c r="T166"/>
      <c r="U166"/>
      <c r="V166"/>
      <c r="W166"/>
      <c r="X166" s="1600"/>
      <c r="Z166"/>
      <c r="AB166"/>
      <c r="AC166"/>
      <c r="AD166"/>
      <c r="AE166"/>
      <c r="AF166"/>
      <c r="AG166"/>
      <c r="AH166"/>
      <c r="AI166"/>
      <c r="AJ166"/>
      <c r="AK166"/>
    </row>
    <row r="167" spans="1:52" x14ac:dyDescent="0.2">
      <c r="B167" s="600" t="s">
        <v>500</v>
      </c>
      <c r="C167" s="23"/>
      <c r="D167" s="23"/>
      <c r="E167" s="23"/>
      <c r="F167" s="691"/>
      <c r="G167" s="23"/>
      <c r="H167" s="691"/>
      <c r="I167" s="192" t="s">
        <v>3546</v>
      </c>
      <c r="J167" s="193"/>
      <c r="K167" s="194"/>
      <c r="L167" s="1712" t="s">
        <v>3621</v>
      </c>
      <c r="M167" s="1636">
        <v>2</v>
      </c>
      <c r="N167" s="193"/>
      <c r="O167" s="1637">
        <f>M167*S167*W167</f>
        <v>0</v>
      </c>
      <c r="P167" s="332" t="b">
        <v>1</v>
      </c>
      <c r="Q167" s="332" t="b">
        <v>1</v>
      </c>
      <c r="R167" s="126" t="b">
        <v>0</v>
      </c>
      <c r="S167" s="126" t="b">
        <v>1</v>
      </c>
      <c r="T167" s="126" t="b">
        <v>0</v>
      </c>
      <c r="U167"/>
      <c r="V167"/>
      <c r="W167" s="27"/>
      <c r="X167" s="1600"/>
      <c r="Z167"/>
      <c r="AB167"/>
      <c r="AC167"/>
      <c r="AD167"/>
      <c r="AE167"/>
      <c r="AF167"/>
      <c r="AG167"/>
      <c r="AH167"/>
      <c r="AI167"/>
      <c r="AJ167"/>
      <c r="AK167"/>
      <c r="AL167" s="1352" t="str">
        <f>SUBSTITUTE(SUBSTITUTE(SUBSTITUTE("dpa"&amp;$B167&amp;$C167&amp;$D167&amp;$E167&amp;$F167,".","_"),"(","_"),")","")</f>
        <v>dpa602_1_7_2</v>
      </c>
      <c r="AM167" s="1352">
        <f>M167</f>
        <v>2</v>
      </c>
      <c r="AN167" s="1352" t="str">
        <f>SUBSTITUTE(SUBSTITUTE(SUBSTITUTE("dpc"&amp;$B167&amp;$C167&amp;$D167&amp;$E167&amp;$F167,".","_"),"(","_"),")","")</f>
        <v>dpc602_1_7_2</v>
      </c>
      <c r="AO167" s="1352">
        <f>O167</f>
        <v>0</v>
      </c>
      <c r="AP167" s="1352" t="str">
        <f>SUBSTITUTE(SUBSTITUTE(SUBSTITUTE("dch"&amp;$B167&amp;$C167&amp;$D167&amp;$E167&amp;$F167,".","_"),"(","_"),")","")</f>
        <v>dch602_1_7_2</v>
      </c>
      <c r="AQ167" s="1352" t="str">
        <f>IF(LEN(W167)=0,"",W167)</f>
        <v/>
      </c>
      <c r="AR167" s="1352" t="str">
        <f>SUBSTITUTE(SUBSTITUTE(SUBSTITUTE("dnt"&amp;$B167&amp;$C167&amp;$D167&amp;$E167&amp;$F167,".","_"),"(","_"),")","")</f>
        <v>dnt602_1_7_2</v>
      </c>
      <c r="AS167" s="1352" t="str">
        <f>IF(LEN(X167)=0,"",X167)</f>
        <v/>
      </c>
      <c r="AX167" s="131"/>
      <c r="AY167" s="131"/>
      <c r="AZ167" s="131"/>
    </row>
    <row r="168" spans="1:52" ht="15" customHeight="1" x14ac:dyDescent="0.2">
      <c r="B168" s="79" t="s">
        <v>500</v>
      </c>
      <c r="C168" s="23"/>
      <c r="D168" s="23"/>
      <c r="E168" s="23"/>
      <c r="F168" s="691"/>
      <c r="G168" s="23"/>
      <c r="H168" s="691"/>
      <c r="I168" s="219"/>
      <c r="J168" s="213"/>
      <c r="K168" s="170"/>
      <c r="L168" s="1696"/>
      <c r="M168" s="1624"/>
      <c r="N168" s="213"/>
      <c r="O168" s="1620"/>
      <c r="P168" s="332"/>
      <c r="Q168" s="332"/>
      <c r="R168"/>
      <c r="S168"/>
      <c r="T168"/>
      <c r="U168"/>
      <c r="V168"/>
      <c r="W168"/>
      <c r="X168" s="1600"/>
      <c r="Z168"/>
      <c r="AB168"/>
      <c r="AC168"/>
      <c r="AD168"/>
      <c r="AE168"/>
      <c r="AF168"/>
      <c r="AG168"/>
      <c r="AH168"/>
      <c r="AI168"/>
      <c r="AJ168"/>
      <c r="AK168"/>
    </row>
    <row r="169" spans="1:52" x14ac:dyDescent="0.2">
      <c r="B169" s="79" t="s">
        <v>501</v>
      </c>
      <c r="C169" s="23"/>
      <c r="D169" s="23"/>
      <c r="E169" s="23"/>
      <c r="F169" s="691"/>
      <c r="G169" s="23"/>
      <c r="H169" s="691"/>
      <c r="I169" s="67" t="s">
        <v>3547</v>
      </c>
      <c r="J169" s="4"/>
      <c r="K169" s="85"/>
      <c r="L169" s="1631" t="s">
        <v>3620</v>
      </c>
      <c r="M169" s="1628">
        <v>4</v>
      </c>
      <c r="N169" s="4"/>
      <c r="O169" s="1669">
        <f>M169*S169*W169</f>
        <v>0</v>
      </c>
      <c r="P169" s="332" t="b">
        <v>1</v>
      </c>
      <c r="Q169" s="332" t="b">
        <v>0</v>
      </c>
      <c r="R169" s="126" t="b">
        <v>0</v>
      </c>
      <c r="S169" s="126" t="b">
        <v>1</v>
      </c>
      <c r="T169" s="126" t="b">
        <v>0</v>
      </c>
      <c r="U169"/>
      <c r="V169"/>
      <c r="W169" s="27"/>
      <c r="X169" s="1600"/>
      <c r="Z169"/>
      <c r="AB169"/>
      <c r="AC169"/>
      <c r="AD169"/>
      <c r="AE169"/>
      <c r="AF169"/>
      <c r="AG169"/>
      <c r="AH169"/>
      <c r="AI169"/>
      <c r="AJ169"/>
      <c r="AK169"/>
      <c r="AL169" s="1352" t="str">
        <f>SUBSTITUTE(SUBSTITUTE(SUBSTITUTE("dpa"&amp;$B169&amp;$C169&amp;$D169&amp;$E169&amp;$F169,".","_"),"(","_"),")","")</f>
        <v>dpa602_1_7_3</v>
      </c>
      <c r="AM169" s="1352">
        <f>M169</f>
        <v>4</v>
      </c>
      <c r="AN169" s="1352" t="str">
        <f>SUBSTITUTE(SUBSTITUTE(SUBSTITUTE("dpc"&amp;$B169&amp;$C169&amp;$D169&amp;$E169&amp;$F169,".","_"),"(","_"),")","")</f>
        <v>dpc602_1_7_3</v>
      </c>
      <c r="AO169" s="1352">
        <f>O169</f>
        <v>0</v>
      </c>
      <c r="AP169" s="1352" t="str">
        <f>SUBSTITUTE(SUBSTITUTE(SUBSTITUTE("dch"&amp;$B169&amp;$C169&amp;$D169&amp;$E169&amp;$F169,".","_"),"(","_"),")","")</f>
        <v>dch602_1_7_3</v>
      </c>
      <c r="AQ169" s="1352" t="str">
        <f>IF(LEN(W169)=0,"",W169)</f>
        <v/>
      </c>
      <c r="AR169" s="1352" t="str">
        <f>SUBSTITUTE(SUBSTITUTE(SUBSTITUTE("dnt"&amp;$B169&amp;$C169&amp;$D169&amp;$E169&amp;$F169,".","_"),"(","_"),")","")</f>
        <v>dnt602_1_7_3</v>
      </c>
      <c r="AS169" s="1352" t="str">
        <f>IF(LEN(X169)=0,"",X169)</f>
        <v/>
      </c>
    </row>
    <row r="170" spans="1:52" x14ac:dyDescent="0.2">
      <c r="B170" s="79" t="s">
        <v>501</v>
      </c>
      <c r="C170" s="23"/>
      <c r="D170" s="23"/>
      <c r="E170" s="23"/>
      <c r="F170" s="691"/>
      <c r="G170" s="23"/>
      <c r="H170" s="691"/>
      <c r="I170" s="67"/>
      <c r="J170" s="4"/>
      <c r="K170" s="85"/>
      <c r="L170" s="1631"/>
      <c r="M170" s="1628"/>
      <c r="N170" s="4"/>
      <c r="O170" s="1669"/>
      <c r="P170" s="332"/>
      <c r="Q170" s="332"/>
      <c r="R170"/>
      <c r="S170"/>
      <c r="T170"/>
      <c r="U170"/>
      <c r="V170"/>
      <c r="W170"/>
      <c r="X170" s="1600"/>
      <c r="Z170"/>
      <c r="AB170"/>
      <c r="AC170"/>
      <c r="AD170"/>
      <c r="AE170"/>
      <c r="AF170"/>
      <c r="AG170"/>
      <c r="AH170"/>
      <c r="AI170"/>
      <c r="AJ170"/>
      <c r="AK170"/>
    </row>
    <row r="171" spans="1:52" x14ac:dyDescent="0.2">
      <c r="B171" s="79" t="s">
        <v>501</v>
      </c>
      <c r="C171" s="23"/>
      <c r="D171" s="23"/>
      <c r="E171" s="23"/>
      <c r="F171" s="691"/>
      <c r="G171" s="23"/>
      <c r="H171" s="691"/>
      <c r="I171" s="67"/>
      <c r="J171" s="4"/>
      <c r="K171" s="85"/>
      <c r="L171" s="1631"/>
      <c r="M171" s="1628"/>
      <c r="N171" s="4"/>
      <c r="O171" s="1669"/>
      <c r="P171" s="332"/>
      <c r="Q171" s="332"/>
      <c r="R171"/>
      <c r="S171"/>
      <c r="T171"/>
      <c r="U171"/>
      <c r="V171"/>
      <c r="W171"/>
      <c r="X171" s="1600"/>
      <c r="Z171"/>
      <c r="AB171"/>
      <c r="AC171"/>
      <c r="AD171"/>
      <c r="AE171"/>
      <c r="AF171"/>
      <c r="AG171"/>
      <c r="AH171"/>
      <c r="AI171"/>
      <c r="AJ171"/>
      <c r="AK171"/>
    </row>
    <row r="172" spans="1:52" ht="16" thickBot="1" x14ac:dyDescent="0.25">
      <c r="B172" s="79" t="s">
        <v>501</v>
      </c>
      <c r="C172" s="23"/>
      <c r="D172" s="23"/>
      <c r="E172" s="23"/>
      <c r="F172" s="691"/>
      <c r="G172" s="23"/>
      <c r="H172" s="691"/>
      <c r="I172" s="67"/>
      <c r="J172" s="4"/>
      <c r="K172" s="85"/>
      <c r="L172" s="1631"/>
      <c r="M172" s="1628"/>
      <c r="N172" s="4"/>
      <c r="O172" s="1669"/>
      <c r="P172" s="332"/>
      <c r="Q172" s="332"/>
      <c r="R172"/>
      <c r="S172"/>
      <c r="T172"/>
      <c r="U172"/>
      <c r="V172"/>
      <c r="W172" s="113"/>
      <c r="X172" s="1621"/>
      <c r="Z172"/>
      <c r="AB172"/>
      <c r="AC172"/>
      <c r="AD172"/>
      <c r="AE172"/>
      <c r="AF172"/>
      <c r="AG172"/>
      <c r="AH172"/>
      <c r="AI172"/>
      <c r="AJ172"/>
      <c r="AK172"/>
    </row>
    <row r="173" spans="1:52" ht="16" thickTop="1" x14ac:dyDescent="0.2">
      <c r="B173" s="79" t="s">
        <v>502</v>
      </c>
      <c r="C173" s="23"/>
      <c r="D173" s="23"/>
      <c r="E173" s="23"/>
      <c r="F173" s="691"/>
      <c r="G173" s="23"/>
      <c r="H173" s="691"/>
      <c r="I173" s="177" t="s">
        <v>3548</v>
      </c>
      <c r="J173" s="178"/>
      <c r="K173" s="179"/>
      <c r="L173" s="1683" t="s">
        <v>3811</v>
      </c>
      <c r="M173" s="1701" t="str">
        <f>IF(R173,"Mandatory","N/A")</f>
        <v>Mandatory</v>
      </c>
      <c r="N173" s="178"/>
      <c r="O173" s="421"/>
      <c r="P173" s="332" t="b">
        <v>1</v>
      </c>
      <c r="Q173" s="332" t="b">
        <v>0</v>
      </c>
      <c r="R173" s="106" t="b">
        <f>S173</f>
        <v>1</v>
      </c>
      <c r="S173" s="106" t="b">
        <v>1</v>
      </c>
      <c r="T173" s="106" t="b">
        <v>0</v>
      </c>
      <c r="U173" s="106" t="str">
        <f>SUBSTITUTE(SUBSTITUTE(SUBSTITUTE("dd"&amp;B173&amp;C173&amp;D173&amp;E173&amp;F173,".","_"),"(","_"),")","")</f>
        <v>dd602_1_8</v>
      </c>
      <c r="V173" s="106"/>
      <c r="W173" s="269" t="s">
        <v>2590</v>
      </c>
      <c r="X173" s="1603" t="s">
        <v>5644</v>
      </c>
      <c r="Z173"/>
      <c r="AB173"/>
      <c r="AC173" s="131" t="b">
        <f>OR(AD173:AE173)</f>
        <v>0</v>
      </c>
      <c r="AD173" s="131" t="b">
        <f>T173</f>
        <v>0</v>
      </c>
      <c r="AE173" s="137" t="b">
        <f>OR(AND(R173,NOT(W173="Met"),NOT(W173="N/A")),AND(W173="N/A",ISBLANK(X173)))</f>
        <v>0</v>
      </c>
      <c r="AF173"/>
      <c r="AG173"/>
      <c r="AH173"/>
      <c r="AI173"/>
      <c r="AJ173"/>
      <c r="AK173"/>
      <c r="AL173" s="1352" t="str">
        <f>SUBSTITUTE(SUBSTITUTE(SUBSTITUTE("dpa"&amp;$B173&amp;$C173&amp;$D173&amp;$E173&amp;$F173,".","_"),"(","_"),")","")</f>
        <v>dpa602_1_8</v>
      </c>
      <c r="AM173" s="1352" t="str">
        <f>M173</f>
        <v>Mandatory</v>
      </c>
      <c r="AP173" s="1352" t="str">
        <f>SUBSTITUTE(SUBSTITUTE(SUBSTITUTE("dch"&amp;$B173&amp;$C173&amp;$D173&amp;$E173&amp;$F173,".","_"),"(","_"),")","")</f>
        <v>dch602_1_8</v>
      </c>
      <c r="AQ173" s="1352" t="str">
        <f>IF(LEN(W173)=0,"",W173)</f>
        <v>N/A</v>
      </c>
      <c r="AR173" s="1352" t="str">
        <f>SUBSTITUTE(SUBSTITUTE(SUBSTITUTE("dnt"&amp;$B173&amp;$C173&amp;$D173&amp;$E173&amp;$F173,".","_"),"(","_"),")","")</f>
        <v>dnt602_1_8</v>
      </c>
      <c r="AS173" s="1352" t="str">
        <f>IF(LEN(X173)=0,"",X173)</f>
        <v>no newly installed exterior veneer</v>
      </c>
    </row>
    <row r="174" spans="1:52" s="794" customFormat="1" x14ac:dyDescent="0.2">
      <c r="A174" s="20"/>
      <c r="B174" s="79" t="s">
        <v>502</v>
      </c>
      <c r="C174" s="23"/>
      <c r="D174" s="23"/>
      <c r="E174" s="23"/>
      <c r="F174" s="691"/>
      <c r="G174" s="23"/>
      <c r="H174" s="691"/>
      <c r="I174" s="130"/>
      <c r="J174" s="129"/>
      <c r="K174" s="97"/>
      <c r="L174" s="1629"/>
      <c r="M174" s="1697"/>
      <c r="N174" s="129"/>
      <c r="O174" s="795"/>
      <c r="R174" s="96"/>
      <c r="S174" s="96"/>
      <c r="T174" s="96"/>
      <c r="U174" s="96"/>
      <c r="V174" s="96"/>
      <c r="W174"/>
      <c r="X174" s="1599"/>
      <c r="AL174" s="66"/>
      <c r="AM174" s="66"/>
      <c r="AN174" s="66"/>
      <c r="AO174" s="66"/>
      <c r="AP174" s="66"/>
      <c r="AQ174" s="66"/>
      <c r="AR174" s="66"/>
      <c r="AS174" s="66"/>
      <c r="AX174" s="66"/>
      <c r="AY174" s="66"/>
      <c r="AZ174" s="66"/>
    </row>
    <row r="175" spans="1:52" x14ac:dyDescent="0.2">
      <c r="B175" s="79" t="s">
        <v>502</v>
      </c>
      <c r="C175" s="23"/>
      <c r="D175" s="23"/>
      <c r="E175" s="23"/>
      <c r="F175" s="691"/>
      <c r="G175" s="23"/>
      <c r="H175" s="691"/>
      <c r="I175" s="130"/>
      <c r="J175" s="129"/>
      <c r="K175" s="97"/>
      <c r="L175" s="1629"/>
      <c r="M175" s="1697"/>
      <c r="N175" s="129"/>
      <c r="O175" s="238"/>
      <c r="P175" s="96"/>
      <c r="Q175" s="96"/>
      <c r="R175" s="96"/>
      <c r="S175" s="96"/>
      <c r="T175" s="96"/>
      <c r="U175" s="96"/>
      <c r="V175" s="96"/>
      <c r="W175" s="96"/>
      <c r="X175" s="1601"/>
      <c r="Z175"/>
      <c r="AB175"/>
      <c r="AC175"/>
      <c r="AD175"/>
      <c r="AE175"/>
      <c r="AF175"/>
      <c r="AG175"/>
      <c r="AH175"/>
      <c r="AI175"/>
      <c r="AJ175"/>
      <c r="AK175"/>
    </row>
    <row r="176" spans="1:52" ht="16" thickBot="1" x14ac:dyDescent="0.25">
      <c r="B176" s="79" t="s">
        <v>502</v>
      </c>
      <c r="C176" s="23"/>
      <c r="D176" s="23"/>
      <c r="E176" s="23"/>
      <c r="F176" s="691"/>
      <c r="G176" s="23"/>
      <c r="H176" s="691"/>
      <c r="I176" s="130"/>
      <c r="J176" s="129"/>
      <c r="K176" s="97"/>
      <c r="L176" s="301" t="s">
        <v>678</v>
      </c>
      <c r="M176" s="1697"/>
      <c r="N176" s="129"/>
      <c r="O176" s="238"/>
      <c r="P176" s="96"/>
      <c r="Q176" s="96"/>
      <c r="R176" s="96"/>
      <c r="S176" s="96"/>
      <c r="T176" s="96"/>
      <c r="U176" s="96"/>
      <c r="V176" s="96"/>
      <c r="W176" s="96"/>
      <c r="X176" s="1621"/>
      <c r="Z176" s="137"/>
      <c r="AB176" s="137"/>
      <c r="AC176" s="137"/>
      <c r="AD176" s="137"/>
      <c r="AE176" s="137"/>
      <c r="AF176" s="137"/>
      <c r="AG176" s="137"/>
      <c r="AH176" s="137"/>
      <c r="AI176" s="137"/>
      <c r="AJ176" s="137"/>
      <c r="AK176" s="137"/>
      <c r="AT176" s="137"/>
      <c r="AZ176" s="794"/>
    </row>
    <row r="177" spans="1:52" s="137" customFormat="1" ht="16" thickTop="1" x14ac:dyDescent="0.2">
      <c r="A177" s="20"/>
      <c r="B177" s="79" t="s">
        <v>503</v>
      </c>
      <c r="C177" s="23"/>
      <c r="D177" s="23"/>
      <c r="E177" s="23"/>
      <c r="F177" s="691"/>
      <c r="G177" s="23"/>
      <c r="H177" s="691"/>
      <c r="I177" s="177" t="s">
        <v>3549</v>
      </c>
      <c r="J177" s="178"/>
      <c r="K177" s="179"/>
      <c r="L177" s="1683" t="s">
        <v>3619</v>
      </c>
      <c r="M177" s="370"/>
      <c r="N177" s="178"/>
      <c r="O177" s="421"/>
      <c r="P177" s="106"/>
      <c r="Q177" s="106"/>
      <c r="R177" s="106"/>
      <c r="S177" s="106"/>
      <c r="T177" s="106"/>
      <c r="U177" s="106"/>
      <c r="V177" s="106"/>
      <c r="W177" s="106"/>
      <c r="X177" s="106"/>
      <c r="Y177" s="704"/>
      <c r="Z177"/>
      <c r="AA177" s="707"/>
      <c r="AB177"/>
      <c r="AC177"/>
      <c r="AD177"/>
      <c r="AE177"/>
      <c r="AF177"/>
      <c r="AG177"/>
      <c r="AH177"/>
      <c r="AI177"/>
      <c r="AJ177"/>
      <c r="AK177"/>
      <c r="AL177" s="66"/>
      <c r="AM177" s="66"/>
      <c r="AN177" s="66"/>
      <c r="AO177" s="66"/>
      <c r="AP177" s="66"/>
      <c r="AQ177" s="66"/>
      <c r="AR177" s="66"/>
      <c r="AS177" s="66"/>
      <c r="AT177" s="66"/>
      <c r="AX177" s="794"/>
      <c r="AY177" s="794"/>
      <c r="AZ177" s="66"/>
    </row>
    <row r="178" spans="1:52" x14ac:dyDescent="0.2">
      <c r="B178" s="79" t="s">
        <v>503</v>
      </c>
      <c r="C178" s="23"/>
      <c r="D178" s="23"/>
      <c r="E178" s="23"/>
      <c r="F178" s="691"/>
      <c r="G178" s="23"/>
      <c r="H178" s="691"/>
      <c r="I178" s="130"/>
      <c r="J178" s="129"/>
      <c r="K178" s="97"/>
      <c r="L178" s="1629"/>
      <c r="M178" s="371"/>
      <c r="N178" s="129"/>
      <c r="O178" s="238"/>
      <c r="P178" s="96"/>
      <c r="Q178" s="96"/>
      <c r="R178" s="96"/>
      <c r="S178" s="96"/>
      <c r="T178" s="96"/>
      <c r="U178" s="96"/>
      <c r="V178" s="96"/>
      <c r="W178" s="96"/>
      <c r="X178" s="96"/>
      <c r="Z178"/>
      <c r="AB178"/>
      <c r="AC178"/>
      <c r="AD178"/>
      <c r="AE178"/>
      <c r="AF178"/>
      <c r="AG178"/>
      <c r="AH178"/>
      <c r="AI178"/>
      <c r="AJ178"/>
      <c r="AK178"/>
    </row>
    <row r="179" spans="1:52" x14ac:dyDescent="0.2">
      <c r="B179" s="79" t="s">
        <v>503</v>
      </c>
      <c r="C179" s="23"/>
      <c r="D179" s="23"/>
      <c r="E179" s="23"/>
      <c r="F179" s="691"/>
      <c r="G179" s="23"/>
      <c r="H179" s="691"/>
      <c r="I179" s="130"/>
      <c r="J179" s="129"/>
      <c r="K179" s="97"/>
      <c r="L179" s="1629"/>
      <c r="M179" s="371"/>
      <c r="N179" s="129"/>
      <c r="O179" s="238"/>
      <c r="P179" s="96"/>
      <c r="Q179" s="96"/>
      <c r="R179" s="96"/>
      <c r="S179" s="96"/>
      <c r="T179" s="96"/>
      <c r="U179" s="96"/>
      <c r="V179" s="96"/>
      <c r="W179" s="96"/>
      <c r="X179" s="96"/>
      <c r="Z179"/>
      <c r="AB179"/>
      <c r="AC179"/>
      <c r="AD179"/>
      <c r="AE179"/>
      <c r="AF179"/>
      <c r="AG179"/>
      <c r="AH179"/>
      <c r="AI179"/>
      <c r="AJ179"/>
      <c r="AK179"/>
      <c r="AX179" s="137"/>
      <c r="AY179" s="137"/>
      <c r="AZ179" s="137"/>
    </row>
    <row r="180" spans="1:52" x14ac:dyDescent="0.2">
      <c r="B180" s="79" t="s">
        <v>503</v>
      </c>
      <c r="C180" s="23"/>
      <c r="D180" s="23"/>
      <c r="E180" s="23"/>
      <c r="F180" s="691"/>
      <c r="G180" s="23"/>
      <c r="H180" s="691"/>
      <c r="I180" s="130"/>
      <c r="J180" s="129"/>
      <c r="K180" s="97"/>
      <c r="L180" s="1629"/>
      <c r="M180" s="371"/>
      <c r="N180" s="129"/>
      <c r="O180" s="238"/>
      <c r="P180" s="96"/>
      <c r="Q180" s="96"/>
      <c r="R180" s="96"/>
      <c r="S180" s="96"/>
      <c r="T180" s="96"/>
      <c r="U180" s="96"/>
      <c r="V180" s="96"/>
      <c r="W180" s="96"/>
      <c r="X180" s="96"/>
      <c r="Z180"/>
      <c r="AB180"/>
      <c r="AC180"/>
      <c r="AD180"/>
      <c r="AE180"/>
      <c r="AF180"/>
      <c r="AG180"/>
      <c r="AH180"/>
      <c r="AI180"/>
      <c r="AJ180"/>
      <c r="AK180"/>
    </row>
    <row r="181" spans="1:52" x14ac:dyDescent="0.2">
      <c r="B181" s="79" t="s">
        <v>503</v>
      </c>
      <c r="C181" s="23"/>
      <c r="D181" s="23"/>
      <c r="E181" s="23"/>
      <c r="F181" s="691"/>
      <c r="G181" s="23"/>
      <c r="H181" s="691"/>
      <c r="I181" s="130"/>
      <c r="J181" s="129"/>
      <c r="K181" s="97"/>
      <c r="L181" s="1629"/>
      <c r="M181" s="371"/>
      <c r="N181" s="129"/>
      <c r="O181" s="238"/>
      <c r="P181" s="96"/>
      <c r="Q181" s="96"/>
      <c r="R181" s="96"/>
      <c r="S181" s="96"/>
      <c r="T181" s="96"/>
      <c r="U181" s="96"/>
      <c r="V181" s="96"/>
      <c r="W181" s="96"/>
      <c r="X181" s="96"/>
      <c r="Z181"/>
      <c r="AB181"/>
      <c r="AC181"/>
      <c r="AD181"/>
      <c r="AE181"/>
      <c r="AF181"/>
      <c r="AG181"/>
      <c r="AH181"/>
      <c r="AI181"/>
      <c r="AJ181"/>
      <c r="AK181"/>
    </row>
    <row r="182" spans="1:52" s="755" customFormat="1" x14ac:dyDescent="0.2">
      <c r="A182" s="20"/>
      <c r="B182" s="79" t="s">
        <v>503</v>
      </c>
      <c r="C182" s="23"/>
      <c r="D182" s="23"/>
      <c r="E182" s="23"/>
      <c r="F182" s="691"/>
      <c r="G182" s="23"/>
      <c r="H182" s="691"/>
      <c r="I182" s="130"/>
      <c r="J182" s="129"/>
      <c r="K182" s="97"/>
      <c r="L182" s="1705" t="s">
        <v>3821</v>
      </c>
      <c r="M182" s="756"/>
      <c r="N182" s="129"/>
      <c r="O182" s="758"/>
      <c r="P182" s="96"/>
      <c r="Q182" s="96"/>
      <c r="R182" s="96"/>
      <c r="S182" s="96"/>
      <c r="T182" s="96"/>
      <c r="U182" s="96"/>
      <c r="V182" s="96"/>
      <c r="W182" s="96"/>
      <c r="X182" s="96"/>
      <c r="AL182" s="66"/>
      <c r="AM182" s="66"/>
      <c r="AN182" s="66"/>
      <c r="AO182" s="66"/>
      <c r="AP182" s="66"/>
      <c r="AQ182" s="66"/>
      <c r="AR182" s="66"/>
      <c r="AS182" s="66"/>
      <c r="AX182" s="66"/>
      <c r="AY182" s="66"/>
      <c r="AZ182" s="66"/>
    </row>
    <row r="183" spans="1:52" s="755" customFormat="1" x14ac:dyDescent="0.2">
      <c r="A183" s="20"/>
      <c r="B183" s="79" t="s">
        <v>503</v>
      </c>
      <c r="C183" s="23"/>
      <c r="D183" s="23"/>
      <c r="E183" s="23"/>
      <c r="F183" s="691"/>
      <c r="G183" s="23"/>
      <c r="H183" s="691"/>
      <c r="I183" s="130"/>
      <c r="J183" s="129"/>
      <c r="K183" s="97"/>
      <c r="L183" s="1705"/>
      <c r="M183" s="756"/>
      <c r="N183" s="129"/>
      <c r="O183" s="758"/>
      <c r="P183" s="96"/>
      <c r="Q183" s="96"/>
      <c r="R183" s="96"/>
      <c r="S183" s="96"/>
      <c r="T183" s="96"/>
      <c r="U183" s="96"/>
      <c r="V183" s="96"/>
      <c r="W183" s="96"/>
      <c r="X183" s="96"/>
      <c r="AL183" s="66"/>
      <c r="AM183" s="66"/>
      <c r="AN183" s="66"/>
      <c r="AO183" s="66"/>
      <c r="AP183" s="66"/>
      <c r="AQ183" s="66"/>
      <c r="AR183" s="66"/>
      <c r="AS183" s="66"/>
      <c r="AX183" s="66"/>
      <c r="AY183" s="66"/>
      <c r="AZ183" s="66"/>
    </row>
    <row r="184" spans="1:52" s="755" customFormat="1" x14ac:dyDescent="0.2">
      <c r="A184" s="20"/>
      <c r="B184" s="79" t="s">
        <v>503</v>
      </c>
      <c r="C184" s="23"/>
      <c r="D184" s="23"/>
      <c r="E184" s="23"/>
      <c r="F184" s="691"/>
      <c r="G184" s="23"/>
      <c r="H184" s="691"/>
      <c r="I184" s="130"/>
      <c r="J184" s="129"/>
      <c r="K184" s="97"/>
      <c r="L184" s="1705"/>
      <c r="M184" s="756"/>
      <c r="N184" s="129"/>
      <c r="O184" s="758"/>
      <c r="P184" s="96"/>
      <c r="Q184" s="96"/>
      <c r="R184" s="96"/>
      <c r="S184" s="96"/>
      <c r="T184" s="96"/>
      <c r="U184" s="96"/>
      <c r="V184" s="96"/>
      <c r="W184" s="96"/>
      <c r="X184" s="96"/>
      <c r="AL184" s="66"/>
      <c r="AM184" s="66"/>
      <c r="AN184" s="66"/>
      <c r="AO184" s="66"/>
      <c r="AP184" s="66"/>
      <c r="AQ184" s="66"/>
      <c r="AR184" s="66"/>
      <c r="AS184" s="66"/>
      <c r="AX184" s="66"/>
      <c r="AY184" s="66"/>
    </row>
    <row r="185" spans="1:52" x14ac:dyDescent="0.2">
      <c r="B185" s="79" t="s">
        <v>503</v>
      </c>
      <c r="C185" s="23" t="s">
        <v>254</v>
      </c>
      <c r="D185" s="23"/>
      <c r="E185" s="23"/>
      <c r="F185" s="691"/>
      <c r="G185" s="23"/>
      <c r="H185" s="691"/>
      <c r="I185" s="67"/>
      <c r="J185" s="180" t="s">
        <v>254</v>
      </c>
      <c r="K185" s="97"/>
      <c r="L185" s="295" t="s">
        <v>504</v>
      </c>
      <c r="M185" s="1697" t="str">
        <f>IF(R185,"Mandatory","N/A")</f>
        <v>Mandatory</v>
      </c>
      <c r="N185" s="4"/>
      <c r="O185" s="138"/>
      <c r="P185" s="332" t="b">
        <v>1</v>
      </c>
      <c r="Q185" s="332" t="b">
        <v>0</v>
      </c>
      <c r="R185" s="137" t="b">
        <f>S185</f>
        <v>1</v>
      </c>
      <c r="S185" s="126" t="b">
        <v>1</v>
      </c>
      <c r="T185" s="126" t="b">
        <v>0</v>
      </c>
      <c r="U185" s="96" t="str">
        <f>SUBSTITUTE(SUBSTITUTE(SUBSTITUTE("dd"&amp;B185&amp;C185&amp;D185&amp;E185&amp;F185,".","_"),"(","_"),")","")</f>
        <v>dd602_1_9_1</v>
      </c>
      <c r="V185"/>
      <c r="W185" s="12" t="s">
        <v>2588</v>
      </c>
      <c r="X185" s="1621"/>
      <c r="Z185"/>
      <c r="AB185"/>
      <c r="AC185" s="131" t="b">
        <f>OR(AD185:AE185)</f>
        <v>0</v>
      </c>
      <c r="AD185" s="131" t="b">
        <f>T185</f>
        <v>0</v>
      </c>
      <c r="AE185" s="755" t="b">
        <f>AND(R185,NOT(W185="Met"),NOT(W185="N/A"))</f>
        <v>0</v>
      </c>
      <c r="AF185"/>
      <c r="AG185"/>
      <c r="AH185"/>
      <c r="AI185"/>
      <c r="AJ185"/>
      <c r="AK185"/>
      <c r="AL185" s="1352" t="str">
        <f>SUBSTITUTE(SUBSTITUTE(SUBSTITUTE("dpa"&amp;$B185&amp;$C185&amp;$D185&amp;$E185&amp;$F185,".","_"),"(","_"),")","")</f>
        <v>dpa602_1_9_1</v>
      </c>
      <c r="AM185" s="1352" t="str">
        <f>M185</f>
        <v>Mandatory</v>
      </c>
      <c r="AP185" s="1352" t="str">
        <f>SUBSTITUTE(SUBSTITUTE(SUBSTITUTE("dch"&amp;$B185&amp;$C185&amp;$D185&amp;$E185&amp;$F185,".","_"),"(","_"),")","")</f>
        <v>dch602_1_9_1</v>
      </c>
      <c r="AQ185" s="1352" t="str">
        <f>IF(LEN(W185)=0,"",W185)</f>
        <v>Met</v>
      </c>
      <c r="AR185" s="1352" t="str">
        <f>SUBSTITUTE(SUBSTITUTE(SUBSTITUTE("dnt"&amp;$B185&amp;$C185&amp;$D185&amp;$E185&amp;$F185,".","_"),"(","_"),")","")</f>
        <v>dnt602_1_9_1</v>
      </c>
      <c r="AS185" s="1352" t="str">
        <f>IF(LEN(X185)=0,"",X185)</f>
        <v/>
      </c>
      <c r="AX185" s="755"/>
      <c r="AY185" s="755"/>
      <c r="AZ185" s="755"/>
    </row>
    <row r="186" spans="1:52" x14ac:dyDescent="0.2">
      <c r="B186" s="79" t="s">
        <v>503</v>
      </c>
      <c r="C186" s="23" t="s">
        <v>254</v>
      </c>
      <c r="D186" s="23" t="s">
        <v>121</v>
      </c>
      <c r="E186" s="23"/>
      <c r="F186" s="691"/>
      <c r="G186" s="23"/>
      <c r="H186" s="691"/>
      <c r="I186" s="67"/>
      <c r="J186" s="129"/>
      <c r="K186" s="93" t="s">
        <v>121</v>
      </c>
      <c r="L186" s="295" t="s">
        <v>505</v>
      </c>
      <c r="M186" s="1697"/>
      <c r="N186" s="4"/>
      <c r="O186" s="138"/>
      <c r="P186" s="332"/>
      <c r="Q186" s="332"/>
      <c r="R186"/>
      <c r="S186"/>
      <c r="T186"/>
      <c r="U186"/>
      <c r="V186"/>
      <c r="W186"/>
      <c r="X186" s="1632"/>
      <c r="Z186"/>
      <c r="AB186"/>
      <c r="AC186"/>
      <c r="AD186"/>
      <c r="AE186"/>
      <c r="AF186"/>
      <c r="AG186"/>
      <c r="AH186"/>
      <c r="AI186"/>
      <c r="AJ186"/>
      <c r="AK186"/>
      <c r="AX186" s="755"/>
      <c r="AY186" s="755"/>
      <c r="AZ186" s="755"/>
    </row>
    <row r="187" spans="1:52" x14ac:dyDescent="0.2">
      <c r="B187" s="79" t="s">
        <v>503</v>
      </c>
      <c r="C187" s="23" t="s">
        <v>254</v>
      </c>
      <c r="D187" s="23" t="s">
        <v>122</v>
      </c>
      <c r="E187" s="23"/>
      <c r="F187" s="691"/>
      <c r="G187" s="23"/>
      <c r="H187" s="691"/>
      <c r="I187" s="67"/>
      <c r="J187" s="129"/>
      <c r="K187" s="93" t="s">
        <v>122</v>
      </c>
      <c r="L187" s="295" t="s">
        <v>506</v>
      </c>
      <c r="M187" s="1697"/>
      <c r="N187" s="4"/>
      <c r="O187" s="138"/>
      <c r="P187" s="332"/>
      <c r="Q187" s="332"/>
      <c r="R187"/>
      <c r="S187"/>
      <c r="T187"/>
      <c r="U187"/>
      <c r="V187"/>
      <c r="W187"/>
      <c r="X187" s="1632"/>
      <c r="Z187"/>
      <c r="AB187"/>
      <c r="AC187"/>
      <c r="AD187"/>
      <c r="AE187"/>
      <c r="AF187"/>
      <c r="AG187"/>
      <c r="AH187"/>
      <c r="AI187"/>
      <c r="AJ187"/>
      <c r="AK187"/>
      <c r="AX187" s="755"/>
      <c r="AY187" s="755"/>
    </row>
    <row r="188" spans="1:52" x14ac:dyDescent="0.2">
      <c r="B188" s="79" t="s">
        <v>503</v>
      </c>
      <c r="C188" s="23" t="s">
        <v>254</v>
      </c>
      <c r="D188" s="28" t="s">
        <v>123</v>
      </c>
      <c r="E188" s="28"/>
      <c r="F188" s="692"/>
      <c r="G188" s="28"/>
      <c r="H188" s="692"/>
      <c r="I188" s="67"/>
      <c r="J188" s="129"/>
      <c r="K188" s="111" t="s">
        <v>123</v>
      </c>
      <c r="L188" s="295" t="s">
        <v>507</v>
      </c>
      <c r="M188" s="1697"/>
      <c r="N188" s="4"/>
      <c r="O188" s="138"/>
      <c r="P188" s="332"/>
      <c r="Q188" s="332"/>
      <c r="R188"/>
      <c r="S188"/>
      <c r="T188"/>
      <c r="U188"/>
      <c r="V188"/>
      <c r="W188"/>
      <c r="X188" s="1632"/>
      <c r="Z188"/>
      <c r="AB188"/>
      <c r="AC188"/>
      <c r="AD188"/>
      <c r="AE188"/>
      <c r="AF188"/>
      <c r="AG188"/>
      <c r="AH188"/>
      <c r="AI188"/>
      <c r="AJ188"/>
      <c r="AK188"/>
    </row>
    <row r="189" spans="1:52" x14ac:dyDescent="0.2">
      <c r="B189" s="79" t="s">
        <v>503</v>
      </c>
      <c r="C189" s="23" t="s">
        <v>254</v>
      </c>
      <c r="D189" s="23" t="s">
        <v>366</v>
      </c>
      <c r="E189" s="23"/>
      <c r="F189" s="691"/>
      <c r="G189" s="23"/>
      <c r="H189" s="691"/>
      <c r="I189" s="67"/>
      <c r="J189" s="129"/>
      <c r="K189" s="187" t="s">
        <v>366</v>
      </c>
      <c r="L189" s="1609" t="s">
        <v>508</v>
      </c>
      <c r="M189" s="1697"/>
      <c r="N189" s="4"/>
      <c r="O189" s="138"/>
      <c r="P189" s="332"/>
      <c r="Q189" s="332"/>
      <c r="R189"/>
      <c r="S189"/>
      <c r="T189"/>
      <c r="U189"/>
      <c r="V189"/>
      <c r="W189"/>
      <c r="X189" s="1632"/>
      <c r="Z189"/>
      <c r="AB189"/>
      <c r="AC189"/>
      <c r="AD189"/>
      <c r="AE189"/>
      <c r="AF189"/>
      <c r="AG189"/>
      <c r="AH189"/>
      <c r="AI189"/>
      <c r="AJ189"/>
      <c r="AK189"/>
    </row>
    <row r="190" spans="1:52" x14ac:dyDescent="0.2">
      <c r="B190" s="79" t="s">
        <v>503</v>
      </c>
      <c r="C190" s="23" t="s">
        <v>254</v>
      </c>
      <c r="D190" s="23" t="s">
        <v>366</v>
      </c>
      <c r="E190" s="23"/>
      <c r="F190" s="691"/>
      <c r="G190" s="23"/>
      <c r="H190" s="691"/>
      <c r="I190" s="67"/>
      <c r="J190" s="129"/>
      <c r="K190" s="97"/>
      <c r="L190" s="1609"/>
      <c r="M190" s="1697"/>
      <c r="N190" s="4"/>
      <c r="O190" s="138"/>
      <c r="P190" s="332"/>
      <c r="Q190" s="332"/>
      <c r="R190"/>
      <c r="S190"/>
      <c r="T190"/>
      <c r="U190"/>
      <c r="V190"/>
      <c r="W190"/>
      <c r="X190" s="1632"/>
      <c r="Z190"/>
      <c r="AB190"/>
      <c r="AC190"/>
      <c r="AD190"/>
      <c r="AE190"/>
      <c r="AF190"/>
      <c r="AG190"/>
      <c r="AH190"/>
      <c r="AI190"/>
      <c r="AJ190"/>
      <c r="AK190"/>
    </row>
    <row r="191" spans="1:52" x14ac:dyDescent="0.2">
      <c r="B191" s="79" t="s">
        <v>503</v>
      </c>
      <c r="C191" s="23" t="s">
        <v>254</v>
      </c>
      <c r="D191" s="23" t="s">
        <v>472</v>
      </c>
      <c r="E191" s="23"/>
      <c r="F191" s="691"/>
      <c r="G191" s="23"/>
      <c r="H191" s="691"/>
      <c r="I191" s="67"/>
      <c r="J191" s="129"/>
      <c r="K191" s="187" t="s">
        <v>472</v>
      </c>
      <c r="L191" s="295" t="s">
        <v>509</v>
      </c>
      <c r="M191" s="1697"/>
      <c r="N191" s="4"/>
      <c r="O191" s="138"/>
      <c r="P191" s="332"/>
      <c r="Q191" s="332"/>
      <c r="R191"/>
      <c r="S191"/>
      <c r="T191"/>
      <c r="U191"/>
      <c r="V191"/>
      <c r="W191"/>
      <c r="X191" s="1632"/>
      <c r="Z191"/>
      <c r="AB191"/>
      <c r="AC191"/>
      <c r="AD191"/>
      <c r="AE191"/>
      <c r="AF191"/>
      <c r="AG191"/>
      <c r="AH191"/>
      <c r="AI191"/>
      <c r="AJ191"/>
      <c r="AK191"/>
    </row>
    <row r="192" spans="1:52" x14ac:dyDescent="0.2">
      <c r="B192" s="79" t="s">
        <v>503</v>
      </c>
      <c r="C192" s="23" t="s">
        <v>254</v>
      </c>
      <c r="D192" s="28" t="s">
        <v>510</v>
      </c>
      <c r="E192" s="28"/>
      <c r="F192" s="692"/>
      <c r="G192" s="28"/>
      <c r="H192" s="692"/>
      <c r="I192" s="67"/>
      <c r="J192" s="129"/>
      <c r="K192" s="111" t="s">
        <v>510</v>
      </c>
      <c r="L192" s="295" t="s">
        <v>511</v>
      </c>
      <c r="M192" s="1697"/>
      <c r="N192" s="4"/>
      <c r="O192" s="138"/>
      <c r="P192" s="332"/>
      <c r="Q192" s="332"/>
      <c r="R192"/>
      <c r="S192"/>
      <c r="T192"/>
      <c r="U192"/>
      <c r="V192"/>
      <c r="W192"/>
      <c r="X192" s="1632"/>
      <c r="Z192"/>
      <c r="AB192"/>
      <c r="AC192"/>
      <c r="AD192"/>
      <c r="AE192"/>
      <c r="AF192"/>
      <c r="AG192"/>
      <c r="AH192"/>
      <c r="AI192"/>
      <c r="AJ192"/>
      <c r="AK192"/>
    </row>
    <row r="193" spans="1:52" x14ac:dyDescent="0.2">
      <c r="B193" s="79" t="s">
        <v>503</v>
      </c>
      <c r="C193" s="23" t="s">
        <v>254</v>
      </c>
      <c r="D193" s="23" t="s">
        <v>512</v>
      </c>
      <c r="E193" s="23"/>
      <c r="F193" s="691"/>
      <c r="G193" s="23"/>
      <c r="H193" s="691"/>
      <c r="I193" s="67"/>
      <c r="J193" s="129"/>
      <c r="K193" s="187" t="s">
        <v>512</v>
      </c>
      <c r="L193" s="295" t="s">
        <v>513</v>
      </c>
      <c r="M193" s="1697"/>
      <c r="N193" s="4"/>
      <c r="O193" s="138"/>
      <c r="P193" s="332"/>
      <c r="Q193" s="332"/>
      <c r="R193"/>
      <c r="S193"/>
      <c r="T193"/>
      <c r="U193"/>
      <c r="V193"/>
      <c r="W193"/>
      <c r="X193" s="1632"/>
      <c r="Z193"/>
      <c r="AB193"/>
      <c r="AC193"/>
      <c r="AD193"/>
      <c r="AE193"/>
      <c r="AF193"/>
      <c r="AG193"/>
      <c r="AH193"/>
      <c r="AI193"/>
      <c r="AJ193"/>
      <c r="AK193"/>
    </row>
    <row r="194" spans="1:52" x14ac:dyDescent="0.2">
      <c r="B194" s="79" t="s">
        <v>503</v>
      </c>
      <c r="C194" s="23" t="s">
        <v>254</v>
      </c>
      <c r="D194" s="23" t="s">
        <v>514</v>
      </c>
      <c r="E194" s="23"/>
      <c r="F194" s="691"/>
      <c r="G194" s="23"/>
      <c r="H194" s="691"/>
      <c r="I194" s="67"/>
      <c r="J194" s="129"/>
      <c r="K194" s="187" t="s">
        <v>514</v>
      </c>
      <c r="L194" s="759" t="s">
        <v>515</v>
      </c>
      <c r="M194" s="1697"/>
      <c r="N194" s="4"/>
      <c r="O194" s="138"/>
      <c r="P194" s="332"/>
      <c r="Q194" s="332"/>
      <c r="R194"/>
      <c r="S194"/>
      <c r="T194"/>
      <c r="U194"/>
      <c r="V194"/>
      <c r="W194"/>
      <c r="X194" s="1632"/>
      <c r="Z194"/>
      <c r="AB194"/>
      <c r="AC194"/>
      <c r="AD194"/>
      <c r="AE194"/>
      <c r="AF194"/>
      <c r="AG194"/>
      <c r="AH194"/>
      <c r="AI194"/>
      <c r="AJ194"/>
      <c r="AK194"/>
    </row>
    <row r="195" spans="1:52" s="755" customFormat="1" x14ac:dyDescent="0.2">
      <c r="A195" s="20"/>
      <c r="B195" s="79" t="s">
        <v>503</v>
      </c>
      <c r="C195" s="23" t="s">
        <v>254</v>
      </c>
      <c r="D195" s="23"/>
      <c r="E195" s="23"/>
      <c r="F195" s="691"/>
      <c r="G195" s="23"/>
      <c r="H195" s="691"/>
      <c r="I195" s="67"/>
      <c r="J195" s="129"/>
      <c r="K195" s="187"/>
      <c r="L195" s="1705" t="s">
        <v>3822</v>
      </c>
      <c r="M195" s="775"/>
      <c r="N195" s="4"/>
      <c r="O195" s="757"/>
      <c r="X195" s="1632"/>
      <c r="AL195" s="66"/>
      <c r="AM195" s="66"/>
      <c r="AN195" s="66"/>
      <c r="AO195" s="66"/>
      <c r="AP195" s="66"/>
      <c r="AQ195" s="66"/>
      <c r="AR195" s="66"/>
      <c r="AS195" s="66"/>
      <c r="AX195" s="66"/>
      <c r="AY195" s="66"/>
      <c r="AZ195" s="66"/>
    </row>
    <row r="196" spans="1:52" s="755" customFormat="1" x14ac:dyDescent="0.2">
      <c r="A196" s="20"/>
      <c r="B196" s="79" t="s">
        <v>503</v>
      </c>
      <c r="C196" s="23" t="s">
        <v>254</v>
      </c>
      <c r="D196" s="23"/>
      <c r="E196" s="23"/>
      <c r="F196" s="691"/>
      <c r="G196" s="23"/>
      <c r="H196" s="691"/>
      <c r="I196" s="67"/>
      <c r="J196" s="213"/>
      <c r="K196" s="221"/>
      <c r="L196" s="1710"/>
      <c r="M196" s="754"/>
      <c r="N196" s="4"/>
      <c r="O196" s="757"/>
      <c r="X196" s="1599"/>
      <c r="AL196" s="66"/>
      <c r="AM196" s="66"/>
      <c r="AN196" s="66"/>
      <c r="AO196" s="66"/>
      <c r="AP196" s="66"/>
      <c r="AQ196" s="66"/>
      <c r="AR196" s="66"/>
      <c r="AS196" s="66"/>
      <c r="AX196" s="66"/>
      <c r="AY196" s="66"/>
      <c r="AZ196" s="66"/>
    </row>
    <row r="197" spans="1:52" x14ac:dyDescent="0.2">
      <c r="B197" s="79" t="s">
        <v>503</v>
      </c>
      <c r="C197" s="23" t="s">
        <v>255</v>
      </c>
      <c r="D197" s="79"/>
      <c r="E197" s="79"/>
      <c r="F197" s="694"/>
      <c r="G197" s="79"/>
      <c r="H197" s="694"/>
      <c r="I197" s="67"/>
      <c r="J197" s="180" t="s">
        <v>255</v>
      </c>
      <c r="K197" s="97"/>
      <c r="L197" s="1609" t="s">
        <v>516</v>
      </c>
      <c r="M197" s="1623">
        <v>2</v>
      </c>
      <c r="N197" s="129"/>
      <c r="O197" s="1619">
        <f>M197*S197*W197</f>
        <v>0</v>
      </c>
      <c r="P197" s="332" t="b">
        <v>1</v>
      </c>
      <c r="Q197" s="332" t="b">
        <v>0</v>
      </c>
      <c r="R197" s="126" t="b">
        <v>0</v>
      </c>
      <c r="S197" s="126" t="b">
        <v>1</v>
      </c>
      <c r="T197" s="126" t="b">
        <v>0</v>
      </c>
      <c r="U197"/>
      <c r="V197"/>
      <c r="W197" s="27"/>
      <c r="X197" s="1600"/>
      <c r="Z197"/>
      <c r="AB197"/>
      <c r="AC197"/>
      <c r="AD197"/>
      <c r="AE197"/>
      <c r="AF197"/>
      <c r="AG197"/>
      <c r="AH197"/>
      <c r="AI197"/>
      <c r="AJ197"/>
      <c r="AK197"/>
      <c r="AL197" s="1352" t="str">
        <f>SUBSTITUTE(SUBSTITUTE(SUBSTITUTE("dpa"&amp;$B197&amp;$C197&amp;$D197&amp;$E197&amp;$F197,".","_"),"(","_"),")","")</f>
        <v>dpa602_1_9_2</v>
      </c>
      <c r="AM197" s="1352">
        <f>M197</f>
        <v>2</v>
      </c>
      <c r="AN197" s="1352" t="str">
        <f>SUBSTITUTE(SUBSTITUTE(SUBSTITUTE("dpc"&amp;$B197&amp;$C197&amp;$D197&amp;$E197&amp;$F197,".","_"),"(","_"),")","")</f>
        <v>dpc602_1_9_2</v>
      </c>
      <c r="AO197" s="1352">
        <f>O197</f>
        <v>0</v>
      </c>
      <c r="AP197" s="1352" t="str">
        <f>SUBSTITUTE(SUBSTITUTE(SUBSTITUTE("dch"&amp;$B197&amp;$C197&amp;$D197&amp;$E197&amp;$F197,".","_"),"(","_"),")","")</f>
        <v>dch602_1_9_2</v>
      </c>
      <c r="AQ197" s="1352" t="str">
        <f>IF(LEN(W197)=0,"",W197)</f>
        <v/>
      </c>
      <c r="AR197" s="1352" t="str">
        <f>SUBSTITUTE(SUBSTITUTE(SUBSTITUTE("dnt"&amp;$B197&amp;$C197&amp;$D197&amp;$E197&amp;$F197,".","_"),"(","_"),")","")</f>
        <v>dnt602_1_9_2</v>
      </c>
      <c r="AS197" s="1352" t="str">
        <f>IF(LEN(X197)=0,"",X197)</f>
        <v/>
      </c>
      <c r="AZ197" s="755"/>
    </row>
    <row r="198" spans="1:52" x14ac:dyDescent="0.2">
      <c r="B198" s="79" t="s">
        <v>503</v>
      </c>
      <c r="C198" s="23" t="s">
        <v>255</v>
      </c>
      <c r="D198" s="79"/>
      <c r="E198" s="79"/>
      <c r="F198" s="694"/>
      <c r="G198" s="79"/>
      <c r="H198" s="694"/>
      <c r="I198" s="67"/>
      <c r="J198" s="129"/>
      <c r="K198" s="97"/>
      <c r="L198" s="1609"/>
      <c r="M198" s="1623"/>
      <c r="N198" s="129"/>
      <c r="O198" s="1619"/>
      <c r="P198" s="332"/>
      <c r="Q198" s="332"/>
      <c r="R198"/>
      <c r="S198"/>
      <c r="T198"/>
      <c r="U198"/>
      <c r="V198"/>
      <c r="W198"/>
      <c r="X198" s="1600"/>
      <c r="Z198"/>
      <c r="AB198"/>
      <c r="AC198"/>
      <c r="AD198"/>
      <c r="AE198"/>
      <c r="AF198"/>
      <c r="AG198"/>
      <c r="AH198"/>
      <c r="AI198"/>
      <c r="AJ198"/>
      <c r="AK198"/>
      <c r="AX198" s="755"/>
      <c r="AY198" s="755"/>
      <c r="AZ198" s="755"/>
    </row>
    <row r="199" spans="1:52" x14ac:dyDescent="0.2">
      <c r="B199" s="79" t="s">
        <v>503</v>
      </c>
      <c r="C199" s="23" t="s">
        <v>255</v>
      </c>
      <c r="D199" s="79"/>
      <c r="E199" s="79"/>
      <c r="F199" s="694"/>
      <c r="G199" s="79"/>
      <c r="H199" s="694"/>
      <c r="I199" s="67"/>
      <c r="J199" s="213"/>
      <c r="K199" s="170"/>
      <c r="L199" s="1612"/>
      <c r="M199" s="1624"/>
      <c r="N199" s="213"/>
      <c r="O199" s="1620"/>
      <c r="P199" s="332"/>
      <c r="Q199" s="332"/>
      <c r="R199"/>
      <c r="S199"/>
      <c r="T199"/>
      <c r="U199"/>
      <c r="V199"/>
      <c r="W199"/>
      <c r="X199" s="1600"/>
      <c r="Z199"/>
      <c r="AB199"/>
      <c r="AC199"/>
      <c r="AD199"/>
      <c r="AE199"/>
      <c r="AF199"/>
      <c r="AG199"/>
      <c r="AH199"/>
      <c r="AI199"/>
      <c r="AJ199"/>
      <c r="AK199"/>
      <c r="AX199" s="755"/>
      <c r="AY199" s="755"/>
    </row>
    <row r="200" spans="1:52" x14ac:dyDescent="0.2">
      <c r="B200" s="79" t="s">
        <v>503</v>
      </c>
      <c r="C200" s="23" t="s">
        <v>256</v>
      </c>
      <c r="D200" s="79"/>
      <c r="E200" s="79"/>
      <c r="F200" s="694"/>
      <c r="G200" s="79"/>
      <c r="H200" s="694"/>
      <c r="I200" s="67"/>
      <c r="J200" s="209" t="s">
        <v>256</v>
      </c>
      <c r="K200" s="210"/>
      <c r="L200" s="311" t="s">
        <v>517</v>
      </c>
      <c r="M200" s="379">
        <v>3</v>
      </c>
      <c r="N200" s="242"/>
      <c r="O200" s="378">
        <f>M200*S200*W200</f>
        <v>0</v>
      </c>
      <c r="P200" s="332" t="b">
        <v>1</v>
      </c>
      <c r="Q200" s="332" t="b">
        <v>0</v>
      </c>
      <c r="R200" s="126" t="b">
        <v>0</v>
      </c>
      <c r="S200" s="126" t="b">
        <v>1</v>
      </c>
      <c r="T200" s="126" t="b">
        <v>0</v>
      </c>
      <c r="U200"/>
      <c r="V200"/>
      <c r="W200" s="27"/>
      <c r="X200" s="156"/>
      <c r="Z200"/>
      <c r="AB200"/>
      <c r="AC200"/>
      <c r="AD200"/>
      <c r="AE200"/>
      <c r="AF200"/>
      <c r="AG200"/>
      <c r="AH200"/>
      <c r="AI200"/>
      <c r="AJ200"/>
      <c r="AK200"/>
      <c r="AL200" s="1352" t="str">
        <f>SUBSTITUTE(SUBSTITUTE(SUBSTITUTE("dpa"&amp;$B200&amp;$C200&amp;$D200&amp;$E200&amp;$F200,".","_"),"(","_"),")","")</f>
        <v>dpa602_1_9_3</v>
      </c>
      <c r="AM200" s="1352">
        <f>M200</f>
        <v>3</v>
      </c>
      <c r="AN200" s="1352" t="str">
        <f>SUBSTITUTE(SUBSTITUTE(SUBSTITUTE("dpc"&amp;$B200&amp;$C200&amp;$D200&amp;$E200&amp;$F200,".","_"),"(","_"),")","")</f>
        <v>dpc602_1_9_3</v>
      </c>
      <c r="AO200" s="1352">
        <f>O200</f>
        <v>0</v>
      </c>
      <c r="AP200" s="1352" t="str">
        <f>SUBSTITUTE(SUBSTITUTE(SUBSTITUTE("dch"&amp;$B200&amp;$C200&amp;$D200&amp;$E200&amp;$F200,".","_"),"(","_"),")","")</f>
        <v>dch602_1_9_3</v>
      </c>
      <c r="AQ200" s="1352" t="str">
        <f>IF(LEN(W200)=0,"",W200)</f>
        <v/>
      </c>
      <c r="AR200" s="1352" t="str">
        <f>SUBSTITUTE(SUBSTITUTE(SUBSTITUTE("dnt"&amp;$B200&amp;$C200&amp;$D200&amp;$E200&amp;$F200,".","_"),"(","_"),")","")</f>
        <v>dnt602_1_9_3</v>
      </c>
      <c r="AS200" s="1352" t="str">
        <f>IF(LEN(X200)=0,"",X200)</f>
        <v/>
      </c>
    </row>
    <row r="201" spans="1:52" x14ac:dyDescent="0.2">
      <c r="B201" s="79" t="s">
        <v>503</v>
      </c>
      <c r="C201" s="23" t="s">
        <v>259</v>
      </c>
      <c r="D201" s="79"/>
      <c r="E201" s="79"/>
      <c r="F201" s="694"/>
      <c r="G201" s="79"/>
      <c r="H201" s="694"/>
      <c r="I201" s="67"/>
      <c r="J201" s="212" t="s">
        <v>259</v>
      </c>
      <c r="K201" s="194"/>
      <c r="L201" s="1613" t="s">
        <v>518</v>
      </c>
      <c r="M201" s="1636">
        <v>3</v>
      </c>
      <c r="N201" s="193"/>
      <c r="O201" s="1637">
        <f>M201*S201*W201</f>
        <v>0</v>
      </c>
      <c r="P201" s="332" t="b">
        <v>1</v>
      </c>
      <c r="Q201" s="332" t="b">
        <v>0</v>
      </c>
      <c r="R201" s="126" t="b">
        <v>0</v>
      </c>
      <c r="S201" s="126" t="b">
        <v>1</v>
      </c>
      <c r="T201" s="126" t="b">
        <v>0</v>
      </c>
      <c r="U201"/>
      <c r="V201"/>
      <c r="W201" s="27"/>
      <c r="X201" s="1600"/>
      <c r="Z201"/>
      <c r="AB201"/>
      <c r="AC201"/>
      <c r="AD201"/>
      <c r="AE201"/>
      <c r="AF201"/>
      <c r="AG201"/>
      <c r="AH201"/>
      <c r="AI201"/>
      <c r="AJ201"/>
      <c r="AK201"/>
      <c r="AL201" s="1352" t="str">
        <f>SUBSTITUTE(SUBSTITUTE(SUBSTITUTE("dpa"&amp;$B201&amp;$C201&amp;$D201&amp;$E201&amp;$F201,".","_"),"(","_"),")","")</f>
        <v>dpa602_1_9_4</v>
      </c>
      <c r="AM201" s="1352">
        <f>M201</f>
        <v>3</v>
      </c>
      <c r="AN201" s="1352" t="str">
        <f>SUBSTITUTE(SUBSTITUTE(SUBSTITUTE("dpc"&amp;$B201&amp;$C201&amp;$D201&amp;$E201&amp;$F201,".","_"),"(","_"),")","")</f>
        <v>dpc602_1_9_4</v>
      </c>
      <c r="AO201" s="1352">
        <f>O201</f>
        <v>0</v>
      </c>
      <c r="AP201" s="1352" t="str">
        <f>SUBSTITUTE(SUBSTITUTE(SUBSTITUTE("dch"&amp;$B201&amp;$C201&amp;$D201&amp;$E201&amp;$F201,".","_"),"(","_"),")","")</f>
        <v>dch602_1_9_4</v>
      </c>
      <c r="AQ201" s="1352" t="str">
        <f>IF(LEN(W201)=0,"",W201)</f>
        <v/>
      </c>
      <c r="AR201" s="1352" t="str">
        <f>SUBSTITUTE(SUBSTITUTE(SUBSTITUTE("dnt"&amp;$B201&amp;$C201&amp;$D201&amp;$E201&amp;$F201,".","_"),"(","_"),")","")</f>
        <v>dnt602_1_9_4</v>
      </c>
      <c r="AS201" s="1352" t="str">
        <f>IF(LEN(X201)=0,"",X201)</f>
        <v/>
      </c>
    </row>
    <row r="202" spans="1:52" x14ac:dyDescent="0.2">
      <c r="B202" s="79" t="s">
        <v>503</v>
      </c>
      <c r="C202" s="23" t="s">
        <v>259</v>
      </c>
      <c r="D202" s="79"/>
      <c r="E202" s="79"/>
      <c r="F202" s="694"/>
      <c r="G202" s="79"/>
      <c r="H202" s="694"/>
      <c r="I202" s="67"/>
      <c r="J202" s="129"/>
      <c r="K202" s="97"/>
      <c r="L202" s="1609"/>
      <c r="M202" s="1623"/>
      <c r="N202" s="129"/>
      <c r="O202" s="1619"/>
      <c r="P202" s="332"/>
      <c r="Q202" s="332"/>
      <c r="R202"/>
      <c r="S202"/>
      <c r="T202"/>
      <c r="U202"/>
      <c r="V202"/>
      <c r="W202"/>
      <c r="X202" s="1600"/>
      <c r="Z202"/>
      <c r="AB202"/>
      <c r="AC202"/>
      <c r="AD202"/>
      <c r="AE202"/>
      <c r="AF202"/>
      <c r="AG202"/>
      <c r="AH202"/>
      <c r="AI202"/>
      <c r="AJ202"/>
      <c r="AK202"/>
    </row>
    <row r="203" spans="1:52" x14ac:dyDescent="0.2">
      <c r="B203" s="79" t="s">
        <v>503</v>
      </c>
      <c r="C203" s="23" t="s">
        <v>259</v>
      </c>
      <c r="D203" s="79"/>
      <c r="E203" s="79"/>
      <c r="F203" s="694"/>
      <c r="G203" s="79"/>
      <c r="H203" s="694"/>
      <c r="I203" s="67"/>
      <c r="J203" s="129"/>
      <c r="K203" s="97"/>
      <c r="L203" s="1609"/>
      <c r="M203" s="1623"/>
      <c r="N203" s="129"/>
      <c r="O203" s="1619"/>
      <c r="P203" s="332"/>
      <c r="Q203" s="332"/>
      <c r="R203"/>
      <c r="S203"/>
      <c r="T203"/>
      <c r="U203"/>
      <c r="V203"/>
      <c r="W203"/>
      <c r="X203" s="1600"/>
      <c r="Z203"/>
      <c r="AB203"/>
      <c r="AC203"/>
      <c r="AD203"/>
      <c r="AE203"/>
      <c r="AF203"/>
      <c r="AG203"/>
      <c r="AH203"/>
      <c r="AI203"/>
      <c r="AJ203"/>
      <c r="AK203"/>
    </row>
    <row r="204" spans="1:52" x14ac:dyDescent="0.2">
      <c r="B204" s="79" t="s">
        <v>503</v>
      </c>
      <c r="C204" s="23" t="s">
        <v>259</v>
      </c>
      <c r="D204" s="79"/>
      <c r="E204" s="79"/>
      <c r="F204" s="694"/>
      <c r="G204" s="79"/>
      <c r="H204" s="694"/>
      <c r="I204" s="67"/>
      <c r="J204" s="213"/>
      <c r="K204" s="170"/>
      <c r="L204" s="1612"/>
      <c r="M204" s="1624"/>
      <c r="N204" s="213"/>
      <c r="O204" s="1620"/>
      <c r="P204" s="332"/>
      <c r="Q204" s="332"/>
      <c r="R204"/>
      <c r="S204"/>
      <c r="T204"/>
      <c r="U204"/>
      <c r="V204"/>
      <c r="W204"/>
      <c r="X204" s="1600"/>
      <c r="Z204"/>
      <c r="AB204"/>
      <c r="AC204"/>
      <c r="AD204"/>
      <c r="AE204"/>
      <c r="AF204"/>
      <c r="AG204"/>
      <c r="AH204"/>
      <c r="AI204"/>
      <c r="AJ204"/>
      <c r="AK204"/>
    </row>
    <row r="205" spans="1:52" x14ac:dyDescent="0.2">
      <c r="B205" s="79" t="s">
        <v>503</v>
      </c>
      <c r="C205" s="23" t="s">
        <v>263</v>
      </c>
      <c r="D205" s="79"/>
      <c r="E205" s="79"/>
      <c r="F205" s="694"/>
      <c r="G205" s="79"/>
      <c r="H205" s="694"/>
      <c r="I205" s="67"/>
      <c r="J205" s="29" t="s">
        <v>263</v>
      </c>
      <c r="K205" s="85"/>
      <c r="L205" s="299" t="s">
        <v>519</v>
      </c>
      <c r="M205" s="374"/>
      <c r="N205" s="4"/>
      <c r="O205" s="138">
        <f ca="1">IFERROR(INDEX({4,2},MATCH(W205,INDIRECT(U205),0)),0)</f>
        <v>0</v>
      </c>
      <c r="P205" s="332" t="b">
        <v>1</v>
      </c>
      <c r="Q205" s="332" t="b">
        <v>0</v>
      </c>
      <c r="R205" s="126" t="b">
        <v>0</v>
      </c>
      <c r="S205" s="126" t="b">
        <v>1</v>
      </c>
      <c r="T205" s="126" t="b">
        <v>0</v>
      </c>
      <c r="U205" s="96" t="str">
        <f>SUBSTITUTE(SUBSTITUTE(SUBSTITUTE("dd"&amp;B205&amp;C205&amp;D205&amp;E205&amp;F205,".","_"),"(","_"),")","")</f>
        <v>dd602_1_9_5</v>
      </c>
      <c r="V205"/>
      <c r="W205" s="12"/>
      <c r="X205" s="1600"/>
      <c r="Z205"/>
      <c r="AB205"/>
      <c r="AC205"/>
      <c r="AD205"/>
      <c r="AE205"/>
      <c r="AF205"/>
      <c r="AG205"/>
      <c r="AH205"/>
      <c r="AI205"/>
      <c r="AJ205"/>
      <c r="AK205"/>
      <c r="AN205" s="1352" t="str">
        <f>SUBSTITUTE(SUBSTITUTE(SUBSTITUTE("dpc"&amp;$B205&amp;$C205&amp;$D205&amp;$E205&amp;$F205,".","_"),"(","_"),")","")</f>
        <v>dpc602_1_9_5</v>
      </c>
      <c r="AO205" s="1352">
        <f ca="1">O205</f>
        <v>0</v>
      </c>
      <c r="AP205" s="1352" t="str">
        <f>SUBSTITUTE(SUBSTITUTE(SUBSTITUTE("dch"&amp;$B205&amp;$C205&amp;$D205&amp;$E205&amp;$F205,".","_"),"(","_"),")","")</f>
        <v>dch602_1_9_5</v>
      </c>
      <c r="AQ205" s="1352" t="str">
        <f>IF(LEN(W205)=0,"",W205)</f>
        <v/>
      </c>
      <c r="AR205" s="1352" t="str">
        <f>SUBSTITUTE(SUBSTITUTE(SUBSTITUTE("dnt"&amp;$B205&amp;$C205&amp;$D205&amp;$E205&amp;$F205,".","_"),"(","_"),")","")</f>
        <v>dnt602_1_9_5</v>
      </c>
      <c r="AS205" s="1352" t="str">
        <f>IF(LEN(X205)=0,"",X205)</f>
        <v/>
      </c>
    </row>
    <row r="206" spans="1:52" x14ac:dyDescent="0.2">
      <c r="B206" s="79" t="s">
        <v>503</v>
      </c>
      <c r="C206" s="23" t="s">
        <v>263</v>
      </c>
      <c r="D206" s="23" t="s">
        <v>121</v>
      </c>
      <c r="E206" s="23"/>
      <c r="F206" s="691"/>
      <c r="G206" s="23"/>
      <c r="H206" s="691"/>
      <c r="I206" s="67"/>
      <c r="J206" s="4"/>
      <c r="K206" s="93" t="s">
        <v>121</v>
      </c>
      <c r="L206" s="1609" t="s">
        <v>520</v>
      </c>
      <c r="M206" s="1623">
        <v>4</v>
      </c>
      <c r="N206" s="4"/>
      <c r="O206" s="138"/>
      <c r="P206" s="332"/>
      <c r="Q206" s="332"/>
      <c r="R206"/>
      <c r="S206"/>
      <c r="T206"/>
      <c r="U206"/>
      <c r="V206"/>
      <c r="W206"/>
      <c r="X206" s="1600"/>
      <c r="Z206"/>
      <c r="AB206"/>
      <c r="AC206"/>
      <c r="AD206"/>
      <c r="AE206"/>
      <c r="AF206"/>
      <c r="AG206"/>
      <c r="AH206"/>
      <c r="AI206"/>
      <c r="AJ206"/>
      <c r="AK206"/>
      <c r="AL206" s="1352" t="str">
        <f>SUBSTITUTE(SUBSTITUTE(SUBSTITUTE("dpa"&amp;$B206&amp;$C206&amp;$D206&amp;$E206&amp;$F206,".","_"),"(","_"),")","")</f>
        <v>dpa602_1_9_5_a</v>
      </c>
      <c r="AM206" s="1352">
        <f>M206</f>
        <v>4</v>
      </c>
    </row>
    <row r="207" spans="1:52" x14ac:dyDescent="0.2">
      <c r="B207" s="79" t="s">
        <v>503</v>
      </c>
      <c r="C207" s="23" t="s">
        <v>263</v>
      </c>
      <c r="D207" s="23" t="s">
        <v>121</v>
      </c>
      <c r="E207" s="23"/>
      <c r="F207" s="691"/>
      <c r="G207" s="23"/>
      <c r="H207" s="691"/>
      <c r="I207" s="67"/>
      <c r="J207" s="4"/>
      <c r="K207" s="93"/>
      <c r="L207" s="1609"/>
      <c r="M207" s="1623"/>
      <c r="N207" s="4"/>
      <c r="O207" s="138"/>
      <c r="P207" s="332"/>
      <c r="Q207" s="332"/>
      <c r="R207"/>
      <c r="S207"/>
      <c r="T207"/>
      <c r="U207"/>
      <c r="V207"/>
      <c r="W207"/>
      <c r="X207" s="1600"/>
      <c r="Z207"/>
      <c r="AB207"/>
      <c r="AC207"/>
      <c r="AD207"/>
      <c r="AE207"/>
      <c r="AF207"/>
      <c r="AG207"/>
      <c r="AH207"/>
      <c r="AI207"/>
      <c r="AJ207"/>
      <c r="AK207"/>
    </row>
    <row r="208" spans="1:52" x14ac:dyDescent="0.2">
      <c r="B208" s="79" t="s">
        <v>503</v>
      </c>
      <c r="C208" s="23" t="s">
        <v>263</v>
      </c>
      <c r="D208" s="23" t="s">
        <v>121</v>
      </c>
      <c r="E208" s="23"/>
      <c r="F208" s="691"/>
      <c r="G208" s="23"/>
      <c r="H208" s="691"/>
      <c r="I208" s="67"/>
      <c r="J208" s="4"/>
      <c r="K208" s="169"/>
      <c r="L208" s="1612"/>
      <c r="M208" s="1624"/>
      <c r="N208" s="4"/>
      <c r="O208" s="138"/>
      <c r="P208" s="332"/>
      <c r="Q208" s="332"/>
      <c r="R208" s="131"/>
      <c r="S208" s="131"/>
      <c r="T208" s="131"/>
      <c r="U208" s="131"/>
      <c r="V208" s="131"/>
      <c r="W208" s="131"/>
      <c r="X208" s="1600"/>
      <c r="Z208" s="131"/>
      <c r="AB208" s="131"/>
      <c r="AC208" s="131"/>
      <c r="AD208" s="131"/>
      <c r="AE208" s="131"/>
      <c r="AF208" s="131"/>
      <c r="AG208" s="131"/>
      <c r="AH208" s="131"/>
      <c r="AI208" s="131"/>
      <c r="AJ208" s="131"/>
      <c r="AK208" s="131"/>
      <c r="AT208" s="131"/>
    </row>
    <row r="209" spans="1:52" s="131" customFormat="1" x14ac:dyDescent="0.2">
      <c r="A209" s="20"/>
      <c r="B209" s="79" t="s">
        <v>503</v>
      </c>
      <c r="C209" s="23" t="s">
        <v>263</v>
      </c>
      <c r="D209" s="23" t="s">
        <v>122</v>
      </c>
      <c r="E209" s="23"/>
      <c r="F209" s="691"/>
      <c r="G209" s="23"/>
      <c r="H209" s="691"/>
      <c r="I209" s="67"/>
      <c r="J209" s="129"/>
      <c r="K209" s="93" t="s">
        <v>122</v>
      </c>
      <c r="L209" s="1609" t="s">
        <v>521</v>
      </c>
      <c r="M209" s="1623">
        <v>2</v>
      </c>
      <c r="N209" s="129"/>
      <c r="O209" s="238"/>
      <c r="P209" s="332"/>
      <c r="Q209" s="332"/>
      <c r="R209"/>
      <c r="S209"/>
      <c r="T209"/>
      <c r="U209"/>
      <c r="V209"/>
      <c r="W209"/>
      <c r="X209" s="1600"/>
      <c r="Y209" s="704"/>
      <c r="Z209"/>
      <c r="AA209" s="707"/>
      <c r="AB209"/>
      <c r="AC209"/>
      <c r="AD209"/>
      <c r="AE209"/>
      <c r="AF209"/>
      <c r="AG209"/>
      <c r="AH209"/>
      <c r="AI209"/>
      <c r="AJ209"/>
      <c r="AK209"/>
      <c r="AL209" s="1352" t="str">
        <f>SUBSTITUTE(SUBSTITUTE(SUBSTITUTE("dpa"&amp;$B209&amp;$C209&amp;$D209&amp;$E209&amp;$F209,".","_"),"(","_"),")","")</f>
        <v>dpa602_1_9_5_b</v>
      </c>
      <c r="AM209" s="1352">
        <f>M209</f>
        <v>2</v>
      </c>
      <c r="AN209" s="66"/>
      <c r="AO209" s="66"/>
      <c r="AP209" s="66"/>
      <c r="AQ209" s="66"/>
      <c r="AR209" s="66"/>
      <c r="AS209" s="66"/>
      <c r="AT209" s="66"/>
      <c r="AX209" s="66"/>
      <c r="AY209" s="66"/>
      <c r="AZ209" s="66"/>
    </row>
    <row r="210" spans="1:52" x14ac:dyDescent="0.2">
      <c r="B210" s="79" t="s">
        <v>503</v>
      </c>
      <c r="C210" s="23" t="s">
        <v>263</v>
      </c>
      <c r="D210" s="23" t="s">
        <v>122</v>
      </c>
      <c r="E210" s="23"/>
      <c r="F210" s="691"/>
      <c r="G210" s="23"/>
      <c r="H210" s="691"/>
      <c r="I210" s="67"/>
      <c r="J210" s="213"/>
      <c r="K210" s="170"/>
      <c r="L210" s="1612"/>
      <c r="M210" s="1624"/>
      <c r="N210" s="213"/>
      <c r="O210" s="422"/>
      <c r="P210" s="332"/>
      <c r="Q210" s="332"/>
      <c r="R210"/>
      <c r="S210"/>
      <c r="T210"/>
      <c r="U210"/>
      <c r="V210"/>
      <c r="W210"/>
      <c r="X210" s="1600"/>
      <c r="Z210"/>
      <c r="AB210"/>
      <c r="AC210"/>
      <c r="AD210"/>
      <c r="AE210"/>
      <c r="AF210"/>
      <c r="AG210"/>
      <c r="AH210"/>
      <c r="AI210"/>
      <c r="AJ210"/>
      <c r="AK210"/>
    </row>
    <row r="211" spans="1:52" x14ac:dyDescent="0.2">
      <c r="B211" s="79" t="s">
        <v>503</v>
      </c>
      <c r="C211" s="23" t="s">
        <v>264</v>
      </c>
      <c r="D211" s="79"/>
      <c r="E211" s="79"/>
      <c r="F211" s="694"/>
      <c r="G211" s="79"/>
      <c r="H211" s="694"/>
      <c r="I211" s="67"/>
      <c r="J211" s="212" t="s">
        <v>264</v>
      </c>
      <c r="K211" s="194"/>
      <c r="L211" s="1613" t="s">
        <v>522</v>
      </c>
      <c r="M211" s="1636">
        <v>2</v>
      </c>
      <c r="N211" s="193"/>
      <c r="O211" s="1637">
        <f>M211*S211*W211</f>
        <v>0</v>
      </c>
      <c r="P211" s="332" t="b">
        <v>1</v>
      </c>
      <c r="Q211" s="332" t="b">
        <v>0</v>
      </c>
      <c r="R211" s="126" t="b">
        <v>0</v>
      </c>
      <c r="S211" s="126" t="b">
        <v>1</v>
      </c>
      <c r="T211" s="126" t="b">
        <v>0</v>
      </c>
      <c r="U211"/>
      <c r="V211"/>
      <c r="W211" s="27"/>
      <c r="X211" s="1600"/>
      <c r="Z211"/>
      <c r="AB211"/>
      <c r="AC211"/>
      <c r="AD211"/>
      <c r="AE211"/>
      <c r="AF211"/>
      <c r="AG211"/>
      <c r="AH211"/>
      <c r="AI211"/>
      <c r="AJ211"/>
      <c r="AK211"/>
      <c r="AL211" s="1352" t="str">
        <f>SUBSTITUTE(SUBSTITUTE(SUBSTITUTE("dpa"&amp;$B211&amp;$C211&amp;$D211&amp;$E211&amp;$F211,".","_"),"(","_"),")","")</f>
        <v>dpa602_1_9_6</v>
      </c>
      <c r="AM211" s="1352">
        <f>M211</f>
        <v>2</v>
      </c>
      <c r="AN211" s="1352" t="str">
        <f>SUBSTITUTE(SUBSTITUTE(SUBSTITUTE("dpc"&amp;$B211&amp;$C211&amp;$D211&amp;$E211&amp;$F211,".","_"),"(","_"),")","")</f>
        <v>dpc602_1_9_6</v>
      </c>
      <c r="AO211" s="1352">
        <f>O211</f>
        <v>0</v>
      </c>
      <c r="AP211" s="1352" t="str">
        <f>SUBSTITUTE(SUBSTITUTE(SUBSTITUTE("dch"&amp;$B211&amp;$C211&amp;$D211&amp;$E211&amp;$F211,".","_"),"(","_"),")","")</f>
        <v>dch602_1_9_6</v>
      </c>
      <c r="AQ211" s="1352" t="str">
        <f>IF(LEN(W211)=0,"",W211)</f>
        <v/>
      </c>
      <c r="AR211" s="1352" t="str">
        <f>SUBSTITUTE(SUBSTITUTE(SUBSTITUTE("dnt"&amp;$B211&amp;$C211&amp;$D211&amp;$E211&amp;$F211,".","_"),"(","_"),")","")</f>
        <v>dnt602_1_9_6</v>
      </c>
      <c r="AS211" s="1352" t="str">
        <f>IF(LEN(X211)=0,"",X211)</f>
        <v/>
      </c>
      <c r="AX211" s="131"/>
      <c r="AY211" s="131"/>
      <c r="AZ211" s="131"/>
    </row>
    <row r="212" spans="1:52" x14ac:dyDescent="0.2">
      <c r="B212" s="79" t="s">
        <v>503</v>
      </c>
      <c r="C212" s="23" t="s">
        <v>264</v>
      </c>
      <c r="D212" s="79"/>
      <c r="E212" s="79"/>
      <c r="F212" s="694"/>
      <c r="G212" s="79"/>
      <c r="H212" s="694"/>
      <c r="I212" s="67"/>
      <c r="J212" s="213"/>
      <c r="K212" s="170"/>
      <c r="L212" s="1612"/>
      <c r="M212" s="1624"/>
      <c r="N212" s="213"/>
      <c r="O212" s="1620"/>
      <c r="P212" s="332"/>
      <c r="Q212" s="332"/>
      <c r="R212"/>
      <c r="S212"/>
      <c r="T212"/>
      <c r="U212"/>
      <c r="V212"/>
      <c r="W212"/>
      <c r="X212" s="1600"/>
      <c r="Z212"/>
      <c r="AB212"/>
      <c r="AC212"/>
      <c r="AD212"/>
      <c r="AE212"/>
      <c r="AF212"/>
      <c r="AG212"/>
      <c r="AH212"/>
      <c r="AI212"/>
      <c r="AJ212"/>
      <c r="AK212"/>
    </row>
    <row r="213" spans="1:52" ht="16" thickBot="1" x14ac:dyDescent="0.25">
      <c r="B213" s="79" t="s">
        <v>503</v>
      </c>
      <c r="C213" s="23" t="s">
        <v>356</v>
      </c>
      <c r="D213" s="80"/>
      <c r="E213" s="80"/>
      <c r="F213" s="695"/>
      <c r="G213" s="80"/>
      <c r="H213" s="695"/>
      <c r="I213" s="67"/>
      <c r="J213" s="29" t="s">
        <v>356</v>
      </c>
      <c r="K213" s="85"/>
      <c r="L213" s="299" t="s">
        <v>523</v>
      </c>
      <c r="M213" s="374">
        <v>2</v>
      </c>
      <c r="N213" s="4"/>
      <c r="O213" s="138">
        <f>M213*S213*W213</f>
        <v>0</v>
      </c>
      <c r="P213" s="332" t="b">
        <v>1</v>
      </c>
      <c r="Q213" s="332" t="b">
        <v>0</v>
      </c>
      <c r="R213" s="126" t="b">
        <v>0</v>
      </c>
      <c r="S213" s="126" t="b">
        <v>1</v>
      </c>
      <c r="T213" s="126" t="b">
        <v>0</v>
      </c>
      <c r="U213"/>
      <c r="V213"/>
      <c r="W213" s="27"/>
      <c r="X213" s="163"/>
      <c r="Z213"/>
      <c r="AB213"/>
      <c r="AC213"/>
      <c r="AD213"/>
      <c r="AE213"/>
      <c r="AF213"/>
      <c r="AG213"/>
      <c r="AH213"/>
      <c r="AI213"/>
      <c r="AJ213"/>
      <c r="AK213"/>
      <c r="AL213" s="1352" t="str">
        <f>SUBSTITUTE(SUBSTITUTE(SUBSTITUTE("dpa"&amp;$B213&amp;$C213&amp;$D213&amp;$E213&amp;$F213,".","_"),"(","_"),")","")</f>
        <v>dpa602_1_9_7</v>
      </c>
      <c r="AM213" s="1352">
        <f>M213</f>
        <v>2</v>
      </c>
      <c r="AN213" s="1352" t="str">
        <f>SUBSTITUTE(SUBSTITUTE(SUBSTITUTE("dpc"&amp;$B213&amp;$C213&amp;$D213&amp;$E213&amp;$F213,".","_"),"(","_"),")","")</f>
        <v>dpc602_1_9_7</v>
      </c>
      <c r="AO213" s="1352">
        <f>O213</f>
        <v>0</v>
      </c>
      <c r="AP213" s="1352" t="str">
        <f>SUBSTITUTE(SUBSTITUTE(SUBSTITUTE("dch"&amp;$B213&amp;$C213&amp;$D213&amp;$E213&amp;$F213,".","_"),"(","_"),")","")</f>
        <v>dch602_1_9_7</v>
      </c>
      <c r="AQ213" s="1352" t="str">
        <f>IF(LEN(W213)=0,"",W213)</f>
        <v/>
      </c>
      <c r="AR213" s="1352" t="str">
        <f>SUBSTITUTE(SUBSTITUTE(SUBSTITUTE("dnt"&amp;$B213&amp;$C213&amp;$D213&amp;$E213&amp;$F213,".","_"),"(","_"),")","")</f>
        <v>dnt602_1_9_7</v>
      </c>
      <c r="AS213" s="1352" t="str">
        <f>IF(LEN(X213)=0,"",X213)</f>
        <v/>
      </c>
    </row>
    <row r="214" spans="1:52" ht="16" thickTop="1" x14ac:dyDescent="0.2">
      <c r="B214" s="600" t="s">
        <v>524</v>
      </c>
      <c r="C214" s="23"/>
      <c r="D214" s="23"/>
      <c r="E214" s="23"/>
      <c r="F214" s="691"/>
      <c r="G214" s="23"/>
      <c r="H214" s="691"/>
      <c r="I214" s="177" t="s">
        <v>3550</v>
      </c>
      <c r="J214" s="178"/>
      <c r="K214" s="179"/>
      <c r="L214" s="1683" t="s">
        <v>3618</v>
      </c>
      <c r="M214" s="1703" t="s">
        <v>601</v>
      </c>
      <c r="N214" s="178"/>
      <c r="O214" s="1682">
        <f ca="1">IFERROR(INDEX({2,4,6},MATCH(W215,INDIRECT(U215),0)),0)</f>
        <v>2</v>
      </c>
      <c r="P214" s="106"/>
      <c r="Q214" s="106"/>
      <c r="R214" s="106"/>
      <c r="S214" s="106"/>
      <c r="T214" s="106"/>
      <c r="U214" s="106"/>
      <c r="V214" s="106"/>
      <c r="W214" s="106"/>
      <c r="X214" s="106"/>
      <c r="Z214"/>
      <c r="AB214"/>
      <c r="AC214"/>
      <c r="AD214"/>
      <c r="AE214"/>
      <c r="AF214"/>
      <c r="AG214"/>
      <c r="AH214"/>
      <c r="AI214"/>
      <c r="AJ214"/>
      <c r="AK214"/>
      <c r="AL214" s="1352" t="str">
        <f>SUBSTITUTE(SUBSTITUTE(SUBSTITUTE("dpa"&amp;$B214&amp;$C214&amp;$D214&amp;$E214&amp;$F214,".","_"),"(","_"),")","")</f>
        <v>dpa602_1_10</v>
      </c>
      <c r="AM214" s="1352" t="str">
        <f>M214</f>
        <v>2 per exterior door
6 Max</v>
      </c>
      <c r="AN214" s="1352" t="str">
        <f>SUBSTITUTE(SUBSTITUTE(SUBSTITUTE("dpc"&amp;$B214&amp;$C214&amp;$D214&amp;$E214&amp;$F214,".","_"),"(","_"),")","")</f>
        <v>dpc602_1_10</v>
      </c>
      <c r="AO214" s="1352">
        <f ca="1">O214</f>
        <v>2</v>
      </c>
    </row>
    <row r="215" spans="1:52" ht="15" customHeight="1" x14ac:dyDescent="0.2">
      <c r="B215" s="600" t="s">
        <v>524</v>
      </c>
      <c r="C215" s="23"/>
      <c r="D215" s="23"/>
      <c r="E215" s="23"/>
      <c r="F215" s="691"/>
      <c r="G215" s="23"/>
      <c r="H215" s="691"/>
      <c r="I215" s="130"/>
      <c r="J215" s="129"/>
      <c r="K215" s="97"/>
      <c r="L215" s="1629"/>
      <c r="M215" s="1704"/>
      <c r="N215" s="129"/>
      <c r="O215" s="1619"/>
      <c r="P215" s="96" t="b">
        <v>1</v>
      </c>
      <c r="Q215" s="96" t="b">
        <v>1</v>
      </c>
      <c r="R215" s="96" t="b">
        <v>0</v>
      </c>
      <c r="S215" s="96" t="b">
        <v>1</v>
      </c>
      <c r="T215" s="96" t="b">
        <v>0</v>
      </c>
      <c r="U215" s="96" t="str">
        <f>SUBSTITUTE(SUBSTITUTE(SUBSTITUTE("dd"&amp;B215&amp;C215&amp;D215&amp;E215&amp;F215,".","_"),"(","_"),")","")</f>
        <v>dd602_1_10</v>
      </c>
      <c r="V215" s="96"/>
      <c r="W215" s="110" t="s">
        <v>2597</v>
      </c>
      <c r="X215" s="1601"/>
      <c r="Z215"/>
      <c r="AB215"/>
      <c r="AC215"/>
      <c r="AD215"/>
      <c r="AE215"/>
      <c r="AF215"/>
      <c r="AG215"/>
      <c r="AH215"/>
      <c r="AI215"/>
      <c r="AJ215"/>
      <c r="AK215"/>
      <c r="AP215" s="1352" t="str">
        <f>SUBSTITUTE(SUBSTITUTE(SUBSTITUTE("dch"&amp;$B215&amp;$C215&amp;$D215&amp;$E215&amp;$F215,".","_"),"(","_"),")","")</f>
        <v>dch602_1_10</v>
      </c>
      <c r="AQ215" s="1352" t="str">
        <f>IF(LEN(W215)=0,"",W215)</f>
        <v>1 exterior door</v>
      </c>
      <c r="AR215" s="1352" t="str">
        <f>SUBSTITUTE(SUBSTITUTE(SUBSTITUTE("dnt"&amp;$B215&amp;$C215&amp;$D215&amp;$E215&amp;$F215,".","_"),"(","_"),")","")</f>
        <v>dnt602_1_10</v>
      </c>
      <c r="AS215" s="1352" t="str">
        <f>IF(LEN(X215)=0,"",X215)</f>
        <v/>
      </c>
    </row>
    <row r="216" spans="1:52" ht="15" customHeight="1" x14ac:dyDescent="0.2">
      <c r="B216" s="600" t="s">
        <v>524</v>
      </c>
      <c r="C216" s="23"/>
      <c r="D216" s="23"/>
      <c r="E216" s="23"/>
      <c r="F216" s="691"/>
      <c r="G216" s="23"/>
      <c r="H216" s="691"/>
      <c r="I216" s="130"/>
      <c r="J216" s="129"/>
      <c r="K216" s="97"/>
      <c r="L216" s="1629"/>
      <c r="M216" s="1704"/>
      <c r="N216" s="129"/>
      <c r="O216" s="1619"/>
      <c r="P216" s="96"/>
      <c r="Q216" s="96"/>
      <c r="R216" s="96"/>
      <c r="S216" s="96"/>
      <c r="T216" s="96"/>
      <c r="U216" s="96"/>
      <c r="V216" s="96"/>
      <c r="W216" s="96"/>
      <c r="X216" s="1601"/>
      <c r="Z216"/>
      <c r="AB216"/>
      <c r="AC216"/>
      <c r="AD216"/>
      <c r="AE216"/>
      <c r="AF216"/>
      <c r="AG216"/>
      <c r="AH216"/>
      <c r="AI216"/>
      <c r="AJ216"/>
      <c r="AK216"/>
    </row>
    <row r="217" spans="1:52" ht="15" customHeight="1" x14ac:dyDescent="0.2">
      <c r="B217" s="600" t="s">
        <v>524</v>
      </c>
      <c r="C217" s="23"/>
      <c r="D217" s="23"/>
      <c r="E217" s="23"/>
      <c r="F217" s="691"/>
      <c r="G217" s="23"/>
      <c r="H217" s="691"/>
      <c r="I217" s="130"/>
      <c r="J217" s="129"/>
      <c r="K217" s="97"/>
      <c r="L217" s="1629"/>
      <c r="M217" s="1704"/>
      <c r="N217" s="129"/>
      <c r="O217" s="1619"/>
      <c r="P217" s="96"/>
      <c r="Q217" s="96"/>
      <c r="R217" s="96"/>
      <c r="S217" s="96"/>
      <c r="T217" s="96"/>
      <c r="U217" s="96"/>
      <c r="V217" s="96"/>
      <c r="W217" s="96"/>
      <c r="X217" s="1601"/>
      <c r="Z217"/>
      <c r="AB217"/>
      <c r="AC217"/>
      <c r="AD217"/>
      <c r="AE217"/>
      <c r="AF217"/>
      <c r="AG217"/>
      <c r="AH217"/>
      <c r="AI217"/>
      <c r="AJ217"/>
      <c r="AK217"/>
    </row>
    <row r="218" spans="1:52" ht="15" customHeight="1" x14ac:dyDescent="0.2">
      <c r="B218" s="600" t="s">
        <v>524</v>
      </c>
      <c r="C218" s="23"/>
      <c r="D218" s="23"/>
      <c r="E218" s="23"/>
      <c r="F218" s="691"/>
      <c r="G218" s="23"/>
      <c r="H218" s="691"/>
      <c r="I218" s="130"/>
      <c r="J218" s="129"/>
      <c r="K218" s="97"/>
      <c r="L218" s="1629"/>
      <c r="M218" s="1704"/>
      <c r="N218" s="129"/>
      <c r="O218" s="1619"/>
      <c r="P218" s="96"/>
      <c r="Q218" s="96"/>
      <c r="R218" s="96"/>
      <c r="S218" s="96"/>
      <c r="T218" s="96"/>
      <c r="U218" s="96"/>
      <c r="V218" s="96"/>
      <c r="W218" s="96"/>
      <c r="X218" s="1601"/>
      <c r="Z218"/>
      <c r="AB218"/>
      <c r="AC218"/>
      <c r="AD218"/>
      <c r="AE218"/>
      <c r="AF218"/>
      <c r="AG218"/>
      <c r="AH218"/>
      <c r="AI218"/>
      <c r="AJ218"/>
      <c r="AK218"/>
    </row>
    <row r="219" spans="1:52" ht="15" customHeight="1" x14ac:dyDescent="0.2">
      <c r="B219" s="600" t="s">
        <v>524</v>
      </c>
      <c r="C219" s="23"/>
      <c r="D219" s="23"/>
      <c r="E219" s="23"/>
      <c r="F219" s="691"/>
      <c r="G219" s="23"/>
      <c r="H219" s="691"/>
      <c r="I219" s="130"/>
      <c r="J219" s="129"/>
      <c r="K219" s="97"/>
      <c r="L219" s="1629"/>
      <c r="M219" s="1704"/>
      <c r="N219" s="129"/>
      <c r="O219" s="1619"/>
      <c r="P219" s="96"/>
      <c r="Q219" s="96"/>
      <c r="R219" s="96"/>
      <c r="S219" s="96"/>
      <c r="T219" s="96"/>
      <c r="U219" s="96"/>
      <c r="V219" s="96"/>
      <c r="W219" s="96"/>
      <c r="X219" s="1601"/>
      <c r="Z219"/>
      <c r="AB219"/>
      <c r="AC219"/>
      <c r="AD219"/>
      <c r="AE219"/>
      <c r="AF219"/>
      <c r="AG219"/>
      <c r="AH219"/>
      <c r="AI219"/>
      <c r="AJ219"/>
      <c r="AK219"/>
    </row>
    <row r="220" spans="1:52" ht="15" customHeight="1" x14ac:dyDescent="0.2">
      <c r="B220" s="600" t="s">
        <v>524</v>
      </c>
      <c r="C220" s="23"/>
      <c r="D220" s="23"/>
      <c r="E220" s="23"/>
      <c r="F220" s="691"/>
      <c r="G220" s="23"/>
      <c r="H220" s="691"/>
      <c r="I220" s="130"/>
      <c r="J220" s="129"/>
      <c r="K220" s="97"/>
      <c r="L220" s="300" t="str">
        <f>"This Project's Climate Zone: "&amp;BF17</f>
        <v>This Project's Climate Zone: 3</v>
      </c>
      <c r="M220" s="1704"/>
      <c r="N220" s="129"/>
      <c r="O220" s="1619"/>
      <c r="P220" s="96"/>
      <c r="Q220" s="96"/>
      <c r="R220" s="96"/>
      <c r="S220" s="96"/>
      <c r="T220" s="96"/>
      <c r="U220" s="96"/>
      <c r="V220" s="96"/>
      <c r="W220" s="96"/>
      <c r="X220" s="1601"/>
      <c r="Z220" s="137"/>
      <c r="AB220" s="137"/>
      <c r="AC220" s="137"/>
      <c r="AD220" s="137"/>
      <c r="AE220" s="137"/>
      <c r="AF220" s="137"/>
      <c r="AG220" s="137"/>
      <c r="AH220" s="137"/>
      <c r="AI220" s="137"/>
      <c r="AJ220" s="137"/>
      <c r="AK220" s="137"/>
      <c r="AT220" s="137"/>
    </row>
    <row r="221" spans="1:52" s="137" customFormat="1" x14ac:dyDescent="0.2">
      <c r="A221" s="20"/>
      <c r="B221" s="600" t="s">
        <v>524</v>
      </c>
      <c r="C221" s="23"/>
      <c r="D221" s="23" t="s">
        <v>121</v>
      </c>
      <c r="E221" s="23"/>
      <c r="F221" s="691"/>
      <c r="G221" s="23"/>
      <c r="H221" s="691"/>
      <c r="I221" s="130"/>
      <c r="J221" s="129"/>
      <c r="K221" s="93" t="s">
        <v>121</v>
      </c>
      <c r="L221" s="295" t="s">
        <v>525</v>
      </c>
      <c r="M221" s="1704"/>
      <c r="N221" s="129"/>
      <c r="O221" s="1619"/>
      <c r="P221" s="96"/>
      <c r="Q221" s="96"/>
      <c r="R221" s="96"/>
      <c r="S221" s="96"/>
      <c r="T221" s="96"/>
      <c r="U221" s="96"/>
      <c r="V221" s="96"/>
      <c r="W221" s="96"/>
      <c r="X221" s="1601"/>
      <c r="Y221" s="704"/>
      <c r="Z221"/>
      <c r="AA221" s="707"/>
      <c r="AB221"/>
      <c r="AC221"/>
      <c r="AD221"/>
      <c r="AE221"/>
      <c r="AF221"/>
      <c r="AG221"/>
      <c r="AH221"/>
      <c r="AI221"/>
      <c r="AJ221"/>
      <c r="AK221"/>
      <c r="AL221" s="66"/>
      <c r="AM221" s="66"/>
      <c r="AN221" s="66"/>
      <c r="AO221" s="66"/>
      <c r="AP221" s="66"/>
      <c r="AQ221" s="66"/>
      <c r="AR221" s="66"/>
      <c r="AS221" s="66"/>
      <c r="AT221" s="66"/>
      <c r="AX221" s="66"/>
      <c r="AY221" s="66"/>
      <c r="AZ221" s="66"/>
    </row>
    <row r="222" spans="1:52" ht="15" customHeight="1" x14ac:dyDescent="0.2">
      <c r="B222" s="600" t="s">
        <v>524</v>
      </c>
      <c r="C222" s="23"/>
      <c r="D222" s="23" t="s">
        <v>122</v>
      </c>
      <c r="E222" s="23"/>
      <c r="F222" s="691"/>
      <c r="G222" s="23"/>
      <c r="H222" s="691"/>
      <c r="I222" s="130"/>
      <c r="J222" s="129"/>
      <c r="K222" s="93" t="s">
        <v>122</v>
      </c>
      <c r="L222" s="295" t="s">
        <v>526</v>
      </c>
      <c r="M222" s="1704"/>
      <c r="N222" s="129"/>
      <c r="O222" s="1619"/>
      <c r="P222" s="96"/>
      <c r="Q222" s="96"/>
      <c r="R222" s="96"/>
      <c r="S222" s="96"/>
      <c r="T222" s="96"/>
      <c r="U222" s="96"/>
      <c r="V222" s="96"/>
      <c r="W222" s="96"/>
      <c r="X222" s="1601"/>
      <c r="Z222"/>
      <c r="AB222"/>
      <c r="AC222"/>
      <c r="AD222"/>
      <c r="AE222"/>
      <c r="AF222"/>
      <c r="AG222"/>
      <c r="AH222"/>
      <c r="AI222"/>
      <c r="AJ222"/>
      <c r="AK222"/>
    </row>
    <row r="223" spans="1:52" ht="15" customHeight="1" x14ac:dyDescent="0.2">
      <c r="B223" s="600" t="s">
        <v>524</v>
      </c>
      <c r="C223" s="23"/>
      <c r="D223" s="23" t="s">
        <v>123</v>
      </c>
      <c r="E223" s="23"/>
      <c r="F223" s="691"/>
      <c r="G223" s="23"/>
      <c r="H223" s="691"/>
      <c r="I223" s="130"/>
      <c r="J223" s="129"/>
      <c r="K223" s="111" t="s">
        <v>123</v>
      </c>
      <c r="L223" s="295" t="s">
        <v>527</v>
      </c>
      <c r="M223" s="1704"/>
      <c r="N223" s="129"/>
      <c r="O223" s="1619"/>
      <c r="P223" s="96"/>
      <c r="Q223" s="96"/>
      <c r="R223" s="96"/>
      <c r="S223" s="96"/>
      <c r="T223" s="96"/>
      <c r="U223" s="96"/>
      <c r="V223" s="96"/>
      <c r="W223" s="96"/>
      <c r="X223" s="1601"/>
      <c r="Z223"/>
      <c r="AB223"/>
      <c r="AC223"/>
      <c r="AD223"/>
      <c r="AE223"/>
      <c r="AF223"/>
      <c r="AG223"/>
      <c r="AH223"/>
      <c r="AI223"/>
      <c r="AJ223"/>
      <c r="AK223"/>
      <c r="AX223" s="137"/>
      <c r="AY223" s="137"/>
      <c r="AZ223" s="137"/>
    </row>
    <row r="224" spans="1:52" ht="15" customHeight="1" x14ac:dyDescent="0.2">
      <c r="B224" s="600" t="s">
        <v>524</v>
      </c>
      <c r="C224" s="23"/>
      <c r="D224" s="23" t="s">
        <v>366</v>
      </c>
      <c r="E224" s="23"/>
      <c r="F224" s="691"/>
      <c r="G224" s="23"/>
      <c r="H224" s="691"/>
      <c r="I224" s="130"/>
      <c r="J224" s="129"/>
      <c r="K224" s="187" t="s">
        <v>366</v>
      </c>
      <c r="L224" s="295" t="s">
        <v>528</v>
      </c>
      <c r="M224" s="1704"/>
      <c r="N224" s="129"/>
      <c r="O224" s="1619"/>
      <c r="P224" s="96"/>
      <c r="Q224" s="96"/>
      <c r="R224" s="96"/>
      <c r="S224" s="96"/>
      <c r="T224" s="96"/>
      <c r="U224" s="96"/>
      <c r="V224" s="96"/>
      <c r="W224" s="96"/>
      <c r="X224" s="1601"/>
      <c r="Z224"/>
      <c r="AB224"/>
      <c r="AC224"/>
      <c r="AD224"/>
      <c r="AE224"/>
      <c r="AF224"/>
      <c r="AG224"/>
      <c r="AH224"/>
      <c r="AI224"/>
      <c r="AJ224"/>
      <c r="AK224"/>
    </row>
    <row r="225" spans="1:52" ht="15" customHeight="1" x14ac:dyDescent="0.2">
      <c r="B225" s="600" t="s">
        <v>524</v>
      </c>
      <c r="C225" s="23"/>
      <c r="D225" s="23"/>
      <c r="E225" s="23"/>
      <c r="F225" s="691"/>
      <c r="G225" s="23"/>
      <c r="H225" s="691"/>
      <c r="I225" s="130"/>
      <c r="J225" s="129"/>
      <c r="K225" s="187"/>
      <c r="L225" s="1702" t="s">
        <v>2600</v>
      </c>
      <c r="M225" s="1704"/>
      <c r="N225" s="129"/>
      <c r="O225" s="1619"/>
      <c r="P225" s="96"/>
      <c r="Q225" s="96"/>
      <c r="R225" s="96"/>
      <c r="S225" s="96"/>
      <c r="T225" s="96"/>
      <c r="U225" s="96"/>
      <c r="V225" s="96"/>
      <c r="W225" s="96"/>
      <c r="X225" s="1601"/>
      <c r="Z225" s="137"/>
      <c r="AB225" s="137"/>
      <c r="AC225" s="137"/>
      <c r="AD225" s="137"/>
      <c r="AE225" s="137"/>
      <c r="AF225" s="137"/>
      <c r="AG225" s="137"/>
      <c r="AH225" s="137"/>
      <c r="AI225" s="137"/>
      <c r="AJ225" s="137"/>
      <c r="AK225" s="137"/>
      <c r="AT225" s="137"/>
    </row>
    <row r="226" spans="1:52" s="137" customFormat="1" ht="16" thickBot="1" x14ac:dyDescent="0.25">
      <c r="A226" s="20"/>
      <c r="B226" s="600" t="s">
        <v>524</v>
      </c>
      <c r="C226" s="23"/>
      <c r="D226" s="23"/>
      <c r="E226" s="23"/>
      <c r="F226" s="691"/>
      <c r="G226" s="23"/>
      <c r="H226" s="691"/>
      <c r="I226" s="130"/>
      <c r="J226" s="129"/>
      <c r="K226" s="187"/>
      <c r="L226" s="1689"/>
      <c r="M226" s="1704"/>
      <c r="N226" s="129"/>
      <c r="O226" s="1619"/>
      <c r="P226" s="96"/>
      <c r="Q226" s="96"/>
      <c r="R226" s="96"/>
      <c r="S226" s="96"/>
      <c r="T226" s="96"/>
      <c r="U226" s="96"/>
      <c r="V226" s="96"/>
      <c r="W226" s="113"/>
      <c r="X226" s="1621"/>
      <c r="Y226" s="704"/>
      <c r="AA226" s="707"/>
      <c r="AL226" s="66"/>
      <c r="AM226" s="66"/>
      <c r="AN226" s="66"/>
      <c r="AO226" s="66"/>
      <c r="AP226" s="66"/>
      <c r="AQ226" s="66"/>
      <c r="AR226" s="66"/>
      <c r="AS226" s="66"/>
      <c r="AX226" s="66"/>
      <c r="AY226" s="66"/>
      <c r="AZ226" s="66"/>
    </row>
    <row r="227" spans="1:52" s="137" customFormat="1" ht="16" thickTop="1" x14ac:dyDescent="0.2">
      <c r="A227" s="20"/>
      <c r="B227" s="600" t="s">
        <v>529</v>
      </c>
      <c r="C227" s="23"/>
      <c r="D227" s="23"/>
      <c r="E227" s="23"/>
      <c r="F227" s="691"/>
      <c r="G227" s="23"/>
      <c r="H227" s="691"/>
      <c r="I227" s="177" t="s">
        <v>3551</v>
      </c>
      <c r="J227" s="178"/>
      <c r="K227" s="179"/>
      <c r="L227" s="1683" t="s">
        <v>3617</v>
      </c>
      <c r="M227" s="1701" t="str">
        <f>IF(R227,"Mandatory","N/A")</f>
        <v>Mandatory</v>
      </c>
      <c r="N227" s="178"/>
      <c r="O227" s="421"/>
      <c r="P227" s="106" t="b">
        <v>1</v>
      </c>
      <c r="Q227" s="106" t="b">
        <v>1</v>
      </c>
      <c r="R227" s="106" t="b">
        <f>S227</f>
        <v>1</v>
      </c>
      <c r="S227" s="106" t="b">
        <v>1</v>
      </c>
      <c r="T227" s="106" t="b">
        <v>0</v>
      </c>
      <c r="U227" s="106" t="str">
        <f>SUBSTITUTE(SUBSTITUTE(SUBSTITUTE("dd"&amp;B227&amp;C227&amp;D227&amp;E227&amp;F227,".","_"),"(","_"),")","")</f>
        <v>dd602_1_11</v>
      </c>
      <c r="V227" s="106"/>
      <c r="W227" s="269" t="s">
        <v>2588</v>
      </c>
      <c r="X227" s="1670"/>
      <c r="Y227" s="704"/>
      <c r="Z227"/>
      <c r="AA227" s="707"/>
      <c r="AB227"/>
      <c r="AC227" s="137" t="b">
        <f>OR(AD227:AE227)</f>
        <v>0</v>
      </c>
      <c r="AD227" s="137" t="b">
        <f>T227</f>
        <v>0</v>
      </c>
      <c r="AE227" s="137" t="b">
        <f>AND(R227,NOT(W227="Met"),NOT(W227="N/A"))</f>
        <v>0</v>
      </c>
      <c r="AF227"/>
      <c r="AG227"/>
      <c r="AH227"/>
      <c r="AI227"/>
      <c r="AJ227"/>
      <c r="AK227"/>
      <c r="AL227" s="1352" t="str">
        <f>SUBSTITUTE(SUBSTITUTE(SUBSTITUTE("dpa"&amp;$B227&amp;$C227&amp;$D227&amp;$E227&amp;$F227,".","_"),"(","_"),")","")</f>
        <v>dpa602_1_11</v>
      </c>
      <c r="AM227" s="1352" t="str">
        <f>M227</f>
        <v>Mandatory</v>
      </c>
      <c r="AN227" s="66"/>
      <c r="AO227" s="66"/>
      <c r="AP227" s="1352" t="str">
        <f>SUBSTITUTE(SUBSTITUTE(SUBSTITUTE("dch"&amp;$B227&amp;$C227&amp;$D227&amp;$E227&amp;$F227,".","_"),"(","_"),")","")</f>
        <v>dch602_1_11</v>
      </c>
      <c r="AQ227" s="1352" t="str">
        <f>IF(LEN(W227)=0,"",W227)</f>
        <v>Met</v>
      </c>
      <c r="AR227" s="1352" t="str">
        <f>SUBSTITUTE(SUBSTITUTE(SUBSTITUTE("dnt"&amp;$B227&amp;$C227&amp;$D227&amp;$E227&amp;$F227,".","_"),"(","_"),")","")</f>
        <v>dnt602_1_11</v>
      </c>
      <c r="AS227" s="1352" t="str">
        <f>IF(LEN(X227)=0,"",X227)</f>
        <v/>
      </c>
      <c r="AT227" s="66"/>
      <c r="AX227" s="66"/>
      <c r="AY227" s="66"/>
      <c r="AZ227" s="66"/>
    </row>
    <row r="228" spans="1:52" ht="15" customHeight="1" x14ac:dyDescent="0.2">
      <c r="B228" s="600" t="s">
        <v>529</v>
      </c>
      <c r="C228" s="23"/>
      <c r="D228" s="23"/>
      <c r="E228" s="23"/>
      <c r="F228" s="691"/>
      <c r="G228" s="23"/>
      <c r="H228" s="691"/>
      <c r="I228" s="130"/>
      <c r="J228" s="129"/>
      <c r="K228" s="97"/>
      <c r="L228" s="1629"/>
      <c r="M228" s="1697"/>
      <c r="N228" s="129"/>
      <c r="O228" s="238"/>
      <c r="P228" s="96"/>
      <c r="Q228" s="96"/>
      <c r="R228" s="96"/>
      <c r="S228" s="96"/>
      <c r="T228" s="96"/>
      <c r="U228" s="96"/>
      <c r="V228" s="96"/>
      <c r="W228" s="776"/>
      <c r="X228" s="1632"/>
      <c r="Z228"/>
      <c r="AB228"/>
      <c r="AC228"/>
      <c r="AD228"/>
      <c r="AE228"/>
      <c r="AF228"/>
      <c r="AG228"/>
      <c r="AH228"/>
      <c r="AI228"/>
      <c r="AJ228"/>
      <c r="AK228"/>
      <c r="AX228" s="137"/>
      <c r="AY228" s="137"/>
      <c r="AZ228" s="137"/>
    </row>
    <row r="229" spans="1:52" s="755" customFormat="1" ht="15" customHeight="1" x14ac:dyDescent="0.2">
      <c r="A229" s="20"/>
      <c r="B229" s="600" t="s">
        <v>529</v>
      </c>
      <c r="C229" s="23"/>
      <c r="D229" s="23"/>
      <c r="E229" s="23"/>
      <c r="F229" s="691"/>
      <c r="G229" s="23"/>
      <c r="H229" s="691"/>
      <c r="I229" s="130"/>
      <c r="J229" s="129"/>
      <c r="K229" s="97"/>
      <c r="L229" s="1705" t="s">
        <v>3823</v>
      </c>
      <c r="M229" s="775"/>
      <c r="N229" s="129"/>
      <c r="O229" s="758"/>
      <c r="P229" s="96"/>
      <c r="Q229" s="96"/>
      <c r="R229" s="96"/>
      <c r="S229" s="96"/>
      <c r="T229" s="96"/>
      <c r="U229" s="96"/>
      <c r="V229" s="96"/>
      <c r="W229" s="114"/>
      <c r="X229" s="1632"/>
      <c r="AL229" s="66"/>
      <c r="AM229" s="66"/>
      <c r="AN229" s="66"/>
      <c r="AO229" s="66"/>
      <c r="AP229" s="66"/>
      <c r="AQ229" s="66"/>
      <c r="AR229" s="66"/>
      <c r="AS229" s="66"/>
      <c r="AX229" s="137"/>
      <c r="AY229" s="137"/>
      <c r="AZ229" s="137"/>
    </row>
    <row r="230" spans="1:52" s="755" customFormat="1" ht="15" customHeight="1" thickBot="1" x14ac:dyDescent="0.25">
      <c r="A230" s="20"/>
      <c r="B230" s="600" t="s">
        <v>529</v>
      </c>
      <c r="C230" s="23"/>
      <c r="D230" s="23"/>
      <c r="E230" s="23"/>
      <c r="F230" s="691"/>
      <c r="G230" s="23"/>
      <c r="H230" s="691"/>
      <c r="I230" s="130"/>
      <c r="J230" s="129"/>
      <c r="K230" s="97"/>
      <c r="L230" s="1706"/>
      <c r="M230" s="775"/>
      <c r="N230" s="129"/>
      <c r="O230" s="758"/>
      <c r="P230" s="96"/>
      <c r="Q230" s="96"/>
      <c r="R230" s="96"/>
      <c r="S230" s="96"/>
      <c r="T230" s="96"/>
      <c r="U230" s="96"/>
      <c r="V230" s="96"/>
      <c r="W230" s="113"/>
      <c r="X230" s="1648"/>
      <c r="AL230" s="66"/>
      <c r="AM230" s="66"/>
      <c r="AN230" s="66"/>
      <c r="AO230" s="66"/>
      <c r="AP230" s="66"/>
      <c r="AQ230" s="66"/>
      <c r="AR230" s="66"/>
      <c r="AS230" s="66"/>
      <c r="AX230" s="66"/>
      <c r="AY230" s="66"/>
      <c r="AZ230" s="66"/>
    </row>
    <row r="231" spans="1:52" ht="15" customHeight="1" thickTop="1" x14ac:dyDescent="0.2">
      <c r="B231" s="600" t="s">
        <v>530</v>
      </c>
      <c r="C231" s="23"/>
      <c r="D231" s="23"/>
      <c r="E231" s="23"/>
      <c r="F231" s="691"/>
      <c r="G231" s="23"/>
      <c r="H231" s="691"/>
      <c r="I231" s="177" t="s">
        <v>3552</v>
      </c>
      <c r="J231" s="178"/>
      <c r="K231" s="179"/>
      <c r="L231" s="1683" t="s">
        <v>3616</v>
      </c>
      <c r="M231" s="1685">
        <v>4</v>
      </c>
      <c r="N231" s="178"/>
      <c r="O231" s="1682">
        <f ca="1">M231*S231*hyptarg3</f>
        <v>4</v>
      </c>
      <c r="P231" s="332" t="b">
        <v>1</v>
      </c>
      <c r="Q231" s="332" t="b">
        <v>0</v>
      </c>
      <c r="R231" s="106" t="b">
        <v>0</v>
      </c>
      <c r="S231" s="106" t="b">
        <f ca="1">OR(W62="no stacked stories",W62=INDEX(INDIRECT(U62),1))</f>
        <v>1</v>
      </c>
      <c r="T231" s="96" t="b">
        <f ca="1">AND(NOT(S231),W231=TRUE)</f>
        <v>0</v>
      </c>
      <c r="U231" s="106"/>
      <c r="V231" s="106"/>
      <c r="W231" s="119" t="b">
        <v>1</v>
      </c>
      <c r="X231" s="1603"/>
      <c r="Z231"/>
      <c r="AB231"/>
      <c r="AC231" s="137" t="b">
        <f ca="1">OR(AD231:AE231)</f>
        <v>0</v>
      </c>
      <c r="AD231" s="137" t="b">
        <f ca="1">T231</f>
        <v>0</v>
      </c>
      <c r="AE231" s="137" t="b">
        <v>0</v>
      </c>
      <c r="AF231"/>
      <c r="AG231"/>
      <c r="AH231"/>
      <c r="AI231"/>
      <c r="AJ231"/>
      <c r="AK231"/>
      <c r="AL231" s="1352" t="str">
        <f>SUBSTITUTE(SUBSTITUTE(SUBSTITUTE("dpa"&amp;$B231&amp;$C231&amp;$D231&amp;$E231&amp;$F231,".","_"),"(","_"),")","")</f>
        <v>dpa602_1_12</v>
      </c>
      <c r="AM231" s="1352">
        <f>M231</f>
        <v>4</v>
      </c>
      <c r="AN231" s="1352" t="str">
        <f>SUBSTITUTE(SUBSTITUTE(SUBSTITUTE("dpc"&amp;$B231&amp;$C231&amp;$D231&amp;$E231&amp;$F231,".","_"),"(","_"),")","")</f>
        <v>dpc602_1_12</v>
      </c>
      <c r="AO231" s="1352">
        <f ca="1">O231</f>
        <v>4</v>
      </c>
      <c r="AP231" s="1352" t="str">
        <f>SUBSTITUTE(SUBSTITUTE(SUBSTITUTE("dch"&amp;$B231&amp;$C231&amp;$D231&amp;$E231&amp;$F231,".","_"),"(","_"),")","")</f>
        <v>dch602_1_12</v>
      </c>
      <c r="AQ231" s="1352" t="b">
        <f>IF(LEN(W231)=0,"",W231)</f>
        <v>1</v>
      </c>
      <c r="AR231" s="1352" t="str">
        <f>SUBSTITUTE(SUBSTITUTE(SUBSTITUTE("dnt"&amp;$B231&amp;$C231&amp;$D231&amp;$E231&amp;$F231,".","_"),"(","_"),")","")</f>
        <v>dnt602_1_12</v>
      </c>
      <c r="AS231" s="1352" t="str">
        <f>IF(LEN(X231)=0,"",X231)</f>
        <v/>
      </c>
      <c r="AZ231" s="755"/>
    </row>
    <row r="232" spans="1:52" ht="15" customHeight="1" x14ac:dyDescent="0.2">
      <c r="B232" s="600" t="s">
        <v>530</v>
      </c>
      <c r="C232" s="23"/>
      <c r="D232" s="23"/>
      <c r="E232" s="23"/>
      <c r="F232" s="691"/>
      <c r="G232" s="23"/>
      <c r="H232" s="691"/>
      <c r="I232" s="130"/>
      <c r="J232" s="129"/>
      <c r="K232" s="97"/>
      <c r="L232" s="1629"/>
      <c r="M232" s="1623"/>
      <c r="N232" s="129"/>
      <c r="O232" s="1619"/>
      <c r="P232" s="96"/>
      <c r="Q232" s="96"/>
      <c r="R232" s="96"/>
      <c r="S232" s="96"/>
      <c r="T232" s="96"/>
      <c r="U232" s="96"/>
      <c r="V232" s="96"/>
      <c r="W232" s="96"/>
      <c r="X232" s="1601"/>
      <c r="Z232"/>
      <c r="AB232"/>
      <c r="AC232"/>
      <c r="AD232"/>
      <c r="AE232"/>
      <c r="AF232"/>
      <c r="AG232"/>
      <c r="AH232"/>
      <c r="AI232"/>
      <c r="AJ232"/>
      <c r="AK232"/>
      <c r="AX232" s="755"/>
      <c r="AY232" s="755"/>
      <c r="AZ232" s="755"/>
    </row>
    <row r="233" spans="1:52" ht="15" customHeight="1" thickBot="1" x14ac:dyDescent="0.25">
      <c r="B233" s="600" t="s">
        <v>530</v>
      </c>
      <c r="C233" s="23"/>
      <c r="D233" s="23"/>
      <c r="E233" s="23"/>
      <c r="F233" s="691"/>
      <c r="G233" s="23"/>
      <c r="H233" s="691"/>
      <c r="I233" s="130"/>
      <c r="J233" s="129"/>
      <c r="K233" s="97"/>
      <c r="L233" s="280" t="s">
        <v>2585</v>
      </c>
      <c r="M233" s="1623"/>
      <c r="N233" s="129"/>
      <c r="O233" s="1619"/>
      <c r="P233" s="96"/>
      <c r="Q233" s="96"/>
      <c r="R233" s="96"/>
      <c r="S233" s="96"/>
      <c r="T233" s="96"/>
      <c r="U233" s="96"/>
      <c r="V233" s="96"/>
      <c r="W233" s="113"/>
      <c r="X233" s="1621"/>
      <c r="Z233" s="134"/>
      <c r="AB233" s="134"/>
      <c r="AC233" s="134"/>
      <c r="AD233" s="134"/>
      <c r="AE233" s="134"/>
      <c r="AF233" s="134"/>
      <c r="AG233" s="134"/>
      <c r="AH233" s="134"/>
      <c r="AI233" s="134"/>
      <c r="AJ233" s="134"/>
      <c r="AK233" s="134"/>
      <c r="AT233" s="134"/>
      <c r="AX233" s="755"/>
      <c r="AY233" s="755"/>
    </row>
    <row r="234" spans="1:52" s="134" customFormat="1" ht="16" thickTop="1" x14ac:dyDescent="0.2">
      <c r="A234" s="20"/>
      <c r="B234" s="79" t="s">
        <v>531</v>
      </c>
      <c r="C234" s="23"/>
      <c r="D234" s="23"/>
      <c r="E234" s="23"/>
      <c r="F234" s="691"/>
      <c r="G234" s="23"/>
      <c r="H234" s="691"/>
      <c r="I234" s="177" t="s">
        <v>3553</v>
      </c>
      <c r="J234" s="178"/>
      <c r="K234" s="179"/>
      <c r="L234" s="1683" t="s">
        <v>3615</v>
      </c>
      <c r="M234" s="1701" t="str">
        <f>IF(R234,"Mandatory","N/A")</f>
        <v>Mandatory</v>
      </c>
      <c r="N234" s="178"/>
      <c r="O234" s="421"/>
      <c r="P234" s="106" t="b">
        <v>1</v>
      </c>
      <c r="Q234" s="106" t="b">
        <v>0</v>
      </c>
      <c r="R234" s="106" t="b">
        <f>S234</f>
        <v>1</v>
      </c>
      <c r="S234" s="106" t="b">
        <v>1</v>
      </c>
      <c r="T234" s="106" t="b">
        <v>0</v>
      </c>
      <c r="U234" s="106" t="str">
        <f>SUBSTITUTE(SUBSTITUTE(SUBSTITUTE("dd"&amp;B234&amp;C234&amp;D234&amp;E234&amp;F234,".","_"),"(","_"),")","")</f>
        <v>dd602_1_13</v>
      </c>
      <c r="V234" s="106"/>
      <c r="W234" s="269" t="s">
        <v>2590</v>
      </c>
      <c r="X234" s="1603"/>
      <c r="Y234" s="704"/>
      <c r="Z234"/>
      <c r="AA234" s="707"/>
      <c r="AB234"/>
      <c r="AC234" s="137" t="b">
        <f>OR(AD234:AE234)</f>
        <v>0</v>
      </c>
      <c r="AD234" s="137" t="b">
        <f>T234</f>
        <v>0</v>
      </c>
      <c r="AE234" s="137" t="b">
        <f>AND(R234,NOT(W234="Met"),NOT(W234="N/A"))</f>
        <v>0</v>
      </c>
      <c r="AF234"/>
      <c r="AG234"/>
      <c r="AH234"/>
      <c r="AI234"/>
      <c r="AJ234"/>
      <c r="AK234"/>
      <c r="AL234" s="1352" t="str">
        <f>SUBSTITUTE(SUBSTITUTE(SUBSTITUTE("dpa"&amp;$B234&amp;$C234&amp;$D234&amp;$E234&amp;$F234,".","_"),"(","_"),")","")</f>
        <v>dpa602_1_13</v>
      </c>
      <c r="AM234" s="1352" t="str">
        <f>M234</f>
        <v>Mandatory</v>
      </c>
      <c r="AN234" s="66"/>
      <c r="AO234" s="66"/>
      <c r="AP234" s="1352" t="str">
        <f>SUBSTITUTE(SUBSTITUTE(SUBSTITUTE("dch"&amp;$B234&amp;$C234&amp;$D234&amp;$E234&amp;$F234,".","_"),"(","_"),")","")</f>
        <v>dch602_1_13</v>
      </c>
      <c r="AQ234" s="1352" t="str">
        <f>IF(LEN(W234)=0,"",W234)</f>
        <v>N/A</v>
      </c>
      <c r="AR234" s="1352" t="str">
        <f>SUBSTITUTE(SUBSTITUTE(SUBSTITUTE("dnt"&amp;$B234&amp;$C234&amp;$D234&amp;$E234&amp;$F234,".","_"),"(","_"),")","")</f>
        <v>dnt602_1_13</v>
      </c>
      <c r="AS234" s="1352" t="str">
        <f>IF(LEN(X234)=0,"",X234)</f>
        <v/>
      </c>
      <c r="AT234" s="66"/>
      <c r="AX234" s="66"/>
      <c r="AY234" s="66"/>
      <c r="AZ234" s="66"/>
    </row>
    <row r="235" spans="1:52" x14ac:dyDescent="0.2">
      <c r="B235" s="79" t="s">
        <v>531</v>
      </c>
      <c r="C235" s="23"/>
      <c r="D235" s="23"/>
      <c r="E235" s="23"/>
      <c r="F235" s="691"/>
      <c r="G235" s="23"/>
      <c r="H235" s="691"/>
      <c r="I235" s="130"/>
      <c r="J235" s="129"/>
      <c r="K235" s="97"/>
      <c r="L235" s="1629"/>
      <c r="M235" s="1697"/>
      <c r="N235" s="129"/>
      <c r="O235" s="238"/>
      <c r="P235" s="96"/>
      <c r="Q235" s="96"/>
      <c r="R235" s="96"/>
      <c r="S235" s="96"/>
      <c r="T235" s="96"/>
      <c r="U235" s="96"/>
      <c r="V235" s="96"/>
      <c r="W235" s="96"/>
      <c r="X235" s="1601"/>
      <c r="Z235"/>
      <c r="AB235"/>
      <c r="AC235"/>
      <c r="AD235"/>
      <c r="AE235"/>
      <c r="AF235"/>
      <c r="AG235"/>
      <c r="AH235"/>
      <c r="AI235"/>
      <c r="AJ235"/>
      <c r="AK235"/>
    </row>
    <row r="236" spans="1:52" x14ac:dyDescent="0.2">
      <c r="B236" s="79" t="s">
        <v>531</v>
      </c>
      <c r="C236" s="23"/>
      <c r="D236" s="23"/>
      <c r="E236" s="23"/>
      <c r="F236" s="691"/>
      <c r="G236" s="23"/>
      <c r="H236" s="691"/>
      <c r="I236" s="130"/>
      <c r="J236" s="129"/>
      <c r="K236" s="97"/>
      <c r="L236" s="1629"/>
      <c r="M236" s="1697"/>
      <c r="N236" s="129"/>
      <c r="O236" s="238"/>
      <c r="P236" s="96"/>
      <c r="Q236" s="96"/>
      <c r="R236" s="96"/>
      <c r="S236" s="96"/>
      <c r="T236" s="96"/>
      <c r="U236" s="96"/>
      <c r="V236" s="96"/>
      <c r="W236" s="96"/>
      <c r="X236" s="1601"/>
      <c r="Z236"/>
      <c r="AB236"/>
      <c r="AC236"/>
      <c r="AD236"/>
      <c r="AE236"/>
      <c r="AF236"/>
      <c r="AG236"/>
      <c r="AH236"/>
      <c r="AI236"/>
      <c r="AJ236"/>
      <c r="AK236"/>
      <c r="AX236" s="134"/>
      <c r="AY236" s="134"/>
      <c r="AZ236" s="134"/>
    </row>
    <row r="237" spans="1:52" ht="16" thickBot="1" x14ac:dyDescent="0.25">
      <c r="B237" s="79" t="s">
        <v>531</v>
      </c>
      <c r="C237" s="23"/>
      <c r="D237" s="23"/>
      <c r="E237" s="23"/>
      <c r="F237" s="691"/>
      <c r="G237" s="23"/>
      <c r="H237" s="691"/>
      <c r="I237" s="130"/>
      <c r="J237" s="129"/>
      <c r="K237" s="97"/>
      <c r="L237" s="1629"/>
      <c r="M237" s="1697"/>
      <c r="N237" s="129"/>
      <c r="O237" s="238"/>
      <c r="P237" s="96"/>
      <c r="Q237" s="96"/>
      <c r="R237" s="96"/>
      <c r="S237" s="96"/>
      <c r="T237" s="96"/>
      <c r="U237" s="96"/>
      <c r="V237" s="96"/>
      <c r="W237" s="96"/>
      <c r="X237" s="1621"/>
      <c r="Z237"/>
      <c r="AB237"/>
      <c r="AC237"/>
      <c r="AD237"/>
      <c r="AE237"/>
      <c r="AF237"/>
      <c r="AG237"/>
      <c r="AH237"/>
      <c r="AI237"/>
      <c r="AJ237"/>
      <c r="AK237"/>
    </row>
    <row r="238" spans="1:52" ht="16" thickTop="1" x14ac:dyDescent="0.2">
      <c r="B238" s="79" t="s">
        <v>532</v>
      </c>
      <c r="C238" s="23"/>
      <c r="D238" s="23"/>
      <c r="E238" s="23"/>
      <c r="F238" s="691"/>
      <c r="G238" s="23"/>
      <c r="H238" s="691"/>
      <c r="I238" s="177" t="s">
        <v>3554</v>
      </c>
      <c r="J238" s="178"/>
      <c r="K238" s="179"/>
      <c r="L238" s="1683" t="s">
        <v>3614</v>
      </c>
      <c r="M238" s="370"/>
      <c r="N238" s="178"/>
      <c r="O238" s="421"/>
      <c r="P238" s="106"/>
      <c r="Q238" s="106"/>
      <c r="R238" s="106"/>
      <c r="S238" s="106"/>
      <c r="T238" s="106"/>
      <c r="U238" s="106"/>
      <c r="V238" s="106"/>
      <c r="W238" s="106"/>
      <c r="X238" s="106"/>
      <c r="Z238"/>
      <c r="AB238"/>
      <c r="AC238"/>
      <c r="AD238"/>
      <c r="AE238"/>
      <c r="AF238"/>
      <c r="AG238"/>
      <c r="AH238"/>
      <c r="AI238"/>
      <c r="AJ238"/>
      <c r="AK238"/>
    </row>
    <row r="239" spans="1:52" x14ac:dyDescent="0.2">
      <c r="B239" s="79" t="s">
        <v>532</v>
      </c>
      <c r="C239" s="23"/>
      <c r="D239" s="23"/>
      <c r="E239" s="23"/>
      <c r="F239" s="691"/>
      <c r="G239" s="23"/>
      <c r="H239" s="691"/>
      <c r="I239" s="130"/>
      <c r="J239" s="129"/>
      <c r="K239" s="97"/>
      <c r="L239" s="1629"/>
      <c r="M239" s="371"/>
      <c r="N239" s="129"/>
      <c r="O239" s="238"/>
      <c r="P239" s="96"/>
      <c r="Q239" s="96"/>
      <c r="R239" s="96"/>
      <c r="S239" s="96"/>
      <c r="T239" s="96"/>
      <c r="U239" s="96"/>
      <c r="V239" s="96"/>
      <c r="W239" s="96"/>
      <c r="X239" s="96"/>
      <c r="Z239"/>
      <c r="AB239"/>
      <c r="AC239"/>
      <c r="AD239"/>
      <c r="AE239"/>
      <c r="AF239"/>
      <c r="AG239"/>
      <c r="AH239"/>
      <c r="AI239"/>
      <c r="AJ239"/>
      <c r="AK239"/>
    </row>
    <row r="240" spans="1:52" x14ac:dyDescent="0.2">
      <c r="B240" s="79" t="s">
        <v>532</v>
      </c>
      <c r="C240" s="23" t="s">
        <v>254</v>
      </c>
      <c r="D240" s="23"/>
      <c r="E240" s="23"/>
      <c r="F240" s="691"/>
      <c r="G240" s="23"/>
      <c r="H240" s="691"/>
      <c r="I240" s="67"/>
      <c r="J240" s="180" t="s">
        <v>254</v>
      </c>
      <c r="K240" s="97"/>
      <c r="L240" s="1609" t="s">
        <v>533</v>
      </c>
      <c r="M240" s="1708" t="str">
        <f>IF(R240,"Mandatory
1","N/A")</f>
        <v>Mandatory
1</v>
      </c>
      <c r="N240" s="129"/>
      <c r="O240" s="1619">
        <f>IF(AND(S240,W240="Met"),1,0)</f>
        <v>1</v>
      </c>
      <c r="P240" s="332" t="b">
        <v>1</v>
      </c>
      <c r="Q240" s="332" t="b">
        <v>1</v>
      </c>
      <c r="R240" s="137" t="b">
        <f>S240</f>
        <v>1</v>
      </c>
      <c r="S240" s="126" t="b">
        <v>1</v>
      </c>
      <c r="T240" s="126" t="b">
        <v>0</v>
      </c>
      <c r="U240" s="96" t="str">
        <f>SUBSTITUTE(SUBSTITUTE(SUBSTITUTE("dd"&amp;B240&amp;C240&amp;D240&amp;E240&amp;F240,".","_"),"(","_"),")","")</f>
        <v>dd602_1_14_1</v>
      </c>
      <c r="V240"/>
      <c r="W240" s="12" t="s">
        <v>2588</v>
      </c>
      <c r="X240" s="1600"/>
      <c r="Z240"/>
      <c r="AB240"/>
      <c r="AC240" s="137" t="b">
        <f>OR(AD240:AE240)</f>
        <v>0</v>
      </c>
      <c r="AD240" s="137" t="b">
        <f>T240</f>
        <v>0</v>
      </c>
      <c r="AE240" s="137" t="b">
        <f>AND(R240,NOT(W240="Met"),NOT(W240="N/A"))</f>
        <v>0</v>
      </c>
      <c r="AF240"/>
      <c r="AG240"/>
      <c r="AH240"/>
      <c r="AI240"/>
      <c r="AJ240"/>
      <c r="AK240"/>
      <c r="AL240" s="1352" t="str">
        <f>SUBSTITUTE(SUBSTITUTE(SUBSTITUTE("dpa"&amp;$B240&amp;$C240&amp;$D240&amp;$E240&amp;$F240,".","_"),"(","_"),")","")</f>
        <v>dpa602_1_14_1</v>
      </c>
      <c r="AM240" s="1352" t="str">
        <f>M240</f>
        <v>Mandatory
1</v>
      </c>
      <c r="AN240" s="1352" t="str">
        <f>SUBSTITUTE(SUBSTITUTE(SUBSTITUTE("dpc"&amp;$B240&amp;$C240&amp;$D240&amp;$E240&amp;$F240,".","_"),"(","_"),")","")</f>
        <v>dpc602_1_14_1</v>
      </c>
      <c r="AO240" s="1352">
        <f>O240</f>
        <v>1</v>
      </c>
      <c r="AP240" s="1352" t="str">
        <f>SUBSTITUTE(SUBSTITUTE(SUBSTITUTE("dch"&amp;$B240&amp;$C240&amp;$D240&amp;$E240&amp;$F240,".","_"),"(","_"),")","")</f>
        <v>dch602_1_14_1</v>
      </c>
      <c r="AQ240" s="1352" t="str">
        <f>IF(LEN(W240)=0,"",W240)</f>
        <v>Met</v>
      </c>
      <c r="AR240" s="1352" t="str">
        <f>SUBSTITUTE(SUBSTITUTE(SUBSTITUTE("dnt"&amp;$B240&amp;$C240&amp;$D240&amp;$E240&amp;$F240,".","_"),"(","_"),")","")</f>
        <v>dnt602_1_14_1</v>
      </c>
      <c r="AS240" s="1352" t="str">
        <f>IF(LEN(X240)=0,"",X240)</f>
        <v/>
      </c>
    </row>
    <row r="241" spans="1:52" x14ac:dyDescent="0.2">
      <c r="B241" s="79" t="s">
        <v>532</v>
      </c>
      <c r="C241" s="23" t="s">
        <v>254</v>
      </c>
      <c r="D241" s="23"/>
      <c r="E241" s="23"/>
      <c r="F241" s="691"/>
      <c r="G241" s="23"/>
      <c r="H241" s="691"/>
      <c r="I241" s="67"/>
      <c r="J241" s="213"/>
      <c r="K241" s="170"/>
      <c r="L241" s="1612"/>
      <c r="M241" s="1709"/>
      <c r="N241" s="213"/>
      <c r="O241" s="1620"/>
      <c r="P241" s="332"/>
      <c r="Q241" s="332"/>
      <c r="R241"/>
      <c r="S241"/>
      <c r="T241"/>
      <c r="U241"/>
      <c r="V241"/>
      <c r="W241"/>
      <c r="X241" s="1600"/>
      <c r="Z241"/>
      <c r="AB241"/>
      <c r="AC241"/>
      <c r="AD241"/>
      <c r="AE241"/>
      <c r="AF241"/>
      <c r="AG241"/>
      <c r="AH241"/>
      <c r="AI241"/>
      <c r="AJ241"/>
      <c r="AK241"/>
    </row>
    <row r="242" spans="1:52" x14ac:dyDescent="0.2">
      <c r="B242" s="79" t="s">
        <v>532</v>
      </c>
      <c r="C242" s="23" t="s">
        <v>255</v>
      </c>
      <c r="D242" s="23"/>
      <c r="E242" s="23"/>
      <c r="F242" s="691"/>
      <c r="G242" s="23"/>
      <c r="H242" s="691"/>
      <c r="I242" s="67"/>
      <c r="J242" s="209" t="s">
        <v>255</v>
      </c>
      <c r="K242" s="210"/>
      <c r="L242" s="311" t="s">
        <v>534</v>
      </c>
      <c r="M242" s="379">
        <v>2</v>
      </c>
      <c r="N242" s="242"/>
      <c r="O242" s="378">
        <f>M242*S242*W242</f>
        <v>2</v>
      </c>
      <c r="P242" s="332" t="b">
        <v>1</v>
      </c>
      <c r="Q242" s="332" t="b">
        <v>1</v>
      </c>
      <c r="R242" s="126" t="b">
        <v>0</v>
      </c>
      <c r="S242" s="126" t="b">
        <v>1</v>
      </c>
      <c r="T242" s="126" t="b">
        <v>0</v>
      </c>
      <c r="U242"/>
      <c r="V242"/>
      <c r="W242" s="27" t="b">
        <v>1</v>
      </c>
      <c r="X242" s="156"/>
      <c r="Z242"/>
      <c r="AB242"/>
      <c r="AC242"/>
      <c r="AD242"/>
      <c r="AE242"/>
      <c r="AF242"/>
      <c r="AG242"/>
      <c r="AH242"/>
      <c r="AI242"/>
      <c r="AJ242"/>
      <c r="AK242"/>
      <c r="AL242" s="1352" t="str">
        <f>SUBSTITUTE(SUBSTITUTE(SUBSTITUTE("dpa"&amp;$B242&amp;$C242&amp;$D242&amp;$E242&amp;$F242,".","_"),"(","_"),")","")</f>
        <v>dpa602_1_14_2</v>
      </c>
      <c r="AM242" s="1352">
        <f>M242</f>
        <v>2</v>
      </c>
      <c r="AN242" s="1352" t="str">
        <f>SUBSTITUTE(SUBSTITUTE(SUBSTITUTE("dpc"&amp;$B242&amp;$C242&amp;$D242&amp;$E242&amp;$F242,".","_"),"(","_"),")","")</f>
        <v>dpc602_1_14_2</v>
      </c>
      <c r="AO242" s="1352">
        <f>O242</f>
        <v>2</v>
      </c>
      <c r="AP242" s="1352" t="str">
        <f>SUBSTITUTE(SUBSTITUTE(SUBSTITUTE("dch"&amp;$B242&amp;$C242&amp;$D242&amp;$E242&amp;$F242,".","_"),"(","_"),")","")</f>
        <v>dch602_1_14_2</v>
      </c>
      <c r="AQ242" s="1352" t="b">
        <f>IF(LEN(W242)=0,"",W242)</f>
        <v>1</v>
      </c>
      <c r="AR242" s="1352" t="str">
        <f>SUBSTITUTE(SUBSTITUTE(SUBSTITUTE("dnt"&amp;$B242&amp;$C242&amp;$D242&amp;$E242&amp;$F242,".","_"),"(","_"),")","")</f>
        <v>dnt602_1_14_2</v>
      </c>
      <c r="AS242" s="1352" t="str">
        <f>IF(LEN(X242)=0,"",X242)</f>
        <v/>
      </c>
    </row>
    <row r="243" spans="1:52" ht="16" thickBot="1" x14ac:dyDescent="0.25">
      <c r="B243" s="79" t="s">
        <v>532</v>
      </c>
      <c r="C243" s="23" t="s">
        <v>256</v>
      </c>
      <c r="D243" s="23"/>
      <c r="E243" s="23"/>
      <c r="F243" s="691"/>
      <c r="G243" s="23"/>
      <c r="H243" s="691"/>
      <c r="I243" s="67"/>
      <c r="J243" s="29" t="s">
        <v>256</v>
      </c>
      <c r="K243" s="85"/>
      <c r="L243" s="299" t="s">
        <v>535</v>
      </c>
      <c r="M243" s="835">
        <v>2</v>
      </c>
      <c r="N243" s="239"/>
      <c r="O243" s="838">
        <f>M243*S243*W243</f>
        <v>2</v>
      </c>
      <c r="P243" s="100" t="b">
        <v>1</v>
      </c>
      <c r="Q243" s="100" t="b">
        <v>1</v>
      </c>
      <c r="R243" s="100" t="b">
        <v>0</v>
      </c>
      <c r="S243" s="100" t="b">
        <v>1</v>
      </c>
      <c r="T243" s="100" t="b">
        <v>0</v>
      </c>
      <c r="U243" s="100"/>
      <c r="V243" s="100"/>
      <c r="W243" s="101" t="b">
        <v>1</v>
      </c>
      <c r="X243" s="831"/>
      <c r="Z243"/>
      <c r="AB243"/>
      <c r="AC243"/>
      <c r="AD243"/>
      <c r="AE243"/>
      <c r="AF243"/>
      <c r="AG243"/>
      <c r="AH243"/>
      <c r="AI243"/>
      <c r="AJ243"/>
      <c r="AK243"/>
      <c r="AL243" s="1352" t="str">
        <f>SUBSTITUTE(SUBSTITUTE(SUBSTITUTE("dpa"&amp;$B243&amp;$C243&amp;$D243&amp;$E243&amp;$F243,".","_"),"(","_"),")","")</f>
        <v>dpa602_1_14_3</v>
      </c>
      <c r="AM243" s="1352">
        <f>M243</f>
        <v>2</v>
      </c>
      <c r="AN243" s="1352" t="str">
        <f>SUBSTITUTE(SUBSTITUTE(SUBSTITUTE("dpc"&amp;$B243&amp;$C243&amp;$D243&amp;$E243&amp;$F243,".","_"),"(","_"),")","")</f>
        <v>dpc602_1_14_3</v>
      </c>
      <c r="AO243" s="1352">
        <f>O243</f>
        <v>2</v>
      </c>
      <c r="AP243" s="1352" t="str">
        <f>SUBSTITUTE(SUBSTITUTE(SUBSTITUTE("dch"&amp;$B243&amp;$C243&amp;$D243&amp;$E243&amp;$F243,".","_"),"(","_"),")","")</f>
        <v>dch602_1_14_3</v>
      </c>
      <c r="AQ243" s="1352" t="b">
        <f>IF(LEN(W243)=0,"",W243)</f>
        <v>1</v>
      </c>
      <c r="AR243" s="1352" t="str">
        <f>SUBSTITUTE(SUBSTITUTE(SUBSTITUTE("dnt"&amp;$B243&amp;$C243&amp;$D243&amp;$E243&amp;$F243,".","_"),"(","_"),")","")</f>
        <v>dnt602_1_14_3</v>
      </c>
      <c r="AS243" s="1352" t="str">
        <f>IF(LEN(X243)=0,"",X243)</f>
        <v/>
      </c>
    </row>
    <row r="244" spans="1:52" s="823" customFormat="1" ht="16" thickTop="1" x14ac:dyDescent="0.2">
      <c r="A244" s="20"/>
      <c r="B244" s="79" t="s">
        <v>3981</v>
      </c>
      <c r="C244" s="23"/>
      <c r="D244" s="23"/>
      <c r="E244" s="23"/>
      <c r="F244" s="691"/>
      <c r="G244" s="23"/>
      <c r="H244" s="691"/>
      <c r="I244" s="177" t="s">
        <v>3982</v>
      </c>
      <c r="J244" s="178"/>
      <c r="K244" s="179"/>
      <c r="L244" s="1683" t="s">
        <v>3983</v>
      </c>
      <c r="M244" s="1685">
        <v>2</v>
      </c>
      <c r="N244" s="178"/>
      <c r="O244" s="1682">
        <f>M244*S244*W244</f>
        <v>0</v>
      </c>
      <c r="P244" s="464" t="b">
        <v>0</v>
      </c>
      <c r="Q244" s="464" t="b">
        <v>1</v>
      </c>
      <c r="R244" s="823" t="b">
        <v>0</v>
      </c>
      <c r="S244" s="464" t="b">
        <v>1</v>
      </c>
      <c r="T244" s="464" t="b">
        <v>0</v>
      </c>
      <c r="W244" s="27" t="b">
        <v>0</v>
      </c>
      <c r="X244" s="1670"/>
      <c r="AC244" s="1184" t="b">
        <f>OR(AD244:AE244)</f>
        <v>0</v>
      </c>
      <c r="AE244" s="823" t="b">
        <f>AND(W244=TRUE,LEN(X244)&lt;1)</f>
        <v>0</v>
      </c>
      <c r="AL244" s="1352" t="str">
        <f>SUBSTITUTE(SUBSTITUTE(SUBSTITUTE("dpa"&amp;$B244&amp;$C244&amp;$D244&amp;$E244&amp;$F244,".","_"),"(","_"),")","")</f>
        <v>dpa602_1_15</v>
      </c>
      <c r="AM244" s="1352">
        <f>M244</f>
        <v>2</v>
      </c>
      <c r="AN244" s="1352" t="str">
        <f>SUBSTITUTE(SUBSTITUTE(SUBSTITUTE("dpc"&amp;$B244&amp;$C244&amp;$D244&amp;$E244&amp;$F244,".","_"),"(","_"),")","")</f>
        <v>dpc602_1_15</v>
      </c>
      <c r="AO244" s="1352">
        <f>O244</f>
        <v>0</v>
      </c>
      <c r="AP244" s="1352" t="str">
        <f>SUBSTITUTE(SUBSTITUTE(SUBSTITUTE("dch"&amp;$B244&amp;$C244&amp;$D244&amp;$E244&amp;$F244,".","_"),"(","_"),")","")</f>
        <v>dch602_1_15</v>
      </c>
      <c r="AQ244" s="1352" t="b">
        <f>IF(LEN(W244)=0,"",W244)</f>
        <v>0</v>
      </c>
      <c r="AR244" s="1352" t="str">
        <f>SUBSTITUTE(SUBSTITUTE(SUBSTITUTE("dnt"&amp;$B244&amp;$C244&amp;$D244&amp;$E244&amp;$F244,".","_"),"(","_"),")","")</f>
        <v>dnt602_1_15</v>
      </c>
      <c r="AS244" s="1352" t="str">
        <f>IF(LEN(X244)=0,"",X244)</f>
        <v/>
      </c>
      <c r="AX244" s="66"/>
      <c r="AY244" s="66"/>
      <c r="AZ244" s="66"/>
    </row>
    <row r="245" spans="1:52" s="823" customFormat="1" x14ac:dyDescent="0.2">
      <c r="A245" s="20"/>
      <c r="B245" s="79" t="s">
        <v>3981</v>
      </c>
      <c r="C245" s="23"/>
      <c r="D245" s="23"/>
      <c r="E245" s="23"/>
      <c r="F245" s="691"/>
      <c r="G245" s="23"/>
      <c r="H245" s="691"/>
      <c r="I245" s="130"/>
      <c r="J245" s="129"/>
      <c r="K245" s="97"/>
      <c r="L245" s="1629"/>
      <c r="M245" s="1623"/>
      <c r="N245" s="129"/>
      <c r="O245" s="1619"/>
      <c r="X245" s="1632"/>
      <c r="AL245" s="66"/>
      <c r="AM245" s="66"/>
      <c r="AN245" s="66"/>
      <c r="AO245" s="66"/>
      <c r="AP245" s="66"/>
      <c r="AQ245" s="66"/>
      <c r="AR245" s="66"/>
      <c r="AS245" s="66"/>
      <c r="AX245" s="66"/>
      <c r="AY245" s="66"/>
      <c r="AZ245" s="66"/>
    </row>
    <row r="246" spans="1:52" s="823" customFormat="1" ht="16" thickBot="1" x14ac:dyDescent="0.25">
      <c r="A246" s="20"/>
      <c r="B246" s="79" t="s">
        <v>3981</v>
      </c>
      <c r="C246" s="23"/>
      <c r="D246" s="23"/>
      <c r="E246" s="23"/>
      <c r="F246" s="691"/>
      <c r="G246" s="23"/>
      <c r="H246" s="691"/>
      <c r="I246" s="130"/>
      <c r="J246" s="129"/>
      <c r="K246" s="97"/>
      <c r="L246" s="839" t="s">
        <v>3984</v>
      </c>
      <c r="M246" s="1627"/>
      <c r="N246" s="4"/>
      <c r="O246" s="1638"/>
      <c r="X246" s="1648"/>
      <c r="AL246" s="66"/>
      <c r="AM246" s="66"/>
      <c r="AN246" s="66"/>
      <c r="AO246" s="66"/>
      <c r="AP246" s="66"/>
      <c r="AQ246" s="66"/>
      <c r="AR246" s="66"/>
      <c r="AS246" s="66"/>
      <c r="AX246" s="66"/>
      <c r="AY246" s="66"/>
    </row>
    <row r="247" spans="1:52" ht="16" thickTop="1" x14ac:dyDescent="0.2">
      <c r="B247" s="79">
        <v>602.20000000000005</v>
      </c>
      <c r="C247" s="23"/>
      <c r="D247" s="23"/>
      <c r="E247" s="23"/>
      <c r="F247" s="691"/>
      <c r="G247" s="23"/>
      <c r="H247" s="691"/>
      <c r="I247" s="177" t="s">
        <v>3555</v>
      </c>
      <c r="J247" s="178"/>
      <c r="K247" s="179"/>
      <c r="L247" s="1683" t="s">
        <v>3613</v>
      </c>
      <c r="M247" s="1685">
        <v>3</v>
      </c>
      <c r="N247" s="178"/>
      <c r="O247" s="1682">
        <f>IFERROR(OR(W251,W253,W254),0)*M247</f>
        <v>0</v>
      </c>
      <c r="P247" s="106"/>
      <c r="Q247" s="106"/>
      <c r="R247" s="106"/>
      <c r="S247" s="106"/>
      <c r="T247" s="106"/>
      <c r="U247" s="106"/>
      <c r="V247" s="106"/>
      <c r="W247" s="106"/>
      <c r="X247" s="106"/>
      <c r="Z247"/>
      <c r="AB247"/>
      <c r="AC247"/>
      <c r="AD247"/>
      <c r="AE247"/>
      <c r="AF247"/>
      <c r="AG247"/>
      <c r="AH247"/>
      <c r="AI247"/>
      <c r="AJ247"/>
      <c r="AK247"/>
      <c r="AL247" s="1352" t="str">
        <f>SUBSTITUTE(SUBSTITUTE(SUBSTITUTE("dpa"&amp;$B247&amp;$C247&amp;$D247&amp;$E247&amp;$F247,".","_"),"(","_"),")","")</f>
        <v>dpa602_2</v>
      </c>
      <c r="AM247" s="1352">
        <f>M247</f>
        <v>3</v>
      </c>
      <c r="AN247" s="1352" t="str">
        <f>SUBSTITUTE(SUBSTITUTE(SUBSTITUTE("dpc"&amp;$B247&amp;$C247&amp;$D247&amp;$E247&amp;$F247,".","_"),"(","_"),")","")</f>
        <v>dpc602_2</v>
      </c>
      <c r="AO247" s="1352">
        <f>O247</f>
        <v>0</v>
      </c>
      <c r="AX247" s="823"/>
      <c r="AY247" s="823"/>
      <c r="AZ247" s="823"/>
    </row>
    <row r="248" spans="1:52" x14ac:dyDescent="0.2">
      <c r="B248" s="79">
        <v>602.20000000000005</v>
      </c>
      <c r="C248" s="23"/>
      <c r="D248" s="23"/>
      <c r="E248" s="23"/>
      <c r="F248" s="691"/>
      <c r="G248" s="23"/>
      <c r="H248" s="691"/>
      <c r="I248" s="130"/>
      <c r="J248" s="129"/>
      <c r="K248" s="97"/>
      <c r="L248" s="1629"/>
      <c r="M248" s="1623"/>
      <c r="N248" s="129"/>
      <c r="O248" s="1619"/>
      <c r="P248" s="96"/>
      <c r="Q248" s="96"/>
      <c r="R248" s="96"/>
      <c r="S248" s="96"/>
      <c r="T248" s="96"/>
      <c r="U248" s="96"/>
      <c r="V248" s="96"/>
      <c r="W248" s="96"/>
      <c r="X248" s="96"/>
      <c r="Z248"/>
      <c r="AB248"/>
      <c r="AC248"/>
      <c r="AD248"/>
      <c r="AE248"/>
      <c r="AF248"/>
      <c r="AG248"/>
      <c r="AH248"/>
      <c r="AI248"/>
      <c r="AJ248"/>
      <c r="AK248"/>
      <c r="AX248" s="823"/>
      <c r="AY248" s="823"/>
      <c r="AZ248" s="823"/>
    </row>
    <row r="249" spans="1:52" x14ac:dyDescent="0.2">
      <c r="B249" s="79">
        <v>602.20000000000005</v>
      </c>
      <c r="C249" s="23"/>
      <c r="D249" s="23"/>
      <c r="E249" s="23"/>
      <c r="F249" s="691"/>
      <c r="G249" s="23"/>
      <c r="H249" s="691"/>
      <c r="I249" s="130"/>
      <c r="J249" s="129"/>
      <c r="K249" s="97"/>
      <c r="L249" s="1629"/>
      <c r="M249" s="1623"/>
      <c r="N249" s="129"/>
      <c r="O249" s="1619"/>
      <c r="P249" s="96"/>
      <c r="Q249" s="96"/>
      <c r="R249" s="96"/>
      <c r="S249" s="96"/>
      <c r="T249" s="96"/>
      <c r="U249" s="96"/>
      <c r="V249" s="96"/>
      <c r="W249" s="96"/>
      <c r="X249" s="96"/>
      <c r="Z249"/>
      <c r="AB249"/>
      <c r="AC249"/>
      <c r="AD249"/>
      <c r="AE249"/>
      <c r="AF249"/>
      <c r="AG249"/>
      <c r="AH249"/>
      <c r="AI249"/>
      <c r="AJ249"/>
      <c r="AK249"/>
      <c r="AX249" s="823"/>
      <c r="AY249" s="823"/>
    </row>
    <row r="250" spans="1:52" x14ac:dyDescent="0.2">
      <c r="B250" s="79">
        <v>602.20000000000005</v>
      </c>
      <c r="C250" s="23"/>
      <c r="D250" s="23"/>
      <c r="E250" s="23"/>
      <c r="F250" s="691"/>
      <c r="G250" s="23"/>
      <c r="H250" s="691"/>
      <c r="I250" s="130"/>
      <c r="J250" s="129"/>
      <c r="K250" s="97"/>
      <c r="L250" s="1629"/>
      <c r="M250" s="1623"/>
      <c r="N250" s="129"/>
      <c r="O250" s="1619"/>
      <c r="P250" s="96"/>
      <c r="Q250" s="96"/>
      <c r="R250" s="96"/>
      <c r="S250" s="96"/>
      <c r="T250" s="96"/>
      <c r="U250" s="96"/>
      <c r="V250" s="96"/>
      <c r="W250" s="96"/>
      <c r="X250" s="96"/>
      <c r="Z250"/>
      <c r="AB250"/>
      <c r="AC250"/>
      <c r="AD250"/>
      <c r="AE250"/>
      <c r="AF250"/>
      <c r="AG250"/>
      <c r="AH250"/>
      <c r="AI250"/>
      <c r="AJ250"/>
      <c r="AK250"/>
    </row>
    <row r="251" spans="1:52" x14ac:dyDescent="0.2">
      <c r="B251" s="79">
        <v>602.20000000000005</v>
      </c>
      <c r="C251" s="23" t="s">
        <v>254</v>
      </c>
      <c r="D251" s="23"/>
      <c r="E251" s="23"/>
      <c r="F251" s="691"/>
      <c r="G251" s="23"/>
      <c r="H251" s="691"/>
      <c r="I251" s="67"/>
      <c r="J251" s="180" t="s">
        <v>254</v>
      </c>
      <c r="K251" s="97"/>
      <c r="L251" s="1657" t="s">
        <v>536</v>
      </c>
      <c r="M251" s="374"/>
      <c r="N251" s="4"/>
      <c r="O251" s="138"/>
      <c r="P251" s="332" t="b">
        <v>1</v>
      </c>
      <c r="Q251" s="332" t="b">
        <v>1</v>
      </c>
      <c r="R251" s="132" t="b">
        <v>0</v>
      </c>
      <c r="S251" s="132" t="b">
        <v>1</v>
      </c>
      <c r="T251" s="132" t="b">
        <v>0</v>
      </c>
      <c r="U251"/>
      <c r="V251"/>
      <c r="W251" s="27"/>
      <c r="X251" s="1600"/>
      <c r="Z251"/>
      <c r="AB251"/>
      <c r="AC251"/>
      <c r="AD251"/>
      <c r="AE251"/>
      <c r="AF251"/>
      <c r="AG251"/>
      <c r="AH251"/>
      <c r="AI251"/>
      <c r="AJ251"/>
      <c r="AK251"/>
      <c r="AP251" s="1352" t="str">
        <f>SUBSTITUTE(SUBSTITUTE(SUBSTITUTE("dch"&amp;$B251&amp;$C251&amp;$D251&amp;$E251&amp;$F251,".","_"),"(","_"),")","")</f>
        <v>dch602_2_1</v>
      </c>
      <c r="AQ251" s="1352" t="str">
        <f>IF(LEN(W251)=0,"",W251)</f>
        <v/>
      </c>
      <c r="AR251" s="1352" t="str">
        <f>SUBSTITUTE(SUBSTITUTE(SUBSTITUTE("dnt"&amp;$B251&amp;$C251&amp;$D251&amp;$E251&amp;$F251,".","_"),"(","_"),")","")</f>
        <v>dnt602_2_1</v>
      </c>
      <c r="AS251" s="1352" t="str">
        <f>IF(LEN(X251)=0,"",X251)</f>
        <v/>
      </c>
    </row>
    <row r="252" spans="1:52" x14ac:dyDescent="0.2">
      <c r="B252" s="79">
        <v>602.20000000000005</v>
      </c>
      <c r="C252" s="23" t="s">
        <v>254</v>
      </c>
      <c r="D252" s="23"/>
      <c r="E252" s="23"/>
      <c r="F252" s="691"/>
      <c r="G252" s="23"/>
      <c r="H252" s="691"/>
      <c r="I252" s="67"/>
      <c r="J252" s="207"/>
      <c r="K252" s="170"/>
      <c r="L252" s="1650"/>
      <c r="M252" s="374"/>
      <c r="N252" s="4"/>
      <c r="O252" s="138"/>
      <c r="P252" s="332"/>
      <c r="Q252" s="332"/>
      <c r="R252" s="137"/>
      <c r="S252" s="137"/>
      <c r="T252" s="137"/>
      <c r="U252" s="137"/>
      <c r="V252" s="137"/>
      <c r="W252"/>
      <c r="X252" s="1600"/>
      <c r="Z252" s="137"/>
      <c r="AB252" s="137"/>
      <c r="AC252" s="137"/>
      <c r="AD252" s="137"/>
      <c r="AE252" s="137"/>
      <c r="AF252" s="137"/>
      <c r="AG252" s="137"/>
      <c r="AH252" s="137"/>
      <c r="AI252" s="137"/>
      <c r="AJ252" s="137"/>
      <c r="AK252" s="137"/>
      <c r="AT252" s="137"/>
    </row>
    <row r="253" spans="1:52" s="137" customFormat="1" x14ac:dyDescent="0.2">
      <c r="A253" s="20"/>
      <c r="B253" s="79">
        <v>602.20000000000005</v>
      </c>
      <c r="C253" s="23" t="s">
        <v>255</v>
      </c>
      <c r="D253" s="23"/>
      <c r="E253" s="23"/>
      <c r="F253" s="691"/>
      <c r="G253" s="23"/>
      <c r="H253" s="691"/>
      <c r="I253" s="67"/>
      <c r="J253" s="209" t="s">
        <v>255</v>
      </c>
      <c r="K253" s="210"/>
      <c r="L253" s="311" t="s">
        <v>537</v>
      </c>
      <c r="M253" s="374"/>
      <c r="N253" s="4"/>
      <c r="O253" s="138"/>
      <c r="P253" s="332" t="b">
        <v>1</v>
      </c>
      <c r="Q253" s="332" t="b">
        <v>1</v>
      </c>
      <c r="R253" s="132" t="b">
        <v>0</v>
      </c>
      <c r="S253" s="132" t="b">
        <v>1</v>
      </c>
      <c r="T253" s="132" t="b">
        <v>0</v>
      </c>
      <c r="U253"/>
      <c r="V253"/>
      <c r="W253" s="27"/>
      <c r="X253" s="156"/>
      <c r="Y253" s="704"/>
      <c r="Z253"/>
      <c r="AA253" s="707"/>
      <c r="AB253"/>
      <c r="AC253"/>
      <c r="AD253"/>
      <c r="AE253"/>
      <c r="AF253"/>
      <c r="AG253"/>
      <c r="AH253"/>
      <c r="AI253"/>
      <c r="AJ253"/>
      <c r="AK253"/>
      <c r="AL253" s="66"/>
      <c r="AM253" s="66"/>
      <c r="AN253" s="66"/>
      <c r="AO253" s="66"/>
      <c r="AP253" s="1352" t="str">
        <f>SUBSTITUTE(SUBSTITUTE(SUBSTITUTE("dch"&amp;$B253&amp;$C253&amp;$D253&amp;$E253&amp;$F253,".","_"),"(","_"),")","")</f>
        <v>dch602_2_2</v>
      </c>
      <c r="AQ253" s="1352" t="str">
        <f>IF(LEN(W253)=0,"",W253)</f>
        <v/>
      </c>
      <c r="AR253" s="1352" t="str">
        <f>SUBSTITUTE(SUBSTITUTE(SUBSTITUTE("dnt"&amp;$B253&amp;$C253&amp;$D253&amp;$E253&amp;$F253,".","_"),"(","_"),")","")</f>
        <v>dnt602_2_2</v>
      </c>
      <c r="AS253" s="1352" t="str">
        <f>IF(LEN(X253)=0,"",X253)</f>
        <v/>
      </c>
      <c r="AT253" s="66"/>
      <c r="AX253" s="66"/>
      <c r="AY253" s="66"/>
      <c r="AZ253" s="66"/>
    </row>
    <row r="254" spans="1:52" x14ac:dyDescent="0.2">
      <c r="B254" s="79">
        <v>602.20000000000005</v>
      </c>
      <c r="C254" s="23" t="s">
        <v>256</v>
      </c>
      <c r="D254" s="23"/>
      <c r="E254" s="23"/>
      <c r="F254" s="691"/>
      <c r="G254" s="23"/>
      <c r="H254" s="691"/>
      <c r="I254" s="67"/>
      <c r="J254" s="29" t="s">
        <v>256</v>
      </c>
      <c r="K254" s="85"/>
      <c r="L254" s="1611" t="s">
        <v>538</v>
      </c>
      <c r="M254" s="374"/>
      <c r="N254" s="4"/>
      <c r="O254" s="138"/>
      <c r="P254" s="332" t="b">
        <v>1</v>
      </c>
      <c r="Q254" s="332" t="b">
        <v>1</v>
      </c>
      <c r="R254" s="132" t="b">
        <v>0</v>
      </c>
      <c r="S254" s="132" t="b">
        <v>1</v>
      </c>
      <c r="T254" s="132" t="b">
        <v>0</v>
      </c>
      <c r="U254"/>
      <c r="V254"/>
      <c r="W254" s="27"/>
      <c r="X254" s="1600"/>
      <c r="Z254"/>
      <c r="AB254"/>
      <c r="AC254"/>
      <c r="AD254"/>
      <c r="AE254"/>
      <c r="AF254"/>
      <c r="AG254"/>
      <c r="AH254"/>
      <c r="AI254"/>
      <c r="AJ254"/>
      <c r="AK254"/>
      <c r="AP254" s="1352" t="str">
        <f>SUBSTITUTE(SUBSTITUTE(SUBSTITUTE("dch"&amp;$B254&amp;$C254&amp;$D254&amp;$E254&amp;$F254,".","_"),"(","_"),")","")</f>
        <v>dch602_2_3</v>
      </c>
      <c r="AQ254" s="1352" t="str">
        <f>IF(LEN(W254)=0,"",W254)</f>
        <v/>
      </c>
      <c r="AR254" s="1352" t="str">
        <f>SUBSTITUTE(SUBSTITUTE(SUBSTITUTE("dnt"&amp;$B254&amp;$C254&amp;$D254&amp;$E254&amp;$F254,".","_"),"(","_"),")","")</f>
        <v>dnt602_2_3</v>
      </c>
      <c r="AS254" s="1352" t="str">
        <f>IF(LEN(X254)=0,"",X254)</f>
        <v/>
      </c>
    </row>
    <row r="255" spans="1:52" x14ac:dyDescent="0.2">
      <c r="B255" s="79">
        <v>602.20000000000005</v>
      </c>
      <c r="C255" s="23" t="s">
        <v>256</v>
      </c>
      <c r="D255" s="23"/>
      <c r="E255" s="23"/>
      <c r="F255" s="691"/>
      <c r="G255" s="23"/>
      <c r="H255" s="691"/>
      <c r="I255" s="67"/>
      <c r="J255" s="4"/>
      <c r="K255" s="85"/>
      <c r="L255" s="1611"/>
      <c r="M255" s="374"/>
      <c r="N255" s="4"/>
      <c r="O255" s="138"/>
      <c r="P255" s="332"/>
      <c r="Q255" s="332"/>
      <c r="R255"/>
      <c r="S255"/>
      <c r="T255"/>
      <c r="U255"/>
      <c r="V255"/>
      <c r="W255"/>
      <c r="X255" s="1600"/>
      <c r="Z255"/>
      <c r="AB255"/>
      <c r="AC255"/>
      <c r="AD255"/>
      <c r="AE255"/>
      <c r="AF255"/>
      <c r="AG255"/>
      <c r="AH255"/>
      <c r="AI255"/>
      <c r="AJ255"/>
      <c r="AK255"/>
      <c r="AX255" s="137"/>
      <c r="AY255" s="137"/>
      <c r="AZ255" s="137"/>
    </row>
    <row r="256" spans="1:52" ht="16" thickBot="1" x14ac:dyDescent="0.25">
      <c r="B256" s="79">
        <v>602.20000000000005</v>
      </c>
      <c r="C256" s="23" t="s">
        <v>256</v>
      </c>
      <c r="D256" s="23"/>
      <c r="E256" s="23"/>
      <c r="F256" s="691"/>
      <c r="G256" s="23"/>
      <c r="H256" s="691"/>
      <c r="I256" s="67"/>
      <c r="J256" s="4"/>
      <c r="K256" s="85"/>
      <c r="L256" s="1611"/>
      <c r="M256" s="374"/>
      <c r="N256" s="4"/>
      <c r="O256" s="138"/>
      <c r="P256" s="332"/>
      <c r="Q256" s="332"/>
      <c r="R256"/>
      <c r="S256"/>
      <c r="T256"/>
      <c r="U256"/>
      <c r="V256"/>
      <c r="W256" s="113"/>
      <c r="X256" s="1621"/>
      <c r="Z256"/>
      <c r="AB256"/>
      <c r="AC256"/>
      <c r="AD256"/>
      <c r="AE256"/>
      <c r="AF256"/>
      <c r="AG256"/>
      <c r="AH256"/>
      <c r="AI256"/>
      <c r="AJ256"/>
      <c r="AK256"/>
    </row>
    <row r="257" spans="1:52" ht="16" thickTop="1" x14ac:dyDescent="0.2">
      <c r="B257" s="79">
        <v>602.29999999999995</v>
      </c>
      <c r="C257" s="23"/>
      <c r="D257" s="23"/>
      <c r="E257" s="23"/>
      <c r="F257" s="691"/>
      <c r="G257" s="23"/>
      <c r="H257" s="691"/>
      <c r="I257" s="177" t="s">
        <v>3556</v>
      </c>
      <c r="J257" s="178"/>
      <c r="K257" s="179"/>
      <c r="L257" s="1683" t="s">
        <v>3612</v>
      </c>
      <c r="M257" s="1685">
        <v>4</v>
      </c>
      <c r="N257" s="178"/>
      <c r="O257" s="1682">
        <f>M257*S257*W257</f>
        <v>0</v>
      </c>
      <c r="P257" s="332" t="b">
        <v>0</v>
      </c>
      <c r="Q257" s="332" t="b">
        <v>1</v>
      </c>
      <c r="R257" s="106" t="b">
        <v>0</v>
      </c>
      <c r="S257" s="106" t="b">
        <v>1</v>
      </c>
      <c r="T257" s="106" t="b">
        <v>0</v>
      </c>
      <c r="U257" s="106"/>
      <c r="V257" s="106"/>
      <c r="W257" s="119"/>
      <c r="X257" s="1603"/>
      <c r="Z257"/>
      <c r="AB257"/>
      <c r="AC257"/>
      <c r="AD257"/>
      <c r="AE257"/>
      <c r="AF257"/>
      <c r="AG257"/>
      <c r="AH257"/>
      <c r="AI257"/>
      <c r="AJ257"/>
      <c r="AK257"/>
      <c r="AL257" s="1352" t="str">
        <f>SUBSTITUTE(SUBSTITUTE(SUBSTITUTE("dpa"&amp;$B257&amp;$C257&amp;$D257&amp;$E257&amp;$F257,".","_"),"(","_"),")","")</f>
        <v>dpa602_3</v>
      </c>
      <c r="AM257" s="1352">
        <f>M257</f>
        <v>4</v>
      </c>
      <c r="AN257" s="1352" t="str">
        <f>SUBSTITUTE(SUBSTITUTE(SUBSTITUTE("dpc"&amp;$B257&amp;$C257&amp;$D257&amp;$E257&amp;$F257,".","_"),"(","_"),")","")</f>
        <v>dpc602_3</v>
      </c>
      <c r="AO257" s="1352">
        <f>O257</f>
        <v>0</v>
      </c>
      <c r="AP257" s="1352" t="str">
        <f>SUBSTITUTE(SUBSTITUTE(SUBSTITUTE("dch"&amp;$B257&amp;$C257&amp;$D257&amp;$E257&amp;$F257,".","_"),"(","_"),")","")</f>
        <v>dch602_3</v>
      </c>
      <c r="AQ257" s="1352" t="str">
        <f>IF(LEN(W257)=0,"",W257)</f>
        <v/>
      </c>
      <c r="AR257" s="1352" t="str">
        <f>SUBSTITUTE(SUBSTITUTE(SUBSTITUTE("dnt"&amp;$B257&amp;$C257&amp;$D257&amp;$E257&amp;$F257,".","_"),"(","_"),")","")</f>
        <v>dnt602_3</v>
      </c>
      <c r="AS257" s="1352" t="str">
        <f>IF(LEN(X257)=0,"",X257)</f>
        <v/>
      </c>
    </row>
    <row r="258" spans="1:52" x14ac:dyDescent="0.2">
      <c r="B258" s="79">
        <v>602.29999999999995</v>
      </c>
      <c r="C258" s="23"/>
      <c r="D258" s="23"/>
      <c r="E258" s="23"/>
      <c r="F258" s="691"/>
      <c r="G258" s="23"/>
      <c r="H258" s="691"/>
      <c r="I258" s="130"/>
      <c r="J258" s="129"/>
      <c r="K258" s="97"/>
      <c r="L258" s="1629"/>
      <c r="M258" s="1623"/>
      <c r="N258" s="129"/>
      <c r="O258" s="1619"/>
      <c r="P258" s="96"/>
      <c r="Q258" s="96"/>
      <c r="R258" s="96"/>
      <c r="S258" s="96"/>
      <c r="T258" s="96"/>
      <c r="U258" s="96"/>
      <c r="V258" s="96"/>
      <c r="W258" s="96"/>
      <c r="X258" s="1601"/>
      <c r="Z258"/>
      <c r="AB258"/>
      <c r="AC258"/>
      <c r="AD258"/>
      <c r="AE258"/>
      <c r="AF258"/>
      <c r="AG258"/>
      <c r="AH258"/>
      <c r="AI258"/>
      <c r="AJ258"/>
      <c r="AK258"/>
    </row>
    <row r="259" spans="1:52" ht="16" thickBot="1" x14ac:dyDescent="0.25">
      <c r="B259" s="79">
        <v>602.29999999999995</v>
      </c>
      <c r="C259" s="23"/>
      <c r="D259" s="23"/>
      <c r="E259" s="23"/>
      <c r="F259" s="691"/>
      <c r="G259" s="23"/>
      <c r="H259" s="691"/>
      <c r="I259" s="130"/>
      <c r="J259" s="129"/>
      <c r="K259" s="97"/>
      <c r="L259" s="1629"/>
      <c r="M259" s="1623"/>
      <c r="N259" s="129"/>
      <c r="O259" s="1619"/>
      <c r="P259" s="96"/>
      <c r="Q259" s="96"/>
      <c r="R259" s="96"/>
      <c r="S259" s="96"/>
      <c r="T259" s="96"/>
      <c r="U259" s="96"/>
      <c r="V259" s="96"/>
      <c r="W259" s="96"/>
      <c r="X259" s="1621"/>
      <c r="Z259"/>
      <c r="AB259"/>
      <c r="AC259"/>
      <c r="AD259"/>
      <c r="AE259"/>
      <c r="AF259"/>
      <c r="AG259"/>
      <c r="AH259"/>
      <c r="AI259"/>
      <c r="AJ259"/>
      <c r="AK259"/>
    </row>
    <row r="260" spans="1:52" ht="16" thickTop="1" x14ac:dyDescent="0.2">
      <c r="B260" s="79">
        <v>602.4</v>
      </c>
      <c r="C260" s="23"/>
      <c r="D260" s="23"/>
      <c r="E260" s="23"/>
      <c r="F260" s="691"/>
      <c r="G260" s="23"/>
      <c r="H260" s="691"/>
      <c r="I260" s="177" t="s">
        <v>3557</v>
      </c>
      <c r="J260" s="178"/>
      <c r="K260" s="179"/>
      <c r="L260" s="313" t="s">
        <v>3611</v>
      </c>
      <c r="M260" s="370"/>
      <c r="N260" s="178"/>
      <c r="O260" s="421"/>
      <c r="P260" s="106"/>
      <c r="Q260" s="106"/>
      <c r="R260" s="106"/>
      <c r="S260" s="106"/>
      <c r="T260" s="106"/>
      <c r="U260" s="106"/>
      <c r="V260" s="106"/>
      <c r="W260" s="106"/>
      <c r="X260" s="106"/>
      <c r="Z260"/>
      <c r="AB260"/>
      <c r="AC260"/>
      <c r="AD260"/>
      <c r="AE260"/>
      <c r="AF260"/>
      <c r="AG260"/>
      <c r="AH260"/>
      <c r="AI260"/>
      <c r="AJ260"/>
      <c r="AK260"/>
    </row>
    <row r="261" spans="1:52" x14ac:dyDescent="0.2">
      <c r="B261" s="79" t="s">
        <v>539</v>
      </c>
      <c r="C261" s="23"/>
      <c r="D261" s="23"/>
      <c r="E261" s="23"/>
      <c r="F261" s="691"/>
      <c r="G261" s="23"/>
      <c r="H261" s="691"/>
      <c r="I261" s="130" t="s">
        <v>3558</v>
      </c>
      <c r="J261" s="129"/>
      <c r="K261" s="97"/>
      <c r="L261" s="1629" t="s">
        <v>3610</v>
      </c>
      <c r="M261" s="1697" t="str">
        <f>IF(R261,"Mandatory","N/A")</f>
        <v>Mandatory</v>
      </c>
      <c r="N261" s="4"/>
      <c r="O261" s="138"/>
      <c r="P261" s="332" t="b">
        <v>1</v>
      </c>
      <c r="Q261" s="332" t="b">
        <v>1</v>
      </c>
      <c r="R261" s="137" t="b">
        <f>S261</f>
        <v>1</v>
      </c>
      <c r="S261" s="126" t="b">
        <v>1</v>
      </c>
      <c r="T261" s="126" t="b">
        <v>0</v>
      </c>
      <c r="U261" s="1268" t="str">
        <f>SUBSTITUTE(SUBSTITUTE(SUBSTITUTE("dd"&amp;B261&amp;C261&amp;D261&amp;E261&amp;F261,".","_"),"(","_"),")","")</f>
        <v>dd602_4_1</v>
      </c>
      <c r="V261"/>
      <c r="W261" s="12" t="s">
        <v>2588</v>
      </c>
      <c r="X261" s="1600"/>
      <c r="Z261"/>
      <c r="AB261"/>
      <c r="AC261" s="132" t="b">
        <f>OR(AD261:AE261)</f>
        <v>0</v>
      </c>
      <c r="AD261" s="132" t="b">
        <f>T261</f>
        <v>0</v>
      </c>
      <c r="AE261" s="1267" t="b">
        <f>AND(R261,NOT(W261="Met"),NOT(W261="N/A"))</f>
        <v>0</v>
      </c>
      <c r="AF261"/>
      <c r="AG261"/>
      <c r="AH261"/>
      <c r="AI261"/>
      <c r="AJ261"/>
      <c r="AK261"/>
      <c r="AL261" s="1352" t="str">
        <f>SUBSTITUTE(SUBSTITUTE(SUBSTITUTE("dpa"&amp;$B261&amp;$C261&amp;$D261&amp;$E261&amp;$F261,".","_"),"(","_"),")","")</f>
        <v>dpa602_4_1</v>
      </c>
      <c r="AM261" s="1352" t="str">
        <f>M261</f>
        <v>Mandatory</v>
      </c>
      <c r="AP261" s="1352" t="str">
        <f>SUBSTITUTE(SUBSTITUTE(SUBSTITUTE("dch"&amp;$B261&amp;$C261&amp;$D261&amp;$E261&amp;$F261,".","_"),"(","_"),")","")</f>
        <v>dch602_4_1</v>
      </c>
      <c r="AQ261" s="1352" t="str">
        <f>IF(LEN(W261)=0,"",W261)</f>
        <v>Met</v>
      </c>
      <c r="AR261" s="1352" t="str">
        <f>SUBSTITUTE(SUBSTITUTE(SUBSTITUTE("dnt"&amp;$B261&amp;$C261&amp;$D261&amp;$E261&amp;$F261,".","_"),"(","_"),")","")</f>
        <v>dnt602_4_1</v>
      </c>
      <c r="AS261" s="1352" t="str">
        <f>IF(LEN(X261)=0,"",X261)</f>
        <v/>
      </c>
    </row>
    <row r="262" spans="1:52" x14ac:dyDescent="0.2">
      <c r="B262" s="79" t="s">
        <v>539</v>
      </c>
      <c r="C262" s="23"/>
      <c r="D262" s="23"/>
      <c r="E262" s="23"/>
      <c r="F262" s="691"/>
      <c r="G262" s="23"/>
      <c r="H262" s="691"/>
      <c r="I262" s="130"/>
      <c r="J262" s="129"/>
      <c r="K262" s="97"/>
      <c r="L262" s="1629"/>
      <c r="M262" s="1697"/>
      <c r="N262" s="4"/>
      <c r="O262" s="138"/>
      <c r="P262" s="332"/>
      <c r="Q262" s="332"/>
      <c r="R262"/>
      <c r="S262"/>
      <c r="T262"/>
      <c r="U262"/>
      <c r="V262"/>
      <c r="W262"/>
      <c r="X262" s="1600"/>
      <c r="Z262"/>
      <c r="AB262"/>
      <c r="AC262"/>
      <c r="AD262"/>
      <c r="AE262"/>
      <c r="AF262"/>
      <c r="AG262"/>
      <c r="AH262"/>
      <c r="AI262"/>
      <c r="AJ262"/>
      <c r="AK262"/>
    </row>
    <row r="263" spans="1:52" x14ac:dyDescent="0.2">
      <c r="B263" s="79" t="s">
        <v>539</v>
      </c>
      <c r="C263" s="23"/>
      <c r="D263" s="23"/>
      <c r="E263" s="23"/>
      <c r="F263" s="691"/>
      <c r="G263" s="23"/>
      <c r="H263" s="691"/>
      <c r="I263" s="130"/>
      <c r="J263" s="129"/>
      <c r="K263" s="97"/>
      <c r="L263" s="1629"/>
      <c r="M263" s="1697"/>
      <c r="N263" s="4"/>
      <c r="O263" s="138"/>
      <c r="P263" s="332"/>
      <c r="Q263" s="332"/>
      <c r="R263"/>
      <c r="S263"/>
      <c r="T263"/>
      <c r="U263"/>
      <c r="V263"/>
      <c r="W263"/>
      <c r="X263" s="1600"/>
      <c r="Z263"/>
      <c r="AB263"/>
      <c r="AC263"/>
      <c r="AD263"/>
      <c r="AE263"/>
      <c r="AF263"/>
      <c r="AG263"/>
      <c r="AH263"/>
      <c r="AI263"/>
      <c r="AJ263"/>
      <c r="AK263"/>
    </row>
    <row r="264" spans="1:52" x14ac:dyDescent="0.2">
      <c r="B264" s="79" t="s">
        <v>539</v>
      </c>
      <c r="C264" s="23"/>
      <c r="D264" s="23"/>
      <c r="E264" s="23"/>
      <c r="F264" s="691"/>
      <c r="G264" s="23"/>
      <c r="H264" s="691"/>
      <c r="I264" s="130"/>
      <c r="J264" s="129"/>
      <c r="K264" s="97"/>
      <c r="L264" s="1629"/>
      <c r="M264" s="1697"/>
      <c r="N264" s="4"/>
      <c r="O264" s="138"/>
      <c r="P264" s="332"/>
      <c r="Q264" s="332"/>
      <c r="R264"/>
      <c r="S264"/>
      <c r="T264"/>
      <c r="U264"/>
      <c r="V264"/>
      <c r="W264"/>
      <c r="X264" s="1600"/>
      <c r="Z264"/>
      <c r="AB264"/>
      <c r="AC264"/>
      <c r="AD264"/>
      <c r="AE264"/>
      <c r="AF264"/>
      <c r="AG264"/>
      <c r="AH264"/>
      <c r="AI264"/>
      <c r="AJ264"/>
      <c r="AK264"/>
    </row>
    <row r="265" spans="1:52" x14ac:dyDescent="0.2">
      <c r="B265" s="79" t="s">
        <v>539</v>
      </c>
      <c r="C265" s="23"/>
      <c r="D265" s="23"/>
      <c r="E265" s="23"/>
      <c r="F265" s="691"/>
      <c r="G265" s="23"/>
      <c r="H265" s="691"/>
      <c r="I265" s="219"/>
      <c r="J265" s="213"/>
      <c r="K265" s="170"/>
      <c r="L265" s="1696"/>
      <c r="M265" s="1698"/>
      <c r="N265" s="4"/>
      <c r="O265" s="138"/>
      <c r="P265" s="332"/>
      <c r="Q265" s="332"/>
      <c r="R265" s="132"/>
      <c r="S265" s="132"/>
      <c r="T265" s="132"/>
      <c r="U265" s="132"/>
      <c r="V265" s="132"/>
      <c r="W265" s="132"/>
      <c r="X265" s="1600"/>
      <c r="Z265" s="132"/>
      <c r="AB265" s="132"/>
      <c r="AC265" s="132"/>
      <c r="AD265" s="132"/>
      <c r="AE265" s="132"/>
      <c r="AF265" s="132"/>
      <c r="AG265" s="132"/>
      <c r="AH265" s="132"/>
      <c r="AI265" s="132"/>
      <c r="AJ265" s="132"/>
      <c r="AK265" s="132"/>
      <c r="AT265" s="132"/>
    </row>
    <row r="266" spans="1:52" s="132" customFormat="1" x14ac:dyDescent="0.2">
      <c r="A266" s="20"/>
      <c r="B266" s="79" t="s">
        <v>540</v>
      </c>
      <c r="C266" s="23"/>
      <c r="D266" s="23"/>
      <c r="E266" s="23"/>
      <c r="F266" s="691"/>
      <c r="G266" s="23"/>
      <c r="H266" s="691"/>
      <c r="I266" s="130" t="s">
        <v>3559</v>
      </c>
      <c r="J266" s="129"/>
      <c r="K266" s="97"/>
      <c r="L266" s="1629" t="s">
        <v>3609</v>
      </c>
      <c r="M266" s="1623">
        <v>1</v>
      </c>
      <c r="N266" s="129"/>
      <c r="O266" s="1619">
        <f>M266*S266*W266</f>
        <v>0</v>
      </c>
      <c r="P266" s="332" t="b">
        <v>1</v>
      </c>
      <c r="Q266" s="332" t="b">
        <v>1</v>
      </c>
      <c r="R266" s="126" t="b">
        <v>0</v>
      </c>
      <c r="S266" s="126" t="b">
        <f>NOT(W261="N/A")</f>
        <v>1</v>
      </c>
      <c r="T266" s="126" t="b">
        <v>0</v>
      </c>
      <c r="U266"/>
      <c r="V266"/>
      <c r="W266" s="27"/>
      <c r="X266" s="1600"/>
      <c r="Y266" s="704"/>
      <c r="Z266"/>
      <c r="AA266" s="707"/>
      <c r="AB266"/>
      <c r="AC266"/>
      <c r="AD266"/>
      <c r="AE266"/>
      <c r="AF266"/>
      <c r="AG266"/>
      <c r="AH266"/>
      <c r="AI266"/>
      <c r="AJ266"/>
      <c r="AK266"/>
      <c r="AL266" s="1352" t="str">
        <f>SUBSTITUTE(SUBSTITUTE(SUBSTITUTE("dpa"&amp;$B266&amp;$C266&amp;$D266&amp;$E266&amp;$F266,".","_"),"(","_"),")","")</f>
        <v>dpa602_4_2</v>
      </c>
      <c r="AM266" s="1352">
        <f>M266</f>
        <v>1</v>
      </c>
      <c r="AN266" s="1352" t="str">
        <f>SUBSTITUTE(SUBSTITUTE(SUBSTITUTE("dpc"&amp;$B266&amp;$C266&amp;$D266&amp;$E266&amp;$F266,".","_"),"(","_"),")","")</f>
        <v>dpc602_4_2</v>
      </c>
      <c r="AO266" s="1352">
        <f>O266</f>
        <v>0</v>
      </c>
      <c r="AP266" s="1352" t="str">
        <f>SUBSTITUTE(SUBSTITUTE(SUBSTITUTE("dch"&amp;$B266&amp;$C266&amp;$D266&amp;$E266&amp;$F266,".","_"),"(","_"),")","")</f>
        <v>dch602_4_2</v>
      </c>
      <c r="AQ266" s="1352" t="str">
        <f>IF(LEN(W266)=0,"",W266)</f>
        <v/>
      </c>
      <c r="AR266" s="1352" t="str">
        <f>SUBSTITUTE(SUBSTITUTE(SUBSTITUTE("dnt"&amp;$B266&amp;$C266&amp;$D266&amp;$E266&amp;$F266,".","_"),"(","_"),")","")</f>
        <v>dnt602_4_2</v>
      </c>
      <c r="AS266" s="1352" t="str">
        <f>IF(LEN(X266)=0,"",X266)</f>
        <v/>
      </c>
      <c r="AT266" s="66"/>
      <c r="AX266" s="66"/>
      <c r="AY266" s="66"/>
      <c r="AZ266" s="66"/>
    </row>
    <row r="267" spans="1:52" x14ac:dyDescent="0.2">
      <c r="B267" s="79" t="s">
        <v>540</v>
      </c>
      <c r="C267" s="23"/>
      <c r="D267" s="23"/>
      <c r="E267" s="23"/>
      <c r="F267" s="691"/>
      <c r="G267" s="23"/>
      <c r="H267" s="691"/>
      <c r="I267" s="219"/>
      <c r="J267" s="213"/>
      <c r="K267" s="170"/>
      <c r="L267" s="1696"/>
      <c r="M267" s="1624"/>
      <c r="N267" s="213"/>
      <c r="O267" s="1620"/>
      <c r="P267" s="332"/>
      <c r="Q267" s="332"/>
      <c r="R267"/>
      <c r="S267"/>
      <c r="T267"/>
      <c r="U267"/>
      <c r="V267"/>
      <c r="W267"/>
      <c r="X267" s="1600"/>
      <c r="Z267"/>
      <c r="AB267"/>
      <c r="AC267"/>
      <c r="AD267"/>
      <c r="AE267"/>
      <c r="AF267"/>
      <c r="AG267"/>
      <c r="AH267"/>
      <c r="AI267"/>
      <c r="AJ267"/>
      <c r="AK267"/>
    </row>
    <row r="268" spans="1:52" x14ac:dyDescent="0.2">
      <c r="B268" s="79" t="s">
        <v>541</v>
      </c>
      <c r="C268" s="23"/>
      <c r="D268" s="23"/>
      <c r="E268" s="23"/>
      <c r="F268" s="691"/>
      <c r="G268" s="23"/>
      <c r="H268" s="691"/>
      <c r="I268" s="67" t="s">
        <v>3560</v>
      </c>
      <c r="J268" s="4"/>
      <c r="K268" s="85"/>
      <c r="L268" s="1699" t="s">
        <v>3608</v>
      </c>
      <c r="M268" s="374">
        <v>1</v>
      </c>
      <c r="N268" s="4"/>
      <c r="O268" s="138">
        <f>M268*S268*W268</f>
        <v>0</v>
      </c>
      <c r="P268" s="332" t="b">
        <v>1</v>
      </c>
      <c r="Q268" s="332" t="b">
        <v>1</v>
      </c>
      <c r="R268" s="126" t="b">
        <v>0</v>
      </c>
      <c r="S268" s="1267" t="b">
        <f>NOT(W261="N/A")</f>
        <v>1</v>
      </c>
      <c r="T268" s="126" t="b">
        <v>0</v>
      </c>
      <c r="U268"/>
      <c r="V268"/>
      <c r="W268" s="27"/>
      <c r="X268" s="1600"/>
      <c r="Z268"/>
      <c r="AB268"/>
      <c r="AC268"/>
      <c r="AD268"/>
      <c r="AE268"/>
      <c r="AF268"/>
      <c r="AG268"/>
      <c r="AH268"/>
      <c r="AI268"/>
      <c r="AJ268"/>
      <c r="AK268"/>
      <c r="AL268" s="1352" t="str">
        <f>SUBSTITUTE(SUBSTITUTE(SUBSTITUTE("dpa"&amp;$B268&amp;$C268&amp;$D268&amp;$E268&amp;$F268,".","_"),"(","_"),")","")</f>
        <v>dpa602_4_3</v>
      </c>
      <c r="AM268" s="1352">
        <f>M268</f>
        <v>1</v>
      </c>
      <c r="AN268" s="1352" t="str">
        <f>SUBSTITUTE(SUBSTITUTE(SUBSTITUTE("dpc"&amp;$B268&amp;$C268&amp;$D268&amp;$E268&amp;$F268,".","_"),"(","_"),")","")</f>
        <v>dpc602_4_3</v>
      </c>
      <c r="AO268" s="1352">
        <f>O268</f>
        <v>0</v>
      </c>
      <c r="AP268" s="1352" t="str">
        <f>SUBSTITUTE(SUBSTITUTE(SUBSTITUTE("dch"&amp;$B268&amp;$C268&amp;$D268&amp;$E268&amp;$F268,".","_"),"(","_"),")","")</f>
        <v>dch602_4_3</v>
      </c>
      <c r="AQ268" s="1352" t="str">
        <f>IF(LEN(W268)=0,"",W268)</f>
        <v/>
      </c>
      <c r="AR268" s="1352" t="str">
        <f>SUBSTITUTE(SUBSTITUTE(SUBSTITUTE("dnt"&amp;$B268&amp;$C268&amp;$D268&amp;$E268&amp;$F268,".","_"),"(","_"),")","")</f>
        <v>dnt602_4_3</v>
      </c>
      <c r="AS268" s="1352" t="str">
        <f>IF(LEN(X268)=0,"",X268)</f>
        <v/>
      </c>
      <c r="AX268" s="132"/>
      <c r="AY268" s="132"/>
      <c r="AZ268" s="132"/>
    </row>
    <row r="269" spans="1:52" s="905" customFormat="1" x14ac:dyDescent="0.2">
      <c r="A269" s="20"/>
      <c r="B269" s="79" t="s">
        <v>541</v>
      </c>
      <c r="C269" s="23"/>
      <c r="D269" s="23"/>
      <c r="E269" s="23"/>
      <c r="F269" s="691"/>
      <c r="G269" s="23"/>
      <c r="H269" s="691"/>
      <c r="I269" s="67"/>
      <c r="J269" s="4"/>
      <c r="K269" s="85"/>
      <c r="L269" s="1700"/>
      <c r="M269" s="911"/>
      <c r="N269" s="4"/>
      <c r="O269" s="935"/>
      <c r="W269"/>
      <c r="X269" s="1600"/>
      <c r="AL269" s="66"/>
      <c r="AM269" s="66"/>
      <c r="AN269" s="66"/>
      <c r="AO269" s="66"/>
      <c r="AP269" s="66"/>
      <c r="AQ269" s="66"/>
      <c r="AR269" s="66"/>
      <c r="AS269" s="66"/>
      <c r="AX269" s="66"/>
      <c r="AY269" s="66"/>
      <c r="AZ269" s="66"/>
    </row>
    <row r="270" spans="1:52" ht="19" x14ac:dyDescent="0.25">
      <c r="B270" s="79">
        <v>603</v>
      </c>
      <c r="C270" s="23"/>
      <c r="D270" s="23"/>
      <c r="E270" s="23"/>
      <c r="F270" s="691"/>
      <c r="G270" s="23"/>
      <c r="H270" s="691"/>
      <c r="I270" s="72" t="s">
        <v>3561</v>
      </c>
      <c r="J270" s="25"/>
      <c r="K270" s="84"/>
      <c r="L270" s="233"/>
      <c r="M270" s="339"/>
      <c r="N270" s="428"/>
      <c r="O270" s="419"/>
      <c r="P270" s="25"/>
      <c r="Q270" s="25"/>
      <c r="R270" s="25"/>
      <c r="S270" s="25"/>
      <c r="T270" s="25"/>
      <c r="U270" s="25"/>
      <c r="V270" s="25"/>
      <c r="W270" s="25"/>
      <c r="X270" s="25"/>
      <c r="Z270"/>
      <c r="AB270"/>
      <c r="AC270"/>
      <c r="AD270"/>
      <c r="AE270"/>
      <c r="AF270"/>
      <c r="AG270"/>
      <c r="AH270"/>
      <c r="AI270"/>
      <c r="AJ270"/>
      <c r="AK270"/>
    </row>
    <row r="271" spans="1:52" x14ac:dyDescent="0.2">
      <c r="B271" s="79" t="s">
        <v>3212</v>
      </c>
      <c r="C271" s="23"/>
      <c r="D271" s="23"/>
      <c r="E271" s="23"/>
      <c r="F271" s="691"/>
      <c r="G271" s="23"/>
      <c r="H271" s="691"/>
      <c r="I271" s="589" t="s">
        <v>3562</v>
      </c>
      <c r="J271" s="4"/>
      <c r="K271" s="85"/>
      <c r="L271" s="1631" t="s">
        <v>3607</v>
      </c>
      <c r="M271" s="374"/>
      <c r="N271" s="4"/>
      <c r="O271" s="138"/>
      <c r="P271" s="332"/>
      <c r="Q271" s="332"/>
      <c r="R271"/>
      <c r="S271"/>
      <c r="T271"/>
      <c r="U271"/>
      <c r="V271"/>
      <c r="W271"/>
      <c r="X271"/>
      <c r="Z271"/>
      <c r="AB271"/>
      <c r="AC271"/>
      <c r="AD271"/>
      <c r="AE271"/>
      <c r="AF271"/>
      <c r="AG271"/>
      <c r="AH271"/>
      <c r="AI271"/>
      <c r="AJ271"/>
      <c r="AK271"/>
      <c r="AZ271" s="905"/>
    </row>
    <row r="272" spans="1:52" ht="16" thickBot="1" x14ac:dyDescent="0.25">
      <c r="B272" s="79" t="s">
        <v>3212</v>
      </c>
      <c r="C272" s="23"/>
      <c r="D272" s="23"/>
      <c r="E272" s="23"/>
      <c r="F272" s="691"/>
      <c r="G272" s="23"/>
      <c r="H272" s="691"/>
      <c r="I272" s="67"/>
      <c r="J272" s="4"/>
      <c r="K272" s="85"/>
      <c r="L272" s="1631"/>
      <c r="M272" s="374"/>
      <c r="N272" s="4"/>
      <c r="O272" s="138"/>
      <c r="P272" s="332"/>
      <c r="Q272" s="332"/>
      <c r="R272"/>
      <c r="S272"/>
      <c r="T272"/>
      <c r="U272"/>
      <c r="V272"/>
      <c r="W272"/>
      <c r="X272"/>
      <c r="Z272"/>
      <c r="AB272"/>
      <c r="AC272"/>
      <c r="AD272"/>
      <c r="AE272"/>
      <c r="AF272"/>
      <c r="AG272"/>
      <c r="AH272"/>
      <c r="AI272"/>
      <c r="AJ272"/>
      <c r="AK272"/>
      <c r="AX272" s="905"/>
      <c r="AY272" s="905"/>
    </row>
    <row r="273" spans="1:52" ht="16" thickTop="1" x14ac:dyDescent="0.2">
      <c r="B273" s="79">
        <v>603.1</v>
      </c>
      <c r="C273" s="23"/>
      <c r="D273" s="23"/>
      <c r="E273" s="23"/>
      <c r="F273" s="691"/>
      <c r="G273" s="23"/>
      <c r="H273" s="691"/>
      <c r="I273" s="177" t="s">
        <v>3563</v>
      </c>
      <c r="J273" s="178"/>
      <c r="K273" s="179"/>
      <c r="L273" s="1683" t="s">
        <v>3606</v>
      </c>
      <c r="M273" s="1691" t="s">
        <v>2603</v>
      </c>
      <c r="N273" s="178"/>
      <c r="O273" s="1682">
        <f>MIN(ROUNDDOWN(W273/200,0),12)</f>
        <v>12</v>
      </c>
      <c r="P273" s="106" t="b">
        <v>1</v>
      </c>
      <c r="Q273" s="106" t="b">
        <v>0</v>
      </c>
      <c r="R273" s="106" t="b">
        <v>0</v>
      </c>
      <c r="S273" s="106" t="b">
        <v>1</v>
      </c>
      <c r="T273" s="106" t="b">
        <v>0</v>
      </c>
      <c r="U273" s="106"/>
      <c r="V273" s="106"/>
      <c r="W273" s="191">
        <v>10000</v>
      </c>
      <c r="X273" s="1670" t="s">
        <v>5645</v>
      </c>
      <c r="Z273"/>
      <c r="AB273"/>
      <c r="AC273" s="151" t="b">
        <f>OR(AD273:AE273)</f>
        <v>0</v>
      </c>
      <c r="AD273" s="151" t="b">
        <v>0</v>
      </c>
      <c r="AE273" s="1" t="b">
        <f>AND(W273&gt;0,LEN(X273)=0)</f>
        <v>0</v>
      </c>
      <c r="AF273"/>
      <c r="AG273"/>
      <c r="AH273"/>
      <c r="AI273"/>
      <c r="AJ273"/>
      <c r="AK273"/>
      <c r="AL273" s="1352" t="str">
        <f>SUBSTITUTE(SUBSTITUTE(SUBSTITUTE("dpa"&amp;$B273&amp;$C273&amp;$D273&amp;$E273&amp;$F273,".","_"),"(","_"),")","")</f>
        <v>dpa603_1</v>
      </c>
      <c r="AM273" s="1352" t="str">
        <f>M273</f>
        <v>1
12 Max</v>
      </c>
      <c r="AN273" s="1352" t="str">
        <f>SUBSTITUTE(SUBSTITUTE(SUBSTITUTE("dpc"&amp;$B273&amp;$C273&amp;$D273&amp;$E273&amp;$F273,".","_"),"(","_"),")","")</f>
        <v>dpc603_1</v>
      </c>
      <c r="AO273" s="1352">
        <f>O273</f>
        <v>12</v>
      </c>
      <c r="AP273" s="1352" t="str">
        <f>SUBSTITUTE(SUBSTITUTE(SUBSTITUTE("dch"&amp;$B273&amp;$C273&amp;$D273&amp;$E273&amp;$F273,".","_"),"(","_"),")","")</f>
        <v>dch603_1</v>
      </c>
      <c r="AQ273" s="1352">
        <f>IF(LEN(W273)=0,"",W273)</f>
        <v>10000</v>
      </c>
      <c r="AR273" s="1352" t="str">
        <f>SUBSTITUTE(SUBSTITUTE(SUBSTITUTE("dnt"&amp;$B273&amp;$C273&amp;$D273&amp;$E273&amp;$F273,".","_"),"(","_"),")","")</f>
        <v>dnt603_1</v>
      </c>
      <c r="AS273" s="1352" t="str">
        <f>IF(LEN(X273)=0,"",X273)</f>
        <v>framing, foundation, walls, floors</v>
      </c>
    </row>
    <row r="274" spans="1:52" x14ac:dyDescent="0.2">
      <c r="B274" s="79">
        <v>603.1</v>
      </c>
      <c r="C274" s="23"/>
      <c r="D274" s="23"/>
      <c r="E274" s="23"/>
      <c r="F274" s="691"/>
      <c r="G274" s="23"/>
      <c r="H274" s="691"/>
      <c r="I274" s="130"/>
      <c r="J274" s="129"/>
      <c r="K274" s="97"/>
      <c r="L274" s="1629"/>
      <c r="M274" s="1692"/>
      <c r="N274" s="129"/>
      <c r="O274" s="1619"/>
      <c r="P274" s="96"/>
      <c r="Q274" s="96"/>
      <c r="R274" s="96"/>
      <c r="S274" s="96"/>
      <c r="T274" s="96"/>
      <c r="U274" s="96"/>
      <c r="V274" s="96"/>
      <c r="W274" s="96"/>
      <c r="X274" s="1632"/>
      <c r="Z274"/>
      <c r="AB274"/>
      <c r="AC274"/>
      <c r="AD274"/>
      <c r="AE274"/>
      <c r="AF274"/>
      <c r="AG274"/>
      <c r="AH274"/>
      <c r="AI274"/>
      <c r="AJ274"/>
      <c r="AK274"/>
    </row>
    <row r="275" spans="1:52" ht="17" x14ac:dyDescent="0.2">
      <c r="B275" s="79">
        <v>603.1</v>
      </c>
      <c r="C275" s="23"/>
      <c r="D275" s="23"/>
      <c r="E275" s="23"/>
      <c r="F275" s="691"/>
      <c r="G275" s="23"/>
      <c r="H275" s="691"/>
      <c r="I275" s="130"/>
      <c r="J275" s="129"/>
      <c r="K275" s="97"/>
      <c r="L275" s="297" t="s">
        <v>542</v>
      </c>
      <c r="M275" s="1692"/>
      <c r="N275" s="129"/>
      <c r="O275" s="1619"/>
      <c r="P275" s="96"/>
      <c r="Q275" s="96"/>
      <c r="R275" s="96"/>
      <c r="S275" s="96"/>
      <c r="T275" s="96"/>
      <c r="U275" s="96"/>
      <c r="V275" s="96"/>
      <c r="W275" s="96"/>
      <c r="X275" s="1632"/>
      <c r="Z275"/>
      <c r="AB275"/>
      <c r="AC275"/>
      <c r="AD275"/>
      <c r="AE275"/>
      <c r="AF275"/>
      <c r="AG275"/>
      <c r="AH275"/>
      <c r="AI275"/>
      <c r="AJ275"/>
      <c r="AK275"/>
    </row>
    <row r="276" spans="1:52" x14ac:dyDescent="0.2">
      <c r="B276" s="79">
        <v>603.1</v>
      </c>
      <c r="C276" s="23"/>
      <c r="D276" s="23"/>
      <c r="E276" s="23"/>
      <c r="F276" s="691"/>
      <c r="G276" s="23"/>
      <c r="H276" s="691"/>
      <c r="I276" s="130"/>
      <c r="J276" s="129"/>
      <c r="K276" s="97"/>
      <c r="L276" s="1689" t="s">
        <v>3812</v>
      </c>
      <c r="M276" s="1692"/>
      <c r="N276" s="129"/>
      <c r="O276" s="1619"/>
      <c r="P276" s="96"/>
      <c r="Q276" s="96"/>
      <c r="R276" s="96"/>
      <c r="S276" s="96"/>
      <c r="T276" s="96"/>
      <c r="U276" s="96"/>
      <c r="V276" s="96"/>
      <c r="W276" s="96"/>
      <c r="X276" s="1632"/>
      <c r="Z276" s="151"/>
      <c r="AB276" s="151"/>
      <c r="AC276" s="151"/>
      <c r="AD276" s="151"/>
      <c r="AE276" s="151"/>
      <c r="AF276" s="151"/>
      <c r="AG276" s="151"/>
      <c r="AH276" s="151"/>
      <c r="AI276" s="151"/>
      <c r="AJ276" s="151"/>
      <c r="AK276" s="151"/>
      <c r="AT276" s="151"/>
    </row>
    <row r="277" spans="1:52" s="151" customFormat="1" x14ac:dyDescent="0.2">
      <c r="A277" s="20"/>
      <c r="B277" s="79">
        <v>603.1</v>
      </c>
      <c r="C277" s="23"/>
      <c r="D277" s="23"/>
      <c r="E277" s="23"/>
      <c r="F277" s="691"/>
      <c r="G277" s="23"/>
      <c r="H277" s="691"/>
      <c r="I277" s="130"/>
      <c r="J277" s="129"/>
      <c r="K277" s="97"/>
      <c r="L277" s="1690"/>
      <c r="M277" s="1692"/>
      <c r="N277" s="129"/>
      <c r="O277" s="1619"/>
      <c r="P277" s="96"/>
      <c r="Q277" s="96"/>
      <c r="R277" s="96"/>
      <c r="S277" s="96"/>
      <c r="T277" s="96"/>
      <c r="U277" s="96"/>
      <c r="V277" s="96"/>
      <c r="W277" s="96"/>
      <c r="X277" s="1632"/>
      <c r="Y277" s="704"/>
      <c r="AA277" s="707"/>
      <c r="AL277" s="66"/>
      <c r="AM277" s="66"/>
      <c r="AN277" s="66"/>
      <c r="AO277" s="66"/>
      <c r="AP277" s="66"/>
      <c r="AQ277" s="66"/>
      <c r="AR277" s="66"/>
      <c r="AS277" s="66"/>
      <c r="AX277" s="66"/>
      <c r="AY277" s="66"/>
      <c r="AZ277" s="66"/>
    </row>
    <row r="278" spans="1:52" s="151" customFormat="1" ht="16" thickBot="1" x14ac:dyDescent="0.25">
      <c r="A278" s="20"/>
      <c r="B278" s="79">
        <v>603.1</v>
      </c>
      <c r="C278" s="23"/>
      <c r="D278" s="23"/>
      <c r="E278" s="23"/>
      <c r="F278" s="691"/>
      <c r="G278" s="23"/>
      <c r="H278" s="691"/>
      <c r="I278" s="130"/>
      <c r="J278" s="129"/>
      <c r="K278" s="97"/>
      <c r="L278" s="1690"/>
      <c r="M278" s="1692"/>
      <c r="N278" s="129"/>
      <c r="O278" s="1619"/>
      <c r="P278" s="96"/>
      <c r="Q278" s="96"/>
      <c r="R278" s="96"/>
      <c r="S278" s="96"/>
      <c r="T278" s="96"/>
      <c r="U278" s="96"/>
      <c r="V278" s="96"/>
      <c r="W278" s="96"/>
      <c r="X278" s="1632"/>
      <c r="Y278" s="704"/>
      <c r="AA278" s="707"/>
      <c r="AL278" s="66"/>
      <c r="AM278" s="66"/>
      <c r="AN278" s="66"/>
      <c r="AO278" s="66"/>
      <c r="AP278" s="66"/>
      <c r="AQ278" s="66"/>
      <c r="AR278" s="66"/>
      <c r="AS278" s="66"/>
      <c r="AX278" s="66"/>
      <c r="AY278" s="66"/>
      <c r="AZ278" s="66"/>
    </row>
    <row r="279" spans="1:52" s="151" customFormat="1" ht="16" thickTop="1" x14ac:dyDescent="0.2">
      <c r="A279" s="20"/>
      <c r="B279" s="79">
        <v>603.20000000000005</v>
      </c>
      <c r="C279" s="23"/>
      <c r="D279" s="23"/>
      <c r="E279" s="23"/>
      <c r="F279" s="691"/>
      <c r="G279" s="23"/>
      <c r="H279" s="691"/>
      <c r="I279" s="177" t="s">
        <v>3564</v>
      </c>
      <c r="J279" s="178"/>
      <c r="K279" s="179"/>
      <c r="L279" s="1683" t="s">
        <v>3605</v>
      </c>
      <c r="M279" s="1691" t="s">
        <v>2604</v>
      </c>
      <c r="N279" s="178"/>
      <c r="O279" s="1682">
        <f>MIN(9,ROUNDDOWN(W279/0.01,0))</f>
        <v>0</v>
      </c>
      <c r="P279" s="106" t="b">
        <v>1</v>
      </c>
      <c r="Q279" s="106" t="b">
        <v>1</v>
      </c>
      <c r="R279" s="106" t="b">
        <v>0</v>
      </c>
      <c r="S279" s="106" t="b">
        <v>1</v>
      </c>
      <c r="T279" s="106" t="b">
        <v>0</v>
      </c>
      <c r="U279" s="106"/>
      <c r="V279" s="106"/>
      <c r="W279" s="197"/>
      <c r="X279" s="1603"/>
      <c r="Y279" s="704"/>
      <c r="Z279"/>
      <c r="AA279" s="707"/>
      <c r="AB279"/>
      <c r="AC279" s="151" t="b">
        <f>OR(AD279:AE279)</f>
        <v>0</v>
      </c>
      <c r="AD279" s="151" t="b">
        <v>0</v>
      </c>
      <c r="AE279" s="1" t="b">
        <f>AND(W279&gt;0,LEN(X279)=0)</f>
        <v>0</v>
      </c>
      <c r="AF279"/>
      <c r="AG279"/>
      <c r="AH279"/>
      <c r="AI279"/>
      <c r="AJ279"/>
      <c r="AK279"/>
      <c r="AL279" s="1352" t="str">
        <f>SUBSTITUTE(SUBSTITUTE(SUBSTITUTE("dpa"&amp;$B279&amp;$C279&amp;$D279&amp;$E279&amp;$F279,".","_"),"(","_"),")","")</f>
        <v>dpa603_2</v>
      </c>
      <c r="AM279" s="1352" t="str">
        <f>M279</f>
        <v>1
9 Max</v>
      </c>
      <c r="AN279" s="1352" t="str">
        <f>SUBSTITUTE(SUBSTITUTE(SUBSTITUTE("dpc"&amp;$B279&amp;$C279&amp;$D279&amp;$E279&amp;$F279,".","_"),"(","_"),")","")</f>
        <v>dpc603_2</v>
      </c>
      <c r="AO279" s="1352">
        <f>O279</f>
        <v>0</v>
      </c>
      <c r="AP279" s="1352" t="str">
        <f>SUBSTITUTE(SUBSTITUTE(SUBSTITUTE("dch"&amp;$B279&amp;$C279&amp;$D279&amp;$E279&amp;$F279,".","_"),"(","_"),")","")</f>
        <v>dch603_2</v>
      </c>
      <c r="AQ279" s="1352" t="str">
        <f>IF(LEN(W279)=0,"",W279)</f>
        <v/>
      </c>
      <c r="AR279" s="1352" t="str">
        <f>SUBSTITUTE(SUBSTITUTE(SUBSTITUTE("dnt"&amp;$B279&amp;$C279&amp;$D279&amp;$E279&amp;$F279,".","_"),"(","_"),")","")</f>
        <v>dnt603_2</v>
      </c>
      <c r="AS279" s="1352" t="str">
        <f>IF(LEN(X279)=0,"",X279)</f>
        <v/>
      </c>
      <c r="AT279" s="66"/>
    </row>
    <row r="280" spans="1:52" x14ac:dyDescent="0.2">
      <c r="B280" s="79">
        <v>603.20000000000005</v>
      </c>
      <c r="C280" s="23"/>
      <c r="D280" s="23"/>
      <c r="E280" s="23"/>
      <c r="F280" s="691"/>
      <c r="G280" s="23"/>
      <c r="H280" s="691"/>
      <c r="I280" s="130"/>
      <c r="J280" s="129"/>
      <c r="K280" s="97"/>
      <c r="L280" s="1629"/>
      <c r="M280" s="1692"/>
      <c r="N280" s="129"/>
      <c r="O280" s="1619"/>
      <c r="P280" s="96"/>
      <c r="Q280" s="96"/>
      <c r="R280" s="96"/>
      <c r="S280" s="96"/>
      <c r="T280" s="96"/>
      <c r="U280" s="96"/>
      <c r="V280" s="96"/>
      <c r="W280" s="96"/>
      <c r="X280" s="1601"/>
      <c r="Z280"/>
      <c r="AB280"/>
      <c r="AC280"/>
      <c r="AD280"/>
      <c r="AE280"/>
      <c r="AF280"/>
      <c r="AG280"/>
      <c r="AH280"/>
      <c r="AI280"/>
      <c r="AJ280"/>
      <c r="AK280"/>
      <c r="AX280" s="151"/>
      <c r="AY280" s="151"/>
      <c r="AZ280" s="151"/>
    </row>
    <row r="281" spans="1:52" x14ac:dyDescent="0.2">
      <c r="B281" s="79">
        <v>603.20000000000005</v>
      </c>
      <c r="C281" s="23"/>
      <c r="D281" s="23"/>
      <c r="E281" s="23"/>
      <c r="F281" s="691"/>
      <c r="G281" s="23"/>
      <c r="H281" s="691"/>
      <c r="I281" s="130"/>
      <c r="J281" s="129"/>
      <c r="K281" s="97"/>
      <c r="L281" s="1629"/>
      <c r="M281" s="1692"/>
      <c r="N281" s="129"/>
      <c r="O281" s="1619"/>
      <c r="P281" s="96"/>
      <c r="Q281" s="96"/>
      <c r="R281" s="96"/>
      <c r="S281" s="96"/>
      <c r="T281" s="96"/>
      <c r="U281" s="96"/>
      <c r="V281" s="96"/>
      <c r="W281" s="96"/>
      <c r="X281" s="1601"/>
      <c r="Z281"/>
      <c r="AB281"/>
      <c r="AC281"/>
      <c r="AD281"/>
      <c r="AE281"/>
      <c r="AF281"/>
      <c r="AG281"/>
      <c r="AH281"/>
      <c r="AI281"/>
      <c r="AJ281"/>
      <c r="AK281"/>
      <c r="AX281" s="151"/>
      <c r="AY281" s="151"/>
      <c r="AZ281" s="151"/>
    </row>
    <row r="282" spans="1:52" ht="15" customHeight="1" x14ac:dyDescent="0.2">
      <c r="B282" s="79">
        <v>603.20000000000005</v>
      </c>
      <c r="C282" s="23"/>
      <c r="D282" s="23"/>
      <c r="E282" s="23"/>
      <c r="F282" s="691"/>
      <c r="G282" s="23"/>
      <c r="H282" s="691"/>
      <c r="I282" s="130"/>
      <c r="J282" s="129"/>
      <c r="K282" s="97"/>
      <c r="L282" s="196" t="s">
        <v>2605</v>
      </c>
      <c r="M282" s="1692"/>
      <c r="N282" s="129"/>
      <c r="O282" s="1619"/>
      <c r="P282" s="96"/>
      <c r="Q282" s="96"/>
      <c r="R282" s="96"/>
      <c r="S282" s="96"/>
      <c r="T282" s="96"/>
      <c r="U282" s="96"/>
      <c r="V282" s="96"/>
      <c r="W282" s="96"/>
      <c r="X282" s="1601"/>
      <c r="Z282"/>
      <c r="AB282"/>
      <c r="AC282"/>
      <c r="AD282"/>
      <c r="AE282"/>
      <c r="AF282"/>
      <c r="AG282"/>
      <c r="AH282"/>
      <c r="AI282"/>
      <c r="AJ282"/>
      <c r="AK282"/>
    </row>
    <row r="283" spans="1:52" ht="15" customHeight="1" x14ac:dyDescent="0.2">
      <c r="B283" s="79">
        <v>603.20000000000005</v>
      </c>
      <c r="C283" s="23"/>
      <c r="D283" s="23"/>
      <c r="E283" s="23"/>
      <c r="F283" s="691"/>
      <c r="G283" s="23"/>
      <c r="H283" s="691"/>
      <c r="I283" s="130"/>
      <c r="J283" s="129"/>
      <c r="K283" s="97"/>
      <c r="L283" s="1689" t="s">
        <v>3812</v>
      </c>
      <c r="M283" s="1692"/>
      <c r="N283" s="129"/>
      <c r="O283" s="1619"/>
      <c r="P283" s="96"/>
      <c r="Q283" s="96"/>
      <c r="R283" s="96"/>
      <c r="S283" s="96"/>
      <c r="T283" s="96"/>
      <c r="U283" s="96"/>
      <c r="V283" s="96"/>
      <c r="W283" s="96"/>
      <c r="X283" s="1601"/>
      <c r="Z283" s="151"/>
      <c r="AB283" s="151"/>
      <c r="AC283" s="151"/>
      <c r="AD283" s="151"/>
      <c r="AE283" s="151"/>
      <c r="AF283" s="151"/>
      <c r="AG283" s="151"/>
      <c r="AH283" s="151"/>
      <c r="AI283" s="151"/>
      <c r="AJ283" s="151"/>
      <c r="AK283" s="151"/>
      <c r="AT283" s="151"/>
    </row>
    <row r="284" spans="1:52" s="151" customFormat="1" x14ac:dyDescent="0.2">
      <c r="A284" s="20"/>
      <c r="B284" s="79">
        <v>603.20000000000005</v>
      </c>
      <c r="C284" s="23"/>
      <c r="D284" s="23"/>
      <c r="E284" s="23"/>
      <c r="F284" s="691"/>
      <c r="G284" s="23"/>
      <c r="H284" s="691"/>
      <c r="I284" s="130"/>
      <c r="J284" s="129"/>
      <c r="K284" s="97"/>
      <c r="L284" s="1690"/>
      <c r="M284" s="1692"/>
      <c r="N284" s="129"/>
      <c r="O284" s="1619"/>
      <c r="P284" s="96"/>
      <c r="Q284" s="96"/>
      <c r="R284" s="96"/>
      <c r="S284" s="96"/>
      <c r="T284" s="96"/>
      <c r="U284" s="96"/>
      <c r="V284" s="96"/>
      <c r="W284" s="96"/>
      <c r="X284" s="1601"/>
      <c r="Y284" s="704"/>
      <c r="AA284" s="707"/>
      <c r="AL284" s="66"/>
      <c r="AM284" s="66"/>
      <c r="AN284" s="66"/>
      <c r="AO284" s="66"/>
      <c r="AP284" s="66"/>
      <c r="AQ284" s="66"/>
      <c r="AR284" s="66"/>
      <c r="AS284" s="66"/>
      <c r="AX284" s="66"/>
      <c r="AY284" s="66"/>
      <c r="AZ284" s="66"/>
    </row>
    <row r="285" spans="1:52" s="151" customFormat="1" ht="16" thickBot="1" x14ac:dyDescent="0.25">
      <c r="A285" s="20"/>
      <c r="B285" s="79">
        <v>603.20000000000005</v>
      </c>
      <c r="C285" s="23"/>
      <c r="D285" s="23"/>
      <c r="E285" s="23"/>
      <c r="F285" s="691"/>
      <c r="G285" s="23"/>
      <c r="H285" s="691"/>
      <c r="I285" s="130"/>
      <c r="J285" s="129"/>
      <c r="K285" s="97"/>
      <c r="L285" s="1690"/>
      <c r="M285" s="1692"/>
      <c r="N285" s="129"/>
      <c r="O285" s="1619"/>
      <c r="P285" s="96"/>
      <c r="Q285" s="96"/>
      <c r="R285" s="96"/>
      <c r="S285" s="96"/>
      <c r="T285" s="96"/>
      <c r="U285" s="96"/>
      <c r="V285" s="96"/>
      <c r="W285" s="113"/>
      <c r="X285" s="1621"/>
      <c r="Y285" s="704"/>
      <c r="Z285"/>
      <c r="AA285" s="707"/>
      <c r="AB285"/>
      <c r="AC285"/>
      <c r="AD285"/>
      <c r="AE285"/>
      <c r="AF285"/>
      <c r="AG285"/>
      <c r="AH285"/>
      <c r="AI285"/>
      <c r="AJ285"/>
      <c r="AK285"/>
      <c r="AL285" s="66"/>
      <c r="AM285" s="66"/>
      <c r="AN285" s="66"/>
      <c r="AO285" s="66"/>
      <c r="AP285" s="66"/>
      <c r="AQ285" s="66"/>
      <c r="AR285" s="66"/>
      <c r="AS285" s="66"/>
      <c r="AT285" s="66"/>
      <c r="AX285" s="66"/>
      <c r="AY285" s="66"/>
      <c r="AZ285" s="66"/>
    </row>
    <row r="286" spans="1:52" ht="16" thickTop="1" x14ac:dyDescent="0.2">
      <c r="B286" s="79">
        <v>603.29999999999995</v>
      </c>
      <c r="C286" s="23"/>
      <c r="D286" s="23"/>
      <c r="E286" s="23"/>
      <c r="F286" s="691"/>
      <c r="G286" s="23"/>
      <c r="H286" s="691"/>
      <c r="I286" s="177" t="s">
        <v>3565</v>
      </c>
      <c r="J286" s="178"/>
      <c r="K286" s="179"/>
      <c r="L286" s="1683" t="s">
        <v>3604</v>
      </c>
      <c r="M286" s="1685">
        <v>4</v>
      </c>
      <c r="N286" s="178"/>
      <c r="O286" s="1682">
        <f>M286*S286*W286</f>
        <v>0</v>
      </c>
      <c r="P286" s="106" t="b">
        <v>1</v>
      </c>
      <c r="Q286" s="106" t="b">
        <v>1</v>
      </c>
      <c r="R286" s="106" t="b">
        <v>0</v>
      </c>
      <c r="S286" s="106" t="b">
        <v>1</v>
      </c>
      <c r="T286" s="106" t="b">
        <v>0</v>
      </c>
      <c r="U286" s="106"/>
      <c r="V286" s="106"/>
      <c r="W286" s="119"/>
      <c r="X286" s="1603"/>
      <c r="Z286"/>
      <c r="AB286"/>
      <c r="AC286" s="151" t="b">
        <f>OR(AD286:AE286)</f>
        <v>0</v>
      </c>
      <c r="AD286" s="151" t="b">
        <v>0</v>
      </c>
      <c r="AE286" s="1" t="b">
        <f>AND(W286=TRUE,LEN(X286)=0)</f>
        <v>0</v>
      </c>
      <c r="AF286"/>
      <c r="AG286"/>
      <c r="AH286"/>
      <c r="AI286"/>
      <c r="AJ286"/>
      <c r="AK286"/>
      <c r="AL286" s="1352" t="str">
        <f>SUBSTITUTE(SUBSTITUTE(SUBSTITUTE("dpa"&amp;$B286&amp;$C286&amp;$D286&amp;$E286&amp;$F286,".","_"),"(","_"),")","")</f>
        <v>dpa603_3</v>
      </c>
      <c r="AM286" s="1352">
        <f>M286</f>
        <v>4</v>
      </c>
      <c r="AN286" s="1352" t="str">
        <f>SUBSTITUTE(SUBSTITUTE(SUBSTITUTE("dpc"&amp;$B286&amp;$C286&amp;$D286&amp;$E286&amp;$F286,".","_"),"(","_"),")","")</f>
        <v>dpc603_3</v>
      </c>
      <c r="AO286" s="1352">
        <f>O286</f>
        <v>0</v>
      </c>
      <c r="AP286" s="1352" t="str">
        <f>SUBSTITUTE(SUBSTITUTE(SUBSTITUTE("dch"&amp;$B286&amp;$C286&amp;$D286&amp;$E286&amp;$F286,".","_"),"(","_"),")","")</f>
        <v>dch603_3</v>
      </c>
      <c r="AQ286" s="1352" t="str">
        <f>IF(LEN(W286)=0,"",W286)</f>
        <v/>
      </c>
      <c r="AR286" s="1352" t="str">
        <f>SUBSTITUTE(SUBSTITUTE(SUBSTITUTE("dnt"&amp;$B286&amp;$C286&amp;$D286&amp;$E286&amp;$F286,".","_"),"(","_"),")","")</f>
        <v>dnt603_3</v>
      </c>
      <c r="AS286" s="1352" t="str">
        <f>IF(LEN(X286)=0,"",X286)</f>
        <v/>
      </c>
      <c r="AX286" s="151"/>
      <c r="AY286" s="151"/>
      <c r="AZ286" s="151"/>
    </row>
    <row r="287" spans="1:52" ht="15" customHeight="1" x14ac:dyDescent="0.2">
      <c r="B287" s="79">
        <v>603.29999999999995</v>
      </c>
      <c r="C287" s="23"/>
      <c r="D287" s="23"/>
      <c r="E287" s="23"/>
      <c r="F287" s="691"/>
      <c r="G287" s="23"/>
      <c r="H287" s="691"/>
      <c r="I287" s="130"/>
      <c r="J287" s="129"/>
      <c r="K287" s="97"/>
      <c r="L287" s="1629"/>
      <c r="M287" s="1623"/>
      <c r="N287" s="129"/>
      <c r="O287" s="1619"/>
      <c r="P287" s="96"/>
      <c r="Q287" s="96"/>
      <c r="R287" s="96"/>
      <c r="S287" s="96"/>
      <c r="T287" s="96"/>
      <c r="U287" s="96"/>
      <c r="V287" s="96"/>
      <c r="W287" s="96"/>
      <c r="X287" s="1601"/>
      <c r="Z287" s="151"/>
      <c r="AB287" s="151"/>
      <c r="AC287" s="151"/>
      <c r="AD287" s="151"/>
      <c r="AE287" s="151"/>
      <c r="AF287" s="151"/>
      <c r="AG287" s="151"/>
      <c r="AH287" s="151"/>
      <c r="AI287" s="151"/>
      <c r="AJ287" s="151"/>
      <c r="AK287" s="151"/>
      <c r="AT287" s="151"/>
      <c r="AX287" s="151"/>
      <c r="AY287" s="151"/>
      <c r="AZ287" s="151"/>
    </row>
    <row r="288" spans="1:52" s="151" customFormat="1" ht="15" customHeight="1" x14ac:dyDescent="0.2">
      <c r="A288" s="20"/>
      <c r="B288" s="79">
        <v>603.29999999999995</v>
      </c>
      <c r="C288" s="23"/>
      <c r="D288" s="23"/>
      <c r="E288" s="23"/>
      <c r="F288" s="691"/>
      <c r="G288" s="23"/>
      <c r="H288" s="691"/>
      <c r="I288" s="130"/>
      <c r="J288" s="129"/>
      <c r="K288" s="97"/>
      <c r="L288" s="300" t="s">
        <v>2602</v>
      </c>
      <c r="M288" s="1623"/>
      <c r="N288" s="129"/>
      <c r="O288" s="1619"/>
      <c r="P288" s="96"/>
      <c r="Q288" s="96"/>
      <c r="R288" s="96"/>
      <c r="S288" s="96"/>
      <c r="T288" s="96"/>
      <c r="U288" s="96"/>
      <c r="V288" s="96"/>
      <c r="W288" s="96"/>
      <c r="X288" s="1601"/>
      <c r="Y288" s="704"/>
      <c r="AA288" s="707"/>
      <c r="AL288" s="66"/>
      <c r="AM288" s="66"/>
      <c r="AN288" s="66"/>
      <c r="AO288" s="66"/>
      <c r="AP288" s="66"/>
      <c r="AQ288" s="66"/>
      <c r="AR288" s="66"/>
      <c r="AS288" s="66"/>
      <c r="AX288" s="66"/>
      <c r="AY288" s="66"/>
      <c r="AZ288" s="66"/>
    </row>
    <row r="289" spans="1:52" s="151" customFormat="1" ht="19" x14ac:dyDescent="0.25">
      <c r="A289" s="20"/>
      <c r="B289" s="79">
        <v>604</v>
      </c>
      <c r="C289" s="23"/>
      <c r="D289" s="23"/>
      <c r="E289" s="23"/>
      <c r="F289" s="691"/>
      <c r="G289" s="23"/>
      <c r="H289" s="691"/>
      <c r="I289" s="14" t="s">
        <v>3566</v>
      </c>
      <c r="J289" s="25"/>
      <c r="K289" s="84"/>
      <c r="L289" s="233"/>
      <c r="M289" s="339"/>
      <c r="N289" s="428"/>
      <c r="O289" s="419"/>
      <c r="P289" s="25"/>
      <c r="Q289" s="25"/>
      <c r="R289" s="25"/>
      <c r="S289" s="25"/>
      <c r="T289" s="25"/>
      <c r="U289" s="25"/>
      <c r="V289" s="25"/>
      <c r="W289" s="25"/>
      <c r="X289" s="25"/>
      <c r="Y289" s="704"/>
      <c r="Z289"/>
      <c r="AA289" s="707"/>
      <c r="AB289"/>
      <c r="AC289"/>
      <c r="AD289"/>
      <c r="AE289"/>
      <c r="AF289"/>
      <c r="AG289"/>
      <c r="AH289"/>
      <c r="AI289"/>
      <c r="AJ289"/>
      <c r="AK289"/>
      <c r="AL289" s="66"/>
      <c r="AM289" s="66"/>
      <c r="AN289" s="66"/>
      <c r="AO289" s="66"/>
      <c r="AP289" s="66"/>
      <c r="AQ289" s="66"/>
      <c r="AR289" s="66"/>
      <c r="AS289" s="66"/>
      <c r="AT289" s="66"/>
      <c r="AX289" s="66"/>
      <c r="AY289" s="66"/>
      <c r="AZ289" s="66"/>
    </row>
    <row r="290" spans="1:52" x14ac:dyDescent="0.2">
      <c r="B290" s="79">
        <v>604.1</v>
      </c>
      <c r="C290" s="23" t="s">
        <v>2539</v>
      </c>
      <c r="D290" s="23"/>
      <c r="E290" s="23"/>
      <c r="F290" s="23"/>
      <c r="G290" s="23"/>
      <c r="H290" s="691"/>
      <c r="I290" s="67" t="s">
        <v>3567</v>
      </c>
      <c r="J290" s="4"/>
      <c r="K290" s="85"/>
      <c r="L290" s="1631" t="s">
        <v>3603</v>
      </c>
      <c r="M290" s="1715" t="s">
        <v>2607</v>
      </c>
      <c r="N290" s="4"/>
      <c r="O290" s="1669">
        <f>IFERROR(INDEX({0,1,2,3},MATCH(MIN(W293+0,W291+0),{0,0.25,0.5,0.75},1)),0)+IFERROR(INDEX({0,2,4,6},MATCH(MIN(W295+0,W297+0),{0,0.25,0.5,0.75},1)),0)</f>
        <v>0</v>
      </c>
      <c r="P290" s="332"/>
      <c r="Q290" s="332"/>
      <c r="U290"/>
      <c r="V290"/>
      <c r="W290" t="s">
        <v>2608</v>
      </c>
      <c r="X290" s="1621"/>
      <c r="Z290"/>
      <c r="AB290"/>
      <c r="AC290"/>
      <c r="AD290"/>
      <c r="AE290"/>
      <c r="AF290"/>
      <c r="AG290"/>
      <c r="AH290"/>
      <c r="AI290"/>
      <c r="AJ290"/>
      <c r="AK290"/>
      <c r="AL290" s="1352" t="str">
        <f>SUBSTITUTE(SUBSTITUTE(SUBSTITUTE("dpa"&amp;$B290&amp;$C290&amp;$D290&amp;$E290&amp;$F290,".","_"),"(","_"),")","")</f>
        <v>dpa604_1a</v>
      </c>
      <c r="AM290" s="1352" t="str">
        <f>M290</f>
        <v>per Table
604.1</v>
      </c>
      <c r="AN290" s="1352" t="str">
        <f>SUBSTITUTE(SUBSTITUTE(SUBSTITUTE("dpc"&amp;$B290&amp;$C290&amp;$D290&amp;$E290&amp;$F290,".","_"),"(","_"),")","")</f>
        <v>dpc604_1a</v>
      </c>
      <c r="AO290" s="1352">
        <f>O290</f>
        <v>0</v>
      </c>
      <c r="AR290" s="1352" t="str">
        <f>SUBSTITUTE(SUBSTITUTE(SUBSTITUTE("dnt"&amp;$B290&amp;$C290&amp;$D290&amp;$E290&amp;$F290,".","_"),"(","_"),")","")</f>
        <v>dnt604_1a</v>
      </c>
      <c r="AS290" s="1352" t="str">
        <f>IF(LEN(X290)=0,"",X290)</f>
        <v/>
      </c>
      <c r="AX290" s="151"/>
      <c r="AY290" s="151"/>
      <c r="AZ290" s="151"/>
    </row>
    <row r="291" spans="1:52" ht="15" customHeight="1" x14ac:dyDescent="0.2">
      <c r="B291" s="79">
        <v>604.1</v>
      </c>
      <c r="C291" s="23" t="s">
        <v>2539</v>
      </c>
      <c r="D291" s="23"/>
      <c r="E291" s="23"/>
      <c r="F291" s="23"/>
      <c r="G291" s="23"/>
      <c r="H291" s="691"/>
      <c r="I291" s="67"/>
      <c r="J291" s="4"/>
      <c r="K291" s="85"/>
      <c r="L291" s="1631"/>
      <c r="M291" s="1715"/>
      <c r="N291" s="4"/>
      <c r="O291" s="1669"/>
      <c r="P291" s="332" t="b">
        <v>1</v>
      </c>
      <c r="Q291" s="332" t="b">
        <v>1</v>
      </c>
      <c r="R291" s="126" t="b">
        <v>0</v>
      </c>
      <c r="S291" s="126" t="b">
        <v>1</v>
      </c>
      <c r="T291" s="126" t="b">
        <v>0</v>
      </c>
      <c r="U291" s="96"/>
      <c r="V291" s="151"/>
      <c r="W291" s="164"/>
      <c r="X291" s="1599"/>
      <c r="Z291" s="151"/>
      <c r="AB291" s="151"/>
      <c r="AC291" s="151" t="b">
        <f>OR(AD291:AE291)</f>
        <v>0</v>
      </c>
      <c r="AD291" s="151" t="b">
        <v>0</v>
      </c>
      <c r="AE291" s="1" t="b">
        <f>AND(W291&gt;0,LEN(X290)=0)</f>
        <v>0</v>
      </c>
      <c r="AF291" s="151"/>
      <c r="AG291" s="151"/>
      <c r="AH291" s="151"/>
      <c r="AI291" s="151"/>
      <c r="AJ291" s="151"/>
      <c r="AK291" s="151"/>
      <c r="AP291" s="1352" t="str">
        <f>SUBSTITUTE(SUBSTITUTE(SUBSTITUTE("dch"&amp;$B291&amp;$C291&amp;$D291&amp;$E291&amp;$F291,".","_"),"(","_"),")","")</f>
        <v>dch604_1a</v>
      </c>
      <c r="AQ291" s="1352" t="str">
        <f>IF(LEN(W291)=0,"",W291)</f>
        <v/>
      </c>
      <c r="AT291" s="151"/>
      <c r="AX291" s="151"/>
      <c r="AY291" s="151"/>
      <c r="AZ291" s="151"/>
    </row>
    <row r="292" spans="1:52" s="151" customFormat="1" x14ac:dyDescent="0.2">
      <c r="A292" s="20"/>
      <c r="B292" s="79">
        <v>604.1</v>
      </c>
      <c r="C292" s="23" t="s">
        <v>2540</v>
      </c>
      <c r="D292" s="23"/>
      <c r="E292" s="23"/>
      <c r="F292" s="23"/>
      <c r="G292" s="23"/>
      <c r="H292" s="691"/>
      <c r="I292" s="67"/>
      <c r="J292" s="4"/>
      <c r="K292" s="85"/>
      <c r="L292" s="302" t="s">
        <v>2614</v>
      </c>
      <c r="M292" s="1715"/>
      <c r="N292" s="4"/>
      <c r="O292" s="1669"/>
      <c r="P292" s="332"/>
      <c r="Q292" s="332"/>
      <c r="W292" s="151" t="s">
        <v>2609</v>
      </c>
      <c r="X292" s="1600"/>
      <c r="Y292" s="704"/>
      <c r="AA292" s="707"/>
      <c r="AL292" s="66"/>
      <c r="AM292" s="66"/>
      <c r="AN292" s="66"/>
      <c r="AO292" s="66"/>
      <c r="AP292" s="66"/>
      <c r="AQ292" s="66"/>
      <c r="AR292" s="1352" t="str">
        <f>SUBSTITUTE(SUBSTITUTE(SUBSTITUTE("dnt"&amp;$B292&amp;$C292&amp;$D292&amp;$E292&amp;$F292,".","_"),"(","_"),")","")</f>
        <v>dnt604_1b</v>
      </c>
      <c r="AS292" s="1352" t="str">
        <f>IF(LEN(X292)=0,"",X292)</f>
        <v/>
      </c>
      <c r="AX292" s="66"/>
      <c r="AY292" s="66"/>
      <c r="AZ292" s="66"/>
    </row>
    <row r="293" spans="1:52" s="151" customFormat="1" x14ac:dyDescent="0.2">
      <c r="A293" s="20"/>
      <c r="B293" s="79">
        <v>604.1</v>
      </c>
      <c r="C293" s="23" t="s">
        <v>2540</v>
      </c>
      <c r="D293" s="23"/>
      <c r="E293" s="23"/>
      <c r="F293" s="23"/>
      <c r="G293" s="23"/>
      <c r="H293" s="691"/>
      <c r="I293" s="67"/>
      <c r="J293" s="4"/>
      <c r="K293" s="85"/>
      <c r="L293" s="281" t="s">
        <v>3918</v>
      </c>
      <c r="M293" s="1715"/>
      <c r="N293" s="4"/>
      <c r="O293" s="1669"/>
      <c r="P293" s="332" t="b">
        <v>1</v>
      </c>
      <c r="Q293" s="332" t="b">
        <v>1</v>
      </c>
      <c r="R293" s="151" t="b">
        <v>0</v>
      </c>
      <c r="S293" s="151" t="b">
        <v>1</v>
      </c>
      <c r="T293" s="151" t="b">
        <v>0</v>
      </c>
      <c r="U293" s="96"/>
      <c r="W293" s="164"/>
      <c r="X293" s="1600"/>
      <c r="Y293" s="704"/>
      <c r="AA293" s="707"/>
      <c r="AC293" s="151" t="b">
        <f>OR(AD293:AE293)</f>
        <v>0</v>
      </c>
      <c r="AD293" s="151" t="b">
        <v>0</v>
      </c>
      <c r="AE293" s="1" t="b">
        <f>AND(W293&gt;0,LEN(X292)=0)</f>
        <v>0</v>
      </c>
      <c r="AL293" s="66"/>
      <c r="AM293" s="66"/>
      <c r="AN293" s="66"/>
      <c r="AO293" s="66"/>
      <c r="AP293" s="1352" t="str">
        <f>SUBSTITUTE(SUBSTITUTE(SUBSTITUTE("dch"&amp;$B293&amp;$C293&amp;$D293&amp;$E293&amp;$F293,".","_"),"(","_"),")","")</f>
        <v>dch604_1b</v>
      </c>
      <c r="AQ293" s="1352" t="str">
        <f>IF(LEN(W293)=0,"",W293)</f>
        <v/>
      </c>
      <c r="AR293" s="66"/>
      <c r="AS293" s="66"/>
      <c r="AX293" s="66"/>
      <c r="AY293" s="66"/>
      <c r="AZ293" s="66"/>
    </row>
    <row r="294" spans="1:52" s="151" customFormat="1" x14ac:dyDescent="0.2">
      <c r="A294" s="20"/>
      <c r="B294" s="79">
        <v>604.1</v>
      </c>
      <c r="C294" s="23" t="s">
        <v>2541</v>
      </c>
      <c r="D294" s="23"/>
      <c r="E294" s="23"/>
      <c r="F294" s="23"/>
      <c r="G294" s="23"/>
      <c r="H294" s="691"/>
      <c r="I294" s="67"/>
      <c r="J294" s="4"/>
      <c r="K294" s="85"/>
      <c r="L294" s="1718" t="s">
        <v>2613</v>
      </c>
      <c r="M294" s="1715"/>
      <c r="N294" s="4"/>
      <c r="O294" s="1669"/>
      <c r="P294" s="332"/>
      <c r="Q294" s="332"/>
      <c r="W294" s="151" t="s">
        <v>2611</v>
      </c>
      <c r="X294" s="1600"/>
      <c r="Y294" s="704"/>
      <c r="AA294" s="707"/>
      <c r="AL294" s="66"/>
      <c r="AM294" s="66"/>
      <c r="AN294" s="66"/>
      <c r="AO294" s="66"/>
      <c r="AP294" s="66"/>
      <c r="AQ294" s="66"/>
      <c r="AR294" s="1352" t="str">
        <f>SUBSTITUTE(SUBSTITUTE(SUBSTITUTE("dnt"&amp;$B294&amp;$C294&amp;$D294&amp;$E294&amp;$F294,".","_"),"(","_"),")","")</f>
        <v>dnt604_1c</v>
      </c>
      <c r="AS294" s="1352" t="str">
        <f>IF(LEN(X294)=0,"",X294)</f>
        <v/>
      </c>
    </row>
    <row r="295" spans="1:52" s="151" customFormat="1" x14ac:dyDescent="0.2">
      <c r="A295" s="20"/>
      <c r="B295" s="79">
        <v>604.1</v>
      </c>
      <c r="C295" s="23" t="s">
        <v>2541</v>
      </c>
      <c r="D295" s="23"/>
      <c r="E295" s="23"/>
      <c r="F295" s="23"/>
      <c r="G295" s="23"/>
      <c r="H295" s="691"/>
      <c r="I295" s="67"/>
      <c r="J295" s="4"/>
      <c r="K295" s="85"/>
      <c r="L295" s="1718"/>
      <c r="M295" s="1715"/>
      <c r="N295" s="4"/>
      <c r="O295" s="1669"/>
      <c r="P295" s="332" t="b">
        <v>1</v>
      </c>
      <c r="Q295" s="332" t="b">
        <v>1</v>
      </c>
      <c r="R295" s="151" t="b">
        <v>0</v>
      </c>
      <c r="S295" s="151" t="b">
        <v>1</v>
      </c>
      <c r="T295" s="151" t="b">
        <v>0</v>
      </c>
      <c r="U295" s="96"/>
      <c r="W295" s="164"/>
      <c r="X295" s="1600"/>
      <c r="Y295" s="704"/>
      <c r="AA295" s="707"/>
      <c r="AC295" s="151" t="b">
        <f>OR(AD295:AE295)</f>
        <v>0</v>
      </c>
      <c r="AD295" s="151" t="b">
        <v>0</v>
      </c>
      <c r="AE295" s="1" t="b">
        <f>AND(W295&gt;0,LEN(X294)=0)</f>
        <v>0</v>
      </c>
      <c r="AL295" s="66"/>
      <c r="AM295" s="66"/>
      <c r="AN295" s="66"/>
      <c r="AO295" s="66"/>
      <c r="AP295" s="1352" t="str">
        <f>SUBSTITUTE(SUBSTITUTE(SUBSTITUTE("dch"&amp;$B295&amp;$C295&amp;$D295&amp;$E295&amp;$F295,".","_"),"(","_"),")","")</f>
        <v>dch604_1c</v>
      </c>
      <c r="AQ295" s="1352" t="str">
        <f>IF(LEN(W295)=0,"",W295)</f>
        <v/>
      </c>
      <c r="AR295" s="66"/>
      <c r="AS295" s="66"/>
    </row>
    <row r="296" spans="1:52" s="151" customFormat="1" x14ac:dyDescent="0.2">
      <c r="A296" s="20"/>
      <c r="B296" s="79">
        <v>604.1</v>
      </c>
      <c r="C296" s="23" t="s">
        <v>2542</v>
      </c>
      <c r="D296" s="23"/>
      <c r="E296" s="23"/>
      <c r="F296" s="23"/>
      <c r="G296" s="23"/>
      <c r="H296" s="691"/>
      <c r="I296" s="67"/>
      <c r="J296" s="4"/>
      <c r="K296" s="85"/>
      <c r="L296" s="298"/>
      <c r="M296" s="1715"/>
      <c r="N296" s="4"/>
      <c r="O296" s="1669"/>
      <c r="P296" s="332"/>
      <c r="Q296" s="332"/>
      <c r="W296" s="151" t="s">
        <v>2610</v>
      </c>
      <c r="X296" s="1600"/>
      <c r="Y296" s="704"/>
      <c r="AA296" s="707"/>
      <c r="AL296" s="66"/>
      <c r="AM296" s="66"/>
      <c r="AN296" s="66"/>
      <c r="AO296" s="66"/>
      <c r="AP296" s="66"/>
      <c r="AQ296" s="66"/>
      <c r="AR296" s="1352" t="str">
        <f>SUBSTITUTE(SUBSTITUTE(SUBSTITUTE("dnt"&amp;$B296&amp;$C296&amp;$D296&amp;$E296&amp;$F296,".","_"),"(","_"),")","")</f>
        <v>dnt604_1d</v>
      </c>
      <c r="AS296" s="1352" t="str">
        <f>IF(LEN(X296)=0,"",X296)</f>
        <v/>
      </c>
    </row>
    <row r="297" spans="1:52" s="151" customFormat="1" x14ac:dyDescent="0.2">
      <c r="A297" s="20"/>
      <c r="B297" s="79">
        <v>604.1</v>
      </c>
      <c r="C297" s="23" t="s">
        <v>2542</v>
      </c>
      <c r="D297" s="23"/>
      <c r="E297" s="23"/>
      <c r="F297" s="23"/>
      <c r="G297" s="23"/>
      <c r="H297" s="691"/>
      <c r="I297" s="67"/>
      <c r="J297" s="4"/>
      <c r="K297" s="85"/>
      <c r="L297" s="298"/>
      <c r="M297" s="1715"/>
      <c r="N297" s="4"/>
      <c r="O297" s="1669"/>
      <c r="P297" s="332" t="b">
        <v>1</v>
      </c>
      <c r="Q297" s="332" t="b">
        <v>1</v>
      </c>
      <c r="R297" s="151" t="b">
        <v>0</v>
      </c>
      <c r="S297" s="151" t="b">
        <v>1</v>
      </c>
      <c r="T297" s="151" t="b">
        <v>0</v>
      </c>
      <c r="U297" s="96"/>
      <c r="W297" s="164"/>
      <c r="X297" s="1600"/>
      <c r="Y297" s="704"/>
      <c r="AA297" s="707"/>
      <c r="AC297" s="151" t="b">
        <f>OR(AD297:AE297)</f>
        <v>0</v>
      </c>
      <c r="AD297" s="151" t="b">
        <v>0</v>
      </c>
      <c r="AE297" s="1" t="b">
        <f>AND(W297&gt;0,LEN(X296)=0)</f>
        <v>0</v>
      </c>
      <c r="AL297" s="66"/>
      <c r="AM297" s="66"/>
      <c r="AN297" s="66"/>
      <c r="AO297" s="66"/>
      <c r="AP297" s="1352" t="str">
        <f>SUBSTITUTE(SUBSTITUTE(SUBSTITUTE("dch"&amp;$B297&amp;$C297&amp;$D297&amp;$E297&amp;$F297,".","_"),"(","_"),")","")</f>
        <v>dch604_1d</v>
      </c>
      <c r="AQ297" s="1352" t="str">
        <f>IF(LEN(W297)=0,"",W297)</f>
        <v/>
      </c>
      <c r="AR297" s="66"/>
      <c r="AS297" s="66"/>
    </row>
    <row r="298" spans="1:52" s="151" customFormat="1" ht="19" x14ac:dyDescent="0.25">
      <c r="A298" s="20"/>
      <c r="B298" s="79">
        <v>605</v>
      </c>
      <c r="C298" s="23"/>
      <c r="D298" s="23"/>
      <c r="E298" s="23"/>
      <c r="F298" s="23"/>
      <c r="G298" s="23"/>
      <c r="H298" s="691"/>
      <c r="I298" s="14" t="s">
        <v>3568</v>
      </c>
      <c r="J298" s="25"/>
      <c r="K298" s="84"/>
      <c r="L298" s="232"/>
      <c r="M298" s="339"/>
      <c r="N298" s="428"/>
      <c r="O298" s="419"/>
      <c r="P298" s="25"/>
      <c r="Q298" s="25"/>
      <c r="R298" s="25"/>
      <c r="S298" s="25"/>
      <c r="T298" s="25"/>
      <c r="U298" s="25"/>
      <c r="V298" s="25"/>
      <c r="W298" s="25"/>
      <c r="X298" s="25"/>
      <c r="Y298" s="704"/>
      <c r="Z298"/>
      <c r="AA298" s="707"/>
      <c r="AB298"/>
      <c r="AC298"/>
      <c r="AD298"/>
      <c r="AE298"/>
      <c r="AF298"/>
      <c r="AG298"/>
      <c r="AH298"/>
      <c r="AI298"/>
      <c r="AJ298"/>
      <c r="AK298"/>
      <c r="AL298" s="66"/>
      <c r="AM298" s="66"/>
      <c r="AN298" s="66"/>
      <c r="AO298" s="66"/>
      <c r="AP298" s="66"/>
      <c r="AQ298" s="66"/>
      <c r="AR298" s="66"/>
      <c r="AS298" s="66"/>
      <c r="AT298" s="66"/>
    </row>
    <row r="299" spans="1:52" ht="16" thickBot="1" x14ac:dyDescent="0.25">
      <c r="B299" s="79" t="s">
        <v>3211</v>
      </c>
      <c r="C299" s="23"/>
      <c r="D299" s="23"/>
      <c r="E299" s="23"/>
      <c r="F299" s="23"/>
      <c r="G299" s="23"/>
      <c r="H299" s="691"/>
      <c r="I299" s="80" t="s">
        <v>3569</v>
      </c>
      <c r="J299" s="4"/>
      <c r="K299" s="85"/>
      <c r="L299" s="826" t="s">
        <v>3985</v>
      </c>
      <c r="M299" s="374"/>
      <c r="N299" s="4"/>
      <c r="O299" s="138"/>
      <c r="P299" s="332"/>
      <c r="Q299" s="332"/>
      <c r="R299"/>
      <c r="S299"/>
      <c r="T299"/>
      <c r="U299"/>
      <c r="V299"/>
      <c r="W299"/>
      <c r="X299"/>
      <c r="Z299"/>
      <c r="AB299"/>
      <c r="AC299"/>
      <c r="AD299"/>
      <c r="AE299"/>
      <c r="AF299"/>
      <c r="AG299"/>
      <c r="AH299"/>
      <c r="AI299"/>
      <c r="AJ299"/>
      <c r="AK299"/>
      <c r="AX299" s="151"/>
      <c r="AY299" s="151"/>
      <c r="AZ299" s="151"/>
    </row>
    <row r="300" spans="1:52" s="764" customFormat="1" ht="16" thickTop="1" x14ac:dyDescent="0.2">
      <c r="A300" s="20"/>
      <c r="B300" s="79">
        <v>605.1</v>
      </c>
      <c r="C300" s="23"/>
      <c r="D300" s="23"/>
      <c r="E300" s="23"/>
      <c r="F300" s="23"/>
      <c r="G300" s="23"/>
      <c r="H300" s="691"/>
      <c r="I300" s="777" t="s">
        <v>3570</v>
      </c>
      <c r="J300" s="178"/>
      <c r="K300" s="179"/>
      <c r="L300" s="1683" t="s">
        <v>3986</v>
      </c>
      <c r="M300" s="1701" t="str">
        <f>IF(R300,"Mandatory","N/A")</f>
        <v>Mandatory</v>
      </c>
      <c r="N300" s="178"/>
      <c r="O300" s="770"/>
      <c r="P300" s="778" t="b">
        <v>1</v>
      </c>
      <c r="Q300" s="778" t="b">
        <v>0</v>
      </c>
      <c r="R300" s="779" t="b">
        <f>S300</f>
        <v>1</v>
      </c>
      <c r="S300" s="779" t="b">
        <v>1</v>
      </c>
      <c r="T300" s="778" t="b">
        <v>0</v>
      </c>
      <c r="U300" s="106"/>
      <c r="V300" s="106"/>
      <c r="W300" s="334" t="b">
        <v>1</v>
      </c>
      <c r="X300" s="1603"/>
      <c r="AC300" s="779" t="b">
        <f>OR(AD300:AE300)</f>
        <v>0</v>
      </c>
      <c r="AD300" s="779" t="b">
        <f>T300</f>
        <v>0</v>
      </c>
      <c r="AE300" s="779" t="b">
        <f>NOT(W300)</f>
        <v>0</v>
      </c>
      <c r="AL300" s="1352" t="str">
        <f>SUBSTITUTE(SUBSTITUTE(SUBSTITUTE("dpa"&amp;$B300&amp;$C300&amp;$D300&amp;$E300&amp;$F300,".","_"),"(","_"),")","")</f>
        <v>dpa605_1</v>
      </c>
      <c r="AM300" s="1352" t="str">
        <f>M300</f>
        <v>Mandatory</v>
      </c>
      <c r="AN300" s="66"/>
      <c r="AO300" s="66"/>
      <c r="AP300" s="1352" t="str">
        <f>SUBSTITUTE(SUBSTITUTE(SUBSTITUTE("dch"&amp;$B300&amp;$C300&amp;$D300&amp;$E300&amp;$F300,".","_"),"(","_"),")","")</f>
        <v>dch605_1</v>
      </c>
      <c r="AQ300" s="1352" t="b">
        <f>IF(LEN(W300)=0,"",W300)</f>
        <v>1</v>
      </c>
      <c r="AR300" s="1352" t="str">
        <f>SUBSTITUTE(SUBSTITUTE(SUBSTITUTE("dnt"&amp;$B300&amp;$C300&amp;$D300&amp;$E300&amp;$F300,".","_"),"(","_"),")","")</f>
        <v>dnt605_1</v>
      </c>
      <c r="AS300" s="1352" t="str">
        <f>IF(LEN(X300)=0,"",X300)</f>
        <v/>
      </c>
      <c r="AX300" s="151"/>
      <c r="AY300" s="151"/>
      <c r="AZ300" s="151"/>
    </row>
    <row r="301" spans="1:52" s="764" customFormat="1" x14ac:dyDescent="0.2">
      <c r="A301" s="20"/>
      <c r="B301" s="79">
        <v>605.1</v>
      </c>
      <c r="C301" s="23"/>
      <c r="D301" s="23"/>
      <c r="E301" s="23"/>
      <c r="F301" s="23"/>
      <c r="G301" s="23"/>
      <c r="H301" s="691"/>
      <c r="I301" s="130"/>
      <c r="J301" s="129"/>
      <c r="K301" s="97"/>
      <c r="L301" s="1629"/>
      <c r="M301" s="1697"/>
      <c r="N301" s="129"/>
      <c r="O301" s="767"/>
      <c r="P301" s="96"/>
      <c r="Q301" s="96"/>
      <c r="R301" s="96"/>
      <c r="S301" s="96"/>
      <c r="T301" s="96"/>
      <c r="U301" s="96"/>
      <c r="V301" s="96"/>
      <c r="W301" s="96"/>
      <c r="X301" s="1601"/>
      <c r="AL301" s="66"/>
      <c r="AM301" s="66"/>
      <c r="AN301" s="66"/>
      <c r="AO301" s="66"/>
      <c r="AP301" s="66"/>
      <c r="AQ301" s="66"/>
      <c r="AR301" s="66"/>
      <c r="AS301" s="66"/>
      <c r="AX301" s="66"/>
      <c r="AY301" s="66"/>
      <c r="AZ301" s="66"/>
    </row>
    <row r="302" spans="1:52" ht="16" thickBot="1" x14ac:dyDescent="0.25">
      <c r="B302" s="79">
        <v>605.1</v>
      </c>
      <c r="C302" s="23"/>
      <c r="D302" s="23"/>
      <c r="E302" s="23"/>
      <c r="F302" s="23"/>
      <c r="G302" s="23"/>
      <c r="H302" s="691"/>
      <c r="I302" s="130"/>
      <c r="J302" s="129"/>
      <c r="K302" s="97"/>
      <c r="L302" s="1630"/>
      <c r="M302" s="1726"/>
      <c r="N302" s="129"/>
      <c r="O302" s="767"/>
      <c r="P302" s="96"/>
      <c r="Q302" s="96"/>
      <c r="R302" s="96"/>
      <c r="S302" s="96"/>
      <c r="T302" s="96"/>
      <c r="U302" s="96"/>
      <c r="V302" s="96"/>
      <c r="W302" s="100"/>
      <c r="X302" s="1602"/>
      <c r="Z302"/>
      <c r="AB302"/>
      <c r="AC302"/>
      <c r="AD302"/>
      <c r="AE302"/>
      <c r="AF302"/>
      <c r="AG302"/>
      <c r="AH302"/>
      <c r="AI302"/>
      <c r="AJ302"/>
      <c r="AK302"/>
      <c r="AZ302" s="764"/>
    </row>
    <row r="303" spans="1:52" ht="16" thickTop="1" x14ac:dyDescent="0.2">
      <c r="B303" s="79">
        <v>605.20000000000005</v>
      </c>
      <c r="C303" s="23"/>
      <c r="D303" s="23"/>
      <c r="E303" s="23"/>
      <c r="F303" s="23"/>
      <c r="G303" s="23"/>
      <c r="H303" s="691"/>
      <c r="I303" s="177" t="s">
        <v>3571</v>
      </c>
      <c r="J303" s="178"/>
      <c r="K303" s="179"/>
      <c r="L303" s="1683" t="s">
        <v>3987</v>
      </c>
      <c r="M303" s="1685">
        <v>6</v>
      </c>
      <c r="N303" s="178"/>
      <c r="O303" s="1682">
        <f>M303*S303*IFERROR(OR(W303,W316),0)</f>
        <v>0</v>
      </c>
      <c r="P303" s="96" t="b">
        <v>1</v>
      </c>
      <c r="Q303" s="96" t="b">
        <v>1</v>
      </c>
      <c r="R303" s="106" t="b">
        <v>0</v>
      </c>
      <c r="S303" s="106" t="b">
        <v>1</v>
      </c>
      <c r="T303" s="106" t="b">
        <v>0</v>
      </c>
      <c r="U303" s="106"/>
      <c r="V303" s="106"/>
      <c r="W303" s="119"/>
      <c r="X303" s="1603"/>
      <c r="Z303"/>
      <c r="AB303"/>
      <c r="AC303"/>
      <c r="AD303"/>
      <c r="AE303"/>
      <c r="AF303"/>
      <c r="AG303"/>
      <c r="AH303"/>
      <c r="AI303"/>
      <c r="AJ303"/>
      <c r="AK303"/>
      <c r="AL303" s="1352" t="str">
        <f>SUBSTITUTE(SUBSTITUTE(SUBSTITUTE("dpa"&amp;$B303&amp;$C303&amp;$D303&amp;$E303&amp;$F303,".","_"),"(","_"),")","")</f>
        <v>dpa605_2</v>
      </c>
      <c r="AM303" s="1352">
        <f>M303</f>
        <v>6</v>
      </c>
      <c r="AN303" s="1352" t="str">
        <f>SUBSTITUTE(SUBSTITUTE(SUBSTITUTE("dpc"&amp;$B303&amp;$C303&amp;$D303&amp;$E303&amp;$F303,".","_"),"(","_"),")","")</f>
        <v>dpc605_2</v>
      </c>
      <c r="AO303" s="1352">
        <f>O303</f>
        <v>0</v>
      </c>
      <c r="AP303" s="1352" t="str">
        <f>SUBSTITUTE(SUBSTITUTE(SUBSTITUTE("dch"&amp;$B303&amp;$C303&amp;$D303&amp;$E303&amp;$F303,".","_"),"(","_"),")","")</f>
        <v>dch605_2</v>
      </c>
      <c r="AQ303" s="1352" t="str">
        <f>IF(LEN(W303)=0,"",W303)</f>
        <v/>
      </c>
      <c r="AR303" s="1352" t="str">
        <f>SUBSTITUTE(SUBSTITUTE(SUBSTITUTE("dnt"&amp;$B303&amp;$C303&amp;$D303&amp;$E303&amp;$F303,".","_"),"(","_"),")","")</f>
        <v>dnt605_2</v>
      </c>
      <c r="AS303" s="1352" t="str">
        <f>IF(LEN(X303)=0,"",X303)</f>
        <v/>
      </c>
      <c r="AX303" s="764"/>
      <c r="AY303" s="764"/>
      <c r="AZ303" s="764"/>
    </row>
    <row r="304" spans="1:52" x14ac:dyDescent="0.2">
      <c r="B304" s="79">
        <v>605.20000000000005</v>
      </c>
      <c r="C304" s="23"/>
      <c r="D304" s="23"/>
      <c r="E304" s="23"/>
      <c r="F304" s="23"/>
      <c r="G304" s="23"/>
      <c r="H304" s="691"/>
      <c r="I304" s="130"/>
      <c r="J304" s="129"/>
      <c r="K304" s="97"/>
      <c r="L304" s="1629"/>
      <c r="M304" s="1623"/>
      <c r="N304" s="129"/>
      <c r="O304" s="1619"/>
      <c r="P304" s="96"/>
      <c r="Q304" s="96"/>
      <c r="R304" s="96"/>
      <c r="S304" s="96"/>
      <c r="T304" s="96"/>
      <c r="U304" s="96"/>
      <c r="V304" s="96"/>
      <c r="W304" s="96"/>
      <c r="X304" s="1601"/>
      <c r="Z304"/>
      <c r="AB304"/>
      <c r="AC304"/>
      <c r="AD304"/>
      <c r="AE304"/>
      <c r="AF304"/>
      <c r="AG304"/>
      <c r="AH304"/>
      <c r="AI304"/>
      <c r="AJ304"/>
      <c r="AK304"/>
      <c r="AX304" s="764"/>
      <c r="AY304" s="764"/>
    </row>
    <row r="305" spans="2:45" x14ac:dyDescent="0.2">
      <c r="B305" s="79">
        <v>605.20000000000005</v>
      </c>
      <c r="C305" s="23"/>
      <c r="D305" s="23"/>
      <c r="E305" s="23"/>
      <c r="F305" s="23"/>
      <c r="G305" s="23"/>
      <c r="H305" s="691"/>
      <c r="I305" s="130"/>
      <c r="J305" s="129"/>
      <c r="K305" s="97"/>
      <c r="L305" s="1629"/>
      <c r="M305" s="1623"/>
      <c r="N305" s="129"/>
      <c r="O305" s="1619"/>
      <c r="P305" s="96"/>
      <c r="Q305" s="96"/>
      <c r="R305" s="96"/>
      <c r="S305" s="96"/>
      <c r="T305" s="96"/>
      <c r="U305" s="96"/>
      <c r="V305" s="96"/>
      <c r="W305" s="96"/>
      <c r="X305" s="1601"/>
      <c r="Z305"/>
      <c r="AB305"/>
      <c r="AC305"/>
      <c r="AD305"/>
      <c r="AE305"/>
      <c r="AF305"/>
      <c r="AG305"/>
      <c r="AH305"/>
      <c r="AI305"/>
      <c r="AJ305"/>
      <c r="AK305"/>
    </row>
    <row r="306" spans="2:45" x14ac:dyDescent="0.2">
      <c r="B306" s="79">
        <v>605.20000000000005</v>
      </c>
      <c r="C306" s="23"/>
      <c r="D306" s="23"/>
      <c r="E306" s="23"/>
      <c r="F306" s="23"/>
      <c r="G306" s="23"/>
      <c r="H306" s="691"/>
      <c r="I306" s="130"/>
      <c r="J306" s="129"/>
      <c r="K306" s="97"/>
      <c r="L306" s="1629"/>
      <c r="M306" s="1623"/>
      <c r="N306" s="129"/>
      <c r="O306" s="1619"/>
      <c r="P306" s="96"/>
      <c r="Q306" s="96"/>
      <c r="R306" s="96"/>
      <c r="S306" s="96"/>
      <c r="T306" s="96"/>
      <c r="U306" s="96"/>
      <c r="V306" s="96"/>
      <c r="W306" s="96"/>
      <c r="X306" s="1601"/>
      <c r="Z306"/>
      <c r="AB306"/>
      <c r="AC306"/>
      <c r="AD306"/>
      <c r="AE306"/>
      <c r="AF306"/>
      <c r="AG306"/>
      <c r="AH306"/>
      <c r="AI306"/>
      <c r="AJ306"/>
      <c r="AK306"/>
    </row>
    <row r="307" spans="2:45" x14ac:dyDescent="0.2">
      <c r="B307" s="79">
        <v>605.20000000000005</v>
      </c>
      <c r="C307" s="23"/>
      <c r="D307" s="23"/>
      <c r="E307" s="23"/>
      <c r="F307" s="23"/>
      <c r="G307" s="23"/>
      <c r="H307" s="691"/>
      <c r="I307" s="130"/>
      <c r="J307" s="129"/>
      <c r="K307" s="97"/>
      <c r="L307" s="1629"/>
      <c r="M307" s="1623"/>
      <c r="N307" s="129"/>
      <c r="O307" s="1619"/>
      <c r="P307" s="96"/>
      <c r="Q307" s="96"/>
      <c r="R307" s="96"/>
      <c r="S307" s="96"/>
      <c r="T307" s="96"/>
      <c r="U307" s="96"/>
      <c r="V307" s="96"/>
      <c r="W307" s="96"/>
      <c r="X307" s="1601"/>
      <c r="Z307"/>
      <c r="AB307"/>
      <c r="AC307"/>
      <c r="AD307"/>
      <c r="AE307"/>
      <c r="AF307"/>
      <c r="AG307"/>
      <c r="AH307"/>
      <c r="AI307"/>
      <c r="AJ307"/>
      <c r="AK307"/>
    </row>
    <row r="308" spans="2:45" x14ac:dyDescent="0.2">
      <c r="B308" s="79">
        <v>605.20000000000005</v>
      </c>
      <c r="C308" s="23"/>
      <c r="D308" s="23"/>
      <c r="E308" s="23"/>
      <c r="F308" s="23"/>
      <c r="G308" s="23"/>
      <c r="H308" s="691"/>
      <c r="I308" s="130"/>
      <c r="J308" s="129"/>
      <c r="K308" s="97"/>
      <c r="L308" s="1629"/>
      <c r="M308" s="1623"/>
      <c r="N308" s="129"/>
      <c r="O308" s="1619"/>
      <c r="P308" s="96"/>
      <c r="Q308" s="96"/>
      <c r="R308" s="96"/>
      <c r="S308" s="96"/>
      <c r="T308" s="96"/>
      <c r="U308" s="96"/>
      <c r="V308" s="96"/>
      <c r="W308" s="96"/>
      <c r="X308" s="1601"/>
      <c r="Z308"/>
      <c r="AB308"/>
      <c r="AC308"/>
      <c r="AD308"/>
      <c r="AE308"/>
      <c r="AF308"/>
      <c r="AG308"/>
      <c r="AH308"/>
      <c r="AI308"/>
      <c r="AJ308"/>
      <c r="AK308"/>
    </row>
    <row r="309" spans="2:45" x14ac:dyDescent="0.2">
      <c r="B309" s="79">
        <v>605.20000000000005</v>
      </c>
      <c r="C309" s="23"/>
      <c r="D309" s="23"/>
      <c r="E309" s="23"/>
      <c r="F309" s="23"/>
      <c r="G309" s="23"/>
      <c r="H309" s="691"/>
      <c r="I309" s="130"/>
      <c r="J309" s="129"/>
      <c r="K309" s="97"/>
      <c r="L309" s="1609" t="s">
        <v>3988</v>
      </c>
      <c r="M309" s="1623"/>
      <c r="N309" s="129"/>
      <c r="O309" s="1619"/>
      <c r="P309" s="96"/>
      <c r="Q309" s="96"/>
      <c r="R309" s="96"/>
      <c r="S309" s="96"/>
      <c r="T309" s="96"/>
      <c r="U309" s="96"/>
      <c r="V309" s="96"/>
      <c r="W309" s="96"/>
      <c r="X309" s="1601"/>
      <c r="Z309"/>
      <c r="AB309"/>
      <c r="AC309"/>
      <c r="AD309"/>
      <c r="AE309"/>
      <c r="AF309"/>
      <c r="AG309"/>
      <c r="AH309"/>
      <c r="AI309"/>
      <c r="AJ309"/>
      <c r="AK309"/>
    </row>
    <row r="310" spans="2:45" x14ac:dyDescent="0.2">
      <c r="B310" s="79">
        <v>605.20000000000005</v>
      </c>
      <c r="C310" s="23"/>
      <c r="D310" s="23"/>
      <c r="E310" s="23"/>
      <c r="F310" s="23"/>
      <c r="G310" s="23"/>
      <c r="H310" s="691"/>
      <c r="I310" s="130"/>
      <c r="J310" s="129"/>
      <c r="K310" s="97"/>
      <c r="L310" s="1609"/>
      <c r="M310" s="1623"/>
      <c r="N310" s="129"/>
      <c r="O310" s="1619"/>
      <c r="P310" s="96"/>
      <c r="Q310" s="96"/>
      <c r="R310" s="96"/>
      <c r="S310" s="96"/>
      <c r="T310" s="96"/>
      <c r="U310" s="96"/>
      <c r="V310" s="96"/>
      <c r="W310" s="96"/>
      <c r="X310" s="1601"/>
      <c r="Z310"/>
      <c r="AB310"/>
      <c r="AC310"/>
      <c r="AD310"/>
      <c r="AE310"/>
      <c r="AF310"/>
      <c r="AG310"/>
      <c r="AH310"/>
      <c r="AI310"/>
      <c r="AJ310"/>
      <c r="AK310"/>
    </row>
    <row r="311" spans="2:45" x14ac:dyDescent="0.2">
      <c r="B311" s="79">
        <v>605.20000000000005</v>
      </c>
      <c r="C311" s="23"/>
      <c r="D311" s="23"/>
      <c r="E311" s="23"/>
      <c r="F311" s="23"/>
      <c r="G311" s="23"/>
      <c r="H311" s="691"/>
      <c r="I311" s="130"/>
      <c r="J311" s="129"/>
      <c r="K311" s="97"/>
      <c r="L311" s="1609"/>
      <c r="M311" s="1623"/>
      <c r="N311" s="129"/>
      <c r="O311" s="1619"/>
      <c r="P311" s="96"/>
      <c r="Q311" s="96"/>
      <c r="R311" s="96"/>
      <c r="S311" s="96"/>
      <c r="T311" s="96"/>
      <c r="U311" s="96"/>
      <c r="V311" s="96"/>
      <c r="W311" s="96"/>
      <c r="X311" s="1601"/>
      <c r="Z311"/>
      <c r="AB311"/>
      <c r="AC311"/>
      <c r="AD311"/>
      <c r="AE311"/>
      <c r="AF311"/>
      <c r="AG311"/>
      <c r="AH311"/>
      <c r="AI311"/>
      <c r="AJ311"/>
      <c r="AK311"/>
    </row>
    <row r="312" spans="2:45" x14ac:dyDescent="0.2">
      <c r="B312" s="79">
        <v>605.20000000000005</v>
      </c>
      <c r="C312" s="23"/>
      <c r="D312" s="23"/>
      <c r="E312" s="23"/>
      <c r="F312" s="23"/>
      <c r="G312" s="23"/>
      <c r="H312" s="691"/>
      <c r="I312" s="130"/>
      <c r="J312" s="129"/>
      <c r="K312" s="97"/>
      <c r="L312" s="1609"/>
      <c r="M312" s="1623"/>
      <c r="N312" s="129"/>
      <c r="O312" s="1619"/>
      <c r="P312" s="96"/>
      <c r="Q312" s="96"/>
      <c r="R312" s="96"/>
      <c r="S312" s="96"/>
      <c r="T312" s="96"/>
      <c r="U312" s="96"/>
      <c r="V312" s="96"/>
      <c r="W312" s="96"/>
      <c r="X312" s="1601"/>
      <c r="Z312"/>
      <c r="AB312"/>
      <c r="AC312"/>
      <c r="AD312"/>
      <c r="AE312"/>
      <c r="AF312"/>
      <c r="AG312"/>
      <c r="AH312"/>
      <c r="AI312"/>
      <c r="AJ312"/>
      <c r="AK312"/>
    </row>
    <row r="313" spans="2:45" x14ac:dyDescent="0.2">
      <c r="B313" s="79">
        <v>605.20000000000005</v>
      </c>
      <c r="C313" s="23"/>
      <c r="D313" s="23"/>
      <c r="E313" s="23"/>
      <c r="F313" s="23"/>
      <c r="G313" s="23"/>
      <c r="H313" s="691"/>
      <c r="I313" s="130"/>
      <c r="J313" s="129"/>
      <c r="K313" s="97"/>
      <c r="L313" s="315" t="s">
        <v>543</v>
      </c>
      <c r="M313" s="1623"/>
      <c r="N313" s="129"/>
      <c r="O313" s="1619"/>
      <c r="P313" s="96"/>
      <c r="Q313" s="96"/>
      <c r="R313" s="96"/>
      <c r="S313" s="96"/>
      <c r="T313" s="96"/>
      <c r="U313" s="96"/>
      <c r="V313" s="96"/>
      <c r="W313" s="96"/>
      <c r="X313" s="1601"/>
      <c r="Z313"/>
      <c r="AB313"/>
      <c r="AC313"/>
      <c r="AD313"/>
      <c r="AE313"/>
      <c r="AF313"/>
      <c r="AG313"/>
      <c r="AH313"/>
      <c r="AI313"/>
      <c r="AJ313"/>
      <c r="AK313"/>
    </row>
    <row r="314" spans="2:45" x14ac:dyDescent="0.2">
      <c r="B314" s="79">
        <v>605.20000000000005</v>
      </c>
      <c r="C314" s="23" t="s">
        <v>254</v>
      </c>
      <c r="D314" s="23"/>
      <c r="E314" s="23"/>
      <c r="F314" s="691"/>
      <c r="G314" s="23"/>
      <c r="H314" s="691"/>
      <c r="I314" s="130"/>
      <c r="J314" s="180" t="s">
        <v>254</v>
      </c>
      <c r="K314" s="97"/>
      <c r="L314" s="1609" t="s">
        <v>3989</v>
      </c>
      <c r="M314" s="1623"/>
      <c r="N314" s="129"/>
      <c r="O314" s="1619"/>
      <c r="P314" s="96"/>
      <c r="Q314" s="96"/>
      <c r="R314" s="96"/>
      <c r="S314" s="96"/>
      <c r="T314" s="96"/>
      <c r="U314" s="96"/>
      <c r="V314" s="96"/>
      <c r="W314" s="96"/>
      <c r="X314" s="1601"/>
      <c r="Z314"/>
      <c r="AB314"/>
      <c r="AC314"/>
      <c r="AD314"/>
      <c r="AE314"/>
      <c r="AF314"/>
      <c r="AG314"/>
      <c r="AH314"/>
      <c r="AI314"/>
      <c r="AJ314"/>
      <c r="AK314"/>
    </row>
    <row r="315" spans="2:45" x14ac:dyDescent="0.2">
      <c r="B315" s="79">
        <v>605.20000000000005</v>
      </c>
      <c r="C315" s="23" t="s">
        <v>254</v>
      </c>
      <c r="D315" s="23"/>
      <c r="E315" s="23"/>
      <c r="F315" s="691"/>
      <c r="G315" s="23"/>
      <c r="H315" s="691"/>
      <c r="I315" s="130"/>
      <c r="J315" s="129"/>
      <c r="K315" s="97"/>
      <c r="L315" s="1609"/>
      <c r="M315" s="1623"/>
      <c r="N315" s="129"/>
      <c r="O315" s="1619"/>
      <c r="P315" s="96"/>
      <c r="Q315" s="96"/>
      <c r="R315" s="96"/>
      <c r="S315" s="96"/>
      <c r="T315" s="96"/>
      <c r="U315" s="96"/>
      <c r="V315" s="96"/>
      <c r="W315" s="96"/>
      <c r="X315" s="1601"/>
      <c r="Z315"/>
      <c r="AB315"/>
      <c r="AC315"/>
      <c r="AD315"/>
      <c r="AE315"/>
      <c r="AF315"/>
      <c r="AG315"/>
      <c r="AH315"/>
      <c r="AI315"/>
      <c r="AJ315"/>
      <c r="AK315"/>
    </row>
    <row r="316" spans="2:45" x14ac:dyDescent="0.2">
      <c r="B316" s="79">
        <v>605.20000000000005</v>
      </c>
      <c r="C316" s="23" t="s">
        <v>255</v>
      </c>
      <c r="D316" s="23"/>
      <c r="E316" s="23"/>
      <c r="F316" s="691"/>
      <c r="G316" s="23"/>
      <c r="H316" s="691"/>
      <c r="I316" s="130"/>
      <c r="J316" s="180" t="s">
        <v>255</v>
      </c>
      <c r="K316" s="97"/>
      <c r="L316" s="1609" t="s">
        <v>544</v>
      </c>
      <c r="M316" s="1623"/>
      <c r="N316" s="129"/>
      <c r="O316" s="1619"/>
      <c r="P316" s="96" t="b">
        <v>1</v>
      </c>
      <c r="Q316" s="96" t="b">
        <v>1</v>
      </c>
      <c r="R316" s="96" t="b">
        <v>0</v>
      </c>
      <c r="S316" s="96" t="b">
        <v>1</v>
      </c>
      <c r="T316" s="96" t="b">
        <v>0</v>
      </c>
      <c r="U316" s="96"/>
      <c r="V316" s="96"/>
      <c r="W316" s="27"/>
      <c r="X316" s="1601"/>
      <c r="Z316"/>
      <c r="AB316"/>
      <c r="AC316"/>
      <c r="AD316"/>
      <c r="AE316"/>
      <c r="AF316"/>
      <c r="AG316"/>
      <c r="AH316"/>
      <c r="AI316"/>
      <c r="AJ316"/>
      <c r="AK316"/>
      <c r="AP316" s="1352" t="str">
        <f>SUBSTITUTE(SUBSTITUTE(SUBSTITUTE("dch"&amp;$B316&amp;$C316&amp;$D316&amp;$E316&amp;$F316,".","_"),"(","_"),")","")</f>
        <v>dch605_2_2</v>
      </c>
      <c r="AQ316" s="1352" t="str">
        <f>IF(LEN(W316)=0,"",W316)</f>
        <v/>
      </c>
    </row>
    <row r="317" spans="2:45" ht="16" thickBot="1" x14ac:dyDescent="0.25">
      <c r="B317" s="79">
        <v>605.20000000000005</v>
      </c>
      <c r="C317" s="23" t="s">
        <v>255</v>
      </c>
      <c r="D317" s="23"/>
      <c r="E317" s="23"/>
      <c r="F317" s="691"/>
      <c r="G317" s="23"/>
      <c r="H317" s="691"/>
      <c r="I317" s="130"/>
      <c r="J317" s="129"/>
      <c r="K317" s="97"/>
      <c r="L317" s="1609"/>
      <c r="M317" s="1623"/>
      <c r="N317" s="129"/>
      <c r="O317" s="1619"/>
      <c r="P317" s="96"/>
      <c r="Q317" s="96"/>
      <c r="R317" s="96"/>
      <c r="S317" s="96"/>
      <c r="T317" s="96"/>
      <c r="U317" s="96"/>
      <c r="V317" s="96"/>
      <c r="W317" s="270"/>
      <c r="X317" s="1621"/>
      <c r="Z317"/>
      <c r="AB317"/>
      <c r="AC317"/>
      <c r="AD317"/>
      <c r="AE317"/>
      <c r="AF317"/>
      <c r="AG317"/>
      <c r="AH317"/>
      <c r="AI317"/>
      <c r="AJ317"/>
      <c r="AK317"/>
    </row>
    <row r="318" spans="2:45" ht="16" thickTop="1" x14ac:dyDescent="0.2">
      <c r="B318" s="79">
        <v>605.29999999999995</v>
      </c>
      <c r="C318" s="23"/>
      <c r="D318" s="23"/>
      <c r="E318" s="23"/>
      <c r="F318" s="691"/>
      <c r="G318" s="23"/>
      <c r="H318" s="691"/>
      <c r="I318" s="177" t="s">
        <v>3572</v>
      </c>
      <c r="J318" s="178"/>
      <c r="K318" s="179"/>
      <c r="L318" s="1683" t="s">
        <v>3826</v>
      </c>
      <c r="M318" s="1685">
        <v>7</v>
      </c>
      <c r="N318" s="178"/>
      <c r="O318" s="1682">
        <f>M318*S318*W318</f>
        <v>0</v>
      </c>
      <c r="P318" s="96" t="b">
        <v>1</v>
      </c>
      <c r="Q318" s="96" t="b">
        <v>1</v>
      </c>
      <c r="R318" s="106" t="b">
        <v>0</v>
      </c>
      <c r="S318" s="106" t="b">
        <v>1</v>
      </c>
      <c r="T318" s="106" t="b">
        <v>0</v>
      </c>
      <c r="U318" s="106"/>
      <c r="V318" s="106"/>
      <c r="W318" s="119"/>
      <c r="X318" s="1603"/>
      <c r="Z318"/>
      <c r="AB318"/>
      <c r="AC318"/>
      <c r="AD318"/>
      <c r="AE318"/>
      <c r="AF318"/>
      <c r="AG318"/>
      <c r="AH318"/>
      <c r="AI318"/>
      <c r="AJ318"/>
      <c r="AK318"/>
      <c r="AL318" s="1352" t="str">
        <f>SUBSTITUTE(SUBSTITUTE(SUBSTITUTE("dpa"&amp;$B318&amp;$C318&amp;$D318&amp;$E318&amp;$F318,".","_"),"(","_"),")","")</f>
        <v>dpa605_3</v>
      </c>
      <c r="AM318" s="1352">
        <f>M318</f>
        <v>7</v>
      </c>
      <c r="AN318" s="1352" t="str">
        <f>SUBSTITUTE(SUBSTITUTE(SUBSTITUTE("dpc"&amp;$B318&amp;$C318&amp;$D318&amp;$E318&amp;$F318,".","_"),"(","_"),")","")</f>
        <v>dpc605_3</v>
      </c>
      <c r="AO318" s="1352">
        <f>O318</f>
        <v>0</v>
      </c>
      <c r="AP318" s="1352" t="str">
        <f>SUBSTITUTE(SUBSTITUTE(SUBSTITUTE("dch"&amp;$B318&amp;$C318&amp;$D318&amp;$E318&amp;$F318,".","_"),"(","_"),")","")</f>
        <v>dch605_3</v>
      </c>
      <c r="AQ318" s="1352" t="str">
        <f>IF(LEN(W318)=0,"",W318)</f>
        <v/>
      </c>
      <c r="AR318" s="1352" t="str">
        <f>SUBSTITUTE(SUBSTITUTE(SUBSTITUTE("dnt"&amp;$B318&amp;$C318&amp;$D318&amp;$E318&amp;$F318,".","_"),"(","_"),")","")</f>
        <v>dnt605_3</v>
      </c>
      <c r="AS318" s="1352" t="str">
        <f>IF(LEN(X318)=0,"",X318)</f>
        <v/>
      </c>
    </row>
    <row r="319" spans="2:45" x14ac:dyDescent="0.2">
      <c r="B319" s="79">
        <v>605.29999999999995</v>
      </c>
      <c r="C319" s="23"/>
      <c r="D319" s="23"/>
      <c r="E319" s="23"/>
      <c r="F319" s="691"/>
      <c r="G319" s="23"/>
      <c r="H319" s="691"/>
      <c r="I319" s="130"/>
      <c r="J319" s="129"/>
      <c r="K319" s="97"/>
      <c r="L319" s="1629"/>
      <c r="M319" s="1623"/>
      <c r="N319" s="129"/>
      <c r="O319" s="1619"/>
      <c r="P319" s="96"/>
      <c r="Q319" s="96"/>
      <c r="R319" s="96"/>
      <c r="S319" s="96"/>
      <c r="T319" s="96"/>
      <c r="U319" s="96"/>
      <c r="V319" s="96"/>
      <c r="W319" s="96"/>
      <c r="X319" s="1601"/>
      <c r="Z319"/>
      <c r="AB319"/>
      <c r="AC319"/>
      <c r="AD319"/>
      <c r="AE319"/>
      <c r="AF319"/>
      <c r="AG319"/>
      <c r="AH319"/>
      <c r="AI319"/>
      <c r="AJ319"/>
      <c r="AK319"/>
    </row>
    <row r="320" spans="2:45" x14ac:dyDescent="0.2">
      <c r="B320" s="79">
        <v>605.29999999999995</v>
      </c>
      <c r="C320" s="23"/>
      <c r="D320" s="23" t="s">
        <v>121</v>
      </c>
      <c r="E320" s="23"/>
      <c r="F320" s="691"/>
      <c r="G320" s="23"/>
      <c r="H320" s="691"/>
      <c r="I320" s="130"/>
      <c r="J320" s="129"/>
      <c r="K320" s="93" t="s">
        <v>121</v>
      </c>
      <c r="L320" s="1609" t="s">
        <v>545</v>
      </c>
      <c r="M320" s="371"/>
      <c r="N320" s="129"/>
      <c r="O320" s="238"/>
      <c r="P320" s="96"/>
      <c r="Q320" s="96"/>
      <c r="R320" s="96"/>
      <c r="S320" s="96"/>
      <c r="T320" s="96"/>
      <c r="U320" s="96"/>
      <c r="V320" s="96"/>
      <c r="W320" s="96"/>
      <c r="X320" s="1601"/>
      <c r="Z320"/>
      <c r="AB320"/>
      <c r="AC320"/>
      <c r="AD320"/>
      <c r="AE320"/>
      <c r="AF320"/>
      <c r="AG320"/>
      <c r="AH320"/>
      <c r="AI320"/>
      <c r="AJ320"/>
      <c r="AK320"/>
    </row>
    <row r="321" spans="1:52" x14ac:dyDescent="0.2">
      <c r="B321" s="79">
        <v>605.29999999999995</v>
      </c>
      <c r="C321" s="23"/>
      <c r="D321" s="23" t="s">
        <v>121</v>
      </c>
      <c r="E321" s="23"/>
      <c r="F321" s="691"/>
      <c r="G321" s="23"/>
      <c r="H321" s="691"/>
      <c r="I321" s="130"/>
      <c r="J321" s="129"/>
      <c r="K321" s="97"/>
      <c r="L321" s="1609"/>
      <c r="M321" s="371"/>
      <c r="N321" s="129"/>
      <c r="O321" s="238"/>
      <c r="P321" s="96"/>
      <c r="Q321" s="96"/>
      <c r="R321" s="96"/>
      <c r="S321" s="96"/>
      <c r="T321" s="96"/>
      <c r="U321" s="96"/>
      <c r="V321" s="96"/>
      <c r="W321" s="96"/>
      <c r="X321" s="1601"/>
      <c r="Z321"/>
      <c r="AB321"/>
      <c r="AC321"/>
      <c r="AD321"/>
      <c r="AE321"/>
      <c r="AF321"/>
      <c r="AG321"/>
      <c r="AH321"/>
      <c r="AI321"/>
      <c r="AJ321"/>
      <c r="AK321"/>
    </row>
    <row r="322" spans="1:52" x14ac:dyDescent="0.2">
      <c r="B322" s="79">
        <v>605.29999999999995</v>
      </c>
      <c r="C322" s="23"/>
      <c r="D322" s="23" t="s">
        <v>121</v>
      </c>
      <c r="E322" s="23"/>
      <c r="F322" s="691"/>
      <c r="G322" s="23"/>
      <c r="H322" s="691"/>
      <c r="I322" s="130"/>
      <c r="J322" s="129"/>
      <c r="K322" s="170"/>
      <c r="L322" s="1612"/>
      <c r="M322" s="371"/>
      <c r="N322" s="129"/>
      <c r="O322" s="238"/>
      <c r="P322" s="96"/>
      <c r="Q322" s="96"/>
      <c r="R322" s="96"/>
      <c r="S322" s="96"/>
      <c r="T322" s="96"/>
      <c r="U322" s="96"/>
      <c r="V322" s="96"/>
      <c r="W322" s="96"/>
      <c r="X322" s="1601"/>
      <c r="Z322"/>
      <c r="AB322"/>
      <c r="AC322"/>
      <c r="AD322"/>
      <c r="AE322"/>
      <c r="AF322"/>
      <c r="AG322"/>
      <c r="AH322"/>
      <c r="AI322"/>
      <c r="AJ322"/>
      <c r="AK322"/>
    </row>
    <row r="323" spans="1:52" x14ac:dyDescent="0.2">
      <c r="B323" s="79">
        <v>605.29999999999995</v>
      </c>
      <c r="C323" s="23"/>
      <c r="D323" s="23" t="s">
        <v>122</v>
      </c>
      <c r="E323" s="23"/>
      <c r="F323" s="691"/>
      <c r="G323" s="23"/>
      <c r="H323" s="691"/>
      <c r="I323" s="130"/>
      <c r="J323" s="129"/>
      <c r="K323" s="216" t="s">
        <v>122</v>
      </c>
      <c r="L323" s="311" t="s">
        <v>546</v>
      </c>
      <c r="M323" s="371"/>
      <c r="N323" s="129"/>
      <c r="O323" s="238"/>
      <c r="P323" s="96"/>
      <c r="Q323" s="96"/>
      <c r="R323" s="96"/>
      <c r="S323" s="96"/>
      <c r="T323" s="96"/>
      <c r="U323" s="96"/>
      <c r="V323" s="96"/>
      <c r="W323" s="96"/>
      <c r="X323" s="1601"/>
      <c r="Z323"/>
      <c r="AB323"/>
      <c r="AC323"/>
      <c r="AD323"/>
      <c r="AE323"/>
      <c r="AF323"/>
      <c r="AG323"/>
      <c r="AH323"/>
      <c r="AI323"/>
      <c r="AJ323"/>
      <c r="AK323"/>
    </row>
    <row r="324" spans="1:52" x14ac:dyDescent="0.2">
      <c r="B324" s="79">
        <v>605.29999999999995</v>
      </c>
      <c r="C324" s="23"/>
      <c r="D324" s="23" t="s">
        <v>123</v>
      </c>
      <c r="E324" s="23"/>
      <c r="F324" s="691"/>
      <c r="G324" s="23"/>
      <c r="H324" s="691"/>
      <c r="I324" s="130"/>
      <c r="J324" s="129"/>
      <c r="K324" s="111" t="s">
        <v>123</v>
      </c>
      <c r="L324" s="1609" t="s">
        <v>3829</v>
      </c>
      <c r="M324" s="371"/>
      <c r="N324" s="129"/>
      <c r="O324" s="238"/>
      <c r="P324" s="96"/>
      <c r="Q324" s="96"/>
      <c r="R324" s="96"/>
      <c r="S324" s="96"/>
      <c r="T324" s="96"/>
      <c r="U324" s="96"/>
      <c r="V324" s="96"/>
      <c r="W324" s="96"/>
      <c r="X324" s="1601"/>
      <c r="Z324"/>
      <c r="AB324"/>
      <c r="AC324"/>
      <c r="AD324"/>
      <c r="AE324"/>
      <c r="AF324"/>
      <c r="AG324"/>
      <c r="AH324"/>
      <c r="AI324"/>
      <c r="AJ324"/>
      <c r="AK324"/>
    </row>
    <row r="325" spans="1:52" x14ac:dyDescent="0.2">
      <c r="B325" s="79">
        <v>605.29999999999995</v>
      </c>
      <c r="C325" s="23"/>
      <c r="D325" s="23" t="s">
        <v>123</v>
      </c>
      <c r="E325" s="23"/>
      <c r="F325" s="691"/>
      <c r="G325" s="23"/>
      <c r="H325" s="691"/>
      <c r="I325" s="130"/>
      <c r="J325" s="129"/>
      <c r="K325" s="187"/>
      <c r="L325" s="1609"/>
      <c r="M325" s="371"/>
      <c r="N325" s="129"/>
      <c r="O325" s="238"/>
      <c r="P325" s="96"/>
      <c r="Q325" s="96"/>
      <c r="R325" s="96"/>
      <c r="S325" s="96"/>
      <c r="T325" s="96"/>
      <c r="U325" s="96"/>
      <c r="V325" s="96"/>
      <c r="W325" s="96"/>
      <c r="X325" s="1601"/>
      <c r="Z325"/>
      <c r="AB325"/>
      <c r="AC325"/>
      <c r="AD325"/>
      <c r="AE325"/>
      <c r="AF325"/>
      <c r="AG325"/>
      <c r="AH325"/>
      <c r="AI325"/>
      <c r="AJ325"/>
      <c r="AK325"/>
    </row>
    <row r="326" spans="1:52" ht="16" thickBot="1" x14ac:dyDescent="0.25">
      <c r="B326" s="79">
        <v>605.29999999999995</v>
      </c>
      <c r="C326" s="23"/>
      <c r="D326" s="23" t="s">
        <v>123</v>
      </c>
      <c r="E326" s="23"/>
      <c r="F326" s="691"/>
      <c r="G326" s="23"/>
      <c r="H326" s="691"/>
      <c r="I326" s="130"/>
      <c r="J326" s="129"/>
      <c r="K326" s="97"/>
      <c r="L326" s="1609"/>
      <c r="M326" s="371"/>
      <c r="N326" s="129"/>
      <c r="O326" s="238"/>
      <c r="P326" s="96"/>
      <c r="Q326" s="96"/>
      <c r="R326" s="96"/>
      <c r="S326" s="96"/>
      <c r="T326" s="96"/>
      <c r="U326" s="96"/>
      <c r="V326" s="96"/>
      <c r="W326" s="96"/>
      <c r="X326" s="1621"/>
      <c r="Z326"/>
      <c r="AB326"/>
      <c r="AC326"/>
      <c r="AD326"/>
      <c r="AE326"/>
      <c r="AF326"/>
      <c r="AG326"/>
      <c r="AH326"/>
      <c r="AI326"/>
      <c r="AJ326"/>
      <c r="AK326"/>
    </row>
    <row r="327" spans="1:52" ht="16" thickTop="1" x14ac:dyDescent="0.2">
      <c r="B327" s="79" t="s">
        <v>3828</v>
      </c>
      <c r="C327" s="23"/>
      <c r="D327" s="23"/>
      <c r="E327" s="23"/>
      <c r="F327" s="691"/>
      <c r="G327" s="23"/>
      <c r="H327" s="691"/>
      <c r="I327" s="177" t="s">
        <v>3824</v>
      </c>
      <c r="J327" s="178"/>
      <c r="K327" s="179"/>
      <c r="L327" s="1683" t="s">
        <v>3825</v>
      </c>
      <c r="M327" s="1685" t="s">
        <v>547</v>
      </c>
      <c r="N327" s="178"/>
      <c r="O327" s="1682">
        <f>IF(COUNTIF(W331:W339,TRUE)&lt;2,0,MIN(6,(COUNTIF(W331:W339,TRUE)+1)))</f>
        <v>0</v>
      </c>
      <c r="P327" s="96" t="b">
        <v>1</v>
      </c>
      <c r="Q327" s="96" t="b">
        <v>1</v>
      </c>
      <c r="R327" s="106" t="b">
        <v>0</v>
      </c>
      <c r="S327" s="106" t="b">
        <v>1</v>
      </c>
      <c r="T327" s="106" t="b">
        <v>0</v>
      </c>
      <c r="U327" s="106"/>
      <c r="V327" s="106"/>
      <c r="W327" s="106"/>
      <c r="X327" s="106"/>
      <c r="Z327"/>
      <c r="AB327"/>
      <c r="AC327"/>
      <c r="AD327"/>
      <c r="AE327"/>
      <c r="AF327"/>
      <c r="AG327"/>
      <c r="AH327"/>
      <c r="AI327"/>
      <c r="AJ327"/>
      <c r="AK327"/>
      <c r="AL327" s="1352" t="str">
        <f>SUBSTITUTE(SUBSTITUTE(SUBSTITUTE("dpa"&amp;$B327&amp;$C327&amp;$D327&amp;$E327&amp;$F327,".","_"),"(","_"),")","")</f>
        <v>dpa605_4</v>
      </c>
      <c r="AM327" s="1352" t="str">
        <f>M327</f>
        <v>6 Max</v>
      </c>
      <c r="AN327" s="1352" t="str">
        <f>SUBSTITUTE(SUBSTITUTE(SUBSTITUTE("dpc"&amp;$B327&amp;$C327&amp;$D327&amp;$E327&amp;$F327,".","_"),"(","_"),")","")</f>
        <v>dpc605_4</v>
      </c>
      <c r="AO327" s="1352">
        <f>O327</f>
        <v>0</v>
      </c>
    </row>
    <row r="328" spans="1:52" x14ac:dyDescent="0.2">
      <c r="B328" s="79" t="s">
        <v>3828</v>
      </c>
      <c r="C328" s="23"/>
      <c r="D328" s="23"/>
      <c r="E328" s="23"/>
      <c r="F328" s="691"/>
      <c r="G328" s="23"/>
      <c r="H328" s="691"/>
      <c r="I328" s="130"/>
      <c r="J328" s="129"/>
      <c r="K328" s="97"/>
      <c r="L328" s="1629"/>
      <c r="M328" s="1623"/>
      <c r="N328" s="129"/>
      <c r="O328" s="1619"/>
      <c r="P328" s="96"/>
      <c r="Q328" s="96"/>
      <c r="R328" s="96"/>
      <c r="S328" s="96"/>
      <c r="T328" s="96"/>
      <c r="U328" s="96"/>
      <c r="V328" s="96"/>
      <c r="W328" s="96"/>
      <c r="X328" s="96"/>
      <c r="Z328"/>
      <c r="AB328"/>
      <c r="AC328"/>
      <c r="AD328"/>
      <c r="AE328"/>
      <c r="AF328"/>
      <c r="AG328"/>
      <c r="AH328"/>
      <c r="AI328"/>
      <c r="AJ328"/>
      <c r="AK328"/>
    </row>
    <row r="329" spans="1:52" x14ac:dyDescent="0.2">
      <c r="B329" s="79" t="s">
        <v>3828</v>
      </c>
      <c r="C329" s="23" t="s">
        <v>254</v>
      </c>
      <c r="D329" s="23"/>
      <c r="E329" s="23"/>
      <c r="F329" s="691"/>
      <c r="G329" s="23"/>
      <c r="H329" s="691"/>
      <c r="I329" s="67"/>
      <c r="J329" s="207" t="s">
        <v>254</v>
      </c>
      <c r="K329" s="170"/>
      <c r="L329" s="296" t="s">
        <v>548</v>
      </c>
      <c r="M329" s="373">
        <v>3</v>
      </c>
      <c r="N329" s="4"/>
      <c r="O329" s="138"/>
      <c r="P329" s="332"/>
      <c r="Q329" s="332"/>
      <c r="R329" s="151"/>
      <c r="S329" s="151"/>
      <c r="T329" s="151"/>
      <c r="U329" s="151"/>
      <c r="V329" s="151"/>
      <c r="W329" s="151"/>
      <c r="X329" s="151"/>
      <c r="Z329" s="151"/>
      <c r="AB329" s="151"/>
      <c r="AC329" s="151"/>
      <c r="AD329" s="151"/>
      <c r="AE329" s="151"/>
      <c r="AF329" s="151"/>
      <c r="AG329" s="151"/>
      <c r="AH329" s="151"/>
      <c r="AI329" s="151"/>
      <c r="AJ329" s="151"/>
      <c r="AK329" s="151"/>
      <c r="AL329" s="1352" t="str">
        <f>SUBSTITUTE(SUBSTITUTE(SUBSTITUTE("dpa"&amp;$B329&amp;$C329&amp;$D329&amp;$E329&amp;$F329,".","_"),"(","_"),")","")</f>
        <v>dpa605_4_1</v>
      </c>
      <c r="AM329" s="1352">
        <f>M329</f>
        <v>3</v>
      </c>
      <c r="AT329" s="151"/>
    </row>
    <row r="330" spans="1:52" s="151" customFormat="1" x14ac:dyDescent="0.2">
      <c r="A330" s="20"/>
      <c r="B330" s="79" t="s">
        <v>3828</v>
      </c>
      <c r="C330" s="23" t="s">
        <v>255</v>
      </c>
      <c r="D330" s="23"/>
      <c r="E330" s="23"/>
      <c r="F330" s="691"/>
      <c r="G330" s="23"/>
      <c r="H330" s="691"/>
      <c r="I330" s="67"/>
      <c r="J330" s="29" t="s">
        <v>255</v>
      </c>
      <c r="K330" s="85"/>
      <c r="L330" s="299" t="s">
        <v>549</v>
      </c>
      <c r="M330" s="374">
        <v>1</v>
      </c>
      <c r="N330" s="4"/>
      <c r="O330" s="138"/>
      <c r="P330" s="332"/>
      <c r="Q330" s="332"/>
      <c r="Y330" s="704"/>
      <c r="AA330" s="707"/>
      <c r="AL330" s="1352" t="str">
        <f>SUBSTITUTE(SUBSTITUTE(SUBSTITUTE("dpa"&amp;$B330&amp;$C330&amp;$D330&amp;$E330&amp;$F330,".","_"),"(","_"),")","")</f>
        <v>dpa605_4_2</v>
      </c>
      <c r="AM330" s="1352">
        <f>M330</f>
        <v>1</v>
      </c>
      <c r="AN330" s="66"/>
      <c r="AO330" s="66"/>
      <c r="AP330" s="66"/>
      <c r="AQ330" s="66"/>
      <c r="AR330" s="66"/>
      <c r="AS330" s="66"/>
      <c r="AX330" s="66"/>
      <c r="AY330" s="66"/>
      <c r="AZ330" s="66"/>
    </row>
    <row r="331" spans="1:52" s="151" customFormat="1" x14ac:dyDescent="0.2">
      <c r="A331" s="20"/>
      <c r="B331" s="79" t="s">
        <v>3828</v>
      </c>
      <c r="C331" s="23" t="s">
        <v>255</v>
      </c>
      <c r="D331" s="23" t="s">
        <v>121</v>
      </c>
      <c r="E331" s="23"/>
      <c r="F331" s="691"/>
      <c r="G331" s="23"/>
      <c r="H331" s="691"/>
      <c r="I331" s="67"/>
      <c r="J331" s="4"/>
      <c r="K331" s="169" t="s">
        <v>121</v>
      </c>
      <c r="L331" s="296" t="s">
        <v>2615</v>
      </c>
      <c r="M331" s="374"/>
      <c r="N331" s="4"/>
      <c r="O331" s="138"/>
      <c r="P331" s="96" t="b">
        <v>1</v>
      </c>
      <c r="Q331" s="96" t="b">
        <v>1</v>
      </c>
      <c r="R331" s="151" t="b">
        <v>0</v>
      </c>
      <c r="S331" s="151" t="b">
        <v>1</v>
      </c>
      <c r="T331" s="151" t="b">
        <v>0</v>
      </c>
      <c r="W331" s="27"/>
      <c r="X331" s="1600"/>
      <c r="Y331" s="704"/>
      <c r="AA331" s="707"/>
      <c r="AL331" s="66"/>
      <c r="AM331" s="66"/>
      <c r="AN331" s="66"/>
      <c r="AO331" s="66"/>
      <c r="AP331" s="1352" t="str">
        <f t="shared" ref="AP331:AP339" si="11">SUBSTITUTE(SUBSTITUTE(SUBSTITUTE("dch"&amp;$B331&amp;$C331&amp;$D331&amp;$E331&amp;$F331,".","_"),"(","_"),")","")</f>
        <v>dch605_4_2_a</v>
      </c>
      <c r="AQ331" s="1352" t="str">
        <f t="shared" ref="AQ331:AQ339" si="12">IF(LEN(W331)=0,"",W331)</f>
        <v/>
      </c>
      <c r="AR331" s="1352" t="str">
        <f>SUBSTITUTE(SUBSTITUTE(SUBSTITUTE("dnt"&amp;$B331&amp;$C331&amp;$D331&amp;$E331&amp;$F331,".","_"),"(","_"),")","")</f>
        <v>dnt605_4_2_a</v>
      </c>
      <c r="AS331" s="1352" t="str">
        <f>IF(LEN(X331)=0,"",X331)</f>
        <v/>
      </c>
      <c r="AX331" s="66"/>
      <c r="AY331" s="66"/>
      <c r="AZ331" s="66"/>
    </row>
    <row r="332" spans="1:52" s="151" customFormat="1" x14ac:dyDescent="0.2">
      <c r="A332" s="20"/>
      <c r="B332" s="79" t="s">
        <v>3828</v>
      </c>
      <c r="C332" s="23" t="s">
        <v>255</v>
      </c>
      <c r="D332" s="23" t="s">
        <v>122</v>
      </c>
      <c r="E332" s="23"/>
      <c r="F332" s="691"/>
      <c r="G332" s="23"/>
      <c r="H332" s="691"/>
      <c r="I332" s="67"/>
      <c r="J332" s="4"/>
      <c r="K332" s="216" t="s">
        <v>122</v>
      </c>
      <c r="L332" s="311" t="s">
        <v>2616</v>
      </c>
      <c r="M332" s="374"/>
      <c r="N332" s="4"/>
      <c r="O332" s="138"/>
      <c r="P332" s="96" t="b">
        <v>1</v>
      </c>
      <c r="Q332" s="96" t="b">
        <v>1</v>
      </c>
      <c r="R332" s="151" t="b">
        <v>0</v>
      </c>
      <c r="S332" s="151" t="b">
        <v>1</v>
      </c>
      <c r="T332" s="151" t="b">
        <v>0</v>
      </c>
      <c r="W332" s="27"/>
      <c r="X332" s="1600"/>
      <c r="Y332" s="704"/>
      <c r="AA332" s="707"/>
      <c r="AL332" s="66"/>
      <c r="AM332" s="66"/>
      <c r="AN332" s="66"/>
      <c r="AO332" s="66"/>
      <c r="AP332" s="1352" t="str">
        <f t="shared" si="11"/>
        <v>dch605_4_2_b</v>
      </c>
      <c r="AQ332" s="1352" t="str">
        <f t="shared" si="12"/>
        <v/>
      </c>
      <c r="AR332" s="66"/>
      <c r="AS332" s="66"/>
    </row>
    <row r="333" spans="1:52" s="151" customFormat="1" x14ac:dyDescent="0.2">
      <c r="A333" s="20"/>
      <c r="B333" s="79" t="s">
        <v>3828</v>
      </c>
      <c r="C333" s="23" t="s">
        <v>255</v>
      </c>
      <c r="D333" s="23" t="s">
        <v>123</v>
      </c>
      <c r="E333" s="23"/>
      <c r="F333" s="691"/>
      <c r="G333" s="23"/>
      <c r="H333" s="691"/>
      <c r="I333" s="67"/>
      <c r="J333" s="4"/>
      <c r="K333" s="222" t="s">
        <v>123</v>
      </c>
      <c r="L333" s="311" t="s">
        <v>2617</v>
      </c>
      <c r="M333" s="374"/>
      <c r="N333" s="4"/>
      <c r="O333" s="138"/>
      <c r="P333" s="96" t="b">
        <v>1</v>
      </c>
      <c r="Q333" s="96" t="b">
        <v>1</v>
      </c>
      <c r="R333" s="151" t="b">
        <v>0</v>
      </c>
      <c r="S333" s="151" t="b">
        <v>1</v>
      </c>
      <c r="T333" s="151" t="b">
        <v>0</v>
      </c>
      <c r="W333" s="27"/>
      <c r="X333" s="1600"/>
      <c r="Y333" s="704"/>
      <c r="AA333" s="707"/>
      <c r="AL333" s="66"/>
      <c r="AM333" s="66"/>
      <c r="AN333" s="66"/>
      <c r="AO333" s="66"/>
      <c r="AP333" s="1352" t="str">
        <f t="shared" si="11"/>
        <v>dch605_4_2_c</v>
      </c>
      <c r="AQ333" s="1352" t="str">
        <f t="shared" si="12"/>
        <v/>
      </c>
      <c r="AR333" s="66"/>
      <c r="AS333" s="66"/>
    </row>
    <row r="334" spans="1:52" s="151" customFormat="1" x14ac:dyDescent="0.2">
      <c r="A334" s="20"/>
      <c r="B334" s="79" t="s">
        <v>3828</v>
      </c>
      <c r="C334" s="23" t="s">
        <v>255</v>
      </c>
      <c r="D334" s="23" t="s">
        <v>366</v>
      </c>
      <c r="E334" s="23"/>
      <c r="F334" s="691"/>
      <c r="G334" s="23"/>
      <c r="H334" s="691"/>
      <c r="I334" s="67"/>
      <c r="J334" s="4"/>
      <c r="K334" s="223" t="s">
        <v>366</v>
      </c>
      <c r="L334" s="311" t="s">
        <v>2618</v>
      </c>
      <c r="M334" s="374"/>
      <c r="N334" s="4"/>
      <c r="O334" s="138"/>
      <c r="P334" s="96" t="b">
        <v>1</v>
      </c>
      <c r="Q334" s="96" t="b">
        <v>1</v>
      </c>
      <c r="R334" s="151" t="b">
        <v>0</v>
      </c>
      <c r="S334" s="151" t="b">
        <v>1</v>
      </c>
      <c r="T334" s="151" t="b">
        <v>0</v>
      </c>
      <c r="W334" s="27"/>
      <c r="X334" s="1600"/>
      <c r="Y334" s="704"/>
      <c r="AA334" s="707"/>
      <c r="AL334" s="66"/>
      <c r="AM334" s="66"/>
      <c r="AN334" s="66"/>
      <c r="AO334" s="66"/>
      <c r="AP334" s="1352" t="str">
        <f t="shared" si="11"/>
        <v>dch605_4_2_d</v>
      </c>
      <c r="AQ334" s="1352" t="str">
        <f t="shared" si="12"/>
        <v/>
      </c>
      <c r="AR334" s="66"/>
      <c r="AS334" s="66"/>
    </row>
    <row r="335" spans="1:52" s="151" customFormat="1" x14ac:dyDescent="0.2">
      <c r="A335" s="20"/>
      <c r="B335" s="79" t="s">
        <v>3828</v>
      </c>
      <c r="C335" s="23" t="s">
        <v>255</v>
      </c>
      <c r="D335" s="23" t="s">
        <v>472</v>
      </c>
      <c r="E335" s="23"/>
      <c r="F335" s="691"/>
      <c r="G335" s="23"/>
      <c r="H335" s="691"/>
      <c r="I335" s="67"/>
      <c r="J335" s="4"/>
      <c r="K335" s="216" t="s">
        <v>472</v>
      </c>
      <c r="L335" s="311" t="s">
        <v>2619</v>
      </c>
      <c r="M335" s="374"/>
      <c r="N335" s="4"/>
      <c r="O335" s="138"/>
      <c r="P335" s="96" t="b">
        <v>1</v>
      </c>
      <c r="Q335" s="96" t="b">
        <v>1</v>
      </c>
      <c r="R335" s="151" t="b">
        <v>0</v>
      </c>
      <c r="S335" s="151" t="b">
        <v>1</v>
      </c>
      <c r="T335" s="151" t="b">
        <v>0</v>
      </c>
      <c r="W335" s="27"/>
      <c r="X335" s="1600"/>
      <c r="Y335" s="704"/>
      <c r="AA335" s="707"/>
      <c r="AL335" s="66"/>
      <c r="AM335" s="66"/>
      <c r="AN335" s="66"/>
      <c r="AO335" s="66"/>
      <c r="AP335" s="1352" t="str">
        <f t="shared" si="11"/>
        <v>dch605_4_2_e</v>
      </c>
      <c r="AQ335" s="1352" t="str">
        <f t="shared" si="12"/>
        <v/>
      </c>
      <c r="AR335" s="66"/>
      <c r="AS335" s="66"/>
    </row>
    <row r="336" spans="1:52" s="151" customFormat="1" x14ac:dyDescent="0.2">
      <c r="A336" s="20"/>
      <c r="B336" s="79" t="s">
        <v>3828</v>
      </c>
      <c r="C336" s="23" t="s">
        <v>255</v>
      </c>
      <c r="D336" s="23" t="s">
        <v>510</v>
      </c>
      <c r="E336" s="23"/>
      <c r="F336" s="691"/>
      <c r="G336" s="23"/>
      <c r="H336" s="691"/>
      <c r="I336" s="67"/>
      <c r="J336" s="4"/>
      <c r="K336" s="216" t="s">
        <v>510</v>
      </c>
      <c r="L336" s="311" t="s">
        <v>2620</v>
      </c>
      <c r="M336" s="374"/>
      <c r="N336" s="4"/>
      <c r="O336" s="138"/>
      <c r="P336" s="96" t="b">
        <v>1</v>
      </c>
      <c r="Q336" s="96" t="b">
        <v>1</v>
      </c>
      <c r="R336" s="151" t="b">
        <v>0</v>
      </c>
      <c r="S336" s="151" t="b">
        <v>1</v>
      </c>
      <c r="T336" s="151" t="b">
        <v>0</v>
      </c>
      <c r="W336" s="27"/>
      <c r="X336" s="1600"/>
      <c r="Y336" s="704"/>
      <c r="AA336" s="707"/>
      <c r="AL336" s="66"/>
      <c r="AM336" s="66"/>
      <c r="AN336" s="66"/>
      <c r="AO336" s="66"/>
      <c r="AP336" s="1352" t="str">
        <f t="shared" si="11"/>
        <v>dch605_4_2_f</v>
      </c>
      <c r="AQ336" s="1352" t="str">
        <f t="shared" si="12"/>
        <v/>
      </c>
      <c r="AR336" s="66"/>
      <c r="AS336" s="66"/>
    </row>
    <row r="337" spans="1:52" s="151" customFormat="1" x14ac:dyDescent="0.2">
      <c r="A337" s="20"/>
      <c r="B337" s="79" t="s">
        <v>3828</v>
      </c>
      <c r="C337" s="23" t="s">
        <v>255</v>
      </c>
      <c r="D337" s="23" t="s">
        <v>512</v>
      </c>
      <c r="E337" s="23"/>
      <c r="F337" s="691"/>
      <c r="G337" s="23"/>
      <c r="H337" s="691"/>
      <c r="I337" s="67"/>
      <c r="J337" s="4"/>
      <c r="K337" s="222" t="s">
        <v>512</v>
      </c>
      <c r="L337" s="311" t="s">
        <v>2621</v>
      </c>
      <c r="M337" s="374"/>
      <c r="N337" s="4"/>
      <c r="O337" s="138"/>
      <c r="P337" s="96" t="b">
        <v>1</v>
      </c>
      <c r="Q337" s="96" t="b">
        <v>1</v>
      </c>
      <c r="R337" s="151" t="b">
        <v>0</v>
      </c>
      <c r="S337" s="151" t="b">
        <v>1</v>
      </c>
      <c r="T337" s="151" t="b">
        <v>0</v>
      </c>
      <c r="W337" s="27"/>
      <c r="X337" s="1600"/>
      <c r="Y337" s="704"/>
      <c r="AA337" s="707"/>
      <c r="AL337" s="66"/>
      <c r="AM337" s="66"/>
      <c r="AN337" s="66"/>
      <c r="AO337" s="66"/>
      <c r="AP337" s="1352" t="str">
        <f t="shared" si="11"/>
        <v>dch605_4_2_g</v>
      </c>
      <c r="AQ337" s="1352" t="str">
        <f t="shared" si="12"/>
        <v/>
      </c>
      <c r="AR337" s="66"/>
      <c r="AS337" s="66"/>
    </row>
    <row r="338" spans="1:52" s="151" customFormat="1" x14ac:dyDescent="0.2">
      <c r="A338" s="20"/>
      <c r="B338" s="79" t="s">
        <v>3828</v>
      </c>
      <c r="C338" s="23" t="s">
        <v>255</v>
      </c>
      <c r="D338" s="23" t="s">
        <v>514</v>
      </c>
      <c r="E338" s="23"/>
      <c r="F338" s="691"/>
      <c r="G338" s="23"/>
      <c r="H338" s="691"/>
      <c r="I338" s="67"/>
      <c r="J338" s="66"/>
      <c r="K338" s="223" t="s">
        <v>514</v>
      </c>
      <c r="L338" s="311" t="s">
        <v>2622</v>
      </c>
      <c r="M338" s="69"/>
      <c r="N338" s="4"/>
      <c r="O338" s="138"/>
      <c r="P338" s="96" t="b">
        <v>1</v>
      </c>
      <c r="Q338" s="96" t="b">
        <v>1</v>
      </c>
      <c r="R338" s="151" t="b">
        <v>0</v>
      </c>
      <c r="S338" s="151" t="b">
        <v>1</v>
      </c>
      <c r="T338" s="151" t="b">
        <v>0</v>
      </c>
      <c r="U338"/>
      <c r="V338"/>
      <c r="W338" s="27"/>
      <c r="X338" s="152"/>
      <c r="Y338" s="704"/>
      <c r="Z338"/>
      <c r="AA338" s="707"/>
      <c r="AB338"/>
      <c r="AC338" s="151" t="b">
        <f>OR(AD338:AE338)</f>
        <v>0</v>
      </c>
      <c r="AD338" s="151" t="b">
        <v>0</v>
      </c>
      <c r="AE338" s="1" t="b">
        <f>AND(W338=TRUE,LEN(X338)=0)</f>
        <v>0</v>
      </c>
      <c r="AF338"/>
      <c r="AG338"/>
      <c r="AH338"/>
      <c r="AI338"/>
      <c r="AJ338"/>
      <c r="AK338"/>
      <c r="AL338" s="66"/>
      <c r="AM338" s="66"/>
      <c r="AN338" s="66"/>
      <c r="AO338" s="66"/>
      <c r="AP338" s="1352" t="str">
        <f t="shared" si="11"/>
        <v>dch605_4_2_h</v>
      </c>
      <c r="AQ338" s="1352" t="str">
        <f t="shared" si="12"/>
        <v/>
      </c>
      <c r="AR338" s="1352" t="str">
        <f>SUBSTITUTE(SUBSTITUTE(SUBSTITUTE("dnt"&amp;$B338&amp;$C338&amp;$D338&amp;$E338&amp;$F338,".","_"),"(","_"),")","")</f>
        <v>dnt605_4_2_h</v>
      </c>
      <c r="AS338" s="1352" t="str">
        <f>IF(LEN(X338)=0,"",X338)</f>
        <v/>
      </c>
      <c r="AT338" s="66"/>
    </row>
    <row r="339" spans="1:52" x14ac:dyDescent="0.2">
      <c r="B339" s="79" t="s">
        <v>3828</v>
      </c>
      <c r="C339" s="23" t="s">
        <v>255</v>
      </c>
      <c r="D339" s="23" t="s">
        <v>648</v>
      </c>
      <c r="E339" s="23"/>
      <c r="F339" s="691"/>
      <c r="G339" s="23"/>
      <c r="H339" s="691"/>
      <c r="I339" s="67"/>
      <c r="K339" s="87" t="s">
        <v>648</v>
      </c>
      <c r="L339" s="299" t="s">
        <v>2622</v>
      </c>
      <c r="M339" s="69"/>
      <c r="N339" s="4"/>
      <c r="O339" s="138"/>
      <c r="P339" s="96" t="b">
        <v>1</v>
      </c>
      <c r="Q339" s="96" t="b">
        <v>1</v>
      </c>
      <c r="R339" s="151" t="b">
        <v>0</v>
      </c>
      <c r="S339" s="151" t="b">
        <v>1</v>
      </c>
      <c r="T339" s="151" t="b">
        <v>0</v>
      </c>
      <c r="U339"/>
      <c r="V339"/>
      <c r="W339" s="27"/>
      <c r="X339" s="152"/>
      <c r="Z339"/>
      <c r="AB339"/>
      <c r="AC339" s="151" t="b">
        <f>OR(AD339:AE339)</f>
        <v>0</v>
      </c>
      <c r="AD339" s="151" t="b">
        <v>0</v>
      </c>
      <c r="AE339" s="1" t="b">
        <f>AND(W339=TRUE,LEN(X339)=0)</f>
        <v>0</v>
      </c>
      <c r="AF339"/>
      <c r="AG339"/>
      <c r="AH339"/>
      <c r="AI339"/>
      <c r="AJ339"/>
      <c r="AK339"/>
      <c r="AP339" s="1352" t="str">
        <f t="shared" si="11"/>
        <v>dch605_4_2_i</v>
      </c>
      <c r="AQ339" s="1352" t="str">
        <f t="shared" si="12"/>
        <v/>
      </c>
      <c r="AR339" s="1352" t="str">
        <f>SUBSTITUTE(SUBSTITUTE(SUBSTITUTE("dnt"&amp;$B339&amp;$C339&amp;$D339&amp;$E339&amp;$F339,".","_"),"(","_"),")","")</f>
        <v>dnt605_4_2_i</v>
      </c>
      <c r="AS339" s="1352" t="str">
        <f>IF(LEN(X339)=0,"",X339)</f>
        <v/>
      </c>
      <c r="AX339" s="151"/>
      <c r="AY339" s="151"/>
      <c r="AZ339" s="151"/>
    </row>
    <row r="340" spans="1:52" x14ac:dyDescent="0.2">
      <c r="B340" s="79" t="s">
        <v>3828</v>
      </c>
      <c r="C340" s="23"/>
      <c r="D340" s="23"/>
      <c r="E340" s="23"/>
      <c r="F340" s="691"/>
      <c r="G340" s="23"/>
      <c r="H340" s="691"/>
      <c r="I340" s="67"/>
      <c r="J340" s="151"/>
      <c r="K340" s="87"/>
      <c r="L340" s="302" t="s">
        <v>2623</v>
      </c>
      <c r="M340" s="69"/>
      <c r="N340" s="4"/>
      <c r="O340" s="138"/>
      <c r="P340" s="332"/>
      <c r="Q340" s="332"/>
      <c r="R340" s="151"/>
      <c r="S340" s="151"/>
      <c r="T340" s="151"/>
      <c r="U340" s="151"/>
      <c r="V340" s="151"/>
      <c r="W340"/>
      <c r="X340"/>
      <c r="Z340" s="151"/>
      <c r="AB340" s="151"/>
      <c r="AC340" s="151"/>
      <c r="AD340" s="151"/>
      <c r="AE340" s="151"/>
      <c r="AF340" s="151"/>
      <c r="AG340" s="151"/>
      <c r="AH340" s="151"/>
      <c r="AI340" s="151"/>
      <c r="AJ340" s="151"/>
      <c r="AK340" s="151"/>
      <c r="AT340" s="151"/>
      <c r="AX340" s="151"/>
      <c r="AY340" s="151"/>
      <c r="AZ340" s="151"/>
    </row>
    <row r="341" spans="1:52" s="151" customFormat="1" ht="19" x14ac:dyDescent="0.25">
      <c r="A341" s="20"/>
      <c r="B341" s="79">
        <v>606</v>
      </c>
      <c r="C341" s="23"/>
      <c r="D341" s="23"/>
      <c r="E341" s="23"/>
      <c r="F341" s="691"/>
      <c r="G341" s="23"/>
      <c r="H341" s="691"/>
      <c r="I341" s="14" t="s">
        <v>3573</v>
      </c>
      <c r="J341" s="25"/>
      <c r="K341" s="84"/>
      <c r="L341" s="233"/>
      <c r="M341" s="339"/>
      <c r="N341" s="428"/>
      <c r="O341" s="419"/>
      <c r="P341" s="25"/>
      <c r="Q341" s="25"/>
      <c r="R341" s="25"/>
      <c r="S341" s="25"/>
      <c r="T341" s="25"/>
      <c r="U341" s="25"/>
      <c r="V341" s="25"/>
      <c r="W341" s="25"/>
      <c r="X341" s="25"/>
      <c r="Y341" s="704"/>
      <c r="Z341"/>
      <c r="AA341" s="707"/>
      <c r="AB341"/>
      <c r="AC341"/>
      <c r="AD341"/>
      <c r="AE341"/>
      <c r="AF341"/>
      <c r="AG341"/>
      <c r="AH341"/>
      <c r="AI341"/>
      <c r="AJ341"/>
      <c r="AK341"/>
      <c r="AL341" s="66"/>
      <c r="AM341" s="66"/>
      <c r="AN341" s="66"/>
      <c r="AO341" s="66"/>
      <c r="AP341" s="66"/>
      <c r="AQ341" s="66"/>
      <c r="AR341" s="66"/>
      <c r="AS341" s="66"/>
      <c r="AT341" s="66"/>
      <c r="AX341" s="66"/>
      <c r="AY341" s="66"/>
      <c r="AZ341" s="66"/>
    </row>
    <row r="342" spans="1:52" ht="16" thickBot="1" x14ac:dyDescent="0.25">
      <c r="B342" s="79" t="s">
        <v>3210</v>
      </c>
      <c r="C342" s="23"/>
      <c r="D342" s="23"/>
      <c r="E342" s="23"/>
      <c r="F342" s="691"/>
      <c r="G342" s="23"/>
      <c r="H342" s="691"/>
      <c r="I342" s="80" t="s">
        <v>3574</v>
      </c>
      <c r="J342" s="4"/>
      <c r="K342" s="85"/>
      <c r="L342" s="304" t="s">
        <v>3602</v>
      </c>
      <c r="M342" s="374"/>
      <c r="N342" s="4"/>
      <c r="O342" s="138"/>
      <c r="P342" s="332"/>
      <c r="Q342" s="332"/>
      <c r="R342"/>
      <c r="S342"/>
      <c r="T342"/>
      <c r="U342"/>
      <c r="V342"/>
      <c r="W342"/>
      <c r="X342"/>
      <c r="Z342"/>
      <c r="AB342"/>
      <c r="AC342"/>
      <c r="AD342"/>
      <c r="AE342"/>
      <c r="AF342"/>
      <c r="AG342"/>
      <c r="AH342"/>
      <c r="AI342"/>
      <c r="AJ342"/>
      <c r="AK342"/>
    </row>
    <row r="343" spans="1:52" ht="16" thickTop="1" x14ac:dyDescent="0.2">
      <c r="B343" s="79">
        <v>606.1</v>
      </c>
      <c r="C343" s="23"/>
      <c r="D343" s="23"/>
      <c r="E343" s="23"/>
      <c r="F343" s="691"/>
      <c r="G343" s="23"/>
      <c r="H343" s="691"/>
      <c r="I343" s="177" t="s">
        <v>3575</v>
      </c>
      <c r="J343" s="178"/>
      <c r="K343" s="179"/>
      <c r="L343" s="313" t="s">
        <v>3601</v>
      </c>
      <c r="M343" s="370"/>
      <c r="N343" s="178"/>
      <c r="O343" s="1682">
        <f ca="1">MIN(8,IF(R356&gt;1,6+R356+R354-2,IF(R356+R354&gt;1,3+MIN(2,R354+R356-2),0)))</f>
        <v>0</v>
      </c>
      <c r="P343" s="106"/>
      <c r="Q343" s="106"/>
      <c r="R343" s="106"/>
      <c r="S343" s="106"/>
      <c r="T343" s="106"/>
      <c r="U343" s="106"/>
      <c r="V343" s="106"/>
      <c r="W343" s="106"/>
      <c r="X343" s="106"/>
      <c r="Z343"/>
      <c r="AB343"/>
      <c r="AC343"/>
      <c r="AD343"/>
      <c r="AE343"/>
      <c r="AF343"/>
      <c r="AG343"/>
      <c r="AH343"/>
      <c r="AI343"/>
      <c r="AJ343"/>
      <c r="AK343"/>
      <c r="AN343" s="1352" t="str">
        <f>SUBSTITUTE(SUBSTITUTE(SUBSTITUTE("dpc"&amp;$B343&amp;$C343&amp;$D343&amp;$E343&amp;$F343,".","_"),"(","_"),")","")</f>
        <v>dpc606_1</v>
      </c>
      <c r="AO343" s="1352">
        <f ca="1">O343</f>
        <v>0</v>
      </c>
      <c r="AX343" s="151"/>
      <c r="AY343" s="151"/>
      <c r="AZ343" s="151"/>
    </row>
    <row r="344" spans="1:52" x14ac:dyDescent="0.2">
      <c r="B344" s="79">
        <v>606.1</v>
      </c>
      <c r="C344" s="23"/>
      <c r="D344" s="23" t="s">
        <v>121</v>
      </c>
      <c r="E344" s="23"/>
      <c r="F344" s="691"/>
      <c r="G344" s="23"/>
      <c r="H344" s="691"/>
      <c r="I344" s="130"/>
      <c r="J344" s="129"/>
      <c r="K344" s="93" t="s">
        <v>121</v>
      </c>
      <c r="L344" s="295" t="s">
        <v>3813</v>
      </c>
      <c r="M344" s="371"/>
      <c r="N344" s="129"/>
      <c r="O344" s="1619"/>
      <c r="P344" s="96" t="b">
        <v>1</v>
      </c>
      <c r="Q344" s="96" t="b">
        <v>1</v>
      </c>
      <c r="R344" s="96" t="b">
        <v>0</v>
      </c>
      <c r="S344" s="96" t="b">
        <f>OR(NOT(ISBLANK(W375)),NOT(ISBLANK(W376)),NOT(ISBLANK(W378)),NOT(ISBLANK(W379)))</f>
        <v>0</v>
      </c>
      <c r="T344" s="96" t="b">
        <f>AND(NOT(S344),LEN(W344)&gt;0)</f>
        <v>0</v>
      </c>
      <c r="U344" s="96" t="str">
        <f t="shared" ref="U344:U351" si="13">SUBSTITUTE(SUBSTITUTE(SUBSTITUTE("dd"&amp;B344&amp;C344&amp;D344&amp;E344&amp;F344,".","_"),"(","_"),")","")</f>
        <v>dd606_1_a</v>
      </c>
      <c r="V344" s="96"/>
      <c r="W344" s="110"/>
      <c r="X344" s="1601"/>
      <c r="Z344"/>
      <c r="AB344"/>
      <c r="AC344" s="151" t="b">
        <f>OR(AD344:AE344)</f>
        <v>0</v>
      </c>
      <c r="AD344" s="151" t="b">
        <f>T344</f>
        <v>0</v>
      </c>
      <c r="AE344"/>
      <c r="AF344"/>
      <c r="AG344"/>
      <c r="AH344"/>
      <c r="AI344"/>
      <c r="AJ344"/>
      <c r="AK344"/>
      <c r="AP344" s="1352" t="str">
        <f t="shared" ref="AP344:AP351" si="14">SUBSTITUTE(SUBSTITUTE(SUBSTITUTE("dch"&amp;$B344&amp;$C344&amp;$D344&amp;$E344&amp;$F344,".","_"),"(","_"),")","")</f>
        <v>dch606_1_a</v>
      </c>
      <c r="AQ344" s="1352" t="str">
        <f t="shared" ref="AQ344:AQ351" si="15">IF(LEN(W344)=0,"",W344)</f>
        <v/>
      </c>
      <c r="AR344" s="1352" t="str">
        <f>SUBSTITUTE(SUBSTITUTE(SUBSTITUTE("dnt"&amp;$B344&amp;$C344&amp;$D344&amp;$E344&amp;$F344,".","_"),"(","_"),")","")</f>
        <v>dnt606_1_a</v>
      </c>
      <c r="AS344" s="1352" t="str">
        <f>IF(LEN(X344)=0,"",X344)</f>
        <v/>
      </c>
    </row>
    <row r="345" spans="1:52" x14ac:dyDescent="0.2">
      <c r="B345" s="79">
        <v>606.1</v>
      </c>
      <c r="C345" s="23"/>
      <c r="D345" s="23" t="s">
        <v>122</v>
      </c>
      <c r="E345" s="23"/>
      <c r="F345" s="691"/>
      <c r="G345" s="23"/>
      <c r="H345" s="691"/>
      <c r="I345" s="130"/>
      <c r="J345" s="129"/>
      <c r="K345" s="93" t="s">
        <v>122</v>
      </c>
      <c r="L345" s="295" t="s">
        <v>550</v>
      </c>
      <c r="M345" s="371"/>
      <c r="N345" s="129"/>
      <c r="O345" s="1619"/>
      <c r="P345" s="96" t="b">
        <v>1</v>
      </c>
      <c r="Q345" s="96" t="b">
        <v>1</v>
      </c>
      <c r="R345" s="96" t="b">
        <v>0</v>
      </c>
      <c r="S345" s="96" t="b">
        <v>1</v>
      </c>
      <c r="T345" s="96" t="b">
        <v>0</v>
      </c>
      <c r="U345" s="96" t="str">
        <f t="shared" si="13"/>
        <v>dd606_1_b</v>
      </c>
      <c r="V345" s="96"/>
      <c r="W345" s="110"/>
      <c r="X345" s="1601"/>
      <c r="Z345"/>
      <c r="AB345"/>
      <c r="AC345"/>
      <c r="AD345"/>
      <c r="AE345"/>
      <c r="AF345"/>
      <c r="AG345"/>
      <c r="AH345"/>
      <c r="AI345"/>
      <c r="AJ345"/>
      <c r="AK345"/>
      <c r="AP345" s="1352" t="str">
        <f t="shared" si="14"/>
        <v>dch606_1_b</v>
      </c>
      <c r="AQ345" s="1352" t="str">
        <f t="shared" si="15"/>
        <v/>
      </c>
    </row>
    <row r="346" spans="1:52" x14ac:dyDescent="0.2">
      <c r="B346" s="79">
        <v>606.1</v>
      </c>
      <c r="C346" s="23"/>
      <c r="D346" s="28" t="s">
        <v>123</v>
      </c>
      <c r="E346" s="28"/>
      <c r="F346" s="692"/>
      <c r="G346" s="28"/>
      <c r="H346" s="692"/>
      <c r="I346" s="130"/>
      <c r="J346" s="129"/>
      <c r="K346" s="111" t="s">
        <v>123</v>
      </c>
      <c r="L346" s="295" t="s">
        <v>551</v>
      </c>
      <c r="M346" s="371"/>
      <c r="N346" s="129"/>
      <c r="O346" s="1619"/>
      <c r="P346" s="96" t="b">
        <v>1</v>
      </c>
      <c r="Q346" s="96" t="b">
        <v>1</v>
      </c>
      <c r="R346" s="96" t="b">
        <v>0</v>
      </c>
      <c r="S346" s="96" t="b">
        <v>1</v>
      </c>
      <c r="T346" s="96" t="b">
        <v>0</v>
      </c>
      <c r="U346" s="96" t="str">
        <f t="shared" si="13"/>
        <v>dd606_1_c</v>
      </c>
      <c r="V346" s="96"/>
      <c r="W346" s="110"/>
      <c r="X346" s="1601"/>
      <c r="Z346"/>
      <c r="AB346"/>
      <c r="AC346"/>
      <c r="AD346"/>
      <c r="AE346"/>
      <c r="AF346"/>
      <c r="AG346"/>
      <c r="AH346"/>
      <c r="AI346"/>
      <c r="AJ346"/>
      <c r="AK346"/>
      <c r="AP346" s="1352" t="str">
        <f t="shared" si="14"/>
        <v>dch606_1_c</v>
      </c>
      <c r="AQ346" s="1352" t="str">
        <f t="shared" si="15"/>
        <v/>
      </c>
    </row>
    <row r="347" spans="1:52" x14ac:dyDescent="0.2">
      <c r="B347" s="79">
        <v>606.1</v>
      </c>
      <c r="C347" s="23"/>
      <c r="D347" s="23" t="s">
        <v>366</v>
      </c>
      <c r="E347" s="23"/>
      <c r="F347" s="691"/>
      <c r="G347" s="23"/>
      <c r="H347" s="691"/>
      <c r="I347" s="130"/>
      <c r="J347" s="129"/>
      <c r="K347" s="187" t="s">
        <v>366</v>
      </c>
      <c r="L347" s="295" t="s">
        <v>552</v>
      </c>
      <c r="M347" s="371"/>
      <c r="N347" s="129"/>
      <c r="O347" s="1619"/>
      <c r="P347" s="96" t="b">
        <v>1</v>
      </c>
      <c r="Q347" s="96" t="b">
        <v>1</v>
      </c>
      <c r="R347" s="96" t="b">
        <v>0</v>
      </c>
      <c r="S347" s="96" t="b">
        <v>1</v>
      </c>
      <c r="T347" s="96" t="b">
        <v>0</v>
      </c>
      <c r="U347" s="96" t="str">
        <f t="shared" si="13"/>
        <v>dd606_1_d</v>
      </c>
      <c r="V347" s="96"/>
      <c r="W347" s="110"/>
      <c r="X347" s="1601"/>
      <c r="Z347"/>
      <c r="AB347"/>
      <c r="AC347"/>
      <c r="AD347"/>
      <c r="AE347"/>
      <c r="AF347"/>
      <c r="AG347"/>
      <c r="AH347"/>
      <c r="AI347"/>
      <c r="AJ347"/>
      <c r="AK347"/>
      <c r="AP347" s="1352" t="str">
        <f t="shared" si="14"/>
        <v>dch606_1_d</v>
      </c>
      <c r="AQ347" s="1352" t="str">
        <f t="shared" si="15"/>
        <v/>
      </c>
    </row>
    <row r="348" spans="1:52" x14ac:dyDescent="0.2">
      <c r="B348" s="79">
        <v>606.1</v>
      </c>
      <c r="C348" s="23"/>
      <c r="D348" s="23" t="s">
        <v>472</v>
      </c>
      <c r="E348" s="23"/>
      <c r="F348" s="691"/>
      <c r="G348" s="23"/>
      <c r="H348" s="691"/>
      <c r="I348" s="130"/>
      <c r="J348" s="129"/>
      <c r="K348" s="93" t="s">
        <v>472</v>
      </c>
      <c r="L348" s="295" t="s">
        <v>553</v>
      </c>
      <c r="M348" s="371"/>
      <c r="N348" s="129"/>
      <c r="O348" s="1619"/>
      <c r="P348" s="96" t="b">
        <v>1</v>
      </c>
      <c r="Q348" s="96" t="b">
        <v>1</v>
      </c>
      <c r="R348" s="96" t="b">
        <v>0</v>
      </c>
      <c r="S348" s="96" t="b">
        <v>1</v>
      </c>
      <c r="T348" s="96" t="b">
        <v>0</v>
      </c>
      <c r="U348" s="96" t="str">
        <f t="shared" si="13"/>
        <v>dd606_1_e</v>
      </c>
      <c r="V348" s="96"/>
      <c r="W348" s="110"/>
      <c r="X348" s="1601"/>
      <c r="Z348"/>
      <c r="AB348"/>
      <c r="AC348"/>
      <c r="AD348"/>
      <c r="AE348"/>
      <c r="AF348"/>
      <c r="AG348"/>
      <c r="AH348"/>
      <c r="AI348"/>
      <c r="AJ348"/>
      <c r="AK348"/>
      <c r="AP348" s="1352" t="str">
        <f t="shared" si="14"/>
        <v>dch606_1_e</v>
      </c>
      <c r="AQ348" s="1352" t="str">
        <f t="shared" si="15"/>
        <v/>
      </c>
    </row>
    <row r="349" spans="1:52" x14ac:dyDescent="0.2">
      <c r="B349" s="79">
        <v>606.1</v>
      </c>
      <c r="C349" s="23"/>
      <c r="D349" s="23" t="s">
        <v>510</v>
      </c>
      <c r="E349" s="23"/>
      <c r="F349" s="691"/>
      <c r="G349" s="23"/>
      <c r="H349" s="691"/>
      <c r="I349" s="130"/>
      <c r="J349" s="129"/>
      <c r="K349" s="93" t="s">
        <v>510</v>
      </c>
      <c r="L349" s="295" t="s">
        <v>554</v>
      </c>
      <c r="M349" s="371"/>
      <c r="N349" s="129"/>
      <c r="O349" s="1619"/>
      <c r="P349" s="96" t="b">
        <v>1</v>
      </c>
      <c r="Q349" s="96" t="b">
        <v>1</v>
      </c>
      <c r="R349" s="96" t="b">
        <v>0</v>
      </c>
      <c r="S349" s="96" t="b">
        <v>1</v>
      </c>
      <c r="T349" s="96" t="b">
        <v>0</v>
      </c>
      <c r="U349" s="96" t="str">
        <f t="shared" si="13"/>
        <v>dd606_1_f</v>
      </c>
      <c r="V349" s="96"/>
      <c r="W349" s="110"/>
      <c r="X349" s="1601"/>
      <c r="Z349"/>
      <c r="AB349"/>
      <c r="AC349"/>
      <c r="AD349"/>
      <c r="AE349"/>
      <c r="AF349"/>
      <c r="AG349"/>
      <c r="AH349"/>
      <c r="AI349"/>
      <c r="AJ349"/>
      <c r="AK349"/>
      <c r="AP349" s="1352" t="str">
        <f t="shared" si="14"/>
        <v>dch606_1_f</v>
      </c>
      <c r="AQ349" s="1352" t="str">
        <f t="shared" si="15"/>
        <v/>
      </c>
    </row>
    <row r="350" spans="1:52" x14ac:dyDescent="0.2">
      <c r="B350" s="79">
        <v>606.1</v>
      </c>
      <c r="C350" s="23"/>
      <c r="D350" s="28" t="s">
        <v>512</v>
      </c>
      <c r="E350" s="28"/>
      <c r="F350" s="692"/>
      <c r="G350" s="28"/>
      <c r="H350" s="692"/>
      <c r="I350" s="130"/>
      <c r="J350" s="129"/>
      <c r="K350" s="111" t="s">
        <v>512</v>
      </c>
      <c r="L350" s="295" t="s">
        <v>555</v>
      </c>
      <c r="M350" s="371"/>
      <c r="N350" s="129"/>
      <c r="O350" s="1619"/>
      <c r="P350" s="96" t="b">
        <v>1</v>
      </c>
      <c r="Q350" s="96" t="b">
        <v>1</v>
      </c>
      <c r="R350" s="96" t="b">
        <v>0</v>
      </c>
      <c r="S350" s="96" t="b">
        <v>1</v>
      </c>
      <c r="T350" s="96" t="b">
        <v>0</v>
      </c>
      <c r="U350" s="96" t="str">
        <f t="shared" si="13"/>
        <v>dd606_1_g</v>
      </c>
      <c r="V350" s="96"/>
      <c r="W350" s="110"/>
      <c r="X350" s="1601"/>
      <c r="Z350"/>
      <c r="AB350"/>
      <c r="AC350"/>
      <c r="AD350"/>
      <c r="AE350"/>
      <c r="AF350"/>
      <c r="AG350"/>
      <c r="AH350"/>
      <c r="AI350"/>
      <c r="AJ350"/>
      <c r="AK350"/>
      <c r="AP350" s="1352" t="str">
        <f t="shared" si="14"/>
        <v>dch606_1_g</v>
      </c>
      <c r="AQ350" s="1352" t="str">
        <f t="shared" si="15"/>
        <v/>
      </c>
    </row>
    <row r="351" spans="1:52" x14ac:dyDescent="0.2">
      <c r="B351" s="79">
        <v>606.1</v>
      </c>
      <c r="C351" s="23"/>
      <c r="D351" s="23" t="s">
        <v>514</v>
      </c>
      <c r="E351" s="23"/>
      <c r="F351" s="691"/>
      <c r="G351" s="23"/>
      <c r="H351" s="691"/>
      <c r="I351" s="130"/>
      <c r="J351" s="129"/>
      <c r="K351" s="187" t="s">
        <v>514</v>
      </c>
      <c r="L351" s="1609" t="s">
        <v>556</v>
      </c>
      <c r="M351" s="371"/>
      <c r="N351" s="129"/>
      <c r="O351" s="1619"/>
      <c r="P351" s="96" t="b">
        <v>1</v>
      </c>
      <c r="Q351" s="96" t="b">
        <v>1</v>
      </c>
      <c r="R351" s="96" t="b">
        <v>0</v>
      </c>
      <c r="S351" s="96" t="b">
        <v>1</v>
      </c>
      <c r="T351" s="96" t="b">
        <v>0</v>
      </c>
      <c r="U351" s="96" t="str">
        <f t="shared" si="13"/>
        <v>dd606_1_h</v>
      </c>
      <c r="V351" s="96"/>
      <c r="W351" s="110"/>
      <c r="X351" s="1601"/>
      <c r="Z351"/>
      <c r="AB351"/>
      <c r="AC351" s="132" t="b">
        <f>OR(AD351:AE351)</f>
        <v>0</v>
      </c>
      <c r="AD351" s="132" t="b">
        <v>0</v>
      </c>
      <c r="AE351" s="1" t="b">
        <f>AND(NOT(ISBLANK(W351)),LEN(X344)=0)</f>
        <v>0</v>
      </c>
      <c r="AF351"/>
      <c r="AG351"/>
      <c r="AH351"/>
      <c r="AI351"/>
      <c r="AJ351"/>
      <c r="AK351"/>
      <c r="AP351" s="1352" t="str">
        <f t="shared" si="14"/>
        <v>dch606_1_h</v>
      </c>
      <c r="AQ351" s="1352" t="str">
        <f t="shared" si="15"/>
        <v/>
      </c>
    </row>
    <row r="352" spans="1:52" x14ac:dyDescent="0.2">
      <c r="B352" s="79">
        <v>606.1</v>
      </c>
      <c r="C352" s="23"/>
      <c r="D352" s="23" t="s">
        <v>514</v>
      </c>
      <c r="E352" s="23"/>
      <c r="F352" s="691"/>
      <c r="G352" s="23"/>
      <c r="H352" s="691"/>
      <c r="I352" s="130"/>
      <c r="J352" s="129"/>
      <c r="K352" s="187"/>
      <c r="L352" s="1609"/>
      <c r="M352" s="371"/>
      <c r="N352" s="129"/>
      <c r="O352" s="1619"/>
      <c r="P352" s="96"/>
      <c r="Q352" s="96"/>
      <c r="R352" s="96"/>
      <c r="S352" s="96"/>
      <c r="T352" s="96"/>
      <c r="U352" s="96"/>
      <c r="V352" s="96"/>
      <c r="W352" s="96"/>
      <c r="X352" s="1601"/>
      <c r="Z352"/>
      <c r="AB352"/>
      <c r="AC352"/>
      <c r="AD352"/>
      <c r="AE352"/>
      <c r="AF352"/>
      <c r="AG352"/>
      <c r="AH352"/>
      <c r="AI352"/>
      <c r="AJ352"/>
      <c r="AK352"/>
    </row>
    <row r="353" spans="1:52" x14ac:dyDescent="0.2">
      <c r="B353" s="79">
        <v>606.1</v>
      </c>
      <c r="C353" s="23"/>
      <c r="D353" s="23"/>
      <c r="E353" s="23"/>
      <c r="F353" s="691"/>
      <c r="G353" s="23"/>
      <c r="H353" s="691"/>
      <c r="I353" s="130"/>
      <c r="J353" s="129"/>
      <c r="K353" s="187"/>
      <c r="L353" s="300" t="s">
        <v>679</v>
      </c>
      <c r="M353" s="371"/>
      <c r="N353" s="129"/>
      <c r="O353" s="238"/>
      <c r="P353" s="96"/>
      <c r="Q353" s="96"/>
      <c r="R353" s="96"/>
      <c r="S353" s="96"/>
      <c r="T353" s="96"/>
      <c r="U353" s="96"/>
      <c r="V353" s="96"/>
      <c r="W353" s="96"/>
      <c r="X353" s="1601"/>
      <c r="Z353" s="132"/>
      <c r="AB353" s="132"/>
      <c r="AC353" s="132"/>
      <c r="AD353" s="132"/>
      <c r="AE353" s="132"/>
      <c r="AF353" s="132"/>
      <c r="AG353" s="132"/>
      <c r="AH353" s="132"/>
      <c r="AI353" s="132"/>
      <c r="AJ353" s="132"/>
      <c r="AK353" s="132"/>
      <c r="AT353" s="132"/>
    </row>
    <row r="354" spans="1:52" s="132" customFormat="1" x14ac:dyDescent="0.2">
      <c r="A354" s="20"/>
      <c r="B354" s="79">
        <v>606.1</v>
      </c>
      <c r="C354" s="23" t="s">
        <v>254</v>
      </c>
      <c r="D354" s="23"/>
      <c r="E354" s="23"/>
      <c r="F354" s="691"/>
      <c r="G354" s="23"/>
      <c r="H354" s="691"/>
      <c r="I354" s="130"/>
      <c r="J354" s="180" t="s">
        <v>254</v>
      </c>
      <c r="K354" s="97"/>
      <c r="L354" s="1609" t="s">
        <v>557</v>
      </c>
      <c r="M354" s="1623">
        <v>3</v>
      </c>
      <c r="N354" s="129"/>
      <c r="O354" s="238"/>
      <c r="P354" s="96"/>
      <c r="Q354" s="96"/>
      <c r="R354" s="198">
        <f ca="1">COUNTIF(W345:W351,INDEX(INDIRECT(U344),1))+IF(AND(S344,W344=INDEX(INDIRECT(U344),1)),1,0)</f>
        <v>0</v>
      </c>
      <c r="S354" s="96"/>
      <c r="T354" s="96"/>
      <c r="U354" s="96"/>
      <c r="V354" s="96"/>
      <c r="W354" s="96"/>
      <c r="X354" s="1601"/>
      <c r="Y354" s="704"/>
      <c r="Z354"/>
      <c r="AA354" s="707"/>
      <c r="AB354"/>
      <c r="AC354"/>
      <c r="AD354"/>
      <c r="AE354"/>
      <c r="AF354"/>
      <c r="AG354"/>
      <c r="AH354"/>
      <c r="AI354"/>
      <c r="AJ354"/>
      <c r="AK354"/>
      <c r="AL354" s="1352" t="str">
        <f>SUBSTITUTE(SUBSTITUTE(SUBSTITUTE("dpa"&amp;$B354&amp;$C354&amp;$D354&amp;$E354&amp;$F354,".","_"),"(","_"),")","")</f>
        <v>dpa606_1_1</v>
      </c>
      <c r="AM354" s="1352">
        <f>M354</f>
        <v>3</v>
      </c>
      <c r="AN354" s="66"/>
      <c r="AO354" s="66"/>
      <c r="AP354" s="66"/>
      <c r="AQ354" s="66"/>
      <c r="AR354" s="66"/>
      <c r="AS354" s="66"/>
      <c r="AT354" s="66"/>
      <c r="AX354" s="66"/>
      <c r="AY354" s="66"/>
      <c r="AZ354" s="66"/>
    </row>
    <row r="355" spans="1:52" x14ac:dyDescent="0.2">
      <c r="B355" s="79">
        <v>606.1</v>
      </c>
      <c r="C355" s="23" t="s">
        <v>254</v>
      </c>
      <c r="D355" s="23"/>
      <c r="E355" s="23"/>
      <c r="F355" s="691"/>
      <c r="G355" s="23"/>
      <c r="H355" s="691"/>
      <c r="I355" s="130"/>
      <c r="J355" s="213"/>
      <c r="K355" s="170"/>
      <c r="L355" s="1612"/>
      <c r="M355" s="1624"/>
      <c r="N355" s="129"/>
      <c r="O355" s="238"/>
      <c r="P355" s="96"/>
      <c r="Q355" s="96"/>
      <c r="R355" s="96"/>
      <c r="S355" s="96"/>
      <c r="T355" s="96"/>
      <c r="U355" s="96"/>
      <c r="V355" s="96"/>
      <c r="W355" s="96"/>
      <c r="X355" s="1601"/>
      <c r="Z355"/>
      <c r="AB355"/>
      <c r="AC355"/>
      <c r="AD355"/>
      <c r="AE355"/>
      <c r="AF355"/>
      <c r="AG355"/>
      <c r="AH355"/>
      <c r="AI355"/>
      <c r="AJ355"/>
      <c r="AK355"/>
    </row>
    <row r="356" spans="1:52" x14ac:dyDescent="0.2">
      <c r="B356" s="79">
        <v>606.1</v>
      </c>
      <c r="C356" s="23" t="s">
        <v>255</v>
      </c>
      <c r="D356" s="23"/>
      <c r="E356" s="23"/>
      <c r="F356" s="691"/>
      <c r="G356" s="23"/>
      <c r="H356" s="691"/>
      <c r="I356" s="130"/>
      <c r="J356" s="212" t="s">
        <v>255</v>
      </c>
      <c r="K356" s="194"/>
      <c r="L356" s="1613" t="s">
        <v>558</v>
      </c>
      <c r="M356" s="1636">
        <v>6</v>
      </c>
      <c r="N356" s="129"/>
      <c r="O356" s="238"/>
      <c r="P356" s="96"/>
      <c r="Q356" s="96"/>
      <c r="R356" s="198">
        <f ca="1">COUNTIF(W345:W351,INDEX(INDIRECT(U344),2))+IF(AND(S344,W344=INDEX(INDIRECT(U344),2)),1,0)</f>
        <v>0</v>
      </c>
      <c r="S356" s="96"/>
      <c r="T356" s="96"/>
      <c r="U356" s="96"/>
      <c r="V356" s="96"/>
      <c r="W356" s="96"/>
      <c r="X356" s="1601"/>
      <c r="Z356"/>
      <c r="AB356"/>
      <c r="AC356"/>
      <c r="AD356"/>
      <c r="AE356"/>
      <c r="AF356"/>
      <c r="AG356"/>
      <c r="AH356"/>
      <c r="AI356"/>
      <c r="AJ356"/>
      <c r="AK356"/>
      <c r="AL356" s="1352" t="str">
        <f>SUBSTITUTE(SUBSTITUTE(SUBSTITUTE("dpa"&amp;$B356&amp;$C356&amp;$D356&amp;$E356&amp;$F356,".","_"),"(","_"),")","")</f>
        <v>dpa606_1_2</v>
      </c>
      <c r="AM356" s="1352">
        <f>M356</f>
        <v>6</v>
      </c>
      <c r="AX356" s="132"/>
      <c r="AY356" s="132"/>
      <c r="AZ356" s="132"/>
    </row>
    <row r="357" spans="1:52" x14ac:dyDescent="0.2">
      <c r="B357" s="79">
        <v>606.1</v>
      </c>
      <c r="C357" s="23" t="s">
        <v>255</v>
      </c>
      <c r="D357" s="23"/>
      <c r="E357" s="23"/>
      <c r="F357" s="691"/>
      <c r="G357" s="23"/>
      <c r="H357" s="691"/>
      <c r="I357" s="130"/>
      <c r="J357" s="213"/>
      <c r="K357" s="170"/>
      <c r="L357" s="1612"/>
      <c r="M357" s="1624"/>
      <c r="N357" s="129"/>
      <c r="O357" s="238"/>
      <c r="P357" s="96"/>
      <c r="Q357" s="96"/>
      <c r="R357" s="96"/>
      <c r="S357" s="96"/>
      <c r="T357" s="96"/>
      <c r="U357" s="96"/>
      <c r="V357" s="96"/>
      <c r="W357" s="96"/>
      <c r="X357" s="1601"/>
      <c r="Z357"/>
      <c r="AB357"/>
      <c r="AC357"/>
      <c r="AD357"/>
      <c r="AE357"/>
      <c r="AF357"/>
      <c r="AG357"/>
      <c r="AH357"/>
      <c r="AI357"/>
      <c r="AJ357"/>
      <c r="AK357"/>
    </row>
    <row r="358" spans="1:52" x14ac:dyDescent="0.2">
      <c r="B358" s="79">
        <v>606.1</v>
      </c>
      <c r="C358" s="23" t="s">
        <v>256</v>
      </c>
      <c r="D358" s="23"/>
      <c r="E358" s="23"/>
      <c r="F358" s="691"/>
      <c r="G358" s="23"/>
      <c r="H358" s="691"/>
      <c r="I358" s="130"/>
      <c r="J358" s="180" t="s">
        <v>256</v>
      </c>
      <c r="K358" s="97"/>
      <c r="L358" s="1609" t="s">
        <v>559</v>
      </c>
      <c r="M358" s="1692" t="s">
        <v>2626</v>
      </c>
      <c r="N358" s="129"/>
      <c r="O358" s="238"/>
      <c r="P358" s="96"/>
      <c r="Q358" s="96"/>
      <c r="R358" s="96"/>
      <c r="S358" s="96"/>
      <c r="T358" s="96"/>
      <c r="U358" s="96"/>
      <c r="V358" s="96"/>
      <c r="W358" s="96"/>
      <c r="X358" s="1601"/>
      <c r="Z358"/>
      <c r="AB358"/>
      <c r="AC358"/>
      <c r="AD358"/>
      <c r="AE358"/>
      <c r="AF358"/>
      <c r="AG358"/>
      <c r="AH358"/>
      <c r="AI358"/>
      <c r="AJ358"/>
      <c r="AK358"/>
      <c r="AL358" s="1352" t="str">
        <f>SUBSTITUTE(SUBSTITUTE(SUBSTITUTE("dpa"&amp;$B358&amp;$C358&amp;$D358&amp;$E358&amp;$F358,".","_"),"(","_"),")","")</f>
        <v>dpa606_1_3</v>
      </c>
      <c r="AM358" s="1352" t="str">
        <f>M358</f>
        <v>1
2 Max</v>
      </c>
    </row>
    <row r="359" spans="1:52" ht="16" thickBot="1" x14ac:dyDescent="0.25">
      <c r="B359" s="79">
        <v>606.1</v>
      </c>
      <c r="C359" s="23" t="s">
        <v>256</v>
      </c>
      <c r="D359" s="23"/>
      <c r="E359" s="23"/>
      <c r="F359" s="691"/>
      <c r="G359" s="23"/>
      <c r="H359" s="691"/>
      <c r="I359" s="130"/>
      <c r="J359" s="129"/>
      <c r="K359" s="97"/>
      <c r="L359" s="1609"/>
      <c r="M359" s="1692"/>
      <c r="N359" s="129"/>
      <c r="O359" s="238"/>
      <c r="P359" s="96"/>
      <c r="Q359" s="96"/>
      <c r="R359" s="96"/>
      <c r="S359" s="96"/>
      <c r="T359" s="96"/>
      <c r="U359" s="96"/>
      <c r="V359" s="96"/>
      <c r="W359" s="96"/>
      <c r="X359" s="1621"/>
      <c r="Z359"/>
      <c r="AB359"/>
      <c r="AC359"/>
      <c r="AD359"/>
      <c r="AE359"/>
      <c r="AF359"/>
      <c r="AG359"/>
      <c r="AH359"/>
      <c r="AI359"/>
      <c r="AJ359"/>
      <c r="AK359"/>
    </row>
    <row r="360" spans="1:52" ht="16" thickTop="1" x14ac:dyDescent="0.2">
      <c r="B360" s="79">
        <v>606.20000000000005</v>
      </c>
      <c r="C360" s="23"/>
      <c r="D360" s="23"/>
      <c r="E360" s="23"/>
      <c r="F360" s="691"/>
      <c r="G360" s="23"/>
      <c r="H360" s="691"/>
      <c r="I360" s="177" t="s">
        <v>3576</v>
      </c>
      <c r="J360" s="178"/>
      <c r="K360" s="179"/>
      <c r="L360" s="1683" t="s">
        <v>3600</v>
      </c>
      <c r="M360" s="370"/>
      <c r="N360" s="178"/>
      <c r="O360" s="421"/>
      <c r="P360" s="106"/>
      <c r="Q360" s="106"/>
      <c r="R360" s="106"/>
      <c r="S360" s="106"/>
      <c r="T360" s="106"/>
      <c r="U360" s="106"/>
      <c r="V360" s="106"/>
      <c r="W360" s="106"/>
      <c r="X360" s="106"/>
      <c r="Z360"/>
      <c r="AB360"/>
      <c r="AC360"/>
      <c r="AD360"/>
      <c r="AE360"/>
      <c r="AF360"/>
      <c r="AG360"/>
      <c r="AH360"/>
      <c r="AI360"/>
      <c r="AJ360"/>
      <c r="AK360"/>
    </row>
    <row r="361" spans="1:52" x14ac:dyDescent="0.2">
      <c r="B361" s="79">
        <v>606.20000000000005</v>
      </c>
      <c r="C361" s="23"/>
      <c r="D361" s="23"/>
      <c r="E361" s="23"/>
      <c r="F361" s="691"/>
      <c r="G361" s="23"/>
      <c r="H361" s="691"/>
      <c r="I361" s="130"/>
      <c r="J361" s="129"/>
      <c r="K361" s="97"/>
      <c r="L361" s="1629"/>
      <c r="M361" s="371"/>
      <c r="N361" s="129"/>
      <c r="O361" s="238"/>
      <c r="P361" s="96"/>
      <c r="Q361" s="96"/>
      <c r="R361" s="96"/>
      <c r="S361" s="96"/>
      <c r="T361" s="96"/>
      <c r="U361" s="96"/>
      <c r="V361" s="96"/>
      <c r="W361" s="96"/>
      <c r="X361" s="96"/>
      <c r="Z361"/>
      <c r="AB361"/>
      <c r="AC361"/>
      <c r="AD361"/>
      <c r="AE361"/>
      <c r="AF361"/>
      <c r="AG361"/>
      <c r="AH361"/>
      <c r="AI361"/>
      <c r="AJ361"/>
      <c r="AK361"/>
    </row>
    <row r="362" spans="1:52" x14ac:dyDescent="0.2">
      <c r="B362" s="79">
        <v>606.20000000000005</v>
      </c>
      <c r="C362" s="23"/>
      <c r="D362" s="23" t="s">
        <v>121</v>
      </c>
      <c r="E362" s="23"/>
      <c r="F362" s="691"/>
      <c r="G362" s="23"/>
      <c r="H362" s="691"/>
      <c r="I362" s="67"/>
      <c r="J362" s="4"/>
      <c r="K362" s="89" t="s">
        <v>121</v>
      </c>
      <c r="L362" s="299" t="s">
        <v>560</v>
      </c>
      <c r="M362" s="374"/>
      <c r="N362" s="4"/>
      <c r="O362" s="138"/>
      <c r="P362" s="332"/>
      <c r="Q362" s="332"/>
      <c r="R362"/>
      <c r="S362"/>
      <c r="T362"/>
      <c r="U362"/>
      <c r="V362"/>
      <c r="W362"/>
      <c r="X362"/>
      <c r="Z362"/>
      <c r="AB362"/>
      <c r="AC362"/>
      <c r="AD362"/>
      <c r="AE362"/>
      <c r="AF362"/>
      <c r="AG362"/>
      <c r="AH362"/>
      <c r="AI362"/>
      <c r="AJ362"/>
      <c r="AK362"/>
    </row>
    <row r="363" spans="1:52" x14ac:dyDescent="0.2">
      <c r="B363" s="79">
        <v>606.20000000000005</v>
      </c>
      <c r="C363" s="23"/>
      <c r="D363" s="23" t="s">
        <v>122</v>
      </c>
      <c r="E363" s="23"/>
      <c r="F363" s="691"/>
      <c r="G363" s="23"/>
      <c r="H363" s="691"/>
      <c r="I363" s="67"/>
      <c r="J363" s="4"/>
      <c r="K363" s="89" t="s">
        <v>122</v>
      </c>
      <c r="L363" s="1611" t="s">
        <v>561</v>
      </c>
      <c r="M363" s="374"/>
      <c r="N363" s="4"/>
      <c r="O363" s="138"/>
      <c r="P363" s="332"/>
      <c r="Q363" s="332"/>
      <c r="R363"/>
      <c r="S363"/>
      <c r="T363"/>
      <c r="U363"/>
      <c r="V363"/>
      <c r="W363"/>
      <c r="X363"/>
      <c r="Z363"/>
      <c r="AB363"/>
      <c r="AC363"/>
      <c r="AD363"/>
      <c r="AE363"/>
      <c r="AF363"/>
      <c r="AG363"/>
      <c r="AH363"/>
      <c r="AI363"/>
      <c r="AJ363"/>
      <c r="AK363"/>
    </row>
    <row r="364" spans="1:52" x14ac:dyDescent="0.2">
      <c r="B364" s="79">
        <v>606.20000000000005</v>
      </c>
      <c r="C364" s="23"/>
      <c r="D364" s="23" t="s">
        <v>122</v>
      </c>
      <c r="E364" s="23"/>
      <c r="F364" s="691"/>
      <c r="G364" s="23"/>
      <c r="H364" s="691"/>
      <c r="I364" s="67"/>
      <c r="J364" s="4"/>
      <c r="K364" s="89"/>
      <c r="L364" s="1611"/>
      <c r="M364" s="374"/>
      <c r="N364" s="4"/>
      <c r="O364" s="138"/>
      <c r="P364" s="332"/>
      <c r="Q364" s="332"/>
      <c r="R364"/>
      <c r="S364"/>
      <c r="T364"/>
      <c r="U364"/>
      <c r="V364"/>
      <c r="W364"/>
      <c r="X364"/>
      <c r="Z364"/>
      <c r="AB364"/>
      <c r="AC364"/>
      <c r="AD364"/>
      <c r="AE364"/>
      <c r="AF364"/>
      <c r="AG364"/>
      <c r="AH364"/>
      <c r="AI364"/>
      <c r="AJ364"/>
      <c r="AK364"/>
    </row>
    <row r="365" spans="1:52" x14ac:dyDescent="0.2">
      <c r="B365" s="79">
        <v>606.20000000000005</v>
      </c>
      <c r="C365" s="23"/>
      <c r="D365" s="23" t="s">
        <v>123</v>
      </c>
      <c r="E365" s="23"/>
      <c r="F365" s="691"/>
      <c r="G365" s="23"/>
      <c r="H365" s="691"/>
      <c r="I365" s="67"/>
      <c r="J365" s="4"/>
      <c r="K365" s="89" t="s">
        <v>123</v>
      </c>
      <c r="L365" s="236" t="s">
        <v>562</v>
      </c>
      <c r="M365" s="374"/>
      <c r="N365" s="4"/>
      <c r="O365" s="138"/>
      <c r="P365" s="332"/>
      <c r="Q365" s="332"/>
      <c r="R365"/>
      <c r="S365"/>
      <c r="T365"/>
      <c r="U365"/>
      <c r="V365"/>
      <c r="W365"/>
      <c r="X365"/>
      <c r="Z365"/>
      <c r="AB365"/>
      <c r="AC365"/>
      <c r="AD365"/>
      <c r="AE365"/>
      <c r="AF365"/>
      <c r="AG365"/>
      <c r="AH365"/>
      <c r="AI365"/>
      <c r="AJ365"/>
      <c r="AK365"/>
    </row>
    <row r="366" spans="1:52" x14ac:dyDescent="0.2">
      <c r="B366" s="79">
        <v>606.20000000000005</v>
      </c>
      <c r="C366" s="23"/>
      <c r="D366" s="28" t="s">
        <v>366</v>
      </c>
      <c r="E366" s="28"/>
      <c r="F366" s="692"/>
      <c r="G366" s="28"/>
      <c r="H366" s="692"/>
      <c r="I366" s="67"/>
      <c r="J366" s="4"/>
      <c r="K366" s="91" t="s">
        <v>366</v>
      </c>
      <c r="L366" s="236" t="s">
        <v>563</v>
      </c>
      <c r="M366" s="374"/>
      <c r="N366" s="4"/>
      <c r="O366" s="138"/>
      <c r="P366" s="332"/>
      <c r="Q366" s="332"/>
      <c r="R366"/>
      <c r="S366"/>
      <c r="T366"/>
      <c r="U366"/>
      <c r="V366"/>
      <c r="W366"/>
      <c r="X366"/>
      <c r="Z366"/>
      <c r="AB366"/>
      <c r="AC366"/>
      <c r="AD366"/>
      <c r="AE366"/>
      <c r="AF366"/>
      <c r="AG366"/>
      <c r="AH366"/>
      <c r="AI366"/>
      <c r="AJ366"/>
      <c r="AK366"/>
    </row>
    <row r="367" spans="1:52" x14ac:dyDescent="0.2">
      <c r="B367" s="79">
        <v>606.20000000000005</v>
      </c>
      <c r="C367" s="23"/>
      <c r="D367" s="23" t="s">
        <v>472</v>
      </c>
      <c r="E367" s="23"/>
      <c r="F367" s="691"/>
      <c r="G367" s="23"/>
      <c r="H367" s="691"/>
      <c r="I367" s="67"/>
      <c r="J367" s="4"/>
      <c r="K367" s="87" t="s">
        <v>472</v>
      </c>
      <c r="L367" s="236" t="s">
        <v>564</v>
      </c>
      <c r="M367" s="374"/>
      <c r="N367" s="4"/>
      <c r="O367" s="138"/>
      <c r="P367" s="332"/>
      <c r="Q367" s="332"/>
      <c r="R367"/>
      <c r="S367"/>
      <c r="T367"/>
      <c r="U367"/>
      <c r="V367"/>
      <c r="W367"/>
      <c r="X367"/>
      <c r="Z367"/>
      <c r="AB367"/>
      <c r="AC367"/>
      <c r="AD367"/>
      <c r="AE367"/>
      <c r="AF367"/>
      <c r="AG367"/>
      <c r="AH367"/>
      <c r="AI367"/>
      <c r="AJ367"/>
      <c r="AK367"/>
    </row>
    <row r="368" spans="1:52" x14ac:dyDescent="0.2">
      <c r="B368" s="79">
        <v>606.20000000000005</v>
      </c>
      <c r="C368" s="23"/>
      <c r="D368" s="23" t="s">
        <v>510</v>
      </c>
      <c r="E368" s="23"/>
      <c r="F368" s="691"/>
      <c r="G368" s="23"/>
      <c r="H368" s="691"/>
      <c r="I368" s="67"/>
      <c r="J368" s="4"/>
      <c r="K368" s="89" t="s">
        <v>510</v>
      </c>
      <c r="L368" s="299" t="s">
        <v>565</v>
      </c>
      <c r="M368" s="374"/>
      <c r="N368" s="4"/>
      <c r="O368" s="138"/>
      <c r="P368" s="332"/>
      <c r="Q368" s="332"/>
      <c r="R368"/>
      <c r="S368"/>
      <c r="T368"/>
      <c r="U368"/>
      <c r="V368"/>
      <c r="W368"/>
      <c r="X368"/>
      <c r="Z368"/>
      <c r="AB368"/>
      <c r="AC368"/>
      <c r="AD368"/>
      <c r="AE368"/>
      <c r="AF368"/>
      <c r="AG368"/>
      <c r="AH368"/>
      <c r="AI368"/>
      <c r="AJ368"/>
      <c r="AK368"/>
    </row>
    <row r="369" spans="1:52" x14ac:dyDescent="0.2">
      <c r="B369" s="79">
        <v>606.20000000000005</v>
      </c>
      <c r="C369" s="23"/>
      <c r="D369" s="23" t="s">
        <v>512</v>
      </c>
      <c r="E369" s="23"/>
      <c r="F369" s="691"/>
      <c r="G369" s="23"/>
      <c r="H369" s="691"/>
      <c r="I369" s="67"/>
      <c r="J369" s="4"/>
      <c r="K369" s="89" t="s">
        <v>512</v>
      </c>
      <c r="L369" s="299" t="s">
        <v>566</v>
      </c>
      <c r="M369" s="374"/>
      <c r="N369" s="4"/>
      <c r="O369" s="138"/>
      <c r="P369" s="332"/>
      <c r="Q369" s="332"/>
      <c r="R369" s="151"/>
      <c r="S369" s="151"/>
      <c r="T369" s="151"/>
      <c r="U369" s="151"/>
      <c r="V369" s="151"/>
      <c r="W369" s="151"/>
      <c r="X369" s="151"/>
      <c r="Z369" s="151"/>
      <c r="AB369" s="151"/>
      <c r="AC369" s="151"/>
      <c r="AD369" s="151"/>
      <c r="AE369" s="151"/>
      <c r="AF369" s="151"/>
      <c r="AG369" s="151"/>
      <c r="AH369" s="151"/>
      <c r="AI369" s="151"/>
      <c r="AJ369" s="151"/>
      <c r="AK369" s="151"/>
      <c r="AT369" s="151"/>
    </row>
    <row r="370" spans="1:52" s="151" customFormat="1" x14ac:dyDescent="0.2">
      <c r="A370" s="20"/>
      <c r="B370" s="79">
        <v>606.20000000000005</v>
      </c>
      <c r="C370" s="23"/>
      <c r="D370" s="23" t="s">
        <v>514</v>
      </c>
      <c r="E370" s="23"/>
      <c r="F370" s="691"/>
      <c r="G370" s="23"/>
      <c r="H370" s="691"/>
      <c r="I370" s="67"/>
      <c r="J370" s="4"/>
      <c r="K370" s="89" t="s">
        <v>514</v>
      </c>
      <c r="L370" s="1717" t="s">
        <v>3990</v>
      </c>
      <c r="M370" s="374"/>
      <c r="N370" s="4"/>
      <c r="O370" s="138"/>
      <c r="P370" s="332"/>
      <c r="Q370" s="332"/>
      <c r="R370"/>
      <c r="S370"/>
      <c r="T370"/>
      <c r="U370"/>
      <c r="V370"/>
      <c r="X370"/>
      <c r="Y370" s="704"/>
      <c r="Z370"/>
      <c r="AA370" s="707"/>
      <c r="AB370"/>
      <c r="AC370"/>
      <c r="AD370"/>
      <c r="AE370"/>
      <c r="AF370"/>
      <c r="AG370"/>
      <c r="AH370"/>
      <c r="AI370"/>
      <c r="AJ370"/>
      <c r="AK370"/>
      <c r="AL370" s="66"/>
      <c r="AM370" s="66"/>
      <c r="AN370" s="66"/>
      <c r="AO370" s="66"/>
      <c r="AP370" s="66"/>
      <c r="AQ370" s="66"/>
      <c r="AR370" s="66"/>
      <c r="AS370" s="66"/>
      <c r="AT370" s="66"/>
      <c r="AX370" s="66"/>
      <c r="AY370" s="66"/>
      <c r="AZ370" s="66"/>
    </row>
    <row r="371" spans="1:52" s="823" customFormat="1" x14ac:dyDescent="0.2">
      <c r="A371" s="20"/>
      <c r="B371" s="79">
        <v>606.20000000000005</v>
      </c>
      <c r="C371" s="23"/>
      <c r="D371" s="23" t="s">
        <v>514</v>
      </c>
      <c r="E371" s="23"/>
      <c r="F371" s="691"/>
      <c r="G371" s="23"/>
      <c r="H371" s="691"/>
      <c r="I371" s="67"/>
      <c r="J371" s="4"/>
      <c r="K371" s="89"/>
      <c r="L371" s="1717"/>
      <c r="M371" s="836"/>
      <c r="N371" s="4"/>
      <c r="O371" s="829"/>
      <c r="AL371" s="66"/>
      <c r="AM371" s="66"/>
      <c r="AN371" s="66"/>
      <c r="AO371" s="66"/>
      <c r="AP371" s="66"/>
      <c r="AQ371" s="66"/>
      <c r="AR371" s="66"/>
      <c r="AS371" s="66"/>
      <c r="AX371" s="66"/>
      <c r="AY371" s="66"/>
      <c r="AZ371" s="66"/>
    </row>
    <row r="372" spans="1:52" s="823" customFormat="1" x14ac:dyDescent="0.2">
      <c r="A372" s="20"/>
      <c r="B372" s="79">
        <v>606.20000000000005</v>
      </c>
      <c r="C372" s="23"/>
      <c r="D372" s="23" t="s">
        <v>514</v>
      </c>
      <c r="E372" s="23"/>
      <c r="F372" s="691"/>
      <c r="G372" s="23"/>
      <c r="H372" s="691"/>
      <c r="I372" s="67"/>
      <c r="J372" s="4"/>
      <c r="K372" s="89"/>
      <c r="L372" s="1717"/>
      <c r="M372" s="836"/>
      <c r="N372" s="4"/>
      <c r="O372" s="829"/>
      <c r="AL372" s="66"/>
      <c r="AM372" s="66"/>
      <c r="AN372" s="66"/>
      <c r="AO372" s="66"/>
      <c r="AP372" s="66"/>
      <c r="AQ372" s="66"/>
      <c r="AR372" s="66"/>
      <c r="AS372" s="66"/>
      <c r="AX372" s="151"/>
      <c r="AY372" s="151"/>
      <c r="AZ372" s="151"/>
    </row>
    <row r="373" spans="1:52" s="823" customFormat="1" x14ac:dyDescent="0.2">
      <c r="A373" s="20"/>
      <c r="B373" s="79">
        <v>606.20000000000005</v>
      </c>
      <c r="C373" s="23"/>
      <c r="D373" s="23" t="s">
        <v>514</v>
      </c>
      <c r="E373" s="23"/>
      <c r="F373" s="691"/>
      <c r="G373" s="23"/>
      <c r="H373" s="691"/>
      <c r="I373" s="67"/>
      <c r="J373" s="4"/>
      <c r="K373" s="89"/>
      <c r="L373" s="1717"/>
      <c r="M373" s="836"/>
      <c r="N373" s="4"/>
      <c r="O373" s="829"/>
      <c r="AL373" s="66"/>
      <c r="AM373" s="66"/>
      <c r="AN373" s="66"/>
      <c r="AO373" s="66"/>
      <c r="AP373" s="66"/>
      <c r="AQ373" s="66"/>
      <c r="AR373" s="66"/>
      <c r="AS373" s="66"/>
      <c r="AX373" s="66"/>
      <c r="AY373" s="66"/>
    </row>
    <row r="374" spans="1:52" s="823" customFormat="1" x14ac:dyDescent="0.2">
      <c r="A374" s="20"/>
      <c r="B374" s="79">
        <v>606.20000000000005</v>
      </c>
      <c r="C374" s="23"/>
      <c r="D374" s="23" t="s">
        <v>514</v>
      </c>
      <c r="E374" s="23"/>
      <c r="F374" s="691"/>
      <c r="G374" s="23"/>
      <c r="H374" s="691"/>
      <c r="I374" s="67"/>
      <c r="J374" s="4"/>
      <c r="K374" s="89"/>
      <c r="L374" s="1717"/>
      <c r="M374" s="836"/>
      <c r="N374" s="4"/>
      <c r="O374" s="829"/>
      <c r="W374" t="s">
        <v>2627</v>
      </c>
      <c r="AL374" s="66"/>
      <c r="AM374" s="66"/>
      <c r="AN374" s="66"/>
      <c r="AO374" s="66"/>
      <c r="AP374" s="66"/>
      <c r="AQ374" s="66"/>
      <c r="AR374" s="66"/>
      <c r="AS374" s="66"/>
    </row>
    <row r="375" spans="1:52" x14ac:dyDescent="0.2">
      <c r="B375" s="79">
        <v>606.20000000000005</v>
      </c>
      <c r="C375" s="23" t="s">
        <v>254</v>
      </c>
      <c r="D375" s="80" t="s">
        <v>2539</v>
      </c>
      <c r="E375" s="80"/>
      <c r="F375" s="695"/>
      <c r="G375" s="80"/>
      <c r="H375" s="695"/>
      <c r="I375" s="67"/>
      <c r="J375" s="180" t="s">
        <v>254</v>
      </c>
      <c r="K375" s="97"/>
      <c r="L375" s="1609" t="s">
        <v>3992</v>
      </c>
      <c r="M375" s="1623">
        <v>3</v>
      </c>
      <c r="N375" s="129"/>
      <c r="O375" s="1619">
        <f>IF(AND(S375,NOT(ISBLANK(W375)),NOT(ISBLANK(W376))),M375,0)</f>
        <v>0</v>
      </c>
      <c r="P375" s="332" t="b">
        <v>1</v>
      </c>
      <c r="Q375" s="332" t="b">
        <v>1</v>
      </c>
      <c r="R375" s="126" t="b">
        <v>0</v>
      </c>
      <c r="S375" s="126" t="b">
        <v>1</v>
      </c>
      <c r="T375" s="126" t="b">
        <v>0</v>
      </c>
      <c r="U375" s="96" t="str">
        <f t="shared" ref="U375:U381" si="16">SUBSTITUTE(SUBSTITUTE(SUBSTITUTE("dd"&amp;B375&amp;C375&amp;D375&amp;E375&amp;F375,".","_"),"(","_"),")","")</f>
        <v>dd606_2_1a</v>
      </c>
      <c r="V375"/>
      <c r="W375" s="12"/>
      <c r="X375" s="152"/>
      <c r="Z375"/>
      <c r="AB375"/>
      <c r="AC375" s="151" t="b">
        <f>OR(AD375:AE375)</f>
        <v>0</v>
      </c>
      <c r="AD375" s="151" t="b">
        <v>0</v>
      </c>
      <c r="AE375" s="151" t="b">
        <f>AND(NOT(ISBLANK(W375)),LEN(X375)=0)</f>
        <v>0</v>
      </c>
      <c r="AF375"/>
      <c r="AG375"/>
      <c r="AH375"/>
      <c r="AI375"/>
      <c r="AJ375"/>
      <c r="AK375"/>
      <c r="AL375" s="1352" t="str">
        <f>SUBSTITUTE(SUBSTITUTE(SUBSTITUTE("dpa"&amp;$B375&amp;$C375&amp;$D375&amp;$E375&amp;$F375,".","_"),"(","_"),")","")</f>
        <v>dpa606_2_1a</v>
      </c>
      <c r="AM375" s="1352">
        <f>M375</f>
        <v>3</v>
      </c>
      <c r="AN375" s="1352" t="str">
        <f>SUBSTITUTE(SUBSTITUTE(SUBSTITUTE("dpc"&amp;$B375&amp;$C375&amp;$D375&amp;$E375&amp;$F375,".","_"),"(","_"),")","")</f>
        <v>dpc606_2_1a</v>
      </c>
      <c r="AO375" s="1352">
        <f>O375</f>
        <v>0</v>
      </c>
      <c r="AP375" s="1352" t="str">
        <f>SUBSTITUTE(SUBSTITUTE(SUBSTITUTE("dch"&amp;$B375&amp;$C375&amp;$D375&amp;$E375&amp;$F375,".","_"),"(","_"),")","")</f>
        <v>dch606_2_1a</v>
      </c>
      <c r="AQ375" s="1352" t="str">
        <f>IF(LEN(W375)=0,"",W375)</f>
        <v/>
      </c>
      <c r="AR375" s="1352" t="str">
        <f>SUBSTITUTE(SUBSTITUTE(SUBSTITUTE("dnt"&amp;$B375&amp;$C375&amp;$D375&amp;$E375&amp;$F375,".","_"),"(","_"),")","")</f>
        <v>dnt606_2_1a</v>
      </c>
      <c r="AS375" s="1352" t="str">
        <f>IF(LEN(X375)=0,"",X375)</f>
        <v/>
      </c>
      <c r="AX375" s="823"/>
      <c r="AY375" s="823"/>
      <c r="AZ375" s="823"/>
    </row>
    <row r="376" spans="1:52" x14ac:dyDescent="0.2">
      <c r="B376" s="79">
        <v>606.20000000000005</v>
      </c>
      <c r="C376" s="23" t="s">
        <v>254</v>
      </c>
      <c r="D376" s="80" t="s">
        <v>2540</v>
      </c>
      <c r="E376" s="80"/>
      <c r="F376" s="695"/>
      <c r="G376" s="80"/>
      <c r="H376" s="695"/>
      <c r="I376" s="67"/>
      <c r="J376" s="180"/>
      <c r="K376" s="97"/>
      <c r="L376" s="1609"/>
      <c r="M376" s="1623"/>
      <c r="N376" s="129"/>
      <c r="O376" s="1619"/>
      <c r="P376" s="332" t="b">
        <v>1</v>
      </c>
      <c r="Q376" s="332" t="b">
        <v>1</v>
      </c>
      <c r="R376" s="151" t="b">
        <v>0</v>
      </c>
      <c r="S376" s="151" t="b">
        <v>1</v>
      </c>
      <c r="T376" s="151" t="b">
        <v>0</v>
      </c>
      <c r="U376" s="96" t="str">
        <f t="shared" si="16"/>
        <v>dd606_2_1b</v>
      </c>
      <c r="V376"/>
      <c r="W376" s="12"/>
      <c r="X376" s="1600"/>
      <c r="Z376"/>
      <c r="AB376"/>
      <c r="AC376" s="151" t="b">
        <f>OR(AD376:AE376)</f>
        <v>0</v>
      </c>
      <c r="AD376" s="151" t="b">
        <v>0</v>
      </c>
      <c r="AE376" s="151" t="b">
        <f>AND(NOT(ISBLANK(W376)),LEN(X376)=0)</f>
        <v>0</v>
      </c>
      <c r="AF376"/>
      <c r="AG376"/>
      <c r="AH376"/>
      <c r="AI376"/>
      <c r="AJ376"/>
      <c r="AK376"/>
      <c r="AP376" s="1352" t="str">
        <f>SUBSTITUTE(SUBSTITUTE(SUBSTITUTE("dch"&amp;$B376&amp;$C376&amp;$D376&amp;$E376&amp;$F376,".","_"),"(","_"),")","")</f>
        <v>dch606_2_1b</v>
      </c>
      <c r="AQ376" s="1352" t="str">
        <f>IF(LEN(W376)=0,"",W376)</f>
        <v/>
      </c>
      <c r="AR376" s="1352" t="str">
        <f>SUBSTITUTE(SUBSTITUTE(SUBSTITUTE("dnt"&amp;$B376&amp;$C376&amp;$D376&amp;$E376&amp;$F376,".","_"),"(","_"),")","")</f>
        <v>dnt606_2_1b</v>
      </c>
      <c r="AS376" s="1352" t="str">
        <f>IF(LEN(X376)=0,"",X376)</f>
        <v/>
      </c>
      <c r="AX376" s="823"/>
      <c r="AY376" s="823"/>
      <c r="AZ376" s="823"/>
    </row>
    <row r="377" spans="1:52" x14ac:dyDescent="0.2">
      <c r="B377" s="79">
        <v>606.20000000000005</v>
      </c>
      <c r="C377" s="23" t="s">
        <v>254</v>
      </c>
      <c r="D377" s="80"/>
      <c r="E377" s="80"/>
      <c r="F377" s="695"/>
      <c r="G377" s="80"/>
      <c r="H377" s="695"/>
      <c r="I377" s="67"/>
      <c r="J377" s="207"/>
      <c r="K377" s="170"/>
      <c r="L377" s="220" t="s">
        <v>2628</v>
      </c>
      <c r="M377" s="1624"/>
      <c r="N377" s="213"/>
      <c r="O377" s="1620"/>
      <c r="P377" s="332"/>
      <c r="Q377" s="332"/>
      <c r="R377" s="151"/>
      <c r="S377" s="151"/>
      <c r="T377" s="151"/>
      <c r="U377" s="96"/>
      <c r="V377" s="151"/>
      <c r="W377"/>
      <c r="X377" s="1600"/>
      <c r="Z377" s="151"/>
      <c r="AB377" s="151"/>
      <c r="AC377" s="151"/>
      <c r="AD377" s="151"/>
      <c r="AE377" s="151"/>
      <c r="AF377" s="151"/>
      <c r="AG377" s="151"/>
      <c r="AH377" s="151"/>
      <c r="AI377" s="151"/>
      <c r="AJ377" s="151"/>
      <c r="AK377" s="151"/>
      <c r="AT377" s="151"/>
      <c r="AX377" s="823"/>
      <c r="AY377" s="823"/>
    </row>
    <row r="378" spans="1:52" s="151" customFormat="1" x14ac:dyDescent="0.2">
      <c r="A378" s="20"/>
      <c r="B378" s="79">
        <v>606.20000000000005</v>
      </c>
      <c r="C378" s="23" t="s">
        <v>255</v>
      </c>
      <c r="D378" s="80" t="s">
        <v>2539</v>
      </c>
      <c r="E378" s="80"/>
      <c r="F378" s="695"/>
      <c r="G378" s="80"/>
      <c r="H378" s="695"/>
      <c r="I378" s="67"/>
      <c r="J378" s="29" t="s">
        <v>255</v>
      </c>
      <c r="K378" s="85"/>
      <c r="L378" s="1611" t="s">
        <v>3993</v>
      </c>
      <c r="M378" s="1628">
        <v>4</v>
      </c>
      <c r="N378" s="4"/>
      <c r="O378" s="1669">
        <f>IF(AND(S378,NOT(ISBLANK(W378)),NOT(ISBLANK(W379))),M378,0)</f>
        <v>0</v>
      </c>
      <c r="P378" s="332" t="b">
        <v>1</v>
      </c>
      <c r="Q378" s="332" t="b">
        <v>1</v>
      </c>
      <c r="R378" s="126" t="b">
        <v>0</v>
      </c>
      <c r="S378" s="126" t="b">
        <v>1</v>
      </c>
      <c r="T378" s="126" t="b">
        <v>0</v>
      </c>
      <c r="U378" s="96" t="str">
        <f t="shared" si="16"/>
        <v>dd606_2_2a</v>
      </c>
      <c r="V378"/>
      <c r="W378" s="12"/>
      <c r="X378" s="152"/>
      <c r="Y378" s="704"/>
      <c r="Z378"/>
      <c r="AA378" s="707"/>
      <c r="AB378"/>
      <c r="AC378" s="151" t="b">
        <f>OR(AD378:AE378)</f>
        <v>0</v>
      </c>
      <c r="AD378" s="151" t="b">
        <v>0</v>
      </c>
      <c r="AE378" s="151" t="b">
        <f>AND(NOT(ISBLANK(W378)),LEN(X378)=0)</f>
        <v>0</v>
      </c>
      <c r="AF378"/>
      <c r="AG378"/>
      <c r="AH378"/>
      <c r="AI378"/>
      <c r="AJ378"/>
      <c r="AK378"/>
      <c r="AL378" s="1352" t="str">
        <f>SUBSTITUTE(SUBSTITUTE(SUBSTITUTE("dpa"&amp;$B378&amp;$C378&amp;$D378&amp;$E378&amp;$F378,".","_"),"(","_"),")","")</f>
        <v>dpa606_2_2a</v>
      </c>
      <c r="AM378" s="1352">
        <f>M378</f>
        <v>4</v>
      </c>
      <c r="AN378" s="1352" t="str">
        <f>SUBSTITUTE(SUBSTITUTE(SUBSTITUTE("dpc"&amp;$B378&amp;$C378&amp;$D378&amp;$E378&amp;$F378,".","_"),"(","_"),")","")</f>
        <v>dpc606_2_2a</v>
      </c>
      <c r="AO378" s="1352">
        <f>O378</f>
        <v>0</v>
      </c>
      <c r="AP378" s="1352" t="str">
        <f>SUBSTITUTE(SUBSTITUTE(SUBSTITUTE("dch"&amp;$B378&amp;$C378&amp;$D378&amp;$E378&amp;$F378,".","_"),"(","_"),")","")</f>
        <v>dch606_2_2a</v>
      </c>
      <c r="AQ378" s="1352" t="str">
        <f>IF(LEN(W378)=0,"",W378)</f>
        <v/>
      </c>
      <c r="AR378" s="1352" t="str">
        <f>SUBSTITUTE(SUBSTITUTE(SUBSTITUTE("dnt"&amp;$B378&amp;$C378&amp;$D378&amp;$E378&amp;$F378,".","_"),"(","_"),")","")</f>
        <v>dnt606_2_2a</v>
      </c>
      <c r="AS378" s="1352" t="str">
        <f>IF(LEN(X378)=0,"",X378)</f>
        <v/>
      </c>
      <c r="AT378" s="66"/>
      <c r="AX378" s="66"/>
      <c r="AY378" s="66"/>
      <c r="AZ378" s="66"/>
    </row>
    <row r="379" spans="1:52" x14ac:dyDescent="0.2">
      <c r="B379" s="79">
        <v>606.20000000000005</v>
      </c>
      <c r="C379" s="23" t="s">
        <v>255</v>
      </c>
      <c r="D379" s="80" t="s">
        <v>2540</v>
      </c>
      <c r="E379" s="80"/>
      <c r="F379" s="695"/>
      <c r="G379" s="80"/>
      <c r="H379" s="695"/>
      <c r="I379" s="67"/>
      <c r="J379" s="4"/>
      <c r="K379" s="85"/>
      <c r="L379" s="1611"/>
      <c r="M379" s="1628"/>
      <c r="N379" s="4"/>
      <c r="O379" s="1669"/>
      <c r="P379" s="332" t="b">
        <v>1</v>
      </c>
      <c r="Q379" s="332" t="b">
        <v>1</v>
      </c>
      <c r="R379" s="151" t="b">
        <v>0</v>
      </c>
      <c r="S379" s="151" t="b">
        <v>1</v>
      </c>
      <c r="T379" s="151" t="b">
        <v>0</v>
      </c>
      <c r="U379" s="96" t="str">
        <f t="shared" si="16"/>
        <v>dd606_2_2b</v>
      </c>
      <c r="V379"/>
      <c r="W379" s="12"/>
      <c r="X379" s="1600"/>
      <c r="Z379"/>
      <c r="AB379"/>
      <c r="AC379" s="151" t="b">
        <f>OR(AD379:AE379)</f>
        <v>0</v>
      </c>
      <c r="AD379" s="151" t="b">
        <v>0</v>
      </c>
      <c r="AE379" s="151" t="b">
        <f>AND(NOT(ISBLANK(W379)),LEN(X379)=0)</f>
        <v>0</v>
      </c>
      <c r="AF379"/>
      <c r="AG379"/>
      <c r="AH379"/>
      <c r="AI379"/>
      <c r="AJ379"/>
      <c r="AK379"/>
      <c r="AP379" s="1352" t="str">
        <f>SUBSTITUTE(SUBSTITUTE(SUBSTITUTE("dch"&amp;$B379&amp;$C379&amp;$D379&amp;$E379&amp;$F379,".","_"),"(","_"),")","")</f>
        <v>dch606_2_2b</v>
      </c>
      <c r="AQ379" s="1352" t="str">
        <f>IF(LEN(W379)=0,"",W379)</f>
        <v/>
      </c>
      <c r="AR379" s="1352" t="str">
        <f>SUBSTITUTE(SUBSTITUTE(SUBSTITUTE("dnt"&amp;$B379&amp;$C379&amp;$D379&amp;$E379&amp;$F379,".","_"),"(","_"),")","")</f>
        <v>dnt606_2_2b</v>
      </c>
      <c r="AS379" s="1352" t="str">
        <f>IF(LEN(X379)=0,"",X379)</f>
        <v/>
      </c>
    </row>
    <row r="380" spans="1:52" ht="16" thickBot="1" x14ac:dyDescent="0.25">
      <c r="B380" s="79">
        <v>606.20000000000005</v>
      </c>
      <c r="C380" s="23" t="s">
        <v>255</v>
      </c>
      <c r="D380" s="80"/>
      <c r="E380" s="80"/>
      <c r="F380" s="695"/>
      <c r="G380" s="80"/>
      <c r="H380" s="695"/>
      <c r="I380" s="67"/>
      <c r="J380" s="4"/>
      <c r="K380" s="85"/>
      <c r="L380" s="301" t="s">
        <v>2628</v>
      </c>
      <c r="M380" s="1628"/>
      <c r="N380" s="4"/>
      <c r="O380" s="1669"/>
      <c r="P380" s="332"/>
      <c r="Q380" s="332"/>
      <c r="R380" s="151"/>
      <c r="S380" s="151"/>
      <c r="T380" s="151"/>
      <c r="U380" s="96"/>
      <c r="V380" s="151"/>
      <c r="W380"/>
      <c r="X380" s="1621"/>
      <c r="Z380" s="151"/>
      <c r="AB380" s="151"/>
      <c r="AC380" s="151"/>
      <c r="AD380" s="151"/>
      <c r="AE380" s="151"/>
      <c r="AF380" s="151"/>
      <c r="AG380" s="151"/>
      <c r="AH380" s="151"/>
      <c r="AI380" s="151"/>
      <c r="AJ380" s="151"/>
      <c r="AK380" s="151"/>
      <c r="AT380" s="151"/>
      <c r="AX380" s="151"/>
      <c r="AY380" s="151"/>
      <c r="AZ380" s="151"/>
    </row>
    <row r="381" spans="1:52" s="151" customFormat="1" ht="16" thickTop="1" x14ac:dyDescent="0.2">
      <c r="A381" s="20"/>
      <c r="B381" s="79">
        <v>606.29999999999995</v>
      </c>
      <c r="C381" s="23"/>
      <c r="D381" s="23"/>
      <c r="E381" s="23"/>
      <c r="F381" s="691"/>
      <c r="G381" s="23"/>
      <c r="H381" s="691"/>
      <c r="I381" s="177" t="s">
        <v>3577</v>
      </c>
      <c r="J381" s="178"/>
      <c r="K381" s="179"/>
      <c r="L381" s="1683" t="s">
        <v>3599</v>
      </c>
      <c r="M381" s="1685" t="s">
        <v>547</v>
      </c>
      <c r="N381" s="178"/>
      <c r="O381" s="1682">
        <f ca="1">IFERROR(MATCH(W381,INDIRECT(U381),0),0)*2</f>
        <v>0</v>
      </c>
      <c r="P381" s="106" t="b">
        <v>1</v>
      </c>
      <c r="Q381" s="106" t="b">
        <v>1</v>
      </c>
      <c r="R381" s="106" t="b">
        <v>0</v>
      </c>
      <c r="S381" s="106" t="b">
        <v>1</v>
      </c>
      <c r="T381" s="106" t="b">
        <v>0</v>
      </c>
      <c r="U381" s="106" t="str">
        <f t="shared" si="16"/>
        <v>dd606_3</v>
      </c>
      <c r="V381" s="106"/>
      <c r="W381" s="188"/>
      <c r="X381" s="1670"/>
      <c r="Y381" s="704"/>
      <c r="Z381"/>
      <c r="AA381" s="707"/>
      <c r="AB381"/>
      <c r="AC381" s="151" t="b">
        <f>OR(AD381:AE381)</f>
        <v>0</v>
      </c>
      <c r="AD381" s="151" t="b">
        <v>0</v>
      </c>
      <c r="AE381" s="151" t="b">
        <f>AND(NOT(ISBLANK(W381)),LEN(X381)=0)</f>
        <v>0</v>
      </c>
      <c r="AF381"/>
      <c r="AG381"/>
      <c r="AH381"/>
      <c r="AI381"/>
      <c r="AJ381"/>
      <c r="AK381"/>
      <c r="AL381" s="1352" t="str">
        <f>SUBSTITUTE(SUBSTITUTE(SUBSTITUTE("dpa"&amp;$B381&amp;$C381&amp;$D381&amp;$E381&amp;$F381,".","_"),"(","_"),")","")</f>
        <v>dpa606_3</v>
      </c>
      <c r="AM381" s="1352" t="str">
        <f>M381</f>
        <v>6 Max</v>
      </c>
      <c r="AN381" s="1352" t="str">
        <f>SUBSTITUTE(SUBSTITUTE(SUBSTITUTE("dpc"&amp;$B381&amp;$C381&amp;$D381&amp;$E381&amp;$F381,".","_"),"(","_"),")","")</f>
        <v>dpc606_3</v>
      </c>
      <c r="AO381" s="1352">
        <f ca="1">O381</f>
        <v>0</v>
      </c>
      <c r="AP381" s="1352" t="str">
        <f>SUBSTITUTE(SUBSTITUTE(SUBSTITUTE("dch"&amp;$B381&amp;$C381&amp;$D381&amp;$E381&amp;$F381,".","_"),"(","_"),")","")</f>
        <v>dch606_3</v>
      </c>
      <c r="AQ381" s="1352" t="str">
        <f>IF(LEN(W381)=0,"",W381)</f>
        <v/>
      </c>
      <c r="AR381" s="1352" t="str">
        <f>SUBSTITUTE(SUBSTITUTE(SUBSTITUTE("dnt"&amp;$B381&amp;$C381&amp;$D381&amp;$E381&amp;$F381,".","_"),"(","_"),")","")</f>
        <v>dnt606_3</v>
      </c>
      <c r="AS381" s="1352" t="str">
        <f>IF(LEN(X381)=0,"",X381)</f>
        <v/>
      </c>
      <c r="AT381" s="66"/>
      <c r="AX381" s="66"/>
      <c r="AY381" s="66"/>
      <c r="AZ381" s="66"/>
    </row>
    <row r="382" spans="1:52" x14ac:dyDescent="0.2">
      <c r="B382" s="79">
        <v>606.29999999999995</v>
      </c>
      <c r="C382" s="23"/>
      <c r="D382" s="23"/>
      <c r="E382" s="23"/>
      <c r="F382" s="691"/>
      <c r="G382" s="23"/>
      <c r="H382" s="691"/>
      <c r="I382" s="130"/>
      <c r="J382" s="129"/>
      <c r="K382" s="97"/>
      <c r="L382" s="1629"/>
      <c r="M382" s="1623"/>
      <c r="N382" s="129"/>
      <c r="O382" s="1619"/>
      <c r="P382" s="96"/>
      <c r="Q382" s="96"/>
      <c r="R382" s="96"/>
      <c r="S382" s="96"/>
      <c r="T382" s="96"/>
      <c r="U382" s="96"/>
      <c r="V382" s="96"/>
      <c r="W382" s="96"/>
      <c r="X382" s="1632"/>
      <c r="Z382"/>
      <c r="AB382"/>
      <c r="AC382"/>
      <c r="AD382"/>
      <c r="AE382"/>
      <c r="AF382"/>
      <c r="AG382"/>
      <c r="AH382"/>
      <c r="AI382"/>
      <c r="AJ382"/>
      <c r="AK382"/>
    </row>
    <row r="383" spans="1:52" x14ac:dyDescent="0.2">
      <c r="B383" s="79">
        <v>606.29999999999995</v>
      </c>
      <c r="C383" s="23"/>
      <c r="D383" s="23"/>
      <c r="E383" s="23"/>
      <c r="F383" s="691"/>
      <c r="G383" s="23"/>
      <c r="H383" s="691"/>
      <c r="I383" s="130"/>
      <c r="J383" s="129"/>
      <c r="K383" s="97"/>
      <c r="L383" s="1629"/>
      <c r="M383" s="1623"/>
      <c r="N383" s="129"/>
      <c r="O383" s="1619"/>
      <c r="P383" s="96"/>
      <c r="Q383" s="96"/>
      <c r="R383" s="96"/>
      <c r="S383" s="96"/>
      <c r="T383" s="96"/>
      <c r="U383" s="96"/>
      <c r="V383" s="96"/>
      <c r="W383" s="96"/>
      <c r="X383" s="1632"/>
      <c r="Z383"/>
      <c r="AB383"/>
      <c r="AC383"/>
      <c r="AD383"/>
      <c r="AE383"/>
      <c r="AF383"/>
      <c r="AG383"/>
      <c r="AH383"/>
      <c r="AI383"/>
      <c r="AJ383"/>
      <c r="AK383"/>
      <c r="AX383" s="151"/>
      <c r="AY383" s="151"/>
      <c r="AZ383" s="151"/>
    </row>
    <row r="384" spans="1:52" x14ac:dyDescent="0.2">
      <c r="B384" s="79">
        <v>606.29999999999995</v>
      </c>
      <c r="C384" s="23"/>
      <c r="D384" s="23"/>
      <c r="E384" s="23"/>
      <c r="F384" s="691"/>
      <c r="G384" s="23"/>
      <c r="H384" s="691"/>
      <c r="I384" s="130"/>
      <c r="J384" s="129"/>
      <c r="K384" s="97"/>
      <c r="L384" s="1629"/>
      <c r="M384" s="1623"/>
      <c r="N384" s="129"/>
      <c r="O384" s="1619"/>
      <c r="P384" s="96"/>
      <c r="Q384" s="96"/>
      <c r="R384" s="96"/>
      <c r="S384" s="96"/>
      <c r="T384" s="96"/>
      <c r="U384" s="96"/>
      <c r="V384" s="96"/>
      <c r="W384" s="96"/>
      <c r="X384" s="1632"/>
      <c r="Z384" s="132"/>
      <c r="AB384" s="132"/>
      <c r="AC384" s="132"/>
      <c r="AD384" s="132"/>
      <c r="AE384" s="132"/>
      <c r="AF384" s="132"/>
      <c r="AG384" s="132"/>
      <c r="AH384" s="132"/>
      <c r="AI384" s="132"/>
      <c r="AJ384" s="132"/>
      <c r="AK384" s="132"/>
      <c r="AT384" s="132"/>
    </row>
    <row r="385" spans="1:52" s="132" customFormat="1" x14ac:dyDescent="0.2">
      <c r="A385" s="20"/>
      <c r="B385" s="79">
        <v>606.29999999999995</v>
      </c>
      <c r="C385" s="23"/>
      <c r="D385" s="23"/>
      <c r="E385" s="23"/>
      <c r="F385" s="691"/>
      <c r="G385" s="23"/>
      <c r="H385" s="691"/>
      <c r="I385" s="130"/>
      <c r="J385" s="129"/>
      <c r="K385" s="97"/>
      <c r="L385" s="297" t="s">
        <v>567</v>
      </c>
      <c r="M385" s="1623"/>
      <c r="N385" s="129"/>
      <c r="O385" s="1619"/>
      <c r="P385" s="96"/>
      <c r="Q385" s="96"/>
      <c r="R385" s="96"/>
      <c r="S385" s="96"/>
      <c r="T385" s="96"/>
      <c r="U385" s="96"/>
      <c r="V385" s="96"/>
      <c r="W385" s="96"/>
      <c r="X385" s="1632"/>
      <c r="Y385" s="704"/>
      <c r="Z385"/>
      <c r="AA385" s="707"/>
      <c r="AB385"/>
      <c r="AC385"/>
      <c r="AD385"/>
      <c r="AE385"/>
      <c r="AF385"/>
      <c r="AG385"/>
      <c r="AH385"/>
      <c r="AI385"/>
      <c r="AJ385"/>
      <c r="AK385"/>
      <c r="AL385" s="66"/>
      <c r="AM385" s="66"/>
      <c r="AN385" s="66"/>
      <c r="AO385" s="66"/>
      <c r="AP385" s="66"/>
      <c r="AQ385" s="66"/>
      <c r="AR385" s="66"/>
      <c r="AS385" s="66"/>
      <c r="AT385" s="66"/>
      <c r="AX385" s="66"/>
      <c r="AY385" s="66"/>
      <c r="AZ385" s="66"/>
    </row>
    <row r="386" spans="1:52" x14ac:dyDescent="0.2">
      <c r="B386" s="79">
        <v>606.29999999999995</v>
      </c>
      <c r="C386" s="23"/>
      <c r="D386" s="23"/>
      <c r="E386" s="23"/>
      <c r="F386" s="691"/>
      <c r="G386" s="23"/>
      <c r="H386" s="691"/>
      <c r="I386" s="130"/>
      <c r="J386" s="129"/>
      <c r="K386" s="97"/>
      <c r="L386" s="300" t="s">
        <v>2632</v>
      </c>
      <c r="M386" s="1623"/>
      <c r="N386" s="129"/>
      <c r="O386" s="1619"/>
      <c r="P386" s="96"/>
      <c r="Q386" s="96"/>
      <c r="R386" s="96"/>
      <c r="S386" s="96"/>
      <c r="T386" s="96"/>
      <c r="U386" s="96"/>
      <c r="V386" s="96"/>
      <c r="W386" s="96"/>
      <c r="X386" s="1599"/>
      <c r="Z386" s="151"/>
      <c r="AB386" s="151"/>
      <c r="AC386" s="151"/>
      <c r="AD386" s="151"/>
      <c r="AE386" s="151"/>
      <c r="AF386" s="151"/>
      <c r="AG386" s="151"/>
      <c r="AH386" s="151"/>
      <c r="AI386" s="151"/>
      <c r="AJ386" s="151"/>
      <c r="AK386" s="151"/>
      <c r="AT386" s="151"/>
    </row>
    <row r="387" spans="1:52" s="151" customFormat="1" ht="19" x14ac:dyDescent="0.25">
      <c r="A387" s="20"/>
      <c r="B387" s="79">
        <v>607</v>
      </c>
      <c r="C387" s="23"/>
      <c r="D387" s="23"/>
      <c r="E387" s="23"/>
      <c r="F387" s="691"/>
      <c r="G387" s="23"/>
      <c r="H387" s="691"/>
      <c r="I387" s="14" t="s">
        <v>3578</v>
      </c>
      <c r="J387" s="25"/>
      <c r="K387" s="84"/>
      <c r="L387" s="233"/>
      <c r="M387" s="339"/>
      <c r="N387" s="428"/>
      <c r="O387" s="419"/>
      <c r="P387" s="25"/>
      <c r="Q387" s="25"/>
      <c r="R387" s="25"/>
      <c r="S387" s="25"/>
      <c r="T387" s="25"/>
      <c r="U387" s="25"/>
      <c r="V387" s="25"/>
      <c r="W387" s="25"/>
      <c r="X387" s="25"/>
      <c r="Y387" s="704"/>
      <c r="Z387"/>
      <c r="AA387" s="707"/>
      <c r="AB387"/>
      <c r="AC387"/>
      <c r="AD387"/>
      <c r="AE387"/>
      <c r="AF387"/>
      <c r="AG387"/>
      <c r="AH387"/>
      <c r="AI387"/>
      <c r="AJ387"/>
      <c r="AK387"/>
      <c r="AL387" s="66"/>
      <c r="AM387" s="66"/>
      <c r="AN387" s="66"/>
      <c r="AO387" s="66"/>
      <c r="AP387" s="66"/>
      <c r="AQ387" s="66"/>
      <c r="AR387" s="66"/>
      <c r="AS387" s="66"/>
      <c r="AT387" s="66"/>
      <c r="AX387" s="132"/>
      <c r="AY387" s="132"/>
      <c r="AZ387" s="132"/>
    </row>
    <row r="388" spans="1:52" x14ac:dyDescent="0.2">
      <c r="B388" s="79">
        <v>607.1</v>
      </c>
      <c r="C388" s="23"/>
      <c r="D388" s="23"/>
      <c r="E388" s="23"/>
      <c r="F388" s="691"/>
      <c r="G388" s="23"/>
      <c r="H388" s="691"/>
      <c r="I388" s="67" t="s">
        <v>3579</v>
      </c>
      <c r="J388" s="4"/>
      <c r="K388" s="85"/>
      <c r="L388" s="1631" t="s">
        <v>3598</v>
      </c>
      <c r="M388" s="374"/>
      <c r="N388" s="4"/>
      <c r="O388" s="138"/>
      <c r="P388" s="332"/>
      <c r="Q388" s="332"/>
      <c r="R388"/>
      <c r="S388"/>
      <c r="T388"/>
      <c r="U388"/>
      <c r="V388"/>
      <c r="W388"/>
      <c r="X388"/>
      <c r="Z388"/>
      <c r="AB388"/>
      <c r="AC388"/>
      <c r="AD388"/>
      <c r="AE388"/>
      <c r="AF388"/>
      <c r="AG388"/>
      <c r="AH388"/>
      <c r="AI388"/>
      <c r="AJ388"/>
      <c r="AK388"/>
    </row>
    <row r="389" spans="1:52" x14ac:dyDescent="0.2">
      <c r="B389" s="79">
        <v>607.1</v>
      </c>
      <c r="C389" s="23"/>
      <c r="D389" s="23"/>
      <c r="E389" s="23"/>
      <c r="F389" s="691"/>
      <c r="G389" s="23"/>
      <c r="H389" s="691"/>
      <c r="I389" s="67"/>
      <c r="J389" s="4"/>
      <c r="K389" s="85"/>
      <c r="L389" s="1631"/>
      <c r="M389" s="374"/>
      <c r="N389" s="4"/>
      <c r="O389" s="138"/>
      <c r="P389" s="332"/>
      <c r="Q389" s="332"/>
      <c r="R389"/>
      <c r="S389"/>
      <c r="T389"/>
      <c r="U389"/>
      <c r="V389"/>
      <c r="W389"/>
      <c r="X389"/>
      <c r="Z389"/>
      <c r="AB389"/>
      <c r="AC389"/>
      <c r="AD389"/>
      <c r="AE389"/>
      <c r="AF389"/>
      <c r="AG389"/>
      <c r="AH389"/>
      <c r="AI389"/>
      <c r="AJ389"/>
      <c r="AK389"/>
      <c r="AX389" s="151"/>
      <c r="AY389" s="151"/>
      <c r="AZ389" s="151"/>
    </row>
    <row r="390" spans="1:52" x14ac:dyDescent="0.2">
      <c r="B390" s="79">
        <v>607.1</v>
      </c>
      <c r="C390" s="23" t="s">
        <v>254</v>
      </c>
      <c r="D390" s="23"/>
      <c r="E390" s="23"/>
      <c r="F390" s="691"/>
      <c r="G390" s="23"/>
      <c r="H390" s="691"/>
      <c r="I390" s="67"/>
      <c r="J390" s="180" t="s">
        <v>254</v>
      </c>
      <c r="K390" s="97"/>
      <c r="L390" s="1609" t="s">
        <v>5079</v>
      </c>
      <c r="M390" s="1623">
        <v>3</v>
      </c>
      <c r="N390" s="129"/>
      <c r="O390" s="1619">
        <f>M390*S390*W390</f>
        <v>0</v>
      </c>
      <c r="P390" s="332" t="b">
        <v>0</v>
      </c>
      <c r="Q390" s="332" t="b">
        <v>1</v>
      </c>
      <c r="R390" s="126" t="b">
        <v>0</v>
      </c>
      <c r="S390" s="126" t="b">
        <v>1</v>
      </c>
      <c r="T390" s="126" t="b">
        <v>0</v>
      </c>
      <c r="U390"/>
      <c r="V390"/>
      <c r="W390" s="27"/>
      <c r="X390" s="1600"/>
      <c r="Z390"/>
      <c r="AB390"/>
      <c r="AC390"/>
      <c r="AD390"/>
      <c r="AE390"/>
      <c r="AF390"/>
      <c r="AG390"/>
      <c r="AH390"/>
      <c r="AI390"/>
      <c r="AJ390"/>
      <c r="AK390"/>
      <c r="AL390" s="1352" t="str">
        <f>SUBSTITUTE(SUBSTITUTE(SUBSTITUTE("dpa"&amp;$B390&amp;$C390&amp;$D390&amp;$E390&amp;$F390,".","_"),"(","_"),")","")</f>
        <v>dpa607_1_1</v>
      </c>
      <c r="AM390" s="1352">
        <f>M390</f>
        <v>3</v>
      </c>
      <c r="AN390" s="1352" t="str">
        <f>SUBSTITUTE(SUBSTITUTE(SUBSTITUTE("dpc"&amp;$B390&amp;$C390&amp;$D390&amp;$E390&amp;$F390,".","_"),"(","_"),")","")</f>
        <v>dpc607_1_1</v>
      </c>
      <c r="AO390" s="1352">
        <f>O390</f>
        <v>0</v>
      </c>
      <c r="AP390" s="1352" t="str">
        <f>SUBSTITUTE(SUBSTITUTE(SUBSTITUTE("dch"&amp;$B390&amp;$C390&amp;$D390&amp;$E390&amp;$F390,".","_"),"(","_"),")","")</f>
        <v>dch607_1_1</v>
      </c>
      <c r="AQ390" s="1352" t="str">
        <f>IF(LEN(W390)=0,"",W390)</f>
        <v/>
      </c>
      <c r="AR390" s="1352" t="str">
        <f>SUBSTITUTE(SUBSTITUTE(SUBSTITUTE("dnt"&amp;$B390&amp;$C390&amp;$D390&amp;$E390&amp;$F390,".","_"),"(","_"),")","")</f>
        <v>dnt607_1_1</v>
      </c>
      <c r="AS390" s="1352" t="str">
        <f>IF(LEN(X390)=0,"",X390)</f>
        <v/>
      </c>
    </row>
    <row r="391" spans="1:52" s="823" customFormat="1" x14ac:dyDescent="0.2">
      <c r="A391" s="20"/>
      <c r="B391" s="79">
        <v>607.1</v>
      </c>
      <c r="C391" s="23" t="s">
        <v>254</v>
      </c>
      <c r="D391" s="23"/>
      <c r="E391" s="23"/>
      <c r="F391" s="691"/>
      <c r="G391" s="23"/>
      <c r="H391" s="691"/>
      <c r="I391" s="67"/>
      <c r="J391" s="180"/>
      <c r="K391" s="97"/>
      <c r="L391" s="1609"/>
      <c r="M391" s="1623"/>
      <c r="N391" s="129"/>
      <c r="O391" s="1619"/>
      <c r="W391"/>
      <c r="X391" s="1600"/>
      <c r="AL391" s="66"/>
      <c r="AM391" s="66"/>
      <c r="AN391" s="66"/>
      <c r="AO391" s="66"/>
      <c r="AP391" s="66"/>
      <c r="AQ391" s="66"/>
      <c r="AR391" s="66"/>
      <c r="AS391" s="66"/>
      <c r="AX391" s="66"/>
      <c r="AY391" s="66"/>
      <c r="AZ391" s="66"/>
    </row>
    <row r="392" spans="1:52" s="823" customFormat="1" x14ac:dyDescent="0.2">
      <c r="A392" s="20"/>
      <c r="B392" s="79">
        <v>607.1</v>
      </c>
      <c r="C392" s="23" t="s">
        <v>254</v>
      </c>
      <c r="D392" s="23"/>
      <c r="E392" s="23"/>
      <c r="F392" s="691"/>
      <c r="G392" s="23"/>
      <c r="H392" s="691"/>
      <c r="I392" s="67"/>
      <c r="J392" s="180"/>
      <c r="K392" s="97"/>
      <c r="L392" s="1609"/>
      <c r="M392" s="1623"/>
      <c r="N392" s="129"/>
      <c r="O392" s="1619"/>
      <c r="X392" s="1600"/>
      <c r="AL392" s="66"/>
      <c r="AM392" s="66"/>
      <c r="AN392" s="66"/>
      <c r="AO392" s="66"/>
      <c r="AP392" s="66"/>
      <c r="AQ392" s="66"/>
      <c r="AR392" s="66"/>
      <c r="AS392" s="66"/>
      <c r="AX392" s="66"/>
      <c r="AY392" s="66"/>
      <c r="AZ392" s="66"/>
    </row>
    <row r="393" spans="1:52" s="823" customFormat="1" x14ac:dyDescent="0.2">
      <c r="A393" s="20"/>
      <c r="B393" s="79">
        <v>607.1</v>
      </c>
      <c r="C393" s="23" t="s">
        <v>254</v>
      </c>
      <c r="D393" s="23"/>
      <c r="E393" s="23"/>
      <c r="F393" s="691"/>
      <c r="G393" s="23"/>
      <c r="H393" s="691"/>
      <c r="I393" s="67"/>
      <c r="J393" s="180"/>
      <c r="K393" s="97"/>
      <c r="L393" s="1609"/>
      <c r="M393" s="1623"/>
      <c r="N393" s="129"/>
      <c r="O393" s="1619"/>
      <c r="X393" s="1600"/>
      <c r="AL393" s="66"/>
      <c r="AM393" s="66"/>
      <c r="AN393" s="66"/>
      <c r="AO393" s="66"/>
      <c r="AP393" s="66"/>
      <c r="AQ393" s="66"/>
      <c r="AR393" s="66"/>
      <c r="AS393" s="66"/>
      <c r="AX393" s="66"/>
      <c r="AY393" s="66"/>
    </row>
    <row r="394" spans="1:52" x14ac:dyDescent="0.2">
      <c r="B394" s="79">
        <v>607.1</v>
      </c>
      <c r="C394" s="23" t="s">
        <v>254</v>
      </c>
      <c r="D394" s="23"/>
      <c r="E394" s="23"/>
      <c r="F394" s="691"/>
      <c r="G394" s="23"/>
      <c r="H394" s="691"/>
      <c r="I394" s="67"/>
      <c r="J394" s="207"/>
      <c r="K394" s="170"/>
      <c r="L394" s="1612"/>
      <c r="M394" s="1624"/>
      <c r="N394" s="213"/>
      <c r="O394" s="1620"/>
      <c r="P394" s="332"/>
      <c r="Q394" s="332"/>
      <c r="R394"/>
      <c r="S394"/>
      <c r="T394"/>
      <c r="U394"/>
      <c r="V394"/>
      <c r="W394"/>
      <c r="X394" s="1600"/>
      <c r="Z394"/>
      <c r="AB394"/>
      <c r="AC394"/>
      <c r="AD394"/>
      <c r="AE394"/>
      <c r="AF394"/>
      <c r="AG394"/>
      <c r="AH394"/>
      <c r="AI394"/>
      <c r="AJ394"/>
      <c r="AK394"/>
      <c r="AX394" s="823"/>
      <c r="AY394" s="823"/>
      <c r="AZ394" s="823"/>
    </row>
    <row r="395" spans="1:52" x14ac:dyDescent="0.2">
      <c r="B395" s="79">
        <v>607.1</v>
      </c>
      <c r="C395" s="23" t="s">
        <v>255</v>
      </c>
      <c r="D395" s="23"/>
      <c r="E395" s="23"/>
      <c r="F395" s="691"/>
      <c r="G395" s="23"/>
      <c r="H395" s="691"/>
      <c r="I395" s="67"/>
      <c r="J395" s="29" t="s">
        <v>255</v>
      </c>
      <c r="K395" s="85"/>
      <c r="L395" s="1649" t="s">
        <v>3994</v>
      </c>
      <c r="M395" s="1636">
        <v>4</v>
      </c>
      <c r="N395" s="4"/>
      <c r="O395" s="1637">
        <f>M395*S395*W395</f>
        <v>0</v>
      </c>
      <c r="P395" s="332" t="b">
        <v>0</v>
      </c>
      <c r="Q395" s="332" t="b">
        <v>1</v>
      </c>
      <c r="R395" s="126" t="b">
        <v>0</v>
      </c>
      <c r="S395" s="126" t="b">
        <v>1</v>
      </c>
      <c r="T395" s="126" t="b">
        <v>0</v>
      </c>
      <c r="U395"/>
      <c r="V395"/>
      <c r="W395" s="333"/>
      <c r="X395" s="163"/>
      <c r="Z395"/>
      <c r="AB395"/>
      <c r="AC395"/>
      <c r="AD395"/>
      <c r="AE395"/>
      <c r="AF395"/>
      <c r="AG395"/>
      <c r="AH395"/>
      <c r="AI395"/>
      <c r="AJ395"/>
      <c r="AK395"/>
      <c r="AL395" s="1352" t="str">
        <f>SUBSTITUTE(SUBSTITUTE(SUBSTITUTE("dpa"&amp;$B395&amp;$C395&amp;$D395&amp;$E395&amp;$F395,".","_"),"(","_"),")","")</f>
        <v>dpa607_1_2</v>
      </c>
      <c r="AM395" s="1352">
        <f>M395</f>
        <v>4</v>
      </c>
      <c r="AN395" s="1352" t="str">
        <f>SUBSTITUTE(SUBSTITUTE(SUBSTITUTE("dpc"&amp;$B395&amp;$C395&amp;$D395&amp;$E395&amp;$F395,".","_"),"(","_"),")","")</f>
        <v>dpc607_1_2</v>
      </c>
      <c r="AO395" s="1352">
        <f>O395</f>
        <v>0</v>
      </c>
      <c r="AP395" s="1352" t="str">
        <f>SUBSTITUTE(SUBSTITUTE(SUBSTITUTE("dch"&amp;$B395&amp;$C395&amp;$D395&amp;$E395&amp;$F395,".","_"),"(","_"),")","")</f>
        <v>dch607_1_2</v>
      </c>
      <c r="AQ395" s="1352" t="str">
        <f>IF(LEN(W395)=0,"",W395)</f>
        <v/>
      </c>
      <c r="AR395" s="1352" t="str">
        <f>SUBSTITUTE(SUBSTITUTE(SUBSTITUTE("dnt"&amp;$B395&amp;$C395&amp;$D395&amp;$E395&amp;$F395,".","_"),"(","_"),")","")</f>
        <v>dnt607_1_2</v>
      </c>
      <c r="AS395" s="1352" t="str">
        <f>IF(LEN(X395)=0,"",X395)</f>
        <v/>
      </c>
      <c r="AX395" s="823"/>
      <c r="AY395" s="823"/>
      <c r="AZ395" s="823"/>
    </row>
    <row r="396" spans="1:52" s="823" customFormat="1" x14ac:dyDescent="0.2">
      <c r="A396" s="20"/>
      <c r="B396" s="79">
        <v>607.1</v>
      </c>
      <c r="C396" s="23" t="s">
        <v>255</v>
      </c>
      <c r="D396" s="23"/>
      <c r="E396" s="23"/>
      <c r="F396" s="691"/>
      <c r="G396" s="23"/>
      <c r="H396" s="691"/>
      <c r="I396" s="67"/>
      <c r="J396" s="29"/>
      <c r="K396" s="85"/>
      <c r="L396" s="1717"/>
      <c r="M396" s="1623"/>
      <c r="N396" s="4"/>
      <c r="O396" s="1619"/>
      <c r="W396"/>
      <c r="X396" s="830"/>
      <c r="AL396" s="66"/>
      <c r="AM396" s="66"/>
      <c r="AN396" s="66"/>
      <c r="AO396" s="66"/>
      <c r="AP396" s="66"/>
      <c r="AQ396" s="66"/>
      <c r="AR396" s="66"/>
      <c r="AS396" s="66"/>
      <c r="AZ396" s="66"/>
    </row>
    <row r="397" spans="1:52" s="823" customFormat="1" x14ac:dyDescent="0.2">
      <c r="A397" s="20"/>
      <c r="B397" s="79">
        <v>607.1</v>
      </c>
      <c r="C397" s="23" t="s">
        <v>255</v>
      </c>
      <c r="D397" s="23"/>
      <c r="E397" s="23"/>
      <c r="F397" s="691"/>
      <c r="G397" s="23"/>
      <c r="H397" s="691"/>
      <c r="I397" s="67"/>
      <c r="J397" s="29"/>
      <c r="K397" s="85"/>
      <c r="L397" s="1717"/>
      <c r="M397" s="1623"/>
      <c r="N397" s="4"/>
      <c r="O397" s="1619"/>
      <c r="X397" s="830"/>
      <c r="AL397" s="66"/>
      <c r="AM397" s="66"/>
      <c r="AN397" s="66"/>
      <c r="AO397" s="66"/>
      <c r="AP397" s="66"/>
      <c r="AQ397" s="66"/>
      <c r="AR397" s="66"/>
      <c r="AS397" s="66"/>
      <c r="AX397" s="66"/>
      <c r="AY397" s="66"/>
      <c r="AZ397" s="66"/>
    </row>
    <row r="398" spans="1:52" s="823" customFormat="1" x14ac:dyDescent="0.2">
      <c r="A398" s="20"/>
      <c r="B398" s="79">
        <v>607.1</v>
      </c>
      <c r="C398" s="23" t="s">
        <v>255</v>
      </c>
      <c r="D398" s="23"/>
      <c r="E398" s="23"/>
      <c r="F398" s="691"/>
      <c r="G398" s="23"/>
      <c r="H398" s="691"/>
      <c r="I398" s="67"/>
      <c r="J398" s="29"/>
      <c r="K398" s="85"/>
      <c r="L398" s="1717"/>
      <c r="M398" s="1623"/>
      <c r="N398" s="4"/>
      <c r="O398" s="1619"/>
      <c r="X398" s="830"/>
      <c r="AL398" s="66"/>
      <c r="AM398" s="66"/>
      <c r="AN398" s="66"/>
      <c r="AO398" s="66"/>
      <c r="AP398" s="66"/>
      <c r="AQ398" s="66"/>
      <c r="AR398" s="66"/>
      <c r="AS398" s="66"/>
      <c r="AX398" s="66"/>
      <c r="AY398" s="66"/>
    </row>
    <row r="399" spans="1:52" s="823" customFormat="1" x14ac:dyDescent="0.2">
      <c r="A399" s="20"/>
      <c r="B399" s="79">
        <v>607.1</v>
      </c>
      <c r="C399" s="23" t="s">
        <v>255</v>
      </c>
      <c r="D399" s="23"/>
      <c r="E399" s="23"/>
      <c r="F399" s="691"/>
      <c r="G399" s="23"/>
      <c r="H399" s="691"/>
      <c r="I399" s="67"/>
      <c r="J399" s="29"/>
      <c r="K399" s="85"/>
      <c r="L399" s="1717"/>
      <c r="M399" s="1623"/>
      <c r="N399" s="4"/>
      <c r="O399" s="1619"/>
      <c r="X399" s="830"/>
      <c r="AL399" s="66"/>
      <c r="AM399" s="66"/>
      <c r="AN399" s="66"/>
      <c r="AO399" s="66"/>
      <c r="AP399" s="66"/>
      <c r="AQ399" s="66"/>
      <c r="AR399" s="66"/>
      <c r="AS399" s="66"/>
    </row>
    <row r="400" spans="1:52" s="823" customFormat="1" ht="16" thickBot="1" x14ac:dyDescent="0.25">
      <c r="A400" s="20"/>
      <c r="B400" s="79">
        <v>607.1</v>
      </c>
      <c r="C400" s="23" t="s">
        <v>255</v>
      </c>
      <c r="D400" s="23"/>
      <c r="E400" s="23"/>
      <c r="F400" s="691"/>
      <c r="G400" s="23"/>
      <c r="H400" s="691"/>
      <c r="I400" s="67"/>
      <c r="J400" s="29"/>
      <c r="K400" s="85"/>
      <c r="L400" s="1713"/>
      <c r="M400" s="1627"/>
      <c r="N400" s="4"/>
      <c r="O400" s="1638"/>
      <c r="W400" s="113"/>
      <c r="X400" s="830"/>
      <c r="AL400" s="66"/>
      <c r="AM400" s="66"/>
      <c r="AN400" s="66"/>
      <c r="AO400" s="66"/>
      <c r="AP400" s="66"/>
      <c r="AQ400" s="66"/>
      <c r="AR400" s="66"/>
      <c r="AS400" s="66"/>
    </row>
    <row r="401" spans="1:52" ht="16" thickTop="1" x14ac:dyDescent="0.2">
      <c r="B401" s="79">
        <v>607.20000000000005</v>
      </c>
      <c r="C401" s="23"/>
      <c r="D401" s="23"/>
      <c r="E401" s="23"/>
      <c r="F401" s="691"/>
      <c r="G401" s="23"/>
      <c r="H401" s="691"/>
      <c r="I401" s="177" t="s">
        <v>3580</v>
      </c>
      <c r="J401" s="178"/>
      <c r="K401" s="179"/>
      <c r="L401" s="1683" t="s">
        <v>3597</v>
      </c>
      <c r="M401" s="1685">
        <v>1</v>
      </c>
      <c r="N401" s="178"/>
      <c r="O401" s="1682">
        <f>M401*S401*W401</f>
        <v>0</v>
      </c>
      <c r="P401" s="332" t="b">
        <v>0</v>
      </c>
      <c r="Q401" s="332" t="b">
        <v>1</v>
      </c>
      <c r="R401" s="106" t="b">
        <v>0</v>
      </c>
      <c r="S401" s="106" t="b">
        <v>1</v>
      </c>
      <c r="T401" s="106" t="b">
        <v>0</v>
      </c>
      <c r="U401" s="106"/>
      <c r="V401" s="106"/>
      <c r="W401" s="119"/>
      <c r="X401" s="1603"/>
      <c r="Z401"/>
      <c r="AB401"/>
      <c r="AC401"/>
      <c r="AD401"/>
      <c r="AE401"/>
      <c r="AF401"/>
      <c r="AG401"/>
      <c r="AH401"/>
      <c r="AI401"/>
      <c r="AJ401"/>
      <c r="AK401"/>
      <c r="AL401" s="1352" t="str">
        <f>SUBSTITUTE(SUBSTITUTE(SUBSTITUTE("dpa"&amp;$B401&amp;$C401&amp;$D401&amp;$E401&amp;$F401,".","_"),"(","_"),")","")</f>
        <v>dpa607_2</v>
      </c>
      <c r="AM401" s="1352">
        <f>M401</f>
        <v>1</v>
      </c>
      <c r="AN401" s="1352" t="str">
        <f>SUBSTITUTE(SUBSTITUTE(SUBSTITUTE("dpc"&amp;$B401&amp;$C401&amp;$D401&amp;$E401&amp;$F401,".","_"),"(","_"),")","")</f>
        <v>dpc607_2</v>
      </c>
      <c r="AO401" s="1352">
        <f>O401</f>
        <v>0</v>
      </c>
      <c r="AP401" s="1352" t="str">
        <f>SUBSTITUTE(SUBSTITUTE(SUBSTITUTE("dch"&amp;$B401&amp;$C401&amp;$D401&amp;$E401&amp;$F401,".","_"),"(","_"),")","")</f>
        <v>dch607_2</v>
      </c>
      <c r="AQ401" s="1352" t="str">
        <f>IF(LEN(W401)=0,"",W401)</f>
        <v/>
      </c>
      <c r="AR401" s="1352" t="str">
        <f>SUBSTITUTE(SUBSTITUTE(SUBSTITUTE("dnt"&amp;$B401&amp;$C401&amp;$D401&amp;$E401&amp;$F401,".","_"),"(","_"),")","")</f>
        <v>dnt607_2</v>
      </c>
      <c r="AS401" s="1352" t="str">
        <f>IF(LEN(X401)=0,"",X401)</f>
        <v/>
      </c>
      <c r="AX401" s="823"/>
      <c r="AY401" s="823"/>
      <c r="AZ401" s="823"/>
    </row>
    <row r="402" spans="1:52" x14ac:dyDescent="0.2">
      <c r="B402" s="79">
        <v>607.20000000000005</v>
      </c>
      <c r="C402" s="23"/>
      <c r="D402" s="23"/>
      <c r="E402" s="23"/>
      <c r="F402" s="691"/>
      <c r="G402" s="23"/>
      <c r="H402" s="691"/>
      <c r="I402" s="130"/>
      <c r="J402" s="129"/>
      <c r="K402" s="97"/>
      <c r="L402" s="1629"/>
      <c r="M402" s="1623"/>
      <c r="N402" s="129"/>
      <c r="O402" s="1619"/>
      <c r="P402" s="96"/>
      <c r="Q402" s="96"/>
      <c r="R402" s="96"/>
      <c r="S402" s="96"/>
      <c r="T402" s="96"/>
      <c r="U402" s="96"/>
      <c r="V402" s="96"/>
      <c r="W402" s="96"/>
      <c r="X402" s="1601"/>
      <c r="Z402"/>
      <c r="AB402"/>
      <c r="AC402"/>
      <c r="AD402"/>
      <c r="AE402"/>
      <c r="AF402"/>
      <c r="AG402"/>
      <c r="AH402"/>
      <c r="AI402"/>
      <c r="AJ402"/>
      <c r="AK402"/>
      <c r="AX402" s="823"/>
      <c r="AY402" s="823"/>
      <c r="AZ402" s="823"/>
    </row>
    <row r="403" spans="1:52" ht="19" x14ac:dyDescent="0.25">
      <c r="B403" s="79">
        <v>608</v>
      </c>
      <c r="C403" s="23"/>
      <c r="D403" s="23"/>
      <c r="E403" s="23"/>
      <c r="F403" s="691"/>
      <c r="G403" s="23"/>
      <c r="H403" s="691"/>
      <c r="I403" s="14" t="s">
        <v>3581</v>
      </c>
      <c r="J403" s="25"/>
      <c r="K403" s="84"/>
      <c r="L403" s="233"/>
      <c r="M403" s="339"/>
      <c r="N403" s="428"/>
      <c r="O403" s="419"/>
      <c r="P403" s="25"/>
      <c r="Q403" s="25"/>
      <c r="R403" s="25"/>
      <c r="S403" s="25"/>
      <c r="T403" s="25"/>
      <c r="U403" s="25"/>
      <c r="V403" s="25"/>
      <c r="W403" s="25"/>
      <c r="X403" s="25"/>
      <c r="Z403"/>
      <c r="AB403"/>
      <c r="AC403"/>
      <c r="AD403"/>
      <c r="AE403"/>
      <c r="AF403"/>
      <c r="AG403"/>
      <c r="AH403"/>
      <c r="AI403"/>
      <c r="AJ403"/>
      <c r="AK403"/>
      <c r="AX403" s="823"/>
      <c r="AY403" s="823"/>
    </row>
    <row r="404" spans="1:52" ht="15" customHeight="1" x14ac:dyDescent="0.2">
      <c r="B404" s="79">
        <v>608.1</v>
      </c>
      <c r="C404" s="23"/>
      <c r="D404" s="23"/>
      <c r="E404" s="23"/>
      <c r="F404" s="691"/>
      <c r="G404" s="23"/>
      <c r="H404" s="691"/>
      <c r="I404" s="67" t="s">
        <v>3582</v>
      </c>
      <c r="J404" s="4"/>
      <c r="K404" s="85"/>
      <c r="L404" s="1631" t="s">
        <v>3596</v>
      </c>
      <c r="M404" s="1722" t="s">
        <v>2633</v>
      </c>
      <c r="N404" s="4"/>
      <c r="O404" s="1669">
        <f ca="1">IFERROR(MATCH(W404,INDIRECT(U404),0),0)*3</f>
        <v>0</v>
      </c>
      <c r="P404" s="332" t="b">
        <v>1</v>
      </c>
      <c r="Q404" s="332" t="b">
        <v>1</v>
      </c>
      <c r="R404" s="151" t="b">
        <v>0</v>
      </c>
      <c r="S404" s="151" t="b">
        <v>1</v>
      </c>
      <c r="T404" s="151" t="b">
        <v>0</v>
      </c>
      <c r="U404" s="96" t="str">
        <f>SUBSTITUTE(SUBSTITUTE(SUBSTITUTE("dd"&amp;B404&amp;C404&amp;D404&amp;E404&amp;F404,".","_"),"(","_"),")","")</f>
        <v>dd608_1</v>
      </c>
      <c r="V404"/>
      <c r="W404" s="12"/>
      <c r="X404" s="1600"/>
      <c r="Z404"/>
      <c r="AB404"/>
      <c r="AC404" s="151" t="b">
        <f>OR(AD404:AE404)</f>
        <v>0</v>
      </c>
      <c r="AD404" s="151" t="b">
        <v>0</v>
      </c>
      <c r="AE404" s="1" t="b">
        <f>AND(NOT(ISBLANK(W404)),LEN(X404)=0)</f>
        <v>0</v>
      </c>
      <c r="AF404"/>
      <c r="AG404"/>
      <c r="AH404"/>
      <c r="AI404"/>
      <c r="AJ404"/>
      <c r="AK404"/>
      <c r="AL404" s="1352" t="str">
        <f>SUBSTITUTE(SUBSTITUTE(SUBSTITUTE("dpa"&amp;$B404&amp;$C404&amp;$D404&amp;$E404&amp;$F404,".","_"),"(","_"),")","")</f>
        <v>dpa608_1</v>
      </c>
      <c r="AM404" s="1352" t="str">
        <f>M404</f>
        <v>9 Max
3 per material</v>
      </c>
      <c r="AN404" s="1352" t="str">
        <f>SUBSTITUTE(SUBSTITUTE(SUBSTITUTE("dpc"&amp;$B404&amp;$C404&amp;$D404&amp;$E404&amp;$F404,".","_"),"(","_"),")","")</f>
        <v>dpc608_1</v>
      </c>
      <c r="AO404" s="1352">
        <f ca="1">O404</f>
        <v>0</v>
      </c>
      <c r="AP404" s="1352" t="str">
        <f>SUBSTITUTE(SUBSTITUTE(SUBSTITUTE("dch"&amp;$B404&amp;$C404&amp;$D404&amp;$E404&amp;$F404,".","_"),"(","_"),")","")</f>
        <v>dch608_1</v>
      </c>
      <c r="AQ404" s="1352" t="str">
        <f>IF(LEN(W404)=0,"",W404)</f>
        <v/>
      </c>
      <c r="AR404" s="1352" t="str">
        <f>SUBSTITUTE(SUBSTITUTE(SUBSTITUTE("dnt"&amp;$B404&amp;$C404&amp;$D404&amp;$E404&amp;$F404,".","_"),"(","_"),")","")</f>
        <v>dnt608_1</v>
      </c>
      <c r="AS404" s="1352" t="str">
        <f>IF(LEN(X404)=0,"",X404)</f>
        <v/>
      </c>
    </row>
    <row r="405" spans="1:52" x14ac:dyDescent="0.2">
      <c r="B405" s="79">
        <v>608.1</v>
      </c>
      <c r="C405" s="23"/>
      <c r="D405" s="23"/>
      <c r="E405" s="23"/>
      <c r="F405" s="691"/>
      <c r="G405" s="23"/>
      <c r="H405" s="691"/>
      <c r="I405" s="67"/>
      <c r="J405" s="4"/>
      <c r="K405" s="85"/>
      <c r="L405" s="1631"/>
      <c r="M405" s="1722"/>
      <c r="N405" s="4"/>
      <c r="O405" s="1669"/>
      <c r="P405" s="332"/>
      <c r="Q405" s="332"/>
      <c r="R405"/>
      <c r="S405"/>
      <c r="T405"/>
      <c r="U405"/>
      <c r="V405"/>
      <c r="W405"/>
      <c r="X405" s="1600"/>
      <c r="Z405"/>
      <c r="AB405"/>
      <c r="AC405"/>
      <c r="AD405"/>
      <c r="AE405"/>
      <c r="AF405"/>
      <c r="AG405"/>
      <c r="AH405"/>
      <c r="AI405"/>
      <c r="AJ405"/>
      <c r="AK405"/>
    </row>
    <row r="406" spans="1:52" x14ac:dyDescent="0.2">
      <c r="B406" s="79">
        <v>608.1</v>
      </c>
      <c r="C406" s="23"/>
      <c r="D406" s="23"/>
      <c r="E406" s="23"/>
      <c r="F406" s="691"/>
      <c r="G406" s="23"/>
      <c r="H406" s="691"/>
      <c r="I406" s="67"/>
      <c r="J406" s="4"/>
      <c r="K406" s="85"/>
      <c r="L406" s="1631"/>
      <c r="M406" s="1722"/>
      <c r="N406" s="4"/>
      <c r="O406" s="1669"/>
      <c r="P406" s="332"/>
      <c r="Q406" s="332"/>
      <c r="R406"/>
      <c r="S406"/>
      <c r="T406"/>
      <c r="U406"/>
      <c r="V406"/>
      <c r="W406"/>
      <c r="X406" s="1600"/>
      <c r="Z406"/>
      <c r="AB406"/>
      <c r="AC406"/>
      <c r="AD406"/>
      <c r="AE406"/>
      <c r="AF406"/>
      <c r="AG406"/>
      <c r="AH406"/>
      <c r="AI406"/>
      <c r="AJ406"/>
      <c r="AK406"/>
    </row>
    <row r="407" spans="1:52" x14ac:dyDescent="0.2">
      <c r="B407" s="79">
        <v>608.1</v>
      </c>
      <c r="C407" s="23" t="s">
        <v>254</v>
      </c>
      <c r="D407" s="23"/>
      <c r="E407" s="23"/>
      <c r="F407" s="691"/>
      <c r="G407" s="23"/>
      <c r="H407" s="691"/>
      <c r="I407" s="67"/>
      <c r="J407" s="180" t="s">
        <v>254</v>
      </c>
      <c r="K407" s="97"/>
      <c r="L407" s="1609" t="s">
        <v>568</v>
      </c>
      <c r="M407" s="955"/>
      <c r="N407" s="4"/>
      <c r="O407" s="935"/>
      <c r="P407" s="332"/>
      <c r="Q407" s="332"/>
      <c r="R407" s="126"/>
      <c r="S407" s="126"/>
      <c r="T407" s="126"/>
      <c r="U407"/>
      <c r="V407"/>
      <c r="W407"/>
      <c r="X407" s="1600"/>
      <c r="Z407"/>
      <c r="AB407"/>
      <c r="AC407"/>
      <c r="AD407"/>
      <c r="AE407"/>
      <c r="AF407"/>
      <c r="AG407"/>
      <c r="AH407"/>
      <c r="AI407"/>
      <c r="AJ407"/>
      <c r="AK407"/>
    </row>
    <row r="408" spans="1:52" x14ac:dyDescent="0.2">
      <c r="B408" s="79">
        <v>608.1</v>
      </c>
      <c r="C408" s="23" t="s">
        <v>254</v>
      </c>
      <c r="D408" s="23"/>
      <c r="E408" s="23"/>
      <c r="F408" s="691"/>
      <c r="G408" s="23"/>
      <c r="H408" s="691"/>
      <c r="I408" s="67"/>
      <c r="J408" s="207"/>
      <c r="K408" s="170"/>
      <c r="L408" s="1612"/>
      <c r="M408" s="955"/>
      <c r="N408" s="4"/>
      <c r="O408" s="935"/>
      <c r="P408" s="332"/>
      <c r="Q408" s="332"/>
      <c r="R408"/>
      <c r="S408"/>
      <c r="T408"/>
      <c r="U408"/>
      <c r="V408"/>
      <c r="W408"/>
      <c r="X408" s="1600"/>
      <c r="Z408"/>
      <c r="AB408"/>
      <c r="AC408"/>
      <c r="AD408"/>
      <c r="AE408"/>
      <c r="AF408"/>
      <c r="AG408"/>
      <c r="AH408"/>
      <c r="AI408"/>
      <c r="AJ408"/>
      <c r="AK408"/>
    </row>
    <row r="409" spans="1:52" x14ac:dyDescent="0.2">
      <c r="B409" s="79">
        <v>608.1</v>
      </c>
      <c r="C409" s="23" t="s">
        <v>255</v>
      </c>
      <c r="D409" s="23"/>
      <c r="E409" s="23"/>
      <c r="F409" s="691"/>
      <c r="G409" s="23"/>
      <c r="H409" s="691"/>
      <c r="I409" s="67"/>
      <c r="J409" s="209" t="s">
        <v>255</v>
      </c>
      <c r="K409" s="210"/>
      <c r="L409" s="311" t="s">
        <v>569</v>
      </c>
      <c r="M409" s="955"/>
      <c r="N409" s="4"/>
      <c r="O409" s="935"/>
      <c r="P409" s="332"/>
      <c r="Q409" s="332"/>
      <c r="R409" s="126"/>
      <c r="S409" s="126"/>
      <c r="T409" s="126"/>
      <c r="U409"/>
      <c r="V409"/>
      <c r="W409"/>
      <c r="X409" s="1600"/>
      <c r="Z409"/>
      <c r="AB409"/>
      <c r="AC409"/>
      <c r="AD409"/>
      <c r="AE409"/>
      <c r="AF409"/>
      <c r="AG409"/>
      <c r="AH409"/>
      <c r="AI409"/>
      <c r="AJ409"/>
      <c r="AK409"/>
    </row>
    <row r="410" spans="1:52" x14ac:dyDescent="0.2">
      <c r="B410" s="79">
        <v>608.1</v>
      </c>
      <c r="C410" s="23" t="s">
        <v>256</v>
      </c>
      <c r="D410" s="23"/>
      <c r="E410" s="23"/>
      <c r="F410" s="691"/>
      <c r="G410" s="23"/>
      <c r="H410" s="691"/>
      <c r="I410" s="67"/>
      <c r="J410" s="29" t="s">
        <v>256</v>
      </c>
      <c r="K410" s="85"/>
      <c r="L410" s="299" t="s">
        <v>570</v>
      </c>
      <c r="M410" s="955"/>
      <c r="N410" s="4"/>
      <c r="O410" s="935"/>
      <c r="P410" s="332"/>
      <c r="Q410" s="332"/>
      <c r="R410" s="126"/>
      <c r="S410" s="126"/>
      <c r="T410" s="126"/>
      <c r="U410"/>
      <c r="V410"/>
      <c r="W410"/>
      <c r="X410" s="1600"/>
      <c r="Z410"/>
      <c r="AB410"/>
      <c r="AC410"/>
      <c r="AD410"/>
      <c r="AE410"/>
      <c r="AF410"/>
      <c r="AG410"/>
      <c r="AH410"/>
      <c r="AI410"/>
      <c r="AJ410"/>
      <c r="AK410"/>
    </row>
    <row r="411" spans="1:52" ht="15" customHeight="1" x14ac:dyDescent="0.2">
      <c r="B411" s="79">
        <v>608.1</v>
      </c>
      <c r="C411" s="23"/>
      <c r="D411" s="23"/>
      <c r="E411" s="23"/>
      <c r="F411" s="691"/>
      <c r="G411" s="23"/>
      <c r="H411" s="691"/>
      <c r="I411" s="67"/>
      <c r="J411" s="29"/>
      <c r="K411" s="85"/>
      <c r="L411" s="1689" t="s">
        <v>3844</v>
      </c>
      <c r="M411" s="955"/>
      <c r="N411" s="4"/>
      <c r="O411" s="935"/>
      <c r="P411" s="332"/>
      <c r="Q411" s="332"/>
      <c r="R411" s="151"/>
      <c r="S411" s="151"/>
      <c r="T411" s="151"/>
      <c r="U411" s="151"/>
      <c r="V411" s="151"/>
      <c r="W411" s="151"/>
      <c r="X411" s="1600"/>
      <c r="Z411" s="151"/>
      <c r="AB411" s="151"/>
      <c r="AC411" s="151"/>
      <c r="AD411" s="151"/>
      <c r="AE411" s="151"/>
      <c r="AF411" s="151"/>
      <c r="AG411" s="151"/>
      <c r="AH411" s="151"/>
      <c r="AI411" s="151"/>
      <c r="AJ411" s="151"/>
      <c r="AK411" s="151"/>
      <c r="AT411" s="151"/>
    </row>
    <row r="412" spans="1:52" s="905" customFormat="1" ht="15" customHeight="1" x14ac:dyDescent="0.2">
      <c r="A412" s="20"/>
      <c r="B412" s="79">
        <v>608.1</v>
      </c>
      <c r="C412" s="23"/>
      <c r="D412" s="23"/>
      <c r="E412" s="23"/>
      <c r="F412" s="691"/>
      <c r="G412" s="23"/>
      <c r="H412" s="691"/>
      <c r="I412" s="67"/>
      <c r="J412" s="29"/>
      <c r="K412" s="85"/>
      <c r="L412" s="1723"/>
      <c r="M412" s="955"/>
      <c r="N412" s="4"/>
      <c r="O412" s="935"/>
      <c r="X412" s="1600"/>
      <c r="AL412" s="66"/>
      <c r="AM412" s="66"/>
      <c r="AN412" s="66"/>
      <c r="AO412" s="66"/>
      <c r="AP412" s="66"/>
      <c r="AQ412" s="66"/>
      <c r="AR412" s="66"/>
      <c r="AS412" s="66"/>
      <c r="AX412" s="66"/>
      <c r="AY412" s="66"/>
      <c r="AZ412" s="66"/>
    </row>
    <row r="413" spans="1:52" s="151" customFormat="1" ht="19" x14ac:dyDescent="0.25">
      <c r="A413" s="20"/>
      <c r="B413" s="79">
        <v>609</v>
      </c>
      <c r="C413" s="23"/>
      <c r="D413" s="23"/>
      <c r="E413" s="23"/>
      <c r="F413" s="691"/>
      <c r="G413" s="23"/>
      <c r="H413" s="691"/>
      <c r="I413" s="14" t="s">
        <v>3583</v>
      </c>
      <c r="J413" s="25"/>
      <c r="K413" s="84"/>
      <c r="L413" s="233"/>
      <c r="M413" s="339"/>
      <c r="N413" s="428"/>
      <c r="O413" s="419"/>
      <c r="P413" s="25"/>
      <c r="Q413" s="25"/>
      <c r="R413" s="25"/>
      <c r="S413" s="25"/>
      <c r="T413" s="25"/>
      <c r="U413" s="25"/>
      <c r="V413" s="25"/>
      <c r="W413" s="25"/>
      <c r="X413" s="25"/>
      <c r="Y413" s="704"/>
      <c r="Z413"/>
      <c r="AA413" s="707"/>
      <c r="AB413"/>
      <c r="AC413"/>
      <c r="AD413"/>
      <c r="AE413"/>
      <c r="AF413"/>
      <c r="AG413"/>
      <c r="AH413"/>
      <c r="AI413"/>
      <c r="AJ413"/>
      <c r="AK413"/>
      <c r="AL413" s="66"/>
      <c r="AM413" s="66"/>
      <c r="AN413" s="66"/>
      <c r="AO413" s="66"/>
      <c r="AP413" s="66"/>
      <c r="AQ413" s="66"/>
      <c r="AR413" s="66"/>
      <c r="AS413" s="66"/>
      <c r="AT413" s="66"/>
      <c r="AX413" s="66"/>
      <c r="AY413" s="66"/>
      <c r="AZ413" s="66"/>
    </row>
    <row r="414" spans="1:52" ht="15" customHeight="1" x14ac:dyDescent="0.2">
      <c r="B414" s="79">
        <v>609.1</v>
      </c>
      <c r="C414" s="23"/>
      <c r="D414" s="23"/>
      <c r="E414" s="23"/>
      <c r="F414" s="691"/>
      <c r="G414" s="23"/>
      <c r="H414" s="691"/>
      <c r="I414" s="67" t="s">
        <v>3584</v>
      </c>
      <c r="J414" s="4"/>
      <c r="K414" s="85"/>
      <c r="L414" s="1631" t="s">
        <v>3595</v>
      </c>
      <c r="M414" s="1628" t="s">
        <v>571</v>
      </c>
      <c r="N414" s="4"/>
      <c r="O414" s="1669">
        <f ca="1">MIN(10,IFERROR(MATCH(W416,INDIRECT(U416),0),0)*2+IFERROR(MATCH(W418,INDIRECT(U418),0),0))</f>
        <v>0</v>
      </c>
      <c r="X414"/>
      <c r="Z414"/>
      <c r="AB414"/>
      <c r="AC414"/>
      <c r="AD414"/>
      <c r="AE414"/>
      <c r="AF414"/>
      <c r="AG414"/>
      <c r="AH414"/>
      <c r="AI414"/>
      <c r="AJ414"/>
      <c r="AK414"/>
      <c r="AL414" s="1352" t="str">
        <f>SUBSTITUTE(SUBSTITUTE(SUBSTITUTE("dpa"&amp;$B414&amp;$C414&amp;$D414&amp;$E414&amp;$F414,".","_"),"(","_"),")","")</f>
        <v>dpa609_1</v>
      </c>
      <c r="AM414" s="1352" t="str">
        <f>M414</f>
        <v>10 Max</v>
      </c>
      <c r="AN414" s="1352" t="str">
        <f>SUBSTITUTE(SUBSTITUTE(SUBSTITUTE("dpc"&amp;$B414&amp;$C414&amp;$D414&amp;$E414&amp;$F414,".","_"),"(","_"),")","")</f>
        <v>dpc609_1</v>
      </c>
      <c r="AO414" s="1352">
        <f ca="1">O414</f>
        <v>0</v>
      </c>
      <c r="AX414" s="151"/>
      <c r="AY414" s="151"/>
      <c r="AZ414" s="905"/>
    </row>
    <row r="415" spans="1:52" x14ac:dyDescent="0.2">
      <c r="B415" s="79">
        <v>609.1</v>
      </c>
      <c r="C415" s="23"/>
      <c r="D415" s="23"/>
      <c r="E415" s="23"/>
      <c r="F415" s="691"/>
      <c r="G415" s="23"/>
      <c r="H415" s="691"/>
      <c r="I415" s="67"/>
      <c r="J415" s="4"/>
      <c r="K415" s="85"/>
      <c r="L415" s="1631"/>
      <c r="M415" s="1628"/>
      <c r="N415" s="4"/>
      <c r="O415" s="1669"/>
      <c r="P415" s="332"/>
      <c r="Q415" s="332"/>
      <c r="U415"/>
      <c r="V415"/>
      <c r="W415" t="s">
        <v>2637</v>
      </c>
      <c r="X415"/>
      <c r="Z415"/>
      <c r="AB415"/>
      <c r="AF415"/>
      <c r="AG415"/>
      <c r="AH415"/>
      <c r="AI415"/>
      <c r="AJ415"/>
      <c r="AK415"/>
      <c r="AX415" s="905"/>
      <c r="AY415" s="905"/>
      <c r="AZ415" s="151"/>
    </row>
    <row r="416" spans="1:52" s="1234" customFormat="1" x14ac:dyDescent="0.2">
      <c r="A416" s="20"/>
      <c r="B416" s="79">
        <v>609.1</v>
      </c>
      <c r="C416" s="23" t="s">
        <v>254</v>
      </c>
      <c r="D416" s="23"/>
      <c r="E416" s="23"/>
      <c r="F416" s="691"/>
      <c r="G416" s="23"/>
      <c r="H416" s="691"/>
      <c r="I416" s="67"/>
      <c r="J416" s="29" t="s">
        <v>254</v>
      </c>
      <c r="K416" s="85"/>
      <c r="L416" s="4" t="s">
        <v>5064</v>
      </c>
      <c r="M416" s="1715" t="s">
        <v>5066</v>
      </c>
      <c r="N416" s="4"/>
      <c r="O416" s="1669"/>
      <c r="P416" s="332" t="b">
        <v>1</v>
      </c>
      <c r="Q416" s="332" t="b">
        <v>1</v>
      </c>
      <c r="R416" s="126" t="b">
        <v>0</v>
      </c>
      <c r="S416" s="126" t="b">
        <v>1</v>
      </c>
      <c r="T416" s="126" t="b">
        <v>0</v>
      </c>
      <c r="U416" s="1240" t="str">
        <f>SUBSTITUTE(SUBSTITUTE(SUBSTITUTE("dd"&amp;B416&amp;C416&amp;D416&amp;E416&amp;F416,".","_"),"(","_"),")","")</f>
        <v>dd609_1_1</v>
      </c>
      <c r="V416"/>
      <c r="W416" s="12"/>
      <c r="X416" s="1600"/>
      <c r="AC416" s="151" t="b">
        <f>OR(AD416:AE416)</f>
        <v>0</v>
      </c>
      <c r="AD416" s="151" t="b">
        <v>0</v>
      </c>
      <c r="AE416" s="1" t="b">
        <f>AND(NOT(ISBLANK(W416)),LEN(X416)=0)</f>
        <v>0</v>
      </c>
      <c r="AL416" s="1352" t="str">
        <f>SUBSTITUTE(SUBSTITUTE(SUBSTITUTE("dpa"&amp;$B416&amp;$C416&amp;$D416&amp;$E416&amp;$F416,".","_"),"(","_"),")","")</f>
        <v>dpa609_1_1</v>
      </c>
      <c r="AM416" s="1352" t="str">
        <f>M416</f>
        <v>2 per each component</v>
      </c>
      <c r="AN416" s="66"/>
      <c r="AO416" s="66"/>
      <c r="AP416" s="1352" t="str">
        <f>SUBSTITUTE(SUBSTITUTE(SUBSTITUTE("dch"&amp;$B416&amp;$C416&amp;$D416&amp;$E416&amp;$F416,".","_"),"(","_"),")","")</f>
        <v>dch609_1_1</v>
      </c>
      <c r="AQ416" s="1352" t="str">
        <f>IF(LEN(W416)=0,"",W416)</f>
        <v/>
      </c>
      <c r="AR416" s="1352" t="str">
        <f>SUBSTITUTE(SUBSTITUTE(SUBSTITUTE("dnt"&amp;$B416&amp;$C416&amp;$D416&amp;$E416&amp;$F416,".","_"),"(","_"),")","")</f>
        <v>dnt609_1_1</v>
      </c>
      <c r="AS416" s="1352" t="str">
        <f>IF(LEN(X416)=0,"",X416)</f>
        <v/>
      </c>
    </row>
    <row r="417" spans="1:52" s="1234" customFormat="1" x14ac:dyDescent="0.2">
      <c r="A417" s="20"/>
      <c r="B417" s="79">
        <v>609.1</v>
      </c>
      <c r="C417" s="23" t="s">
        <v>254</v>
      </c>
      <c r="D417" s="23"/>
      <c r="E417" s="23"/>
      <c r="F417" s="691"/>
      <c r="G417" s="23"/>
      <c r="H417" s="691"/>
      <c r="I417" s="67"/>
      <c r="J417" s="29"/>
      <c r="K417" s="85"/>
      <c r="L417" s="4"/>
      <c r="M417" s="1715"/>
      <c r="N417" s="4"/>
      <c r="O417" s="1669"/>
      <c r="P417" s="332"/>
      <c r="Q417" s="332"/>
      <c r="R417" s="66"/>
      <c r="S417" s="66"/>
      <c r="T417" s="66"/>
      <c r="U417"/>
      <c r="V417"/>
      <c r="W417" s="151" t="s">
        <v>2638</v>
      </c>
      <c r="X417" s="1600"/>
      <c r="AE417"/>
      <c r="AL417" s="66"/>
      <c r="AM417" s="66"/>
      <c r="AN417" s="66"/>
      <c r="AO417" s="66"/>
      <c r="AP417" s="66"/>
      <c r="AQ417" s="66"/>
      <c r="AR417" s="66"/>
      <c r="AS417" s="66"/>
    </row>
    <row r="418" spans="1:52" s="1234" customFormat="1" x14ac:dyDescent="0.2">
      <c r="A418" s="20"/>
      <c r="B418" s="79">
        <v>609.1</v>
      </c>
      <c r="C418" s="23" t="s">
        <v>255</v>
      </c>
      <c r="D418" s="23"/>
      <c r="E418" s="23"/>
      <c r="F418" s="691"/>
      <c r="G418" s="23"/>
      <c r="H418" s="691"/>
      <c r="I418" s="67"/>
      <c r="J418" s="29" t="s">
        <v>255</v>
      </c>
      <c r="K418" s="85"/>
      <c r="L418" s="4" t="s">
        <v>5065</v>
      </c>
      <c r="M418" s="1715" t="s">
        <v>5067</v>
      </c>
      <c r="N418" s="4"/>
      <c r="O418" s="1669"/>
      <c r="P418" s="332" t="b">
        <v>1</v>
      </c>
      <c r="Q418" s="332" t="b">
        <v>1</v>
      </c>
      <c r="R418" s="126" t="b">
        <v>0</v>
      </c>
      <c r="S418" s="126" t="b">
        <v>1</v>
      </c>
      <c r="T418" s="126" t="b">
        <v>0</v>
      </c>
      <c r="U418" s="1240" t="str">
        <f>SUBSTITUTE(SUBSTITUTE(SUBSTITUTE("dd"&amp;B418&amp;C418&amp;D418&amp;E418&amp;F418,".","_"),"(","_"),")","")</f>
        <v>dd609_1_2</v>
      </c>
      <c r="V418" s="151"/>
      <c r="W418" s="12"/>
      <c r="X418" s="1600"/>
      <c r="AC418" s="151" t="b">
        <f>OR(AD418:AE418)</f>
        <v>0</v>
      </c>
      <c r="AD418" s="151" t="b">
        <v>0</v>
      </c>
      <c r="AE418" s="1" t="b">
        <f>AND(NOT(ISBLANK(W418)),LEN(X418)=0)</f>
        <v>0</v>
      </c>
      <c r="AL418" s="1352" t="str">
        <f>SUBSTITUTE(SUBSTITUTE(SUBSTITUTE("dpa"&amp;$B418&amp;$C418&amp;$D418&amp;$E418&amp;$F418,".","_"),"(","_"),")","")</f>
        <v>dpa609_1_2</v>
      </c>
      <c r="AM418" s="1352" t="str">
        <f>M418</f>
        <v>1 per each component</v>
      </c>
      <c r="AN418" s="66"/>
      <c r="AO418" s="66"/>
      <c r="AP418" s="1352" t="str">
        <f>SUBSTITUTE(SUBSTITUTE(SUBSTITUTE("dch"&amp;$B418&amp;$C418&amp;$D418&amp;$E418&amp;$F418,".","_"),"(","_"),")","")</f>
        <v>dch609_1_2</v>
      </c>
      <c r="AQ418" s="1352" t="str">
        <f>IF(LEN(W418)=0,"",W418)</f>
        <v/>
      </c>
      <c r="AR418" s="1352" t="str">
        <f>SUBSTITUTE(SUBSTITUTE(SUBSTITUTE("dnt"&amp;$B418&amp;$C418&amp;$D418&amp;$E418&amp;$F418,".","_"),"(","_"),")","")</f>
        <v>dnt609_1_2</v>
      </c>
      <c r="AS418" s="1352" t="str">
        <f>IF(LEN(X418)=0,"",X418)</f>
        <v/>
      </c>
    </row>
    <row r="419" spans="1:52" s="1234" customFormat="1" x14ac:dyDescent="0.2">
      <c r="A419" s="20"/>
      <c r="B419" s="79">
        <v>609.1</v>
      </c>
      <c r="C419" s="23" t="s">
        <v>255</v>
      </c>
      <c r="D419" s="23"/>
      <c r="E419" s="23"/>
      <c r="F419" s="691"/>
      <c r="G419" s="23"/>
      <c r="H419" s="691"/>
      <c r="I419" s="67"/>
      <c r="J419" s="29"/>
      <c r="K419" s="85"/>
      <c r="L419" s="4"/>
      <c r="M419" s="1715"/>
      <c r="N419" s="4"/>
      <c r="O419" s="1669"/>
      <c r="X419" s="1600"/>
      <c r="AE419"/>
      <c r="AL419" s="66"/>
      <c r="AM419" s="66"/>
      <c r="AN419" s="66"/>
      <c r="AO419" s="66"/>
      <c r="AP419" s="66"/>
      <c r="AQ419" s="66"/>
      <c r="AR419" s="66"/>
      <c r="AS419" s="66"/>
    </row>
    <row r="420" spans="1:52" x14ac:dyDescent="0.2">
      <c r="B420" s="79">
        <v>609.1</v>
      </c>
      <c r="C420" s="23"/>
      <c r="D420" s="23"/>
      <c r="E420" s="23"/>
      <c r="F420" s="691"/>
      <c r="G420" s="23"/>
      <c r="H420" s="691"/>
      <c r="I420" s="67"/>
      <c r="J420" s="4"/>
      <c r="K420" s="85"/>
      <c r="L420" s="1707" t="s">
        <v>5063</v>
      </c>
      <c r="M420" s="1239"/>
      <c r="N420" s="4"/>
      <c r="O420" s="1238"/>
      <c r="P420" s="332"/>
      <c r="Q420" s="332"/>
      <c r="U420"/>
      <c r="V420"/>
      <c r="W420"/>
      <c r="X420"/>
    </row>
    <row r="421" spans="1:52" ht="15" customHeight="1" x14ac:dyDescent="0.2">
      <c r="B421" s="79">
        <v>609.1</v>
      </c>
      <c r="C421" s="23"/>
      <c r="D421" s="23"/>
      <c r="E421" s="23"/>
      <c r="F421" s="691"/>
      <c r="G421" s="23"/>
      <c r="H421" s="691"/>
      <c r="I421" s="67"/>
      <c r="J421" s="4"/>
      <c r="K421" s="85"/>
      <c r="L421" s="1707"/>
      <c r="M421" s="1239"/>
      <c r="N421" s="4"/>
      <c r="O421" s="1238"/>
      <c r="X421"/>
    </row>
    <row r="422" spans="1:52" x14ac:dyDescent="0.2">
      <c r="B422" s="79">
        <v>609.1</v>
      </c>
      <c r="C422" s="23"/>
      <c r="D422" s="23"/>
      <c r="E422" s="23"/>
      <c r="F422" s="691"/>
      <c r="G422" s="23"/>
      <c r="H422" s="691"/>
      <c r="I422" s="67"/>
      <c r="J422" s="4"/>
      <c r="K422" s="85"/>
      <c r="L422" s="1707"/>
      <c r="M422" s="1239"/>
      <c r="N422" s="4"/>
      <c r="O422" s="1238"/>
      <c r="X422"/>
      <c r="Z422" s="151"/>
      <c r="AB422" s="151"/>
      <c r="AF422" s="151"/>
      <c r="AG422" s="151"/>
      <c r="AH422" s="151"/>
      <c r="AI422" s="151"/>
      <c r="AJ422" s="151"/>
      <c r="AK422" s="151"/>
      <c r="AT422" s="151"/>
    </row>
    <row r="423" spans="1:52" s="151" customFormat="1" x14ac:dyDescent="0.2">
      <c r="A423" s="20"/>
      <c r="B423" s="79">
        <v>609.1</v>
      </c>
      <c r="C423" s="23"/>
      <c r="D423" s="23"/>
      <c r="E423" s="23"/>
      <c r="F423" s="691"/>
      <c r="G423" s="23"/>
      <c r="H423" s="691"/>
      <c r="I423" s="67"/>
      <c r="J423" s="4"/>
      <c r="K423" s="85"/>
      <c r="L423" s="1689" t="s">
        <v>3843</v>
      </c>
      <c r="M423" s="1239"/>
      <c r="N423" s="4"/>
      <c r="O423" s="1238"/>
      <c r="P423" s="332"/>
      <c r="Q423" s="332"/>
      <c r="R423"/>
      <c r="S423"/>
      <c r="T423"/>
      <c r="U423"/>
      <c r="V423"/>
      <c r="W423"/>
      <c r="X423"/>
      <c r="Y423" s="704"/>
      <c r="Z423" s="66"/>
      <c r="AA423" s="707"/>
      <c r="AB423" s="66"/>
      <c r="AC423" s="66"/>
      <c r="AD423" s="66"/>
      <c r="AE423" s="66"/>
      <c r="AF423" s="66"/>
      <c r="AG423" s="66"/>
      <c r="AH423" s="66"/>
      <c r="AI423" s="66"/>
      <c r="AJ423" s="66"/>
      <c r="AK423" s="66"/>
      <c r="AL423" s="66"/>
      <c r="AM423" s="66"/>
      <c r="AN423" s="66"/>
      <c r="AO423" s="66"/>
      <c r="AP423" s="66"/>
      <c r="AQ423" s="66"/>
      <c r="AR423" s="66"/>
      <c r="AS423" s="66"/>
      <c r="AT423" s="66"/>
      <c r="AX423" s="66"/>
      <c r="AY423" s="66"/>
      <c r="AZ423" s="66"/>
    </row>
    <row r="424" spans="1:52" ht="15" customHeight="1" x14ac:dyDescent="0.2">
      <c r="B424" s="79">
        <v>609.1</v>
      </c>
      <c r="C424" s="23"/>
      <c r="D424" s="23"/>
      <c r="E424" s="23"/>
      <c r="F424" s="691"/>
      <c r="G424" s="23"/>
      <c r="H424" s="691"/>
      <c r="I424" s="67"/>
      <c r="J424" s="4"/>
      <c r="K424" s="85"/>
      <c r="L424" s="1723"/>
      <c r="M424" s="1239"/>
      <c r="N424" s="4"/>
      <c r="O424" s="1238"/>
      <c r="P424" s="332"/>
      <c r="Q424" s="332"/>
      <c r="R424" s="151"/>
      <c r="S424" s="151"/>
      <c r="T424" s="151"/>
      <c r="U424" s="151"/>
      <c r="V424" s="151"/>
      <c r="W424" s="151"/>
      <c r="X424"/>
      <c r="Z424" s="151"/>
      <c r="AB424" s="151"/>
      <c r="AC424" s="151"/>
      <c r="AD424" s="151"/>
      <c r="AE424" s="151"/>
      <c r="AF424" s="151"/>
      <c r="AG424" s="151"/>
      <c r="AH424" s="151"/>
      <c r="AI424" s="151"/>
      <c r="AJ424" s="151"/>
      <c r="AK424" s="151"/>
      <c r="AT424" s="151"/>
    </row>
    <row r="425" spans="1:52" s="151" customFormat="1" ht="19" x14ac:dyDescent="0.25">
      <c r="A425" s="20"/>
      <c r="B425" s="79">
        <v>610</v>
      </c>
      <c r="C425" s="23"/>
      <c r="D425" s="23"/>
      <c r="E425" s="23"/>
      <c r="F425" s="691"/>
      <c r="G425" s="23"/>
      <c r="H425" s="691"/>
      <c r="I425" s="14" t="s">
        <v>3585</v>
      </c>
      <c r="J425" s="25"/>
      <c r="K425" s="84"/>
      <c r="L425" s="233"/>
      <c r="M425" s="339"/>
      <c r="N425" s="428"/>
      <c r="O425" s="419"/>
      <c r="P425" s="25"/>
      <c r="Q425" s="25"/>
      <c r="R425" s="25"/>
      <c r="S425" s="25"/>
      <c r="T425" s="25"/>
      <c r="U425" s="25"/>
      <c r="V425" s="25"/>
      <c r="W425" s="25"/>
      <c r="X425" s="25"/>
      <c r="Y425" s="704"/>
      <c r="Z425" s="66"/>
      <c r="AA425" s="707"/>
      <c r="AB425" s="66"/>
      <c r="AC425" s="66"/>
      <c r="AD425" s="66"/>
      <c r="AE425" s="66"/>
      <c r="AF425" s="66"/>
      <c r="AG425" s="66"/>
      <c r="AH425" s="66"/>
      <c r="AI425" s="66"/>
      <c r="AJ425" s="66"/>
      <c r="AK425" s="66"/>
      <c r="AL425" s="66"/>
      <c r="AM425" s="66"/>
      <c r="AN425" s="66"/>
      <c r="AO425" s="66"/>
      <c r="AP425" s="66"/>
      <c r="AQ425" s="66"/>
      <c r="AR425" s="66"/>
      <c r="AS425" s="66"/>
      <c r="AT425" s="66"/>
    </row>
    <row r="426" spans="1:52" ht="15" customHeight="1" x14ac:dyDescent="0.2">
      <c r="B426" s="79">
        <v>610.1</v>
      </c>
      <c r="C426" s="23"/>
      <c r="D426" s="23"/>
      <c r="E426" s="23"/>
      <c r="F426" s="691"/>
      <c r="G426" s="23"/>
      <c r="H426" s="691"/>
      <c r="I426" s="67" t="s">
        <v>3586</v>
      </c>
      <c r="J426" s="4"/>
      <c r="K426" s="85"/>
      <c r="L426" s="1631" t="s">
        <v>3830</v>
      </c>
      <c r="M426" s="69"/>
      <c r="N426" s="4"/>
      <c r="O426" s="138"/>
      <c r="P426" s="332"/>
      <c r="Q426" s="332"/>
      <c r="R426" s="1241" t="b">
        <f ca="1">SUM(O435:O456)&gt;0</f>
        <v>0</v>
      </c>
      <c r="S426" s="1241"/>
      <c r="T426" s="1241"/>
      <c r="U426" s="1241"/>
      <c r="V426" s="1241"/>
      <c r="W426" s="1241"/>
      <c r="X426" s="1600"/>
      <c r="Y426" s="1241"/>
      <c r="Z426" s="1241"/>
      <c r="AA426" s="1241"/>
      <c r="AB426" s="1241"/>
      <c r="AC426" s="1241" t="b">
        <f ca="1">OR(AD426:AE426)</f>
        <v>0</v>
      </c>
      <c r="AD426" s="1241"/>
      <c r="AE426" s="1" t="b">
        <f ca="1">AND(R426,LEN(X426)=0)</f>
        <v>0</v>
      </c>
      <c r="AR426" s="1352" t="str">
        <f>SUBSTITUTE(SUBSTITUTE(SUBSTITUTE("dnt"&amp;$B426&amp;$C426&amp;$D426&amp;$E426&amp;$F426,".","_"),"(","_"),")","")</f>
        <v>dnt610_1</v>
      </c>
      <c r="AS426" s="1352" t="str">
        <f>IF(LEN(X426)=0,"",X426)</f>
        <v/>
      </c>
    </row>
    <row r="427" spans="1:52" ht="15" customHeight="1" x14ac:dyDescent="0.2">
      <c r="B427" s="79">
        <v>610.1</v>
      </c>
      <c r="C427" s="23"/>
      <c r="D427" s="23"/>
      <c r="E427" s="23"/>
      <c r="F427" s="691"/>
      <c r="G427" s="23"/>
      <c r="H427" s="691"/>
      <c r="I427" s="67"/>
      <c r="J427" s="4"/>
      <c r="K427" s="85"/>
      <c r="L427" s="1631"/>
      <c r="M427" s="69"/>
      <c r="N427" s="4"/>
      <c r="O427" s="138"/>
      <c r="P427" s="332"/>
      <c r="Q427" s="332"/>
      <c r="R427" s="1241"/>
      <c r="S427" s="1241"/>
      <c r="T427" s="1241"/>
      <c r="U427" s="1241"/>
      <c r="V427" s="1241"/>
      <c r="W427" s="1241"/>
      <c r="X427" s="1600"/>
      <c r="Y427" s="1241"/>
      <c r="Z427" s="1241"/>
      <c r="AA427" s="1241"/>
      <c r="AB427" s="1241"/>
      <c r="AC427" s="1241"/>
      <c r="AD427" s="1241"/>
      <c r="AE427" s="1241"/>
      <c r="AX427" s="151"/>
      <c r="AY427" s="151"/>
      <c r="AZ427" s="151"/>
    </row>
    <row r="428" spans="1:52" x14ac:dyDescent="0.2">
      <c r="B428" s="79">
        <v>610.1</v>
      </c>
      <c r="C428" s="23"/>
      <c r="D428" s="23"/>
      <c r="E428" s="23"/>
      <c r="F428" s="691"/>
      <c r="G428" s="23"/>
      <c r="H428" s="691"/>
      <c r="I428" s="67"/>
      <c r="J428" s="4"/>
      <c r="K428" s="85"/>
      <c r="L428" s="1631"/>
      <c r="M428" s="69"/>
      <c r="N428" s="4"/>
      <c r="O428" s="138"/>
      <c r="P428" s="332"/>
      <c r="Q428" s="332"/>
      <c r="R428" s="1241"/>
      <c r="S428" s="1241"/>
      <c r="T428" s="1241"/>
      <c r="U428" s="1241"/>
      <c r="V428" s="1241"/>
      <c r="W428" s="1241"/>
      <c r="X428" s="1600"/>
      <c r="Y428" s="1241"/>
      <c r="Z428" s="1241"/>
      <c r="AA428" s="1241"/>
      <c r="AB428" s="1241"/>
      <c r="AC428" s="1241"/>
      <c r="AD428" s="1241"/>
      <c r="AE428" s="1241"/>
    </row>
    <row r="429" spans="1:52" x14ac:dyDescent="0.2">
      <c r="B429" s="79">
        <v>610.1</v>
      </c>
      <c r="C429" s="23"/>
      <c r="D429" s="23"/>
      <c r="E429" s="23"/>
      <c r="F429" s="691"/>
      <c r="G429" s="23"/>
      <c r="H429" s="691"/>
      <c r="I429" s="67"/>
      <c r="J429" s="4"/>
      <c r="K429" s="85"/>
      <c r="L429" s="1631"/>
      <c r="M429" s="69"/>
      <c r="N429" s="4"/>
      <c r="O429" s="138"/>
      <c r="P429" s="332"/>
      <c r="Q429" s="332"/>
      <c r="R429" s="1241"/>
      <c r="S429" s="1241"/>
      <c r="T429" s="1241"/>
      <c r="U429" s="1241"/>
      <c r="V429" s="1241"/>
      <c r="W429" s="1241"/>
      <c r="X429" s="1600"/>
      <c r="Y429" s="1241"/>
      <c r="Z429" s="1241"/>
      <c r="AA429" s="1241"/>
      <c r="AB429" s="1241"/>
      <c r="AC429" s="1241"/>
      <c r="AD429" s="1241"/>
      <c r="AE429" s="1241"/>
    </row>
    <row r="430" spans="1:52" x14ac:dyDescent="0.2">
      <c r="B430" s="79">
        <v>610.1</v>
      </c>
      <c r="C430" s="23"/>
      <c r="D430" s="23"/>
      <c r="E430" s="23"/>
      <c r="F430" s="691"/>
      <c r="G430" s="23"/>
      <c r="H430" s="691"/>
      <c r="I430" s="67"/>
      <c r="J430" s="4"/>
      <c r="K430" s="85"/>
      <c r="L430" s="1631"/>
      <c r="M430" s="69"/>
      <c r="N430" s="4"/>
      <c r="O430" s="138"/>
      <c r="P430" s="332"/>
      <c r="Q430" s="332"/>
      <c r="R430" s="1241"/>
      <c r="S430" s="1241"/>
      <c r="T430" s="1241"/>
      <c r="U430" s="1241"/>
      <c r="V430" s="1241"/>
      <c r="W430" s="1241"/>
      <c r="X430" s="1600"/>
      <c r="Y430" s="1241"/>
      <c r="Z430" s="1241"/>
      <c r="AA430" s="1241"/>
      <c r="AB430" s="1241"/>
      <c r="AC430" s="1241"/>
      <c r="AD430" s="1241"/>
      <c r="AE430" s="1241"/>
    </row>
    <row r="431" spans="1:52" s="1241" customFormat="1" x14ac:dyDescent="0.2">
      <c r="A431" s="20"/>
      <c r="B431" s="79">
        <v>610.1</v>
      </c>
      <c r="C431" s="23"/>
      <c r="D431" s="23"/>
      <c r="E431" s="23"/>
      <c r="F431" s="691"/>
      <c r="G431" s="23"/>
      <c r="H431" s="691"/>
      <c r="I431" s="67"/>
      <c r="J431" s="4"/>
      <c r="K431" s="85"/>
      <c r="L431" s="1631"/>
      <c r="M431" s="69"/>
      <c r="N431" s="4"/>
      <c r="O431" s="1242"/>
      <c r="X431" s="1600"/>
      <c r="AL431" s="66"/>
      <c r="AM431" s="66"/>
      <c r="AN431" s="66"/>
      <c r="AO431" s="66"/>
      <c r="AP431" s="66"/>
      <c r="AQ431" s="66"/>
      <c r="AR431" s="66"/>
      <c r="AS431" s="66"/>
    </row>
    <row r="432" spans="1:52" ht="16" thickBot="1" x14ac:dyDescent="0.25">
      <c r="B432" s="79">
        <v>610.1</v>
      </c>
      <c r="C432" s="23"/>
      <c r="D432" s="23"/>
      <c r="E432" s="23"/>
      <c r="F432" s="691"/>
      <c r="G432" s="23"/>
      <c r="H432" s="691"/>
      <c r="I432" s="67"/>
      <c r="J432" s="4"/>
      <c r="K432" s="85"/>
      <c r="L432" s="1244" t="s">
        <v>5077</v>
      </c>
      <c r="M432" s="69"/>
      <c r="N432" s="4"/>
      <c r="O432" s="138"/>
      <c r="P432" s="332"/>
      <c r="Q432" s="332"/>
      <c r="R432" s="1241"/>
      <c r="S432" s="1241"/>
      <c r="T432" s="1241"/>
      <c r="U432" s="1241"/>
      <c r="V432" s="1241"/>
      <c r="W432" s="1241"/>
      <c r="X432" s="1600"/>
      <c r="Y432" s="1241"/>
      <c r="Z432" s="1241"/>
      <c r="AA432" s="1241"/>
      <c r="AB432" s="1241"/>
      <c r="AC432" s="1241"/>
      <c r="AD432" s="1241"/>
      <c r="AE432" s="1241"/>
    </row>
    <row r="433" spans="2:45" ht="16" thickTop="1" x14ac:dyDescent="0.2">
      <c r="B433" s="79" t="s">
        <v>572</v>
      </c>
      <c r="C433" s="23"/>
      <c r="D433" s="23"/>
      <c r="E433" s="23"/>
      <c r="F433" s="691"/>
      <c r="G433" s="23"/>
      <c r="H433" s="691"/>
      <c r="I433" s="177" t="s">
        <v>3587</v>
      </c>
      <c r="J433" s="178"/>
      <c r="K433" s="179"/>
      <c r="L433" s="1683" t="s">
        <v>3594</v>
      </c>
      <c r="M433" s="429"/>
      <c r="N433" s="178"/>
      <c r="O433" s="421"/>
      <c r="P433" s="106"/>
      <c r="Q433" s="106"/>
      <c r="R433" s="106"/>
      <c r="S433" s="106"/>
      <c r="T433" s="106"/>
      <c r="U433" s="106"/>
      <c r="V433" s="106"/>
      <c r="W433" s="106"/>
      <c r="X433" s="106"/>
    </row>
    <row r="434" spans="2:45" x14ac:dyDescent="0.2">
      <c r="B434" s="79" t="s">
        <v>572</v>
      </c>
      <c r="C434" s="23"/>
      <c r="D434" s="23"/>
      <c r="E434" s="23"/>
      <c r="F434" s="691"/>
      <c r="G434" s="23"/>
      <c r="H434" s="691"/>
      <c r="I434" s="130"/>
      <c r="J434" s="129"/>
      <c r="K434" s="97"/>
      <c r="L434" s="1629"/>
      <c r="M434" s="430"/>
      <c r="N434" s="129"/>
      <c r="O434" s="238"/>
      <c r="P434" s="96"/>
      <c r="Q434" s="96"/>
      <c r="R434" s="96"/>
      <c r="S434" s="96"/>
      <c r="T434" s="96"/>
      <c r="U434" s="96"/>
      <c r="V434" s="96"/>
      <c r="W434" s="96"/>
      <c r="X434" s="96"/>
    </row>
    <row r="435" spans="2:45" x14ac:dyDescent="0.2">
      <c r="B435" s="79" t="s">
        <v>572</v>
      </c>
      <c r="C435" s="23" t="s">
        <v>254</v>
      </c>
      <c r="D435" s="80"/>
      <c r="E435" s="80"/>
      <c r="F435" s="695"/>
      <c r="G435" s="80"/>
      <c r="H435" s="695"/>
      <c r="I435" s="67"/>
      <c r="J435" s="180" t="s">
        <v>254</v>
      </c>
      <c r="K435" s="97"/>
      <c r="L435" s="1609" t="s">
        <v>573</v>
      </c>
      <c r="M435" s="1623">
        <v>8</v>
      </c>
      <c r="N435" s="129"/>
      <c r="O435" s="1619">
        <f>M435*S435*W435</f>
        <v>0</v>
      </c>
      <c r="P435" s="332" t="b">
        <v>1</v>
      </c>
      <c r="Q435" s="332" t="b">
        <v>0</v>
      </c>
      <c r="R435" s="126" t="b">
        <v>0</v>
      </c>
      <c r="S435" s="126" t="b">
        <f>NOT(OR(NOT(ISBLANK(W459)),NOT(ISBLANK(W466)),NOT(ISBLANK(W472)),NOT(ISBLANK(W478)),NOT(ISBLANK(W484)),NOT(ISBLANK(W490))))</f>
        <v>1</v>
      </c>
      <c r="T435" s="96" t="b">
        <f>AND(NOT(S435),W435=TRUE)</f>
        <v>0</v>
      </c>
      <c r="W435" s="27"/>
      <c r="X435" s="1600"/>
      <c r="AC435" s="155" t="b">
        <f>OR(AD435:AE435)</f>
        <v>0</v>
      </c>
      <c r="AD435" s="155" t="b">
        <f>T435</f>
        <v>0</v>
      </c>
      <c r="AL435" s="1352" t="str">
        <f>SUBSTITUTE(SUBSTITUTE(SUBSTITUTE("dpa"&amp;$B435&amp;$C435&amp;$D435&amp;$E435&amp;$F435,".","_"),"(","_"),")","")</f>
        <v>dpa610_1_1_1</v>
      </c>
      <c r="AM435" s="1352">
        <f>M435</f>
        <v>8</v>
      </c>
      <c r="AN435" s="1352" t="str">
        <f>SUBSTITUTE(SUBSTITUTE(SUBSTITUTE("dpc"&amp;$B435&amp;$C435&amp;$D435&amp;$E435&amp;$F435,".","_"),"(","_"),")","")</f>
        <v>dpc610_1_1_1</v>
      </c>
      <c r="AO435" s="1352">
        <f>O435</f>
        <v>0</v>
      </c>
      <c r="AP435" s="1352" t="str">
        <f>SUBSTITUTE(SUBSTITUTE(SUBSTITUTE("dch"&amp;$B435&amp;$C435&amp;$D435&amp;$E435&amp;$F435,".","_"),"(","_"),")","")</f>
        <v>dch610_1_1_1</v>
      </c>
      <c r="AQ435" s="1352" t="str">
        <f>IF(LEN(W435)=0,"",W435)</f>
        <v/>
      </c>
      <c r="AR435" s="1352" t="str">
        <f>SUBSTITUTE(SUBSTITUTE(SUBSTITUTE("dnt"&amp;$B435&amp;$C435&amp;$D435&amp;$E435&amp;$F435,".","_"),"(","_"),")","")</f>
        <v>dnt610_1_1_1</v>
      </c>
      <c r="AS435" s="1352" t="str">
        <f>IF(LEN(X435)=0,"",X435)</f>
        <v/>
      </c>
    </row>
    <row r="436" spans="2:45" x14ac:dyDescent="0.2">
      <c r="B436" s="79" t="s">
        <v>572</v>
      </c>
      <c r="C436" s="23" t="s">
        <v>254</v>
      </c>
      <c r="D436" s="80"/>
      <c r="E436" s="80"/>
      <c r="F436" s="695"/>
      <c r="G436" s="80"/>
      <c r="H436" s="695"/>
      <c r="I436" s="67"/>
      <c r="J436" s="129"/>
      <c r="K436" s="97"/>
      <c r="L436" s="1609"/>
      <c r="M436" s="1623"/>
      <c r="N436" s="129"/>
      <c r="O436" s="1619"/>
      <c r="P436" s="332"/>
      <c r="Q436" s="332"/>
      <c r="X436" s="1600"/>
    </row>
    <row r="437" spans="2:45" x14ac:dyDescent="0.2">
      <c r="B437" s="79" t="s">
        <v>572</v>
      </c>
      <c r="C437" s="23" t="s">
        <v>254</v>
      </c>
      <c r="D437" s="80"/>
      <c r="E437" s="80"/>
      <c r="F437" s="695"/>
      <c r="G437" s="80"/>
      <c r="H437" s="695"/>
      <c r="I437" s="67"/>
      <c r="J437" s="129"/>
      <c r="K437" s="97"/>
      <c r="L437" s="1609"/>
      <c r="M437" s="1623"/>
      <c r="N437" s="129"/>
      <c r="O437" s="1619"/>
      <c r="P437" s="332"/>
      <c r="Q437" s="332"/>
      <c r="X437" s="1600"/>
    </row>
    <row r="438" spans="2:45" x14ac:dyDescent="0.2">
      <c r="B438" s="79" t="s">
        <v>572</v>
      </c>
      <c r="C438" s="23" t="s">
        <v>254</v>
      </c>
      <c r="D438" s="23" t="s">
        <v>121</v>
      </c>
      <c r="E438" s="23"/>
      <c r="F438" s="691"/>
      <c r="G438" s="23"/>
      <c r="H438" s="691"/>
      <c r="I438" s="67"/>
      <c r="J438" s="129"/>
      <c r="K438" s="93" t="s">
        <v>121</v>
      </c>
      <c r="L438" s="295" t="s">
        <v>574</v>
      </c>
      <c r="M438" s="1623"/>
      <c r="N438" s="129"/>
      <c r="O438" s="1619"/>
      <c r="P438" s="332"/>
      <c r="Q438" s="332"/>
      <c r="X438" s="1600"/>
    </row>
    <row r="439" spans="2:45" x14ac:dyDescent="0.2">
      <c r="B439" s="79" t="s">
        <v>572</v>
      </c>
      <c r="C439" s="23" t="s">
        <v>254</v>
      </c>
      <c r="D439" s="23" t="s">
        <v>122</v>
      </c>
      <c r="E439" s="23"/>
      <c r="F439" s="691"/>
      <c r="G439" s="23"/>
      <c r="H439" s="691"/>
      <c r="I439" s="67"/>
      <c r="J439" s="129"/>
      <c r="K439" s="93" t="s">
        <v>122</v>
      </c>
      <c r="L439" s="295" t="s">
        <v>575</v>
      </c>
      <c r="M439" s="1623"/>
      <c r="N439" s="129"/>
      <c r="O439" s="1619"/>
      <c r="P439" s="332"/>
      <c r="Q439" s="332"/>
      <c r="X439" s="1600"/>
    </row>
    <row r="440" spans="2:45" x14ac:dyDescent="0.2">
      <c r="B440" s="79" t="s">
        <v>572</v>
      </c>
      <c r="C440" s="23" t="s">
        <v>254</v>
      </c>
      <c r="D440" s="23" t="s">
        <v>123</v>
      </c>
      <c r="E440" s="23"/>
      <c r="F440" s="691"/>
      <c r="G440" s="23"/>
      <c r="H440" s="691"/>
      <c r="I440" s="67"/>
      <c r="J440" s="129"/>
      <c r="K440" s="93" t="s">
        <v>123</v>
      </c>
      <c r="L440" s="295" t="s">
        <v>576</v>
      </c>
      <c r="M440" s="1623"/>
      <c r="N440" s="129"/>
      <c r="O440" s="1619"/>
      <c r="P440" s="332"/>
      <c r="Q440" s="332"/>
      <c r="X440" s="1600"/>
    </row>
    <row r="441" spans="2:45" x14ac:dyDescent="0.2">
      <c r="B441" s="79" t="s">
        <v>572</v>
      </c>
      <c r="C441" s="23" t="s">
        <v>254</v>
      </c>
      <c r="D441" s="28" t="s">
        <v>366</v>
      </c>
      <c r="E441" s="28"/>
      <c r="F441" s="692"/>
      <c r="G441" s="28"/>
      <c r="H441" s="692"/>
      <c r="I441" s="67"/>
      <c r="J441" s="129"/>
      <c r="K441" s="111" t="s">
        <v>366</v>
      </c>
      <c r="L441" s="295" t="s">
        <v>577</v>
      </c>
      <c r="M441" s="1623"/>
      <c r="N441" s="129"/>
      <c r="O441" s="1619"/>
      <c r="P441" s="332"/>
      <c r="Q441" s="332"/>
      <c r="X441" s="1600"/>
    </row>
    <row r="442" spans="2:45" x14ac:dyDescent="0.2">
      <c r="B442" s="79" t="s">
        <v>572</v>
      </c>
      <c r="C442" s="23" t="s">
        <v>254</v>
      </c>
      <c r="D442" s="23" t="s">
        <v>472</v>
      </c>
      <c r="E442" s="23"/>
      <c r="F442" s="691"/>
      <c r="G442" s="23"/>
      <c r="H442" s="691"/>
      <c r="I442" s="67"/>
      <c r="J442" s="129"/>
      <c r="K442" s="187" t="s">
        <v>472</v>
      </c>
      <c r="L442" s="295" t="s">
        <v>578</v>
      </c>
      <c r="M442" s="1623"/>
      <c r="N442" s="129"/>
      <c r="O442" s="1619"/>
      <c r="P442" s="332"/>
      <c r="Q442" s="332"/>
      <c r="X442" s="1600"/>
    </row>
    <row r="443" spans="2:45" x14ac:dyDescent="0.2">
      <c r="B443" s="79" t="s">
        <v>572</v>
      </c>
      <c r="C443" s="23" t="s">
        <v>254</v>
      </c>
      <c r="D443" s="23" t="s">
        <v>510</v>
      </c>
      <c r="E443" s="23"/>
      <c r="F443" s="691"/>
      <c r="G443" s="23"/>
      <c r="H443" s="691"/>
      <c r="I443" s="67"/>
      <c r="J443" s="213"/>
      <c r="K443" s="169" t="s">
        <v>510</v>
      </c>
      <c r="L443" s="296" t="s">
        <v>579</v>
      </c>
      <c r="M443" s="1624"/>
      <c r="N443" s="213"/>
      <c r="O443" s="1620"/>
      <c r="P443" s="332"/>
      <c r="Q443" s="332"/>
      <c r="X443" s="1600"/>
    </row>
    <row r="444" spans="2:45" x14ac:dyDescent="0.2">
      <c r="B444" s="79" t="s">
        <v>572</v>
      </c>
      <c r="C444" s="23" t="s">
        <v>255</v>
      </c>
      <c r="D444" s="80"/>
      <c r="E444" s="80"/>
      <c r="F444" s="695"/>
      <c r="G444" s="80"/>
      <c r="H444" s="695"/>
      <c r="I444" s="67"/>
      <c r="J444" s="212" t="s">
        <v>255</v>
      </c>
      <c r="K444" s="194"/>
      <c r="L444" s="1613" t="s">
        <v>580</v>
      </c>
      <c r="M444" s="1636">
        <v>5</v>
      </c>
      <c r="N444" s="193"/>
      <c r="O444" s="1637">
        <f>M444*S444*W444</f>
        <v>0</v>
      </c>
      <c r="P444" s="332" t="b">
        <v>1</v>
      </c>
      <c r="Q444" s="332" t="b">
        <v>0</v>
      </c>
      <c r="R444" s="126" t="b">
        <v>0</v>
      </c>
      <c r="S444" s="151" t="b">
        <f>NOT(OR(NOT(ISBLANK(W459)),NOT(ISBLANK(W466)),NOT(ISBLANK(W472)),NOT(ISBLANK(W478)),NOT(ISBLANK(W484)),NOT(ISBLANK(W490))))</f>
        <v>1</v>
      </c>
      <c r="T444" s="96" t="b">
        <f>AND(NOT(S444),W444=TRUE)</f>
        <v>0</v>
      </c>
      <c r="W444" s="27"/>
      <c r="X444" s="1600"/>
      <c r="AC444" s="155" t="b">
        <f>OR(AD444:AE444)</f>
        <v>0</v>
      </c>
      <c r="AD444" s="155" t="b">
        <f>T444</f>
        <v>0</v>
      </c>
      <c r="AL444" s="1352" t="str">
        <f>SUBSTITUTE(SUBSTITUTE(SUBSTITUTE("dpa"&amp;$B444&amp;$C444&amp;$D444&amp;$E444&amp;$F444,".","_"),"(","_"),")","")</f>
        <v>dpa610_1_1_2</v>
      </c>
      <c r="AM444" s="1352">
        <f>M444</f>
        <v>5</v>
      </c>
      <c r="AN444" s="1352" t="str">
        <f>SUBSTITUTE(SUBSTITUTE(SUBSTITUTE("dpc"&amp;$B444&amp;$C444&amp;$D444&amp;$E444&amp;$F444,".","_"),"(","_"),")","")</f>
        <v>dpc610_1_1_2</v>
      </c>
      <c r="AO444" s="1352">
        <f>O444</f>
        <v>0</v>
      </c>
      <c r="AP444" s="1352" t="str">
        <f>SUBSTITUTE(SUBSTITUTE(SUBSTITUTE("dch"&amp;$B444&amp;$C444&amp;$D444&amp;$E444&amp;$F444,".","_"),"(","_"),")","")</f>
        <v>dch610_1_1_2</v>
      </c>
      <c r="AQ444" s="1352" t="str">
        <f>IF(LEN(W444)=0,"",W444)</f>
        <v/>
      </c>
      <c r="AR444" s="1352" t="str">
        <f>SUBSTITUTE(SUBSTITUTE(SUBSTITUTE("dnt"&amp;$B444&amp;$C444&amp;$D444&amp;$E444&amp;$F444,".","_"),"(","_"),")","")</f>
        <v>dnt610_1_1_2</v>
      </c>
      <c r="AS444" s="1352" t="str">
        <f>IF(LEN(X444)=0,"",X444)</f>
        <v/>
      </c>
    </row>
    <row r="445" spans="2:45" x14ac:dyDescent="0.2">
      <c r="B445" s="79" t="s">
        <v>572</v>
      </c>
      <c r="C445" s="23" t="s">
        <v>255</v>
      </c>
      <c r="D445" s="80"/>
      <c r="E445" s="80"/>
      <c r="F445" s="695"/>
      <c r="G445" s="80"/>
      <c r="H445" s="695"/>
      <c r="I445" s="67"/>
      <c r="J445" s="129"/>
      <c r="K445" s="97"/>
      <c r="L445" s="1609"/>
      <c r="M445" s="1623"/>
      <c r="N445" s="129"/>
      <c r="O445" s="1619"/>
      <c r="P445" s="332"/>
      <c r="Q445" s="332"/>
      <c r="X445" s="1600"/>
    </row>
    <row r="446" spans="2:45" x14ac:dyDescent="0.2">
      <c r="B446" s="79" t="s">
        <v>572</v>
      </c>
      <c r="C446" s="23" t="s">
        <v>255</v>
      </c>
      <c r="D446" s="80"/>
      <c r="E446" s="80"/>
      <c r="F446" s="695"/>
      <c r="G446" s="80"/>
      <c r="H446" s="695"/>
      <c r="I446" s="67"/>
      <c r="J446" s="129"/>
      <c r="K446" s="97"/>
      <c r="L446" s="1609"/>
      <c r="M446" s="1623"/>
      <c r="N446" s="129"/>
      <c r="O446" s="1619"/>
      <c r="P446" s="332"/>
      <c r="Q446" s="332"/>
      <c r="X446" s="1600"/>
    </row>
    <row r="447" spans="2:45" x14ac:dyDescent="0.2">
      <c r="B447" s="79" t="s">
        <v>572</v>
      </c>
      <c r="C447" s="23" t="s">
        <v>255</v>
      </c>
      <c r="D447" s="80"/>
      <c r="E447" s="80"/>
      <c r="F447" s="695"/>
      <c r="G447" s="80"/>
      <c r="H447" s="695"/>
      <c r="I447" s="67"/>
      <c r="J447" s="129"/>
      <c r="K447" s="97"/>
      <c r="L447" s="1609"/>
      <c r="M447" s="1623"/>
      <c r="N447" s="129"/>
      <c r="O447" s="1619"/>
      <c r="P447" s="332"/>
      <c r="Q447" s="332"/>
      <c r="X447" s="1600"/>
    </row>
    <row r="448" spans="2:45" x14ac:dyDescent="0.2">
      <c r="B448" s="79" t="s">
        <v>572</v>
      </c>
      <c r="C448" s="23" t="s">
        <v>255</v>
      </c>
      <c r="D448" s="80"/>
      <c r="E448" s="80"/>
      <c r="F448" s="695"/>
      <c r="G448" s="80"/>
      <c r="H448" s="695"/>
      <c r="I448" s="67"/>
      <c r="J448" s="129"/>
      <c r="K448" s="97"/>
      <c r="L448" s="1609"/>
      <c r="M448" s="1623"/>
      <c r="N448" s="129"/>
      <c r="O448" s="1619"/>
      <c r="P448" s="332"/>
      <c r="Q448" s="332"/>
      <c r="X448" s="1600"/>
    </row>
    <row r="449" spans="2:45" x14ac:dyDescent="0.2">
      <c r="B449" s="79" t="s">
        <v>572</v>
      </c>
      <c r="C449" s="23" t="s">
        <v>255</v>
      </c>
      <c r="D449" s="80"/>
      <c r="E449" s="80"/>
      <c r="F449" s="695"/>
      <c r="G449" s="80"/>
      <c r="H449" s="695"/>
      <c r="I449" s="67"/>
      <c r="J449" s="129"/>
      <c r="K449" s="97"/>
      <c r="L449" s="1609"/>
      <c r="M449" s="1623"/>
      <c r="N449" s="129"/>
      <c r="O449" s="1619"/>
      <c r="P449" s="332"/>
      <c r="Q449" s="332"/>
      <c r="X449" s="1600"/>
    </row>
    <row r="450" spans="2:45" x14ac:dyDescent="0.2">
      <c r="B450" s="79" t="s">
        <v>572</v>
      </c>
      <c r="C450" s="23" t="s">
        <v>255</v>
      </c>
      <c r="D450" s="80"/>
      <c r="E450" s="80"/>
      <c r="F450" s="695"/>
      <c r="G450" s="80"/>
      <c r="H450" s="695"/>
      <c r="I450" s="67"/>
      <c r="J450" s="213"/>
      <c r="K450" s="170"/>
      <c r="L450" s="1612"/>
      <c r="M450" s="1624"/>
      <c r="N450" s="213"/>
      <c r="O450" s="1620"/>
      <c r="P450" s="332"/>
      <c r="Q450" s="332"/>
      <c r="X450" s="1600"/>
    </row>
    <row r="451" spans="2:45" x14ac:dyDescent="0.2">
      <c r="B451" s="79" t="s">
        <v>572</v>
      </c>
      <c r="C451" s="23" t="s">
        <v>256</v>
      </c>
      <c r="D451" s="80"/>
      <c r="E451" s="80"/>
      <c r="F451" s="695"/>
      <c r="G451" s="80"/>
      <c r="H451" s="695"/>
      <c r="I451" s="67"/>
      <c r="J451" s="29" t="s">
        <v>256</v>
      </c>
      <c r="K451" s="85"/>
      <c r="L451" s="1611" t="s">
        <v>581</v>
      </c>
      <c r="M451" s="1628">
        <v>2</v>
      </c>
      <c r="N451" s="4"/>
      <c r="O451" s="1669">
        <f>M451*S451*W451</f>
        <v>0</v>
      </c>
      <c r="P451" s="332" t="b">
        <v>1</v>
      </c>
      <c r="Q451" s="332" t="b">
        <v>0</v>
      </c>
      <c r="R451" s="126" t="b">
        <v>0</v>
      </c>
      <c r="S451" s="151" t="b">
        <f>NOT(OR(NOT(ISBLANK(W459)),NOT(ISBLANK(W466)),NOT(ISBLANK(W472)),NOT(ISBLANK(W478)),NOT(ISBLANK(W484)),NOT(ISBLANK(W490))))</f>
        <v>1</v>
      </c>
      <c r="T451" s="96" t="b">
        <f>AND(NOT(S451),W451=TRUE)</f>
        <v>0</v>
      </c>
      <c r="W451" s="27"/>
      <c r="X451" s="1621"/>
      <c r="AC451" s="155" t="b">
        <f>OR(AD451:AE451)</f>
        <v>0</v>
      </c>
      <c r="AD451" s="155" t="b">
        <f>T451</f>
        <v>0</v>
      </c>
      <c r="AL451" s="1352" t="str">
        <f>SUBSTITUTE(SUBSTITUTE(SUBSTITUTE("dpa"&amp;$B451&amp;$C451&amp;$D451&amp;$E451&amp;$F451,".","_"),"(","_"),")","")</f>
        <v>dpa610_1_1_3</v>
      </c>
      <c r="AM451" s="1352">
        <f>M451</f>
        <v>2</v>
      </c>
      <c r="AN451" s="1352" t="str">
        <f>SUBSTITUTE(SUBSTITUTE(SUBSTITUTE("dpc"&amp;$B451&amp;$C451&amp;$D451&amp;$E451&amp;$F451,".","_"),"(","_"),")","")</f>
        <v>dpc610_1_1_3</v>
      </c>
      <c r="AO451" s="1352">
        <f>O451</f>
        <v>0</v>
      </c>
      <c r="AP451" s="1352" t="str">
        <f>SUBSTITUTE(SUBSTITUTE(SUBSTITUTE("dch"&amp;$B451&amp;$C451&amp;$D451&amp;$E451&amp;$F451,".","_"),"(","_"),")","")</f>
        <v>dch610_1_1_3</v>
      </c>
      <c r="AQ451" s="1352" t="str">
        <f>IF(LEN(W451)=0,"",W451)</f>
        <v/>
      </c>
      <c r="AR451" s="1352" t="str">
        <f>SUBSTITUTE(SUBSTITUTE(SUBSTITUTE("dnt"&amp;$B451&amp;$C451&amp;$D451&amp;$E451&amp;$F451,".","_"),"(","_"),")","")</f>
        <v>dnt610_1_1_3</v>
      </c>
      <c r="AS451" s="1352" t="str">
        <f>IF(LEN(X451)=0,"",X451)</f>
        <v/>
      </c>
    </row>
    <row r="452" spans="2:45" ht="16" thickBot="1" x14ac:dyDescent="0.25">
      <c r="B452" s="79" t="s">
        <v>572</v>
      </c>
      <c r="C452" s="23" t="s">
        <v>256</v>
      </c>
      <c r="D452" s="80"/>
      <c r="E452" s="80"/>
      <c r="F452" s="695"/>
      <c r="G452" s="80"/>
      <c r="H452" s="695"/>
      <c r="I452" s="67"/>
      <c r="J452" s="4"/>
      <c r="K452" s="85"/>
      <c r="L452" s="1611"/>
      <c r="M452" s="1628"/>
      <c r="N452" s="4"/>
      <c r="O452" s="1669"/>
      <c r="P452" s="332"/>
      <c r="Q452" s="332"/>
      <c r="X452" s="1632"/>
    </row>
    <row r="453" spans="2:45" ht="16" thickTop="1" x14ac:dyDescent="0.2">
      <c r="B453" s="79" t="s">
        <v>582</v>
      </c>
      <c r="C453" s="23"/>
      <c r="D453" s="23"/>
      <c r="E453" s="23"/>
      <c r="F453" s="691"/>
      <c r="G453" s="23"/>
      <c r="H453" s="691"/>
      <c r="I453" s="177" t="s">
        <v>3588</v>
      </c>
      <c r="J453" s="178"/>
      <c r="K453" s="179"/>
      <c r="L453" s="1683" t="s">
        <v>3593</v>
      </c>
      <c r="M453" s="1685" t="s">
        <v>583</v>
      </c>
      <c r="N453" s="178"/>
      <c r="O453" s="1682">
        <f ca="1">MIN(10,(R460+R467)+IFERROR((INDEX({3,3,6,4,4,6,8,5,5,9,9,10},MATCH(R471*4+S471*5,{8,9,10,12,13,14,15,16,17,18,19,20},0))),0))</f>
        <v>0</v>
      </c>
      <c r="P453" s="106"/>
      <c r="Q453" s="106"/>
      <c r="R453" s="106"/>
      <c r="S453" s="106"/>
      <c r="T453" s="106"/>
      <c r="U453" s="106"/>
      <c r="V453" s="106"/>
      <c r="W453" s="106"/>
      <c r="X453" s="106"/>
      <c r="AL453" s="1352" t="str">
        <f>SUBSTITUTE(SUBSTITUTE(SUBSTITUTE("dpa"&amp;$B453&amp;$C453&amp;$D453&amp;$E453&amp;$F453,".","_"),"(","_"),")","")</f>
        <v>dpa610_1_2</v>
      </c>
      <c r="AM453" s="1352" t="str">
        <f>M453</f>
        <v xml:space="preserve">10 Max </v>
      </c>
      <c r="AN453" s="1352" t="str">
        <f>SUBSTITUTE(SUBSTITUTE(SUBSTITUTE("dpc"&amp;$B453&amp;$C453&amp;$D453&amp;$E453&amp;$F453,".","_"),"(","_"),")","")</f>
        <v>dpc610_1_2</v>
      </c>
      <c r="AO453" s="1352">
        <f ca="1">O453</f>
        <v>0</v>
      </c>
    </row>
    <row r="454" spans="2:45" x14ac:dyDescent="0.2">
      <c r="B454" s="79" t="s">
        <v>582</v>
      </c>
      <c r="C454" s="23"/>
      <c r="D454" s="23"/>
      <c r="E454" s="23"/>
      <c r="F454" s="691"/>
      <c r="G454" s="23"/>
      <c r="H454" s="691"/>
      <c r="I454" s="130"/>
      <c r="J454" s="129"/>
      <c r="K454" s="97"/>
      <c r="L454" s="1629"/>
      <c r="M454" s="1623"/>
      <c r="N454" s="129"/>
      <c r="O454" s="1619"/>
      <c r="P454" s="96"/>
      <c r="Q454" s="96"/>
      <c r="R454" s="96"/>
      <c r="S454" s="96"/>
      <c r="T454" s="96"/>
      <c r="U454" s="96"/>
      <c r="V454" s="96"/>
      <c r="W454" s="96"/>
      <c r="X454" s="96"/>
    </row>
    <row r="455" spans="2:45" x14ac:dyDescent="0.2">
      <c r="B455" s="79" t="s">
        <v>582</v>
      </c>
      <c r="C455" s="23"/>
      <c r="D455" s="23"/>
      <c r="E455" s="23"/>
      <c r="F455" s="691"/>
      <c r="G455" s="23"/>
      <c r="H455" s="691"/>
      <c r="I455" s="130"/>
      <c r="J455" s="129"/>
      <c r="K455" s="97"/>
      <c r="L455" s="1629"/>
      <c r="M455" s="1623"/>
      <c r="N455" s="129"/>
      <c r="O455" s="1619"/>
      <c r="P455" s="96"/>
      <c r="Q455" s="96"/>
      <c r="R455" s="96"/>
      <c r="S455" s="96"/>
      <c r="T455" s="96"/>
      <c r="U455" s="96"/>
      <c r="V455" s="96"/>
      <c r="W455" s="96"/>
      <c r="X455" s="96"/>
    </row>
    <row r="456" spans="2:45" x14ac:dyDescent="0.2">
      <c r="B456" s="79" t="s">
        <v>582</v>
      </c>
      <c r="C456" s="23"/>
      <c r="D456" s="23"/>
      <c r="E456" s="23"/>
      <c r="F456" s="691"/>
      <c r="G456" s="23"/>
      <c r="H456" s="691"/>
      <c r="I456" s="219"/>
      <c r="J456" s="213"/>
      <c r="K456" s="170"/>
      <c r="L456" s="1696"/>
      <c r="M456" s="1624"/>
      <c r="N456" s="213"/>
      <c r="O456" s="1620"/>
      <c r="P456" s="96"/>
      <c r="Q456" s="96"/>
      <c r="R456" s="96"/>
      <c r="S456" s="96"/>
      <c r="T456" s="96"/>
      <c r="U456" s="96"/>
      <c r="V456" s="96"/>
      <c r="W456" s="96"/>
      <c r="X456" s="96"/>
    </row>
    <row r="457" spans="2:45" x14ac:dyDescent="0.2">
      <c r="B457" s="79" t="s">
        <v>584</v>
      </c>
      <c r="C457" s="23"/>
      <c r="D457" s="23"/>
      <c r="E457" s="23"/>
      <c r="F457" s="691"/>
      <c r="G457" s="23"/>
      <c r="H457" s="691"/>
      <c r="I457" s="192" t="s">
        <v>3589</v>
      </c>
      <c r="J457" s="193"/>
      <c r="K457" s="194"/>
      <c r="L457" s="1712" t="s">
        <v>3592</v>
      </c>
      <c r="M457" s="1693" t="s">
        <v>3831</v>
      </c>
      <c r="N457" s="4"/>
      <c r="O457" s="138"/>
      <c r="P457" s="332"/>
      <c r="Q457" s="332"/>
      <c r="R457" s="126"/>
      <c r="S457" s="126"/>
      <c r="T457" s="126"/>
      <c r="W457" s="1554" t="s">
        <v>2652</v>
      </c>
      <c r="X457" s="1600"/>
      <c r="AL457" s="1352" t="str">
        <f>SUBSTITUTE(SUBSTITUTE(SUBSTITUTE("dpa"&amp;$B457&amp;$C457&amp;$D457&amp;$E457&amp;$F457,".","_"),"(","_"),")","")</f>
        <v>dpa610_1_2_1</v>
      </c>
      <c r="AM457" s="1352" t="str">
        <f>M457</f>
        <v>per Table 11.610.1.2.1
10 Max</v>
      </c>
      <c r="AR457" s="1352" t="str">
        <f>SUBSTITUTE(SUBSTITUTE(SUBSTITUTE("dnt"&amp;$B457&amp;$C457&amp;$D457&amp;$E457&amp;$F457,".","_"),"(","_"),")","")</f>
        <v>dnt610_1_2_1</v>
      </c>
      <c r="AS457" s="1352" t="str">
        <f>IF(LEN(X457)=0,"",X457)</f>
        <v/>
      </c>
    </row>
    <row r="458" spans="2:45" x14ac:dyDescent="0.2">
      <c r="B458" s="79" t="s">
        <v>584</v>
      </c>
      <c r="C458" s="23"/>
      <c r="D458" s="23"/>
      <c r="E458" s="23"/>
      <c r="F458" s="691"/>
      <c r="G458" s="23"/>
      <c r="H458" s="691"/>
      <c r="I458" s="130"/>
      <c r="J458" s="129"/>
      <c r="K458" s="97"/>
      <c r="L458" s="1629"/>
      <c r="M458" s="1694"/>
      <c r="N458" s="4"/>
      <c r="O458" s="138"/>
      <c r="P458" s="332"/>
      <c r="Q458" s="332"/>
      <c r="U458" s="96"/>
      <c r="W458" s="1554"/>
      <c r="X458" s="1600"/>
    </row>
    <row r="459" spans="2:45" x14ac:dyDescent="0.2">
      <c r="B459" s="79" t="s">
        <v>584</v>
      </c>
      <c r="C459" s="23" t="s">
        <v>2539</v>
      </c>
      <c r="D459" s="23"/>
      <c r="E459" s="23"/>
      <c r="F459" s="691"/>
      <c r="G459" s="23"/>
      <c r="H459" s="691"/>
      <c r="I459" s="130"/>
      <c r="J459" s="129"/>
      <c r="K459" s="97"/>
      <c r="L459" s="1629"/>
      <c r="M459" s="1694"/>
      <c r="N459" s="4"/>
      <c r="O459" s="138"/>
      <c r="P459" s="332" t="b">
        <v>1</v>
      </c>
      <c r="Q459" s="332" t="b">
        <v>0</v>
      </c>
      <c r="R459" s="151" t="b">
        <v>0</v>
      </c>
      <c r="S459" s="151" t="b">
        <f>COUNTIF(W435:W451,TRUE)&lt;1</f>
        <v>1</v>
      </c>
      <c r="T459" s="96" t="b">
        <f>AND(NOT(S459),LEN(W459)&gt;0)</f>
        <v>0</v>
      </c>
      <c r="U459" s="96" t="str">
        <f>SUBSTITUTE(SUBSTITUTE(SUBSTITUTE("dd"&amp;B459&amp;C459&amp;D459&amp;E459&amp;F459,".","_"),"(","_"),")","")</f>
        <v>dd610_1_2_1a</v>
      </c>
      <c r="W459" s="12"/>
      <c r="X459" s="1600"/>
      <c r="AC459" s="151" t="b">
        <f>OR(AD459:AE459)</f>
        <v>0</v>
      </c>
      <c r="AD459" s="151" t="b">
        <f>T459</f>
        <v>0</v>
      </c>
      <c r="AE459" s="151" t="b">
        <f>AND(NOT(ISBLANK(W459)),LEN(X457)=0)</f>
        <v>0</v>
      </c>
      <c r="AP459" s="1352" t="str">
        <f>SUBSTITUTE(SUBSTITUTE(SUBSTITUTE("dch"&amp;$B459&amp;$C459&amp;$D459&amp;$E459&amp;$F459,".","_"),"(","_"),")","")</f>
        <v>dch610_1_2_1a</v>
      </c>
      <c r="AQ459" s="1352" t="str">
        <f>IF(LEN(W459)=0,"",W459)</f>
        <v/>
      </c>
    </row>
    <row r="460" spans="2:45" x14ac:dyDescent="0.2">
      <c r="B460" s="79" t="s">
        <v>584</v>
      </c>
      <c r="C460" s="23"/>
      <c r="D460" s="23" t="s">
        <v>121</v>
      </c>
      <c r="E460" s="23"/>
      <c r="F460" s="691"/>
      <c r="G460" s="23"/>
      <c r="H460" s="691"/>
      <c r="I460" s="130"/>
      <c r="J460" s="129"/>
      <c r="K460" s="93" t="s">
        <v>121</v>
      </c>
      <c r="L460" s="295" t="s">
        <v>574</v>
      </c>
      <c r="M460" s="1694"/>
      <c r="N460" s="4"/>
      <c r="O460" s="138"/>
      <c r="P460" s="332"/>
      <c r="Q460" s="332"/>
      <c r="R460" s="1">
        <f ca="1">2*IFERROR(MATCH(W459,INDIRECT(U459),0),0)*S459</f>
        <v>0</v>
      </c>
      <c r="S460" s="151"/>
      <c r="T460" s="151"/>
      <c r="X460" s="1600"/>
    </row>
    <row r="461" spans="2:45" x14ac:dyDescent="0.2">
      <c r="B461" s="79" t="s">
        <v>584</v>
      </c>
      <c r="C461" s="23"/>
      <c r="D461" s="23" t="s">
        <v>122</v>
      </c>
      <c r="E461" s="23"/>
      <c r="F461" s="691"/>
      <c r="G461" s="23"/>
      <c r="H461" s="691"/>
      <c r="I461" s="130"/>
      <c r="J461" s="129"/>
      <c r="K461" s="93" t="s">
        <v>122</v>
      </c>
      <c r="L461" s="295" t="s">
        <v>575</v>
      </c>
      <c r="M461" s="1694"/>
      <c r="N461" s="4"/>
      <c r="O461" s="138"/>
      <c r="P461" s="332"/>
      <c r="Q461" s="332"/>
      <c r="X461" s="1600"/>
    </row>
    <row r="462" spans="2:45" x14ac:dyDescent="0.2">
      <c r="B462" s="79" t="s">
        <v>584</v>
      </c>
      <c r="C462" s="23"/>
      <c r="D462" s="23" t="s">
        <v>123</v>
      </c>
      <c r="E462" s="23"/>
      <c r="F462" s="691"/>
      <c r="G462" s="23"/>
      <c r="H462" s="691"/>
      <c r="I462" s="130"/>
      <c r="J462" s="129"/>
      <c r="K462" s="93" t="s">
        <v>123</v>
      </c>
      <c r="L462" s="295" t="s">
        <v>576</v>
      </c>
      <c r="M462" s="1694"/>
      <c r="N462" s="4"/>
      <c r="O462" s="138"/>
      <c r="P462" s="332"/>
      <c r="Q462" s="332"/>
      <c r="X462" s="1600"/>
    </row>
    <row r="463" spans="2:45" x14ac:dyDescent="0.2">
      <c r="B463" s="79" t="s">
        <v>584</v>
      </c>
      <c r="C463" s="23"/>
      <c r="D463" s="28" t="s">
        <v>366</v>
      </c>
      <c r="E463" s="28"/>
      <c r="F463" s="692"/>
      <c r="G463" s="28"/>
      <c r="H463" s="692"/>
      <c r="I463" s="130"/>
      <c r="J463" s="129"/>
      <c r="K463" s="111" t="s">
        <v>366</v>
      </c>
      <c r="L463" s="295" t="s">
        <v>577</v>
      </c>
      <c r="M463" s="1694"/>
      <c r="N463" s="4"/>
      <c r="O463" s="138"/>
      <c r="P463" s="332"/>
      <c r="Q463" s="332"/>
      <c r="U463" s="96"/>
      <c r="X463" s="1600"/>
    </row>
    <row r="464" spans="2:45" x14ac:dyDescent="0.2">
      <c r="B464" s="79" t="s">
        <v>584</v>
      </c>
      <c r="C464" s="23"/>
      <c r="D464" s="23" t="s">
        <v>472</v>
      </c>
      <c r="E464" s="23"/>
      <c r="F464" s="691"/>
      <c r="G464" s="23"/>
      <c r="H464" s="691"/>
      <c r="I464" s="130"/>
      <c r="J464" s="129"/>
      <c r="K464" s="187" t="s">
        <v>472</v>
      </c>
      <c r="L464" s="295" t="s">
        <v>578</v>
      </c>
      <c r="M464" s="1694"/>
      <c r="N464" s="4"/>
      <c r="O464" s="138"/>
      <c r="P464" s="332"/>
      <c r="Q464" s="332"/>
      <c r="W464" s="1554" t="s">
        <v>2651</v>
      </c>
      <c r="X464" s="1600"/>
      <c r="AR464" s="1352" t="str">
        <f>SUBSTITUTE(SUBSTITUTE(SUBSTITUTE("dnt"&amp;$B464&amp;$C464&amp;$D464&amp;$E464&amp;$F464,".","_"),"(","_"),")","")</f>
        <v>dnt610_1_2_1_e</v>
      </c>
      <c r="AS464" s="1352" t="str">
        <f>IF(LEN(X464)=0,"",X464)</f>
        <v/>
      </c>
    </row>
    <row r="465" spans="1:52" ht="15" customHeight="1" x14ac:dyDescent="0.2">
      <c r="B465" s="79" t="s">
        <v>584</v>
      </c>
      <c r="C465" s="23"/>
      <c r="D465" s="23" t="s">
        <v>510</v>
      </c>
      <c r="E465" s="23"/>
      <c r="F465" s="691"/>
      <c r="G465" s="23"/>
      <c r="H465" s="691"/>
      <c r="I465" s="130"/>
      <c r="J465" s="129"/>
      <c r="K465" s="93" t="s">
        <v>510</v>
      </c>
      <c r="L465" s="295" t="s">
        <v>579</v>
      </c>
      <c r="M465" s="1694"/>
      <c r="N465" s="4"/>
      <c r="O465" s="138"/>
      <c r="P465" s="332"/>
      <c r="Q465" s="332"/>
      <c r="U465" s="96"/>
      <c r="W465" s="1554"/>
      <c r="X465" s="1600"/>
    </row>
    <row r="466" spans="1:52" x14ac:dyDescent="0.2">
      <c r="B466" s="79" t="s">
        <v>584</v>
      </c>
      <c r="C466" s="23" t="s">
        <v>2540</v>
      </c>
      <c r="D466" s="23"/>
      <c r="E466" s="23"/>
      <c r="F466" s="691"/>
      <c r="G466" s="23"/>
      <c r="H466" s="691"/>
      <c r="I466" s="130"/>
      <c r="J466" s="129"/>
      <c r="K466" s="96"/>
      <c r="L466" s="1705" t="s">
        <v>585</v>
      </c>
      <c r="M466" s="1694"/>
      <c r="N466" s="4"/>
      <c r="O466" s="138"/>
      <c r="P466" s="332" t="b">
        <v>1</v>
      </c>
      <c r="Q466" s="332" t="b">
        <v>0</v>
      </c>
      <c r="R466" s="151" t="b">
        <v>0</v>
      </c>
      <c r="S466" s="151" t="b">
        <f>COUNTIF(W435:W451,TRUE)&lt;1</f>
        <v>1</v>
      </c>
      <c r="T466" s="96" t="b">
        <f>AND(NOT(S466),LEN(W466)&gt;0)</f>
        <v>0</v>
      </c>
      <c r="U466" s="96" t="str">
        <f>SUBSTITUTE(SUBSTITUTE(SUBSTITUTE("dd"&amp;B466&amp;C466&amp;D466&amp;E466&amp;F466,".","_"),"(","_"),")","")</f>
        <v>dd610_1_2_1b</v>
      </c>
      <c r="W466" s="12"/>
      <c r="X466" s="1600"/>
      <c r="AC466" s="151" t="b">
        <f>OR(AD466:AE466)</f>
        <v>0</v>
      </c>
      <c r="AD466" s="155" t="b">
        <f>T466</f>
        <v>0</v>
      </c>
      <c r="AE466" s="151" t="b">
        <f>AND(NOT(ISBLANK(W466)),LEN(X464)=0)</f>
        <v>0</v>
      </c>
      <c r="AP466" s="1352" t="str">
        <f>SUBSTITUTE(SUBSTITUTE(SUBSTITUTE("dch"&amp;$B466&amp;$C466&amp;$D466&amp;$E466&amp;$F466,".","_"),"(","_"),")","")</f>
        <v>dch610_1_2_1b</v>
      </c>
      <c r="AQ466" s="1352" t="str">
        <f>IF(LEN(W466)=0,"",W466)</f>
        <v/>
      </c>
    </row>
    <row r="467" spans="1:52" ht="15" customHeight="1" x14ac:dyDescent="0.2">
      <c r="B467" s="79" t="s">
        <v>584</v>
      </c>
      <c r="C467" s="23"/>
      <c r="D467" s="23"/>
      <c r="E467" s="23"/>
      <c r="F467" s="691"/>
      <c r="G467" s="23"/>
      <c r="H467" s="691"/>
      <c r="I467" s="130"/>
      <c r="J467" s="129"/>
      <c r="K467" s="224"/>
      <c r="L467" s="1705"/>
      <c r="M467" s="1694"/>
      <c r="N467" s="4"/>
      <c r="O467" s="138"/>
      <c r="P467" s="332"/>
      <c r="Q467" s="332"/>
      <c r="R467" s="1">
        <f ca="1">3*IFERROR(MATCH(W466,INDIRECT(U466),0),0)*S466</f>
        <v>0</v>
      </c>
      <c r="X467" s="1600"/>
    </row>
    <row r="468" spans="1:52" x14ac:dyDescent="0.2">
      <c r="B468" s="79" t="s">
        <v>584</v>
      </c>
      <c r="C468" s="23"/>
      <c r="D468" s="23"/>
      <c r="E468" s="23"/>
      <c r="F468" s="691"/>
      <c r="G468" s="23"/>
      <c r="H468" s="691"/>
      <c r="I468" s="130"/>
      <c r="J468" s="129"/>
      <c r="K468" s="224"/>
      <c r="L468" s="1705"/>
      <c r="M468" s="1694"/>
      <c r="N468" s="4"/>
      <c r="O468" s="138"/>
      <c r="P468" s="332"/>
      <c r="Q468" s="332"/>
      <c r="R468" s="151"/>
      <c r="S468" s="151"/>
      <c r="T468" s="151"/>
      <c r="U468" s="151"/>
      <c r="V468" s="151"/>
      <c r="W468" s="151"/>
      <c r="X468" s="1600"/>
      <c r="Z468" s="151"/>
      <c r="AB468" s="151"/>
      <c r="AC468" s="151"/>
      <c r="AD468" s="151"/>
      <c r="AE468" s="151"/>
      <c r="AF468" s="151"/>
      <c r="AG468" s="151"/>
      <c r="AH468" s="151"/>
      <c r="AI468" s="151"/>
      <c r="AJ468" s="151"/>
      <c r="AK468" s="151"/>
      <c r="AT468" s="151"/>
    </row>
    <row r="469" spans="1:52" s="151" customFormat="1" x14ac:dyDescent="0.2">
      <c r="A469" s="20"/>
      <c r="B469" s="79" t="s">
        <v>584</v>
      </c>
      <c r="C469" s="23"/>
      <c r="D469" s="23"/>
      <c r="E469" s="23"/>
      <c r="F469" s="691"/>
      <c r="G469" s="23"/>
      <c r="H469" s="691"/>
      <c r="I469" s="130"/>
      <c r="J469" s="129"/>
      <c r="K469" s="224"/>
      <c r="L469" s="1702" t="s">
        <v>2650</v>
      </c>
      <c r="M469" s="1694"/>
      <c r="N469" s="4"/>
      <c r="O469" s="138"/>
      <c r="P469" s="332"/>
      <c r="Q469" s="332"/>
      <c r="X469" s="1600"/>
      <c r="Y469" s="704"/>
      <c r="AA469" s="707"/>
      <c r="AL469" s="66"/>
      <c r="AM469" s="66"/>
      <c r="AN469" s="66"/>
      <c r="AO469" s="66"/>
      <c r="AP469" s="66"/>
      <c r="AQ469" s="66"/>
      <c r="AR469" s="66"/>
      <c r="AS469" s="66"/>
      <c r="AX469" s="66"/>
      <c r="AY469" s="66"/>
      <c r="AZ469" s="66"/>
    </row>
    <row r="470" spans="1:52" s="151" customFormat="1" x14ac:dyDescent="0.2">
      <c r="A470" s="20"/>
      <c r="B470" s="79" t="s">
        <v>584</v>
      </c>
      <c r="C470" s="23"/>
      <c r="D470" s="23"/>
      <c r="E470" s="23"/>
      <c r="F470" s="691"/>
      <c r="G470" s="23"/>
      <c r="H470" s="691"/>
      <c r="I470" s="219"/>
      <c r="J470" s="213"/>
      <c r="K470" s="225"/>
      <c r="L470" s="1719"/>
      <c r="M470" s="1695"/>
      <c r="N470" s="4"/>
      <c r="O470" s="138"/>
      <c r="P470" s="332"/>
      <c r="Q470" s="332"/>
      <c r="X470" s="1600"/>
      <c r="Y470" s="704"/>
      <c r="AA470" s="707"/>
      <c r="AL470" s="66"/>
      <c r="AM470" s="66"/>
      <c r="AN470" s="66"/>
      <c r="AO470" s="66"/>
      <c r="AP470" s="66"/>
      <c r="AQ470" s="66"/>
      <c r="AR470" s="66"/>
      <c r="AS470" s="66"/>
      <c r="AX470" s="66"/>
      <c r="AY470" s="66"/>
      <c r="AZ470" s="66"/>
    </row>
    <row r="471" spans="1:52" s="151" customFormat="1" x14ac:dyDescent="0.2">
      <c r="A471" s="20"/>
      <c r="B471" s="79" t="s">
        <v>586</v>
      </c>
      <c r="C471" s="23" t="s">
        <v>2539</v>
      </c>
      <c r="D471" s="23"/>
      <c r="E471" s="23"/>
      <c r="F471" s="691"/>
      <c r="G471" s="23"/>
      <c r="H471" s="691"/>
      <c r="I471" s="67" t="s">
        <v>3590</v>
      </c>
      <c r="J471" s="4"/>
      <c r="K471" s="85"/>
      <c r="L471" s="1631" t="s">
        <v>3834</v>
      </c>
      <c r="M471" s="1716" t="s">
        <v>3835</v>
      </c>
      <c r="N471" s="4"/>
      <c r="O471" s="138"/>
      <c r="P471" s="332"/>
      <c r="Q471" s="332"/>
      <c r="R471" s="126">
        <f ca="1">COUNTIF(W472:W490,INDEX(INDIRECT(U472),1))*S472</f>
        <v>0</v>
      </c>
      <c r="S471" s="151">
        <f ca="1">COUNTIF(W472:W490,INDEX(INDIRECT(U472),2))*S472</f>
        <v>0</v>
      </c>
      <c r="T471" s="126"/>
      <c r="U471" s="66"/>
      <c r="V471" s="66"/>
      <c r="W471" s="66" t="s">
        <v>2661</v>
      </c>
      <c r="X471" s="1600"/>
      <c r="Y471" s="704"/>
      <c r="Z471" s="66"/>
      <c r="AA471" s="707"/>
      <c r="AB471" s="66"/>
      <c r="AC471" s="66"/>
      <c r="AD471" s="66"/>
      <c r="AE471" s="66"/>
      <c r="AF471" s="66"/>
      <c r="AG471" s="66"/>
      <c r="AH471" s="66"/>
      <c r="AI471" s="66"/>
      <c r="AJ471" s="66"/>
      <c r="AK471" s="66"/>
      <c r="AL471" s="1352" t="str">
        <f>SUBSTITUTE(SUBSTITUTE(SUBSTITUTE("dpa"&amp;$B471&amp;$C471&amp;$D471&amp;$E471&amp;$F471,".","_"),"(","_"),")","")</f>
        <v>dpa610_1_2_2a</v>
      </c>
      <c r="AM471" s="1352" t="str">
        <f>M471</f>
        <v>per Table 11.610.1.2.2
10 Max</v>
      </c>
      <c r="AN471" s="66"/>
      <c r="AO471" s="66"/>
      <c r="AP471" s="66"/>
      <c r="AQ471" s="66"/>
      <c r="AR471" s="1352" t="str">
        <f>SUBSTITUTE(SUBSTITUTE(SUBSTITUTE("dnt"&amp;$B471&amp;$C471&amp;$D471&amp;$E471&amp;$F471,".","_"),"(","_"),")","")</f>
        <v>dnt610_1_2_2a</v>
      </c>
      <c r="AS471" s="1352" t="str">
        <f>IF(LEN(X471)=0,"",X471)</f>
        <v/>
      </c>
      <c r="AT471" s="66"/>
    </row>
    <row r="472" spans="1:52" ht="15" customHeight="1" x14ac:dyDescent="0.2">
      <c r="B472" s="79" t="s">
        <v>586</v>
      </c>
      <c r="C472" s="23" t="s">
        <v>2539</v>
      </c>
      <c r="D472" s="23"/>
      <c r="E472" s="23"/>
      <c r="F472" s="691"/>
      <c r="G472" s="23"/>
      <c r="H472" s="691"/>
      <c r="I472" s="67"/>
      <c r="J472" s="4"/>
      <c r="K472" s="85"/>
      <c r="L472" s="1631"/>
      <c r="M472" s="1716"/>
      <c r="N472" s="4"/>
      <c r="O472" s="138"/>
      <c r="P472" s="332" t="b">
        <v>1</v>
      </c>
      <c r="Q472" s="332" t="b">
        <v>0</v>
      </c>
      <c r="R472" s="151" t="b">
        <v>0</v>
      </c>
      <c r="S472" s="151" t="b">
        <f>COUNTIF(W435:W451,TRUE)&lt;1</f>
        <v>1</v>
      </c>
      <c r="T472" s="96" t="b">
        <f>AND(NOT(S472),LEN(W472)&gt;0)</f>
        <v>0</v>
      </c>
      <c r="U472" s="96" t="str">
        <f>SUBSTITUTE(SUBSTITUTE(SUBSTITUTE("dd"&amp;B472&amp;C472&amp;D472&amp;E472&amp;F472,".","_"),"(","_"),")","")</f>
        <v>dd610_1_2_2a</v>
      </c>
      <c r="W472" s="12"/>
      <c r="X472" s="1600"/>
      <c r="AC472" s="151" t="b">
        <f>OR(AD472:AE472)</f>
        <v>0</v>
      </c>
      <c r="AD472" s="155" t="b">
        <f>T472</f>
        <v>0</v>
      </c>
      <c r="AE472" s="151" t="b">
        <f>AND(NOT(ISBLANK(W472)),LEN(X471)=0)</f>
        <v>0</v>
      </c>
      <c r="AP472" s="1352" t="str">
        <f>SUBSTITUTE(SUBSTITUTE(SUBSTITUTE("dch"&amp;$B472&amp;$C472&amp;$D472&amp;$E472&amp;$F472,".","_"),"(","_"),")","")</f>
        <v>dch610_1_2_2a</v>
      </c>
      <c r="AQ472" s="1352" t="str">
        <f>IF(LEN(W472)=0,"",W472)</f>
        <v/>
      </c>
      <c r="AX472" s="151"/>
      <c r="AY472" s="151"/>
      <c r="AZ472" s="151"/>
    </row>
    <row r="473" spans="1:52" x14ac:dyDescent="0.2">
      <c r="B473" s="79" t="s">
        <v>586</v>
      </c>
      <c r="C473" s="23"/>
      <c r="D473" s="23"/>
      <c r="E473" s="23"/>
      <c r="F473" s="691"/>
      <c r="G473" s="23"/>
      <c r="H473" s="691"/>
      <c r="I473" s="67"/>
      <c r="J473" s="4"/>
      <c r="K473" s="85"/>
      <c r="L473" s="1631"/>
      <c r="M473" s="1716"/>
      <c r="N473" s="4"/>
      <c r="O473" s="138"/>
      <c r="P473" s="332"/>
      <c r="Q473" s="332"/>
      <c r="X473" s="1600"/>
      <c r="AX473" s="151"/>
      <c r="AY473" s="151"/>
      <c r="AZ473" s="151"/>
    </row>
    <row r="474" spans="1:52" x14ac:dyDescent="0.2">
      <c r="B474" s="79" t="s">
        <v>586</v>
      </c>
      <c r="C474" s="23"/>
      <c r="D474" s="23"/>
      <c r="E474" s="23"/>
      <c r="F474" s="691"/>
      <c r="G474" s="23"/>
      <c r="H474" s="691"/>
      <c r="I474" s="67"/>
      <c r="J474" s="4"/>
      <c r="K474" s="85"/>
      <c r="L474" s="1631"/>
      <c r="M474" s="1716"/>
      <c r="N474" s="4"/>
      <c r="O474" s="138"/>
      <c r="P474" s="332"/>
      <c r="Q474" s="332"/>
      <c r="X474" s="1600"/>
    </row>
    <row r="475" spans="1:52" x14ac:dyDescent="0.2">
      <c r="B475" s="79" t="s">
        <v>586</v>
      </c>
      <c r="C475" s="23"/>
      <c r="D475" s="23"/>
      <c r="E475" s="23"/>
      <c r="F475" s="691"/>
      <c r="G475" s="23"/>
      <c r="H475" s="691"/>
      <c r="I475" s="67"/>
      <c r="J475" s="4"/>
      <c r="K475" s="85"/>
      <c r="L475" s="1631"/>
      <c r="M475" s="1716"/>
      <c r="N475" s="4"/>
      <c r="O475" s="138"/>
      <c r="P475" s="332"/>
      <c r="Q475" s="332"/>
      <c r="X475" s="1600"/>
    </row>
    <row r="476" spans="1:52" x14ac:dyDescent="0.2">
      <c r="B476" s="79" t="s">
        <v>586</v>
      </c>
      <c r="C476" s="23"/>
      <c r="D476" s="23"/>
      <c r="E476" s="23"/>
      <c r="F476" s="691"/>
      <c r="G476" s="23"/>
      <c r="H476" s="691"/>
      <c r="I476" s="67"/>
      <c r="J476" s="4"/>
      <c r="K476" s="85"/>
      <c r="L476" s="1631"/>
      <c r="M476" s="1716"/>
      <c r="N476" s="4"/>
      <c r="O476" s="138"/>
      <c r="P476" s="332"/>
      <c r="Q476" s="332"/>
      <c r="X476" s="1600"/>
    </row>
    <row r="477" spans="1:52" x14ac:dyDescent="0.2">
      <c r="B477" s="79" t="s">
        <v>586</v>
      </c>
      <c r="C477" s="23" t="s">
        <v>2540</v>
      </c>
      <c r="D477" s="23"/>
      <c r="E477" s="23"/>
      <c r="F477" s="691"/>
      <c r="G477" s="23"/>
      <c r="H477" s="691"/>
      <c r="I477" s="67"/>
      <c r="J477" s="4"/>
      <c r="K477" s="85"/>
      <c r="L477" s="1631"/>
      <c r="M477" s="1716"/>
      <c r="N477" s="4"/>
      <c r="O477" s="138"/>
      <c r="P477" s="332"/>
      <c r="Q477" s="332"/>
      <c r="W477" s="66" t="s">
        <v>2662</v>
      </c>
      <c r="X477" s="1600"/>
      <c r="AR477" s="1352" t="str">
        <f>SUBSTITUTE(SUBSTITUTE(SUBSTITUTE("dnt"&amp;$B477&amp;$C477&amp;$D477&amp;$E477&amp;$F477,".","_"),"(","_"),")","")</f>
        <v>dnt610_1_2_2b</v>
      </c>
      <c r="AS477" s="1352" t="str">
        <f>IF(LEN(X477)=0,"",X477)</f>
        <v/>
      </c>
    </row>
    <row r="478" spans="1:52" x14ac:dyDescent="0.2">
      <c r="B478" s="79" t="s">
        <v>586</v>
      </c>
      <c r="C478" s="23" t="s">
        <v>2540</v>
      </c>
      <c r="D478" s="23"/>
      <c r="E478" s="23"/>
      <c r="F478" s="691"/>
      <c r="G478" s="23"/>
      <c r="H478" s="691"/>
      <c r="I478" s="67"/>
      <c r="J478" s="4"/>
      <c r="K478" s="85"/>
      <c r="L478" s="1631"/>
      <c r="M478" s="1716"/>
      <c r="N478" s="4"/>
      <c r="O478" s="138"/>
      <c r="P478" s="332" t="b">
        <v>1</v>
      </c>
      <c r="Q478" s="332" t="b">
        <v>0</v>
      </c>
      <c r="R478" s="151" t="b">
        <v>0</v>
      </c>
      <c r="S478" s="151" t="b">
        <f>COUNTIF(W435:W451,TRUE)&lt;1</f>
        <v>1</v>
      </c>
      <c r="T478" s="96" t="b">
        <f>AND(NOT(S478),LEN(W478)&gt;0)</f>
        <v>0</v>
      </c>
      <c r="U478" s="96" t="str">
        <f>SUBSTITUTE(SUBSTITUTE(SUBSTITUTE("dd"&amp;B478&amp;C478&amp;D478&amp;E478&amp;F478,".","_"),"(","_"),")","")</f>
        <v>dd610_1_2_2b</v>
      </c>
      <c r="W478" s="12"/>
      <c r="X478" s="1600"/>
      <c r="AC478" s="151" t="b">
        <f>OR(AD478:AE478)</f>
        <v>0</v>
      </c>
      <c r="AD478" s="155" t="b">
        <f>T478</f>
        <v>0</v>
      </c>
      <c r="AE478" s="151" t="b">
        <f>AND(NOT(ISBLANK(W478)),LEN(X477)=0)</f>
        <v>0</v>
      </c>
      <c r="AP478" s="1352" t="str">
        <f>SUBSTITUTE(SUBSTITUTE(SUBSTITUTE("dch"&amp;$B478&amp;$C478&amp;$D478&amp;$E478&amp;$F478,".","_"),"(","_"),")","")</f>
        <v>dch610_1_2_2b</v>
      </c>
      <c r="AQ478" s="1352" t="str">
        <f>IF(LEN(W478)=0,"",W478)</f>
        <v/>
      </c>
    </row>
    <row r="479" spans="1:52" x14ac:dyDescent="0.2">
      <c r="B479" s="79" t="s">
        <v>586</v>
      </c>
      <c r="C479" s="23"/>
      <c r="D479" s="23" t="s">
        <v>121</v>
      </c>
      <c r="E479" s="23"/>
      <c r="F479" s="691"/>
      <c r="G479" s="23"/>
      <c r="H479" s="691"/>
      <c r="I479" s="67"/>
      <c r="J479" s="4"/>
      <c r="K479" s="89" t="s">
        <v>121</v>
      </c>
      <c r="L479" s="299" t="s">
        <v>587</v>
      </c>
      <c r="M479" s="1716"/>
      <c r="N479" s="4"/>
      <c r="O479" s="138"/>
      <c r="P479" s="332"/>
      <c r="Q479" s="332"/>
      <c r="U479" s="96"/>
      <c r="X479" s="1600"/>
    </row>
    <row r="480" spans="1:52" x14ac:dyDescent="0.2">
      <c r="B480" s="79" t="s">
        <v>586</v>
      </c>
      <c r="C480" s="23"/>
      <c r="D480" s="23" t="s">
        <v>122</v>
      </c>
      <c r="E480" s="23"/>
      <c r="F480" s="691"/>
      <c r="G480" s="23"/>
      <c r="H480" s="691"/>
      <c r="I480" s="67"/>
      <c r="J480" s="4"/>
      <c r="K480" s="89" t="s">
        <v>122</v>
      </c>
      <c r="L480" s="299" t="s">
        <v>588</v>
      </c>
      <c r="M480" s="1716"/>
      <c r="N480" s="4"/>
      <c r="O480" s="138"/>
      <c r="P480" s="332"/>
      <c r="Q480" s="332"/>
      <c r="U480" s="96"/>
      <c r="X480" s="1600"/>
    </row>
    <row r="481" spans="1:52" x14ac:dyDescent="0.2">
      <c r="B481" s="79" t="s">
        <v>586</v>
      </c>
      <c r="C481" s="23"/>
      <c r="D481" s="23" t="s">
        <v>123</v>
      </c>
      <c r="E481" s="23"/>
      <c r="F481" s="691"/>
      <c r="G481" s="23"/>
      <c r="H481" s="691"/>
      <c r="I481" s="67"/>
      <c r="J481" s="4"/>
      <c r="K481" s="89" t="s">
        <v>123</v>
      </c>
      <c r="L481" s="299" t="s">
        <v>589</v>
      </c>
      <c r="M481" s="1716"/>
      <c r="N481" s="4"/>
      <c r="O481" s="138"/>
      <c r="P481" s="332"/>
      <c r="Q481" s="332"/>
      <c r="U481" s="96"/>
      <c r="X481" s="1600"/>
    </row>
    <row r="482" spans="1:52" x14ac:dyDescent="0.2">
      <c r="B482" s="79" t="s">
        <v>586</v>
      </c>
      <c r="C482" s="23"/>
      <c r="D482" s="28" t="s">
        <v>366</v>
      </c>
      <c r="E482" s="28"/>
      <c r="F482" s="692"/>
      <c r="G482" s="28"/>
      <c r="H482" s="692"/>
      <c r="I482" s="67"/>
      <c r="J482" s="4"/>
      <c r="K482" s="91" t="s">
        <v>366</v>
      </c>
      <c r="L482" s="299" t="s">
        <v>590</v>
      </c>
      <c r="M482" s="1716"/>
      <c r="N482" s="4"/>
      <c r="O482" s="138"/>
      <c r="P482" s="332"/>
      <c r="Q482" s="332"/>
      <c r="U482" s="96"/>
      <c r="X482" s="1600"/>
    </row>
    <row r="483" spans="1:52" x14ac:dyDescent="0.2">
      <c r="B483" s="79" t="s">
        <v>586</v>
      </c>
      <c r="C483" s="23" t="s">
        <v>2541</v>
      </c>
      <c r="D483" s="23"/>
      <c r="E483" s="23"/>
      <c r="F483" s="691"/>
      <c r="G483" s="23"/>
      <c r="H483" s="691"/>
      <c r="I483" s="67"/>
      <c r="J483" s="4"/>
      <c r="K483" s="85"/>
      <c r="L483" s="1717" t="s">
        <v>591</v>
      </c>
      <c r="M483" s="1716"/>
      <c r="N483" s="4"/>
      <c r="O483" s="138"/>
      <c r="P483" s="332"/>
      <c r="Q483" s="332"/>
      <c r="W483" s="66" t="s">
        <v>2663</v>
      </c>
      <c r="X483" s="1600"/>
      <c r="AR483" s="1352" t="str">
        <f>SUBSTITUTE(SUBSTITUTE(SUBSTITUTE("dnt"&amp;$B483&amp;$C483&amp;$D483&amp;$E483&amp;$F483,".","_"),"(","_"),")","")</f>
        <v>dnt610_1_2_2c</v>
      </c>
      <c r="AS483" s="1352" t="str">
        <f>IF(LEN(X483)=0,"",X483)</f>
        <v/>
      </c>
    </row>
    <row r="484" spans="1:52" x14ac:dyDescent="0.2">
      <c r="B484" s="79" t="s">
        <v>586</v>
      </c>
      <c r="C484" s="23" t="s">
        <v>2541</v>
      </c>
      <c r="D484" s="23"/>
      <c r="E484" s="23"/>
      <c r="F484" s="691"/>
      <c r="G484" s="23"/>
      <c r="H484" s="691"/>
      <c r="I484" s="67"/>
      <c r="J484" s="4"/>
      <c r="K484" s="85"/>
      <c r="L484" s="1717"/>
      <c r="M484" s="1716"/>
      <c r="N484" s="4"/>
      <c r="O484" s="138"/>
      <c r="P484" s="332" t="b">
        <v>1</v>
      </c>
      <c r="Q484" s="332" t="b">
        <v>0</v>
      </c>
      <c r="R484" s="151" t="b">
        <v>0</v>
      </c>
      <c r="S484" s="151" t="b">
        <f>COUNTIF(W435:W451,TRUE)&lt;1</f>
        <v>1</v>
      </c>
      <c r="T484" s="96" t="b">
        <f>AND(NOT(S484),LEN(W484)&gt;0)</f>
        <v>0</v>
      </c>
      <c r="U484" s="96" t="str">
        <f>SUBSTITUTE(SUBSTITUTE(SUBSTITUTE("dd"&amp;B484&amp;C484&amp;D484&amp;E484&amp;F484,".","_"),"(","_"),")","")</f>
        <v>dd610_1_2_2c</v>
      </c>
      <c r="V484" s="151"/>
      <c r="W484" s="12"/>
      <c r="X484" s="1600"/>
      <c r="Z484" s="151"/>
      <c r="AB484" s="151"/>
      <c r="AC484" s="151" t="b">
        <f>OR(AD484:AE484)</f>
        <v>0</v>
      </c>
      <c r="AD484" s="155" t="b">
        <f>T484</f>
        <v>0</v>
      </c>
      <c r="AE484" s="151" t="b">
        <f>AND(NOT(ISBLANK(W484)),LEN(X483)=0)</f>
        <v>0</v>
      </c>
      <c r="AF484" s="151"/>
      <c r="AG484" s="151"/>
      <c r="AH484" s="151"/>
      <c r="AI484" s="151"/>
      <c r="AJ484" s="151"/>
      <c r="AK484" s="151"/>
      <c r="AP484" s="1352" t="str">
        <f>SUBSTITUTE(SUBSTITUTE(SUBSTITUTE("dch"&amp;$B484&amp;$C484&amp;$D484&amp;$E484&amp;$F484,".","_"),"(","_"),")","")</f>
        <v>dch610_1_2_2c</v>
      </c>
      <c r="AQ484" s="1352" t="str">
        <f>IF(LEN(W484)=0,"",W484)</f>
        <v/>
      </c>
      <c r="AT484" s="151"/>
    </row>
    <row r="485" spans="1:52" s="151" customFormat="1" x14ac:dyDescent="0.2">
      <c r="A485" s="20"/>
      <c r="B485" s="79" t="s">
        <v>586</v>
      </c>
      <c r="C485" s="23"/>
      <c r="D485" s="23" t="s">
        <v>121</v>
      </c>
      <c r="E485" s="23"/>
      <c r="F485" s="691"/>
      <c r="G485" s="23"/>
      <c r="H485" s="691"/>
      <c r="I485" s="67"/>
      <c r="J485" s="4"/>
      <c r="K485" s="89" t="s">
        <v>121</v>
      </c>
      <c r="L485" s="299" t="s">
        <v>574</v>
      </c>
      <c r="M485" s="1716"/>
      <c r="N485" s="4"/>
      <c r="O485" s="138"/>
      <c r="P485" s="332"/>
      <c r="Q485" s="332"/>
      <c r="R485" s="66"/>
      <c r="S485" s="66"/>
      <c r="T485" s="66"/>
      <c r="U485" s="66"/>
      <c r="V485" s="66"/>
      <c r="W485" s="66"/>
      <c r="X485" s="1600"/>
      <c r="Y485" s="704"/>
      <c r="Z485" s="66"/>
      <c r="AA485" s="707"/>
      <c r="AB485" s="66"/>
      <c r="AC485" s="66"/>
      <c r="AD485" s="66"/>
      <c r="AE485" s="66"/>
      <c r="AF485" s="66"/>
      <c r="AG485" s="66"/>
      <c r="AH485" s="66"/>
      <c r="AI485" s="66"/>
      <c r="AJ485" s="66"/>
      <c r="AK485" s="66"/>
      <c r="AL485" s="66"/>
      <c r="AM485" s="66"/>
      <c r="AN485" s="66"/>
      <c r="AO485" s="66"/>
      <c r="AP485" s="66"/>
      <c r="AQ485" s="66"/>
      <c r="AR485" s="66"/>
      <c r="AS485" s="66"/>
      <c r="AT485" s="66"/>
      <c r="AX485" s="66"/>
      <c r="AY485" s="66"/>
      <c r="AZ485" s="66"/>
    </row>
    <row r="486" spans="1:52" x14ac:dyDescent="0.2">
      <c r="B486" s="79" t="s">
        <v>586</v>
      </c>
      <c r="C486" s="23"/>
      <c r="D486" s="23" t="s">
        <v>122</v>
      </c>
      <c r="E486" s="23"/>
      <c r="F486" s="691"/>
      <c r="G486" s="23"/>
      <c r="H486" s="691"/>
      <c r="I486" s="67"/>
      <c r="J486" s="4"/>
      <c r="K486" s="89" t="s">
        <v>122</v>
      </c>
      <c r="L486" s="299" t="s">
        <v>575</v>
      </c>
      <c r="M486" s="1716"/>
      <c r="N486" s="4"/>
      <c r="O486" s="138"/>
      <c r="P486" s="332"/>
      <c r="Q486" s="332"/>
      <c r="X486" s="1600"/>
    </row>
    <row r="487" spans="1:52" x14ac:dyDescent="0.2">
      <c r="B487" s="79" t="s">
        <v>586</v>
      </c>
      <c r="C487" s="23"/>
      <c r="D487" s="23" t="s">
        <v>123</v>
      </c>
      <c r="E487" s="23"/>
      <c r="F487" s="691"/>
      <c r="G487" s="23"/>
      <c r="H487" s="691"/>
      <c r="I487" s="67"/>
      <c r="J487" s="4"/>
      <c r="K487" s="89" t="s">
        <v>123</v>
      </c>
      <c r="L487" s="299" t="s">
        <v>576</v>
      </c>
      <c r="M487" s="1716"/>
      <c r="N487" s="4"/>
      <c r="O487" s="138"/>
      <c r="P487" s="332"/>
      <c r="Q487" s="332"/>
      <c r="X487" s="1600"/>
      <c r="AX487" s="151"/>
      <c r="AY487" s="151"/>
      <c r="AZ487" s="151"/>
    </row>
    <row r="488" spans="1:52" x14ac:dyDescent="0.2">
      <c r="B488" s="79" t="s">
        <v>586</v>
      </c>
      <c r="C488" s="23"/>
      <c r="D488" s="28" t="s">
        <v>366</v>
      </c>
      <c r="E488" s="28"/>
      <c r="F488" s="692"/>
      <c r="G488" s="28"/>
      <c r="H488" s="692"/>
      <c r="I488" s="67"/>
      <c r="J488" s="4"/>
      <c r="K488" s="91" t="s">
        <v>366</v>
      </c>
      <c r="L488" s="299" t="s">
        <v>577</v>
      </c>
      <c r="M488" s="1716"/>
      <c r="N488" s="4"/>
      <c r="O488" s="138"/>
      <c r="P488" s="332"/>
      <c r="Q488" s="332"/>
      <c r="X488" s="1600"/>
    </row>
    <row r="489" spans="1:52" x14ac:dyDescent="0.2">
      <c r="B489" s="79" t="s">
        <v>586</v>
      </c>
      <c r="C489" s="23"/>
      <c r="D489" s="23" t="s">
        <v>472</v>
      </c>
      <c r="E489" s="23"/>
      <c r="F489" s="691"/>
      <c r="G489" s="23"/>
      <c r="H489" s="691"/>
      <c r="I489" s="67"/>
      <c r="J489" s="4"/>
      <c r="K489" s="87" t="s">
        <v>472</v>
      </c>
      <c r="L489" s="299" t="s">
        <v>578</v>
      </c>
      <c r="M489" s="1716"/>
      <c r="N489" s="4"/>
      <c r="O489" s="138"/>
      <c r="P489" s="332"/>
      <c r="Q489" s="332"/>
      <c r="W489" s="66" t="s">
        <v>2664</v>
      </c>
      <c r="X489" s="1600"/>
      <c r="AR489" s="1352" t="str">
        <f>SUBSTITUTE(SUBSTITUTE(SUBSTITUTE("dnt"&amp;$B489&amp;$C489&amp;$D489&amp;$E489&amp;$F489,".","_"),"(","_"),")","")</f>
        <v>dnt610_1_2_2_e</v>
      </c>
      <c r="AS489" s="1352" t="str">
        <f>IF(LEN(X489)=0,"",X489)</f>
        <v/>
      </c>
    </row>
    <row r="490" spans="1:52" x14ac:dyDescent="0.2">
      <c r="B490" s="79" t="s">
        <v>586</v>
      </c>
      <c r="C490" s="23"/>
      <c r="D490" s="23" t="s">
        <v>510</v>
      </c>
      <c r="E490" s="23"/>
      <c r="F490" s="691"/>
      <c r="G490" s="23"/>
      <c r="H490" s="691"/>
      <c r="I490" s="67"/>
      <c r="J490" s="4"/>
      <c r="K490" s="89" t="s">
        <v>510</v>
      </c>
      <c r="L490" s="299" t="s">
        <v>579</v>
      </c>
      <c r="M490" s="1716"/>
      <c r="N490" s="4"/>
      <c r="O490" s="138"/>
      <c r="P490" s="332" t="b">
        <v>1</v>
      </c>
      <c r="Q490" s="332" t="b">
        <v>0</v>
      </c>
      <c r="R490" s="151" t="b">
        <v>0</v>
      </c>
      <c r="S490" s="151" t="b">
        <f>COUNTIF(W435:W451,TRUE)&lt;1</f>
        <v>1</v>
      </c>
      <c r="T490" s="96" t="b">
        <f>AND(NOT(S490),LEN(W490)&gt;0)</f>
        <v>0</v>
      </c>
      <c r="U490" s="96" t="str">
        <f>SUBSTITUTE(SUBSTITUTE(SUBSTITUTE("dd"&amp;B490&amp;C490&amp;D490&amp;E490&amp;F490,".","_"),"(","_"),")","")</f>
        <v>dd610_1_2_2_f</v>
      </c>
      <c r="W490" s="12"/>
      <c r="X490" s="1600"/>
      <c r="AC490" s="151" t="b">
        <f>OR(AD490:AE490)</f>
        <v>0</v>
      </c>
      <c r="AD490" s="155" t="b">
        <f>T490</f>
        <v>0</v>
      </c>
      <c r="AE490" s="151" t="b">
        <f>AND(NOT(ISBLANK(W490)),LEN(X489)=0)</f>
        <v>0</v>
      </c>
      <c r="AP490" s="1352" t="str">
        <f>SUBSTITUTE(SUBSTITUTE(SUBSTITUTE("dch"&amp;$B490&amp;$C490&amp;$D490&amp;$E490&amp;$F490,".","_"),"(","_"),")","")</f>
        <v>dch610_1_2_2_f</v>
      </c>
      <c r="AQ490" s="1352" t="str">
        <f>IF(LEN(W490)=0,"",W490)</f>
        <v/>
      </c>
    </row>
    <row r="491" spans="1:52" x14ac:dyDescent="0.2">
      <c r="B491" s="79" t="s">
        <v>586</v>
      </c>
      <c r="C491" s="23"/>
      <c r="D491" s="23"/>
      <c r="E491" s="23"/>
      <c r="F491" s="691"/>
      <c r="G491" s="23"/>
      <c r="H491" s="691"/>
      <c r="I491" s="67"/>
      <c r="J491" s="4"/>
      <c r="K491" s="85"/>
      <c r="L491" s="1707" t="s">
        <v>3836</v>
      </c>
      <c r="M491" s="1716"/>
      <c r="N491" s="4"/>
      <c r="O491" s="138"/>
      <c r="P491" s="332"/>
      <c r="Q491" s="332"/>
      <c r="X491" s="1600"/>
    </row>
    <row r="492" spans="1:52" x14ac:dyDescent="0.2">
      <c r="B492" s="79" t="s">
        <v>586</v>
      </c>
      <c r="C492" s="23"/>
      <c r="D492" s="23"/>
      <c r="E492" s="23"/>
      <c r="F492" s="691"/>
      <c r="G492" s="23"/>
      <c r="H492" s="691"/>
      <c r="I492" s="67"/>
      <c r="J492" s="4"/>
      <c r="K492" s="85"/>
      <c r="L492" s="1707"/>
      <c r="M492" s="1716"/>
      <c r="N492" s="4"/>
      <c r="O492" s="138"/>
      <c r="P492" s="332"/>
      <c r="Q492" s="332"/>
      <c r="X492" s="1600"/>
    </row>
    <row r="493" spans="1:52" x14ac:dyDescent="0.2">
      <c r="B493" s="79" t="s">
        <v>586</v>
      </c>
      <c r="C493" s="23"/>
      <c r="D493" s="23"/>
      <c r="E493" s="23"/>
      <c r="F493" s="691"/>
      <c r="G493" s="23"/>
      <c r="H493" s="691"/>
      <c r="I493" s="67"/>
      <c r="J493" s="4"/>
      <c r="K493" s="85"/>
      <c r="L493" s="1689" t="s">
        <v>2658</v>
      </c>
      <c r="M493" s="1716"/>
      <c r="N493" s="4"/>
      <c r="O493" s="138"/>
      <c r="P493" s="332"/>
      <c r="Q493" s="332"/>
      <c r="R493" s="151"/>
      <c r="S493" s="151"/>
      <c r="T493" s="151"/>
      <c r="U493" s="151"/>
      <c r="V493" s="151"/>
      <c r="W493" s="151"/>
      <c r="X493" s="1600"/>
      <c r="Z493" s="151"/>
      <c r="AB493" s="151"/>
      <c r="AC493" s="151"/>
      <c r="AD493" s="151"/>
      <c r="AE493" s="151"/>
      <c r="AF493" s="151"/>
      <c r="AG493" s="151"/>
      <c r="AH493" s="151"/>
      <c r="AI493" s="151"/>
      <c r="AJ493" s="151"/>
      <c r="AK493" s="151"/>
      <c r="AT493" s="151"/>
    </row>
    <row r="494" spans="1:52" s="151" customFormat="1" x14ac:dyDescent="0.2">
      <c r="A494" s="20"/>
      <c r="B494" s="79" t="s">
        <v>586</v>
      </c>
      <c r="C494" s="23"/>
      <c r="D494" s="23"/>
      <c r="E494" s="23"/>
      <c r="F494" s="691"/>
      <c r="G494" s="23"/>
      <c r="H494" s="691"/>
      <c r="I494" s="67"/>
      <c r="J494" s="4"/>
      <c r="K494" s="85"/>
      <c r="L494" s="1723"/>
      <c r="M494" s="1716"/>
      <c r="N494" s="4"/>
      <c r="O494" s="138"/>
      <c r="P494" s="332"/>
      <c r="Q494" s="332"/>
      <c r="X494" s="1600"/>
      <c r="Y494" s="704"/>
      <c r="AA494" s="707"/>
      <c r="AL494" s="66"/>
      <c r="AM494" s="66"/>
      <c r="AN494" s="66"/>
      <c r="AO494" s="66"/>
      <c r="AP494" s="66"/>
      <c r="AQ494" s="66"/>
      <c r="AR494" s="66"/>
      <c r="AS494" s="66"/>
      <c r="AX494" s="66"/>
      <c r="AY494" s="66"/>
      <c r="AZ494" s="66"/>
    </row>
    <row r="495" spans="1:52" s="823" customFormat="1" ht="20" thickBot="1" x14ac:dyDescent="0.3">
      <c r="A495" s="20"/>
      <c r="B495" s="79">
        <v>611</v>
      </c>
      <c r="C495" s="23"/>
      <c r="D495" s="23"/>
      <c r="E495" s="23"/>
      <c r="F495" s="691"/>
      <c r="G495" s="23"/>
      <c r="H495" s="691"/>
      <c r="I495" s="14" t="s">
        <v>5032</v>
      </c>
      <c r="J495" s="25"/>
      <c r="K495" s="84"/>
      <c r="L495" s="233"/>
      <c r="M495" s="339"/>
      <c r="N495" s="428"/>
      <c r="O495" s="419"/>
      <c r="P495" s="25"/>
      <c r="Q495" s="25"/>
      <c r="R495" s="25"/>
      <c r="S495" s="25"/>
      <c r="T495" s="25"/>
      <c r="U495" s="25"/>
      <c r="V495" s="25"/>
      <c r="W495" s="25"/>
      <c r="X495" s="25"/>
      <c r="AL495" s="66"/>
      <c r="AM495" s="66"/>
      <c r="AN495" s="66"/>
      <c r="AO495" s="66"/>
      <c r="AP495" s="66"/>
      <c r="AQ495" s="66"/>
      <c r="AR495" s="66"/>
      <c r="AS495" s="66"/>
      <c r="AX495" s="66"/>
      <c r="AY495" s="66"/>
      <c r="AZ495" s="66"/>
    </row>
    <row r="496" spans="1:52" ht="16" thickTop="1" x14ac:dyDescent="0.2">
      <c r="B496" s="79" t="s">
        <v>3997</v>
      </c>
      <c r="C496" s="23"/>
      <c r="D496" s="23"/>
      <c r="E496" s="23"/>
      <c r="F496" s="691"/>
      <c r="G496" s="23"/>
      <c r="H496" s="691"/>
      <c r="I496" s="177" t="s">
        <v>3591</v>
      </c>
      <c r="J496" s="178"/>
      <c r="K496" s="179"/>
      <c r="L496" s="1683" t="s">
        <v>4000</v>
      </c>
      <c r="M496" s="1685">
        <v>5</v>
      </c>
      <c r="N496" s="178"/>
      <c r="O496" s="1682">
        <f>IF(W502+W513*2&gt;=10,5,0)</f>
        <v>0</v>
      </c>
      <c r="P496" s="106"/>
      <c r="Q496" s="106"/>
      <c r="R496" s="106"/>
      <c r="S496" s="106"/>
      <c r="T496" s="106"/>
      <c r="U496" s="106"/>
      <c r="V496" s="106"/>
      <c r="W496" s="106"/>
      <c r="X496" s="106"/>
      <c r="AL496" s="1352" t="str">
        <f>SUBSTITUTE(SUBSTITUTE(SUBSTITUTE("dpa"&amp;$B496&amp;$C496&amp;$D496&amp;$E496&amp;$F496,".","_"),"(","_"),")","")</f>
        <v>dpa611_1</v>
      </c>
      <c r="AM496" s="1352">
        <f>M496</f>
        <v>5</v>
      </c>
      <c r="AN496" s="1352" t="str">
        <f>SUBSTITUTE(SUBSTITUTE(SUBSTITUTE("dpc"&amp;$B496&amp;$C496&amp;$D496&amp;$E496&amp;$F496,".","_"),"(","_"),")","")</f>
        <v>dpc611_1</v>
      </c>
      <c r="AO496" s="1352">
        <f>O496</f>
        <v>0</v>
      </c>
      <c r="AX496" s="151"/>
      <c r="AY496" s="151"/>
      <c r="AZ496" s="151"/>
    </row>
    <row r="497" spans="1:52" x14ac:dyDescent="0.2">
      <c r="B497" s="79" t="s">
        <v>3997</v>
      </c>
      <c r="C497" s="23"/>
      <c r="D497" s="23"/>
      <c r="E497" s="23"/>
      <c r="F497" s="691"/>
      <c r="G497" s="23"/>
      <c r="H497" s="691"/>
      <c r="I497" s="130"/>
      <c r="J497" s="129"/>
      <c r="K497" s="97"/>
      <c r="L497" s="1629"/>
      <c r="M497" s="1623"/>
      <c r="N497" s="129"/>
      <c r="O497" s="1619"/>
      <c r="P497" s="96"/>
      <c r="Q497" s="96"/>
      <c r="R497" s="96"/>
      <c r="S497" s="96"/>
      <c r="T497" s="96"/>
      <c r="U497" s="96"/>
      <c r="V497" s="96"/>
      <c r="W497" s="96"/>
      <c r="X497" s="96"/>
      <c r="AX497" s="151"/>
      <c r="AY497" s="151"/>
      <c r="AZ497" s="823"/>
    </row>
    <row r="498" spans="1:52" x14ac:dyDescent="0.2">
      <c r="B498" s="79" t="s">
        <v>3997</v>
      </c>
      <c r="C498" s="23"/>
      <c r="D498" s="23"/>
      <c r="E498" s="23"/>
      <c r="F498" s="691"/>
      <c r="G498" s="23"/>
      <c r="H498" s="691"/>
      <c r="I498" s="130"/>
      <c r="J498" s="129"/>
      <c r="K498" s="97"/>
      <c r="L498" s="1629"/>
      <c r="M498" s="1623"/>
      <c r="N498" s="129"/>
      <c r="O498" s="1619"/>
      <c r="P498" s="96"/>
      <c r="Q498" s="96"/>
      <c r="R498" s="96"/>
      <c r="S498" s="96"/>
      <c r="T498" s="96"/>
      <c r="U498" s="96"/>
      <c r="V498" s="96"/>
      <c r="W498" s="96"/>
      <c r="X498" s="96"/>
      <c r="AX498" s="823"/>
      <c r="AY498" s="823"/>
    </row>
    <row r="499" spans="1:52" x14ac:dyDescent="0.2">
      <c r="B499" s="79" t="s">
        <v>3997</v>
      </c>
      <c r="C499" s="23"/>
      <c r="D499" s="23"/>
      <c r="E499" s="23"/>
      <c r="F499" s="691"/>
      <c r="G499" s="23"/>
      <c r="H499" s="691"/>
      <c r="I499" s="130"/>
      <c r="J499" s="129"/>
      <c r="K499" s="97"/>
      <c r="L499" s="1629"/>
      <c r="M499" s="1623"/>
      <c r="N499" s="129"/>
      <c r="O499" s="1619"/>
      <c r="P499" s="96"/>
      <c r="Q499" s="96"/>
      <c r="R499" s="96"/>
      <c r="S499" s="96"/>
      <c r="T499" s="96"/>
      <c r="U499" s="96"/>
      <c r="V499" s="96"/>
      <c r="W499" s="96"/>
      <c r="X499" s="96"/>
    </row>
    <row r="500" spans="1:52" x14ac:dyDescent="0.2">
      <c r="B500" s="79" t="s">
        <v>3997</v>
      </c>
      <c r="C500" s="23"/>
      <c r="D500" s="23"/>
      <c r="E500" s="23"/>
      <c r="F500" s="691"/>
      <c r="G500" s="23"/>
      <c r="H500" s="691"/>
      <c r="I500" s="219"/>
      <c r="J500" s="213"/>
      <c r="K500" s="170"/>
      <c r="L500" s="1696"/>
      <c r="M500" s="1624"/>
      <c r="N500" s="213"/>
      <c r="O500" s="1620"/>
      <c r="P500" s="96"/>
      <c r="Q500" s="96"/>
      <c r="R500" s="96"/>
      <c r="S500" s="96"/>
      <c r="T500" s="96"/>
      <c r="U500" s="96"/>
      <c r="V500" s="96"/>
      <c r="W500" s="96"/>
      <c r="X500" s="96"/>
    </row>
    <row r="501" spans="1:52" x14ac:dyDescent="0.2">
      <c r="B501" s="79" t="s">
        <v>3998</v>
      </c>
      <c r="C501" s="23"/>
      <c r="D501" s="23"/>
      <c r="E501" s="23"/>
      <c r="F501" s="691"/>
      <c r="G501" s="23"/>
      <c r="H501" s="691"/>
      <c r="I501" s="67" t="s">
        <v>3995</v>
      </c>
      <c r="J501" s="4"/>
      <c r="K501" s="85"/>
      <c r="L501" s="1725" t="s">
        <v>4001</v>
      </c>
      <c r="M501" s="374"/>
      <c r="N501" s="4"/>
      <c r="O501" s="138"/>
      <c r="P501" s="332"/>
      <c r="Q501" s="332"/>
      <c r="R501" s="126"/>
      <c r="S501" s="126"/>
      <c r="T501" s="126"/>
      <c r="W501" s="66" t="s">
        <v>2676</v>
      </c>
      <c r="X501" s="1600"/>
      <c r="AR501" s="1352" t="str">
        <f>SUBSTITUTE(SUBSTITUTE(SUBSTITUTE("dnt"&amp;$B501&amp;$C501&amp;$D501&amp;$E501&amp;$F501,".","_"),"(","_"),")","")</f>
        <v>dnt611_1_1</v>
      </c>
      <c r="AS501" s="1352" t="str">
        <f>IF(LEN(X501)=0,"",X501)</f>
        <v/>
      </c>
    </row>
    <row r="502" spans="1:52" ht="15" customHeight="1" x14ac:dyDescent="0.2">
      <c r="B502" s="79" t="s">
        <v>3998</v>
      </c>
      <c r="C502" s="23"/>
      <c r="D502" s="23"/>
      <c r="E502" s="23"/>
      <c r="F502" s="691"/>
      <c r="G502" s="23"/>
      <c r="H502" s="691"/>
      <c r="I502" s="67"/>
      <c r="J502" s="4"/>
      <c r="K502" s="85"/>
      <c r="L502" s="1725"/>
      <c r="M502" s="374"/>
      <c r="N502" s="4"/>
      <c r="O502" s="138"/>
      <c r="P502" s="332" t="b">
        <v>0</v>
      </c>
      <c r="Q502" s="332" t="b">
        <v>1</v>
      </c>
      <c r="R502" s="155" t="b">
        <v>0</v>
      </c>
      <c r="S502" s="155" t="b">
        <v>1</v>
      </c>
      <c r="T502" s="155" t="b">
        <v>0</v>
      </c>
      <c r="W502" s="168"/>
      <c r="X502" s="1600"/>
      <c r="AC502" s="155" t="b">
        <f>OR(AD502:AE502)</f>
        <v>0</v>
      </c>
      <c r="AD502" s="155" t="b">
        <v>0</v>
      </c>
      <c r="AE502" s="155" t="b">
        <f>AND(W502&gt;0,LEN(X501)=0)</f>
        <v>0</v>
      </c>
      <c r="AP502" s="1352" t="str">
        <f>SUBSTITUTE(SUBSTITUTE(SUBSTITUTE("dch"&amp;$B502&amp;$C502&amp;$D502&amp;$E502&amp;$F502,".","_"),"(","_"),")","")</f>
        <v>dch611_1_1</v>
      </c>
      <c r="AQ502" s="1352" t="str">
        <f>IF(LEN(W502)=0,"",W502)</f>
        <v/>
      </c>
    </row>
    <row r="503" spans="1:52" x14ac:dyDescent="0.2">
      <c r="B503" s="79" t="s">
        <v>3998</v>
      </c>
      <c r="C503" s="23"/>
      <c r="D503" s="23"/>
      <c r="E503" s="23"/>
      <c r="F503" s="691"/>
      <c r="G503" s="23"/>
      <c r="H503" s="691"/>
      <c r="I503" s="67"/>
      <c r="J503" s="4"/>
      <c r="K503" s="85"/>
      <c r="L503" s="1725"/>
      <c r="M503" s="374"/>
      <c r="N503" s="4"/>
      <c r="O503" s="138"/>
      <c r="P503" s="332"/>
      <c r="Q503" s="332"/>
      <c r="R503" s="155"/>
      <c r="S503" s="155"/>
      <c r="T503" s="155"/>
      <c r="X503" s="1600"/>
    </row>
    <row r="504" spans="1:52" x14ac:dyDescent="0.2">
      <c r="B504" s="79" t="s">
        <v>3998</v>
      </c>
      <c r="C504" s="23"/>
      <c r="D504" s="23"/>
      <c r="E504" s="23"/>
      <c r="F504" s="691"/>
      <c r="G504" s="23"/>
      <c r="H504" s="691"/>
      <c r="I504" s="67"/>
      <c r="J504" s="4"/>
      <c r="K504" s="85"/>
      <c r="L504" s="1725"/>
      <c r="M504" s="374"/>
      <c r="N504" s="4"/>
      <c r="O504" s="138"/>
      <c r="P504" s="332"/>
      <c r="Q504" s="332"/>
      <c r="X504" s="1600"/>
    </row>
    <row r="505" spans="1:52" x14ac:dyDescent="0.2">
      <c r="B505" s="79" t="s">
        <v>3998</v>
      </c>
      <c r="C505" s="23"/>
      <c r="D505" s="23"/>
      <c r="E505" s="23"/>
      <c r="F505" s="691"/>
      <c r="G505" s="23"/>
      <c r="H505" s="691"/>
      <c r="I505" s="67"/>
      <c r="J505" s="4"/>
      <c r="K505" s="85"/>
      <c r="L505" s="1725"/>
      <c r="M505" s="374"/>
      <c r="N505" s="4"/>
      <c r="O505" s="138"/>
      <c r="P505" s="332"/>
      <c r="Q505" s="332"/>
      <c r="X505" s="1600"/>
    </row>
    <row r="506" spans="1:52" x14ac:dyDescent="0.2">
      <c r="B506" s="79" t="s">
        <v>3998</v>
      </c>
      <c r="C506" s="23"/>
      <c r="D506" s="23"/>
      <c r="E506" s="23"/>
      <c r="F506" s="691"/>
      <c r="G506" s="23"/>
      <c r="H506" s="691"/>
      <c r="I506" s="67"/>
      <c r="J506" s="4"/>
      <c r="K506" s="85"/>
      <c r="L506" s="1725"/>
      <c r="M506" s="374"/>
      <c r="N506" s="4"/>
      <c r="O506" s="138"/>
      <c r="P506" s="332"/>
      <c r="Q506" s="332"/>
      <c r="X506" s="1600"/>
    </row>
    <row r="507" spans="1:52" x14ac:dyDescent="0.2">
      <c r="B507" s="79" t="s">
        <v>3998</v>
      </c>
      <c r="C507" s="23"/>
      <c r="D507" s="23"/>
      <c r="E507" s="23"/>
      <c r="F507" s="691"/>
      <c r="G507" s="23"/>
      <c r="H507" s="691"/>
      <c r="I507" s="67"/>
      <c r="J507" s="4"/>
      <c r="K507" s="85"/>
      <c r="L507" s="1725"/>
      <c r="M507" s="374"/>
      <c r="N507" s="4"/>
      <c r="O507" s="138"/>
      <c r="P507" s="332"/>
      <c r="Q507" s="332"/>
      <c r="X507" s="1600"/>
    </row>
    <row r="508" spans="1:52" s="823" customFormat="1" x14ac:dyDescent="0.2">
      <c r="A508" s="20"/>
      <c r="B508" s="79" t="s">
        <v>3998</v>
      </c>
      <c r="C508" s="23"/>
      <c r="D508" s="23"/>
      <c r="E508" s="23"/>
      <c r="F508" s="691"/>
      <c r="G508" s="23"/>
      <c r="H508" s="691"/>
      <c r="I508" s="67"/>
      <c r="J508" s="4"/>
      <c r="K508" s="85"/>
      <c r="L508" s="1725"/>
      <c r="M508" s="836"/>
      <c r="N508" s="4"/>
      <c r="O508" s="829"/>
      <c r="X508" s="1600"/>
      <c r="AL508" s="66"/>
      <c r="AM508" s="66"/>
      <c r="AN508" s="66"/>
      <c r="AO508" s="66"/>
      <c r="AP508" s="66"/>
      <c r="AQ508" s="66"/>
      <c r="AR508" s="66"/>
      <c r="AS508" s="66"/>
      <c r="AX508" s="66"/>
      <c r="AY508" s="66"/>
      <c r="AZ508" s="66"/>
    </row>
    <row r="509" spans="1:52" x14ac:dyDescent="0.2">
      <c r="B509" s="79" t="s">
        <v>3998</v>
      </c>
      <c r="C509" s="23"/>
      <c r="D509" s="23"/>
      <c r="E509" s="23"/>
      <c r="F509" s="691"/>
      <c r="G509" s="23"/>
      <c r="H509" s="691"/>
      <c r="I509" s="67"/>
      <c r="J509" s="4"/>
      <c r="K509" s="85"/>
      <c r="L509" s="1725"/>
      <c r="M509" s="374"/>
      <c r="N509" s="4"/>
      <c r="O509" s="138"/>
      <c r="P509" s="332"/>
      <c r="Q509" s="332"/>
      <c r="X509" s="1600"/>
    </row>
    <row r="510" spans="1:52" x14ac:dyDescent="0.2">
      <c r="B510" s="79" t="s">
        <v>3998</v>
      </c>
      <c r="C510" s="23"/>
      <c r="D510" s="23"/>
      <c r="E510" s="23"/>
      <c r="F510" s="691"/>
      <c r="G510" s="23"/>
      <c r="H510" s="691"/>
      <c r="I510" s="219"/>
      <c r="J510" s="213"/>
      <c r="K510" s="170"/>
      <c r="L510" s="220" t="s">
        <v>2678</v>
      </c>
      <c r="M510" s="374"/>
      <c r="N510" s="4"/>
      <c r="O510" s="138"/>
      <c r="P510" s="332"/>
      <c r="Q510" s="332"/>
      <c r="R510" s="155"/>
      <c r="S510" s="155"/>
      <c r="T510" s="155"/>
      <c r="U510" s="155"/>
      <c r="V510" s="155"/>
      <c r="W510" s="155"/>
      <c r="X510" s="1600"/>
      <c r="Z510" s="155"/>
      <c r="AB510" s="155"/>
      <c r="AC510" s="155"/>
      <c r="AD510" s="155"/>
      <c r="AE510" s="155"/>
      <c r="AF510" s="155"/>
      <c r="AG510" s="155"/>
      <c r="AH510" s="155"/>
      <c r="AI510" s="155"/>
      <c r="AJ510" s="155"/>
      <c r="AK510" s="155"/>
      <c r="AT510" s="155"/>
      <c r="AZ510" s="823"/>
    </row>
    <row r="511" spans="1:52" s="155" customFormat="1" x14ac:dyDescent="0.2">
      <c r="A511" s="20"/>
      <c r="B511" s="79" t="s">
        <v>3999</v>
      </c>
      <c r="C511" s="23"/>
      <c r="D511" s="23"/>
      <c r="E511" s="23"/>
      <c r="F511" s="691"/>
      <c r="G511" s="23"/>
      <c r="H511" s="691"/>
      <c r="I511" s="130" t="s">
        <v>3996</v>
      </c>
      <c r="J511" s="129"/>
      <c r="K511" s="97"/>
      <c r="L511" s="1647" t="s">
        <v>4002</v>
      </c>
      <c r="M511" s="371"/>
      <c r="N511" s="129"/>
      <c r="O511" s="238"/>
      <c r="P511" s="96"/>
      <c r="Q511" s="96"/>
      <c r="R511" s="96"/>
      <c r="S511" s="96"/>
      <c r="T511" s="96"/>
      <c r="U511" s="96"/>
      <c r="V511" s="96"/>
      <c r="W511" s="1724" t="s">
        <v>2677</v>
      </c>
      <c r="X511" s="1601"/>
      <c r="Y511" s="704"/>
      <c r="Z511" s="66"/>
      <c r="AA511" s="707"/>
      <c r="AB511" s="66"/>
      <c r="AC511" s="66"/>
      <c r="AD511" s="66"/>
      <c r="AE511" s="66"/>
      <c r="AF511" s="66"/>
      <c r="AG511" s="66"/>
      <c r="AH511" s="66"/>
      <c r="AI511" s="66"/>
      <c r="AJ511" s="66"/>
      <c r="AK511" s="66"/>
      <c r="AL511" s="66"/>
      <c r="AM511" s="66"/>
      <c r="AN511" s="66"/>
      <c r="AO511" s="66"/>
      <c r="AP511" s="66"/>
      <c r="AQ511" s="66"/>
      <c r="AR511" s="1352" t="str">
        <f>SUBSTITUTE(SUBSTITUTE(SUBSTITUTE("dnt"&amp;$B511&amp;$C511&amp;$D511&amp;$E511&amp;$F511,".","_"),"(","_"),")","")</f>
        <v>dnt611_1_2</v>
      </c>
      <c r="AS511" s="1352" t="str">
        <f>IF(LEN(X511)=0,"",X511)</f>
        <v/>
      </c>
      <c r="AT511" s="66"/>
      <c r="AX511" s="823"/>
      <c r="AY511" s="823"/>
      <c r="AZ511" s="66"/>
    </row>
    <row r="512" spans="1:52" x14ac:dyDescent="0.2">
      <c r="B512" s="79" t="s">
        <v>3999</v>
      </c>
      <c r="C512" s="23"/>
      <c r="D512" s="23"/>
      <c r="E512" s="23"/>
      <c r="F512" s="691"/>
      <c r="G512" s="23"/>
      <c r="H512" s="691"/>
      <c r="I512" s="130"/>
      <c r="J512" s="129"/>
      <c r="K512" s="97"/>
      <c r="L512" s="1647"/>
      <c r="M512" s="371"/>
      <c r="N512" s="129"/>
      <c r="O512" s="238"/>
      <c r="P512" s="96"/>
      <c r="Q512" s="96"/>
      <c r="R512" s="96"/>
      <c r="S512" s="96"/>
      <c r="T512" s="96"/>
      <c r="U512" s="96"/>
      <c r="V512" s="96"/>
      <c r="W512" s="1724"/>
      <c r="X512" s="1601"/>
    </row>
    <row r="513" spans="1:52" x14ac:dyDescent="0.2">
      <c r="B513" s="79" t="s">
        <v>3999</v>
      </c>
      <c r="C513" s="23"/>
      <c r="D513" s="23"/>
      <c r="E513" s="23"/>
      <c r="F513" s="691"/>
      <c r="G513" s="23"/>
      <c r="H513" s="691"/>
      <c r="I513" s="130"/>
      <c r="J513" s="129"/>
      <c r="K513" s="97"/>
      <c r="L513" s="1647"/>
      <c r="M513" s="371"/>
      <c r="N513" s="129"/>
      <c r="O513" s="238"/>
      <c r="P513" s="332" t="b">
        <v>0</v>
      </c>
      <c r="Q513" s="332" t="b">
        <v>1</v>
      </c>
      <c r="R513" s="96" t="b">
        <v>0</v>
      </c>
      <c r="S513" s="96" t="b">
        <v>1</v>
      </c>
      <c r="T513" s="96" t="b">
        <v>0</v>
      </c>
      <c r="U513" s="96"/>
      <c r="V513" s="96"/>
      <c r="W513" s="200"/>
      <c r="X513" s="1601"/>
      <c r="AC513" s="155" t="b">
        <f>OR(AD513:AE513)</f>
        <v>0</v>
      </c>
      <c r="AD513" s="155" t="b">
        <v>0</v>
      </c>
      <c r="AE513" s="155" t="b">
        <f>AND(W513&gt;0,LEN(X511)=0)</f>
        <v>0</v>
      </c>
      <c r="AP513" s="1352" t="str">
        <f>SUBSTITUTE(SUBSTITUTE(SUBSTITUTE("dch"&amp;$B513&amp;$C513&amp;$D513&amp;$E513&amp;$F513,".","_"),"(","_"),")","")</f>
        <v>dch611_1_2</v>
      </c>
      <c r="AQ513" s="1352" t="str">
        <f>IF(LEN(W513)=0,"",W513)</f>
        <v/>
      </c>
      <c r="AX513" s="155"/>
      <c r="AY513" s="155"/>
      <c r="AZ513" s="155"/>
    </row>
    <row r="514" spans="1:52" x14ac:dyDescent="0.2">
      <c r="B514" s="79" t="s">
        <v>3999</v>
      </c>
      <c r="C514" s="23"/>
      <c r="D514" s="23"/>
      <c r="E514" s="23"/>
      <c r="F514" s="691"/>
      <c r="G514" s="23"/>
      <c r="H514" s="691"/>
      <c r="I514" s="130"/>
      <c r="J514" s="129"/>
      <c r="K514" s="97"/>
      <c r="L514" s="1647"/>
      <c r="M514" s="371"/>
      <c r="N514" s="129"/>
      <c r="O514" s="238"/>
      <c r="P514" s="96"/>
      <c r="Q514" s="96"/>
      <c r="R514" s="96"/>
      <c r="S514" s="96"/>
      <c r="T514" s="96"/>
      <c r="U514" s="96"/>
      <c r="V514" s="96"/>
      <c r="W514" s="96"/>
      <c r="X514" s="1601"/>
    </row>
    <row r="515" spans="1:52" x14ac:dyDescent="0.2">
      <c r="B515" s="79" t="s">
        <v>3999</v>
      </c>
      <c r="C515" s="23"/>
      <c r="D515" s="23"/>
      <c r="E515" s="23"/>
      <c r="F515" s="691"/>
      <c r="G515" s="23"/>
      <c r="H515" s="691"/>
      <c r="I515" s="130"/>
      <c r="J515" s="129"/>
      <c r="K515" s="97"/>
      <c r="L515" s="1647"/>
      <c r="M515" s="371"/>
      <c r="N515" s="129"/>
      <c r="O515" s="238"/>
      <c r="P515" s="96"/>
      <c r="Q515" s="96"/>
      <c r="R515" s="96"/>
      <c r="S515" s="96"/>
      <c r="T515" s="96"/>
      <c r="U515" s="96"/>
      <c r="V515" s="96"/>
      <c r="W515" s="96"/>
      <c r="X515" s="1601"/>
    </row>
    <row r="516" spans="1:52" x14ac:dyDescent="0.2">
      <c r="B516" s="79" t="s">
        <v>3999</v>
      </c>
      <c r="C516" s="23"/>
      <c r="D516" s="23"/>
      <c r="E516" s="23"/>
      <c r="F516" s="691"/>
      <c r="G516" s="23"/>
      <c r="H516" s="691"/>
      <c r="I516" s="130"/>
      <c r="J516" s="129"/>
      <c r="K516" s="97"/>
      <c r="L516" s="1647"/>
      <c r="M516" s="371"/>
      <c r="N516" s="129"/>
      <c r="O516" s="238"/>
      <c r="P516" s="96"/>
      <c r="Q516" s="96"/>
      <c r="R516" s="96"/>
      <c r="S516" s="96"/>
      <c r="T516" s="96"/>
      <c r="U516" s="96"/>
      <c r="V516" s="96"/>
      <c r="W516" s="96"/>
      <c r="X516" s="1601"/>
    </row>
    <row r="517" spans="1:52" ht="16" thickBot="1" x14ac:dyDescent="0.25">
      <c r="B517" s="79" t="s">
        <v>3999</v>
      </c>
      <c r="F517" s="693"/>
      <c r="H517" s="693"/>
      <c r="I517" s="100"/>
      <c r="J517" s="100"/>
      <c r="K517" s="100"/>
      <c r="L517" s="316" t="s">
        <v>2678</v>
      </c>
      <c r="M517" s="431"/>
      <c r="N517" s="239"/>
      <c r="O517" s="240"/>
      <c r="P517" s="100"/>
      <c r="Q517" s="100"/>
      <c r="R517" s="100"/>
      <c r="S517" s="100"/>
      <c r="T517" s="100"/>
      <c r="U517" s="100"/>
      <c r="V517" s="100"/>
      <c r="W517" s="100"/>
      <c r="X517" s="1602"/>
    </row>
    <row r="518" spans="1:52" s="151" customFormat="1" ht="20" thickTop="1" x14ac:dyDescent="0.25">
      <c r="A518" s="20"/>
      <c r="B518" s="79" t="s">
        <v>4009</v>
      </c>
      <c r="C518" s="23"/>
      <c r="D518" s="23"/>
      <c r="E518" s="23"/>
      <c r="F518" s="691"/>
      <c r="G518" s="23"/>
      <c r="H518" s="691"/>
      <c r="I518" s="14" t="s">
        <v>4003</v>
      </c>
      <c r="J518" s="25"/>
      <c r="K518" s="84"/>
      <c r="L518" s="233"/>
      <c r="M518" s="339"/>
      <c r="N518" s="428"/>
      <c r="O518" s="419"/>
      <c r="P518" s="25"/>
      <c r="Q518" s="25"/>
      <c r="R518" s="25"/>
      <c r="S518" s="25"/>
      <c r="T518" s="25"/>
      <c r="U518" s="25"/>
      <c r="V518" s="25"/>
      <c r="W518" s="25"/>
      <c r="X518" s="25"/>
      <c r="Y518" s="704"/>
      <c r="Z518" s="66"/>
      <c r="AA518" s="707"/>
      <c r="AB518" s="66"/>
      <c r="AC518" s="66"/>
      <c r="AD518" s="66"/>
      <c r="AE518" s="66"/>
      <c r="AF518" s="66"/>
      <c r="AG518" s="66"/>
      <c r="AH518" s="66"/>
      <c r="AI518" s="66"/>
      <c r="AJ518" s="66"/>
      <c r="AK518" s="66"/>
      <c r="AL518" s="66"/>
      <c r="AM518" s="66"/>
      <c r="AN518" s="66"/>
      <c r="AO518" s="66"/>
      <c r="AP518" s="66"/>
      <c r="AQ518" s="66"/>
      <c r="AR518" s="66"/>
      <c r="AS518" s="66"/>
      <c r="AT518" s="66"/>
      <c r="AX518" s="66"/>
      <c r="AY518" s="66"/>
      <c r="AZ518" s="66"/>
    </row>
    <row r="519" spans="1:52" x14ac:dyDescent="0.2">
      <c r="B519" s="79" t="s">
        <v>4010</v>
      </c>
      <c r="C519" s="23"/>
      <c r="D519" s="23"/>
      <c r="E519" s="23"/>
      <c r="F519" s="691"/>
      <c r="G519" s="23"/>
      <c r="H519" s="691"/>
      <c r="I519" s="67" t="s">
        <v>4004</v>
      </c>
      <c r="J519" s="4"/>
      <c r="K519" s="85"/>
      <c r="L519" s="1631" t="s">
        <v>4005</v>
      </c>
      <c r="M519" s="1628" t="s">
        <v>571</v>
      </c>
      <c r="N519" s="4"/>
      <c r="O519" s="1669">
        <f ca="1">IFERROR(MATCH(W519,INDIRECT(U519),0),0)</f>
        <v>0</v>
      </c>
      <c r="P519" s="332" t="b">
        <v>1</v>
      </c>
      <c r="Q519" s="332" t="b">
        <v>1</v>
      </c>
      <c r="R519" s="126" t="b">
        <v>0</v>
      </c>
      <c r="S519" s="126" t="b">
        <v>1</v>
      </c>
      <c r="T519" s="126" t="b">
        <v>0</v>
      </c>
      <c r="U519" s="96" t="str">
        <f>SUBSTITUTE(SUBSTITUTE(SUBSTITUTE("dd"&amp;B519&amp;C519&amp;D519&amp;E519&amp;F519,".","_"),"(","_"),")","")</f>
        <v>dd612_1</v>
      </c>
      <c r="W519" s="12"/>
      <c r="X519" s="1600"/>
      <c r="AC519" s="155" t="b">
        <f>OR(AD519:AE519)</f>
        <v>0</v>
      </c>
      <c r="AD519" s="155" t="b">
        <v>0</v>
      </c>
      <c r="AE519" s="155" t="b">
        <f>AND(NOT(ISBLANK(W519)),LEN(X519)=0)</f>
        <v>0</v>
      </c>
      <c r="AL519" s="1352" t="str">
        <f>SUBSTITUTE(SUBSTITUTE(SUBSTITUTE("dpa"&amp;$B519&amp;$C519&amp;$D519&amp;$E519&amp;$F519,".","_"),"(","_"),")","")</f>
        <v>dpa612_1</v>
      </c>
      <c r="AM519" s="1352" t="str">
        <f>M519</f>
        <v>10 Max</v>
      </c>
      <c r="AN519" s="1352" t="str">
        <f>SUBSTITUTE(SUBSTITUTE(SUBSTITUTE("dpc"&amp;$B519&amp;$C519&amp;$D519&amp;$E519&amp;$F519,".","_"),"(","_"),")","")</f>
        <v>dpc612_1</v>
      </c>
      <c r="AO519" s="1352">
        <f ca="1">O519</f>
        <v>0</v>
      </c>
      <c r="AP519" s="1352" t="str">
        <f>SUBSTITUTE(SUBSTITUTE(SUBSTITUTE("dch"&amp;$B519&amp;$C519&amp;$D519&amp;$E519&amp;$F519,".","_"),"(","_"),")","")</f>
        <v>dch612_1</v>
      </c>
      <c r="AQ519" s="1352" t="str">
        <f>IF(LEN(W519)=0,"",W519)</f>
        <v/>
      </c>
      <c r="AR519" s="1352" t="str">
        <f>SUBSTITUTE(SUBSTITUTE(SUBSTITUTE("dnt"&amp;$B519&amp;$C519&amp;$D519&amp;$E519&amp;$F519,".","_"),"(","_"),")","")</f>
        <v>dnt612_1</v>
      </c>
      <c r="AS519" s="1352" t="str">
        <f>IF(LEN(X519)=0,"",X519)</f>
        <v/>
      </c>
    </row>
    <row r="520" spans="1:52" x14ac:dyDescent="0.2">
      <c r="B520" s="79" t="s">
        <v>4010</v>
      </c>
      <c r="C520" s="23"/>
      <c r="D520" s="23"/>
      <c r="E520" s="23"/>
      <c r="F520" s="691"/>
      <c r="G520" s="23"/>
      <c r="H520" s="691"/>
      <c r="I520" s="67"/>
      <c r="J520" s="4"/>
      <c r="K520" s="85"/>
      <c r="L520" s="1631"/>
      <c r="M520" s="1628"/>
      <c r="N520" s="4"/>
      <c r="O520" s="1669"/>
      <c r="P520" s="332"/>
      <c r="Q520" s="332"/>
      <c r="X520" s="1600"/>
      <c r="AZ520" s="151"/>
    </row>
    <row r="521" spans="1:52" x14ac:dyDescent="0.2">
      <c r="B521" s="79" t="s">
        <v>4010</v>
      </c>
      <c r="C521" s="23"/>
      <c r="D521" s="23"/>
      <c r="E521" s="23"/>
      <c r="F521" s="691"/>
      <c r="G521" s="23"/>
      <c r="H521" s="691"/>
      <c r="I521" s="67"/>
      <c r="J521" s="4"/>
      <c r="K521" s="85"/>
      <c r="L521" s="1631"/>
      <c r="M521" s="1628"/>
      <c r="N521" s="4"/>
      <c r="O521" s="1669"/>
      <c r="P521" s="332"/>
      <c r="Q521" s="332"/>
      <c r="X521" s="1600"/>
    </row>
    <row r="522" spans="1:52" x14ac:dyDescent="0.2">
      <c r="B522" s="79" t="s">
        <v>4010</v>
      </c>
      <c r="C522" s="23"/>
      <c r="D522" s="23"/>
      <c r="E522" s="23"/>
      <c r="F522" s="691"/>
      <c r="G522" s="23"/>
      <c r="H522" s="691"/>
      <c r="I522" s="67"/>
      <c r="J522" s="4"/>
      <c r="K522" s="85"/>
      <c r="L522" s="1631"/>
      <c r="M522" s="1628"/>
      <c r="N522" s="4"/>
      <c r="O522" s="1669"/>
      <c r="P522" s="332"/>
      <c r="Q522" s="332"/>
      <c r="X522" s="1600"/>
    </row>
    <row r="523" spans="1:52" x14ac:dyDescent="0.2">
      <c r="B523" s="79" t="s">
        <v>4010</v>
      </c>
      <c r="C523" s="23"/>
      <c r="D523" s="23"/>
      <c r="E523" s="23"/>
      <c r="F523" s="691"/>
      <c r="G523" s="23"/>
      <c r="H523" s="691"/>
      <c r="I523" s="67"/>
      <c r="J523" s="4"/>
      <c r="K523" s="85"/>
      <c r="L523" s="1631"/>
      <c r="M523" s="1628"/>
      <c r="N523" s="4"/>
      <c r="O523" s="1669"/>
      <c r="P523" s="332"/>
      <c r="Q523" s="332"/>
      <c r="X523" s="1600"/>
    </row>
    <row r="524" spans="1:52" x14ac:dyDescent="0.2">
      <c r="B524" s="79" t="s">
        <v>4010</v>
      </c>
      <c r="C524" s="23"/>
      <c r="D524" s="23"/>
      <c r="E524" s="23"/>
      <c r="F524" s="691"/>
      <c r="G524" s="23"/>
      <c r="H524" s="691"/>
      <c r="I524" s="67"/>
      <c r="J524" s="4"/>
      <c r="K524" s="85"/>
      <c r="L524" s="303" t="s">
        <v>592</v>
      </c>
      <c r="M524" s="1628"/>
      <c r="N524" s="4"/>
      <c r="O524" s="1669"/>
      <c r="P524" s="332"/>
      <c r="Q524" s="332"/>
      <c r="X524" s="1600"/>
    </row>
    <row r="525" spans="1:52" x14ac:dyDescent="0.2">
      <c r="B525" s="79" t="s">
        <v>4010</v>
      </c>
      <c r="C525" s="23"/>
      <c r="D525" s="23"/>
      <c r="E525" s="23"/>
      <c r="F525" s="691"/>
      <c r="G525" s="23"/>
      <c r="H525" s="691"/>
      <c r="I525" s="67"/>
      <c r="J525" s="4"/>
      <c r="K525" s="85"/>
      <c r="L525" s="1718" t="s">
        <v>2675</v>
      </c>
      <c r="M525" s="1628"/>
      <c r="N525" s="4"/>
      <c r="O525" s="1669"/>
      <c r="P525" s="332"/>
      <c r="Q525" s="332"/>
      <c r="R525" s="155"/>
      <c r="S525" s="155"/>
      <c r="T525" s="155"/>
      <c r="U525" s="155"/>
      <c r="V525" s="155"/>
      <c r="W525" s="155"/>
      <c r="X525" s="1600"/>
      <c r="Z525" s="155"/>
      <c r="AB525" s="155"/>
      <c r="AC525" s="155"/>
      <c r="AD525" s="155"/>
      <c r="AE525" s="155"/>
      <c r="AF525" s="155"/>
      <c r="AG525" s="155"/>
      <c r="AH525" s="155"/>
      <c r="AI525" s="155"/>
      <c r="AJ525" s="155"/>
      <c r="AK525" s="155"/>
      <c r="AT525" s="155"/>
    </row>
    <row r="526" spans="1:52" s="155" customFormat="1" ht="16" thickBot="1" x14ac:dyDescent="0.25">
      <c r="A526" s="20"/>
      <c r="B526" s="79" t="s">
        <v>4010</v>
      </c>
      <c r="C526" s="23"/>
      <c r="D526" s="23"/>
      <c r="E526" s="23"/>
      <c r="F526" s="691"/>
      <c r="G526" s="23"/>
      <c r="H526" s="691"/>
      <c r="I526" s="67"/>
      <c r="J526" s="4"/>
      <c r="K526" s="85"/>
      <c r="L526" s="1689"/>
      <c r="M526" s="1628"/>
      <c r="N526" s="4"/>
      <c r="O526" s="1669"/>
      <c r="P526" s="332"/>
      <c r="Q526" s="332"/>
      <c r="X526" s="1621"/>
      <c r="Y526" s="704"/>
      <c r="AA526" s="707"/>
      <c r="AL526" s="66"/>
      <c r="AM526" s="66"/>
      <c r="AN526" s="66"/>
      <c r="AO526" s="66"/>
      <c r="AP526" s="66"/>
      <c r="AQ526" s="66"/>
      <c r="AR526" s="66"/>
      <c r="AS526" s="66"/>
      <c r="AX526" s="66"/>
      <c r="AY526" s="66"/>
      <c r="AZ526" s="66"/>
    </row>
    <row r="527" spans="1:52" s="155" customFormat="1" ht="16" thickTop="1" x14ac:dyDescent="0.2">
      <c r="A527" s="20"/>
      <c r="B527" s="79" t="s">
        <v>4011</v>
      </c>
      <c r="C527" s="23"/>
      <c r="D527" s="23"/>
      <c r="E527" s="23"/>
      <c r="F527" s="691"/>
      <c r="G527" s="23"/>
      <c r="H527" s="691"/>
      <c r="I527" s="177" t="s">
        <v>4006</v>
      </c>
      <c r="J527" s="178"/>
      <c r="K527" s="179"/>
      <c r="L527" s="1683" t="s">
        <v>4013</v>
      </c>
      <c r="M527" s="1685" t="s">
        <v>449</v>
      </c>
      <c r="N527" s="178"/>
      <c r="O527" s="1682">
        <f>MIN(9,M530*S530*W530+M531*S531*W531+M533*S533*W533+M535*S535*W535+M537*S537*W537+M539*S539*W539+M541*S541*W541)</f>
        <v>0</v>
      </c>
      <c r="P527" s="106"/>
      <c r="Q527" s="106"/>
      <c r="R527" s="106"/>
      <c r="S527" s="106"/>
      <c r="T527" s="106"/>
      <c r="U527" s="106"/>
      <c r="V527" s="106"/>
      <c r="W527" s="106"/>
      <c r="X527" s="106"/>
      <c r="Y527" s="704"/>
      <c r="Z527" s="66"/>
      <c r="AA527" s="707"/>
      <c r="AB527" s="66"/>
      <c r="AC527" s="66"/>
      <c r="AD527" s="66"/>
      <c r="AE527" s="66"/>
      <c r="AF527" s="66"/>
      <c r="AG527" s="66"/>
      <c r="AH527" s="66"/>
      <c r="AI527" s="66"/>
      <c r="AJ527" s="66"/>
      <c r="AK527" s="66"/>
      <c r="AL527" s="1352" t="str">
        <f>SUBSTITUTE(SUBSTITUTE(SUBSTITUTE("dpa"&amp;$B527&amp;$C527&amp;$D527&amp;$E527&amp;$F527,".","_"),"(","_"),")","")</f>
        <v>dpa612_2</v>
      </c>
      <c r="AM527" s="1352" t="str">
        <f>M527</f>
        <v>9 Max</v>
      </c>
      <c r="AN527" s="1352" t="str">
        <f>SUBSTITUTE(SUBSTITUTE(SUBSTITUTE("dpc"&amp;$B527&amp;$C527&amp;$D527&amp;$E527&amp;$F527,".","_"),"(","_"),")","")</f>
        <v>dpc612_2</v>
      </c>
      <c r="AO527" s="1352">
        <f>O527</f>
        <v>0</v>
      </c>
      <c r="AP527" s="66"/>
      <c r="AQ527" s="66"/>
      <c r="AR527" s="66"/>
      <c r="AS527" s="66"/>
      <c r="AT527" s="66"/>
      <c r="AX527" s="66"/>
      <c r="AY527" s="66"/>
      <c r="AZ527" s="66"/>
    </row>
    <row r="528" spans="1:52" x14ac:dyDescent="0.2">
      <c r="B528" s="79" t="s">
        <v>4011</v>
      </c>
      <c r="C528" s="23"/>
      <c r="D528" s="23"/>
      <c r="E528" s="23"/>
      <c r="F528" s="691"/>
      <c r="G528" s="23"/>
      <c r="H528" s="691"/>
      <c r="I528" s="130"/>
      <c r="J528" s="129"/>
      <c r="K528" s="97"/>
      <c r="L528" s="1629"/>
      <c r="M528" s="1623"/>
      <c r="N528" s="129"/>
      <c r="O528" s="1619"/>
      <c r="P528" s="96"/>
      <c r="Q528" s="96"/>
      <c r="R528" s="96"/>
      <c r="S528" s="96"/>
      <c r="T528" s="96"/>
      <c r="U528" s="96"/>
      <c r="V528" s="96"/>
      <c r="W528" s="96"/>
      <c r="X528" s="96"/>
      <c r="AX528" s="155"/>
      <c r="AY528" s="155"/>
      <c r="AZ528" s="155"/>
    </row>
    <row r="529" spans="1:52" x14ac:dyDescent="0.2">
      <c r="B529" s="79" t="s">
        <v>4011</v>
      </c>
      <c r="C529" s="23"/>
      <c r="D529" s="23"/>
      <c r="E529" s="23"/>
      <c r="F529" s="691"/>
      <c r="G529" s="23"/>
      <c r="H529" s="691"/>
      <c r="I529" s="130"/>
      <c r="J529" s="129"/>
      <c r="K529" s="97"/>
      <c r="L529" s="1629"/>
      <c r="M529" s="1623"/>
      <c r="N529" s="129"/>
      <c r="O529" s="1619"/>
      <c r="P529" s="96"/>
      <c r="Q529" s="96"/>
      <c r="R529" s="96"/>
      <c r="S529" s="96"/>
      <c r="T529" s="96"/>
      <c r="U529" s="96"/>
      <c r="V529" s="96"/>
      <c r="W529" s="96"/>
      <c r="X529" s="96"/>
      <c r="AX529" s="155"/>
      <c r="AY529" s="155"/>
      <c r="AZ529" s="155"/>
    </row>
    <row r="530" spans="1:52" x14ac:dyDescent="0.2">
      <c r="B530" s="79" t="s">
        <v>4011</v>
      </c>
      <c r="C530" s="23" t="s">
        <v>254</v>
      </c>
      <c r="D530" s="23"/>
      <c r="E530" s="23"/>
      <c r="F530" s="691"/>
      <c r="G530" s="23"/>
      <c r="H530" s="691"/>
      <c r="I530" s="67"/>
      <c r="J530" s="207" t="s">
        <v>254</v>
      </c>
      <c r="K530" s="170"/>
      <c r="L530" s="296" t="s">
        <v>4014</v>
      </c>
      <c r="M530" s="373">
        <v>3</v>
      </c>
      <c r="N530" s="4"/>
      <c r="O530" s="138"/>
      <c r="P530" s="332" t="b">
        <v>1</v>
      </c>
      <c r="Q530" s="332" t="b">
        <v>1</v>
      </c>
      <c r="R530" s="126" t="b">
        <v>0</v>
      </c>
      <c r="S530" s="134" t="b">
        <v>1</v>
      </c>
      <c r="T530" s="155" t="b">
        <v>0</v>
      </c>
      <c r="W530" s="27"/>
      <c r="X530" s="156"/>
      <c r="AC530" s="132"/>
      <c r="AD530" s="132"/>
      <c r="AE530" s="132"/>
      <c r="AL530" s="1352" t="str">
        <f>SUBSTITUTE(SUBSTITUTE(SUBSTITUTE("dpa"&amp;$B530&amp;$C530&amp;$D530&amp;$E530&amp;$F530,".","_"),"(","_"),")","")</f>
        <v>dpa612_2_1</v>
      </c>
      <c r="AM530" s="1352">
        <f>M530</f>
        <v>3</v>
      </c>
      <c r="AP530" s="1352" t="str">
        <f>SUBSTITUTE(SUBSTITUTE(SUBSTITUTE("dch"&amp;$B530&amp;$C530&amp;$D530&amp;$E530&amp;$F530,".","_"),"(","_"),")","")</f>
        <v>dch612_2_1</v>
      </c>
      <c r="AQ530" s="1352" t="str">
        <f>IF(LEN(W530)=0,"",W530)</f>
        <v/>
      </c>
      <c r="AR530" s="1352" t="str">
        <f>SUBSTITUTE(SUBSTITUTE(SUBSTITUTE("dnt"&amp;$B530&amp;$C530&amp;$D530&amp;$E530&amp;$F530,".","_"),"(","_"),")","")</f>
        <v>dnt612_2_1</v>
      </c>
      <c r="AS530" s="1352" t="str">
        <f>IF(LEN(X530)=0,"",X530)</f>
        <v/>
      </c>
    </row>
    <row r="531" spans="1:52" x14ac:dyDescent="0.2">
      <c r="B531" s="79" t="s">
        <v>4011</v>
      </c>
      <c r="C531" s="23" t="s">
        <v>255</v>
      </c>
      <c r="D531" s="23"/>
      <c r="E531" s="23"/>
      <c r="F531" s="691"/>
      <c r="G531" s="23"/>
      <c r="H531" s="691"/>
      <c r="I531" s="67"/>
      <c r="J531" s="212" t="s">
        <v>255</v>
      </c>
      <c r="K531" s="194"/>
      <c r="L531" s="1633" t="s">
        <v>4015</v>
      </c>
      <c r="M531" s="1636">
        <v>3</v>
      </c>
      <c r="N531" s="4"/>
      <c r="O531" s="138"/>
      <c r="P531" s="332" t="b">
        <v>1</v>
      </c>
      <c r="Q531" s="332" t="b">
        <v>1</v>
      </c>
      <c r="R531" s="126" t="b">
        <v>0</v>
      </c>
      <c r="S531" s="134" t="b">
        <v>1</v>
      </c>
      <c r="T531" s="155" t="b">
        <v>0</v>
      </c>
      <c r="W531" s="27"/>
      <c r="X531" s="1621"/>
      <c r="AC531" s="132"/>
      <c r="AD531" s="132"/>
      <c r="AE531" s="132"/>
      <c r="AL531" s="1352" t="str">
        <f>SUBSTITUTE(SUBSTITUTE(SUBSTITUTE("dpa"&amp;$B531&amp;$C531&amp;$D531&amp;$E531&amp;$F531,".","_"),"(","_"),")","")</f>
        <v>dpa612_2_2</v>
      </c>
      <c r="AM531" s="1352">
        <f>M531</f>
        <v>3</v>
      </c>
      <c r="AP531" s="1352" t="str">
        <f>SUBSTITUTE(SUBSTITUTE(SUBSTITUTE("dch"&amp;$B531&amp;$C531&amp;$D531&amp;$E531&amp;$F531,".","_"),"(","_"),")","")</f>
        <v>dch612_2_2</v>
      </c>
      <c r="AQ531" s="1352" t="str">
        <f>IF(LEN(W531)=0,"",W531)</f>
        <v/>
      </c>
      <c r="AR531" s="1352" t="str">
        <f>SUBSTITUTE(SUBSTITUTE(SUBSTITUTE("dnt"&amp;$B531&amp;$C531&amp;$D531&amp;$E531&amp;$F531,".","_"),"(","_"),")","")</f>
        <v>dnt612_2_2</v>
      </c>
      <c r="AS531" s="1352" t="str">
        <f>IF(LEN(X531)=0,"",X531)</f>
        <v/>
      </c>
    </row>
    <row r="532" spans="1:52" s="823" customFormat="1" x14ac:dyDescent="0.2">
      <c r="A532" s="20"/>
      <c r="B532" s="79" t="s">
        <v>4011</v>
      </c>
      <c r="C532" s="23" t="s">
        <v>255</v>
      </c>
      <c r="D532" s="23"/>
      <c r="E532" s="23"/>
      <c r="F532" s="691"/>
      <c r="G532" s="23"/>
      <c r="H532" s="691"/>
      <c r="I532" s="67"/>
      <c r="J532" s="207"/>
      <c r="K532" s="170"/>
      <c r="L532" s="1639"/>
      <c r="M532" s="1624"/>
      <c r="N532" s="4"/>
      <c r="O532" s="829"/>
      <c r="W532"/>
      <c r="X532" s="1599"/>
      <c r="AL532" s="66"/>
      <c r="AM532" s="66"/>
      <c r="AN532" s="66"/>
      <c r="AO532" s="66"/>
      <c r="AP532" s="66"/>
      <c r="AQ532" s="66"/>
      <c r="AR532" s="66"/>
      <c r="AS532" s="66"/>
      <c r="AX532" s="66"/>
      <c r="AY532" s="66"/>
      <c r="AZ532" s="66"/>
    </row>
    <row r="533" spans="1:52" x14ac:dyDescent="0.2">
      <c r="B533" s="79" t="s">
        <v>4011</v>
      </c>
      <c r="C533" s="23" t="s">
        <v>256</v>
      </c>
      <c r="D533" s="23"/>
      <c r="E533" s="23"/>
      <c r="F533" s="691"/>
      <c r="G533" s="23"/>
      <c r="H533" s="691"/>
      <c r="I533" s="67"/>
      <c r="J533" s="212" t="s">
        <v>256</v>
      </c>
      <c r="K533" s="194"/>
      <c r="L533" s="1633" t="s">
        <v>4016</v>
      </c>
      <c r="M533" s="1636">
        <v>3</v>
      </c>
      <c r="N533" s="4"/>
      <c r="O533" s="138"/>
      <c r="P533" s="332" t="b">
        <v>1</v>
      </c>
      <c r="Q533" s="332" t="b">
        <v>1</v>
      </c>
      <c r="R533" s="126" t="b">
        <v>0</v>
      </c>
      <c r="S533" s="134" t="b">
        <v>1</v>
      </c>
      <c r="T533" s="155" t="b">
        <v>0</v>
      </c>
      <c r="W533" s="27"/>
      <c r="X533" s="1621"/>
      <c r="AC533" s="132"/>
      <c r="AD533" s="132"/>
      <c r="AE533" s="132"/>
      <c r="AL533" s="1352" t="str">
        <f>SUBSTITUTE(SUBSTITUTE(SUBSTITUTE("dpa"&amp;$B533&amp;$C533&amp;$D533&amp;$E533&amp;$F533,".","_"),"(","_"),")","")</f>
        <v>dpa612_2_3</v>
      </c>
      <c r="AM533" s="1352">
        <f>M533</f>
        <v>3</v>
      </c>
      <c r="AP533" s="1352" t="str">
        <f>SUBSTITUTE(SUBSTITUTE(SUBSTITUTE("dch"&amp;$B533&amp;$C533&amp;$D533&amp;$E533&amp;$F533,".","_"),"(","_"),")","")</f>
        <v>dch612_2_3</v>
      </c>
      <c r="AQ533" s="1352" t="str">
        <f>IF(LEN(W533)=0,"",W533)</f>
        <v/>
      </c>
      <c r="AR533" s="1352" t="str">
        <f>SUBSTITUTE(SUBSTITUTE(SUBSTITUTE("dnt"&amp;$B533&amp;$C533&amp;$D533&amp;$E533&amp;$F533,".","_"),"(","_"),")","")</f>
        <v>dnt612_2_3</v>
      </c>
      <c r="AS533" s="1352" t="str">
        <f>IF(LEN(X533)=0,"",X533)</f>
        <v/>
      </c>
    </row>
    <row r="534" spans="1:52" s="823" customFormat="1" x14ac:dyDescent="0.2">
      <c r="A534" s="20"/>
      <c r="B534" s="79" t="s">
        <v>4011</v>
      </c>
      <c r="C534" s="23" t="s">
        <v>256</v>
      </c>
      <c r="D534" s="23"/>
      <c r="E534" s="23"/>
      <c r="F534" s="691"/>
      <c r="G534" s="23"/>
      <c r="H534" s="691"/>
      <c r="I534" s="67"/>
      <c r="J534" s="207"/>
      <c r="K534" s="170"/>
      <c r="L534" s="1639"/>
      <c r="M534" s="1624"/>
      <c r="N534" s="4"/>
      <c r="O534" s="829"/>
      <c r="W534"/>
      <c r="X534" s="1599"/>
      <c r="AL534" s="66"/>
      <c r="AM534" s="66"/>
      <c r="AN534" s="66"/>
      <c r="AO534" s="66"/>
      <c r="AP534" s="66"/>
      <c r="AQ534" s="66"/>
      <c r="AR534" s="66"/>
      <c r="AS534" s="66"/>
      <c r="AX534" s="66"/>
      <c r="AY534" s="66"/>
    </row>
    <row r="535" spans="1:52" x14ac:dyDescent="0.2">
      <c r="B535" s="79" t="s">
        <v>4011</v>
      </c>
      <c r="C535" s="23" t="s">
        <v>259</v>
      </c>
      <c r="D535" s="23"/>
      <c r="E535" s="23"/>
      <c r="F535" s="691"/>
      <c r="G535" s="23"/>
      <c r="H535" s="691"/>
      <c r="I535" s="67"/>
      <c r="J535" s="212" t="s">
        <v>259</v>
      </c>
      <c r="K535" s="194"/>
      <c r="L535" s="1633" t="s">
        <v>4017</v>
      </c>
      <c r="M535" s="1636">
        <v>3</v>
      </c>
      <c r="N535" s="4"/>
      <c r="O535" s="138"/>
      <c r="P535" s="332" t="b">
        <v>1</v>
      </c>
      <c r="Q535" s="332" t="b">
        <v>1</v>
      </c>
      <c r="R535" s="126" t="b">
        <v>0</v>
      </c>
      <c r="S535" s="134" t="b">
        <v>1</v>
      </c>
      <c r="T535" s="155" t="b">
        <v>0</v>
      </c>
      <c r="W535" s="27"/>
      <c r="X535" s="1621"/>
      <c r="AC535" s="132"/>
      <c r="AD535" s="132"/>
      <c r="AE535" s="132"/>
      <c r="AL535" s="1352" t="str">
        <f>SUBSTITUTE(SUBSTITUTE(SUBSTITUTE("dpa"&amp;$B535&amp;$C535&amp;$D535&amp;$E535&amp;$F535,".","_"),"(","_"),")","")</f>
        <v>dpa612_2_4</v>
      </c>
      <c r="AM535" s="1352">
        <f>M535</f>
        <v>3</v>
      </c>
      <c r="AP535" s="1352" t="str">
        <f>SUBSTITUTE(SUBSTITUTE(SUBSTITUTE("dch"&amp;$B535&amp;$C535&amp;$D535&amp;$E535&amp;$F535,".","_"),"(","_"),")","")</f>
        <v>dch612_2_4</v>
      </c>
      <c r="AQ535" s="1352" t="str">
        <f>IF(LEN(W535)=0,"",W535)</f>
        <v/>
      </c>
      <c r="AR535" s="1352" t="str">
        <f>SUBSTITUTE(SUBSTITUTE(SUBSTITUTE("dnt"&amp;$B535&amp;$C535&amp;$D535&amp;$E535&amp;$F535,".","_"),"(","_"),")","")</f>
        <v>dnt612_2_4</v>
      </c>
      <c r="AS535" s="1352" t="str">
        <f>IF(LEN(X535)=0,"",X535)</f>
        <v/>
      </c>
      <c r="AX535" s="823"/>
      <c r="AY535" s="823"/>
    </row>
    <row r="536" spans="1:52" s="823" customFormat="1" x14ac:dyDescent="0.2">
      <c r="A536" s="20"/>
      <c r="B536" s="79" t="s">
        <v>4011</v>
      </c>
      <c r="C536" s="23" t="s">
        <v>259</v>
      </c>
      <c r="D536" s="23"/>
      <c r="E536" s="23"/>
      <c r="F536" s="691"/>
      <c r="G536" s="23"/>
      <c r="H536" s="691"/>
      <c r="I536" s="67"/>
      <c r="J536" s="207"/>
      <c r="K536" s="170"/>
      <c r="L536" s="1639"/>
      <c r="M536" s="1624"/>
      <c r="N536" s="4"/>
      <c r="O536" s="829"/>
      <c r="W536"/>
      <c r="X536" s="1599"/>
      <c r="AL536" s="66"/>
      <c r="AM536" s="66"/>
      <c r="AN536" s="66"/>
      <c r="AO536" s="66"/>
      <c r="AP536" s="66"/>
      <c r="AQ536" s="66"/>
      <c r="AR536" s="66"/>
      <c r="AS536" s="66"/>
      <c r="AX536" s="66"/>
      <c r="AY536" s="66"/>
    </row>
    <row r="537" spans="1:52" x14ac:dyDescent="0.2">
      <c r="B537" s="79" t="s">
        <v>4011</v>
      </c>
      <c r="C537" s="23" t="s">
        <v>263</v>
      </c>
      <c r="D537" s="23"/>
      <c r="E537" s="23"/>
      <c r="F537" s="691"/>
      <c r="G537" s="23"/>
      <c r="H537" s="691"/>
      <c r="I537" s="67"/>
      <c r="J537" s="212" t="s">
        <v>263</v>
      </c>
      <c r="K537" s="194"/>
      <c r="L537" s="1633" t="s">
        <v>4018</v>
      </c>
      <c r="M537" s="1636">
        <v>3</v>
      </c>
      <c r="N537" s="4"/>
      <c r="O537" s="138"/>
      <c r="P537" s="332" t="b">
        <v>1</v>
      </c>
      <c r="Q537" s="332" t="b">
        <v>1</v>
      </c>
      <c r="R537" s="126" t="b">
        <v>0</v>
      </c>
      <c r="S537" s="134" t="b">
        <v>1</v>
      </c>
      <c r="T537" s="155" t="b">
        <v>0</v>
      </c>
      <c r="W537" s="27"/>
      <c r="X537" s="1621"/>
      <c r="AC537" s="132"/>
      <c r="AD537" s="132"/>
      <c r="AE537" s="132"/>
      <c r="AL537" s="1352" t="str">
        <f>SUBSTITUTE(SUBSTITUTE(SUBSTITUTE("dpa"&amp;$B537&amp;$C537&amp;$D537&amp;$E537&amp;$F537,".","_"),"(","_"),")","")</f>
        <v>dpa612_2_5</v>
      </c>
      <c r="AM537" s="1352">
        <f>M537</f>
        <v>3</v>
      </c>
      <c r="AP537" s="1352" t="str">
        <f>SUBSTITUTE(SUBSTITUTE(SUBSTITUTE("dch"&amp;$B537&amp;$C537&amp;$D537&amp;$E537&amp;$F537,".","_"),"(","_"),")","")</f>
        <v>dch612_2_5</v>
      </c>
      <c r="AQ537" s="1352" t="str">
        <f>IF(LEN(W537)=0,"",W537)</f>
        <v/>
      </c>
      <c r="AR537" s="1352" t="str">
        <f>SUBSTITUTE(SUBSTITUTE(SUBSTITUTE("dnt"&amp;$B537&amp;$C537&amp;$D537&amp;$E537&amp;$F537,".","_"),"(","_"),")","")</f>
        <v>dnt612_2_5</v>
      </c>
      <c r="AS537" s="1352" t="str">
        <f>IF(LEN(X537)=0,"",X537)</f>
        <v/>
      </c>
      <c r="AX537" s="823"/>
      <c r="AY537" s="823"/>
    </row>
    <row r="538" spans="1:52" s="823" customFormat="1" x14ac:dyDescent="0.2">
      <c r="A538" s="20"/>
      <c r="B538" s="79" t="s">
        <v>4011</v>
      </c>
      <c r="C538" s="23" t="s">
        <v>263</v>
      </c>
      <c r="D538" s="23"/>
      <c r="E538" s="23"/>
      <c r="F538" s="691"/>
      <c r="G538" s="23"/>
      <c r="H538" s="691"/>
      <c r="I538" s="67"/>
      <c r="J538" s="207"/>
      <c r="K538" s="170"/>
      <c r="L538" s="1639"/>
      <c r="M538" s="1624"/>
      <c r="N538" s="4"/>
      <c r="O538" s="829"/>
      <c r="W538"/>
      <c r="X538" s="1599"/>
      <c r="AL538" s="66"/>
      <c r="AM538" s="66"/>
      <c r="AN538" s="66"/>
      <c r="AO538" s="66"/>
      <c r="AP538" s="66"/>
      <c r="AQ538" s="66"/>
      <c r="AR538" s="66"/>
      <c r="AS538" s="66"/>
      <c r="AX538" s="66"/>
      <c r="AY538" s="66"/>
    </row>
    <row r="539" spans="1:52" x14ac:dyDescent="0.2">
      <c r="B539" s="79" t="s">
        <v>4011</v>
      </c>
      <c r="C539" s="23" t="s">
        <v>264</v>
      </c>
      <c r="D539" s="23"/>
      <c r="E539" s="23"/>
      <c r="F539" s="691"/>
      <c r="G539" s="23"/>
      <c r="H539" s="691"/>
      <c r="I539" s="67"/>
      <c r="J539" s="212" t="s">
        <v>264</v>
      </c>
      <c r="K539" s="194"/>
      <c r="L539" s="1633" t="s">
        <v>4019</v>
      </c>
      <c r="M539" s="1636">
        <v>3</v>
      </c>
      <c r="N539" s="4"/>
      <c r="O539" s="138"/>
      <c r="P539" s="332" t="b">
        <v>1</v>
      </c>
      <c r="Q539" s="332" t="b">
        <v>1</v>
      </c>
      <c r="R539" s="126" t="b">
        <v>0</v>
      </c>
      <c r="S539" s="134" t="b">
        <v>1</v>
      </c>
      <c r="T539" s="155" t="b">
        <v>0</v>
      </c>
      <c r="W539" s="27"/>
      <c r="X539" s="1621"/>
      <c r="AC539" s="132"/>
      <c r="AD539" s="132"/>
      <c r="AE539" s="132"/>
      <c r="AL539" s="1352" t="str">
        <f>SUBSTITUTE(SUBSTITUTE(SUBSTITUTE("dpa"&amp;$B539&amp;$C539&amp;$D539&amp;$E539&amp;$F539,".","_"),"(","_"),")","")</f>
        <v>dpa612_2_6</v>
      </c>
      <c r="AM539" s="1352">
        <f>M539</f>
        <v>3</v>
      </c>
      <c r="AP539" s="1352" t="str">
        <f>SUBSTITUTE(SUBSTITUTE(SUBSTITUTE("dch"&amp;$B539&amp;$C539&amp;$D539&amp;$E539&amp;$F539,".","_"),"(","_"),")","")</f>
        <v>dch612_2_6</v>
      </c>
      <c r="AQ539" s="1352" t="str">
        <f>IF(LEN(W539)=0,"",W539)</f>
        <v/>
      </c>
      <c r="AR539" s="1352" t="str">
        <f>SUBSTITUTE(SUBSTITUTE(SUBSTITUTE("dnt"&amp;$B539&amp;$C539&amp;$D539&amp;$E539&amp;$F539,".","_"),"(","_"),")","")</f>
        <v>dnt612_2_6</v>
      </c>
      <c r="AS539" s="1352" t="str">
        <f>IF(LEN(X539)=0,"",X539)</f>
        <v/>
      </c>
      <c r="AX539" s="823"/>
      <c r="AY539" s="823"/>
    </row>
    <row r="540" spans="1:52" s="823" customFormat="1" x14ac:dyDescent="0.2">
      <c r="A540" s="20"/>
      <c r="B540" s="79" t="s">
        <v>4011</v>
      </c>
      <c r="C540" s="23" t="s">
        <v>264</v>
      </c>
      <c r="D540" s="23"/>
      <c r="E540" s="23"/>
      <c r="F540" s="691"/>
      <c r="G540" s="23"/>
      <c r="H540" s="691"/>
      <c r="I540" s="67"/>
      <c r="J540" s="180"/>
      <c r="K540" s="97"/>
      <c r="L540" s="1634"/>
      <c r="M540" s="1624"/>
      <c r="N540" s="4"/>
      <c r="O540" s="829"/>
      <c r="W540"/>
      <c r="X540" s="1599"/>
      <c r="AL540" s="66"/>
      <c r="AM540" s="66"/>
      <c r="AN540" s="66"/>
      <c r="AO540" s="66"/>
      <c r="AP540" s="66"/>
      <c r="AQ540" s="66"/>
      <c r="AR540" s="66"/>
      <c r="AS540" s="66"/>
      <c r="AX540" s="66"/>
      <c r="AY540" s="66"/>
    </row>
    <row r="541" spans="1:52" ht="15" customHeight="1" x14ac:dyDescent="0.2">
      <c r="B541" s="79" t="s">
        <v>4011</v>
      </c>
      <c r="C541" s="23" t="s">
        <v>356</v>
      </c>
      <c r="D541" s="23"/>
      <c r="E541" s="23"/>
      <c r="F541" s="691"/>
      <c r="G541" s="23"/>
      <c r="H541" s="691"/>
      <c r="I541" s="67"/>
      <c r="J541" s="212" t="s">
        <v>356</v>
      </c>
      <c r="K541" s="194"/>
      <c r="L541" s="1633" t="s">
        <v>4020</v>
      </c>
      <c r="M541" s="1636">
        <v>3</v>
      </c>
      <c r="N541" s="4"/>
      <c r="O541" s="138"/>
      <c r="P541" s="332" t="b">
        <v>1</v>
      </c>
      <c r="Q541" s="332" t="b">
        <v>1</v>
      </c>
      <c r="R541" s="126" t="b">
        <v>0</v>
      </c>
      <c r="S541" s="134" t="b">
        <v>1</v>
      </c>
      <c r="T541" s="155" t="b">
        <v>0</v>
      </c>
      <c r="W541" s="27"/>
      <c r="X541" s="1600"/>
      <c r="AC541" s="132"/>
      <c r="AD541" s="132"/>
      <c r="AE541" s="132"/>
      <c r="AL541" s="1352" t="str">
        <f>SUBSTITUTE(SUBSTITUTE(SUBSTITUTE("dpa"&amp;$B541&amp;$C541&amp;$D541&amp;$E541&amp;$F541,".","_"),"(","_"),")","")</f>
        <v>dpa612_2_7</v>
      </c>
      <c r="AM541" s="1352">
        <f>M541</f>
        <v>3</v>
      </c>
      <c r="AP541" s="1352" t="str">
        <f>SUBSTITUTE(SUBSTITUTE(SUBSTITUTE("dch"&amp;$B541&amp;$C541&amp;$D541&amp;$E541&amp;$F541,".","_"),"(","_"),")","")</f>
        <v>dch612_2_7</v>
      </c>
      <c r="AQ541" s="1352" t="str">
        <f>IF(LEN(W541)=0,"",W541)</f>
        <v/>
      </c>
      <c r="AR541" s="1352" t="str">
        <f>SUBSTITUTE(SUBSTITUTE(SUBSTITUTE("dnt"&amp;$B541&amp;$C541&amp;$D541&amp;$E541&amp;$F541,".","_"),"(","_"),")","")</f>
        <v>dnt612_2_7</v>
      </c>
      <c r="AS541" s="1352" t="str">
        <f>IF(LEN(X541)=0,"",X541)</f>
        <v/>
      </c>
      <c r="AX541" s="823"/>
      <c r="AY541" s="823"/>
    </row>
    <row r="542" spans="1:52" ht="16" thickBot="1" x14ac:dyDescent="0.25">
      <c r="B542" s="79" t="s">
        <v>4011</v>
      </c>
      <c r="C542" s="23" t="s">
        <v>356</v>
      </c>
      <c r="D542" s="23"/>
      <c r="E542" s="23"/>
      <c r="F542" s="691"/>
      <c r="G542" s="23"/>
      <c r="H542" s="691"/>
      <c r="I542" s="67"/>
      <c r="J542" s="190"/>
      <c r="K542" s="99"/>
      <c r="L542" s="1635"/>
      <c r="M542" s="1627"/>
      <c r="N542" s="4"/>
      <c r="O542" s="138"/>
      <c r="P542" s="332"/>
      <c r="Q542" s="332"/>
      <c r="X542" s="1621"/>
      <c r="AZ542" s="823"/>
    </row>
    <row r="543" spans="1:52" ht="16" thickTop="1" x14ac:dyDescent="0.2">
      <c r="B543" s="79" t="s">
        <v>4012</v>
      </c>
      <c r="C543" s="23"/>
      <c r="D543" s="23"/>
      <c r="E543" s="23"/>
      <c r="F543" s="691"/>
      <c r="G543" s="23"/>
      <c r="H543" s="691"/>
      <c r="I543" s="177" t="s">
        <v>4007</v>
      </c>
      <c r="J543" s="199"/>
      <c r="K543" s="179"/>
      <c r="L543" s="1683" t="s">
        <v>4008</v>
      </c>
      <c r="M543" s="1685" t="s">
        <v>465</v>
      </c>
      <c r="N543" s="178"/>
      <c r="O543" s="1682">
        <f ca="1">MIN(12,M545*S545*W545+M550*S550*W550+M554*S554*W554+M556*S556*W556+M558*S558*W558+M559*S559*W559+M560*S560*W560+M564*S564*W564+IFERROR(INDEX({1,2,3,4,5},MATCH(W566,INDIRECT(U566),0)),0)*S566)</f>
        <v>0</v>
      </c>
      <c r="P543" s="106"/>
      <c r="Q543" s="106"/>
      <c r="R543" s="106"/>
      <c r="S543" s="106"/>
      <c r="T543" s="106"/>
      <c r="U543" s="106"/>
      <c r="V543" s="106"/>
      <c r="W543" s="106"/>
      <c r="X543" s="106"/>
      <c r="AL543" s="1352" t="str">
        <f>SUBSTITUTE(SUBSTITUTE(SUBSTITUTE("dpa"&amp;$B543&amp;$C543&amp;$D543&amp;$E543&amp;$F543,".","_"),"(","_"),")","")</f>
        <v>dpa612_3</v>
      </c>
      <c r="AM543" s="1352" t="str">
        <f>M543</f>
        <v>12 Max</v>
      </c>
      <c r="AN543" s="1352" t="str">
        <f>SUBSTITUTE(SUBSTITUTE(SUBSTITUTE("dpc"&amp;$B543&amp;$C543&amp;$D543&amp;$E543&amp;$F543,".","_"),"(","_"),")","")</f>
        <v>dpc612_3</v>
      </c>
      <c r="AO543" s="1352">
        <f ca="1">O543</f>
        <v>0</v>
      </c>
      <c r="AX543" s="823"/>
      <c r="AY543" s="823"/>
    </row>
    <row r="544" spans="1:52" x14ac:dyDescent="0.2">
      <c r="B544" s="79" t="s">
        <v>4012</v>
      </c>
      <c r="C544" s="23"/>
      <c r="D544" s="23"/>
      <c r="E544" s="23"/>
      <c r="F544" s="691"/>
      <c r="G544" s="23"/>
      <c r="H544" s="691"/>
      <c r="I544" s="130"/>
      <c r="J544" s="129"/>
      <c r="K544" s="97"/>
      <c r="L544" s="1629"/>
      <c r="M544" s="1623"/>
      <c r="N544" s="129"/>
      <c r="O544" s="1619"/>
      <c r="P544" s="96"/>
      <c r="Q544" s="96"/>
      <c r="R544" s="96"/>
      <c r="S544" s="96"/>
      <c r="T544" s="96"/>
      <c r="U544" s="96"/>
      <c r="V544" s="96"/>
      <c r="W544" s="96"/>
      <c r="X544" s="96"/>
    </row>
    <row r="545" spans="1:52" x14ac:dyDescent="0.2">
      <c r="B545" s="79" t="s">
        <v>4012</v>
      </c>
      <c r="C545" s="23" t="s">
        <v>254</v>
      </c>
      <c r="D545" s="23"/>
      <c r="E545" s="23"/>
      <c r="F545" s="691"/>
      <c r="G545" s="23"/>
      <c r="H545" s="691"/>
      <c r="I545" s="67"/>
      <c r="J545" s="180" t="s">
        <v>254</v>
      </c>
      <c r="K545" s="97"/>
      <c r="L545" s="1609" t="s">
        <v>593</v>
      </c>
      <c r="M545" s="1623">
        <v>3</v>
      </c>
      <c r="N545" s="4"/>
      <c r="O545" s="138"/>
      <c r="P545" s="332" t="b">
        <v>1</v>
      </c>
      <c r="Q545" s="332" t="b">
        <v>1</v>
      </c>
      <c r="R545" s="126" t="b">
        <v>0</v>
      </c>
      <c r="S545" s="126" t="b">
        <v>1</v>
      </c>
      <c r="T545" s="126" t="b">
        <v>0</v>
      </c>
      <c r="W545" s="27"/>
      <c r="X545" s="1600"/>
      <c r="AL545" s="1352" t="str">
        <f>SUBSTITUTE(SUBSTITUTE(SUBSTITUTE("dpa"&amp;$B545&amp;$C545&amp;$D545&amp;$E545&amp;$F545,".","_"),"(","_"),")","")</f>
        <v>dpa612_3_1</v>
      </c>
      <c r="AM545" s="1352">
        <f>M545</f>
        <v>3</v>
      </c>
      <c r="AP545" s="1352" t="str">
        <f>SUBSTITUTE(SUBSTITUTE(SUBSTITUTE("dch"&amp;$B545&amp;$C545&amp;$D545&amp;$E545&amp;$F545,".","_"),"(","_"),")","")</f>
        <v>dch612_3_1</v>
      </c>
      <c r="AQ545" s="1352" t="str">
        <f>IF(LEN(W545)=0,"",W545)</f>
        <v/>
      </c>
      <c r="AR545" s="1352" t="str">
        <f>SUBSTITUTE(SUBSTITUTE(SUBSTITUTE("dnt"&amp;$B545&amp;$C545&amp;$D545&amp;$E545&amp;$F545,".","_"),"(","_"),")","")</f>
        <v>dnt612_3_1</v>
      </c>
      <c r="AS545" s="1352" t="str">
        <f>IF(LEN(X545)=0,"",X545)</f>
        <v/>
      </c>
    </row>
    <row r="546" spans="1:52" x14ac:dyDescent="0.2">
      <c r="B546" s="79" t="s">
        <v>4012</v>
      </c>
      <c r="C546" s="23" t="s">
        <v>254</v>
      </c>
      <c r="D546" s="23"/>
      <c r="E546" s="23"/>
      <c r="F546" s="691"/>
      <c r="G546" s="23"/>
      <c r="H546" s="691"/>
      <c r="I546" s="67"/>
      <c r="J546" s="129"/>
      <c r="K546" s="97"/>
      <c r="L546" s="1609"/>
      <c r="M546" s="1623"/>
      <c r="N546" s="4"/>
      <c r="O546" s="138"/>
      <c r="P546" s="332"/>
      <c r="Q546" s="332"/>
      <c r="X546" s="1600"/>
    </row>
    <row r="547" spans="1:52" x14ac:dyDescent="0.2">
      <c r="B547" s="79" t="s">
        <v>4012</v>
      </c>
      <c r="C547" s="23" t="s">
        <v>254</v>
      </c>
      <c r="D547" s="23"/>
      <c r="E547" s="23"/>
      <c r="F547" s="691"/>
      <c r="G547" s="23"/>
      <c r="H547" s="691"/>
      <c r="I547" s="67"/>
      <c r="J547" s="129"/>
      <c r="K547" s="97"/>
      <c r="L547" s="1609"/>
      <c r="M547" s="1623"/>
      <c r="N547" s="4"/>
      <c r="O547" s="138"/>
      <c r="P547" s="332"/>
      <c r="Q547" s="332"/>
      <c r="X547" s="1600"/>
    </row>
    <row r="548" spans="1:52" x14ac:dyDescent="0.2">
      <c r="B548" s="79" t="s">
        <v>4012</v>
      </c>
      <c r="C548" s="23" t="s">
        <v>254</v>
      </c>
      <c r="D548" s="23"/>
      <c r="E548" s="23"/>
      <c r="F548" s="691"/>
      <c r="G548" s="23"/>
      <c r="H548" s="691"/>
      <c r="I548" s="67"/>
      <c r="J548" s="129"/>
      <c r="K548" s="97"/>
      <c r="L548" s="1609"/>
      <c r="M548" s="1623"/>
      <c r="N548" s="4"/>
      <c r="O548" s="138"/>
      <c r="P548" s="332"/>
      <c r="Q548" s="332"/>
      <c r="R548" s="155"/>
      <c r="S548" s="155"/>
      <c r="T548" s="155"/>
      <c r="U548" s="155"/>
      <c r="V548" s="155"/>
      <c r="W548" s="155"/>
      <c r="X548" s="1600"/>
      <c r="Z548" s="155"/>
      <c r="AB548" s="155"/>
      <c r="AC548" s="155"/>
      <c r="AD548" s="155"/>
      <c r="AE548" s="155"/>
      <c r="AF548" s="155"/>
      <c r="AG548" s="155"/>
      <c r="AH548" s="155"/>
      <c r="AI548" s="155"/>
      <c r="AJ548" s="155"/>
      <c r="AK548" s="155"/>
      <c r="AT548" s="155"/>
    </row>
    <row r="549" spans="1:52" s="155" customFormat="1" x14ac:dyDescent="0.2">
      <c r="A549" s="20"/>
      <c r="B549" s="79" t="s">
        <v>4012</v>
      </c>
      <c r="C549" s="23" t="s">
        <v>254</v>
      </c>
      <c r="D549" s="23"/>
      <c r="E549" s="23"/>
      <c r="F549" s="691"/>
      <c r="G549" s="23"/>
      <c r="H549" s="691"/>
      <c r="I549" s="67"/>
      <c r="J549" s="213"/>
      <c r="K549" s="170"/>
      <c r="L549" s="1612"/>
      <c r="M549" s="1624"/>
      <c r="N549" s="4"/>
      <c r="O549" s="138"/>
      <c r="P549" s="332"/>
      <c r="Q549" s="332"/>
      <c r="R549" s="66"/>
      <c r="S549" s="66"/>
      <c r="T549" s="66"/>
      <c r="U549" s="66"/>
      <c r="V549" s="66"/>
      <c r="W549" s="66"/>
      <c r="X549" s="1600"/>
      <c r="Y549" s="704"/>
      <c r="Z549" s="66"/>
      <c r="AA549" s="707"/>
      <c r="AB549" s="66"/>
      <c r="AC549" s="66"/>
      <c r="AD549" s="66"/>
      <c r="AE549" s="66"/>
      <c r="AF549" s="66"/>
      <c r="AG549" s="66"/>
      <c r="AH549" s="66"/>
      <c r="AI549" s="66"/>
      <c r="AJ549" s="66"/>
      <c r="AK549" s="66"/>
      <c r="AL549" s="66"/>
      <c r="AM549" s="66"/>
      <c r="AN549" s="66"/>
      <c r="AO549" s="66"/>
      <c r="AP549" s="66"/>
      <c r="AQ549" s="66"/>
      <c r="AR549" s="66"/>
      <c r="AS549" s="66"/>
      <c r="AT549" s="66"/>
      <c r="AX549" s="66"/>
      <c r="AY549" s="66"/>
      <c r="AZ549" s="66"/>
    </row>
    <row r="550" spans="1:52" x14ac:dyDescent="0.2">
      <c r="B550" s="79" t="s">
        <v>4012</v>
      </c>
      <c r="C550" s="23" t="s">
        <v>255</v>
      </c>
      <c r="D550" s="23"/>
      <c r="E550" s="23"/>
      <c r="F550" s="691"/>
      <c r="G550" s="23"/>
      <c r="H550" s="691"/>
      <c r="I550" s="67"/>
      <c r="J550" s="212" t="s">
        <v>255</v>
      </c>
      <c r="K550" s="194"/>
      <c r="L550" s="1613" t="s">
        <v>594</v>
      </c>
      <c r="M550" s="1636">
        <v>3</v>
      </c>
      <c r="N550" s="4"/>
      <c r="O550" s="138"/>
      <c r="P550" s="332" t="b">
        <v>1</v>
      </c>
      <c r="Q550" s="332" t="b">
        <v>1</v>
      </c>
      <c r="R550" s="126" t="b">
        <v>0</v>
      </c>
      <c r="S550" s="126" t="b">
        <f>IF(W545=TRUE,TRUE,FALSE)</f>
        <v>0</v>
      </c>
      <c r="T550" s="96" t="b">
        <f>AND(NOT(S550),W550=TRUE)</f>
        <v>0</v>
      </c>
      <c r="W550" s="27"/>
      <c r="X550" s="1600"/>
      <c r="AC550" s="155" t="b">
        <f>OR(AD550:AE550)</f>
        <v>0</v>
      </c>
      <c r="AD550" s="155" t="b">
        <f>T550</f>
        <v>0</v>
      </c>
      <c r="AL550" s="1352" t="str">
        <f>SUBSTITUTE(SUBSTITUTE(SUBSTITUTE("dpa"&amp;$B550&amp;$C550&amp;$D550&amp;$E550&amp;$F550,".","_"),"(","_"),")","")</f>
        <v>dpa612_3_2</v>
      </c>
      <c r="AM550" s="1352">
        <f>M550</f>
        <v>3</v>
      </c>
      <c r="AP550" s="1352" t="str">
        <f>SUBSTITUTE(SUBSTITUTE(SUBSTITUTE("dch"&amp;$B550&amp;$C550&amp;$D550&amp;$E550&amp;$F550,".","_"),"(","_"),")","")</f>
        <v>dch612_3_2</v>
      </c>
      <c r="AQ550" s="1352" t="str">
        <f>IF(LEN(W550)=0,"",W550)</f>
        <v/>
      </c>
      <c r="AR550" s="1352" t="str">
        <f>SUBSTITUTE(SUBSTITUTE(SUBSTITUTE("dnt"&amp;$B550&amp;$C550&amp;$D550&amp;$E550&amp;$F550,".","_"),"(","_"),")","")</f>
        <v>dnt612_3_2</v>
      </c>
      <c r="AS550" s="1352" t="str">
        <f>IF(LEN(X550)=0,"",X550)</f>
        <v/>
      </c>
    </row>
    <row r="551" spans="1:52" x14ac:dyDescent="0.2">
      <c r="B551" s="79" t="s">
        <v>4012</v>
      </c>
      <c r="C551" s="23" t="s">
        <v>255</v>
      </c>
      <c r="D551" s="23"/>
      <c r="E551" s="23"/>
      <c r="F551" s="691"/>
      <c r="G551" s="23"/>
      <c r="H551" s="691"/>
      <c r="I551" s="67"/>
      <c r="J551" s="129"/>
      <c r="K551" s="97"/>
      <c r="L551" s="1609"/>
      <c r="M551" s="1623"/>
      <c r="N551" s="4"/>
      <c r="O551" s="138"/>
      <c r="P551" s="332"/>
      <c r="Q551" s="332"/>
      <c r="X551" s="1600"/>
      <c r="AX551" s="155"/>
      <c r="AY551" s="155"/>
      <c r="AZ551" s="155"/>
    </row>
    <row r="552" spans="1:52" x14ac:dyDescent="0.2">
      <c r="B552" s="79" t="s">
        <v>4012</v>
      </c>
      <c r="C552" s="23" t="s">
        <v>255</v>
      </c>
      <c r="D552" s="23"/>
      <c r="E552" s="23"/>
      <c r="F552" s="691"/>
      <c r="G552" s="23"/>
      <c r="H552" s="691"/>
      <c r="I552" s="67"/>
      <c r="J552" s="129"/>
      <c r="K552" s="97"/>
      <c r="L552" s="1609"/>
      <c r="M552" s="1623"/>
      <c r="N552" s="4"/>
      <c r="O552" s="138"/>
      <c r="P552" s="332"/>
      <c r="Q552" s="332"/>
      <c r="X552" s="1600"/>
    </row>
    <row r="553" spans="1:52" x14ac:dyDescent="0.2">
      <c r="B553" s="79" t="s">
        <v>4012</v>
      </c>
      <c r="C553" s="23" t="s">
        <v>255</v>
      </c>
      <c r="D553" s="23"/>
      <c r="E553" s="23"/>
      <c r="F553" s="691"/>
      <c r="G553" s="23"/>
      <c r="H553" s="691"/>
      <c r="I553" s="67"/>
      <c r="J553" s="213"/>
      <c r="K553" s="170"/>
      <c r="L553" s="1612"/>
      <c r="M553" s="1624"/>
      <c r="N553" s="4"/>
      <c r="O553" s="138"/>
      <c r="P553" s="332"/>
      <c r="Q553" s="332"/>
      <c r="X553" s="1600"/>
    </row>
    <row r="554" spans="1:52" x14ac:dyDescent="0.2">
      <c r="B554" s="79" t="s">
        <v>4012</v>
      </c>
      <c r="C554" s="23" t="s">
        <v>256</v>
      </c>
      <c r="D554" s="23"/>
      <c r="E554" s="23"/>
      <c r="F554" s="691"/>
      <c r="G554" s="23"/>
      <c r="H554" s="691"/>
      <c r="I554" s="67"/>
      <c r="J554" s="212" t="s">
        <v>256</v>
      </c>
      <c r="K554" s="194"/>
      <c r="L554" s="1613" t="s">
        <v>595</v>
      </c>
      <c r="M554" s="1636">
        <v>3</v>
      </c>
      <c r="N554" s="4"/>
      <c r="O554" s="138"/>
      <c r="P554" s="332" t="b">
        <v>1</v>
      </c>
      <c r="Q554" s="332" t="b">
        <v>1</v>
      </c>
      <c r="R554" s="126" t="b">
        <v>0</v>
      </c>
      <c r="S554" s="155" t="b">
        <f>IF(W545=TRUE,TRUE,FALSE)</f>
        <v>0</v>
      </c>
      <c r="T554" s="96" t="b">
        <f>AND(NOT(S554),W554=TRUE)</f>
        <v>0</v>
      </c>
      <c r="W554" s="27"/>
      <c r="X554" s="1600"/>
      <c r="AC554" s="155" t="b">
        <f>OR(AD554:AE554)</f>
        <v>0</v>
      </c>
      <c r="AD554" s="155" t="b">
        <f>T554</f>
        <v>0</v>
      </c>
      <c r="AL554" s="1352" t="str">
        <f>SUBSTITUTE(SUBSTITUTE(SUBSTITUTE("dpa"&amp;$B554&amp;$C554&amp;$D554&amp;$E554&amp;$F554,".","_"),"(","_"),")","")</f>
        <v>dpa612_3_3</v>
      </c>
      <c r="AM554" s="1352">
        <f>M554</f>
        <v>3</v>
      </c>
      <c r="AP554" s="1352" t="str">
        <f>SUBSTITUTE(SUBSTITUTE(SUBSTITUTE("dch"&amp;$B554&amp;$C554&amp;$D554&amp;$E554&amp;$F554,".","_"),"(","_"),")","")</f>
        <v>dch612_3_3</v>
      </c>
      <c r="AQ554" s="1352" t="str">
        <f>IF(LEN(W554)=0,"",W554)</f>
        <v/>
      </c>
      <c r="AR554" s="1352" t="str">
        <f>SUBSTITUTE(SUBSTITUTE(SUBSTITUTE("dnt"&amp;$B554&amp;$C554&amp;$D554&amp;$E554&amp;$F554,".","_"),"(","_"),")","")</f>
        <v>dnt612_3_3</v>
      </c>
      <c r="AS554" s="1352" t="str">
        <f>IF(LEN(X554)=0,"",X554)</f>
        <v/>
      </c>
    </row>
    <row r="555" spans="1:52" x14ac:dyDescent="0.2">
      <c r="B555" s="79" t="s">
        <v>4012</v>
      </c>
      <c r="C555" s="23" t="s">
        <v>256</v>
      </c>
      <c r="D555" s="23"/>
      <c r="E555" s="23"/>
      <c r="F555" s="691"/>
      <c r="G555" s="23"/>
      <c r="H555" s="691"/>
      <c r="I555" s="67"/>
      <c r="J555" s="213"/>
      <c r="K555" s="170"/>
      <c r="L555" s="1612"/>
      <c r="M555" s="1624"/>
      <c r="N555" s="4"/>
      <c r="O555" s="138"/>
      <c r="P555" s="332"/>
      <c r="Q555" s="332"/>
      <c r="X555" s="1600"/>
    </row>
    <row r="556" spans="1:52" x14ac:dyDescent="0.2">
      <c r="B556" s="79" t="s">
        <v>4012</v>
      </c>
      <c r="C556" s="23" t="s">
        <v>259</v>
      </c>
      <c r="D556" s="23"/>
      <c r="E556" s="23"/>
      <c r="F556" s="691"/>
      <c r="G556" s="23"/>
      <c r="H556" s="691"/>
      <c r="I556" s="67"/>
      <c r="J556" s="212" t="s">
        <v>259</v>
      </c>
      <c r="K556" s="194"/>
      <c r="L556" s="1613" t="s">
        <v>596</v>
      </c>
      <c r="M556" s="1636">
        <v>1</v>
      </c>
      <c r="N556" s="4"/>
      <c r="O556" s="138"/>
      <c r="P556" s="332" t="b">
        <v>1</v>
      </c>
      <c r="Q556" s="332" t="b">
        <v>0</v>
      </c>
      <c r="R556" s="126" t="b">
        <v>0</v>
      </c>
      <c r="S556" s="126" t="b">
        <v>1</v>
      </c>
      <c r="T556" s="126" t="b">
        <v>0</v>
      </c>
      <c r="W556" s="27"/>
      <c r="X556" s="1600"/>
      <c r="AL556" s="1352" t="str">
        <f>SUBSTITUTE(SUBSTITUTE(SUBSTITUTE("dpa"&amp;$B556&amp;$C556&amp;$D556&amp;$E556&amp;$F556,".","_"),"(","_"),")","")</f>
        <v>dpa612_3_4</v>
      </c>
      <c r="AM556" s="1352">
        <f>M556</f>
        <v>1</v>
      </c>
      <c r="AP556" s="1352" t="str">
        <f>SUBSTITUTE(SUBSTITUTE(SUBSTITUTE("dch"&amp;$B556&amp;$C556&amp;$D556&amp;$E556&amp;$F556,".","_"),"(","_"),")","")</f>
        <v>dch612_3_4</v>
      </c>
      <c r="AQ556" s="1352" t="str">
        <f>IF(LEN(W556)=0,"",W556)</f>
        <v/>
      </c>
      <c r="AR556" s="1352" t="str">
        <f>SUBSTITUTE(SUBSTITUTE(SUBSTITUTE("dnt"&amp;$B556&amp;$C556&amp;$D556&amp;$E556&amp;$F556,".","_"),"(","_"),")","")</f>
        <v>dnt612_3_4</v>
      </c>
      <c r="AS556" s="1352" t="str">
        <f>IF(LEN(X556)=0,"",X556)</f>
        <v/>
      </c>
    </row>
    <row r="557" spans="1:52" x14ac:dyDescent="0.2">
      <c r="B557" s="79" t="s">
        <v>4012</v>
      </c>
      <c r="C557" s="23" t="s">
        <v>259</v>
      </c>
      <c r="D557" s="23"/>
      <c r="E557" s="23"/>
      <c r="F557" s="691"/>
      <c r="G557" s="23"/>
      <c r="H557" s="691"/>
      <c r="I557" s="67"/>
      <c r="J557" s="213"/>
      <c r="K557" s="170"/>
      <c r="L557" s="1612"/>
      <c r="M557" s="1624"/>
      <c r="N557" s="4"/>
      <c r="O557" s="138"/>
      <c r="P557" s="332"/>
      <c r="Q557" s="332"/>
      <c r="X557" s="1600"/>
    </row>
    <row r="558" spans="1:52" x14ac:dyDescent="0.2">
      <c r="B558" s="79" t="s">
        <v>4012</v>
      </c>
      <c r="C558" s="23" t="s">
        <v>263</v>
      </c>
      <c r="D558" s="23"/>
      <c r="E558" s="23"/>
      <c r="F558" s="691"/>
      <c r="G558" s="23"/>
      <c r="H558" s="691"/>
      <c r="I558" s="67"/>
      <c r="J558" s="209" t="s">
        <v>263</v>
      </c>
      <c r="K558" s="210"/>
      <c r="L558" s="311" t="s">
        <v>597</v>
      </c>
      <c r="M558" s="379">
        <v>1</v>
      </c>
      <c r="N558" s="4"/>
      <c r="O558" s="138"/>
      <c r="P558" s="332" t="b">
        <v>1</v>
      </c>
      <c r="Q558" s="332" t="b">
        <v>1</v>
      </c>
      <c r="R558" s="126" t="b">
        <v>0</v>
      </c>
      <c r="S558" s="126" t="b">
        <v>1</v>
      </c>
      <c r="T558" s="126" t="b">
        <v>0</v>
      </c>
      <c r="W558" s="27"/>
      <c r="X558" s="156"/>
      <c r="AL558" s="1352" t="str">
        <f>SUBSTITUTE(SUBSTITUTE(SUBSTITUTE("dpa"&amp;$B558&amp;$C558&amp;$D558&amp;$E558&amp;$F558,".","_"),"(","_"),")","")</f>
        <v>dpa612_3_5</v>
      </c>
      <c r="AM558" s="1352">
        <f>M558</f>
        <v>1</v>
      </c>
      <c r="AP558" s="1352" t="str">
        <f>SUBSTITUTE(SUBSTITUTE(SUBSTITUTE("dch"&amp;$B558&amp;$C558&amp;$D558&amp;$E558&amp;$F558,".","_"),"(","_"),")","")</f>
        <v>dch612_3_5</v>
      </c>
      <c r="AQ558" s="1352" t="str">
        <f>IF(LEN(W558)=0,"",W558)</f>
        <v/>
      </c>
      <c r="AR558" s="1352" t="str">
        <f>SUBSTITUTE(SUBSTITUTE(SUBSTITUTE("dnt"&amp;$B558&amp;$C558&amp;$D558&amp;$E558&amp;$F558,".","_"),"(","_"),")","")</f>
        <v>dnt612_3_5</v>
      </c>
      <c r="AS558" s="1352" t="str">
        <f>IF(LEN(X558)=0,"",X558)</f>
        <v/>
      </c>
    </row>
    <row r="559" spans="1:52" x14ac:dyDescent="0.2">
      <c r="B559" s="79" t="s">
        <v>4012</v>
      </c>
      <c r="C559" s="23" t="s">
        <v>264</v>
      </c>
      <c r="D559" s="23"/>
      <c r="E559" s="23"/>
      <c r="F559" s="691"/>
      <c r="G559" s="23"/>
      <c r="H559" s="691"/>
      <c r="I559" s="67"/>
      <c r="J559" s="209" t="s">
        <v>264</v>
      </c>
      <c r="K559" s="210"/>
      <c r="L559" s="311" t="s">
        <v>4021</v>
      </c>
      <c r="M559" s="379">
        <v>1</v>
      </c>
      <c r="N559" s="4"/>
      <c r="O559" s="138"/>
      <c r="P559" s="332" t="b">
        <v>1</v>
      </c>
      <c r="Q559" s="332" t="b">
        <v>1</v>
      </c>
      <c r="R559" s="126" t="b">
        <v>0</v>
      </c>
      <c r="S559" s="126" t="b">
        <v>1</v>
      </c>
      <c r="T559" s="126" t="b">
        <v>0</v>
      </c>
      <c r="W559" s="27"/>
      <c r="X559" s="156"/>
      <c r="AL559" s="1352" t="str">
        <f>SUBSTITUTE(SUBSTITUTE(SUBSTITUTE("dpa"&amp;$B559&amp;$C559&amp;$D559&amp;$E559&amp;$F559,".","_"),"(","_"),")","")</f>
        <v>dpa612_3_6</v>
      </c>
      <c r="AM559" s="1352">
        <f>M559</f>
        <v>1</v>
      </c>
      <c r="AP559" s="1352" t="str">
        <f>SUBSTITUTE(SUBSTITUTE(SUBSTITUTE("dch"&amp;$B559&amp;$C559&amp;$D559&amp;$E559&amp;$F559,".","_"),"(","_"),")","")</f>
        <v>dch612_3_6</v>
      </c>
      <c r="AQ559" s="1352" t="str">
        <f>IF(LEN(W559)=0,"",W559)</f>
        <v/>
      </c>
      <c r="AR559" s="1352" t="str">
        <f>SUBSTITUTE(SUBSTITUTE(SUBSTITUTE("dnt"&amp;$B559&amp;$C559&amp;$D559&amp;$E559&amp;$F559,".","_"),"(","_"),")","")</f>
        <v>dnt612_3_6</v>
      </c>
      <c r="AS559" s="1352" t="str">
        <f>IF(LEN(X559)=0,"",X559)</f>
        <v/>
      </c>
    </row>
    <row r="560" spans="1:52" x14ac:dyDescent="0.2">
      <c r="B560" s="79" t="s">
        <v>4012</v>
      </c>
      <c r="C560" s="23" t="s">
        <v>356</v>
      </c>
      <c r="D560" s="23"/>
      <c r="E560" s="23"/>
      <c r="F560" s="691"/>
      <c r="G560" s="23"/>
      <c r="H560" s="691"/>
      <c r="I560" s="67"/>
      <c r="J560" s="212" t="s">
        <v>356</v>
      </c>
      <c r="K560" s="194"/>
      <c r="L560" s="1613" t="s">
        <v>599</v>
      </c>
      <c r="M560" s="1636">
        <v>1</v>
      </c>
      <c r="N560" s="4"/>
      <c r="O560" s="138"/>
      <c r="P560" s="332" t="b">
        <v>1</v>
      </c>
      <c r="Q560" s="332" t="b">
        <v>1</v>
      </c>
      <c r="R560" s="126" t="b">
        <v>0</v>
      </c>
      <c r="S560" s="126" t="b">
        <v>1</v>
      </c>
      <c r="T560" s="126" t="b">
        <v>0</v>
      </c>
      <c r="W560" s="27"/>
      <c r="X560" s="1600"/>
      <c r="AL560" s="1352" t="str">
        <f>SUBSTITUTE(SUBSTITUTE(SUBSTITUTE("dpa"&amp;$B560&amp;$C560&amp;$D560&amp;$E560&amp;$F560,".","_"),"(","_"),")","")</f>
        <v>dpa612_3_7</v>
      </c>
      <c r="AM560" s="1352">
        <f>M560</f>
        <v>1</v>
      </c>
      <c r="AP560" s="1352" t="str">
        <f>SUBSTITUTE(SUBSTITUTE(SUBSTITUTE("dch"&amp;$B560&amp;$C560&amp;$D560&amp;$E560&amp;$F560,".","_"),"(","_"),")","")</f>
        <v>dch612_3_7</v>
      </c>
      <c r="AQ560" s="1352" t="str">
        <f>IF(LEN(W560)=0,"",W560)</f>
        <v/>
      </c>
      <c r="AR560" s="1352" t="str">
        <f>SUBSTITUTE(SUBSTITUTE(SUBSTITUTE("dnt"&amp;$B560&amp;$C560&amp;$D560&amp;$E560&amp;$F560,".","_"),"(","_"),")","")</f>
        <v>dnt612_3_7</v>
      </c>
      <c r="AS560" s="1352" t="str">
        <f>IF(LEN(X560)=0,"",X560)</f>
        <v/>
      </c>
    </row>
    <row r="561" spans="1:52" x14ac:dyDescent="0.2">
      <c r="B561" s="79" t="s">
        <v>4012</v>
      </c>
      <c r="C561" s="23" t="s">
        <v>356</v>
      </c>
      <c r="D561" s="23"/>
      <c r="E561" s="23"/>
      <c r="F561" s="691"/>
      <c r="G561" s="23"/>
      <c r="H561" s="691"/>
      <c r="I561" s="67"/>
      <c r="J561" s="129"/>
      <c r="K561" s="97"/>
      <c r="L561" s="1609"/>
      <c r="M561" s="1623"/>
      <c r="N561" s="4"/>
      <c r="O561" s="138"/>
      <c r="P561" s="332"/>
      <c r="Q561" s="332"/>
      <c r="X561" s="1600"/>
    </row>
    <row r="562" spans="1:52" x14ac:dyDescent="0.2">
      <c r="B562" s="79" t="s">
        <v>4012</v>
      </c>
      <c r="C562" s="23" t="s">
        <v>356</v>
      </c>
      <c r="D562" s="23"/>
      <c r="E562" s="23"/>
      <c r="F562" s="691"/>
      <c r="G562" s="23"/>
      <c r="H562" s="691"/>
      <c r="I562" s="67"/>
      <c r="J562" s="129"/>
      <c r="K562" s="97"/>
      <c r="L562" s="1609"/>
      <c r="M562" s="1623"/>
      <c r="N562" s="4"/>
      <c r="O562" s="138"/>
      <c r="P562" s="332"/>
      <c r="Q562" s="332"/>
      <c r="X562" s="1600"/>
    </row>
    <row r="563" spans="1:52" x14ac:dyDescent="0.2">
      <c r="B563" s="79" t="s">
        <v>4012</v>
      </c>
      <c r="C563" s="23" t="s">
        <v>356</v>
      </c>
      <c r="D563" s="23"/>
      <c r="E563" s="23"/>
      <c r="F563" s="691"/>
      <c r="G563" s="23"/>
      <c r="H563" s="691"/>
      <c r="I563" s="67"/>
      <c r="J563" s="213"/>
      <c r="K563" s="170"/>
      <c r="L563" s="1612"/>
      <c r="M563" s="1624"/>
      <c r="N563" s="4"/>
      <c r="O563" s="138"/>
      <c r="P563" s="332"/>
      <c r="Q563" s="332"/>
      <c r="X563" s="1600"/>
    </row>
    <row r="564" spans="1:52" x14ac:dyDescent="0.2">
      <c r="B564" s="79" t="s">
        <v>4012</v>
      </c>
      <c r="C564" s="23" t="s">
        <v>389</v>
      </c>
      <c r="D564" s="23"/>
      <c r="E564" s="23"/>
      <c r="F564" s="691"/>
      <c r="G564" s="23"/>
      <c r="H564" s="691"/>
      <c r="I564" s="67"/>
      <c r="J564" s="212" t="s">
        <v>389</v>
      </c>
      <c r="K564" s="194"/>
      <c r="L564" s="1613" t="s">
        <v>600</v>
      </c>
      <c r="M564" s="1636">
        <v>1</v>
      </c>
      <c r="N564" s="4"/>
      <c r="O564" s="138"/>
      <c r="P564" s="332" t="b">
        <v>1</v>
      </c>
      <c r="Q564" s="332" t="b">
        <v>1</v>
      </c>
      <c r="R564" s="126" t="b">
        <v>0</v>
      </c>
      <c r="S564" s="126" t="b">
        <v>1</v>
      </c>
      <c r="T564" s="126" t="b">
        <v>0</v>
      </c>
      <c r="W564" s="27"/>
      <c r="X564" s="1600"/>
      <c r="AL564" s="1352" t="str">
        <f>SUBSTITUTE(SUBSTITUTE(SUBSTITUTE("dpa"&amp;$B564&amp;$C564&amp;$D564&amp;$E564&amp;$F564,".","_"),"(","_"),")","")</f>
        <v>dpa612_3_8</v>
      </c>
      <c r="AM564" s="1352">
        <f>M564</f>
        <v>1</v>
      </c>
      <c r="AP564" s="1352" t="str">
        <f>SUBSTITUTE(SUBSTITUTE(SUBSTITUTE("dch"&amp;$B564&amp;$C564&amp;$D564&amp;$E564&amp;$F564,".","_"),"(","_"),")","")</f>
        <v>dch612_3_8</v>
      </c>
      <c r="AQ564" s="1352" t="str">
        <f>IF(LEN(W564)=0,"",W564)</f>
        <v/>
      </c>
      <c r="AR564" s="1352" t="str">
        <f>SUBSTITUTE(SUBSTITUTE(SUBSTITUTE("dnt"&amp;$B564&amp;$C564&amp;$D564&amp;$E564&amp;$F564,".","_"),"(","_"),")","")</f>
        <v>dnt612_3_8</v>
      </c>
      <c r="AS564" s="1352" t="str">
        <f>IF(LEN(X564)=0,"",X564)</f>
        <v/>
      </c>
    </row>
    <row r="565" spans="1:52" x14ac:dyDescent="0.2">
      <c r="B565" s="79" t="s">
        <v>4012</v>
      </c>
      <c r="C565" s="23" t="s">
        <v>389</v>
      </c>
      <c r="D565" s="23"/>
      <c r="E565" s="23"/>
      <c r="F565" s="691"/>
      <c r="G565" s="23"/>
      <c r="H565" s="691"/>
      <c r="I565" s="67"/>
      <c r="J565" s="213"/>
      <c r="K565" s="170"/>
      <c r="L565" s="1612"/>
      <c r="M565" s="1624"/>
      <c r="N565" s="4"/>
      <c r="O565" s="138"/>
      <c r="P565" s="332"/>
      <c r="Q565" s="332"/>
      <c r="X565" s="1600"/>
    </row>
    <row r="566" spans="1:52" x14ac:dyDescent="0.2">
      <c r="B566" s="79" t="s">
        <v>4012</v>
      </c>
      <c r="C566" s="23" t="s">
        <v>391</v>
      </c>
      <c r="D566" s="23"/>
      <c r="E566" s="23"/>
      <c r="F566" s="691"/>
      <c r="G566" s="23"/>
      <c r="H566" s="691"/>
      <c r="I566" s="67"/>
      <c r="J566" s="29" t="s">
        <v>391</v>
      </c>
      <c r="K566" s="85"/>
      <c r="L566" s="1611" t="s">
        <v>4022</v>
      </c>
      <c r="M566" s="1715" t="s">
        <v>4043</v>
      </c>
      <c r="N566" s="4"/>
      <c r="O566" s="138"/>
      <c r="P566" s="332" t="b">
        <v>1</v>
      </c>
      <c r="Q566" s="332" t="b">
        <v>1</v>
      </c>
      <c r="R566" s="126" t="b">
        <v>0</v>
      </c>
      <c r="S566" s="126" t="b">
        <v>1</v>
      </c>
      <c r="T566" s="126" t="b">
        <v>0</v>
      </c>
      <c r="U566" s="96" t="str">
        <f>SUBSTITUTE(SUBSTITUTE(SUBSTITUTE("dd"&amp;B566&amp;C566&amp;D566&amp;E566&amp;F566,".","_"),"(","_"),")","")</f>
        <v>dd612_3_9</v>
      </c>
      <c r="W566" s="12"/>
      <c r="X566" s="1601"/>
      <c r="AC566" s="823" t="b">
        <f>OR(AD566:AE566)</f>
        <v>0</v>
      </c>
      <c r="AD566" s="823" t="b">
        <f>T566</f>
        <v>0</v>
      </c>
      <c r="AE566" s="1" t="b">
        <f>AND(LEN(W566)&gt;0,NOT(LEN(X566)&gt;0))</f>
        <v>0</v>
      </c>
      <c r="AL566" s="1352" t="str">
        <f>SUBSTITUTE(SUBSTITUTE(SUBSTITUTE("dpa"&amp;$B566&amp;$C566&amp;$D566&amp;$E566&amp;$F566,".","_"),"(","_"),")","")</f>
        <v>dpa612_3_9</v>
      </c>
      <c r="AM566" s="1352" t="str">
        <f>M566</f>
        <v>1 per system
[5 max]</v>
      </c>
      <c r="AP566" s="1352" t="str">
        <f>SUBSTITUTE(SUBSTITUTE(SUBSTITUTE("dch"&amp;$B566&amp;$C566&amp;$D566&amp;$E566&amp;$F566,".","_"),"(","_"),")","")</f>
        <v>dch612_3_9</v>
      </c>
      <c r="AQ566" s="1352" t="str">
        <f>IF(LEN(W566)=0,"",W566)</f>
        <v/>
      </c>
      <c r="AR566" s="1352" t="str">
        <f>SUBSTITUTE(SUBSTITUTE(SUBSTITUTE("dnt"&amp;$B566&amp;$C566&amp;$D566&amp;$E566&amp;$F566,".","_"),"(","_"),")","")</f>
        <v>dnt612_3_9</v>
      </c>
      <c r="AS566" s="1352" t="str">
        <f>IF(LEN(X566)=0,"",X566)</f>
        <v/>
      </c>
    </row>
    <row r="567" spans="1:52" s="823" customFormat="1" x14ac:dyDescent="0.2">
      <c r="A567" s="20"/>
      <c r="B567" s="79" t="s">
        <v>4012</v>
      </c>
      <c r="C567" s="23" t="s">
        <v>391</v>
      </c>
      <c r="D567" s="23"/>
      <c r="E567" s="23"/>
      <c r="F567" s="691"/>
      <c r="G567" s="23"/>
      <c r="H567" s="691"/>
      <c r="I567" s="67"/>
      <c r="J567" s="29"/>
      <c r="K567" s="85"/>
      <c r="L567" s="1611"/>
      <c r="M567" s="1715"/>
      <c r="N567" s="4"/>
      <c r="O567" s="829"/>
      <c r="W567"/>
      <c r="X567" s="1601"/>
      <c r="AL567" s="66"/>
      <c r="AM567" s="66"/>
      <c r="AN567" s="66"/>
      <c r="AO567" s="66"/>
      <c r="AP567" s="66"/>
      <c r="AQ567" s="66"/>
      <c r="AR567" s="66"/>
      <c r="AS567" s="66"/>
      <c r="AX567" s="66"/>
      <c r="AY567" s="66"/>
      <c r="AZ567" s="66"/>
    </row>
    <row r="568" spans="1:52" x14ac:dyDescent="0.2">
      <c r="B568" s="79" t="s">
        <v>4012</v>
      </c>
      <c r="C568" s="23" t="s">
        <v>391</v>
      </c>
      <c r="D568" s="23"/>
      <c r="E568" s="23"/>
      <c r="F568" s="691"/>
      <c r="G568" s="23"/>
      <c r="H568" s="691"/>
      <c r="I568" s="67"/>
      <c r="J568" s="4"/>
      <c r="K568" s="85"/>
      <c r="L568" s="1611"/>
      <c r="M568" s="1715"/>
      <c r="N568" s="4"/>
      <c r="O568" s="138"/>
      <c r="P568" s="1249"/>
      <c r="Q568" s="1249"/>
      <c r="R568" s="1249"/>
      <c r="S568" s="1249"/>
      <c r="T568" s="1249"/>
      <c r="U568" s="1249"/>
      <c r="W568" s="114"/>
      <c r="X568" s="1621"/>
    </row>
    <row r="569" spans="1:52" s="1248" customFormat="1" ht="19" x14ac:dyDescent="0.25">
      <c r="A569" s="20"/>
      <c r="B569" s="79" t="s">
        <v>5087</v>
      </c>
      <c r="C569" s="23"/>
      <c r="D569" s="23"/>
      <c r="E569" s="23"/>
      <c r="F569" s="691"/>
      <c r="G569" s="23"/>
      <c r="H569" s="691"/>
      <c r="I569" s="1260" t="s">
        <v>5086</v>
      </c>
      <c r="J569" s="1261"/>
      <c r="K569" s="1262"/>
      <c r="L569" s="1263"/>
      <c r="M569" s="1264"/>
      <c r="N569" s="1265"/>
      <c r="O569" s="1266"/>
      <c r="P569" s="1261"/>
      <c r="Q569" s="1261"/>
      <c r="R569" s="1261"/>
      <c r="S569" s="1261"/>
      <c r="T569" s="1261"/>
      <c r="U569" s="1261"/>
      <c r="V569" s="1261"/>
      <c r="W569" s="1261"/>
      <c r="X569" s="1261"/>
      <c r="AL569" s="66"/>
      <c r="AM569" s="66"/>
      <c r="AN569" s="66"/>
      <c r="AO569" s="66"/>
      <c r="AP569" s="66"/>
      <c r="AQ569" s="66"/>
      <c r="AR569" s="66"/>
      <c r="AS569" s="66"/>
    </row>
    <row r="570" spans="1:52" s="823" customFormat="1" ht="15.75" customHeight="1" x14ac:dyDescent="0.2">
      <c r="A570" s="20"/>
      <c r="B570" s="79" t="s">
        <v>4030</v>
      </c>
      <c r="C570" s="23"/>
      <c r="D570" s="23"/>
      <c r="E570" s="23"/>
      <c r="F570" s="691"/>
      <c r="G570" s="23"/>
      <c r="H570" s="691"/>
      <c r="I570" s="130" t="s">
        <v>4028</v>
      </c>
      <c r="J570" s="129"/>
      <c r="K570" s="97"/>
      <c r="L570" s="1629" t="s">
        <v>4029</v>
      </c>
      <c r="M570" s="1623"/>
      <c r="N570" s="129"/>
      <c r="O570" s="1619">
        <f ca="1">IFERROR(INDEX({2,3,5,10,12,15},MATCH(W570,INDIRECT(U570),0)),0)</f>
        <v>0</v>
      </c>
      <c r="P570" s="823" t="b">
        <v>1</v>
      </c>
      <c r="Q570" s="823" t="b">
        <v>1</v>
      </c>
      <c r="R570" s="823" t="b">
        <v>0</v>
      </c>
      <c r="S570" s="823" t="b">
        <v>1</v>
      </c>
      <c r="T570" s="823" t="b">
        <v>0</v>
      </c>
      <c r="U570" s="96" t="str">
        <f>SUBSTITUTE(SUBSTITUTE(SUBSTITUTE("dd"&amp;B570&amp;C570&amp;D570&amp;E570&amp;F570,".","_"),"(","_"),")","")</f>
        <v>dd613_1</v>
      </c>
      <c r="V570" s="1249"/>
      <c r="W570" s="269"/>
      <c r="X570" s="1599"/>
      <c r="AL570" s="66"/>
      <c r="AM570" s="66"/>
      <c r="AN570" s="1352" t="str">
        <f>SUBSTITUTE(SUBSTITUTE(SUBSTITUTE("dpc"&amp;$B570&amp;$C570&amp;$D570&amp;$E570&amp;$F570,".","_"),"(","_"),")","")</f>
        <v>dpc613_1</v>
      </c>
      <c r="AO570" s="1352">
        <f ca="1">O570</f>
        <v>0</v>
      </c>
      <c r="AP570" s="1352" t="str">
        <f>SUBSTITUTE(SUBSTITUTE(SUBSTITUTE("dch"&amp;$B570&amp;$C570&amp;$D570&amp;$E570&amp;$F570,".","_"),"(","_"),")","")</f>
        <v>dch613_1</v>
      </c>
      <c r="AQ570" s="1352" t="str">
        <f>IF(LEN(W570)=0,"",W570)</f>
        <v/>
      </c>
      <c r="AR570" s="1352" t="str">
        <f>SUBSTITUTE(SUBSTITUTE(SUBSTITUTE("dnt"&amp;$B570&amp;$C570&amp;$D570&amp;$E570&amp;$F570,".","_"),"(","_"),")","")</f>
        <v>dnt613_1</v>
      </c>
      <c r="AS570" s="1352" t="str">
        <f>IF(LEN(X570)=0,"",X570)</f>
        <v/>
      </c>
      <c r="AX570" s="66"/>
      <c r="AY570" s="66"/>
    </row>
    <row r="571" spans="1:52" s="823" customFormat="1" x14ac:dyDescent="0.2">
      <c r="A571" s="20"/>
      <c r="B571" s="79" t="s">
        <v>4030</v>
      </c>
      <c r="C571" s="23"/>
      <c r="D571" s="23"/>
      <c r="E571" s="23"/>
      <c r="F571" s="691"/>
      <c r="G571" s="23"/>
      <c r="H571" s="691"/>
      <c r="I571" s="130"/>
      <c r="J571" s="129"/>
      <c r="K571" s="97"/>
      <c r="L571" s="1629"/>
      <c r="M571" s="1623"/>
      <c r="N571" s="129"/>
      <c r="O571" s="1619"/>
      <c r="P571" s="96"/>
      <c r="Q571" s="96"/>
      <c r="R571" s="96"/>
      <c r="S571" s="96"/>
      <c r="T571" s="96"/>
      <c r="U571" s="96"/>
      <c r="V571" s="96"/>
      <c r="W571" s="96"/>
      <c r="X571" s="1600"/>
      <c r="AL571" s="66"/>
      <c r="AM571" s="66"/>
      <c r="AN571" s="66"/>
      <c r="AO571" s="66"/>
      <c r="AP571" s="66"/>
      <c r="AQ571" s="66"/>
      <c r="AR571" s="66"/>
      <c r="AS571" s="66"/>
      <c r="AZ571" s="66"/>
    </row>
    <row r="572" spans="1:52" s="823" customFormat="1" x14ac:dyDescent="0.2">
      <c r="A572" s="20"/>
      <c r="B572" s="79" t="s">
        <v>4030</v>
      </c>
      <c r="C572" s="23"/>
      <c r="D572" s="23"/>
      <c r="E572" s="23"/>
      <c r="F572" s="691"/>
      <c r="G572" s="23"/>
      <c r="H572" s="691"/>
      <c r="I572" s="130"/>
      <c r="J572" s="129"/>
      <c r="K572" s="97"/>
      <c r="L572" s="1629"/>
      <c r="M572" s="1623"/>
      <c r="N572" s="129"/>
      <c r="O572" s="1619"/>
      <c r="P572" s="96"/>
      <c r="Q572" s="96"/>
      <c r="R572" s="96"/>
      <c r="S572" s="96"/>
      <c r="T572" s="96"/>
      <c r="U572" s="96"/>
      <c r="V572" s="96"/>
      <c r="W572" s="96"/>
      <c r="X572" s="1600"/>
      <c r="AL572" s="66"/>
      <c r="AM572" s="66"/>
      <c r="AN572" s="66"/>
      <c r="AO572" s="66"/>
      <c r="AP572" s="66"/>
      <c r="AQ572" s="66"/>
      <c r="AR572" s="66"/>
      <c r="AS572" s="66"/>
      <c r="AX572" s="66"/>
      <c r="AY572" s="66"/>
    </row>
    <row r="573" spans="1:52" s="823" customFormat="1" x14ac:dyDescent="0.2">
      <c r="A573" s="20"/>
      <c r="B573" s="79" t="s">
        <v>4030</v>
      </c>
      <c r="C573" s="23"/>
      <c r="D573" s="23"/>
      <c r="E573" s="23"/>
      <c r="F573" s="691"/>
      <c r="G573" s="23"/>
      <c r="H573" s="691"/>
      <c r="I573" s="67"/>
      <c r="J573" s="4"/>
      <c r="K573" s="85"/>
      <c r="L573" s="1629"/>
      <c r="M573" s="836"/>
      <c r="N573" s="4"/>
      <c r="O573" s="1619"/>
      <c r="X573" s="1600"/>
      <c r="AL573" s="66"/>
      <c r="AM573" s="66"/>
      <c r="AN573" s="66"/>
      <c r="AO573" s="66"/>
      <c r="AP573" s="66"/>
      <c r="AQ573" s="66"/>
      <c r="AR573" s="66"/>
      <c r="AS573" s="66"/>
    </row>
    <row r="574" spans="1:52" s="823" customFormat="1" x14ac:dyDescent="0.2">
      <c r="A574" s="20"/>
      <c r="B574" s="79" t="s">
        <v>4030</v>
      </c>
      <c r="C574" s="23"/>
      <c r="D574" s="23"/>
      <c r="E574" s="23"/>
      <c r="F574" s="691"/>
      <c r="G574" s="23"/>
      <c r="H574" s="691"/>
      <c r="I574" s="67"/>
      <c r="J574" s="4"/>
      <c r="K574" s="85"/>
      <c r="L574" s="1629"/>
      <c r="M574" s="836"/>
      <c r="N574" s="4"/>
      <c r="O574" s="1619"/>
      <c r="X574" s="1600"/>
      <c r="AL574" s="66"/>
      <c r="AM574" s="66"/>
      <c r="AN574" s="66"/>
      <c r="AO574" s="66"/>
      <c r="AP574" s="66"/>
      <c r="AQ574" s="66"/>
      <c r="AR574" s="66"/>
      <c r="AS574" s="66"/>
    </row>
    <row r="575" spans="1:52" s="823" customFormat="1" x14ac:dyDescent="0.2">
      <c r="A575" s="20"/>
      <c r="B575" s="79" t="s">
        <v>4030</v>
      </c>
      <c r="C575" s="23"/>
      <c r="D575" s="23" t="s">
        <v>121</v>
      </c>
      <c r="E575" s="23"/>
      <c r="F575" s="691"/>
      <c r="G575" s="23"/>
      <c r="H575" s="691"/>
      <c r="I575" s="589"/>
      <c r="J575" s="858"/>
      <c r="K575" s="93" t="s">
        <v>121</v>
      </c>
      <c r="L575" s="1687" t="s">
        <v>4037</v>
      </c>
      <c r="M575" s="1623">
        <v>2</v>
      </c>
      <c r="N575" s="4"/>
      <c r="O575" s="829"/>
      <c r="X575" s="1600"/>
      <c r="AL575" s="1352" t="str">
        <f>SUBSTITUTE(SUBSTITUTE(SUBSTITUTE("dpa"&amp;$B575&amp;$C575&amp;$D575&amp;$E575&amp;$F575,".","_"),"(","_"),")","")</f>
        <v>dpa613_1_a</v>
      </c>
      <c r="AM575" s="1352">
        <f>M575</f>
        <v>2</v>
      </c>
      <c r="AN575" s="66"/>
      <c r="AO575" s="66"/>
      <c r="AP575" s="66"/>
      <c r="AQ575" s="66"/>
      <c r="AR575" s="66"/>
      <c r="AS575" s="66"/>
    </row>
    <row r="576" spans="1:52" s="823" customFormat="1" x14ac:dyDescent="0.2">
      <c r="A576" s="20"/>
      <c r="B576" s="79" t="s">
        <v>4030</v>
      </c>
      <c r="C576" s="23"/>
      <c r="D576" s="23" t="s">
        <v>121</v>
      </c>
      <c r="E576" s="23"/>
      <c r="F576" s="691"/>
      <c r="G576" s="23"/>
      <c r="H576" s="691"/>
      <c r="I576" s="600"/>
      <c r="J576" s="858"/>
      <c r="K576" s="173"/>
      <c r="L576" s="1688"/>
      <c r="M576" s="1624"/>
      <c r="N576" s="4"/>
      <c r="O576" s="829"/>
      <c r="X576" s="1600"/>
      <c r="AL576" s="66"/>
      <c r="AM576" s="66"/>
      <c r="AN576" s="66"/>
      <c r="AO576" s="66"/>
      <c r="AP576" s="66"/>
      <c r="AQ576" s="66"/>
      <c r="AR576" s="66"/>
      <c r="AS576" s="66"/>
    </row>
    <row r="577" spans="1:52" s="823" customFormat="1" x14ac:dyDescent="0.2">
      <c r="A577" s="20"/>
      <c r="B577" s="79" t="s">
        <v>4030</v>
      </c>
      <c r="C577" s="23"/>
      <c r="D577" s="23" t="s">
        <v>122</v>
      </c>
      <c r="E577" s="23"/>
      <c r="F577" s="691"/>
      <c r="G577" s="23"/>
      <c r="H577" s="691"/>
      <c r="I577" s="589"/>
      <c r="J577" s="858"/>
      <c r="K577" s="860" t="s">
        <v>122</v>
      </c>
      <c r="L577" s="1686" t="s">
        <v>4038</v>
      </c>
      <c r="M577" s="1636">
        <v>3</v>
      </c>
      <c r="N577" s="4"/>
      <c r="O577" s="829"/>
      <c r="X577" s="1600"/>
      <c r="AL577" s="1352" t="str">
        <f>SUBSTITUTE(SUBSTITUTE(SUBSTITUTE("dpa"&amp;$B577&amp;$C577&amp;$D577&amp;$E577&amp;$F577,".","_"),"(","_"),")","")</f>
        <v>dpa613_1_b</v>
      </c>
      <c r="AM577" s="1352">
        <f>M577</f>
        <v>3</v>
      </c>
      <c r="AN577" s="66"/>
      <c r="AO577" s="66"/>
      <c r="AP577" s="66"/>
      <c r="AQ577" s="66"/>
      <c r="AR577" s="66"/>
      <c r="AS577" s="66"/>
    </row>
    <row r="578" spans="1:52" s="823" customFormat="1" x14ac:dyDescent="0.2">
      <c r="A578" s="20"/>
      <c r="B578" s="79" t="s">
        <v>4030</v>
      </c>
      <c r="C578" s="23"/>
      <c r="D578" s="23" t="s">
        <v>122</v>
      </c>
      <c r="E578" s="23"/>
      <c r="F578" s="691"/>
      <c r="G578" s="23"/>
      <c r="H578" s="691"/>
      <c r="I578" s="600"/>
      <c r="J578" s="858"/>
      <c r="K578" s="991"/>
      <c r="L578" s="1687"/>
      <c r="M578" s="1623"/>
      <c r="N578" s="4"/>
      <c r="O578" s="829"/>
      <c r="X578" s="1600"/>
      <c r="AL578" s="66"/>
      <c r="AM578" s="66"/>
      <c r="AN578" s="66"/>
      <c r="AO578" s="66"/>
      <c r="AP578" s="66"/>
      <c r="AQ578" s="66"/>
      <c r="AR578" s="66"/>
      <c r="AS578" s="66"/>
    </row>
    <row r="579" spans="1:52" s="823" customFormat="1" x14ac:dyDescent="0.2">
      <c r="A579" s="20"/>
      <c r="B579" s="79" t="s">
        <v>4030</v>
      </c>
      <c r="C579" s="23"/>
      <c r="D579" s="23" t="s">
        <v>122</v>
      </c>
      <c r="E579" s="23"/>
      <c r="F579" s="691"/>
      <c r="G579" s="23"/>
      <c r="H579" s="691"/>
      <c r="I579" s="600"/>
      <c r="J579" s="858"/>
      <c r="K579" s="991"/>
      <c r="L579" s="1687"/>
      <c r="M579" s="1623"/>
      <c r="N579" s="4"/>
      <c r="O579" s="829"/>
      <c r="X579" s="1600"/>
      <c r="AL579" s="66"/>
      <c r="AM579" s="66"/>
      <c r="AN579" s="66"/>
      <c r="AO579" s="66"/>
      <c r="AP579" s="66"/>
      <c r="AQ579" s="66"/>
      <c r="AR579" s="66"/>
      <c r="AS579" s="66"/>
    </row>
    <row r="580" spans="1:52" s="823" customFormat="1" x14ac:dyDescent="0.2">
      <c r="A580" s="20"/>
      <c r="B580" s="79" t="s">
        <v>4030</v>
      </c>
      <c r="C580" s="23"/>
      <c r="D580" s="23" t="s">
        <v>122</v>
      </c>
      <c r="E580" s="23"/>
      <c r="F580" s="691"/>
      <c r="G580" s="23"/>
      <c r="H580" s="691"/>
      <c r="I580" s="600"/>
      <c r="J580" s="858"/>
      <c r="K580" s="173"/>
      <c r="L580" s="1688"/>
      <c r="M580" s="1624"/>
      <c r="N580" s="4"/>
      <c r="O580" s="829"/>
      <c r="X580" s="1600"/>
      <c r="AL580" s="66"/>
      <c r="AM580" s="66"/>
      <c r="AN580" s="66"/>
      <c r="AO580" s="66"/>
      <c r="AP580" s="66"/>
      <c r="AQ580" s="66"/>
      <c r="AR580" s="66"/>
      <c r="AS580" s="66"/>
    </row>
    <row r="581" spans="1:52" s="823" customFormat="1" x14ac:dyDescent="0.2">
      <c r="A581" s="20"/>
      <c r="B581" s="79" t="s">
        <v>4030</v>
      </c>
      <c r="C581" s="23"/>
      <c r="D581" s="23" t="s">
        <v>123</v>
      </c>
      <c r="E581" s="23"/>
      <c r="F581" s="691"/>
      <c r="G581" s="23"/>
      <c r="H581" s="691"/>
      <c r="I581" s="589"/>
      <c r="J581" s="858"/>
      <c r="K581" s="216" t="s">
        <v>123</v>
      </c>
      <c r="L581" s="1094" t="s">
        <v>4039</v>
      </c>
      <c r="M581" s="379">
        <v>5</v>
      </c>
      <c r="N581" s="4"/>
      <c r="O581" s="829"/>
      <c r="X581" s="1600"/>
      <c r="AL581" s="1352" t="str">
        <f>SUBSTITUTE(SUBSTITUTE(SUBSTITUTE("dpa"&amp;$B581&amp;$C581&amp;$D581&amp;$E581&amp;$F581,".","_"),"(","_"),")","")</f>
        <v>dpa613_1_c</v>
      </c>
      <c r="AM581" s="1352">
        <f>M581</f>
        <v>5</v>
      </c>
      <c r="AN581" s="66"/>
      <c r="AO581" s="66"/>
      <c r="AP581" s="66"/>
      <c r="AQ581" s="66"/>
      <c r="AR581" s="66"/>
      <c r="AS581" s="66"/>
    </row>
    <row r="582" spans="1:52" s="823" customFormat="1" x14ac:dyDescent="0.2">
      <c r="A582" s="20"/>
      <c r="B582" s="79" t="s">
        <v>4030</v>
      </c>
      <c r="C582" s="23"/>
      <c r="D582" s="23" t="s">
        <v>366</v>
      </c>
      <c r="E582" s="23"/>
      <c r="F582" s="691"/>
      <c r="G582" s="23"/>
      <c r="H582" s="691"/>
      <c r="I582" s="589"/>
      <c r="J582" s="858"/>
      <c r="K582" s="222" t="s">
        <v>366</v>
      </c>
      <c r="L582" s="1094" t="s">
        <v>4040</v>
      </c>
      <c r="M582" s="379">
        <v>10</v>
      </c>
      <c r="N582" s="4"/>
      <c r="O582" s="829"/>
      <c r="X582" s="1600"/>
      <c r="AL582" s="1352" t="str">
        <f>SUBSTITUTE(SUBSTITUTE(SUBSTITUTE("dpa"&amp;$B582&amp;$C582&amp;$D582&amp;$E582&amp;$F582,".","_"),"(","_"),")","")</f>
        <v>dpa613_1_d</v>
      </c>
      <c r="AM582" s="1352">
        <f>M582</f>
        <v>10</v>
      </c>
      <c r="AN582" s="66"/>
      <c r="AO582" s="66"/>
      <c r="AP582" s="66"/>
      <c r="AQ582" s="66"/>
      <c r="AR582" s="66"/>
      <c r="AS582" s="66"/>
    </row>
    <row r="583" spans="1:52" s="823" customFormat="1" x14ac:dyDescent="0.2">
      <c r="A583" s="20"/>
      <c r="B583" s="79" t="s">
        <v>4030</v>
      </c>
      <c r="C583" s="23"/>
      <c r="D583" s="23" t="s">
        <v>472</v>
      </c>
      <c r="E583" s="23"/>
      <c r="F583" s="691"/>
      <c r="G583" s="23"/>
      <c r="H583" s="691"/>
      <c r="I583" s="589"/>
      <c r="J583" s="858"/>
      <c r="K583" s="223" t="s">
        <v>472</v>
      </c>
      <c r="L583" s="1094" t="s">
        <v>4041</v>
      </c>
      <c r="M583" s="379">
        <v>12</v>
      </c>
      <c r="N583" s="4"/>
      <c r="O583" s="829"/>
      <c r="X583" s="1600"/>
      <c r="AL583" s="1352" t="str">
        <f>SUBSTITUTE(SUBSTITUTE(SUBSTITUTE("dpa"&amp;$B583&amp;$C583&amp;$D583&amp;$E583&amp;$F583,".","_"),"(","_"),")","")</f>
        <v>dpa613_1_e</v>
      </c>
      <c r="AM583" s="1352">
        <f>M583</f>
        <v>12</v>
      </c>
      <c r="AN583" s="66"/>
      <c r="AO583" s="66"/>
      <c r="AP583" s="66"/>
      <c r="AQ583" s="66"/>
      <c r="AR583" s="66"/>
      <c r="AS583" s="66"/>
    </row>
    <row r="584" spans="1:52" s="823" customFormat="1" ht="16" thickBot="1" x14ac:dyDescent="0.25">
      <c r="A584" s="20"/>
      <c r="B584" s="79" t="s">
        <v>4030</v>
      </c>
      <c r="C584" s="23"/>
      <c r="D584" s="23" t="s">
        <v>510</v>
      </c>
      <c r="E584" s="23"/>
      <c r="F584" s="691"/>
      <c r="G584" s="23"/>
      <c r="H584" s="691"/>
      <c r="I584" s="589"/>
      <c r="J584" s="858"/>
      <c r="K584" s="89" t="s">
        <v>510</v>
      </c>
      <c r="L584" s="869" t="s">
        <v>4042</v>
      </c>
      <c r="M584" s="836">
        <v>15</v>
      </c>
      <c r="N584" s="4"/>
      <c r="O584" s="829"/>
      <c r="X584" s="1600"/>
      <c r="AL584" s="1352" t="str">
        <f>SUBSTITUTE(SUBSTITUTE(SUBSTITUTE("dpa"&amp;$B584&amp;$C584&amp;$D584&amp;$E584&amp;$F584,".","_"),"(","_"),")","")</f>
        <v>dpa613_1_f</v>
      </c>
      <c r="AM584" s="1352">
        <f>M584</f>
        <v>15</v>
      </c>
      <c r="AN584" s="66"/>
      <c r="AO584" s="66"/>
      <c r="AP584" s="66"/>
      <c r="AQ584" s="66"/>
      <c r="AR584" s="66"/>
      <c r="AS584" s="66"/>
    </row>
    <row r="585" spans="1:52" ht="17" thickTop="1" thickBot="1" x14ac:dyDescent="0.25">
      <c r="I585" s="201" t="s">
        <v>2679</v>
      </c>
      <c r="J585" s="202"/>
      <c r="K585" s="202"/>
      <c r="L585" s="202"/>
      <c r="M585" s="203"/>
      <c r="N585" s="202"/>
      <c r="O585" s="204"/>
      <c r="P585" s="202"/>
      <c r="Q585" s="202"/>
      <c r="R585" s="202"/>
      <c r="S585" s="202"/>
      <c r="T585" s="202"/>
      <c r="U585" s="202"/>
      <c r="V585" s="202"/>
      <c r="W585" s="202"/>
      <c r="X585" s="278" t="s">
        <v>2680</v>
      </c>
      <c r="AX585" s="823"/>
      <c r="AY585" s="823"/>
      <c r="AZ585" s="823"/>
    </row>
    <row r="586" spans="1:52" ht="16" thickTop="1" x14ac:dyDescent="0.2">
      <c r="AX586" s="823"/>
      <c r="AY586" s="823"/>
      <c r="AZ586" s="823"/>
    </row>
    <row r="587" spans="1:52" x14ac:dyDescent="0.2">
      <c r="AX587" s="823"/>
      <c r="AY587" s="823"/>
    </row>
  </sheetData>
  <sheetProtection algorithmName="SHA-512" hashValue="DOZnDKjwD7r81i8H9vbw2nSPo97qV6QmxDatGcHmJBOIMk38AObE+fVZ2EMwR6kbkfGKC3Esi1C83sKvX8Od2w==" saltValue="hXJLWMUowoWlLzalRR8WZQ==" spinCount="100000" sheet="1" objects="1" scenarios="1" selectLockedCells="1"/>
  <mergeCells count="405">
    <mergeCell ref="X435:X443"/>
    <mergeCell ref="X344:X359"/>
    <mergeCell ref="X273:X278"/>
    <mergeCell ref="X279:X285"/>
    <mergeCell ref="X290:X291"/>
    <mergeCell ref="X292:X293"/>
    <mergeCell ref="X426:X432"/>
    <mergeCell ref="X251:X252"/>
    <mergeCell ref="X215:X226"/>
    <mergeCell ref="X231:X233"/>
    <mergeCell ref="X234:X237"/>
    <mergeCell ref="X254:X256"/>
    <mergeCell ref="X390:X394"/>
    <mergeCell ref="X401:X402"/>
    <mergeCell ref="X294:X295"/>
    <mergeCell ref="X296:X297"/>
    <mergeCell ref="X381:X386"/>
    <mergeCell ref="X404:X412"/>
    <mergeCell ref="X418:X419"/>
    <mergeCell ref="X416:X417"/>
    <mergeCell ref="M378:M380"/>
    <mergeCell ref="O378:O380"/>
    <mergeCell ref="M327:M328"/>
    <mergeCell ref="M354:M355"/>
    <mergeCell ref="M356:M357"/>
    <mergeCell ref="O318:O319"/>
    <mergeCell ref="X303:X317"/>
    <mergeCell ref="X318:X326"/>
    <mergeCell ref="X331:X337"/>
    <mergeCell ref="X376:X377"/>
    <mergeCell ref="X379:X380"/>
    <mergeCell ref="O343:O352"/>
    <mergeCell ref="M358:M359"/>
    <mergeCell ref="M375:M377"/>
    <mergeCell ref="X105:X109"/>
    <mergeCell ref="X114:X116"/>
    <mergeCell ref="X122:X123"/>
    <mergeCell ref="X131:X132"/>
    <mergeCell ref="X138:X143"/>
    <mergeCell ref="X147:X157"/>
    <mergeCell ref="X160:X161"/>
    <mergeCell ref="X165:X166"/>
    <mergeCell ref="X167:X168"/>
    <mergeCell ref="X169:X172"/>
    <mergeCell ref="M114:M116"/>
    <mergeCell ref="M122:M123"/>
    <mergeCell ref="M139:M140"/>
    <mergeCell ref="O375:O377"/>
    <mergeCell ref="O279:O285"/>
    <mergeCell ref="M201:M204"/>
    <mergeCell ref="M209:M210"/>
    <mergeCell ref="M211:M212"/>
    <mergeCell ref="X257:X259"/>
    <mergeCell ref="X261:X265"/>
    <mergeCell ref="X266:X267"/>
    <mergeCell ref="M300:M302"/>
    <mergeCell ref="M155:M157"/>
    <mergeCell ref="M234:M237"/>
    <mergeCell ref="X173:X176"/>
    <mergeCell ref="X185:X196"/>
    <mergeCell ref="M257:M259"/>
    <mergeCell ref="L457:L459"/>
    <mergeCell ref="L493:L494"/>
    <mergeCell ref="W511:W512"/>
    <mergeCell ref="O496:O500"/>
    <mergeCell ref="M381:M386"/>
    <mergeCell ref="O381:O386"/>
    <mergeCell ref="M390:M394"/>
    <mergeCell ref="L388:L389"/>
    <mergeCell ref="L390:L394"/>
    <mergeCell ref="M401:M402"/>
    <mergeCell ref="O390:O394"/>
    <mergeCell ref="O401:O402"/>
    <mergeCell ref="M395:M400"/>
    <mergeCell ref="O395:O400"/>
    <mergeCell ref="L395:L400"/>
    <mergeCell ref="M414:M415"/>
    <mergeCell ref="M416:M417"/>
    <mergeCell ref="M418:M419"/>
    <mergeCell ref="O414:O419"/>
    <mergeCell ref="L501:L509"/>
    <mergeCell ref="M435:M443"/>
    <mergeCell ref="O453:O456"/>
    <mergeCell ref="M444:M450"/>
    <mergeCell ref="M453:M456"/>
    <mergeCell ref="X501:X510"/>
    <mergeCell ref="X511:X517"/>
    <mergeCell ref="L404:L406"/>
    <mergeCell ref="L407:L408"/>
    <mergeCell ref="L414:L415"/>
    <mergeCell ref="X444:X450"/>
    <mergeCell ref="X483:X488"/>
    <mergeCell ref="X471:X476"/>
    <mergeCell ref="X457:X463"/>
    <mergeCell ref="X451:X452"/>
    <mergeCell ref="L491:L492"/>
    <mergeCell ref="L433:L434"/>
    <mergeCell ref="L435:L437"/>
    <mergeCell ref="L444:L450"/>
    <mergeCell ref="L451:L452"/>
    <mergeCell ref="L420:L422"/>
    <mergeCell ref="L423:L424"/>
    <mergeCell ref="L466:L468"/>
    <mergeCell ref="W457:W458"/>
    <mergeCell ref="W464:W465"/>
    <mergeCell ref="O435:O443"/>
    <mergeCell ref="O444:O450"/>
    <mergeCell ref="O451:O452"/>
    <mergeCell ref="M451:M452"/>
    <mergeCell ref="X519:X526"/>
    <mergeCell ref="M564:M565"/>
    <mergeCell ref="X556:X557"/>
    <mergeCell ref="X560:X563"/>
    <mergeCell ref="X564:X565"/>
    <mergeCell ref="X541:X542"/>
    <mergeCell ref="X545:X549"/>
    <mergeCell ref="X550:X553"/>
    <mergeCell ref="X554:X555"/>
    <mergeCell ref="M554:M555"/>
    <mergeCell ref="O527:O529"/>
    <mergeCell ref="O543:O544"/>
    <mergeCell ref="M519:M526"/>
    <mergeCell ref="O519:O526"/>
    <mergeCell ref="X477:X482"/>
    <mergeCell ref="X464:X470"/>
    <mergeCell ref="X489:X494"/>
    <mergeCell ref="X4:X5"/>
    <mergeCell ref="I6:K7"/>
    <mergeCell ref="L6:L7"/>
    <mergeCell ref="M6:M7"/>
    <mergeCell ref="N6:N7"/>
    <mergeCell ref="P6:P7"/>
    <mergeCell ref="Q6:Q7"/>
    <mergeCell ref="L94:L95"/>
    <mergeCell ref="L98:L100"/>
    <mergeCell ref="L24:L25"/>
    <mergeCell ref="L75:L76"/>
    <mergeCell ref="L66:L67"/>
    <mergeCell ref="L61:L63"/>
    <mergeCell ref="L28:L29"/>
    <mergeCell ref="L35:L37"/>
    <mergeCell ref="L39:L41"/>
    <mergeCell ref="L71:L72"/>
    <mergeCell ref="M404:M406"/>
    <mergeCell ref="O404:O406"/>
    <mergeCell ref="L411:L412"/>
    <mergeCell ref="L426:L431"/>
    <mergeCell ref="I1:L1"/>
    <mergeCell ref="M1:W5"/>
    <mergeCell ref="I2:L2"/>
    <mergeCell ref="I3:L3"/>
    <mergeCell ref="L90:L92"/>
    <mergeCell ref="V6:V7"/>
    <mergeCell ref="W6:W7"/>
    <mergeCell ref="L26:L27"/>
    <mergeCell ref="T6:T7"/>
    <mergeCell ref="U6:U7"/>
    <mergeCell ref="R6:R7"/>
    <mergeCell ref="O61:O63"/>
    <mergeCell ref="M81:M82"/>
    <mergeCell ref="L10:L13"/>
    <mergeCell ref="L14:L17"/>
    <mergeCell ref="O14:O17"/>
    <mergeCell ref="L32:L34"/>
    <mergeCell ref="S6:S7"/>
    <mergeCell ref="O32:O34"/>
    <mergeCell ref="O85:O92"/>
    <mergeCell ref="M35:M37"/>
    <mergeCell ref="L271:L272"/>
    <mergeCell ref="L273:L274"/>
    <mergeCell ref="X66:X84"/>
    <mergeCell ref="X98:X101"/>
    <mergeCell ref="L79:L80"/>
    <mergeCell ref="M79:M80"/>
    <mergeCell ref="I4:L4"/>
    <mergeCell ref="M32:M34"/>
    <mergeCell ref="L327:L328"/>
    <mergeCell ref="M102:M104"/>
    <mergeCell ref="O49:O51"/>
    <mergeCell ref="O35:O37"/>
    <mergeCell ref="L52:L54"/>
    <mergeCell ref="L77:L78"/>
    <mergeCell ref="L85:L89"/>
    <mergeCell ref="L111:L112"/>
    <mergeCell ref="O327:O328"/>
    <mergeCell ref="O290:O297"/>
    <mergeCell ref="O286:O288"/>
    <mergeCell ref="L294:L295"/>
    <mergeCell ref="L257:L259"/>
    <mergeCell ref="O105:O109"/>
    <mergeCell ref="O131:O132"/>
    <mergeCell ref="M111:M112"/>
    <mergeCell ref="L286:L287"/>
    <mergeCell ref="L283:L285"/>
    <mergeCell ref="L177:L181"/>
    <mergeCell ref="L206:L208"/>
    <mergeCell ref="M206:M208"/>
    <mergeCell ref="O197:O199"/>
    <mergeCell ref="L469:L470"/>
    <mergeCell ref="L453:L456"/>
    <mergeCell ref="O240:O241"/>
    <mergeCell ref="L251:L252"/>
    <mergeCell ref="L240:L241"/>
    <mergeCell ref="O247:O250"/>
    <mergeCell ref="M247:M250"/>
    <mergeCell ref="O257:O259"/>
    <mergeCell ref="M266:M267"/>
    <mergeCell ref="M240:M241"/>
    <mergeCell ref="L401:L402"/>
    <mergeCell ref="O266:O267"/>
    <mergeCell ref="L375:L376"/>
    <mergeCell ref="M318:M319"/>
    <mergeCell ref="M290:M297"/>
    <mergeCell ref="L303:L308"/>
    <mergeCell ref="L309:L312"/>
    <mergeCell ref="L320:L322"/>
    <mergeCell ref="L318:L319"/>
    <mergeCell ref="L381:L384"/>
    <mergeCell ref="L354:L355"/>
    <mergeCell ref="L356:L357"/>
    <mergeCell ref="L358:L359"/>
    <mergeCell ref="L360:L361"/>
    <mergeCell ref="L363:L364"/>
    <mergeCell ref="L370:L374"/>
    <mergeCell ref="L378:L379"/>
    <mergeCell ref="L126:L130"/>
    <mergeCell ref="L290:L291"/>
    <mergeCell ref="M566:M568"/>
    <mergeCell ref="L543:L544"/>
    <mergeCell ref="L541:L542"/>
    <mergeCell ref="L545:L549"/>
    <mergeCell ref="L550:L553"/>
    <mergeCell ref="L471:L478"/>
    <mergeCell ref="M545:M549"/>
    <mergeCell ref="M550:M553"/>
    <mergeCell ref="M527:M529"/>
    <mergeCell ref="M556:M557"/>
    <mergeCell ref="L496:L500"/>
    <mergeCell ref="M471:M494"/>
    <mergeCell ref="L483:L484"/>
    <mergeCell ref="L525:L526"/>
    <mergeCell ref="L519:L523"/>
    <mergeCell ref="L527:L529"/>
    <mergeCell ref="L511:L516"/>
    <mergeCell ref="L556:L557"/>
    <mergeCell ref="L314:L315"/>
    <mergeCell ref="L266:L267"/>
    <mergeCell ref="L279:L281"/>
    <mergeCell ref="L316:L317"/>
    <mergeCell ref="X35:X37"/>
    <mergeCell ref="X49:X51"/>
    <mergeCell ref="X61:X65"/>
    <mergeCell ref="X102:X104"/>
    <mergeCell ref="M52:M54"/>
    <mergeCell ref="O66:O67"/>
    <mergeCell ref="M49:M51"/>
    <mergeCell ref="M131:M132"/>
    <mergeCell ref="M169:M172"/>
    <mergeCell ref="O160:O161"/>
    <mergeCell ref="X124:X125"/>
    <mergeCell ref="X133:X136"/>
    <mergeCell ref="M160:M161"/>
    <mergeCell ref="M105:M109"/>
    <mergeCell ref="O167:O168"/>
    <mergeCell ref="M147:M150"/>
    <mergeCell ref="O155:O157"/>
    <mergeCell ref="M151:M154"/>
    <mergeCell ref="O139:O140"/>
    <mergeCell ref="O114:O116"/>
    <mergeCell ref="O122:O123"/>
    <mergeCell ref="M133:M134"/>
    <mergeCell ref="O165:O166"/>
    <mergeCell ref="O162:O164"/>
    <mergeCell ref="H1:H7"/>
    <mergeCell ref="X162:X164"/>
    <mergeCell ref="L49:L51"/>
    <mergeCell ref="L105:L107"/>
    <mergeCell ref="L118:L121"/>
    <mergeCell ref="L122:L123"/>
    <mergeCell ref="L83:L84"/>
    <mergeCell ref="L81:L82"/>
    <mergeCell ref="L30:L31"/>
    <mergeCell ref="L42:L43"/>
    <mergeCell ref="L55:L56"/>
    <mergeCell ref="I5:L5"/>
    <mergeCell ref="L114:L116"/>
    <mergeCell ref="L102:L104"/>
    <mergeCell ref="M61:M63"/>
    <mergeCell ref="M66:M67"/>
    <mergeCell ref="M98:M100"/>
    <mergeCell ref="X85:X92"/>
    <mergeCell ref="M85:M92"/>
    <mergeCell ref="O102:O104"/>
    <mergeCell ref="X111:X113"/>
    <mergeCell ref="X14:X27"/>
    <mergeCell ref="X32:X34"/>
    <mergeCell ref="X6:X7"/>
    <mergeCell ref="L135:L136"/>
    <mergeCell ref="L141:L143"/>
    <mergeCell ref="M141:M143"/>
    <mergeCell ref="O141:O143"/>
    <mergeCell ref="M162:M164"/>
    <mergeCell ref="L151:L154"/>
    <mergeCell ref="L182:L184"/>
    <mergeCell ref="L195:L196"/>
    <mergeCell ref="L155:L157"/>
    <mergeCell ref="M185:M194"/>
    <mergeCell ref="O169:O172"/>
    <mergeCell ref="M173:M176"/>
    <mergeCell ref="L169:L172"/>
    <mergeCell ref="L144:L145"/>
    <mergeCell ref="L165:L166"/>
    <mergeCell ref="M165:M166"/>
    <mergeCell ref="L167:L168"/>
    <mergeCell ref="L139:L140"/>
    <mergeCell ref="L254:L256"/>
    <mergeCell ref="L268:L269"/>
    <mergeCell ref="X268:X269"/>
    <mergeCell ref="X197:X199"/>
    <mergeCell ref="X201:X204"/>
    <mergeCell ref="X240:X241"/>
    <mergeCell ref="L227:L228"/>
    <mergeCell ref="L231:L232"/>
    <mergeCell ref="M231:M233"/>
    <mergeCell ref="M227:M228"/>
    <mergeCell ref="O214:O226"/>
    <mergeCell ref="M197:M199"/>
    <mergeCell ref="L201:L204"/>
    <mergeCell ref="L225:L226"/>
    <mergeCell ref="M214:M226"/>
    <mergeCell ref="L229:L230"/>
    <mergeCell ref="L209:L210"/>
    <mergeCell ref="L211:L212"/>
    <mergeCell ref="L575:L576"/>
    <mergeCell ref="X286:X288"/>
    <mergeCell ref="M303:M317"/>
    <mergeCell ref="O303:O317"/>
    <mergeCell ref="M286:M288"/>
    <mergeCell ref="O273:O278"/>
    <mergeCell ref="X205:X210"/>
    <mergeCell ref="X211:X212"/>
    <mergeCell ref="L276:L278"/>
    <mergeCell ref="M273:M278"/>
    <mergeCell ref="M457:M470"/>
    <mergeCell ref="L324:L326"/>
    <mergeCell ref="L560:L563"/>
    <mergeCell ref="L564:L565"/>
    <mergeCell ref="L566:L568"/>
    <mergeCell ref="M496:M500"/>
    <mergeCell ref="M541:M542"/>
    <mergeCell ref="M543:M544"/>
    <mergeCell ref="M560:M563"/>
    <mergeCell ref="M279:M285"/>
    <mergeCell ref="L351:L352"/>
    <mergeCell ref="L261:L265"/>
    <mergeCell ref="M261:M265"/>
    <mergeCell ref="L247:L250"/>
    <mergeCell ref="L577:L580"/>
    <mergeCell ref="O570:O574"/>
    <mergeCell ref="X570:X584"/>
    <mergeCell ref="M577:M580"/>
    <mergeCell ref="M575:M576"/>
    <mergeCell ref="L531:L532"/>
    <mergeCell ref="L533:L534"/>
    <mergeCell ref="L535:L536"/>
    <mergeCell ref="L537:L538"/>
    <mergeCell ref="L539:L540"/>
    <mergeCell ref="X531:X532"/>
    <mergeCell ref="X533:X534"/>
    <mergeCell ref="X535:X536"/>
    <mergeCell ref="X537:X538"/>
    <mergeCell ref="X539:X540"/>
    <mergeCell ref="M531:M532"/>
    <mergeCell ref="M533:M534"/>
    <mergeCell ref="M535:M536"/>
    <mergeCell ref="M537:M538"/>
    <mergeCell ref="M539:M540"/>
    <mergeCell ref="X566:X568"/>
    <mergeCell ref="L554:L555"/>
    <mergeCell ref="M570:M572"/>
    <mergeCell ref="L570:L574"/>
    <mergeCell ref="L131:L132"/>
    <mergeCell ref="L133:L134"/>
    <mergeCell ref="M167:M168"/>
    <mergeCell ref="L160:L161"/>
    <mergeCell ref="L162:L163"/>
    <mergeCell ref="L147:L150"/>
    <mergeCell ref="O151:O154"/>
    <mergeCell ref="L300:L302"/>
    <mergeCell ref="X300:X302"/>
    <mergeCell ref="L244:L245"/>
    <mergeCell ref="M244:M246"/>
    <mergeCell ref="X244:X246"/>
    <mergeCell ref="O244:O246"/>
    <mergeCell ref="O147:O150"/>
    <mergeCell ref="L173:L175"/>
    <mergeCell ref="L234:L237"/>
    <mergeCell ref="L238:L239"/>
    <mergeCell ref="O231:O233"/>
    <mergeCell ref="L214:L219"/>
    <mergeCell ref="X227:X230"/>
    <mergeCell ref="O201:O204"/>
    <mergeCell ref="O211:O212"/>
    <mergeCell ref="L189:L190"/>
    <mergeCell ref="L197:L199"/>
  </mergeCells>
  <conditionalFormatting sqref="X2">
    <cfRule type="expression" dxfId="5359" priority="1107">
      <formula>$AG$3</formula>
    </cfRule>
  </conditionalFormatting>
  <conditionalFormatting sqref="X3">
    <cfRule type="expression" dxfId="5358" priority="1112">
      <formula>$AI$3</formula>
    </cfRule>
  </conditionalFormatting>
  <conditionalFormatting sqref="L24:L25">
    <cfRule type="expression" dxfId="5357" priority="1013">
      <formula>AY23&gt;4099</formula>
    </cfRule>
  </conditionalFormatting>
  <conditionalFormatting sqref="M24:M25">
    <cfRule type="expression" dxfId="5356" priority="1012">
      <formula>$AY$23&gt;4099</formula>
    </cfRule>
  </conditionalFormatting>
  <conditionalFormatting sqref="X344:X359">
    <cfRule type="expression" dxfId="5355" priority="878">
      <formula>NOT(ISBLANK(W351))</formula>
    </cfRule>
  </conditionalFormatting>
  <conditionalFormatting sqref="W69">
    <cfRule type="expression" dxfId="5354" priority="785">
      <formula>AND($R$69,$S$69)</formula>
    </cfRule>
  </conditionalFormatting>
  <conditionalFormatting sqref="W69">
    <cfRule type="expression" dxfId="5353" priority="784">
      <formula>AND(IF($R$69,$W$69,TRUE),LEN(TRIM($W$69))&gt;0)</formula>
    </cfRule>
  </conditionalFormatting>
  <conditionalFormatting sqref="W69">
    <cfRule type="expression" dxfId="5352" priority="783">
      <formula>$S$69 = FALSE</formula>
    </cfRule>
  </conditionalFormatting>
  <conditionalFormatting sqref="W69">
    <cfRule type="expression" dxfId="5351" priority="782">
      <formula>OR($T$69 = TRUE, AND(LEN(TRIM($W$69))&gt;0, $S$69 = FALSE))</formula>
    </cfRule>
  </conditionalFormatting>
  <conditionalFormatting sqref="W70">
    <cfRule type="expression" dxfId="5350" priority="781">
      <formula>AND($R$70,$S$70)</formula>
    </cfRule>
  </conditionalFormatting>
  <conditionalFormatting sqref="W70">
    <cfRule type="expression" dxfId="5349" priority="780">
      <formula>AND(IF($R$70,$W$70,TRUE),LEN(TRIM($W$70))&gt;0)</formula>
    </cfRule>
  </conditionalFormatting>
  <conditionalFormatting sqref="W70">
    <cfRule type="expression" dxfId="5348" priority="779">
      <formula>$S$70 = FALSE</formula>
    </cfRule>
  </conditionalFormatting>
  <conditionalFormatting sqref="W70">
    <cfRule type="expression" dxfId="5347" priority="778">
      <formula>OR($T$70 = TRUE, AND(LEN(TRIM($W$70))&gt;0, $S$70 = FALSE))</formula>
    </cfRule>
  </conditionalFormatting>
  <conditionalFormatting sqref="W71">
    <cfRule type="expression" dxfId="5346" priority="773">
      <formula>AND($R$71,$S$71)</formula>
    </cfRule>
  </conditionalFormatting>
  <conditionalFormatting sqref="W71">
    <cfRule type="expression" dxfId="5345" priority="772">
      <formula>AND(IF($R$71,$W$71,TRUE),LEN(TRIM($W$71))&gt;0)</formula>
    </cfRule>
  </conditionalFormatting>
  <conditionalFormatting sqref="W71">
    <cfRule type="expression" dxfId="5344" priority="771">
      <formula>$S$71 = FALSE</formula>
    </cfRule>
  </conditionalFormatting>
  <conditionalFormatting sqref="W71">
    <cfRule type="expression" dxfId="5343" priority="770">
      <formula>OR($T$71 = TRUE, AND(LEN(TRIM($W$71))&gt;0, $S$71 = FALSE))</formula>
    </cfRule>
  </conditionalFormatting>
  <conditionalFormatting sqref="W75">
    <cfRule type="expression" dxfId="5342" priority="769">
      <formula>AND($R$75,$S$75)</formula>
    </cfRule>
  </conditionalFormatting>
  <conditionalFormatting sqref="W75">
    <cfRule type="expression" dxfId="5341" priority="768">
      <formula>AND(IF($R$75,$W$75,TRUE),LEN(TRIM($W$75))&gt;0)</formula>
    </cfRule>
  </conditionalFormatting>
  <conditionalFormatting sqref="W75">
    <cfRule type="expression" dxfId="5340" priority="767">
      <formula>$S$75 = FALSE</formula>
    </cfRule>
  </conditionalFormatting>
  <conditionalFormatting sqref="W75">
    <cfRule type="expression" dxfId="5339" priority="766">
      <formula>OR($T$75 = TRUE, AND(LEN(TRIM($W$75))&gt;0, $S$75 = FALSE))</formula>
    </cfRule>
  </conditionalFormatting>
  <conditionalFormatting sqref="W77">
    <cfRule type="expression" dxfId="5338" priority="765">
      <formula>AND($R$77,$S$77)</formula>
    </cfRule>
  </conditionalFormatting>
  <conditionalFormatting sqref="W77">
    <cfRule type="expression" dxfId="5337" priority="764">
      <formula>AND(IF($R$77,$W$77,TRUE),LEN(TRIM($W$77))&gt;0)</formula>
    </cfRule>
  </conditionalFormatting>
  <conditionalFormatting sqref="W77">
    <cfRule type="expression" dxfId="5336" priority="763">
      <formula>$S$77 = FALSE</formula>
    </cfRule>
  </conditionalFormatting>
  <conditionalFormatting sqref="W77">
    <cfRule type="expression" dxfId="5335" priority="762">
      <formula>OR($T$77 = TRUE, AND(LEN(TRIM($W$77))&gt;0, $S$77 = FALSE))</formula>
    </cfRule>
  </conditionalFormatting>
  <conditionalFormatting sqref="X85">
    <cfRule type="expression" dxfId="5334" priority="757">
      <formula>W85=TRUE</formula>
    </cfRule>
  </conditionalFormatting>
  <conditionalFormatting sqref="W138">
    <cfRule type="expression" dxfId="5333" priority="711">
      <formula>AND($R$138,$S$138)</formula>
    </cfRule>
  </conditionalFormatting>
  <conditionalFormatting sqref="W138">
    <cfRule type="expression" dxfId="5332" priority="710">
      <formula>AND(IF($R$138,$W$138,TRUE),LEN(TRIM($W$138))&gt;0)</formula>
    </cfRule>
  </conditionalFormatting>
  <conditionalFormatting sqref="W138">
    <cfRule type="expression" dxfId="5331" priority="709">
      <formula>$S$138 = FALSE</formula>
    </cfRule>
  </conditionalFormatting>
  <conditionalFormatting sqref="W138">
    <cfRule type="expression" dxfId="5330" priority="708">
      <formula>OR($T$138 = TRUE, AND(LEN(TRIM($W$138))&gt;0, $S$138 = FALSE))</formula>
    </cfRule>
  </conditionalFormatting>
  <conditionalFormatting sqref="X162:X164">
    <cfRule type="expression" dxfId="5329" priority="675">
      <formula>W162="N/A"</formula>
    </cfRule>
  </conditionalFormatting>
  <conditionalFormatting sqref="X173:X174">
    <cfRule type="expression" dxfId="5328" priority="674">
      <formula>W173="N/A"</formula>
    </cfRule>
  </conditionalFormatting>
  <conditionalFormatting sqref="W205">
    <cfRule type="expression" dxfId="5327" priority="673">
      <formula>AND($R$205,$S$205)</formula>
    </cfRule>
  </conditionalFormatting>
  <conditionalFormatting sqref="W205">
    <cfRule type="expression" dxfId="5326" priority="672">
      <formula>AND(IF($R$205,$W$205,TRUE),LEN(TRIM($W$205))&gt;0)</formula>
    </cfRule>
  </conditionalFormatting>
  <conditionalFormatting sqref="W205">
    <cfRule type="expression" dxfId="5325" priority="671">
      <formula>$S$205 = FALSE</formula>
    </cfRule>
  </conditionalFormatting>
  <conditionalFormatting sqref="W205">
    <cfRule type="expression" dxfId="5324" priority="670">
      <formula>OR($T$205 = TRUE, AND(LEN(TRIM($W$205))&gt;0, $S$205 = FALSE))</formula>
    </cfRule>
  </conditionalFormatting>
  <conditionalFormatting sqref="W215">
    <cfRule type="expression" dxfId="5323" priority="669">
      <formula>AND($R$215,$S$215)</formula>
    </cfRule>
  </conditionalFormatting>
  <conditionalFormatting sqref="W215">
    <cfRule type="expression" dxfId="5322" priority="668">
      <formula>AND(IF($R$215,$W$215,TRUE),LEN(TRIM($W$215))&gt;0)</formula>
    </cfRule>
  </conditionalFormatting>
  <conditionalFormatting sqref="W215">
    <cfRule type="expression" dxfId="5321" priority="667">
      <formula>$S$215 = FALSE</formula>
    </cfRule>
  </conditionalFormatting>
  <conditionalFormatting sqref="W215">
    <cfRule type="expression" dxfId="5320" priority="666">
      <formula>OR($T$215 = TRUE, AND(LEN(TRIM($W$215))&gt;0, $S$215 = FALSE))</formula>
    </cfRule>
  </conditionalFormatting>
  <conditionalFormatting sqref="X286:X288">
    <cfRule type="expression" dxfId="5319" priority="649">
      <formula>W286</formula>
    </cfRule>
  </conditionalFormatting>
  <conditionalFormatting sqref="W273">
    <cfRule type="expression" dxfId="5318" priority="648">
      <formula>AND($R$273,$S$273)</formula>
    </cfRule>
  </conditionalFormatting>
  <conditionalFormatting sqref="W273">
    <cfRule type="expression" dxfId="5317" priority="647">
      <formula>AND(IF($R$273,$W$273,TRUE),LEN(TRIM($W$273))&gt;0)</formula>
    </cfRule>
  </conditionalFormatting>
  <conditionalFormatting sqref="W273">
    <cfRule type="expression" dxfId="5316" priority="646">
      <formula>$S$273 = FALSE</formula>
    </cfRule>
  </conditionalFormatting>
  <conditionalFormatting sqref="W273">
    <cfRule type="expression" dxfId="5315" priority="645">
      <formula>OR($T$273 = TRUE, AND($W$273 = TRUE, $S$273 = FALSE))</formula>
    </cfRule>
  </conditionalFormatting>
  <conditionalFormatting sqref="X273 X279:X285">
    <cfRule type="expression" dxfId="5314" priority="640">
      <formula>W273&gt;0</formula>
    </cfRule>
  </conditionalFormatting>
  <conditionalFormatting sqref="W279">
    <cfRule type="expression" dxfId="5313" priority="639">
      <formula>AND(R279,S279)</formula>
    </cfRule>
  </conditionalFormatting>
  <conditionalFormatting sqref="W279">
    <cfRule type="expression" dxfId="5312" priority="638">
      <formula>AND(IF(R279,W279,TRUE),LEN(TRIM(W279))&gt;0)</formula>
    </cfRule>
  </conditionalFormatting>
  <conditionalFormatting sqref="W279">
    <cfRule type="expression" dxfId="5311" priority="637">
      <formula>S279 = FALSE</formula>
    </cfRule>
  </conditionalFormatting>
  <conditionalFormatting sqref="W279">
    <cfRule type="expression" dxfId="5310" priority="636">
      <formula>OR(T279 = TRUE, AND(W279 = TRUE, S279 = FALSE))</formula>
    </cfRule>
  </conditionalFormatting>
  <conditionalFormatting sqref="W291">
    <cfRule type="expression" dxfId="5309" priority="634">
      <formula>AND(R291,S291)</formula>
    </cfRule>
  </conditionalFormatting>
  <conditionalFormatting sqref="W291">
    <cfRule type="expression" dxfId="5308" priority="633">
      <formula>AND(IF(R291,W291,TRUE),LEN(TRIM(W291))&gt;0)</formula>
    </cfRule>
  </conditionalFormatting>
  <conditionalFormatting sqref="W291">
    <cfRule type="expression" dxfId="5307" priority="632">
      <formula>S291 = FALSE</formula>
    </cfRule>
  </conditionalFormatting>
  <conditionalFormatting sqref="W291">
    <cfRule type="expression" dxfId="5306" priority="631">
      <formula>OR(T291 = TRUE, AND(W291 = TRUE, S291 = FALSE))</formula>
    </cfRule>
  </conditionalFormatting>
  <conditionalFormatting sqref="W293">
    <cfRule type="expression" dxfId="5305" priority="630">
      <formula>AND(R293,S293)</formula>
    </cfRule>
  </conditionalFormatting>
  <conditionalFormatting sqref="W293">
    <cfRule type="expression" dxfId="5304" priority="629">
      <formula>AND(IF(R293,W293,TRUE),LEN(TRIM(W293))&gt;0)</formula>
    </cfRule>
  </conditionalFormatting>
  <conditionalFormatting sqref="W293">
    <cfRule type="expression" dxfId="5303" priority="628">
      <formula>S293 = FALSE</formula>
    </cfRule>
  </conditionalFormatting>
  <conditionalFormatting sqref="W293">
    <cfRule type="expression" dxfId="5302" priority="627">
      <formula>OR(T293 = TRUE, AND(W293 = TRUE, S293 = FALSE))</formula>
    </cfRule>
  </conditionalFormatting>
  <conditionalFormatting sqref="W295">
    <cfRule type="expression" dxfId="5301" priority="626">
      <formula>AND(R295,S295)</formula>
    </cfRule>
  </conditionalFormatting>
  <conditionalFormatting sqref="W295">
    <cfRule type="expression" dxfId="5300" priority="625">
      <formula>AND(IF(R295,W295,TRUE),LEN(TRIM(W295))&gt;0)</formula>
    </cfRule>
  </conditionalFormatting>
  <conditionalFormatting sqref="W295">
    <cfRule type="expression" dxfId="5299" priority="624">
      <formula>S295 = FALSE</formula>
    </cfRule>
  </conditionalFormatting>
  <conditionalFormatting sqref="W295">
    <cfRule type="expression" dxfId="5298" priority="623">
      <formula>OR(T295 = TRUE, AND(W295 = TRUE, S295 = FALSE))</formula>
    </cfRule>
  </conditionalFormatting>
  <conditionalFormatting sqref="W297">
    <cfRule type="expression" dxfId="5297" priority="622">
      <formula>AND(R297,S297)</formula>
    </cfRule>
  </conditionalFormatting>
  <conditionalFormatting sqref="W297">
    <cfRule type="expression" dxfId="5296" priority="621">
      <formula>AND(IF(R297,W297,TRUE),LEN(TRIM(W297))&gt;0)</formula>
    </cfRule>
  </conditionalFormatting>
  <conditionalFormatting sqref="W297">
    <cfRule type="expression" dxfId="5295" priority="620">
      <formula>S297 = FALSE</formula>
    </cfRule>
  </conditionalFormatting>
  <conditionalFormatting sqref="W297">
    <cfRule type="expression" dxfId="5294" priority="619">
      <formula>OR(T297 = TRUE, AND(W297 = TRUE, S297 = FALSE))</formula>
    </cfRule>
  </conditionalFormatting>
  <conditionalFormatting sqref="X290 X292 X294 X296 X501:X510">
    <cfRule type="expression" dxfId="5293" priority="618">
      <formula>W291&gt;0</formula>
    </cfRule>
  </conditionalFormatting>
  <conditionalFormatting sqref="X338">
    <cfRule type="expression" dxfId="5292" priority="569">
      <formula>W338</formula>
    </cfRule>
  </conditionalFormatting>
  <conditionalFormatting sqref="X339">
    <cfRule type="expression" dxfId="5291" priority="568">
      <formula>W339</formula>
    </cfRule>
  </conditionalFormatting>
  <conditionalFormatting sqref="W344">
    <cfRule type="expression" dxfId="5290" priority="567">
      <formula>AND($R$344,$S$344)</formula>
    </cfRule>
  </conditionalFormatting>
  <conditionalFormatting sqref="W344">
    <cfRule type="expression" dxfId="5289" priority="566">
      <formula>AND(IF($R$344,$W$344,TRUE),LEN(TRIM($W$344))&gt;0)</formula>
    </cfRule>
  </conditionalFormatting>
  <conditionalFormatting sqref="W344">
    <cfRule type="expression" dxfId="5288" priority="565">
      <formula>$S$344 = FALSE</formula>
    </cfRule>
  </conditionalFormatting>
  <conditionalFormatting sqref="W344">
    <cfRule type="expression" dxfId="5287" priority="564">
      <formula>OR($T$344 = TRUE, AND(LEN(TRIM($W$344))&gt;0, $S$344 = FALSE))</formula>
    </cfRule>
  </conditionalFormatting>
  <conditionalFormatting sqref="W345">
    <cfRule type="expression" dxfId="5286" priority="563">
      <formula>AND($R$345,$S$345)</formula>
    </cfRule>
  </conditionalFormatting>
  <conditionalFormatting sqref="W345">
    <cfRule type="expression" dxfId="5285" priority="562">
      <formula>AND(IF($R$345,$W$345,TRUE),LEN(TRIM($W$345))&gt;0)</formula>
    </cfRule>
  </conditionalFormatting>
  <conditionalFormatting sqref="W345">
    <cfRule type="expression" dxfId="5284" priority="561">
      <formula>$S$345 = FALSE</formula>
    </cfRule>
  </conditionalFormatting>
  <conditionalFormatting sqref="W345">
    <cfRule type="expression" dxfId="5283" priority="560">
      <formula>OR($T$345 = TRUE, AND(LEN(TRIM($W$345))&gt;0, $S$345 = FALSE))</formula>
    </cfRule>
  </conditionalFormatting>
  <conditionalFormatting sqref="W346">
    <cfRule type="expression" dxfId="5282" priority="559">
      <formula>AND($R$346,$S$346)</formula>
    </cfRule>
  </conditionalFormatting>
  <conditionalFormatting sqref="W346">
    <cfRule type="expression" dxfId="5281" priority="558">
      <formula>AND(IF($R$346,$W$346,TRUE),LEN(TRIM($W$346))&gt;0)</formula>
    </cfRule>
  </conditionalFormatting>
  <conditionalFormatting sqref="W346">
    <cfRule type="expression" dxfId="5280" priority="557">
      <formula>$S$346 = FALSE</formula>
    </cfRule>
  </conditionalFormatting>
  <conditionalFormatting sqref="W346">
    <cfRule type="expression" dxfId="5279" priority="556">
      <formula>OR($T$346 = TRUE, AND(LEN(TRIM($W$346))&gt;0, $S$346 = FALSE))</formula>
    </cfRule>
  </conditionalFormatting>
  <conditionalFormatting sqref="W347">
    <cfRule type="expression" dxfId="5278" priority="551">
      <formula>AND($R$347,$S$347)</formula>
    </cfRule>
  </conditionalFormatting>
  <conditionalFormatting sqref="W347">
    <cfRule type="expression" dxfId="5277" priority="550">
      <formula>AND(IF($R$347,$W$347,TRUE),LEN(TRIM($W$347))&gt;0)</formula>
    </cfRule>
  </conditionalFormatting>
  <conditionalFormatting sqref="W347">
    <cfRule type="expression" dxfId="5276" priority="549">
      <formula>$S$347 = FALSE</formula>
    </cfRule>
  </conditionalFormatting>
  <conditionalFormatting sqref="W347">
    <cfRule type="expression" dxfId="5275" priority="548">
      <formula>OR($T$347 = TRUE, AND(LEN(TRIM($W$347))&gt;0, $S$347 = FALSE))</formula>
    </cfRule>
  </conditionalFormatting>
  <conditionalFormatting sqref="W348">
    <cfRule type="expression" dxfId="5274" priority="547">
      <formula>AND($R$348,$S$348)</formula>
    </cfRule>
  </conditionalFormatting>
  <conditionalFormatting sqref="W348">
    <cfRule type="expression" dxfId="5273" priority="546">
      <formula>AND(IF($R$348,$W$348,TRUE),LEN(TRIM($W$348))&gt;0)</formula>
    </cfRule>
  </conditionalFormatting>
  <conditionalFormatting sqref="W348">
    <cfRule type="expression" dxfId="5272" priority="545">
      <formula>$S$348 = FALSE</formula>
    </cfRule>
  </conditionalFormatting>
  <conditionalFormatting sqref="W348">
    <cfRule type="expression" dxfId="5271" priority="544">
      <formula>OR($T$348 = TRUE, AND(LEN(TRIM($W$348))&gt;0, $S$348 = FALSE))</formula>
    </cfRule>
  </conditionalFormatting>
  <conditionalFormatting sqref="W349">
    <cfRule type="expression" dxfId="5270" priority="543">
      <formula>AND($R$349,$S$349)</formula>
    </cfRule>
  </conditionalFormatting>
  <conditionalFormatting sqref="W349">
    <cfRule type="expression" dxfId="5269" priority="542">
      <formula>AND(IF($R$349,$W$349,TRUE),LEN(TRIM($W$349))&gt;0)</formula>
    </cfRule>
  </conditionalFormatting>
  <conditionalFormatting sqref="W349">
    <cfRule type="expression" dxfId="5268" priority="541">
      <formula>$S$349 = FALSE</formula>
    </cfRule>
  </conditionalFormatting>
  <conditionalFormatting sqref="W349">
    <cfRule type="expression" dxfId="5267" priority="540">
      <formula>OR($T$349 = TRUE, AND(LEN(TRIM($W$349))&gt;0, $S$349 = FALSE))</formula>
    </cfRule>
  </conditionalFormatting>
  <conditionalFormatting sqref="W350">
    <cfRule type="expression" dxfId="5266" priority="539">
      <formula>AND($R$350,$S$350)</formula>
    </cfRule>
  </conditionalFormatting>
  <conditionalFormatting sqref="W350">
    <cfRule type="expression" dxfId="5265" priority="538">
      <formula>AND(IF($R$350,$W$350,TRUE),LEN(TRIM($W$350))&gt;0)</formula>
    </cfRule>
  </conditionalFormatting>
  <conditionalFormatting sqref="W350">
    <cfRule type="expression" dxfId="5264" priority="537">
      <formula>$S$350 = FALSE</formula>
    </cfRule>
  </conditionalFormatting>
  <conditionalFormatting sqref="W350">
    <cfRule type="expression" dxfId="5263" priority="536">
      <formula>OR($T$350 = TRUE, AND(LEN(TRIM($W$350))&gt;0, $S$350 = FALSE))</formula>
    </cfRule>
  </conditionalFormatting>
  <conditionalFormatting sqref="W351">
    <cfRule type="expression" dxfId="5262" priority="535">
      <formula>AND($R$351,$S$351)</formula>
    </cfRule>
  </conditionalFormatting>
  <conditionalFormatting sqref="W351">
    <cfRule type="expression" dxfId="5261" priority="534">
      <formula>AND(IF($R$351,$W$351,TRUE),LEN(TRIM($W$351))&gt;0)</formula>
    </cfRule>
  </conditionalFormatting>
  <conditionalFormatting sqref="W351">
    <cfRule type="expression" dxfId="5260" priority="533">
      <formula>$S$351 = FALSE</formula>
    </cfRule>
  </conditionalFormatting>
  <conditionalFormatting sqref="W351">
    <cfRule type="expression" dxfId="5259" priority="532">
      <formula>OR($T$351 = TRUE, AND(LEN(TRIM($W$351))&gt;0, $S$351 = FALSE))</formula>
    </cfRule>
  </conditionalFormatting>
  <conditionalFormatting sqref="W375">
    <cfRule type="expression" dxfId="5258" priority="531">
      <formula>AND($R$375,$S$375)</formula>
    </cfRule>
  </conditionalFormatting>
  <conditionalFormatting sqref="W375">
    <cfRule type="expression" dxfId="5257" priority="530">
      <formula>AND(IF($R$375,$W$375,TRUE),LEN(TRIM($W$375))&gt;0)</formula>
    </cfRule>
  </conditionalFormatting>
  <conditionalFormatting sqref="W375">
    <cfRule type="expression" dxfId="5256" priority="529">
      <formula>$S$375 = FALSE</formula>
    </cfRule>
  </conditionalFormatting>
  <conditionalFormatting sqref="W375">
    <cfRule type="expression" dxfId="5255" priority="528">
      <formula>OR($T$375 = TRUE, AND(LEN(TRIM($W$375))&gt;0, $S$375 = FALSE))</formula>
    </cfRule>
  </conditionalFormatting>
  <conditionalFormatting sqref="W376">
    <cfRule type="expression" dxfId="5254" priority="527">
      <formula>AND($R$376,$S$376)</formula>
    </cfRule>
  </conditionalFormatting>
  <conditionalFormatting sqref="W376">
    <cfRule type="expression" dxfId="5253" priority="526">
      <formula>AND(IF($R$376,$W$376,TRUE),LEN(TRIM($W$376))&gt;0)</formula>
    </cfRule>
  </conditionalFormatting>
  <conditionalFormatting sqref="W376">
    <cfRule type="expression" dxfId="5252" priority="525">
      <formula>$S$376 = FALSE</formula>
    </cfRule>
  </conditionalFormatting>
  <conditionalFormatting sqref="W376">
    <cfRule type="expression" dxfId="5251" priority="524">
      <formula>OR($T$376 = TRUE, AND(LEN(TRIM($W$376))&gt;0, $S$376 = FALSE))</formula>
    </cfRule>
  </conditionalFormatting>
  <conditionalFormatting sqref="W378">
    <cfRule type="expression" dxfId="5250" priority="523">
      <formula>AND($R$378,$S$378)</formula>
    </cfRule>
  </conditionalFormatting>
  <conditionalFormatting sqref="W378">
    <cfRule type="expression" dxfId="5249" priority="522">
      <formula>AND(IF($R$378,$W$378,TRUE),LEN(TRIM($W$378))&gt;0)</formula>
    </cfRule>
  </conditionalFormatting>
  <conditionalFormatting sqref="W378">
    <cfRule type="expression" dxfId="5248" priority="521">
      <formula>$S$378 = FALSE</formula>
    </cfRule>
  </conditionalFormatting>
  <conditionalFormatting sqref="W378">
    <cfRule type="expression" dxfId="5247" priority="520">
      <formula>OR($T$378 = TRUE, AND(LEN(TRIM($W$378))&gt;0, $S$378 = FALSE))</formula>
    </cfRule>
  </conditionalFormatting>
  <conditionalFormatting sqref="W379">
    <cfRule type="expression" dxfId="5246" priority="519">
      <formula>AND($R$379,$S$379)</formula>
    </cfRule>
  </conditionalFormatting>
  <conditionalFormatting sqref="W379">
    <cfRule type="expression" dxfId="5245" priority="518">
      <formula>AND(IF($R$379,$W$379,TRUE),LEN(TRIM($W$379))&gt;0)</formula>
    </cfRule>
  </conditionalFormatting>
  <conditionalFormatting sqref="W379">
    <cfRule type="expression" dxfId="5244" priority="517">
      <formula>$S$379 = FALSE</formula>
    </cfRule>
  </conditionalFormatting>
  <conditionalFormatting sqref="W379">
    <cfRule type="expression" dxfId="5243" priority="516">
      <formula>OR($T$379 = TRUE, AND(LEN(TRIM($W$379))&gt;0, $S$379 = FALSE))</formula>
    </cfRule>
  </conditionalFormatting>
  <conditionalFormatting sqref="X375:X376 X378:X379 X418 X416">
    <cfRule type="expression" dxfId="5242" priority="515">
      <formula>NOT(ISBLANK(W375))</formula>
    </cfRule>
  </conditionalFormatting>
  <conditionalFormatting sqref="W381">
    <cfRule type="expression" dxfId="5241" priority="514">
      <formula>AND($R$381,$S$381)</formula>
    </cfRule>
  </conditionalFormatting>
  <conditionalFormatting sqref="W381">
    <cfRule type="expression" dxfId="5240" priority="513">
      <formula>AND(IF($R$381,$W$381,TRUE),LEN(TRIM($W$381))&gt;0)</formula>
    </cfRule>
  </conditionalFormatting>
  <conditionalFormatting sqref="W381">
    <cfRule type="expression" dxfId="5239" priority="512">
      <formula>$S$381 = FALSE</formula>
    </cfRule>
  </conditionalFormatting>
  <conditionalFormatting sqref="W381">
    <cfRule type="expression" dxfId="5238" priority="511">
      <formula>OR($T$381 = TRUE, AND(LEN(TRIM($W$381))&gt;0, $S$381 = FALSE))</formula>
    </cfRule>
  </conditionalFormatting>
  <conditionalFormatting sqref="X381:X386">
    <cfRule type="expression" dxfId="5237" priority="510">
      <formula>NOT(ISBLANK(W381))</formula>
    </cfRule>
  </conditionalFormatting>
  <conditionalFormatting sqref="W404">
    <cfRule type="expression" dxfId="5236" priority="497">
      <formula>AND($R$404,$S$404)</formula>
    </cfRule>
  </conditionalFormatting>
  <conditionalFormatting sqref="W404">
    <cfRule type="expression" dxfId="5235" priority="496">
      <formula>AND(IF($R$404,$W$404,TRUE),LEN(TRIM($W$404))&gt;0)</formula>
    </cfRule>
  </conditionalFormatting>
  <conditionalFormatting sqref="W404">
    <cfRule type="expression" dxfId="5234" priority="495">
      <formula>$S$404 = FALSE</formula>
    </cfRule>
  </conditionalFormatting>
  <conditionalFormatting sqref="W404">
    <cfRule type="expression" dxfId="5233" priority="494">
      <formula>OR($T$404 = TRUE, AND(LEN(TRIM($W$404))&gt;0, $S$404 = FALSE))</formula>
    </cfRule>
  </conditionalFormatting>
  <conditionalFormatting sqref="X404:X411">
    <cfRule type="expression" dxfId="5232" priority="493">
      <formula>NOT(ISBLANK(W404))</formula>
    </cfRule>
  </conditionalFormatting>
  <conditionalFormatting sqref="W416">
    <cfRule type="expression" dxfId="5231" priority="492">
      <formula>AND($R$416,$S$416)</formula>
    </cfRule>
  </conditionalFormatting>
  <conditionalFormatting sqref="W416">
    <cfRule type="expression" dxfId="5230" priority="491">
      <formula>AND(IF($R$416,$W$416,TRUE),LEN(TRIM($W$416))&gt;0)</formula>
    </cfRule>
  </conditionalFormatting>
  <conditionalFormatting sqref="W416">
    <cfRule type="expression" dxfId="5229" priority="490">
      <formula>$S$416 = FALSE</formula>
    </cfRule>
  </conditionalFormatting>
  <conditionalFormatting sqref="W416">
    <cfRule type="expression" dxfId="5228" priority="489">
      <formula>OR($T$416 = TRUE, AND(LEN(TRIM($W$416))&gt;0, $S$416 = FALSE))</formula>
    </cfRule>
  </conditionalFormatting>
  <conditionalFormatting sqref="W418">
    <cfRule type="expression" dxfId="5227" priority="488">
      <formula>AND($R$418,$S$418)</formula>
    </cfRule>
  </conditionalFormatting>
  <conditionalFormatting sqref="W418">
    <cfRule type="expression" dxfId="5226" priority="487">
      <formula>AND(IF($R$418,$W$418,TRUE),LEN(TRIM($W$418))&gt;0)</formula>
    </cfRule>
  </conditionalFormatting>
  <conditionalFormatting sqref="W418">
    <cfRule type="expression" dxfId="5225" priority="486">
      <formula>$S$418 = FALSE</formula>
    </cfRule>
  </conditionalFormatting>
  <conditionalFormatting sqref="W418">
    <cfRule type="expression" dxfId="5224" priority="485">
      <formula>OR($T$418 = TRUE, AND(LEN(TRIM($W$418))&gt;0, $S$418 = FALSE))</formula>
    </cfRule>
  </conditionalFormatting>
  <conditionalFormatting sqref="X489:X494">
    <cfRule type="expression" dxfId="5223" priority="484">
      <formula>NOT(ISBLANK(W490))</formula>
    </cfRule>
  </conditionalFormatting>
  <conditionalFormatting sqref="W459">
    <cfRule type="expression" dxfId="5222" priority="482">
      <formula>AND($R$459,$S$459)</formula>
    </cfRule>
  </conditionalFormatting>
  <conditionalFormatting sqref="W459">
    <cfRule type="expression" dxfId="5221" priority="481">
      <formula>AND(IF($R$459,$W$459,TRUE),LEN(TRIM($W$459))&gt;0)</formula>
    </cfRule>
  </conditionalFormatting>
  <conditionalFormatting sqref="W459">
    <cfRule type="expression" dxfId="5220" priority="480">
      <formula>$S$459 = FALSE</formula>
    </cfRule>
  </conditionalFormatting>
  <conditionalFormatting sqref="W459">
    <cfRule type="expression" dxfId="5219" priority="479">
      <formula>OR($T$459 = TRUE, AND(LEN(TRIM($W$459))&gt;0, $S$459 = FALSE))</formula>
    </cfRule>
  </conditionalFormatting>
  <conditionalFormatting sqref="W466">
    <cfRule type="expression" dxfId="5218" priority="478">
      <formula>AND($R$466,$S$466)</formula>
    </cfRule>
  </conditionalFormatting>
  <conditionalFormatting sqref="W466">
    <cfRule type="expression" dxfId="5217" priority="477">
      <formula>AND(IF($R$466,$W$466,TRUE),LEN(TRIM($W$466))&gt;0)</formula>
    </cfRule>
  </conditionalFormatting>
  <conditionalFormatting sqref="W466">
    <cfRule type="expression" dxfId="5216" priority="476">
      <formula>$S$466 = FALSE</formula>
    </cfRule>
  </conditionalFormatting>
  <conditionalFormatting sqref="W466">
    <cfRule type="expression" dxfId="5215" priority="475">
      <formula>OR($T$466 = TRUE, AND(LEN(TRIM($W$466))&gt;0, $S$466 = FALSE))</formula>
    </cfRule>
  </conditionalFormatting>
  <conditionalFormatting sqref="X457:X463 X418">
    <cfRule type="expression" dxfId="5214" priority="474">
      <formula>NOT(ISBLANK(W420))</formula>
    </cfRule>
  </conditionalFormatting>
  <conditionalFormatting sqref="X464:X470">
    <cfRule type="expression" dxfId="5213" priority="473">
      <formula>NOT(ISBLANK(W466))</formula>
    </cfRule>
  </conditionalFormatting>
  <conditionalFormatting sqref="W472">
    <cfRule type="expression" dxfId="5212" priority="472">
      <formula>AND($R$472,$S$472)</formula>
    </cfRule>
  </conditionalFormatting>
  <conditionalFormatting sqref="W472">
    <cfRule type="expression" dxfId="5211" priority="471">
      <formula>AND(IF($R$472,$W$472,TRUE),LEN(TRIM($W$472))&gt;0)</formula>
    </cfRule>
  </conditionalFormatting>
  <conditionalFormatting sqref="W472">
    <cfRule type="expression" dxfId="5210" priority="470">
      <formula>$S$472 = FALSE</formula>
    </cfRule>
  </conditionalFormatting>
  <conditionalFormatting sqref="W472">
    <cfRule type="expression" dxfId="5209" priority="469">
      <formula>OR($T$472 = TRUE, AND(LEN(TRIM($W$472))&gt;0, $S$472 = FALSE))</formula>
    </cfRule>
  </conditionalFormatting>
  <conditionalFormatting sqref="W478">
    <cfRule type="expression" dxfId="5208" priority="468">
      <formula>AND($R$478,$S$478)</formula>
    </cfRule>
  </conditionalFormatting>
  <conditionalFormatting sqref="W478">
    <cfRule type="expression" dxfId="5207" priority="467">
      <formula>AND(IF($R$478,$W$478,TRUE),LEN(TRIM($W$478))&gt;0)</formula>
    </cfRule>
  </conditionalFormatting>
  <conditionalFormatting sqref="W478">
    <cfRule type="expression" dxfId="5206" priority="466">
      <formula>$S$478 = FALSE</formula>
    </cfRule>
  </conditionalFormatting>
  <conditionalFormatting sqref="W478">
    <cfRule type="expression" dxfId="5205" priority="465">
      <formula>OR($T$478 = TRUE, AND(LEN(TRIM($W$478))&gt;0, $S$478 = FALSE))</formula>
    </cfRule>
  </conditionalFormatting>
  <conditionalFormatting sqref="W484">
    <cfRule type="expression" dxfId="5204" priority="464">
      <formula>AND($R$484,$S$484)</formula>
    </cfRule>
  </conditionalFormatting>
  <conditionalFormatting sqref="W484">
    <cfRule type="expression" dxfId="5203" priority="463">
      <formula>AND(IF($R$484,$W$484,TRUE),LEN(TRIM($W$484))&gt;0)</formula>
    </cfRule>
  </conditionalFormatting>
  <conditionalFormatting sqref="W484">
    <cfRule type="expression" dxfId="5202" priority="462">
      <formula>$S$484 = FALSE</formula>
    </cfRule>
  </conditionalFormatting>
  <conditionalFormatting sqref="W484">
    <cfRule type="expression" dxfId="5201" priority="461">
      <formula>OR($T$484 = TRUE, AND(LEN(TRIM($W$484))&gt;0, $S$484 = FALSE))</formula>
    </cfRule>
  </conditionalFormatting>
  <conditionalFormatting sqref="W490">
    <cfRule type="expression" dxfId="5200" priority="460">
      <formula>AND($R$490,$S$490)</formula>
    </cfRule>
  </conditionalFormatting>
  <conditionalFormatting sqref="W490">
    <cfRule type="expression" dxfId="5199" priority="459">
      <formula>AND(IF($R$490,$W$490,TRUE),LEN(TRIM($W$490))&gt;0)</formula>
    </cfRule>
  </conditionalFormatting>
  <conditionalFormatting sqref="W490">
    <cfRule type="expression" dxfId="5198" priority="458">
      <formula>$S$490 = FALSE</formula>
    </cfRule>
  </conditionalFormatting>
  <conditionalFormatting sqref="W490">
    <cfRule type="expression" dxfId="5197" priority="457">
      <formula>OR($T$490 = TRUE, AND(LEN(TRIM($W$490))&gt;0, $S$490 = FALSE))</formula>
    </cfRule>
  </conditionalFormatting>
  <conditionalFormatting sqref="X471:X476">
    <cfRule type="expression" dxfId="5196" priority="456">
      <formula>NOT(ISBLANK(W472))</formula>
    </cfRule>
  </conditionalFormatting>
  <conditionalFormatting sqref="X477:X482">
    <cfRule type="expression" dxfId="5195" priority="455">
      <formula>NOT(ISBLANK(W478))</formula>
    </cfRule>
  </conditionalFormatting>
  <conditionalFormatting sqref="X483:X488">
    <cfRule type="expression" dxfId="5194" priority="454">
      <formula>NOT(ISBLANK(W484))</formula>
    </cfRule>
  </conditionalFormatting>
  <conditionalFormatting sqref="W519">
    <cfRule type="expression" dxfId="5193" priority="446">
      <formula>$S$519 = FALSE</formula>
    </cfRule>
  </conditionalFormatting>
  <conditionalFormatting sqref="W519">
    <cfRule type="expression" dxfId="5192" priority="448">
      <formula>AND($R$519,$S$519)</formula>
    </cfRule>
  </conditionalFormatting>
  <conditionalFormatting sqref="W519">
    <cfRule type="expression" dxfId="5191" priority="447">
      <formula>AND(IF($R$519,$W$519,TRUE),LEN(TRIM($W$519))&gt;0)</formula>
    </cfRule>
  </conditionalFormatting>
  <conditionalFormatting sqref="W519">
    <cfRule type="expression" dxfId="5190" priority="445">
      <formula>OR($T$519 = TRUE, AND(LEN(TRIM($W$519))&gt;0, $S$519 = FALSE))</formula>
    </cfRule>
  </conditionalFormatting>
  <conditionalFormatting sqref="X519:X526">
    <cfRule type="expression" dxfId="5189" priority="444">
      <formula>NOT(ISBLANK(W519))</formula>
    </cfRule>
  </conditionalFormatting>
  <conditionalFormatting sqref="W502">
    <cfRule type="expression" dxfId="5188" priority="443">
      <formula>AND(R502,S502)</formula>
    </cfRule>
  </conditionalFormatting>
  <conditionalFormatting sqref="W502">
    <cfRule type="expression" dxfId="5187" priority="442">
      <formula>AND(IF(R502,W502,TRUE),LEN(TRIM(W502))&gt;0)</formula>
    </cfRule>
  </conditionalFormatting>
  <conditionalFormatting sqref="W502">
    <cfRule type="expression" dxfId="5186" priority="441">
      <formula>S502 = FALSE</formula>
    </cfRule>
  </conditionalFormatting>
  <conditionalFormatting sqref="W502">
    <cfRule type="expression" dxfId="5185" priority="440">
      <formula>OR(T502 = TRUE, AND(W502 = TRUE, S502 = FALSE))</formula>
    </cfRule>
  </conditionalFormatting>
  <conditionalFormatting sqref="W513">
    <cfRule type="expression" dxfId="5184" priority="431">
      <formula>AND(R513,S513)</formula>
    </cfRule>
  </conditionalFormatting>
  <conditionalFormatting sqref="W513">
    <cfRule type="expression" dxfId="5183" priority="430">
      <formula>AND(IF(R513,W513,TRUE),LEN(TRIM(W513))&gt;0)</formula>
    </cfRule>
  </conditionalFormatting>
  <conditionalFormatting sqref="W513">
    <cfRule type="expression" dxfId="5182" priority="429">
      <formula>S513 = FALSE</formula>
    </cfRule>
  </conditionalFormatting>
  <conditionalFormatting sqref="W513">
    <cfRule type="expression" dxfId="5181" priority="428">
      <formula>OR(T513 = TRUE, AND(W513 = TRUE, S513 = FALSE))</formula>
    </cfRule>
  </conditionalFormatting>
  <conditionalFormatting sqref="X511:X517">
    <cfRule type="expression" dxfId="5180" priority="426">
      <formula>W513&gt;0</formula>
    </cfRule>
  </conditionalFormatting>
  <conditionalFormatting sqref="W124">
    <cfRule type="expression" dxfId="5179" priority="421">
      <formula>AND($R$124,$S$124)</formula>
    </cfRule>
  </conditionalFormatting>
  <conditionalFormatting sqref="W124">
    <cfRule type="expression" dxfId="5178" priority="420">
      <formula>AND($W$124&lt;&gt;"Not Met",LEN(TRIM($W$124))&gt;0)</formula>
    </cfRule>
  </conditionalFormatting>
  <conditionalFormatting sqref="W124">
    <cfRule type="expression" dxfId="5177" priority="419">
      <formula>$S$124 = FALSE</formula>
    </cfRule>
  </conditionalFormatting>
  <conditionalFormatting sqref="W124">
    <cfRule type="expression" dxfId="5176" priority="418">
      <formula>OR($T$124 = TRUE, AND(LEN(TRIM($W$124))&gt;0, $S$124 = FALSE))</formula>
    </cfRule>
  </conditionalFormatting>
  <conditionalFormatting sqref="W133">
    <cfRule type="expression" dxfId="5175" priority="417">
      <formula>AND($R$133,$S$133)</formula>
    </cfRule>
  </conditionalFormatting>
  <conditionalFormatting sqref="W133">
    <cfRule type="expression" dxfId="5174" priority="416">
      <formula>AND($W$133&lt;&gt;"Not Met",LEN(TRIM($W$133))&gt;0)</formula>
    </cfRule>
  </conditionalFormatting>
  <conditionalFormatting sqref="W133">
    <cfRule type="expression" dxfId="5173" priority="415">
      <formula>$S$133 = FALSE</formula>
    </cfRule>
  </conditionalFormatting>
  <conditionalFormatting sqref="W133">
    <cfRule type="expression" dxfId="5172" priority="414">
      <formula>OR($T$133 = TRUE, AND(LEN(TRIM($W$133))&gt;0, $S$133 = FALSE))</formula>
    </cfRule>
  </conditionalFormatting>
  <conditionalFormatting sqref="W162">
    <cfRule type="expression" dxfId="5171" priority="413">
      <formula>AND($R$162,$S$162)</formula>
    </cfRule>
  </conditionalFormatting>
  <conditionalFormatting sqref="W162">
    <cfRule type="expression" dxfId="5170" priority="412">
      <formula>AND($W$162&lt;&gt;"Not Met",LEN(TRIM($W$162))&gt;0)</formula>
    </cfRule>
  </conditionalFormatting>
  <conditionalFormatting sqref="W162">
    <cfRule type="expression" dxfId="5169" priority="411">
      <formula>$S$162 = FALSE</formula>
    </cfRule>
  </conditionalFormatting>
  <conditionalFormatting sqref="W162">
    <cfRule type="expression" dxfId="5168" priority="410">
      <formula>OR($T$162 = TRUE, AND(LEN(TRIM($W$162))&gt;0, $S$162 = FALSE))</formula>
    </cfRule>
  </conditionalFormatting>
  <conditionalFormatting sqref="W173">
    <cfRule type="expression" dxfId="5167" priority="409">
      <formula>AND($R$173,$S$173)</formula>
    </cfRule>
  </conditionalFormatting>
  <conditionalFormatting sqref="W173">
    <cfRule type="expression" dxfId="5166" priority="408">
      <formula>AND($W$173&lt;&gt;"Not Met",LEN(TRIM($W$173))&gt;0)</formula>
    </cfRule>
  </conditionalFormatting>
  <conditionalFormatting sqref="W173">
    <cfRule type="expression" dxfId="5165" priority="407">
      <formula>$S$173 = FALSE</formula>
    </cfRule>
  </conditionalFormatting>
  <conditionalFormatting sqref="W173">
    <cfRule type="expression" dxfId="5164" priority="406">
      <formula>OR($T$173 = TRUE, AND(LEN(TRIM($W$173))&gt;0, $S$173 = FALSE))</formula>
    </cfRule>
  </conditionalFormatting>
  <conditionalFormatting sqref="W227">
    <cfRule type="expression" dxfId="5163" priority="405">
      <formula>AND($R$227,$S$227)</formula>
    </cfRule>
  </conditionalFormatting>
  <conditionalFormatting sqref="W227">
    <cfRule type="expression" dxfId="5162" priority="404">
      <formula>AND($W$227&lt;&gt;"Not Met",LEN(TRIM($W$227))&gt;0)</formula>
    </cfRule>
  </conditionalFormatting>
  <conditionalFormatting sqref="W227">
    <cfRule type="expression" dxfId="5161" priority="403">
      <formula>$S$227 = FALSE</formula>
    </cfRule>
  </conditionalFormatting>
  <conditionalFormatting sqref="W227">
    <cfRule type="expression" dxfId="5160" priority="402">
      <formula>OR($T$227 = TRUE, AND(LEN(TRIM($W$227))&gt;0, $S$227 = FALSE))</formula>
    </cfRule>
  </conditionalFormatting>
  <conditionalFormatting sqref="W234">
    <cfRule type="expression" dxfId="5159" priority="401">
      <formula>AND($R$234,$S$234)</formula>
    </cfRule>
  </conditionalFormatting>
  <conditionalFormatting sqref="W234">
    <cfRule type="expression" dxfId="5158" priority="400">
      <formula>AND($W$234&lt;&gt;"Not Met",LEN(TRIM($W$234))&gt;0)</formula>
    </cfRule>
  </conditionalFormatting>
  <conditionalFormatting sqref="W234">
    <cfRule type="expression" dxfId="5157" priority="399">
      <formula>$S$234 = FALSE</formula>
    </cfRule>
  </conditionalFormatting>
  <conditionalFormatting sqref="W234">
    <cfRule type="expression" dxfId="5156" priority="398">
      <formula>OR($T$234 = TRUE, AND(LEN(TRIM($W$234))&gt;0, $S$234 = FALSE))</formula>
    </cfRule>
  </conditionalFormatting>
  <conditionalFormatting sqref="W240">
    <cfRule type="expression" dxfId="5155" priority="397">
      <formula>AND($R$240,$S$240)</formula>
    </cfRule>
  </conditionalFormatting>
  <conditionalFormatting sqref="W240">
    <cfRule type="expression" dxfId="5154" priority="396">
      <formula>AND($W$240&lt;&gt;"Not Met",LEN(TRIM($W$240))&gt;0)</formula>
    </cfRule>
  </conditionalFormatting>
  <conditionalFormatting sqref="W240">
    <cfRule type="expression" dxfId="5153" priority="395">
      <formula>$S$240 = FALSE</formula>
    </cfRule>
  </conditionalFormatting>
  <conditionalFormatting sqref="W240">
    <cfRule type="expression" dxfId="5152" priority="394">
      <formula>OR($T$240 = TRUE, AND(LEN(TRIM($W$240))&gt;0, $S$240 = FALSE))</formula>
    </cfRule>
  </conditionalFormatting>
  <conditionalFormatting sqref="W32">
    <cfRule type="expression" dxfId="5151" priority="390">
      <formula>OR($T$32 = TRUE, AND($W$32 = TRUE, $S$32 = FALSE))</formula>
    </cfRule>
    <cfRule type="expression" dxfId="5150" priority="391">
      <formula>$S$32 = FALSE</formula>
    </cfRule>
    <cfRule type="expression" dxfId="5149" priority="392">
      <formula>AND(IF($R$32,$W$32,TRUE),LEN(TRIM($W$32))&gt;0)</formula>
    </cfRule>
    <cfRule type="expression" dxfId="5148" priority="393">
      <formula>AND($R$32,$S$32)</formula>
    </cfRule>
  </conditionalFormatting>
  <conditionalFormatting sqref="W35">
    <cfRule type="expression" dxfId="5147" priority="386">
      <formula>OR($T$35 = TRUE, AND($W$35 = TRUE, $S$35 = FALSE))</formula>
    </cfRule>
    <cfRule type="expression" dxfId="5146" priority="387">
      <formula>$S$35 = FALSE</formula>
    </cfRule>
    <cfRule type="expression" dxfId="5145" priority="388">
      <formula>AND(IF($R$35,$W$35,TRUE),LEN(TRIM($W$35))&gt;0)</formula>
    </cfRule>
    <cfRule type="expression" dxfId="5144" priority="389">
      <formula>AND($R$35,$S$35)</formula>
    </cfRule>
  </conditionalFormatting>
  <conditionalFormatting sqref="W38">
    <cfRule type="expression" dxfId="5143" priority="382">
      <formula>OR($T$38 = TRUE, AND($W$38 = TRUE, $S$38 = FALSE))</formula>
    </cfRule>
    <cfRule type="expression" dxfId="5142" priority="383">
      <formula>$S$38 = FALSE</formula>
    </cfRule>
    <cfRule type="expression" dxfId="5141" priority="384">
      <formula>AND(IF($R$38,$W$38,TRUE),LEN(TRIM($W$38))&gt;0)</formula>
    </cfRule>
    <cfRule type="expression" dxfId="5140" priority="385">
      <formula>AND($R$38,$S$38)</formula>
    </cfRule>
  </conditionalFormatting>
  <conditionalFormatting sqref="W44">
    <cfRule type="expression" dxfId="5139" priority="378">
      <formula>OR($T$44 = TRUE, AND($W$44 = TRUE, $S$44 = FALSE))</formula>
    </cfRule>
    <cfRule type="expression" dxfId="5138" priority="379">
      <formula>$S$44 = FALSE</formula>
    </cfRule>
    <cfRule type="expression" dxfId="5137" priority="380">
      <formula>AND(IF($R$44,$W$44,TRUE),LEN(TRIM($W$44))&gt;0)</formula>
    </cfRule>
    <cfRule type="expression" dxfId="5136" priority="381">
      <formula>AND($R$44,$S$44)</formula>
    </cfRule>
  </conditionalFormatting>
  <conditionalFormatting sqref="W45">
    <cfRule type="expression" dxfId="5135" priority="374">
      <formula>OR($T$45 = TRUE, AND($W$45 = TRUE, $S$45 = FALSE))</formula>
    </cfRule>
    <cfRule type="expression" dxfId="5134" priority="375">
      <formula>$S$45 = FALSE</formula>
    </cfRule>
    <cfRule type="expression" dxfId="5133" priority="376">
      <formula>AND(IF($R$45,$W$45,TRUE),LEN(TRIM($W$45))&gt;0)</formula>
    </cfRule>
    <cfRule type="expression" dxfId="5132" priority="377">
      <formula>AND($R$45,$S$45)</formula>
    </cfRule>
  </conditionalFormatting>
  <conditionalFormatting sqref="W46">
    <cfRule type="expression" dxfId="5131" priority="370">
      <formula>OR($T$46 = TRUE, AND($W$46 = TRUE, $S$46 = FALSE))</formula>
    </cfRule>
    <cfRule type="expression" dxfId="5130" priority="371">
      <formula>$S$46 = FALSE</formula>
    </cfRule>
    <cfRule type="expression" dxfId="5129" priority="372">
      <formula>AND(IF($R$46,$W$46,TRUE),LEN(TRIM($W$46))&gt;0)</formula>
    </cfRule>
    <cfRule type="expression" dxfId="5128" priority="373">
      <formula>AND($R$46,$S$46)</formula>
    </cfRule>
  </conditionalFormatting>
  <conditionalFormatting sqref="W47">
    <cfRule type="expression" dxfId="5127" priority="366">
      <formula>OR($T$47 = TRUE, AND($W$47 = TRUE, $S$47 = FALSE))</formula>
    </cfRule>
    <cfRule type="expression" dxfId="5126" priority="367">
      <formula>$S$47 = FALSE</formula>
    </cfRule>
    <cfRule type="expression" dxfId="5125" priority="368">
      <formula>AND(IF($R$47,$W$47,TRUE),LEN(TRIM($W$47))&gt;0)</formula>
    </cfRule>
    <cfRule type="expression" dxfId="5124" priority="369">
      <formula>AND($R$47,$S$47)</formula>
    </cfRule>
  </conditionalFormatting>
  <conditionalFormatting sqref="W48">
    <cfRule type="expression" dxfId="5123" priority="362">
      <formula>OR($T$48 = TRUE, AND($W$48 = TRUE, $S$48 = FALSE))</formula>
    </cfRule>
    <cfRule type="expression" dxfId="5122" priority="363">
      <formula>$S$48 = FALSE</formula>
    </cfRule>
    <cfRule type="expression" dxfId="5121" priority="364">
      <formula>AND(IF($R$48,$W$48,TRUE),LEN(TRIM($W$48))&gt;0)</formula>
    </cfRule>
    <cfRule type="expression" dxfId="5120" priority="365">
      <formula>AND($R$48,$S$48)</formula>
    </cfRule>
  </conditionalFormatting>
  <conditionalFormatting sqref="W49">
    <cfRule type="expression" dxfId="5119" priority="358">
      <formula>OR($T$49 = TRUE, AND($W$49 = TRUE, $S$49 = FALSE))</formula>
    </cfRule>
    <cfRule type="expression" dxfId="5118" priority="359">
      <formula>$S$49 = FALSE</formula>
    </cfRule>
    <cfRule type="expression" dxfId="5117" priority="360">
      <formula>AND(IF($R$49,$W$49,TRUE),LEN(TRIM($W$49))&gt;0)</formula>
    </cfRule>
    <cfRule type="expression" dxfId="5116" priority="361">
      <formula>AND($R$49,$S$49)</formula>
    </cfRule>
  </conditionalFormatting>
  <conditionalFormatting sqref="W57">
    <cfRule type="expression" dxfId="5115" priority="354">
      <formula>OR($T$57 = TRUE, AND($W$57 = TRUE, $S$57 = FALSE))</formula>
    </cfRule>
    <cfRule type="expression" dxfId="5114" priority="355">
      <formula>$S$57 = FALSE</formula>
    </cfRule>
    <cfRule type="expression" dxfId="5113" priority="356">
      <formula>AND(IF($R$57,$W$57,TRUE),LEN(TRIM($W$57))&gt;0)</formula>
    </cfRule>
    <cfRule type="expression" dxfId="5112" priority="357">
      <formula>AND($R$57,$S$57)</formula>
    </cfRule>
  </conditionalFormatting>
  <conditionalFormatting sqref="W58">
    <cfRule type="expression" dxfId="5111" priority="350">
      <formula>OR($T$58 = TRUE, AND($W$58 = TRUE, $S$58 = FALSE))</formula>
    </cfRule>
    <cfRule type="expression" dxfId="5110" priority="351">
      <formula>$S$58 = FALSE</formula>
    </cfRule>
    <cfRule type="expression" dxfId="5109" priority="352">
      <formula>AND(IF($R$58,$W$58,TRUE),LEN(TRIM($W$58))&gt;0)</formula>
    </cfRule>
    <cfRule type="expression" dxfId="5108" priority="353">
      <formula>AND($R$58,$S$58)</formula>
    </cfRule>
  </conditionalFormatting>
  <conditionalFormatting sqref="W59">
    <cfRule type="expression" dxfId="5107" priority="346">
      <formula>OR($T$59 = TRUE, AND($W$59 = TRUE, $S$59 = FALSE))</formula>
    </cfRule>
    <cfRule type="expression" dxfId="5106" priority="347">
      <formula>$S$59 = FALSE</formula>
    </cfRule>
    <cfRule type="expression" dxfId="5105" priority="348">
      <formula>AND(IF($R$59,$W$59,TRUE),LEN(TRIM($W$59))&gt;0)</formula>
    </cfRule>
    <cfRule type="expression" dxfId="5104" priority="349">
      <formula>AND($R$59,$S$59)</formula>
    </cfRule>
  </conditionalFormatting>
  <conditionalFormatting sqref="W60">
    <cfRule type="expression" dxfId="5103" priority="345">
      <formula>AND($R$60,$S$60)</formula>
    </cfRule>
  </conditionalFormatting>
  <conditionalFormatting sqref="W60">
    <cfRule type="expression" dxfId="5102" priority="344">
      <formula>AND(IF($R$60,$W$60,TRUE),LEN(TRIM($W$60))&gt;0)</formula>
    </cfRule>
  </conditionalFormatting>
  <conditionalFormatting sqref="W60">
    <cfRule type="expression" dxfId="5101" priority="343">
      <formula>$S$60 = FALSE</formula>
    </cfRule>
  </conditionalFormatting>
  <conditionalFormatting sqref="W60">
    <cfRule type="expression" dxfId="5100" priority="342">
      <formula>OR($T$60 = TRUE, AND($W$60 = TRUE, $S$60 = FALSE))</formula>
    </cfRule>
  </conditionalFormatting>
  <conditionalFormatting sqref="W85">
    <cfRule type="expression" dxfId="5099" priority="337">
      <formula>AND($R$85,$S$85)</formula>
    </cfRule>
  </conditionalFormatting>
  <conditionalFormatting sqref="W85">
    <cfRule type="expression" dxfId="5098" priority="336">
      <formula>AND(IF($R$85,$W$85,TRUE),LEN(TRIM($W$85))&gt;0)</formula>
    </cfRule>
  </conditionalFormatting>
  <conditionalFormatting sqref="W85">
    <cfRule type="expression" dxfId="5097" priority="335">
      <formula>$S$85 = FALSE</formula>
    </cfRule>
  </conditionalFormatting>
  <conditionalFormatting sqref="W85">
    <cfRule type="expression" dxfId="5096" priority="334">
      <formula>OR($T$85 = TRUE, AND($W$85 = TRUE, $S$85 = FALSE))</formula>
    </cfRule>
  </conditionalFormatting>
  <conditionalFormatting sqref="W102">
    <cfRule type="expression" dxfId="5095" priority="325">
      <formula>AND($R$102,$S$102)</formula>
    </cfRule>
  </conditionalFormatting>
  <conditionalFormatting sqref="W102">
    <cfRule type="expression" dxfId="5094" priority="324">
      <formula>AND(IF($R$102,$W$102,TRUE),LEN(TRIM($W$102))&gt;0)</formula>
    </cfRule>
  </conditionalFormatting>
  <conditionalFormatting sqref="W102">
    <cfRule type="expression" dxfId="5093" priority="323">
      <formula>$S$102 = FALSE</formula>
    </cfRule>
  </conditionalFormatting>
  <conditionalFormatting sqref="W102">
    <cfRule type="expression" dxfId="5092" priority="322">
      <formula>OR($T$102 = TRUE, AND($W$102 = TRUE, $S$102 = FALSE))</formula>
    </cfRule>
  </conditionalFormatting>
  <conditionalFormatting sqref="W108">
    <cfRule type="expression" dxfId="5091" priority="321">
      <formula>AND($R$108,$S$108)</formula>
    </cfRule>
  </conditionalFormatting>
  <conditionalFormatting sqref="W108">
    <cfRule type="expression" dxfId="5090" priority="320">
      <formula>AND(IF($R$108,$W$108,TRUE),LEN(TRIM($W$108))&gt;0)</formula>
    </cfRule>
  </conditionalFormatting>
  <conditionalFormatting sqref="W108">
    <cfRule type="expression" dxfId="5089" priority="319">
      <formula>$S$108 = FALSE</formula>
    </cfRule>
  </conditionalFormatting>
  <conditionalFormatting sqref="W108">
    <cfRule type="expression" dxfId="5088" priority="318">
      <formula>OR($T$108 = TRUE, AND($W$108 = TRUE, $S$108 = FALSE))</formula>
    </cfRule>
  </conditionalFormatting>
  <conditionalFormatting sqref="W109">
    <cfRule type="expression" dxfId="5087" priority="317">
      <formula>AND($R$109,$S$109)</formula>
    </cfRule>
  </conditionalFormatting>
  <conditionalFormatting sqref="W109">
    <cfRule type="expression" dxfId="5086" priority="316">
      <formula>AND(IF($R$109,$W$109,TRUE),LEN(TRIM($W$109))&gt;0)</formula>
    </cfRule>
  </conditionalFormatting>
  <conditionalFormatting sqref="W109">
    <cfRule type="expression" dxfId="5085" priority="315">
      <formula>$S$109 = FALSE</formula>
    </cfRule>
  </conditionalFormatting>
  <conditionalFormatting sqref="W109">
    <cfRule type="expression" dxfId="5084" priority="314">
      <formula>OR($T$109 = TRUE, AND($W$109 = TRUE, $S$109 = FALSE))</formula>
    </cfRule>
  </conditionalFormatting>
  <conditionalFormatting sqref="W114">
    <cfRule type="expression" dxfId="5083" priority="309">
      <formula>AND($R$114,$S$114)</formula>
    </cfRule>
  </conditionalFormatting>
  <conditionalFormatting sqref="W114">
    <cfRule type="expression" dxfId="5082" priority="308">
      <formula>AND(IF($R$114,$W$114,TRUE),LEN(TRIM($W$114))&gt;0)</formula>
    </cfRule>
  </conditionalFormatting>
  <conditionalFormatting sqref="W114">
    <cfRule type="expression" dxfId="5081" priority="307">
      <formula>$S$114 = FALSE</formula>
    </cfRule>
  </conditionalFormatting>
  <conditionalFormatting sqref="W114">
    <cfRule type="expression" dxfId="5080" priority="306">
      <formula>OR($T$114 = TRUE, AND($W$114 = TRUE, $S$114 = FALSE))</formula>
    </cfRule>
  </conditionalFormatting>
  <conditionalFormatting sqref="W122">
    <cfRule type="expression" dxfId="5079" priority="305">
      <formula>AND($R$122,$S$122)</formula>
    </cfRule>
  </conditionalFormatting>
  <conditionalFormatting sqref="W122">
    <cfRule type="expression" dxfId="5078" priority="304">
      <formula>AND(IF($R$122,$W$122,TRUE),LEN(TRIM($W$122))&gt;0)</formula>
    </cfRule>
  </conditionalFormatting>
  <conditionalFormatting sqref="W122">
    <cfRule type="expression" dxfId="5077" priority="303">
      <formula>$S$122 = FALSE</formula>
    </cfRule>
  </conditionalFormatting>
  <conditionalFormatting sqref="W122">
    <cfRule type="expression" dxfId="5076" priority="302">
      <formula>OR($T$122 = TRUE, AND($W$122 = TRUE, $S$122 = FALSE))</formula>
    </cfRule>
  </conditionalFormatting>
  <conditionalFormatting sqref="W131">
    <cfRule type="expression" dxfId="5075" priority="301">
      <formula>AND($R$131,$S$131)</formula>
    </cfRule>
  </conditionalFormatting>
  <conditionalFormatting sqref="W131">
    <cfRule type="expression" dxfId="5074" priority="300">
      <formula>AND(IF($R$131,$W$131,TRUE),LEN(TRIM($W$131))&gt;0)</formula>
    </cfRule>
  </conditionalFormatting>
  <conditionalFormatting sqref="W131">
    <cfRule type="expression" dxfId="5073" priority="299">
      <formula>$S$131 = FALSE</formula>
    </cfRule>
  </conditionalFormatting>
  <conditionalFormatting sqref="W131">
    <cfRule type="expression" dxfId="5072" priority="298">
      <formula>OR($T$131 = TRUE, AND($W$131 = TRUE, $S$131 = FALSE))</formula>
    </cfRule>
  </conditionalFormatting>
  <conditionalFormatting sqref="W139">
    <cfRule type="expression" dxfId="5071" priority="297">
      <formula>AND($R$139,$S$139)</formula>
    </cfRule>
  </conditionalFormatting>
  <conditionalFormatting sqref="W139">
    <cfRule type="expression" dxfId="5070" priority="296">
      <formula>AND(IF($R$139,$W$139,TRUE),LEN(TRIM($W$139))&gt;0)</formula>
    </cfRule>
  </conditionalFormatting>
  <conditionalFormatting sqref="W139">
    <cfRule type="expression" dxfId="5069" priority="295">
      <formula>$S$139 = FALSE</formula>
    </cfRule>
  </conditionalFormatting>
  <conditionalFormatting sqref="W139">
    <cfRule type="expression" dxfId="5068" priority="294">
      <formula>OR($T$139 = TRUE, AND($W$139 = TRUE, $S$139 = FALSE))</formula>
    </cfRule>
  </conditionalFormatting>
  <conditionalFormatting sqref="W141">
    <cfRule type="expression" dxfId="5067" priority="293">
      <formula>AND($R$141,$S$141)</formula>
    </cfRule>
  </conditionalFormatting>
  <conditionalFormatting sqref="W141">
    <cfRule type="expression" dxfId="5066" priority="292">
      <formula>AND(IF($R$141,$W$141,TRUE),LEN(TRIM($W$141))&gt;0)</formula>
    </cfRule>
  </conditionalFormatting>
  <conditionalFormatting sqref="W141">
    <cfRule type="expression" dxfId="5065" priority="291">
      <formula>$S$141 = FALSE</formula>
    </cfRule>
  </conditionalFormatting>
  <conditionalFormatting sqref="W141">
    <cfRule type="expression" dxfId="5064" priority="290">
      <formula>OR($T$141 = TRUE, AND($W$141 = TRUE, $S$141 = FALSE))</formula>
    </cfRule>
  </conditionalFormatting>
  <conditionalFormatting sqref="W147">
    <cfRule type="expression" dxfId="5063" priority="289">
      <formula>AND($R$147,$S$147)</formula>
    </cfRule>
  </conditionalFormatting>
  <conditionalFormatting sqref="W147">
    <cfRule type="expression" dxfId="5062" priority="288">
      <formula>AND(IF($R$147,$W$147,TRUE),LEN(TRIM($W$147))&gt;0)</formula>
    </cfRule>
  </conditionalFormatting>
  <conditionalFormatting sqref="W147">
    <cfRule type="expression" dxfId="5061" priority="287">
      <formula>$S$147 = FALSE</formula>
    </cfRule>
  </conditionalFormatting>
  <conditionalFormatting sqref="W147">
    <cfRule type="expression" dxfId="5060" priority="286">
      <formula>OR($T$147 = TRUE, AND($W$147 = TRUE, $S$147 = FALSE))</formula>
    </cfRule>
  </conditionalFormatting>
  <conditionalFormatting sqref="W151">
    <cfRule type="expression" dxfId="5059" priority="285">
      <formula>AND($R$151,$S$151)</formula>
    </cfRule>
  </conditionalFormatting>
  <conditionalFormatting sqref="W151">
    <cfRule type="expression" dxfId="5058" priority="284">
      <formula>AND(IF($R$151,$W$151,TRUE),LEN(TRIM($W$151))&gt;0)</formula>
    </cfRule>
  </conditionalFormatting>
  <conditionalFormatting sqref="W151">
    <cfRule type="expression" dxfId="5057" priority="283">
      <formula>$S$151 = FALSE</formula>
    </cfRule>
  </conditionalFormatting>
  <conditionalFormatting sqref="W151">
    <cfRule type="expression" dxfId="5056" priority="282">
      <formula>OR($T$151 = TRUE, AND($W$151 = TRUE, $S$151 = FALSE))</formula>
    </cfRule>
  </conditionalFormatting>
  <conditionalFormatting sqref="W155">
    <cfRule type="expression" dxfId="5055" priority="281">
      <formula>AND($R$155,$S$155)</formula>
    </cfRule>
  </conditionalFormatting>
  <conditionalFormatting sqref="W155">
    <cfRule type="expression" dxfId="5054" priority="280">
      <formula>AND(IF($R$155,$W$155,TRUE),LEN(TRIM($W$155))&gt;0)</formula>
    </cfRule>
  </conditionalFormatting>
  <conditionalFormatting sqref="W155">
    <cfRule type="expression" dxfId="5053" priority="279">
      <formula>$S$155 = FALSE</formula>
    </cfRule>
  </conditionalFormatting>
  <conditionalFormatting sqref="W155">
    <cfRule type="expression" dxfId="5052" priority="278">
      <formula>OR($T$155 = TRUE, AND($W$155 = TRUE, $S$155 = FALSE))</formula>
    </cfRule>
  </conditionalFormatting>
  <conditionalFormatting sqref="W160">
    <cfRule type="expression" dxfId="5051" priority="277">
      <formula>AND($R$160,$S$160)</formula>
    </cfRule>
  </conditionalFormatting>
  <conditionalFormatting sqref="W160">
    <cfRule type="expression" dxfId="5050" priority="276">
      <formula>AND(IF($R$160,$W$160,TRUE),LEN(TRIM($W$160))&gt;0)</formula>
    </cfRule>
  </conditionalFormatting>
  <conditionalFormatting sqref="W160">
    <cfRule type="expression" dxfId="5049" priority="275">
      <formula>$S$160 = FALSE</formula>
    </cfRule>
  </conditionalFormatting>
  <conditionalFormatting sqref="W160">
    <cfRule type="expression" dxfId="5048" priority="274">
      <formula>OR($T$160 = TRUE, AND($W$160 = TRUE, $S$160 = FALSE))</formula>
    </cfRule>
  </conditionalFormatting>
  <conditionalFormatting sqref="W165">
    <cfRule type="expression" dxfId="5047" priority="273">
      <formula>AND($R$165,$S$165)</formula>
    </cfRule>
  </conditionalFormatting>
  <conditionalFormatting sqref="W165">
    <cfRule type="expression" dxfId="5046" priority="272">
      <formula>AND(IF($R$165,$W$165,TRUE),LEN(TRIM($W$165))&gt;0)</formula>
    </cfRule>
  </conditionalFormatting>
  <conditionalFormatting sqref="W165">
    <cfRule type="expression" dxfId="5045" priority="271">
      <formula>$S$165 = FALSE</formula>
    </cfRule>
  </conditionalFormatting>
  <conditionalFormatting sqref="W165">
    <cfRule type="expression" dxfId="5044" priority="270">
      <formula>OR($T$165 = TRUE, AND($W$165 = TRUE, $S$165 = FALSE))</formula>
    </cfRule>
  </conditionalFormatting>
  <conditionalFormatting sqref="W167">
    <cfRule type="expression" dxfId="5043" priority="269">
      <formula>AND($R$167,$S$167)</formula>
    </cfRule>
  </conditionalFormatting>
  <conditionalFormatting sqref="W167">
    <cfRule type="expression" dxfId="5042" priority="268">
      <formula>AND(IF($R$167,$W$167,TRUE),LEN(TRIM($W$167))&gt;0)</formula>
    </cfRule>
  </conditionalFormatting>
  <conditionalFormatting sqref="W167">
    <cfRule type="expression" dxfId="5041" priority="267">
      <formula>$S$167 = FALSE</formula>
    </cfRule>
  </conditionalFormatting>
  <conditionalFormatting sqref="W167">
    <cfRule type="expression" dxfId="5040" priority="266">
      <formula>OR($T$167 = TRUE, AND($W$167 = TRUE, $S$167 = FALSE))</formula>
    </cfRule>
  </conditionalFormatting>
  <conditionalFormatting sqref="W169">
    <cfRule type="expression" dxfId="5039" priority="265">
      <formula>AND($R$169,$S$169)</formula>
    </cfRule>
  </conditionalFormatting>
  <conditionalFormatting sqref="W169">
    <cfRule type="expression" dxfId="5038" priority="264">
      <formula>AND(IF($R$169,$W$169,TRUE),LEN(TRIM($W$169))&gt;0)</formula>
    </cfRule>
  </conditionalFormatting>
  <conditionalFormatting sqref="W169">
    <cfRule type="expression" dxfId="5037" priority="263">
      <formula>$S$169 = FALSE</formula>
    </cfRule>
  </conditionalFormatting>
  <conditionalFormatting sqref="W169">
    <cfRule type="expression" dxfId="5036" priority="262">
      <formula>OR($T$169 = TRUE, AND($W$169 = TRUE, $S$169 = FALSE))</formula>
    </cfRule>
  </conditionalFormatting>
  <conditionalFormatting sqref="W197">
    <cfRule type="expression" dxfId="5035" priority="257">
      <formula>AND($R$197,$S$197)</formula>
    </cfRule>
  </conditionalFormatting>
  <conditionalFormatting sqref="W197">
    <cfRule type="expression" dxfId="5034" priority="256">
      <formula>AND(IF($R$197,$W$197,TRUE),LEN(TRIM($W$197))&gt;0)</formula>
    </cfRule>
  </conditionalFormatting>
  <conditionalFormatting sqref="W197">
    <cfRule type="expression" dxfId="5033" priority="255">
      <formula>$S$197 = FALSE</formula>
    </cfRule>
  </conditionalFormatting>
  <conditionalFormatting sqref="W197">
    <cfRule type="expression" dxfId="5032" priority="254">
      <formula>OR($T$197 = TRUE, AND($W$197 = TRUE, $S$197 = FALSE))</formula>
    </cfRule>
  </conditionalFormatting>
  <conditionalFormatting sqref="W200">
    <cfRule type="expression" dxfId="5031" priority="253">
      <formula>AND($R$200,$S$200)</formula>
    </cfRule>
  </conditionalFormatting>
  <conditionalFormatting sqref="W200">
    <cfRule type="expression" dxfId="5030" priority="252">
      <formula>AND(IF($R$200,$W$200,TRUE),LEN(TRIM($W$200))&gt;0)</formula>
    </cfRule>
  </conditionalFormatting>
  <conditionalFormatting sqref="W200">
    <cfRule type="expression" dxfId="5029" priority="251">
      <formula>$S$200 = FALSE</formula>
    </cfRule>
  </conditionalFormatting>
  <conditionalFormatting sqref="W200">
    <cfRule type="expression" dxfId="5028" priority="250">
      <formula>OR($T$200 = TRUE, AND($W$200 = TRUE, $S$200 = FALSE))</formula>
    </cfRule>
  </conditionalFormatting>
  <conditionalFormatting sqref="W201">
    <cfRule type="expression" dxfId="5027" priority="249">
      <formula>AND($R$201,$S$201)</formula>
    </cfRule>
  </conditionalFormatting>
  <conditionalFormatting sqref="W201">
    <cfRule type="expression" dxfId="5026" priority="248">
      <formula>AND(IF($R$201,$W$201,TRUE),LEN(TRIM($W$201))&gt;0)</formula>
    </cfRule>
  </conditionalFormatting>
  <conditionalFormatting sqref="W201">
    <cfRule type="expression" dxfId="5025" priority="247">
      <formula>$S$201 = FALSE</formula>
    </cfRule>
  </conditionalFormatting>
  <conditionalFormatting sqref="W201">
    <cfRule type="expression" dxfId="5024" priority="246">
      <formula>OR($T$201 = TRUE, AND($W$201 = TRUE, $S$201 = FALSE))</formula>
    </cfRule>
  </conditionalFormatting>
  <conditionalFormatting sqref="W211">
    <cfRule type="expression" dxfId="5023" priority="245">
      <formula>AND($R$211,$S$211)</formula>
    </cfRule>
  </conditionalFormatting>
  <conditionalFormatting sqref="W211">
    <cfRule type="expression" dxfId="5022" priority="244">
      <formula>AND(IF($R$211,$W$211,TRUE),LEN(TRIM($W$211))&gt;0)</formula>
    </cfRule>
  </conditionalFormatting>
  <conditionalFormatting sqref="W211">
    <cfRule type="expression" dxfId="5021" priority="243">
      <formula>$S$211 = FALSE</formula>
    </cfRule>
  </conditionalFormatting>
  <conditionalFormatting sqref="W211">
    <cfRule type="expression" dxfId="5020" priority="242">
      <formula>OR($T$211 = TRUE, AND($W$211 = TRUE, $S$211 = FALSE))</formula>
    </cfRule>
  </conditionalFormatting>
  <conditionalFormatting sqref="W213">
    <cfRule type="expression" dxfId="5019" priority="241">
      <formula>AND($R$213,$S$213)</formula>
    </cfRule>
  </conditionalFormatting>
  <conditionalFormatting sqref="W213">
    <cfRule type="expression" dxfId="5018" priority="240">
      <formula>AND(IF($R$213,$W$213,TRUE),LEN(TRIM($W$213))&gt;0)</formula>
    </cfRule>
  </conditionalFormatting>
  <conditionalFormatting sqref="W213">
    <cfRule type="expression" dxfId="5017" priority="239">
      <formula>$S$213 = FALSE</formula>
    </cfRule>
  </conditionalFormatting>
  <conditionalFormatting sqref="W213">
    <cfRule type="expression" dxfId="5016" priority="238">
      <formula>OR($T$213 = TRUE, AND($W$213 = TRUE, $S$213 = FALSE))</formula>
    </cfRule>
  </conditionalFormatting>
  <conditionalFormatting sqref="W231">
    <cfRule type="expression" dxfId="5015" priority="237">
      <formula>AND($R$231,$S$231)</formula>
    </cfRule>
  </conditionalFormatting>
  <conditionalFormatting sqref="W231">
    <cfRule type="expression" dxfId="5014" priority="236">
      <formula>AND(IF($R$231,$W$231,TRUE),LEN(TRIM($W$231))&gt;0)</formula>
    </cfRule>
  </conditionalFormatting>
  <conditionalFormatting sqref="W231">
    <cfRule type="expression" dxfId="5013" priority="235">
      <formula>$S$231 = FALSE</formula>
    </cfRule>
  </conditionalFormatting>
  <conditionalFormatting sqref="W231">
    <cfRule type="expression" dxfId="5012" priority="234">
      <formula>OR($T$231 = TRUE, AND($W$231 = TRUE, $S$231 = FALSE))</formula>
    </cfRule>
  </conditionalFormatting>
  <conditionalFormatting sqref="W242">
    <cfRule type="expression" dxfId="5011" priority="233">
      <formula>AND($R$242,$S$242)</formula>
    </cfRule>
  </conditionalFormatting>
  <conditionalFormatting sqref="W242">
    <cfRule type="expression" dxfId="5010" priority="232">
      <formula>AND(IF($R$242,$W$242,TRUE),LEN(TRIM($W$242))&gt;0)</formula>
    </cfRule>
  </conditionalFormatting>
  <conditionalFormatting sqref="W242">
    <cfRule type="expression" dxfId="5009" priority="231">
      <formula>$S$242 = FALSE</formula>
    </cfRule>
  </conditionalFormatting>
  <conditionalFormatting sqref="W242">
    <cfRule type="expression" dxfId="5008" priority="230">
      <formula>OR($T$242 = TRUE, AND($W$242 = TRUE, $S$242 = FALSE))</formula>
    </cfRule>
  </conditionalFormatting>
  <conditionalFormatting sqref="W243">
    <cfRule type="expression" dxfId="5007" priority="229">
      <formula>AND($R$243,$S$243)</formula>
    </cfRule>
  </conditionalFormatting>
  <conditionalFormatting sqref="W243">
    <cfRule type="expression" dxfId="5006" priority="228">
      <formula>AND(IF($R$243,$W$243,TRUE),LEN(TRIM($W$243))&gt;0)</formula>
    </cfRule>
  </conditionalFormatting>
  <conditionalFormatting sqref="W243">
    <cfRule type="expression" dxfId="5005" priority="227">
      <formula>$S$243 = FALSE</formula>
    </cfRule>
  </conditionalFormatting>
  <conditionalFormatting sqref="W243">
    <cfRule type="expression" dxfId="5004" priority="226">
      <formula>OR($T$243 = TRUE, AND($W$243 = TRUE, $S$243 = FALSE))</formula>
    </cfRule>
  </conditionalFormatting>
  <conditionalFormatting sqref="W251">
    <cfRule type="expression" dxfId="5003" priority="225">
      <formula>AND($R$251,$S$251)</formula>
    </cfRule>
  </conditionalFormatting>
  <conditionalFormatting sqref="W251">
    <cfRule type="expression" dxfId="5002" priority="224">
      <formula>AND(IF($R$251,$W$251,TRUE),LEN(TRIM($W$251))&gt;0)</formula>
    </cfRule>
  </conditionalFormatting>
  <conditionalFormatting sqref="W251">
    <cfRule type="expression" dxfId="5001" priority="223">
      <formula>$S$251 = FALSE</formula>
    </cfRule>
  </conditionalFormatting>
  <conditionalFormatting sqref="W251">
    <cfRule type="expression" dxfId="5000" priority="222">
      <formula>OR($T$251 = TRUE, AND($W$251 = TRUE, $S$251 = FALSE))</formula>
    </cfRule>
  </conditionalFormatting>
  <conditionalFormatting sqref="W253">
    <cfRule type="expression" dxfId="4999" priority="221">
      <formula>AND($R$253,$S$253)</formula>
    </cfRule>
  </conditionalFormatting>
  <conditionalFormatting sqref="W253">
    <cfRule type="expression" dxfId="4998" priority="220">
      <formula>AND(IF($R$253,$W$253,TRUE),LEN(TRIM($W$253))&gt;0)</formula>
    </cfRule>
  </conditionalFormatting>
  <conditionalFormatting sqref="W253">
    <cfRule type="expression" dxfId="4997" priority="219">
      <formula>$S$253 = FALSE</formula>
    </cfRule>
  </conditionalFormatting>
  <conditionalFormatting sqref="W253">
    <cfRule type="expression" dxfId="4996" priority="218">
      <formula>OR($T$253 = TRUE, AND($W$253 = TRUE, $S$253 = FALSE))</formula>
    </cfRule>
  </conditionalFormatting>
  <conditionalFormatting sqref="W254">
    <cfRule type="expression" dxfId="4995" priority="217">
      <formula>AND($R$254,$S$254)</formula>
    </cfRule>
  </conditionalFormatting>
  <conditionalFormatting sqref="W254">
    <cfRule type="expression" dxfId="4994" priority="216">
      <formula>AND(IF($R$254,$W$254,TRUE),LEN(TRIM($W$254))&gt;0)</formula>
    </cfRule>
  </conditionalFormatting>
  <conditionalFormatting sqref="W254">
    <cfRule type="expression" dxfId="4993" priority="215">
      <formula>$S$254 = FALSE</formula>
    </cfRule>
  </conditionalFormatting>
  <conditionalFormatting sqref="W254">
    <cfRule type="expression" dxfId="4992" priority="214">
      <formula>OR($T$254 = TRUE, AND($W$254 = TRUE, $S$254 = FALSE))</formula>
    </cfRule>
  </conditionalFormatting>
  <conditionalFormatting sqref="W257">
    <cfRule type="expression" dxfId="4991" priority="213">
      <formula>AND($R$257,$S$257)</formula>
    </cfRule>
  </conditionalFormatting>
  <conditionalFormatting sqref="W257">
    <cfRule type="expression" dxfId="4990" priority="212">
      <formula>AND(IF($R$257,$W$257,TRUE),LEN(TRIM($W$257))&gt;0)</formula>
    </cfRule>
  </conditionalFormatting>
  <conditionalFormatting sqref="W257">
    <cfRule type="expression" dxfId="4989" priority="211">
      <formula>$S$257 = FALSE</formula>
    </cfRule>
  </conditionalFormatting>
  <conditionalFormatting sqref="W257">
    <cfRule type="expression" dxfId="4988" priority="210">
      <formula>OR($T$257 = TRUE, AND($W$257 = TRUE, $S$257 = FALSE))</formula>
    </cfRule>
  </conditionalFormatting>
  <conditionalFormatting sqref="W266">
    <cfRule type="expression" dxfId="4987" priority="205">
      <formula>AND($R$266,$S$266)</formula>
    </cfRule>
  </conditionalFormatting>
  <conditionalFormatting sqref="W266">
    <cfRule type="expression" dxfId="4986" priority="204">
      <formula>AND(IF($R$266,$W$266,TRUE),LEN(TRIM($W$266))&gt;0)</formula>
    </cfRule>
  </conditionalFormatting>
  <conditionalFormatting sqref="W266">
    <cfRule type="expression" dxfId="4985" priority="203">
      <formula>$S$266 = FALSE</formula>
    </cfRule>
  </conditionalFormatting>
  <conditionalFormatting sqref="W266">
    <cfRule type="expression" dxfId="4984" priority="202">
      <formula>OR($T$266 = TRUE, AND($W$266 = TRUE, $S$266 = FALSE))</formula>
    </cfRule>
  </conditionalFormatting>
  <conditionalFormatting sqref="W268">
    <cfRule type="expression" dxfId="4983" priority="201">
      <formula>AND($R$268,$S$268)</formula>
    </cfRule>
  </conditionalFormatting>
  <conditionalFormatting sqref="W268">
    <cfRule type="expression" dxfId="4982" priority="200">
      <formula>AND(IF($R$268,$W$268,TRUE),LEN(TRIM($W$268))&gt;0)</formula>
    </cfRule>
  </conditionalFormatting>
  <conditionalFormatting sqref="W268">
    <cfRule type="expression" dxfId="4981" priority="199">
      <formula>$S$268 = FALSE</formula>
    </cfRule>
  </conditionalFormatting>
  <conditionalFormatting sqref="W268">
    <cfRule type="expression" dxfId="4980" priority="198">
      <formula>OR($T$268 = TRUE, AND($W$268 = TRUE, $S$268 = FALSE))</formula>
    </cfRule>
  </conditionalFormatting>
  <conditionalFormatting sqref="W286">
    <cfRule type="expression" dxfId="4979" priority="197">
      <formula>AND($R$286,$S$286)</formula>
    </cfRule>
  </conditionalFormatting>
  <conditionalFormatting sqref="W286">
    <cfRule type="expression" dxfId="4978" priority="196">
      <formula>AND(IF($R$286,$W$286,TRUE),LEN(TRIM($W$286))&gt;0)</formula>
    </cfRule>
  </conditionalFormatting>
  <conditionalFormatting sqref="W286">
    <cfRule type="expression" dxfId="4977" priority="195">
      <formula>$S$286 = FALSE</formula>
    </cfRule>
  </conditionalFormatting>
  <conditionalFormatting sqref="W286">
    <cfRule type="expression" dxfId="4976" priority="194">
      <formula>OR($T$286 = TRUE, AND($W$286 = TRUE, $S$286 = FALSE))</formula>
    </cfRule>
  </conditionalFormatting>
  <conditionalFormatting sqref="W303">
    <cfRule type="expression" dxfId="4975" priority="193">
      <formula>AND($R$303,$S$303)</formula>
    </cfRule>
  </conditionalFormatting>
  <conditionalFormatting sqref="W303">
    <cfRule type="expression" dxfId="4974" priority="192">
      <formula>AND(IF($R$303,$W$303,TRUE),LEN(TRIM($W$303))&gt;0)</formula>
    </cfRule>
  </conditionalFormatting>
  <conditionalFormatting sqref="W303">
    <cfRule type="expression" dxfId="4973" priority="191">
      <formula>$S$303 = FALSE</formula>
    </cfRule>
  </conditionalFormatting>
  <conditionalFormatting sqref="W303">
    <cfRule type="expression" dxfId="4972" priority="190">
      <formula>OR($T$303 = TRUE, AND($W$303 = TRUE, $S$303 = FALSE))</formula>
    </cfRule>
  </conditionalFormatting>
  <conditionalFormatting sqref="W316">
    <cfRule type="expression" dxfId="4971" priority="189">
      <formula>AND($R$316,$S$316)</formula>
    </cfRule>
  </conditionalFormatting>
  <conditionalFormatting sqref="W316">
    <cfRule type="expression" dxfId="4970" priority="188">
      <formula>AND(IF($R$316,$W$316,TRUE),LEN(TRIM($W$316))&gt;0)</formula>
    </cfRule>
  </conditionalFormatting>
  <conditionalFormatting sqref="W316">
    <cfRule type="expression" dxfId="4969" priority="187">
      <formula>$S$316 = FALSE</formula>
    </cfRule>
  </conditionalFormatting>
  <conditionalFormatting sqref="W316">
    <cfRule type="expression" dxfId="4968" priority="186">
      <formula>OR($T$316 = TRUE, AND($W$316 = TRUE, $S$316 = FALSE))</formula>
    </cfRule>
  </conditionalFormatting>
  <conditionalFormatting sqref="W318">
    <cfRule type="expression" dxfId="4967" priority="185">
      <formula>AND($R$318,$S$318)</formula>
    </cfRule>
  </conditionalFormatting>
  <conditionalFormatting sqref="W318">
    <cfRule type="expression" dxfId="4966" priority="184">
      <formula>AND(IF($R$318,$W$318,TRUE),LEN(TRIM($W$318))&gt;0)</formula>
    </cfRule>
  </conditionalFormatting>
  <conditionalFormatting sqref="W318">
    <cfRule type="expression" dxfId="4965" priority="183">
      <formula>$S$318 = FALSE</formula>
    </cfRule>
  </conditionalFormatting>
  <conditionalFormatting sqref="W318">
    <cfRule type="expression" dxfId="4964" priority="182">
      <formula>OR($T$318 = TRUE, AND($W$318 = TRUE, $S$318 = FALSE))</formula>
    </cfRule>
  </conditionalFormatting>
  <conditionalFormatting sqref="W331">
    <cfRule type="expression" dxfId="4963" priority="181">
      <formula>AND($R$331,$S$331)</formula>
    </cfRule>
  </conditionalFormatting>
  <conditionalFormatting sqref="W331">
    <cfRule type="expression" dxfId="4962" priority="180">
      <formula>AND(IF($R$331,$W$331,TRUE),LEN(TRIM($W$331))&gt;0)</formula>
    </cfRule>
  </conditionalFormatting>
  <conditionalFormatting sqref="W331">
    <cfRule type="expression" dxfId="4961" priority="179">
      <formula>$S$331 = FALSE</formula>
    </cfRule>
  </conditionalFormatting>
  <conditionalFormatting sqref="W331">
    <cfRule type="expression" dxfId="4960" priority="178">
      <formula>OR($T$331 = TRUE, AND($W$331 = TRUE, $S$331 = FALSE))</formula>
    </cfRule>
  </conditionalFormatting>
  <conditionalFormatting sqref="W332">
    <cfRule type="expression" dxfId="4959" priority="177">
      <formula>AND($R$332,$S$332)</formula>
    </cfRule>
  </conditionalFormatting>
  <conditionalFormatting sqref="W332">
    <cfRule type="expression" dxfId="4958" priority="176">
      <formula>AND(IF($R$332,$W$332,TRUE),LEN(TRIM($W$332))&gt;0)</formula>
    </cfRule>
  </conditionalFormatting>
  <conditionalFormatting sqref="W332">
    <cfRule type="expression" dxfId="4957" priority="175">
      <formula>$S$332 = FALSE</formula>
    </cfRule>
  </conditionalFormatting>
  <conditionalFormatting sqref="W332">
    <cfRule type="expression" dxfId="4956" priority="174">
      <formula>OR($T$332 = TRUE, AND($W$332 = TRUE, $S$332 = FALSE))</formula>
    </cfRule>
  </conditionalFormatting>
  <conditionalFormatting sqref="W333">
    <cfRule type="expression" dxfId="4955" priority="173">
      <formula>AND($R$333,$S$333)</formula>
    </cfRule>
  </conditionalFormatting>
  <conditionalFormatting sqref="W333">
    <cfRule type="expression" dxfId="4954" priority="172">
      <formula>AND(IF($R$333,$W$333,TRUE),LEN(TRIM($W$333))&gt;0)</formula>
    </cfRule>
  </conditionalFormatting>
  <conditionalFormatting sqref="W333">
    <cfRule type="expression" dxfId="4953" priority="171">
      <formula>$S$333 = FALSE</formula>
    </cfRule>
  </conditionalFormatting>
  <conditionalFormatting sqref="W333">
    <cfRule type="expression" dxfId="4952" priority="170">
      <formula>OR($T$333 = TRUE, AND($W$333 = TRUE, $S$333 = FALSE))</formula>
    </cfRule>
  </conditionalFormatting>
  <conditionalFormatting sqref="W334">
    <cfRule type="expression" dxfId="4951" priority="169">
      <formula>AND($R$334,$S$334)</formula>
    </cfRule>
  </conditionalFormatting>
  <conditionalFormatting sqref="W334">
    <cfRule type="expression" dxfId="4950" priority="168">
      <formula>AND(IF($R$334,$W$334,TRUE),LEN(TRIM($W$334))&gt;0)</formula>
    </cfRule>
  </conditionalFormatting>
  <conditionalFormatting sqref="W334">
    <cfRule type="expression" dxfId="4949" priority="167">
      <formula>$S$334 = FALSE</formula>
    </cfRule>
  </conditionalFormatting>
  <conditionalFormatting sqref="W334">
    <cfRule type="expression" dxfId="4948" priority="166">
      <formula>OR($T$334 = TRUE, AND($W$334 = TRUE, $S$334 = FALSE))</formula>
    </cfRule>
  </conditionalFormatting>
  <conditionalFormatting sqref="W335">
    <cfRule type="expression" dxfId="4947" priority="165">
      <formula>AND($R$335,$S$335)</formula>
    </cfRule>
  </conditionalFormatting>
  <conditionalFormatting sqref="W335">
    <cfRule type="expression" dxfId="4946" priority="164">
      <formula>AND(IF($R$335,$W$335,TRUE),LEN(TRIM($W$335))&gt;0)</formula>
    </cfRule>
  </conditionalFormatting>
  <conditionalFormatting sqref="W335">
    <cfRule type="expression" dxfId="4945" priority="163">
      <formula>$S$335 = FALSE</formula>
    </cfRule>
  </conditionalFormatting>
  <conditionalFormatting sqref="W335">
    <cfRule type="expression" dxfId="4944" priority="162">
      <formula>OR($T$335 = TRUE, AND($W$335 = TRUE, $S$335 = FALSE))</formula>
    </cfRule>
  </conditionalFormatting>
  <conditionalFormatting sqref="W336">
    <cfRule type="expression" dxfId="4943" priority="161">
      <formula>AND($R$336,$S$336)</formula>
    </cfRule>
  </conditionalFormatting>
  <conditionalFormatting sqref="W336">
    <cfRule type="expression" dxfId="4942" priority="160">
      <formula>AND(IF($R$336,$W$336,TRUE),LEN(TRIM($W$336))&gt;0)</formula>
    </cfRule>
  </conditionalFormatting>
  <conditionalFormatting sqref="W336">
    <cfRule type="expression" dxfId="4941" priority="159">
      <formula>$S$336 = FALSE</formula>
    </cfRule>
  </conditionalFormatting>
  <conditionalFormatting sqref="W336">
    <cfRule type="expression" dxfId="4940" priority="158">
      <formula>OR($T$336 = TRUE, AND($W$336 = TRUE, $S$336 = FALSE))</formula>
    </cfRule>
  </conditionalFormatting>
  <conditionalFormatting sqref="W337">
    <cfRule type="expression" dxfId="4939" priority="157">
      <formula>AND($R$337,$S$337)</formula>
    </cfRule>
  </conditionalFormatting>
  <conditionalFormatting sqref="W337">
    <cfRule type="expression" dxfId="4938" priority="156">
      <formula>AND(IF($R$337,$W$337,TRUE),LEN(TRIM($W$337))&gt;0)</formula>
    </cfRule>
  </conditionalFormatting>
  <conditionalFormatting sqref="W337">
    <cfRule type="expression" dxfId="4937" priority="155">
      <formula>$S$337 = FALSE</formula>
    </cfRule>
  </conditionalFormatting>
  <conditionalFormatting sqref="W337">
    <cfRule type="expression" dxfId="4936" priority="154">
      <formula>OR($T$337 = TRUE, AND($W$337 = TRUE, $S$337 = FALSE))</formula>
    </cfRule>
  </conditionalFormatting>
  <conditionalFormatting sqref="W338">
    <cfRule type="expression" dxfId="4935" priority="153">
      <formula>AND($R$338,$S$338)</formula>
    </cfRule>
  </conditionalFormatting>
  <conditionalFormatting sqref="W338">
    <cfRule type="expression" dxfId="4934" priority="152">
      <formula>AND(IF($R$338,$W$338,TRUE),LEN(TRIM($W$338))&gt;0)</formula>
    </cfRule>
  </conditionalFormatting>
  <conditionalFormatting sqref="W338">
    <cfRule type="expression" dxfId="4933" priority="151">
      <formula>$S$338 = FALSE</formula>
    </cfRule>
  </conditionalFormatting>
  <conditionalFormatting sqref="W338">
    <cfRule type="expression" dxfId="4932" priority="150">
      <formula>OR($T$338 = TRUE, AND($W$338 = TRUE, $S$338 = FALSE))</formula>
    </cfRule>
  </conditionalFormatting>
  <conditionalFormatting sqref="W339">
    <cfRule type="expression" dxfId="4931" priority="149">
      <formula>AND($R$339,$S$339)</formula>
    </cfRule>
  </conditionalFormatting>
  <conditionalFormatting sqref="W339">
    <cfRule type="expression" dxfId="4930" priority="148">
      <formula>AND(IF($R$339,$W$339,TRUE),LEN(TRIM($W$339))&gt;0)</formula>
    </cfRule>
  </conditionalFormatting>
  <conditionalFormatting sqref="W339">
    <cfRule type="expression" dxfId="4929" priority="147">
      <formula>$S$339 = FALSE</formula>
    </cfRule>
  </conditionalFormatting>
  <conditionalFormatting sqref="W339">
    <cfRule type="expression" dxfId="4928" priority="146">
      <formula>OR($T$339 = TRUE, AND($W$339 = TRUE, $S$339 = FALSE))</formula>
    </cfRule>
  </conditionalFormatting>
  <conditionalFormatting sqref="W390">
    <cfRule type="expression" dxfId="4927" priority="145">
      <formula>AND($R$390,$S$390)</formula>
    </cfRule>
  </conditionalFormatting>
  <conditionalFormatting sqref="W390">
    <cfRule type="expression" dxfId="4926" priority="144">
      <formula>AND(IF($R$390,$W$390,TRUE),LEN(TRIM($W$390))&gt;0)</formula>
    </cfRule>
  </conditionalFormatting>
  <conditionalFormatting sqref="W390">
    <cfRule type="expression" dxfId="4925" priority="143">
      <formula>$S$390 = FALSE</formula>
    </cfRule>
  </conditionalFormatting>
  <conditionalFormatting sqref="W390">
    <cfRule type="expression" dxfId="4924" priority="142">
      <formula>OR($T$390 = TRUE, AND($W$390 = TRUE, $S$390 = FALSE))</formula>
    </cfRule>
  </conditionalFormatting>
  <conditionalFormatting sqref="W395">
    <cfRule type="expression" dxfId="4923" priority="141">
      <formula>AND($R$395,$S$395)</formula>
    </cfRule>
  </conditionalFormatting>
  <conditionalFormatting sqref="W395">
    <cfRule type="expression" dxfId="4922" priority="140">
      <formula>AND(IF($R$395,$W$395,TRUE),LEN(TRIM($W$395))&gt;0)</formula>
    </cfRule>
  </conditionalFormatting>
  <conditionalFormatting sqref="W395">
    <cfRule type="expression" dxfId="4921" priority="139">
      <formula>$S$395 = FALSE</formula>
    </cfRule>
  </conditionalFormatting>
  <conditionalFormatting sqref="W395">
    <cfRule type="expression" dxfId="4920" priority="138">
      <formula>OR($T$395 = TRUE, AND($W$395 = TRUE, $S$395 = FALSE))</formula>
    </cfRule>
  </conditionalFormatting>
  <conditionalFormatting sqref="W401">
    <cfRule type="expression" dxfId="4919" priority="137">
      <formula>AND($R$401,$S$401)</formula>
    </cfRule>
  </conditionalFormatting>
  <conditionalFormatting sqref="W401">
    <cfRule type="expression" dxfId="4918" priority="136">
      <formula>AND(IF($R$401,$W$401,TRUE),LEN(TRIM($W$401))&gt;0)</formula>
    </cfRule>
  </conditionalFormatting>
  <conditionalFormatting sqref="W401">
    <cfRule type="expression" dxfId="4917" priority="135">
      <formula>$S$401 = FALSE</formula>
    </cfRule>
  </conditionalFormatting>
  <conditionalFormatting sqref="W401">
    <cfRule type="expression" dxfId="4916" priority="134">
      <formula>OR($T$401 = TRUE, AND($W$401 = TRUE, $S$401 = FALSE))</formula>
    </cfRule>
  </conditionalFormatting>
  <conditionalFormatting sqref="W435">
    <cfRule type="expression" dxfId="4915" priority="133">
      <formula>AND($R$435,$S$435)</formula>
    </cfRule>
  </conditionalFormatting>
  <conditionalFormatting sqref="W435">
    <cfRule type="expression" dxfId="4914" priority="132">
      <formula>AND(IF($R$435,$W$435,TRUE),LEN(TRIM($W$435))&gt;0)</formula>
    </cfRule>
  </conditionalFormatting>
  <conditionalFormatting sqref="W435">
    <cfRule type="expression" dxfId="4913" priority="131">
      <formula>$S$435 = FALSE</formula>
    </cfRule>
  </conditionalFormatting>
  <conditionalFormatting sqref="W435">
    <cfRule type="expression" dxfId="4912" priority="130">
      <formula>OR($T$435 = TRUE, AND($W$435 = TRUE, $S$435 = FALSE))</formula>
    </cfRule>
  </conditionalFormatting>
  <conditionalFormatting sqref="W444">
    <cfRule type="expression" dxfId="4911" priority="129">
      <formula>AND($R$444,$S$444)</formula>
    </cfRule>
  </conditionalFormatting>
  <conditionalFormatting sqref="W444">
    <cfRule type="expression" dxfId="4910" priority="128">
      <formula>AND(IF($R$444,$W$444,TRUE),LEN(TRIM($W$444))&gt;0)</formula>
    </cfRule>
  </conditionalFormatting>
  <conditionalFormatting sqref="W444">
    <cfRule type="expression" dxfId="4909" priority="127">
      <formula>$S$444 = FALSE</formula>
    </cfRule>
  </conditionalFormatting>
  <conditionalFormatting sqref="W444">
    <cfRule type="expression" dxfId="4908" priority="126">
      <formula>OR($T$444 = TRUE, AND($W$444 = TRUE, $S$444 = FALSE))</formula>
    </cfRule>
  </conditionalFormatting>
  <conditionalFormatting sqref="W451">
    <cfRule type="expression" dxfId="4907" priority="125">
      <formula>AND($R$451,$S$451)</formula>
    </cfRule>
  </conditionalFormatting>
  <conditionalFormatting sqref="W451">
    <cfRule type="expression" dxfId="4906" priority="124">
      <formula>AND(IF($R$451,$W$451,TRUE),LEN(TRIM($W$451))&gt;0)</formula>
    </cfRule>
  </conditionalFormatting>
  <conditionalFormatting sqref="W451">
    <cfRule type="expression" dxfId="4905" priority="123">
      <formula>$S$451 = FALSE</formula>
    </cfRule>
  </conditionalFormatting>
  <conditionalFormatting sqref="W451">
    <cfRule type="expression" dxfId="4904" priority="122">
      <formula>OR($T$451 = TRUE, AND($W$451 = TRUE, $S$451 = FALSE))</formula>
    </cfRule>
  </conditionalFormatting>
  <conditionalFormatting sqref="W530">
    <cfRule type="expression" dxfId="4903" priority="121">
      <formula>AND($R$530,$S$530)</formula>
    </cfRule>
  </conditionalFormatting>
  <conditionalFormatting sqref="W530">
    <cfRule type="expression" dxfId="4902" priority="120">
      <formula>AND(IF($R$530,$W$530,TRUE),LEN(TRIM($W$530))&gt;0)</formula>
    </cfRule>
  </conditionalFormatting>
  <conditionalFormatting sqref="W530">
    <cfRule type="expression" dxfId="4901" priority="119">
      <formula>$S$530 = FALSE</formula>
    </cfRule>
  </conditionalFormatting>
  <conditionalFormatting sqref="W530">
    <cfRule type="expression" dxfId="4900" priority="118">
      <formula>OR($T$530 = TRUE, AND($W$530 = TRUE, $S$530 = FALSE))</formula>
    </cfRule>
  </conditionalFormatting>
  <conditionalFormatting sqref="W531">
    <cfRule type="expression" dxfId="4899" priority="117">
      <formula>AND($R$531,$S$531)</formula>
    </cfRule>
  </conditionalFormatting>
  <conditionalFormatting sqref="W531">
    <cfRule type="expression" dxfId="4898" priority="116">
      <formula>AND(IF($R$531,$W$531,TRUE),LEN(TRIM($W$531))&gt;0)</formula>
    </cfRule>
  </conditionalFormatting>
  <conditionalFormatting sqref="W531">
    <cfRule type="expression" dxfId="4897" priority="115">
      <formula>$S$531 = FALSE</formula>
    </cfRule>
  </conditionalFormatting>
  <conditionalFormatting sqref="W531">
    <cfRule type="expression" dxfId="4896" priority="114">
      <formula>OR($T$531 = TRUE, AND($W$531 = TRUE, $S$531 = FALSE))</formula>
    </cfRule>
  </conditionalFormatting>
  <conditionalFormatting sqref="W533">
    <cfRule type="expression" dxfId="4895" priority="113">
      <formula>AND($R$533,$S$533)</formula>
    </cfRule>
  </conditionalFormatting>
  <conditionalFormatting sqref="W533">
    <cfRule type="expression" dxfId="4894" priority="112">
      <formula>AND(IF($R$533,$W$533,TRUE),LEN(TRIM($W$533))&gt;0)</formula>
    </cfRule>
  </conditionalFormatting>
  <conditionalFormatting sqref="W533">
    <cfRule type="expression" dxfId="4893" priority="111">
      <formula>$S$533 = FALSE</formula>
    </cfRule>
  </conditionalFormatting>
  <conditionalFormatting sqref="W533">
    <cfRule type="expression" dxfId="4892" priority="110">
      <formula>OR($T$533 = TRUE, AND($W$533 = TRUE, $S$533 = FALSE))</formula>
    </cfRule>
  </conditionalFormatting>
  <conditionalFormatting sqref="W535">
    <cfRule type="expression" dxfId="4891" priority="109">
      <formula>AND($R$535,$S$535)</formula>
    </cfRule>
  </conditionalFormatting>
  <conditionalFormatting sqref="W535">
    <cfRule type="expression" dxfId="4890" priority="108">
      <formula>AND(IF($R$535,$W$535,TRUE),LEN(TRIM($W$535))&gt;0)</formula>
    </cfRule>
  </conditionalFormatting>
  <conditionalFormatting sqref="W535">
    <cfRule type="expression" dxfId="4889" priority="107">
      <formula>$S$535 = FALSE</formula>
    </cfRule>
  </conditionalFormatting>
  <conditionalFormatting sqref="W535">
    <cfRule type="expression" dxfId="4888" priority="106">
      <formula>OR($T$535 = TRUE, AND($W$535 = TRUE, $S$535 = FALSE))</formula>
    </cfRule>
  </conditionalFormatting>
  <conditionalFormatting sqref="W537">
    <cfRule type="expression" dxfId="4887" priority="105">
      <formula>AND($R$537,$S$537)</formula>
    </cfRule>
  </conditionalFormatting>
  <conditionalFormatting sqref="W537">
    <cfRule type="expression" dxfId="4886" priority="104">
      <formula>AND(IF($R$537,$W$537,TRUE),LEN(TRIM($W$537))&gt;0)</formula>
    </cfRule>
  </conditionalFormatting>
  <conditionalFormatting sqref="W537">
    <cfRule type="expression" dxfId="4885" priority="103">
      <formula>$S$537 = FALSE</formula>
    </cfRule>
  </conditionalFormatting>
  <conditionalFormatting sqref="W537">
    <cfRule type="expression" dxfId="4884" priority="102">
      <formula>OR($T$537 = TRUE, AND($W$537 = TRUE, $S$537 = FALSE))</formula>
    </cfRule>
  </conditionalFormatting>
  <conditionalFormatting sqref="W539">
    <cfRule type="expression" dxfId="4883" priority="101">
      <formula>AND($R$539,$S$539)</formula>
    </cfRule>
  </conditionalFormatting>
  <conditionalFormatting sqref="W539">
    <cfRule type="expression" dxfId="4882" priority="100">
      <formula>AND(IF($R$539,$W$539,TRUE),LEN(TRIM($W$539))&gt;0)</formula>
    </cfRule>
  </conditionalFormatting>
  <conditionalFormatting sqref="W539">
    <cfRule type="expression" dxfId="4881" priority="99">
      <formula>$S$539 = FALSE</formula>
    </cfRule>
  </conditionalFormatting>
  <conditionalFormatting sqref="W539">
    <cfRule type="expression" dxfId="4880" priority="98">
      <formula>OR($T$539 = TRUE, AND($W$539 = TRUE, $S$539 = FALSE))</formula>
    </cfRule>
  </conditionalFormatting>
  <conditionalFormatting sqref="W541">
    <cfRule type="expression" dxfId="4879" priority="97">
      <formula>AND($R$541,$S$541)</formula>
    </cfRule>
  </conditionalFormatting>
  <conditionalFormatting sqref="W541">
    <cfRule type="expression" dxfId="4878" priority="96">
      <formula>AND(IF($R$541,$W$541,TRUE),LEN(TRIM($W$541))&gt;0)</formula>
    </cfRule>
  </conditionalFormatting>
  <conditionalFormatting sqref="W541">
    <cfRule type="expression" dxfId="4877" priority="95">
      <formula>$S$541 = FALSE</formula>
    </cfRule>
  </conditionalFormatting>
  <conditionalFormatting sqref="W541">
    <cfRule type="expression" dxfId="4876" priority="94">
      <formula>OR($T$541 = TRUE, AND($W$541 = TRUE, $S$541 = FALSE))</formula>
    </cfRule>
  </conditionalFormatting>
  <conditionalFormatting sqref="W545">
    <cfRule type="expression" dxfId="4875" priority="93">
      <formula>AND($R$545,$S$545)</formula>
    </cfRule>
  </conditionalFormatting>
  <conditionalFormatting sqref="W545">
    <cfRule type="expression" dxfId="4874" priority="92">
      <formula>AND(IF($R$545,$W$545,TRUE),LEN(TRIM($W$545))&gt;0)</formula>
    </cfRule>
  </conditionalFormatting>
  <conditionalFormatting sqref="W545">
    <cfRule type="expression" dxfId="4873" priority="91">
      <formula>$S$545 = FALSE</formula>
    </cfRule>
  </conditionalFormatting>
  <conditionalFormatting sqref="W545">
    <cfRule type="expression" dxfId="4872" priority="90">
      <formula>OR($T$545 = TRUE, AND($W$545 = TRUE, $S$545 = FALSE))</formula>
    </cfRule>
  </conditionalFormatting>
  <conditionalFormatting sqref="W550">
    <cfRule type="expression" dxfId="4871" priority="89">
      <formula>AND($R$550,$S$550)</formula>
    </cfRule>
  </conditionalFormatting>
  <conditionalFormatting sqref="W550">
    <cfRule type="expression" dxfId="4870" priority="88">
      <formula>AND(IF($R$550,$W$550,TRUE),LEN(TRIM($W$550))&gt;0)</formula>
    </cfRule>
  </conditionalFormatting>
  <conditionalFormatting sqref="W550">
    <cfRule type="expression" dxfId="4869" priority="87">
      <formula>$S$550 = FALSE</formula>
    </cfRule>
  </conditionalFormatting>
  <conditionalFormatting sqref="W550">
    <cfRule type="expression" dxfId="4868" priority="86">
      <formula>OR($T$550 = TRUE, AND($W$550 = TRUE, $S$550 = FALSE))</formula>
    </cfRule>
  </conditionalFormatting>
  <conditionalFormatting sqref="W554">
    <cfRule type="expression" dxfId="4867" priority="85">
      <formula>AND($R$554,$S$554)</formula>
    </cfRule>
  </conditionalFormatting>
  <conditionalFormatting sqref="W554">
    <cfRule type="expression" dxfId="4866" priority="84">
      <formula>AND(IF($R$554,$W$554,TRUE),LEN(TRIM($W$554))&gt;0)</formula>
    </cfRule>
  </conditionalFormatting>
  <conditionalFormatting sqref="W554">
    <cfRule type="expression" dxfId="4865" priority="83">
      <formula>$S$554 = FALSE</formula>
    </cfRule>
  </conditionalFormatting>
  <conditionalFormatting sqref="W554">
    <cfRule type="expression" dxfId="4864" priority="82">
      <formula>OR($T$554 = TRUE, AND($W$554 = TRUE, $S$554 = FALSE))</formula>
    </cfRule>
  </conditionalFormatting>
  <conditionalFormatting sqref="W556">
    <cfRule type="expression" dxfId="4863" priority="81">
      <formula>AND($R$556,$S$556)</formula>
    </cfRule>
  </conditionalFormatting>
  <conditionalFormatting sqref="W556">
    <cfRule type="expression" dxfId="4862" priority="80">
      <formula>AND(IF($R$556,$W$556,TRUE),LEN(TRIM($W$556))&gt;0)</formula>
    </cfRule>
  </conditionalFormatting>
  <conditionalFormatting sqref="W556">
    <cfRule type="expression" dxfId="4861" priority="79">
      <formula>$S$556 = FALSE</formula>
    </cfRule>
  </conditionalFormatting>
  <conditionalFormatting sqref="W556">
    <cfRule type="expression" dxfId="4860" priority="78">
      <formula>OR($T$556 = TRUE, AND($W$556 = TRUE, $S$556 = FALSE))</formula>
    </cfRule>
  </conditionalFormatting>
  <conditionalFormatting sqref="W558">
    <cfRule type="expression" dxfId="4859" priority="77">
      <formula>AND($R$558,$S$558)</formula>
    </cfRule>
  </conditionalFormatting>
  <conditionalFormatting sqref="W558">
    <cfRule type="expression" dxfId="4858" priority="76">
      <formula>AND(IF($R$558,$W$558,TRUE),LEN(TRIM($W$558))&gt;0)</formula>
    </cfRule>
  </conditionalFormatting>
  <conditionalFormatting sqref="W558">
    <cfRule type="expression" dxfId="4857" priority="75">
      <formula>$S$558 = FALSE</formula>
    </cfRule>
  </conditionalFormatting>
  <conditionalFormatting sqref="W558">
    <cfRule type="expression" dxfId="4856" priority="74">
      <formula>OR($T$558 = TRUE, AND($W$558 = TRUE, $S$558 = FALSE))</formula>
    </cfRule>
  </conditionalFormatting>
  <conditionalFormatting sqref="W559">
    <cfRule type="expression" dxfId="4855" priority="73">
      <formula>AND($R$559,$S$559)</formula>
    </cfRule>
  </conditionalFormatting>
  <conditionalFormatting sqref="W559">
    <cfRule type="expression" dxfId="4854" priority="72">
      <formula>AND(IF($R$559,$W$559,TRUE),LEN(TRIM($W$559))&gt;0)</formula>
    </cfRule>
  </conditionalFormatting>
  <conditionalFormatting sqref="W559">
    <cfRule type="expression" dxfId="4853" priority="71">
      <formula>$S$559 = FALSE</formula>
    </cfRule>
  </conditionalFormatting>
  <conditionalFormatting sqref="W559">
    <cfRule type="expression" dxfId="4852" priority="70">
      <formula>OR($T$559 = TRUE, AND($W$559 = TRUE, $S$559 = FALSE))</formula>
    </cfRule>
  </conditionalFormatting>
  <conditionalFormatting sqref="W560">
    <cfRule type="expression" dxfId="4851" priority="69">
      <formula>AND($R$560,$S$560)</formula>
    </cfRule>
  </conditionalFormatting>
  <conditionalFormatting sqref="W560">
    <cfRule type="expression" dxfId="4850" priority="68">
      <formula>AND(IF($R$560,$W$560,TRUE),LEN(TRIM($W$560))&gt;0)</formula>
    </cfRule>
  </conditionalFormatting>
  <conditionalFormatting sqref="W560">
    <cfRule type="expression" dxfId="4849" priority="67">
      <formula>$S$560 = FALSE</formula>
    </cfRule>
  </conditionalFormatting>
  <conditionalFormatting sqref="W560">
    <cfRule type="expression" dxfId="4848" priority="66">
      <formula>OR($T$560 = TRUE, AND($W$560 = TRUE, $S$560 = FALSE))</formula>
    </cfRule>
  </conditionalFormatting>
  <conditionalFormatting sqref="W564">
    <cfRule type="expression" dxfId="4847" priority="65">
      <formula>AND($R$564,$S$564)</formula>
    </cfRule>
  </conditionalFormatting>
  <conditionalFormatting sqref="W564">
    <cfRule type="expression" dxfId="4846" priority="64">
      <formula>AND(IF($R$564,$W$564,TRUE),LEN(TRIM($W$564))&gt;0)</formula>
    </cfRule>
  </conditionalFormatting>
  <conditionalFormatting sqref="W564">
    <cfRule type="expression" dxfId="4845" priority="63">
      <formula>$S$564 = FALSE</formula>
    </cfRule>
  </conditionalFormatting>
  <conditionalFormatting sqref="W564">
    <cfRule type="expression" dxfId="4844" priority="62">
      <formula>OR($T$564 = TRUE, AND($W$564 = TRUE, $S$564 = FALSE))</formula>
    </cfRule>
  </conditionalFormatting>
  <conditionalFormatting sqref="X1">
    <cfRule type="expression" dxfId="4843" priority="45">
      <formula>startError</formula>
    </cfRule>
  </conditionalFormatting>
  <conditionalFormatting sqref="I1">
    <cfRule type="expression" dxfId="4842" priority="41">
      <formula>$AG$1="Gold"</formula>
    </cfRule>
    <cfRule type="expression" dxfId="4841" priority="42">
      <formula>$AG$1="Silver"</formula>
    </cfRule>
    <cfRule type="expression" dxfId="4840" priority="43">
      <formula>$AG$1="Bronze"</formula>
    </cfRule>
    <cfRule type="expression" dxfId="4839" priority="44">
      <formula>$AG$1="Emerald"</formula>
    </cfRule>
  </conditionalFormatting>
  <conditionalFormatting sqref="W98">
    <cfRule type="expression" dxfId="4838" priority="40">
      <formula>AND($R$98,$S$98)</formula>
    </cfRule>
  </conditionalFormatting>
  <conditionalFormatting sqref="W98">
    <cfRule type="expression" dxfId="4837" priority="39">
      <formula>AND($W$98&lt;&gt;"Not Met",LEN(TRIM($W$98))&gt;0)</formula>
    </cfRule>
  </conditionalFormatting>
  <conditionalFormatting sqref="W98">
    <cfRule type="expression" dxfId="4836" priority="38">
      <formula>$S$98 = FALSE</formula>
    </cfRule>
  </conditionalFormatting>
  <conditionalFormatting sqref="W98">
    <cfRule type="expression" dxfId="4835" priority="37">
      <formula>OR($T$98 = TRUE, AND(LEN(TRIM($W$98))&gt;0, $S$98 = FALSE))</formula>
    </cfRule>
  </conditionalFormatting>
  <conditionalFormatting sqref="W111">
    <cfRule type="expression" dxfId="4834" priority="36">
      <formula>AND($R$111,$S$111)</formula>
    </cfRule>
  </conditionalFormatting>
  <conditionalFormatting sqref="W111">
    <cfRule type="expression" dxfId="4833" priority="35">
      <formula>AND($W$111&lt;&gt;"Not Met",LEN(TRIM($W$111))&gt;0)</formula>
    </cfRule>
  </conditionalFormatting>
  <conditionalFormatting sqref="W111">
    <cfRule type="expression" dxfId="4832" priority="34">
      <formula>$S$111 = FALSE</formula>
    </cfRule>
  </conditionalFormatting>
  <conditionalFormatting sqref="W111">
    <cfRule type="expression" dxfId="4831" priority="33">
      <formula>OR($T$111 = TRUE, AND(LEN(TRIM($W$111))&gt;0, $S$111 = FALSE))</formula>
    </cfRule>
  </conditionalFormatting>
  <conditionalFormatting sqref="W185">
    <cfRule type="expression" dxfId="4830" priority="32">
      <formula>AND($R$185,$S$185)</formula>
    </cfRule>
  </conditionalFormatting>
  <conditionalFormatting sqref="W185">
    <cfRule type="expression" dxfId="4829" priority="31">
      <formula>AND($W$185&lt;&gt;"Not Met",LEN(TRIM($W$185))&gt;0)</formula>
    </cfRule>
  </conditionalFormatting>
  <conditionalFormatting sqref="W185">
    <cfRule type="expression" dxfId="4828" priority="30">
      <formula>$S$185 = FALSE</formula>
    </cfRule>
  </conditionalFormatting>
  <conditionalFormatting sqref="W185">
    <cfRule type="expression" dxfId="4827" priority="29">
      <formula>OR($T$185 = TRUE, AND(LEN(TRIM($W$185))&gt;0, $S$185 = FALSE))</formula>
    </cfRule>
  </conditionalFormatting>
  <conditionalFormatting sqref="W300">
    <cfRule type="expression" dxfId="4826" priority="28">
      <formula>AND($R$300,$S$300)</formula>
    </cfRule>
  </conditionalFormatting>
  <conditionalFormatting sqref="W300">
    <cfRule type="expression" dxfId="4825" priority="27">
      <formula>AND(IF($R$300,$W$300,TRUE),LEN(TRIM($W$300))&gt;0)</formula>
    </cfRule>
  </conditionalFormatting>
  <conditionalFormatting sqref="W300">
    <cfRule type="expression" dxfId="4824" priority="26">
      <formula>$S$300 = FALSE</formula>
    </cfRule>
  </conditionalFormatting>
  <conditionalFormatting sqref="W300">
    <cfRule type="expression" dxfId="4823" priority="25">
      <formula>OR($T$300 = TRUE, AND($W$300 = TRUE, $S$300 = FALSE))</formula>
    </cfRule>
  </conditionalFormatting>
  <conditionalFormatting sqref="W244">
    <cfRule type="expression" dxfId="4822" priority="24">
      <formula>AND($R$244,$S$244)</formula>
    </cfRule>
  </conditionalFormatting>
  <conditionalFormatting sqref="W244">
    <cfRule type="expression" dxfId="4821" priority="23">
      <formula>AND(IF($R$244,$W$244,TRUE),LEN(TRIM($W$244))&gt;0)</formula>
    </cfRule>
  </conditionalFormatting>
  <conditionalFormatting sqref="W244">
    <cfRule type="expression" dxfId="4820" priority="22">
      <formula>$S$244 = FALSE</formula>
    </cfRule>
  </conditionalFormatting>
  <conditionalFormatting sqref="W244">
    <cfRule type="expression" dxfId="4819" priority="21">
      <formula>OR($T$244 = TRUE, AND($W$244 = TRUE, $S$244 = FALSE))</formula>
    </cfRule>
  </conditionalFormatting>
  <conditionalFormatting sqref="X244:X245">
    <cfRule type="expression" dxfId="4818" priority="20">
      <formula>$W$244</formula>
    </cfRule>
  </conditionalFormatting>
  <conditionalFormatting sqref="W566">
    <cfRule type="expression" dxfId="4817" priority="14">
      <formula>AND($R$566,$S$566)</formula>
    </cfRule>
  </conditionalFormatting>
  <conditionalFormatting sqref="W566">
    <cfRule type="expression" dxfId="4816" priority="13">
      <formula>AND($W$566&lt;&gt;"Not Met",LEN(TRIM($W$566))&gt;0)</formula>
    </cfRule>
  </conditionalFormatting>
  <conditionalFormatting sqref="W566">
    <cfRule type="expression" dxfId="4815" priority="12">
      <formula>$S$566 = FALSE</formula>
    </cfRule>
  </conditionalFormatting>
  <conditionalFormatting sqref="W566">
    <cfRule type="expression" dxfId="4814" priority="11">
      <formula>OR($T$566 = TRUE, AND(LEN(TRIM($W$566))&gt;0, $S$566 = FALSE))</formula>
    </cfRule>
  </conditionalFormatting>
  <conditionalFormatting sqref="X566:X568">
    <cfRule type="expression" dxfId="4813" priority="10">
      <formula>LEN($W$566)&gt;0</formula>
    </cfRule>
  </conditionalFormatting>
  <conditionalFormatting sqref="W570">
    <cfRule type="expression" dxfId="4812" priority="9">
      <formula>AND($R$570,$S$570)</formula>
    </cfRule>
  </conditionalFormatting>
  <conditionalFormatting sqref="W570">
    <cfRule type="expression" dxfId="4811" priority="8">
      <formula>AND($W$570&lt;&gt;"Not Met",LEN(TRIM($W$570))&gt;0)</formula>
    </cfRule>
  </conditionalFormatting>
  <conditionalFormatting sqref="W570">
    <cfRule type="expression" dxfId="4810" priority="7">
      <formula>$S$570 = FALSE</formula>
    </cfRule>
  </conditionalFormatting>
  <conditionalFormatting sqref="W570">
    <cfRule type="expression" dxfId="4809" priority="6">
      <formula>OR($T$570 = TRUE, AND(LEN(TRIM($W$570))&gt;0, $S$570 = FALSE))</formula>
    </cfRule>
  </conditionalFormatting>
  <conditionalFormatting sqref="X426:X432">
    <cfRule type="expression" dxfId="4808" priority="5">
      <formula>R426</formula>
    </cfRule>
  </conditionalFormatting>
  <conditionalFormatting sqref="W261">
    <cfRule type="expression" dxfId="4807" priority="4">
      <formula>AND($R$261,$S$261)</formula>
    </cfRule>
  </conditionalFormatting>
  <conditionalFormatting sqref="W261">
    <cfRule type="expression" dxfId="4806" priority="3">
      <formula>AND($W$261&lt;&gt;"Not Met",LEN(TRIM($W$261))&gt;0)</formula>
    </cfRule>
  </conditionalFormatting>
  <conditionalFormatting sqref="W261">
    <cfRule type="expression" dxfId="4805" priority="2">
      <formula>$S$261 = FALSE</formula>
    </cfRule>
  </conditionalFormatting>
  <conditionalFormatting sqref="W261">
    <cfRule type="expression" dxfId="4804" priority="1">
      <formula>OR($T$261 = TRUE, AND(LEN(TRIM($W$261))&gt;0, $S$261 = FALSE))</formula>
    </cfRule>
  </conditionalFormatting>
  <dataValidations count="48">
    <dataValidation type="list" allowBlank="1" showInputMessage="1" showErrorMessage="1" error="Please use the dropdown." sqref="W69" xr:uid="{00000000-0002-0000-0400-000001000000}">
      <formula1>INDIRECT($U$69)</formula1>
    </dataValidation>
    <dataValidation type="list" allowBlank="1" showInputMessage="1" showErrorMessage="1" error="Please use the dropdown." sqref="W70" xr:uid="{00000000-0002-0000-0400-000002000000}">
      <formula1>INDIRECT($U$70)</formula1>
    </dataValidation>
    <dataValidation type="list" allowBlank="1" showInputMessage="1" showErrorMessage="1" error="Please use the dropdown." sqref="W71" xr:uid="{00000000-0002-0000-0400-000003000000}">
      <formula1>INDIRECT($U$71)</formula1>
    </dataValidation>
    <dataValidation type="list" allowBlank="1" showInputMessage="1" showErrorMessage="1" error="Please use the dropdown." sqref="W75" xr:uid="{00000000-0002-0000-0400-000004000000}">
      <formula1>INDIRECT($U$75)</formula1>
    </dataValidation>
    <dataValidation type="list" allowBlank="1" showInputMessage="1" showErrorMessage="1" error="Please use the dropdown." sqref="W77" xr:uid="{00000000-0002-0000-0400-000005000000}">
      <formula1>INDIRECT($U$77)</formula1>
    </dataValidation>
    <dataValidation type="list" allowBlank="1" showInputMessage="1" showErrorMessage="1" error="Please use the dropdown." sqref="W138" xr:uid="{00000000-0002-0000-0400-000006000000}">
      <formula1>INDIRECT($U$138)</formula1>
    </dataValidation>
    <dataValidation type="list" allowBlank="1" showInputMessage="1" showErrorMessage="1" error="Please use the dropdown." sqref="W205" xr:uid="{00000000-0002-0000-0400-000007000000}">
      <formula1>INDIRECT($U$205)</formula1>
    </dataValidation>
    <dataValidation type="list" allowBlank="1" showInputMessage="1" showErrorMessage="1" error="Please use the dropdown." sqref="W215" xr:uid="{00000000-0002-0000-0400-000008000000}">
      <formula1>INDIRECT($U$215)</formula1>
    </dataValidation>
    <dataValidation type="whole" allowBlank="1" showDropDown="1" showInputMessage="1" showErrorMessage="1" error="Enter a number" prompt="Enter number of square feet" sqref="W273" xr:uid="{00000000-0002-0000-0400-000009000000}">
      <formula1>0</formula1>
      <formula2>10000</formula2>
    </dataValidation>
    <dataValidation type="decimal" allowBlank="1" showDropDown="1" showInputMessage="1" showErrorMessage="1" error="Enter a percentage" prompt="Enter a percentage" sqref="W279 W291 W293 W295 W297" xr:uid="{00000000-0002-0000-0400-00000A000000}">
      <formula1>0</formula1>
      <formula2>1</formula2>
    </dataValidation>
    <dataValidation type="list" allowBlank="1" showInputMessage="1" showErrorMessage="1" error="Please use the dropdown." sqref="W344" xr:uid="{00000000-0002-0000-0400-00000B000000}">
      <formula1>INDIRECT($U$344)</formula1>
    </dataValidation>
    <dataValidation type="list" allowBlank="1" showInputMessage="1" showErrorMessage="1" error="Please use the dropdown." sqref="W345" xr:uid="{00000000-0002-0000-0400-00000C000000}">
      <formula1>INDIRECT($U$345)</formula1>
    </dataValidation>
    <dataValidation type="list" allowBlank="1" showInputMessage="1" showErrorMessage="1" error="Please use the dropdown." sqref="W346" xr:uid="{00000000-0002-0000-0400-00000D000000}">
      <formula1>INDIRECT($U$346)</formula1>
    </dataValidation>
    <dataValidation type="list" allowBlank="1" showInputMessage="1" showErrorMessage="1" error="Please use the dropdown." sqref="W347" xr:uid="{00000000-0002-0000-0400-00000E000000}">
      <formula1>INDIRECT($U$347)</formula1>
    </dataValidation>
    <dataValidation type="list" allowBlank="1" showInputMessage="1" showErrorMessage="1" error="Please use the dropdown." sqref="W348" xr:uid="{00000000-0002-0000-0400-00000F000000}">
      <formula1>INDIRECT($U$348)</formula1>
    </dataValidation>
    <dataValidation type="list" allowBlank="1" showInputMessage="1" showErrorMessage="1" error="Please use the dropdown." sqref="W349" xr:uid="{00000000-0002-0000-0400-000010000000}">
      <formula1>INDIRECT($U$349)</formula1>
    </dataValidation>
    <dataValidation type="list" allowBlank="1" showInputMessage="1" showErrorMessage="1" error="Please use the dropdown." sqref="W350" xr:uid="{00000000-0002-0000-0400-000011000000}">
      <formula1>INDIRECT($U$350)</formula1>
    </dataValidation>
    <dataValidation type="list" allowBlank="1" showInputMessage="1" showErrorMessage="1" error="Please use the dropdown." sqref="W351" xr:uid="{00000000-0002-0000-0400-000012000000}">
      <formula1>INDIRECT($U$351)</formula1>
    </dataValidation>
    <dataValidation type="list" allowBlank="1" showInputMessage="1" showErrorMessage="1" error="Please use the dropdown." sqref="W375" xr:uid="{00000000-0002-0000-0400-000013000000}">
      <formula1>INDIRECT($U$375)</formula1>
    </dataValidation>
    <dataValidation type="list" allowBlank="1" showInputMessage="1" showErrorMessage="1" error="Please use the dropdown." sqref="W376" xr:uid="{00000000-0002-0000-0400-000014000000}">
      <formula1>INDIRECT($U$376)</formula1>
    </dataValidation>
    <dataValidation type="list" allowBlank="1" showInputMessage="1" showErrorMessage="1" error="Please use the dropdown." sqref="W378" xr:uid="{00000000-0002-0000-0400-000015000000}">
      <formula1>INDIRECT($U$378)</formula1>
    </dataValidation>
    <dataValidation type="list" allowBlank="1" showInputMessage="1" showErrorMessage="1" error="Please use the dropdown." sqref="W379" xr:uid="{00000000-0002-0000-0400-000016000000}">
      <formula1>INDIRECT($U$379)</formula1>
    </dataValidation>
    <dataValidation type="list" allowBlank="1" showInputMessage="1" showErrorMessage="1" error="Please use the dropdown." sqref="W381" xr:uid="{00000000-0002-0000-0400-000017000000}">
      <formula1>INDIRECT($U$381)</formula1>
    </dataValidation>
    <dataValidation type="list" allowBlank="1" showInputMessage="1" showErrorMessage="1" error="Please use the dropdown." sqref="W404" xr:uid="{00000000-0002-0000-0400-000018000000}">
      <formula1>INDIRECT($U$404)</formula1>
    </dataValidation>
    <dataValidation type="list" allowBlank="1" showInputMessage="1" showErrorMessage="1" error="Please use the dropdown." sqref="W416" xr:uid="{00000000-0002-0000-0400-000019000000}">
      <formula1>INDIRECT($U$416)</formula1>
    </dataValidation>
    <dataValidation type="list" allowBlank="1" showInputMessage="1" showErrorMessage="1" error="Please use the dropdown." sqref="W418" xr:uid="{00000000-0002-0000-0400-00001A000000}">
      <formula1>INDIRECT($U$418)</formula1>
    </dataValidation>
    <dataValidation type="list" allowBlank="1" showInputMessage="1" showErrorMessage="1" error="Please use the dropdown." sqref="W459" xr:uid="{00000000-0002-0000-0400-00001B000000}">
      <formula1>INDIRECT($U$459)</formula1>
    </dataValidation>
    <dataValidation type="list" allowBlank="1" showInputMessage="1" showErrorMessage="1" error="Please use the dropdown." sqref="W466" xr:uid="{00000000-0002-0000-0400-00001C000000}">
      <formula1>INDIRECT($U$466)</formula1>
    </dataValidation>
    <dataValidation type="list" allowBlank="1" showInputMessage="1" showErrorMessage="1" error="Please use the dropdown." sqref="W472" xr:uid="{00000000-0002-0000-0400-00001D000000}">
      <formula1>INDIRECT($U$472)</formula1>
    </dataValidation>
    <dataValidation type="list" allowBlank="1" showInputMessage="1" showErrorMessage="1" error="Please use the dropdown." sqref="W478" xr:uid="{00000000-0002-0000-0400-00001E000000}">
      <formula1>INDIRECT($U$478)</formula1>
    </dataValidation>
    <dataValidation type="list" allowBlank="1" showInputMessage="1" showErrorMessage="1" error="Please use the dropdown." sqref="W484" xr:uid="{00000000-0002-0000-0400-00001F000000}">
      <formula1>INDIRECT($U$484)</formula1>
    </dataValidation>
    <dataValidation type="list" allowBlank="1" showInputMessage="1" showErrorMessage="1" error="Please use the dropdown." sqref="W490" xr:uid="{00000000-0002-0000-0400-000020000000}">
      <formula1>INDIRECT($U$490)</formula1>
    </dataValidation>
    <dataValidation type="list" allowBlank="1" showInputMessage="1" showErrorMessage="1" error="Please use the dropdown." sqref="W519" xr:uid="{00000000-0002-0000-0400-000021000000}">
      <formula1>INDIRECT($U$519)</formula1>
    </dataValidation>
    <dataValidation type="whole" allowBlank="1" showDropDown="1" showInputMessage="1" showErrorMessage="1" error="Enter a whole number" prompt="Enter number of products" sqref="W513 W502" xr:uid="{00000000-0002-0000-0400-000022000000}">
      <formula1>0</formula1>
      <formula2>20</formula2>
    </dataValidation>
    <dataValidation type="list" allowBlank="1" showInputMessage="1" showErrorMessage="1" error="Please use the dropdown." sqref="W124" xr:uid="{00000000-0002-0000-0400-000023000000}">
      <formula1>INDIRECT($U$124)</formula1>
    </dataValidation>
    <dataValidation type="list" allowBlank="1" showInputMessage="1" showErrorMessage="1" error="Please use the dropdown." sqref="W133" xr:uid="{00000000-0002-0000-0400-000024000000}">
      <formula1>INDIRECT($U$133)</formula1>
    </dataValidation>
    <dataValidation type="list" allowBlank="1" showInputMessage="1" showErrorMessage="1" error="Please use the dropdown." sqref="W162" xr:uid="{00000000-0002-0000-0400-000025000000}">
      <formula1>INDIRECT($U$162)</formula1>
    </dataValidation>
    <dataValidation type="list" allowBlank="1" showInputMessage="1" showErrorMessage="1" error="Please use the dropdown." sqref="W173" xr:uid="{00000000-0002-0000-0400-000026000000}">
      <formula1>INDIRECT($U$173)</formula1>
    </dataValidation>
    <dataValidation type="list" allowBlank="1" showInputMessage="1" showErrorMessage="1" error="Please use the dropdown." sqref="W227" xr:uid="{00000000-0002-0000-0400-000027000000}">
      <formula1>INDIRECT($U$227)</formula1>
    </dataValidation>
    <dataValidation type="list" allowBlank="1" showInputMessage="1" showErrorMessage="1" error="Please use the dropdown." sqref="W234" xr:uid="{00000000-0002-0000-0400-000028000000}">
      <formula1>INDIRECT($U$234)</formula1>
    </dataValidation>
    <dataValidation type="list" allowBlank="1" showInputMessage="1" showErrorMessage="1" error="Please use the dropdown." sqref="W240" xr:uid="{00000000-0002-0000-0400-000029000000}">
      <formula1>INDIRECT($U$240)</formula1>
    </dataValidation>
    <dataValidation type="list" allowBlank="1" showDropDown="1" showInputMessage="1" showErrorMessage="1" error="Use Checkbox" prompt="Use Checkbox" sqref="W32 W541 W564 W558:W560 W556 W554 W550 W545 W395 W451 W444 W435 W390 W242:W244 W331:W339 W318 W316 W303 W286 W539 W266 W268 W257 W253:W254 W251 W114 W231 W213 W211 W200:W201 W197 W44:W49 W169 W167 W165 W160 W155 W151 W147 W141 W139 W131 W122 W102 W38 W108:W109 W300 W35 W85 W57:W60 W401 W530:W531 W533 W535 W537" xr:uid="{00000000-0002-0000-0400-00002A000000}">
      <formula1>TorF</formula1>
    </dataValidation>
    <dataValidation type="list" allowBlank="1" showInputMessage="1" showErrorMessage="1" error="Please use the dropdown." sqref="W98" xr:uid="{00000000-0002-0000-0400-00002B000000}">
      <formula1>INDIRECT($U$98)</formula1>
    </dataValidation>
    <dataValidation type="list" allowBlank="1" showInputMessage="1" showErrorMessage="1" error="Please use the dropdown." sqref="W111" xr:uid="{00000000-0002-0000-0400-00002C000000}">
      <formula1>INDIRECT($U$111)</formula1>
    </dataValidation>
    <dataValidation type="list" allowBlank="1" showInputMessage="1" showErrorMessage="1" error="Please use the dropdown." sqref="W185" xr:uid="{00000000-0002-0000-0400-00002D000000}">
      <formula1>INDIRECT($U$185)</formula1>
    </dataValidation>
    <dataValidation type="list" allowBlank="1" showInputMessage="1" showErrorMessage="1" error="Please use the dropdown." sqref="W566" xr:uid="{A26EB6AC-415B-4FB4-A6B3-B1A94752FEAA}">
      <formula1>INDIRECT($U$566)</formula1>
    </dataValidation>
    <dataValidation type="list" allowBlank="1" showInputMessage="1" showErrorMessage="1" error="Please use the dropdown." sqref="W570" xr:uid="{12DF63A5-3E20-4223-B5BE-B77068A17209}">
      <formula1>INDIRECT($U$570)</formula1>
    </dataValidation>
    <dataValidation type="list" allowBlank="1" showInputMessage="1" showErrorMessage="1" error="Please use the dropdown." sqref="W261" xr:uid="{1AB9A586-3645-428F-8030-8A647872BDFF}">
      <formula1>INDIRECT($U$261)</formula1>
    </dataValidation>
  </dataValidations>
  <hyperlinks>
    <hyperlink ref="L146" location="'Figure 6(3)'!A1" display="See Figure 6(3)" xr:uid="{00000000-0004-0000-0400-000000000000}"/>
    <hyperlink ref="L138" location="'Figure 6(3)'!A1" display="See Figure 6(3)" xr:uid="{00000000-0004-0000-0400-000001000000}"/>
    <hyperlink ref="L293" location="'Table 11.604.1'!A1" display="See Table 11.604.1" xr:uid="{00000000-0004-0000-0400-000003000000}"/>
    <hyperlink ref="M457:M470" location="'Table 11.610.1.2.1'!A1" display="'Table 11.610.1.2.1'!A1" xr:uid="{00000000-0004-0000-0400-000004000000}"/>
    <hyperlink ref="M471:M494" location="'Table 11.610.1.2.2'!A1" display="'Table 11.610.1.2.2'!A1" xr:uid="{00000000-0004-0000-0400-000005000000}"/>
    <hyperlink ref="X585" location="'Ch7'!A1" display="CLICK TO PROCEED TO CHAPTER 7 &gt;&gt;" xr:uid="{00000000-0004-0000-0400-000006000000}"/>
    <hyperlink ref="L233" location="'Table 602.1.12'!A1" display="See Table 602.1.12" xr:uid="{387877AF-979A-4457-A5ED-321948CAC8E3}"/>
  </hyperlinks>
  <pageMargins left="0.7" right="0.7" top="0.75" bottom="0.75" header="0.3" footer="0.3"/>
  <pageSetup scale="61" fitToHeight="0" orientation="landscape" r:id="rId1"/>
  <rowBreaks count="10" manualBreakCount="10">
    <brk id="60" min="8" max="23" man="1"/>
    <brk id="106" max="16383" man="1"/>
    <brk id="158" max="16383" man="1"/>
    <brk id="214" max="16383" man="1"/>
    <brk id="270" max="16383" man="1"/>
    <brk id="327" max="16383" man="1"/>
    <brk id="387" max="16383" man="1"/>
    <brk id="453" max="16383" man="1"/>
    <brk id="518" max="16383" man="1"/>
    <brk id="496" max="16383" man="1"/>
  </rowBreaks>
  <drawing r:id="rId2"/>
  <legacyDrawing r:id="rId3"/>
  <mc:AlternateContent xmlns:mc="http://schemas.openxmlformats.org/markup-compatibility/2006">
    <mc:Choice Requires="x14">
      <controls>
        <mc:AlternateContent xmlns:mc="http://schemas.openxmlformats.org/markup-compatibility/2006">
          <mc:Choice Requires="x14">
            <control shapeId="4202" r:id="rId4" name="Check Box 106">
              <controlPr locked="0" defaultSize="0" autoFill="0" autoLine="0" autoPict="0">
                <anchor moveWithCells="1" sizeWithCells="1">
                  <from>
                    <xdr:col>22</xdr:col>
                    <xdr:colOff>0</xdr:colOff>
                    <xdr:row>31</xdr:row>
                    <xdr:rowOff>0</xdr:rowOff>
                  </from>
                  <to>
                    <xdr:col>22</xdr:col>
                    <xdr:colOff>177800</xdr:colOff>
                    <xdr:row>31</xdr:row>
                    <xdr:rowOff>177800</xdr:rowOff>
                  </to>
                </anchor>
              </controlPr>
            </control>
          </mc:Choice>
        </mc:AlternateContent>
        <mc:AlternateContent xmlns:mc="http://schemas.openxmlformats.org/markup-compatibility/2006">
          <mc:Choice Requires="x14">
            <control shapeId="4203" r:id="rId5" name="Check Box 107">
              <controlPr locked="0" defaultSize="0" autoFill="0" autoLine="0" autoPict="0">
                <anchor moveWithCells="1" sizeWithCells="1">
                  <from>
                    <xdr:col>22</xdr:col>
                    <xdr:colOff>0</xdr:colOff>
                    <xdr:row>34</xdr:row>
                    <xdr:rowOff>0</xdr:rowOff>
                  </from>
                  <to>
                    <xdr:col>22</xdr:col>
                    <xdr:colOff>177800</xdr:colOff>
                    <xdr:row>34</xdr:row>
                    <xdr:rowOff>177800</xdr:rowOff>
                  </to>
                </anchor>
              </controlPr>
            </control>
          </mc:Choice>
        </mc:AlternateContent>
        <mc:AlternateContent xmlns:mc="http://schemas.openxmlformats.org/markup-compatibility/2006">
          <mc:Choice Requires="x14">
            <control shapeId="4204" r:id="rId6" name="Check Box 108">
              <controlPr locked="0" defaultSize="0" autoFill="0" autoLine="0" autoPict="0">
                <anchor moveWithCells="1" sizeWithCells="1">
                  <from>
                    <xdr:col>22</xdr:col>
                    <xdr:colOff>0</xdr:colOff>
                    <xdr:row>37</xdr:row>
                    <xdr:rowOff>0</xdr:rowOff>
                  </from>
                  <to>
                    <xdr:col>22</xdr:col>
                    <xdr:colOff>177800</xdr:colOff>
                    <xdr:row>37</xdr:row>
                    <xdr:rowOff>177800</xdr:rowOff>
                  </to>
                </anchor>
              </controlPr>
            </control>
          </mc:Choice>
        </mc:AlternateContent>
        <mc:AlternateContent xmlns:mc="http://schemas.openxmlformats.org/markup-compatibility/2006">
          <mc:Choice Requires="x14">
            <control shapeId="4205" r:id="rId7" name="Check Box 109">
              <controlPr locked="0" defaultSize="0" autoFill="0" autoLine="0" autoPict="0">
                <anchor moveWithCells="1" sizeWithCells="1">
                  <from>
                    <xdr:col>22</xdr:col>
                    <xdr:colOff>0</xdr:colOff>
                    <xdr:row>43</xdr:row>
                    <xdr:rowOff>0</xdr:rowOff>
                  </from>
                  <to>
                    <xdr:col>22</xdr:col>
                    <xdr:colOff>177800</xdr:colOff>
                    <xdr:row>43</xdr:row>
                    <xdr:rowOff>177800</xdr:rowOff>
                  </to>
                </anchor>
              </controlPr>
            </control>
          </mc:Choice>
        </mc:AlternateContent>
        <mc:AlternateContent xmlns:mc="http://schemas.openxmlformats.org/markup-compatibility/2006">
          <mc:Choice Requires="x14">
            <control shapeId="4206" r:id="rId8" name="Check Box 110">
              <controlPr locked="0" defaultSize="0" autoFill="0" autoLine="0" autoPict="0">
                <anchor moveWithCells="1" sizeWithCells="1">
                  <from>
                    <xdr:col>22</xdr:col>
                    <xdr:colOff>0</xdr:colOff>
                    <xdr:row>44</xdr:row>
                    <xdr:rowOff>0</xdr:rowOff>
                  </from>
                  <to>
                    <xdr:col>22</xdr:col>
                    <xdr:colOff>177800</xdr:colOff>
                    <xdr:row>44</xdr:row>
                    <xdr:rowOff>177800</xdr:rowOff>
                  </to>
                </anchor>
              </controlPr>
            </control>
          </mc:Choice>
        </mc:AlternateContent>
        <mc:AlternateContent xmlns:mc="http://schemas.openxmlformats.org/markup-compatibility/2006">
          <mc:Choice Requires="x14">
            <control shapeId="4207" r:id="rId9" name="Check Box 111">
              <controlPr locked="0" defaultSize="0" autoFill="0" autoLine="0" autoPict="0">
                <anchor moveWithCells="1" sizeWithCells="1">
                  <from>
                    <xdr:col>22</xdr:col>
                    <xdr:colOff>0</xdr:colOff>
                    <xdr:row>45</xdr:row>
                    <xdr:rowOff>0</xdr:rowOff>
                  </from>
                  <to>
                    <xdr:col>22</xdr:col>
                    <xdr:colOff>177800</xdr:colOff>
                    <xdr:row>45</xdr:row>
                    <xdr:rowOff>177800</xdr:rowOff>
                  </to>
                </anchor>
              </controlPr>
            </control>
          </mc:Choice>
        </mc:AlternateContent>
        <mc:AlternateContent xmlns:mc="http://schemas.openxmlformats.org/markup-compatibility/2006">
          <mc:Choice Requires="x14">
            <control shapeId="4208" r:id="rId10" name="Check Box 112">
              <controlPr locked="0" defaultSize="0" autoFill="0" autoLine="0" autoPict="0">
                <anchor moveWithCells="1" sizeWithCells="1">
                  <from>
                    <xdr:col>22</xdr:col>
                    <xdr:colOff>0</xdr:colOff>
                    <xdr:row>46</xdr:row>
                    <xdr:rowOff>0</xdr:rowOff>
                  </from>
                  <to>
                    <xdr:col>22</xdr:col>
                    <xdr:colOff>177800</xdr:colOff>
                    <xdr:row>46</xdr:row>
                    <xdr:rowOff>177800</xdr:rowOff>
                  </to>
                </anchor>
              </controlPr>
            </control>
          </mc:Choice>
        </mc:AlternateContent>
        <mc:AlternateContent xmlns:mc="http://schemas.openxmlformats.org/markup-compatibility/2006">
          <mc:Choice Requires="x14">
            <control shapeId="4209" r:id="rId11" name="Check Box 113">
              <controlPr locked="0" defaultSize="0" autoFill="0" autoLine="0" autoPict="0">
                <anchor moveWithCells="1" sizeWithCells="1">
                  <from>
                    <xdr:col>22</xdr:col>
                    <xdr:colOff>0</xdr:colOff>
                    <xdr:row>47</xdr:row>
                    <xdr:rowOff>0</xdr:rowOff>
                  </from>
                  <to>
                    <xdr:col>22</xdr:col>
                    <xdr:colOff>177800</xdr:colOff>
                    <xdr:row>47</xdr:row>
                    <xdr:rowOff>177800</xdr:rowOff>
                  </to>
                </anchor>
              </controlPr>
            </control>
          </mc:Choice>
        </mc:AlternateContent>
        <mc:AlternateContent xmlns:mc="http://schemas.openxmlformats.org/markup-compatibility/2006">
          <mc:Choice Requires="x14">
            <control shapeId="4210" r:id="rId12" name="Check Box 114">
              <controlPr locked="0" defaultSize="0" autoFill="0" autoLine="0" autoPict="0">
                <anchor moveWithCells="1" sizeWithCells="1">
                  <from>
                    <xdr:col>22</xdr:col>
                    <xdr:colOff>0</xdr:colOff>
                    <xdr:row>48</xdr:row>
                    <xdr:rowOff>0</xdr:rowOff>
                  </from>
                  <to>
                    <xdr:col>22</xdr:col>
                    <xdr:colOff>177800</xdr:colOff>
                    <xdr:row>48</xdr:row>
                    <xdr:rowOff>177800</xdr:rowOff>
                  </to>
                </anchor>
              </controlPr>
            </control>
          </mc:Choice>
        </mc:AlternateContent>
        <mc:AlternateContent xmlns:mc="http://schemas.openxmlformats.org/markup-compatibility/2006">
          <mc:Choice Requires="x14">
            <control shapeId="4211" r:id="rId13" name="Check Box 115">
              <controlPr locked="0" defaultSize="0" autoFill="0" autoLine="0" autoPict="0">
                <anchor moveWithCells="1" sizeWithCells="1">
                  <from>
                    <xdr:col>22</xdr:col>
                    <xdr:colOff>0</xdr:colOff>
                    <xdr:row>56</xdr:row>
                    <xdr:rowOff>0</xdr:rowOff>
                  </from>
                  <to>
                    <xdr:col>22</xdr:col>
                    <xdr:colOff>177800</xdr:colOff>
                    <xdr:row>56</xdr:row>
                    <xdr:rowOff>177800</xdr:rowOff>
                  </to>
                </anchor>
              </controlPr>
            </control>
          </mc:Choice>
        </mc:AlternateContent>
        <mc:AlternateContent xmlns:mc="http://schemas.openxmlformats.org/markup-compatibility/2006">
          <mc:Choice Requires="x14">
            <control shapeId="4212" r:id="rId14" name="Check Box 116">
              <controlPr locked="0" defaultSize="0" autoFill="0" autoLine="0" autoPict="0">
                <anchor moveWithCells="1" sizeWithCells="1">
                  <from>
                    <xdr:col>22</xdr:col>
                    <xdr:colOff>0</xdr:colOff>
                    <xdr:row>57</xdr:row>
                    <xdr:rowOff>0</xdr:rowOff>
                  </from>
                  <to>
                    <xdr:col>22</xdr:col>
                    <xdr:colOff>177800</xdr:colOff>
                    <xdr:row>57</xdr:row>
                    <xdr:rowOff>177800</xdr:rowOff>
                  </to>
                </anchor>
              </controlPr>
            </control>
          </mc:Choice>
        </mc:AlternateContent>
        <mc:AlternateContent xmlns:mc="http://schemas.openxmlformats.org/markup-compatibility/2006">
          <mc:Choice Requires="x14">
            <control shapeId="4213" r:id="rId15" name="Check Box 117">
              <controlPr locked="0" defaultSize="0" autoFill="0" autoLine="0" autoPict="0">
                <anchor moveWithCells="1" sizeWithCells="1">
                  <from>
                    <xdr:col>22</xdr:col>
                    <xdr:colOff>0</xdr:colOff>
                    <xdr:row>58</xdr:row>
                    <xdr:rowOff>0</xdr:rowOff>
                  </from>
                  <to>
                    <xdr:col>22</xdr:col>
                    <xdr:colOff>177800</xdr:colOff>
                    <xdr:row>58</xdr:row>
                    <xdr:rowOff>177800</xdr:rowOff>
                  </to>
                </anchor>
              </controlPr>
            </control>
          </mc:Choice>
        </mc:AlternateContent>
        <mc:AlternateContent xmlns:mc="http://schemas.openxmlformats.org/markup-compatibility/2006">
          <mc:Choice Requires="x14">
            <control shapeId="4214" r:id="rId16" name="Check Box 118">
              <controlPr locked="0" defaultSize="0" autoFill="0" autoLine="0" autoPict="0">
                <anchor moveWithCells="1" sizeWithCells="1">
                  <from>
                    <xdr:col>22</xdr:col>
                    <xdr:colOff>0</xdr:colOff>
                    <xdr:row>59</xdr:row>
                    <xdr:rowOff>0</xdr:rowOff>
                  </from>
                  <to>
                    <xdr:col>22</xdr:col>
                    <xdr:colOff>177800</xdr:colOff>
                    <xdr:row>59</xdr:row>
                    <xdr:rowOff>177800</xdr:rowOff>
                  </to>
                </anchor>
              </controlPr>
            </control>
          </mc:Choice>
        </mc:AlternateContent>
        <mc:AlternateContent xmlns:mc="http://schemas.openxmlformats.org/markup-compatibility/2006">
          <mc:Choice Requires="x14">
            <control shapeId="4216" r:id="rId17" name="Check Box 120">
              <controlPr locked="0" defaultSize="0" autoFill="0" autoLine="0" autoPict="0">
                <anchor moveWithCells="1" sizeWithCells="1">
                  <from>
                    <xdr:col>22</xdr:col>
                    <xdr:colOff>0</xdr:colOff>
                    <xdr:row>84</xdr:row>
                    <xdr:rowOff>0</xdr:rowOff>
                  </from>
                  <to>
                    <xdr:col>22</xdr:col>
                    <xdr:colOff>177800</xdr:colOff>
                    <xdr:row>84</xdr:row>
                    <xdr:rowOff>177800</xdr:rowOff>
                  </to>
                </anchor>
              </controlPr>
            </control>
          </mc:Choice>
        </mc:AlternateContent>
        <mc:AlternateContent xmlns:mc="http://schemas.openxmlformats.org/markup-compatibility/2006">
          <mc:Choice Requires="x14">
            <control shapeId="4219" r:id="rId18" name="Check Box 123">
              <controlPr locked="0" defaultSize="0" autoFill="0" autoLine="0" autoPict="0">
                <anchor moveWithCells="1" sizeWithCells="1">
                  <from>
                    <xdr:col>22</xdr:col>
                    <xdr:colOff>0</xdr:colOff>
                    <xdr:row>101</xdr:row>
                    <xdr:rowOff>0</xdr:rowOff>
                  </from>
                  <to>
                    <xdr:col>22</xdr:col>
                    <xdr:colOff>177800</xdr:colOff>
                    <xdr:row>101</xdr:row>
                    <xdr:rowOff>177800</xdr:rowOff>
                  </to>
                </anchor>
              </controlPr>
            </control>
          </mc:Choice>
        </mc:AlternateContent>
        <mc:AlternateContent xmlns:mc="http://schemas.openxmlformats.org/markup-compatibility/2006">
          <mc:Choice Requires="x14">
            <control shapeId="4220" r:id="rId19" name="Check Box 124">
              <controlPr locked="0" defaultSize="0" autoFill="0" autoLine="0" autoPict="0">
                <anchor moveWithCells="1" sizeWithCells="1">
                  <from>
                    <xdr:col>22</xdr:col>
                    <xdr:colOff>0</xdr:colOff>
                    <xdr:row>107</xdr:row>
                    <xdr:rowOff>0</xdr:rowOff>
                  </from>
                  <to>
                    <xdr:col>22</xdr:col>
                    <xdr:colOff>177800</xdr:colOff>
                    <xdr:row>107</xdr:row>
                    <xdr:rowOff>177800</xdr:rowOff>
                  </to>
                </anchor>
              </controlPr>
            </control>
          </mc:Choice>
        </mc:AlternateContent>
        <mc:AlternateContent xmlns:mc="http://schemas.openxmlformats.org/markup-compatibility/2006">
          <mc:Choice Requires="x14">
            <control shapeId="4221" r:id="rId20" name="Check Box 125">
              <controlPr locked="0" defaultSize="0" autoFill="0" autoLine="0" autoPict="0">
                <anchor moveWithCells="1" sizeWithCells="1">
                  <from>
                    <xdr:col>22</xdr:col>
                    <xdr:colOff>0</xdr:colOff>
                    <xdr:row>108</xdr:row>
                    <xdr:rowOff>0</xdr:rowOff>
                  </from>
                  <to>
                    <xdr:col>22</xdr:col>
                    <xdr:colOff>177800</xdr:colOff>
                    <xdr:row>108</xdr:row>
                    <xdr:rowOff>177800</xdr:rowOff>
                  </to>
                </anchor>
              </controlPr>
            </control>
          </mc:Choice>
        </mc:AlternateContent>
        <mc:AlternateContent xmlns:mc="http://schemas.openxmlformats.org/markup-compatibility/2006">
          <mc:Choice Requires="x14">
            <control shapeId="4223" r:id="rId21" name="Check Box 127">
              <controlPr locked="0" defaultSize="0" autoFill="0" autoLine="0" autoPict="0">
                <anchor moveWithCells="1" sizeWithCells="1">
                  <from>
                    <xdr:col>22</xdr:col>
                    <xdr:colOff>0</xdr:colOff>
                    <xdr:row>113</xdr:row>
                    <xdr:rowOff>0</xdr:rowOff>
                  </from>
                  <to>
                    <xdr:col>22</xdr:col>
                    <xdr:colOff>177800</xdr:colOff>
                    <xdr:row>113</xdr:row>
                    <xdr:rowOff>177800</xdr:rowOff>
                  </to>
                </anchor>
              </controlPr>
            </control>
          </mc:Choice>
        </mc:AlternateContent>
        <mc:AlternateContent xmlns:mc="http://schemas.openxmlformats.org/markup-compatibility/2006">
          <mc:Choice Requires="x14">
            <control shapeId="4224" r:id="rId22" name="Check Box 128">
              <controlPr locked="0" defaultSize="0" autoFill="0" autoLine="0" autoPict="0">
                <anchor moveWithCells="1" sizeWithCells="1">
                  <from>
                    <xdr:col>22</xdr:col>
                    <xdr:colOff>0</xdr:colOff>
                    <xdr:row>121</xdr:row>
                    <xdr:rowOff>0</xdr:rowOff>
                  </from>
                  <to>
                    <xdr:col>22</xdr:col>
                    <xdr:colOff>177800</xdr:colOff>
                    <xdr:row>121</xdr:row>
                    <xdr:rowOff>177800</xdr:rowOff>
                  </to>
                </anchor>
              </controlPr>
            </control>
          </mc:Choice>
        </mc:AlternateContent>
        <mc:AlternateContent xmlns:mc="http://schemas.openxmlformats.org/markup-compatibility/2006">
          <mc:Choice Requires="x14">
            <control shapeId="4225" r:id="rId23" name="Check Box 129">
              <controlPr locked="0" defaultSize="0" autoFill="0" autoLine="0" autoPict="0">
                <anchor moveWithCells="1" sizeWithCells="1">
                  <from>
                    <xdr:col>22</xdr:col>
                    <xdr:colOff>0</xdr:colOff>
                    <xdr:row>130</xdr:row>
                    <xdr:rowOff>0</xdr:rowOff>
                  </from>
                  <to>
                    <xdr:col>22</xdr:col>
                    <xdr:colOff>177800</xdr:colOff>
                    <xdr:row>130</xdr:row>
                    <xdr:rowOff>177800</xdr:rowOff>
                  </to>
                </anchor>
              </controlPr>
            </control>
          </mc:Choice>
        </mc:AlternateContent>
        <mc:AlternateContent xmlns:mc="http://schemas.openxmlformats.org/markup-compatibility/2006">
          <mc:Choice Requires="x14">
            <control shapeId="4226" r:id="rId24" name="Check Box 130">
              <controlPr locked="0" defaultSize="0" autoFill="0" autoLine="0" autoPict="0">
                <anchor moveWithCells="1" sizeWithCells="1">
                  <from>
                    <xdr:col>22</xdr:col>
                    <xdr:colOff>0</xdr:colOff>
                    <xdr:row>138</xdr:row>
                    <xdr:rowOff>0</xdr:rowOff>
                  </from>
                  <to>
                    <xdr:col>22</xdr:col>
                    <xdr:colOff>177800</xdr:colOff>
                    <xdr:row>138</xdr:row>
                    <xdr:rowOff>177800</xdr:rowOff>
                  </to>
                </anchor>
              </controlPr>
            </control>
          </mc:Choice>
        </mc:AlternateContent>
        <mc:AlternateContent xmlns:mc="http://schemas.openxmlformats.org/markup-compatibility/2006">
          <mc:Choice Requires="x14">
            <control shapeId="4227" r:id="rId25" name="Check Box 131">
              <controlPr locked="0" defaultSize="0" autoFill="0" autoLine="0" autoPict="0">
                <anchor moveWithCells="1" sizeWithCells="1">
                  <from>
                    <xdr:col>22</xdr:col>
                    <xdr:colOff>0</xdr:colOff>
                    <xdr:row>140</xdr:row>
                    <xdr:rowOff>0</xdr:rowOff>
                  </from>
                  <to>
                    <xdr:col>22</xdr:col>
                    <xdr:colOff>177800</xdr:colOff>
                    <xdr:row>140</xdr:row>
                    <xdr:rowOff>177800</xdr:rowOff>
                  </to>
                </anchor>
              </controlPr>
            </control>
          </mc:Choice>
        </mc:AlternateContent>
        <mc:AlternateContent xmlns:mc="http://schemas.openxmlformats.org/markup-compatibility/2006">
          <mc:Choice Requires="x14">
            <control shapeId="4228" r:id="rId26" name="Check Box 132">
              <controlPr locked="0" defaultSize="0" autoFill="0" autoLine="0" autoPict="0">
                <anchor moveWithCells="1" sizeWithCells="1">
                  <from>
                    <xdr:col>22</xdr:col>
                    <xdr:colOff>0</xdr:colOff>
                    <xdr:row>146</xdr:row>
                    <xdr:rowOff>0</xdr:rowOff>
                  </from>
                  <to>
                    <xdr:col>22</xdr:col>
                    <xdr:colOff>177800</xdr:colOff>
                    <xdr:row>146</xdr:row>
                    <xdr:rowOff>177800</xdr:rowOff>
                  </to>
                </anchor>
              </controlPr>
            </control>
          </mc:Choice>
        </mc:AlternateContent>
        <mc:AlternateContent xmlns:mc="http://schemas.openxmlformats.org/markup-compatibility/2006">
          <mc:Choice Requires="x14">
            <control shapeId="4229" r:id="rId27" name="Check Box 133">
              <controlPr locked="0" defaultSize="0" autoFill="0" autoLine="0" autoPict="0">
                <anchor moveWithCells="1" sizeWithCells="1">
                  <from>
                    <xdr:col>22</xdr:col>
                    <xdr:colOff>0</xdr:colOff>
                    <xdr:row>150</xdr:row>
                    <xdr:rowOff>0</xdr:rowOff>
                  </from>
                  <to>
                    <xdr:col>22</xdr:col>
                    <xdr:colOff>177800</xdr:colOff>
                    <xdr:row>150</xdr:row>
                    <xdr:rowOff>177800</xdr:rowOff>
                  </to>
                </anchor>
              </controlPr>
            </control>
          </mc:Choice>
        </mc:AlternateContent>
        <mc:AlternateContent xmlns:mc="http://schemas.openxmlformats.org/markup-compatibility/2006">
          <mc:Choice Requires="x14">
            <control shapeId="4230" r:id="rId28" name="Check Box 134">
              <controlPr locked="0" defaultSize="0" autoFill="0" autoLine="0" autoPict="0">
                <anchor moveWithCells="1" sizeWithCells="1">
                  <from>
                    <xdr:col>22</xdr:col>
                    <xdr:colOff>0</xdr:colOff>
                    <xdr:row>154</xdr:row>
                    <xdr:rowOff>0</xdr:rowOff>
                  </from>
                  <to>
                    <xdr:col>22</xdr:col>
                    <xdr:colOff>177800</xdr:colOff>
                    <xdr:row>154</xdr:row>
                    <xdr:rowOff>177800</xdr:rowOff>
                  </to>
                </anchor>
              </controlPr>
            </control>
          </mc:Choice>
        </mc:AlternateContent>
        <mc:AlternateContent xmlns:mc="http://schemas.openxmlformats.org/markup-compatibility/2006">
          <mc:Choice Requires="x14">
            <control shapeId="4231" r:id="rId29" name="Check Box 135">
              <controlPr locked="0" defaultSize="0" autoFill="0" autoLine="0" autoPict="0">
                <anchor moveWithCells="1" sizeWithCells="1">
                  <from>
                    <xdr:col>22</xdr:col>
                    <xdr:colOff>0</xdr:colOff>
                    <xdr:row>159</xdr:row>
                    <xdr:rowOff>0</xdr:rowOff>
                  </from>
                  <to>
                    <xdr:col>22</xdr:col>
                    <xdr:colOff>177800</xdr:colOff>
                    <xdr:row>159</xdr:row>
                    <xdr:rowOff>177800</xdr:rowOff>
                  </to>
                </anchor>
              </controlPr>
            </control>
          </mc:Choice>
        </mc:AlternateContent>
        <mc:AlternateContent xmlns:mc="http://schemas.openxmlformats.org/markup-compatibility/2006">
          <mc:Choice Requires="x14">
            <control shapeId="4232" r:id="rId30" name="Check Box 136">
              <controlPr locked="0" defaultSize="0" autoFill="0" autoLine="0" autoPict="0">
                <anchor moveWithCells="1" sizeWithCells="1">
                  <from>
                    <xdr:col>22</xdr:col>
                    <xdr:colOff>0</xdr:colOff>
                    <xdr:row>164</xdr:row>
                    <xdr:rowOff>0</xdr:rowOff>
                  </from>
                  <to>
                    <xdr:col>22</xdr:col>
                    <xdr:colOff>177800</xdr:colOff>
                    <xdr:row>164</xdr:row>
                    <xdr:rowOff>177800</xdr:rowOff>
                  </to>
                </anchor>
              </controlPr>
            </control>
          </mc:Choice>
        </mc:AlternateContent>
        <mc:AlternateContent xmlns:mc="http://schemas.openxmlformats.org/markup-compatibility/2006">
          <mc:Choice Requires="x14">
            <control shapeId="4233" r:id="rId31" name="Check Box 137">
              <controlPr locked="0" defaultSize="0" autoFill="0" autoLine="0" autoPict="0">
                <anchor moveWithCells="1" sizeWithCells="1">
                  <from>
                    <xdr:col>22</xdr:col>
                    <xdr:colOff>0</xdr:colOff>
                    <xdr:row>166</xdr:row>
                    <xdr:rowOff>0</xdr:rowOff>
                  </from>
                  <to>
                    <xdr:col>22</xdr:col>
                    <xdr:colOff>177800</xdr:colOff>
                    <xdr:row>166</xdr:row>
                    <xdr:rowOff>177800</xdr:rowOff>
                  </to>
                </anchor>
              </controlPr>
            </control>
          </mc:Choice>
        </mc:AlternateContent>
        <mc:AlternateContent xmlns:mc="http://schemas.openxmlformats.org/markup-compatibility/2006">
          <mc:Choice Requires="x14">
            <control shapeId="4234" r:id="rId32" name="Check Box 138">
              <controlPr locked="0" defaultSize="0" autoFill="0" autoLine="0" autoPict="0">
                <anchor moveWithCells="1" sizeWithCells="1">
                  <from>
                    <xdr:col>22</xdr:col>
                    <xdr:colOff>0</xdr:colOff>
                    <xdr:row>168</xdr:row>
                    <xdr:rowOff>0</xdr:rowOff>
                  </from>
                  <to>
                    <xdr:col>22</xdr:col>
                    <xdr:colOff>177800</xdr:colOff>
                    <xdr:row>168</xdr:row>
                    <xdr:rowOff>177800</xdr:rowOff>
                  </to>
                </anchor>
              </controlPr>
            </control>
          </mc:Choice>
        </mc:AlternateContent>
        <mc:AlternateContent xmlns:mc="http://schemas.openxmlformats.org/markup-compatibility/2006">
          <mc:Choice Requires="x14">
            <control shapeId="4236" r:id="rId33" name="Check Box 140">
              <controlPr locked="0" defaultSize="0" autoFill="0" autoLine="0" autoPict="0">
                <anchor moveWithCells="1" sizeWithCells="1">
                  <from>
                    <xdr:col>22</xdr:col>
                    <xdr:colOff>0</xdr:colOff>
                    <xdr:row>196</xdr:row>
                    <xdr:rowOff>0</xdr:rowOff>
                  </from>
                  <to>
                    <xdr:col>22</xdr:col>
                    <xdr:colOff>177800</xdr:colOff>
                    <xdr:row>196</xdr:row>
                    <xdr:rowOff>177800</xdr:rowOff>
                  </to>
                </anchor>
              </controlPr>
            </control>
          </mc:Choice>
        </mc:AlternateContent>
        <mc:AlternateContent xmlns:mc="http://schemas.openxmlformats.org/markup-compatibility/2006">
          <mc:Choice Requires="x14">
            <control shapeId="4237" r:id="rId34" name="Check Box 141">
              <controlPr locked="0" defaultSize="0" autoFill="0" autoLine="0" autoPict="0">
                <anchor moveWithCells="1" sizeWithCells="1">
                  <from>
                    <xdr:col>22</xdr:col>
                    <xdr:colOff>0</xdr:colOff>
                    <xdr:row>199</xdr:row>
                    <xdr:rowOff>0</xdr:rowOff>
                  </from>
                  <to>
                    <xdr:col>22</xdr:col>
                    <xdr:colOff>177800</xdr:colOff>
                    <xdr:row>199</xdr:row>
                    <xdr:rowOff>177800</xdr:rowOff>
                  </to>
                </anchor>
              </controlPr>
            </control>
          </mc:Choice>
        </mc:AlternateContent>
        <mc:AlternateContent xmlns:mc="http://schemas.openxmlformats.org/markup-compatibility/2006">
          <mc:Choice Requires="x14">
            <control shapeId="4238" r:id="rId35" name="Check Box 142">
              <controlPr locked="0" defaultSize="0" autoFill="0" autoLine="0" autoPict="0">
                <anchor moveWithCells="1" sizeWithCells="1">
                  <from>
                    <xdr:col>22</xdr:col>
                    <xdr:colOff>0</xdr:colOff>
                    <xdr:row>200</xdr:row>
                    <xdr:rowOff>0</xdr:rowOff>
                  </from>
                  <to>
                    <xdr:col>22</xdr:col>
                    <xdr:colOff>177800</xdr:colOff>
                    <xdr:row>200</xdr:row>
                    <xdr:rowOff>177800</xdr:rowOff>
                  </to>
                </anchor>
              </controlPr>
            </control>
          </mc:Choice>
        </mc:AlternateContent>
        <mc:AlternateContent xmlns:mc="http://schemas.openxmlformats.org/markup-compatibility/2006">
          <mc:Choice Requires="x14">
            <control shapeId="4239" r:id="rId36" name="Check Box 143">
              <controlPr locked="0" defaultSize="0" autoFill="0" autoLine="0" autoPict="0">
                <anchor moveWithCells="1" sizeWithCells="1">
                  <from>
                    <xdr:col>22</xdr:col>
                    <xdr:colOff>0</xdr:colOff>
                    <xdr:row>210</xdr:row>
                    <xdr:rowOff>0</xdr:rowOff>
                  </from>
                  <to>
                    <xdr:col>22</xdr:col>
                    <xdr:colOff>177800</xdr:colOff>
                    <xdr:row>210</xdr:row>
                    <xdr:rowOff>177800</xdr:rowOff>
                  </to>
                </anchor>
              </controlPr>
            </control>
          </mc:Choice>
        </mc:AlternateContent>
        <mc:AlternateContent xmlns:mc="http://schemas.openxmlformats.org/markup-compatibility/2006">
          <mc:Choice Requires="x14">
            <control shapeId="4240" r:id="rId37" name="Check Box 144">
              <controlPr locked="0" defaultSize="0" autoFill="0" autoLine="0" autoPict="0">
                <anchor moveWithCells="1" sizeWithCells="1">
                  <from>
                    <xdr:col>22</xdr:col>
                    <xdr:colOff>0</xdr:colOff>
                    <xdr:row>212</xdr:row>
                    <xdr:rowOff>0</xdr:rowOff>
                  </from>
                  <to>
                    <xdr:col>22</xdr:col>
                    <xdr:colOff>177800</xdr:colOff>
                    <xdr:row>212</xdr:row>
                    <xdr:rowOff>177800</xdr:rowOff>
                  </to>
                </anchor>
              </controlPr>
            </control>
          </mc:Choice>
        </mc:AlternateContent>
        <mc:AlternateContent xmlns:mc="http://schemas.openxmlformats.org/markup-compatibility/2006">
          <mc:Choice Requires="x14">
            <control shapeId="4241" r:id="rId38" name="Check Box 145">
              <controlPr locked="0" defaultSize="0" autoFill="0" autoLine="0" autoPict="0">
                <anchor moveWithCells="1" sizeWithCells="1">
                  <from>
                    <xdr:col>22</xdr:col>
                    <xdr:colOff>0</xdr:colOff>
                    <xdr:row>230</xdr:row>
                    <xdr:rowOff>0</xdr:rowOff>
                  </from>
                  <to>
                    <xdr:col>22</xdr:col>
                    <xdr:colOff>177800</xdr:colOff>
                    <xdr:row>230</xdr:row>
                    <xdr:rowOff>177800</xdr:rowOff>
                  </to>
                </anchor>
              </controlPr>
            </control>
          </mc:Choice>
        </mc:AlternateContent>
        <mc:AlternateContent xmlns:mc="http://schemas.openxmlformats.org/markup-compatibility/2006">
          <mc:Choice Requires="x14">
            <control shapeId="4242" r:id="rId39" name="Check Box 146">
              <controlPr locked="0" defaultSize="0" autoFill="0" autoLine="0" autoPict="0">
                <anchor moveWithCells="1" sizeWithCells="1">
                  <from>
                    <xdr:col>22</xdr:col>
                    <xdr:colOff>0</xdr:colOff>
                    <xdr:row>241</xdr:row>
                    <xdr:rowOff>0</xdr:rowOff>
                  </from>
                  <to>
                    <xdr:col>22</xdr:col>
                    <xdr:colOff>177800</xdr:colOff>
                    <xdr:row>241</xdr:row>
                    <xdr:rowOff>177800</xdr:rowOff>
                  </to>
                </anchor>
              </controlPr>
            </control>
          </mc:Choice>
        </mc:AlternateContent>
        <mc:AlternateContent xmlns:mc="http://schemas.openxmlformats.org/markup-compatibility/2006">
          <mc:Choice Requires="x14">
            <control shapeId="4243" r:id="rId40" name="Check Box 147">
              <controlPr locked="0" defaultSize="0" autoFill="0" autoLine="0" autoPict="0">
                <anchor moveWithCells="1" sizeWithCells="1">
                  <from>
                    <xdr:col>22</xdr:col>
                    <xdr:colOff>0</xdr:colOff>
                    <xdr:row>242</xdr:row>
                    <xdr:rowOff>0</xdr:rowOff>
                  </from>
                  <to>
                    <xdr:col>22</xdr:col>
                    <xdr:colOff>177800</xdr:colOff>
                    <xdr:row>242</xdr:row>
                    <xdr:rowOff>177800</xdr:rowOff>
                  </to>
                </anchor>
              </controlPr>
            </control>
          </mc:Choice>
        </mc:AlternateContent>
        <mc:AlternateContent xmlns:mc="http://schemas.openxmlformats.org/markup-compatibility/2006">
          <mc:Choice Requires="x14">
            <control shapeId="4244" r:id="rId41" name="Check Box 148">
              <controlPr locked="0" defaultSize="0" autoFill="0" autoLine="0" autoPict="0">
                <anchor moveWithCells="1" sizeWithCells="1">
                  <from>
                    <xdr:col>22</xdr:col>
                    <xdr:colOff>0</xdr:colOff>
                    <xdr:row>250</xdr:row>
                    <xdr:rowOff>0</xdr:rowOff>
                  </from>
                  <to>
                    <xdr:col>22</xdr:col>
                    <xdr:colOff>177800</xdr:colOff>
                    <xdr:row>250</xdr:row>
                    <xdr:rowOff>177800</xdr:rowOff>
                  </to>
                </anchor>
              </controlPr>
            </control>
          </mc:Choice>
        </mc:AlternateContent>
        <mc:AlternateContent xmlns:mc="http://schemas.openxmlformats.org/markup-compatibility/2006">
          <mc:Choice Requires="x14">
            <control shapeId="4245" r:id="rId42" name="Check Box 149">
              <controlPr locked="0" defaultSize="0" autoFill="0" autoLine="0" autoPict="0">
                <anchor moveWithCells="1" sizeWithCells="1">
                  <from>
                    <xdr:col>22</xdr:col>
                    <xdr:colOff>0</xdr:colOff>
                    <xdr:row>252</xdr:row>
                    <xdr:rowOff>0</xdr:rowOff>
                  </from>
                  <to>
                    <xdr:col>22</xdr:col>
                    <xdr:colOff>177800</xdr:colOff>
                    <xdr:row>252</xdr:row>
                    <xdr:rowOff>177800</xdr:rowOff>
                  </to>
                </anchor>
              </controlPr>
            </control>
          </mc:Choice>
        </mc:AlternateContent>
        <mc:AlternateContent xmlns:mc="http://schemas.openxmlformats.org/markup-compatibility/2006">
          <mc:Choice Requires="x14">
            <control shapeId="4246" r:id="rId43" name="Check Box 150">
              <controlPr locked="0" defaultSize="0" autoFill="0" autoLine="0" autoPict="0">
                <anchor moveWithCells="1" sizeWithCells="1">
                  <from>
                    <xdr:col>22</xdr:col>
                    <xdr:colOff>0</xdr:colOff>
                    <xdr:row>253</xdr:row>
                    <xdr:rowOff>0</xdr:rowOff>
                  </from>
                  <to>
                    <xdr:col>22</xdr:col>
                    <xdr:colOff>177800</xdr:colOff>
                    <xdr:row>253</xdr:row>
                    <xdr:rowOff>177800</xdr:rowOff>
                  </to>
                </anchor>
              </controlPr>
            </control>
          </mc:Choice>
        </mc:AlternateContent>
        <mc:AlternateContent xmlns:mc="http://schemas.openxmlformats.org/markup-compatibility/2006">
          <mc:Choice Requires="x14">
            <control shapeId="4247" r:id="rId44" name="Check Box 151">
              <controlPr locked="0" defaultSize="0" autoFill="0" autoLine="0" autoPict="0">
                <anchor moveWithCells="1" sizeWithCells="1">
                  <from>
                    <xdr:col>22</xdr:col>
                    <xdr:colOff>0</xdr:colOff>
                    <xdr:row>256</xdr:row>
                    <xdr:rowOff>0</xdr:rowOff>
                  </from>
                  <to>
                    <xdr:col>22</xdr:col>
                    <xdr:colOff>177800</xdr:colOff>
                    <xdr:row>256</xdr:row>
                    <xdr:rowOff>177800</xdr:rowOff>
                  </to>
                </anchor>
              </controlPr>
            </control>
          </mc:Choice>
        </mc:AlternateContent>
        <mc:AlternateContent xmlns:mc="http://schemas.openxmlformats.org/markup-compatibility/2006">
          <mc:Choice Requires="x14">
            <control shapeId="4249" r:id="rId45" name="Check Box 153">
              <controlPr locked="0" defaultSize="0" autoFill="0" autoLine="0" autoPict="0">
                <anchor moveWithCells="1" sizeWithCells="1">
                  <from>
                    <xdr:col>22</xdr:col>
                    <xdr:colOff>0</xdr:colOff>
                    <xdr:row>265</xdr:row>
                    <xdr:rowOff>0</xdr:rowOff>
                  </from>
                  <to>
                    <xdr:col>22</xdr:col>
                    <xdr:colOff>177800</xdr:colOff>
                    <xdr:row>265</xdr:row>
                    <xdr:rowOff>177800</xdr:rowOff>
                  </to>
                </anchor>
              </controlPr>
            </control>
          </mc:Choice>
        </mc:AlternateContent>
        <mc:AlternateContent xmlns:mc="http://schemas.openxmlformats.org/markup-compatibility/2006">
          <mc:Choice Requires="x14">
            <control shapeId="4250" r:id="rId46" name="Check Box 154">
              <controlPr locked="0" defaultSize="0" autoFill="0" autoLine="0" autoPict="0">
                <anchor moveWithCells="1" sizeWithCells="1">
                  <from>
                    <xdr:col>22</xdr:col>
                    <xdr:colOff>0</xdr:colOff>
                    <xdr:row>267</xdr:row>
                    <xdr:rowOff>0</xdr:rowOff>
                  </from>
                  <to>
                    <xdr:col>22</xdr:col>
                    <xdr:colOff>177800</xdr:colOff>
                    <xdr:row>267</xdr:row>
                    <xdr:rowOff>177800</xdr:rowOff>
                  </to>
                </anchor>
              </controlPr>
            </control>
          </mc:Choice>
        </mc:AlternateContent>
        <mc:AlternateContent xmlns:mc="http://schemas.openxmlformats.org/markup-compatibility/2006">
          <mc:Choice Requires="x14">
            <control shapeId="4251" r:id="rId47" name="Check Box 155">
              <controlPr locked="0" defaultSize="0" autoFill="0" autoLine="0" autoPict="0">
                <anchor moveWithCells="1" sizeWithCells="1">
                  <from>
                    <xdr:col>22</xdr:col>
                    <xdr:colOff>0</xdr:colOff>
                    <xdr:row>285</xdr:row>
                    <xdr:rowOff>0</xdr:rowOff>
                  </from>
                  <to>
                    <xdr:col>22</xdr:col>
                    <xdr:colOff>177800</xdr:colOff>
                    <xdr:row>285</xdr:row>
                    <xdr:rowOff>177800</xdr:rowOff>
                  </to>
                </anchor>
              </controlPr>
            </control>
          </mc:Choice>
        </mc:AlternateContent>
        <mc:AlternateContent xmlns:mc="http://schemas.openxmlformats.org/markup-compatibility/2006">
          <mc:Choice Requires="x14">
            <control shapeId="4252" r:id="rId48" name="Check Box 156">
              <controlPr locked="0" defaultSize="0" autoFill="0" autoLine="0" autoPict="0">
                <anchor moveWithCells="1" sizeWithCells="1">
                  <from>
                    <xdr:col>22</xdr:col>
                    <xdr:colOff>0</xdr:colOff>
                    <xdr:row>302</xdr:row>
                    <xdr:rowOff>0</xdr:rowOff>
                  </from>
                  <to>
                    <xdr:col>22</xdr:col>
                    <xdr:colOff>177800</xdr:colOff>
                    <xdr:row>302</xdr:row>
                    <xdr:rowOff>177800</xdr:rowOff>
                  </to>
                </anchor>
              </controlPr>
            </control>
          </mc:Choice>
        </mc:AlternateContent>
        <mc:AlternateContent xmlns:mc="http://schemas.openxmlformats.org/markup-compatibility/2006">
          <mc:Choice Requires="x14">
            <control shapeId="4253" r:id="rId49" name="Check Box 157">
              <controlPr locked="0" defaultSize="0" autoFill="0" autoLine="0" autoPict="0">
                <anchor moveWithCells="1" sizeWithCells="1">
                  <from>
                    <xdr:col>22</xdr:col>
                    <xdr:colOff>0</xdr:colOff>
                    <xdr:row>315</xdr:row>
                    <xdr:rowOff>0</xdr:rowOff>
                  </from>
                  <to>
                    <xdr:col>22</xdr:col>
                    <xdr:colOff>177800</xdr:colOff>
                    <xdr:row>315</xdr:row>
                    <xdr:rowOff>177800</xdr:rowOff>
                  </to>
                </anchor>
              </controlPr>
            </control>
          </mc:Choice>
        </mc:AlternateContent>
        <mc:AlternateContent xmlns:mc="http://schemas.openxmlformats.org/markup-compatibility/2006">
          <mc:Choice Requires="x14">
            <control shapeId="4254" r:id="rId50" name="Check Box 158">
              <controlPr locked="0" defaultSize="0" autoFill="0" autoLine="0" autoPict="0">
                <anchor moveWithCells="1" sizeWithCells="1">
                  <from>
                    <xdr:col>22</xdr:col>
                    <xdr:colOff>0</xdr:colOff>
                    <xdr:row>317</xdr:row>
                    <xdr:rowOff>0</xdr:rowOff>
                  </from>
                  <to>
                    <xdr:col>22</xdr:col>
                    <xdr:colOff>177800</xdr:colOff>
                    <xdr:row>317</xdr:row>
                    <xdr:rowOff>177800</xdr:rowOff>
                  </to>
                </anchor>
              </controlPr>
            </control>
          </mc:Choice>
        </mc:AlternateContent>
        <mc:AlternateContent xmlns:mc="http://schemas.openxmlformats.org/markup-compatibility/2006">
          <mc:Choice Requires="x14">
            <control shapeId="4255" r:id="rId51" name="Check Box 159">
              <controlPr locked="0" defaultSize="0" autoFill="0" autoLine="0" autoPict="0">
                <anchor moveWithCells="1" sizeWithCells="1">
                  <from>
                    <xdr:col>22</xdr:col>
                    <xdr:colOff>0</xdr:colOff>
                    <xdr:row>330</xdr:row>
                    <xdr:rowOff>0</xdr:rowOff>
                  </from>
                  <to>
                    <xdr:col>22</xdr:col>
                    <xdr:colOff>177800</xdr:colOff>
                    <xdr:row>330</xdr:row>
                    <xdr:rowOff>177800</xdr:rowOff>
                  </to>
                </anchor>
              </controlPr>
            </control>
          </mc:Choice>
        </mc:AlternateContent>
        <mc:AlternateContent xmlns:mc="http://schemas.openxmlformats.org/markup-compatibility/2006">
          <mc:Choice Requires="x14">
            <control shapeId="4256" r:id="rId52" name="Check Box 160">
              <controlPr locked="0" defaultSize="0" autoFill="0" autoLine="0" autoPict="0">
                <anchor moveWithCells="1" sizeWithCells="1">
                  <from>
                    <xdr:col>22</xdr:col>
                    <xdr:colOff>0</xdr:colOff>
                    <xdr:row>331</xdr:row>
                    <xdr:rowOff>0</xdr:rowOff>
                  </from>
                  <to>
                    <xdr:col>22</xdr:col>
                    <xdr:colOff>177800</xdr:colOff>
                    <xdr:row>331</xdr:row>
                    <xdr:rowOff>177800</xdr:rowOff>
                  </to>
                </anchor>
              </controlPr>
            </control>
          </mc:Choice>
        </mc:AlternateContent>
        <mc:AlternateContent xmlns:mc="http://schemas.openxmlformats.org/markup-compatibility/2006">
          <mc:Choice Requires="x14">
            <control shapeId="4257" r:id="rId53" name="Check Box 161">
              <controlPr locked="0" defaultSize="0" autoFill="0" autoLine="0" autoPict="0">
                <anchor moveWithCells="1" sizeWithCells="1">
                  <from>
                    <xdr:col>22</xdr:col>
                    <xdr:colOff>0</xdr:colOff>
                    <xdr:row>332</xdr:row>
                    <xdr:rowOff>0</xdr:rowOff>
                  </from>
                  <to>
                    <xdr:col>22</xdr:col>
                    <xdr:colOff>177800</xdr:colOff>
                    <xdr:row>332</xdr:row>
                    <xdr:rowOff>177800</xdr:rowOff>
                  </to>
                </anchor>
              </controlPr>
            </control>
          </mc:Choice>
        </mc:AlternateContent>
        <mc:AlternateContent xmlns:mc="http://schemas.openxmlformats.org/markup-compatibility/2006">
          <mc:Choice Requires="x14">
            <control shapeId="4258" r:id="rId54" name="Check Box 162">
              <controlPr locked="0" defaultSize="0" autoFill="0" autoLine="0" autoPict="0">
                <anchor moveWithCells="1" sizeWithCells="1">
                  <from>
                    <xdr:col>22</xdr:col>
                    <xdr:colOff>0</xdr:colOff>
                    <xdr:row>333</xdr:row>
                    <xdr:rowOff>0</xdr:rowOff>
                  </from>
                  <to>
                    <xdr:col>22</xdr:col>
                    <xdr:colOff>177800</xdr:colOff>
                    <xdr:row>333</xdr:row>
                    <xdr:rowOff>177800</xdr:rowOff>
                  </to>
                </anchor>
              </controlPr>
            </control>
          </mc:Choice>
        </mc:AlternateContent>
        <mc:AlternateContent xmlns:mc="http://schemas.openxmlformats.org/markup-compatibility/2006">
          <mc:Choice Requires="x14">
            <control shapeId="4259" r:id="rId55" name="Check Box 163">
              <controlPr locked="0" defaultSize="0" autoFill="0" autoLine="0" autoPict="0">
                <anchor moveWithCells="1" sizeWithCells="1">
                  <from>
                    <xdr:col>22</xdr:col>
                    <xdr:colOff>0</xdr:colOff>
                    <xdr:row>334</xdr:row>
                    <xdr:rowOff>0</xdr:rowOff>
                  </from>
                  <to>
                    <xdr:col>22</xdr:col>
                    <xdr:colOff>177800</xdr:colOff>
                    <xdr:row>334</xdr:row>
                    <xdr:rowOff>177800</xdr:rowOff>
                  </to>
                </anchor>
              </controlPr>
            </control>
          </mc:Choice>
        </mc:AlternateContent>
        <mc:AlternateContent xmlns:mc="http://schemas.openxmlformats.org/markup-compatibility/2006">
          <mc:Choice Requires="x14">
            <control shapeId="4260" r:id="rId56" name="Check Box 164">
              <controlPr locked="0" defaultSize="0" autoFill="0" autoLine="0" autoPict="0">
                <anchor moveWithCells="1" sizeWithCells="1">
                  <from>
                    <xdr:col>22</xdr:col>
                    <xdr:colOff>0</xdr:colOff>
                    <xdr:row>335</xdr:row>
                    <xdr:rowOff>0</xdr:rowOff>
                  </from>
                  <to>
                    <xdr:col>22</xdr:col>
                    <xdr:colOff>177800</xdr:colOff>
                    <xdr:row>335</xdr:row>
                    <xdr:rowOff>177800</xdr:rowOff>
                  </to>
                </anchor>
              </controlPr>
            </control>
          </mc:Choice>
        </mc:AlternateContent>
        <mc:AlternateContent xmlns:mc="http://schemas.openxmlformats.org/markup-compatibility/2006">
          <mc:Choice Requires="x14">
            <control shapeId="4261" r:id="rId57" name="Check Box 165">
              <controlPr locked="0" defaultSize="0" autoFill="0" autoLine="0" autoPict="0">
                <anchor moveWithCells="1" sizeWithCells="1">
                  <from>
                    <xdr:col>22</xdr:col>
                    <xdr:colOff>0</xdr:colOff>
                    <xdr:row>336</xdr:row>
                    <xdr:rowOff>0</xdr:rowOff>
                  </from>
                  <to>
                    <xdr:col>22</xdr:col>
                    <xdr:colOff>177800</xdr:colOff>
                    <xdr:row>336</xdr:row>
                    <xdr:rowOff>177800</xdr:rowOff>
                  </to>
                </anchor>
              </controlPr>
            </control>
          </mc:Choice>
        </mc:AlternateContent>
        <mc:AlternateContent xmlns:mc="http://schemas.openxmlformats.org/markup-compatibility/2006">
          <mc:Choice Requires="x14">
            <control shapeId="4262" r:id="rId58" name="Check Box 166">
              <controlPr locked="0" defaultSize="0" autoFill="0" autoLine="0" autoPict="0">
                <anchor moveWithCells="1" sizeWithCells="1">
                  <from>
                    <xdr:col>22</xdr:col>
                    <xdr:colOff>0</xdr:colOff>
                    <xdr:row>337</xdr:row>
                    <xdr:rowOff>0</xdr:rowOff>
                  </from>
                  <to>
                    <xdr:col>22</xdr:col>
                    <xdr:colOff>177800</xdr:colOff>
                    <xdr:row>337</xdr:row>
                    <xdr:rowOff>177800</xdr:rowOff>
                  </to>
                </anchor>
              </controlPr>
            </control>
          </mc:Choice>
        </mc:AlternateContent>
        <mc:AlternateContent xmlns:mc="http://schemas.openxmlformats.org/markup-compatibility/2006">
          <mc:Choice Requires="x14">
            <control shapeId="4263" r:id="rId59" name="Check Box 167">
              <controlPr locked="0" defaultSize="0" autoFill="0" autoLine="0" autoPict="0">
                <anchor moveWithCells="1" sizeWithCells="1">
                  <from>
                    <xdr:col>22</xdr:col>
                    <xdr:colOff>0</xdr:colOff>
                    <xdr:row>338</xdr:row>
                    <xdr:rowOff>0</xdr:rowOff>
                  </from>
                  <to>
                    <xdr:col>22</xdr:col>
                    <xdr:colOff>177800</xdr:colOff>
                    <xdr:row>338</xdr:row>
                    <xdr:rowOff>177800</xdr:rowOff>
                  </to>
                </anchor>
              </controlPr>
            </control>
          </mc:Choice>
        </mc:AlternateContent>
        <mc:AlternateContent xmlns:mc="http://schemas.openxmlformats.org/markup-compatibility/2006">
          <mc:Choice Requires="x14">
            <control shapeId="4264" r:id="rId60" name="Check Box 168">
              <controlPr locked="0" defaultSize="0" autoFill="0" autoLine="0" autoPict="0">
                <anchor moveWithCells="1" sizeWithCells="1">
                  <from>
                    <xdr:col>22</xdr:col>
                    <xdr:colOff>0</xdr:colOff>
                    <xdr:row>389</xdr:row>
                    <xdr:rowOff>0</xdr:rowOff>
                  </from>
                  <to>
                    <xdr:col>22</xdr:col>
                    <xdr:colOff>177800</xdr:colOff>
                    <xdr:row>389</xdr:row>
                    <xdr:rowOff>177800</xdr:rowOff>
                  </to>
                </anchor>
              </controlPr>
            </control>
          </mc:Choice>
        </mc:AlternateContent>
        <mc:AlternateContent xmlns:mc="http://schemas.openxmlformats.org/markup-compatibility/2006">
          <mc:Choice Requires="x14">
            <control shapeId="4265" r:id="rId61" name="Check Box 169">
              <controlPr locked="0" defaultSize="0" autoFill="0" autoLine="0" autoPict="0">
                <anchor moveWithCells="1" sizeWithCells="1">
                  <from>
                    <xdr:col>22</xdr:col>
                    <xdr:colOff>0</xdr:colOff>
                    <xdr:row>394</xdr:row>
                    <xdr:rowOff>0</xdr:rowOff>
                  </from>
                  <to>
                    <xdr:col>22</xdr:col>
                    <xdr:colOff>177800</xdr:colOff>
                    <xdr:row>394</xdr:row>
                    <xdr:rowOff>177800</xdr:rowOff>
                  </to>
                </anchor>
              </controlPr>
            </control>
          </mc:Choice>
        </mc:AlternateContent>
        <mc:AlternateContent xmlns:mc="http://schemas.openxmlformats.org/markup-compatibility/2006">
          <mc:Choice Requires="x14">
            <control shapeId="4266" r:id="rId62" name="Check Box 170">
              <controlPr locked="0" defaultSize="0" autoFill="0" autoLine="0" autoPict="0">
                <anchor moveWithCells="1" sizeWithCells="1">
                  <from>
                    <xdr:col>22</xdr:col>
                    <xdr:colOff>0</xdr:colOff>
                    <xdr:row>400</xdr:row>
                    <xdr:rowOff>0</xdr:rowOff>
                  </from>
                  <to>
                    <xdr:col>22</xdr:col>
                    <xdr:colOff>177800</xdr:colOff>
                    <xdr:row>400</xdr:row>
                    <xdr:rowOff>177800</xdr:rowOff>
                  </to>
                </anchor>
              </controlPr>
            </control>
          </mc:Choice>
        </mc:AlternateContent>
        <mc:AlternateContent xmlns:mc="http://schemas.openxmlformats.org/markup-compatibility/2006">
          <mc:Choice Requires="x14">
            <control shapeId="4267" r:id="rId63" name="Check Box 171">
              <controlPr locked="0" defaultSize="0" autoFill="0" autoLine="0" autoPict="0">
                <anchor moveWithCells="1" sizeWithCells="1">
                  <from>
                    <xdr:col>22</xdr:col>
                    <xdr:colOff>0</xdr:colOff>
                    <xdr:row>434</xdr:row>
                    <xdr:rowOff>0</xdr:rowOff>
                  </from>
                  <to>
                    <xdr:col>22</xdr:col>
                    <xdr:colOff>177800</xdr:colOff>
                    <xdr:row>434</xdr:row>
                    <xdr:rowOff>177800</xdr:rowOff>
                  </to>
                </anchor>
              </controlPr>
            </control>
          </mc:Choice>
        </mc:AlternateContent>
        <mc:AlternateContent xmlns:mc="http://schemas.openxmlformats.org/markup-compatibility/2006">
          <mc:Choice Requires="x14">
            <control shapeId="4268" r:id="rId64" name="Check Box 172">
              <controlPr locked="0" defaultSize="0" autoFill="0" autoLine="0" autoPict="0">
                <anchor moveWithCells="1" sizeWithCells="1">
                  <from>
                    <xdr:col>22</xdr:col>
                    <xdr:colOff>0</xdr:colOff>
                    <xdr:row>443</xdr:row>
                    <xdr:rowOff>0</xdr:rowOff>
                  </from>
                  <to>
                    <xdr:col>22</xdr:col>
                    <xdr:colOff>177800</xdr:colOff>
                    <xdr:row>443</xdr:row>
                    <xdr:rowOff>177800</xdr:rowOff>
                  </to>
                </anchor>
              </controlPr>
            </control>
          </mc:Choice>
        </mc:AlternateContent>
        <mc:AlternateContent xmlns:mc="http://schemas.openxmlformats.org/markup-compatibility/2006">
          <mc:Choice Requires="x14">
            <control shapeId="4269" r:id="rId65" name="Check Box 173">
              <controlPr locked="0" defaultSize="0" autoFill="0" autoLine="0" autoPict="0">
                <anchor moveWithCells="1" sizeWithCells="1">
                  <from>
                    <xdr:col>22</xdr:col>
                    <xdr:colOff>0</xdr:colOff>
                    <xdr:row>450</xdr:row>
                    <xdr:rowOff>0</xdr:rowOff>
                  </from>
                  <to>
                    <xdr:col>22</xdr:col>
                    <xdr:colOff>177800</xdr:colOff>
                    <xdr:row>450</xdr:row>
                    <xdr:rowOff>177800</xdr:rowOff>
                  </to>
                </anchor>
              </controlPr>
            </control>
          </mc:Choice>
        </mc:AlternateContent>
        <mc:AlternateContent xmlns:mc="http://schemas.openxmlformats.org/markup-compatibility/2006">
          <mc:Choice Requires="x14">
            <control shapeId="4270" r:id="rId66" name="Check Box 174">
              <controlPr locked="0" defaultSize="0" autoFill="0" autoLine="0" autoPict="0">
                <anchor moveWithCells="1" sizeWithCells="1">
                  <from>
                    <xdr:col>22</xdr:col>
                    <xdr:colOff>0</xdr:colOff>
                    <xdr:row>529</xdr:row>
                    <xdr:rowOff>0</xdr:rowOff>
                  </from>
                  <to>
                    <xdr:col>22</xdr:col>
                    <xdr:colOff>177800</xdr:colOff>
                    <xdr:row>529</xdr:row>
                    <xdr:rowOff>177800</xdr:rowOff>
                  </to>
                </anchor>
              </controlPr>
            </control>
          </mc:Choice>
        </mc:AlternateContent>
        <mc:AlternateContent xmlns:mc="http://schemas.openxmlformats.org/markup-compatibility/2006">
          <mc:Choice Requires="x14">
            <control shapeId="4271" r:id="rId67" name="Check Box 175">
              <controlPr locked="0" defaultSize="0" autoFill="0" autoLine="0" autoPict="0">
                <anchor moveWithCells="1" sizeWithCells="1">
                  <from>
                    <xdr:col>22</xdr:col>
                    <xdr:colOff>0</xdr:colOff>
                    <xdr:row>530</xdr:row>
                    <xdr:rowOff>0</xdr:rowOff>
                  </from>
                  <to>
                    <xdr:col>22</xdr:col>
                    <xdr:colOff>177800</xdr:colOff>
                    <xdr:row>530</xdr:row>
                    <xdr:rowOff>177800</xdr:rowOff>
                  </to>
                </anchor>
              </controlPr>
            </control>
          </mc:Choice>
        </mc:AlternateContent>
        <mc:AlternateContent xmlns:mc="http://schemas.openxmlformats.org/markup-compatibility/2006">
          <mc:Choice Requires="x14">
            <control shapeId="4272" r:id="rId68" name="Check Box 176">
              <controlPr locked="0" defaultSize="0" autoFill="0" autoLine="0" autoPict="0">
                <anchor moveWithCells="1" sizeWithCells="1">
                  <from>
                    <xdr:col>22</xdr:col>
                    <xdr:colOff>0</xdr:colOff>
                    <xdr:row>532</xdr:row>
                    <xdr:rowOff>0</xdr:rowOff>
                  </from>
                  <to>
                    <xdr:col>22</xdr:col>
                    <xdr:colOff>177800</xdr:colOff>
                    <xdr:row>532</xdr:row>
                    <xdr:rowOff>177800</xdr:rowOff>
                  </to>
                </anchor>
              </controlPr>
            </control>
          </mc:Choice>
        </mc:AlternateContent>
        <mc:AlternateContent xmlns:mc="http://schemas.openxmlformats.org/markup-compatibility/2006">
          <mc:Choice Requires="x14">
            <control shapeId="4273" r:id="rId69" name="Check Box 177">
              <controlPr locked="0" defaultSize="0" autoFill="0" autoLine="0" autoPict="0">
                <anchor moveWithCells="1" sizeWithCells="1">
                  <from>
                    <xdr:col>22</xdr:col>
                    <xdr:colOff>0</xdr:colOff>
                    <xdr:row>534</xdr:row>
                    <xdr:rowOff>0</xdr:rowOff>
                  </from>
                  <to>
                    <xdr:col>22</xdr:col>
                    <xdr:colOff>177800</xdr:colOff>
                    <xdr:row>534</xdr:row>
                    <xdr:rowOff>177800</xdr:rowOff>
                  </to>
                </anchor>
              </controlPr>
            </control>
          </mc:Choice>
        </mc:AlternateContent>
        <mc:AlternateContent xmlns:mc="http://schemas.openxmlformats.org/markup-compatibility/2006">
          <mc:Choice Requires="x14">
            <control shapeId="4274" r:id="rId70" name="Check Box 178">
              <controlPr locked="0" defaultSize="0" autoFill="0" autoLine="0" autoPict="0">
                <anchor moveWithCells="1" sizeWithCells="1">
                  <from>
                    <xdr:col>22</xdr:col>
                    <xdr:colOff>0</xdr:colOff>
                    <xdr:row>536</xdr:row>
                    <xdr:rowOff>0</xdr:rowOff>
                  </from>
                  <to>
                    <xdr:col>22</xdr:col>
                    <xdr:colOff>177800</xdr:colOff>
                    <xdr:row>536</xdr:row>
                    <xdr:rowOff>177800</xdr:rowOff>
                  </to>
                </anchor>
              </controlPr>
            </control>
          </mc:Choice>
        </mc:AlternateContent>
        <mc:AlternateContent xmlns:mc="http://schemas.openxmlformats.org/markup-compatibility/2006">
          <mc:Choice Requires="x14">
            <control shapeId="4275" r:id="rId71" name="Check Box 179">
              <controlPr locked="0" defaultSize="0" autoFill="0" autoLine="0" autoPict="0">
                <anchor moveWithCells="1" sizeWithCells="1">
                  <from>
                    <xdr:col>22</xdr:col>
                    <xdr:colOff>0</xdr:colOff>
                    <xdr:row>538</xdr:row>
                    <xdr:rowOff>0</xdr:rowOff>
                  </from>
                  <to>
                    <xdr:col>22</xdr:col>
                    <xdr:colOff>177800</xdr:colOff>
                    <xdr:row>538</xdr:row>
                    <xdr:rowOff>177800</xdr:rowOff>
                  </to>
                </anchor>
              </controlPr>
            </control>
          </mc:Choice>
        </mc:AlternateContent>
        <mc:AlternateContent xmlns:mc="http://schemas.openxmlformats.org/markup-compatibility/2006">
          <mc:Choice Requires="x14">
            <control shapeId="4276" r:id="rId72" name="Check Box 180">
              <controlPr locked="0" defaultSize="0" autoFill="0" autoLine="0" autoPict="0">
                <anchor moveWithCells="1" sizeWithCells="1">
                  <from>
                    <xdr:col>22</xdr:col>
                    <xdr:colOff>0</xdr:colOff>
                    <xdr:row>540</xdr:row>
                    <xdr:rowOff>0</xdr:rowOff>
                  </from>
                  <to>
                    <xdr:col>22</xdr:col>
                    <xdr:colOff>177800</xdr:colOff>
                    <xdr:row>540</xdr:row>
                    <xdr:rowOff>177800</xdr:rowOff>
                  </to>
                </anchor>
              </controlPr>
            </control>
          </mc:Choice>
        </mc:AlternateContent>
        <mc:AlternateContent xmlns:mc="http://schemas.openxmlformats.org/markup-compatibility/2006">
          <mc:Choice Requires="x14">
            <control shapeId="4277" r:id="rId73" name="Check Box 181">
              <controlPr locked="0" defaultSize="0" autoFill="0" autoLine="0" autoPict="0">
                <anchor moveWithCells="1" sizeWithCells="1">
                  <from>
                    <xdr:col>22</xdr:col>
                    <xdr:colOff>0</xdr:colOff>
                    <xdr:row>544</xdr:row>
                    <xdr:rowOff>0</xdr:rowOff>
                  </from>
                  <to>
                    <xdr:col>22</xdr:col>
                    <xdr:colOff>177800</xdr:colOff>
                    <xdr:row>544</xdr:row>
                    <xdr:rowOff>177800</xdr:rowOff>
                  </to>
                </anchor>
              </controlPr>
            </control>
          </mc:Choice>
        </mc:AlternateContent>
        <mc:AlternateContent xmlns:mc="http://schemas.openxmlformats.org/markup-compatibility/2006">
          <mc:Choice Requires="x14">
            <control shapeId="4278" r:id="rId74" name="Check Box 182">
              <controlPr locked="0" defaultSize="0" autoFill="0" autoLine="0" autoPict="0">
                <anchor moveWithCells="1" sizeWithCells="1">
                  <from>
                    <xdr:col>22</xdr:col>
                    <xdr:colOff>0</xdr:colOff>
                    <xdr:row>549</xdr:row>
                    <xdr:rowOff>0</xdr:rowOff>
                  </from>
                  <to>
                    <xdr:col>22</xdr:col>
                    <xdr:colOff>177800</xdr:colOff>
                    <xdr:row>549</xdr:row>
                    <xdr:rowOff>177800</xdr:rowOff>
                  </to>
                </anchor>
              </controlPr>
            </control>
          </mc:Choice>
        </mc:AlternateContent>
        <mc:AlternateContent xmlns:mc="http://schemas.openxmlformats.org/markup-compatibility/2006">
          <mc:Choice Requires="x14">
            <control shapeId="4279" r:id="rId75" name="Check Box 183">
              <controlPr locked="0" defaultSize="0" autoFill="0" autoLine="0" autoPict="0">
                <anchor moveWithCells="1" sizeWithCells="1">
                  <from>
                    <xdr:col>22</xdr:col>
                    <xdr:colOff>0</xdr:colOff>
                    <xdr:row>553</xdr:row>
                    <xdr:rowOff>0</xdr:rowOff>
                  </from>
                  <to>
                    <xdr:col>22</xdr:col>
                    <xdr:colOff>177800</xdr:colOff>
                    <xdr:row>553</xdr:row>
                    <xdr:rowOff>177800</xdr:rowOff>
                  </to>
                </anchor>
              </controlPr>
            </control>
          </mc:Choice>
        </mc:AlternateContent>
        <mc:AlternateContent xmlns:mc="http://schemas.openxmlformats.org/markup-compatibility/2006">
          <mc:Choice Requires="x14">
            <control shapeId="4280" r:id="rId76" name="Check Box 184">
              <controlPr locked="0" defaultSize="0" autoFill="0" autoLine="0" autoPict="0">
                <anchor moveWithCells="1" sizeWithCells="1">
                  <from>
                    <xdr:col>22</xdr:col>
                    <xdr:colOff>0</xdr:colOff>
                    <xdr:row>555</xdr:row>
                    <xdr:rowOff>0</xdr:rowOff>
                  </from>
                  <to>
                    <xdr:col>22</xdr:col>
                    <xdr:colOff>177800</xdr:colOff>
                    <xdr:row>555</xdr:row>
                    <xdr:rowOff>177800</xdr:rowOff>
                  </to>
                </anchor>
              </controlPr>
            </control>
          </mc:Choice>
        </mc:AlternateContent>
        <mc:AlternateContent xmlns:mc="http://schemas.openxmlformats.org/markup-compatibility/2006">
          <mc:Choice Requires="x14">
            <control shapeId="4281" r:id="rId77" name="Check Box 185">
              <controlPr locked="0" defaultSize="0" autoFill="0" autoLine="0" autoPict="0">
                <anchor moveWithCells="1" sizeWithCells="1">
                  <from>
                    <xdr:col>22</xdr:col>
                    <xdr:colOff>0</xdr:colOff>
                    <xdr:row>557</xdr:row>
                    <xdr:rowOff>0</xdr:rowOff>
                  </from>
                  <to>
                    <xdr:col>22</xdr:col>
                    <xdr:colOff>177800</xdr:colOff>
                    <xdr:row>557</xdr:row>
                    <xdr:rowOff>177800</xdr:rowOff>
                  </to>
                </anchor>
              </controlPr>
            </control>
          </mc:Choice>
        </mc:AlternateContent>
        <mc:AlternateContent xmlns:mc="http://schemas.openxmlformats.org/markup-compatibility/2006">
          <mc:Choice Requires="x14">
            <control shapeId="4282" r:id="rId78" name="Check Box 186">
              <controlPr locked="0" defaultSize="0" autoFill="0" autoLine="0" autoPict="0">
                <anchor moveWithCells="1" sizeWithCells="1">
                  <from>
                    <xdr:col>22</xdr:col>
                    <xdr:colOff>0</xdr:colOff>
                    <xdr:row>558</xdr:row>
                    <xdr:rowOff>0</xdr:rowOff>
                  </from>
                  <to>
                    <xdr:col>22</xdr:col>
                    <xdr:colOff>177800</xdr:colOff>
                    <xdr:row>558</xdr:row>
                    <xdr:rowOff>177800</xdr:rowOff>
                  </to>
                </anchor>
              </controlPr>
            </control>
          </mc:Choice>
        </mc:AlternateContent>
        <mc:AlternateContent xmlns:mc="http://schemas.openxmlformats.org/markup-compatibility/2006">
          <mc:Choice Requires="x14">
            <control shapeId="4283" r:id="rId79" name="Check Box 187">
              <controlPr locked="0" defaultSize="0" autoFill="0" autoLine="0" autoPict="0">
                <anchor moveWithCells="1" sizeWithCells="1">
                  <from>
                    <xdr:col>22</xdr:col>
                    <xdr:colOff>0</xdr:colOff>
                    <xdr:row>559</xdr:row>
                    <xdr:rowOff>0</xdr:rowOff>
                  </from>
                  <to>
                    <xdr:col>22</xdr:col>
                    <xdr:colOff>177800</xdr:colOff>
                    <xdr:row>559</xdr:row>
                    <xdr:rowOff>177800</xdr:rowOff>
                  </to>
                </anchor>
              </controlPr>
            </control>
          </mc:Choice>
        </mc:AlternateContent>
        <mc:AlternateContent xmlns:mc="http://schemas.openxmlformats.org/markup-compatibility/2006">
          <mc:Choice Requires="x14">
            <control shapeId="4284" r:id="rId80" name="Check Box 188">
              <controlPr locked="0" defaultSize="0" autoFill="0" autoLine="0" autoPict="0">
                <anchor moveWithCells="1" sizeWithCells="1">
                  <from>
                    <xdr:col>22</xdr:col>
                    <xdr:colOff>0</xdr:colOff>
                    <xdr:row>563</xdr:row>
                    <xdr:rowOff>0</xdr:rowOff>
                  </from>
                  <to>
                    <xdr:col>22</xdr:col>
                    <xdr:colOff>177800</xdr:colOff>
                    <xdr:row>563</xdr:row>
                    <xdr:rowOff>177800</xdr:rowOff>
                  </to>
                </anchor>
              </controlPr>
            </control>
          </mc:Choice>
        </mc:AlternateContent>
        <mc:AlternateContent xmlns:mc="http://schemas.openxmlformats.org/markup-compatibility/2006">
          <mc:Choice Requires="x14">
            <control shapeId="4287" r:id="rId81" name="Check Box 191">
              <controlPr locked="0" defaultSize="0" autoFill="0" autoLine="0" autoPict="0">
                <anchor moveWithCells="1">
                  <from>
                    <xdr:col>22</xdr:col>
                    <xdr:colOff>0</xdr:colOff>
                    <xdr:row>299</xdr:row>
                    <xdr:rowOff>0</xdr:rowOff>
                  </from>
                  <to>
                    <xdr:col>22</xdr:col>
                    <xdr:colOff>177800</xdr:colOff>
                    <xdr:row>299</xdr:row>
                    <xdr:rowOff>177800</xdr:rowOff>
                  </to>
                </anchor>
              </controlPr>
            </control>
          </mc:Choice>
        </mc:AlternateContent>
        <mc:AlternateContent xmlns:mc="http://schemas.openxmlformats.org/markup-compatibility/2006">
          <mc:Choice Requires="x14">
            <control shapeId="4290" r:id="rId82" name="Check Box 194">
              <controlPr locked="0" defaultSize="0" autoFill="0" autoLine="0" autoPict="0">
                <anchor moveWithCells="1">
                  <from>
                    <xdr:col>22</xdr:col>
                    <xdr:colOff>0</xdr:colOff>
                    <xdr:row>243</xdr:row>
                    <xdr:rowOff>0</xdr:rowOff>
                  </from>
                  <to>
                    <xdr:col>22</xdr:col>
                    <xdr:colOff>177800</xdr:colOff>
                    <xdr:row>243</xdr:row>
                    <xdr:rowOff>177800</xdr:rowOff>
                  </to>
                </anchor>
              </controlPr>
            </control>
          </mc:Choice>
        </mc:AlternateContent>
      </controls>
    </mc:Choice>
  </mc:AlternateContent>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2">
    <pageSetUpPr fitToPage="1"/>
  </sheetPr>
  <dimension ref="A1:BR741"/>
  <sheetViews>
    <sheetView showGridLines="0" topLeftCell="H1" zoomScale="90" zoomScaleNormal="100" workbookViewId="0">
      <pane ySplit="7" topLeftCell="A439" activePane="bottomLeft" state="frozen"/>
      <selection activeCell="G45" sqref="G45:H45"/>
      <selection pane="bottomLeft" activeCell="W160" sqref="W160"/>
    </sheetView>
  </sheetViews>
  <sheetFormatPr baseColWidth="10" defaultColWidth="9.1640625" defaultRowHeight="15" x14ac:dyDescent="0.2"/>
  <cols>
    <col min="1" max="1" width="9.1640625" style="20" hidden="1" customWidth="1"/>
    <col min="2" max="2" width="7.33203125" style="995" hidden="1" customWidth="1"/>
    <col min="3" max="5" width="3.83203125" style="995" hidden="1" customWidth="1"/>
    <col min="6" max="7" width="3.83203125" style="20" hidden="1" customWidth="1"/>
    <col min="8" max="8" width="3.83203125" style="20" customWidth="1"/>
    <col min="9" max="9" width="10.5" style="78" customWidth="1"/>
    <col min="10" max="11" width="3.83203125" style="78" customWidth="1"/>
    <col min="12" max="12" width="71.6640625" style="78" customWidth="1"/>
    <col min="13" max="13" width="13.5" style="135" customWidth="1"/>
    <col min="14" max="14" width="7.6640625" style="78" hidden="1" customWidth="1"/>
    <col min="15" max="15" width="7.6640625" style="135" customWidth="1"/>
    <col min="16" max="21" width="8.83203125" style="78" hidden="1" customWidth="1"/>
    <col min="22" max="22" width="3" style="78" hidden="1" customWidth="1"/>
    <col min="23" max="23" width="21.5" style="78" customWidth="1"/>
    <col min="24" max="24" width="69" style="78" customWidth="1"/>
    <col min="25" max="25" width="34.83203125" style="704" hidden="1" customWidth="1"/>
    <col min="26" max="26" width="34.83203125" style="78" hidden="1" customWidth="1"/>
    <col min="27" max="27" width="9.1640625" style="707" hidden="1" customWidth="1"/>
    <col min="28" max="37" width="9.1640625" style="78" hidden="1" customWidth="1"/>
    <col min="38" max="38" width="19.1640625" style="78" hidden="1" customWidth="1"/>
    <col min="39" max="39" width="2.1640625" style="78" hidden="1" customWidth="1"/>
    <col min="40" max="40" width="16.33203125" style="78" hidden="1" customWidth="1"/>
    <col min="41" max="41" width="2.1640625" style="78" hidden="1" customWidth="1"/>
    <col min="42" max="42" width="16.5" style="78" hidden="1" customWidth="1"/>
    <col min="43" max="43" width="2.1640625" style="78" hidden="1" customWidth="1"/>
    <col min="44" max="44" width="18.6640625" style="78" hidden="1" customWidth="1"/>
    <col min="45" max="45" width="2.1640625" style="78" hidden="1" customWidth="1"/>
    <col min="46" max="61" width="9.1640625" style="78" hidden="1" customWidth="1"/>
    <col min="62" max="16384" width="9.1640625" style="78"/>
  </cols>
  <sheetData>
    <row r="1" spans="1:70" x14ac:dyDescent="0.2">
      <c r="H1" s="1674" t="s">
        <v>3446</v>
      </c>
      <c r="I1" s="1651" t="str">
        <f ca="1">IF(OR(AG3,AI3),"Errors on page, no Level reached","Chapter Level: "&amp;AG1)</f>
        <v>Chapter Level: Gold</v>
      </c>
      <c r="J1" s="1651"/>
      <c r="K1" s="1651"/>
      <c r="L1" s="1651"/>
      <c r="M1" s="1675"/>
      <c r="N1" s="1675"/>
      <c r="O1" s="1675"/>
      <c r="P1" s="1675"/>
      <c r="Q1" s="1675"/>
      <c r="R1" s="1675"/>
      <c r="S1" s="1675"/>
      <c r="T1" s="1675"/>
      <c r="U1" s="1675"/>
      <c r="V1" s="1675"/>
      <c r="W1" s="1675"/>
      <c r="X1" s="520" t="s">
        <v>3423</v>
      </c>
      <c r="AF1" s="77" t="s">
        <v>606</v>
      </c>
      <c r="AG1" s="327" t="str">
        <f ca="1">IF(OR(AG3,AI3),"None",Ch7Level)</f>
        <v>Gold</v>
      </c>
    </row>
    <row r="2" spans="1:70" x14ac:dyDescent="0.2">
      <c r="H2" s="1674"/>
      <c r="I2" s="1652" t="str">
        <f ca="1">IF(OR(AG3,AI3),"Errors on page, no Level reached","Total Project Points: "&amp;Dpoints)</f>
        <v>Total Project Points: 116</v>
      </c>
      <c r="J2" s="1652"/>
      <c r="K2" s="1652"/>
      <c r="L2" s="1652"/>
      <c r="M2" s="1675"/>
      <c r="N2" s="1675"/>
      <c r="O2" s="1675"/>
      <c r="P2" s="1675"/>
      <c r="Q2" s="1675"/>
      <c r="R2" s="1675"/>
      <c r="S2" s="1675"/>
      <c r="T2" s="1675"/>
      <c r="U2" s="1675"/>
      <c r="V2" s="1675"/>
      <c r="W2" s="1675"/>
      <c r="X2" s="520" t="s">
        <v>2890</v>
      </c>
      <c r="AF2" s="77" t="s">
        <v>607</v>
      </c>
      <c r="AG2" s="78">
        <f ca="1">INDIRECT(AF2)</f>
        <v>0</v>
      </c>
      <c r="AH2" s="78" t="s">
        <v>609</v>
      </c>
      <c r="AI2" s="78" t="e">
        <f ca="1">INDIRECT(AH2)</f>
        <v>#REF!</v>
      </c>
      <c r="AJ2"/>
      <c r="AK2"/>
    </row>
    <row r="3" spans="1:70" x14ac:dyDescent="0.2">
      <c r="H3" s="1674"/>
      <c r="I3" s="1652" t="str">
        <f ca="1">IF(OR(AG3,AI3),"Errors on page, no Level reached","Total Project Level: "&amp;Dlevel)</f>
        <v>Total Project Level: Bronze</v>
      </c>
      <c r="J3" s="1652"/>
      <c r="K3" s="1652"/>
      <c r="L3" s="1652"/>
      <c r="M3" s="1675"/>
      <c r="N3" s="1675"/>
      <c r="O3" s="1675"/>
      <c r="P3" s="1675"/>
      <c r="Q3" s="1675"/>
      <c r="R3" s="1675"/>
      <c r="S3" s="1675"/>
      <c r="T3" s="1675"/>
      <c r="U3" s="1675"/>
      <c r="V3" s="1675"/>
      <c r="W3" s="1675"/>
      <c r="X3" s="520" t="s">
        <v>2889</v>
      </c>
      <c r="AF3" s="77" t="s">
        <v>608</v>
      </c>
      <c r="AG3" s="78" t="b">
        <f ca="1">OR(AE:AE)</f>
        <v>0</v>
      </c>
      <c r="AH3" s="77" t="s">
        <v>615</v>
      </c>
      <c r="AI3" s="78" t="b">
        <f ca="1">OR(AD:AD)</f>
        <v>0</v>
      </c>
    </row>
    <row r="4" spans="1:70" x14ac:dyDescent="0.2">
      <c r="H4" s="1674"/>
      <c r="I4" s="1658" t="str">
        <f ca="1">IF(OR(AG3,AI3),"Errors on page, no Level reached","Points Needed to Earn Next Level: "&amp;DNext)</f>
        <v>Points Needed to Earn Next Level: 9</v>
      </c>
      <c r="J4" s="1659"/>
      <c r="K4" s="1659"/>
      <c r="L4" s="1660"/>
      <c r="M4" s="1675"/>
      <c r="N4" s="1675"/>
      <c r="O4" s="1675"/>
      <c r="P4" s="1675"/>
      <c r="Q4" s="1675"/>
      <c r="R4" s="1675"/>
      <c r="S4" s="1675"/>
      <c r="T4" s="1675"/>
      <c r="U4" s="1675"/>
      <c r="V4" s="1675"/>
      <c r="W4" s="1675"/>
      <c r="X4" s="1543" t="s">
        <v>5034</v>
      </c>
      <c r="AF4" s="77"/>
      <c r="AH4" s="77"/>
    </row>
    <row r="5" spans="1:70" x14ac:dyDescent="0.2">
      <c r="H5" s="1674"/>
      <c r="I5" s="1661" t="str">
        <f>"Revision Date:  "&amp;TEXT('Info &amp; Intro'!E7,"m/d/yyyy")</f>
        <v>Revision Date:  5/10/2020</v>
      </c>
      <c r="J5" s="1662"/>
      <c r="K5" s="1662"/>
      <c r="L5" s="1663"/>
      <c r="M5" s="1675"/>
      <c r="N5" s="1675"/>
      <c r="O5" s="1675"/>
      <c r="P5" s="1675"/>
      <c r="Q5" s="1675"/>
      <c r="R5" s="1675"/>
      <c r="S5" s="1675"/>
      <c r="T5" s="1675"/>
      <c r="U5" s="1675"/>
      <c r="V5" s="1675"/>
      <c r="W5" s="1675"/>
      <c r="X5" s="1543"/>
      <c r="AF5" s="77"/>
      <c r="AH5" s="77"/>
    </row>
    <row r="6" spans="1:70" x14ac:dyDescent="0.2">
      <c r="H6" s="1674"/>
      <c r="I6" s="1666" t="s">
        <v>247</v>
      </c>
      <c r="J6" s="1667"/>
      <c r="K6" s="1668"/>
      <c r="L6" s="1664" t="s">
        <v>682</v>
      </c>
      <c r="M6" s="1735" t="s">
        <v>248</v>
      </c>
      <c r="N6" s="1664"/>
      <c r="O6" s="36" t="s">
        <v>298</v>
      </c>
      <c r="P6" s="1664" t="s">
        <v>3456</v>
      </c>
      <c r="Q6" s="1664" t="s">
        <v>290</v>
      </c>
      <c r="R6" s="1664" t="s">
        <v>249</v>
      </c>
      <c r="S6" s="1664" t="s">
        <v>250</v>
      </c>
      <c r="T6" s="1664" t="s">
        <v>0</v>
      </c>
      <c r="U6" s="1664" t="s">
        <v>3457</v>
      </c>
      <c r="V6" s="1664"/>
      <c r="W6" s="1664" t="s">
        <v>251</v>
      </c>
      <c r="X6" s="1653" t="s">
        <v>1</v>
      </c>
      <c r="AC6" s="76" t="s">
        <v>288</v>
      </c>
      <c r="AD6" s="76" t="s">
        <v>0</v>
      </c>
      <c r="AE6" s="76" t="s">
        <v>287</v>
      </c>
    </row>
    <row r="7" spans="1:70" x14ac:dyDescent="0.2">
      <c r="H7" s="1674"/>
      <c r="I7" s="1666"/>
      <c r="J7" s="1667"/>
      <c r="K7" s="1668"/>
      <c r="L7" s="1665"/>
      <c r="M7" s="1736"/>
      <c r="N7" s="1665"/>
      <c r="O7" s="36" t="s">
        <v>299</v>
      </c>
      <c r="P7" s="1665"/>
      <c r="Q7" s="1665"/>
      <c r="R7" s="1665"/>
      <c r="S7" s="1665"/>
      <c r="T7" s="1665"/>
      <c r="U7" s="1665"/>
      <c r="V7" s="1665"/>
      <c r="W7" s="1665"/>
      <c r="X7" s="1654"/>
      <c r="AC7" s="76" t="s">
        <v>288</v>
      </c>
      <c r="AD7" s="76" t="s">
        <v>0</v>
      </c>
      <c r="AE7" s="76" t="s">
        <v>287</v>
      </c>
    </row>
    <row r="8" spans="1:70" s="685" customFormat="1" hidden="1" x14ac:dyDescent="0.2">
      <c r="A8" s="20"/>
      <c r="B8" s="995"/>
      <c r="C8" s="995"/>
      <c r="D8" s="995"/>
      <c r="E8" s="995"/>
      <c r="F8" s="20"/>
      <c r="G8" s="20"/>
      <c r="H8" s="20"/>
      <c r="I8" s="687"/>
      <c r="J8" s="687"/>
      <c r="K8" s="687"/>
      <c r="L8" s="686"/>
      <c r="M8" s="688"/>
      <c r="N8" s="686"/>
      <c r="O8" s="36"/>
      <c r="P8" s="686"/>
      <c r="Q8" s="686"/>
      <c r="R8" s="686"/>
      <c r="S8" s="686"/>
      <c r="T8" s="686"/>
      <c r="U8" s="686"/>
      <c r="V8" s="686"/>
      <c r="W8" s="686"/>
      <c r="X8" s="687"/>
      <c r="Y8" s="704"/>
      <c r="AA8" s="707"/>
      <c r="AC8" s="684"/>
      <c r="AD8" s="684"/>
      <c r="AE8" s="684"/>
    </row>
    <row r="9" spans="1:70" ht="19" x14ac:dyDescent="0.25">
      <c r="A9" s="20" t="s">
        <v>246</v>
      </c>
      <c r="B9" s="995" t="s">
        <v>246</v>
      </c>
      <c r="C9" s="995" t="s">
        <v>246</v>
      </c>
      <c r="D9" s="995" t="s">
        <v>246</v>
      </c>
      <c r="E9" s="995" t="s">
        <v>246</v>
      </c>
      <c r="F9" s="20" t="s">
        <v>246</v>
      </c>
      <c r="G9" s="20" t="s">
        <v>246</v>
      </c>
      <c r="H9" s="693"/>
      <c r="I9" s="24" t="s">
        <v>3637</v>
      </c>
      <c r="J9" s="24"/>
      <c r="K9" s="24"/>
      <c r="L9" s="25"/>
      <c r="M9" s="871"/>
      <c r="N9" s="1170" t="s">
        <v>246</v>
      </c>
      <c r="O9" s="26"/>
      <c r="P9" s="78" t="s">
        <v>246</v>
      </c>
      <c r="Q9" s="78" t="s">
        <v>246</v>
      </c>
      <c r="R9" s="78" t="s">
        <v>246</v>
      </c>
      <c r="S9" s="78" t="s">
        <v>246</v>
      </c>
      <c r="T9" s="78" t="s">
        <v>246</v>
      </c>
      <c r="U9" s="78" t="s">
        <v>246</v>
      </c>
      <c r="V9" s="78" t="s">
        <v>246</v>
      </c>
      <c r="W9" s="25"/>
      <c r="X9" s="25"/>
      <c r="Y9" s="703" t="s">
        <v>246</v>
      </c>
      <c r="Z9" s="75" t="s">
        <v>246</v>
      </c>
      <c r="AA9" s="705" t="s">
        <v>246</v>
      </c>
      <c r="AB9" s="683" t="s">
        <v>246</v>
      </c>
      <c r="AC9" s="75" t="s">
        <v>246</v>
      </c>
      <c r="AD9" s="75" t="s">
        <v>246</v>
      </c>
      <c r="AE9" s="75" t="s">
        <v>246</v>
      </c>
      <c r="AF9" s="75" t="s">
        <v>246</v>
      </c>
      <c r="AG9" s="75" t="s">
        <v>246</v>
      </c>
      <c r="AH9" s="75" t="s">
        <v>246</v>
      </c>
      <c r="AI9" s="75" t="s">
        <v>246</v>
      </c>
      <c r="AJ9" s="75" t="s">
        <v>246</v>
      </c>
      <c r="AK9" s="75" t="s">
        <v>246</v>
      </c>
      <c r="AL9" s="75" t="s">
        <v>246</v>
      </c>
      <c r="AM9" s="75" t="s">
        <v>246</v>
      </c>
      <c r="AN9" s="75" t="s">
        <v>246</v>
      </c>
      <c r="AO9" s="75" t="s">
        <v>246</v>
      </c>
      <c r="AP9" s="75" t="s">
        <v>246</v>
      </c>
      <c r="AQ9" s="75" t="s">
        <v>246</v>
      </c>
      <c r="AR9" s="75" t="s">
        <v>246</v>
      </c>
      <c r="AS9" s="75" t="s">
        <v>246</v>
      </c>
      <c r="AT9" s="75" t="s">
        <v>246</v>
      </c>
      <c r="AU9" s="75" t="s">
        <v>246</v>
      </c>
      <c r="AV9" s="75" t="s">
        <v>246</v>
      </c>
      <c r="AW9" s="75" t="s">
        <v>246</v>
      </c>
      <c r="AX9" s="75" t="s">
        <v>246</v>
      </c>
      <c r="AY9" s="75" t="s">
        <v>246</v>
      </c>
      <c r="AZ9" s="75" t="s">
        <v>246</v>
      </c>
      <c r="BA9" s="75" t="s">
        <v>246</v>
      </c>
      <c r="BB9" s="75" t="s">
        <v>246</v>
      </c>
      <c r="BC9" s="75" t="s">
        <v>246</v>
      </c>
      <c r="BD9" s="75" t="s">
        <v>246</v>
      </c>
      <c r="BE9" s="75" t="s">
        <v>246</v>
      </c>
      <c r="BF9" s="75" t="s">
        <v>246</v>
      </c>
      <c r="BG9" s="75" t="s">
        <v>246</v>
      </c>
      <c r="BH9" s="75" t="s">
        <v>246</v>
      </c>
      <c r="BI9" s="326" t="s">
        <v>246</v>
      </c>
    </row>
    <row r="10" spans="1:70" s="843" customFormat="1" ht="16" thickBot="1" x14ac:dyDescent="0.25">
      <c r="A10" s="20"/>
      <c r="B10" s="600" t="s">
        <v>4045</v>
      </c>
      <c r="C10" s="600"/>
      <c r="D10" s="600"/>
      <c r="E10" s="600"/>
      <c r="F10" s="23"/>
      <c r="G10" s="23"/>
      <c r="H10" s="691"/>
      <c r="I10" s="69" t="s">
        <v>4045</v>
      </c>
      <c r="J10" s="4"/>
      <c r="K10" s="4"/>
      <c r="L10" s="588" t="s">
        <v>4044</v>
      </c>
      <c r="M10" s="856" t="s">
        <v>4051</v>
      </c>
      <c r="N10" s="587"/>
      <c r="O10" s="587"/>
      <c r="P10" s="587" t="b">
        <v>1</v>
      </c>
      <c r="Q10" s="587" t="b">
        <v>0</v>
      </c>
      <c r="R10" s="587" t="b">
        <v>1</v>
      </c>
      <c r="S10" s="587" t="b">
        <v>1</v>
      </c>
      <c r="T10" s="587" t="b">
        <f ca="1">(W10="Path not chosen")</f>
        <v>0</v>
      </c>
      <c r="U10" s="195" t="str">
        <f>SUBSTITUTE(SUBSTITUTE(SUBSTITUTE("dd"&amp;B10&amp;C10&amp;D10&amp;E10&amp;F10,".","_"),"(","_"),")","")</f>
        <v>dd305_2_5</v>
      </c>
      <c r="V10" s="587"/>
      <c r="W10" s="1182" t="str">
        <f ca="1">IFERROR(IF(MATCH(AY32,ddEnergyPath,0)=1,INDEX(INDIRECT(U10),2),IF(MATCH(AY32,ddEnergyPath,0)=2,INDEX(INDIRECT(U10),1),"Path not chosen")),"Path not chosen")</f>
        <v>Reduction Path</v>
      </c>
      <c r="X10" s="850"/>
      <c r="AC10" s="843" t="b">
        <f ca="1">OR(AD10:AE10)</f>
        <v>0</v>
      </c>
      <c r="AD10" s="843" t="b">
        <f ca="1">T10</f>
        <v>0</v>
      </c>
      <c r="AE10" s="843" t="b">
        <f ca="1">AND(R10,W10="")</f>
        <v>0</v>
      </c>
      <c r="AL10" s="1352" t="str">
        <f>SUBSTITUTE(SUBSTITUTE(SUBSTITUTE("dpa"&amp;$B10&amp;$C10&amp;$D10&amp;$E10&amp;$F10,".","_"),"(","_"),")","")</f>
        <v>dpa305_2_5</v>
      </c>
      <c r="AM10" s="1352" t="str">
        <f>M10</f>
        <v>Mandatory</v>
      </c>
      <c r="AN10" s="78"/>
      <c r="AO10" s="78"/>
      <c r="AP10" s="1352"/>
      <c r="AQ10" s="1352"/>
      <c r="AR10" s="1352" t="str">
        <f>SUBSTITUTE(SUBSTITUTE(SUBSTITUTE("dnt"&amp;$B10&amp;$C10&amp;$D10&amp;$E10&amp;$F10,".","_"),"(","_"),")","")</f>
        <v>dnt305_2_5</v>
      </c>
      <c r="AS10" s="1352" t="str">
        <f>IF(LEN(X10)=0,"",X10)</f>
        <v/>
      </c>
      <c r="AX10" s="764"/>
      <c r="AY10" s="764"/>
      <c r="AZ10" s="764"/>
      <c r="BA10" s="764"/>
      <c r="BB10" s="764"/>
      <c r="BC10" s="764"/>
      <c r="BD10" s="764"/>
      <c r="BE10" s="764"/>
      <c r="BF10" s="764"/>
      <c r="BG10" s="764"/>
      <c r="BH10" s="764"/>
      <c r="BI10" s="764"/>
    </row>
    <row r="11" spans="1:70" ht="16" thickTop="1" x14ac:dyDescent="0.2">
      <c r="B11" s="600">
        <v>701.4</v>
      </c>
      <c r="C11" s="600"/>
      <c r="D11" s="600"/>
      <c r="E11" s="600"/>
      <c r="F11" s="23"/>
      <c r="G11" s="23"/>
      <c r="H11" s="691"/>
      <c r="I11" s="177" t="s">
        <v>3638</v>
      </c>
      <c r="J11" s="437"/>
      <c r="K11" s="437"/>
      <c r="L11" s="849" t="s">
        <v>3658</v>
      </c>
      <c r="M11" s="388"/>
      <c r="N11" s="178"/>
      <c r="O11" s="427"/>
      <c r="P11" s="106"/>
      <c r="Q11" s="106"/>
      <c r="R11" s="876" t="s">
        <v>4471</v>
      </c>
      <c r="S11" s="875">
        <f ca="1">IFERROR(MATCH(W10,INDIRECT(U10),0),0)</f>
        <v>1</v>
      </c>
      <c r="T11" s="106"/>
      <c r="U11" s="106"/>
      <c r="V11" s="106"/>
      <c r="W11" s="1174"/>
      <c r="X11" s="106"/>
      <c r="AV11" s="285"/>
      <c r="AW11" s="285"/>
      <c r="AX11" s="77" t="str">
        <f>'Overview (Design)'!A10</f>
        <v>Builder Name:</v>
      </c>
      <c r="AY11" s="78" t="str">
        <f>'Overview (Design)'!G10</f>
        <v>TWG Development</v>
      </c>
      <c r="BJ11" s="721"/>
      <c r="BK11" s="721"/>
      <c r="BL11" s="721"/>
      <c r="BM11" s="721"/>
      <c r="BN11" s="721"/>
      <c r="BO11" s="721"/>
      <c r="BP11" s="721"/>
      <c r="BQ11" s="721"/>
      <c r="BR11" s="721"/>
    </row>
    <row r="12" spans="1:70" s="764" customFormat="1" x14ac:dyDescent="0.2">
      <c r="A12" s="20"/>
      <c r="B12" s="600" t="s">
        <v>3846</v>
      </c>
      <c r="C12" s="600"/>
      <c r="D12" s="600"/>
      <c r="E12" s="600"/>
      <c r="F12" s="23"/>
      <c r="G12" s="23"/>
      <c r="H12" s="691"/>
      <c r="I12" s="192" t="s">
        <v>3845</v>
      </c>
      <c r="J12" s="772"/>
      <c r="K12" s="772"/>
      <c r="L12" s="1712" t="s">
        <v>4052</v>
      </c>
      <c r="M12" s="1732" t="str">
        <f>IF(R12,"Mandatory","N/A")</f>
        <v>Mandatory</v>
      </c>
      <c r="N12" s="193"/>
      <c r="O12" s="769"/>
      <c r="P12" s="96" t="b">
        <v>0</v>
      </c>
      <c r="Q12" s="96" t="b">
        <v>1</v>
      </c>
      <c r="R12" s="195" t="b">
        <f>S12</f>
        <v>1</v>
      </c>
      <c r="S12" s="723" t="b">
        <v>1</v>
      </c>
      <c r="T12" s="195" t="b">
        <f>AND(NOT(S12),W12=TRUE)</f>
        <v>0</v>
      </c>
      <c r="U12" s="195"/>
      <c r="V12" s="195"/>
      <c r="W12" s="27" t="b">
        <v>1</v>
      </c>
      <c r="X12" s="1600"/>
      <c r="AC12" s="764" t="b">
        <f>OR(AD12:AE12)</f>
        <v>0</v>
      </c>
      <c r="AD12" s="764" t="b">
        <f>T12</f>
        <v>0</v>
      </c>
      <c r="AE12" s="764" t="b">
        <f>AND(R12,NOT(W12))</f>
        <v>0</v>
      </c>
      <c r="AL12" s="1352" t="str">
        <f>SUBSTITUTE(SUBSTITUTE(SUBSTITUTE("dpa"&amp;$B12&amp;$C12&amp;$D12&amp;$E12&amp;$F12,".","_"),"(","_"),")","")</f>
        <v>dpa701_4_0</v>
      </c>
      <c r="AM12" s="1352" t="str">
        <f>M12</f>
        <v>Mandatory</v>
      </c>
      <c r="AN12" s="78"/>
      <c r="AO12" s="78"/>
      <c r="AP12" s="1352" t="str">
        <f>SUBSTITUTE(SUBSTITUTE(SUBSTITUTE("dch"&amp;$B12&amp;$C12&amp;$D12&amp;$E12&amp;$F12,".","_"),"(","_"),")","")</f>
        <v>dch701_4_0</v>
      </c>
      <c r="AQ12" s="1352" t="b">
        <f>IF(LEN(W12)=0,"",W12)</f>
        <v>1</v>
      </c>
      <c r="AR12" s="1352" t="str">
        <f>SUBSTITUTE(SUBSTITUTE(SUBSTITUTE("dnt"&amp;$B12&amp;$C12&amp;$D12&amp;$E12&amp;$F12,".","_"),"(","_"),")","")</f>
        <v>dnt701_4_0</v>
      </c>
      <c r="AS12" s="1352" t="str">
        <f>IF(LEN(X12)=0,"",X12)</f>
        <v/>
      </c>
      <c r="AX12" s="77" t="str">
        <f>'Overview (Design)'!A11</f>
        <v>Physical Address of Home:</v>
      </c>
      <c r="AY12" s="78" t="str">
        <f>'Overview (Design)'!G11</f>
        <v>330 Brownlee Road SW</v>
      </c>
      <c r="AZ12" s="78"/>
      <c r="BA12" s="78"/>
      <c r="BB12" s="78"/>
      <c r="BC12" s="78"/>
      <c r="BD12" s="78"/>
      <c r="BE12" s="78"/>
      <c r="BF12" s="78"/>
      <c r="BG12" s="78"/>
      <c r="BH12" s="78"/>
      <c r="BI12" s="78"/>
    </row>
    <row r="13" spans="1:70" s="764" customFormat="1" x14ac:dyDescent="0.2">
      <c r="A13" s="20"/>
      <c r="B13" s="600" t="s">
        <v>3846</v>
      </c>
      <c r="C13" s="600"/>
      <c r="D13" s="600"/>
      <c r="E13" s="600"/>
      <c r="F13" s="23"/>
      <c r="G13" s="23"/>
      <c r="H13" s="691"/>
      <c r="I13" s="129"/>
      <c r="J13" s="765"/>
      <c r="K13" s="765"/>
      <c r="L13" s="1629"/>
      <c r="M13" s="1697"/>
      <c r="N13" s="129"/>
      <c r="O13" s="767"/>
      <c r="P13" s="96"/>
      <c r="Q13" s="96"/>
      <c r="R13" s="96"/>
      <c r="S13" s="96"/>
      <c r="T13" s="96"/>
      <c r="U13" s="96"/>
      <c r="V13" s="96"/>
      <c r="W13" s="96"/>
      <c r="X13" s="1600"/>
      <c r="AL13" s="78"/>
      <c r="AM13" s="78"/>
      <c r="AN13" s="78"/>
      <c r="AO13" s="78"/>
      <c r="AP13" s="78"/>
      <c r="AQ13" s="78"/>
      <c r="AR13" s="78"/>
      <c r="AS13" s="78"/>
      <c r="AX13" s="77" t="str">
        <f>'Overview (Design)'!A12</f>
        <v>Community/Lot #:</v>
      </c>
      <c r="AY13" s="78">
        <f>'Overview (Design)'!G12</f>
        <v>0</v>
      </c>
      <c r="AZ13" s="78"/>
      <c r="BA13" s="78"/>
      <c r="BB13" s="78"/>
      <c r="BC13" s="78"/>
      <c r="BD13" s="78"/>
      <c r="BE13" s="78"/>
      <c r="BF13" s="78"/>
      <c r="BG13" s="78"/>
      <c r="BH13" s="78"/>
      <c r="BI13" s="78"/>
    </row>
    <row r="14" spans="1:70" s="764" customFormat="1" x14ac:dyDescent="0.2">
      <c r="A14" s="20"/>
      <c r="B14" s="600" t="s">
        <v>3846</v>
      </c>
      <c r="C14" s="600"/>
      <c r="D14" s="600"/>
      <c r="E14" s="600"/>
      <c r="F14" s="23"/>
      <c r="G14" s="23"/>
      <c r="H14" s="691"/>
      <c r="I14" s="129"/>
      <c r="J14" s="765"/>
      <c r="K14" s="765"/>
      <c r="L14" s="1629"/>
      <c r="M14" s="1697"/>
      <c r="N14" s="129"/>
      <c r="O14" s="767"/>
      <c r="P14" s="96"/>
      <c r="Q14" s="96"/>
      <c r="R14" s="96"/>
      <c r="S14" s="96"/>
      <c r="T14" s="96"/>
      <c r="U14" s="96"/>
      <c r="V14" s="96"/>
      <c r="W14" s="96"/>
      <c r="X14" s="1600"/>
      <c r="AL14" s="78"/>
      <c r="AM14" s="78"/>
      <c r="AN14" s="78"/>
      <c r="AO14" s="78"/>
      <c r="AP14" s="78"/>
      <c r="AQ14" s="78"/>
      <c r="AR14" s="78"/>
      <c r="AS14" s="78"/>
      <c r="AX14" s="77" t="str">
        <f>'Overview (Design)'!A13</f>
        <v>City:</v>
      </c>
      <c r="AY14" s="78" t="str">
        <f>'Overview (Design)'!G13</f>
        <v>Atlanta</v>
      </c>
      <c r="AZ14" s="78"/>
      <c r="BA14" s="78"/>
      <c r="BB14" s="78"/>
      <c r="BC14" s="78"/>
      <c r="BD14" s="78"/>
      <c r="BE14" s="78"/>
      <c r="BF14" s="78"/>
      <c r="BG14" s="78"/>
      <c r="BH14" s="78"/>
      <c r="BI14" s="78"/>
    </row>
    <row r="15" spans="1:70" s="764" customFormat="1" x14ac:dyDescent="0.2">
      <c r="A15" s="20"/>
      <c r="B15" s="600" t="s">
        <v>3846</v>
      </c>
      <c r="C15" s="600"/>
      <c r="D15" s="600"/>
      <c r="E15" s="600"/>
      <c r="F15" s="23"/>
      <c r="G15" s="23"/>
      <c r="H15" s="691"/>
      <c r="I15" s="129"/>
      <c r="J15" s="765"/>
      <c r="K15" s="765"/>
      <c r="L15" s="1629"/>
      <c r="M15" s="1697"/>
      <c r="N15" s="129"/>
      <c r="O15" s="767"/>
      <c r="P15" s="96"/>
      <c r="Q15" s="96"/>
      <c r="R15" s="96"/>
      <c r="S15" s="96"/>
      <c r="T15" s="96"/>
      <c r="U15" s="96"/>
      <c r="V15" s="96"/>
      <c r="W15" s="96"/>
      <c r="X15" s="1600"/>
      <c r="AL15" s="78"/>
      <c r="AM15" s="78"/>
      <c r="AN15" s="78"/>
      <c r="AO15" s="78"/>
      <c r="AP15" s="78"/>
      <c r="AQ15" s="78"/>
      <c r="AR15" s="78"/>
      <c r="AS15" s="78"/>
      <c r="AX15" s="77" t="str">
        <f>'Overview (Design)'!A14</f>
        <v>State:</v>
      </c>
      <c r="AY15" s="78" t="str">
        <f>'Overview (Design)'!G14</f>
        <v>Georgia</v>
      </c>
      <c r="AZ15" s="78"/>
      <c r="BA15" s="78"/>
      <c r="BB15" s="78"/>
      <c r="BC15" s="78" t="str">
        <f>'Overview (Design)'!K14</f>
        <v>State</v>
      </c>
      <c r="BD15" s="78" t="str">
        <f>'Overview (Design)'!L14</f>
        <v>County</v>
      </c>
      <c r="BE15" s="78" t="str">
        <f>'Overview (Design)'!M14</f>
        <v>Radon</v>
      </c>
      <c r="BF15" s="78" t="str">
        <f>'Overview (Design)'!N14</f>
        <v>Climate</v>
      </c>
      <c r="BG15" s="78" t="str">
        <f>'Overview (Design)'!O14</f>
        <v>Moist</v>
      </c>
      <c r="BH15" s="78" t="str">
        <f>'Overview (Design)'!P14</f>
        <v>WarmHumid</v>
      </c>
      <c r="BI15" s="327" t="str">
        <f>'Overview (Design)'!Q14</f>
        <v>Tropical</v>
      </c>
    </row>
    <row r="16" spans="1:70" s="764" customFormat="1" x14ac:dyDescent="0.2">
      <c r="A16" s="20"/>
      <c r="B16" s="600" t="s">
        <v>3846</v>
      </c>
      <c r="C16" s="600"/>
      <c r="D16" s="600"/>
      <c r="E16" s="600"/>
      <c r="F16" s="23"/>
      <c r="G16" s="23"/>
      <c r="H16" s="691"/>
      <c r="I16" s="129"/>
      <c r="J16" s="765"/>
      <c r="K16" s="765"/>
      <c r="L16" s="1629"/>
      <c r="M16" s="1697"/>
      <c r="N16" s="129"/>
      <c r="O16" s="767"/>
      <c r="P16" s="96"/>
      <c r="Q16" s="96"/>
      <c r="R16" s="96"/>
      <c r="S16" s="96"/>
      <c r="T16" s="96"/>
      <c r="U16" s="96"/>
      <c r="V16" s="96"/>
      <c r="W16" s="96"/>
      <c r="X16" s="1600"/>
      <c r="AL16" s="78"/>
      <c r="AM16" s="78"/>
      <c r="AN16" s="78"/>
      <c r="AO16" s="78"/>
      <c r="AP16" s="78"/>
      <c r="AQ16" s="78"/>
      <c r="AR16" s="78"/>
      <c r="AS16" s="78"/>
      <c r="AX16" s="77" t="str">
        <f>'Overview (Design)'!A15</f>
        <v>County:</v>
      </c>
      <c r="AY16" s="78" t="str">
        <f>'Overview (Design)'!G15</f>
        <v xml:space="preserve">Fulton  </v>
      </c>
      <c r="AZ16" s="78"/>
      <c r="BA16" s="78"/>
      <c r="BB16" s="78"/>
      <c r="BC16" s="78" t="str">
        <f>'Overview (Design)'!K15</f>
        <v>Georgia</v>
      </c>
      <c r="BD16" s="78" t="str">
        <f>'Overview (Design)'!L15</f>
        <v xml:space="preserve">Fulton  </v>
      </c>
      <c r="BE16" s="78">
        <f>'Overview (Design)'!M15</f>
        <v>1</v>
      </c>
      <c r="BF16" s="78">
        <f>'Overview (Design)'!N15</f>
        <v>3</v>
      </c>
      <c r="BG16" s="78" t="str">
        <f>'Overview (Design)'!O15</f>
        <v>Moist</v>
      </c>
      <c r="BH16" s="78" t="str">
        <f>'Overview (Design)'!P15</f>
        <v xml:space="preserve"> </v>
      </c>
      <c r="BI16" s="327" t="str">
        <f>'Overview (Design)'!Q15</f>
        <v xml:space="preserve"> </v>
      </c>
    </row>
    <row r="17" spans="1:61" s="764" customFormat="1" x14ac:dyDescent="0.2">
      <c r="A17" s="20"/>
      <c r="B17" s="600" t="s">
        <v>3846</v>
      </c>
      <c r="C17" s="600"/>
      <c r="D17" s="600"/>
      <c r="E17" s="600"/>
      <c r="F17" s="23"/>
      <c r="G17" s="23"/>
      <c r="H17" s="691"/>
      <c r="I17" s="130"/>
      <c r="J17" s="765"/>
      <c r="K17" s="765"/>
      <c r="L17" s="1629"/>
      <c r="M17" s="1697"/>
      <c r="N17" s="129"/>
      <c r="O17" s="767"/>
      <c r="P17" s="96"/>
      <c r="Q17" s="96"/>
      <c r="R17" s="96"/>
      <c r="S17" s="96"/>
      <c r="T17" s="96"/>
      <c r="U17" s="96"/>
      <c r="V17" s="96"/>
      <c r="W17" s="96"/>
      <c r="X17" s="1600"/>
      <c r="AL17" s="78"/>
      <c r="AM17" s="78"/>
      <c r="AN17" s="78"/>
      <c r="AO17" s="78"/>
      <c r="AP17" s="78"/>
      <c r="AQ17" s="78"/>
      <c r="AR17" s="78"/>
      <c r="AS17" s="78"/>
      <c r="AX17" s="77" t="str">
        <f>'Overview (Design)'!A16</f>
        <v>Zip:</v>
      </c>
      <c r="AY17" s="78" t="str">
        <f>'Overview (Design)'!G16</f>
        <v>30311</v>
      </c>
      <c r="AZ17" s="78"/>
      <c r="BA17" s="78"/>
      <c r="BB17" s="78"/>
      <c r="BC17" s="78"/>
      <c r="BD17" s="78"/>
      <c r="BE17" s="78"/>
      <c r="BF17" s="78"/>
      <c r="BG17" s="78"/>
      <c r="BH17" s="78"/>
      <c r="BI17" s="78"/>
    </row>
    <row r="18" spans="1:61" x14ac:dyDescent="0.2">
      <c r="B18" s="600" t="s">
        <v>633</v>
      </c>
      <c r="C18" s="600"/>
      <c r="D18" s="600"/>
      <c r="E18" s="600"/>
      <c r="F18" s="23"/>
      <c r="G18" s="23"/>
      <c r="H18" s="691"/>
      <c r="I18" s="219" t="s">
        <v>3639</v>
      </c>
      <c r="J18" s="386"/>
      <c r="K18" s="386"/>
      <c r="L18" s="445" t="s">
        <v>3657</v>
      </c>
      <c r="M18" s="390"/>
      <c r="N18" s="213"/>
      <c r="O18" s="424"/>
      <c r="P18" s="173"/>
      <c r="Q18" s="173"/>
      <c r="R18" s="173"/>
      <c r="S18" s="173"/>
      <c r="T18" s="173"/>
      <c r="U18" s="173"/>
      <c r="V18" s="173"/>
      <c r="W18" s="173"/>
      <c r="X18" s="1600"/>
      <c r="AX18" s="879"/>
    </row>
    <row r="19" spans="1:61" x14ac:dyDescent="0.2">
      <c r="B19" s="600" t="s">
        <v>634</v>
      </c>
      <c r="C19" s="600"/>
      <c r="D19" s="600"/>
      <c r="E19" s="600"/>
      <c r="F19" s="23"/>
      <c r="G19" s="23"/>
      <c r="H19" s="691"/>
      <c r="I19" s="192" t="s">
        <v>3640</v>
      </c>
      <c r="J19" s="393"/>
      <c r="K19" s="393"/>
      <c r="L19" s="1712" t="s">
        <v>3847</v>
      </c>
      <c r="M19" s="1732" t="str">
        <f>IF(R19,"Mandatory","N/A")</f>
        <v>Mandatory</v>
      </c>
      <c r="N19" s="193"/>
      <c r="O19" s="426"/>
      <c r="P19" s="96" t="b">
        <v>1</v>
      </c>
      <c r="Q19" s="96" t="b">
        <v>0</v>
      </c>
      <c r="R19" s="195" t="b">
        <f>S19</f>
        <v>1</v>
      </c>
      <c r="S19" s="723" t="b">
        <v>1</v>
      </c>
      <c r="T19" s="195" t="b">
        <f>AND(NOT(S19),W19=TRUE)</f>
        <v>0</v>
      </c>
      <c r="U19" s="195"/>
      <c r="V19" s="195"/>
      <c r="W19" s="333" t="b">
        <v>1</v>
      </c>
      <c r="X19" s="1601"/>
      <c r="AC19" s="287" t="b">
        <f>OR(AD19:AE19)</f>
        <v>0</v>
      </c>
      <c r="AD19" s="287" t="b">
        <f>T19</f>
        <v>0</v>
      </c>
      <c r="AE19" s="287" t="b">
        <f>AND(R19,NOT(W19))</f>
        <v>0</v>
      </c>
      <c r="AL19" s="1352" t="str">
        <f>SUBSTITUTE(SUBSTITUTE(SUBSTITUTE("dpa"&amp;$B19&amp;$C19&amp;$D19&amp;$E19&amp;$F19,".","_"),"(","_"),")","")</f>
        <v>dpa701_4_1_1</v>
      </c>
      <c r="AM19" s="1352" t="str">
        <f>M19</f>
        <v>Mandatory</v>
      </c>
      <c r="AP19" s="1352" t="str">
        <f>SUBSTITUTE(SUBSTITUTE(SUBSTITUTE("dch"&amp;$B19&amp;$C19&amp;$D19&amp;$E19&amp;$F19,".","_"),"(","_"),")","")</f>
        <v>dch701_4_1_1</v>
      </c>
      <c r="AQ19" s="1352" t="b">
        <f>IF(LEN(W19)=0,"",W19)</f>
        <v>1</v>
      </c>
      <c r="AR19" s="1352" t="str">
        <f>SUBSTITUTE(SUBSTITUTE(SUBSTITUTE("dnt"&amp;$B19&amp;$C19&amp;$D19&amp;$E19&amp;$F19,".","_"),"(","_"),")","")</f>
        <v>dnt701_4_1_1</v>
      </c>
      <c r="AS19" s="1352" t="str">
        <f>IF(LEN(X19)=0,"",X19)</f>
        <v/>
      </c>
      <c r="AX19" s="879" t="str">
        <f>'Overview (Design)'!A18</f>
        <v>Single-Family or Multifamily:</v>
      </c>
      <c r="AY19" s="78" t="str">
        <f>'Overview (Design)'!G18</f>
        <v>Multifamily</v>
      </c>
    </row>
    <row r="20" spans="1:61" x14ac:dyDescent="0.2">
      <c r="B20" s="600" t="s">
        <v>634</v>
      </c>
      <c r="C20" s="600"/>
      <c r="D20" s="600"/>
      <c r="E20" s="600"/>
      <c r="F20" s="23"/>
      <c r="G20" s="23"/>
      <c r="H20" s="691"/>
      <c r="I20" s="129"/>
      <c r="J20" s="385"/>
      <c r="K20" s="385"/>
      <c r="L20" s="1629"/>
      <c r="M20" s="1697"/>
      <c r="N20" s="129"/>
      <c r="O20" s="423"/>
      <c r="P20" s="96"/>
      <c r="Q20" s="96"/>
      <c r="R20" s="96"/>
      <c r="S20" s="96"/>
      <c r="T20" s="96"/>
      <c r="U20" s="96"/>
      <c r="V20" s="96"/>
      <c r="W20" s="96"/>
      <c r="X20" s="1601"/>
      <c r="AX20" s="879" t="str">
        <f>'Overview (Design)'!A19</f>
        <v>Number of Units:</v>
      </c>
      <c r="AY20" s="78">
        <f>'Overview (Design)'!G19</f>
        <v>48</v>
      </c>
    </row>
    <row r="21" spans="1:61" x14ac:dyDescent="0.2">
      <c r="B21" s="600" t="s">
        <v>634</v>
      </c>
      <c r="C21" s="600"/>
      <c r="D21" s="600"/>
      <c r="E21" s="600"/>
      <c r="F21" s="23"/>
      <c r="G21" s="23"/>
      <c r="H21" s="691"/>
      <c r="I21" s="213"/>
      <c r="J21" s="386"/>
      <c r="K21" s="386"/>
      <c r="L21" s="1696"/>
      <c r="M21" s="1698"/>
      <c r="N21" s="213"/>
      <c r="O21" s="424"/>
      <c r="P21" s="173"/>
      <c r="Q21" s="173"/>
      <c r="R21" s="173"/>
      <c r="S21" s="173"/>
      <c r="T21" s="173"/>
      <c r="U21" s="173"/>
      <c r="V21" s="173"/>
      <c r="W21" s="173"/>
      <c r="X21" s="1601"/>
      <c r="AX21" s="879" t="str">
        <f>'Overview (Design)'!A23</f>
        <v>Project Name:</v>
      </c>
      <c r="AY21" s="78" t="str">
        <f>'Overview (Design)'!G23</f>
        <v>Towne West Manor</v>
      </c>
    </row>
    <row r="22" spans="1:61" x14ac:dyDescent="0.2">
      <c r="B22" s="600" t="s">
        <v>635</v>
      </c>
      <c r="C22" s="600"/>
      <c r="D22" s="600"/>
      <c r="E22" s="600"/>
      <c r="F22" s="23"/>
      <c r="G22" s="23"/>
      <c r="H22" s="691"/>
      <c r="I22" s="446" t="s">
        <v>3641</v>
      </c>
      <c r="J22" s="393"/>
      <c r="K22" s="393"/>
      <c r="L22" s="1712" t="s">
        <v>3848</v>
      </c>
      <c r="M22" s="1732" t="str">
        <f>IF(R22,"Mandatory","N/A")</f>
        <v>Mandatory</v>
      </c>
      <c r="N22" s="193"/>
      <c r="O22" s="426"/>
      <c r="P22" s="96" t="b">
        <v>1</v>
      </c>
      <c r="Q22" s="96" t="b">
        <v>0</v>
      </c>
      <c r="R22" s="195" t="b">
        <f>S22</f>
        <v>1</v>
      </c>
      <c r="S22" s="723" t="b">
        <f>NOT(AY59="No")</f>
        <v>1</v>
      </c>
      <c r="T22" s="195" t="b">
        <f>AND(NOT(S22),LEN(W22)&gt;0)</f>
        <v>0</v>
      </c>
      <c r="U22" s="195" t="str">
        <f>SUBSTITUTE(SUBSTITUTE(SUBSTITUTE("dd"&amp;B22&amp;C22&amp;D22&amp;E22&amp;F22,".","_"),"(","_"),")","")</f>
        <v>dd701_4_1_2</v>
      </c>
      <c r="V22" s="195"/>
      <c r="W22" s="110" t="s">
        <v>2853</v>
      </c>
      <c r="X22" s="1601"/>
      <c r="AC22" s="287" t="b">
        <f>OR(AD22:AE22)</f>
        <v>0</v>
      </c>
      <c r="AD22" s="287" t="b">
        <f>T22</f>
        <v>0</v>
      </c>
      <c r="AE22" s="287" t="b">
        <f>AND(R22,OR(W22="Not Met",W22=""))</f>
        <v>0</v>
      </c>
      <c r="AL22" s="1352" t="str">
        <f>SUBSTITUTE(SUBSTITUTE(SUBSTITUTE("dpa"&amp;$B22&amp;$C22&amp;$D22&amp;$E22&amp;$F22,".","_"),"(","_"),")","")</f>
        <v>dpa701_4_1_2</v>
      </c>
      <c r="AM22" s="1352" t="str">
        <f>M22</f>
        <v>Mandatory</v>
      </c>
      <c r="AP22" s="1352" t="str">
        <f>SUBSTITUTE(SUBSTITUTE(SUBSTITUTE("dch"&amp;$B22&amp;$C22&amp;$D22&amp;$E22&amp;$F22,".","_"),"(","_"),")","")</f>
        <v>dch701_4_1_2</v>
      </c>
      <c r="AQ22" s="1352" t="str">
        <f>IF(LEN(W22)=0,"",W22)</f>
        <v>No Radiant or Hydronic</v>
      </c>
      <c r="AR22" s="1352" t="str">
        <f>SUBSTITUTE(SUBSTITUTE(SUBSTITUTE("dnt"&amp;$B22&amp;$C22&amp;$D22&amp;$E22&amp;$F22,".","_"),"(","_"),")","")</f>
        <v>dnt701_4_1_2</v>
      </c>
      <c r="AS22" s="1352" t="str">
        <f>IF(LEN(X22)=0,"",X22)</f>
        <v/>
      </c>
      <c r="AX22" s="879"/>
    </row>
    <row r="23" spans="1:61" x14ac:dyDescent="0.2">
      <c r="B23" s="600" t="s">
        <v>635</v>
      </c>
      <c r="C23" s="600"/>
      <c r="D23" s="600"/>
      <c r="E23" s="600"/>
      <c r="F23" s="23"/>
      <c r="G23" s="23"/>
      <c r="H23" s="691"/>
      <c r="I23" s="129"/>
      <c r="J23" s="385"/>
      <c r="K23" s="385"/>
      <c r="L23" s="1629"/>
      <c r="M23" s="1697"/>
      <c r="N23" s="129"/>
      <c r="O23" s="423"/>
      <c r="P23" s="96"/>
      <c r="Q23" s="96"/>
      <c r="R23" s="96"/>
      <c r="S23" s="96"/>
      <c r="T23" s="96"/>
      <c r="U23" s="96"/>
      <c r="V23" s="96"/>
      <c r="W23" s="96"/>
      <c r="X23" s="1601"/>
      <c r="AX23" s="879" t="str">
        <f>'Overview (Design)'!A25</f>
        <v>Above grade plane finished floor area:</v>
      </c>
      <c r="AY23" s="78">
        <f>'Overview (Design)'!G25</f>
        <v>1184</v>
      </c>
    </row>
    <row r="24" spans="1:61" x14ac:dyDescent="0.2">
      <c r="B24" s="600" t="s">
        <v>635</v>
      </c>
      <c r="C24" s="600"/>
      <c r="D24" s="600"/>
      <c r="E24" s="600"/>
      <c r="F24" s="23"/>
      <c r="G24" s="23"/>
      <c r="H24" s="691"/>
      <c r="I24" s="129"/>
      <c r="J24" s="385"/>
      <c r="K24" s="385"/>
      <c r="L24" s="1629"/>
      <c r="M24" s="1697"/>
      <c r="N24" s="129"/>
      <c r="O24" s="423"/>
      <c r="P24" s="96"/>
      <c r="Q24" s="96"/>
      <c r="R24" s="96"/>
      <c r="S24" s="96"/>
      <c r="T24" s="96"/>
      <c r="U24" s="96"/>
      <c r="V24" s="96"/>
      <c r="W24" s="96"/>
      <c r="X24" s="1601"/>
      <c r="AX24" s="879" t="str">
        <f>'Overview (Design)'!A26</f>
        <v>Total conditioned floor area:</v>
      </c>
      <c r="AY24" s="78">
        <f>'Overview (Design)'!G26</f>
        <v>20128</v>
      </c>
    </row>
    <row r="25" spans="1:61" x14ac:dyDescent="0.2">
      <c r="B25" s="600" t="s">
        <v>635</v>
      </c>
      <c r="C25" s="600"/>
      <c r="D25" s="600"/>
      <c r="E25" s="600"/>
      <c r="F25" s="23"/>
      <c r="G25" s="23"/>
      <c r="H25" s="691"/>
      <c r="I25" s="129"/>
      <c r="J25" s="385"/>
      <c r="K25" s="385"/>
      <c r="L25" s="1629"/>
      <c r="M25" s="1697"/>
      <c r="N25" s="129"/>
      <c r="O25" s="423"/>
      <c r="P25" s="96"/>
      <c r="Q25" s="96"/>
      <c r="R25" s="96"/>
      <c r="S25" s="96"/>
      <c r="T25" s="96"/>
      <c r="U25" s="96"/>
      <c r="V25" s="96"/>
      <c r="W25" s="96"/>
      <c r="X25" s="1601"/>
      <c r="AX25" s="879" t="str">
        <f>'Overview (Design)'!A27</f>
        <v>Stories above grade:</v>
      </c>
      <c r="AY25" s="327">
        <f>'Overview (Design)'!G27</f>
        <v>2</v>
      </c>
      <c r="AZ25" s="764"/>
      <c r="BA25" s="764"/>
      <c r="BB25" s="764"/>
      <c r="BC25" s="764"/>
      <c r="BD25" s="764"/>
      <c r="BE25" s="764"/>
      <c r="BF25" s="764"/>
      <c r="BG25" s="764"/>
      <c r="BH25" s="764"/>
      <c r="BI25" s="764"/>
    </row>
    <row r="26" spans="1:61" x14ac:dyDescent="0.2">
      <c r="B26" s="600" t="s">
        <v>635</v>
      </c>
      <c r="C26" s="600"/>
      <c r="D26" s="600"/>
      <c r="E26" s="600"/>
      <c r="F26" s="23"/>
      <c r="G26" s="23"/>
      <c r="H26" s="691"/>
      <c r="I26" s="213"/>
      <c r="J26" s="386"/>
      <c r="K26" s="386"/>
      <c r="L26" s="1696"/>
      <c r="M26" s="1698"/>
      <c r="N26" s="213"/>
      <c r="O26" s="424"/>
      <c r="P26" s="173"/>
      <c r="Q26" s="173"/>
      <c r="R26" s="173"/>
      <c r="S26" s="173"/>
      <c r="T26" s="173"/>
      <c r="U26" s="173"/>
      <c r="V26" s="173"/>
      <c r="W26" s="173"/>
      <c r="X26" s="1601"/>
      <c r="AX26" s="1167"/>
      <c r="AY26" s="1168"/>
      <c r="AZ26" s="764"/>
      <c r="BA26" s="764"/>
      <c r="BB26" s="764"/>
      <c r="BC26" s="764"/>
      <c r="BD26" s="764"/>
      <c r="BE26" s="764"/>
      <c r="BF26" s="764"/>
      <c r="BG26" s="764"/>
      <c r="BH26" s="764"/>
      <c r="BI26" s="764"/>
    </row>
    <row r="27" spans="1:61" x14ac:dyDescent="0.2">
      <c r="B27" s="600" t="s">
        <v>636</v>
      </c>
      <c r="C27" s="600"/>
      <c r="D27" s="600"/>
      <c r="E27" s="600"/>
      <c r="F27" s="23"/>
      <c r="G27" s="23"/>
      <c r="H27" s="691"/>
      <c r="I27" s="446" t="s">
        <v>3642</v>
      </c>
      <c r="J27" s="393"/>
      <c r="K27" s="393"/>
      <c r="L27" s="443" t="s">
        <v>3656</v>
      </c>
      <c r="M27" s="391"/>
      <c r="N27" s="193"/>
      <c r="O27" s="426"/>
      <c r="P27" s="195"/>
      <c r="Q27" s="195"/>
      <c r="R27" s="195"/>
      <c r="S27" s="195"/>
      <c r="T27" s="195"/>
      <c r="U27" s="195"/>
      <c r="V27" s="195"/>
      <c r="W27" s="195"/>
      <c r="X27" s="195"/>
      <c r="AX27" s="879" t="str">
        <f>'Overview (Design)'!A29</f>
        <v>Year Built:</v>
      </c>
      <c r="AY27" s="881">
        <f>'Overview (Design)'!G29</f>
        <v>1969</v>
      </c>
    </row>
    <row r="28" spans="1:61" x14ac:dyDescent="0.2">
      <c r="B28" s="600" t="s">
        <v>5292</v>
      </c>
      <c r="C28" s="600"/>
      <c r="D28" s="600"/>
      <c r="E28" s="600"/>
      <c r="F28" s="23"/>
      <c r="G28" s="23"/>
      <c r="H28" s="691"/>
      <c r="I28" s="430" t="s">
        <v>3643</v>
      </c>
      <c r="J28" s="385"/>
      <c r="K28" s="385"/>
      <c r="L28" s="1629" t="s">
        <v>3850</v>
      </c>
      <c r="M28" s="1697" t="str">
        <f ca="1">IF(R28,"Mandatory","N/A")</f>
        <v>Mandatory</v>
      </c>
      <c r="N28" s="129"/>
      <c r="O28" s="423"/>
      <c r="P28" s="96" t="b">
        <v>1</v>
      </c>
      <c r="Q28" s="96" t="b">
        <v>0</v>
      </c>
      <c r="R28" s="96" t="b">
        <f ca="1">S28</f>
        <v>1</v>
      </c>
      <c r="S28" s="724" t="b">
        <f ca="1">AND(NOT(AND(OR(AY40=INDEX(INDIRECT('Overview (Design)'!$E$42),2),AY40=INDEX(INDIRECT('Overview (Design)'!$E$42),3)),OR(AY44=INDEX(INDIRECT('Overview (Design)'!$E$46),2),AY44=INDEX(INDIRECT('Overview (Design)'!$E$46),3)))))</f>
        <v>1</v>
      </c>
      <c r="T28" s="96" t="b">
        <f ca="1">AND(NOT(S28),W28=TRUE)</f>
        <v>0</v>
      </c>
      <c r="U28" s="96"/>
      <c r="V28" s="96"/>
      <c r="W28" s="27" t="b">
        <v>1</v>
      </c>
      <c r="X28" s="1600"/>
      <c r="AC28" s="327" t="b">
        <f ca="1">OR(AD28:AE28)</f>
        <v>0</v>
      </c>
      <c r="AD28" s="327" t="b">
        <f ca="1">T28</f>
        <v>0</v>
      </c>
      <c r="AE28" s="327" t="b">
        <f ca="1">AND(R28,NOT(W28))</f>
        <v>0</v>
      </c>
      <c r="AL28" s="1352" t="str">
        <f>SUBSTITUTE(SUBSTITUTE(SUBSTITUTE("dpa"&amp;$B28&amp;$C28&amp;$D28&amp;$E28&amp;$F28,".","_"),"(","_"),")","")</f>
        <v>dpa701_4_2_1</v>
      </c>
      <c r="AM28" s="1352" t="str">
        <f ca="1">M28</f>
        <v>Mandatory</v>
      </c>
      <c r="AP28" s="1352" t="str">
        <f>SUBSTITUTE(SUBSTITUTE(SUBSTITUTE("dch"&amp;$B28&amp;$C28&amp;$D28&amp;$E28&amp;$F28,".","_"),"(","_"),")","")</f>
        <v>dch701_4_2_1</v>
      </c>
      <c r="AQ28" s="1352" t="b">
        <f>IF(LEN(W28)=0,"",W28)</f>
        <v>1</v>
      </c>
      <c r="AR28" s="1352" t="str">
        <f>SUBSTITUTE(SUBSTITUTE(SUBSTITUTE("dnt"&amp;$B28&amp;$C28&amp;$D28&amp;$E28&amp;$F28,".","_"),"(","_"),")","")</f>
        <v>dnt701_4_2_1</v>
      </c>
      <c r="AS28" s="1352" t="str">
        <f>IF(LEN(X28)=0,"",X28)</f>
        <v/>
      </c>
      <c r="AX28" s="1167" t="str">
        <f>'Overview (Design)'!A30</f>
        <v>Energy Baseline Year:</v>
      </c>
      <c r="AY28" s="1168">
        <f>'Overview (Design)'!G30</f>
        <v>2020</v>
      </c>
    </row>
    <row r="29" spans="1:61" x14ac:dyDescent="0.2">
      <c r="B29" s="600" t="s">
        <v>5292</v>
      </c>
      <c r="C29" s="600"/>
      <c r="D29" s="600"/>
      <c r="E29" s="600"/>
      <c r="F29" s="23"/>
      <c r="G29" s="23"/>
      <c r="H29" s="691"/>
      <c r="I29" s="430"/>
      <c r="J29" s="385"/>
      <c r="K29" s="385"/>
      <c r="L29" s="1629"/>
      <c r="M29" s="1697"/>
      <c r="N29" s="129"/>
      <c r="O29" s="423"/>
      <c r="P29" s="96"/>
      <c r="Q29" s="96"/>
      <c r="R29" s="96"/>
      <c r="S29" s="96"/>
      <c r="T29" s="96"/>
      <c r="U29" s="96"/>
      <c r="V29" s="96"/>
      <c r="W29" s="96"/>
      <c r="X29" s="1600"/>
      <c r="AX29" s="1167" t="str">
        <f>'Overview (Design)'!A31</f>
        <v>Water Baseline Year:</v>
      </c>
      <c r="AY29" s="1168">
        <f>'Overview (Design)'!G31</f>
        <v>2020</v>
      </c>
    </row>
    <row r="30" spans="1:61" ht="15" customHeight="1" x14ac:dyDescent="0.2">
      <c r="B30" s="600" t="s">
        <v>5292</v>
      </c>
      <c r="C30" s="600"/>
      <c r="D30" s="600"/>
      <c r="E30" s="600"/>
      <c r="F30" s="23"/>
      <c r="G30" s="23"/>
      <c r="H30" s="691"/>
      <c r="I30" s="447"/>
      <c r="J30" s="386"/>
      <c r="K30" s="386"/>
      <c r="L30" s="1696"/>
      <c r="M30" s="1698"/>
      <c r="N30" s="213"/>
      <c r="O30" s="424"/>
      <c r="P30" s="173"/>
      <c r="Q30" s="173"/>
      <c r="R30" s="173"/>
      <c r="S30" s="173"/>
      <c r="T30" s="173"/>
      <c r="U30" s="173"/>
      <c r="V30" s="173"/>
      <c r="W30" s="173"/>
      <c r="X30" s="1600"/>
      <c r="AX30" s="1167" t="str">
        <f>'Overview (Design)'!A32</f>
        <v xml:space="preserve">Project Description: </v>
      </c>
      <c r="AY30" s="1168" t="str">
        <f>'Overview (Design)'!G32</f>
        <v>n/a</v>
      </c>
    </row>
    <row r="31" spans="1:61" ht="15" customHeight="1" x14ac:dyDescent="0.2">
      <c r="B31" s="600" t="s">
        <v>637</v>
      </c>
      <c r="C31" s="600"/>
      <c r="D31" s="600"/>
      <c r="E31" s="600"/>
      <c r="F31" s="23"/>
      <c r="G31" s="23"/>
      <c r="H31" s="691"/>
      <c r="I31" s="446" t="s">
        <v>3644</v>
      </c>
      <c r="J31" s="772"/>
      <c r="K31" s="772"/>
      <c r="L31" s="1699" t="s">
        <v>3851</v>
      </c>
      <c r="M31" s="1732" t="str">
        <f ca="1">IF(R31,"Mandatory","N/A")</f>
        <v>Mandatory</v>
      </c>
      <c r="N31" s="193"/>
      <c r="O31" s="769"/>
      <c r="P31" s="96" t="b">
        <v>1</v>
      </c>
      <c r="Q31" s="96" t="b">
        <v>0</v>
      </c>
      <c r="R31" s="214" t="b">
        <f ca="1">S31</f>
        <v>1</v>
      </c>
      <c r="S31" s="725" t="b">
        <f ca="1">AND(NOT(AND(OR(AY40=INDEX(INDIRECT('Overview (Design)'!$E$42),2),AY40=INDEX(INDIRECT('Overview (Design)'!$E$42),3)),OR(AY44=INDEX(INDIRECT('Overview (Design)'!$E$46),2),AY44=INDEX(INDIRECT('Overview (Design)'!$E$46),3)))))</f>
        <v>1</v>
      </c>
      <c r="T31" s="214" t="b">
        <f ca="1">AND(NOT(S31),W31=TRUE)</f>
        <v>0</v>
      </c>
      <c r="U31" s="214"/>
      <c r="V31" s="214"/>
      <c r="W31" s="333" t="b">
        <v>1</v>
      </c>
      <c r="X31" s="1621"/>
      <c r="AC31" s="327" t="b">
        <f ca="1">OR(AD31:AE31)</f>
        <v>0</v>
      </c>
      <c r="AD31" s="327" t="b">
        <f ca="1">T31</f>
        <v>0</v>
      </c>
      <c r="AE31" s="327" t="b">
        <f ca="1">AND(R31,NOT(W31))</f>
        <v>0</v>
      </c>
      <c r="AL31" s="1352" t="str">
        <f>SUBSTITUTE(SUBSTITUTE(SUBSTITUTE("dpa"&amp;$B31&amp;$C31&amp;$D31&amp;$E31&amp;$F31,".","_"),"(","_"),")","")</f>
        <v>dpa701_4_2_2</v>
      </c>
      <c r="AM31" s="1352" t="str">
        <f ca="1">M31</f>
        <v>Mandatory</v>
      </c>
      <c r="AP31" s="1352" t="str">
        <f>SUBSTITUTE(SUBSTITUTE(SUBSTITUTE("dch"&amp;$B31&amp;$C31&amp;$D31&amp;$E31&amp;$F31,".","_"),"(","_"),")","")</f>
        <v>dch701_4_2_2</v>
      </c>
      <c r="AQ31" s="1352" t="b">
        <f>IF(LEN(W31)=0,"",W31)</f>
        <v>1</v>
      </c>
      <c r="AR31" s="1352" t="str">
        <f>SUBSTITUTE(SUBSTITUTE(SUBSTITUTE("dnt"&amp;$B31&amp;$C31&amp;$D31&amp;$E31&amp;$F31,".","_"),"(","_"),")","")</f>
        <v>dnt701_4_2_2</v>
      </c>
      <c r="AS31" s="1352" t="str">
        <f>IF(LEN(X31)=0,"",X31)</f>
        <v/>
      </c>
      <c r="AX31" s="1167"/>
      <c r="AY31" s="1168"/>
    </row>
    <row r="32" spans="1:61" s="764" customFormat="1" ht="15" customHeight="1" x14ac:dyDescent="0.2">
      <c r="A32" s="20"/>
      <c r="B32" s="600" t="s">
        <v>637</v>
      </c>
      <c r="C32" s="600"/>
      <c r="D32" s="600"/>
      <c r="E32" s="600"/>
      <c r="F32" s="23"/>
      <c r="G32" s="23"/>
      <c r="H32" s="691"/>
      <c r="I32" s="430"/>
      <c r="J32" s="765"/>
      <c r="K32" s="765"/>
      <c r="L32" s="1728"/>
      <c r="M32" s="1697"/>
      <c r="N32" s="129"/>
      <c r="O32" s="767"/>
      <c r="P32"/>
      <c r="Q32"/>
      <c r="R32"/>
      <c r="S32"/>
      <c r="T32"/>
      <c r="U32"/>
      <c r="V32"/>
      <c r="W32"/>
      <c r="X32" s="1632"/>
      <c r="AL32" s="78"/>
      <c r="AM32" s="78"/>
      <c r="AN32" s="78"/>
      <c r="AO32" s="78"/>
      <c r="AP32" s="78"/>
      <c r="AQ32" s="78"/>
      <c r="AR32" s="78"/>
      <c r="AS32" s="78"/>
      <c r="AX32" s="1167" t="str">
        <f>'Overview (Design)'!A34</f>
        <v>Selected Energy Compliance Path:</v>
      </c>
      <c r="AY32" s="1168" t="str">
        <f>'Overview (Design)'!G34</f>
        <v>Performance</v>
      </c>
      <c r="AZ32" s="78"/>
      <c r="BA32" s="78"/>
      <c r="BB32" s="78"/>
      <c r="BC32" s="78"/>
      <c r="BD32" s="78"/>
      <c r="BE32" s="78"/>
      <c r="BF32" s="78"/>
      <c r="BG32" s="78"/>
      <c r="BH32" s="78"/>
      <c r="BI32" s="78"/>
    </row>
    <row r="33" spans="1:61" s="764" customFormat="1" ht="15" customHeight="1" x14ac:dyDescent="0.2">
      <c r="A33" s="20"/>
      <c r="B33" s="600" t="s">
        <v>637</v>
      </c>
      <c r="C33" s="600"/>
      <c r="D33" s="600"/>
      <c r="E33" s="600"/>
      <c r="F33" s="23"/>
      <c r="G33" s="23"/>
      <c r="H33" s="691"/>
      <c r="I33" s="447"/>
      <c r="J33" s="766"/>
      <c r="K33" s="766"/>
      <c r="L33" s="1729"/>
      <c r="M33" s="1698"/>
      <c r="X33" s="1599"/>
      <c r="AL33" s="78"/>
      <c r="AM33" s="78"/>
      <c r="AN33" s="78"/>
      <c r="AO33" s="78"/>
      <c r="AP33" s="78"/>
      <c r="AQ33" s="78"/>
      <c r="AR33" s="78"/>
      <c r="AS33" s="78"/>
      <c r="AX33" s="1167" t="str">
        <f>'Overview (Design)'!A35</f>
        <v>Selected Water Compliance Path:</v>
      </c>
      <c r="AY33" s="1168" t="str">
        <f>'Overview (Design)'!G35</f>
        <v>Prescriptive</v>
      </c>
      <c r="AZ33" s="78"/>
      <c r="BA33" s="78"/>
      <c r="BB33" s="78"/>
      <c r="BC33" s="78"/>
      <c r="BD33" s="78"/>
      <c r="BE33" s="78"/>
      <c r="BF33" s="78"/>
      <c r="BG33" s="78"/>
      <c r="BH33" s="78"/>
      <c r="BI33" s="78"/>
    </row>
    <row r="34" spans="1:61" x14ac:dyDescent="0.2">
      <c r="B34" s="600" t="s">
        <v>638</v>
      </c>
      <c r="C34" s="600"/>
      <c r="D34" s="600"/>
      <c r="E34" s="600"/>
      <c r="F34" s="23"/>
      <c r="G34" s="23"/>
      <c r="H34" s="691"/>
      <c r="I34" s="446" t="s">
        <v>3645</v>
      </c>
      <c r="J34" s="393"/>
      <c r="K34" s="393"/>
      <c r="L34" s="1712" t="s">
        <v>3852</v>
      </c>
      <c r="M34" s="1732" t="str">
        <f ca="1">IF(R34,"Mandatory","N/A")</f>
        <v>Mandatory</v>
      </c>
      <c r="N34" s="193"/>
      <c r="O34" s="426"/>
      <c r="P34" s="96" t="b">
        <v>1</v>
      </c>
      <c r="Q34" s="96" t="b">
        <v>0</v>
      </c>
      <c r="R34" s="195" t="b">
        <f ca="1">S34</f>
        <v>1</v>
      </c>
      <c r="S34" s="723" t="b">
        <f ca="1">AND(NOT(AND(OR(AY40=INDEX(INDIRECT('Overview (Design)'!$E$42),2),AY40=INDEX(INDIRECT('Overview (Design)'!$E$42),3)),OR(AY44=INDEX(INDIRECT('Overview (Design)'!$E$46),2),AY44=INDEX(INDIRECT('Overview (Design)'!$E$46),3)))))</f>
        <v>1</v>
      </c>
      <c r="T34" s="195" t="b">
        <f ca="1">AND(NOT(S34),W34=TRUE)</f>
        <v>0</v>
      </c>
      <c r="U34" s="195"/>
      <c r="V34" s="195"/>
      <c r="W34" s="333" t="b">
        <v>1</v>
      </c>
      <c r="X34" s="1601"/>
      <c r="AC34" s="327" t="b">
        <f ca="1">OR(AD34:AE34)</f>
        <v>0</v>
      </c>
      <c r="AD34" s="327" t="b">
        <f ca="1">T34</f>
        <v>0</v>
      </c>
      <c r="AE34" s="327" t="b">
        <f ca="1">AND(R34,NOT(W34))</f>
        <v>0</v>
      </c>
      <c r="AL34" s="1352" t="str">
        <f>SUBSTITUTE(SUBSTITUTE(SUBSTITUTE("dpa"&amp;$B34&amp;$C34&amp;$D34&amp;$E34&amp;$F34,".","_"),"(","_"),")","")</f>
        <v>dpa701_4_2_3</v>
      </c>
      <c r="AM34" s="1352" t="str">
        <f ca="1">M34</f>
        <v>Mandatory</v>
      </c>
      <c r="AP34" s="1352" t="str">
        <f>SUBSTITUTE(SUBSTITUTE(SUBSTITUTE("dch"&amp;$B34&amp;$C34&amp;$D34&amp;$E34&amp;$F34,".","_"),"(","_"),")","")</f>
        <v>dch701_4_2_3</v>
      </c>
      <c r="AQ34" s="1352" t="b">
        <f>IF(LEN(W34)=0,"",W34)</f>
        <v>1</v>
      </c>
      <c r="AR34" s="1352" t="str">
        <f>SUBSTITUTE(SUBSTITUTE(SUBSTITUTE("dnt"&amp;$B34&amp;$C34&amp;$D34&amp;$E34&amp;$F34,".","_"),"(","_"),")","")</f>
        <v>dnt701_4_2_3</v>
      </c>
      <c r="AS34" s="1352" t="str">
        <f>IF(LEN(X34)=0,"",X34)</f>
        <v/>
      </c>
      <c r="AX34" s="879" t="str">
        <f>'Overview (Design)'!A36</f>
        <v>Foundation Type:</v>
      </c>
      <c r="AY34" s="78" t="str">
        <f>'Overview (Design)'!G36</f>
        <v>Slab on grade</v>
      </c>
      <c r="AZ34" s="794"/>
      <c r="BA34" s="794"/>
      <c r="BB34" s="794"/>
      <c r="BC34" s="794"/>
      <c r="BD34" s="794"/>
      <c r="BE34" s="794"/>
      <c r="BF34" s="794"/>
      <c r="BG34" s="794"/>
      <c r="BH34" s="794"/>
      <c r="BI34" s="794"/>
    </row>
    <row r="35" spans="1:61" x14ac:dyDescent="0.2">
      <c r="B35" s="600" t="s">
        <v>638</v>
      </c>
      <c r="C35" s="600"/>
      <c r="D35" s="600"/>
      <c r="E35" s="600"/>
      <c r="F35" s="23"/>
      <c r="G35" s="23"/>
      <c r="H35" s="691"/>
      <c r="I35" s="447"/>
      <c r="J35" s="386"/>
      <c r="K35" s="386"/>
      <c r="L35" s="1696"/>
      <c r="M35" s="1698"/>
      <c r="N35" s="213"/>
      <c r="O35" s="424"/>
      <c r="P35" s="173"/>
      <c r="Q35" s="173"/>
      <c r="R35" s="173"/>
      <c r="S35" s="173"/>
      <c r="T35" s="173"/>
      <c r="U35" s="173"/>
      <c r="V35" s="173"/>
      <c r="W35" s="173"/>
      <c r="X35" s="1601"/>
      <c r="AX35" s="879"/>
      <c r="AY35" s="764"/>
    </row>
    <row r="36" spans="1:61" x14ac:dyDescent="0.2">
      <c r="B36" s="600" t="s">
        <v>639</v>
      </c>
      <c r="C36" s="600"/>
      <c r="D36" s="600"/>
      <c r="E36" s="600"/>
      <c r="F36" s="23"/>
      <c r="G36" s="23"/>
      <c r="H36" s="691"/>
      <c r="I36" s="446" t="s">
        <v>3646</v>
      </c>
      <c r="J36" s="393"/>
      <c r="K36" s="393"/>
      <c r="L36" s="443" t="s">
        <v>3655</v>
      </c>
      <c r="M36" s="391"/>
      <c r="N36" s="193"/>
      <c r="O36" s="426"/>
      <c r="P36" s="195"/>
      <c r="Q36" s="195"/>
      <c r="R36" s="195"/>
      <c r="S36" s="195"/>
      <c r="T36" s="195"/>
      <c r="U36" s="195"/>
      <c r="V36" s="195"/>
      <c r="W36" s="195"/>
      <c r="X36" s="195"/>
      <c r="AX36" s="879" t="str">
        <f>'Overview (Design)'!A38</f>
        <v>Type of Heating System (main system):</v>
      </c>
      <c r="AY36" s="78" t="str">
        <f>'Overview (Design)'!G38</f>
        <v>Heat Pump</v>
      </c>
    </row>
    <row r="37" spans="1:61" x14ac:dyDescent="0.2">
      <c r="B37" s="600" t="s">
        <v>640</v>
      </c>
      <c r="C37" s="600"/>
      <c r="D37" s="600"/>
      <c r="E37" s="600"/>
      <c r="F37" s="23"/>
      <c r="G37" s="23"/>
      <c r="H37" s="691"/>
      <c r="I37" s="69" t="s">
        <v>3647</v>
      </c>
      <c r="J37" s="158"/>
      <c r="K37" s="158"/>
      <c r="L37" s="1631" t="s">
        <v>3853</v>
      </c>
      <c r="M37" s="1697" t="str">
        <f>IF(R42,"Mandatory","N/A")</f>
        <v>Mandatory</v>
      </c>
      <c r="N37" s="4"/>
      <c r="O37" s="138"/>
      <c r="P37"/>
      <c r="Q37"/>
      <c r="S37" s="721"/>
      <c r="U37"/>
      <c r="V37"/>
      <c r="W37" t="s">
        <v>2883</v>
      </c>
      <c r="X37" s="1621"/>
      <c r="AL37" s="1352" t="str">
        <f>SUBSTITUTE(SUBSTITUTE(SUBSTITUTE("dpa"&amp;$B37&amp;$C37&amp;$D37&amp;$E37&amp;$F37,".","_"),"(","_"),")","")</f>
        <v>dpa701_4_3_1</v>
      </c>
      <c r="AM37" s="1352" t="str">
        <f>M37</f>
        <v>Mandatory</v>
      </c>
      <c r="AR37" s="1352" t="str">
        <f>SUBSTITUTE(SUBSTITUTE(SUBSTITUTE("dnt"&amp;$B37&amp;$C37&amp;$D37&amp;$E37&amp;$F37,".","_"),"(","_"),")","")</f>
        <v>dnt701_4_3_1</v>
      </c>
      <c r="AS37" s="1352" t="str">
        <f>IF(LEN(X37)=0,"",X37)</f>
        <v/>
      </c>
      <c r="AX37" s="879" t="str">
        <f>'Overview (Design)'!A39</f>
        <v>Type of Heating System (system 2):</v>
      </c>
      <c r="AY37" s="78">
        <f>'Overview (Design)'!G39</f>
        <v>0</v>
      </c>
    </row>
    <row r="38" spans="1:61" x14ac:dyDescent="0.2">
      <c r="B38" s="600" t="s">
        <v>640</v>
      </c>
      <c r="C38" s="600" t="s">
        <v>254</v>
      </c>
      <c r="D38" s="600"/>
      <c r="E38" s="600"/>
      <c r="F38" s="23"/>
      <c r="G38" s="23"/>
      <c r="H38" s="691"/>
      <c r="I38" s="4"/>
      <c r="J38" s="158"/>
      <c r="K38" s="158"/>
      <c r="L38" s="1631"/>
      <c r="M38" s="1697"/>
      <c r="N38" s="4"/>
      <c r="O38" s="138"/>
      <c r="P38" s="96" t="b">
        <v>1</v>
      </c>
      <c r="Q38" s="96" t="b">
        <v>1</v>
      </c>
      <c r="R38" s="307" t="b">
        <v>0</v>
      </c>
      <c r="S38" s="722" t="b">
        <f ca="1">AND(AY25&gt;3,AY19=INDEX(INDIRECT('Overview (Design)'!$E$18),2))</f>
        <v>0</v>
      </c>
      <c r="T38" s="96" t="b">
        <f ca="1">AND(NOT(S38),W38=TRUE)</f>
        <v>0</v>
      </c>
      <c r="U38"/>
      <c r="V38"/>
      <c r="W38" s="27"/>
      <c r="X38" s="1632"/>
      <c r="AC38" s="1150" t="b">
        <f ca="1">OR(AD38:AE38)</f>
        <v>0</v>
      </c>
      <c r="AD38" s="1150" t="b">
        <f ca="1">T38</f>
        <v>0</v>
      </c>
      <c r="AP38" s="1352" t="str">
        <f>SUBSTITUTE(SUBSTITUTE(SUBSTITUTE("dch"&amp;$B38&amp;$C38&amp;$D38&amp;$E38&amp;$F38,".","_"),"(","_"),")","")</f>
        <v>dch701_4_3_1_1</v>
      </c>
      <c r="AQ38" s="1352" t="str">
        <f>IF(LEN(W38)=0,"",W38)</f>
        <v/>
      </c>
      <c r="AX38" s="879" t="str">
        <f>'Overview (Design)'!A40</f>
        <v>Type of Heating System (system 3):</v>
      </c>
      <c r="AY38" s="78">
        <f>'Overview (Design)'!G40</f>
        <v>0</v>
      </c>
    </row>
    <row r="39" spans="1:61" x14ac:dyDescent="0.2">
      <c r="B39" s="600" t="s">
        <v>640</v>
      </c>
      <c r="C39" s="600"/>
      <c r="D39" s="600"/>
      <c r="E39" s="600"/>
      <c r="F39" s="23"/>
      <c r="G39" s="23"/>
      <c r="H39" s="691"/>
      <c r="I39" s="4"/>
      <c r="J39" s="158"/>
      <c r="K39" s="158"/>
      <c r="L39" s="1631"/>
      <c r="M39" s="1697"/>
      <c r="N39" s="4"/>
      <c r="O39" s="138"/>
      <c r="P39"/>
      <c r="Q39"/>
      <c r="R39"/>
      <c r="S39" s="721"/>
      <c r="T39"/>
      <c r="U39"/>
      <c r="V39"/>
      <c r="W39"/>
      <c r="X39" s="1632"/>
      <c r="AX39" s="879" t="str">
        <f>'Overview (Design)'!A41</f>
        <v>Primary Heating Fuel:</v>
      </c>
      <c r="AY39" s="78">
        <f>'Overview (Design)'!G41</f>
        <v>0</v>
      </c>
    </row>
    <row r="40" spans="1:61" x14ac:dyDescent="0.2">
      <c r="B40" s="600" t="s">
        <v>640</v>
      </c>
      <c r="C40" s="600"/>
      <c r="D40" s="600"/>
      <c r="E40" s="600"/>
      <c r="F40" s="23"/>
      <c r="G40" s="23"/>
      <c r="H40" s="691"/>
      <c r="I40" s="4"/>
      <c r="J40" s="158"/>
      <c r="K40" s="158"/>
      <c r="L40" s="1631"/>
      <c r="M40" s="1697"/>
      <c r="N40" s="4"/>
      <c r="O40" s="138"/>
      <c r="P40"/>
      <c r="Q40"/>
      <c r="R40"/>
      <c r="S40"/>
      <c r="T40"/>
      <c r="U40"/>
      <c r="V40"/>
      <c r="W40"/>
      <c r="X40" s="1632"/>
      <c r="AC40" s="307"/>
      <c r="AD40" s="307"/>
      <c r="AE40" s="307"/>
      <c r="AX40" s="879" t="str">
        <f>'Overview (Design)'!A42</f>
        <v>Heating Ducts:</v>
      </c>
      <c r="AY40" s="327" t="str">
        <f>'Overview (Design)'!G42</f>
        <v>Ducted</v>
      </c>
    </row>
    <row r="41" spans="1:61" s="794" customFormat="1" x14ac:dyDescent="0.2">
      <c r="A41" s="20"/>
      <c r="B41" s="600" t="s">
        <v>640</v>
      </c>
      <c r="C41" s="600"/>
      <c r="D41" s="600"/>
      <c r="E41" s="600"/>
      <c r="F41" s="23"/>
      <c r="G41" s="23"/>
      <c r="H41" s="691"/>
      <c r="I41" s="4"/>
      <c r="J41" s="800"/>
      <c r="K41" s="800"/>
      <c r="L41" s="1631"/>
      <c r="M41" s="1697"/>
      <c r="N41" s="4"/>
      <c r="O41" s="796"/>
      <c r="P41" s="96"/>
      <c r="Q41" s="96"/>
      <c r="S41"/>
      <c r="T41"/>
      <c r="U41"/>
      <c r="V41"/>
      <c r="W41"/>
      <c r="X41" s="1599"/>
      <c r="AL41" s="78"/>
      <c r="AM41" s="78"/>
      <c r="AN41" s="78"/>
      <c r="AO41" s="78"/>
      <c r="AP41" s="78"/>
      <c r="AQ41" s="78"/>
      <c r="AR41" s="78"/>
      <c r="AS41" s="78"/>
      <c r="AX41" s="879" t="str">
        <f>'Overview (Design)'!A43</f>
        <v>Type of Cooling System (main system):</v>
      </c>
      <c r="AY41" s="327" t="str">
        <f>'Overview (Design)'!G43</f>
        <v>Heat Pump</v>
      </c>
      <c r="AZ41" s="78"/>
      <c r="BA41" s="78"/>
      <c r="BB41" s="78"/>
      <c r="BC41" s="78"/>
      <c r="BD41" s="78"/>
      <c r="BE41" s="78"/>
      <c r="BF41" s="78"/>
      <c r="BG41" s="78"/>
      <c r="BH41" s="78"/>
      <c r="BI41" s="78"/>
    </row>
    <row r="42" spans="1:61" x14ac:dyDescent="0.2">
      <c r="B42" s="600" t="s">
        <v>640</v>
      </c>
      <c r="C42" s="600"/>
      <c r="D42" s="600" t="s">
        <v>121</v>
      </c>
      <c r="E42" s="23"/>
      <c r="F42" s="23"/>
      <c r="G42" s="23"/>
      <c r="H42" s="691"/>
      <c r="I42" s="4"/>
      <c r="J42" s="158"/>
      <c r="K42" s="234" t="s">
        <v>121</v>
      </c>
      <c r="L42" s="158" t="s">
        <v>641</v>
      </c>
      <c r="M42" s="374"/>
      <c r="N42" s="4"/>
      <c r="O42" s="138"/>
      <c r="P42" s="96" t="b">
        <v>1</v>
      </c>
      <c r="Q42" t="b">
        <v>0</v>
      </c>
      <c r="R42" s="905" t="b">
        <f t="shared" ref="R42:R54" si="0">S42</f>
        <v>1</v>
      </c>
      <c r="S42" s="722" t="b">
        <f>NOT(W38)</f>
        <v>1</v>
      </c>
      <c r="T42" s="991" t="b">
        <f>AND(NOT(S42),LEN(W42)&gt;0)</f>
        <v>0</v>
      </c>
      <c r="U42" s="991" t="str">
        <f>SUBSTITUTE(SUBSTITUTE(SUBSTITUTE("dd"&amp;B42&amp;C42&amp;D42&amp;E42&amp;F42,".","_"),"(","_"),")","")</f>
        <v>dd701_4_3_1_a</v>
      </c>
      <c r="V42"/>
      <c r="W42" s="12" t="s">
        <v>2588</v>
      </c>
      <c r="X42" s="366"/>
      <c r="AC42" s="905" t="b">
        <f t="shared" ref="AC42:AC54" si="1">OR(AD42:AE42)</f>
        <v>0</v>
      </c>
      <c r="AD42" s="905" t="b">
        <f t="shared" ref="AD42:AD54" si="2">T42</f>
        <v>0</v>
      </c>
      <c r="AE42" s="905" t="b">
        <f t="shared" ref="AE42:AE54" si="3">AND(R42,OR(W42="Not Met",W42=""))</f>
        <v>0</v>
      </c>
      <c r="AP42" s="1352" t="str">
        <f t="shared" ref="AP42:AP54" si="4">SUBSTITUTE(SUBSTITUTE(SUBSTITUTE("dch"&amp;$B42&amp;$C42&amp;$D42&amp;$E42&amp;$F42,".","_"),"(","_"),")","")</f>
        <v>dch701_4_3_1_a</v>
      </c>
      <c r="AQ42" s="1352" t="str">
        <f t="shared" ref="AQ42:AQ54" si="5">IF(LEN(W42)=0,"",W42)</f>
        <v>Met</v>
      </c>
      <c r="AR42" s="1352" t="str">
        <f t="shared" ref="AR42:AR54" si="6">SUBSTITUTE(SUBSTITUTE(SUBSTITUTE("dnt"&amp;$B42&amp;$C42&amp;$D42&amp;$E42&amp;$F42,".","_"),"(","_"),")","")</f>
        <v>dnt701_4_3_1_a</v>
      </c>
      <c r="AS42" s="1352" t="str">
        <f t="shared" ref="AS42:AS54" si="7">IF(LEN(X42)=0,"",X42)</f>
        <v/>
      </c>
      <c r="AX42" s="879" t="str">
        <f>'Overview (Design)'!A44</f>
        <v>Type of Cooling System (system 2):</v>
      </c>
      <c r="AY42" s="327">
        <f>'Overview (Design)'!G44</f>
        <v>0</v>
      </c>
    </row>
    <row r="43" spans="1:61" ht="15" customHeight="1" x14ac:dyDescent="0.2">
      <c r="B43" s="600" t="s">
        <v>640</v>
      </c>
      <c r="C43" s="600"/>
      <c r="D43" s="600" t="s">
        <v>122</v>
      </c>
      <c r="E43" s="23"/>
      <c r="F43" s="23"/>
      <c r="G43" s="23"/>
      <c r="H43" s="691"/>
      <c r="I43" s="4"/>
      <c r="J43" s="158"/>
      <c r="K43" s="234" t="s">
        <v>122</v>
      </c>
      <c r="L43" s="158" t="s">
        <v>642</v>
      </c>
      <c r="M43" s="374"/>
      <c r="N43" s="4"/>
      <c r="O43" s="138"/>
      <c r="P43" s="96" t="b">
        <v>1</v>
      </c>
      <c r="Q43" t="b">
        <v>0</v>
      </c>
      <c r="R43" s="905" t="b">
        <f t="shared" si="0"/>
        <v>1</v>
      </c>
      <c r="S43" s="722" t="b">
        <f>NOT(W38)</f>
        <v>1</v>
      </c>
      <c r="T43" s="991" t="b">
        <f t="shared" ref="T43:T54" si="8">AND(NOT(S43),LEN(W43)&gt;0)</f>
        <v>0</v>
      </c>
      <c r="U43" s="991" t="str">
        <f>SUBSTITUTE(SUBSTITUTE(SUBSTITUTE("dd"&amp;B43&amp;C43&amp;D43&amp;E43&amp;F43,".","_"),"(","_"),")","")</f>
        <v>dd701_4_3_1_b</v>
      </c>
      <c r="V43"/>
      <c r="W43" s="12" t="s">
        <v>2588</v>
      </c>
      <c r="X43" s="366"/>
      <c r="AC43" s="905" t="b">
        <f t="shared" si="1"/>
        <v>0</v>
      </c>
      <c r="AD43" s="905" t="b">
        <f t="shared" si="2"/>
        <v>0</v>
      </c>
      <c r="AE43" s="905" t="b">
        <f t="shared" si="3"/>
        <v>0</v>
      </c>
      <c r="AP43" s="1352" t="str">
        <f t="shared" si="4"/>
        <v>dch701_4_3_1_b</v>
      </c>
      <c r="AQ43" s="1352" t="str">
        <f t="shared" si="5"/>
        <v>Met</v>
      </c>
      <c r="AR43" s="1352" t="str">
        <f t="shared" si="6"/>
        <v>dnt701_4_3_1_b</v>
      </c>
      <c r="AS43" s="1352" t="str">
        <f t="shared" si="7"/>
        <v/>
      </c>
      <c r="AX43" s="879" t="str">
        <f>'Overview (Design)'!A45</f>
        <v>Type of Cooling System (system 3):</v>
      </c>
      <c r="AY43" s="327">
        <f>'Overview (Design)'!G45</f>
        <v>0</v>
      </c>
    </row>
    <row r="44" spans="1:61" ht="15" customHeight="1" x14ac:dyDescent="0.2">
      <c r="B44" s="600" t="s">
        <v>640</v>
      </c>
      <c r="C44" s="600"/>
      <c r="D44" s="675" t="s">
        <v>123</v>
      </c>
      <c r="E44" s="28"/>
      <c r="F44" s="28"/>
      <c r="G44" s="28"/>
      <c r="H44" s="692"/>
      <c r="I44" s="4"/>
      <c r="J44" s="158"/>
      <c r="K44" s="235" t="s">
        <v>123</v>
      </c>
      <c r="L44" s="158" t="s">
        <v>643</v>
      </c>
      <c r="M44" s="374"/>
      <c r="N44" s="4"/>
      <c r="O44" s="138"/>
      <c r="P44" s="96" t="b">
        <v>1</v>
      </c>
      <c r="Q44" t="b">
        <v>0</v>
      </c>
      <c r="R44" s="905" t="b">
        <f t="shared" si="0"/>
        <v>1</v>
      </c>
      <c r="S44" s="722" t="b">
        <f>NOT(W38)</f>
        <v>1</v>
      </c>
      <c r="T44" s="991" t="b">
        <f t="shared" si="8"/>
        <v>0</v>
      </c>
      <c r="U44" s="991" t="str">
        <f>SUBSTITUTE(SUBSTITUTE(SUBSTITUTE("dd"&amp;B44&amp;C44&amp;D44&amp;E44&amp;F44,".","_"),"(","_"),")","")</f>
        <v>dd701_4_3_1_c</v>
      </c>
      <c r="V44"/>
      <c r="W44" s="12" t="s">
        <v>2588</v>
      </c>
      <c r="X44" s="366"/>
      <c r="AC44" s="905" t="b">
        <f t="shared" si="1"/>
        <v>0</v>
      </c>
      <c r="AD44" s="905" t="b">
        <f t="shared" si="2"/>
        <v>0</v>
      </c>
      <c r="AE44" s="905" t="b">
        <f t="shared" si="3"/>
        <v>0</v>
      </c>
      <c r="AP44" s="1352" t="str">
        <f t="shared" si="4"/>
        <v>dch701_4_3_1_c</v>
      </c>
      <c r="AQ44" s="1352" t="str">
        <f t="shared" si="5"/>
        <v>Met</v>
      </c>
      <c r="AR44" s="1352" t="str">
        <f t="shared" si="6"/>
        <v>dnt701_4_3_1_c</v>
      </c>
      <c r="AS44" s="1352" t="str">
        <f t="shared" si="7"/>
        <v/>
      </c>
      <c r="AX44" s="879" t="str">
        <f>'Overview (Design)'!A46</f>
        <v>Cooling Ducts:</v>
      </c>
      <c r="AY44" s="327" t="str">
        <f>'Overview (Design)'!G46</f>
        <v>Ducted</v>
      </c>
    </row>
    <row r="45" spans="1:61" x14ac:dyDescent="0.2">
      <c r="B45" s="600" t="s">
        <v>640</v>
      </c>
      <c r="C45" s="600"/>
      <c r="D45" s="600" t="s">
        <v>366</v>
      </c>
      <c r="E45" s="23"/>
      <c r="F45" s="23"/>
      <c r="G45" s="23"/>
      <c r="H45" s="691"/>
      <c r="I45" s="4"/>
      <c r="J45" s="158"/>
      <c r="K45" s="162" t="s">
        <v>366</v>
      </c>
      <c r="L45" s="158" t="s">
        <v>644</v>
      </c>
      <c r="M45" s="374"/>
      <c r="N45" s="4"/>
      <c r="O45" s="138"/>
      <c r="P45" s="96" t="b">
        <v>1</v>
      </c>
      <c r="Q45" t="b">
        <v>0</v>
      </c>
      <c r="R45" s="905" t="b">
        <f t="shared" si="0"/>
        <v>1</v>
      </c>
      <c r="S45" s="722" t="b">
        <f>NOT(W38)</f>
        <v>1</v>
      </c>
      <c r="T45" s="991" t="b">
        <f t="shared" si="8"/>
        <v>0</v>
      </c>
      <c r="U45" s="991" t="str">
        <f>SUBSTITUTE(SUBSTITUTE(SUBSTITUTE("dd"&amp;B45&amp;C45&amp;D45&amp;E45&amp;F45,".","_"),"(","_"),")","")</f>
        <v>dd701_4_3_1_d</v>
      </c>
      <c r="V45"/>
      <c r="W45" s="12" t="s">
        <v>2588</v>
      </c>
      <c r="X45" s="366"/>
      <c r="AC45" s="905" t="b">
        <f t="shared" si="1"/>
        <v>0</v>
      </c>
      <c r="AD45" s="905" t="b">
        <f t="shared" si="2"/>
        <v>0</v>
      </c>
      <c r="AE45" s="905" t="b">
        <f t="shared" si="3"/>
        <v>0</v>
      </c>
      <c r="AP45" s="1352" t="str">
        <f t="shared" si="4"/>
        <v>dch701_4_3_1_d</v>
      </c>
      <c r="AQ45" s="1352" t="str">
        <f t="shared" si="5"/>
        <v>Met</v>
      </c>
      <c r="AR45" s="1352" t="str">
        <f t="shared" si="6"/>
        <v>dnt701_4_3_1_d</v>
      </c>
      <c r="AS45" s="1352" t="str">
        <f t="shared" si="7"/>
        <v/>
      </c>
      <c r="AX45" s="879"/>
    </row>
    <row r="46" spans="1:61" x14ac:dyDescent="0.2">
      <c r="B46" s="600" t="s">
        <v>640</v>
      </c>
      <c r="C46" s="600"/>
      <c r="D46" s="600" t="s">
        <v>472</v>
      </c>
      <c r="E46" s="23"/>
      <c r="F46" s="23"/>
      <c r="G46" s="23"/>
      <c r="H46" s="691"/>
      <c r="I46" s="4"/>
      <c r="J46" s="158"/>
      <c r="K46" s="162" t="s">
        <v>472</v>
      </c>
      <c r="L46" s="158" t="s">
        <v>645</v>
      </c>
      <c r="M46" s="374"/>
      <c r="N46" s="4"/>
      <c r="O46" s="138"/>
      <c r="P46" s="96" t="b">
        <v>1</v>
      </c>
      <c r="Q46" t="b">
        <v>0</v>
      </c>
      <c r="R46" s="905" t="b">
        <f t="shared" si="0"/>
        <v>1</v>
      </c>
      <c r="S46" s="722" t="b">
        <f>NOT(W38)</f>
        <v>1</v>
      </c>
      <c r="T46" s="991" t="b">
        <f t="shared" si="8"/>
        <v>0</v>
      </c>
      <c r="U46" s="991" t="str">
        <f>SUBSTITUTE(SUBSTITUTE(SUBSTITUTE("dd"&amp;B46&amp;C46&amp;D46&amp;E46&amp;F46,".","_"),"(","_"),")","")</f>
        <v>dd701_4_3_1_e</v>
      </c>
      <c r="V46"/>
      <c r="W46" s="12" t="s">
        <v>2588</v>
      </c>
      <c r="X46" s="366"/>
      <c r="AC46" s="905" t="b">
        <f t="shared" si="1"/>
        <v>0</v>
      </c>
      <c r="AD46" s="905" t="b">
        <f t="shared" si="2"/>
        <v>0</v>
      </c>
      <c r="AE46" s="905" t="b">
        <f t="shared" si="3"/>
        <v>0</v>
      </c>
      <c r="AP46" s="1352" t="str">
        <f t="shared" si="4"/>
        <v>dch701_4_3_1_e</v>
      </c>
      <c r="AQ46" s="1352" t="str">
        <f t="shared" si="5"/>
        <v>Met</v>
      </c>
      <c r="AR46" s="1352" t="str">
        <f t="shared" si="6"/>
        <v>dnt701_4_3_1_e</v>
      </c>
      <c r="AS46" s="1352" t="str">
        <f t="shared" si="7"/>
        <v/>
      </c>
      <c r="AX46" s="879" t="str">
        <f>'Overview (Design)'!A48</f>
        <v>Maximum window and door SHGC:</v>
      </c>
      <c r="AY46" s="327">
        <f>'Overview (Design)'!G48</f>
        <v>0.22</v>
      </c>
      <c r="AZ46" s="843"/>
      <c r="BA46" s="843"/>
      <c r="BB46" s="843"/>
      <c r="BC46" s="843"/>
      <c r="BD46" s="843"/>
      <c r="BE46" s="843"/>
      <c r="BF46" s="843"/>
      <c r="BG46" s="843"/>
      <c r="BH46" s="843"/>
      <c r="BI46" s="843"/>
    </row>
    <row r="47" spans="1:61" x14ac:dyDescent="0.2">
      <c r="B47" s="600" t="s">
        <v>640</v>
      </c>
      <c r="C47" s="600"/>
      <c r="D47" s="675" t="s">
        <v>510</v>
      </c>
      <c r="E47" s="28"/>
      <c r="F47" s="28"/>
      <c r="G47" s="28"/>
      <c r="H47" s="692"/>
      <c r="I47" s="4"/>
      <c r="J47" s="158"/>
      <c r="K47" s="235" t="s">
        <v>510</v>
      </c>
      <c r="L47" s="158" t="s">
        <v>646</v>
      </c>
      <c r="M47" s="374"/>
      <c r="N47" s="4"/>
      <c r="O47" s="138"/>
      <c r="P47" s="96" t="b">
        <v>1</v>
      </c>
      <c r="Q47" t="b">
        <v>0</v>
      </c>
      <c r="R47" s="905" t="b">
        <f t="shared" si="0"/>
        <v>1</v>
      </c>
      <c r="S47" s="722" t="b">
        <f>NOT(W38)</f>
        <v>1</v>
      </c>
      <c r="T47" s="991" t="b">
        <f t="shared" si="8"/>
        <v>0</v>
      </c>
      <c r="U47" s="991" t="str">
        <f t="shared" ref="U47:U54" si="9">SUBSTITUTE(SUBSTITUTE(SUBSTITUTE("dd"&amp;B47&amp;C47&amp;D47&amp;E47&amp;F47,".","_"),"(","_"),")","")</f>
        <v>dd701_4_3_1_f</v>
      </c>
      <c r="V47"/>
      <c r="W47" s="12" t="s">
        <v>2590</v>
      </c>
      <c r="X47" s="366"/>
      <c r="AC47" s="905" t="b">
        <f t="shared" si="1"/>
        <v>0</v>
      </c>
      <c r="AD47" s="905" t="b">
        <f t="shared" si="2"/>
        <v>0</v>
      </c>
      <c r="AE47" s="905" t="b">
        <f t="shared" si="3"/>
        <v>0</v>
      </c>
      <c r="AP47" s="1352" t="str">
        <f t="shared" si="4"/>
        <v>dch701_4_3_1_f</v>
      </c>
      <c r="AQ47" s="1352" t="str">
        <f t="shared" si="5"/>
        <v>N/A</v>
      </c>
      <c r="AR47" s="1352" t="str">
        <f t="shared" si="6"/>
        <v>dnt701_4_3_1_f</v>
      </c>
      <c r="AS47" s="1352" t="str">
        <f t="shared" si="7"/>
        <v/>
      </c>
      <c r="AX47" s="879" t="str">
        <f>'Overview (Design)'!A49</f>
        <v>Maximum skylight SHGC:</v>
      </c>
      <c r="AY47" s="327">
        <f>'Overview (Design)'!G49</f>
        <v>0</v>
      </c>
    </row>
    <row r="48" spans="1:61" x14ac:dyDescent="0.2">
      <c r="B48" s="600" t="s">
        <v>640</v>
      </c>
      <c r="C48" s="600"/>
      <c r="D48" s="600" t="s">
        <v>512</v>
      </c>
      <c r="E48" s="23"/>
      <c r="F48" s="23"/>
      <c r="G48" s="23"/>
      <c r="H48" s="691"/>
      <c r="I48" s="4"/>
      <c r="J48" s="158"/>
      <c r="K48" s="162" t="s">
        <v>512</v>
      </c>
      <c r="L48" s="158" t="s">
        <v>4054</v>
      </c>
      <c r="M48" s="374"/>
      <c r="N48" s="4"/>
      <c r="O48" s="138"/>
      <c r="P48" s="96" t="b">
        <v>1</v>
      </c>
      <c r="Q48" t="b">
        <v>0</v>
      </c>
      <c r="R48" s="905" t="b">
        <f t="shared" si="0"/>
        <v>1</v>
      </c>
      <c r="S48" s="722" t="b">
        <f>NOT(W38)</f>
        <v>1</v>
      </c>
      <c r="T48" s="991" t="b">
        <f t="shared" si="8"/>
        <v>0</v>
      </c>
      <c r="U48" s="991" t="str">
        <f t="shared" si="9"/>
        <v>dd701_4_3_1_g</v>
      </c>
      <c r="V48"/>
      <c r="W48" s="12" t="s">
        <v>2588</v>
      </c>
      <c r="X48" s="366"/>
      <c r="AC48" s="905" t="b">
        <f t="shared" si="1"/>
        <v>0</v>
      </c>
      <c r="AD48" s="905" t="b">
        <f t="shared" si="2"/>
        <v>0</v>
      </c>
      <c r="AE48" s="905" t="b">
        <f t="shared" si="3"/>
        <v>0</v>
      </c>
      <c r="AP48" s="1352" t="str">
        <f t="shared" si="4"/>
        <v>dch701_4_3_1_g</v>
      </c>
      <c r="AQ48" s="1352" t="str">
        <f t="shared" si="5"/>
        <v>Met</v>
      </c>
      <c r="AR48" s="1352" t="str">
        <f t="shared" si="6"/>
        <v>dnt701_4_3_1_g</v>
      </c>
      <c r="AS48" s="1352" t="str">
        <f t="shared" si="7"/>
        <v/>
      </c>
      <c r="AX48" s="879" t="str">
        <f>'Overview (Design)'!A50</f>
        <v>Maximum window and door U-value:</v>
      </c>
      <c r="AY48" s="327">
        <f>'Overview (Design)'!G50</f>
        <v>0.28999999999999998</v>
      </c>
    </row>
    <row r="49" spans="1:61" x14ac:dyDescent="0.2">
      <c r="B49" s="600" t="s">
        <v>640</v>
      </c>
      <c r="C49" s="600"/>
      <c r="D49" s="600" t="s">
        <v>514</v>
      </c>
      <c r="E49" s="23"/>
      <c r="F49" s="23"/>
      <c r="G49" s="23"/>
      <c r="H49" s="691"/>
      <c r="I49" s="4"/>
      <c r="J49" s="158"/>
      <c r="K49" s="162" t="s">
        <v>514</v>
      </c>
      <c r="L49" s="158" t="s">
        <v>647</v>
      </c>
      <c r="M49" s="374"/>
      <c r="N49" s="4"/>
      <c r="O49" s="138"/>
      <c r="P49" s="96" t="b">
        <v>1</v>
      </c>
      <c r="Q49" t="b">
        <v>0</v>
      </c>
      <c r="R49" s="905" t="b">
        <f t="shared" si="0"/>
        <v>1</v>
      </c>
      <c r="S49" s="722" t="b">
        <f>NOT(W38)</f>
        <v>1</v>
      </c>
      <c r="T49" s="991" t="b">
        <f t="shared" si="8"/>
        <v>0</v>
      </c>
      <c r="U49" s="991" t="str">
        <f t="shared" si="9"/>
        <v>dd701_4_3_1_h</v>
      </c>
      <c r="V49"/>
      <c r="W49" s="12" t="s">
        <v>2590</v>
      </c>
      <c r="X49" s="366"/>
      <c r="AC49" s="905" t="b">
        <f t="shared" si="1"/>
        <v>0</v>
      </c>
      <c r="AD49" s="905" t="b">
        <f t="shared" si="2"/>
        <v>0</v>
      </c>
      <c r="AE49" s="905" t="b">
        <f t="shared" si="3"/>
        <v>0</v>
      </c>
      <c r="AP49" s="1352" t="str">
        <f t="shared" si="4"/>
        <v>dch701_4_3_1_h</v>
      </c>
      <c r="AQ49" s="1352" t="str">
        <f t="shared" si="5"/>
        <v>N/A</v>
      </c>
      <c r="AR49" s="1352" t="str">
        <f t="shared" si="6"/>
        <v>dnt701_4_3_1_h</v>
      </c>
      <c r="AS49" s="1352" t="str">
        <f t="shared" si="7"/>
        <v/>
      </c>
      <c r="AX49" s="879" t="str">
        <f>'Overview (Design)'!A51</f>
        <v>Maximum skylight U-value:</v>
      </c>
      <c r="AY49" s="327">
        <f>'Overview (Design)'!G51</f>
        <v>0</v>
      </c>
      <c r="AZ49" s="843"/>
      <c r="BA49" s="843"/>
      <c r="BB49" s="843"/>
      <c r="BC49" s="843"/>
      <c r="BD49" s="843"/>
      <c r="BE49" s="843"/>
      <c r="BF49" s="843"/>
      <c r="BG49" s="843"/>
      <c r="BH49" s="843"/>
      <c r="BI49" s="843"/>
    </row>
    <row r="50" spans="1:61" x14ac:dyDescent="0.2">
      <c r="B50" s="600" t="s">
        <v>640</v>
      </c>
      <c r="C50" s="600"/>
      <c r="D50" s="600" t="s">
        <v>648</v>
      </c>
      <c r="E50" s="23"/>
      <c r="F50" s="23"/>
      <c r="G50" s="23"/>
      <c r="H50" s="691"/>
      <c r="I50" s="4"/>
      <c r="J50" s="158"/>
      <c r="K50" s="162" t="s">
        <v>648</v>
      </c>
      <c r="L50" s="158" t="s">
        <v>4055</v>
      </c>
      <c r="M50" s="374"/>
      <c r="N50" s="4"/>
      <c r="O50" s="138"/>
      <c r="P50" s="96" t="b">
        <v>1</v>
      </c>
      <c r="Q50" t="b">
        <v>0</v>
      </c>
      <c r="R50" s="905" t="b">
        <f t="shared" si="0"/>
        <v>1</v>
      </c>
      <c r="S50" s="722" t="b">
        <f>NOT(W38)</f>
        <v>1</v>
      </c>
      <c r="T50" s="991" t="b">
        <f t="shared" si="8"/>
        <v>0</v>
      </c>
      <c r="U50" s="991" t="str">
        <f t="shared" si="9"/>
        <v>dd701_4_3_1_i</v>
      </c>
      <c r="V50"/>
      <c r="W50" s="12" t="s">
        <v>2588</v>
      </c>
      <c r="X50" s="366"/>
      <c r="AC50" s="905" t="b">
        <f t="shared" si="1"/>
        <v>0</v>
      </c>
      <c r="AD50" s="905" t="b">
        <f t="shared" si="2"/>
        <v>0</v>
      </c>
      <c r="AE50" s="905" t="b">
        <f t="shared" si="3"/>
        <v>0</v>
      </c>
      <c r="AP50" s="1352" t="str">
        <f t="shared" si="4"/>
        <v>dch701_4_3_1_i</v>
      </c>
      <c r="AQ50" s="1352" t="str">
        <f t="shared" si="5"/>
        <v>Met</v>
      </c>
      <c r="AR50" s="1352" t="str">
        <f t="shared" si="6"/>
        <v>dnt701_4_3_1_i</v>
      </c>
      <c r="AS50" s="1352" t="str">
        <f t="shared" si="7"/>
        <v/>
      </c>
      <c r="AX50" s="879" t="str">
        <f>'Overview (Design)'!A52</f>
        <v>Renewable Energy:</v>
      </c>
      <c r="AY50" s="78">
        <f>'Overview (Design)'!G52</f>
        <v>0</v>
      </c>
    </row>
    <row r="51" spans="1:61" x14ac:dyDescent="0.2">
      <c r="B51" s="600" t="s">
        <v>640</v>
      </c>
      <c r="C51" s="600"/>
      <c r="D51" s="600" t="s">
        <v>649</v>
      </c>
      <c r="E51" s="23"/>
      <c r="F51" s="23"/>
      <c r="G51" s="23"/>
      <c r="H51" s="691"/>
      <c r="I51" s="4"/>
      <c r="J51" s="158"/>
      <c r="K51" s="162" t="s">
        <v>649</v>
      </c>
      <c r="L51" s="158" t="s">
        <v>650</v>
      </c>
      <c r="M51" s="374"/>
      <c r="N51" s="4"/>
      <c r="O51" s="138"/>
      <c r="P51" s="96" t="b">
        <v>1</v>
      </c>
      <c r="Q51" t="b">
        <v>0</v>
      </c>
      <c r="R51" s="905" t="b">
        <f t="shared" si="0"/>
        <v>1</v>
      </c>
      <c r="S51" s="722" t="b">
        <f>NOT(W38)</f>
        <v>1</v>
      </c>
      <c r="T51" s="991" t="b">
        <f t="shared" si="8"/>
        <v>0</v>
      </c>
      <c r="U51" s="991" t="str">
        <f t="shared" si="9"/>
        <v>dd701_4_3_1_j</v>
      </c>
      <c r="V51"/>
      <c r="W51" s="12" t="s">
        <v>2588</v>
      </c>
      <c r="X51" s="366"/>
      <c r="AC51" s="905" t="b">
        <f t="shared" si="1"/>
        <v>0</v>
      </c>
      <c r="AD51" s="905" t="b">
        <f t="shared" si="2"/>
        <v>0</v>
      </c>
      <c r="AE51" s="905" t="b">
        <f t="shared" si="3"/>
        <v>0</v>
      </c>
      <c r="AP51" s="1352" t="str">
        <f t="shared" si="4"/>
        <v>dch701_4_3_1_j</v>
      </c>
      <c r="AQ51" s="1352" t="str">
        <f t="shared" si="5"/>
        <v>Met</v>
      </c>
      <c r="AR51" s="1352" t="str">
        <f t="shared" si="6"/>
        <v>dnt701_4_3_1_j</v>
      </c>
      <c r="AS51" s="1352" t="str">
        <f t="shared" si="7"/>
        <v/>
      </c>
      <c r="AX51" s="879" t="str">
        <f>'Overview (Design)'!A53</f>
        <v>Thermal Envelope Insulation:</v>
      </c>
      <c r="AY51" s="78">
        <f>'Overview (Design)'!G53</f>
        <v>0</v>
      </c>
    </row>
    <row r="52" spans="1:61" x14ac:dyDescent="0.2">
      <c r="B52" s="600" t="s">
        <v>640</v>
      </c>
      <c r="C52" s="600"/>
      <c r="D52" s="600" t="s">
        <v>651</v>
      </c>
      <c r="E52" s="23"/>
      <c r="F52" s="23"/>
      <c r="G52" s="23"/>
      <c r="H52" s="691"/>
      <c r="I52" s="129"/>
      <c r="J52" s="385"/>
      <c r="K52" s="315" t="s">
        <v>651</v>
      </c>
      <c r="L52" s="385" t="s">
        <v>5080</v>
      </c>
      <c r="M52" s="389"/>
      <c r="N52" s="129"/>
      <c r="O52" s="423"/>
      <c r="P52" s="96" t="b">
        <v>1</v>
      </c>
      <c r="Q52" s="96" t="b">
        <v>0</v>
      </c>
      <c r="R52" s="905" t="b">
        <f t="shared" si="0"/>
        <v>1</v>
      </c>
      <c r="S52" s="722" t="b">
        <f>NOT(W38)</f>
        <v>1</v>
      </c>
      <c r="T52" s="991" t="b">
        <f t="shared" si="8"/>
        <v>0</v>
      </c>
      <c r="U52" s="991" t="str">
        <f t="shared" si="9"/>
        <v>dd701_4_3_1_k</v>
      </c>
      <c r="V52" s="96"/>
      <c r="W52" s="12" t="s">
        <v>2588</v>
      </c>
      <c r="X52" s="383"/>
      <c r="AC52" s="905" t="b">
        <f t="shared" si="1"/>
        <v>0</v>
      </c>
      <c r="AD52" s="905" t="b">
        <f t="shared" si="2"/>
        <v>0</v>
      </c>
      <c r="AE52" s="905" t="b">
        <f t="shared" si="3"/>
        <v>0</v>
      </c>
      <c r="AP52" s="1352" t="str">
        <f t="shared" si="4"/>
        <v>dch701_4_3_1_k</v>
      </c>
      <c r="AQ52" s="1352" t="str">
        <f t="shared" si="5"/>
        <v>Met</v>
      </c>
      <c r="AR52" s="1352" t="str">
        <f t="shared" si="6"/>
        <v>dnt701_4_3_1_k</v>
      </c>
      <c r="AS52" s="1352" t="str">
        <f t="shared" si="7"/>
        <v/>
      </c>
      <c r="AX52" s="879" t="str">
        <f>'Overview (Design)'!A54</f>
        <v>Attic Type:</v>
      </c>
      <c r="AY52" s="78" t="str">
        <f>'Overview (Design)'!G54</f>
        <v>Vented</v>
      </c>
    </row>
    <row r="53" spans="1:61" s="843" customFormat="1" ht="16" x14ac:dyDescent="0.2">
      <c r="A53" s="20"/>
      <c r="B53" s="600" t="s">
        <v>640</v>
      </c>
      <c r="C53" s="600"/>
      <c r="D53" s="600" t="s">
        <v>652</v>
      </c>
      <c r="E53" s="23"/>
      <c r="F53" s="23"/>
      <c r="G53" s="23"/>
      <c r="H53" s="691"/>
      <c r="I53" s="129"/>
      <c r="J53" s="852"/>
      <c r="K53" s="857" t="s">
        <v>652</v>
      </c>
      <c r="L53" s="852" t="s">
        <v>4056</v>
      </c>
      <c r="M53" s="845"/>
      <c r="N53" s="129"/>
      <c r="O53" s="846"/>
      <c r="P53" s="96" t="b">
        <v>1</v>
      </c>
      <c r="Q53" s="96" t="b">
        <v>0</v>
      </c>
      <c r="R53" s="905" t="b">
        <f t="shared" si="0"/>
        <v>1</v>
      </c>
      <c r="S53" s="722" t="b">
        <f>NOT(W38)</f>
        <v>1</v>
      </c>
      <c r="T53" s="991" t="b">
        <f t="shared" si="8"/>
        <v>0</v>
      </c>
      <c r="U53" s="991" t="str">
        <f t="shared" si="9"/>
        <v>dd701_4_3_1_l</v>
      </c>
      <c r="V53" s="96"/>
      <c r="W53" s="12" t="s">
        <v>2590</v>
      </c>
      <c r="X53" s="844" t="s">
        <v>5652</v>
      </c>
      <c r="AC53" s="905" t="b">
        <f t="shared" si="1"/>
        <v>0</v>
      </c>
      <c r="AD53" s="905" t="b">
        <f t="shared" si="2"/>
        <v>0</v>
      </c>
      <c r="AE53" s="905" t="b">
        <f t="shared" si="3"/>
        <v>0</v>
      </c>
      <c r="AL53" s="78"/>
      <c r="AM53" s="78"/>
      <c r="AN53" s="78"/>
      <c r="AO53" s="78"/>
      <c r="AP53" s="1352" t="str">
        <f t="shared" si="4"/>
        <v>dch701_4_3_1_l</v>
      </c>
      <c r="AQ53" s="1352" t="str">
        <f t="shared" si="5"/>
        <v>N/A</v>
      </c>
      <c r="AR53" s="1352" t="str">
        <f t="shared" si="6"/>
        <v>dnt701_4_3_1_l</v>
      </c>
      <c r="AS53" s="1352" t="str">
        <f t="shared" si="7"/>
        <v>Will not be exposed during renovation</v>
      </c>
      <c r="AX53" s="879" t="str">
        <f>'Overview (Design)'!A55</f>
        <v>Attached Garage:</v>
      </c>
      <c r="AY53" s="78" t="str">
        <f>'Overview (Design)'!G55</f>
        <v>No</v>
      </c>
      <c r="AZ53" s="78"/>
      <c r="BA53" s="78"/>
      <c r="BB53" s="78"/>
      <c r="BC53" s="78"/>
      <c r="BD53" s="78"/>
      <c r="BE53" s="78"/>
      <c r="BF53" s="78"/>
      <c r="BG53" s="78"/>
      <c r="BH53" s="78"/>
      <c r="BI53" s="78"/>
    </row>
    <row r="54" spans="1:61" x14ac:dyDescent="0.2">
      <c r="B54" s="600" t="s">
        <v>640</v>
      </c>
      <c r="C54" s="600"/>
      <c r="D54" s="600" t="s">
        <v>4053</v>
      </c>
      <c r="E54" s="23"/>
      <c r="F54" s="23"/>
      <c r="G54" s="23"/>
      <c r="H54" s="691"/>
      <c r="I54" s="213"/>
      <c r="J54" s="386"/>
      <c r="K54" s="445" t="s">
        <v>4053</v>
      </c>
      <c r="L54" s="386" t="s">
        <v>653</v>
      </c>
      <c r="M54" s="390"/>
      <c r="N54" s="213"/>
      <c r="O54" s="424"/>
      <c r="P54" s="96" t="b">
        <v>1</v>
      </c>
      <c r="Q54" s="173" t="b">
        <v>0</v>
      </c>
      <c r="R54" s="905" t="b">
        <f t="shared" si="0"/>
        <v>1</v>
      </c>
      <c r="S54" s="722" t="b">
        <f>NOT(W38)</f>
        <v>1</v>
      </c>
      <c r="T54" s="991" t="b">
        <f t="shared" si="8"/>
        <v>0</v>
      </c>
      <c r="U54" s="991" t="str">
        <f t="shared" si="9"/>
        <v>dd701_4_3_1_m</v>
      </c>
      <c r="V54" s="173"/>
      <c r="W54" s="12" t="s">
        <v>2588</v>
      </c>
      <c r="X54" s="383"/>
      <c r="AC54" s="905" t="b">
        <f t="shared" si="1"/>
        <v>0</v>
      </c>
      <c r="AD54" s="905" t="b">
        <f t="shared" si="2"/>
        <v>0</v>
      </c>
      <c r="AE54" s="905" t="b">
        <f t="shared" si="3"/>
        <v>0</v>
      </c>
      <c r="AP54" s="1352" t="str">
        <f t="shared" si="4"/>
        <v>dch701_4_3_1_m</v>
      </c>
      <c r="AQ54" s="1352" t="str">
        <f t="shared" si="5"/>
        <v>Met</v>
      </c>
      <c r="AR54" s="1352" t="str">
        <f t="shared" si="6"/>
        <v>dnt701_4_3_1_m</v>
      </c>
      <c r="AS54" s="1352" t="str">
        <f t="shared" si="7"/>
        <v/>
      </c>
      <c r="AX54" s="879" t="str">
        <f>'Overview (Design)'!A56</f>
        <v>Recessed Lighting:</v>
      </c>
      <c r="AY54" s="78">
        <f>'Overview (Design)'!G56</f>
        <v>0</v>
      </c>
    </row>
    <row r="55" spans="1:61" x14ac:dyDescent="0.2">
      <c r="B55" s="600" t="s">
        <v>654</v>
      </c>
      <c r="C55" s="600"/>
      <c r="D55" s="600"/>
      <c r="E55" s="600"/>
      <c r="F55" s="23"/>
      <c r="G55" s="23"/>
      <c r="H55" s="691"/>
      <c r="I55" s="69" t="s">
        <v>3648</v>
      </c>
      <c r="J55" s="158"/>
      <c r="K55" s="158"/>
      <c r="L55" s="1631" t="s">
        <v>4057</v>
      </c>
      <c r="M55" s="1697" t="str">
        <f>IF(OR(R59,R62),"Mandatory","N/A")</f>
        <v>N/A</v>
      </c>
      <c r="N55" s="4"/>
      <c r="O55" s="138"/>
      <c r="P55"/>
      <c r="Q55"/>
      <c r="S55" s="721"/>
      <c r="W55" s="78" t="s">
        <v>5088</v>
      </c>
      <c r="AL55" s="1352" t="str">
        <f>SUBSTITUTE(SUBSTITUTE(SUBSTITUTE("dpa"&amp;$B55&amp;$C55&amp;$D55&amp;$E55&amp;$F55,".","_"),"(","_"),")","")</f>
        <v>dpa701_4_3_2</v>
      </c>
      <c r="AM55" s="1352" t="str">
        <f>M55</f>
        <v>N/A</v>
      </c>
      <c r="AX55" s="879"/>
    </row>
    <row r="56" spans="1:61" s="843" customFormat="1" x14ac:dyDescent="0.2">
      <c r="A56" s="20"/>
      <c r="B56" s="600" t="s">
        <v>654</v>
      </c>
      <c r="C56" s="600"/>
      <c r="D56" s="600"/>
      <c r="E56" s="600"/>
      <c r="F56" s="23"/>
      <c r="G56" s="23"/>
      <c r="H56" s="691"/>
      <c r="I56" s="69"/>
      <c r="J56" s="855"/>
      <c r="K56" s="855"/>
      <c r="L56" s="1631"/>
      <c r="M56" s="1697"/>
      <c r="N56" s="4"/>
      <c r="O56" s="847"/>
      <c r="P56" s="843" t="b">
        <v>1</v>
      </c>
      <c r="Q56" s="843" t="b">
        <v>1</v>
      </c>
      <c r="R56" s="843" t="b">
        <v>0</v>
      </c>
      <c r="S56" s="843" t="b">
        <v>1</v>
      </c>
      <c r="T56" s="843" t="b">
        <v>0</v>
      </c>
      <c r="W56" s="27" t="b">
        <v>1</v>
      </c>
      <c r="AL56" s="78"/>
      <c r="AM56" s="78"/>
      <c r="AN56" s="78"/>
      <c r="AO56" s="78"/>
      <c r="AP56" s="1352" t="str">
        <f>SUBSTITUTE(SUBSTITUTE(SUBSTITUTE("dch"&amp;$B56&amp;$C56&amp;$D56&amp;$E56&amp;$F56,".","_"),"(","_"),")","")</f>
        <v>dch701_4_3_2</v>
      </c>
      <c r="AQ56" s="1352" t="b">
        <f>IF(LEN(W56)=0,"",W56)</f>
        <v>1</v>
      </c>
      <c r="AR56" s="78"/>
      <c r="AS56" s="78"/>
      <c r="AX56" s="879" t="str">
        <f>'Overview (Design)'!A58</f>
        <v>Special Design Features:</v>
      </c>
      <c r="AY56" s="78">
        <f>'Overview (Design)'!G58</f>
        <v>0</v>
      </c>
      <c r="AZ56" s="78"/>
      <c r="BA56" s="78"/>
      <c r="BB56" s="78"/>
      <c r="BC56" s="78"/>
      <c r="BD56" s="78"/>
      <c r="BE56" s="78"/>
      <c r="BF56" s="78"/>
      <c r="BG56" s="78"/>
      <c r="BH56" s="78"/>
      <c r="BI56" s="78"/>
    </row>
    <row r="57" spans="1:61" x14ac:dyDescent="0.2">
      <c r="B57" s="600" t="s">
        <v>654</v>
      </c>
      <c r="C57" s="600"/>
      <c r="D57" s="600"/>
      <c r="E57" s="600"/>
      <c r="F57" s="23"/>
      <c r="G57" s="23"/>
      <c r="H57" s="691"/>
      <c r="I57" s="4"/>
      <c r="J57" s="158"/>
      <c r="K57" s="158"/>
      <c r="L57" s="1631"/>
      <c r="M57" s="1697"/>
      <c r="N57" s="4"/>
      <c r="O57" s="138"/>
      <c r="P57"/>
      <c r="Q57"/>
      <c r="R57"/>
      <c r="S57" s="721"/>
      <c r="T57"/>
      <c r="U57"/>
      <c r="V57"/>
      <c r="W57"/>
      <c r="X57"/>
      <c r="AX57" s="879" t="str">
        <f>'Overview (Design)'!A59</f>
        <v>Passive Solar:</v>
      </c>
      <c r="AY57" s="78">
        <f>'Overview (Design)'!G59</f>
        <v>0</v>
      </c>
      <c r="AZ57" s="843"/>
      <c r="BA57" s="843"/>
      <c r="BB57" s="843"/>
      <c r="BC57" s="843"/>
      <c r="BD57" s="843"/>
      <c r="BE57" s="843"/>
      <c r="BF57" s="843"/>
      <c r="BG57" s="843"/>
      <c r="BH57" s="843"/>
      <c r="BI57" s="843"/>
    </row>
    <row r="58" spans="1:61" x14ac:dyDescent="0.2">
      <c r="B58" s="600" t="s">
        <v>654</v>
      </c>
      <c r="C58" s="600"/>
      <c r="D58" s="600"/>
      <c r="E58" s="600"/>
      <c r="F58" s="23"/>
      <c r="G58" s="23"/>
      <c r="H58" s="691"/>
      <c r="I58" s="4"/>
      <c r="J58" s="158"/>
      <c r="K58" s="158"/>
      <c r="L58" s="1631"/>
      <c r="M58" s="1697"/>
      <c r="N58" s="4"/>
      <c r="O58" s="138"/>
      <c r="P58"/>
      <c r="Q58"/>
      <c r="S58" s="721"/>
      <c r="W58" s="78" t="s">
        <v>3029</v>
      </c>
      <c r="X58"/>
      <c r="AX58" s="879" t="str">
        <f>'Overview (Design)'!A60</f>
        <v>Mass Walls:</v>
      </c>
      <c r="AY58" s="78">
        <f>'Overview (Design)'!G60</f>
        <v>0</v>
      </c>
      <c r="AZ58" s="843"/>
      <c r="BA58" s="843"/>
      <c r="BB58" s="843"/>
      <c r="BC58" s="843"/>
      <c r="BD58" s="843"/>
      <c r="BE58" s="843"/>
      <c r="BF58" s="843"/>
      <c r="BG58" s="843"/>
      <c r="BH58" s="843"/>
      <c r="BI58" s="843"/>
    </row>
    <row r="59" spans="1:61" x14ac:dyDescent="0.2">
      <c r="B59" s="600" t="s">
        <v>654</v>
      </c>
      <c r="C59" s="600" t="s">
        <v>3439</v>
      </c>
      <c r="D59" s="600"/>
      <c r="E59" s="23"/>
      <c r="F59" s="23"/>
      <c r="G59" s="23"/>
      <c r="H59" s="691"/>
      <c r="I59" s="4"/>
      <c r="J59" s="234" t="s">
        <v>254</v>
      </c>
      <c r="K59" s="158"/>
      <c r="L59" s="1631" t="s">
        <v>655</v>
      </c>
      <c r="M59" s="374"/>
      <c r="N59" s="4"/>
      <c r="O59" s="138"/>
      <c r="P59" s="96" t="b">
        <v>1</v>
      </c>
      <c r="Q59" s="96" t="b">
        <v>1</v>
      </c>
      <c r="R59" s="327" t="b">
        <f>AND(S59,NOT(OR(AND(BF16=2,BG16="Dry"),BI16="Tropical",W56=TRUE)))</f>
        <v>0</v>
      </c>
      <c r="S59" s="1219" t="b">
        <f>LEN(W62)=0</f>
        <v>1</v>
      </c>
      <c r="T59" s="96" t="b">
        <f>IF(AND(NOT(S59),LEN(W59)&gt;0),TRUE,FALSE)</f>
        <v>0</v>
      </c>
      <c r="U59"/>
      <c r="V59"/>
      <c r="W59" s="336">
        <v>7</v>
      </c>
      <c r="X59" s="1621"/>
      <c r="AC59" s="327" t="b">
        <f>OR(AD59:AE59)</f>
        <v>0</v>
      </c>
      <c r="AD59" s="327" t="b">
        <f>T59</f>
        <v>0</v>
      </c>
      <c r="AE59" s="327" t="b">
        <f>AND(R59,LEN(W59)=0)</f>
        <v>0</v>
      </c>
      <c r="AP59" s="1352" t="str">
        <f>SUBSTITUTE(SUBSTITUTE(SUBSTITUTE("dch"&amp;$B59&amp;$C59&amp;$D59&amp;$E59&amp;$F59,".","_"),"(","_"),")","")</f>
        <v>dch701_4_3_2_1_</v>
      </c>
      <c r="AQ59" s="1352">
        <f>IF(LEN(W59)=0,"",W59)</f>
        <v>7</v>
      </c>
      <c r="AR59" s="1352" t="str">
        <f>SUBSTITUTE(SUBSTITUTE(SUBSTITUTE("dnt"&amp;$B59&amp;$C59&amp;$D59&amp;$E59&amp;$F59,".","_"),"(","_"),")","")</f>
        <v>dnt701_4_3_2_1_</v>
      </c>
      <c r="AS59" s="1352" t="str">
        <f>IF(LEN(X59)=0,"",X59)</f>
        <v/>
      </c>
      <c r="AX59" s="879" t="str">
        <f>'Overview (Design)'!A61</f>
        <v>Radiant/Hydronic:</v>
      </c>
      <c r="AY59" s="78">
        <f>'Overview (Design)'!G61</f>
        <v>0</v>
      </c>
      <c r="AZ59" s="843"/>
      <c r="BA59" s="843"/>
      <c r="BB59" s="843"/>
      <c r="BC59" s="843"/>
      <c r="BD59" s="843"/>
      <c r="BE59" s="843"/>
      <c r="BF59" s="843"/>
      <c r="BG59" s="843"/>
      <c r="BH59" s="843"/>
      <c r="BI59" s="843"/>
    </row>
    <row r="60" spans="1:61" x14ac:dyDescent="0.2">
      <c r="B60" s="600" t="s">
        <v>654</v>
      </c>
      <c r="C60" s="600" t="s">
        <v>254</v>
      </c>
      <c r="D60" s="600"/>
      <c r="E60" s="23"/>
      <c r="F60" s="23"/>
      <c r="G60" s="23"/>
      <c r="H60" s="691"/>
      <c r="I60" s="4"/>
      <c r="J60" s="158"/>
      <c r="K60" s="158"/>
      <c r="L60" s="1631"/>
      <c r="M60" s="374"/>
      <c r="N60" s="4"/>
      <c r="O60" s="138"/>
      <c r="P60"/>
      <c r="Q60"/>
      <c r="R60"/>
      <c r="S60" s="721"/>
      <c r="T60"/>
      <c r="U60"/>
      <c r="V60"/>
      <c r="W60"/>
      <c r="X60" s="1632"/>
      <c r="AX60" s="879" t="str">
        <f>'Overview (Design)'!A62</f>
        <v>Tankless Water Heater:</v>
      </c>
      <c r="AY60" s="78">
        <f>'Overview (Design)'!G62</f>
        <v>0</v>
      </c>
    </row>
    <row r="61" spans="1:61" x14ac:dyDescent="0.2">
      <c r="B61" s="600" t="s">
        <v>654</v>
      </c>
      <c r="C61" s="600" t="s">
        <v>254</v>
      </c>
      <c r="D61" s="600"/>
      <c r="E61" s="23"/>
      <c r="F61" s="23"/>
      <c r="G61" s="23"/>
      <c r="H61" s="691"/>
      <c r="I61" s="4"/>
      <c r="J61" s="158"/>
      <c r="K61" s="158"/>
      <c r="L61" s="1631"/>
      <c r="M61" s="374"/>
      <c r="N61" s="4"/>
      <c r="O61" s="138"/>
      <c r="P61" s="96"/>
      <c r="Q61" s="96"/>
      <c r="R61"/>
      <c r="S61" s="721"/>
      <c r="T61"/>
      <c r="U61"/>
      <c r="V61"/>
      <c r="W61" t="s">
        <v>3445</v>
      </c>
      <c r="X61" s="1599"/>
      <c r="AX61" s="879" t="str">
        <f>'Overview (Design)'!A63</f>
        <v>Composting Toilet:</v>
      </c>
      <c r="AY61" s="78">
        <f>'Overview (Design)'!G63</f>
        <v>0</v>
      </c>
    </row>
    <row r="62" spans="1:61" x14ac:dyDescent="0.2">
      <c r="B62" s="600" t="s">
        <v>654</v>
      </c>
      <c r="C62" s="600" t="s">
        <v>2543</v>
      </c>
      <c r="D62" s="600"/>
      <c r="E62" s="23"/>
      <c r="F62" s="23"/>
      <c r="G62" s="23"/>
      <c r="H62" s="691"/>
      <c r="I62" s="4"/>
      <c r="J62" s="158"/>
      <c r="K62" s="158"/>
      <c r="L62" s="1631"/>
      <c r="M62" s="374"/>
      <c r="N62" s="4"/>
      <c r="O62" s="138"/>
      <c r="P62" s="96" t="b">
        <v>1</v>
      </c>
      <c r="Q62" s="96" t="b">
        <v>1</v>
      </c>
      <c r="R62" s="1216" t="b">
        <f>AND(S62,NOT(OR(AND(BF16=2,BG16="Dry"),BI16="Tropical",W56=TRUE)))</f>
        <v>0</v>
      </c>
      <c r="S62" s="1219" t="b">
        <f>LEN(W59)=0</f>
        <v>0</v>
      </c>
      <c r="T62" s="96" t="b">
        <f>IF(AND(NOT(S62),LEN(W62)&gt;0),TRUE,FALSE)</f>
        <v>0</v>
      </c>
      <c r="U62"/>
      <c r="V62"/>
      <c r="W62" s="336"/>
      <c r="X62" s="1621"/>
      <c r="AC62" s="690" t="b">
        <f>OR(AD62:AE62)</f>
        <v>0</v>
      </c>
      <c r="AD62" s="690" t="b">
        <f>T62</f>
        <v>0</v>
      </c>
      <c r="AE62" s="690" t="b">
        <f>AND(R62,LEN(W62)=0)</f>
        <v>0</v>
      </c>
      <c r="AP62" s="1352" t="str">
        <f>SUBSTITUTE(SUBSTITUTE(SUBSTITUTE("dch"&amp;$B62&amp;$C62&amp;$D62&amp;$E62&amp;$F62,".","_"),"(","_"),")","")</f>
        <v>dch701_4_3_2e</v>
      </c>
      <c r="AQ62" s="1352" t="str">
        <f>IF(LEN(W62)=0,"",W62)</f>
        <v/>
      </c>
      <c r="AR62" s="1352" t="str">
        <f>SUBSTITUTE(SUBSTITUTE(SUBSTITUTE("dnt"&amp;$B62&amp;$C62&amp;$D62&amp;$E62&amp;$F62,".","_"),"(","_"),")","")</f>
        <v>dnt701_4_3_2e</v>
      </c>
      <c r="AS62" s="1352" t="str">
        <f>IF(LEN(X62)=0,"",X62)</f>
        <v/>
      </c>
      <c r="AX62" s="879"/>
    </row>
    <row r="63" spans="1:61" x14ac:dyDescent="0.2">
      <c r="B63" s="600" t="s">
        <v>654</v>
      </c>
      <c r="C63" s="600" t="s">
        <v>254</v>
      </c>
      <c r="D63" s="600"/>
      <c r="E63" s="23"/>
      <c r="F63" s="23"/>
      <c r="G63" s="23"/>
      <c r="H63" s="691"/>
      <c r="I63" s="4"/>
      <c r="J63" s="158"/>
      <c r="K63" s="158"/>
      <c r="L63" s="1631"/>
      <c r="M63" s="374"/>
      <c r="N63" s="4"/>
      <c r="O63" s="138"/>
      <c r="P63"/>
      <c r="Q63"/>
      <c r="R63"/>
      <c r="S63" s="721"/>
      <c r="T63"/>
      <c r="U63"/>
      <c r="V63"/>
      <c r="W63"/>
      <c r="X63" s="1599"/>
      <c r="AX63" s="879" t="str">
        <f>'Overview (Design)'!A65</f>
        <v>Local Energy Code:</v>
      </c>
      <c r="AY63" s="78" t="str">
        <f>'Overview (Design)'!G65</f>
        <v>2015 IECC</v>
      </c>
    </row>
    <row r="64" spans="1:61" s="843" customFormat="1" x14ac:dyDescent="0.2">
      <c r="A64" s="20"/>
      <c r="B64" s="600" t="s">
        <v>654</v>
      </c>
      <c r="C64" s="600" t="s">
        <v>254</v>
      </c>
      <c r="D64" s="600"/>
      <c r="E64" s="23"/>
      <c r="F64" s="23"/>
      <c r="G64" s="23"/>
      <c r="H64" s="691"/>
      <c r="I64" s="4"/>
      <c r="J64" s="855"/>
      <c r="K64" s="855"/>
      <c r="L64" s="1673" t="s">
        <v>4058</v>
      </c>
      <c r="M64" s="851"/>
      <c r="N64" s="4"/>
      <c r="O64" s="847"/>
      <c r="X64"/>
      <c r="AL64" s="78"/>
      <c r="AM64" s="78"/>
      <c r="AN64" s="78"/>
      <c r="AO64" s="78"/>
      <c r="AP64" s="78"/>
      <c r="AQ64" s="78"/>
      <c r="AR64" s="78"/>
      <c r="AS64" s="78"/>
      <c r="AX64" s="879" t="str">
        <f>'Overview (Design)'!A66</f>
        <v>Local Building Code:</v>
      </c>
      <c r="AY64" s="78" t="str">
        <f>'Overview (Design)'!G66</f>
        <v>2018 IBC</v>
      </c>
      <c r="AZ64" s="78"/>
      <c r="BA64" s="78"/>
      <c r="BB64" s="78"/>
      <c r="BC64" s="78"/>
      <c r="BD64" s="78"/>
      <c r="BE64" s="78"/>
      <c r="BF64" s="78"/>
      <c r="BG64" s="78"/>
      <c r="BH64" s="78"/>
      <c r="BI64" s="78"/>
    </row>
    <row r="65" spans="1:70" s="843" customFormat="1" x14ac:dyDescent="0.2">
      <c r="A65" s="20"/>
      <c r="B65" s="600" t="s">
        <v>654</v>
      </c>
      <c r="C65" s="600" t="s">
        <v>254</v>
      </c>
      <c r="D65" s="600"/>
      <c r="E65" s="23"/>
      <c r="F65" s="23"/>
      <c r="G65" s="23"/>
      <c r="H65" s="691"/>
      <c r="I65" s="4"/>
      <c r="J65" s="855"/>
      <c r="K65" s="855"/>
      <c r="L65" s="1673"/>
      <c r="M65" s="851"/>
      <c r="N65" s="4"/>
      <c r="O65" s="847"/>
      <c r="X65"/>
      <c r="AL65" s="78"/>
      <c r="AM65" s="78"/>
      <c r="AN65" s="78"/>
      <c r="AO65" s="78"/>
      <c r="AP65" s="78"/>
      <c r="AQ65" s="78"/>
      <c r="AR65" s="78"/>
      <c r="AS65" s="78"/>
      <c r="AX65" s="879"/>
      <c r="AY65" s="78"/>
      <c r="AZ65" s="78"/>
      <c r="BA65" s="78"/>
      <c r="BB65" s="78"/>
      <c r="BC65" s="78"/>
      <c r="BD65" s="78"/>
      <c r="BE65" s="78"/>
      <c r="BF65" s="78"/>
      <c r="BG65" s="78"/>
      <c r="BH65" s="78"/>
      <c r="BI65" s="78"/>
    </row>
    <row r="66" spans="1:70" s="843" customFormat="1" x14ac:dyDescent="0.2">
      <c r="A66" s="20"/>
      <c r="B66" s="600" t="s">
        <v>654</v>
      </c>
      <c r="C66" s="600" t="s">
        <v>254</v>
      </c>
      <c r="D66" s="600"/>
      <c r="E66" s="23"/>
      <c r="F66" s="23"/>
      <c r="G66" s="23"/>
      <c r="H66" s="691"/>
      <c r="I66" s="4"/>
      <c r="J66" s="855"/>
      <c r="K66" s="855"/>
      <c r="L66" s="1673"/>
      <c r="M66" s="851"/>
      <c r="N66" s="4"/>
      <c r="O66" s="847"/>
      <c r="X66"/>
      <c r="AL66" s="78"/>
      <c r="AM66" s="78"/>
      <c r="AN66" s="78"/>
      <c r="AO66" s="78"/>
      <c r="AP66" s="78"/>
      <c r="AQ66" s="78"/>
      <c r="AR66" s="78"/>
      <c r="AS66" s="78"/>
      <c r="AX66" s="879"/>
      <c r="AZ66" s="78"/>
      <c r="BA66" s="78"/>
      <c r="BB66" s="78"/>
      <c r="BC66" s="78"/>
      <c r="BD66" s="78"/>
      <c r="BE66" s="78"/>
      <c r="BF66" s="78"/>
      <c r="BG66" s="78"/>
      <c r="BH66" s="78"/>
      <c r="BI66" s="78"/>
    </row>
    <row r="67" spans="1:70" x14ac:dyDescent="0.2">
      <c r="B67" s="600" t="s">
        <v>654</v>
      </c>
      <c r="C67" s="600" t="s">
        <v>254</v>
      </c>
      <c r="D67" s="600" t="s">
        <v>121</v>
      </c>
      <c r="E67" s="23"/>
      <c r="F67" s="23"/>
      <c r="G67" s="23"/>
      <c r="H67" s="691"/>
      <c r="I67" s="4"/>
      <c r="J67" s="158"/>
      <c r="K67" s="234" t="s">
        <v>121</v>
      </c>
      <c r="L67" s="158" t="s">
        <v>656</v>
      </c>
      <c r="M67" s="374"/>
      <c r="N67" s="4"/>
      <c r="O67" s="138"/>
      <c r="P67"/>
      <c r="Q67"/>
      <c r="R67"/>
      <c r="S67" s="721"/>
      <c r="T67"/>
      <c r="U67"/>
      <c r="V67"/>
      <c r="W67"/>
      <c r="X67" s="366"/>
      <c r="AR67" s="1352" t="str">
        <f>SUBSTITUTE(SUBSTITUTE(SUBSTITUTE("dnt"&amp;$B67&amp;$C67&amp;$D67&amp;$E67&amp;$F67,".","_"),"(","_"),")","")</f>
        <v>dnt701_4_3_2_1_a</v>
      </c>
      <c r="AS67" s="1352" t="str">
        <f>IF(LEN(X67)=0,"",X67)</f>
        <v/>
      </c>
      <c r="AX67" s="879"/>
      <c r="AY67" s="843"/>
    </row>
    <row r="68" spans="1:70" x14ac:dyDescent="0.2">
      <c r="B68" s="600" t="s">
        <v>654</v>
      </c>
      <c r="C68" s="600" t="s">
        <v>254</v>
      </c>
      <c r="D68" s="600" t="s">
        <v>122</v>
      </c>
      <c r="E68" s="23"/>
      <c r="F68" s="23"/>
      <c r="G68" s="23"/>
      <c r="H68" s="691"/>
      <c r="I68" s="4"/>
      <c r="J68" s="158"/>
      <c r="K68" s="234" t="s">
        <v>122</v>
      </c>
      <c r="L68" s="1611" t="s">
        <v>657</v>
      </c>
      <c r="M68" s="374"/>
      <c r="N68" s="4"/>
      <c r="O68" s="138"/>
      <c r="P68"/>
      <c r="Q68"/>
      <c r="R68"/>
      <c r="S68" s="721"/>
      <c r="T68"/>
      <c r="U68"/>
      <c r="V68"/>
      <c r="W68"/>
      <c r="X68" s="1600"/>
      <c r="AR68" s="1352" t="str">
        <f>SUBSTITUTE(SUBSTITUTE(SUBSTITUTE("dnt"&amp;$B68&amp;$C68&amp;$D68&amp;$E68&amp;$F68,".","_"),"(","_"),")","")</f>
        <v>dnt701_4_3_2_1_b</v>
      </c>
      <c r="AS68" s="1352" t="str">
        <f>IF(LEN(X68)=0,"",X68)</f>
        <v/>
      </c>
      <c r="AX68" s="879"/>
    </row>
    <row r="69" spans="1:70" x14ac:dyDescent="0.2">
      <c r="B69" s="600" t="s">
        <v>654</v>
      </c>
      <c r="C69" s="600" t="s">
        <v>254</v>
      </c>
      <c r="D69" s="600" t="s">
        <v>122</v>
      </c>
      <c r="E69" s="23"/>
      <c r="F69" s="23"/>
      <c r="G69" s="23"/>
      <c r="H69" s="691"/>
      <c r="I69" s="4"/>
      <c r="J69" s="158"/>
      <c r="K69" s="234"/>
      <c r="L69" s="1611"/>
      <c r="M69" s="374"/>
      <c r="N69" s="4"/>
      <c r="O69" s="138"/>
      <c r="P69"/>
      <c r="Q69"/>
      <c r="R69"/>
      <c r="S69" s="721"/>
      <c r="T69"/>
      <c r="U69"/>
      <c r="V69"/>
      <c r="W69"/>
      <c r="X69" s="1600"/>
      <c r="AX69" s="879"/>
    </row>
    <row r="70" spans="1:70" x14ac:dyDescent="0.2">
      <c r="B70" s="600" t="s">
        <v>654</v>
      </c>
      <c r="C70" s="600" t="s">
        <v>254</v>
      </c>
      <c r="D70" s="675" t="s">
        <v>123</v>
      </c>
      <c r="E70" s="28"/>
      <c r="F70" s="28"/>
      <c r="G70" s="28"/>
      <c r="H70" s="692"/>
      <c r="I70" s="4"/>
      <c r="J70" s="158"/>
      <c r="K70" s="235" t="s">
        <v>123</v>
      </c>
      <c r="L70" s="158" t="s">
        <v>658</v>
      </c>
      <c r="M70" s="374"/>
      <c r="N70" s="4"/>
      <c r="O70" s="138"/>
      <c r="P70"/>
      <c r="Q70"/>
      <c r="R70"/>
      <c r="S70" s="721"/>
      <c r="T70"/>
      <c r="U70"/>
      <c r="V70"/>
      <c r="W70"/>
      <c r="X70" s="366"/>
      <c r="AR70" s="1352" t="str">
        <f>SUBSTITUTE(SUBSTITUTE(SUBSTITUTE("dnt"&amp;$B70&amp;$C70&amp;$D70&amp;$E70&amp;$F70,".","_"),"(","_"),")","")</f>
        <v>dnt701_4_3_2_1_c</v>
      </c>
      <c r="AS70" s="1352" t="str">
        <f>IF(LEN(X70)=0,"",X70)</f>
        <v/>
      </c>
      <c r="AX70" s="879"/>
    </row>
    <row r="71" spans="1:70" x14ac:dyDescent="0.2">
      <c r="B71" s="600" t="s">
        <v>654</v>
      </c>
      <c r="C71" s="600" t="s">
        <v>254</v>
      </c>
      <c r="D71" s="600" t="s">
        <v>366</v>
      </c>
      <c r="E71" s="23"/>
      <c r="F71" s="23"/>
      <c r="G71" s="23"/>
      <c r="H71" s="691"/>
      <c r="I71" s="4"/>
      <c r="J71" s="158"/>
      <c r="K71" s="162" t="s">
        <v>366</v>
      </c>
      <c r="L71" s="1611" t="s">
        <v>659</v>
      </c>
      <c r="M71" s="374"/>
      <c r="N71" s="4"/>
      <c r="O71" s="138"/>
      <c r="P71"/>
      <c r="Q71"/>
      <c r="R71"/>
      <c r="S71" s="721"/>
      <c r="T71"/>
      <c r="U71"/>
      <c r="V71"/>
      <c r="W71"/>
      <c r="X71" s="1600"/>
      <c r="AR71" s="1352" t="str">
        <f>SUBSTITUTE(SUBSTITUTE(SUBSTITUTE("dnt"&amp;$B71&amp;$C71&amp;$D71&amp;$E71&amp;$F71,".","_"),"(","_"),")","")</f>
        <v>dnt701_4_3_2_1_d</v>
      </c>
      <c r="AS71" s="1352" t="str">
        <f>IF(LEN(X71)=0,"",X71)</f>
        <v/>
      </c>
      <c r="AX71" s="879"/>
    </row>
    <row r="72" spans="1:70" x14ac:dyDescent="0.2">
      <c r="B72" s="600" t="s">
        <v>654</v>
      </c>
      <c r="C72" s="600" t="s">
        <v>254</v>
      </c>
      <c r="D72" s="600" t="s">
        <v>366</v>
      </c>
      <c r="E72" s="23"/>
      <c r="F72" s="23"/>
      <c r="G72" s="23"/>
      <c r="H72" s="691"/>
      <c r="I72" s="4"/>
      <c r="J72" s="158"/>
      <c r="K72" s="162"/>
      <c r="L72" s="1611"/>
      <c r="M72" s="374"/>
      <c r="N72" s="4"/>
      <c r="O72" s="138"/>
      <c r="P72"/>
      <c r="Q72"/>
      <c r="R72"/>
      <c r="S72" s="721"/>
      <c r="T72"/>
      <c r="U72"/>
      <c r="V72"/>
      <c r="W72"/>
      <c r="X72" s="1600"/>
      <c r="AX72" s="879"/>
    </row>
    <row r="73" spans="1:70" x14ac:dyDescent="0.2">
      <c r="B73" s="600" t="s">
        <v>654</v>
      </c>
      <c r="C73" s="600" t="s">
        <v>254</v>
      </c>
      <c r="D73" s="600" t="s">
        <v>472</v>
      </c>
      <c r="E73" s="23"/>
      <c r="F73" s="23"/>
      <c r="G73" s="23"/>
      <c r="H73" s="691"/>
      <c r="I73" s="4"/>
      <c r="J73" s="158"/>
      <c r="K73" s="162" t="s">
        <v>472</v>
      </c>
      <c r="L73" s="158" t="s">
        <v>660</v>
      </c>
      <c r="M73" s="374"/>
      <c r="N73" s="4"/>
      <c r="O73" s="138"/>
      <c r="P73"/>
      <c r="Q73"/>
      <c r="R73"/>
      <c r="S73" s="721"/>
      <c r="T73"/>
      <c r="U73"/>
      <c r="V73"/>
      <c r="W73"/>
      <c r="X73" s="366"/>
      <c r="AR73" s="1352" t="str">
        <f>SUBSTITUTE(SUBSTITUTE(SUBSTITUTE("dnt"&amp;$B73&amp;$C73&amp;$D73&amp;$E73&amp;$F73,".","_"),"(","_"),")","")</f>
        <v>dnt701_4_3_2_1_e</v>
      </c>
      <c r="AS73" s="1352" t="str">
        <f>IF(LEN(X73)=0,"",X73)</f>
        <v/>
      </c>
      <c r="AX73" s="879"/>
    </row>
    <row r="74" spans="1:70" x14ac:dyDescent="0.2">
      <c r="B74" s="600" t="s">
        <v>654</v>
      </c>
      <c r="C74" s="600" t="s">
        <v>254</v>
      </c>
      <c r="D74" s="675" t="s">
        <v>510</v>
      </c>
      <c r="E74" s="28"/>
      <c r="F74" s="28"/>
      <c r="G74" s="28"/>
      <c r="H74" s="692"/>
      <c r="I74" s="4"/>
      <c r="J74" s="158"/>
      <c r="K74" s="235" t="s">
        <v>510</v>
      </c>
      <c r="L74" s="158" t="s">
        <v>661</v>
      </c>
      <c r="M74" s="374"/>
      <c r="N74" s="4"/>
      <c r="O74" s="138"/>
      <c r="P74"/>
      <c r="Q74"/>
      <c r="R74"/>
      <c r="S74" s="721"/>
      <c r="T74"/>
      <c r="U74"/>
      <c r="V74"/>
      <c r="W74"/>
      <c r="X74" s="366"/>
      <c r="AR74" s="1352" t="str">
        <f>SUBSTITUTE(SUBSTITUTE(SUBSTITUTE("dnt"&amp;$B74&amp;$C74&amp;$D74&amp;$E74&amp;$F74,".","_"),"(","_"),")","")</f>
        <v>dnt701_4_3_2_1_f</v>
      </c>
      <c r="AS74" s="1352" t="str">
        <f>IF(LEN(X74)=0,"",X74)</f>
        <v/>
      </c>
      <c r="AX74" s="879"/>
    </row>
    <row r="75" spans="1:70" ht="15" customHeight="1" x14ac:dyDescent="0.2">
      <c r="B75" s="600" t="s">
        <v>654</v>
      </c>
      <c r="C75" s="600" t="s">
        <v>254</v>
      </c>
      <c r="D75" s="600" t="s">
        <v>512</v>
      </c>
      <c r="E75" s="23"/>
      <c r="F75" s="23"/>
      <c r="G75" s="23"/>
      <c r="H75" s="691"/>
      <c r="I75" s="4"/>
      <c r="J75" s="158"/>
      <c r="K75" s="162" t="s">
        <v>512</v>
      </c>
      <c r="L75" s="158" t="s">
        <v>662</v>
      </c>
      <c r="M75" s="374"/>
      <c r="N75" s="4"/>
      <c r="O75" s="138"/>
      <c r="P75"/>
      <c r="Q75"/>
      <c r="R75"/>
      <c r="S75" s="721"/>
      <c r="T75"/>
      <c r="U75"/>
      <c r="V75"/>
      <c r="W75"/>
      <c r="X75" s="366"/>
      <c r="AR75" s="1352" t="str">
        <f>SUBSTITUTE(SUBSTITUTE(SUBSTITUTE("dnt"&amp;$B75&amp;$C75&amp;$D75&amp;$E75&amp;$F75,".","_"),"(","_"),")","")</f>
        <v>dnt701_4_3_2_1_g</v>
      </c>
      <c r="AS75" s="1352" t="str">
        <f>IF(LEN(X75)=0,"",X75)</f>
        <v/>
      </c>
      <c r="AX75" s="879"/>
    </row>
    <row r="76" spans="1:70" x14ac:dyDescent="0.2">
      <c r="B76" s="600" t="s">
        <v>654</v>
      </c>
      <c r="C76" s="600" t="s">
        <v>254</v>
      </c>
      <c r="D76" s="600" t="s">
        <v>514</v>
      </c>
      <c r="E76" s="23"/>
      <c r="F76" s="23"/>
      <c r="G76" s="23"/>
      <c r="H76" s="691"/>
      <c r="I76" s="4"/>
      <c r="J76" s="385"/>
      <c r="K76" s="448"/>
      <c r="L76" s="1730" t="s">
        <v>4059</v>
      </c>
      <c r="M76" s="374"/>
      <c r="N76" s="4"/>
      <c r="O76" s="138"/>
      <c r="P76"/>
      <c r="Q76"/>
      <c r="R76"/>
      <c r="S76" s="721"/>
      <c r="T76"/>
      <c r="U76"/>
      <c r="V76"/>
      <c r="W76"/>
      <c r="X76" s="1600"/>
      <c r="AR76" s="1352" t="str">
        <f>SUBSTITUTE(SUBSTITUTE(SUBSTITUTE("dnt"&amp;$B76&amp;$C76&amp;$D76&amp;$E76&amp;$F76,".","_"),"(","_"),")","")</f>
        <v>dnt701_4_3_2_1_h</v>
      </c>
      <c r="AS76" s="1352" t="str">
        <f>IF(LEN(X76)=0,"",X76)</f>
        <v/>
      </c>
      <c r="AX76" s="879"/>
    </row>
    <row r="77" spans="1:70" x14ac:dyDescent="0.2">
      <c r="B77" s="600" t="s">
        <v>654</v>
      </c>
      <c r="C77" s="600" t="s">
        <v>254</v>
      </c>
      <c r="D77" s="600"/>
      <c r="E77" s="23"/>
      <c r="F77" s="23"/>
      <c r="G77" s="23"/>
      <c r="H77" s="691"/>
      <c r="I77" s="4"/>
      <c r="J77" s="386"/>
      <c r="K77" s="449"/>
      <c r="L77" s="1731"/>
      <c r="M77" s="374"/>
      <c r="N77" s="4"/>
      <c r="O77" s="138"/>
      <c r="P77"/>
      <c r="Q77"/>
      <c r="R77"/>
      <c r="S77" s="721"/>
      <c r="T77"/>
      <c r="U77"/>
      <c r="V77"/>
      <c r="W77"/>
      <c r="X77" s="1600"/>
      <c r="AX77" s="879"/>
    </row>
    <row r="78" spans="1:70" x14ac:dyDescent="0.2">
      <c r="B78" s="600" t="s">
        <v>654</v>
      </c>
      <c r="C78" s="600" t="s">
        <v>255</v>
      </c>
      <c r="D78" s="600"/>
      <c r="E78" s="23"/>
      <c r="F78" s="23"/>
      <c r="G78" s="23"/>
      <c r="H78" s="691"/>
      <c r="I78" s="129"/>
      <c r="J78" s="436" t="s">
        <v>255</v>
      </c>
      <c r="K78" s="385"/>
      <c r="L78" s="1629" t="s">
        <v>3854</v>
      </c>
      <c r="M78" s="389"/>
      <c r="N78" s="129"/>
      <c r="O78" s="423"/>
      <c r="P78" s="96" t="b">
        <v>1</v>
      </c>
      <c r="Q78" s="96" t="b">
        <v>1</v>
      </c>
      <c r="R78" s="96" t="b">
        <f>AND(S78,NOT(W56=TRUE))</f>
        <v>0</v>
      </c>
      <c r="S78" s="724" t="b">
        <f>AND(NOT(W38),NOT(W56))</f>
        <v>0</v>
      </c>
      <c r="T78" s="96" t="b">
        <f>AND(NOT(S78),W78=TRUE)</f>
        <v>0</v>
      </c>
      <c r="U78" s="96"/>
      <c r="V78" s="96"/>
      <c r="W78" s="333"/>
      <c r="X78" s="1601"/>
      <c r="AC78" s="327" t="b">
        <f>OR(AD78:AE78)</f>
        <v>0</v>
      </c>
      <c r="AD78" s="327" t="b">
        <f>T78</f>
        <v>0</v>
      </c>
      <c r="AE78" s="327" t="b">
        <f>AND(R78,NOT(W78))</f>
        <v>0</v>
      </c>
      <c r="AP78" s="1352" t="str">
        <f>SUBSTITUTE(SUBSTITUTE(SUBSTITUTE("dch"&amp;$B78&amp;$C78&amp;$D78&amp;$E78&amp;$F78,".","_"),"(","_"),")","")</f>
        <v>dch701_4_3_2_2</v>
      </c>
      <c r="AQ78" s="1352" t="str">
        <f>IF(LEN(W78)=0,"",W78)</f>
        <v/>
      </c>
      <c r="AR78" s="1352" t="str">
        <f>SUBSTITUTE(SUBSTITUTE(SUBSTITUTE("dnt"&amp;$B78&amp;$C78&amp;$D78&amp;$E78&amp;$F78,".","_"),"(","_"),")","")</f>
        <v>dnt701_4_3_2_2</v>
      </c>
      <c r="AS78" s="1352" t="str">
        <f>IF(LEN(X78)=0,"",X78)</f>
        <v/>
      </c>
      <c r="AX78" s="879"/>
    </row>
    <row r="79" spans="1:70" x14ac:dyDescent="0.2">
      <c r="B79" s="600" t="s">
        <v>654</v>
      </c>
      <c r="C79" s="600" t="s">
        <v>255</v>
      </c>
      <c r="D79" s="600"/>
      <c r="E79" s="23"/>
      <c r="F79" s="23"/>
      <c r="G79" s="23"/>
      <c r="H79" s="691"/>
      <c r="I79" s="129"/>
      <c r="J79" s="385"/>
      <c r="K79" s="385"/>
      <c r="L79" s="1629"/>
      <c r="M79" s="389"/>
      <c r="N79" s="129"/>
      <c r="O79" s="423"/>
      <c r="P79" s="96"/>
      <c r="Q79" s="96"/>
      <c r="R79" s="96"/>
      <c r="S79" s="96"/>
      <c r="T79" s="96"/>
      <c r="U79" s="96"/>
      <c r="V79" s="96"/>
      <c r="W79" s="96"/>
      <c r="X79" s="1601"/>
      <c r="AX79" s="879"/>
    </row>
    <row r="80" spans="1:70" s="307" customFormat="1" x14ac:dyDescent="0.2">
      <c r="A80" s="20"/>
      <c r="B80" s="600" t="s">
        <v>654</v>
      </c>
      <c r="C80" s="600" t="s">
        <v>255</v>
      </c>
      <c r="D80" s="600"/>
      <c r="E80" s="23"/>
      <c r="F80" s="23"/>
      <c r="G80" s="23"/>
      <c r="H80" s="691"/>
      <c r="I80" s="213"/>
      <c r="J80" s="386"/>
      <c r="K80" s="386"/>
      <c r="L80" s="441" t="s">
        <v>3855</v>
      </c>
      <c r="M80" s="390"/>
      <c r="N80" s="213"/>
      <c r="O80" s="424"/>
      <c r="P80" s="173"/>
      <c r="Q80" s="173"/>
      <c r="R80" s="173"/>
      <c r="S80" s="173"/>
      <c r="T80" s="173"/>
      <c r="U80" s="173"/>
      <c r="V80" s="173"/>
      <c r="W80" s="173"/>
      <c r="X80" s="1601"/>
      <c r="Y80" s="704"/>
      <c r="AA80" s="707"/>
      <c r="AL80" s="78"/>
      <c r="AM80" s="78"/>
      <c r="AN80" s="78"/>
      <c r="AO80" s="78"/>
      <c r="AP80" s="78"/>
      <c r="AQ80" s="78"/>
      <c r="AR80" s="78"/>
      <c r="AS80" s="78"/>
      <c r="AX80" s="879"/>
      <c r="AY80" s="78"/>
      <c r="AZ80" s="78"/>
      <c r="BA80" s="78"/>
      <c r="BB80" s="78"/>
      <c r="BC80" s="78"/>
      <c r="BD80" s="78"/>
      <c r="BE80" s="78"/>
      <c r="BF80" s="78"/>
      <c r="BG80" s="78"/>
      <c r="BH80" s="78"/>
      <c r="BI80" s="78"/>
      <c r="BJ80" s="78"/>
      <c r="BK80" s="78"/>
      <c r="BL80" s="78"/>
      <c r="BM80" s="78"/>
      <c r="BN80" s="78"/>
      <c r="BO80" s="78"/>
      <c r="BP80" s="78"/>
      <c r="BQ80" s="78"/>
      <c r="BR80" s="78"/>
    </row>
    <row r="81" spans="2:50" x14ac:dyDescent="0.2">
      <c r="B81" s="600" t="s">
        <v>663</v>
      </c>
      <c r="C81" s="600"/>
      <c r="D81" s="600"/>
      <c r="E81" s="600"/>
      <c r="F81" s="23"/>
      <c r="G81" s="23"/>
      <c r="H81" s="691"/>
      <c r="I81" s="69" t="s">
        <v>3649</v>
      </c>
      <c r="J81" s="158"/>
      <c r="K81" s="158"/>
      <c r="L81" s="1699" t="s">
        <v>4060</v>
      </c>
      <c r="M81" s="697" t="str">
        <f>IF(R81,"Mandatory","N/A")</f>
        <v>N/A</v>
      </c>
      <c r="N81" s="4"/>
      <c r="O81" s="138"/>
      <c r="P81" s="96" t="b">
        <v>1</v>
      </c>
      <c r="Q81" s="96" t="b">
        <v>0</v>
      </c>
      <c r="R81" s="134" t="b">
        <f>AND(S81,NOT(W56=TRUE))</f>
        <v>0</v>
      </c>
      <c r="S81" s="722" t="b">
        <f>NOT(W38)</f>
        <v>1</v>
      </c>
      <c r="T81" s="96" t="b">
        <f>AND(NOT(S81),W81=TRUE)</f>
        <v>0</v>
      </c>
      <c r="U81"/>
      <c r="V81"/>
      <c r="W81" s="119"/>
      <c r="X81" s="1600"/>
      <c r="AC81" s="327" t="b">
        <f>OR(AD81:AE81)</f>
        <v>0</v>
      </c>
      <c r="AD81" s="327" t="b">
        <f>T81</f>
        <v>0</v>
      </c>
      <c r="AE81" s="327" t="b">
        <f>AND(R81,NOT(W81))</f>
        <v>0</v>
      </c>
      <c r="AL81" s="1352" t="str">
        <f>SUBSTITUTE(SUBSTITUTE(SUBSTITUTE("dpa"&amp;$B81&amp;$C81&amp;$D81&amp;$E81&amp;$F81,".","_"),"(","_"),")","")</f>
        <v>dpa701_4_3_2_1</v>
      </c>
      <c r="AM81" s="1352" t="str">
        <f>M81</f>
        <v>N/A</v>
      </c>
      <c r="AP81" s="1352" t="str">
        <f>SUBSTITUTE(SUBSTITUTE(SUBSTITUTE("dch"&amp;$B81&amp;$C81&amp;$D81&amp;$E81&amp;$F81,".","_"),"(","_"),")","")</f>
        <v>dch701_4_3_2_1</v>
      </c>
      <c r="AQ81" s="1352" t="str">
        <f>IF(LEN(W81)=0,"",W81)</f>
        <v/>
      </c>
      <c r="AR81" s="1352" t="str">
        <f>SUBSTITUTE(SUBSTITUTE(SUBSTITUTE("dnt"&amp;$B81&amp;$C81&amp;$D81&amp;$E81&amp;$F81,".","_"),"(","_"),")","")</f>
        <v>dnt701_4_3_2_1</v>
      </c>
      <c r="AS81" s="1352" t="str">
        <f>IF(LEN(X81)=0,"",X81)</f>
        <v/>
      </c>
      <c r="AX81" s="879"/>
    </row>
    <row r="82" spans="2:50" x14ac:dyDescent="0.2">
      <c r="B82" s="600" t="s">
        <v>663</v>
      </c>
      <c r="C82" s="600"/>
      <c r="D82" s="600"/>
      <c r="E82" s="600"/>
      <c r="F82" s="23"/>
      <c r="G82" s="23"/>
      <c r="H82" s="691"/>
      <c r="I82" s="4"/>
      <c r="J82"/>
      <c r="K82"/>
      <c r="L82" s="1728"/>
      <c r="M82" s="374"/>
      <c r="N82" s="4"/>
      <c r="O82" s="138"/>
      <c r="P82"/>
      <c r="Q82"/>
      <c r="R82"/>
      <c r="S82" s="721"/>
      <c r="T82"/>
      <c r="U82"/>
      <c r="V82"/>
      <c r="W82"/>
      <c r="X82" s="1600"/>
      <c r="AR82" s="1352"/>
      <c r="AS82" s="1352"/>
      <c r="AX82" s="879"/>
    </row>
    <row r="83" spans="2:50" x14ac:dyDescent="0.2">
      <c r="B83" s="600" t="s">
        <v>663</v>
      </c>
      <c r="C83" s="600"/>
      <c r="D83" s="600"/>
      <c r="E83" s="600"/>
      <c r="F83" s="23"/>
      <c r="G83" s="23"/>
      <c r="H83" s="691"/>
      <c r="I83" s="4"/>
      <c r="J83"/>
      <c r="K83"/>
      <c r="L83" s="1728"/>
      <c r="M83" s="374"/>
      <c r="N83" s="4"/>
      <c r="O83" s="138"/>
      <c r="P83"/>
      <c r="Q83"/>
      <c r="R83"/>
      <c r="S83" s="721"/>
      <c r="T83"/>
      <c r="U83"/>
      <c r="V83"/>
      <c r="W83"/>
      <c r="X83" s="1600"/>
      <c r="AR83" s="1352"/>
      <c r="AS83" s="1352"/>
      <c r="AX83" s="879"/>
    </row>
    <row r="84" spans="2:50" x14ac:dyDescent="0.2">
      <c r="B84" s="600" t="s">
        <v>663</v>
      </c>
      <c r="C84" s="600"/>
      <c r="D84" s="600"/>
      <c r="E84" s="600"/>
      <c r="F84" s="23"/>
      <c r="G84" s="23"/>
      <c r="H84" s="691"/>
      <c r="I84" s="4"/>
      <c r="J84"/>
      <c r="K84"/>
      <c r="L84" s="1729"/>
      <c r="M84" s="374"/>
      <c r="N84" s="4"/>
      <c r="O84" s="138"/>
      <c r="P84"/>
      <c r="Q84"/>
      <c r="R84"/>
      <c r="S84" s="721"/>
      <c r="T84"/>
      <c r="U84"/>
      <c r="V84"/>
      <c r="W84"/>
      <c r="X84" s="1600"/>
      <c r="AX84" s="879"/>
    </row>
    <row r="85" spans="2:50" x14ac:dyDescent="0.2">
      <c r="B85" s="600" t="s">
        <v>663</v>
      </c>
      <c r="C85" s="600" t="s">
        <v>254</v>
      </c>
      <c r="D85" s="600"/>
      <c r="E85" s="600"/>
      <c r="F85" s="23"/>
      <c r="G85" s="23"/>
      <c r="H85" s="691"/>
      <c r="I85" s="4"/>
      <c r="J85" s="451" t="s">
        <v>254</v>
      </c>
      <c r="K85" s="311"/>
      <c r="L85" s="311" t="s">
        <v>664</v>
      </c>
      <c r="M85" s="374"/>
      <c r="N85" s="4"/>
      <c r="O85" s="138"/>
      <c r="P85"/>
      <c r="Q85"/>
      <c r="R85"/>
      <c r="S85" s="721"/>
      <c r="T85"/>
      <c r="U85"/>
      <c r="V85"/>
      <c r="W85"/>
      <c r="X85" s="366"/>
      <c r="AR85" s="1352" t="str">
        <f>SUBSTITUTE(SUBSTITUTE(SUBSTITUTE("dnt"&amp;$B85&amp;$C85&amp;$D85&amp;$E85&amp;$F85,".","_"),"(","_"),")","")</f>
        <v>dnt701_4_3_2_1_1</v>
      </c>
      <c r="AS85" s="1352" t="str">
        <f>IF(LEN(X85)=0,"",X85)</f>
        <v/>
      </c>
      <c r="AX85" s="879"/>
    </row>
    <row r="86" spans="2:50" x14ac:dyDescent="0.2">
      <c r="B86" s="600" t="s">
        <v>663</v>
      </c>
      <c r="C86" s="600" t="s">
        <v>255</v>
      </c>
      <c r="D86" s="600"/>
      <c r="E86" s="600"/>
      <c r="F86" s="23"/>
      <c r="G86" s="23"/>
      <c r="H86" s="691"/>
      <c r="I86" s="4"/>
      <c r="J86" s="450" t="s">
        <v>255</v>
      </c>
      <c r="K86" s="854"/>
      <c r="L86" s="1613" t="s">
        <v>665</v>
      </c>
      <c r="M86" s="374"/>
      <c r="N86" s="4"/>
      <c r="O86" s="138"/>
      <c r="P86"/>
      <c r="Q86"/>
      <c r="R86"/>
      <c r="S86" s="721"/>
      <c r="T86"/>
      <c r="U86"/>
      <c r="V86"/>
      <c r="W86"/>
      <c r="X86" s="1600"/>
      <c r="AR86" s="1352" t="str">
        <f>SUBSTITUTE(SUBSTITUTE(SUBSTITUTE("dnt"&amp;$B86&amp;$C86&amp;$D86&amp;$E86&amp;$F86,".","_"),"(","_"),")","")</f>
        <v>dnt701_4_3_2_1_2</v>
      </c>
      <c r="AS86" s="1352" t="str">
        <f>IF(LEN(X86)=0,"",X86)</f>
        <v/>
      </c>
      <c r="AX86" s="879"/>
    </row>
    <row r="87" spans="2:50" x14ac:dyDescent="0.2">
      <c r="B87" s="600" t="s">
        <v>663</v>
      </c>
      <c r="C87" s="600" t="s">
        <v>255</v>
      </c>
      <c r="D87" s="600"/>
      <c r="E87" s="600"/>
      <c r="F87" s="23"/>
      <c r="G87" s="23"/>
      <c r="H87" s="691"/>
      <c r="I87" s="4"/>
      <c r="J87" s="436"/>
      <c r="K87" s="852"/>
      <c r="L87" s="1609"/>
      <c r="M87" s="374"/>
      <c r="N87" s="4"/>
      <c r="O87" s="138"/>
      <c r="P87"/>
      <c r="Q87"/>
      <c r="R87"/>
      <c r="S87" s="721"/>
      <c r="T87"/>
      <c r="U87"/>
      <c r="V87"/>
      <c r="W87"/>
      <c r="X87" s="1600"/>
      <c r="AX87" s="879"/>
    </row>
    <row r="88" spans="2:50" x14ac:dyDescent="0.2">
      <c r="B88" s="600" t="s">
        <v>663</v>
      </c>
      <c r="C88" s="600" t="s">
        <v>255</v>
      </c>
      <c r="D88" s="600"/>
      <c r="E88" s="600"/>
      <c r="F88" s="23"/>
      <c r="G88" s="23"/>
      <c r="H88" s="691"/>
      <c r="I88" s="4"/>
      <c r="J88" s="436"/>
      <c r="K88" s="852"/>
      <c r="L88" s="1609"/>
      <c r="M88" s="374"/>
      <c r="N88" s="4"/>
      <c r="O88" s="138"/>
      <c r="P88"/>
      <c r="Q88"/>
      <c r="R88"/>
      <c r="S88" s="721"/>
      <c r="T88"/>
      <c r="U88"/>
      <c r="V88"/>
      <c r="W88"/>
      <c r="X88" s="1600"/>
      <c r="AX88" s="879"/>
    </row>
    <row r="89" spans="2:50" x14ac:dyDescent="0.2">
      <c r="B89" s="600" t="s">
        <v>663</v>
      </c>
      <c r="C89" s="600" t="s">
        <v>255</v>
      </c>
      <c r="D89" s="600"/>
      <c r="E89" s="600"/>
      <c r="F89" s="23"/>
      <c r="G89" s="23"/>
      <c r="H89" s="691"/>
      <c r="I89" s="4"/>
      <c r="J89" s="444"/>
      <c r="K89" s="853"/>
      <c r="L89" s="1612"/>
      <c r="M89" s="374"/>
      <c r="N89" s="4"/>
      <c r="O89" s="138"/>
      <c r="P89"/>
      <c r="Q89"/>
      <c r="R89"/>
      <c r="S89" s="721"/>
      <c r="T89"/>
      <c r="U89"/>
      <c r="V89"/>
      <c r="W89"/>
      <c r="X89" s="1600"/>
      <c r="AX89" s="879"/>
    </row>
    <row r="90" spans="2:50" x14ac:dyDescent="0.2">
      <c r="B90" s="600" t="s">
        <v>663</v>
      </c>
      <c r="C90" s="600" t="s">
        <v>256</v>
      </c>
      <c r="D90" s="600"/>
      <c r="E90" s="600"/>
      <c r="F90" s="23"/>
      <c r="G90" s="23"/>
      <c r="H90" s="691"/>
      <c r="I90" s="4"/>
      <c r="J90" s="436" t="s">
        <v>256</v>
      </c>
      <c r="K90" s="385"/>
      <c r="L90" s="1609" t="s">
        <v>666</v>
      </c>
      <c r="M90" s="374"/>
      <c r="N90" s="4"/>
      <c r="O90" s="138"/>
      <c r="P90"/>
      <c r="Q90"/>
      <c r="R90"/>
      <c r="S90" s="721"/>
      <c r="T90"/>
      <c r="U90"/>
      <c r="V90"/>
      <c r="W90"/>
      <c r="X90" s="1600"/>
      <c r="AR90" s="1352" t="str">
        <f>SUBSTITUTE(SUBSTITUTE(SUBSTITUTE("dnt"&amp;$B90&amp;$C90&amp;$D90&amp;$E90&amp;$F90,".","_"),"(","_"),")","")</f>
        <v>dnt701_4_3_2_1_3</v>
      </c>
      <c r="AS90" s="1352" t="str">
        <f>IF(LEN(X90)=0,"",X90)</f>
        <v/>
      </c>
      <c r="AX90" s="879"/>
    </row>
    <row r="91" spans="2:50" x14ac:dyDescent="0.2">
      <c r="B91" s="600" t="s">
        <v>663</v>
      </c>
      <c r="C91" s="600" t="s">
        <v>256</v>
      </c>
      <c r="D91" s="600"/>
      <c r="E91" s="600"/>
      <c r="F91" s="23"/>
      <c r="G91" s="23"/>
      <c r="H91" s="691"/>
      <c r="I91" s="4"/>
      <c r="J91" s="444"/>
      <c r="K91" s="386"/>
      <c r="L91" s="1612"/>
      <c r="M91" s="374"/>
      <c r="N91" s="4"/>
      <c r="O91" s="138"/>
      <c r="P91"/>
      <c r="Q91"/>
      <c r="R91"/>
      <c r="S91" s="721"/>
      <c r="T91"/>
      <c r="U91"/>
      <c r="V91"/>
      <c r="W91"/>
      <c r="X91" s="1600"/>
      <c r="AX91" s="879"/>
    </row>
    <row r="92" spans="2:50" x14ac:dyDescent="0.2">
      <c r="B92" s="600" t="s">
        <v>663</v>
      </c>
      <c r="C92" s="600" t="s">
        <v>259</v>
      </c>
      <c r="D92" s="600"/>
      <c r="E92" s="600"/>
      <c r="F92" s="23"/>
      <c r="G92" s="23"/>
      <c r="H92" s="691"/>
      <c r="I92" s="4"/>
      <c r="J92" s="450" t="s">
        <v>259</v>
      </c>
      <c r="K92" s="393"/>
      <c r="L92" s="1613" t="s">
        <v>667</v>
      </c>
      <c r="M92" s="374"/>
      <c r="N92" s="4"/>
      <c r="O92" s="138"/>
      <c r="P92"/>
      <c r="Q92"/>
      <c r="R92"/>
      <c r="S92" s="721"/>
      <c r="T92"/>
      <c r="U92"/>
      <c r="V92"/>
      <c r="W92"/>
      <c r="X92" s="1600"/>
      <c r="AR92" s="1352" t="str">
        <f>SUBSTITUTE(SUBSTITUTE(SUBSTITUTE("dnt"&amp;$B92&amp;$C92&amp;$D92&amp;$E92&amp;$F92,".","_"),"(","_"),")","")</f>
        <v>dnt701_4_3_2_1_4</v>
      </c>
      <c r="AS92" s="1352" t="str">
        <f>IF(LEN(X92)=0,"",X92)</f>
        <v/>
      </c>
      <c r="AX92" s="879"/>
    </row>
    <row r="93" spans="2:50" x14ac:dyDescent="0.2">
      <c r="B93" s="600" t="s">
        <v>663</v>
      </c>
      <c r="C93" s="600" t="s">
        <v>259</v>
      </c>
      <c r="D93" s="600"/>
      <c r="E93" s="600"/>
      <c r="F93" s="23"/>
      <c r="G93" s="23"/>
      <c r="H93" s="691"/>
      <c r="I93" s="4"/>
      <c r="J93" s="436"/>
      <c r="K93" s="385"/>
      <c r="L93" s="1609"/>
      <c r="M93" s="374"/>
      <c r="N93" s="4"/>
      <c r="O93" s="138"/>
      <c r="P93"/>
      <c r="Q93"/>
      <c r="R93"/>
      <c r="S93" s="721"/>
      <c r="T93"/>
      <c r="U93"/>
      <c r="V93"/>
      <c r="W93"/>
      <c r="X93" s="1600"/>
      <c r="AX93" s="879"/>
    </row>
    <row r="94" spans="2:50" x14ac:dyDescent="0.2">
      <c r="B94" s="600" t="s">
        <v>663</v>
      </c>
      <c r="C94" s="600" t="s">
        <v>259</v>
      </c>
      <c r="D94" s="600"/>
      <c r="E94" s="600"/>
      <c r="F94" s="23"/>
      <c r="G94" s="23"/>
      <c r="H94" s="691"/>
      <c r="I94" s="4"/>
      <c r="J94" s="444"/>
      <c r="K94" s="386"/>
      <c r="L94" s="1612"/>
      <c r="M94" s="374"/>
      <c r="N94" s="4"/>
      <c r="O94" s="138"/>
      <c r="P94"/>
      <c r="Q94"/>
      <c r="R94"/>
      <c r="S94" s="721"/>
      <c r="T94"/>
      <c r="U94"/>
      <c r="V94"/>
      <c r="W94"/>
      <c r="X94" s="1600"/>
      <c r="AX94" s="879"/>
    </row>
    <row r="95" spans="2:50" x14ac:dyDescent="0.2">
      <c r="B95" s="600" t="s">
        <v>663</v>
      </c>
      <c r="C95" s="600" t="s">
        <v>263</v>
      </c>
      <c r="D95" s="600"/>
      <c r="E95" s="600"/>
      <c r="F95" s="23"/>
      <c r="G95" s="23"/>
      <c r="H95" s="691"/>
      <c r="I95" s="4"/>
      <c r="J95" s="450" t="s">
        <v>263</v>
      </c>
      <c r="K95" s="393"/>
      <c r="L95" s="1613" t="s">
        <v>668</v>
      </c>
      <c r="M95" s="374"/>
      <c r="N95" s="4"/>
      <c r="O95" s="138"/>
      <c r="P95"/>
      <c r="Q95"/>
      <c r="R95"/>
      <c r="S95" s="721"/>
      <c r="T95"/>
      <c r="U95"/>
      <c r="V95"/>
      <c r="W95"/>
      <c r="X95" s="1600"/>
      <c r="AR95" s="1352" t="str">
        <f>SUBSTITUTE(SUBSTITUTE(SUBSTITUTE("dnt"&amp;$B95&amp;$C95&amp;$D95&amp;$E95&amp;$F95,".","_"),"(","_"),")","")</f>
        <v>dnt701_4_3_2_1_5</v>
      </c>
      <c r="AS95" s="1352" t="str">
        <f>IF(LEN(X95)=0,"",X95)</f>
        <v/>
      </c>
      <c r="AX95" s="879"/>
    </row>
    <row r="96" spans="2:50" ht="15" customHeight="1" x14ac:dyDescent="0.2">
      <c r="B96" s="600" t="s">
        <v>663</v>
      </c>
      <c r="C96" s="600" t="s">
        <v>263</v>
      </c>
      <c r="D96" s="600"/>
      <c r="E96" s="600"/>
      <c r="F96" s="23"/>
      <c r="G96" s="23"/>
      <c r="H96" s="691"/>
      <c r="I96" s="4"/>
      <c r="J96" s="444"/>
      <c r="K96" s="386"/>
      <c r="L96" s="1612"/>
      <c r="M96" s="374"/>
      <c r="N96" s="4"/>
      <c r="O96" s="138"/>
      <c r="P96"/>
      <c r="Q96"/>
      <c r="R96"/>
      <c r="S96" s="721"/>
      <c r="T96"/>
      <c r="U96"/>
      <c r="V96"/>
      <c r="W96"/>
      <c r="X96" s="1600"/>
      <c r="AX96" s="879"/>
    </row>
    <row r="97" spans="1:70" ht="15" customHeight="1" x14ac:dyDescent="0.2">
      <c r="B97" s="600" t="s">
        <v>663</v>
      </c>
      <c r="C97" s="600" t="s">
        <v>264</v>
      </c>
      <c r="D97" s="600"/>
      <c r="E97" s="600"/>
      <c r="F97" s="23"/>
      <c r="G97" s="23"/>
      <c r="H97" s="691"/>
      <c r="I97" s="4"/>
      <c r="J97" s="451" t="s">
        <v>264</v>
      </c>
      <c r="K97" s="311"/>
      <c r="L97" s="311" t="s">
        <v>669</v>
      </c>
      <c r="M97" s="374"/>
      <c r="N97" s="4"/>
      <c r="O97" s="138"/>
      <c r="P97"/>
      <c r="Q97"/>
      <c r="R97"/>
      <c r="S97" s="721"/>
      <c r="T97"/>
      <c r="U97"/>
      <c r="V97"/>
      <c r="W97"/>
      <c r="X97" s="366"/>
      <c r="AR97" s="1352" t="str">
        <f>SUBSTITUTE(SUBSTITUTE(SUBSTITUTE("dnt"&amp;$B97&amp;$C97&amp;$D97&amp;$E97&amp;$F97,".","_"),"(","_"),")","")</f>
        <v>dnt701_4_3_2_1_6</v>
      </c>
      <c r="AS97" s="1352" t="str">
        <f>IF(LEN(X97)=0,"",X97)</f>
        <v/>
      </c>
      <c r="AX97" s="879"/>
      <c r="AZ97" s="307"/>
      <c r="BA97" s="307"/>
      <c r="BB97" s="307"/>
      <c r="BC97" s="307"/>
      <c r="BD97" s="307"/>
      <c r="BE97" s="307"/>
      <c r="BF97" s="307"/>
      <c r="BG97" s="307"/>
      <c r="BH97" s="307"/>
      <c r="BI97" s="307"/>
    </row>
    <row r="98" spans="1:70" ht="15" customHeight="1" x14ac:dyDescent="0.2">
      <c r="B98" s="600" t="s">
        <v>663</v>
      </c>
      <c r="C98" s="600" t="s">
        <v>356</v>
      </c>
      <c r="D98" s="600"/>
      <c r="E98" s="600"/>
      <c r="F98" s="23"/>
      <c r="G98" s="23"/>
      <c r="H98" s="691"/>
      <c r="I98" s="4"/>
      <c r="J98" s="451" t="s">
        <v>356</v>
      </c>
      <c r="K98" s="311"/>
      <c r="L98" s="311" t="s">
        <v>670</v>
      </c>
      <c r="M98" s="374"/>
      <c r="N98" s="4"/>
      <c r="O98" s="138"/>
      <c r="P98"/>
      <c r="Q98"/>
      <c r="R98"/>
      <c r="S98" s="721"/>
      <c r="T98"/>
      <c r="U98"/>
      <c r="V98"/>
      <c r="W98"/>
      <c r="X98" s="366"/>
      <c r="AR98" s="1352" t="str">
        <f>SUBSTITUTE(SUBSTITUTE(SUBSTITUTE("dnt"&amp;$B98&amp;$C98&amp;$D98&amp;$E98&amp;$F98,".","_"),"(","_"),")","")</f>
        <v>dnt701_4_3_2_1_7</v>
      </c>
      <c r="AS98" s="1352" t="str">
        <f>IF(LEN(X98)=0,"",X98)</f>
        <v/>
      </c>
      <c r="AX98" s="879"/>
    </row>
    <row r="99" spans="1:70" ht="15" customHeight="1" x14ac:dyDescent="0.2">
      <c r="B99" s="600" t="s">
        <v>663</v>
      </c>
      <c r="C99" s="600" t="s">
        <v>389</v>
      </c>
      <c r="D99" s="600"/>
      <c r="E99" s="600"/>
      <c r="F99" s="23"/>
      <c r="G99" s="23"/>
      <c r="H99" s="691"/>
      <c r="I99" s="4"/>
      <c r="J99" s="450" t="s">
        <v>389</v>
      </c>
      <c r="K99" s="393"/>
      <c r="L99" s="1613" t="s">
        <v>671</v>
      </c>
      <c r="M99" s="374"/>
      <c r="N99" s="4"/>
      <c r="O99" s="138"/>
      <c r="P99"/>
      <c r="Q99"/>
      <c r="R99"/>
      <c r="S99" s="721"/>
      <c r="T99"/>
      <c r="U99"/>
      <c r="V99"/>
      <c r="W99"/>
      <c r="X99" s="1600"/>
      <c r="AR99" s="1352" t="str">
        <f>SUBSTITUTE(SUBSTITUTE(SUBSTITUTE("dnt"&amp;$B99&amp;$C99&amp;$D99&amp;$E99&amp;$F99,".","_"),"(","_"),")","")</f>
        <v>dnt701_4_3_2_1_8</v>
      </c>
      <c r="AS99" s="1352" t="str">
        <f>IF(LEN(X99)=0,"",X99)</f>
        <v/>
      </c>
      <c r="AX99" s="307"/>
      <c r="AY99" s="307"/>
    </row>
    <row r="100" spans="1:70" x14ac:dyDescent="0.2">
      <c r="B100" s="600" t="s">
        <v>663</v>
      </c>
      <c r="C100" s="600" t="s">
        <v>389</v>
      </c>
      <c r="D100" s="600"/>
      <c r="E100" s="600"/>
      <c r="F100" s="23"/>
      <c r="G100" s="23"/>
      <c r="H100" s="691"/>
      <c r="I100" s="4"/>
      <c r="J100" s="436"/>
      <c r="K100" s="385"/>
      <c r="L100" s="1609"/>
      <c r="M100" s="374"/>
      <c r="N100" s="4"/>
      <c r="O100" s="138"/>
      <c r="P100"/>
      <c r="Q100"/>
      <c r="R100"/>
      <c r="S100" s="721"/>
      <c r="T100"/>
      <c r="U100"/>
      <c r="V100"/>
      <c r="W100"/>
      <c r="X100" s="1600"/>
    </row>
    <row r="101" spans="1:70" ht="15" customHeight="1" x14ac:dyDescent="0.2">
      <c r="B101" s="600" t="s">
        <v>663</v>
      </c>
      <c r="C101" s="600" t="s">
        <v>389</v>
      </c>
      <c r="D101" s="600"/>
      <c r="E101" s="600"/>
      <c r="F101" s="23"/>
      <c r="G101" s="23"/>
      <c r="H101" s="691"/>
      <c r="I101" s="4"/>
      <c r="J101" s="444"/>
      <c r="K101" s="386"/>
      <c r="L101" s="1612"/>
      <c r="M101" s="374"/>
      <c r="N101" s="4"/>
      <c r="O101" s="138"/>
      <c r="P101"/>
      <c r="Q101"/>
      <c r="R101"/>
      <c r="S101" s="721"/>
      <c r="T101"/>
      <c r="U101"/>
      <c r="V101"/>
      <c r="W101"/>
      <c r="X101" s="1600"/>
    </row>
    <row r="102" spans="1:70" ht="15" customHeight="1" x14ac:dyDescent="0.2">
      <c r="B102" s="600" t="s">
        <v>663</v>
      </c>
      <c r="C102" s="600" t="s">
        <v>391</v>
      </c>
      <c r="D102" s="600"/>
      <c r="E102" s="600"/>
      <c r="F102" s="23"/>
      <c r="G102" s="23"/>
      <c r="H102" s="691"/>
      <c r="I102" s="129"/>
      <c r="J102" s="436" t="s">
        <v>391</v>
      </c>
      <c r="K102" s="385"/>
      <c r="L102" s="1609" t="s">
        <v>4061</v>
      </c>
      <c r="M102" s="389"/>
      <c r="N102" s="129"/>
      <c r="O102" s="423"/>
      <c r="P102" s="96"/>
      <c r="Q102" s="96"/>
      <c r="R102" s="96"/>
      <c r="S102" s="96"/>
      <c r="T102" s="96"/>
      <c r="U102" s="96"/>
      <c r="V102" s="96"/>
      <c r="W102" s="96"/>
      <c r="X102" s="1601"/>
      <c r="AR102" s="1352" t="str">
        <f>SUBSTITUTE(SUBSTITUTE(SUBSTITUTE("dnt"&amp;$B102&amp;$C102&amp;$D102&amp;$E102&amp;$F102,".","_"),"(","_"),")","")</f>
        <v>dnt701_4_3_2_1_9</v>
      </c>
      <c r="AS102" s="1352" t="str">
        <f>IF(LEN(X102)=0,"",X102)</f>
        <v/>
      </c>
      <c r="AZ102" s="843"/>
      <c r="BA102" s="843"/>
      <c r="BB102" s="843"/>
      <c r="BC102" s="843"/>
      <c r="BD102" s="843"/>
      <c r="BE102" s="843"/>
      <c r="BF102" s="843"/>
      <c r="BG102" s="843"/>
      <c r="BH102" s="843"/>
      <c r="BI102" s="843"/>
    </row>
    <row r="103" spans="1:70" x14ac:dyDescent="0.2">
      <c r="B103" s="600" t="s">
        <v>663</v>
      </c>
      <c r="C103" s="600" t="s">
        <v>391</v>
      </c>
      <c r="D103" s="600"/>
      <c r="E103" s="600"/>
      <c r="F103" s="23"/>
      <c r="G103" s="23"/>
      <c r="H103" s="691"/>
      <c r="I103" s="213"/>
      <c r="J103" s="444"/>
      <c r="K103" s="386"/>
      <c r="L103" s="1612"/>
      <c r="M103" s="390"/>
      <c r="N103" s="213"/>
      <c r="O103" s="424"/>
      <c r="P103" s="173"/>
      <c r="Q103" s="173"/>
      <c r="R103" s="173"/>
      <c r="S103" s="173"/>
      <c r="T103" s="173"/>
      <c r="U103" s="173"/>
      <c r="V103" s="173"/>
      <c r="W103" s="173"/>
      <c r="X103" s="1601"/>
      <c r="AZ103" s="843"/>
      <c r="BA103" s="843"/>
      <c r="BB103" s="843"/>
      <c r="BC103" s="843"/>
      <c r="BD103" s="843"/>
      <c r="BE103" s="843"/>
      <c r="BF103" s="843"/>
      <c r="BG103" s="843"/>
      <c r="BH103" s="843"/>
      <c r="BI103" s="843"/>
    </row>
    <row r="104" spans="1:70" x14ac:dyDescent="0.2">
      <c r="B104" s="600" t="s">
        <v>5293</v>
      </c>
      <c r="C104" s="600"/>
      <c r="D104" s="600"/>
      <c r="E104" s="600"/>
      <c r="F104" s="23"/>
      <c r="G104" s="23"/>
      <c r="H104" s="691"/>
      <c r="I104" s="192" t="s">
        <v>3650</v>
      </c>
      <c r="J104" s="393"/>
      <c r="K104" s="393"/>
      <c r="L104" s="1712" t="s">
        <v>3858</v>
      </c>
      <c r="M104" s="391"/>
      <c r="N104" s="193"/>
      <c r="O104" s="426"/>
      <c r="P104" s="195"/>
      <c r="Q104" s="195"/>
      <c r="R104" s="195"/>
      <c r="S104" s="195"/>
      <c r="T104" s="195"/>
      <c r="U104" s="195"/>
      <c r="V104" s="195"/>
      <c r="W104" s="195" t="s">
        <v>4864</v>
      </c>
      <c r="X104" s="1601"/>
      <c r="AR104" s="1352" t="str">
        <f>SUBSTITUTE(SUBSTITUTE(SUBSTITUTE("dnt"&amp;$B104&amp;$C104&amp;$D104&amp;$E104&amp;$F104,".","_"),"(","_"),")","")</f>
        <v>dnt701_4_3_3</v>
      </c>
      <c r="AS104" s="1352" t="str">
        <f>IF(LEN(X104)=0,"",X104)</f>
        <v/>
      </c>
      <c r="AX104" s="843"/>
      <c r="AY104" s="843"/>
      <c r="AZ104" s="843"/>
      <c r="BA104" s="843"/>
      <c r="BB104" s="843"/>
      <c r="BC104" s="843"/>
      <c r="BD104" s="843"/>
      <c r="BE104" s="843"/>
      <c r="BF104" s="843"/>
      <c r="BG104" s="843"/>
      <c r="BH104" s="843"/>
      <c r="BI104" s="843"/>
      <c r="BJ104" s="307"/>
      <c r="BK104" s="307"/>
      <c r="BL104" s="307"/>
      <c r="BM104" s="307"/>
      <c r="BN104" s="307"/>
      <c r="BO104" s="307"/>
      <c r="BP104" s="307"/>
      <c r="BQ104" s="307"/>
      <c r="BR104" s="307"/>
    </row>
    <row r="105" spans="1:70" x14ac:dyDescent="0.2">
      <c r="B105" s="600" t="s">
        <v>5293</v>
      </c>
      <c r="C105" s="600"/>
      <c r="D105" s="600"/>
      <c r="E105" s="600"/>
      <c r="F105" s="23"/>
      <c r="G105" s="23"/>
      <c r="H105" s="691"/>
      <c r="I105" s="130"/>
      <c r="J105" s="385"/>
      <c r="K105" s="385"/>
      <c r="L105" s="1629"/>
      <c r="M105" s="389"/>
      <c r="N105" s="129"/>
      <c r="O105" s="423"/>
      <c r="P105" s="96"/>
      <c r="Q105" s="96"/>
      <c r="R105" s="96"/>
      <c r="S105" s="96"/>
      <c r="T105" s="96"/>
      <c r="U105" s="96"/>
      <c r="V105" s="96"/>
      <c r="W105" s="96"/>
      <c r="X105" s="1601"/>
      <c r="AX105" s="843"/>
      <c r="AY105" s="843"/>
      <c r="AZ105" s="843"/>
      <c r="BA105" s="843"/>
      <c r="BB105" s="843"/>
      <c r="BC105" s="843"/>
      <c r="BD105" s="843"/>
      <c r="BE105" s="843"/>
      <c r="BF105" s="843"/>
      <c r="BG105" s="843"/>
      <c r="BH105" s="843"/>
      <c r="BI105" s="843"/>
    </row>
    <row r="106" spans="1:70" x14ac:dyDescent="0.2">
      <c r="B106" s="600" t="s">
        <v>5293</v>
      </c>
      <c r="C106" s="600"/>
      <c r="D106" s="600"/>
      <c r="E106" s="600"/>
      <c r="F106" s="23"/>
      <c r="G106" s="23"/>
      <c r="H106" s="691"/>
      <c r="I106" s="219"/>
      <c r="J106" s="386"/>
      <c r="K106" s="386"/>
      <c r="L106" s="1696"/>
      <c r="M106" s="390"/>
      <c r="N106" s="213"/>
      <c r="O106" s="424"/>
      <c r="P106" s="173"/>
      <c r="Q106" s="173"/>
      <c r="R106" s="173"/>
      <c r="S106" s="173"/>
      <c r="T106" s="173"/>
      <c r="U106" s="173"/>
      <c r="V106" s="173"/>
      <c r="W106" s="173"/>
      <c r="X106" s="1601"/>
      <c r="AX106" s="843"/>
      <c r="AY106" s="843"/>
    </row>
    <row r="107" spans="1:70" ht="15" customHeight="1" x14ac:dyDescent="0.2">
      <c r="B107" s="600" t="s">
        <v>5294</v>
      </c>
      <c r="C107" s="600"/>
      <c r="D107" s="600"/>
      <c r="E107" s="600"/>
      <c r="F107" s="23"/>
      <c r="G107" s="23"/>
      <c r="H107" s="691"/>
      <c r="I107" s="192" t="s">
        <v>3651</v>
      </c>
      <c r="J107" s="393"/>
      <c r="K107" s="393"/>
      <c r="L107" s="1712" t="s">
        <v>4062</v>
      </c>
      <c r="M107" s="1732" t="str">
        <f>IF(R107,"Mandatory","N/A")</f>
        <v>Mandatory</v>
      </c>
      <c r="N107" s="193"/>
      <c r="O107" s="426"/>
      <c r="P107" s="96" t="b">
        <v>1</v>
      </c>
      <c r="Q107" s="96" t="b">
        <v>1</v>
      </c>
      <c r="R107" s="195" t="b">
        <f>S107</f>
        <v>1</v>
      </c>
      <c r="S107" s="723" t="b">
        <v>1</v>
      </c>
      <c r="T107" s="195" t="b">
        <f>AND(NOT(S107),W107=TRUE)</f>
        <v>0</v>
      </c>
      <c r="U107" s="195" t="str">
        <f>SUBSTITUTE(SUBSTITUTE(SUBSTITUTE("dd"&amp;B107&amp;C107&amp;D107&amp;E107&amp;F107,".","_"),"(","_"),")","")</f>
        <v>dd701_4_3_4</v>
      </c>
      <c r="V107" s="195"/>
      <c r="W107" s="12" t="s">
        <v>2588</v>
      </c>
      <c r="X107" s="1601"/>
      <c r="AC107" s="1198" t="b">
        <f t="shared" ref="AC107" si="10">OR(AD107:AE107)</f>
        <v>0</v>
      </c>
      <c r="AD107" s="1198" t="b">
        <f t="shared" ref="AD107" si="11">T107</f>
        <v>0</v>
      </c>
      <c r="AE107" s="1198" t="b">
        <f t="shared" ref="AE107" si="12">AND(R107,OR(W107="Not Met",W107=""))</f>
        <v>0</v>
      </c>
      <c r="AL107" s="1352" t="str">
        <f>SUBSTITUTE(SUBSTITUTE(SUBSTITUTE("dpa"&amp;$B107&amp;$C107&amp;$D107&amp;$E107&amp;$F107,".","_"),"(","_"),")","")</f>
        <v>dpa701_4_3_4</v>
      </c>
      <c r="AM107" s="1352" t="str">
        <f>M107</f>
        <v>Mandatory</v>
      </c>
      <c r="AP107" s="1352" t="str">
        <f>SUBSTITUTE(SUBSTITUTE(SUBSTITUTE("dch"&amp;$B107&amp;$C107&amp;$D107&amp;$E107&amp;$F107,".","_"),"(","_"),")","")</f>
        <v>dch701_4_3_4</v>
      </c>
      <c r="AQ107" s="1352" t="str">
        <f>IF(LEN(W107)=0,"",W107)</f>
        <v>Met</v>
      </c>
      <c r="AR107" s="1352" t="str">
        <f>SUBSTITUTE(SUBSTITUTE(SUBSTITUTE("dnt"&amp;$B107&amp;$C107&amp;$D107&amp;$E107&amp;$F107,".","_"),"(","_"),")","")</f>
        <v>dnt701_4_3_4</v>
      </c>
      <c r="AS107" s="1352" t="str">
        <f>IF(LEN(X107)=0,"",X107)</f>
        <v/>
      </c>
      <c r="AX107" s="843"/>
      <c r="AY107" s="843"/>
    </row>
    <row r="108" spans="1:70" x14ac:dyDescent="0.2">
      <c r="B108" s="600" t="s">
        <v>5294</v>
      </c>
      <c r="C108" s="600"/>
      <c r="D108" s="600"/>
      <c r="E108" s="600"/>
      <c r="F108" s="23"/>
      <c r="G108" s="23"/>
      <c r="H108" s="691"/>
      <c r="I108" s="129"/>
      <c r="J108" s="385"/>
      <c r="K108" s="385"/>
      <c r="L108" s="1629"/>
      <c r="M108" s="1697"/>
      <c r="N108" s="129"/>
      <c r="O108" s="423"/>
      <c r="P108" s="96"/>
      <c r="Q108" s="96"/>
      <c r="R108" s="96"/>
      <c r="S108" s="96"/>
      <c r="T108" s="96"/>
      <c r="U108" s="96"/>
      <c r="V108" s="96"/>
      <c r="W108" s="96"/>
      <c r="X108" s="1601"/>
    </row>
    <row r="109" spans="1:70" s="843" customFormat="1" x14ac:dyDescent="0.2">
      <c r="A109" s="20"/>
      <c r="B109" s="600" t="s">
        <v>5294</v>
      </c>
      <c r="C109" s="600"/>
      <c r="D109" s="600"/>
      <c r="E109" s="600"/>
      <c r="F109" s="23"/>
      <c r="G109" s="23"/>
      <c r="H109" s="691"/>
      <c r="I109" s="129"/>
      <c r="J109" s="852"/>
      <c r="K109" s="852"/>
      <c r="L109" s="1629"/>
      <c r="M109" s="1697"/>
      <c r="N109" s="129"/>
      <c r="O109" s="846"/>
      <c r="P109" s="96"/>
      <c r="Q109" s="96"/>
      <c r="R109" s="96"/>
      <c r="S109" s="96"/>
      <c r="T109" s="96"/>
      <c r="U109" s="96"/>
      <c r="V109" s="96"/>
      <c r="W109" s="96"/>
      <c r="X109" s="1601"/>
      <c r="AL109" s="78"/>
      <c r="AM109" s="78"/>
      <c r="AN109" s="78"/>
      <c r="AO109" s="78"/>
      <c r="AP109" s="78"/>
      <c r="AQ109" s="78"/>
      <c r="AR109" s="78"/>
      <c r="AS109" s="78"/>
      <c r="AX109" s="78"/>
      <c r="AY109" s="78"/>
      <c r="AZ109" s="78"/>
      <c r="BA109" s="78"/>
      <c r="BB109" s="78"/>
      <c r="BC109" s="78"/>
      <c r="BD109" s="78"/>
      <c r="BE109" s="78"/>
      <c r="BF109" s="78"/>
      <c r="BG109" s="78"/>
      <c r="BH109" s="78"/>
      <c r="BI109" s="78"/>
    </row>
    <row r="110" spans="1:70" s="843" customFormat="1" x14ac:dyDescent="0.2">
      <c r="A110" s="20"/>
      <c r="B110" s="600" t="s">
        <v>5294</v>
      </c>
      <c r="C110" s="600"/>
      <c r="D110" s="600"/>
      <c r="E110" s="600"/>
      <c r="F110" s="23"/>
      <c r="G110" s="23"/>
      <c r="H110" s="691"/>
      <c r="I110" s="129"/>
      <c r="J110" s="852"/>
      <c r="K110" s="852"/>
      <c r="L110" s="1629"/>
      <c r="M110" s="1697"/>
      <c r="N110" s="129"/>
      <c r="O110" s="846"/>
      <c r="P110" s="96"/>
      <c r="Q110" s="96"/>
      <c r="R110" s="96"/>
      <c r="S110" s="96"/>
      <c r="T110" s="96"/>
      <c r="U110" s="96"/>
      <c r="V110" s="96"/>
      <c r="W110" s="96"/>
      <c r="X110" s="1601"/>
      <c r="AL110" s="78"/>
      <c r="AM110" s="78"/>
      <c r="AN110" s="78"/>
      <c r="AO110" s="78"/>
      <c r="AP110" s="78"/>
      <c r="AQ110" s="78"/>
      <c r="AR110" s="78"/>
      <c r="AS110" s="78"/>
      <c r="AX110" s="78"/>
      <c r="AY110" s="78"/>
      <c r="AZ110" s="78"/>
      <c r="BA110" s="78"/>
      <c r="BB110" s="78"/>
      <c r="BC110" s="78"/>
      <c r="BD110" s="78"/>
      <c r="BE110" s="78"/>
      <c r="BF110" s="78"/>
      <c r="BG110" s="78"/>
      <c r="BH110" s="78"/>
      <c r="BI110" s="78"/>
    </row>
    <row r="111" spans="1:70" s="843" customFormat="1" x14ac:dyDescent="0.2">
      <c r="A111" s="20"/>
      <c r="B111" s="600" t="s">
        <v>5294</v>
      </c>
      <c r="C111" s="600"/>
      <c r="D111" s="600"/>
      <c r="E111" s="600"/>
      <c r="F111" s="23"/>
      <c r="G111" s="23"/>
      <c r="H111" s="691"/>
      <c r="I111" s="129"/>
      <c r="J111" s="852"/>
      <c r="K111" s="852"/>
      <c r="L111" s="1629"/>
      <c r="M111" s="1697"/>
      <c r="N111" s="129"/>
      <c r="O111" s="846"/>
      <c r="P111" s="96"/>
      <c r="Q111" s="96"/>
      <c r="R111" s="96"/>
      <c r="S111" s="96"/>
      <c r="T111" s="96"/>
      <c r="U111" s="96"/>
      <c r="V111" s="96"/>
      <c r="W111" s="96"/>
      <c r="X111" s="1601"/>
      <c r="AL111" s="78"/>
      <c r="AM111" s="78"/>
      <c r="AN111" s="78"/>
      <c r="AO111" s="78"/>
      <c r="AP111" s="78"/>
      <c r="AQ111" s="78"/>
      <c r="AR111" s="78"/>
      <c r="AS111" s="78"/>
      <c r="AX111" s="78"/>
      <c r="AY111" s="78"/>
      <c r="AZ111" s="78"/>
      <c r="BA111" s="78"/>
      <c r="BB111" s="78"/>
      <c r="BC111" s="78"/>
      <c r="BD111" s="78"/>
      <c r="BE111" s="78"/>
      <c r="BF111" s="78"/>
      <c r="BG111" s="78"/>
      <c r="BH111" s="78"/>
      <c r="BI111" s="78"/>
    </row>
    <row r="112" spans="1:70" s="843" customFormat="1" x14ac:dyDescent="0.2">
      <c r="A112" s="20"/>
      <c r="B112" s="600" t="s">
        <v>5294</v>
      </c>
      <c r="C112" s="600"/>
      <c r="D112" s="600"/>
      <c r="E112" s="600"/>
      <c r="F112" s="23"/>
      <c r="G112" s="23"/>
      <c r="H112" s="691"/>
      <c r="I112" s="129"/>
      <c r="J112" s="852"/>
      <c r="K112" s="852"/>
      <c r="L112" s="1629"/>
      <c r="M112" s="1697"/>
      <c r="N112" s="129"/>
      <c r="O112" s="846"/>
      <c r="P112" s="96"/>
      <c r="Q112" s="96"/>
      <c r="R112" s="96"/>
      <c r="S112" s="96"/>
      <c r="T112" s="96"/>
      <c r="U112" s="96"/>
      <c r="V112" s="96"/>
      <c r="W112" s="96"/>
      <c r="X112" s="1601"/>
      <c r="AL112" s="78"/>
      <c r="AM112" s="78"/>
      <c r="AN112" s="78"/>
      <c r="AO112" s="78"/>
      <c r="AP112" s="78"/>
      <c r="AQ112" s="78"/>
      <c r="AR112" s="78"/>
      <c r="AS112" s="78"/>
      <c r="AX112" s="78"/>
      <c r="AY112" s="78"/>
    </row>
    <row r="113" spans="1:70" x14ac:dyDescent="0.2">
      <c r="B113" s="600" t="s">
        <v>5294</v>
      </c>
      <c r="C113" s="600"/>
      <c r="D113" s="600"/>
      <c r="E113" s="600"/>
      <c r="F113" s="23"/>
      <c r="G113" s="23"/>
      <c r="H113" s="691"/>
      <c r="I113" s="129"/>
      <c r="J113" s="385"/>
      <c r="K113" s="385"/>
      <c r="L113" s="1629"/>
      <c r="M113" s="1697"/>
      <c r="N113" s="129"/>
      <c r="O113" s="423"/>
      <c r="P113" s="96"/>
      <c r="Q113" s="96"/>
      <c r="R113" s="96"/>
      <c r="S113" s="96"/>
      <c r="T113" s="96"/>
      <c r="U113" s="96"/>
      <c r="V113" s="96"/>
      <c r="W113" s="96"/>
      <c r="X113" s="1601"/>
    </row>
    <row r="114" spans="1:70" x14ac:dyDescent="0.2">
      <c r="B114" s="600" t="s">
        <v>5294</v>
      </c>
      <c r="C114" s="600"/>
      <c r="D114" s="600"/>
      <c r="E114" s="600"/>
      <c r="F114" s="23"/>
      <c r="G114" s="23"/>
      <c r="H114" s="691"/>
      <c r="I114" s="129"/>
      <c r="J114" s="385"/>
      <c r="K114" s="385"/>
      <c r="L114" s="1629" t="s">
        <v>4063</v>
      </c>
      <c r="M114" s="1697"/>
      <c r="N114" s="129"/>
      <c r="O114" s="423"/>
      <c r="P114" s="96"/>
      <c r="Q114" s="96"/>
      <c r="R114" s="96"/>
      <c r="S114" s="96"/>
      <c r="T114" s="96"/>
      <c r="U114" s="96"/>
      <c r="V114" s="96"/>
      <c r="W114" s="96"/>
      <c r="X114" s="1601"/>
      <c r="AX114" s="843"/>
      <c r="AY114" s="843"/>
    </row>
    <row r="115" spans="1:70" x14ac:dyDescent="0.2">
      <c r="B115" s="600" t="s">
        <v>5294</v>
      </c>
      <c r="C115" s="600"/>
      <c r="D115" s="600"/>
      <c r="E115" s="600"/>
      <c r="F115" s="23"/>
      <c r="G115" s="23"/>
      <c r="H115" s="691"/>
      <c r="I115" s="129"/>
      <c r="J115" s="385"/>
      <c r="K115" s="385"/>
      <c r="L115" s="1629"/>
      <c r="M115" s="1697"/>
      <c r="N115" s="129"/>
      <c r="O115" s="423"/>
      <c r="P115" s="96"/>
      <c r="Q115" s="96"/>
      <c r="R115" s="96"/>
      <c r="S115" s="96"/>
      <c r="T115" s="96"/>
      <c r="U115" s="96"/>
      <c r="V115" s="96"/>
      <c r="W115" s="96"/>
      <c r="X115" s="1601"/>
    </row>
    <row r="116" spans="1:70" s="307" customFormat="1" x14ac:dyDescent="0.2">
      <c r="A116" s="20"/>
      <c r="B116" s="600" t="s">
        <v>5294</v>
      </c>
      <c r="C116" s="600"/>
      <c r="D116" s="600"/>
      <c r="E116" s="600"/>
      <c r="F116" s="23"/>
      <c r="G116" s="23"/>
      <c r="H116" s="691"/>
      <c r="I116" s="213"/>
      <c r="J116" s="386"/>
      <c r="K116" s="386"/>
      <c r="L116" s="1696"/>
      <c r="M116" s="1698"/>
      <c r="N116" s="213"/>
      <c r="O116" s="424"/>
      <c r="P116" s="173"/>
      <c r="Q116" s="173"/>
      <c r="R116" s="173"/>
      <c r="S116" s="173"/>
      <c r="T116" s="173"/>
      <c r="U116" s="173"/>
      <c r="V116" s="173"/>
      <c r="W116" s="173"/>
      <c r="X116" s="1601"/>
      <c r="Y116" s="704"/>
      <c r="AA116" s="707"/>
      <c r="AL116" s="78"/>
      <c r="AM116" s="78"/>
      <c r="AN116" s="78"/>
      <c r="AO116" s="78"/>
      <c r="AP116" s="78"/>
      <c r="AQ116" s="78"/>
      <c r="AR116" s="78"/>
      <c r="AS116" s="78"/>
      <c r="AX116" s="78"/>
      <c r="AY116" s="78"/>
      <c r="AZ116" s="78"/>
      <c r="BA116" s="78"/>
      <c r="BB116" s="78"/>
      <c r="BC116" s="78"/>
      <c r="BD116" s="78"/>
      <c r="BE116" s="78"/>
      <c r="BF116" s="78"/>
      <c r="BG116" s="78"/>
      <c r="BH116" s="78"/>
      <c r="BI116" s="78"/>
      <c r="BJ116" s="78"/>
      <c r="BK116" s="78"/>
      <c r="BL116" s="78"/>
      <c r="BM116" s="78"/>
      <c r="BN116" s="78"/>
      <c r="BO116" s="78"/>
      <c r="BP116" s="78"/>
      <c r="BQ116" s="78"/>
      <c r="BR116" s="78"/>
    </row>
    <row r="117" spans="1:70" x14ac:dyDescent="0.2">
      <c r="B117" s="600" t="s">
        <v>5295</v>
      </c>
      <c r="C117" s="600"/>
      <c r="D117" s="600"/>
      <c r="E117" s="600"/>
      <c r="F117" s="23"/>
      <c r="G117" s="23"/>
      <c r="H117" s="691"/>
      <c r="I117" s="192" t="s">
        <v>3652</v>
      </c>
      <c r="J117" s="393"/>
      <c r="K117" s="393"/>
      <c r="L117" s="1712" t="s">
        <v>4064</v>
      </c>
      <c r="M117" s="1732" t="str">
        <f>IF(R117,"Mandatory","N/A")</f>
        <v>Mandatory</v>
      </c>
      <c r="N117" s="193"/>
      <c r="O117" s="426"/>
      <c r="P117" s="96" t="b">
        <v>1</v>
      </c>
      <c r="Q117" s="96" t="b">
        <v>1</v>
      </c>
      <c r="R117" s="195" t="b">
        <f>S117</f>
        <v>1</v>
      </c>
      <c r="S117" s="723" t="b">
        <v>1</v>
      </c>
      <c r="T117" s="195" t="b">
        <f>AND(NOT(S117),LEN(W117)&gt;0)</f>
        <v>0</v>
      </c>
      <c r="U117" s="195" t="str">
        <f>SUBSTITUTE(SUBSTITUTE(SUBSTITUTE("dd"&amp;B117&amp;C117&amp;D117&amp;E117&amp;F117,".","_"),"(","_"),")","")</f>
        <v>dd701_4_3_5</v>
      </c>
      <c r="V117" s="195"/>
      <c r="W117" s="110" t="s">
        <v>2588</v>
      </c>
      <c r="X117" s="1601"/>
      <c r="AC117" s="327" t="b">
        <f>OR(AD117:AE117)</f>
        <v>0</v>
      </c>
      <c r="AD117" s="327" t="b">
        <f>T117</f>
        <v>0</v>
      </c>
      <c r="AE117" s="327" t="b">
        <f>AND(R117,OR(W117="Not Met",W117=""))</f>
        <v>0</v>
      </c>
      <c r="AL117" s="1352" t="str">
        <f>SUBSTITUTE(SUBSTITUTE(SUBSTITUTE("dpa"&amp;$B117&amp;$C117&amp;$D117&amp;$E117&amp;$F117,".","_"),"(","_"),")","")</f>
        <v>dpa701_4_3_5</v>
      </c>
      <c r="AM117" s="1352" t="str">
        <f>M117</f>
        <v>Mandatory</v>
      </c>
      <c r="AP117" s="1352" t="str">
        <f>SUBSTITUTE(SUBSTITUTE(SUBSTITUTE("dch"&amp;$B117&amp;$C117&amp;$D117&amp;$E117&amp;$F117,".","_"),"(","_"),")","")</f>
        <v>dch701_4_3_5</v>
      </c>
      <c r="AQ117" s="1352" t="str">
        <f>IF(LEN(W117)=0,"",W117)</f>
        <v>Met</v>
      </c>
      <c r="AR117" s="1352" t="str">
        <f>SUBSTITUTE(SUBSTITUTE(SUBSTITUTE("dnt"&amp;$B117&amp;$C117&amp;$D117&amp;$E117&amp;$F117,".","_"),"(","_"),")","")</f>
        <v>dnt701_4_3_5</v>
      </c>
      <c r="AS117" s="1352" t="str">
        <f>IF(LEN(X117)=0,"",X117)</f>
        <v/>
      </c>
    </row>
    <row r="118" spans="1:70" x14ac:dyDescent="0.2">
      <c r="B118" s="600" t="s">
        <v>5295</v>
      </c>
      <c r="C118" s="600"/>
      <c r="D118" s="600"/>
      <c r="E118" s="600"/>
      <c r="F118" s="23"/>
      <c r="G118" s="23"/>
      <c r="H118" s="691"/>
      <c r="I118" s="129"/>
      <c r="J118" s="385"/>
      <c r="K118" s="385"/>
      <c r="L118" s="1629"/>
      <c r="M118" s="1697"/>
      <c r="N118" s="129"/>
      <c r="O118" s="423"/>
      <c r="P118" s="96"/>
      <c r="Q118" s="96"/>
      <c r="R118" s="96"/>
      <c r="S118" s="96"/>
      <c r="T118" s="96"/>
      <c r="U118" s="96"/>
      <c r="V118" s="96"/>
      <c r="W118" s="96"/>
      <c r="X118" s="1601"/>
    </row>
    <row r="119" spans="1:70" s="843" customFormat="1" x14ac:dyDescent="0.2">
      <c r="A119" s="20"/>
      <c r="B119" s="600" t="s">
        <v>5295</v>
      </c>
      <c r="C119" s="600"/>
      <c r="D119" s="600"/>
      <c r="E119" s="600"/>
      <c r="F119" s="23"/>
      <c r="G119" s="23"/>
      <c r="H119" s="691"/>
      <c r="I119" s="129"/>
      <c r="J119" s="852"/>
      <c r="K119" s="852"/>
      <c r="L119" s="1629"/>
      <c r="M119" s="1697"/>
      <c r="N119" s="129"/>
      <c r="O119" s="846"/>
      <c r="P119" s="96"/>
      <c r="Q119" s="96"/>
      <c r="R119" s="96"/>
      <c r="S119" s="96"/>
      <c r="T119" s="96"/>
      <c r="U119" s="96"/>
      <c r="V119" s="96"/>
      <c r="W119" s="96"/>
      <c r="X119" s="1601"/>
      <c r="AL119" s="78"/>
      <c r="AM119" s="78"/>
      <c r="AN119" s="78"/>
      <c r="AO119" s="78"/>
      <c r="AP119" s="78"/>
      <c r="AQ119" s="78"/>
      <c r="AR119" s="78"/>
      <c r="AS119" s="78"/>
      <c r="AX119" s="78"/>
      <c r="AY119" s="78"/>
      <c r="AZ119" s="78"/>
      <c r="BA119" s="78"/>
      <c r="BB119" s="78"/>
      <c r="BC119" s="78"/>
      <c r="BD119" s="78"/>
      <c r="BE119" s="78"/>
      <c r="BF119" s="78"/>
      <c r="BG119" s="78"/>
      <c r="BH119" s="78"/>
      <c r="BI119" s="78"/>
    </row>
    <row r="120" spans="1:70" x14ac:dyDescent="0.2">
      <c r="B120" s="600" t="s">
        <v>5295</v>
      </c>
      <c r="C120" s="600"/>
      <c r="D120" s="600"/>
      <c r="E120" s="600"/>
      <c r="F120" s="23"/>
      <c r="G120" s="23"/>
      <c r="H120" s="691"/>
      <c r="I120" s="129"/>
      <c r="J120" s="385"/>
      <c r="K120" s="385"/>
      <c r="L120" s="1629"/>
      <c r="M120" s="1697"/>
      <c r="N120" s="129"/>
      <c r="O120" s="423"/>
      <c r="P120" s="96"/>
      <c r="Q120" s="96"/>
      <c r="R120" s="96"/>
      <c r="S120" s="96"/>
      <c r="T120" s="96"/>
      <c r="U120" s="96"/>
      <c r="V120" s="96"/>
      <c r="W120" s="96"/>
      <c r="X120" s="1601"/>
      <c r="AZ120" s="843"/>
      <c r="BA120" s="843"/>
      <c r="BB120" s="843"/>
      <c r="BC120" s="843"/>
      <c r="BD120" s="843"/>
      <c r="BE120" s="843"/>
      <c r="BF120" s="843"/>
      <c r="BG120" s="843"/>
      <c r="BH120" s="843"/>
      <c r="BI120" s="843"/>
    </row>
    <row r="121" spans="1:70" x14ac:dyDescent="0.2">
      <c r="B121" s="600" t="s">
        <v>5295</v>
      </c>
      <c r="C121" s="600"/>
      <c r="D121" s="600"/>
      <c r="E121" s="600"/>
      <c r="F121" s="23"/>
      <c r="G121" s="23"/>
      <c r="H121" s="691"/>
      <c r="I121" s="129"/>
      <c r="J121" s="385"/>
      <c r="K121" s="385"/>
      <c r="L121" s="1629"/>
      <c r="M121" s="1697"/>
      <c r="N121" s="129"/>
      <c r="O121" s="423"/>
      <c r="P121" s="96"/>
      <c r="Q121" s="96"/>
      <c r="R121" s="96"/>
      <c r="S121" s="96"/>
      <c r="T121" s="96"/>
      <c r="U121" s="96"/>
      <c r="V121" s="96"/>
      <c r="W121" s="96"/>
      <c r="X121" s="1601"/>
      <c r="AZ121" s="764"/>
      <c r="BA121" s="764"/>
      <c r="BB121" s="764"/>
      <c r="BC121" s="764"/>
      <c r="BD121" s="764"/>
      <c r="BE121" s="764"/>
      <c r="BF121" s="764"/>
      <c r="BG121" s="764"/>
      <c r="BH121" s="764"/>
      <c r="BI121" s="764"/>
    </row>
    <row r="122" spans="1:70" x14ac:dyDescent="0.2">
      <c r="B122" s="600" t="s">
        <v>5295</v>
      </c>
      <c r="C122" s="600"/>
      <c r="D122" s="600"/>
      <c r="E122" s="600"/>
      <c r="F122" s="23"/>
      <c r="G122" s="23"/>
      <c r="H122" s="691"/>
      <c r="I122" s="129"/>
      <c r="J122" s="385"/>
      <c r="K122" s="385"/>
      <c r="L122" s="1629"/>
      <c r="M122" s="1697"/>
      <c r="N122" s="129"/>
      <c r="O122" s="423"/>
      <c r="P122" s="96"/>
      <c r="Q122" s="96"/>
      <c r="R122" s="96"/>
      <c r="S122" s="96"/>
      <c r="T122" s="96"/>
      <c r="U122" s="96"/>
      <c r="V122" s="96"/>
      <c r="W122" s="96"/>
      <c r="X122" s="1601"/>
      <c r="AX122" s="843"/>
      <c r="AY122" s="843"/>
      <c r="AZ122" s="764"/>
      <c r="BA122" s="764"/>
      <c r="BB122" s="764"/>
      <c r="BC122" s="764"/>
      <c r="BD122" s="764"/>
      <c r="BE122" s="764"/>
      <c r="BF122" s="764"/>
      <c r="BG122" s="764"/>
      <c r="BH122" s="764"/>
      <c r="BI122" s="764"/>
    </row>
    <row r="123" spans="1:70" x14ac:dyDescent="0.2">
      <c r="B123" s="600" t="s">
        <v>5295</v>
      </c>
      <c r="C123" s="600"/>
      <c r="D123" s="600"/>
      <c r="E123" s="600"/>
      <c r="F123" s="23"/>
      <c r="G123" s="23"/>
      <c r="H123" s="691"/>
      <c r="I123" s="213"/>
      <c r="J123" s="386"/>
      <c r="K123" s="386"/>
      <c r="L123" s="1696"/>
      <c r="M123" s="1698"/>
      <c r="N123" s="213"/>
      <c r="O123" s="424"/>
      <c r="P123" s="173"/>
      <c r="Q123" s="173"/>
      <c r="R123" s="173"/>
      <c r="S123" s="173"/>
      <c r="T123" s="173"/>
      <c r="U123" s="173"/>
      <c r="V123" s="173"/>
      <c r="W123" s="173"/>
      <c r="X123" s="1601"/>
      <c r="AX123" s="764"/>
      <c r="AY123" s="764"/>
      <c r="AZ123" s="764"/>
      <c r="BA123" s="764"/>
      <c r="BB123" s="764"/>
      <c r="BC123" s="764"/>
      <c r="BD123" s="764"/>
      <c r="BE123" s="764"/>
      <c r="BF123" s="764"/>
      <c r="BG123" s="764"/>
      <c r="BH123" s="764"/>
      <c r="BI123" s="764"/>
    </row>
    <row r="124" spans="1:70" x14ac:dyDescent="0.2">
      <c r="B124" s="600" t="s">
        <v>672</v>
      </c>
      <c r="C124" s="600"/>
      <c r="D124" s="600"/>
      <c r="E124" s="600"/>
      <c r="F124" s="23"/>
      <c r="G124" s="23"/>
      <c r="H124" s="691"/>
      <c r="I124" s="67" t="s">
        <v>3653</v>
      </c>
      <c r="J124" s="158"/>
      <c r="K124" s="158"/>
      <c r="L124" s="1631" t="s">
        <v>4065</v>
      </c>
      <c r="M124" s="1697" t="str">
        <f>IF(R124,"Mandatory","N/A")</f>
        <v>Mandatory</v>
      </c>
      <c r="N124" s="4"/>
      <c r="O124" s="138"/>
      <c r="P124" s="96" t="b">
        <v>1</v>
      </c>
      <c r="Q124" s="96" t="b">
        <v>1</v>
      </c>
      <c r="R124" s="843" t="b">
        <v>1</v>
      </c>
      <c r="S124" s="723" t="b">
        <v>1</v>
      </c>
      <c r="T124" s="96" t="b">
        <f>AND(NOT(S124),W124=TRUE)</f>
        <v>0</v>
      </c>
      <c r="U124"/>
      <c r="V124"/>
      <c r="W124" s="27" t="b">
        <v>1</v>
      </c>
      <c r="X124" s="1600"/>
      <c r="AC124" s="843" t="b">
        <f>OR(AD124:AE124)</f>
        <v>0</v>
      </c>
      <c r="AD124" s="843" t="b">
        <f>T124</f>
        <v>0</v>
      </c>
      <c r="AE124" s="843" t="b">
        <f>AND(R124,NOT(W124))</f>
        <v>0</v>
      </c>
      <c r="AL124" s="1352" t="str">
        <f>SUBSTITUTE(SUBSTITUTE(SUBSTITUTE("dpa"&amp;$B124&amp;$C124&amp;$D124&amp;$E124&amp;$F124,".","_"),"(","_"),")","")</f>
        <v>dpa701_4_4</v>
      </c>
      <c r="AM124" s="1352" t="str">
        <f>M124</f>
        <v>Mandatory</v>
      </c>
      <c r="AP124" s="1352" t="str">
        <f>SUBSTITUTE(SUBSTITUTE(SUBSTITUTE("dch"&amp;$B124&amp;$C124&amp;$D124&amp;$E124&amp;$F124,".","_"),"(","_"),")","")</f>
        <v>dch701_4_4</v>
      </c>
      <c r="AQ124" s="1352" t="b">
        <f>IF(LEN(W124)=0,"",W124)</f>
        <v>1</v>
      </c>
      <c r="AR124" s="1352" t="str">
        <f>SUBSTITUTE(SUBSTITUTE(SUBSTITUTE("dnt"&amp;$B124&amp;$C124&amp;$D124&amp;$E124&amp;$F124,".","_"),"(","_"),")","")</f>
        <v>dnt701_4_4</v>
      </c>
      <c r="AS124" s="1352" t="str">
        <f>IF(LEN(X124)=0,"",X124)</f>
        <v/>
      </c>
      <c r="AX124" s="764"/>
      <c r="AY124" s="764"/>
      <c r="AZ124" s="764"/>
      <c r="BA124" s="764"/>
      <c r="BB124" s="764"/>
      <c r="BC124" s="764"/>
      <c r="BD124" s="764"/>
      <c r="BE124" s="764"/>
      <c r="BF124" s="764"/>
      <c r="BG124" s="764"/>
      <c r="BH124" s="764"/>
      <c r="BI124" s="764"/>
    </row>
    <row r="125" spans="1:70" x14ac:dyDescent="0.2">
      <c r="B125" s="600" t="s">
        <v>672</v>
      </c>
      <c r="C125" s="600"/>
      <c r="D125" s="600"/>
      <c r="E125" s="600"/>
      <c r="F125" s="23"/>
      <c r="G125" s="23"/>
      <c r="H125" s="691"/>
      <c r="I125" s="213"/>
      <c r="J125" s="853"/>
      <c r="K125" s="853"/>
      <c r="L125" s="1631"/>
      <c r="M125" s="1697"/>
      <c r="N125" s="213"/>
      <c r="O125" s="848"/>
      <c r="P125"/>
      <c r="Q125"/>
      <c r="R125"/>
      <c r="S125" s="721"/>
      <c r="T125"/>
      <c r="U125"/>
      <c r="V125"/>
      <c r="W125"/>
      <c r="X125" s="1600"/>
      <c r="AX125" s="764"/>
      <c r="AY125" s="764"/>
      <c r="AZ125" s="764"/>
      <c r="BA125" s="764"/>
      <c r="BB125" s="764"/>
      <c r="BC125" s="764"/>
      <c r="BD125" s="764"/>
      <c r="BE125" s="764"/>
      <c r="BF125" s="764"/>
      <c r="BG125" s="764"/>
      <c r="BH125" s="764"/>
      <c r="BI125" s="764"/>
    </row>
    <row r="126" spans="1:70" ht="15" customHeight="1" x14ac:dyDescent="0.2">
      <c r="B126" s="600" t="s">
        <v>673</v>
      </c>
      <c r="C126" s="600"/>
      <c r="D126" s="600"/>
      <c r="E126" s="600"/>
      <c r="F126" s="23"/>
      <c r="G126" s="23"/>
      <c r="H126" s="691"/>
      <c r="I126" s="67" t="s">
        <v>3654</v>
      </c>
      <c r="J126" s="158"/>
      <c r="K126" s="158"/>
      <c r="L126" s="1699" t="s">
        <v>4066</v>
      </c>
      <c r="M126" s="1732" t="str">
        <f ca="1">IF(R126,"Mandatory","N/A")</f>
        <v>N/A</v>
      </c>
      <c r="N126" s="4"/>
      <c r="O126" s="138"/>
      <c r="P126" s="96" t="b">
        <v>1</v>
      </c>
      <c r="Q126" s="96" t="b">
        <v>0</v>
      </c>
      <c r="R126" s="134" t="b">
        <f ca="1">S126</f>
        <v>0</v>
      </c>
      <c r="S126" s="722" t="b">
        <f ca="1">AND(OR(AY36=INDEX(INDIRECT('Overview (Design)'!$E$38),2),AY37=INDEX(INDIRECT('Overview (Design)'!$E$38),2),AY38=INDEX(INDIRECT('Overview (Design)'!$E$38),2)))</f>
        <v>0</v>
      </c>
      <c r="T126" s="96" t="b">
        <f ca="1">AND(NOT(S126),W126=TRUE)</f>
        <v>0</v>
      </c>
      <c r="U126"/>
      <c r="V126"/>
      <c r="W126" s="333"/>
      <c r="X126" s="1601"/>
      <c r="AC126" s="1150" t="b">
        <f ca="1">OR(AD126:AE126)</f>
        <v>0</v>
      </c>
      <c r="AD126" s="1150" t="b">
        <f ca="1">T126</f>
        <v>0</v>
      </c>
      <c r="AE126" s="1150" t="b">
        <f ca="1">AND(R126,NOT(W126))</f>
        <v>0</v>
      </c>
      <c r="AL126" s="1352" t="str">
        <f>SUBSTITUTE(SUBSTITUTE(SUBSTITUTE("dpa"&amp;$B126&amp;$C126&amp;$D126&amp;$E126&amp;$F126,".","_"),"(","_"),")","")</f>
        <v>dpa701_4_5</v>
      </c>
      <c r="AM126" s="1352" t="str">
        <f ca="1">M126</f>
        <v>N/A</v>
      </c>
      <c r="AP126" s="1352" t="str">
        <f>SUBSTITUTE(SUBSTITUTE(SUBSTITUTE("dch"&amp;$B126&amp;$C126&amp;$D126&amp;$E126&amp;$F126,".","_"),"(","_"),")","")</f>
        <v>dch701_4_5</v>
      </c>
      <c r="AQ126" s="1352" t="str">
        <f>IF(LEN(W126)=0,"",W126)</f>
        <v/>
      </c>
      <c r="AR126" s="1352" t="str">
        <f>SUBSTITUTE(SUBSTITUTE(SUBSTITUTE("dnt"&amp;$B126&amp;$C126&amp;$D126&amp;$E126&amp;$F126,".","_"),"(","_"),")","")</f>
        <v>dnt701_4_5</v>
      </c>
      <c r="AS126" s="1352" t="str">
        <f>IF(LEN(X126)=0,"",X126)</f>
        <v/>
      </c>
      <c r="AX126" s="764"/>
      <c r="AY126" s="764"/>
      <c r="AZ126" s="764"/>
      <c r="BA126" s="764"/>
      <c r="BB126" s="764"/>
      <c r="BC126" s="764"/>
      <c r="BD126" s="764"/>
      <c r="BE126" s="764"/>
      <c r="BF126" s="764"/>
      <c r="BG126" s="764"/>
      <c r="BH126" s="764"/>
      <c r="BI126" s="764"/>
    </row>
    <row r="127" spans="1:70" s="843" customFormat="1" ht="15" customHeight="1" x14ac:dyDescent="0.2">
      <c r="A127" s="20"/>
      <c r="B127" s="600" t="s">
        <v>673</v>
      </c>
      <c r="C127" s="600"/>
      <c r="D127" s="600"/>
      <c r="E127" s="600"/>
      <c r="F127" s="23"/>
      <c r="G127" s="23"/>
      <c r="H127" s="691"/>
      <c r="I127" s="67"/>
      <c r="J127" s="855"/>
      <c r="K127" s="855"/>
      <c r="L127" s="1728"/>
      <c r="M127" s="1697"/>
      <c r="N127" s="4"/>
      <c r="O127" s="847"/>
      <c r="P127" s="96"/>
      <c r="Q127" s="96"/>
      <c r="S127"/>
      <c r="T127" s="96"/>
      <c r="W127" s="776"/>
      <c r="X127" s="1601"/>
      <c r="AL127" s="78"/>
      <c r="AM127" s="78"/>
      <c r="AN127" s="78"/>
      <c r="AO127" s="78"/>
      <c r="AP127" s="78"/>
      <c r="AQ127" s="78"/>
      <c r="AR127" s="78"/>
      <c r="AS127" s="78"/>
      <c r="AX127" s="764"/>
      <c r="AY127" s="764"/>
      <c r="AZ127" s="764"/>
      <c r="BA127" s="764"/>
      <c r="BB127" s="764"/>
      <c r="BC127" s="764"/>
      <c r="BD127" s="764"/>
      <c r="BE127" s="764"/>
      <c r="BF127" s="764"/>
      <c r="BG127" s="764"/>
      <c r="BH127" s="764"/>
      <c r="BI127" s="764"/>
    </row>
    <row r="128" spans="1:70" s="764" customFormat="1" x14ac:dyDescent="0.2">
      <c r="A128" s="20"/>
      <c r="B128" s="600" t="s">
        <v>673</v>
      </c>
      <c r="C128" s="600"/>
      <c r="D128" s="600"/>
      <c r="E128" s="600"/>
      <c r="F128" s="23"/>
      <c r="G128" s="23"/>
      <c r="H128" s="691"/>
      <c r="I128" s="67"/>
      <c r="J128" s="771"/>
      <c r="K128" s="771"/>
      <c r="L128" s="1728"/>
      <c r="M128" s="1697"/>
      <c r="N128" s="4"/>
      <c r="O128" s="768"/>
      <c r="P128" s="96"/>
      <c r="Q128" s="96"/>
      <c r="S128"/>
      <c r="T128" s="96"/>
      <c r="W128" s="114"/>
      <c r="X128" s="1601"/>
      <c r="AL128" s="78"/>
      <c r="AM128" s="78"/>
      <c r="AN128" s="78"/>
      <c r="AO128" s="78"/>
      <c r="AP128" s="78"/>
      <c r="AQ128" s="78"/>
      <c r="AR128" s="78"/>
      <c r="AS128" s="78"/>
    </row>
    <row r="129" spans="1:61" s="764" customFormat="1" x14ac:dyDescent="0.2">
      <c r="A129" s="20"/>
      <c r="B129" s="600" t="s">
        <v>3862</v>
      </c>
      <c r="C129" s="600"/>
      <c r="D129" s="600"/>
      <c r="E129" s="600"/>
      <c r="F129" s="23"/>
      <c r="G129" s="23"/>
      <c r="H129" s="691"/>
      <c r="I129" s="446" t="s">
        <v>3859</v>
      </c>
      <c r="J129" s="772"/>
      <c r="K129" s="772"/>
      <c r="L129" s="1699" t="s">
        <v>3861</v>
      </c>
      <c r="M129" s="1732" t="str">
        <f>IF(R129,"Mandatory","N/A")</f>
        <v>Mandatory</v>
      </c>
      <c r="N129" s="193"/>
      <c r="O129" s="769"/>
      <c r="P129" s="96" t="b">
        <v>1</v>
      </c>
      <c r="Q129" s="96" t="b">
        <v>1</v>
      </c>
      <c r="R129" s="195" t="b">
        <f>S129</f>
        <v>1</v>
      </c>
      <c r="S129" s="723" t="b">
        <v>1</v>
      </c>
      <c r="T129" s="195" t="b">
        <f>AND(NOT(S129),LEN(W129)&gt;0)</f>
        <v>0</v>
      </c>
      <c r="U129" s="195" t="str">
        <f>SUBSTITUTE(SUBSTITUTE(SUBSTITUTE("dd"&amp;B129&amp;C129&amp;D129&amp;E129&amp;F129,".","_"),"(","_"),")","")</f>
        <v>dd701_4_6</v>
      </c>
      <c r="W129" s="12" t="s">
        <v>2588</v>
      </c>
      <c r="X129" s="1621"/>
      <c r="AC129" s="1198" t="b">
        <f t="shared" ref="AC129" si="13">OR(AD129:AE129)</f>
        <v>0</v>
      </c>
      <c r="AD129" s="1198" t="b">
        <f t="shared" ref="AD129" si="14">T129</f>
        <v>0</v>
      </c>
      <c r="AE129" s="1198" t="b">
        <f t="shared" ref="AE129" si="15">AND(R129,OR(W129="Not Met",W129=""))</f>
        <v>0</v>
      </c>
      <c r="AL129" s="1352" t="str">
        <f>SUBSTITUTE(SUBSTITUTE(SUBSTITUTE("dpa"&amp;$B129&amp;$C129&amp;$D129&amp;$E129&amp;$F129,".","_"),"(","_"),")","")</f>
        <v>dpa701_4_6</v>
      </c>
      <c r="AM129" s="1352" t="str">
        <f>M129</f>
        <v>Mandatory</v>
      </c>
      <c r="AN129" s="78"/>
      <c r="AO129" s="78"/>
      <c r="AP129" s="1352" t="str">
        <f>SUBSTITUTE(SUBSTITUTE(SUBSTITUTE("dch"&amp;$B129&amp;$C129&amp;$D129&amp;$E129&amp;$F129,".","_"),"(","_"),")","")</f>
        <v>dch701_4_6</v>
      </c>
      <c r="AQ129" s="1352" t="str">
        <f>IF(LEN(W129)=0,"",W129)</f>
        <v>Met</v>
      </c>
      <c r="AR129" s="1352" t="str">
        <f>SUBSTITUTE(SUBSTITUTE(SUBSTITUTE("dnt"&amp;$B129&amp;$C129&amp;$D129&amp;$E129&amp;$F129,".","_"),"(","_"),")","")</f>
        <v>dnt701_4_6</v>
      </c>
      <c r="AS129" s="1352" t="str">
        <f>IF(LEN(X129)=0,"",X129)</f>
        <v/>
      </c>
      <c r="AZ129"/>
      <c r="BA129"/>
      <c r="BB129"/>
      <c r="BC129"/>
      <c r="BD129"/>
      <c r="BE129"/>
      <c r="BF129"/>
      <c r="BG129"/>
      <c r="BH129"/>
      <c r="BI129"/>
    </row>
    <row r="130" spans="1:61" s="764" customFormat="1" x14ac:dyDescent="0.2">
      <c r="A130" s="20"/>
      <c r="B130" s="600" t="s">
        <v>3862</v>
      </c>
      <c r="C130" s="600"/>
      <c r="D130" s="600"/>
      <c r="E130" s="600"/>
      <c r="F130" s="23"/>
      <c r="G130" s="23"/>
      <c r="H130" s="691"/>
      <c r="I130" s="430"/>
      <c r="J130" s="765"/>
      <c r="K130" s="765"/>
      <c r="L130" s="1728"/>
      <c r="M130" s="1697"/>
      <c r="N130" s="129"/>
      <c r="O130" s="767"/>
      <c r="W130" s="96"/>
      <c r="X130" s="1632"/>
      <c r="AL130" s="78"/>
      <c r="AM130" s="78"/>
      <c r="AN130" s="78"/>
      <c r="AO130" s="78"/>
      <c r="AP130" s="78"/>
      <c r="AQ130" s="78"/>
      <c r="AR130" s="78"/>
      <c r="AS130" s="78"/>
      <c r="AZ130" s="737"/>
      <c r="BA130" s="737"/>
      <c r="BB130" s="737"/>
      <c r="BC130" s="737"/>
      <c r="BD130" s="737"/>
      <c r="BE130" s="737"/>
      <c r="BF130" s="737"/>
      <c r="BG130" s="737"/>
      <c r="BH130" s="737"/>
      <c r="BI130" s="737"/>
    </row>
    <row r="131" spans="1:61" s="764" customFormat="1" x14ac:dyDescent="0.2">
      <c r="A131" s="20"/>
      <c r="B131" s="600" t="s">
        <v>3862</v>
      </c>
      <c r="C131" s="600"/>
      <c r="D131" s="600"/>
      <c r="E131" s="600"/>
      <c r="F131" s="23"/>
      <c r="G131" s="23"/>
      <c r="H131" s="691"/>
      <c r="I131" s="430"/>
      <c r="J131" s="1251"/>
      <c r="K131" s="1251"/>
      <c r="L131" s="1728"/>
      <c r="M131" s="1697"/>
      <c r="W131" s="96"/>
      <c r="X131" s="1632"/>
      <c r="AL131" s="78"/>
      <c r="AM131" s="78"/>
      <c r="AN131" s="78"/>
      <c r="AO131" s="78"/>
      <c r="AP131" s="78"/>
      <c r="AQ131" s="78"/>
      <c r="AR131" s="78"/>
      <c r="AS131" s="78"/>
      <c r="AX131" s="1250"/>
      <c r="AY131" s="1250"/>
      <c r="AZ131" s="843"/>
      <c r="BA131" s="843"/>
      <c r="BB131" s="843"/>
      <c r="BC131" s="843"/>
      <c r="BD131" s="843"/>
      <c r="BE131" s="843"/>
      <c r="BF131" s="843"/>
      <c r="BG131" s="843"/>
      <c r="BH131" s="843"/>
      <c r="BI131" s="843"/>
    </row>
    <row r="132" spans="1:61" s="1250" customFormat="1" x14ac:dyDescent="0.2">
      <c r="A132" s="20"/>
      <c r="B132" s="600" t="s">
        <v>3862</v>
      </c>
      <c r="C132" s="600"/>
      <c r="D132" s="600"/>
      <c r="E132" s="600"/>
      <c r="F132" s="23"/>
      <c r="G132" s="23"/>
      <c r="H132" s="691"/>
      <c r="I132" s="447"/>
      <c r="J132" s="1252"/>
      <c r="K132" s="1252"/>
      <c r="L132" s="441" t="s">
        <v>5089</v>
      </c>
      <c r="M132"/>
      <c r="W132" s="1253"/>
      <c r="X132" s="1599"/>
      <c r="AL132" s="78"/>
      <c r="AM132" s="78"/>
      <c r="AN132" s="78"/>
      <c r="AO132" s="78"/>
      <c r="AP132" s="78"/>
      <c r="AQ132" s="78"/>
      <c r="AR132" s="78"/>
      <c r="AS132" s="78"/>
      <c r="AX132"/>
      <c r="AY132"/>
    </row>
    <row r="133" spans="1:61" s="764" customFormat="1" x14ac:dyDescent="0.2">
      <c r="A133" s="20"/>
      <c r="B133" s="600" t="s">
        <v>3863</v>
      </c>
      <c r="C133" s="600"/>
      <c r="D133" s="600"/>
      <c r="E133" s="600"/>
      <c r="F133" s="23"/>
      <c r="G133" s="23"/>
      <c r="H133" s="691"/>
      <c r="I133" s="446" t="s">
        <v>3860</v>
      </c>
      <c r="J133" s="772"/>
      <c r="K133" s="772"/>
      <c r="L133" s="1699" t="s">
        <v>3864</v>
      </c>
      <c r="M133" s="1732" t="str">
        <f>IF(R133,"Mandatory","N/A")</f>
        <v>Mandatory</v>
      </c>
      <c r="N133" s="193"/>
      <c r="O133" s="769"/>
      <c r="P133" s="96" t="b">
        <v>1</v>
      </c>
      <c r="Q133" s="96" t="b">
        <v>1</v>
      </c>
      <c r="R133" s="195" t="b">
        <f>S133</f>
        <v>1</v>
      </c>
      <c r="S133" s="723" t="b">
        <v>1</v>
      </c>
      <c r="T133" s="195" t="b">
        <f>AND(NOT(S133),LEN(W133)&gt;0)</f>
        <v>0</v>
      </c>
      <c r="U133" s="195" t="str">
        <f>SUBSTITUTE(SUBSTITUTE(SUBSTITUTE("dd"&amp;B133&amp;C133&amp;D133&amp;E133&amp;F133,".","_"),"(","_"),")","")</f>
        <v>dd701_4_7</v>
      </c>
      <c r="W133" s="12" t="s">
        <v>2588</v>
      </c>
      <c r="X133" s="1601"/>
      <c r="AC133" s="1198" t="b">
        <f t="shared" ref="AC133" si="16">OR(AD133:AE133)</f>
        <v>0</v>
      </c>
      <c r="AD133" s="1198" t="b">
        <f t="shared" ref="AD133" si="17">T133</f>
        <v>0</v>
      </c>
      <c r="AE133" s="1198" t="b">
        <f t="shared" ref="AE133" si="18">AND(R133,OR(W133="Not Met",W133=""))</f>
        <v>0</v>
      </c>
      <c r="AL133" s="1352" t="str">
        <f>SUBSTITUTE(SUBSTITUTE(SUBSTITUTE("dpa"&amp;$B133&amp;$C133&amp;$D133&amp;$E133&amp;$F133,".","_"),"(","_"),")","")</f>
        <v>dpa701_4_7</v>
      </c>
      <c r="AM133" s="1352" t="str">
        <f>M133</f>
        <v>Mandatory</v>
      </c>
      <c r="AN133" s="78"/>
      <c r="AO133" s="78"/>
      <c r="AP133" s="1352" t="str">
        <f>SUBSTITUTE(SUBSTITUTE(SUBSTITUTE("dch"&amp;$B133&amp;$C133&amp;$D133&amp;$E133&amp;$F133,".","_"),"(","_"),")","")</f>
        <v>dch701_4_7</v>
      </c>
      <c r="AQ133" s="1352" t="str">
        <f>IF(LEN(W133)=0,"",W133)</f>
        <v>Met</v>
      </c>
      <c r="AR133" s="1352" t="str">
        <f>SUBSTITUTE(SUBSTITUTE(SUBSTITUTE("dnt"&amp;$B133&amp;$C133&amp;$D133&amp;$E133&amp;$F133,".","_"),"(","_"),")","")</f>
        <v>dnt701_4_7</v>
      </c>
      <c r="AS133" s="1352" t="str">
        <f>IF(LEN(X133)=0,"",X133)</f>
        <v/>
      </c>
      <c r="AX133" s="737"/>
      <c r="AY133" s="737"/>
      <c r="AZ133" s="737"/>
      <c r="BA133" s="737"/>
      <c r="BB133" s="737"/>
      <c r="BC133" s="737"/>
      <c r="BD133" s="737"/>
      <c r="BE133" s="737"/>
      <c r="BF133" s="737"/>
      <c r="BG133" s="737"/>
      <c r="BH133" s="737"/>
      <c r="BI133" s="737"/>
    </row>
    <row r="134" spans="1:61" s="764" customFormat="1" x14ac:dyDescent="0.2">
      <c r="A134" s="20"/>
      <c r="B134" s="600" t="s">
        <v>3863</v>
      </c>
      <c r="C134" s="600"/>
      <c r="D134" s="600"/>
      <c r="E134" s="600"/>
      <c r="F134" s="23"/>
      <c r="G134" s="23"/>
      <c r="H134" s="691"/>
      <c r="I134" s="430"/>
      <c r="J134" s="765"/>
      <c r="K134" s="765"/>
      <c r="L134" s="1728"/>
      <c r="M134" s="1697"/>
      <c r="N134" s="129"/>
      <c r="O134" s="767"/>
      <c r="W134" s="96"/>
      <c r="X134" s="1601"/>
      <c r="AL134" s="78"/>
      <c r="AM134" s="78"/>
      <c r="AN134" s="78"/>
      <c r="AO134" s="78"/>
      <c r="AP134" s="78"/>
      <c r="AQ134" s="78"/>
      <c r="AR134" s="78"/>
      <c r="AS134" s="78"/>
      <c r="AX134" s="843"/>
      <c r="AY134" s="843"/>
      <c r="AZ134" s="737"/>
      <c r="BA134" s="737"/>
      <c r="BB134" s="737"/>
      <c r="BC134" s="737"/>
      <c r="BD134" s="737"/>
      <c r="BE134" s="737"/>
      <c r="BF134" s="737"/>
      <c r="BG134" s="737"/>
      <c r="BH134" s="737"/>
      <c r="BI134" s="737"/>
    </row>
    <row r="135" spans="1:61" s="764" customFormat="1" x14ac:dyDescent="0.2">
      <c r="A135" s="20"/>
      <c r="B135" s="600" t="s">
        <v>3863</v>
      </c>
      <c r="C135" s="600"/>
      <c r="D135" s="600"/>
      <c r="E135" s="600"/>
      <c r="F135" s="23"/>
      <c r="G135" s="23"/>
      <c r="H135" s="691"/>
      <c r="L135" s="1728"/>
      <c r="M135" s="1697"/>
      <c r="W135" s="96"/>
      <c r="X135" s="1601"/>
      <c r="AL135" s="78"/>
      <c r="AM135" s="78"/>
      <c r="AN135" s="78"/>
      <c r="AO135" s="78"/>
      <c r="AP135" s="78"/>
      <c r="AQ135" s="78"/>
      <c r="AR135" s="78"/>
      <c r="AS135" s="78"/>
      <c r="AX135" s="737"/>
      <c r="AY135" s="737"/>
      <c r="AZ135" s="737"/>
      <c r="BA135" s="737"/>
      <c r="BB135" s="737"/>
      <c r="BC135" s="737"/>
      <c r="BD135" s="737"/>
      <c r="BE135" s="737"/>
      <c r="BF135" s="737"/>
      <c r="BG135" s="737"/>
      <c r="BH135" s="737"/>
      <c r="BI135" s="737"/>
    </row>
    <row r="136" spans="1:61" s="764" customFormat="1" ht="16" thickBot="1" x14ac:dyDescent="0.25">
      <c r="A136" s="20"/>
      <c r="B136" s="600" t="s">
        <v>3863</v>
      </c>
      <c r="C136" s="600"/>
      <c r="D136" s="600"/>
      <c r="E136" s="600"/>
      <c r="F136" s="23"/>
      <c r="G136" s="23"/>
      <c r="H136" s="691"/>
      <c r="I136" s="4"/>
      <c r="J136" s="4"/>
      <c r="K136" s="4"/>
      <c r="L136" s="1737"/>
      <c r="M136" s="1726"/>
      <c r="N136" s="4"/>
      <c r="O136" s="768"/>
      <c r="P136" s="96"/>
      <c r="Q136" s="96"/>
      <c r="T136" s="96"/>
      <c r="W136" s="96"/>
      <c r="X136" s="1602"/>
      <c r="AL136" s="78"/>
      <c r="AM136" s="78"/>
      <c r="AN136" s="78"/>
      <c r="AO136" s="78"/>
      <c r="AP136" s="78"/>
      <c r="AQ136" s="78"/>
      <c r="AR136" s="78"/>
      <c r="AS136" s="78"/>
      <c r="AX136" s="737"/>
      <c r="AY136" s="737"/>
      <c r="AZ136" s="737"/>
      <c r="BA136" s="737"/>
      <c r="BB136" s="737"/>
      <c r="BC136" s="737"/>
      <c r="BD136" s="737"/>
      <c r="BE136" s="737"/>
      <c r="BF136" s="737"/>
      <c r="BG136" s="737"/>
      <c r="BH136" s="737"/>
      <c r="BI136" s="737"/>
    </row>
    <row r="137" spans="1:61" customFormat="1" ht="15.75" customHeight="1" thickTop="1" x14ac:dyDescent="0.2">
      <c r="B137" s="600" t="s">
        <v>4049</v>
      </c>
      <c r="C137" s="902"/>
      <c r="D137" s="902"/>
      <c r="E137" s="902"/>
      <c r="I137" s="177" t="s">
        <v>4049</v>
      </c>
      <c r="J137" s="437"/>
      <c r="K137" s="437"/>
      <c r="L137" s="1608" t="s">
        <v>4048</v>
      </c>
      <c r="M137" s="106"/>
      <c r="N137" s="106"/>
      <c r="O137" s="106"/>
      <c r="P137" s="106"/>
      <c r="Q137" s="106"/>
      <c r="R137" s="106"/>
      <c r="S137" s="106"/>
      <c r="T137" s="106"/>
      <c r="U137" s="106"/>
      <c r="V137" s="106"/>
      <c r="W137" s="106"/>
      <c r="X137" s="96"/>
      <c r="AL137" s="78"/>
      <c r="AM137" s="78"/>
      <c r="AN137" s="78"/>
      <c r="AO137" s="78"/>
      <c r="AP137" s="78"/>
      <c r="AQ137" s="78"/>
      <c r="AR137" s="78"/>
      <c r="AS137" s="78"/>
      <c r="AX137" s="737"/>
      <c r="AY137" s="737"/>
      <c r="AZ137" s="737"/>
      <c r="BA137" s="737"/>
      <c r="BB137" s="737"/>
      <c r="BC137" s="737"/>
      <c r="BD137" s="737"/>
      <c r="BE137" s="737"/>
      <c r="BF137" s="737"/>
      <c r="BG137" s="737"/>
      <c r="BH137" s="737"/>
      <c r="BI137" s="737"/>
    </row>
    <row r="138" spans="1:61" s="737" customFormat="1" x14ac:dyDescent="0.2">
      <c r="B138" s="600" t="s">
        <v>4049</v>
      </c>
      <c r="C138" s="902"/>
      <c r="D138" s="902"/>
      <c r="E138" s="902"/>
      <c r="I138" s="130"/>
      <c r="J138" s="738"/>
      <c r="K138" s="738"/>
      <c r="L138" s="1609"/>
      <c r="M138" s="96"/>
      <c r="N138" s="96"/>
      <c r="O138" s="96"/>
      <c r="P138" s="96"/>
      <c r="Q138" s="96"/>
      <c r="R138" s="96"/>
      <c r="S138" s="96"/>
      <c r="T138" s="96"/>
      <c r="U138" s="96"/>
      <c r="V138" s="96"/>
      <c r="W138" s="96"/>
      <c r="X138" s="96"/>
      <c r="AL138" s="78"/>
      <c r="AM138" s="78"/>
      <c r="AN138" s="78"/>
      <c r="AO138" s="78"/>
      <c r="AP138" s="78"/>
      <c r="AQ138" s="78"/>
      <c r="AR138" s="78"/>
      <c r="AS138" s="78"/>
    </row>
    <row r="139" spans="1:61" s="843" customFormat="1" x14ac:dyDescent="0.2">
      <c r="B139" s="600" t="s">
        <v>4049</v>
      </c>
      <c r="C139" s="902"/>
      <c r="D139" s="902"/>
      <c r="E139" s="902"/>
      <c r="I139" s="130"/>
      <c r="J139" s="852"/>
      <c r="K139" s="852"/>
      <c r="L139" s="1609"/>
      <c r="M139" s="96"/>
      <c r="N139" s="96"/>
      <c r="O139" s="96"/>
      <c r="P139" s="96"/>
      <c r="Q139" s="96"/>
      <c r="R139" s="96"/>
      <c r="S139" s="96"/>
      <c r="T139" s="96"/>
      <c r="U139" s="96"/>
      <c r="V139" s="96"/>
      <c r="W139" s="96"/>
      <c r="X139" s="96"/>
      <c r="AL139" s="78"/>
      <c r="AM139" s="78"/>
      <c r="AN139" s="78"/>
      <c r="AO139" s="78"/>
      <c r="AP139" s="78"/>
      <c r="AQ139" s="78"/>
      <c r="AR139" s="78"/>
      <c r="AS139" s="78"/>
      <c r="AX139" s="737"/>
      <c r="AY139" s="737"/>
      <c r="AZ139" s="737"/>
      <c r="BA139" s="737"/>
      <c r="BB139" s="737"/>
      <c r="BC139" s="737"/>
      <c r="BD139" s="737"/>
      <c r="BE139" s="737"/>
      <c r="BF139" s="737"/>
      <c r="BG139" s="737"/>
      <c r="BH139" s="737"/>
      <c r="BI139" s="737"/>
    </row>
    <row r="140" spans="1:61" s="737" customFormat="1" x14ac:dyDescent="0.2">
      <c r="B140" s="600" t="s">
        <v>4049</v>
      </c>
      <c r="C140" s="902"/>
      <c r="D140" s="902"/>
      <c r="E140" s="902"/>
      <c r="I140" s="129"/>
      <c r="J140" s="738"/>
      <c r="K140" s="738"/>
      <c r="L140" s="870" t="s">
        <v>5010</v>
      </c>
      <c r="M140" s="96"/>
      <c r="N140" s="96"/>
      <c r="O140" s="96"/>
      <c r="P140" s="96"/>
      <c r="Q140" s="96"/>
      <c r="R140" s="96"/>
      <c r="S140" s="96"/>
      <c r="T140" s="96"/>
      <c r="U140" s="96"/>
      <c r="V140" s="96"/>
      <c r="W140" s="96"/>
      <c r="X140" s="96"/>
      <c r="AL140" s="78"/>
      <c r="AM140" s="78"/>
      <c r="AN140" s="78"/>
      <c r="AO140" s="78"/>
      <c r="AP140" s="78"/>
      <c r="AQ140" s="78"/>
      <c r="AR140" s="78"/>
      <c r="AS140" s="78"/>
    </row>
    <row r="141" spans="1:61" s="737" customFormat="1" ht="15" customHeight="1" x14ac:dyDescent="0.2">
      <c r="B141" s="600" t="s">
        <v>4049</v>
      </c>
      <c r="C141" s="902"/>
      <c r="D141" s="902"/>
      <c r="E141" s="902"/>
      <c r="I141" s="130"/>
      <c r="J141" s="852"/>
      <c r="K141" s="852"/>
      <c r="L141" s="1609" t="s">
        <v>4050</v>
      </c>
      <c r="M141" s="96"/>
      <c r="N141" s="96"/>
      <c r="O141" s="96"/>
      <c r="P141" s="96"/>
      <c r="Q141" s="96"/>
      <c r="R141" s="96"/>
      <c r="S141" s="96"/>
      <c r="T141" s="96"/>
      <c r="U141" s="96"/>
      <c r="V141" s="96"/>
      <c r="W141" s="96"/>
      <c r="X141" s="1600"/>
      <c r="AL141" s="78"/>
      <c r="AM141" s="78"/>
      <c r="AN141" s="78"/>
      <c r="AO141" s="78"/>
      <c r="AP141" s="78"/>
      <c r="AQ141" s="78"/>
      <c r="AR141" s="1352" t="str">
        <f>SUBSTITUTE(SUBSTITUTE(SUBSTITUTE("dnt"&amp;$B141&amp;$C141&amp;$D141&amp;$E141&amp;$F141,".","_"),"(","_"),")","")</f>
        <v>dnt305_2_5_1</v>
      </c>
      <c r="AS141" s="1352" t="str">
        <f>IF(LEN(X141)=0,"",X141)</f>
        <v/>
      </c>
    </row>
    <row r="142" spans="1:61" s="737" customFormat="1" ht="15" customHeight="1" x14ac:dyDescent="0.2">
      <c r="B142" s="600" t="s">
        <v>4049</v>
      </c>
      <c r="C142" s="902"/>
      <c r="D142" s="902"/>
      <c r="E142" s="902"/>
      <c r="I142" s="130"/>
      <c r="J142" s="852"/>
      <c r="K142" s="852"/>
      <c r="L142" s="1609"/>
      <c r="M142" s="96"/>
      <c r="N142" s="96"/>
      <c r="O142" s="96"/>
      <c r="P142" s="96"/>
      <c r="Q142" s="96"/>
      <c r="R142" s="96"/>
      <c r="S142" s="96"/>
      <c r="T142" s="96"/>
      <c r="U142" s="96"/>
      <c r="V142" s="96"/>
      <c r="W142" s="96"/>
      <c r="X142" s="1600"/>
      <c r="AL142" s="78"/>
      <c r="AM142" s="78"/>
      <c r="AN142" s="78"/>
      <c r="AO142" s="78"/>
      <c r="AP142" s="78"/>
      <c r="AQ142" s="78"/>
      <c r="AR142" s="78"/>
      <c r="AS142" s="78"/>
    </row>
    <row r="143" spans="1:61" s="737" customFormat="1" ht="15" customHeight="1" x14ac:dyDescent="0.2">
      <c r="B143" s="600" t="s">
        <v>4049</v>
      </c>
      <c r="C143" s="902"/>
      <c r="D143" s="902"/>
      <c r="E143" s="902"/>
      <c r="I143" s="130"/>
      <c r="J143" s="852"/>
      <c r="K143" s="852"/>
      <c r="L143" s="1609"/>
      <c r="M143" s="96"/>
      <c r="N143" s="96"/>
      <c r="O143" s="96"/>
      <c r="P143" s="96"/>
      <c r="Q143" s="96"/>
      <c r="R143" s="96"/>
      <c r="S143" s="96"/>
      <c r="T143" s="96"/>
      <c r="U143" s="96"/>
      <c r="V143" s="96"/>
      <c r="W143" s="96"/>
      <c r="X143" s="1600"/>
      <c r="AL143" s="78"/>
      <c r="AM143" s="78"/>
      <c r="AN143" s="78"/>
      <c r="AO143" s="78"/>
      <c r="AP143" s="78"/>
      <c r="AQ143" s="78"/>
      <c r="AR143" s="78"/>
      <c r="AS143" s="78"/>
    </row>
    <row r="144" spans="1:61" s="737" customFormat="1" ht="15" customHeight="1" x14ac:dyDescent="0.2">
      <c r="B144" s="600" t="s">
        <v>4049</v>
      </c>
      <c r="C144" s="902"/>
      <c r="D144" s="902"/>
      <c r="E144" s="902"/>
      <c r="I144" s="130"/>
      <c r="J144" s="852"/>
      <c r="K144" s="852"/>
      <c r="L144" s="1609"/>
      <c r="M144" s="96"/>
      <c r="N144" s="96"/>
      <c r="O144" s="96"/>
      <c r="P144" s="96"/>
      <c r="Q144" s="96"/>
      <c r="R144" s="96"/>
      <c r="S144" s="96"/>
      <c r="T144" s="96"/>
      <c r="U144" s="96"/>
      <c r="V144" s="96"/>
      <c r="W144" s="96"/>
      <c r="X144" s="1600"/>
      <c r="AL144" s="78"/>
      <c r="AM144" s="78"/>
      <c r="AN144" s="78"/>
      <c r="AO144" s="78"/>
      <c r="AP144" s="78"/>
      <c r="AQ144" s="78"/>
      <c r="AR144" s="78"/>
      <c r="AS144" s="78"/>
      <c r="AZ144" s="843"/>
      <c r="BA144" s="843"/>
      <c r="BB144" s="843"/>
      <c r="BC144" s="843"/>
      <c r="BD144" s="843"/>
      <c r="BE144" s="843"/>
      <c r="BF144" s="843"/>
      <c r="BG144" s="843"/>
      <c r="BH144" s="843"/>
      <c r="BI144" s="843"/>
    </row>
    <row r="145" spans="2:61" s="737" customFormat="1" x14ac:dyDescent="0.2">
      <c r="B145" s="600" t="s">
        <v>4049</v>
      </c>
      <c r="C145" s="902"/>
      <c r="D145" s="902"/>
      <c r="E145" s="902"/>
      <c r="I145" s="96"/>
      <c r="J145" s="96"/>
      <c r="K145" s="96"/>
      <c r="L145" s="1609"/>
      <c r="M145" s="96"/>
      <c r="N145" s="96"/>
      <c r="O145" s="96"/>
      <c r="P145" s="96"/>
      <c r="Q145" s="96"/>
      <c r="R145" s="96"/>
      <c r="S145" s="96"/>
      <c r="T145" s="96"/>
      <c r="U145" s="96"/>
      <c r="V145" s="96"/>
      <c r="W145" s="1212" t="s">
        <v>5009</v>
      </c>
      <c r="X145" s="1600"/>
      <c r="AL145" s="78"/>
      <c r="AM145" s="78"/>
      <c r="AN145" s="78"/>
      <c r="AO145" s="78"/>
      <c r="AP145" s="78"/>
      <c r="AQ145" s="78"/>
      <c r="AR145" s="78"/>
      <c r="AS145" s="78"/>
      <c r="AZ145" s="843"/>
      <c r="BA145" s="843"/>
      <c r="BB145" s="843"/>
      <c r="BC145" s="843"/>
      <c r="BD145" s="843"/>
      <c r="BE145" s="843"/>
      <c r="BF145" s="843"/>
      <c r="BG145" s="843"/>
      <c r="BH145" s="843"/>
      <c r="BI145" s="843"/>
    </row>
    <row r="146" spans="2:61" s="737" customFormat="1" x14ac:dyDescent="0.2">
      <c r="B146" s="600" t="s">
        <v>4049</v>
      </c>
      <c r="C146" s="902"/>
      <c r="D146" s="902"/>
      <c r="E146" s="902"/>
      <c r="I146" s="96"/>
      <c r="J146" s="96"/>
      <c r="K146" s="96"/>
      <c r="L146" s="1733" t="s">
        <v>3470</v>
      </c>
      <c r="M146" s="96"/>
      <c r="N146" s="96"/>
      <c r="O146" s="96"/>
      <c r="P146" s="1193" t="b">
        <v>0</v>
      </c>
      <c r="Q146" s="1193" t="b">
        <v>1</v>
      </c>
      <c r="R146" s="1193" t="b">
        <f ca="1">S146</f>
        <v>1</v>
      </c>
      <c r="S146" s="1194" t="b">
        <f ca="1">S11=1</f>
        <v>1</v>
      </c>
      <c r="T146" s="1208" t="b">
        <f ca="1">AND(NOT(S146),LEN(W146)&gt;0)</f>
        <v>0</v>
      </c>
      <c r="U146" s="96"/>
      <c r="V146" s="96"/>
      <c r="W146" s="977">
        <v>0.39600000000000002</v>
      </c>
      <c r="X146" s="1600"/>
      <c r="AC146" s="1198" t="b">
        <f ca="1">OR(AD146:AE146)</f>
        <v>0</v>
      </c>
      <c r="AD146" s="1198" t="b">
        <f ca="1">T146</f>
        <v>0</v>
      </c>
      <c r="AE146" s="1198" t="b">
        <f ca="1">AND(R146,OR(W146="Not Met",W146=""))</f>
        <v>0</v>
      </c>
      <c r="AL146" s="78"/>
      <c r="AM146" s="78"/>
      <c r="AN146" s="78"/>
      <c r="AO146" s="78"/>
      <c r="AP146" s="1352" t="str">
        <f>SUBSTITUTE(SUBSTITUTE(SUBSTITUTE("dch"&amp;$B146&amp;$C146&amp;$D146&amp;$E146&amp;$F146,".","_"),"(","_"),")","")</f>
        <v>dch305_2_5_1</v>
      </c>
      <c r="AQ146" s="1352">
        <f>IF(LEN(W146)=0,"",W146)</f>
        <v>0.39600000000000002</v>
      </c>
      <c r="AR146" s="78"/>
      <c r="AS146" s="78"/>
      <c r="AX146" s="843"/>
      <c r="AY146" s="843"/>
      <c r="AZ146" s="843"/>
      <c r="BA146" s="843"/>
      <c r="BB146" s="843"/>
      <c r="BC146" s="843"/>
      <c r="BD146" s="843"/>
      <c r="BE146" s="843"/>
      <c r="BF146" s="843"/>
      <c r="BG146" s="843"/>
      <c r="BH146" s="843"/>
      <c r="BI146" s="843"/>
    </row>
    <row r="147" spans="2:61" s="737" customFormat="1" x14ac:dyDescent="0.2">
      <c r="B147" s="600" t="s">
        <v>4049</v>
      </c>
      <c r="C147" s="902"/>
      <c r="D147" s="902"/>
      <c r="E147" s="902"/>
      <c r="I147" s="96"/>
      <c r="J147" s="96"/>
      <c r="K147" s="96"/>
      <c r="L147" s="1733"/>
      <c r="M147" s="96"/>
      <c r="N147" s="96"/>
      <c r="O147" s="96"/>
      <c r="P147" s="96"/>
      <c r="Q147" s="96"/>
      <c r="R147" s="96"/>
      <c r="S147" s="96"/>
      <c r="T147" s="96"/>
      <c r="U147" s="96"/>
      <c r="V147" s="96"/>
      <c r="W147" s="96"/>
      <c r="X147" s="1600"/>
      <c r="AL147" s="78"/>
      <c r="AM147" s="78"/>
      <c r="AN147" s="78"/>
      <c r="AO147" s="78"/>
      <c r="AP147" s="78"/>
      <c r="AQ147" s="78"/>
      <c r="AR147" s="78"/>
      <c r="AS147" s="78"/>
      <c r="AX147" s="843"/>
      <c r="AY147" s="843"/>
      <c r="AZ147" s="843"/>
      <c r="BA147" s="843"/>
      <c r="BB147" s="843"/>
      <c r="BC147" s="843"/>
      <c r="BD147" s="843"/>
      <c r="BE147" s="843"/>
      <c r="BF147" s="843"/>
      <c r="BG147" s="843"/>
      <c r="BH147" s="843"/>
      <c r="BI147" s="843"/>
    </row>
    <row r="148" spans="2:61" s="737" customFormat="1" ht="15" customHeight="1" x14ac:dyDescent="0.2">
      <c r="B148" s="600" t="s">
        <v>4049</v>
      </c>
      <c r="C148" s="902"/>
      <c r="D148" s="902"/>
      <c r="E148" s="902"/>
      <c r="I148" s="96"/>
      <c r="J148" s="96"/>
      <c r="K148" s="96"/>
      <c r="L148" s="1609" t="s">
        <v>3471</v>
      </c>
      <c r="M148" s="96"/>
      <c r="N148" s="96"/>
      <c r="O148" s="96"/>
      <c r="P148" s="96"/>
      <c r="Q148" s="96"/>
      <c r="R148" s="96"/>
      <c r="S148" s="96"/>
      <c r="T148" s="96"/>
      <c r="U148" s="96"/>
      <c r="V148" s="96"/>
      <c r="W148" s="96"/>
      <c r="X148" s="1600"/>
      <c r="AL148" s="78"/>
      <c r="AM148" s="78"/>
      <c r="AN148" s="78"/>
      <c r="AO148" s="78"/>
      <c r="AP148" s="78"/>
      <c r="AQ148" s="78"/>
      <c r="AR148" s="78"/>
      <c r="AS148" s="78"/>
      <c r="AX148" s="843"/>
      <c r="AY148" s="843"/>
      <c r="AZ148" s="843"/>
      <c r="BA148" s="843"/>
      <c r="BB148" s="843"/>
      <c r="BC148" s="843"/>
      <c r="BD148" s="843"/>
      <c r="BE148" s="843"/>
      <c r="BF148" s="843"/>
      <c r="BG148" s="843"/>
      <c r="BH148" s="843"/>
      <c r="BI148" s="843"/>
    </row>
    <row r="149" spans="2:61" s="737" customFormat="1" x14ac:dyDescent="0.2">
      <c r="B149" s="600" t="s">
        <v>4049</v>
      </c>
      <c r="C149" s="902"/>
      <c r="D149" s="902"/>
      <c r="E149" s="902"/>
      <c r="I149" s="96"/>
      <c r="J149" s="96"/>
      <c r="K149" s="96"/>
      <c r="L149" s="1609"/>
      <c r="M149" s="96"/>
      <c r="N149" s="96"/>
      <c r="O149" s="96"/>
      <c r="P149" s="96"/>
      <c r="Q149" s="96"/>
      <c r="R149" s="96"/>
      <c r="S149" s="96"/>
      <c r="T149" s="96"/>
      <c r="U149" s="96"/>
      <c r="V149" s="96"/>
      <c r="W149" s="96"/>
      <c r="X149" s="1600"/>
      <c r="AL149" s="78"/>
      <c r="AM149" s="78"/>
      <c r="AN149" s="78"/>
      <c r="AO149" s="78"/>
      <c r="AP149" s="78"/>
      <c r="AQ149" s="78"/>
      <c r="AR149" s="78"/>
      <c r="AS149" s="78"/>
      <c r="AX149" s="843"/>
      <c r="AY149" s="843"/>
    </row>
    <row r="150" spans="2:61" s="737" customFormat="1" x14ac:dyDescent="0.2">
      <c r="B150" s="600" t="s">
        <v>4049</v>
      </c>
      <c r="C150" s="902"/>
      <c r="D150" s="902"/>
      <c r="E150" s="902"/>
      <c r="I150" s="96"/>
      <c r="J150" s="96"/>
      <c r="K150" s="96"/>
      <c r="L150" s="1609"/>
      <c r="M150" s="96"/>
      <c r="N150" s="96"/>
      <c r="O150" s="96"/>
      <c r="P150" s="96"/>
      <c r="Q150" s="96"/>
      <c r="R150" s="96"/>
      <c r="S150" s="96"/>
      <c r="T150" s="96"/>
      <c r="U150" s="96"/>
      <c r="V150" s="96"/>
      <c r="W150" s="96"/>
      <c r="X150" s="1600"/>
      <c r="AL150" s="78"/>
      <c r="AM150" s="78"/>
      <c r="AN150" s="78"/>
      <c r="AO150" s="78"/>
      <c r="AP150" s="78"/>
      <c r="AQ150" s="78"/>
      <c r="AR150" s="78"/>
      <c r="AS150" s="78"/>
      <c r="AX150" s="843"/>
      <c r="AY150" s="843"/>
    </row>
    <row r="151" spans="2:61" s="843" customFormat="1" x14ac:dyDescent="0.2">
      <c r="B151" s="600" t="s">
        <v>4049</v>
      </c>
      <c r="C151" s="902"/>
      <c r="D151" s="902"/>
      <c r="E151" s="902"/>
      <c r="I151" s="96"/>
      <c r="J151" s="96"/>
      <c r="K151" s="96"/>
      <c r="L151" s="1609"/>
      <c r="M151" s="96"/>
      <c r="N151" s="96"/>
      <c r="O151" s="96"/>
      <c r="P151" s="96"/>
      <c r="Q151" s="96"/>
      <c r="R151" s="96"/>
      <c r="S151" s="96"/>
      <c r="T151" s="96"/>
      <c r="U151" s="96"/>
      <c r="V151" s="96"/>
      <c r="W151" s="96"/>
      <c r="X151" s="1600"/>
      <c r="AL151" s="78"/>
      <c r="AM151" s="78"/>
      <c r="AN151" s="78"/>
      <c r="AO151" s="78"/>
      <c r="AP151" s="78"/>
      <c r="AQ151" s="78"/>
      <c r="AR151" s="78"/>
      <c r="AS151" s="78"/>
      <c r="AX151" s="737"/>
      <c r="AY151" s="737"/>
      <c r="AZ151"/>
      <c r="BA151"/>
      <c r="BB151"/>
      <c r="BC151"/>
      <c r="BD151"/>
      <c r="BE151"/>
      <c r="BF151"/>
      <c r="BG151"/>
      <c r="BH151"/>
      <c r="BI151"/>
    </row>
    <row r="152" spans="2:61" s="843" customFormat="1" x14ac:dyDescent="0.2">
      <c r="B152" s="600" t="s">
        <v>4049</v>
      </c>
      <c r="C152" s="902"/>
      <c r="D152" s="902"/>
      <c r="E152" s="902"/>
      <c r="I152" s="96"/>
      <c r="J152" s="96"/>
      <c r="K152" s="96"/>
      <c r="L152" s="1609"/>
      <c r="M152" s="96"/>
      <c r="N152" s="96"/>
      <c r="O152" s="96"/>
      <c r="P152" s="96"/>
      <c r="Q152" s="96"/>
      <c r="R152" s="96"/>
      <c r="S152" s="96"/>
      <c r="T152" s="96"/>
      <c r="U152" s="96"/>
      <c r="V152" s="96"/>
      <c r="W152" s="96"/>
      <c r="X152" s="1600"/>
      <c r="AL152" s="78"/>
      <c r="AM152" s="78"/>
      <c r="AN152" s="78"/>
      <c r="AO152" s="78"/>
      <c r="AP152" s="78"/>
      <c r="AQ152" s="78"/>
      <c r="AR152" s="78"/>
      <c r="AS152" s="78"/>
      <c r="AX152" s="737"/>
      <c r="AY152" s="737"/>
      <c r="AZ152"/>
      <c r="BA152"/>
      <c r="BB152"/>
      <c r="BC152"/>
      <c r="BD152"/>
      <c r="BE152"/>
      <c r="BF152"/>
      <c r="BG152"/>
      <c r="BH152"/>
      <c r="BI152"/>
    </row>
    <row r="153" spans="2:61" s="843" customFormat="1" x14ac:dyDescent="0.2">
      <c r="B153" s="600" t="s">
        <v>4049</v>
      </c>
      <c r="C153" s="902"/>
      <c r="D153" s="902"/>
      <c r="E153" s="902"/>
      <c r="I153" s="96"/>
      <c r="J153" s="96"/>
      <c r="K153" s="96"/>
      <c r="L153" s="1609" t="s">
        <v>5011</v>
      </c>
      <c r="M153" s="96"/>
      <c r="N153" s="96"/>
      <c r="O153" s="96"/>
      <c r="P153" s="96"/>
      <c r="Q153" s="96"/>
      <c r="R153" s="96"/>
      <c r="S153" s="96"/>
      <c r="T153" s="96"/>
      <c r="U153" s="96"/>
      <c r="V153" s="96"/>
      <c r="W153" s="96"/>
      <c r="X153" s="1600"/>
      <c r="AL153" s="78"/>
      <c r="AM153" s="78"/>
      <c r="AN153" s="78"/>
      <c r="AO153" s="78"/>
      <c r="AP153" s="78"/>
      <c r="AQ153" s="78"/>
      <c r="AR153" s="78"/>
      <c r="AS153" s="78"/>
      <c r="AX153" s="1198"/>
      <c r="AY153" s="1198"/>
      <c r="AZ153"/>
      <c r="BA153"/>
      <c r="BB153"/>
      <c r="BC153"/>
      <c r="BD153"/>
      <c r="BE153"/>
      <c r="BF153"/>
      <c r="BG153"/>
      <c r="BH153"/>
      <c r="BI153"/>
    </row>
    <row r="154" spans="2:61" s="1198" customFormat="1" x14ac:dyDescent="0.2">
      <c r="B154" s="600" t="s">
        <v>4049</v>
      </c>
      <c r="C154" s="1211"/>
      <c r="D154" s="1211"/>
      <c r="E154" s="1211"/>
      <c r="I154" s="1208"/>
      <c r="J154" s="1208"/>
      <c r="K154" s="1208"/>
      <c r="L154" s="1609"/>
      <c r="M154" s="1208"/>
      <c r="N154" s="1208"/>
      <c r="O154" s="1208"/>
      <c r="P154" s="1208"/>
      <c r="Q154" s="1208"/>
      <c r="R154" s="1208"/>
      <c r="S154" s="1208"/>
      <c r="T154" s="1208"/>
      <c r="U154" s="1208"/>
      <c r="V154" s="1208"/>
      <c r="W154" s="1208"/>
      <c r="X154" s="1600"/>
      <c r="AL154" s="78"/>
      <c r="AM154" s="78"/>
      <c r="AN154" s="78"/>
      <c r="AO154" s="78"/>
      <c r="AP154" s="78"/>
      <c r="AQ154" s="78"/>
      <c r="AR154" s="78"/>
      <c r="AS154" s="78"/>
      <c r="AX154"/>
      <c r="AY154"/>
    </row>
    <row r="155" spans="2:61" s="843" customFormat="1" x14ac:dyDescent="0.2">
      <c r="B155" s="600" t="s">
        <v>4049</v>
      </c>
      <c r="C155" s="902"/>
      <c r="D155" s="902"/>
      <c r="E155" s="902"/>
      <c r="I155" s="96"/>
      <c r="J155" s="96"/>
      <c r="K155" s="96"/>
      <c r="L155" s="1609"/>
      <c r="M155" s="96"/>
      <c r="N155" s="96"/>
      <c r="O155" s="96"/>
      <c r="P155" s="96"/>
      <c r="Q155" s="96"/>
      <c r="R155" s="96"/>
      <c r="S155" s="96"/>
      <c r="T155" s="96"/>
      <c r="U155" s="96"/>
      <c r="V155" s="96"/>
      <c r="W155" s="96"/>
      <c r="X155" s="1600"/>
      <c r="AL155" s="78"/>
      <c r="AM155" s="78"/>
      <c r="AN155" s="78"/>
      <c r="AO155" s="78"/>
      <c r="AP155" s="78"/>
      <c r="AQ155" s="78"/>
      <c r="AR155" s="78"/>
      <c r="AS155" s="78"/>
      <c r="AX155"/>
      <c r="AY155"/>
      <c r="AZ155"/>
      <c r="BA155"/>
      <c r="BB155"/>
      <c r="BC155"/>
      <c r="BD155"/>
      <c r="BE155"/>
      <c r="BF155"/>
      <c r="BG155"/>
      <c r="BH155"/>
      <c r="BI155"/>
    </row>
    <row r="156" spans="2:61" s="843" customFormat="1" x14ac:dyDescent="0.2">
      <c r="B156" s="600" t="s">
        <v>4049</v>
      </c>
      <c r="C156" s="902"/>
      <c r="D156" s="902"/>
      <c r="E156" s="902"/>
      <c r="I156" s="96"/>
      <c r="J156" s="96"/>
      <c r="K156" s="96"/>
      <c r="L156" s="1609"/>
      <c r="M156" s="96"/>
      <c r="N156" s="96"/>
      <c r="O156" s="96"/>
      <c r="P156" s="96"/>
      <c r="Q156" s="96"/>
      <c r="R156" s="96"/>
      <c r="S156" s="96"/>
      <c r="T156" s="96"/>
      <c r="U156" s="96"/>
      <c r="V156" s="96"/>
      <c r="W156" s="96"/>
      <c r="X156" s="1600"/>
      <c r="AL156" s="78"/>
      <c r="AM156" s="78"/>
      <c r="AN156" s="78"/>
      <c r="AO156" s="78"/>
      <c r="AP156" s="78"/>
      <c r="AQ156" s="78"/>
      <c r="AR156" s="78"/>
      <c r="AS156" s="78"/>
      <c r="AX156"/>
      <c r="AY156"/>
      <c r="AZ156"/>
      <c r="BA156"/>
      <c r="BB156"/>
      <c r="BC156"/>
      <c r="BD156"/>
      <c r="BE156"/>
      <c r="BF156"/>
      <c r="BG156"/>
      <c r="BH156"/>
      <c r="BI156"/>
    </row>
    <row r="157" spans="2:61" s="737" customFormat="1" x14ac:dyDescent="0.2">
      <c r="B157" s="600" t="s">
        <v>4049</v>
      </c>
      <c r="C157" s="902"/>
      <c r="D157" s="902"/>
      <c r="E157" s="902"/>
      <c r="I157" s="96"/>
      <c r="J157" s="96"/>
      <c r="K157" s="96"/>
      <c r="L157" s="1609"/>
      <c r="M157" s="96"/>
      <c r="N157" s="96"/>
      <c r="O157" s="96"/>
      <c r="P157"/>
      <c r="Q157"/>
      <c r="R157"/>
      <c r="S157"/>
      <c r="T157"/>
      <c r="U157"/>
      <c r="V157"/>
      <c r="W157"/>
      <c r="X157" s="1600"/>
      <c r="AL157" s="78"/>
      <c r="AM157" s="78"/>
      <c r="AN157" s="78"/>
      <c r="AO157" s="78"/>
      <c r="AP157" s="78"/>
      <c r="AQ157" s="78"/>
      <c r="AR157" s="78"/>
      <c r="AS157" s="78"/>
      <c r="AX157" s="843"/>
      <c r="AY157" s="843"/>
      <c r="AZ157"/>
      <c r="BA157"/>
      <c r="BB157"/>
      <c r="BC157"/>
      <c r="BD157"/>
      <c r="BE157"/>
      <c r="BF157"/>
      <c r="BG157"/>
      <c r="BH157"/>
      <c r="BI157"/>
    </row>
    <row r="158" spans="2:61" s="881" customFormat="1" ht="19" x14ac:dyDescent="0.25">
      <c r="B158" s="600" t="s">
        <v>4510</v>
      </c>
      <c r="C158" s="902"/>
      <c r="D158" s="902"/>
      <c r="E158" s="902"/>
      <c r="I158" s="25" t="s">
        <v>4509</v>
      </c>
      <c r="J158" s="25"/>
      <c r="K158" s="25"/>
      <c r="L158" s="25"/>
      <c r="M158" s="25"/>
      <c r="N158" s="25"/>
      <c r="O158" s="25"/>
      <c r="P158" s="25"/>
      <c r="Q158" s="25"/>
      <c r="R158" s="25"/>
      <c r="S158" s="25"/>
      <c r="T158" s="25"/>
      <c r="U158" s="25"/>
      <c r="V158" s="25"/>
      <c r="W158" s="25"/>
      <c r="X158" s="25"/>
      <c r="AL158" s="78"/>
      <c r="AM158" s="78"/>
      <c r="AN158" s="78"/>
      <c r="AO158" s="78"/>
      <c r="AP158" s="78"/>
      <c r="AQ158" s="78"/>
      <c r="AR158" s="78"/>
      <c r="AS158" s="78"/>
      <c r="AX158" s="843"/>
      <c r="AY158" s="843"/>
    </row>
    <row r="159" spans="2:61" s="843" customFormat="1" x14ac:dyDescent="0.2">
      <c r="B159" s="600">
        <v>703.1</v>
      </c>
      <c r="C159" s="600"/>
      <c r="D159" s="600"/>
      <c r="E159" s="600"/>
      <c r="F159" s="23"/>
      <c r="G159" s="23"/>
      <c r="H159" s="691"/>
      <c r="I159" s="608" t="s">
        <v>4067</v>
      </c>
      <c r="J159" s="608"/>
      <c r="K159" s="608"/>
      <c r="L159" s="874" t="s">
        <v>4068</v>
      </c>
      <c r="M159" s="882">
        <v>30</v>
      </c>
      <c r="N159" s="129"/>
      <c r="O159" s="882">
        <f>30*AND(OR(W160="Met",AND(W172="Met",W175="Met")),W160&lt;&gt;"Not Relevant",W172&lt;&gt;"Not Relevant",W175&lt;&gt;"Not Relevant",W160&lt;&gt;"Not Met",W172&lt;&gt;"Not Met",W175&lt;&gt;"Not Met")</f>
        <v>0</v>
      </c>
      <c r="P159" s="96"/>
      <c r="Q159" s="96"/>
      <c r="R159" s="96"/>
      <c r="S159" s="96"/>
      <c r="T159" s="96"/>
      <c r="U159"/>
      <c r="V159" s="195"/>
      <c r="W159" s="195"/>
      <c r="X159" s="195"/>
      <c r="AL159" s="1352" t="str">
        <f>SUBSTITUTE(SUBSTITUTE(SUBSTITUTE("dpa"&amp;$B159&amp;$C159&amp;$D159&amp;$E159&amp;$F159,".","_"),"(","_"),")","")</f>
        <v>dpa703_1</v>
      </c>
      <c r="AM159" s="1352">
        <f>M159</f>
        <v>30</v>
      </c>
      <c r="AN159" s="1352" t="str">
        <f>SUBSTITUTE(SUBSTITUTE(SUBSTITUTE("dpc"&amp;$B159&amp;$C159&amp;$D159&amp;$E159&amp;$F159,".","_"),"(","_"),")","")</f>
        <v>dpc703_1</v>
      </c>
      <c r="AO159" s="1352">
        <f>O159</f>
        <v>0</v>
      </c>
      <c r="AP159" s="78"/>
      <c r="AQ159" s="78"/>
      <c r="AR159" s="78"/>
      <c r="AS159" s="78"/>
    </row>
    <row r="160" spans="2:61" s="843" customFormat="1" ht="15" customHeight="1" x14ac:dyDescent="0.2">
      <c r="B160" s="600" t="s">
        <v>4409</v>
      </c>
      <c r="C160" s="600"/>
      <c r="D160" s="600"/>
      <c r="E160" s="600"/>
      <c r="F160" s="23"/>
      <c r="G160" s="23"/>
      <c r="H160" s="691"/>
      <c r="I160" s="590" t="s">
        <v>4069</v>
      </c>
      <c r="J160" s="590"/>
      <c r="K160" s="590"/>
      <c r="L160" s="1687" t="s">
        <v>5085</v>
      </c>
      <c r="M160" s="1708" t="str">
        <f ca="1">IF(R160,"Mandatory if Relevant","N/A")</f>
        <v>N/A</v>
      </c>
      <c r="N160" s="129"/>
      <c r="O160" s="886"/>
      <c r="P160" s="96" t="b">
        <v>0</v>
      </c>
      <c r="Q160" s="96" t="b">
        <v>1</v>
      </c>
      <c r="R160" s="96" t="b">
        <f ca="1">AND(S160,NOT(BI16="Tropical"))</f>
        <v>0</v>
      </c>
      <c r="S160" s="96" t="b">
        <f ca="1">S11=2</f>
        <v>0</v>
      </c>
      <c r="T160" s="195" t="b">
        <f ca="1">AND(NOT(S160),LEN(W160)&gt;0)</f>
        <v>0</v>
      </c>
      <c r="U160" s="195" t="str">
        <f>SUBSTITUTE(SUBSTITUTE(SUBSTITUTE("dd"&amp;B160&amp;C160&amp;D160&amp;E160&amp;F160,".","_"),"(","_"),")","")</f>
        <v>dd703_1_1</v>
      </c>
      <c r="V160" s="96"/>
      <c r="W160" s="12"/>
      <c r="X160" s="1600"/>
      <c r="AC160" s="881" t="b">
        <f ca="1">OR(AD160:AE160)</f>
        <v>0</v>
      </c>
      <c r="AD160" s="881" t="b">
        <f ca="1">T160</f>
        <v>0</v>
      </c>
      <c r="AE160" s="881" t="b">
        <f ca="1">OR(AND(R160,NOT(W160=INDEX(INDIRECT(U160),1))),AND(W160=INDEX(INDIRECT(U160),3),LEN(X160)=0))</f>
        <v>0</v>
      </c>
      <c r="AL160" s="1352" t="str">
        <f>SUBSTITUTE(SUBSTITUTE(SUBSTITUTE("dpa"&amp;$B160&amp;$C160&amp;$D160&amp;$E160&amp;$F160,".","_"),"(","_"),")","")</f>
        <v>dpa703_1_1</v>
      </c>
      <c r="AM160" s="1352" t="str">
        <f ca="1">M160</f>
        <v>N/A</v>
      </c>
      <c r="AN160" s="78"/>
      <c r="AO160" s="78"/>
      <c r="AP160" s="1352" t="str">
        <f>SUBSTITUTE(SUBSTITUTE(SUBSTITUTE("dch"&amp;$B160&amp;$C160&amp;$D160&amp;$E160&amp;$F160,".","_"),"(","_"),")","")</f>
        <v>dch703_1_1</v>
      </c>
      <c r="AQ160" s="1352" t="str">
        <f>IF(LEN(W160)=0,"",W160)</f>
        <v/>
      </c>
      <c r="AR160" s="1352" t="str">
        <f>SUBSTITUTE(SUBSTITUTE(SUBSTITUTE("dnt"&amp;$B160&amp;$C160&amp;$D160&amp;$E160&amp;$F160,".","_"),"(","_"),")","")</f>
        <v>dnt703_1_1</v>
      </c>
      <c r="AS160" s="1352" t="str">
        <f>IF(LEN(X160)=0,"",X160)</f>
        <v/>
      </c>
      <c r="AX160" s="881"/>
      <c r="AY160" s="881"/>
    </row>
    <row r="161" spans="2:45" s="843" customFormat="1" x14ac:dyDescent="0.2">
      <c r="B161" s="600" t="s">
        <v>4409</v>
      </c>
      <c r="C161" s="600"/>
      <c r="D161" s="600"/>
      <c r="E161" s="600"/>
      <c r="F161" s="23"/>
      <c r="G161" s="23"/>
      <c r="H161" s="691"/>
      <c r="I161" s="590"/>
      <c r="J161" s="590"/>
      <c r="K161" s="590"/>
      <c r="L161" s="1687"/>
      <c r="M161" s="1708"/>
      <c r="N161" s="129"/>
      <c r="O161" s="886"/>
      <c r="P161" s="96"/>
      <c r="Q161" s="96"/>
      <c r="R161" s="96"/>
      <c r="S161" s="96"/>
      <c r="T161" s="96"/>
      <c r="U161" s="96"/>
      <c r="V161" s="96"/>
      <c r="W161" s="96"/>
      <c r="X161" s="1600"/>
      <c r="AL161" s="78"/>
      <c r="AM161" s="78"/>
      <c r="AN161" s="78"/>
      <c r="AO161" s="78"/>
      <c r="AP161" s="78"/>
      <c r="AQ161" s="78"/>
      <c r="AR161" s="78"/>
      <c r="AS161" s="78"/>
    </row>
    <row r="162" spans="2:45" s="843" customFormat="1" x14ac:dyDescent="0.2">
      <c r="B162" s="600" t="s">
        <v>4409</v>
      </c>
      <c r="C162" s="600"/>
      <c r="D162" s="600"/>
      <c r="E162" s="600"/>
      <c r="F162" s="23"/>
      <c r="G162" s="23"/>
      <c r="H162" s="691"/>
      <c r="I162" s="590"/>
      <c r="J162" s="590"/>
      <c r="K162" s="590"/>
      <c r="L162" s="891" t="s">
        <v>4468</v>
      </c>
      <c r="M162" s="96"/>
      <c r="N162" s="96"/>
      <c r="O162" s="96"/>
      <c r="P162" s="96"/>
      <c r="Q162" s="96"/>
      <c r="R162" s="96"/>
      <c r="S162" s="96"/>
      <c r="T162" s="96"/>
      <c r="U162" s="96"/>
      <c r="V162" s="96"/>
      <c r="W162" s="96"/>
      <c r="X162" s="1600"/>
      <c r="AL162" s="78"/>
      <c r="AM162" s="78"/>
      <c r="AN162" s="78"/>
      <c r="AO162" s="78"/>
      <c r="AP162" s="78"/>
      <c r="AQ162" s="78"/>
      <c r="AR162" s="78"/>
      <c r="AS162" s="78"/>
    </row>
    <row r="163" spans="2:45" s="843" customFormat="1" x14ac:dyDescent="0.2">
      <c r="B163" s="600" t="s">
        <v>4410</v>
      </c>
      <c r="C163" s="600"/>
      <c r="D163" s="600"/>
      <c r="E163" s="600"/>
      <c r="F163" s="23"/>
      <c r="G163" s="23"/>
      <c r="H163" s="691"/>
      <c r="I163" s="590" t="s">
        <v>4070</v>
      </c>
      <c r="J163" s="590"/>
      <c r="K163" s="590"/>
      <c r="L163" s="1687" t="s">
        <v>4071</v>
      </c>
      <c r="M163" s="96"/>
      <c r="N163" s="96"/>
      <c r="O163" s="96"/>
      <c r="P163" s="96"/>
      <c r="Q163" s="96"/>
      <c r="R163" s="96"/>
      <c r="S163" s="96"/>
      <c r="T163" s="96"/>
      <c r="X163" s="1600"/>
      <c r="AL163" s="78"/>
      <c r="AM163" s="78"/>
      <c r="AN163" s="78"/>
      <c r="AO163" s="78"/>
      <c r="AP163" s="78"/>
      <c r="AQ163" s="78"/>
      <c r="AR163" s="78"/>
      <c r="AS163" s="78"/>
    </row>
    <row r="164" spans="2:45" s="843" customFormat="1" x14ac:dyDescent="0.2">
      <c r="B164" s="600" t="s">
        <v>4410</v>
      </c>
      <c r="C164" s="600"/>
      <c r="D164" s="600"/>
      <c r="E164" s="600"/>
      <c r="F164" s="23"/>
      <c r="G164" s="23"/>
      <c r="H164" s="691"/>
      <c r="I164" s="590"/>
      <c r="J164" s="590"/>
      <c r="K164" s="590"/>
      <c r="L164" s="1687"/>
      <c r="M164" s="96"/>
      <c r="N164" s="96"/>
      <c r="O164" s="96"/>
      <c r="P164" s="96"/>
      <c r="Q164" s="96"/>
      <c r="R164" s="96"/>
      <c r="S164" s="96"/>
      <c r="T164" s="96"/>
      <c r="X164" s="1600"/>
      <c r="AL164" s="78"/>
      <c r="AM164" s="78"/>
      <c r="AN164" s="78"/>
      <c r="AO164" s="78"/>
      <c r="AP164" s="78"/>
      <c r="AQ164" s="78"/>
      <c r="AR164" s="78"/>
      <c r="AS164" s="78"/>
    </row>
    <row r="165" spans="2:45" s="843" customFormat="1" x14ac:dyDescent="0.2">
      <c r="B165" s="600" t="s">
        <v>4410</v>
      </c>
      <c r="C165" s="600"/>
      <c r="D165" s="600"/>
      <c r="E165" s="600"/>
      <c r="F165" s="23"/>
      <c r="G165" s="23"/>
      <c r="H165" s="691"/>
      <c r="I165" s="590"/>
      <c r="J165" s="590"/>
      <c r="K165" s="590"/>
      <c r="L165" s="1687"/>
      <c r="M165" s="96"/>
      <c r="N165" s="96"/>
      <c r="O165" s="96"/>
      <c r="P165" s="96"/>
      <c r="Q165" s="96"/>
      <c r="R165" s="96"/>
      <c r="S165" s="96"/>
      <c r="T165" s="96"/>
      <c r="X165" s="1600"/>
      <c r="AL165" s="78"/>
      <c r="AM165" s="78"/>
      <c r="AN165" s="78"/>
      <c r="AO165" s="78"/>
      <c r="AP165" s="78"/>
      <c r="AQ165" s="78"/>
      <c r="AR165" s="78"/>
      <c r="AS165" s="78"/>
    </row>
    <row r="166" spans="2:45" s="843" customFormat="1" x14ac:dyDescent="0.2">
      <c r="B166" s="600" t="s">
        <v>4410</v>
      </c>
      <c r="C166" s="600"/>
      <c r="D166" s="600"/>
      <c r="E166" s="600"/>
      <c r="F166" s="23"/>
      <c r="G166" s="23"/>
      <c r="H166" s="691"/>
      <c r="I166" s="590"/>
      <c r="J166" s="590"/>
      <c r="K166" s="590"/>
      <c r="L166" s="1687"/>
      <c r="M166" s="96"/>
      <c r="N166" s="96"/>
      <c r="O166" s="96"/>
      <c r="P166" s="96"/>
      <c r="Q166" s="96"/>
      <c r="R166" s="96"/>
      <c r="S166" s="96"/>
      <c r="T166" s="96"/>
      <c r="X166" s="1600"/>
      <c r="AL166" s="78"/>
      <c r="AM166" s="78"/>
      <c r="AN166" s="78"/>
      <c r="AO166" s="78"/>
      <c r="AP166" s="78"/>
      <c r="AQ166" s="78"/>
      <c r="AR166" s="78"/>
      <c r="AS166" s="78"/>
    </row>
    <row r="167" spans="2:45" s="843" customFormat="1" x14ac:dyDescent="0.2">
      <c r="B167" s="600" t="s">
        <v>4410</v>
      </c>
      <c r="C167" s="600"/>
      <c r="D167" s="600"/>
      <c r="E167" s="600"/>
      <c r="F167" s="23"/>
      <c r="G167" s="23"/>
      <c r="H167" s="691"/>
      <c r="I167" s="590"/>
      <c r="J167" s="590"/>
      <c r="K167" s="590"/>
      <c r="L167" s="1687"/>
      <c r="M167" s="96"/>
      <c r="N167" s="96"/>
      <c r="O167" s="96"/>
      <c r="P167" s="96"/>
      <c r="Q167" s="96"/>
      <c r="R167" s="96"/>
      <c r="S167" s="96"/>
      <c r="T167" s="96"/>
      <c r="X167" s="1600"/>
      <c r="AL167" s="78"/>
      <c r="AM167" s="78"/>
      <c r="AN167" s="78"/>
      <c r="AO167" s="78"/>
      <c r="AP167" s="78"/>
      <c r="AQ167" s="78"/>
      <c r="AR167" s="78"/>
      <c r="AS167" s="78"/>
    </row>
    <row r="168" spans="2:45" s="843" customFormat="1" x14ac:dyDescent="0.2">
      <c r="B168" s="600" t="s">
        <v>4410</v>
      </c>
      <c r="C168" s="600"/>
      <c r="D168" s="600"/>
      <c r="E168" s="600"/>
      <c r="F168" s="23"/>
      <c r="G168" s="23"/>
      <c r="H168" s="691"/>
      <c r="I168" s="606"/>
      <c r="J168" s="606"/>
      <c r="K168" s="606"/>
      <c r="L168" s="1688"/>
      <c r="M168" s="96"/>
      <c r="N168" s="96"/>
      <c r="O168" s="96"/>
      <c r="P168" s="96"/>
      <c r="Q168" s="96"/>
      <c r="R168" s="96"/>
      <c r="S168" s="96"/>
      <c r="T168" s="96"/>
      <c r="X168" s="1600"/>
      <c r="AL168" s="78"/>
      <c r="AM168" s="78"/>
      <c r="AN168" s="78"/>
      <c r="AO168" s="78"/>
      <c r="AP168" s="78"/>
      <c r="AQ168" s="78"/>
      <c r="AR168" s="78"/>
      <c r="AS168" s="78"/>
    </row>
    <row r="169" spans="2:45" s="843" customFormat="1" x14ac:dyDescent="0.2">
      <c r="B169" s="600" t="s">
        <v>4411</v>
      </c>
      <c r="C169" s="600"/>
      <c r="D169" s="600"/>
      <c r="E169" s="600"/>
      <c r="F169" s="23"/>
      <c r="G169" s="23"/>
      <c r="H169" s="691"/>
      <c r="I169" s="590" t="s">
        <v>4072</v>
      </c>
      <c r="J169" s="590"/>
      <c r="K169" s="590"/>
      <c r="L169" s="1687" t="s">
        <v>4073</v>
      </c>
      <c r="M169" s="991"/>
      <c r="N169" s="991"/>
      <c r="O169" s="991"/>
      <c r="P169" s="991"/>
      <c r="Q169" s="991"/>
      <c r="R169" s="991"/>
      <c r="S169" s="991"/>
      <c r="T169" s="991"/>
      <c r="U169" s="991"/>
      <c r="V169" s="991"/>
      <c r="W169" s="114"/>
      <c r="X169" s="1600"/>
      <c r="AL169" s="78"/>
      <c r="AM169" s="78"/>
      <c r="AN169" s="78"/>
      <c r="AO169" s="78"/>
      <c r="AP169" s="78"/>
      <c r="AQ169" s="78"/>
      <c r="AR169" s="78"/>
      <c r="AS169" s="78"/>
    </row>
    <row r="170" spans="2:45" s="843" customFormat="1" x14ac:dyDescent="0.2">
      <c r="B170" s="600" t="s">
        <v>4411</v>
      </c>
      <c r="C170" s="600"/>
      <c r="D170" s="600"/>
      <c r="E170" s="600"/>
      <c r="F170" s="23"/>
      <c r="G170" s="23"/>
      <c r="H170" s="691"/>
      <c r="I170" s="590"/>
      <c r="J170" s="590"/>
      <c r="K170" s="590"/>
      <c r="L170" s="1687"/>
      <c r="M170" s="991"/>
      <c r="N170" s="991"/>
      <c r="O170" s="991"/>
      <c r="P170" s="991"/>
      <c r="Q170" s="991"/>
      <c r="R170" s="991"/>
      <c r="S170" s="991"/>
      <c r="T170" s="991"/>
      <c r="U170" s="991"/>
      <c r="V170" s="991"/>
      <c r="W170" s="114"/>
      <c r="X170" s="1600"/>
      <c r="AL170" s="78"/>
      <c r="AM170" s="78"/>
      <c r="AN170" s="78"/>
      <c r="AO170" s="78"/>
      <c r="AP170" s="78"/>
      <c r="AQ170" s="78"/>
      <c r="AR170" s="78"/>
      <c r="AS170" s="78"/>
    </row>
    <row r="171" spans="2:45" s="843" customFormat="1" x14ac:dyDescent="0.2">
      <c r="B171" s="600" t="s">
        <v>4411</v>
      </c>
      <c r="C171" s="600"/>
      <c r="D171" s="600"/>
      <c r="E171" s="600"/>
      <c r="F171" s="23"/>
      <c r="G171" s="23"/>
      <c r="H171" s="691"/>
      <c r="I171" s="606"/>
      <c r="J171" s="606"/>
      <c r="K171" s="606"/>
      <c r="L171" s="1688"/>
      <c r="M171" s="173"/>
      <c r="N171" s="173"/>
      <c r="O171" s="173"/>
      <c r="P171" s="173"/>
      <c r="Q171" s="173"/>
      <c r="R171" s="173"/>
      <c r="S171" s="173"/>
      <c r="T171" s="173"/>
      <c r="U171" s="173"/>
      <c r="V171" s="173"/>
      <c r="W171" s="818"/>
      <c r="X171" s="1600"/>
      <c r="AL171" s="78"/>
      <c r="AM171" s="78"/>
      <c r="AN171" s="78"/>
      <c r="AO171" s="78"/>
      <c r="AP171" s="78"/>
      <c r="AQ171" s="78"/>
      <c r="AR171" s="78"/>
      <c r="AS171" s="78"/>
    </row>
    <row r="172" spans="2:45" s="843" customFormat="1" ht="15" customHeight="1" x14ac:dyDescent="0.2">
      <c r="B172" s="600" t="s">
        <v>4412</v>
      </c>
      <c r="C172" s="600"/>
      <c r="D172" s="600"/>
      <c r="E172" s="600"/>
      <c r="F172" s="23"/>
      <c r="G172" s="23"/>
      <c r="H172" s="691"/>
      <c r="I172" s="608" t="s">
        <v>4074</v>
      </c>
      <c r="J172" s="608"/>
      <c r="K172" s="608"/>
      <c r="L172" s="1686" t="s">
        <v>4469</v>
      </c>
      <c r="M172" s="1741" t="str">
        <f ca="1">IF(R172,"Mandatory if Relevant","N/A")</f>
        <v>N/A</v>
      </c>
      <c r="N172" s="193"/>
      <c r="O172" s="918"/>
      <c r="P172" s="195" t="b">
        <v>0</v>
      </c>
      <c r="Q172" s="195" t="b">
        <v>1</v>
      </c>
      <c r="R172" s="195" t="b">
        <f ca="1">AND(S172,NOT(BI16="Tropical"))</f>
        <v>0</v>
      </c>
      <c r="S172" s="195" t="b">
        <f ca="1">AND(S11=2,NOT(W38))</f>
        <v>0</v>
      </c>
      <c r="T172" s="195" t="b">
        <f ca="1">AND(NOT(S172),LEN(W172)&gt;0)</f>
        <v>0</v>
      </c>
      <c r="U172" s="195" t="str">
        <f>SUBSTITUTE(SUBSTITUTE(SUBSTITUTE("dd"&amp;B172&amp;C172&amp;D172&amp;E172&amp;F172,".","_"),"(","_"),")","")</f>
        <v>dd703_1_2</v>
      </c>
      <c r="V172" s="195"/>
      <c r="W172" s="12"/>
      <c r="X172" s="1600"/>
      <c r="AC172" s="881" t="b">
        <f ca="1">OR(AD172:AE172)</f>
        <v>0</v>
      </c>
      <c r="AD172" s="881" t="b">
        <f ca="1">T172</f>
        <v>0</v>
      </c>
      <c r="AE172" s="1498" t="b">
        <f ca="1">OR(AND(R172,NOT(W172=INDEX(INDIRECT(U172),1))),AND(W172=INDEX(INDIRECT(U172),3),LEN(X172)=0))</f>
        <v>0</v>
      </c>
      <c r="AL172" s="1352" t="str">
        <f>SUBSTITUTE(SUBSTITUTE(SUBSTITUTE("dpa"&amp;$B172&amp;$C172&amp;$D172&amp;$E172&amp;$F172,".","_"),"(","_"),")","")</f>
        <v>dpa703_1_2</v>
      </c>
      <c r="AM172" s="1352" t="str">
        <f ca="1">M172</f>
        <v>N/A</v>
      </c>
      <c r="AN172" s="78"/>
      <c r="AO172" s="78"/>
      <c r="AP172" s="1352" t="str">
        <f>SUBSTITUTE(SUBSTITUTE(SUBSTITUTE("dch"&amp;$B172&amp;$C172&amp;$D172&amp;$E172&amp;$F172,".","_"),"(","_"),")","")</f>
        <v>dch703_1_2</v>
      </c>
      <c r="AQ172" s="1352" t="str">
        <f>IF(LEN(W172)=0,"",W172)</f>
        <v/>
      </c>
      <c r="AR172" s="1352" t="str">
        <f>SUBSTITUTE(SUBSTITUTE(SUBSTITUTE("dnt"&amp;$B172&amp;$C172&amp;$D172&amp;$E172&amp;$F172,".","_"),"(","_"),")","")</f>
        <v>dnt703_1_2</v>
      </c>
      <c r="AS172" s="1352" t="str">
        <f>IF(LEN(X172)=0,"",X172)</f>
        <v/>
      </c>
    </row>
    <row r="173" spans="2:45" s="843" customFormat="1" x14ac:dyDescent="0.2">
      <c r="B173" s="600" t="s">
        <v>4412</v>
      </c>
      <c r="C173" s="600"/>
      <c r="D173" s="600"/>
      <c r="E173" s="600"/>
      <c r="F173" s="23"/>
      <c r="G173" s="23"/>
      <c r="H173" s="691"/>
      <c r="I173" s="590"/>
      <c r="J173" s="590"/>
      <c r="K173" s="590"/>
      <c r="L173" s="1687"/>
      <c r="M173" s="1708"/>
      <c r="N173" s="129"/>
      <c r="O173" s="908"/>
      <c r="P173" s="991"/>
      <c r="Q173" s="991"/>
      <c r="R173" s="991"/>
      <c r="S173" s="988" t="b">
        <f ca="1">IF(S172,IF(AND(AND(BF16&gt;=1,BF16 &lt;=2),AND(W59&gt;=1,W59&lt;=5)),TRUE,IF(AND(AND(BF16&gt;=3,BF16&lt;=8),AND(W59&gt;=1,W59&lt;=3)), TRUE,FALSE)))</f>
        <v>0</v>
      </c>
      <c r="U173" s="991"/>
      <c r="V173" s="991"/>
      <c r="W173" s="114"/>
      <c r="X173" s="1600"/>
      <c r="AC173" s="881"/>
      <c r="AD173" s="891" t="b">
        <f ca="1">IF( AND(S172,S173=FALSE), TRUE,FALSE)</f>
        <v>0</v>
      </c>
      <c r="AE173" s="881"/>
      <c r="AL173" s="78"/>
      <c r="AM173" s="78"/>
      <c r="AN173" s="78"/>
      <c r="AO173" s="78"/>
      <c r="AP173" s="78"/>
      <c r="AQ173" s="78"/>
      <c r="AR173" s="78"/>
      <c r="AS173" s="78"/>
    </row>
    <row r="174" spans="2:45" s="843" customFormat="1" x14ac:dyDescent="0.2">
      <c r="B174" s="600" t="s">
        <v>4412</v>
      </c>
      <c r="C174" s="600"/>
      <c r="D174" s="600"/>
      <c r="E174" s="600"/>
      <c r="F174" s="23"/>
      <c r="G174" s="23"/>
      <c r="H174" s="691"/>
      <c r="I174" s="606"/>
      <c r="J174" s="606"/>
      <c r="K174" s="606"/>
      <c r="L174" s="959" t="s">
        <v>4470</v>
      </c>
      <c r="M174" s="173"/>
      <c r="N174" s="173"/>
      <c r="O174" s="173"/>
      <c r="P174" s="173"/>
      <c r="Q174" s="173"/>
      <c r="R174" s="173"/>
      <c r="S174" s="173"/>
      <c r="T174" s="173"/>
      <c r="U174" s="173"/>
      <c r="V174" s="173"/>
      <c r="W174" s="818"/>
      <c r="X174" s="1600"/>
      <c r="AL174" s="78"/>
      <c r="AM174" s="78"/>
      <c r="AN174" s="78"/>
      <c r="AO174" s="78"/>
      <c r="AP174" s="78"/>
      <c r="AQ174" s="78"/>
      <c r="AR174" s="78"/>
      <c r="AS174" s="78"/>
    </row>
    <row r="175" spans="2:45" s="843" customFormat="1" x14ac:dyDescent="0.2">
      <c r="B175" s="600" t="s">
        <v>4413</v>
      </c>
      <c r="C175" s="600"/>
      <c r="D175" s="600"/>
      <c r="E175" s="600"/>
      <c r="F175" s="23"/>
      <c r="G175" s="23"/>
      <c r="H175" s="691"/>
      <c r="I175" s="608" t="s">
        <v>4075</v>
      </c>
      <c r="J175" s="608"/>
      <c r="K175" s="608"/>
      <c r="L175" s="1686" t="s">
        <v>4076</v>
      </c>
      <c r="M175" s="1741" t="str">
        <f ca="1">IF(R175,"Mandatory if Relevant","N/A")</f>
        <v>N/A</v>
      </c>
      <c r="N175" s="193"/>
      <c r="O175" s="918"/>
      <c r="P175" s="195" t="b">
        <v>1</v>
      </c>
      <c r="Q175" s="195" t="b">
        <v>1</v>
      </c>
      <c r="R175" s="195" t="b">
        <f ca="1">S175</f>
        <v>0</v>
      </c>
      <c r="S175" s="195" t="b">
        <f ca="1">AND(S11=2,NOT(AND(AY40=INDEX(INDIRECT('Overview (Design)'!$E$42),3),AY44=INDEX(INDIRECT('Overview (Design)'!$E$46),3))),W321&lt;&gt;"Exempt")</f>
        <v>0</v>
      </c>
      <c r="T175" s="195" t="b">
        <f ca="1">AND(NOT(S175),LEN(W175)&gt;0)</f>
        <v>0</v>
      </c>
      <c r="U175" s="195" t="str">
        <f>SUBSTITUTE(SUBSTITUTE(SUBSTITUTE("dd"&amp;B175&amp;C175&amp;D175&amp;E175&amp;F175,".","_"),"(","_"),")","")</f>
        <v>dd703_1_3</v>
      </c>
      <c r="V175" s="195"/>
      <c r="W175" s="12"/>
      <c r="X175" s="1601"/>
      <c r="AC175" s="881" t="b">
        <f ca="1">OR(AD175:AE175)</f>
        <v>0</v>
      </c>
      <c r="AD175" s="881" t="b">
        <f ca="1">T175</f>
        <v>0</v>
      </c>
      <c r="AE175" s="1498" t="b">
        <f ca="1">OR(AND(R175,NOT(W175=INDEX(INDIRECT(U175),1))),AND(W175=INDEX(INDIRECT(U175),3),LEN(X175)=0))</f>
        <v>0</v>
      </c>
      <c r="AL175" s="1352" t="str">
        <f>SUBSTITUTE(SUBSTITUTE(SUBSTITUTE("dpa"&amp;$B175&amp;$C175&amp;$D175&amp;$E175&amp;$F175,".","_"),"(","_"),")","")</f>
        <v>dpa703_1_3</v>
      </c>
      <c r="AM175" s="1352" t="str">
        <f ca="1">M175</f>
        <v>N/A</v>
      </c>
      <c r="AN175" s="78"/>
      <c r="AO175" s="78"/>
      <c r="AP175" s="1352" t="str">
        <f>SUBSTITUTE(SUBSTITUTE(SUBSTITUTE("dch"&amp;$B175&amp;$C175&amp;$D175&amp;$E175&amp;$F175,".","_"),"(","_"),")","")</f>
        <v>dch703_1_3</v>
      </c>
      <c r="AQ175" s="1352" t="str">
        <f>IF(LEN(W175)=0,"",W175)</f>
        <v/>
      </c>
      <c r="AR175" s="1352" t="str">
        <f>SUBSTITUTE(SUBSTITUTE(SUBSTITUTE("dnt"&amp;$B175&amp;$C175&amp;$D175&amp;$E175&amp;$F175,".","_"),"(","_"),")","")</f>
        <v>dnt703_1_3</v>
      </c>
      <c r="AS175" s="1352" t="str">
        <f>IF(LEN(X175)=0,"",X175)</f>
        <v/>
      </c>
    </row>
    <row r="176" spans="2:45" s="843" customFormat="1" ht="16" thickBot="1" x14ac:dyDescent="0.25">
      <c r="B176" s="600" t="s">
        <v>4413</v>
      </c>
      <c r="C176" s="600"/>
      <c r="D176" s="600"/>
      <c r="E176" s="600"/>
      <c r="F176" s="23"/>
      <c r="G176" s="23"/>
      <c r="H176" s="691"/>
      <c r="I176" s="594"/>
      <c r="J176" s="594"/>
      <c r="K176" s="594"/>
      <c r="L176" s="1738"/>
      <c r="M176" s="1742"/>
      <c r="N176" s="239"/>
      <c r="O176" s="922"/>
      <c r="P176" s="100"/>
      <c r="Q176" s="100"/>
      <c r="R176" s="100"/>
      <c r="S176" s="100"/>
      <c r="T176" s="100"/>
      <c r="U176" s="100"/>
      <c r="V176" s="100"/>
      <c r="W176" s="100"/>
      <c r="X176" s="1602"/>
      <c r="AL176" s="78"/>
      <c r="AM176" s="78"/>
      <c r="AN176" s="78"/>
      <c r="AO176" s="78"/>
      <c r="AP176" s="78"/>
      <c r="AQ176" s="78"/>
      <c r="AR176" s="78"/>
      <c r="AS176" s="78"/>
    </row>
    <row r="177" spans="2:51" s="843" customFormat="1" ht="16" thickTop="1" x14ac:dyDescent="0.2">
      <c r="B177" s="600">
        <v>703.2</v>
      </c>
      <c r="C177" s="600"/>
      <c r="D177" s="600"/>
      <c r="E177" s="600"/>
      <c r="F177" s="23"/>
      <c r="G177" s="23"/>
      <c r="H177" s="691"/>
      <c r="I177" s="589" t="s">
        <v>4077</v>
      </c>
      <c r="J177" s="589"/>
      <c r="K177" s="589"/>
      <c r="L177" s="869" t="s">
        <v>4078</v>
      </c>
      <c r="M177" s="96"/>
      <c r="N177" s="96"/>
      <c r="O177" s="96"/>
      <c r="P177" s="96"/>
      <c r="Q177" s="96"/>
      <c r="R177" s="96"/>
      <c r="S177" s="96"/>
      <c r="T177" s="96"/>
      <c r="AL177" s="78"/>
      <c r="AM177" s="78"/>
      <c r="AN177" s="78"/>
      <c r="AO177" s="78"/>
      <c r="AP177" s="78"/>
      <c r="AQ177" s="78"/>
      <c r="AR177" s="78"/>
      <c r="AS177" s="78"/>
    </row>
    <row r="178" spans="2:51" s="843" customFormat="1" x14ac:dyDescent="0.2">
      <c r="B178" s="600" t="s">
        <v>4414</v>
      </c>
      <c r="C178" s="600"/>
      <c r="D178" s="600"/>
      <c r="E178" s="600"/>
      <c r="F178" s="23"/>
      <c r="G178" s="23"/>
      <c r="H178" s="691"/>
      <c r="I178" s="590" t="s">
        <v>4079</v>
      </c>
      <c r="J178" s="590"/>
      <c r="K178" s="590"/>
      <c r="L178" s="1687" t="s">
        <v>4080</v>
      </c>
      <c r="M178" s="1694" t="s">
        <v>4834</v>
      </c>
      <c r="N178" s="129"/>
      <c r="O178" s="1619">
        <f>W178*IFERROR(Formulas!$C$19,0)</f>
        <v>0</v>
      </c>
      <c r="P178" s="991" t="b">
        <v>0</v>
      </c>
      <c r="Q178" s="991" t="b">
        <v>1</v>
      </c>
      <c r="R178" s="991" t="b">
        <v>0</v>
      </c>
      <c r="S178" s="991" t="b">
        <f ca="1">S11=2</f>
        <v>0</v>
      </c>
      <c r="T178" s="991" t="b">
        <f ca="1">AND(NOT(S178),W178=TRUE)</f>
        <v>0</v>
      </c>
      <c r="U178" s="991"/>
      <c r="V178" s="991"/>
      <c r="W178" s="333"/>
      <c r="X178" s="1600"/>
      <c r="AC178" s="881" t="b">
        <f ca="1">OR(AD178:AE178)</f>
        <v>0</v>
      </c>
      <c r="AD178" s="881" t="b">
        <f ca="1">T178</f>
        <v>0</v>
      </c>
      <c r="AE178" s="881" t="b">
        <f>AND(R178,NOT(W178))</f>
        <v>0</v>
      </c>
      <c r="AL178" s="1352" t="str">
        <f>SUBSTITUTE(SUBSTITUTE(SUBSTITUTE("dpa"&amp;$B178&amp;$C178&amp;$D178&amp;$E178&amp;$F178,".","_"),"(","_"),")","")</f>
        <v>dpa703_2_1</v>
      </c>
      <c r="AM178" s="1352" t="str">
        <f>M178</f>
        <v>Per Table 11.703.2.1(b)</v>
      </c>
      <c r="AN178" s="1352" t="str">
        <f>SUBSTITUTE(SUBSTITUTE(SUBSTITUTE("dpc"&amp;$B178&amp;$C178&amp;$D178&amp;$E178&amp;$F178,".","_"),"(","_"),")","")</f>
        <v>dpc703_2_1</v>
      </c>
      <c r="AO178" s="1352">
        <f>O178</f>
        <v>0</v>
      </c>
      <c r="AP178" s="1352" t="str">
        <f>SUBSTITUTE(SUBSTITUTE(SUBSTITUTE("dch"&amp;$B178&amp;$C178&amp;$D178&amp;$E178&amp;$F178,".","_"),"(","_"),")","")</f>
        <v>dch703_2_1</v>
      </c>
      <c r="AQ178" s="1352" t="str">
        <f>IF(LEN(W178)=0,"",W178)</f>
        <v/>
      </c>
      <c r="AR178" s="1352" t="str">
        <f>SUBSTITUTE(SUBSTITUTE(SUBSTITUTE("dnt"&amp;$B178&amp;$C178&amp;$D178&amp;$E178&amp;$F178,".","_"),"(","_"),")","")</f>
        <v>dnt703_2_1</v>
      </c>
      <c r="AS178" s="1352" t="str">
        <f>IF(LEN(X178)=0,"",X178)</f>
        <v/>
      </c>
    </row>
    <row r="179" spans="2:51" s="843" customFormat="1" x14ac:dyDescent="0.2">
      <c r="B179" s="600" t="s">
        <v>4414</v>
      </c>
      <c r="C179" s="600"/>
      <c r="D179" s="600"/>
      <c r="E179" s="600"/>
      <c r="F179" s="23"/>
      <c r="G179" s="23"/>
      <c r="H179" s="691"/>
      <c r="I179" s="590"/>
      <c r="J179" s="590"/>
      <c r="K179" s="590"/>
      <c r="L179" s="1687"/>
      <c r="M179" s="1694"/>
      <c r="N179" s="129"/>
      <c r="O179" s="1619"/>
      <c r="P179" s="991"/>
      <c r="Q179" s="991"/>
      <c r="R179" s="991"/>
      <c r="S179" s="991"/>
      <c r="T179" s="991"/>
      <c r="U179" s="991"/>
      <c r="V179" s="991"/>
      <c r="W179" s="991" t="s">
        <v>4493</v>
      </c>
      <c r="X179" s="1600"/>
      <c r="AL179" s="78"/>
      <c r="AM179" s="78"/>
      <c r="AN179" s="78"/>
      <c r="AO179" s="78"/>
      <c r="AP179" s="78"/>
      <c r="AQ179" s="78"/>
      <c r="AR179" s="78"/>
      <c r="AS179" s="78"/>
    </row>
    <row r="180" spans="2:51" s="843" customFormat="1" x14ac:dyDescent="0.2">
      <c r="B180" s="600" t="s">
        <v>4414</v>
      </c>
      <c r="C180" s="600" t="s">
        <v>3921</v>
      </c>
      <c r="D180" s="600"/>
      <c r="E180" s="600"/>
      <c r="F180" s="23"/>
      <c r="G180" s="23"/>
      <c r="H180" s="691"/>
      <c r="I180" s="590"/>
      <c r="J180" s="590"/>
      <c r="K180" s="590"/>
      <c r="L180" s="1687"/>
      <c r="M180" s="1694"/>
      <c r="N180" s="129"/>
      <c r="O180" s="1619"/>
      <c r="P180" s="991" t="b">
        <v>0</v>
      </c>
      <c r="Q180" s="991" t="b">
        <v>1</v>
      </c>
      <c r="R180" s="991" t="b">
        <v>0</v>
      </c>
      <c r="S180" s="991" t="b">
        <f ca="1">S11=2</f>
        <v>0</v>
      </c>
      <c r="T180" s="991" t="b">
        <f ca="1">AND(NOT(S180),LEN(W180)&gt;0)</f>
        <v>0</v>
      </c>
      <c r="U180" s="991"/>
      <c r="V180" s="991"/>
      <c r="W180" s="977"/>
      <c r="X180" s="1600"/>
      <c r="AC180" s="905" t="b">
        <f ca="1">OR(AD180:AE180)</f>
        <v>0</v>
      </c>
      <c r="AD180" s="905" t="b">
        <f ca="1">T180</f>
        <v>0</v>
      </c>
      <c r="AE180" s="905" t="b">
        <f>AND(R180,OR(W180="Not Met",W180=""))</f>
        <v>0</v>
      </c>
      <c r="AL180" s="78"/>
      <c r="AM180" s="78"/>
      <c r="AN180" s="78"/>
      <c r="AO180" s="78"/>
      <c r="AP180" s="1352" t="str">
        <f>SUBSTITUTE(SUBSTITUTE(SUBSTITUTE("dch"&amp;$B180&amp;$C180&amp;$D180&amp;$E180&amp;$F180,".","_"),"(","_"),")","")</f>
        <v>dch703_2_1_1</v>
      </c>
      <c r="AQ180" s="1352" t="str">
        <f>IF(LEN(W180)=0,"",W180)</f>
        <v/>
      </c>
      <c r="AR180" s="78"/>
      <c r="AS180" s="78"/>
    </row>
    <row r="181" spans="2:51" s="843" customFormat="1" x14ac:dyDescent="0.2">
      <c r="B181" s="600" t="s">
        <v>4414</v>
      </c>
      <c r="C181" s="600"/>
      <c r="D181" s="600"/>
      <c r="E181" s="600"/>
      <c r="F181" s="23"/>
      <c r="G181" s="23"/>
      <c r="H181" s="691"/>
      <c r="I181" s="590"/>
      <c r="J181" s="590"/>
      <c r="K181" s="590"/>
      <c r="L181" s="1687"/>
      <c r="M181" s="1694"/>
      <c r="N181" s="129"/>
      <c r="O181" s="1619"/>
      <c r="P181" s="991"/>
      <c r="Q181" s="991"/>
      <c r="R181" s="991"/>
      <c r="S181" s="991"/>
      <c r="T181" s="991"/>
      <c r="U181" s="991"/>
      <c r="V181" s="991"/>
      <c r="W181" s="991"/>
      <c r="X181" s="1600"/>
      <c r="AL181" s="78"/>
      <c r="AM181" s="78"/>
      <c r="AN181" s="78"/>
      <c r="AO181" s="78"/>
      <c r="AP181" s="78"/>
      <c r="AQ181" s="78"/>
      <c r="AR181" s="78"/>
      <c r="AS181" s="78"/>
    </row>
    <row r="182" spans="2:51" s="843" customFormat="1" x14ac:dyDescent="0.2">
      <c r="B182" s="600" t="s">
        <v>4414</v>
      </c>
      <c r="C182" s="600"/>
      <c r="D182" s="600"/>
      <c r="E182" s="600"/>
      <c r="F182" s="23"/>
      <c r="G182" s="23"/>
      <c r="H182" s="691"/>
      <c r="I182" s="590"/>
      <c r="J182" s="590"/>
      <c r="K182" s="590"/>
      <c r="L182" s="1687"/>
      <c r="M182" s="1694"/>
      <c r="N182" s="129"/>
      <c r="O182" s="1619"/>
      <c r="P182" s="991"/>
      <c r="Q182" s="991"/>
      <c r="R182" s="991"/>
      <c r="S182" s="991"/>
      <c r="T182" s="991"/>
      <c r="U182" s="991"/>
      <c r="V182" s="991"/>
      <c r="W182" s="991"/>
      <c r="X182" s="1600"/>
      <c r="AL182" s="78"/>
      <c r="AM182" s="78"/>
      <c r="AN182" s="78"/>
      <c r="AO182" s="78"/>
      <c r="AP182" s="78"/>
      <c r="AQ182" s="78"/>
      <c r="AR182" s="78"/>
      <c r="AS182" s="78"/>
    </row>
    <row r="183" spans="2:51" s="843" customFormat="1" x14ac:dyDescent="0.2">
      <c r="B183" s="600" t="s">
        <v>4414</v>
      </c>
      <c r="C183" s="600"/>
      <c r="D183" s="600"/>
      <c r="E183" s="600"/>
      <c r="F183" s="23"/>
      <c r="G183" s="23"/>
      <c r="H183" s="691"/>
      <c r="I183" s="590"/>
      <c r="J183" s="590"/>
      <c r="K183" s="590"/>
      <c r="L183" s="1687"/>
      <c r="M183" s="1694"/>
      <c r="N183" s="129"/>
      <c r="O183" s="1619"/>
      <c r="P183" s="991"/>
      <c r="Q183" s="991"/>
      <c r="R183" s="991"/>
      <c r="S183" s="991"/>
      <c r="T183" s="991"/>
      <c r="U183" s="991"/>
      <c r="V183" s="991"/>
      <c r="W183" s="991"/>
      <c r="X183" s="1600"/>
      <c r="AL183" s="78"/>
      <c r="AM183" s="78"/>
      <c r="AN183" s="78"/>
      <c r="AO183" s="78"/>
      <c r="AP183" s="78"/>
      <c r="AQ183" s="78"/>
      <c r="AR183" s="78"/>
      <c r="AS183" s="78"/>
    </row>
    <row r="184" spans="2:51" s="905" customFormat="1" x14ac:dyDescent="0.2">
      <c r="B184" s="600" t="s">
        <v>4414</v>
      </c>
      <c r="C184" s="600"/>
      <c r="D184" s="600"/>
      <c r="E184" s="600"/>
      <c r="F184" s="23"/>
      <c r="G184" s="23"/>
      <c r="H184" s="691"/>
      <c r="I184" s="606"/>
      <c r="J184" s="606"/>
      <c r="K184" s="606"/>
      <c r="L184" s="441" t="s">
        <v>4835</v>
      </c>
      <c r="M184" s="952"/>
      <c r="N184" s="213"/>
      <c r="O184" s="909"/>
      <c r="P184" s="173"/>
      <c r="Q184" s="173"/>
      <c r="R184" s="173"/>
      <c r="S184" s="173"/>
      <c r="T184" s="173"/>
      <c r="U184" s="173"/>
      <c r="V184" s="173"/>
      <c r="W184" s="173"/>
      <c r="X184"/>
      <c r="AL184" s="78"/>
      <c r="AM184" s="78"/>
      <c r="AN184" s="78"/>
      <c r="AO184" s="78"/>
      <c r="AP184" s="78"/>
      <c r="AQ184" s="78"/>
      <c r="AR184" s="78"/>
      <c r="AS184" s="78"/>
      <c r="AX184" s="843"/>
      <c r="AY184" s="843"/>
    </row>
    <row r="185" spans="2:51" s="843" customFormat="1" x14ac:dyDescent="0.2">
      <c r="B185" s="600" t="s">
        <v>4415</v>
      </c>
      <c r="C185" s="600"/>
      <c r="D185" s="600"/>
      <c r="E185" s="600"/>
      <c r="F185" s="23"/>
      <c r="G185" s="23"/>
      <c r="H185" s="691"/>
      <c r="I185" s="608" t="s">
        <v>4081</v>
      </c>
      <c r="J185" s="608"/>
      <c r="K185" s="608"/>
      <c r="L185" s="1686" t="s">
        <v>4082</v>
      </c>
      <c r="M185" s="1693" t="s">
        <v>4836</v>
      </c>
      <c r="N185" s="193"/>
      <c r="O185" s="1637">
        <f>IF(ROUND(W186,0)&gt;=6,INDEX({3,3,3,3,2,2,0,0},BF16),IF(ROUND(W186,0)&gt;=3,INDEX({1,1,1,1,0,0,0,0},BF16),0))</f>
        <v>0</v>
      </c>
      <c r="P185" s="195"/>
      <c r="Q185" s="195"/>
      <c r="R185" s="195"/>
      <c r="S185" s="195"/>
      <c r="T185" s="195"/>
      <c r="U185" s="195"/>
      <c r="V185" s="195"/>
      <c r="W185" s="114" t="s">
        <v>4494</v>
      </c>
      <c r="X185" s="1600"/>
      <c r="AL185" s="1352" t="str">
        <f>SUBSTITUTE(SUBSTITUTE(SUBSTITUTE("dpa"&amp;$B185&amp;$C185&amp;$D185&amp;$E185&amp;$F185,".","_"),"(","_"),")","")</f>
        <v>dpa703_2_2</v>
      </c>
      <c r="AM185" s="1352" t="str">
        <f>M185</f>
        <v>Per Table 11.703.2.2</v>
      </c>
      <c r="AN185" s="1352" t="str">
        <f>SUBSTITUTE(SUBSTITUTE(SUBSTITUTE("dpc"&amp;$B185&amp;$C185&amp;$D185&amp;$E185&amp;$F185,".","_"),"(","_"),")","")</f>
        <v>dpc703_2_2</v>
      </c>
      <c r="AO185" s="1352">
        <f>O185</f>
        <v>0</v>
      </c>
      <c r="AP185" s="78"/>
      <c r="AQ185" s="78"/>
      <c r="AR185" s="1352" t="str">
        <f>SUBSTITUTE(SUBSTITUTE(SUBSTITUTE("dnt"&amp;$B185&amp;$C185&amp;$D185&amp;$E185&amp;$F185,".","_"),"(","_"),")","")</f>
        <v>dnt703_2_2</v>
      </c>
      <c r="AS185" s="1352" t="str">
        <f>IF(LEN(X185)=0,"",X185)</f>
        <v/>
      </c>
    </row>
    <row r="186" spans="2:51" s="843" customFormat="1" x14ac:dyDescent="0.2">
      <c r="B186" s="600" t="s">
        <v>4415</v>
      </c>
      <c r="C186" s="600"/>
      <c r="D186" s="600"/>
      <c r="E186" s="600"/>
      <c r="F186" s="23"/>
      <c r="G186" s="23"/>
      <c r="H186" s="691"/>
      <c r="I186" s="606"/>
      <c r="J186" s="606"/>
      <c r="K186" s="606"/>
      <c r="L186" s="1688"/>
      <c r="M186" s="1695"/>
      <c r="N186" s="213"/>
      <c r="O186" s="1620"/>
      <c r="P186" s="173" t="b">
        <v>1</v>
      </c>
      <c r="Q186" s="173" t="b">
        <v>1</v>
      </c>
      <c r="R186" s="173" t="b">
        <v>0</v>
      </c>
      <c r="S186" s="173" t="b">
        <f ca="1">AND(S11=2,NOT(AY58="No"))</f>
        <v>0</v>
      </c>
      <c r="T186" s="173" t="b">
        <f ca="1">AND(NOT(S186),LEN(W186)&gt;0)</f>
        <v>0</v>
      </c>
      <c r="U186" s="173"/>
      <c r="V186" s="173"/>
      <c r="W186" s="978"/>
      <c r="X186" s="1600"/>
      <c r="AC186" s="905" t="b">
        <f ca="1">OR(AD186:AE186)</f>
        <v>0</v>
      </c>
      <c r="AD186" s="905" t="b">
        <f ca="1">T186</f>
        <v>0</v>
      </c>
      <c r="AE186" s="905" t="b">
        <f>AND(R186,OR(W186="Not Met",W186=""))</f>
        <v>0</v>
      </c>
      <c r="AL186" s="78"/>
      <c r="AM186" s="78"/>
      <c r="AN186" s="78"/>
      <c r="AO186" s="78"/>
      <c r="AP186" s="1352" t="str">
        <f>SUBSTITUTE(SUBSTITUTE(SUBSTITUTE("dch"&amp;$B186&amp;$C186&amp;$D186&amp;$E186&amp;$F186,".","_"),"(","_"),")","")</f>
        <v>dch703_2_2</v>
      </c>
      <c r="AQ186" s="1352" t="str">
        <f>IF(LEN(W186)=0,"",W186)</f>
        <v/>
      </c>
      <c r="AR186" s="78"/>
      <c r="AS186" s="78"/>
      <c r="AX186" s="905"/>
      <c r="AY186" s="905"/>
    </row>
    <row r="187" spans="2:51" s="843" customFormat="1" x14ac:dyDescent="0.2">
      <c r="B187" s="600" t="s">
        <v>4416</v>
      </c>
      <c r="C187" s="600"/>
      <c r="D187" s="600"/>
      <c r="E187" s="600"/>
      <c r="F187" s="23"/>
      <c r="G187" s="23"/>
      <c r="H187" s="691"/>
      <c r="I187" s="608" t="s">
        <v>4083</v>
      </c>
      <c r="J187" s="608"/>
      <c r="K187" s="608"/>
      <c r="L187" s="1686" t="s">
        <v>4084</v>
      </c>
      <c r="M187" s="1734">
        <f>IFERROR(MIN(IF(AND(AY19=INDEX(ddSingleOrMulti,2),AY25&gt;3,BF16&lt;4),1,3),IF(BI16="Tropical",3,INDEX({2,3,3,1,1,0,0},BF16))),0)</f>
        <v>3</v>
      </c>
      <c r="N187" s="193"/>
      <c r="O187" s="1637">
        <f ca="1">M187*S187*W187</f>
        <v>0</v>
      </c>
      <c r="P187" s="195" t="b">
        <v>1</v>
      </c>
      <c r="Q187" s="195" t="b">
        <v>1</v>
      </c>
      <c r="R187" s="195" t="b">
        <v>0</v>
      </c>
      <c r="S187" s="195" t="b">
        <f ca="1">S11=2</f>
        <v>0</v>
      </c>
      <c r="T187" s="195" t="b">
        <f ca="1">AND(NOT(S187),W187=TRUE)</f>
        <v>0</v>
      </c>
      <c r="U187" s="195"/>
      <c r="V187" s="195"/>
      <c r="W187" s="333"/>
      <c r="X187" s="1600"/>
      <c r="AC187" s="881" t="b">
        <f ca="1">OR(AD187:AE187)</f>
        <v>0</v>
      </c>
      <c r="AD187" s="881" t="b">
        <f ca="1">T187</f>
        <v>0</v>
      </c>
      <c r="AE187" s="881" t="b">
        <f>AND(R187,NOT(W187))</f>
        <v>0</v>
      </c>
      <c r="AL187" s="1352" t="str">
        <f>SUBSTITUTE(SUBSTITUTE(SUBSTITUTE("dpa"&amp;$B187&amp;$C187&amp;$D187&amp;$E187&amp;$F187,".","_"),"(","_"),")","")</f>
        <v>dpa703_2_3</v>
      </c>
      <c r="AM187" s="1352">
        <f>M187</f>
        <v>3</v>
      </c>
      <c r="AN187" s="1352" t="str">
        <f>SUBSTITUTE(SUBSTITUTE(SUBSTITUTE("dpc"&amp;$B187&amp;$C187&amp;$D187&amp;$E187&amp;$F187,".","_"),"(","_"),")","")</f>
        <v>dpc703_2_3</v>
      </c>
      <c r="AO187" s="1352">
        <f ca="1">O187</f>
        <v>0</v>
      </c>
      <c r="AP187" s="1352" t="str">
        <f>SUBSTITUTE(SUBSTITUTE(SUBSTITUTE("dch"&amp;$B187&amp;$C187&amp;$D187&amp;$E187&amp;$F187,".","_"),"(","_"),")","")</f>
        <v>dch703_2_3</v>
      </c>
      <c r="AQ187" s="1352" t="str">
        <f>IF(LEN(W187)=0,"",W187)</f>
        <v/>
      </c>
      <c r="AR187" s="1352" t="str">
        <f>SUBSTITUTE(SUBSTITUTE(SUBSTITUTE("dnt"&amp;$B187&amp;$C187&amp;$D187&amp;$E187&amp;$F187,".","_"),"(","_"),")","")</f>
        <v>dnt703_2_3</v>
      </c>
      <c r="AS187" s="1352" t="str">
        <f>IF(LEN(X187)=0,"",X187)</f>
        <v/>
      </c>
    </row>
    <row r="188" spans="2:51" s="843" customFormat="1" x14ac:dyDescent="0.2">
      <c r="B188" s="600" t="s">
        <v>4416</v>
      </c>
      <c r="C188" s="600"/>
      <c r="D188" s="600"/>
      <c r="E188" s="600"/>
      <c r="F188" s="23"/>
      <c r="G188" s="23"/>
      <c r="H188" s="691"/>
      <c r="I188" s="590"/>
      <c r="J188" s="590"/>
      <c r="K188" s="590"/>
      <c r="L188" s="1687"/>
      <c r="M188" s="1692"/>
      <c r="N188" s="129"/>
      <c r="O188" s="1619"/>
      <c r="P188" s="991"/>
      <c r="Q188" s="991"/>
      <c r="R188" s="991"/>
      <c r="S188" s="991"/>
      <c r="T188" s="991"/>
      <c r="U188" s="991"/>
      <c r="V188" s="991"/>
      <c r="W188" s="114"/>
      <c r="X188" s="1600"/>
      <c r="AL188" s="78"/>
      <c r="AM188" s="78"/>
      <c r="AN188" s="78"/>
      <c r="AO188" s="78"/>
      <c r="AP188" s="78"/>
      <c r="AQ188" s="78"/>
      <c r="AR188" s="78"/>
      <c r="AS188" s="78"/>
    </row>
    <row r="189" spans="2:51" s="843" customFormat="1" x14ac:dyDescent="0.2">
      <c r="B189" s="600" t="s">
        <v>4416</v>
      </c>
      <c r="C189" s="600"/>
      <c r="D189" s="600"/>
      <c r="E189" s="600"/>
      <c r="F189" s="23"/>
      <c r="G189" s="23"/>
      <c r="H189" s="691"/>
      <c r="I189" s="590"/>
      <c r="J189" s="590"/>
      <c r="K189" s="590"/>
      <c r="L189" s="1687"/>
      <c r="M189" s="1692"/>
      <c r="N189" s="129"/>
      <c r="O189" s="1619"/>
      <c r="P189" s="991"/>
      <c r="Q189" s="991"/>
      <c r="R189" s="991"/>
      <c r="S189" s="991"/>
      <c r="T189" s="991"/>
      <c r="U189" s="991"/>
      <c r="V189" s="991"/>
      <c r="W189" s="114"/>
      <c r="X189" s="1600"/>
      <c r="AL189" s="78"/>
      <c r="AM189" s="78"/>
      <c r="AN189" s="78"/>
      <c r="AO189" s="78"/>
      <c r="AP189" s="78"/>
      <c r="AQ189" s="78"/>
      <c r="AR189" s="78"/>
      <c r="AS189" s="78"/>
    </row>
    <row r="190" spans="2:51" s="843" customFormat="1" x14ac:dyDescent="0.2">
      <c r="B190" s="600" t="s">
        <v>4416</v>
      </c>
      <c r="C190" s="600"/>
      <c r="D190" s="600"/>
      <c r="E190" s="600"/>
      <c r="F190" s="23"/>
      <c r="G190" s="23"/>
      <c r="H190" s="691"/>
      <c r="I190" s="606"/>
      <c r="J190" s="606"/>
      <c r="K190" s="606"/>
      <c r="L190" s="1688"/>
      <c r="M190" s="173"/>
      <c r="N190" s="173"/>
      <c r="O190" s="173"/>
      <c r="P190" s="173"/>
      <c r="Q190" s="173"/>
      <c r="R190" s="173"/>
      <c r="S190" s="173"/>
      <c r="T190" s="173"/>
      <c r="U190" s="173"/>
      <c r="V190" s="173"/>
      <c r="W190" s="818"/>
      <c r="X190" s="1600"/>
      <c r="AL190" s="78"/>
      <c r="AM190" s="78"/>
      <c r="AN190" s="78"/>
      <c r="AO190" s="78"/>
      <c r="AP190" s="78"/>
      <c r="AQ190" s="78"/>
      <c r="AR190" s="78"/>
      <c r="AS190" s="78"/>
    </row>
    <row r="191" spans="2:51" s="843" customFormat="1" x14ac:dyDescent="0.2">
      <c r="B191" s="600" t="s">
        <v>4417</v>
      </c>
      <c r="C191" s="600"/>
      <c r="D191" s="600"/>
      <c r="E191" s="600"/>
      <c r="F191" s="23"/>
      <c r="G191" s="23"/>
      <c r="H191" s="691"/>
      <c r="I191" s="608" t="s">
        <v>4085</v>
      </c>
      <c r="J191" s="608"/>
      <c r="K191" s="608"/>
      <c r="L191" s="1686" t="s">
        <v>4086</v>
      </c>
      <c r="M191" s="1693" t="s">
        <v>4837</v>
      </c>
      <c r="N191" s="193"/>
      <c r="O191" s="1637">
        <f ca="1">MAX(S193:T193)*S192</f>
        <v>0</v>
      </c>
      <c r="P191" s="195"/>
      <c r="Q191" s="195"/>
      <c r="R191" s="195"/>
      <c r="S191" s="195"/>
      <c r="T191" s="195"/>
      <c r="U191" s="195"/>
      <c r="V191" s="195"/>
      <c r="W191" s="776" t="str">
        <f>IF(S193&gt;=T193,"ACH50 (from 701.4.3.2):","ELR50 (from 701.4.3.2):")</f>
        <v>ACH50 (from 701.4.3.2):</v>
      </c>
      <c r="X191" s="1600"/>
      <c r="AL191" s="1352" t="str">
        <f>SUBSTITUTE(SUBSTITUTE(SUBSTITUTE("dpa"&amp;$B191&amp;$C191&amp;$D191&amp;$E191&amp;$F191,".","_"),"(","_"),")","")</f>
        <v>dpa703_2_4</v>
      </c>
      <c r="AM191" s="1352" t="str">
        <f>M191</f>
        <v>Per Table 11.703.2.4</v>
      </c>
      <c r="AN191" s="1352" t="str">
        <f>SUBSTITUTE(SUBSTITUTE(SUBSTITUTE("dpc"&amp;$B191&amp;$C191&amp;$D191&amp;$E191&amp;$F191,".","_"),"(","_"),")","")</f>
        <v>dpc703_2_4</v>
      </c>
      <c r="AO191" s="1352">
        <f ca="1">O191</f>
        <v>0</v>
      </c>
      <c r="AP191" s="78"/>
      <c r="AQ191" s="78"/>
      <c r="AR191" s="1352" t="str">
        <f>SUBSTITUTE(SUBSTITUTE(SUBSTITUTE("dnt"&amp;$B191&amp;$C191&amp;$D191&amp;$E191&amp;$F191,".","_"),"(","_"),")","")</f>
        <v>dnt703_2_4</v>
      </c>
      <c r="AS191" s="1352" t="str">
        <f>IF(LEN(X191)=0,"",X191)</f>
        <v/>
      </c>
    </row>
    <row r="192" spans="2:51" s="843" customFormat="1" x14ac:dyDescent="0.2">
      <c r="B192" s="600" t="s">
        <v>4417</v>
      </c>
      <c r="C192" s="600"/>
      <c r="D192" s="600"/>
      <c r="E192" s="600"/>
      <c r="F192" s="23"/>
      <c r="G192" s="23"/>
      <c r="H192" s="691"/>
      <c r="I192" s="590"/>
      <c r="J192" s="590"/>
      <c r="K192" s="590"/>
      <c r="L192" s="1687"/>
      <c r="M192" s="1694"/>
      <c r="N192" s="129"/>
      <c r="O192" s="1619"/>
      <c r="P192" s="991"/>
      <c r="Q192" s="991"/>
      <c r="R192" s="991" t="b">
        <v>0</v>
      </c>
      <c r="S192" s="991" t="b">
        <f ca="1">S11=2</f>
        <v>0</v>
      </c>
      <c r="T192" s="991" t="b">
        <v>0</v>
      </c>
      <c r="U192" s="991"/>
      <c r="V192" s="991"/>
      <c r="W192" s="1095">
        <f>IF(S193&gt;=T193,W59,W62)</f>
        <v>7</v>
      </c>
      <c r="X192" s="1600"/>
      <c r="AL192" s="78"/>
      <c r="AM192" s="78"/>
      <c r="AN192" s="78"/>
      <c r="AO192" s="78"/>
      <c r="AP192" s="78"/>
      <c r="AQ192" s="78"/>
      <c r="AR192" s="78"/>
      <c r="AS192" s="78"/>
    </row>
    <row r="193" spans="2:45" s="843" customFormat="1" x14ac:dyDescent="0.2">
      <c r="B193" s="600" t="s">
        <v>4417</v>
      </c>
      <c r="C193" s="600"/>
      <c r="D193" s="600"/>
      <c r="E193" s="600"/>
      <c r="F193" s="23"/>
      <c r="G193" s="23"/>
      <c r="H193" s="691"/>
      <c r="I193" s="590"/>
      <c r="J193" s="590"/>
      <c r="K193" s="590"/>
      <c r="L193" s="1687"/>
      <c r="M193" s="1694"/>
      <c r="N193" s="129"/>
      <c r="O193" s="1619"/>
      <c r="P193" s="991"/>
      <c r="Q193" s="991"/>
      <c r="R193" s="198" t="s">
        <v>4478</v>
      </c>
      <c r="S193" s="198">
        <f>Formulas!N$19</f>
        <v>0</v>
      </c>
      <c r="T193" s="198">
        <f>Formulas!O$19</f>
        <v>0</v>
      </c>
      <c r="U193" s="991"/>
      <c r="V193" s="991"/>
      <c r="W193" s="114"/>
      <c r="X193" s="1600"/>
      <c r="AL193" s="78"/>
      <c r="AM193" s="78"/>
      <c r="AN193" s="78"/>
      <c r="AO193" s="78"/>
      <c r="AP193" s="78"/>
      <c r="AQ193" s="78"/>
      <c r="AR193" s="78"/>
      <c r="AS193" s="78"/>
    </row>
    <row r="194" spans="2:45" s="843" customFormat="1" x14ac:dyDescent="0.2">
      <c r="B194" s="600" t="s">
        <v>4417</v>
      </c>
      <c r="C194" s="600"/>
      <c r="D194" s="600"/>
      <c r="E194" s="600"/>
      <c r="F194" s="23"/>
      <c r="G194" s="23"/>
      <c r="H194" s="691"/>
      <c r="I194" s="606"/>
      <c r="J194" s="606"/>
      <c r="K194" s="606"/>
      <c r="L194" s="1688"/>
      <c r="M194" s="173"/>
      <c r="N194" s="173"/>
      <c r="O194" s="173"/>
      <c r="P194" s="173"/>
      <c r="Q194" s="173"/>
      <c r="R194" s="173"/>
      <c r="S194" s="173"/>
      <c r="T194" s="173"/>
      <c r="U194" s="173"/>
      <c r="V194" s="173"/>
      <c r="W194" s="818"/>
      <c r="X194" s="1600"/>
      <c r="AL194" s="78"/>
      <c r="AM194" s="78"/>
      <c r="AN194" s="78"/>
      <c r="AO194" s="78"/>
      <c r="AP194" s="78"/>
      <c r="AQ194" s="78"/>
      <c r="AR194" s="78"/>
      <c r="AS194" s="78"/>
    </row>
    <row r="195" spans="2:45" s="843" customFormat="1" x14ac:dyDescent="0.2">
      <c r="B195" s="600" t="s">
        <v>4418</v>
      </c>
      <c r="C195" s="600"/>
      <c r="D195" s="600"/>
      <c r="E195" s="600"/>
      <c r="F195" s="23"/>
      <c r="G195" s="23"/>
      <c r="H195" s="691"/>
      <c r="I195" s="589" t="s">
        <v>4087</v>
      </c>
      <c r="J195" s="589"/>
      <c r="K195" s="589"/>
      <c r="L195" s="869" t="s">
        <v>4088</v>
      </c>
      <c r="M195" s="96"/>
      <c r="N195" s="96"/>
      <c r="O195" s="96"/>
      <c r="P195" s="96"/>
      <c r="Q195" s="96"/>
      <c r="R195" s="96"/>
      <c r="S195" s="96"/>
      <c r="T195" s="96"/>
      <c r="AL195" s="78"/>
      <c r="AM195" s="78"/>
      <c r="AN195" s="78"/>
      <c r="AO195" s="78"/>
      <c r="AP195" s="78"/>
      <c r="AQ195" s="78"/>
      <c r="AR195" s="78"/>
      <c r="AS195" s="78"/>
    </row>
    <row r="196" spans="2:45" s="843" customFormat="1" x14ac:dyDescent="0.2">
      <c r="B196" s="600" t="s">
        <v>4419</v>
      </c>
      <c r="C196" s="600"/>
      <c r="D196" s="600"/>
      <c r="E196" s="600"/>
      <c r="F196" s="23"/>
      <c r="G196" s="23"/>
      <c r="H196" s="691"/>
      <c r="I196" s="589" t="s">
        <v>4089</v>
      </c>
      <c r="J196" s="589"/>
      <c r="K196" s="589"/>
      <c r="L196" s="1687" t="s">
        <v>4090</v>
      </c>
      <c r="M196" s="1697" t="str">
        <f ca="1">IF(R196,"Mandatory","N/A")</f>
        <v>N/A</v>
      </c>
      <c r="N196" s="129"/>
      <c r="O196" s="886"/>
      <c r="P196" s="96" t="b">
        <v>1</v>
      </c>
      <c r="Q196" s="96" t="b">
        <v>1</v>
      </c>
      <c r="R196" s="96" t="b">
        <f ca="1">S196</f>
        <v>0</v>
      </c>
      <c r="S196" s="96" t="b">
        <f ca="1">S11=2</f>
        <v>0</v>
      </c>
      <c r="T196" s="1279" t="b">
        <f ca="1">AND(NOT(S196),LEN(W196)&gt;0)</f>
        <v>0</v>
      </c>
      <c r="U196" s="1279" t="str">
        <f>SUBSTITUTE(SUBSTITUTE(SUBSTITUTE("dd"&amp;B196&amp;C196&amp;D196&amp;E196&amp;F196,".","_"),"(","_"),")","")</f>
        <v>dd703_2_5_1</v>
      </c>
      <c r="W196" s="12"/>
      <c r="X196" s="1600"/>
      <c r="AC196" s="881" t="b">
        <f ca="1">OR(AD196:AE196)</f>
        <v>0</v>
      </c>
      <c r="AD196" s="881" t="b">
        <f ca="1">T196</f>
        <v>0</v>
      </c>
      <c r="AE196" s="1278" t="b">
        <f ca="1">AND(R196,OR(W196="Not Met",W196=""))</f>
        <v>0</v>
      </c>
      <c r="AL196" s="1352" t="str">
        <f>SUBSTITUTE(SUBSTITUTE(SUBSTITUTE("dpa"&amp;$B196&amp;$C196&amp;$D196&amp;$E196&amp;$F196,".","_"),"(","_"),")","")</f>
        <v>dpa703_2_5_1</v>
      </c>
      <c r="AM196" s="1352" t="str">
        <f ca="1">M196</f>
        <v>N/A</v>
      </c>
      <c r="AN196" s="78"/>
      <c r="AO196" s="78"/>
      <c r="AP196" s="1352" t="str">
        <f>SUBSTITUTE(SUBSTITUTE(SUBSTITUTE("dch"&amp;$B196&amp;$C196&amp;$D196&amp;$E196&amp;$F196,".","_"),"(","_"),")","")</f>
        <v>dch703_2_5_1</v>
      </c>
      <c r="AQ196" s="1352" t="str">
        <f>IF(LEN(W196)=0,"",W196)</f>
        <v/>
      </c>
      <c r="AR196" s="1352" t="str">
        <f>SUBSTITUTE(SUBSTITUTE(SUBSTITUTE("dnt"&amp;$B196&amp;$C196&amp;$D196&amp;$E196&amp;$F196,".","_"),"(","_"),")","")</f>
        <v>dnt703_2_5_1</v>
      </c>
      <c r="AS196" s="1352" t="str">
        <f>IF(LEN(X196)=0,"",X196)</f>
        <v/>
      </c>
    </row>
    <row r="197" spans="2:45" s="843" customFormat="1" x14ac:dyDescent="0.2">
      <c r="B197" s="600" t="s">
        <v>4419</v>
      </c>
      <c r="C197" s="600"/>
      <c r="D197" s="600"/>
      <c r="E197" s="600"/>
      <c r="F197" s="23"/>
      <c r="G197" s="23"/>
      <c r="H197" s="691"/>
      <c r="I197" s="589"/>
      <c r="J197" s="589"/>
      <c r="K197" s="589"/>
      <c r="L197" s="1687"/>
      <c r="M197" s="1697"/>
      <c r="N197" s="129"/>
      <c r="O197" s="886"/>
      <c r="P197" s="96"/>
      <c r="Q197" s="96"/>
      <c r="R197" s="96"/>
      <c r="S197" s="96"/>
      <c r="T197" s="96"/>
      <c r="X197" s="1600"/>
      <c r="AL197" s="78"/>
      <c r="AM197" s="78"/>
      <c r="AN197" s="78"/>
      <c r="AO197" s="78"/>
      <c r="AP197" s="78"/>
      <c r="AQ197" s="78"/>
      <c r="AR197" s="78"/>
      <c r="AS197" s="78"/>
    </row>
    <row r="198" spans="2:45" s="843" customFormat="1" x14ac:dyDescent="0.2">
      <c r="B198" s="600" t="s">
        <v>4419</v>
      </c>
      <c r="C198" s="600"/>
      <c r="D198" s="600"/>
      <c r="E198" s="600"/>
      <c r="F198" s="23"/>
      <c r="G198" s="23"/>
      <c r="H198" s="691"/>
      <c r="I198" s="589"/>
      <c r="J198" s="589"/>
      <c r="K198" s="589"/>
      <c r="L198" s="1687"/>
      <c r="M198" s="1697"/>
      <c r="N198" s="129"/>
      <c r="O198" s="886"/>
      <c r="P198" s="96"/>
      <c r="Q198" s="96"/>
      <c r="R198" s="96"/>
      <c r="S198" s="96"/>
      <c r="T198" s="96"/>
      <c r="X198" s="1600"/>
      <c r="AL198" s="78"/>
      <c r="AM198" s="78"/>
      <c r="AN198" s="78"/>
      <c r="AO198" s="78"/>
      <c r="AP198" s="78"/>
      <c r="AQ198" s="78"/>
      <c r="AR198" s="78"/>
      <c r="AS198" s="78"/>
    </row>
    <row r="199" spans="2:45" s="843" customFormat="1" x14ac:dyDescent="0.2">
      <c r="B199" s="600" t="s">
        <v>4419</v>
      </c>
      <c r="C199" s="600"/>
      <c r="D199" s="600"/>
      <c r="E199" s="600"/>
      <c r="F199" s="23"/>
      <c r="G199" s="23"/>
      <c r="H199" s="691"/>
      <c r="I199" s="589"/>
      <c r="J199" s="589"/>
      <c r="K199" s="589"/>
      <c r="L199" s="1687"/>
      <c r="M199" s="1697"/>
      <c r="N199" s="129"/>
      <c r="O199" s="886"/>
      <c r="P199" s="96"/>
      <c r="Q199" s="96"/>
      <c r="R199" s="96"/>
      <c r="S199" s="96"/>
      <c r="T199" s="96"/>
      <c r="X199" s="1600"/>
      <c r="AL199" s="78"/>
      <c r="AM199" s="78"/>
      <c r="AN199" s="78"/>
      <c r="AO199" s="78"/>
      <c r="AP199" s="78"/>
      <c r="AQ199" s="78"/>
      <c r="AR199" s="78"/>
      <c r="AS199" s="78"/>
    </row>
    <row r="200" spans="2:45" s="843" customFormat="1" x14ac:dyDescent="0.2">
      <c r="B200" s="600" t="s">
        <v>4419</v>
      </c>
      <c r="C200" s="600"/>
      <c r="D200" s="600"/>
      <c r="E200" s="600"/>
      <c r="F200" s="23"/>
      <c r="G200" s="23"/>
      <c r="H200" s="691"/>
      <c r="I200" s="589"/>
      <c r="J200" s="589"/>
      <c r="K200" s="589"/>
      <c r="L200" s="1687"/>
      <c r="M200" s="1697"/>
      <c r="N200" s="129"/>
      <c r="O200" s="886"/>
      <c r="P200" s="96"/>
      <c r="Q200" s="96"/>
      <c r="R200" s="96"/>
      <c r="S200" s="96"/>
      <c r="T200" s="96"/>
      <c r="X200" s="1600"/>
      <c r="AL200" s="78"/>
      <c r="AM200" s="78"/>
      <c r="AN200" s="78"/>
      <c r="AO200" s="78"/>
      <c r="AP200" s="78"/>
      <c r="AQ200" s="78"/>
      <c r="AR200" s="78"/>
      <c r="AS200" s="78"/>
    </row>
    <row r="201" spans="2:45" s="843" customFormat="1" x14ac:dyDescent="0.2">
      <c r="B201" s="600" t="s">
        <v>4419</v>
      </c>
      <c r="C201" s="600"/>
      <c r="D201" s="600"/>
      <c r="E201" s="600"/>
      <c r="F201" s="23"/>
      <c r="G201" s="23"/>
      <c r="H201" s="691"/>
      <c r="I201" s="589"/>
      <c r="J201" s="589"/>
      <c r="K201" s="589"/>
      <c r="L201" s="1687"/>
      <c r="M201" s="1697"/>
      <c r="N201" s="129"/>
      <c r="O201" s="886"/>
      <c r="P201" s="96"/>
      <c r="Q201" s="96"/>
      <c r="R201" s="96"/>
      <c r="S201" s="96"/>
      <c r="T201" s="96"/>
      <c r="X201" s="1600"/>
      <c r="AL201" s="78"/>
      <c r="AM201" s="78"/>
      <c r="AN201" s="78"/>
      <c r="AO201" s="78"/>
      <c r="AP201" s="78"/>
      <c r="AQ201" s="78"/>
      <c r="AR201" s="78"/>
      <c r="AS201" s="78"/>
    </row>
    <row r="202" spans="2:45" s="843" customFormat="1" x14ac:dyDescent="0.2">
      <c r="B202" s="600" t="s">
        <v>4419</v>
      </c>
      <c r="C202" s="600"/>
      <c r="D202" s="600"/>
      <c r="E202" s="600"/>
      <c r="F202" s="23"/>
      <c r="G202" s="23"/>
      <c r="H202" s="691"/>
      <c r="I202" s="589"/>
      <c r="J202" s="589"/>
      <c r="K202" s="589"/>
      <c r="L202" s="1687"/>
      <c r="M202" s="96"/>
      <c r="N202" s="96"/>
      <c r="O202" s="96"/>
      <c r="P202" s="96"/>
      <c r="Q202" s="96"/>
      <c r="R202" s="96"/>
      <c r="S202" s="96"/>
      <c r="T202" s="96"/>
      <c r="X202" s="1600"/>
      <c r="AL202" s="78"/>
      <c r="AM202" s="78"/>
      <c r="AN202" s="78"/>
      <c r="AO202" s="78"/>
      <c r="AP202" s="78"/>
      <c r="AQ202" s="78"/>
      <c r="AR202" s="78"/>
      <c r="AS202" s="78"/>
    </row>
    <row r="203" spans="2:45" s="843" customFormat="1" x14ac:dyDescent="0.2">
      <c r="B203" s="600" t="s">
        <v>4420</v>
      </c>
      <c r="C203" s="600"/>
      <c r="D203" s="600"/>
      <c r="E203" s="600"/>
      <c r="F203" s="23"/>
      <c r="G203" s="23"/>
      <c r="H203" s="691"/>
      <c r="I203" s="590" t="s">
        <v>4091</v>
      </c>
      <c r="J203" s="590"/>
      <c r="K203" s="590"/>
      <c r="L203" s="1687" t="s">
        <v>4092</v>
      </c>
      <c r="M203" s="913"/>
      <c r="N203" s="129"/>
      <c r="O203" s="908"/>
      <c r="P203" s="991" t="b">
        <v>1</v>
      </c>
      <c r="Q203" s="991" t="b">
        <v>1</v>
      </c>
      <c r="R203" s="991" t="b">
        <f ca="1">S203</f>
        <v>0</v>
      </c>
      <c r="S203" s="991" t="b">
        <f ca="1">S11=2</f>
        <v>0</v>
      </c>
      <c r="T203" s="991" t="b">
        <f ca="1">AND(NOT(S203),LEN(W203)&gt;0)</f>
        <v>0</v>
      </c>
      <c r="U203" s="991" t="str">
        <f>SUBSTITUTE(SUBSTITUTE(SUBSTITUTE("dd"&amp;B203&amp;C203&amp;D203&amp;E203&amp;F203,".","_"),"(","_"),")","")</f>
        <v>dd703_2_5_1_1</v>
      </c>
      <c r="V203" s="991"/>
      <c r="W203" s="110"/>
      <c r="X203" s="1621"/>
      <c r="AC203" s="905" t="b">
        <f ca="1">OR(AD203:AE203)</f>
        <v>0</v>
      </c>
      <c r="AD203" s="905" t="b">
        <f ca="1">T203</f>
        <v>0</v>
      </c>
      <c r="AE203" s="905" t="b">
        <f ca="1">AND(R203,OR(W203="Not Met",W203=""))</f>
        <v>0</v>
      </c>
      <c r="AL203" s="78"/>
      <c r="AM203" s="78"/>
      <c r="AN203" s="78"/>
      <c r="AO203" s="78"/>
      <c r="AP203" s="1352" t="str">
        <f>SUBSTITUTE(SUBSTITUTE(SUBSTITUTE("dch"&amp;$B203&amp;$C203&amp;$D203&amp;$E203&amp;$F203,".","_"),"(","_"),")","")</f>
        <v>dch703_2_5_1_1</v>
      </c>
      <c r="AQ203" s="1352" t="str">
        <f>IF(LEN(W203)=0,"",W203)</f>
        <v/>
      </c>
      <c r="AR203" s="1352" t="str">
        <f>SUBSTITUTE(SUBSTITUTE(SUBSTITUTE("dnt"&amp;$B203&amp;$C203&amp;$D203&amp;$E203&amp;$F203,".","_"),"(","_"),")","")</f>
        <v>dnt703_2_5_1_1</v>
      </c>
      <c r="AS203" s="1352" t="str">
        <f>IF(LEN(X203)=0,"",X203)</f>
        <v/>
      </c>
    </row>
    <row r="204" spans="2:45" s="843" customFormat="1" x14ac:dyDescent="0.2">
      <c r="B204" s="600" t="s">
        <v>4420</v>
      </c>
      <c r="C204" s="600"/>
      <c r="D204" s="600"/>
      <c r="E204" s="600"/>
      <c r="F204" s="23"/>
      <c r="G204" s="23"/>
      <c r="H204" s="691"/>
      <c r="I204" s="590"/>
      <c r="J204" s="590"/>
      <c r="K204" s="590"/>
      <c r="L204" s="1687"/>
      <c r="M204" s="913"/>
      <c r="N204" s="129"/>
      <c r="O204" s="908"/>
      <c r="P204" s="991"/>
      <c r="Q204" s="991"/>
      <c r="R204" s="991"/>
      <c r="S204" s="991"/>
      <c r="T204" s="991"/>
      <c r="U204" s="991"/>
      <c r="V204" s="991"/>
      <c r="W204" s="114"/>
      <c r="X204" s="1632"/>
      <c r="AL204" s="78"/>
      <c r="AM204" s="78"/>
      <c r="AN204" s="78"/>
      <c r="AO204" s="78"/>
      <c r="AP204" s="78"/>
      <c r="AQ204" s="78"/>
      <c r="AR204" s="78"/>
      <c r="AS204" s="78"/>
    </row>
    <row r="205" spans="2:45" s="843" customFormat="1" x14ac:dyDescent="0.2">
      <c r="B205" s="600" t="s">
        <v>4420</v>
      </c>
      <c r="C205" s="600"/>
      <c r="D205" s="600"/>
      <c r="E205" s="600"/>
      <c r="F205" s="23"/>
      <c r="G205" s="23"/>
      <c r="H205" s="691"/>
      <c r="I205" s="590"/>
      <c r="J205" s="590"/>
      <c r="K205" s="590"/>
      <c r="L205" s="1687"/>
      <c r="M205" s="913"/>
      <c r="N205" s="129"/>
      <c r="O205" s="908"/>
      <c r="P205" s="991"/>
      <c r="Q205" s="991"/>
      <c r="R205" s="991"/>
      <c r="S205" s="991"/>
      <c r="T205" s="991"/>
      <c r="U205" s="991"/>
      <c r="V205" s="991"/>
      <c r="W205" s="114"/>
      <c r="X205" s="1632"/>
      <c r="AL205" s="78"/>
      <c r="AM205" s="78"/>
      <c r="AN205" s="78"/>
      <c r="AO205" s="78"/>
      <c r="AP205" s="78"/>
      <c r="AQ205" s="78"/>
      <c r="AR205" s="78"/>
      <c r="AS205" s="78"/>
    </row>
    <row r="206" spans="2:45" s="843" customFormat="1" x14ac:dyDescent="0.2">
      <c r="B206" s="600" t="s">
        <v>4420</v>
      </c>
      <c r="C206" s="600"/>
      <c r="D206" s="600"/>
      <c r="E206" s="600"/>
      <c r="F206" s="23"/>
      <c r="G206" s="23"/>
      <c r="H206" s="691"/>
      <c r="I206" s="590"/>
      <c r="J206" s="590"/>
      <c r="K206" s="590"/>
      <c r="L206" s="1687"/>
      <c r="M206" s="913"/>
      <c r="N206" s="129"/>
      <c r="O206" s="908"/>
      <c r="P206" s="991"/>
      <c r="Q206" s="991"/>
      <c r="R206" s="991"/>
      <c r="S206" s="991"/>
      <c r="T206" s="991"/>
      <c r="U206" s="991"/>
      <c r="V206" s="991"/>
      <c r="W206" s="114"/>
      <c r="X206" s="1632"/>
      <c r="AL206" s="78"/>
      <c r="AM206" s="78"/>
      <c r="AN206" s="78"/>
      <c r="AO206" s="78"/>
      <c r="AP206" s="78"/>
      <c r="AQ206" s="78"/>
      <c r="AR206" s="78"/>
      <c r="AS206" s="78"/>
    </row>
    <row r="207" spans="2:45" s="843" customFormat="1" x14ac:dyDescent="0.2">
      <c r="B207" s="600" t="s">
        <v>4420</v>
      </c>
      <c r="C207" s="600"/>
      <c r="D207" s="600"/>
      <c r="E207" s="600"/>
      <c r="F207" s="23"/>
      <c r="G207" s="23"/>
      <c r="H207" s="691"/>
      <c r="I207" s="590"/>
      <c r="J207" s="590"/>
      <c r="K207" s="590"/>
      <c r="L207" s="1687"/>
      <c r="M207" s="913"/>
      <c r="N207" s="129"/>
      <c r="O207" s="908"/>
      <c r="P207" s="991"/>
      <c r="Q207" s="991"/>
      <c r="R207" s="991"/>
      <c r="S207" s="991"/>
      <c r="T207" s="991"/>
      <c r="U207" s="991"/>
      <c r="V207" s="991"/>
      <c r="W207" s="114"/>
      <c r="X207" s="1632"/>
      <c r="AL207" s="78"/>
      <c r="AM207" s="78"/>
      <c r="AN207" s="78"/>
      <c r="AO207" s="78"/>
      <c r="AP207" s="78"/>
      <c r="AQ207" s="78"/>
      <c r="AR207" s="78"/>
      <c r="AS207" s="78"/>
    </row>
    <row r="208" spans="2:45" s="843" customFormat="1" x14ac:dyDescent="0.2">
      <c r="B208" s="600" t="s">
        <v>4420</v>
      </c>
      <c r="C208" s="600"/>
      <c r="D208" s="600"/>
      <c r="E208" s="600"/>
      <c r="F208" s="23"/>
      <c r="G208" s="23"/>
      <c r="H208" s="691"/>
      <c r="I208" s="590"/>
      <c r="J208" s="590"/>
      <c r="K208" s="590"/>
      <c r="L208" s="1687"/>
      <c r="M208" s="913"/>
      <c r="N208" s="129"/>
      <c r="O208" s="908"/>
      <c r="P208" s="991"/>
      <c r="Q208" s="991"/>
      <c r="R208" s="991"/>
      <c r="S208" s="991"/>
      <c r="T208" s="991"/>
      <c r="U208" s="991"/>
      <c r="V208" s="991"/>
      <c r="W208" s="114"/>
      <c r="X208" s="1632"/>
      <c r="AL208" s="78"/>
      <c r="AM208" s="78"/>
      <c r="AN208" s="78"/>
      <c r="AO208" s="78"/>
      <c r="AP208" s="78"/>
      <c r="AQ208" s="78"/>
      <c r="AR208" s="78"/>
      <c r="AS208" s="78"/>
    </row>
    <row r="209" spans="2:51" s="843" customFormat="1" x14ac:dyDescent="0.2">
      <c r="B209" s="600" t="s">
        <v>4420</v>
      </c>
      <c r="C209" s="600"/>
      <c r="D209" s="600"/>
      <c r="E209" s="600"/>
      <c r="F209" s="23"/>
      <c r="G209" s="23"/>
      <c r="H209" s="691"/>
      <c r="I209" s="590"/>
      <c r="J209" s="590"/>
      <c r="K209" s="590"/>
      <c r="L209" s="1687"/>
      <c r="M209" s="991"/>
      <c r="N209" s="991"/>
      <c r="O209" s="991"/>
      <c r="P209" s="991"/>
      <c r="Q209" s="991"/>
      <c r="R209" s="991"/>
      <c r="S209" s="991"/>
      <c r="T209" s="991"/>
      <c r="U209" s="991"/>
      <c r="V209" s="991"/>
      <c r="W209" s="114"/>
      <c r="X209" s="1632"/>
      <c r="AL209" s="78"/>
      <c r="AM209" s="78"/>
      <c r="AN209" s="78"/>
      <c r="AO209" s="78"/>
      <c r="AP209" s="78"/>
      <c r="AQ209" s="78"/>
      <c r="AR209" s="78"/>
      <c r="AS209" s="78"/>
    </row>
    <row r="210" spans="2:51" s="843" customFormat="1" x14ac:dyDescent="0.2">
      <c r="B210" s="600" t="s">
        <v>4420</v>
      </c>
      <c r="C210" s="600"/>
      <c r="D210" s="600"/>
      <c r="E210" s="600"/>
      <c r="F210" s="23"/>
      <c r="G210" s="23"/>
      <c r="H210" s="691"/>
      <c r="I210" s="590"/>
      <c r="J210" s="590"/>
      <c r="K210" s="590"/>
      <c r="L210" s="1687"/>
      <c r="M210" s="1253"/>
      <c r="N210" s="1253"/>
      <c r="O210" s="1253"/>
      <c r="P210" s="1253"/>
      <c r="Q210" s="1253"/>
      <c r="R210" s="1253"/>
      <c r="S210" s="1253"/>
      <c r="T210" s="1253"/>
      <c r="U210" s="1253"/>
      <c r="V210" s="1253"/>
      <c r="W210" s="114"/>
      <c r="X210" s="1632"/>
      <c r="AL210" s="78"/>
      <c r="AM210" s="78"/>
      <c r="AN210" s="78"/>
      <c r="AO210" s="78"/>
      <c r="AP210" s="78"/>
      <c r="AQ210" s="78"/>
      <c r="AR210" s="78"/>
      <c r="AS210" s="78"/>
      <c r="AX210" s="1250"/>
      <c r="AY210" s="1250"/>
    </row>
    <row r="211" spans="2:51" s="1250" customFormat="1" x14ac:dyDescent="0.2">
      <c r="B211" s="600" t="s">
        <v>4420</v>
      </c>
      <c r="C211" s="600"/>
      <c r="D211" s="600"/>
      <c r="E211" s="600"/>
      <c r="F211" s="23"/>
      <c r="G211" s="23"/>
      <c r="H211" s="691"/>
      <c r="I211" s="606"/>
      <c r="J211" s="606"/>
      <c r="K211" s="606"/>
      <c r="L211" s="441" t="s">
        <v>5089</v>
      </c>
      <c r="M211" s="173"/>
      <c r="N211" s="173"/>
      <c r="O211" s="173"/>
      <c r="P211" s="173"/>
      <c r="Q211" s="173"/>
      <c r="R211" s="173"/>
      <c r="S211" s="173"/>
      <c r="T211" s="173"/>
      <c r="U211" s="173"/>
      <c r="V211" s="173"/>
      <c r="W211" s="818"/>
      <c r="X211" s="1599"/>
      <c r="AL211" s="78"/>
      <c r="AM211" s="78"/>
      <c r="AN211" s="78"/>
      <c r="AO211" s="78"/>
      <c r="AP211" s="78"/>
      <c r="AQ211" s="78"/>
      <c r="AR211" s="78"/>
      <c r="AS211" s="78"/>
      <c r="AX211" s="843"/>
      <c r="AY211" s="843"/>
    </row>
    <row r="212" spans="2:51" s="843" customFormat="1" ht="15" customHeight="1" x14ac:dyDescent="0.2">
      <c r="B212" s="600" t="s">
        <v>4421</v>
      </c>
      <c r="C212" s="600"/>
      <c r="D212" s="600"/>
      <c r="E212" s="600"/>
      <c r="F212" s="23"/>
      <c r="G212" s="23"/>
      <c r="H212" s="691"/>
      <c r="I212" s="589" t="s">
        <v>4093</v>
      </c>
      <c r="J212" s="589"/>
      <c r="K212" s="589"/>
      <c r="L212" s="1687" t="s">
        <v>4839</v>
      </c>
      <c r="M212" s="1694" t="s">
        <v>4838</v>
      </c>
      <c r="N212" s="129"/>
      <c r="O212" s="1619">
        <f ca="1">IFERROR(INDEX(M217:M219,MATCH(W212,INDIRECT(U212),0)),0)*S212</f>
        <v>0</v>
      </c>
      <c r="P212" s="96" t="b">
        <v>1</v>
      </c>
      <c r="Q212" s="96" t="b">
        <v>1</v>
      </c>
      <c r="R212" s="96" t="b">
        <v>0</v>
      </c>
      <c r="S212" s="96" t="b">
        <f ca="1">AND(S11=2,OR(W222="Met",W222="N/A"))</f>
        <v>0</v>
      </c>
      <c r="T212" s="96" t="b">
        <f ca="1">AND(NOT(S212),LEN(W212)&gt;0)</f>
        <v>0</v>
      </c>
      <c r="U212" s="881" t="str">
        <f>SUBSTITUTE(SUBSTITUTE(SUBSTITUTE("dd"&amp;B212&amp;C212&amp;D212&amp;E212&amp;F212,".","_"),"(","_"),")","")</f>
        <v>dd703_2_5_2</v>
      </c>
      <c r="W212" s="269"/>
      <c r="X212" s="1632"/>
      <c r="AC212" s="905" t="b">
        <f ca="1">OR(AD212:AE212)</f>
        <v>0</v>
      </c>
      <c r="AD212" s="905" t="b">
        <f ca="1">T212</f>
        <v>0</v>
      </c>
      <c r="AE212" s="905" t="b">
        <f>AND(R212,OR(W212="Not Met",W212=""))</f>
        <v>0</v>
      </c>
      <c r="AL212" s="1352" t="str">
        <f>SUBSTITUTE(SUBSTITUTE(SUBSTITUTE("dpa"&amp;$B212&amp;$C212&amp;$D212&amp;$E212&amp;$F212,".","_"),"(","_"),")","")</f>
        <v>dpa703_2_5_2</v>
      </c>
      <c r="AM212" s="1352" t="str">
        <f>M212</f>
        <v>Per Table 11.703.2.5.2(a) or
11.703.2.5.2(b) or 
11.703.2.5.2(c)</v>
      </c>
      <c r="AN212" s="1352" t="str">
        <f>SUBSTITUTE(SUBSTITUTE(SUBSTITUTE("dpc"&amp;$B212&amp;$C212&amp;$D212&amp;$E212&amp;$F212,".","_"),"(","_"),")","")</f>
        <v>dpc703_2_5_2</v>
      </c>
      <c r="AO212" s="1352">
        <f ca="1">O212</f>
        <v>0</v>
      </c>
      <c r="AP212" s="1352" t="str">
        <f>SUBSTITUTE(SUBSTITUTE(SUBSTITUTE("dch"&amp;$B212&amp;$C212&amp;$D212&amp;$E212&amp;$F212,".","_"),"(","_"),")","")</f>
        <v>dch703_2_5_2</v>
      </c>
      <c r="AQ212" s="1352" t="str">
        <f>IF(LEN(W212)=0,"",W212)</f>
        <v/>
      </c>
      <c r="AR212" s="1352" t="str">
        <f>SUBSTITUTE(SUBSTITUTE(SUBSTITUTE("dnt"&amp;$B212&amp;$C212&amp;$D212&amp;$E212&amp;$F212,".","_"),"(","_"),")","")</f>
        <v>dnt703_2_5_2</v>
      </c>
      <c r="AS212" s="1352" t="str">
        <f>IF(LEN(X212)=0,"",X212)</f>
        <v/>
      </c>
    </row>
    <row r="213" spans="2:51" s="843" customFormat="1" x14ac:dyDescent="0.2">
      <c r="B213" s="600" t="s">
        <v>4421</v>
      </c>
      <c r="C213" s="600"/>
      <c r="D213" s="600"/>
      <c r="E213" s="600"/>
      <c r="F213" s="23"/>
      <c r="G213" s="23"/>
      <c r="H213" s="691"/>
      <c r="I213" s="589"/>
      <c r="J213" s="589"/>
      <c r="K213" s="589"/>
      <c r="L213" s="1687"/>
      <c r="M213" s="1694"/>
      <c r="N213" s="129"/>
      <c r="O213" s="1619"/>
      <c r="P213" s="96"/>
      <c r="Q213" s="96"/>
      <c r="R213" s="96"/>
      <c r="S213" s="96"/>
      <c r="T213" s="96"/>
      <c r="X213" s="1632"/>
      <c r="AL213" s="78"/>
      <c r="AM213" s="78"/>
      <c r="AN213" s="78"/>
      <c r="AO213" s="78"/>
      <c r="AP213" s="78"/>
      <c r="AQ213" s="78"/>
      <c r="AR213" s="78"/>
      <c r="AS213" s="78"/>
    </row>
    <row r="214" spans="2:51" s="843" customFormat="1" x14ac:dyDescent="0.2">
      <c r="B214" s="600" t="s">
        <v>4421</v>
      </c>
      <c r="C214" s="600"/>
      <c r="D214" s="600"/>
      <c r="E214" s="600"/>
      <c r="F214" s="23"/>
      <c r="G214" s="23"/>
      <c r="H214" s="691"/>
      <c r="I214" s="589"/>
      <c r="J214" s="589"/>
      <c r="K214" s="589"/>
      <c r="L214" s="1687"/>
      <c r="M214" s="1694"/>
      <c r="N214" s="129"/>
      <c r="O214" s="1619"/>
      <c r="P214" s="96"/>
      <c r="Q214" s="96"/>
      <c r="R214" s="96"/>
      <c r="S214" s="96"/>
      <c r="T214" s="96"/>
      <c r="X214" s="1632"/>
      <c r="AL214" s="78"/>
      <c r="AM214" s="78"/>
      <c r="AN214" s="78"/>
      <c r="AO214" s="78"/>
      <c r="AP214" s="78"/>
      <c r="AQ214" s="78"/>
      <c r="AR214" s="78"/>
      <c r="AS214" s="78"/>
    </row>
    <row r="215" spans="2:51" s="843" customFormat="1" x14ac:dyDescent="0.2">
      <c r="B215" s="600" t="s">
        <v>4421</v>
      </c>
      <c r="C215" s="600"/>
      <c r="D215" s="600"/>
      <c r="E215" s="600"/>
      <c r="F215" s="23"/>
      <c r="G215" s="23"/>
      <c r="H215" s="691"/>
      <c r="I215" s="589"/>
      <c r="J215" s="589"/>
      <c r="K215" s="589"/>
      <c r="L215" s="1687"/>
      <c r="M215" s="1694"/>
      <c r="N215" s="129"/>
      <c r="O215" s="1619"/>
      <c r="P215" s="96"/>
      <c r="Q215" s="96"/>
      <c r="R215" s="96"/>
      <c r="S215" s="96"/>
      <c r="T215" s="96"/>
      <c r="X215" s="1632"/>
      <c r="AL215" s="78"/>
      <c r="AM215" s="78"/>
      <c r="AN215" s="78"/>
      <c r="AO215" s="78"/>
      <c r="AP215" s="78"/>
      <c r="AQ215" s="78"/>
      <c r="AR215" s="78"/>
      <c r="AS215" s="78"/>
    </row>
    <row r="216" spans="2:51" s="881" customFormat="1" x14ac:dyDescent="0.2">
      <c r="B216" s="600" t="s">
        <v>4421</v>
      </c>
      <c r="C216" s="600"/>
      <c r="D216" s="600"/>
      <c r="E216" s="600"/>
      <c r="F216" s="23"/>
      <c r="G216" s="23"/>
      <c r="H216" s="691"/>
      <c r="I216" s="589"/>
      <c r="J216" s="589"/>
      <c r="K216" s="589"/>
      <c r="L216" s="1687"/>
      <c r="M216" s="1694"/>
      <c r="N216" s="129"/>
      <c r="O216" s="1619"/>
      <c r="P216" s="96"/>
      <c r="Q216" s="96"/>
      <c r="R216" s="96"/>
      <c r="S216" s="96"/>
      <c r="T216" s="96"/>
      <c r="X216" s="1632"/>
      <c r="AL216" s="78"/>
      <c r="AM216" s="78"/>
      <c r="AN216" s="78"/>
      <c r="AO216" s="78"/>
      <c r="AP216" s="78"/>
      <c r="AQ216" s="78"/>
      <c r="AR216" s="78"/>
      <c r="AS216" s="78"/>
      <c r="AX216" s="843"/>
      <c r="AY216" s="843"/>
    </row>
    <row r="217" spans="2:51" s="843" customFormat="1" x14ac:dyDescent="0.2">
      <c r="B217" s="600" t="s">
        <v>4421</v>
      </c>
      <c r="C217" s="600" t="s">
        <v>121</v>
      </c>
      <c r="D217" s="600"/>
      <c r="E217" s="600"/>
      <c r="F217" s="23"/>
      <c r="G217" s="23"/>
      <c r="H217" s="691"/>
      <c r="I217" s="589"/>
      <c r="J217" s="589"/>
      <c r="K217" s="606" t="s">
        <v>121</v>
      </c>
      <c r="L217" s="923" t="s">
        <v>4841</v>
      </c>
      <c r="M217" s="975">
        <f>IFERROR(INDEX({1,1,2,3,3,4,4,4},T247),0)</f>
        <v>2</v>
      </c>
      <c r="N217" s="129"/>
      <c r="O217" s="886"/>
      <c r="P217" s="96"/>
      <c r="Q217" s="96"/>
      <c r="R217" s="96"/>
      <c r="S217" s="96"/>
      <c r="T217" s="96"/>
      <c r="X217" s="1632"/>
      <c r="AL217" s="1352" t="str">
        <f>SUBSTITUTE(SUBSTITUTE(SUBSTITUTE("dpa"&amp;$B217&amp;$C217&amp;$D217&amp;$E217&amp;$F217,".","_"),"(","_"),")","")</f>
        <v>dpa703_2_5_2_a</v>
      </c>
      <c r="AM217" s="1352">
        <f>M217</f>
        <v>2</v>
      </c>
      <c r="AN217" s="78"/>
      <c r="AO217" s="78"/>
      <c r="AP217" s="78"/>
      <c r="AQ217" s="78"/>
      <c r="AR217" s="78"/>
      <c r="AS217" s="78"/>
    </row>
    <row r="218" spans="2:51" s="843" customFormat="1" x14ac:dyDescent="0.2">
      <c r="B218" s="600" t="s">
        <v>4421</v>
      </c>
      <c r="C218" s="600" t="s">
        <v>122</v>
      </c>
      <c r="D218" s="600"/>
      <c r="E218" s="600"/>
      <c r="F218" s="23"/>
      <c r="G218" s="23"/>
      <c r="H218" s="691"/>
      <c r="I218" s="589"/>
      <c r="J218" s="589"/>
      <c r="K218" s="607" t="s">
        <v>122</v>
      </c>
      <c r="L218" s="1075" t="s">
        <v>4842</v>
      </c>
      <c r="M218" s="139">
        <f>IFERROR(INDEX({2,3,4,4,4,5,5,4},T247),0)</f>
        <v>4</v>
      </c>
      <c r="N218" s="129"/>
      <c r="O218" s="886"/>
      <c r="P218" s="96"/>
      <c r="Q218" s="96"/>
      <c r="R218" s="96"/>
      <c r="S218" s="96"/>
      <c r="T218" s="96"/>
      <c r="X218" s="1632"/>
      <c r="AL218" s="1352" t="str">
        <f>SUBSTITUTE(SUBSTITUTE(SUBSTITUTE("dpa"&amp;$B218&amp;$C218&amp;$D218&amp;$E218&amp;$F218,".","_"),"(","_"),")","")</f>
        <v>dpa703_2_5_2_b</v>
      </c>
      <c r="AM218" s="1352">
        <f>M218</f>
        <v>4</v>
      </c>
      <c r="AN218" s="78"/>
      <c r="AO218" s="78"/>
      <c r="AP218" s="78"/>
      <c r="AQ218" s="78"/>
      <c r="AR218" s="78"/>
      <c r="AS218" s="78"/>
      <c r="AX218" s="881"/>
      <c r="AY218" s="881"/>
    </row>
    <row r="219" spans="2:51" s="843" customFormat="1" x14ac:dyDescent="0.2">
      <c r="B219" s="600" t="s">
        <v>4421</v>
      </c>
      <c r="C219" s="600" t="s">
        <v>123</v>
      </c>
      <c r="D219" s="600"/>
      <c r="E219" s="600"/>
      <c r="F219" s="23"/>
      <c r="G219" s="23"/>
      <c r="H219" s="691"/>
      <c r="I219" s="589"/>
      <c r="J219" s="589"/>
      <c r="K219" s="589" t="s">
        <v>123</v>
      </c>
      <c r="L219" s="917" t="s">
        <v>4843</v>
      </c>
      <c r="M219" s="896">
        <f>IF(T248,3,1)*IFERROR(INDEX({0,0,0,6,6,6,6,6},T247),0)</f>
        <v>0</v>
      </c>
      <c r="N219" s="129"/>
      <c r="O219" s="886"/>
      <c r="P219" s="96"/>
      <c r="Q219" s="96"/>
      <c r="R219" s="96"/>
      <c r="S219" s="96"/>
      <c r="T219" s="96"/>
      <c r="X219" s="1632"/>
      <c r="AL219" s="1352" t="str">
        <f>SUBSTITUTE(SUBSTITUTE(SUBSTITUTE("dpa"&amp;$B219&amp;$C219&amp;$D219&amp;$E219&amp;$F219,".","_"),"(","_"),")","")</f>
        <v>dpa703_2_5_2_c</v>
      </c>
      <c r="AM219" s="1352">
        <f>M219</f>
        <v>0</v>
      </c>
      <c r="AN219" s="78"/>
      <c r="AO219" s="78"/>
      <c r="AP219" s="78"/>
      <c r="AQ219" s="78"/>
      <c r="AR219" s="78"/>
      <c r="AS219" s="78"/>
    </row>
    <row r="220" spans="2:51" s="905" customFormat="1" x14ac:dyDescent="0.2">
      <c r="B220" s="600" t="s">
        <v>4421</v>
      </c>
      <c r="C220" s="600"/>
      <c r="D220" s="600"/>
      <c r="E220" s="600"/>
      <c r="F220" s="23"/>
      <c r="G220" s="23"/>
      <c r="H220" s="691"/>
      <c r="I220" s="589"/>
      <c r="J220" s="589"/>
      <c r="K220" s="589"/>
      <c r="L220" s="1634" t="s">
        <v>4840</v>
      </c>
      <c r="M220" s="953"/>
      <c r="N220" s="129"/>
      <c r="O220" s="908"/>
      <c r="P220" s="991"/>
      <c r="Q220" s="991"/>
      <c r="R220" s="991"/>
      <c r="S220" s="991"/>
      <c r="T220" s="991"/>
      <c r="X220" s="1632"/>
      <c r="AL220" s="78"/>
      <c r="AM220" s="78"/>
      <c r="AN220" s="78"/>
      <c r="AO220" s="78"/>
      <c r="AP220" s="78"/>
      <c r="AQ220" s="78"/>
      <c r="AR220" s="78"/>
      <c r="AS220" s="78"/>
      <c r="AX220" s="843"/>
      <c r="AY220" s="843"/>
    </row>
    <row r="221" spans="2:51" s="905" customFormat="1" x14ac:dyDescent="0.2">
      <c r="B221" s="600" t="s">
        <v>4421</v>
      </c>
      <c r="C221" s="600"/>
      <c r="D221" s="600"/>
      <c r="E221" s="600"/>
      <c r="F221" s="23"/>
      <c r="G221" s="23"/>
      <c r="H221" s="691"/>
      <c r="I221" s="589"/>
      <c r="J221" s="589"/>
      <c r="K221" s="589"/>
      <c r="L221" s="1634"/>
      <c r="M221" s="953"/>
      <c r="N221" s="129"/>
      <c r="O221" s="908"/>
      <c r="P221" s="991"/>
      <c r="Q221" s="991"/>
      <c r="R221" s="991"/>
      <c r="S221" s="991"/>
      <c r="T221" s="991"/>
      <c r="X221" s="1599"/>
      <c r="AL221" s="78"/>
      <c r="AM221" s="78"/>
      <c r="AN221" s="78"/>
      <c r="AO221" s="78"/>
      <c r="AP221" s="78"/>
      <c r="AQ221" s="78"/>
      <c r="AR221" s="78"/>
      <c r="AS221" s="78"/>
      <c r="AX221" s="843"/>
      <c r="AY221" s="843"/>
    </row>
    <row r="222" spans="2:51" s="843" customFormat="1" x14ac:dyDescent="0.2">
      <c r="B222" s="600" t="s">
        <v>4422</v>
      </c>
      <c r="C222" s="600"/>
      <c r="D222" s="600"/>
      <c r="E222" s="600"/>
      <c r="F222" s="23"/>
      <c r="G222" s="23"/>
      <c r="H222" s="691"/>
      <c r="I222" s="590" t="s">
        <v>4094</v>
      </c>
      <c r="J222" s="590"/>
      <c r="K222" s="590"/>
      <c r="L222" s="1687" t="s">
        <v>4095</v>
      </c>
      <c r="M222" s="953"/>
      <c r="N222" s="129"/>
      <c r="O222" s="908"/>
      <c r="P222" s="991" t="b">
        <v>1</v>
      </c>
      <c r="Q222" s="991" t="b">
        <v>1</v>
      </c>
      <c r="R222" s="991" t="b">
        <v>0</v>
      </c>
      <c r="S222" s="991" t="b">
        <f ca="1">S11=2</f>
        <v>0</v>
      </c>
      <c r="T222" s="991" t="b">
        <f ca="1">AND(NOT(S222),LEN(W222)&gt;0)</f>
        <v>0</v>
      </c>
      <c r="U222" s="991" t="str">
        <f>SUBSTITUTE(SUBSTITUTE(SUBSTITUTE("dd"&amp;B222&amp;C222&amp;D222&amp;E222&amp;F222,".","_"),"(","_"),")","")</f>
        <v>dd703_2_5_2_1</v>
      </c>
      <c r="V222" s="991"/>
      <c r="W222" s="110"/>
      <c r="X222" s="1601"/>
      <c r="AC222" s="905" t="b">
        <f ca="1">OR(AD222:AE222)</f>
        <v>0</v>
      </c>
      <c r="AD222" s="905" t="b">
        <f ca="1">T222</f>
        <v>0</v>
      </c>
      <c r="AE222" s="905" t="b">
        <f>AND(R222,OR(W222="Not Met",W222=""))</f>
        <v>0</v>
      </c>
      <c r="AL222" s="78"/>
      <c r="AM222" s="78"/>
      <c r="AN222" s="78"/>
      <c r="AO222" s="78"/>
      <c r="AP222" s="1352" t="str">
        <f>SUBSTITUTE(SUBSTITUTE(SUBSTITUTE("dch"&amp;$B222&amp;$C222&amp;$D222&amp;$E222&amp;$F222,".","_"),"(","_"),")","")</f>
        <v>dch703_2_5_2_1</v>
      </c>
      <c r="AQ222" s="1352" t="str">
        <f>IF(LEN(W222)=0,"",W222)</f>
        <v/>
      </c>
      <c r="AR222" s="1352" t="str">
        <f>SUBSTITUTE(SUBSTITUTE(SUBSTITUTE("dnt"&amp;$B222&amp;$C222&amp;$D222&amp;$E222&amp;$F222,".","_"),"(","_"),")","")</f>
        <v>dnt703_2_5_2_1</v>
      </c>
      <c r="AS222" s="1352" t="str">
        <f>IF(LEN(X222)=0,"",X222)</f>
        <v/>
      </c>
      <c r="AX222" s="905"/>
      <c r="AY222" s="905"/>
    </row>
    <row r="223" spans="2:51" s="843" customFormat="1" x14ac:dyDescent="0.2">
      <c r="B223" s="600" t="s">
        <v>4422</v>
      </c>
      <c r="C223" s="600"/>
      <c r="D223" s="600"/>
      <c r="E223" s="600"/>
      <c r="F223" s="23"/>
      <c r="G223" s="23"/>
      <c r="H223" s="691"/>
      <c r="I223" s="590"/>
      <c r="J223" s="590"/>
      <c r="K223" s="590"/>
      <c r="L223" s="1687"/>
      <c r="M223" s="953"/>
      <c r="N223" s="129"/>
      <c r="O223" s="908"/>
      <c r="P223" s="991"/>
      <c r="Q223" s="991"/>
      <c r="R223" s="991"/>
      <c r="S223" s="991"/>
      <c r="T223" s="991"/>
      <c r="U223" s="991"/>
      <c r="V223" s="991"/>
      <c r="W223" s="991"/>
      <c r="X223" s="1601"/>
      <c r="AL223" s="78"/>
      <c r="AM223" s="78"/>
      <c r="AN223" s="78"/>
      <c r="AO223" s="78"/>
      <c r="AP223" s="78"/>
      <c r="AQ223" s="78"/>
      <c r="AR223" s="78"/>
      <c r="AS223" s="78"/>
      <c r="AX223" s="905"/>
      <c r="AY223" s="905"/>
    </row>
    <row r="224" spans="2:51" s="843" customFormat="1" x14ac:dyDescent="0.2">
      <c r="B224" s="600" t="s">
        <v>4422</v>
      </c>
      <c r="C224" s="600"/>
      <c r="D224" s="600"/>
      <c r="E224" s="600"/>
      <c r="F224" s="23"/>
      <c r="G224" s="23"/>
      <c r="H224" s="691"/>
      <c r="I224" s="590"/>
      <c r="J224" s="590"/>
      <c r="K224" s="590"/>
      <c r="L224" s="1687"/>
      <c r="M224" s="953"/>
      <c r="N224" s="129"/>
      <c r="O224" s="908"/>
      <c r="P224" s="991"/>
      <c r="Q224" s="991"/>
      <c r="R224" s="991"/>
      <c r="S224" s="991"/>
      <c r="T224" s="991"/>
      <c r="U224" s="991"/>
      <c r="V224" s="991"/>
      <c r="W224" s="991"/>
      <c r="X224" s="1601"/>
      <c r="AL224" s="78"/>
      <c r="AM224" s="78"/>
      <c r="AN224" s="78"/>
      <c r="AO224" s="78"/>
      <c r="AP224" s="78"/>
      <c r="AQ224" s="78"/>
      <c r="AR224" s="78"/>
      <c r="AS224" s="78"/>
    </row>
    <row r="225" spans="2:45" s="843" customFormat="1" x14ac:dyDescent="0.2">
      <c r="B225" s="600" t="s">
        <v>4422</v>
      </c>
      <c r="C225" s="600"/>
      <c r="D225" s="600"/>
      <c r="E225" s="600"/>
      <c r="F225" s="23"/>
      <c r="G225" s="23"/>
      <c r="H225" s="691"/>
      <c r="I225" s="590"/>
      <c r="J225" s="590"/>
      <c r="K225" s="590"/>
      <c r="L225" s="1687"/>
      <c r="M225" s="953"/>
      <c r="N225" s="129"/>
      <c r="O225" s="908"/>
      <c r="P225" s="991"/>
      <c r="Q225" s="991"/>
      <c r="R225" s="991"/>
      <c r="S225" s="991"/>
      <c r="T225" s="991"/>
      <c r="U225" s="991"/>
      <c r="V225" s="991"/>
      <c r="W225" s="991"/>
      <c r="X225" s="1601"/>
      <c r="AL225" s="78"/>
      <c r="AM225" s="78"/>
      <c r="AN225" s="78"/>
      <c r="AO225" s="78"/>
      <c r="AP225" s="78"/>
      <c r="AQ225" s="78"/>
      <c r="AR225" s="78"/>
      <c r="AS225" s="78"/>
    </row>
    <row r="226" spans="2:45" s="843" customFormat="1" x14ac:dyDescent="0.2">
      <c r="B226" s="600" t="s">
        <v>4422</v>
      </c>
      <c r="C226" s="600"/>
      <c r="D226" s="600"/>
      <c r="E226" s="600"/>
      <c r="F226" s="23"/>
      <c r="G226" s="23"/>
      <c r="H226" s="691"/>
      <c r="I226" s="590"/>
      <c r="J226" s="590"/>
      <c r="K226" s="590"/>
      <c r="L226" s="1687"/>
      <c r="M226" s="953"/>
      <c r="N226" s="129"/>
      <c r="O226" s="908"/>
      <c r="P226" s="991"/>
      <c r="Q226" s="991"/>
      <c r="R226" s="991"/>
      <c r="S226" s="991"/>
      <c r="T226" s="991"/>
      <c r="U226" s="991"/>
      <c r="V226" s="991"/>
      <c r="W226" s="991"/>
      <c r="X226" s="1601"/>
      <c r="AL226" s="78"/>
      <c r="AM226" s="78"/>
      <c r="AN226" s="78"/>
      <c r="AO226" s="78"/>
      <c r="AP226" s="78"/>
      <c r="AQ226" s="78"/>
      <c r="AR226" s="78"/>
      <c r="AS226" s="78"/>
    </row>
    <row r="227" spans="2:45" s="843" customFormat="1" x14ac:dyDescent="0.2">
      <c r="B227" s="600" t="s">
        <v>4422</v>
      </c>
      <c r="C227" s="600"/>
      <c r="D227" s="600"/>
      <c r="E227" s="600"/>
      <c r="F227" s="23"/>
      <c r="G227" s="23"/>
      <c r="H227" s="691"/>
      <c r="I227" s="590"/>
      <c r="J227" s="590"/>
      <c r="K227" s="590"/>
      <c r="L227" s="1687"/>
      <c r="M227" s="953"/>
      <c r="N227" s="129"/>
      <c r="O227" s="908"/>
      <c r="P227" s="991"/>
      <c r="Q227" s="991"/>
      <c r="R227" s="991"/>
      <c r="S227" s="991"/>
      <c r="T227" s="991"/>
      <c r="U227" s="991"/>
      <c r="V227" s="991"/>
      <c r="W227" s="991"/>
      <c r="X227" s="1601"/>
      <c r="AL227" s="78"/>
      <c r="AM227" s="78"/>
      <c r="AN227" s="78"/>
      <c r="AO227" s="78"/>
      <c r="AP227" s="78"/>
      <c r="AQ227" s="78"/>
      <c r="AR227" s="78"/>
      <c r="AS227" s="78"/>
    </row>
    <row r="228" spans="2:45" s="843" customFormat="1" x14ac:dyDescent="0.2">
      <c r="B228" s="600" t="s">
        <v>4422</v>
      </c>
      <c r="C228" s="600"/>
      <c r="D228" s="600"/>
      <c r="E228" s="600"/>
      <c r="F228" s="23"/>
      <c r="G228" s="23"/>
      <c r="H228" s="691"/>
      <c r="I228" s="590"/>
      <c r="J228" s="590"/>
      <c r="K228" s="590"/>
      <c r="L228" s="1687"/>
      <c r="M228" s="991"/>
      <c r="N228" s="991"/>
      <c r="O228" s="991"/>
      <c r="P228" s="991"/>
      <c r="Q228" s="991"/>
      <c r="R228" s="991"/>
      <c r="S228" s="991"/>
      <c r="T228" s="991"/>
      <c r="U228" s="991"/>
      <c r="V228" s="991"/>
      <c r="W228" s="991"/>
      <c r="X228" s="1601"/>
      <c r="AL228" s="78"/>
      <c r="AM228" s="78"/>
      <c r="AN228" s="78"/>
      <c r="AO228" s="78"/>
      <c r="AP228" s="78"/>
      <c r="AQ228" s="78"/>
      <c r="AR228" s="78"/>
      <c r="AS228" s="78"/>
    </row>
    <row r="229" spans="2:45" s="843" customFormat="1" x14ac:dyDescent="0.2">
      <c r="B229" s="600" t="s">
        <v>4422</v>
      </c>
      <c r="C229" s="600"/>
      <c r="D229" s="600"/>
      <c r="E229" s="600"/>
      <c r="F229" s="23"/>
      <c r="G229" s="23"/>
      <c r="H229" s="691"/>
      <c r="I229" s="590"/>
      <c r="J229" s="590"/>
      <c r="K229" s="590"/>
      <c r="L229" s="1687"/>
      <c r="M229" s="991"/>
      <c r="N229" s="991"/>
      <c r="O229" s="991"/>
      <c r="P229" s="991"/>
      <c r="Q229" s="991"/>
      <c r="R229" s="991"/>
      <c r="S229" s="991"/>
      <c r="T229" s="991"/>
      <c r="U229" s="991"/>
      <c r="V229" s="991"/>
      <c r="W229" s="991"/>
      <c r="X229" s="1601"/>
      <c r="AL229" s="78"/>
      <c r="AM229" s="78"/>
      <c r="AN229" s="78"/>
      <c r="AO229" s="78"/>
      <c r="AP229" s="78"/>
      <c r="AQ229" s="78"/>
      <c r="AR229" s="78"/>
      <c r="AS229" s="78"/>
    </row>
    <row r="230" spans="2:45" s="843" customFormat="1" ht="16" thickBot="1" x14ac:dyDescent="0.25">
      <c r="B230" s="600" t="s">
        <v>4422</v>
      </c>
      <c r="C230" s="600"/>
      <c r="D230" s="600"/>
      <c r="E230" s="600"/>
      <c r="F230" s="23"/>
      <c r="G230" s="23"/>
      <c r="H230" s="691"/>
      <c r="I230" s="594"/>
      <c r="J230" s="594"/>
      <c r="K230" s="594"/>
      <c r="L230" s="1738"/>
      <c r="M230" s="100"/>
      <c r="N230" s="100"/>
      <c r="O230" s="100"/>
      <c r="P230" s="100"/>
      <c r="Q230" s="100"/>
      <c r="R230" s="100"/>
      <c r="S230" s="100"/>
      <c r="T230" s="100"/>
      <c r="U230" s="100"/>
      <c r="V230" s="100"/>
      <c r="W230" s="100"/>
      <c r="X230" s="1602"/>
      <c r="AL230" s="78"/>
      <c r="AM230" s="78"/>
      <c r="AN230" s="78"/>
      <c r="AO230" s="78"/>
      <c r="AP230" s="78"/>
      <c r="AQ230" s="78"/>
      <c r="AR230" s="78"/>
      <c r="AS230" s="78"/>
    </row>
    <row r="231" spans="2:45" s="843" customFormat="1" ht="16" thickTop="1" x14ac:dyDescent="0.2">
      <c r="B231" s="600">
        <v>703.3</v>
      </c>
      <c r="C231" s="600"/>
      <c r="D231" s="600"/>
      <c r="E231" s="600"/>
      <c r="F231" s="23"/>
      <c r="G231" s="23"/>
      <c r="H231" s="691"/>
      <c r="I231" s="589" t="s">
        <v>4096</v>
      </c>
      <c r="J231" s="589"/>
      <c r="K231" s="589"/>
      <c r="L231" s="869" t="s">
        <v>4097</v>
      </c>
      <c r="M231" s="96"/>
      <c r="N231" s="96"/>
      <c r="O231" s="96"/>
      <c r="P231" s="96"/>
      <c r="Q231" s="96"/>
      <c r="R231" s="96"/>
      <c r="S231" s="96"/>
      <c r="T231" s="96"/>
      <c r="AL231" s="78"/>
      <c r="AM231" s="78"/>
      <c r="AN231" s="78"/>
      <c r="AO231" s="78"/>
      <c r="AP231" s="78"/>
      <c r="AQ231" s="78"/>
      <c r="AR231" s="78"/>
      <c r="AS231" s="78"/>
    </row>
    <row r="232" spans="2:45" s="843" customFormat="1" x14ac:dyDescent="0.2">
      <c r="B232" s="600" t="s">
        <v>4423</v>
      </c>
      <c r="C232" s="600" t="s">
        <v>254</v>
      </c>
      <c r="D232" s="600"/>
      <c r="E232" s="600"/>
      <c r="F232" s="23"/>
      <c r="G232" s="23"/>
      <c r="H232" s="691"/>
      <c r="I232" s="589" t="s">
        <v>4098</v>
      </c>
      <c r="J232" s="589"/>
      <c r="K232" s="589"/>
      <c r="L232" s="1687" t="s">
        <v>4099</v>
      </c>
      <c r="M232" s="882"/>
      <c r="N232" s="129"/>
      <c r="O232" s="886"/>
      <c r="P232" s="96"/>
      <c r="Q232" s="96"/>
      <c r="R232" s="96"/>
      <c r="S232" s="96"/>
      <c r="T232" s="96"/>
      <c r="W232" s="881" t="s">
        <v>4511</v>
      </c>
      <c r="X232" s="1600"/>
      <c r="AL232" s="78"/>
      <c r="AM232" s="78"/>
      <c r="AN232" s="78"/>
      <c r="AO232" s="78"/>
      <c r="AP232" s="78"/>
      <c r="AQ232" s="78"/>
      <c r="AR232" s="1352" t="str">
        <f>SUBSTITUTE(SUBSTITUTE(SUBSTITUTE("dnt"&amp;$B232&amp;$C232&amp;$D232&amp;$E232&amp;$F232,".","_"),"(","_"),")","")</f>
        <v>dnt703_3_0_1</v>
      </c>
      <c r="AS232" s="1352" t="str">
        <f>IF(LEN(X232)=0,"",X232)</f>
        <v/>
      </c>
    </row>
    <row r="233" spans="2:45" s="843" customFormat="1" x14ac:dyDescent="0.2">
      <c r="B233" s="600" t="s">
        <v>4423</v>
      </c>
      <c r="C233" s="600" t="s">
        <v>254</v>
      </c>
      <c r="D233" s="600"/>
      <c r="E233" s="600"/>
      <c r="F233" s="23"/>
      <c r="G233" s="23"/>
      <c r="H233" s="691"/>
      <c r="I233" s="589"/>
      <c r="J233" s="589"/>
      <c r="K233" s="589"/>
      <c r="L233" s="1687"/>
      <c r="M233" s="882"/>
      <c r="N233" s="129"/>
      <c r="O233" s="886"/>
      <c r="P233" s="96" t="b">
        <v>1</v>
      </c>
      <c r="Q233" s="96" t="b">
        <v>1</v>
      </c>
      <c r="R233" s="96" t="b">
        <v>0</v>
      </c>
      <c r="S233" s="96" t="b">
        <f ca="1">S11=2</f>
        <v>0</v>
      </c>
      <c r="T233" s="96" t="b">
        <f ca="1">AND(NOT(S233),LEN(W233)&gt;0)</f>
        <v>0</v>
      </c>
      <c r="U233" s="881" t="str">
        <f>SUBSTITUTE(SUBSTITUTE(SUBSTITUTE("dd"&amp;B233&amp;C233&amp;D233&amp;E233&amp;F233,".","_"),"(","_"),")","")</f>
        <v>dd703_3_0_1</v>
      </c>
      <c r="W233" s="12"/>
      <c r="X233" s="1600"/>
      <c r="AC233" s="905" t="b">
        <f ca="1">OR(AD233:AE233)</f>
        <v>0</v>
      </c>
      <c r="AD233" s="905" t="b">
        <f ca="1">T233</f>
        <v>0</v>
      </c>
      <c r="AE233" s="905" t="b">
        <f ca="1">AND(W233=INDEX(INDIRECT(U233),1),LEN(X232)=0)</f>
        <v>0</v>
      </c>
      <c r="AL233" s="78"/>
      <c r="AM233" s="78"/>
      <c r="AN233" s="78"/>
      <c r="AO233" s="78"/>
      <c r="AP233" s="1352" t="str">
        <f>SUBSTITUTE(SUBSTITUTE(SUBSTITUTE("dch"&amp;$B233&amp;$C233&amp;$D233&amp;$E233&amp;$F233,".","_"),"(","_"),")","")</f>
        <v>dch703_3_0_1</v>
      </c>
      <c r="AQ233" s="1352" t="str">
        <f>IF(LEN(W233)=0,"",W233)</f>
        <v/>
      </c>
      <c r="AR233" s="78"/>
      <c r="AS233" s="78"/>
    </row>
    <row r="234" spans="2:45" s="843" customFormat="1" x14ac:dyDescent="0.2">
      <c r="B234" s="600" t="s">
        <v>4423</v>
      </c>
      <c r="C234" s="600"/>
      <c r="D234" s="600"/>
      <c r="E234" s="600"/>
      <c r="F234" s="23"/>
      <c r="G234" s="23"/>
      <c r="H234" s="691"/>
      <c r="I234" s="589"/>
      <c r="J234" s="589"/>
      <c r="K234" s="589"/>
      <c r="L234" s="1687"/>
      <c r="M234" s="882"/>
      <c r="N234" s="129"/>
      <c r="O234" s="886"/>
      <c r="P234" s="96"/>
      <c r="Q234" s="96"/>
      <c r="R234" s="96"/>
      <c r="S234" s="96"/>
      <c r="T234" s="96"/>
      <c r="X234" s="1600"/>
      <c r="AE234" s="905"/>
      <c r="AL234" s="78"/>
      <c r="AM234" s="78"/>
      <c r="AN234" s="78"/>
      <c r="AO234" s="78"/>
      <c r="AP234" s="78"/>
      <c r="AQ234" s="78"/>
      <c r="AR234" s="78"/>
      <c r="AS234" s="78"/>
    </row>
    <row r="235" spans="2:45" s="843" customFormat="1" x14ac:dyDescent="0.2">
      <c r="B235" s="600" t="s">
        <v>4423</v>
      </c>
      <c r="C235" s="600"/>
      <c r="D235" s="600"/>
      <c r="E235" s="600"/>
      <c r="F235" s="23"/>
      <c r="G235" s="23"/>
      <c r="H235" s="691"/>
      <c r="I235" s="589"/>
      <c r="J235" s="589"/>
      <c r="K235" s="589"/>
      <c r="L235" s="1687"/>
      <c r="M235" s="882"/>
      <c r="N235" s="129"/>
      <c r="O235" s="886"/>
      <c r="P235" s="96"/>
      <c r="Q235" s="96"/>
      <c r="R235" s="96"/>
      <c r="S235" s="96"/>
      <c r="T235" s="96"/>
      <c r="X235" s="1600"/>
      <c r="AE235" s="905"/>
      <c r="AL235" s="78"/>
      <c r="AM235" s="78"/>
      <c r="AN235" s="78"/>
      <c r="AO235" s="78"/>
      <c r="AP235" s="78"/>
      <c r="AQ235" s="78"/>
      <c r="AR235" s="78"/>
      <c r="AS235" s="78"/>
    </row>
    <row r="236" spans="2:45" s="843" customFormat="1" x14ac:dyDescent="0.2">
      <c r="B236" s="600" t="s">
        <v>4423</v>
      </c>
      <c r="C236" s="600"/>
      <c r="D236" s="600"/>
      <c r="E236" s="600"/>
      <c r="F236" s="23"/>
      <c r="G236" s="23"/>
      <c r="H236" s="691"/>
      <c r="I236" s="589"/>
      <c r="J236" s="589"/>
      <c r="K236" s="589"/>
      <c r="L236" s="1687"/>
      <c r="M236" s="882"/>
      <c r="N236" s="129"/>
      <c r="O236" s="886"/>
      <c r="P236" s="96"/>
      <c r="Q236" s="96"/>
      <c r="R236" s="96"/>
      <c r="S236" s="96"/>
      <c r="T236" s="96"/>
      <c r="X236" s="1600"/>
      <c r="AE236" s="905"/>
      <c r="AL236" s="78"/>
      <c r="AM236" s="78"/>
      <c r="AN236" s="78"/>
      <c r="AO236" s="78"/>
      <c r="AP236" s="78"/>
      <c r="AQ236" s="78"/>
      <c r="AR236" s="78"/>
      <c r="AS236" s="78"/>
    </row>
    <row r="237" spans="2:45" s="843" customFormat="1" x14ac:dyDescent="0.2">
      <c r="B237" s="600" t="s">
        <v>4423</v>
      </c>
      <c r="C237" s="600"/>
      <c r="D237" s="600"/>
      <c r="E237" s="600"/>
      <c r="F237" s="23"/>
      <c r="G237" s="23"/>
      <c r="H237" s="691"/>
      <c r="I237" s="589"/>
      <c r="J237" s="589"/>
      <c r="K237" s="589"/>
      <c r="L237" s="1687"/>
      <c r="M237" s="882"/>
      <c r="N237" s="129"/>
      <c r="O237" s="886"/>
      <c r="P237" s="96"/>
      <c r="Q237" s="96"/>
      <c r="R237" s="96"/>
      <c r="S237" s="96"/>
      <c r="T237" s="96"/>
      <c r="X237" s="1600"/>
      <c r="AE237" s="905"/>
      <c r="AL237" s="78"/>
      <c r="AM237" s="78"/>
      <c r="AN237" s="78"/>
      <c r="AO237" s="78"/>
      <c r="AP237" s="78"/>
      <c r="AQ237" s="78"/>
      <c r="AR237" s="78"/>
      <c r="AS237" s="78"/>
    </row>
    <row r="238" spans="2:45" s="843" customFormat="1" x14ac:dyDescent="0.2">
      <c r="B238" s="600" t="s">
        <v>4423</v>
      </c>
      <c r="C238" s="600" t="s">
        <v>255</v>
      </c>
      <c r="D238" s="600"/>
      <c r="E238" s="600"/>
      <c r="F238" s="23"/>
      <c r="G238" s="23"/>
      <c r="H238" s="691"/>
      <c r="I238" s="589"/>
      <c r="J238" s="589"/>
      <c r="K238" s="589"/>
      <c r="L238" s="1687"/>
      <c r="M238" s="882"/>
      <c r="N238" s="129"/>
      <c r="O238" s="886"/>
      <c r="P238" s="96"/>
      <c r="Q238" s="96"/>
      <c r="R238" s="96"/>
      <c r="S238" s="96"/>
      <c r="T238" s="96"/>
      <c r="W238" s="881" t="s">
        <v>4850</v>
      </c>
      <c r="X238" s="1600"/>
      <c r="AE238" s="905"/>
      <c r="AL238" s="78"/>
      <c r="AM238" s="78"/>
      <c r="AN238" s="78"/>
      <c r="AO238" s="78"/>
      <c r="AP238" s="78"/>
      <c r="AQ238" s="78"/>
      <c r="AR238" s="1352" t="str">
        <f>SUBSTITUTE(SUBSTITUTE(SUBSTITUTE("dnt"&amp;$B238&amp;$C238&amp;$D238&amp;$E238&amp;$F238,".","_"),"(","_"),")","")</f>
        <v>dnt703_3_0_2</v>
      </c>
      <c r="AS238" s="1352" t="str">
        <f>IF(LEN(X238)=0,"",X238)</f>
        <v/>
      </c>
    </row>
    <row r="239" spans="2:45" s="843" customFormat="1" x14ac:dyDescent="0.2">
      <c r="B239" s="600" t="s">
        <v>4423</v>
      </c>
      <c r="C239" s="600" t="s">
        <v>255</v>
      </c>
      <c r="D239" s="600"/>
      <c r="E239" s="600"/>
      <c r="F239" s="23"/>
      <c r="G239" s="23"/>
      <c r="H239" s="691"/>
      <c r="I239" s="589"/>
      <c r="J239" s="589"/>
      <c r="K239" s="589"/>
      <c r="L239" s="1687"/>
      <c r="M239" s="882"/>
      <c r="N239" s="129"/>
      <c r="O239" s="886"/>
      <c r="P239" s="96" t="b">
        <v>1</v>
      </c>
      <c r="Q239" s="96" t="b">
        <v>1</v>
      </c>
      <c r="R239" s="96" t="b">
        <v>0</v>
      </c>
      <c r="S239" s="96" t="b">
        <f ca="1">S11=2</f>
        <v>0</v>
      </c>
      <c r="T239" s="96" t="b">
        <f ca="1">AND(NOT(S239),LEN(W239)&gt;0)</f>
        <v>0</v>
      </c>
      <c r="U239" s="881" t="str">
        <f>SUBSTITUTE(SUBSTITUTE(SUBSTITUTE("dd"&amp;B239&amp;C239&amp;D239&amp;E239&amp;F239,".","_"),"(","_"),")","")</f>
        <v>dd703_3_0_2</v>
      </c>
      <c r="W239" s="12"/>
      <c r="X239" s="1600"/>
      <c r="AC239" s="905" t="b">
        <f ca="1">OR(AD239:AE239)</f>
        <v>0</v>
      </c>
      <c r="AD239" s="905" t="b">
        <f ca="1">T239</f>
        <v>0</v>
      </c>
      <c r="AE239" s="905" t="b">
        <f ca="1">AND(W239=INDEX(INDIRECT(U239),1),LEN(X238)=0)</f>
        <v>0</v>
      </c>
      <c r="AL239" s="78"/>
      <c r="AM239" s="78"/>
      <c r="AN239" s="78"/>
      <c r="AO239" s="78"/>
      <c r="AP239" s="1352" t="str">
        <f>SUBSTITUTE(SUBSTITUTE(SUBSTITUTE("dch"&amp;$B239&amp;$C239&amp;$D239&amp;$E239&amp;$F239,".","_"),"(","_"),")","")</f>
        <v>dch703_3_0_2</v>
      </c>
      <c r="AQ239" s="1352" t="str">
        <f>IF(LEN(W239)=0,"",W239)</f>
        <v/>
      </c>
      <c r="AR239" s="78"/>
      <c r="AS239" s="78"/>
    </row>
    <row r="240" spans="2:45" s="843" customFormat="1" ht="15" customHeight="1" x14ac:dyDescent="0.2">
      <c r="B240" s="600" t="s">
        <v>4423</v>
      </c>
      <c r="C240" s="600"/>
      <c r="D240" s="600"/>
      <c r="E240" s="600"/>
      <c r="F240" s="23"/>
      <c r="G240" s="23"/>
      <c r="H240" s="691"/>
      <c r="I240" s="589"/>
      <c r="J240" s="589"/>
      <c r="K240" s="589"/>
      <c r="L240" s="863" t="s">
        <v>4100</v>
      </c>
      <c r="M240" s="882"/>
      <c r="N240" s="129"/>
      <c r="O240" s="886"/>
      <c r="P240" s="96"/>
      <c r="Q240" s="96"/>
      <c r="R240" s="96"/>
      <c r="S240" s="96"/>
      <c r="T240" s="96"/>
      <c r="X240" s="1600"/>
      <c r="AL240" s="78"/>
      <c r="AM240" s="78"/>
      <c r="AN240" s="78"/>
      <c r="AO240" s="78"/>
      <c r="AP240" s="78"/>
      <c r="AQ240" s="78"/>
      <c r="AR240" s="78"/>
      <c r="AS240" s="78"/>
    </row>
    <row r="241" spans="2:45" s="843" customFormat="1" x14ac:dyDescent="0.2">
      <c r="B241" s="600" t="s">
        <v>4423</v>
      </c>
      <c r="C241" s="600"/>
      <c r="D241" s="600"/>
      <c r="E241" s="600"/>
      <c r="F241" s="23"/>
      <c r="G241" s="23"/>
      <c r="H241" s="691"/>
      <c r="I241" s="589"/>
      <c r="J241" s="589"/>
      <c r="K241" s="589"/>
      <c r="L241" s="872" t="s">
        <v>4101</v>
      </c>
      <c r="M241" s="882"/>
      <c r="N241" s="129"/>
      <c r="O241" s="886"/>
      <c r="P241" s="96"/>
      <c r="Q241" s="96"/>
      <c r="R241" s="96"/>
      <c r="S241" s="96"/>
      <c r="T241" s="96"/>
      <c r="X241" s="1600"/>
      <c r="AL241" s="78"/>
      <c r="AM241" s="78"/>
      <c r="AN241" s="78"/>
      <c r="AO241" s="78"/>
      <c r="AP241" s="78"/>
      <c r="AQ241" s="78"/>
      <c r="AR241" s="78"/>
      <c r="AS241" s="78"/>
    </row>
    <row r="242" spans="2:45" s="843" customFormat="1" x14ac:dyDescent="0.2">
      <c r="B242" s="600" t="s">
        <v>4423</v>
      </c>
      <c r="C242" s="600"/>
      <c r="D242" s="600"/>
      <c r="E242" s="600"/>
      <c r="F242" s="23"/>
      <c r="G242" s="23"/>
      <c r="H242" s="691"/>
      <c r="I242" s="589"/>
      <c r="J242" s="589"/>
      <c r="K242" s="589"/>
      <c r="L242" s="863" t="s">
        <v>4102</v>
      </c>
      <c r="M242" s="882"/>
      <c r="N242" s="129"/>
      <c r="O242" s="886"/>
      <c r="P242" s="96"/>
      <c r="Q242" s="96"/>
      <c r="R242" s="96"/>
      <c r="S242" s="96"/>
      <c r="T242" s="96"/>
      <c r="X242" s="1600"/>
      <c r="AL242" s="78"/>
      <c r="AM242" s="78"/>
      <c r="AN242" s="78"/>
      <c r="AO242" s="78"/>
      <c r="AP242" s="78"/>
      <c r="AQ242" s="78"/>
      <c r="AR242" s="78"/>
      <c r="AS242" s="78"/>
    </row>
    <row r="243" spans="2:45" s="843" customFormat="1" x14ac:dyDescent="0.2">
      <c r="B243" s="600" t="s">
        <v>4423</v>
      </c>
      <c r="C243" s="600"/>
      <c r="D243" s="600"/>
      <c r="E243" s="600"/>
      <c r="F243" s="23"/>
      <c r="G243" s="23"/>
      <c r="H243" s="691"/>
      <c r="I243" s="589"/>
      <c r="J243" s="589"/>
      <c r="K243" s="589"/>
      <c r="L243" s="863" t="s">
        <v>4103</v>
      </c>
      <c r="M243" s="882"/>
      <c r="N243" s="129"/>
      <c r="O243" s="886"/>
      <c r="P243" s="96"/>
      <c r="Q243" s="96"/>
      <c r="R243" s="96"/>
      <c r="S243" s="96"/>
      <c r="T243" s="96"/>
      <c r="X243" s="1600"/>
      <c r="AL243" s="78"/>
      <c r="AM243" s="78"/>
      <c r="AN243" s="78"/>
      <c r="AO243" s="78"/>
      <c r="AP243" s="78"/>
      <c r="AQ243" s="78"/>
      <c r="AR243" s="78"/>
      <c r="AS243" s="78"/>
    </row>
    <row r="244" spans="2:45" s="843" customFormat="1" x14ac:dyDescent="0.2">
      <c r="B244" s="600" t="s">
        <v>4423</v>
      </c>
      <c r="C244" s="600"/>
      <c r="D244" s="600"/>
      <c r="E244" s="600"/>
      <c r="F244" s="23"/>
      <c r="G244" s="23"/>
      <c r="H244" s="691"/>
      <c r="I244" s="606"/>
      <c r="J244" s="606"/>
      <c r="K244" s="606"/>
      <c r="L244" s="1096" t="s">
        <v>4104</v>
      </c>
      <c r="M244" s="173"/>
      <c r="N244" s="173"/>
      <c r="O244" s="173"/>
      <c r="P244" s="173"/>
      <c r="Q244" s="173"/>
      <c r="R244" s="173"/>
      <c r="S244" s="173"/>
      <c r="T244" s="173"/>
      <c r="U244" s="173"/>
      <c r="V244" s="173"/>
      <c r="W244" s="818"/>
      <c r="X244" s="1600"/>
      <c r="AL244" s="78"/>
      <c r="AM244" s="78"/>
      <c r="AN244" s="78"/>
      <c r="AO244" s="78"/>
      <c r="AP244" s="78"/>
      <c r="AQ244" s="78"/>
      <c r="AR244" s="78"/>
      <c r="AS244" s="78"/>
    </row>
    <row r="245" spans="2:45" s="843" customFormat="1" x14ac:dyDescent="0.2">
      <c r="B245" s="600" t="s">
        <v>4424</v>
      </c>
      <c r="C245" s="600"/>
      <c r="D245" s="600"/>
      <c r="E245" s="600"/>
      <c r="F245" s="23"/>
      <c r="G245" s="23"/>
      <c r="H245" s="691"/>
      <c r="I245" s="608" t="s">
        <v>4105</v>
      </c>
      <c r="J245" s="608"/>
      <c r="K245" s="608"/>
      <c r="L245" s="1686" t="s">
        <v>4106</v>
      </c>
      <c r="M245" s="1734">
        <v>4</v>
      </c>
      <c r="N245" s="193"/>
      <c r="O245" s="1637">
        <f ca="1">M245*S245*W245</f>
        <v>0</v>
      </c>
      <c r="P245" s="195" t="b">
        <v>1</v>
      </c>
      <c r="Q245" s="195" t="b">
        <v>1</v>
      </c>
      <c r="R245" s="195" t="b">
        <v>0</v>
      </c>
      <c r="S245" s="195" t="b">
        <f ca="1">S11=2</f>
        <v>0</v>
      </c>
      <c r="T245" s="195" t="b">
        <f ca="1">AND(NOT(S245),W245=TRUE)</f>
        <v>0</v>
      </c>
      <c r="U245" s="195"/>
      <c r="V245" s="195"/>
      <c r="W245" s="333"/>
      <c r="X245" s="1600"/>
      <c r="AC245" s="881" t="b">
        <f ca="1">OR(AD245:AE245)</f>
        <v>0</v>
      </c>
      <c r="AD245" s="881" t="b">
        <f ca="1">T245</f>
        <v>0</v>
      </c>
      <c r="AE245" s="881" t="b">
        <f>AND(R245,NOT(W245))</f>
        <v>0</v>
      </c>
      <c r="AL245" s="1352" t="str">
        <f>SUBSTITUTE(SUBSTITUTE(SUBSTITUTE("dpa"&amp;$B245&amp;$C245&amp;$D245&amp;$E245&amp;$F245,".","_"),"(","_"),")","")</f>
        <v>dpa703_3_1</v>
      </c>
      <c r="AM245" s="1352">
        <f>M245</f>
        <v>4</v>
      </c>
      <c r="AN245" s="1352" t="str">
        <f>SUBSTITUTE(SUBSTITUTE(SUBSTITUTE("dpc"&amp;$B245&amp;$C245&amp;$D245&amp;$E245&amp;$F245,".","_"),"(","_"),")","")</f>
        <v>dpc703_3_1</v>
      </c>
      <c r="AO245" s="1352">
        <f ca="1">O245</f>
        <v>0</v>
      </c>
      <c r="AP245" s="1352" t="str">
        <f>SUBSTITUTE(SUBSTITUTE(SUBSTITUTE("dch"&amp;$B245&amp;$C245&amp;$D245&amp;$E245&amp;$F245,".","_"),"(","_"),")","")</f>
        <v>dch703_3_1</v>
      </c>
      <c r="AQ245" s="1352" t="str">
        <f>IF(LEN(W245)=0,"",W245)</f>
        <v/>
      </c>
      <c r="AR245" s="1352" t="str">
        <f>SUBSTITUTE(SUBSTITUTE(SUBSTITUTE("dnt"&amp;$B245&amp;$C245&amp;$D245&amp;$E245&amp;$F245,".","_"),"(","_"),")","")</f>
        <v>dnt703_3_1</v>
      </c>
      <c r="AS245" s="1352" t="str">
        <f>IF(LEN(X245)=0,"",X245)</f>
        <v/>
      </c>
    </row>
    <row r="246" spans="2:45" s="843" customFormat="1" x14ac:dyDescent="0.2">
      <c r="B246" s="600" t="s">
        <v>4424</v>
      </c>
      <c r="C246" s="600"/>
      <c r="D246" s="600"/>
      <c r="E246" s="600"/>
      <c r="F246" s="23"/>
      <c r="G246" s="23"/>
      <c r="H246" s="691"/>
      <c r="I246" s="590"/>
      <c r="J246" s="590"/>
      <c r="K246" s="590"/>
      <c r="L246" s="1687"/>
      <c r="M246" s="1692"/>
      <c r="N246" s="129"/>
      <c r="O246" s="1619"/>
      <c r="P246" s="991"/>
      <c r="Q246" s="991"/>
      <c r="R246" s="991"/>
      <c r="S246" s="991"/>
      <c r="T246" s="991"/>
      <c r="U246" s="991"/>
      <c r="V246" s="991"/>
      <c r="W246" s="114"/>
      <c r="X246" s="1600"/>
      <c r="AL246" s="78"/>
      <c r="AM246" s="78"/>
      <c r="AN246" s="78"/>
      <c r="AO246" s="78"/>
      <c r="AP246" s="78"/>
      <c r="AQ246" s="78"/>
      <c r="AR246" s="78"/>
      <c r="AS246" s="78"/>
    </row>
    <row r="247" spans="2:45" s="843" customFormat="1" x14ac:dyDescent="0.2">
      <c r="B247" s="600" t="s">
        <v>4424</v>
      </c>
      <c r="C247" s="600"/>
      <c r="D247" s="600"/>
      <c r="E247" s="600"/>
      <c r="F247" s="23"/>
      <c r="G247" s="23"/>
      <c r="H247" s="691"/>
      <c r="I247" s="590"/>
      <c r="J247" s="590"/>
      <c r="K247" s="590"/>
      <c r="L247" s="1687"/>
      <c r="M247" s="1692"/>
      <c r="N247" s="129"/>
      <c r="O247" s="1619"/>
      <c r="P247" s="991"/>
      <c r="Q247" s="991"/>
      <c r="R247" s="991"/>
      <c r="S247" s="411" t="s">
        <v>4479</v>
      </c>
      <c r="T247" s="198">
        <f>BF16</f>
        <v>3</v>
      </c>
      <c r="U247" s="991"/>
      <c r="V247" s="991"/>
      <c r="W247" s="114"/>
      <c r="X247" s="1600"/>
      <c r="AL247" s="78"/>
      <c r="AM247" s="78"/>
      <c r="AN247" s="78"/>
      <c r="AO247" s="78"/>
      <c r="AP247" s="78"/>
      <c r="AQ247" s="78"/>
      <c r="AR247" s="78"/>
      <c r="AS247" s="78"/>
    </row>
    <row r="248" spans="2:45" s="843" customFormat="1" x14ac:dyDescent="0.2">
      <c r="B248" s="600" t="s">
        <v>4424</v>
      </c>
      <c r="C248" s="600"/>
      <c r="D248" s="600"/>
      <c r="E248" s="600"/>
      <c r="F248" s="23"/>
      <c r="G248" s="23"/>
      <c r="H248" s="691"/>
      <c r="I248" s="590"/>
      <c r="J248" s="590"/>
      <c r="K248" s="590"/>
      <c r="L248" s="1687"/>
      <c r="M248" s="1692"/>
      <c r="N248" s="129"/>
      <c r="O248" s="1619"/>
      <c r="P248" s="991"/>
      <c r="Q248" s="991"/>
      <c r="R248" s="198"/>
      <c r="S248" s="411" t="s">
        <v>4480</v>
      </c>
      <c r="T248" s="198" t="b">
        <f>AND(AY25&gt;4,AY19=INDEX(ddSingleOrMulti,2))</f>
        <v>0</v>
      </c>
      <c r="U248" s="991"/>
      <c r="V248" s="991"/>
      <c r="W248" s="114"/>
      <c r="X248" s="1600"/>
      <c r="AL248" s="78"/>
      <c r="AM248" s="78"/>
      <c r="AN248" s="78"/>
      <c r="AO248" s="78"/>
      <c r="AP248" s="78"/>
      <c r="AQ248" s="78"/>
      <c r="AR248" s="78"/>
      <c r="AS248" s="78"/>
    </row>
    <row r="249" spans="2:45" s="843" customFormat="1" x14ac:dyDescent="0.2">
      <c r="B249" s="600" t="s">
        <v>4424</v>
      </c>
      <c r="C249" s="600"/>
      <c r="D249" s="600"/>
      <c r="E249" s="600"/>
      <c r="F249" s="23"/>
      <c r="G249" s="23"/>
      <c r="H249" s="691"/>
      <c r="I249" s="606"/>
      <c r="J249" s="606"/>
      <c r="K249" s="606"/>
      <c r="L249" s="1688"/>
      <c r="M249" s="1711"/>
      <c r="N249" s="213"/>
      <c r="O249" s="1620"/>
      <c r="P249" s="173"/>
      <c r="Q249" s="173"/>
      <c r="R249" s="173"/>
      <c r="S249" s="173"/>
      <c r="T249" s="173"/>
      <c r="U249" s="173"/>
      <c r="V249" s="173"/>
      <c r="W249" s="818"/>
      <c r="X249" s="1600"/>
      <c r="AL249" s="78"/>
      <c r="AM249" s="78"/>
      <c r="AN249" s="78"/>
      <c r="AO249" s="78"/>
      <c r="AP249" s="78"/>
      <c r="AQ249" s="78"/>
      <c r="AR249" s="78"/>
      <c r="AS249" s="78"/>
    </row>
    <row r="250" spans="2:45" s="843" customFormat="1" x14ac:dyDescent="0.2">
      <c r="B250" s="600" t="s">
        <v>4425</v>
      </c>
      <c r="C250" s="600"/>
      <c r="D250" s="600"/>
      <c r="E250" s="600"/>
      <c r="F250" s="23"/>
      <c r="G250" s="23"/>
      <c r="H250" s="691"/>
      <c r="I250" s="589" t="s">
        <v>4107</v>
      </c>
      <c r="J250" s="589"/>
      <c r="K250" s="589"/>
      <c r="L250" s="869" t="s">
        <v>4108</v>
      </c>
      <c r="M250" s="96"/>
      <c r="N250" s="96"/>
      <c r="O250" s="96"/>
      <c r="P250" s="96"/>
      <c r="Q250" s="96"/>
      <c r="R250" s="96"/>
      <c r="S250" s="96"/>
      <c r="T250" s="96"/>
      <c r="AL250" s="78"/>
      <c r="AM250" s="78"/>
      <c r="AN250" s="78"/>
      <c r="AO250" s="78"/>
      <c r="AP250" s="78"/>
      <c r="AQ250" s="78"/>
      <c r="AR250" s="78"/>
      <c r="AS250" s="78"/>
    </row>
    <row r="251" spans="2:45" s="843" customFormat="1" x14ac:dyDescent="0.2">
      <c r="B251" s="600" t="s">
        <v>4425</v>
      </c>
      <c r="C251" s="600" t="s">
        <v>254</v>
      </c>
      <c r="D251" s="600"/>
      <c r="E251" s="600"/>
      <c r="F251" s="23"/>
      <c r="G251" s="23"/>
      <c r="H251" s="691"/>
      <c r="I251" s="589"/>
      <c r="J251" s="589" t="s">
        <v>254</v>
      </c>
      <c r="K251" s="589"/>
      <c r="L251" s="863" t="s">
        <v>4405</v>
      </c>
      <c r="M251" s="882"/>
      <c r="N251" s="129"/>
      <c r="O251" s="886">
        <f ca="1">IFERROR(INDEX(M252:M256,MATCH(W252,{0.9,0.92,0.94,0.96,0.98},1)),0)*S252</f>
        <v>0</v>
      </c>
      <c r="P251" s="96"/>
      <c r="Q251" s="96"/>
      <c r="R251" s="96"/>
      <c r="S251" s="96"/>
      <c r="T251" s="96"/>
      <c r="W251" s="881" t="s">
        <v>4495</v>
      </c>
      <c r="X251" s="1600"/>
      <c r="AL251" s="78"/>
      <c r="AM251" s="78"/>
      <c r="AN251" s="1352" t="str">
        <f>SUBSTITUTE(SUBSTITUTE(SUBSTITUTE("dpc"&amp;$B251&amp;$C251&amp;$D251&amp;$E251&amp;$F251,".","_"),"(","_"),")","")</f>
        <v>dpc703_3_2_1</v>
      </c>
      <c r="AO251" s="1352">
        <f ca="1">O251</f>
        <v>0</v>
      </c>
      <c r="AP251" s="78"/>
      <c r="AQ251" s="78"/>
      <c r="AR251" s="1352" t="str">
        <f>SUBSTITUTE(SUBSTITUTE(SUBSTITUTE("dnt"&amp;$B251&amp;$C251&amp;$D251&amp;$E251&amp;$F251,".","_"),"(","_"),")","")</f>
        <v>dnt703_3_2_1</v>
      </c>
      <c r="AS251" s="1352" t="str">
        <f>IF(LEN(X251)=0,"",X251)</f>
        <v/>
      </c>
    </row>
    <row r="252" spans="2:45" s="843" customFormat="1" x14ac:dyDescent="0.2">
      <c r="B252" s="600" t="s">
        <v>4425</v>
      </c>
      <c r="C252" s="600" t="s">
        <v>254</v>
      </c>
      <c r="D252" s="600" t="s">
        <v>3921</v>
      </c>
      <c r="E252" s="600"/>
      <c r="F252" s="23"/>
      <c r="G252" s="23"/>
      <c r="H252" s="691"/>
      <c r="I252" s="589"/>
      <c r="J252" s="589"/>
      <c r="K252" s="589"/>
      <c r="L252" s="863" t="s">
        <v>4109</v>
      </c>
      <c r="M252" s="882">
        <f>IF(T248,IFERROR(INDEX({0,4,4,8,8,10,11,13},T247),0),IFERROR(INDEX({0,2,3,6,6,9,10,12},T247),0))</f>
        <v>3</v>
      </c>
      <c r="N252" s="129"/>
      <c r="O252" s="886"/>
      <c r="P252" s="96" t="b">
        <v>1</v>
      </c>
      <c r="Q252" s="96" t="b">
        <v>1</v>
      </c>
      <c r="R252" s="96" t="b">
        <v>0</v>
      </c>
      <c r="S252" s="96" t="b">
        <f ca="1">AND(S11=2,LEN(W258)=0,LEN(W261)=0,LEN(W266)=0,LEN(W272)=0,LEN(W277)=0,LEN(W279)=0,NOT(W291=TRUE),LEN(W296)=0)</f>
        <v>0</v>
      </c>
      <c r="T252" s="96" t="b">
        <f ca="1">AND(NOT(S252),LEN(W252)&gt;0)</f>
        <v>0</v>
      </c>
      <c r="W252" s="413"/>
      <c r="X252" s="1600"/>
      <c r="AC252" s="905" t="b">
        <f ca="1">OR(AD252:AE252)</f>
        <v>0</v>
      </c>
      <c r="AD252" s="905" t="b">
        <f ca="1">T252</f>
        <v>0</v>
      </c>
      <c r="AE252" s="905" t="b">
        <f>AND(R252,OR(W252="Not Met",W252=""))</f>
        <v>0</v>
      </c>
      <c r="AL252" s="1352" t="str">
        <f>SUBSTITUTE(SUBSTITUTE(SUBSTITUTE("dpa"&amp;$B252&amp;$C252&amp;$D252&amp;$E252&amp;$F252,".","_"),"(","_"),")","")</f>
        <v>dpa703_3_2_1_1</v>
      </c>
      <c r="AM252" s="1352">
        <f>M252</f>
        <v>3</v>
      </c>
      <c r="AN252" s="78"/>
      <c r="AO252" s="78"/>
      <c r="AP252" s="1352" t="str">
        <f>SUBSTITUTE(SUBSTITUTE(SUBSTITUTE("dch"&amp;$B252&amp;$C252&amp;$D252&amp;$E252&amp;$F252,".","_"),"(","_"),")","")</f>
        <v>dch703_3_2_1_1</v>
      </c>
      <c r="AQ252" s="1352" t="str">
        <f>IF(LEN(W252)=0,"",W252)</f>
        <v/>
      </c>
      <c r="AR252" s="78"/>
      <c r="AS252" s="78"/>
    </row>
    <row r="253" spans="2:45" s="843" customFormat="1" x14ac:dyDescent="0.2">
      <c r="B253" s="600" t="s">
        <v>4425</v>
      </c>
      <c r="C253" s="600" t="s">
        <v>254</v>
      </c>
      <c r="D253" s="600" t="s">
        <v>3922</v>
      </c>
      <c r="E253" s="600"/>
      <c r="F253" s="23"/>
      <c r="G253" s="23"/>
      <c r="H253" s="691"/>
      <c r="I253" s="589"/>
      <c r="J253" s="589"/>
      <c r="K253" s="589"/>
      <c r="L253" s="863" t="s">
        <v>4110</v>
      </c>
      <c r="M253" s="882">
        <f>IF(T248,IFERROR(INDEX({0,4,4,9,10,11,12,14},T247),0),IFERROR(INDEX({0,2,4,7,8,10,12,14},T247),0))</f>
        <v>4</v>
      </c>
      <c r="N253" s="129"/>
      <c r="O253" s="886"/>
      <c r="P253" s="96"/>
      <c r="Q253" s="96"/>
      <c r="R253" s="96"/>
      <c r="S253" s="96"/>
      <c r="T253" s="96"/>
      <c r="X253" s="1600"/>
      <c r="AL253" s="1352" t="str">
        <f>SUBSTITUTE(SUBSTITUTE(SUBSTITUTE("dpa"&amp;$B253&amp;$C253&amp;$D253&amp;$E253&amp;$F253,".","_"),"(","_"),")","")</f>
        <v>dpa703_3_2_1_2</v>
      </c>
      <c r="AM253" s="1352">
        <f>M253</f>
        <v>4</v>
      </c>
      <c r="AN253" s="78"/>
      <c r="AO253" s="78"/>
      <c r="AP253" s="78"/>
      <c r="AQ253" s="78"/>
      <c r="AR253" s="78"/>
      <c r="AS253" s="78"/>
    </row>
    <row r="254" spans="2:45" s="843" customFormat="1" x14ac:dyDescent="0.2">
      <c r="B254" s="600" t="s">
        <v>4425</v>
      </c>
      <c r="C254" s="600" t="s">
        <v>254</v>
      </c>
      <c r="D254" s="600" t="s">
        <v>3923</v>
      </c>
      <c r="E254" s="600"/>
      <c r="F254" s="23"/>
      <c r="G254" s="23"/>
      <c r="H254" s="691"/>
      <c r="I254" s="589"/>
      <c r="J254" s="589"/>
      <c r="K254" s="589"/>
      <c r="L254" s="863" t="s">
        <v>4111</v>
      </c>
      <c r="M254" s="882">
        <f>IF(T248,IFERROR(INDEX({0,5,5,10,11,12,14,16},T247),0),IFERROR(INDEX({0,3,4,9,9,12,14,16},T247),0))</f>
        <v>4</v>
      </c>
      <c r="N254" s="129"/>
      <c r="O254" s="886"/>
      <c r="P254" s="96"/>
      <c r="Q254" s="96"/>
      <c r="R254" s="96"/>
      <c r="S254" s="96"/>
      <c r="T254" s="96"/>
      <c r="X254" s="1600"/>
      <c r="AL254" s="1352" t="str">
        <f>SUBSTITUTE(SUBSTITUTE(SUBSTITUTE("dpa"&amp;$B254&amp;$C254&amp;$D254&amp;$E254&amp;$F254,".","_"),"(","_"),")","")</f>
        <v>dpa703_3_2_1_3</v>
      </c>
      <c r="AM254" s="1352">
        <f>M254</f>
        <v>4</v>
      </c>
      <c r="AN254" s="78"/>
      <c r="AO254" s="78"/>
      <c r="AP254" s="78"/>
      <c r="AQ254" s="78"/>
      <c r="AR254" s="78"/>
      <c r="AS254" s="78"/>
    </row>
    <row r="255" spans="2:45" s="843" customFormat="1" x14ac:dyDescent="0.2">
      <c r="B255" s="600" t="s">
        <v>4425</v>
      </c>
      <c r="C255" s="600" t="s">
        <v>254</v>
      </c>
      <c r="D255" s="600" t="s">
        <v>3924</v>
      </c>
      <c r="E255" s="600"/>
      <c r="F255" s="23"/>
      <c r="G255" s="23"/>
      <c r="H255" s="691"/>
      <c r="I255" s="589"/>
      <c r="J255" s="589"/>
      <c r="K255" s="589"/>
      <c r="L255" s="863" t="s">
        <v>4112</v>
      </c>
      <c r="M255" s="882">
        <f>IF(T248,IFERROR(INDEX({0,5,5,12,12,13,15,17},T247),0),IFERROR(INDEX({1,3,5,10,10,14,16,19},T247),0))</f>
        <v>5</v>
      </c>
      <c r="N255" s="129"/>
      <c r="O255" s="886"/>
      <c r="P255" s="96"/>
      <c r="Q255" s="96"/>
      <c r="R255" s="96"/>
      <c r="S255" s="96"/>
      <c r="T255" s="96"/>
      <c r="X255" s="1600"/>
      <c r="AL255" s="1352" t="str">
        <f>SUBSTITUTE(SUBSTITUTE(SUBSTITUTE("dpa"&amp;$B255&amp;$C255&amp;$D255&amp;$E255&amp;$F255,".","_"),"(","_"),")","")</f>
        <v>dpa703_3_2_1_4</v>
      </c>
      <c r="AM255" s="1352">
        <f>M255</f>
        <v>5</v>
      </c>
      <c r="AN255" s="78"/>
      <c r="AO255" s="78"/>
      <c r="AP255" s="78"/>
      <c r="AQ255" s="78"/>
      <c r="AR255" s="78"/>
      <c r="AS255" s="78"/>
    </row>
    <row r="256" spans="2:45" s="843" customFormat="1" x14ac:dyDescent="0.2">
      <c r="B256" s="600" t="s">
        <v>4425</v>
      </c>
      <c r="C256" s="600" t="s">
        <v>254</v>
      </c>
      <c r="D256" s="600" t="s">
        <v>3925</v>
      </c>
      <c r="E256" s="600"/>
      <c r="F256" s="23"/>
      <c r="G256" s="23"/>
      <c r="H256" s="691"/>
      <c r="I256" s="589"/>
      <c r="J256" s="606"/>
      <c r="K256" s="606"/>
      <c r="L256" s="923" t="s">
        <v>4113</v>
      </c>
      <c r="M256" s="937">
        <f>IF(T248,IFERROR(INDEX({0,6,6,13,13,14,16,18},T247),0),IFERROR(INDEX({1,3,6,11,12,16,18,21},T247),0))</f>
        <v>6</v>
      </c>
      <c r="N256" s="129"/>
      <c r="O256" s="886"/>
      <c r="P256" s="96"/>
      <c r="Q256" s="96"/>
      <c r="R256" s="96"/>
      <c r="S256" s="96"/>
      <c r="T256" s="96"/>
      <c r="X256" s="1600"/>
      <c r="AL256" s="1352" t="str">
        <f>SUBSTITUTE(SUBSTITUTE(SUBSTITUTE("dpa"&amp;$B256&amp;$C256&amp;$D256&amp;$E256&amp;$F256,".","_"),"(","_"),")","")</f>
        <v>dpa703_3_2_1_5</v>
      </c>
      <c r="AM256" s="1352">
        <f>M256</f>
        <v>6</v>
      </c>
      <c r="AN256" s="78"/>
      <c r="AO256" s="78"/>
      <c r="AP256" s="78"/>
      <c r="AQ256" s="78"/>
      <c r="AR256" s="78"/>
      <c r="AS256" s="78"/>
    </row>
    <row r="257" spans="2:45" s="843" customFormat="1" x14ac:dyDescent="0.2">
      <c r="B257" s="600" t="s">
        <v>4425</v>
      </c>
      <c r="C257" s="600" t="s">
        <v>255</v>
      </c>
      <c r="D257" s="600"/>
      <c r="E257" s="600"/>
      <c r="F257" s="23"/>
      <c r="G257" s="23"/>
      <c r="H257" s="691"/>
      <c r="I257" s="589"/>
      <c r="J257" s="589" t="s">
        <v>255</v>
      </c>
      <c r="K257" s="589"/>
      <c r="L257" s="863" t="s">
        <v>4406</v>
      </c>
      <c r="M257" s="882"/>
      <c r="N257" s="129"/>
      <c r="O257" s="886">
        <f ca="1">IFERROR(INDEX(M258:M259,MATCH(W258,{0.85,0.9},1)),0)*S258</f>
        <v>0</v>
      </c>
      <c r="P257" s="96"/>
      <c r="Q257" s="96"/>
      <c r="R257" s="96"/>
      <c r="S257" s="96"/>
      <c r="T257" s="96"/>
      <c r="W257" s="881" t="s">
        <v>4495</v>
      </c>
      <c r="X257" s="1600"/>
      <c r="AL257" s="78"/>
      <c r="AM257" s="78"/>
      <c r="AN257" s="1352" t="str">
        <f>SUBSTITUTE(SUBSTITUTE(SUBSTITUTE("dpc"&amp;$B257&amp;$C257&amp;$D257&amp;$E257&amp;$F257,".","_"),"(","_"),")","")</f>
        <v>dpc703_3_2_2</v>
      </c>
      <c r="AO257" s="1352">
        <f ca="1">O257</f>
        <v>0</v>
      </c>
      <c r="AP257" s="78"/>
      <c r="AQ257" s="78"/>
      <c r="AR257" s="1352" t="str">
        <f>SUBSTITUTE(SUBSTITUTE(SUBSTITUTE("dnt"&amp;$B257&amp;$C257&amp;$D257&amp;$E257&amp;$F257,".","_"),"(","_"),")","")</f>
        <v>dnt703_3_2_2</v>
      </c>
      <c r="AS257" s="1352" t="str">
        <f>IF(LEN(X257)=0,"",X257)</f>
        <v/>
      </c>
    </row>
    <row r="258" spans="2:45" s="843" customFormat="1" x14ac:dyDescent="0.2">
      <c r="B258" s="600" t="s">
        <v>4425</v>
      </c>
      <c r="C258" s="600" t="s">
        <v>255</v>
      </c>
      <c r="D258" s="600" t="s">
        <v>3921</v>
      </c>
      <c r="E258" s="600"/>
      <c r="F258" s="23"/>
      <c r="G258" s="23"/>
      <c r="H258" s="691"/>
      <c r="I258" s="589"/>
      <c r="J258" s="589"/>
      <c r="K258" s="589"/>
      <c r="L258" s="863" t="s">
        <v>4114</v>
      </c>
      <c r="M258" s="882">
        <f>IFERROR(INDEX({0,1,2,3,3,4,5,6},T247),0)</f>
        <v>2</v>
      </c>
      <c r="N258" s="129"/>
      <c r="O258" s="886"/>
      <c r="P258" s="96" t="b">
        <v>1</v>
      </c>
      <c r="Q258" s="96" t="b">
        <v>1</v>
      </c>
      <c r="R258" s="96" t="b">
        <v>0</v>
      </c>
      <c r="S258" s="96" t="b">
        <f ca="1">AND(S11=2,LEN(W252)=0,LEN(W261)=0,LEN(W266)=0,LEN(W272)=0,LEN(W277)=0,LEN(W279)=0,NOT(W291=TRUE),LEN(W296)=0)</f>
        <v>0</v>
      </c>
      <c r="T258" s="96" t="b">
        <f ca="1">AND(NOT(S258),LEN(W258)&gt;0)</f>
        <v>0</v>
      </c>
      <c r="W258" s="413"/>
      <c r="X258" s="1600"/>
      <c r="AC258" s="905" t="b">
        <f ca="1">OR(AD258:AE258)</f>
        <v>0</v>
      </c>
      <c r="AD258" s="905" t="b">
        <f ca="1">T258</f>
        <v>0</v>
      </c>
      <c r="AE258" s="905" t="b">
        <f>AND(R258,OR(W258="Not Met",W258=""))</f>
        <v>0</v>
      </c>
      <c r="AL258" s="1352" t="str">
        <f>SUBSTITUTE(SUBSTITUTE(SUBSTITUTE("dpa"&amp;$B258&amp;$C258&amp;$D258&amp;$E258&amp;$F258,".","_"),"(","_"),")","")</f>
        <v>dpa703_3_2_2_1</v>
      </c>
      <c r="AM258" s="1352">
        <f>M258</f>
        <v>2</v>
      </c>
      <c r="AN258" s="78"/>
      <c r="AO258" s="78"/>
      <c r="AP258" s="1352" t="str">
        <f>SUBSTITUTE(SUBSTITUTE(SUBSTITUTE("dch"&amp;$B258&amp;$C258&amp;$D258&amp;$E258&amp;$F258,".","_"),"(","_"),")","")</f>
        <v>dch703_3_2_2_1</v>
      </c>
      <c r="AQ258" s="1352" t="str">
        <f>IF(LEN(W258)=0,"",W258)</f>
        <v/>
      </c>
      <c r="AR258" s="78"/>
      <c r="AS258" s="78"/>
    </row>
    <row r="259" spans="2:45" s="843" customFormat="1" x14ac:dyDescent="0.2">
      <c r="B259" s="600" t="s">
        <v>4425</v>
      </c>
      <c r="C259" s="600" t="s">
        <v>255</v>
      </c>
      <c r="D259" s="600" t="s">
        <v>3922</v>
      </c>
      <c r="E259" s="600"/>
      <c r="F259" s="23"/>
      <c r="G259" s="23"/>
      <c r="H259" s="691"/>
      <c r="I259" s="589"/>
      <c r="J259" s="606"/>
      <c r="K259" s="606"/>
      <c r="L259" s="923" t="s">
        <v>4109</v>
      </c>
      <c r="M259" s="937">
        <f>IFERROR(INDEX({0,2,3,6,6,9,10,12},T247),0)</f>
        <v>3</v>
      </c>
      <c r="N259" s="129"/>
      <c r="O259" s="886"/>
      <c r="P259" s="96"/>
      <c r="Q259" s="96"/>
      <c r="R259" s="96"/>
      <c r="S259" s="96"/>
      <c r="T259" s="96"/>
      <c r="X259" s="1600"/>
      <c r="AL259" s="1352" t="str">
        <f>SUBSTITUTE(SUBSTITUTE(SUBSTITUTE("dpa"&amp;$B259&amp;$C259&amp;$D259&amp;$E259&amp;$F259,".","_"),"(","_"),")","")</f>
        <v>dpa703_3_2_2_2</v>
      </c>
      <c r="AM259" s="1352">
        <f>M259</f>
        <v>3</v>
      </c>
      <c r="AN259" s="78"/>
      <c r="AO259" s="78"/>
      <c r="AP259" s="78"/>
      <c r="AQ259" s="78"/>
      <c r="AR259" s="78"/>
      <c r="AS259" s="78"/>
    </row>
    <row r="260" spans="2:45" s="843" customFormat="1" x14ac:dyDescent="0.2">
      <c r="B260" s="600" t="s">
        <v>4425</v>
      </c>
      <c r="C260" s="600" t="s">
        <v>256</v>
      </c>
      <c r="D260" s="600"/>
      <c r="E260" s="600"/>
      <c r="F260" s="23"/>
      <c r="G260" s="23"/>
      <c r="H260" s="691"/>
      <c r="I260" s="589"/>
      <c r="J260" s="589" t="s">
        <v>256</v>
      </c>
      <c r="K260" s="589"/>
      <c r="L260" s="863" t="s">
        <v>4407</v>
      </c>
      <c r="M260" s="882"/>
      <c r="N260" s="129"/>
      <c r="O260" s="886">
        <f ca="1">IFERROR(INDEX(M261:M264,MATCH(W261,{0.85,0.9,0.94,0.96},1)),0)*S261</f>
        <v>0</v>
      </c>
      <c r="P260" s="96"/>
      <c r="Q260" s="96"/>
      <c r="R260" s="96"/>
      <c r="S260" s="96"/>
      <c r="T260" s="96"/>
      <c r="W260" s="881" t="s">
        <v>4495</v>
      </c>
      <c r="X260" s="1600"/>
      <c r="AL260" s="78"/>
      <c r="AM260" s="78"/>
      <c r="AN260" s="1352" t="str">
        <f>SUBSTITUTE(SUBSTITUTE(SUBSTITUTE("dpc"&amp;$B260&amp;$C260&amp;$D260&amp;$E260&amp;$F260,".","_"),"(","_"),")","")</f>
        <v>dpc703_3_2_3</v>
      </c>
      <c r="AO260" s="1352">
        <f ca="1">O260</f>
        <v>0</v>
      </c>
      <c r="AP260" s="78"/>
      <c r="AQ260" s="78"/>
      <c r="AR260" s="1352" t="str">
        <f>SUBSTITUTE(SUBSTITUTE(SUBSTITUTE("dnt"&amp;$B260&amp;$C260&amp;$D260&amp;$E260&amp;$F260,".","_"),"(","_"),")","")</f>
        <v>dnt703_3_2_3</v>
      </c>
      <c r="AS260" s="1352" t="str">
        <f>IF(LEN(X260)=0,"",X260)</f>
        <v/>
      </c>
    </row>
    <row r="261" spans="2:45" s="843" customFormat="1" x14ac:dyDescent="0.2">
      <c r="B261" s="600" t="s">
        <v>4425</v>
      </c>
      <c r="C261" s="600" t="s">
        <v>256</v>
      </c>
      <c r="D261" s="600" t="s">
        <v>3921</v>
      </c>
      <c r="E261" s="600"/>
      <c r="F261" s="23"/>
      <c r="G261" s="23"/>
      <c r="H261" s="691"/>
      <c r="I261" s="589"/>
      <c r="J261" s="589"/>
      <c r="K261" s="589"/>
      <c r="L261" s="863" t="s">
        <v>4114</v>
      </c>
      <c r="M261" s="882">
        <f>IFERROR(INDEX({0,1,1,2,3,4,4,4},T247),0)</f>
        <v>1</v>
      </c>
      <c r="N261" s="129"/>
      <c r="O261" s="886"/>
      <c r="P261" s="96" t="b">
        <v>1</v>
      </c>
      <c r="Q261" s="96" t="b">
        <v>1</v>
      </c>
      <c r="R261" s="96" t="b">
        <v>0</v>
      </c>
      <c r="S261" s="96" t="b">
        <f ca="1">AND(S11=2,LEN(W252)=0,LEN(W258)=0,LEN(W266)=0,LEN(W272)=0,LEN(W277)=0,LEN(W279)=0,NOT(W291=TRUE),LEN(W296)=0)</f>
        <v>0</v>
      </c>
      <c r="T261" s="96" t="b">
        <f ca="1">AND(NOT(S261),LEN(W261)&gt;0)</f>
        <v>0</v>
      </c>
      <c r="W261" s="413"/>
      <c r="X261" s="1600"/>
      <c r="AC261" s="905" t="b">
        <f ca="1">OR(AD261:AE261)</f>
        <v>0</v>
      </c>
      <c r="AD261" s="905" t="b">
        <f ca="1">T261</f>
        <v>0</v>
      </c>
      <c r="AE261" s="905" t="b">
        <f>AND(R261,OR(W261="Not Met",W261=""))</f>
        <v>0</v>
      </c>
      <c r="AL261" s="1352" t="str">
        <f>SUBSTITUTE(SUBSTITUTE(SUBSTITUTE("dpa"&amp;$B261&amp;$C261&amp;$D261&amp;$E261&amp;$F261,".","_"),"(","_"),")","")</f>
        <v>dpa703_3_2_3_1</v>
      </c>
      <c r="AM261" s="1352">
        <f>M261</f>
        <v>1</v>
      </c>
      <c r="AN261" s="78"/>
      <c r="AO261" s="78"/>
      <c r="AP261" s="1352" t="str">
        <f>SUBSTITUTE(SUBSTITUTE(SUBSTITUTE("dch"&amp;$B261&amp;$C261&amp;$D261&amp;$E261&amp;$F261,".","_"),"(","_"),")","")</f>
        <v>dch703_3_2_3_1</v>
      </c>
      <c r="AQ261" s="1352" t="str">
        <f>IF(LEN(W261)=0,"",W261)</f>
        <v/>
      </c>
      <c r="AR261" s="78"/>
      <c r="AS261" s="78"/>
    </row>
    <row r="262" spans="2:45" s="843" customFormat="1" x14ac:dyDescent="0.2">
      <c r="B262" s="600" t="s">
        <v>4425</v>
      </c>
      <c r="C262" s="600" t="s">
        <v>256</v>
      </c>
      <c r="D262" s="600" t="s">
        <v>3922</v>
      </c>
      <c r="E262" s="600"/>
      <c r="F262" s="23"/>
      <c r="G262" s="23"/>
      <c r="H262" s="691"/>
      <c r="I262" s="589"/>
      <c r="J262" s="589"/>
      <c r="K262" s="589"/>
      <c r="L262" s="863" t="s">
        <v>4109</v>
      </c>
      <c r="M262" s="882">
        <f>IFERROR(INDEX({0,1,2,4,6,7,8,6},T247),0)</f>
        <v>2</v>
      </c>
      <c r="N262" s="129"/>
      <c r="O262" s="886"/>
      <c r="P262" s="96"/>
      <c r="Q262" s="96"/>
      <c r="R262" s="96"/>
      <c r="S262" s="96"/>
      <c r="T262" s="96"/>
      <c r="X262" s="1600"/>
      <c r="AL262" s="1352" t="str">
        <f>SUBSTITUTE(SUBSTITUTE(SUBSTITUTE("dpa"&amp;$B262&amp;$C262&amp;$D262&amp;$E262&amp;$F262,".","_"),"(","_"),")","")</f>
        <v>dpa703_3_2_3_2</v>
      </c>
      <c r="AM262" s="1352">
        <f>M262</f>
        <v>2</v>
      </c>
      <c r="AN262" s="78"/>
      <c r="AO262" s="78"/>
      <c r="AP262" s="78"/>
      <c r="AQ262" s="78"/>
      <c r="AR262" s="78"/>
      <c r="AS262" s="78"/>
    </row>
    <row r="263" spans="2:45" s="843" customFormat="1" x14ac:dyDescent="0.2">
      <c r="B263" s="600" t="s">
        <v>4425</v>
      </c>
      <c r="C263" s="600" t="s">
        <v>256</v>
      </c>
      <c r="D263" s="600" t="s">
        <v>3923</v>
      </c>
      <c r="E263" s="600"/>
      <c r="F263" s="23"/>
      <c r="G263" s="23"/>
      <c r="H263" s="691"/>
      <c r="I263" s="589"/>
      <c r="J263" s="589"/>
      <c r="K263" s="589"/>
      <c r="L263" s="863" t="s">
        <v>4111</v>
      </c>
      <c r="M263" s="882">
        <f>IFERROR(INDEX({0,2,3,5,8,9,10,8},T247),0)</f>
        <v>3</v>
      </c>
      <c r="N263" s="129"/>
      <c r="O263" s="886"/>
      <c r="P263" s="96"/>
      <c r="Q263" s="96"/>
      <c r="R263" s="96"/>
      <c r="S263" s="96"/>
      <c r="T263" s="96"/>
      <c r="X263" s="1600"/>
      <c r="AL263" s="1352" t="str">
        <f>SUBSTITUTE(SUBSTITUTE(SUBSTITUTE("dpa"&amp;$B263&amp;$C263&amp;$D263&amp;$E263&amp;$F263,".","_"),"(","_"),")","")</f>
        <v>dpa703_3_2_3_3</v>
      </c>
      <c r="AM263" s="1352">
        <f>M263</f>
        <v>3</v>
      </c>
      <c r="AN263" s="78"/>
      <c r="AO263" s="78"/>
      <c r="AP263" s="78"/>
      <c r="AQ263" s="78"/>
      <c r="AR263" s="78"/>
      <c r="AS263" s="78"/>
    </row>
    <row r="264" spans="2:45" s="843" customFormat="1" x14ac:dyDescent="0.2">
      <c r="B264" s="600" t="s">
        <v>4425</v>
      </c>
      <c r="C264" s="600" t="s">
        <v>256</v>
      </c>
      <c r="D264" s="600" t="s">
        <v>3924</v>
      </c>
      <c r="E264" s="600"/>
      <c r="F264" s="23"/>
      <c r="G264" s="23"/>
      <c r="H264" s="691"/>
      <c r="I264" s="589"/>
      <c r="J264" s="606"/>
      <c r="K264" s="606"/>
      <c r="L264" s="923" t="s">
        <v>4112</v>
      </c>
      <c r="M264" s="937">
        <f>IFERROR(INDEX({0,2,4,6,9,11,12,10},T247),0)</f>
        <v>4</v>
      </c>
      <c r="N264" s="129"/>
      <c r="O264" s="886"/>
      <c r="P264" s="96"/>
      <c r="Q264" s="96"/>
      <c r="R264" s="96"/>
      <c r="S264" s="96"/>
      <c r="T264" s="96"/>
      <c r="X264" s="1600"/>
      <c r="AL264" s="1352" t="str">
        <f>SUBSTITUTE(SUBSTITUTE(SUBSTITUTE("dpa"&amp;$B264&amp;$C264&amp;$D264&amp;$E264&amp;$F264,".","_"),"(","_"),")","")</f>
        <v>dpa703_3_2_3_4</v>
      </c>
      <c r="AM264" s="1352">
        <f>M264</f>
        <v>4</v>
      </c>
      <c r="AN264" s="78"/>
      <c r="AO264" s="78"/>
      <c r="AP264" s="78"/>
      <c r="AQ264" s="78"/>
      <c r="AR264" s="78"/>
      <c r="AS264" s="78"/>
    </row>
    <row r="265" spans="2:45" s="843" customFormat="1" x14ac:dyDescent="0.2">
      <c r="B265" s="600" t="s">
        <v>4425</v>
      </c>
      <c r="C265" s="600" t="s">
        <v>259</v>
      </c>
      <c r="D265" s="600"/>
      <c r="E265" s="600"/>
      <c r="F265" s="23"/>
      <c r="G265" s="23"/>
      <c r="H265" s="691"/>
      <c r="I265" s="589"/>
      <c r="J265" s="589" t="s">
        <v>259</v>
      </c>
      <c r="K265" s="589"/>
      <c r="L265" s="863" t="s">
        <v>4408</v>
      </c>
      <c r="M265" s="882"/>
      <c r="N265" s="129"/>
      <c r="O265" s="886">
        <f ca="1">IFERROR(INDEX(M266:M267,MATCH(W266,{0.85,0.9},1)),0)*S266</f>
        <v>0</v>
      </c>
      <c r="P265" s="96"/>
      <c r="Q265" s="96"/>
      <c r="R265" s="96"/>
      <c r="S265" s="96"/>
      <c r="T265" s="96"/>
      <c r="W265" s="881" t="s">
        <v>4495</v>
      </c>
      <c r="X265" s="1600"/>
      <c r="AL265" s="78"/>
      <c r="AM265" s="78"/>
      <c r="AN265" s="1352" t="str">
        <f>SUBSTITUTE(SUBSTITUTE(SUBSTITUTE("dpc"&amp;$B265&amp;$C265&amp;$D265&amp;$E265&amp;$F265,".","_"),"(","_"),")","")</f>
        <v>dpc703_3_2_4</v>
      </c>
      <c r="AO265" s="1352">
        <f ca="1">O265</f>
        <v>0</v>
      </c>
      <c r="AP265" s="78"/>
      <c r="AQ265" s="78"/>
      <c r="AR265" s="1352" t="str">
        <f>SUBSTITUTE(SUBSTITUTE(SUBSTITUTE("dnt"&amp;$B265&amp;$C265&amp;$D265&amp;$E265&amp;$F265,".","_"),"(","_"),")","")</f>
        <v>dnt703_3_2_4</v>
      </c>
      <c r="AS265" s="1352" t="str">
        <f>IF(LEN(X265)=0,"",X265)</f>
        <v/>
      </c>
    </row>
    <row r="266" spans="2:45" s="843" customFormat="1" x14ac:dyDescent="0.2">
      <c r="B266" s="600" t="s">
        <v>4425</v>
      </c>
      <c r="C266" s="600" t="s">
        <v>259</v>
      </c>
      <c r="D266" s="600" t="s">
        <v>3921</v>
      </c>
      <c r="E266" s="600"/>
      <c r="F266" s="23"/>
      <c r="G266" s="23"/>
      <c r="H266" s="691"/>
      <c r="I266" s="589"/>
      <c r="J266" s="589"/>
      <c r="K266" s="589"/>
      <c r="L266" s="863" t="s">
        <v>4114</v>
      </c>
      <c r="M266" s="882">
        <f>IFERROR(INDEX({0,1,1,3,3,4,4,5},T247),0)</f>
        <v>1</v>
      </c>
      <c r="N266" s="129"/>
      <c r="O266" s="886"/>
      <c r="P266" s="96" t="b">
        <v>1</v>
      </c>
      <c r="Q266" s="96" t="b">
        <v>1</v>
      </c>
      <c r="R266" s="96" t="b">
        <v>0</v>
      </c>
      <c r="S266" s="96" t="b">
        <f ca="1">AND(S11=2,LEN(W252)=0,LEN(W258)=0,LEN(W261)=0,LEN(W272)=0,LEN(W277)=0,LEN(W279)=0,NOT(W291=TRUE),LEN(W296)=0)</f>
        <v>0</v>
      </c>
      <c r="T266" s="96" t="b">
        <f ca="1">AND(NOT(S266),LEN(W266)&gt;0)</f>
        <v>0</v>
      </c>
      <c r="W266" s="413"/>
      <c r="X266" s="1600"/>
      <c r="AC266" s="905" t="b">
        <f ca="1">OR(AD266:AE266)</f>
        <v>0</v>
      </c>
      <c r="AD266" s="905" t="b">
        <f ca="1">T266</f>
        <v>0</v>
      </c>
      <c r="AE266" s="905" t="b">
        <f>AND(R266,OR(W266="Not Met",W266=""))</f>
        <v>0</v>
      </c>
      <c r="AL266" s="1352" t="str">
        <f>SUBSTITUTE(SUBSTITUTE(SUBSTITUTE("dpa"&amp;$B266&amp;$C266&amp;$D266&amp;$E266&amp;$F266,".","_"),"(","_"),")","")</f>
        <v>dpa703_3_2_4_1</v>
      </c>
      <c r="AM266" s="1352">
        <f>M266</f>
        <v>1</v>
      </c>
      <c r="AN266" s="78"/>
      <c r="AO266" s="78"/>
      <c r="AP266" s="1352" t="str">
        <f>SUBSTITUTE(SUBSTITUTE(SUBSTITUTE("dch"&amp;$B266&amp;$C266&amp;$D266&amp;$E266&amp;$F266,".","_"),"(","_"),")","")</f>
        <v>dch703_3_2_4_1</v>
      </c>
      <c r="AQ266" s="1352" t="str">
        <f>IF(LEN(W266)=0,"",W266)</f>
        <v/>
      </c>
      <c r="AR266" s="78"/>
      <c r="AS266" s="78"/>
    </row>
    <row r="267" spans="2:45" s="843" customFormat="1" x14ac:dyDescent="0.2">
      <c r="B267" s="600" t="s">
        <v>4425</v>
      </c>
      <c r="C267" s="600" t="s">
        <v>259</v>
      </c>
      <c r="D267" s="600" t="s">
        <v>3922</v>
      </c>
      <c r="E267" s="600"/>
      <c r="F267" s="23"/>
      <c r="G267" s="23"/>
      <c r="H267" s="691"/>
      <c r="I267" s="606"/>
      <c r="J267" s="606"/>
      <c r="K267" s="606"/>
      <c r="L267" s="923" t="s">
        <v>4109</v>
      </c>
      <c r="M267" s="937">
        <f>IFERROR(INDEX({1,2,3,5,6,7,9,10},T247),0)</f>
        <v>3</v>
      </c>
      <c r="N267" s="213"/>
      <c r="O267" s="909"/>
      <c r="P267" s="173"/>
      <c r="Q267" s="173"/>
      <c r="R267" s="173"/>
      <c r="S267" s="173"/>
      <c r="T267" s="173"/>
      <c r="U267" s="173"/>
      <c r="V267" s="173"/>
      <c r="W267" s="818"/>
      <c r="X267" s="1600"/>
      <c r="AL267" s="1352" t="str">
        <f>SUBSTITUTE(SUBSTITUTE(SUBSTITUTE("dpa"&amp;$B267&amp;$C267&amp;$D267&amp;$E267&amp;$F267,".","_"),"(","_"),")","")</f>
        <v>dpa703_3_2_4_2</v>
      </c>
      <c r="AM267" s="1352">
        <f>M267</f>
        <v>3</v>
      </c>
      <c r="AN267" s="78"/>
      <c r="AO267" s="78"/>
      <c r="AP267" s="78"/>
      <c r="AQ267" s="78"/>
      <c r="AR267" s="78"/>
      <c r="AS267" s="78"/>
    </row>
    <row r="268" spans="2:45" s="843" customFormat="1" x14ac:dyDescent="0.2">
      <c r="B268" s="600" t="s">
        <v>4426</v>
      </c>
      <c r="C268" s="600"/>
      <c r="D268" s="600"/>
      <c r="E268" s="600"/>
      <c r="F268" s="23"/>
      <c r="G268" s="23"/>
      <c r="H268" s="691"/>
      <c r="I268" s="589" t="s">
        <v>4115</v>
      </c>
      <c r="J268" s="589"/>
      <c r="K268" s="589"/>
      <c r="L268" s="1687" t="s">
        <v>4116</v>
      </c>
      <c r="M268" s="96"/>
      <c r="N268" s="96"/>
      <c r="O268" s="96"/>
      <c r="P268" s="96"/>
      <c r="Q268" s="96"/>
      <c r="R268" s="96"/>
      <c r="S268" s="96"/>
      <c r="T268" s="96"/>
      <c r="X268" s="1122"/>
      <c r="AL268" s="78"/>
      <c r="AM268" s="78"/>
      <c r="AN268" s="78"/>
      <c r="AO268" s="78"/>
      <c r="AP268" s="78"/>
      <c r="AQ268" s="78"/>
      <c r="AR268" s="78"/>
      <c r="AS268" s="78"/>
    </row>
    <row r="269" spans="2:45" s="843" customFormat="1" x14ac:dyDescent="0.2">
      <c r="B269" s="600" t="s">
        <v>4426</v>
      </c>
      <c r="C269" s="600"/>
      <c r="D269" s="600"/>
      <c r="E269" s="600"/>
      <c r="F269" s="23"/>
      <c r="G269" s="23"/>
      <c r="H269" s="691"/>
      <c r="I269" s="589"/>
      <c r="J269" s="589"/>
      <c r="K269" s="589"/>
      <c r="L269" s="1687"/>
      <c r="M269" s="96"/>
      <c r="N269" s="96"/>
      <c r="O269" s="96"/>
      <c r="P269" s="96"/>
      <c r="Q269" s="96"/>
      <c r="R269" s="96"/>
      <c r="S269" s="96"/>
      <c r="T269" s="96"/>
      <c r="X269" s="1122"/>
      <c r="AL269" s="78"/>
      <c r="AM269" s="78"/>
      <c r="AN269" s="78"/>
      <c r="AO269" s="78"/>
      <c r="AP269" s="78"/>
      <c r="AQ269" s="78"/>
      <c r="AR269" s="78"/>
      <c r="AS269" s="78"/>
    </row>
    <row r="270" spans="2:45" s="843" customFormat="1" x14ac:dyDescent="0.2">
      <c r="B270" s="600" t="s">
        <v>4426</v>
      </c>
      <c r="C270" s="600"/>
      <c r="D270" s="600"/>
      <c r="E270" s="600"/>
      <c r="F270" s="23"/>
      <c r="G270" s="23"/>
      <c r="H270" s="691"/>
      <c r="I270" s="589"/>
      <c r="J270" s="589"/>
      <c r="K270" s="589"/>
      <c r="L270" s="1687"/>
      <c r="M270" s="96"/>
      <c r="N270" s="96"/>
      <c r="O270" s="96"/>
      <c r="P270" s="96"/>
      <c r="Q270" s="96"/>
      <c r="R270" s="96"/>
      <c r="S270" s="96"/>
      <c r="T270" s="96"/>
      <c r="X270" s="1122"/>
      <c r="AL270" s="78"/>
      <c r="AM270" s="78"/>
      <c r="AN270" s="78"/>
      <c r="AO270" s="78"/>
      <c r="AP270" s="78"/>
      <c r="AQ270" s="78"/>
      <c r="AR270" s="78"/>
      <c r="AS270" s="78"/>
    </row>
    <row r="271" spans="2:45" s="843" customFormat="1" x14ac:dyDescent="0.2">
      <c r="B271" s="600" t="s">
        <v>4426</v>
      </c>
      <c r="C271" s="600" t="s">
        <v>254</v>
      </c>
      <c r="D271" s="600"/>
      <c r="E271" s="600"/>
      <c r="F271" s="23"/>
      <c r="G271" s="23"/>
      <c r="H271" s="691"/>
      <c r="I271" s="589"/>
      <c r="J271" s="589" t="s">
        <v>254</v>
      </c>
      <c r="K271" s="589"/>
      <c r="L271" s="863" t="s">
        <v>4117</v>
      </c>
      <c r="M271" s="882"/>
      <c r="N271" s="129"/>
      <c r="O271" s="886">
        <f ca="1">IFERROR(INDEX(M272:M276,MATCH(W272,{8.5,9,9.5,10,12},1)),0)*S272</f>
        <v>0</v>
      </c>
      <c r="P271" s="96"/>
      <c r="Q271" s="96"/>
      <c r="R271" s="96"/>
      <c r="S271" s="96"/>
      <c r="T271" s="96"/>
      <c r="W271" s="881" t="s">
        <v>4496</v>
      </c>
      <c r="X271" s="1600"/>
      <c r="AL271" s="78"/>
      <c r="AM271" s="78"/>
      <c r="AN271" s="1352" t="str">
        <f>SUBSTITUTE(SUBSTITUTE(SUBSTITUTE("dpc"&amp;$B271&amp;$C271&amp;$D271&amp;$E271&amp;$F271,".","_"),"(","_"),")","")</f>
        <v>dpc703_3_3_1</v>
      </c>
      <c r="AO271" s="1352">
        <f ca="1">O271</f>
        <v>0</v>
      </c>
      <c r="AP271" s="78"/>
      <c r="AQ271" s="78"/>
      <c r="AR271" s="1352" t="str">
        <f>SUBSTITUTE(SUBSTITUTE(SUBSTITUTE("dnt"&amp;$B271&amp;$C271&amp;$D271&amp;$E271&amp;$F271,".","_"),"(","_"),")","")</f>
        <v>dnt703_3_3_1</v>
      </c>
      <c r="AS271" s="1352" t="str">
        <f>IF(LEN(X271)=0,"",X271)</f>
        <v/>
      </c>
    </row>
    <row r="272" spans="2:45" s="843" customFormat="1" x14ac:dyDescent="0.2">
      <c r="B272" s="600" t="s">
        <v>4426</v>
      </c>
      <c r="C272" s="600" t="s">
        <v>254</v>
      </c>
      <c r="D272" s="600" t="s">
        <v>254</v>
      </c>
      <c r="E272" s="600"/>
      <c r="F272" s="23"/>
      <c r="G272" s="23"/>
      <c r="H272" s="691"/>
      <c r="I272" s="589"/>
      <c r="J272" s="589"/>
      <c r="K272" s="589"/>
      <c r="L272" s="863" t="s">
        <v>4118</v>
      </c>
      <c r="M272" s="882">
        <f>IF(T248,IFERROR(INDEX({0,3,4,8,11,13,13,13},T247),0),IFERROR(INDEX({0,1,1,2,2,2,2,2},T247),0))</f>
        <v>1</v>
      </c>
      <c r="N272" s="129"/>
      <c r="O272" s="886"/>
      <c r="P272" s="96" t="b">
        <v>1</v>
      </c>
      <c r="Q272" s="96" t="b">
        <v>1</v>
      </c>
      <c r="R272" s="96" t="b">
        <v>0</v>
      </c>
      <c r="S272" s="96" t="b">
        <f ca="1">AND(S11=2,LEN(W252)=0,LEN(W258)=0,LEN(W261)=0,LEN(W266)=0,LEN(W277)=0,LEN(W279)=0,NOT(W291=TRUE),LEN(W296)=0)</f>
        <v>0</v>
      </c>
      <c r="T272" s="96" t="b">
        <f ca="1">AND(NOT(S272),LEN(W272)&gt;0)</f>
        <v>0</v>
      </c>
      <c r="W272" s="979"/>
      <c r="X272" s="1600"/>
      <c r="AC272" s="905" t="b">
        <f ca="1">OR(AD272:AE272)</f>
        <v>0</v>
      </c>
      <c r="AD272" s="905" t="b">
        <f ca="1">T272</f>
        <v>0</v>
      </c>
      <c r="AE272" s="905" t="b">
        <f>AND(R272,OR(W272="Not Met",W272=""))</f>
        <v>0</v>
      </c>
      <c r="AL272" s="1352" t="str">
        <f t="shared" ref="AL272:AL277" si="19">SUBSTITUTE(SUBSTITUTE(SUBSTITUTE("dpa"&amp;$B272&amp;$C272&amp;$D272&amp;$E272&amp;$F272,".","_"),"(","_"),")","")</f>
        <v>dpa703_3_3_1_1</v>
      </c>
      <c r="AM272" s="1352">
        <f t="shared" ref="AM272:AM277" si="20">M272</f>
        <v>1</v>
      </c>
      <c r="AN272" s="78"/>
      <c r="AO272" s="78"/>
      <c r="AP272" s="1352" t="str">
        <f>SUBSTITUTE(SUBSTITUTE(SUBSTITUTE("dch"&amp;$B272&amp;$C272&amp;$D272&amp;$E272&amp;$F272,".","_"),"(","_"),")","")</f>
        <v>dch703_3_3_1_1</v>
      </c>
      <c r="AQ272" s="1352" t="str">
        <f>IF(LEN(W272)=0,"",W272)</f>
        <v/>
      </c>
      <c r="AR272" s="78"/>
      <c r="AS272" s="78"/>
    </row>
    <row r="273" spans="2:51" s="843" customFormat="1" x14ac:dyDescent="0.2">
      <c r="B273" s="600" t="s">
        <v>4426</v>
      </c>
      <c r="C273" s="600" t="s">
        <v>254</v>
      </c>
      <c r="D273" s="600" t="s">
        <v>255</v>
      </c>
      <c r="E273" s="600"/>
      <c r="F273" s="23"/>
      <c r="G273" s="23"/>
      <c r="H273" s="691"/>
      <c r="I273" s="589"/>
      <c r="J273" s="589"/>
      <c r="K273" s="589"/>
      <c r="L273" s="863" t="s">
        <v>4119</v>
      </c>
      <c r="M273" s="882">
        <f>IF(T248,IFERROR(INDEX({0,3,4,8,11,13,13,13},T247),0),IFERROR(INDEX({0,2,4,5,6,10,10,10},T247),0))</f>
        <v>4</v>
      </c>
      <c r="N273" s="129"/>
      <c r="O273" s="886"/>
      <c r="P273" s="96"/>
      <c r="Q273" s="96"/>
      <c r="R273" s="96"/>
      <c r="S273" s="96"/>
      <c r="T273" s="96"/>
      <c r="X273" s="1600"/>
      <c r="AL273" s="1352" t="str">
        <f t="shared" si="19"/>
        <v>dpa703_3_3_1_2</v>
      </c>
      <c r="AM273" s="1352">
        <f t="shared" si="20"/>
        <v>4</v>
      </c>
      <c r="AN273" s="78"/>
      <c r="AO273" s="78"/>
      <c r="AP273" s="78"/>
      <c r="AQ273" s="78"/>
      <c r="AR273" s="78"/>
      <c r="AS273" s="78"/>
    </row>
    <row r="274" spans="2:51" s="843" customFormat="1" x14ac:dyDescent="0.2">
      <c r="B274" s="600" t="s">
        <v>4426</v>
      </c>
      <c r="C274" s="600" t="s">
        <v>254</v>
      </c>
      <c r="D274" s="600" t="s">
        <v>256</v>
      </c>
      <c r="E274" s="600"/>
      <c r="F274" s="23"/>
      <c r="G274" s="23"/>
      <c r="H274" s="691"/>
      <c r="I274" s="589"/>
      <c r="J274" s="589"/>
      <c r="K274" s="589"/>
      <c r="L274" s="863" t="s">
        <v>4120</v>
      </c>
      <c r="M274" s="882">
        <f>IF(T248,IFERROR(INDEX({0,3,4,8,11,13,13,13},T247),0),IFERROR(INDEX({0,3,7,7,11,18,18,18},T247),0))</f>
        <v>7</v>
      </c>
      <c r="N274" s="129"/>
      <c r="O274" s="886"/>
      <c r="P274" s="96"/>
      <c r="Q274" s="96"/>
      <c r="R274" s="96"/>
      <c r="S274" s="96"/>
      <c r="T274" s="96"/>
      <c r="X274" s="1600"/>
      <c r="AL274" s="1352" t="str">
        <f t="shared" si="19"/>
        <v>dpa703_3_3_1_3</v>
      </c>
      <c r="AM274" s="1352">
        <f t="shared" si="20"/>
        <v>7</v>
      </c>
      <c r="AN274" s="78"/>
      <c r="AO274" s="78"/>
      <c r="AP274" s="78"/>
      <c r="AQ274" s="78"/>
      <c r="AR274" s="78"/>
      <c r="AS274" s="78"/>
    </row>
    <row r="275" spans="2:51" s="843" customFormat="1" x14ac:dyDescent="0.2">
      <c r="B275" s="600" t="s">
        <v>4426</v>
      </c>
      <c r="C275" s="600" t="s">
        <v>254</v>
      </c>
      <c r="D275" s="600" t="s">
        <v>259</v>
      </c>
      <c r="E275" s="600"/>
      <c r="F275" s="23"/>
      <c r="G275" s="23"/>
      <c r="H275" s="691"/>
      <c r="I275" s="589"/>
      <c r="J275" s="590"/>
      <c r="K275" s="590"/>
      <c r="L275" s="917" t="s">
        <v>4121</v>
      </c>
      <c r="M275" s="913">
        <f>IF(T248,IFERROR(INDEX({0,3,4,8,11,13,13,13},T247),0),IFERROR(INDEX({1,5,10,10,15,26,26,26},T247),0))</f>
        <v>10</v>
      </c>
      <c r="N275" s="129"/>
      <c r="O275" s="886"/>
      <c r="P275" s="96"/>
      <c r="Q275" s="96"/>
      <c r="R275" s="96"/>
      <c r="S275" s="96"/>
      <c r="T275" s="96"/>
      <c r="X275" s="1600"/>
      <c r="AL275" s="1352" t="str">
        <f t="shared" si="19"/>
        <v>dpa703_3_3_1_4</v>
      </c>
      <c r="AM275" s="1352">
        <f t="shared" si="20"/>
        <v>10</v>
      </c>
      <c r="AN275" s="78"/>
      <c r="AO275" s="78"/>
      <c r="AP275" s="78"/>
      <c r="AQ275" s="78"/>
      <c r="AR275" s="78"/>
      <c r="AS275" s="78"/>
    </row>
    <row r="276" spans="2:51" s="843" customFormat="1" x14ac:dyDescent="0.2">
      <c r="B276" s="600" t="s">
        <v>4426</v>
      </c>
      <c r="C276" s="600" t="s">
        <v>254</v>
      </c>
      <c r="D276" s="600" t="s">
        <v>263</v>
      </c>
      <c r="E276" s="600"/>
      <c r="F276" s="23"/>
      <c r="G276" s="23"/>
      <c r="H276" s="691"/>
      <c r="I276" s="589"/>
      <c r="J276" s="606"/>
      <c r="K276" s="606"/>
      <c r="L276" s="923" t="s">
        <v>4122</v>
      </c>
      <c r="M276" s="937">
        <f>IF(T248,IFERROR(INDEX({0,3,4,8,11,13,13,13},T247),0),IFERROR(INDEX({1,6,11,11,17,28,28,28},T247),0))</f>
        <v>11</v>
      </c>
      <c r="N276" s="96"/>
      <c r="O276" s="96"/>
      <c r="P276" s="96"/>
      <c r="Q276" s="96"/>
      <c r="R276" s="96"/>
      <c r="S276" s="96"/>
      <c r="T276" s="96"/>
      <c r="W276" s="881" t="s">
        <v>4496</v>
      </c>
      <c r="X276" s="1600"/>
      <c r="AL276" s="1352" t="str">
        <f t="shared" si="19"/>
        <v>dpa703_3_3_1_5</v>
      </c>
      <c r="AM276" s="1352">
        <f t="shared" si="20"/>
        <v>11</v>
      </c>
      <c r="AN276" s="78"/>
      <c r="AO276" s="78"/>
      <c r="AP276" s="78"/>
      <c r="AQ276" s="78"/>
      <c r="AR276" s="78"/>
      <c r="AS276" s="78"/>
    </row>
    <row r="277" spans="2:51" s="881" customFormat="1" x14ac:dyDescent="0.2">
      <c r="B277" s="600" t="s">
        <v>4426</v>
      </c>
      <c r="C277" s="600" t="s">
        <v>255</v>
      </c>
      <c r="D277" s="600"/>
      <c r="E277" s="600"/>
      <c r="F277" s="23"/>
      <c r="G277" s="23"/>
      <c r="H277" s="691"/>
      <c r="I277" s="589"/>
      <c r="J277" s="590" t="s">
        <v>255</v>
      </c>
      <c r="K277" s="590"/>
      <c r="L277" s="917" t="s">
        <v>4514</v>
      </c>
      <c r="M277" s="1623">
        <f>IFERROR(INDEX({0,3,4,8,11,13,13,13},T247),0)</f>
        <v>4</v>
      </c>
      <c r="N277" s="129"/>
      <c r="O277" s="1619">
        <f ca="1">IF(AND(S277,W277&gt;=8.5),M277,0)</f>
        <v>0</v>
      </c>
      <c r="P277" s="96" t="b">
        <v>1</v>
      </c>
      <c r="Q277" s="96" t="b">
        <v>1</v>
      </c>
      <c r="R277" s="96" t="b">
        <v>0</v>
      </c>
      <c r="S277" s="96" t="b">
        <f ca="1">AND(S11=2,LEN(W252)=0,LEN(W258)=0,LEN(W261)=0,LEN(W266)=0,LEN(W272)=0,LEN(W279)=0,NOT(W291=TRUE),LEN(W296)=0)</f>
        <v>0</v>
      </c>
      <c r="T277" s="96" t="b">
        <f ca="1">AND(NOT(S277),LEN(W277)&gt;0)</f>
        <v>0</v>
      </c>
      <c r="W277" s="979"/>
      <c r="X277" s="1600"/>
      <c r="AC277" s="905" t="b">
        <f ca="1">OR(AD277:AE277)</f>
        <v>0</v>
      </c>
      <c r="AD277" s="905" t="b">
        <f ca="1">T277</f>
        <v>0</v>
      </c>
      <c r="AE277" s="905" t="b">
        <f>AND(R277,OR(W277="Not Met",W277=""))</f>
        <v>0</v>
      </c>
      <c r="AL277" s="1352" t="str">
        <f t="shared" si="19"/>
        <v>dpa703_3_3_2</v>
      </c>
      <c r="AM277" s="1352">
        <f t="shared" si="20"/>
        <v>4</v>
      </c>
      <c r="AN277" s="1352" t="str">
        <f>SUBSTITUTE(SUBSTITUTE(SUBSTITUTE("dpc"&amp;$B277&amp;$C277&amp;$D277&amp;$E277&amp;$F277,".","_"),"(","_"),")","")</f>
        <v>dpc703_3_3_2</v>
      </c>
      <c r="AO277" s="1352">
        <f ca="1">O277</f>
        <v>0</v>
      </c>
      <c r="AP277" s="1352" t="str">
        <f>SUBSTITUTE(SUBSTITUTE(SUBSTITUTE("dch"&amp;$B277&amp;$C277&amp;$D277&amp;$E277&amp;$F277,".","_"),"(","_"),")","")</f>
        <v>dch703_3_3_2</v>
      </c>
      <c r="AQ277" s="1352" t="str">
        <f>IF(LEN(W277)=0,"",W277)</f>
        <v/>
      </c>
      <c r="AR277" s="1352" t="str">
        <f>SUBSTITUTE(SUBSTITUTE(SUBSTITUTE("dnt"&amp;$B277&amp;$C277&amp;$D277&amp;$E277&amp;$F277,".","_"),"(","_"),")","")</f>
        <v>dnt703_3_3_2</v>
      </c>
      <c r="AS277" s="1352" t="str">
        <f>IF(LEN(X277)=0,"",X277)</f>
        <v/>
      </c>
      <c r="AX277" s="843"/>
      <c r="AY277" s="843"/>
    </row>
    <row r="278" spans="2:51" s="881" customFormat="1" x14ac:dyDescent="0.2">
      <c r="B278" s="600" t="s">
        <v>4426</v>
      </c>
      <c r="C278" s="600" t="s">
        <v>255</v>
      </c>
      <c r="D278" s="600"/>
      <c r="E278" s="600"/>
      <c r="F278" s="23"/>
      <c r="G278" s="23"/>
      <c r="H278" s="691"/>
      <c r="I278" s="589"/>
      <c r="J278" s="606"/>
      <c r="K278" s="606"/>
      <c r="L278" s="923"/>
      <c r="M278" s="1624"/>
      <c r="N278" s="173"/>
      <c r="O278" s="1620"/>
      <c r="P278" s="96"/>
      <c r="Q278" s="96"/>
      <c r="R278" s="96"/>
      <c r="S278" s="96"/>
      <c r="T278" s="96"/>
      <c r="W278" s="881" t="s">
        <v>4497</v>
      </c>
      <c r="X278" s="1600"/>
      <c r="AL278" s="78"/>
      <c r="AM278" s="78"/>
      <c r="AN278" s="78"/>
      <c r="AO278" s="78"/>
      <c r="AP278" s="78"/>
      <c r="AQ278" s="78"/>
      <c r="AR278" s="78"/>
      <c r="AS278" s="78"/>
      <c r="AX278" s="843"/>
      <c r="AY278" s="843"/>
    </row>
    <row r="279" spans="2:51" s="843" customFormat="1" x14ac:dyDescent="0.2">
      <c r="B279" s="600" t="s">
        <v>4426</v>
      </c>
      <c r="C279" s="600" t="s">
        <v>256</v>
      </c>
      <c r="D279" s="600"/>
      <c r="E279" s="600"/>
      <c r="F279" s="23"/>
      <c r="G279" s="23"/>
      <c r="H279" s="691"/>
      <c r="I279" s="606"/>
      <c r="J279" s="606" t="s">
        <v>256</v>
      </c>
      <c r="K279" s="606"/>
      <c r="L279" s="923" t="s">
        <v>4123</v>
      </c>
      <c r="M279" s="937">
        <f>IFERROR(INDEX({2,7,11,14,16,18,18,18},T247),0)</f>
        <v>11</v>
      </c>
      <c r="N279" s="213"/>
      <c r="O279" s="909">
        <f ca="1">IF(AND(S279,W279&gt;=1.3),M279,0)</f>
        <v>0</v>
      </c>
      <c r="P279" s="173" t="b">
        <v>1</v>
      </c>
      <c r="Q279" s="173" t="b">
        <v>1</v>
      </c>
      <c r="R279" s="173" t="b">
        <v>0</v>
      </c>
      <c r="S279" s="173" t="b">
        <f ca="1">AND(S11=2,LEN(W252)=0,LEN(W258)=0,LEN(W261)=0,LEN(W266)=0,LEN(W272)=0,LEN(W277)=0,NOT(W291=TRUE),LEN(W296)=0)</f>
        <v>0</v>
      </c>
      <c r="T279" s="173" t="b">
        <f ca="1">AND(NOT(S279),LEN(W279)&gt;0)</f>
        <v>0</v>
      </c>
      <c r="U279" s="173"/>
      <c r="V279" s="173"/>
      <c r="W279" s="979"/>
      <c r="X279" s="936"/>
      <c r="AC279" s="905" t="b">
        <f ca="1">OR(AD279:AE279)</f>
        <v>0</v>
      </c>
      <c r="AD279" s="905" t="b">
        <f ca="1">T279</f>
        <v>0</v>
      </c>
      <c r="AE279" s="905" t="b">
        <f>AND(R279,OR(W279="Not Met",W279=""))</f>
        <v>0</v>
      </c>
      <c r="AL279" s="1352" t="str">
        <f>SUBSTITUTE(SUBSTITUTE(SUBSTITUTE("dpa"&amp;$B279&amp;$C279&amp;$D279&amp;$E279&amp;$F279,".","_"),"(","_"),")","")</f>
        <v>dpa703_3_3_3</v>
      </c>
      <c r="AM279" s="1352">
        <f>M279</f>
        <v>11</v>
      </c>
      <c r="AN279" s="1352" t="str">
        <f>SUBSTITUTE(SUBSTITUTE(SUBSTITUTE("dpc"&amp;$B279&amp;$C279&amp;$D279&amp;$E279&amp;$F279,".","_"),"(","_"),")","")</f>
        <v>dpc703_3_3_3</v>
      </c>
      <c r="AO279" s="1352">
        <f ca="1">O279</f>
        <v>0</v>
      </c>
      <c r="AP279" s="1352" t="str">
        <f>SUBSTITUTE(SUBSTITUTE(SUBSTITUTE("dch"&amp;$B279&amp;$C279&amp;$D279&amp;$E279&amp;$F279,".","_"),"(","_"),")","")</f>
        <v>dch703_3_3_3</v>
      </c>
      <c r="AQ279" s="1352" t="str">
        <f>IF(LEN(W279)=0,"",W279)</f>
        <v/>
      </c>
      <c r="AR279" s="1352" t="str">
        <f>SUBSTITUTE(SUBSTITUTE(SUBSTITUTE("dnt"&amp;$B279&amp;$C279&amp;$D279&amp;$E279&amp;$F279,".","_"),"(","_"),")","")</f>
        <v>dnt703_3_3_3</v>
      </c>
      <c r="AS279" s="1352" t="str">
        <f>IF(LEN(X279)=0,"",X279)</f>
        <v/>
      </c>
      <c r="AX279" s="881"/>
      <c r="AY279" s="881"/>
    </row>
    <row r="280" spans="2:51" s="843" customFormat="1" x14ac:dyDescent="0.2">
      <c r="B280" s="600" t="s">
        <v>4427</v>
      </c>
      <c r="C280" s="600"/>
      <c r="D280" s="600"/>
      <c r="E280" s="600"/>
      <c r="F280" s="23"/>
      <c r="G280" s="23"/>
      <c r="H280" s="691"/>
      <c r="I280" s="589" t="s">
        <v>4124</v>
      </c>
      <c r="J280" s="589"/>
      <c r="K280" s="589"/>
      <c r="L280" s="1687" t="s">
        <v>4125</v>
      </c>
      <c r="M280" s="96"/>
      <c r="N280" s="96"/>
      <c r="O280" s="96"/>
      <c r="P280" s="96"/>
      <c r="Q280" s="96"/>
      <c r="R280" s="96"/>
      <c r="S280" s="96"/>
      <c r="T280" s="96"/>
      <c r="AL280" s="78"/>
      <c r="AM280" s="78"/>
      <c r="AN280" s="78"/>
      <c r="AO280" s="78"/>
      <c r="AP280" s="78"/>
      <c r="AQ280" s="78"/>
      <c r="AR280" s="78"/>
      <c r="AS280" s="78"/>
      <c r="AX280" s="881"/>
      <c r="AY280" s="881"/>
    </row>
    <row r="281" spans="2:51" s="843" customFormat="1" x14ac:dyDescent="0.2">
      <c r="B281" s="600" t="s">
        <v>4427</v>
      </c>
      <c r="C281" s="600"/>
      <c r="D281" s="600"/>
      <c r="E281" s="600"/>
      <c r="F281" s="23"/>
      <c r="G281" s="23"/>
      <c r="H281" s="691"/>
      <c r="I281" s="589"/>
      <c r="J281" s="589"/>
      <c r="K281" s="589"/>
      <c r="L281" s="1687"/>
      <c r="M281" s="96"/>
      <c r="N281" s="96"/>
      <c r="O281" s="96"/>
      <c r="P281" s="96"/>
      <c r="Q281" s="96"/>
      <c r="R281" s="96"/>
      <c r="S281" s="96"/>
      <c r="T281" s="96"/>
      <c r="AL281" s="78"/>
      <c r="AM281" s="78"/>
      <c r="AN281" s="78"/>
      <c r="AO281" s="78"/>
      <c r="AP281" s="78"/>
      <c r="AQ281" s="78"/>
      <c r="AR281" s="78"/>
      <c r="AS281" s="78"/>
    </row>
    <row r="282" spans="2:51" s="843" customFormat="1" x14ac:dyDescent="0.2">
      <c r="B282" s="600" t="s">
        <v>4427</v>
      </c>
      <c r="C282" s="600"/>
      <c r="D282" s="600"/>
      <c r="E282" s="600"/>
      <c r="F282" s="23"/>
      <c r="G282" s="23"/>
      <c r="H282" s="691"/>
      <c r="I282" s="589"/>
      <c r="J282" s="589"/>
      <c r="K282" s="589"/>
      <c r="L282" s="1687"/>
      <c r="M282" s="96"/>
      <c r="N282" s="96"/>
      <c r="O282" s="96"/>
      <c r="P282" s="96"/>
      <c r="Q282" s="96"/>
      <c r="R282" s="96"/>
      <c r="S282" s="96"/>
      <c r="T282" s="96"/>
      <c r="AL282" s="78"/>
      <c r="AM282" s="78"/>
      <c r="AN282" s="78"/>
      <c r="AO282" s="78"/>
      <c r="AP282" s="78"/>
      <c r="AQ282" s="78"/>
      <c r="AR282" s="78"/>
      <c r="AS282" s="78"/>
    </row>
    <row r="283" spans="2:51" s="843" customFormat="1" x14ac:dyDescent="0.2">
      <c r="B283" s="600" t="s">
        <v>4427</v>
      </c>
      <c r="C283" s="600" t="s">
        <v>254</v>
      </c>
      <c r="D283" s="600"/>
      <c r="E283" s="600"/>
      <c r="F283" s="23"/>
      <c r="G283" s="23"/>
      <c r="H283" s="691"/>
      <c r="I283" s="589"/>
      <c r="J283" s="589" t="s">
        <v>254</v>
      </c>
      <c r="K283" s="589"/>
      <c r="L283" s="863" t="s">
        <v>4126</v>
      </c>
      <c r="M283" s="882"/>
      <c r="N283" s="129"/>
      <c r="O283" s="886">
        <f ca="1">IFERROR(INDEX(M284:M288,MATCH(W284,{15,17,19,21,25},1)),0)*S284</f>
        <v>0</v>
      </c>
      <c r="P283" s="96"/>
      <c r="Q283" s="96"/>
      <c r="R283" s="96"/>
      <c r="S283" s="96"/>
      <c r="T283" s="96"/>
      <c r="W283" s="881" t="s">
        <v>4498</v>
      </c>
      <c r="X283" s="1600"/>
      <c r="AL283" s="78"/>
      <c r="AM283" s="78"/>
      <c r="AN283" s="1352" t="str">
        <f>SUBSTITUTE(SUBSTITUTE(SUBSTITUTE("dpc"&amp;$B283&amp;$C283&amp;$D283&amp;$E283&amp;$F283,".","_"),"(","_"),")","")</f>
        <v>dpc703_3_4_1</v>
      </c>
      <c r="AO283" s="1352">
        <f ca="1">O283</f>
        <v>0</v>
      </c>
      <c r="AP283" s="78"/>
      <c r="AQ283" s="78"/>
      <c r="AR283" s="1352" t="str">
        <f>SUBSTITUTE(SUBSTITUTE(SUBSTITUTE("dnt"&amp;$B283&amp;$C283&amp;$D283&amp;$E283&amp;$F283,".","_"),"(","_"),")","")</f>
        <v>dnt703_3_4_1</v>
      </c>
      <c r="AS283" s="1352" t="str">
        <f>IF(LEN(X283)=0,"",X283)</f>
        <v/>
      </c>
    </row>
    <row r="284" spans="2:51" s="843" customFormat="1" x14ac:dyDescent="0.2">
      <c r="B284" s="600" t="s">
        <v>4427</v>
      </c>
      <c r="C284" s="600" t="s">
        <v>254</v>
      </c>
      <c r="D284" s="600" t="s">
        <v>254</v>
      </c>
      <c r="E284" s="600"/>
      <c r="F284" s="23"/>
      <c r="G284" s="23"/>
      <c r="H284" s="691"/>
      <c r="I284" s="589"/>
      <c r="J284" s="589"/>
      <c r="K284" s="589"/>
      <c r="L284" s="863" t="s">
        <v>4127</v>
      </c>
      <c r="M284" s="882">
        <f>IFERROR(INDEX({6,4,2,1,1,1,1,0},T247),0)</f>
        <v>2</v>
      </c>
      <c r="N284" s="129"/>
      <c r="O284" s="886"/>
      <c r="P284" s="96" t="b">
        <v>1</v>
      </c>
      <c r="Q284" s="96" t="b">
        <v>1</v>
      </c>
      <c r="R284" s="96" t="b">
        <v>0</v>
      </c>
      <c r="S284" s="96" t="b">
        <f ca="1">AND(S11=2,NOT(W289=TRUE),LEN(W291)=0,NOT(W292=TRUE),LEN(W296)=0)</f>
        <v>0</v>
      </c>
      <c r="T284" s="96" t="b">
        <f ca="1">AND(NOT(S284),LEN(W284)&gt;0)</f>
        <v>0</v>
      </c>
      <c r="W284" s="979"/>
      <c r="X284" s="1600"/>
      <c r="AC284" s="905" t="b">
        <f ca="1">OR(AD284:AE284)</f>
        <v>0</v>
      </c>
      <c r="AD284" s="905" t="b">
        <f ca="1">T284</f>
        <v>0</v>
      </c>
      <c r="AE284" s="905" t="b">
        <f>AND(R284,OR(W284="Not Met",W284=""))</f>
        <v>0</v>
      </c>
      <c r="AL284" s="1352" t="str">
        <f t="shared" ref="AL284:AL289" si="21">SUBSTITUTE(SUBSTITUTE(SUBSTITUTE("dpa"&amp;$B284&amp;$C284&amp;$D284&amp;$E284&amp;$F284,".","_"),"(","_"),")","")</f>
        <v>dpa703_3_4_1_1</v>
      </c>
      <c r="AM284" s="1352">
        <f t="shared" ref="AM284:AM289" si="22">M284</f>
        <v>2</v>
      </c>
      <c r="AN284" s="78"/>
      <c r="AO284" s="78"/>
      <c r="AP284" s="1352" t="str">
        <f>SUBSTITUTE(SUBSTITUTE(SUBSTITUTE("dch"&amp;$B284&amp;$C284&amp;$D284&amp;$E284&amp;$F284,".","_"),"(","_"),")","")</f>
        <v>dch703_3_4_1_1</v>
      </c>
      <c r="AQ284" s="1352" t="str">
        <f>IF(LEN(W284)=0,"",W284)</f>
        <v/>
      </c>
      <c r="AR284" s="78"/>
      <c r="AS284" s="78"/>
    </row>
    <row r="285" spans="2:51" s="843" customFormat="1" x14ac:dyDescent="0.2">
      <c r="B285" s="600" t="s">
        <v>4427</v>
      </c>
      <c r="C285" s="600" t="s">
        <v>254</v>
      </c>
      <c r="D285" s="600" t="s">
        <v>255</v>
      </c>
      <c r="E285" s="600"/>
      <c r="F285" s="23"/>
      <c r="G285" s="23"/>
      <c r="H285" s="691"/>
      <c r="I285" s="589"/>
      <c r="J285" s="589"/>
      <c r="K285" s="589"/>
      <c r="L285" s="863" t="s">
        <v>4128</v>
      </c>
      <c r="M285" s="882">
        <f>IFERROR(INDEX({11,9,7,3,3,2,2,0},T247),0)</f>
        <v>7</v>
      </c>
      <c r="N285" s="129"/>
      <c r="O285" s="886"/>
      <c r="P285" s="96"/>
      <c r="Q285" s="96"/>
      <c r="R285" s="96"/>
      <c r="S285" s="96"/>
      <c r="T285" s="96"/>
      <c r="X285" s="1600"/>
      <c r="AL285" s="1352" t="str">
        <f t="shared" si="21"/>
        <v>dpa703_3_4_1_2</v>
      </c>
      <c r="AM285" s="1352">
        <f t="shared" si="22"/>
        <v>7</v>
      </c>
      <c r="AN285" s="78"/>
      <c r="AO285" s="78"/>
      <c r="AP285" s="78"/>
      <c r="AQ285" s="78"/>
      <c r="AR285" s="78"/>
      <c r="AS285" s="78"/>
    </row>
    <row r="286" spans="2:51" s="843" customFormat="1" x14ac:dyDescent="0.2">
      <c r="B286" s="600" t="s">
        <v>4427</v>
      </c>
      <c r="C286" s="600" t="s">
        <v>254</v>
      </c>
      <c r="D286" s="600" t="s">
        <v>256</v>
      </c>
      <c r="E286" s="600"/>
      <c r="F286" s="23"/>
      <c r="G286" s="23"/>
      <c r="H286" s="691"/>
      <c r="I286" s="589"/>
      <c r="J286" s="589"/>
      <c r="K286" s="589"/>
      <c r="L286" s="863" t="s">
        <v>4129</v>
      </c>
      <c r="M286" s="882">
        <f>IFERROR(INDEX({19,12,10,6,4,4,4,0},T247),0)</f>
        <v>10</v>
      </c>
      <c r="N286" s="129"/>
      <c r="O286" s="886"/>
      <c r="P286" s="96"/>
      <c r="Q286" s="96"/>
      <c r="R286" s="96"/>
      <c r="S286" s="96"/>
      <c r="T286" s="96"/>
      <c r="X286" s="1600"/>
      <c r="AL286" s="1352" t="str">
        <f t="shared" si="21"/>
        <v>dpa703_3_4_1_3</v>
      </c>
      <c r="AM286" s="1352">
        <f t="shared" si="22"/>
        <v>10</v>
      </c>
      <c r="AN286" s="78"/>
      <c r="AO286" s="78"/>
      <c r="AP286" s="78"/>
      <c r="AQ286" s="78"/>
      <c r="AR286" s="78"/>
      <c r="AS286" s="78"/>
    </row>
    <row r="287" spans="2:51" s="843" customFormat="1" x14ac:dyDescent="0.2">
      <c r="B287" s="600" t="s">
        <v>4427</v>
      </c>
      <c r="C287" s="600" t="s">
        <v>254</v>
      </c>
      <c r="D287" s="600" t="s">
        <v>259</v>
      </c>
      <c r="E287" s="600"/>
      <c r="F287" s="23"/>
      <c r="G287" s="23"/>
      <c r="H287" s="691"/>
      <c r="I287" s="589"/>
      <c r="J287" s="589"/>
      <c r="K287" s="589"/>
      <c r="L287" s="863" t="s">
        <v>4130</v>
      </c>
      <c r="M287" s="882">
        <f>IFERROR(INDEX({26,15,14,8,6,6,5,0},T247),0)</f>
        <v>14</v>
      </c>
      <c r="N287" s="129"/>
      <c r="O287" s="886"/>
      <c r="P287" s="96"/>
      <c r="Q287" s="96"/>
      <c r="R287" s="96"/>
      <c r="S287" s="96"/>
      <c r="T287" s="96"/>
      <c r="X287" s="1600"/>
      <c r="AL287" s="1352" t="str">
        <f t="shared" si="21"/>
        <v>dpa703_3_4_1_4</v>
      </c>
      <c r="AM287" s="1352">
        <f t="shared" si="22"/>
        <v>14</v>
      </c>
      <c r="AN287" s="78"/>
      <c r="AO287" s="78"/>
      <c r="AP287" s="78"/>
      <c r="AQ287" s="78"/>
      <c r="AR287" s="78"/>
      <c r="AS287" s="78"/>
    </row>
    <row r="288" spans="2:51" s="843" customFormat="1" x14ac:dyDescent="0.2">
      <c r="B288" s="600" t="s">
        <v>4427</v>
      </c>
      <c r="C288" s="600" t="s">
        <v>254</v>
      </c>
      <c r="D288" s="600" t="s">
        <v>263</v>
      </c>
      <c r="E288" s="600"/>
      <c r="F288" s="23"/>
      <c r="G288" s="23"/>
      <c r="H288" s="691"/>
      <c r="I288" s="589"/>
      <c r="J288" s="589"/>
      <c r="K288" s="606"/>
      <c r="L288" s="923" t="s">
        <v>4131</v>
      </c>
      <c r="M288" s="937">
        <f>IFERROR(INDEX({29,18,17,10,8,8,6,0},T247),0)</f>
        <v>17</v>
      </c>
      <c r="N288" s="96"/>
      <c r="O288" s="96"/>
      <c r="P288" s="96"/>
      <c r="Q288" s="96"/>
      <c r="R288" s="96"/>
      <c r="S288" s="96"/>
      <c r="T288" s="96"/>
      <c r="X288" s="1600"/>
      <c r="AL288" s="1352" t="str">
        <f t="shared" si="21"/>
        <v>dpa703_3_4_1_5</v>
      </c>
      <c r="AM288" s="1352">
        <f t="shared" si="22"/>
        <v>17</v>
      </c>
      <c r="AN288" s="78"/>
      <c r="AO288" s="78"/>
      <c r="AP288" s="78"/>
      <c r="AQ288" s="78"/>
      <c r="AR288" s="78"/>
      <c r="AS288" s="78"/>
    </row>
    <row r="289" spans="2:51" s="843" customFormat="1" x14ac:dyDescent="0.2">
      <c r="B289" s="600" t="s">
        <v>4427</v>
      </c>
      <c r="C289" s="600" t="s">
        <v>254</v>
      </c>
      <c r="D289" s="675" t="s">
        <v>264</v>
      </c>
      <c r="E289" s="600"/>
      <c r="F289" s="23"/>
      <c r="G289" s="23"/>
      <c r="H289" s="691"/>
      <c r="I289" s="589"/>
      <c r="J289" s="590"/>
      <c r="K289" s="590" t="s">
        <v>4132</v>
      </c>
      <c r="L289" s="1634" t="s">
        <v>4133</v>
      </c>
      <c r="M289" s="1623">
        <v>20</v>
      </c>
      <c r="N289" s="129"/>
      <c r="O289" s="1619">
        <f ca="1">M289*S289*W289</f>
        <v>0</v>
      </c>
      <c r="P289" s="96" t="b">
        <v>1</v>
      </c>
      <c r="Q289" s="96" t="b">
        <v>1</v>
      </c>
      <c r="R289" s="96" t="b">
        <v>0</v>
      </c>
      <c r="S289" s="464" t="b">
        <f ca="1">AND(S11=2,BI46="Tropical",LEN(W284)=0,LEN(W291)=0,NOT(W292=TRUE),LEN(W296)=0)</f>
        <v>0</v>
      </c>
      <c r="T289" s="96" t="b">
        <f ca="1">AND(NOT(S289),W289=TRUE)</f>
        <v>0</v>
      </c>
      <c r="W289" s="27"/>
      <c r="X289" s="889"/>
      <c r="AC289" s="881" t="b">
        <f ca="1">OR(AD289:AE289)</f>
        <v>0</v>
      </c>
      <c r="AD289" s="881" t="b">
        <f ca="1">T289</f>
        <v>0</v>
      </c>
      <c r="AE289" s="881" t="b">
        <f>AND(R289,NOT(W289))</f>
        <v>0</v>
      </c>
      <c r="AL289" s="1352" t="str">
        <f t="shared" si="21"/>
        <v>dpa703_3_4_1_6</v>
      </c>
      <c r="AM289" s="1352">
        <f t="shared" si="22"/>
        <v>20</v>
      </c>
      <c r="AN289" s="1352" t="str">
        <f>SUBSTITUTE(SUBSTITUTE(SUBSTITUTE("dpc"&amp;$B289&amp;$C289&amp;$D289&amp;$E289&amp;$F289,".","_"),"(","_"),")","")</f>
        <v>dpc703_3_4_1_6</v>
      </c>
      <c r="AO289" s="1352">
        <f ca="1">O289</f>
        <v>0</v>
      </c>
      <c r="AP289" s="1352" t="str">
        <f>SUBSTITUTE(SUBSTITUTE(SUBSTITUTE("dch"&amp;$B289&amp;$C289&amp;$D289&amp;$E289&amp;$F289,".","_"),"(","_"),")","")</f>
        <v>dch703_3_4_1_6</v>
      </c>
      <c r="AQ289" s="1352" t="str">
        <f>IF(LEN(W289)=0,"",W289)</f>
        <v/>
      </c>
      <c r="AR289" s="1352" t="str">
        <f>SUBSTITUTE(SUBSTITUTE(SUBSTITUTE("dnt"&amp;$B289&amp;$C289&amp;$D289&amp;$E289&amp;$F289,".","_"),"(","_"),")","")</f>
        <v>dnt703_3_4_1_6</v>
      </c>
      <c r="AS289" s="1352" t="str">
        <f>IF(LEN(X289)=0,"",X289)</f>
        <v/>
      </c>
    </row>
    <row r="290" spans="2:51" s="843" customFormat="1" x14ac:dyDescent="0.2">
      <c r="B290" s="600" t="s">
        <v>4427</v>
      </c>
      <c r="C290" s="600" t="s">
        <v>254</v>
      </c>
      <c r="D290" s="675" t="s">
        <v>264</v>
      </c>
      <c r="E290" s="600"/>
      <c r="F290" s="23"/>
      <c r="G290" s="23"/>
      <c r="H290" s="691"/>
      <c r="I290" s="589"/>
      <c r="J290" s="606"/>
      <c r="K290" s="606"/>
      <c r="L290" s="1639"/>
      <c r="M290" s="1624"/>
      <c r="N290" s="213"/>
      <c r="O290" s="1620"/>
      <c r="P290" s="96"/>
      <c r="Q290" s="96"/>
      <c r="R290" s="96"/>
      <c r="S290" s="96"/>
      <c r="T290" s="96"/>
      <c r="W290" s="881" t="s">
        <v>4497</v>
      </c>
      <c r="AL290" s="78"/>
      <c r="AM290" s="78"/>
      <c r="AN290" s="78"/>
      <c r="AO290" s="78"/>
      <c r="AP290" s="78"/>
      <c r="AQ290" s="78"/>
      <c r="AR290" s="78"/>
      <c r="AS290" s="78"/>
    </row>
    <row r="291" spans="2:51" s="843" customFormat="1" x14ac:dyDescent="0.2">
      <c r="B291" s="600" t="s">
        <v>4427</v>
      </c>
      <c r="C291" s="600" t="s">
        <v>255</v>
      </c>
      <c r="D291" s="600"/>
      <c r="E291" s="600"/>
      <c r="F291" s="23"/>
      <c r="G291" s="23"/>
      <c r="H291" s="691"/>
      <c r="I291" s="606"/>
      <c r="J291" s="606" t="s">
        <v>255</v>
      </c>
      <c r="K291" s="606"/>
      <c r="L291" s="923" t="s">
        <v>4134</v>
      </c>
      <c r="M291" s="937">
        <f>IFERROR(INDEX({3,6,3,1,1,0,0,0},T247),0)</f>
        <v>3</v>
      </c>
      <c r="N291" s="213"/>
      <c r="O291" s="909">
        <f ca="1">IF(AND(S291,W291&gt;=1.2),M291,0)</f>
        <v>0</v>
      </c>
      <c r="P291" s="96" t="b">
        <v>1</v>
      </c>
      <c r="Q291" s="96" t="b">
        <v>1</v>
      </c>
      <c r="R291" s="96" t="b">
        <v>0</v>
      </c>
      <c r="S291" s="96" t="b">
        <f ca="1">AND(S11=2,LEN(W284)=0,NOT(W289=TRUE),NOT(W292=TRUE),LEN(W296)=0)</f>
        <v>0</v>
      </c>
      <c r="T291" s="96" t="b">
        <f ca="1">AND(NOT(S291),LEN(W291)&gt;0)</f>
        <v>0</v>
      </c>
      <c r="W291" s="979"/>
      <c r="X291" s="889"/>
      <c r="AC291" s="905" t="b">
        <f ca="1">OR(AD291:AE291)</f>
        <v>0</v>
      </c>
      <c r="AD291" s="905" t="b">
        <f ca="1">T291</f>
        <v>0</v>
      </c>
      <c r="AE291" s="905" t="b">
        <f>AND(R291,OR(W291="Not Met",W291=""))</f>
        <v>0</v>
      </c>
      <c r="AL291" s="1352" t="str">
        <f>SUBSTITUTE(SUBSTITUTE(SUBSTITUTE("dpa"&amp;$B291&amp;$C291&amp;$D291&amp;$E291&amp;$F291,".","_"),"(","_"),")","")</f>
        <v>dpa703_3_4_2</v>
      </c>
      <c r="AM291" s="1352">
        <f>M291</f>
        <v>3</v>
      </c>
      <c r="AN291" s="1352" t="str">
        <f>SUBSTITUTE(SUBSTITUTE(SUBSTITUTE("dpc"&amp;$B291&amp;$C291&amp;$D291&amp;$E291&amp;$F291,".","_"),"(","_"),")","")</f>
        <v>dpc703_3_4_2</v>
      </c>
      <c r="AO291" s="1352">
        <f ca="1">O291</f>
        <v>0</v>
      </c>
      <c r="AP291" s="1352" t="str">
        <f>SUBSTITUTE(SUBSTITUTE(SUBSTITUTE("dch"&amp;$B291&amp;$C291&amp;$D291&amp;$E291&amp;$F291,".","_"),"(","_"),")","")</f>
        <v>dch703_3_4_2</v>
      </c>
      <c r="AQ291" s="1352" t="str">
        <f>IF(LEN(W291)=0,"",W291)</f>
        <v/>
      </c>
      <c r="AR291" s="1352" t="str">
        <f>SUBSTITUTE(SUBSTITUTE(SUBSTITUTE("dnt"&amp;$B291&amp;$C291&amp;$D291&amp;$E291&amp;$F291,".","_"),"(","_"),")","")</f>
        <v>dnt703_3_4_2</v>
      </c>
      <c r="AS291" s="1352" t="str">
        <f>IF(LEN(X291)=0,"",X291)</f>
        <v/>
      </c>
    </row>
    <row r="292" spans="2:51" s="843" customFormat="1" x14ac:dyDescent="0.2">
      <c r="B292" s="600" t="s">
        <v>4428</v>
      </c>
      <c r="C292" s="600"/>
      <c r="D292" s="600"/>
      <c r="E292" s="600"/>
      <c r="F292" s="23"/>
      <c r="G292" s="23"/>
      <c r="H292" s="691"/>
      <c r="I292" s="608" t="s">
        <v>4135</v>
      </c>
      <c r="J292" s="608"/>
      <c r="K292" s="608"/>
      <c r="L292" s="1686" t="s">
        <v>4136</v>
      </c>
      <c r="M292" s="1636">
        <f>IFERROR(INDEX({14,18,22,30,37,37,37,37},T247),0)</f>
        <v>22</v>
      </c>
      <c r="N292" s="193"/>
      <c r="O292" s="1637">
        <f ca="1">M292*S292*W292</f>
        <v>0</v>
      </c>
      <c r="P292" s="96" t="b">
        <v>1</v>
      </c>
      <c r="Q292" s="96" t="b">
        <v>1</v>
      </c>
      <c r="R292" s="96" t="b">
        <v>0</v>
      </c>
      <c r="S292" s="96" t="b">
        <f ca="1">AND(S11=2,LEN(W252)=0,LEN(W258)=0,LEN(W261)=0,LEN(W266)=0,LEN(W272)=0,LEN(W277)=0,LEN(W279)=0,LEN(W284)=0,NOT(W289=TRUE),LEN(W291)=0,LEN(W296)=0)</f>
        <v>0</v>
      </c>
      <c r="T292" s="96" t="b">
        <f ca="1">AND(NOT(S292),W292=TRUE)</f>
        <v>0</v>
      </c>
      <c r="W292" s="27"/>
      <c r="X292" s="1600"/>
      <c r="AC292" s="881" t="b">
        <f ca="1">OR(AD292:AE292)</f>
        <v>0</v>
      </c>
      <c r="AD292" s="881" t="b">
        <f ca="1">T292</f>
        <v>0</v>
      </c>
      <c r="AE292" s="881" t="b">
        <f>AND(R292,NOT(W292))</f>
        <v>0</v>
      </c>
      <c r="AL292" s="1352" t="str">
        <f>SUBSTITUTE(SUBSTITUTE(SUBSTITUTE("dpa"&amp;$B292&amp;$C292&amp;$D292&amp;$E292&amp;$F292,".","_"),"(","_"),")","")</f>
        <v>dpa703_3_5</v>
      </c>
      <c r="AM292" s="1352">
        <f>M292</f>
        <v>22</v>
      </c>
      <c r="AN292" s="1352" t="str">
        <f>SUBSTITUTE(SUBSTITUTE(SUBSTITUTE("dpc"&amp;$B292&amp;$C292&amp;$D292&amp;$E292&amp;$F292,".","_"),"(","_"),")","")</f>
        <v>dpc703_3_5</v>
      </c>
      <c r="AO292" s="1352">
        <f ca="1">O292</f>
        <v>0</v>
      </c>
      <c r="AP292" s="1352" t="str">
        <f>SUBSTITUTE(SUBSTITUTE(SUBSTITUTE("dch"&amp;$B292&amp;$C292&amp;$D292&amp;$E292&amp;$F292,".","_"),"(","_"),")","")</f>
        <v>dch703_3_5</v>
      </c>
      <c r="AQ292" s="1352" t="str">
        <f>IF(LEN(W292)=0,"",W292)</f>
        <v/>
      </c>
      <c r="AR292" s="1352" t="str">
        <f>SUBSTITUTE(SUBSTITUTE(SUBSTITUTE("dnt"&amp;$B292&amp;$C292&amp;$D292&amp;$E292&amp;$F292,".","_"),"(","_"),")","")</f>
        <v>dnt703_3_5</v>
      </c>
      <c r="AS292" s="1352" t="str">
        <f>IF(LEN(X292)=0,"",X292)</f>
        <v/>
      </c>
    </row>
    <row r="293" spans="2:51" s="843" customFormat="1" x14ac:dyDescent="0.2">
      <c r="B293" s="600" t="s">
        <v>4428</v>
      </c>
      <c r="C293" s="600"/>
      <c r="D293" s="600"/>
      <c r="E293" s="600"/>
      <c r="F293" s="23"/>
      <c r="G293" s="23"/>
      <c r="H293" s="691"/>
      <c r="I293" s="590"/>
      <c r="J293" s="590"/>
      <c r="K293" s="590"/>
      <c r="L293" s="1687"/>
      <c r="M293" s="1623"/>
      <c r="N293" s="129"/>
      <c r="O293" s="1619"/>
      <c r="P293" s="96"/>
      <c r="Q293" s="96"/>
      <c r="R293" s="96"/>
      <c r="S293" s="96"/>
      <c r="T293" s="96"/>
      <c r="X293" s="1600"/>
      <c r="AL293" s="78"/>
      <c r="AM293" s="78"/>
      <c r="AN293" s="78"/>
      <c r="AO293" s="78"/>
      <c r="AP293" s="78"/>
      <c r="AQ293" s="78"/>
      <c r="AR293" s="78"/>
      <c r="AS293" s="78"/>
    </row>
    <row r="294" spans="2:51" s="881" customFormat="1" x14ac:dyDescent="0.2">
      <c r="B294" s="600" t="s">
        <v>4428</v>
      </c>
      <c r="C294" s="600"/>
      <c r="D294" s="600"/>
      <c r="E294" s="600"/>
      <c r="F294" s="23"/>
      <c r="G294" s="23"/>
      <c r="H294" s="691"/>
      <c r="I294" s="606"/>
      <c r="J294" s="606"/>
      <c r="K294" s="606"/>
      <c r="L294" s="1688"/>
      <c r="M294" s="1624"/>
      <c r="N294" s="213"/>
      <c r="O294" s="1620"/>
      <c r="P294" s="96"/>
      <c r="Q294" s="96"/>
      <c r="R294" s="96"/>
      <c r="S294" s="96"/>
      <c r="T294" s="96"/>
      <c r="X294" s="1600"/>
      <c r="AL294" s="78"/>
      <c r="AM294" s="78"/>
      <c r="AN294" s="78"/>
      <c r="AO294" s="78"/>
      <c r="AP294" s="78"/>
      <c r="AQ294" s="78"/>
      <c r="AR294" s="78"/>
      <c r="AS294" s="78"/>
      <c r="AX294" s="843"/>
      <c r="AY294" s="843"/>
    </row>
    <row r="295" spans="2:51" s="843" customFormat="1" x14ac:dyDescent="0.2">
      <c r="B295" s="600" t="s">
        <v>4429</v>
      </c>
      <c r="C295" s="600"/>
      <c r="D295" s="600"/>
      <c r="E295" s="600"/>
      <c r="F295" s="23"/>
      <c r="G295" s="23"/>
      <c r="H295" s="691"/>
      <c r="I295" s="589" t="s">
        <v>4137</v>
      </c>
      <c r="J295" s="589"/>
      <c r="K295" s="589"/>
      <c r="L295" s="1687" t="s">
        <v>4138</v>
      </c>
      <c r="M295" s="882"/>
      <c r="N295" s="129"/>
      <c r="O295" s="1619">
        <f ca="1">IFERROR(INDEX(M299:M301,MATCH(W296,{16,24,28},1)),0)*S296</f>
        <v>0</v>
      </c>
      <c r="P295" s="96"/>
      <c r="Q295" s="96"/>
      <c r="R295" s="96"/>
      <c r="S295" s="96"/>
      <c r="T295" s="96"/>
      <c r="W295" s="881" t="s">
        <v>4499</v>
      </c>
      <c r="X295" s="1600"/>
      <c r="AL295" s="78"/>
      <c r="AM295" s="78"/>
      <c r="AN295" s="1352" t="str">
        <f>SUBSTITUTE(SUBSTITUTE(SUBSTITUTE("dpc"&amp;$B295&amp;$C295&amp;$D295&amp;$E295&amp;$F295,".","_"),"(","_"),")","")</f>
        <v>dpc703_3_6</v>
      </c>
      <c r="AO295" s="1352">
        <f ca="1">O295</f>
        <v>0</v>
      </c>
      <c r="AP295" s="78"/>
      <c r="AQ295" s="78"/>
      <c r="AR295" s="1352" t="str">
        <f>SUBSTITUTE(SUBSTITUTE(SUBSTITUTE("dnt"&amp;$B295&amp;$C295&amp;$D295&amp;$E295&amp;$F295,".","_"),"(","_"),")","")</f>
        <v>dnt703_3_6</v>
      </c>
      <c r="AS295" s="1352" t="str">
        <f>IF(LEN(X295)=0,"",X295)</f>
        <v/>
      </c>
    </row>
    <row r="296" spans="2:51" s="843" customFormat="1" x14ac:dyDescent="0.2">
      <c r="B296" s="600" t="s">
        <v>4429</v>
      </c>
      <c r="C296" s="600"/>
      <c r="D296" s="600"/>
      <c r="E296" s="600"/>
      <c r="F296" s="23"/>
      <c r="G296" s="23"/>
      <c r="H296" s="691"/>
      <c r="I296" s="589"/>
      <c r="J296" s="589"/>
      <c r="K296" s="589"/>
      <c r="L296" s="1687"/>
      <c r="M296" s="882"/>
      <c r="N296" s="129"/>
      <c r="O296" s="1619"/>
      <c r="P296" s="96" t="b">
        <v>1</v>
      </c>
      <c r="Q296" s="96" t="b">
        <v>1</v>
      </c>
      <c r="R296" s="96" t="b">
        <v>0</v>
      </c>
      <c r="S296" s="96" t="b">
        <f ca="1">AND(S11=2,LEN(W252)=0,LEN(W258)=0,LEN(W261)=0,LEN(W266)=0,LEN(W272)=0,LEN(W277)=0,LEN(W279)=0,LEN(W284)=0,NOT(W289=TRUE),LEN(W291)=0,NOT(W292=TRUE))</f>
        <v>0</v>
      </c>
      <c r="T296" s="96" t="b">
        <f ca="1">AND(NOT(S296),LEN(W296)&gt;0)</f>
        <v>0</v>
      </c>
      <c r="W296" s="979"/>
      <c r="X296" s="1600"/>
      <c r="AC296" s="905" t="b">
        <f ca="1">OR(AD296:AE296)</f>
        <v>0</v>
      </c>
      <c r="AD296" s="905" t="b">
        <f ca="1">T296</f>
        <v>0</v>
      </c>
      <c r="AE296" s="905" t="b">
        <f>AND(R296,OR(W296="Not Met",W296=""))</f>
        <v>0</v>
      </c>
      <c r="AL296" s="78"/>
      <c r="AM296" s="78"/>
      <c r="AN296" s="78"/>
      <c r="AO296" s="78"/>
      <c r="AP296" s="1352" t="str">
        <f>SUBSTITUTE(SUBSTITUTE(SUBSTITUTE("dch"&amp;$B296&amp;$C296&amp;$D296&amp;$E296&amp;$F296,".","_"),"(","_"),")","")</f>
        <v>dch703_3_6</v>
      </c>
      <c r="AQ296" s="1352" t="str">
        <f>IF(LEN(W296)=0,"",W296)</f>
        <v/>
      </c>
      <c r="AR296" s="78"/>
      <c r="AS296" s="78"/>
      <c r="AX296" s="881"/>
      <c r="AY296" s="881"/>
    </row>
    <row r="297" spans="2:51" s="843" customFormat="1" x14ac:dyDescent="0.2">
      <c r="B297" s="600" t="s">
        <v>4429</v>
      </c>
      <c r="C297" s="600"/>
      <c r="D297" s="600"/>
      <c r="E297" s="600"/>
      <c r="F297" s="23"/>
      <c r="G297" s="23"/>
      <c r="H297" s="691"/>
      <c r="I297" s="589"/>
      <c r="J297" s="589"/>
      <c r="K297" s="589"/>
      <c r="L297" s="1687"/>
      <c r="M297" s="882"/>
      <c r="N297" s="129"/>
      <c r="O297" s="1619"/>
      <c r="P297" s="96"/>
      <c r="Q297" s="96"/>
      <c r="R297" s="96"/>
      <c r="S297" s="96"/>
      <c r="T297" s="96"/>
      <c r="X297" s="1600"/>
      <c r="AL297" s="78"/>
      <c r="AM297" s="78"/>
      <c r="AN297" s="78"/>
      <c r="AO297" s="78"/>
      <c r="AP297" s="78"/>
      <c r="AQ297" s="78"/>
      <c r="AR297" s="78"/>
      <c r="AS297" s="78"/>
    </row>
    <row r="298" spans="2:51" s="843" customFormat="1" x14ac:dyDescent="0.2">
      <c r="B298" s="600" t="s">
        <v>4429</v>
      </c>
      <c r="C298" s="600"/>
      <c r="D298" s="600"/>
      <c r="E298" s="600"/>
      <c r="F298" s="23"/>
      <c r="G298" s="23"/>
      <c r="H298" s="691"/>
      <c r="I298" s="589"/>
      <c r="J298" s="589"/>
      <c r="K298" s="589"/>
      <c r="L298" s="1687"/>
      <c r="M298" s="96"/>
      <c r="N298" s="96"/>
      <c r="O298" s="1619"/>
      <c r="P298" s="96"/>
      <c r="Q298" s="96"/>
      <c r="R298" s="96"/>
      <c r="S298" s="96"/>
      <c r="T298" s="96"/>
      <c r="X298" s="1600"/>
      <c r="AL298" s="78"/>
      <c r="AM298" s="78"/>
      <c r="AN298" s="78"/>
      <c r="AO298" s="78"/>
      <c r="AP298" s="78"/>
      <c r="AQ298" s="78"/>
      <c r="AR298" s="78"/>
      <c r="AS298" s="78"/>
    </row>
    <row r="299" spans="2:51" s="843" customFormat="1" x14ac:dyDescent="0.2">
      <c r="B299" s="600" t="s">
        <v>4429</v>
      </c>
      <c r="C299" s="600" t="s">
        <v>3921</v>
      </c>
      <c r="D299" s="600"/>
      <c r="E299" s="600"/>
      <c r="F299" s="23"/>
      <c r="G299" s="23"/>
      <c r="H299" s="691"/>
      <c r="I299" s="589"/>
      <c r="J299" s="589"/>
      <c r="K299" s="589"/>
      <c r="L299" s="863" t="s">
        <v>4139</v>
      </c>
      <c r="M299" s="882">
        <f>IFERROR(INDEX({1,1,2,16,22,22,22,22},T247),0)</f>
        <v>2</v>
      </c>
      <c r="N299" s="129"/>
      <c r="O299" s="886"/>
      <c r="P299" s="96"/>
      <c r="Q299" s="96"/>
      <c r="R299" s="96"/>
      <c r="S299" s="96"/>
      <c r="T299" s="96"/>
      <c r="X299" s="1600"/>
      <c r="AL299" s="1352" t="str">
        <f>SUBSTITUTE(SUBSTITUTE(SUBSTITUTE("dpa"&amp;$B299&amp;$C299&amp;$D299&amp;$E299&amp;$F299,".","_"),"(","_"),")","")</f>
        <v>dpa703_3_6_1</v>
      </c>
      <c r="AM299" s="1352">
        <f>M299</f>
        <v>2</v>
      </c>
      <c r="AN299" s="78"/>
      <c r="AO299" s="78"/>
      <c r="AP299" s="78"/>
      <c r="AQ299" s="78"/>
      <c r="AR299" s="78"/>
      <c r="AS299" s="78"/>
    </row>
    <row r="300" spans="2:51" s="843" customFormat="1" x14ac:dyDescent="0.2">
      <c r="B300" s="600" t="s">
        <v>4429</v>
      </c>
      <c r="C300" s="600" t="s">
        <v>3922</v>
      </c>
      <c r="D300" s="600"/>
      <c r="E300" s="600"/>
      <c r="F300" s="23"/>
      <c r="G300" s="23"/>
      <c r="H300" s="691"/>
      <c r="I300" s="589"/>
      <c r="J300" s="589"/>
      <c r="K300" s="589"/>
      <c r="L300" s="863" t="s">
        <v>4140</v>
      </c>
      <c r="M300" s="882">
        <f>IFERROR(INDEX({24,29,22,31,35,35,35,35},T247),0)</f>
        <v>22</v>
      </c>
      <c r="N300" s="129"/>
      <c r="O300" s="886"/>
      <c r="P300" s="96"/>
      <c r="Q300" s="96"/>
      <c r="R300" s="96"/>
      <c r="S300" s="96"/>
      <c r="T300" s="96"/>
      <c r="X300" s="1600"/>
      <c r="AL300" s="1352" t="str">
        <f>SUBSTITUTE(SUBSTITUTE(SUBSTITUTE("dpa"&amp;$B300&amp;$C300&amp;$D300&amp;$E300&amp;$F300,".","_"),"(","_"),")","")</f>
        <v>dpa703_3_6_2</v>
      </c>
      <c r="AM300" s="1352">
        <f>M300</f>
        <v>22</v>
      </c>
      <c r="AN300" s="78"/>
      <c r="AO300" s="78"/>
      <c r="AP300" s="78"/>
      <c r="AQ300" s="78"/>
      <c r="AR300" s="78"/>
      <c r="AS300" s="78"/>
    </row>
    <row r="301" spans="2:51" s="843" customFormat="1" x14ac:dyDescent="0.2">
      <c r="B301" s="600" t="s">
        <v>4429</v>
      </c>
      <c r="C301" s="600" t="s">
        <v>3923</v>
      </c>
      <c r="D301" s="600"/>
      <c r="E301" s="600"/>
      <c r="F301" s="23"/>
      <c r="G301" s="23"/>
      <c r="H301" s="691"/>
      <c r="I301" s="606"/>
      <c r="J301" s="606"/>
      <c r="K301" s="606"/>
      <c r="L301" s="923" t="s">
        <v>4141</v>
      </c>
      <c r="M301" s="937">
        <f>IFERROR(INDEX({42,46,35,42,44,44,44,44},T247),0)</f>
        <v>35</v>
      </c>
      <c r="N301" s="213"/>
      <c r="O301" s="909"/>
      <c r="P301" s="96"/>
      <c r="Q301" s="96"/>
      <c r="R301" s="96"/>
      <c r="S301" s="96"/>
      <c r="T301" s="96"/>
      <c r="X301" s="1600"/>
      <c r="AL301" s="1352" t="str">
        <f>SUBSTITUTE(SUBSTITUTE(SUBSTITUTE("dpa"&amp;$B301&amp;$C301&amp;$D301&amp;$E301&amp;$F301,".","_"),"(","_"),")","")</f>
        <v>dpa703_3_6_3</v>
      </c>
      <c r="AM301" s="1352">
        <f>M301</f>
        <v>35</v>
      </c>
      <c r="AN301" s="78"/>
      <c r="AO301" s="78"/>
      <c r="AP301" s="78"/>
      <c r="AQ301" s="78"/>
      <c r="AR301" s="78"/>
      <c r="AS301" s="78"/>
    </row>
    <row r="302" spans="2:51" s="843" customFormat="1" x14ac:dyDescent="0.2">
      <c r="B302" s="600" t="s">
        <v>4430</v>
      </c>
      <c r="C302" s="600"/>
      <c r="D302" s="600"/>
      <c r="E302" s="600"/>
      <c r="F302" s="23"/>
      <c r="G302" s="23"/>
      <c r="H302" s="691"/>
      <c r="I302" s="589" t="s">
        <v>4142</v>
      </c>
      <c r="J302" s="589"/>
      <c r="K302" s="589"/>
      <c r="L302" s="1687" t="s">
        <v>4143</v>
      </c>
      <c r="M302" s="882">
        <v>1</v>
      </c>
      <c r="N302" s="129"/>
      <c r="O302" s="886">
        <f ca="1">IF(AND(S304,W304&gt;0),MIN(8,W304),M302*S302*W302)</f>
        <v>0</v>
      </c>
      <c r="P302" s="96" t="b">
        <v>0</v>
      </c>
      <c r="Q302" s="96" t="b">
        <v>1</v>
      </c>
      <c r="R302" s="96" t="b">
        <v>0</v>
      </c>
      <c r="S302" s="96" t="b">
        <f ca="1">AND(S11=2,NOT(W309))</f>
        <v>0</v>
      </c>
      <c r="T302" s="96" t="b">
        <f ca="1">AND(NOT(S302),W302=TRUE)</f>
        <v>0</v>
      </c>
      <c r="W302" s="27"/>
      <c r="X302" s="1621"/>
      <c r="AC302" s="881" t="b">
        <f ca="1">OR(AD302:AE302)</f>
        <v>0</v>
      </c>
      <c r="AD302" s="881" t="b">
        <f ca="1">T302</f>
        <v>0</v>
      </c>
      <c r="AE302" s="881" t="b">
        <f>AND(R302,NOT(W302))</f>
        <v>0</v>
      </c>
      <c r="AL302" s="1352" t="str">
        <f>SUBSTITUTE(SUBSTITUTE(SUBSTITUTE("dpa"&amp;$B302&amp;$C302&amp;$D302&amp;$E302&amp;$F302,".","_"),"(","_"),")","")</f>
        <v>dpa703_3_7</v>
      </c>
      <c r="AM302" s="1352">
        <f>M302</f>
        <v>1</v>
      </c>
      <c r="AN302" s="1352" t="str">
        <f>SUBSTITUTE(SUBSTITUTE(SUBSTITUTE("dpc"&amp;$B302&amp;$C302&amp;$D302&amp;$E302&amp;$F302,".","_"),"(","_"),")","")</f>
        <v>dpc703_3_7</v>
      </c>
      <c r="AO302" s="1352">
        <f ca="1">O302</f>
        <v>0</v>
      </c>
      <c r="AP302" s="1352" t="str">
        <f>SUBSTITUTE(SUBSTITUTE(SUBSTITUTE("dch"&amp;$B302&amp;$C302&amp;$D302&amp;$E302&amp;$F302,".","_"),"(","_"),")","")</f>
        <v>dch703_3_7</v>
      </c>
      <c r="AQ302" s="1352" t="str">
        <f>IF(LEN(W302)=0,"",W302)</f>
        <v/>
      </c>
      <c r="AR302" s="1352" t="str">
        <f>SUBSTITUTE(SUBSTITUTE(SUBSTITUTE("dnt"&amp;$B302&amp;$C302&amp;$D302&amp;$E302&amp;$F302,".","_"),"(","_"),")","")</f>
        <v>dnt703_3_7</v>
      </c>
      <c r="AS302" s="1352" t="str">
        <f>IF(LEN(X302)=0,"",X302)</f>
        <v/>
      </c>
    </row>
    <row r="303" spans="2:51" s="843" customFormat="1" x14ac:dyDescent="0.2">
      <c r="B303" s="600" t="s">
        <v>4430</v>
      </c>
      <c r="C303" s="600"/>
      <c r="D303" s="600"/>
      <c r="E303" s="600"/>
      <c r="F303" s="23"/>
      <c r="G303" s="23"/>
      <c r="H303" s="691"/>
      <c r="I303" s="589"/>
      <c r="J303" s="589"/>
      <c r="K303" s="589"/>
      <c r="L303" s="1687"/>
      <c r="M303" s="882"/>
      <c r="N303" s="129"/>
      <c r="O303" s="886"/>
      <c r="P303" s="96"/>
      <c r="Q303" s="96"/>
      <c r="R303" s="96"/>
      <c r="S303" s="96"/>
      <c r="T303" s="96"/>
      <c r="W303" s="881" t="s">
        <v>3028</v>
      </c>
      <c r="X303" s="1632"/>
      <c r="AL303" s="78"/>
      <c r="AM303" s="78"/>
      <c r="AN303" s="78"/>
      <c r="AO303" s="78"/>
      <c r="AP303" s="78"/>
      <c r="AQ303" s="78"/>
      <c r="AR303" s="78"/>
      <c r="AS303" s="78"/>
    </row>
    <row r="304" spans="2:51" s="843" customFormat="1" x14ac:dyDescent="0.2">
      <c r="B304" s="600" t="s">
        <v>4430</v>
      </c>
      <c r="C304" s="600" t="s">
        <v>3921</v>
      </c>
      <c r="D304" s="600"/>
      <c r="E304" s="600"/>
      <c r="F304" s="23"/>
      <c r="G304" s="23"/>
      <c r="H304" s="691"/>
      <c r="I304" s="589"/>
      <c r="J304" s="589"/>
      <c r="K304" s="589"/>
      <c r="L304" s="1687"/>
      <c r="M304" s="882"/>
      <c r="N304" s="129"/>
      <c r="O304" s="886"/>
      <c r="P304" s="96" t="b">
        <v>0</v>
      </c>
      <c r="Q304" s="96" t="b">
        <v>1</v>
      </c>
      <c r="R304" s="96" t="b">
        <v>0</v>
      </c>
      <c r="S304" s="96" t="b">
        <f ca="1">AND(S11=2,NOT(W309),W302=TRUE,OR(BI16="Tropical",AND(BG16="Dry",OR(BF16=2,BF16=3,BF16=4))))</f>
        <v>0</v>
      </c>
      <c r="T304" s="96" t="b">
        <f ca="1">AND(NOT(S304),LEN(W304)&gt;0)</f>
        <v>0</v>
      </c>
      <c r="W304" s="744"/>
      <c r="X304" s="1632"/>
      <c r="AC304" s="905" t="b">
        <f ca="1">OR(AD304:AE304)</f>
        <v>0</v>
      </c>
      <c r="AD304" s="905" t="b">
        <f ca="1">T304</f>
        <v>0</v>
      </c>
      <c r="AE304" s="905" t="b">
        <f>AND(R304,OR(W304="Not Met",W304=""))</f>
        <v>0</v>
      </c>
      <c r="AL304" s="78"/>
      <c r="AM304" s="78"/>
      <c r="AN304" s="78"/>
      <c r="AO304" s="78"/>
      <c r="AP304" s="1352" t="str">
        <f>SUBSTITUTE(SUBSTITUTE(SUBSTITUTE("dch"&amp;$B304&amp;$C304&amp;$D304&amp;$E304&amp;$F304,".","_"),"(","_"),")","")</f>
        <v>dch703_3_7_1</v>
      </c>
      <c r="AQ304" s="1352" t="str">
        <f>IF(LEN(W304)=0,"",W304)</f>
        <v/>
      </c>
      <c r="AR304" s="78"/>
      <c r="AS304" s="78"/>
    </row>
    <row r="305" spans="2:51" s="843" customFormat="1" x14ac:dyDescent="0.2">
      <c r="B305" s="600" t="s">
        <v>4430</v>
      </c>
      <c r="C305" s="600"/>
      <c r="D305" s="600"/>
      <c r="E305" s="600"/>
      <c r="F305" s="23"/>
      <c r="G305" s="23"/>
      <c r="H305" s="691"/>
      <c r="I305" s="589"/>
      <c r="J305" s="589"/>
      <c r="K305" s="589"/>
      <c r="L305" s="1687"/>
      <c r="M305" s="96"/>
      <c r="N305" s="96"/>
      <c r="O305" s="96"/>
      <c r="P305" s="96"/>
      <c r="Q305" s="96"/>
      <c r="R305" s="96"/>
      <c r="S305" s="96"/>
      <c r="T305" s="96"/>
      <c r="X305" s="1632"/>
      <c r="AL305" s="78"/>
      <c r="AM305" s="78"/>
      <c r="AN305" s="78"/>
      <c r="AO305" s="78"/>
      <c r="AP305" s="78"/>
      <c r="AQ305" s="78"/>
      <c r="AR305" s="78"/>
      <c r="AS305" s="78"/>
    </row>
    <row r="306" spans="2:51" s="843" customFormat="1" x14ac:dyDescent="0.2">
      <c r="B306" s="600" t="s">
        <v>4430</v>
      </c>
      <c r="C306" s="600"/>
      <c r="D306" s="600"/>
      <c r="E306" s="600"/>
      <c r="F306" s="23"/>
      <c r="G306" s="23"/>
      <c r="H306" s="691"/>
      <c r="I306" s="589"/>
      <c r="J306" s="589"/>
      <c r="K306" s="589"/>
      <c r="L306" s="1687"/>
      <c r="M306" s="96"/>
      <c r="N306" s="96"/>
      <c r="O306" s="96"/>
      <c r="P306" s="96"/>
      <c r="Q306" s="96"/>
      <c r="R306" s="96"/>
      <c r="S306" s="96"/>
      <c r="T306" s="96"/>
      <c r="X306" s="1632"/>
      <c r="AL306" s="78"/>
      <c r="AM306" s="78"/>
      <c r="AN306" s="78"/>
      <c r="AO306" s="78"/>
      <c r="AP306" s="78"/>
      <c r="AQ306" s="78"/>
      <c r="AR306" s="78"/>
      <c r="AS306" s="78"/>
    </row>
    <row r="307" spans="2:51" s="843" customFormat="1" x14ac:dyDescent="0.2">
      <c r="B307" s="600" t="s">
        <v>4430</v>
      </c>
      <c r="C307" s="600"/>
      <c r="D307" s="600"/>
      <c r="E307" s="600"/>
      <c r="F307" s="23"/>
      <c r="G307" s="23"/>
      <c r="H307" s="691"/>
      <c r="I307" s="589"/>
      <c r="J307" s="589"/>
      <c r="K307" s="589"/>
      <c r="L307" s="1687"/>
      <c r="M307" s="96"/>
      <c r="N307" s="96"/>
      <c r="O307" s="96"/>
      <c r="P307" s="96"/>
      <c r="Q307" s="96"/>
      <c r="R307" s="96"/>
      <c r="S307" s="96"/>
      <c r="T307" s="96"/>
      <c r="X307" s="1632"/>
      <c r="AL307" s="78"/>
      <c r="AM307" s="78"/>
      <c r="AN307" s="78"/>
      <c r="AO307" s="78"/>
      <c r="AP307" s="78"/>
      <c r="AQ307" s="78"/>
      <c r="AR307" s="78"/>
      <c r="AS307" s="78"/>
    </row>
    <row r="308" spans="2:51" s="905" customFormat="1" x14ac:dyDescent="0.2">
      <c r="B308" s="600" t="s">
        <v>4430</v>
      </c>
      <c r="C308" s="600"/>
      <c r="D308" s="600"/>
      <c r="E308" s="600"/>
      <c r="F308" s="23"/>
      <c r="G308" s="23"/>
      <c r="H308" s="691"/>
      <c r="I308" s="606"/>
      <c r="J308" s="606"/>
      <c r="K308" s="606"/>
      <c r="L308" s="959" t="s">
        <v>4844</v>
      </c>
      <c r="M308" s="173"/>
      <c r="N308" s="173"/>
      <c r="O308" s="173"/>
      <c r="P308" s="991"/>
      <c r="Q308" s="991"/>
      <c r="R308" s="991"/>
      <c r="S308" s="991"/>
      <c r="T308" s="991"/>
      <c r="X308" s="1599"/>
      <c r="AL308" s="78"/>
      <c r="AM308" s="78"/>
      <c r="AN308" s="78"/>
      <c r="AO308" s="78"/>
      <c r="AP308" s="78"/>
      <c r="AQ308" s="78"/>
      <c r="AR308" s="78"/>
      <c r="AS308" s="78"/>
      <c r="AX308" s="843"/>
      <c r="AY308" s="843"/>
    </row>
    <row r="309" spans="2:51" s="843" customFormat="1" x14ac:dyDescent="0.2">
      <c r="B309" s="600" t="s">
        <v>4431</v>
      </c>
      <c r="C309" s="600"/>
      <c r="D309" s="600"/>
      <c r="E309" s="600"/>
      <c r="F309" s="23"/>
      <c r="G309" s="23"/>
      <c r="H309" s="691"/>
      <c r="I309" s="590" t="s">
        <v>4144</v>
      </c>
      <c r="J309" s="590"/>
      <c r="K309" s="590"/>
      <c r="L309" s="1687" t="s">
        <v>4145</v>
      </c>
      <c r="M309" s="1623">
        <f>IFERROR(INDEX({4,4,4,3,3,3,0,0},T247),0)</f>
        <v>4</v>
      </c>
      <c r="N309" s="129"/>
      <c r="O309" s="1619">
        <f ca="1">M309*S309*W309</f>
        <v>0</v>
      </c>
      <c r="P309" s="991" t="b">
        <v>1</v>
      </c>
      <c r="Q309" s="991" t="b">
        <v>1</v>
      </c>
      <c r="R309" s="991" t="b">
        <v>0</v>
      </c>
      <c r="S309" s="991" t="b">
        <f ca="1">S11=2</f>
        <v>0</v>
      </c>
      <c r="T309" s="991" t="b">
        <f ca="1">AND(NOT(S309),W309=TRUE)</f>
        <v>0</v>
      </c>
      <c r="U309" s="991"/>
      <c r="V309" s="991"/>
      <c r="W309" s="333"/>
      <c r="X309" s="1601"/>
      <c r="AC309" s="881" t="b">
        <f ca="1">OR(AD309:AE309)</f>
        <v>0</v>
      </c>
      <c r="AD309" s="881" t="b">
        <f ca="1">T309</f>
        <v>0</v>
      </c>
      <c r="AE309" s="881" t="b">
        <f>AND(R309,NOT(W309))</f>
        <v>0</v>
      </c>
      <c r="AL309" s="1352" t="str">
        <f>SUBSTITUTE(SUBSTITUTE(SUBSTITUTE("dpa"&amp;$B309&amp;$C309&amp;$D309&amp;$E309&amp;$F309,".","_"),"(","_"),")","")</f>
        <v>dpa703_3_8</v>
      </c>
      <c r="AM309" s="1352">
        <f>M309</f>
        <v>4</v>
      </c>
      <c r="AN309" s="1352" t="str">
        <f>SUBSTITUTE(SUBSTITUTE(SUBSTITUTE("dpc"&amp;$B309&amp;$C309&amp;$D309&amp;$E309&amp;$F309,".","_"),"(","_"),")","")</f>
        <v>dpc703_3_8</v>
      </c>
      <c r="AO309" s="1352">
        <f ca="1">O309</f>
        <v>0</v>
      </c>
      <c r="AP309" s="1352" t="str">
        <f>SUBSTITUTE(SUBSTITUTE(SUBSTITUTE("dch"&amp;$B309&amp;$C309&amp;$D309&amp;$E309&amp;$F309,".","_"),"(","_"),")","")</f>
        <v>dch703_3_8</v>
      </c>
      <c r="AQ309" s="1352" t="str">
        <f>IF(LEN(W309)=0,"",W309)</f>
        <v/>
      </c>
      <c r="AR309" s="1352" t="str">
        <f>SUBSTITUTE(SUBSTITUTE(SUBSTITUTE("dnt"&amp;$B309&amp;$C309&amp;$D309&amp;$E309&amp;$F309,".","_"),"(","_"),")","")</f>
        <v>dnt703_3_8</v>
      </c>
      <c r="AS309" s="1352" t="str">
        <f>IF(LEN(X309)=0,"",X309)</f>
        <v/>
      </c>
    </row>
    <row r="310" spans="2:51" s="843" customFormat="1" x14ac:dyDescent="0.2">
      <c r="B310" s="600" t="s">
        <v>4431</v>
      </c>
      <c r="C310" s="600"/>
      <c r="D310" s="600"/>
      <c r="E310" s="600"/>
      <c r="F310" s="23"/>
      <c r="G310" s="23"/>
      <c r="H310" s="691"/>
      <c r="I310" s="590"/>
      <c r="J310" s="590"/>
      <c r="K310" s="590"/>
      <c r="L310" s="1687"/>
      <c r="M310" s="1623"/>
      <c r="N310" s="129"/>
      <c r="O310" s="1619"/>
      <c r="P310" s="991"/>
      <c r="Q310" s="991"/>
      <c r="R310" s="991"/>
      <c r="S310" s="991"/>
      <c r="T310" s="991"/>
      <c r="U310" s="991"/>
      <c r="V310" s="991"/>
      <c r="W310" s="991"/>
      <c r="X310" s="1601"/>
      <c r="AL310" s="78"/>
      <c r="AM310" s="78"/>
      <c r="AN310" s="78"/>
      <c r="AO310" s="78"/>
      <c r="AP310" s="78"/>
      <c r="AQ310" s="78"/>
      <c r="AR310" s="78"/>
      <c r="AS310" s="78"/>
      <c r="AX310" s="905"/>
      <c r="AY310" s="905"/>
    </row>
    <row r="311" spans="2:51" customFormat="1" x14ac:dyDescent="0.2">
      <c r="B311" s="600" t="s">
        <v>4431</v>
      </c>
      <c r="I311" s="991"/>
      <c r="J311" s="991"/>
      <c r="K311" s="991"/>
      <c r="L311" s="1730" t="s">
        <v>4845</v>
      </c>
      <c r="M311" s="991"/>
      <c r="N311" s="991"/>
      <c r="O311" s="991"/>
      <c r="P311" s="991"/>
      <c r="Q311" s="991"/>
      <c r="R311" s="991"/>
      <c r="S311" s="991"/>
      <c r="T311" s="991"/>
      <c r="U311" s="991"/>
      <c r="V311" s="991"/>
      <c r="W311" s="991"/>
      <c r="X311" s="1601"/>
      <c r="AL311" s="78"/>
      <c r="AM311" s="78"/>
      <c r="AN311" s="78"/>
      <c r="AO311" s="78"/>
      <c r="AP311" s="78"/>
      <c r="AQ311" s="78"/>
      <c r="AR311" s="78"/>
      <c r="AS311" s="78"/>
      <c r="AX311" s="843"/>
      <c r="AY311" s="843"/>
    </row>
    <row r="312" spans="2:51" customFormat="1" ht="16" thickBot="1" x14ac:dyDescent="0.25">
      <c r="B312" s="600" t="s">
        <v>4431</v>
      </c>
      <c r="I312" s="100"/>
      <c r="J312" s="100"/>
      <c r="K312" s="100"/>
      <c r="L312" s="1739"/>
      <c r="M312" s="100"/>
      <c r="N312" s="100"/>
      <c r="O312" s="100"/>
      <c r="P312" s="100"/>
      <c r="Q312" s="100"/>
      <c r="R312" s="100"/>
      <c r="S312" s="100"/>
      <c r="T312" s="100"/>
      <c r="U312" s="100"/>
      <c r="V312" s="100"/>
      <c r="W312" s="100"/>
      <c r="X312" s="1602"/>
      <c r="AL312" s="78"/>
      <c r="AM312" s="78"/>
      <c r="AN312" s="78"/>
      <c r="AO312" s="78"/>
      <c r="AP312" s="78"/>
      <c r="AQ312" s="78"/>
      <c r="AR312" s="78"/>
      <c r="AS312" s="78"/>
      <c r="AX312" s="843"/>
      <c r="AY312" s="843"/>
    </row>
    <row r="313" spans="2:51" s="843" customFormat="1" ht="16" thickTop="1" x14ac:dyDescent="0.2">
      <c r="B313" s="600">
        <v>703.4</v>
      </c>
      <c r="C313" s="600"/>
      <c r="D313" s="600"/>
      <c r="E313" s="600"/>
      <c r="F313" s="23"/>
      <c r="G313" s="23"/>
      <c r="H313" s="691"/>
      <c r="I313" s="589" t="s">
        <v>4146</v>
      </c>
      <c r="J313" s="589"/>
      <c r="K313" s="589"/>
      <c r="L313" s="869" t="s">
        <v>4147</v>
      </c>
      <c r="M313" s="882"/>
      <c r="N313" s="129"/>
      <c r="O313" s="886"/>
      <c r="P313" s="96"/>
      <c r="Q313" s="96"/>
      <c r="R313" s="198"/>
      <c r="S313" s="411" t="s">
        <v>4480</v>
      </c>
      <c r="T313" s="198" t="b">
        <f>AND(AY25&gt;4,AY19=INDEX(ddSingleOrMulti,2))</f>
        <v>0</v>
      </c>
      <c r="AL313" s="78"/>
      <c r="AM313" s="78"/>
      <c r="AN313" s="78"/>
      <c r="AO313" s="78"/>
      <c r="AP313" s="78"/>
      <c r="AQ313" s="78"/>
      <c r="AR313" s="78"/>
      <c r="AS313" s="78"/>
      <c r="AX313"/>
      <c r="AY313"/>
    </row>
    <row r="314" spans="2:51" s="843" customFormat="1" x14ac:dyDescent="0.2">
      <c r="B314" s="600" t="s">
        <v>4432</v>
      </c>
      <c r="C314" s="600"/>
      <c r="D314" s="600"/>
      <c r="E314" s="600"/>
      <c r="F314" s="23"/>
      <c r="G314" s="23"/>
      <c r="H314" s="691"/>
      <c r="I314" s="590" t="s">
        <v>4148</v>
      </c>
      <c r="J314" s="590"/>
      <c r="K314" s="590"/>
      <c r="L314" s="946" t="s">
        <v>4149</v>
      </c>
      <c r="M314" s="1199">
        <f>IFERROR(INDEX({0,2,4,6,8,8,8,8},T247),0)</f>
        <v>4</v>
      </c>
      <c r="N314" s="129"/>
      <c r="O314" s="1201">
        <f ca="1">M314*S314*W314</f>
        <v>0</v>
      </c>
      <c r="P314" s="96" t="b">
        <v>1</v>
      </c>
      <c r="Q314" s="96" t="b">
        <v>1</v>
      </c>
      <c r="R314" s="96" t="b">
        <v>0</v>
      </c>
      <c r="S314" s="96" t="b">
        <f ca="1">AND(S11=2,AY40=INDEX(ddHDucts,2))</f>
        <v>0</v>
      </c>
      <c r="T314" s="96" t="b">
        <f ca="1">AND(NOT(S314),W314=TRUE)</f>
        <v>0</v>
      </c>
      <c r="W314" s="27"/>
      <c r="X314" s="1203"/>
      <c r="AC314" s="881" t="b">
        <f ca="1">OR(AD314:AE314)</f>
        <v>0</v>
      </c>
      <c r="AD314" s="881" t="b">
        <f ca="1">T314</f>
        <v>0</v>
      </c>
      <c r="AE314" s="881" t="b">
        <f>AND(R314,NOT(W314))</f>
        <v>0</v>
      </c>
      <c r="AL314" s="1352" t="str">
        <f>SUBSTITUTE(SUBSTITUTE(SUBSTITUTE("dpa"&amp;$B314&amp;$C314&amp;$D314&amp;$E314&amp;$F314,".","_"),"(","_"),")","")</f>
        <v>dpa703_4_1</v>
      </c>
      <c r="AM314" s="1352">
        <f>M314</f>
        <v>4</v>
      </c>
      <c r="AN314" s="1352" t="str">
        <f>SUBSTITUTE(SUBSTITUTE(SUBSTITUTE("dpc"&amp;$B314&amp;$C314&amp;$D314&amp;$E314&amp;$F314,".","_"),"(","_"),")","")</f>
        <v>dpc703_4_1</v>
      </c>
      <c r="AO314" s="1352">
        <f ca="1">O314</f>
        <v>0</v>
      </c>
      <c r="AP314" s="1352" t="str">
        <f>SUBSTITUTE(SUBSTITUTE(SUBSTITUTE("dch"&amp;$B314&amp;$C314&amp;$D314&amp;$E314&amp;$F314,".","_"),"(","_"),")","")</f>
        <v>dch703_4_1</v>
      </c>
      <c r="AQ314" s="1352" t="str">
        <f>IF(LEN(W314)=0,"",W314)</f>
        <v/>
      </c>
      <c r="AR314" s="1352" t="str">
        <f>SUBSTITUTE(SUBSTITUTE(SUBSTITUTE("dnt"&amp;$B314&amp;$C314&amp;$D314&amp;$E314&amp;$F314,".","_"),"(","_"),")","")</f>
        <v>dnt703_4_1</v>
      </c>
      <c r="AS314" s="1352" t="str">
        <f>IF(LEN(X314)=0,"",X314)</f>
        <v/>
      </c>
    </row>
    <row r="315" spans="2:51" s="843" customFormat="1" x14ac:dyDescent="0.2">
      <c r="B315" s="600" t="s">
        <v>4433</v>
      </c>
      <c r="C315" s="600"/>
      <c r="D315" s="600"/>
      <c r="E315" s="600"/>
      <c r="F315" s="23"/>
      <c r="G315" s="23"/>
      <c r="H315" s="691"/>
      <c r="I315" s="607" t="s">
        <v>4150</v>
      </c>
      <c r="J315" s="607"/>
      <c r="K315" s="607"/>
      <c r="L315" s="1094" t="s">
        <v>4151</v>
      </c>
      <c r="M315" s="379">
        <f>IFERROR(INDEX({8,8,4,2,1,0,0,0},T247),0)</f>
        <v>4</v>
      </c>
      <c r="N315" s="242"/>
      <c r="O315" s="378">
        <f ca="1">M315*S315*W315</f>
        <v>0</v>
      </c>
      <c r="P315" s="96" t="b">
        <v>1</v>
      </c>
      <c r="Q315" s="96" t="b">
        <v>1</v>
      </c>
      <c r="R315" s="96" t="b">
        <v>0</v>
      </c>
      <c r="S315" s="96" t="b">
        <f ca="1">AND(S11=2,AY44=INDEX(ddCDucts,2))</f>
        <v>0</v>
      </c>
      <c r="T315" s="96" t="b">
        <f ca="1">AND(NOT(S315),W315=TRUE)</f>
        <v>0</v>
      </c>
      <c r="W315" s="27"/>
      <c r="X315" s="1203"/>
      <c r="AC315" s="881" t="b">
        <f ca="1">OR(AD315:AE315)</f>
        <v>0</v>
      </c>
      <c r="AD315" s="881" t="b">
        <f ca="1">T315</f>
        <v>0</v>
      </c>
      <c r="AE315" s="881" t="b">
        <f>AND(R315,NOT(W315))</f>
        <v>0</v>
      </c>
      <c r="AL315" s="1352" t="str">
        <f>SUBSTITUTE(SUBSTITUTE(SUBSTITUTE("dpa"&amp;$B315&amp;$C315&amp;$D315&amp;$E315&amp;$F315,".","_"),"(","_"),")","")</f>
        <v>dpa703_4_2</v>
      </c>
      <c r="AM315" s="1352">
        <f>M315</f>
        <v>4</v>
      </c>
      <c r="AN315" s="1352" t="str">
        <f>SUBSTITUTE(SUBSTITUTE(SUBSTITUTE("dpc"&amp;$B315&amp;$C315&amp;$D315&amp;$E315&amp;$F315,".","_"),"(","_"),")","")</f>
        <v>dpc703_4_2</v>
      </c>
      <c r="AO315" s="1352">
        <f ca="1">O315</f>
        <v>0</v>
      </c>
      <c r="AP315" s="1352" t="str">
        <f>SUBSTITUTE(SUBSTITUTE(SUBSTITUTE("dch"&amp;$B315&amp;$C315&amp;$D315&amp;$E315&amp;$F315,".","_"),"(","_"),")","")</f>
        <v>dch703_4_2</v>
      </c>
      <c r="AQ315" s="1352" t="str">
        <f>IF(LEN(W315)=0,"",W315)</f>
        <v/>
      </c>
      <c r="AR315" s="1352" t="str">
        <f>SUBSTITUTE(SUBSTITUTE(SUBSTITUTE("dnt"&amp;$B315&amp;$C315&amp;$D315&amp;$E315&amp;$F315,".","_"),"(","_"),")","")</f>
        <v>dnt703_4_2</v>
      </c>
      <c r="AS315" s="1352" t="str">
        <f>IF(LEN(X315)=0,"",X315)</f>
        <v/>
      </c>
      <c r="AX315" s="881"/>
      <c r="AY315" s="881"/>
    </row>
    <row r="316" spans="2:51" s="843" customFormat="1" x14ac:dyDescent="0.2">
      <c r="B316" s="600" t="s">
        <v>4434</v>
      </c>
      <c r="C316" s="600"/>
      <c r="D316" s="600"/>
      <c r="E316" s="600"/>
      <c r="F316" s="23"/>
      <c r="G316" s="23"/>
      <c r="H316" s="691"/>
      <c r="I316" s="589" t="s">
        <v>4152</v>
      </c>
      <c r="J316" s="589"/>
      <c r="K316" s="589"/>
      <c r="L316" s="869" t="s">
        <v>4153</v>
      </c>
      <c r="M316" s="882">
        <f>IFERROR(INDEX({8,10,8,8,8,4,4,4},T247),0)</f>
        <v>8</v>
      </c>
      <c r="N316" s="129"/>
      <c r="O316" s="886">
        <f ca="1">M316*S317*S318*S320*W317*W318*W320</f>
        <v>0</v>
      </c>
      <c r="P316" s="96"/>
      <c r="Q316" s="96"/>
      <c r="R316" s="96"/>
      <c r="S316" s="96"/>
      <c r="T316" s="96"/>
      <c r="AL316" s="1352" t="str">
        <f>SUBSTITUTE(SUBSTITUTE(SUBSTITUTE("dpa"&amp;$B316&amp;$C316&amp;$D316&amp;$E316&amp;$F316,".","_"),"(","_"),")","")</f>
        <v>dpa703_4_3</v>
      </c>
      <c r="AM316" s="1352">
        <f>M316</f>
        <v>8</v>
      </c>
      <c r="AN316" s="1352" t="str">
        <f>SUBSTITUTE(SUBSTITUTE(SUBSTITUTE("dpc"&amp;$B316&amp;$C316&amp;$D316&amp;$E316&amp;$F316,".","_"),"(","_"),")","")</f>
        <v>dpc703_4_3</v>
      </c>
      <c r="AO316" s="1352">
        <f ca="1">O316</f>
        <v>0</v>
      </c>
      <c r="AP316" s="78"/>
      <c r="AQ316" s="78"/>
      <c r="AR316" s="78"/>
      <c r="AS316" s="78"/>
    </row>
    <row r="317" spans="2:51" s="843" customFormat="1" x14ac:dyDescent="0.2">
      <c r="B317" s="600" t="s">
        <v>4434</v>
      </c>
      <c r="C317" s="600" t="s">
        <v>254</v>
      </c>
      <c r="D317" s="600"/>
      <c r="E317" s="600"/>
      <c r="F317" s="23"/>
      <c r="G317" s="23"/>
      <c r="H317" s="691"/>
      <c r="I317" s="589"/>
      <c r="J317" s="589" t="s">
        <v>254</v>
      </c>
      <c r="K317" s="589"/>
      <c r="L317" s="863" t="s">
        <v>4154</v>
      </c>
      <c r="M317" s="882"/>
      <c r="N317" s="129"/>
      <c r="O317" s="886"/>
      <c r="P317" s="96" t="b">
        <v>1</v>
      </c>
      <c r="Q317" s="96" t="b">
        <v>0</v>
      </c>
      <c r="R317" s="96" t="b">
        <v>0</v>
      </c>
      <c r="S317" s="96" t="b">
        <f ca="1">AND(S11=2,OR(AY40&lt;&gt;INDEX(ddHDucts,2),AY44&lt;&gt;INDEX(ddCDucts,2)))</f>
        <v>0</v>
      </c>
      <c r="T317" s="96" t="b">
        <f ca="1">AND(NOT(S317),W317=TRUE)</f>
        <v>0</v>
      </c>
      <c r="W317" s="27"/>
      <c r="X317" s="889"/>
      <c r="AC317" s="881" t="b">
        <f ca="1">OR(AD317:AE317)</f>
        <v>0</v>
      </c>
      <c r="AD317" s="881" t="b">
        <f ca="1">T317</f>
        <v>0</v>
      </c>
      <c r="AE317" s="881" t="b">
        <f>AND(R317,NOT(W317))</f>
        <v>0</v>
      </c>
      <c r="AL317" s="78"/>
      <c r="AM317" s="78"/>
      <c r="AN317" s="78"/>
      <c r="AO317" s="78"/>
      <c r="AP317" s="1352" t="str">
        <f>SUBSTITUTE(SUBSTITUTE(SUBSTITUTE("dch"&amp;$B317&amp;$C317&amp;$D317&amp;$E317&amp;$F317,".","_"),"(","_"),")","")</f>
        <v>dch703_4_3_1</v>
      </c>
      <c r="AQ317" s="1352" t="str">
        <f>IF(LEN(W317)=0,"",W317)</f>
        <v/>
      </c>
      <c r="AR317" s="1352" t="str">
        <f>SUBSTITUTE(SUBSTITUTE(SUBSTITUTE("dnt"&amp;$B317&amp;$C317&amp;$D317&amp;$E317&amp;$F317,".","_"),"(","_"),")","")</f>
        <v>dnt703_4_3_1</v>
      </c>
      <c r="AS317" s="1352" t="str">
        <f>IF(LEN(X317)=0,"",X317)</f>
        <v/>
      </c>
      <c r="AX317" s="881"/>
      <c r="AY317" s="881"/>
    </row>
    <row r="318" spans="2:51" s="843" customFormat="1" x14ac:dyDescent="0.2">
      <c r="B318" s="600" t="s">
        <v>4434</v>
      </c>
      <c r="C318" s="600" t="s">
        <v>255</v>
      </c>
      <c r="D318" s="600"/>
      <c r="E318" s="600"/>
      <c r="F318" s="23"/>
      <c r="G318" s="23"/>
      <c r="H318" s="691"/>
      <c r="I318" s="589"/>
      <c r="J318" s="589" t="s">
        <v>255</v>
      </c>
      <c r="K318" s="589"/>
      <c r="L318" s="1634" t="s">
        <v>4155</v>
      </c>
      <c r="M318" s="882"/>
      <c r="N318" s="129"/>
      <c r="O318" s="886"/>
      <c r="P318" s="96" t="b">
        <v>1</v>
      </c>
      <c r="Q318" s="96" t="b">
        <v>0</v>
      </c>
      <c r="R318" s="96" t="b">
        <v>0</v>
      </c>
      <c r="S318" s="96" t="b">
        <f ca="1">AND(S11=2,OR(AY40&lt;&gt;INDEX(ddHDucts,2),AY44&lt;&gt;INDEX(ddCDucts,2)),W321&lt;&gt;INDEX(INDIRECT(U321),1),W321&lt;&gt;INDEX(INDIRECT(U321),3))</f>
        <v>0</v>
      </c>
      <c r="T318" s="96" t="b">
        <f ca="1">AND(NOT(S318),W318=TRUE)</f>
        <v>0</v>
      </c>
      <c r="W318" s="27"/>
      <c r="X318" s="1600"/>
      <c r="AC318" s="881" t="b">
        <f ca="1">OR(AD318:AE318)</f>
        <v>0</v>
      </c>
      <c r="AD318" s="881" t="b">
        <f ca="1">T318</f>
        <v>0</v>
      </c>
      <c r="AE318" s="881" t="b">
        <f>AND(R318,NOT(W318))</f>
        <v>0</v>
      </c>
      <c r="AL318" s="78"/>
      <c r="AM318" s="78"/>
      <c r="AN318" s="78"/>
      <c r="AO318" s="78"/>
      <c r="AP318" s="1352" t="str">
        <f>SUBSTITUTE(SUBSTITUTE(SUBSTITUTE("dch"&amp;$B318&amp;$C318&amp;$D318&amp;$E318&amp;$F318,".","_"),"(","_"),")","")</f>
        <v>dch703_4_3_2</v>
      </c>
      <c r="AQ318" s="1352" t="str">
        <f>IF(LEN(W318)=0,"",W318)</f>
        <v/>
      </c>
      <c r="AR318" s="1352" t="str">
        <f>SUBSTITUTE(SUBSTITUTE(SUBSTITUTE("dnt"&amp;$B318&amp;$C318&amp;$D318&amp;$E318&amp;$F318,".","_"),"(","_"),")","")</f>
        <v>dnt703_4_3_2</v>
      </c>
      <c r="AS318" s="1352" t="str">
        <f>IF(LEN(X318)=0,"",X318)</f>
        <v/>
      </c>
    </row>
    <row r="319" spans="2:51" s="843" customFormat="1" x14ac:dyDescent="0.2">
      <c r="B319" s="600" t="s">
        <v>4434</v>
      </c>
      <c r="C319" s="600" t="s">
        <v>255</v>
      </c>
      <c r="D319" s="600"/>
      <c r="E319" s="600"/>
      <c r="F319" s="23"/>
      <c r="G319" s="23"/>
      <c r="H319" s="691"/>
      <c r="I319" s="589"/>
      <c r="J319" s="589"/>
      <c r="K319" s="589"/>
      <c r="L319" s="1634"/>
      <c r="M319" s="882"/>
      <c r="N319" s="129"/>
      <c r="O319" s="886"/>
      <c r="P319" s="96"/>
      <c r="Q319" s="96"/>
      <c r="R319" s="96"/>
      <c r="S319" s="96"/>
      <c r="T319" s="96"/>
      <c r="X319" s="1600"/>
      <c r="AL319" s="78"/>
      <c r="AM319" s="78"/>
      <c r="AN319" s="78"/>
      <c r="AO319" s="78"/>
      <c r="AP319" s="78"/>
      <c r="AQ319" s="78"/>
      <c r="AR319" s="78"/>
      <c r="AS319" s="78"/>
    </row>
    <row r="320" spans="2:51" s="843" customFormat="1" x14ac:dyDescent="0.2">
      <c r="B320" s="600" t="s">
        <v>4434</v>
      </c>
      <c r="C320" s="600" t="s">
        <v>256</v>
      </c>
      <c r="D320" s="600"/>
      <c r="E320" s="600"/>
      <c r="F320" s="23"/>
      <c r="G320" s="23"/>
      <c r="H320" s="691"/>
      <c r="I320" s="606"/>
      <c r="J320" s="606" t="s">
        <v>256</v>
      </c>
      <c r="K320" s="606"/>
      <c r="L320" s="1207" t="s">
        <v>4156</v>
      </c>
      <c r="M320" s="1200"/>
      <c r="N320" s="213"/>
      <c r="O320" s="1202"/>
      <c r="P320" s="96" t="b">
        <v>1</v>
      </c>
      <c r="Q320" s="96" t="b">
        <v>0</v>
      </c>
      <c r="R320" s="96" t="b">
        <v>0</v>
      </c>
      <c r="S320" s="96" t="b">
        <f ca="1">AND(S11=2,OR(AY40&lt;&gt;INDEX(ddHDucts,2),AY44&lt;&gt;INDEX(ddCDucts,2)))</f>
        <v>0</v>
      </c>
      <c r="T320" s="96" t="b">
        <f ca="1">AND(NOT(S320),W320=TRUE)</f>
        <v>0</v>
      </c>
      <c r="W320" s="27"/>
      <c r="X320" s="1203"/>
      <c r="AC320" s="881" t="b">
        <f ca="1">OR(AD320:AE320)</f>
        <v>0</v>
      </c>
      <c r="AD320" s="881" t="b">
        <f ca="1">T320</f>
        <v>0</v>
      </c>
      <c r="AE320" s="881" t="b">
        <f>AND(R320,NOT(W320))</f>
        <v>0</v>
      </c>
      <c r="AL320" s="78"/>
      <c r="AM320" s="78"/>
      <c r="AN320" s="78"/>
      <c r="AO320" s="78"/>
      <c r="AP320" s="1352" t="str">
        <f>SUBSTITUTE(SUBSTITUTE(SUBSTITUTE("dch"&amp;$B320&amp;$C320&amp;$D320&amp;$E320&amp;$F320,".","_"),"(","_"),")","")</f>
        <v>dch703_4_3_3</v>
      </c>
      <c r="AQ320" s="1352" t="str">
        <f>IF(LEN(W320)=0,"",W320)</f>
        <v/>
      </c>
      <c r="AR320" s="1352" t="str">
        <f>SUBSTITUTE(SUBSTITUTE(SUBSTITUTE("dnt"&amp;$B320&amp;$C320&amp;$D320&amp;$E320&amp;$F320,".","_"),"(","_"),")","")</f>
        <v>dnt703_4_3_3</v>
      </c>
      <c r="AS320" s="1352" t="str">
        <f>IF(LEN(X320)=0,"",X320)</f>
        <v/>
      </c>
    </row>
    <row r="321" spans="2:51" s="843" customFormat="1" x14ac:dyDescent="0.2">
      <c r="B321" s="600" t="s">
        <v>4435</v>
      </c>
      <c r="C321" s="600"/>
      <c r="D321" s="600"/>
      <c r="E321" s="600"/>
      <c r="F321" s="23"/>
      <c r="G321" s="23"/>
      <c r="H321" s="691"/>
      <c r="I321" s="590" t="s">
        <v>4157</v>
      </c>
      <c r="J321" s="590"/>
      <c r="K321" s="590"/>
      <c r="L321" s="1687" t="s">
        <v>4158</v>
      </c>
      <c r="M321" s="913"/>
      <c r="N321" s="129"/>
      <c r="O321" s="1619">
        <f ca="1">IFERROR(INDEX(M327:M329,MATCH(W321,INDIRECT(U321),0)),0)*S321</f>
        <v>0</v>
      </c>
      <c r="P321" s="991" t="b">
        <v>1</v>
      </c>
      <c r="Q321" s="991" t="b">
        <v>1</v>
      </c>
      <c r="R321" s="991" t="b">
        <v>0</v>
      </c>
      <c r="S321" s="991" t="b">
        <f ca="1">AND(S11=2,OR(AY40&lt;&gt;INDEX(ddHDucts,2),AY44&lt;&gt;INDEX(ddCDucts,2)),W318&lt;&gt;TRUE,LEN(W590)=0)</f>
        <v>0</v>
      </c>
      <c r="T321" s="991" t="b">
        <f ca="1">AND(NOT(S321),LEN(W321)&gt;0)</f>
        <v>0</v>
      </c>
      <c r="U321" s="991" t="str">
        <f>SUBSTITUTE(SUBSTITUTE(SUBSTITUTE("dd"&amp;B321&amp;C321&amp;D321&amp;E321&amp;F321,".","_"),"(","_"),")","")</f>
        <v>dd703_4_4</v>
      </c>
      <c r="V321" s="991"/>
      <c r="W321" s="110"/>
      <c r="X321" s="1601"/>
      <c r="AC321" s="905" t="b">
        <f ca="1">OR(AD321:AE321)</f>
        <v>0</v>
      </c>
      <c r="AD321" s="905" t="b">
        <f ca="1">T321</f>
        <v>0</v>
      </c>
      <c r="AE321" s="905" t="b">
        <f>AND(R321,OR(W321="Not Met",W321=""))</f>
        <v>0</v>
      </c>
      <c r="AL321" s="78"/>
      <c r="AM321" s="78"/>
      <c r="AN321" s="1352" t="str">
        <f>SUBSTITUTE(SUBSTITUTE(SUBSTITUTE("dpc"&amp;$B321&amp;$C321&amp;$D321&amp;$E321&amp;$F321,".","_"),"(","_"),")","")</f>
        <v>dpc703_4_4</v>
      </c>
      <c r="AO321" s="1352">
        <f ca="1">O321</f>
        <v>0</v>
      </c>
      <c r="AP321" s="1352" t="str">
        <f>SUBSTITUTE(SUBSTITUTE(SUBSTITUTE("dch"&amp;$B321&amp;$C321&amp;$D321&amp;$E321&amp;$F321,".","_"),"(","_"),")","")</f>
        <v>dch703_4_4</v>
      </c>
      <c r="AQ321" s="1352" t="str">
        <f>IF(LEN(W321)=0,"",W321)</f>
        <v/>
      </c>
      <c r="AR321" s="1352" t="str">
        <f>SUBSTITUTE(SUBSTITUTE(SUBSTITUTE("dnt"&amp;$B321&amp;$C321&amp;$D321&amp;$E321&amp;$F321,".","_"),"(","_"),")","")</f>
        <v>dnt703_4_4</v>
      </c>
      <c r="AS321" s="1352" t="str">
        <f>IF(LEN(X321)=0,"",X321)</f>
        <v/>
      </c>
    </row>
    <row r="322" spans="2:51" s="843" customFormat="1" x14ac:dyDescent="0.2">
      <c r="B322" s="600" t="s">
        <v>4435</v>
      </c>
      <c r="C322" s="600"/>
      <c r="D322" s="600"/>
      <c r="E322" s="600"/>
      <c r="F322" s="23"/>
      <c r="G322" s="23"/>
      <c r="H322" s="691"/>
      <c r="I322" s="590"/>
      <c r="J322" s="590"/>
      <c r="K322" s="590"/>
      <c r="L322" s="1687"/>
      <c r="M322" s="1747" t="s">
        <v>5106</v>
      </c>
      <c r="N322" s="129"/>
      <c r="O322" s="1619"/>
      <c r="P322" s="991"/>
      <c r="Q322" s="991"/>
      <c r="R322" s="991"/>
      <c r="S322" s="991"/>
      <c r="T322" s="991"/>
      <c r="U322" s="991"/>
      <c r="V322" s="991"/>
      <c r="W322" s="991" t="s">
        <v>5104</v>
      </c>
      <c r="X322" s="1601"/>
      <c r="AL322" s="1352" t="str">
        <f>SUBSTITUTE(SUBSTITUTE(SUBSTITUTE("dpa"&amp;$B322&amp;$C322&amp;$D322&amp;$E322&amp;$F322,".","_"),"(","_"),")","")</f>
        <v>dpa703_4_4</v>
      </c>
      <c r="AM322" s="1352" t="str">
        <f>M322</f>
        <v>Leakage greater than 6% of design</v>
      </c>
      <c r="AN322" s="78"/>
      <c r="AO322" s="78"/>
      <c r="AP322" s="78"/>
      <c r="AQ322" s="78"/>
      <c r="AR322" s="78"/>
      <c r="AS322" s="78"/>
      <c r="AX322" s="881"/>
      <c r="AY322" s="881"/>
    </row>
    <row r="323" spans="2:51" s="843" customFormat="1" x14ac:dyDescent="0.2">
      <c r="B323" s="600" t="s">
        <v>4435</v>
      </c>
      <c r="C323" s="600" t="s">
        <v>3921</v>
      </c>
      <c r="D323" s="600"/>
      <c r="E323" s="600"/>
      <c r="F323" s="23"/>
      <c r="G323" s="23"/>
      <c r="H323" s="691"/>
      <c r="I323" s="590"/>
      <c r="J323" s="590"/>
      <c r="K323" s="590"/>
      <c r="L323" s="1687"/>
      <c r="M323" s="1747"/>
      <c r="N323" s="129"/>
      <c r="O323" s="1619"/>
      <c r="P323" s="1277" t="b">
        <v>1</v>
      </c>
      <c r="Q323" s="1277" t="b">
        <v>1</v>
      </c>
      <c r="R323" s="1277" t="b">
        <f ca="1">S323</f>
        <v>0</v>
      </c>
      <c r="S323" s="1277" t="b">
        <f ca="1">S321</f>
        <v>0</v>
      </c>
      <c r="T323" s="1277" t="b">
        <f ca="1">AND(NOT(S323),LEN(W323)&gt;0)</f>
        <v>0</v>
      </c>
      <c r="U323" s="991"/>
      <c r="V323" s="991"/>
      <c r="W323" s="980"/>
      <c r="X323" s="1601"/>
      <c r="AC323" s="1276" t="b">
        <f ca="1">OR(AD323:AE323)</f>
        <v>0</v>
      </c>
      <c r="AD323" s="1276" t="b">
        <f ca="1">T323</f>
        <v>0</v>
      </c>
      <c r="AE323" s="1276" t="b">
        <f ca="1">AND(R323,OR(W323="Not Met",W323=""))</f>
        <v>0</v>
      </c>
      <c r="AL323" s="78"/>
      <c r="AM323" s="78"/>
      <c r="AN323" s="78"/>
      <c r="AO323" s="78"/>
      <c r="AP323" s="1352" t="str">
        <f>SUBSTITUTE(SUBSTITUTE(SUBSTITUTE("dch"&amp;$B323&amp;$C323&amp;$D323&amp;$E323&amp;$F323,".","_"),"(","_"),")","")</f>
        <v>dch703_4_4_1</v>
      </c>
      <c r="AQ323" s="1352" t="str">
        <f>IF(LEN(W323)=0,"",W323)</f>
        <v/>
      </c>
      <c r="AR323" s="78"/>
      <c r="AS323" s="78"/>
    </row>
    <row r="324" spans="2:51" s="843" customFormat="1" x14ac:dyDescent="0.2">
      <c r="B324" s="600" t="s">
        <v>4435</v>
      </c>
      <c r="C324" s="600"/>
      <c r="D324" s="600"/>
      <c r="E324" s="600"/>
      <c r="F324" s="23"/>
      <c r="G324" s="23"/>
      <c r="H324" s="691"/>
      <c r="I324" s="590"/>
      <c r="J324" s="590"/>
      <c r="K324" s="590"/>
      <c r="L324" s="1687"/>
      <c r="M324" s="1747"/>
      <c r="N324" s="129"/>
      <c r="O324" s="1619"/>
      <c r="P324" s="991"/>
      <c r="Q324" s="991"/>
      <c r="R324" s="991"/>
      <c r="S324" s="991"/>
      <c r="T324" s="991"/>
      <c r="U324" s="991"/>
      <c r="V324" s="991"/>
      <c r="W324" t="s">
        <v>5105</v>
      </c>
      <c r="X324" s="1601"/>
      <c r="AC324" s="905"/>
      <c r="AD324" s="905"/>
      <c r="AE324" s="905"/>
      <c r="AL324" s="78"/>
      <c r="AM324" s="78"/>
      <c r="AN324" s="78"/>
      <c r="AO324" s="78"/>
      <c r="AP324" s="78"/>
      <c r="AQ324" s="78"/>
      <c r="AR324" s="78"/>
      <c r="AS324" s="78"/>
    </row>
    <row r="325" spans="2:51" s="843" customFormat="1" x14ac:dyDescent="0.2">
      <c r="B325" s="600" t="s">
        <v>4435</v>
      </c>
      <c r="C325" s="600" t="s">
        <v>3922</v>
      </c>
      <c r="D325" s="600"/>
      <c r="E325" s="600"/>
      <c r="F325" s="23"/>
      <c r="G325" s="23"/>
      <c r="H325" s="691"/>
      <c r="I325" s="590"/>
      <c r="J325" s="590"/>
      <c r="K325" s="590"/>
      <c r="L325" s="1687"/>
      <c r="M325" s="1747"/>
      <c r="N325" s="129"/>
      <c r="O325" s="1619"/>
      <c r="P325" s="1277" t="b">
        <v>1</v>
      </c>
      <c r="Q325" s="1277" t="b">
        <v>1</v>
      </c>
      <c r="R325" s="1277" t="b">
        <f ca="1">S325</f>
        <v>0</v>
      </c>
      <c r="S325" s="1277" t="b">
        <f ca="1">S321</f>
        <v>0</v>
      </c>
      <c r="T325" s="1277" t="b">
        <f ca="1">OR(AND(NOT(S325),LEN(W325)&gt;0),T326&gt;6)</f>
        <v>0</v>
      </c>
      <c r="U325" s="991"/>
      <c r="V325" s="991"/>
      <c r="W325" s="980"/>
      <c r="X325" s="1601"/>
      <c r="AC325" s="1276" t="b">
        <f ca="1">OR(AD325:AE325)</f>
        <v>0</v>
      </c>
      <c r="AD325" s="1276" t="b">
        <f ca="1">T325</f>
        <v>0</v>
      </c>
      <c r="AE325" s="1276" t="b">
        <f ca="1">AND(R325,OR(W325="Not Met",W325=""))</f>
        <v>0</v>
      </c>
      <c r="AL325" s="78"/>
      <c r="AM325" s="78"/>
      <c r="AN325" s="78"/>
      <c r="AO325" s="78"/>
      <c r="AP325" s="1352" t="str">
        <f>SUBSTITUTE(SUBSTITUTE(SUBSTITUTE("dch"&amp;$B325&amp;$C325&amp;$D325&amp;$E325&amp;$F325,".","_"),"(","_"),")","")</f>
        <v>dch703_4_4_2</v>
      </c>
      <c r="AQ325" s="1352" t="str">
        <f>IF(LEN(W325)=0,"",W325)</f>
        <v/>
      </c>
      <c r="AR325" s="78"/>
      <c r="AS325" s="78"/>
    </row>
    <row r="326" spans="2:51" s="843" customFormat="1" x14ac:dyDescent="0.2">
      <c r="B326" s="600" t="s">
        <v>4435</v>
      </c>
      <c r="C326" s="600"/>
      <c r="D326" s="600"/>
      <c r="E326" s="600"/>
      <c r="F326" s="23"/>
      <c r="G326" s="23"/>
      <c r="H326" s="691"/>
      <c r="I326" s="590"/>
      <c r="J326" s="590"/>
      <c r="K326" s="590"/>
      <c r="L326" s="1687"/>
      <c r="M326" s="913"/>
      <c r="N326" s="129"/>
      <c r="O326" s="908"/>
      <c r="P326" s="991"/>
      <c r="Q326" s="991"/>
      <c r="R326" s="991"/>
      <c r="S326" s="411" t="s">
        <v>5107</v>
      </c>
      <c r="T326" s="198">
        <f>IFERROR(W325/W323*100,0)</f>
        <v>0</v>
      </c>
      <c r="U326" s="991"/>
      <c r="V326" s="991"/>
      <c r="W326" s="991"/>
      <c r="X326" s="1601"/>
      <c r="AL326" s="78"/>
      <c r="AM326" s="78"/>
      <c r="AN326" s="78"/>
      <c r="AO326" s="78"/>
      <c r="AP326" s="78"/>
      <c r="AQ326" s="78"/>
      <c r="AR326" s="78"/>
      <c r="AS326" s="78"/>
    </row>
    <row r="327" spans="2:51" s="843" customFormat="1" x14ac:dyDescent="0.2">
      <c r="B327" s="600" t="s">
        <v>4435</v>
      </c>
      <c r="C327" s="600" t="s">
        <v>254</v>
      </c>
      <c r="D327" s="600"/>
      <c r="E327" s="600"/>
      <c r="F327" s="23"/>
      <c r="G327" s="23"/>
      <c r="H327" s="691"/>
      <c r="I327" s="590"/>
      <c r="J327" s="606" t="s">
        <v>254</v>
      </c>
      <c r="K327" s="606"/>
      <c r="L327" s="923" t="s">
        <v>4159</v>
      </c>
      <c r="M327" s="937">
        <f>IFERROR(INDEX({4,5,4,3,2,1,1,1},T247),0)</f>
        <v>4</v>
      </c>
      <c r="N327" s="129"/>
      <c r="O327" s="908"/>
      <c r="P327" s="991"/>
      <c r="Q327" s="991"/>
      <c r="R327" s="991"/>
      <c r="S327" s="991"/>
      <c r="T327" s="991"/>
      <c r="U327" s="991"/>
      <c r="V327" s="991"/>
      <c r="W327" s="991"/>
      <c r="X327" s="1601"/>
      <c r="AL327" s="1352" t="str">
        <f>SUBSTITUTE(SUBSTITUTE(SUBSTITUTE("dpa"&amp;$B327&amp;$C327&amp;$D327&amp;$E327&amp;$F327,".","_"),"(","_"),")","")</f>
        <v>dpa703_4_4_1</v>
      </c>
      <c r="AM327" s="1352">
        <f>M327</f>
        <v>4</v>
      </c>
      <c r="AN327" s="78"/>
      <c r="AO327" s="78"/>
      <c r="AP327" s="78"/>
      <c r="AQ327" s="78"/>
      <c r="AR327" s="78"/>
      <c r="AS327" s="78"/>
    </row>
    <row r="328" spans="2:51" s="843" customFormat="1" x14ac:dyDescent="0.2">
      <c r="B328" s="600" t="s">
        <v>4435</v>
      </c>
      <c r="C328" s="600" t="s">
        <v>255</v>
      </c>
      <c r="D328" s="600"/>
      <c r="E328" s="600"/>
      <c r="F328" s="23"/>
      <c r="G328" s="23"/>
      <c r="H328" s="691"/>
      <c r="I328" s="590"/>
      <c r="J328" s="607" t="s">
        <v>255</v>
      </c>
      <c r="K328" s="607"/>
      <c r="L328" s="1075" t="s">
        <v>5081</v>
      </c>
      <c r="M328" s="379">
        <f>IFERROR(INDEX({1,1,1,1,1,1,1,1},T247),0)</f>
        <v>1</v>
      </c>
      <c r="N328" s="129"/>
      <c r="O328" s="908"/>
      <c r="P328" s="991"/>
      <c r="Q328" s="991"/>
      <c r="R328" s="991"/>
      <c r="S328" s="991"/>
      <c r="T328" s="991"/>
      <c r="U328" s="991"/>
      <c r="V328" s="991"/>
      <c r="W328" s="991"/>
      <c r="X328" s="1601"/>
      <c r="AL328" s="1352" t="str">
        <f>SUBSTITUTE(SUBSTITUTE(SUBSTITUTE("dpa"&amp;$B328&amp;$C328&amp;$D328&amp;$E328&amp;$F328,".","_"),"(","_"),")","")</f>
        <v>dpa703_4_4_2</v>
      </c>
      <c r="AM328" s="1352">
        <f>M328</f>
        <v>1</v>
      </c>
      <c r="AN328" s="78"/>
      <c r="AO328" s="78"/>
      <c r="AP328" s="78"/>
      <c r="AQ328" s="78"/>
      <c r="AR328" s="78"/>
      <c r="AS328" s="78"/>
    </row>
    <row r="329" spans="2:51" s="843" customFormat="1" ht="16" thickBot="1" x14ac:dyDescent="0.25">
      <c r="B329" s="600" t="s">
        <v>4435</v>
      </c>
      <c r="C329" s="600" t="s">
        <v>256</v>
      </c>
      <c r="D329" s="600"/>
      <c r="E329" s="600"/>
      <c r="F329" s="23"/>
      <c r="G329" s="23"/>
      <c r="H329" s="691"/>
      <c r="I329" s="594"/>
      <c r="J329" s="594" t="s">
        <v>256</v>
      </c>
      <c r="K329" s="594"/>
      <c r="L329" s="920" t="s">
        <v>4160</v>
      </c>
      <c r="M329" s="914">
        <f>IFERROR(INDEX({3,4,3,2,1,1,1,1},T247),0)</f>
        <v>3</v>
      </c>
      <c r="N329" s="239"/>
      <c r="O329" s="922"/>
      <c r="P329" s="100"/>
      <c r="Q329" s="100"/>
      <c r="R329" s="100"/>
      <c r="S329" s="100"/>
      <c r="T329" s="100"/>
      <c r="U329" s="100"/>
      <c r="V329" s="100"/>
      <c r="W329" s="100"/>
      <c r="X329" s="1602"/>
      <c r="AL329" s="1352" t="str">
        <f>SUBSTITUTE(SUBSTITUTE(SUBSTITUTE("dpa"&amp;$B329&amp;$C329&amp;$D329&amp;$E329&amp;$F329,".","_"),"(","_"),")","")</f>
        <v>dpa703_4_4_3</v>
      </c>
      <c r="AM329" s="1352">
        <f>M329</f>
        <v>3</v>
      </c>
      <c r="AN329" s="78"/>
      <c r="AO329" s="78"/>
      <c r="AP329" s="78"/>
      <c r="AQ329" s="78"/>
      <c r="AR329" s="78"/>
      <c r="AS329" s="78"/>
    </row>
    <row r="330" spans="2:51" s="843" customFormat="1" ht="16" thickTop="1" x14ac:dyDescent="0.2">
      <c r="B330" s="600">
        <v>703.5</v>
      </c>
      <c r="C330" s="600"/>
      <c r="D330" s="600"/>
      <c r="E330" s="600"/>
      <c r="F330" s="23"/>
      <c r="G330" s="23"/>
      <c r="H330" s="691"/>
      <c r="I330" s="589" t="s">
        <v>4161</v>
      </c>
      <c r="J330" s="589"/>
      <c r="K330" s="589"/>
      <c r="L330" s="869" t="s">
        <v>4162</v>
      </c>
      <c r="M330" s="96"/>
      <c r="N330" s="96"/>
      <c r="O330" s="96"/>
      <c r="P330" s="96"/>
      <c r="Q330" s="96"/>
      <c r="R330" s="96"/>
      <c r="S330" s="96"/>
      <c r="T330" s="96"/>
      <c r="AL330" s="78"/>
      <c r="AM330" s="78"/>
      <c r="AN330" s="78"/>
      <c r="AO330" s="78"/>
      <c r="AP330" s="78"/>
      <c r="AQ330" s="78"/>
      <c r="AR330" s="78"/>
      <c r="AS330" s="78"/>
    </row>
    <row r="331" spans="2:51" s="843" customFormat="1" ht="15" customHeight="1" x14ac:dyDescent="0.2">
      <c r="B331" s="600" t="s">
        <v>4436</v>
      </c>
      <c r="C331" s="600"/>
      <c r="D331" s="600"/>
      <c r="E331" s="600"/>
      <c r="F331" s="23"/>
      <c r="G331" s="23"/>
      <c r="H331" s="691"/>
      <c r="I331" s="589" t="s">
        <v>4163</v>
      </c>
      <c r="J331" s="589"/>
      <c r="K331" s="589"/>
      <c r="L331" s="1687" t="s">
        <v>4164</v>
      </c>
      <c r="M331" s="96"/>
      <c r="N331" s="96"/>
      <c r="O331" s="96"/>
      <c r="P331" s="96"/>
      <c r="Q331" s="96"/>
      <c r="R331" s="96"/>
      <c r="S331" s="96"/>
      <c r="T331" s="96"/>
      <c r="W331" s="881" t="s">
        <v>4512</v>
      </c>
      <c r="X331" s="1600"/>
      <c r="AL331" s="78"/>
      <c r="AM331" s="78"/>
      <c r="AN331" s="78"/>
      <c r="AO331" s="78"/>
      <c r="AP331" s="78"/>
      <c r="AQ331" s="78"/>
      <c r="AR331" s="1352" t="str">
        <f>SUBSTITUTE(SUBSTITUTE(SUBSTITUTE("dnt"&amp;$B331&amp;$C331&amp;$D331&amp;$E331&amp;$F331,".","_"),"(","_"),")","")</f>
        <v>dnt703_5_1</v>
      </c>
      <c r="AS331" s="1352" t="str">
        <f>IF(LEN(X331)=0,"",X331)</f>
        <v/>
      </c>
    </row>
    <row r="332" spans="2:51" s="843" customFormat="1" ht="15" customHeight="1" x14ac:dyDescent="0.2">
      <c r="B332" s="600" t="s">
        <v>4436</v>
      </c>
      <c r="C332" s="600"/>
      <c r="D332" s="600"/>
      <c r="E332" s="600"/>
      <c r="F332" s="23"/>
      <c r="G332" s="23"/>
      <c r="H332" s="691"/>
      <c r="I332" s="589"/>
      <c r="J332" s="589"/>
      <c r="K332" s="589"/>
      <c r="L332" s="1687"/>
      <c r="M332" s="882"/>
      <c r="N332" s="129"/>
      <c r="O332" s="129"/>
      <c r="P332" s="96" t="b">
        <v>1</v>
      </c>
      <c r="Q332" s="96" t="b">
        <v>1</v>
      </c>
      <c r="R332" s="96" t="b">
        <v>0</v>
      </c>
      <c r="S332" s="96" t="b">
        <f ca="1">AND(S11=2,LEN(W388)=0)</f>
        <v>0</v>
      </c>
      <c r="T332" s="96" t="b">
        <f ca="1">AND(NOT(S332),LEN(W332)&gt;0)</f>
        <v>0</v>
      </c>
      <c r="U332" s="881" t="str">
        <f>SUBSTITUTE(SUBSTITUTE(SUBSTITUTE("dd"&amp;B332&amp;C332&amp;D332&amp;E332&amp;F332,".","_"),"(","_"),")","")</f>
        <v>dd703_5_1</v>
      </c>
      <c r="W332" s="12"/>
      <c r="X332" s="1600"/>
      <c r="AC332" s="905" t="b">
        <f ca="1">OR(AD332:AE332)</f>
        <v>0</v>
      </c>
      <c r="AD332" s="905" t="b">
        <f ca="1">T332</f>
        <v>0</v>
      </c>
      <c r="AE332" s="905" t="b">
        <f>AND(R332,OR(W332="Not Met",W332=""))</f>
        <v>0</v>
      </c>
      <c r="AL332" s="78"/>
      <c r="AM332" s="78"/>
      <c r="AN332" s="78"/>
      <c r="AO332" s="78"/>
      <c r="AP332" s="1352" t="str">
        <f>SUBSTITUTE(SUBSTITUTE(SUBSTITUTE("dch"&amp;$B332&amp;$C332&amp;$D332&amp;$E332&amp;$F332,".","_"),"(","_"),")","")</f>
        <v>dch703_5_1</v>
      </c>
      <c r="AQ332" s="1352" t="str">
        <f>IF(LEN(W332)=0,"",W332)</f>
        <v/>
      </c>
      <c r="AR332" s="78"/>
      <c r="AS332" s="78"/>
    </row>
    <row r="333" spans="2:51" s="843" customFormat="1" ht="15" customHeight="1" x14ac:dyDescent="0.2">
      <c r="B333" s="600" t="s">
        <v>4436</v>
      </c>
      <c r="C333" s="600"/>
      <c r="D333" s="600"/>
      <c r="E333" s="600"/>
      <c r="F333" s="23"/>
      <c r="G333" s="23"/>
      <c r="H333" s="691"/>
      <c r="I333" s="589"/>
      <c r="J333" s="589"/>
      <c r="K333" s="589"/>
      <c r="L333" s="1687"/>
      <c r="M333" s="96"/>
      <c r="N333" s="96"/>
      <c r="O333" s="96"/>
      <c r="P333" s="96"/>
      <c r="Q333" s="96"/>
      <c r="R333" s="96"/>
      <c r="S333" s="96"/>
      <c r="T333" s="96"/>
      <c r="W333" s="881" t="s">
        <v>4505</v>
      </c>
      <c r="X333" s="1600"/>
      <c r="AL333" s="78"/>
      <c r="AM333" s="78"/>
      <c r="AN333" s="78"/>
      <c r="AO333" s="78"/>
      <c r="AP333" s="78"/>
      <c r="AQ333" s="78"/>
      <c r="AR333" s="78"/>
      <c r="AS333" s="78"/>
    </row>
    <row r="334" spans="2:51" s="843" customFormat="1" ht="15" customHeight="1" x14ac:dyDescent="0.2">
      <c r="B334" s="600" t="s">
        <v>4436</v>
      </c>
      <c r="C334" s="600" t="s">
        <v>3921</v>
      </c>
      <c r="D334" s="600"/>
      <c r="E334" s="600"/>
      <c r="F334" s="23"/>
      <c r="G334" s="23"/>
      <c r="H334" s="691"/>
      <c r="I334" s="589"/>
      <c r="J334" s="589"/>
      <c r="K334" s="589"/>
      <c r="L334" s="1687"/>
      <c r="M334" s="96"/>
      <c r="N334" s="96"/>
      <c r="O334" s="96"/>
      <c r="P334" s="96" t="b">
        <v>1</v>
      </c>
      <c r="Q334" s="96" t="b">
        <v>1</v>
      </c>
      <c r="R334" s="96" t="b">
        <v>0</v>
      </c>
      <c r="S334" s="96" t="b">
        <f ca="1">S332</f>
        <v>0</v>
      </c>
      <c r="T334" s="96" t="b">
        <f ca="1">AND(NOT(S334),LEN(W334)&gt;0)</f>
        <v>0</v>
      </c>
      <c r="W334" s="336"/>
      <c r="X334" s="1600"/>
      <c r="AC334" s="905" t="b">
        <f ca="1">OR(AD334:AE334)</f>
        <v>0</v>
      </c>
      <c r="AD334" s="905" t="b">
        <f ca="1">T334</f>
        <v>0</v>
      </c>
      <c r="AE334" s="905" t="b">
        <f>AND(R334,OR(W334="Not Met",W334=""))</f>
        <v>0</v>
      </c>
      <c r="AL334" s="78"/>
      <c r="AM334" s="78"/>
      <c r="AN334" s="78"/>
      <c r="AO334" s="78"/>
      <c r="AP334" s="1352" t="str">
        <f>SUBSTITUTE(SUBSTITUTE(SUBSTITUTE("dch"&amp;$B334&amp;$C334&amp;$D334&amp;$E334&amp;$F334,".","_"),"(","_"),")","")</f>
        <v>dch703_5_1_1</v>
      </c>
      <c r="AQ334" s="1352" t="str">
        <f>IF(LEN(W334)=0,"",W334)</f>
        <v/>
      </c>
      <c r="AR334" s="78"/>
      <c r="AS334" s="78"/>
    </row>
    <row r="335" spans="2:51" s="843" customFormat="1" ht="15" customHeight="1" x14ac:dyDescent="0.2">
      <c r="B335" s="600" t="s">
        <v>4436</v>
      </c>
      <c r="C335" s="600"/>
      <c r="D335" s="600"/>
      <c r="E335" s="600"/>
      <c r="F335" s="23"/>
      <c r="G335" s="23"/>
      <c r="H335" s="691"/>
      <c r="I335" s="589"/>
      <c r="J335" s="589"/>
      <c r="K335" s="589"/>
      <c r="L335" s="1687"/>
      <c r="M335" s="96"/>
      <c r="N335" s="96"/>
      <c r="O335" s="96"/>
      <c r="P335" s="96"/>
      <c r="Q335" s="96"/>
      <c r="R335" s="96"/>
      <c r="S335" s="96"/>
      <c r="T335" s="96"/>
      <c r="X335" s="1600"/>
      <c r="AL335" s="78"/>
      <c r="AM335" s="78"/>
      <c r="AN335" s="78"/>
      <c r="AO335" s="78"/>
      <c r="AP335" s="78"/>
      <c r="AQ335" s="78"/>
      <c r="AR335" s="78"/>
      <c r="AS335" s="78"/>
    </row>
    <row r="336" spans="2:51" s="843" customFormat="1" ht="15" customHeight="1" x14ac:dyDescent="0.2">
      <c r="B336" s="600" t="s">
        <v>4436</v>
      </c>
      <c r="C336" s="600"/>
      <c r="D336" s="600"/>
      <c r="E336" s="600"/>
      <c r="F336" s="23"/>
      <c r="G336" s="23"/>
      <c r="H336" s="691"/>
      <c r="I336" s="589"/>
      <c r="J336" s="589"/>
      <c r="K336" s="589"/>
      <c r="L336" s="1687"/>
      <c r="M336" s="96"/>
      <c r="N336" s="96"/>
      <c r="O336" s="96"/>
      <c r="P336" s="96"/>
      <c r="Q336" s="96"/>
      <c r="R336" s="96"/>
      <c r="S336" s="96"/>
      <c r="T336" s="96"/>
      <c r="X336" s="1600"/>
      <c r="AL336" s="78"/>
      <c r="AM336" s="78"/>
      <c r="AN336" s="78"/>
      <c r="AO336" s="78"/>
      <c r="AP336" s="78"/>
      <c r="AQ336" s="78"/>
      <c r="AR336" s="78"/>
      <c r="AS336" s="78"/>
    </row>
    <row r="337" spans="2:45" s="843" customFormat="1" ht="15" customHeight="1" x14ac:dyDescent="0.2">
      <c r="B337" s="600" t="s">
        <v>4436</v>
      </c>
      <c r="C337" s="600"/>
      <c r="D337" s="600"/>
      <c r="E337" s="600"/>
      <c r="F337" s="23"/>
      <c r="G337" s="23"/>
      <c r="H337" s="691"/>
      <c r="I337" s="589"/>
      <c r="J337" s="589"/>
      <c r="K337" s="589"/>
      <c r="L337" s="1687"/>
      <c r="M337" s="96"/>
      <c r="N337" s="96"/>
      <c r="O337" s="96"/>
      <c r="P337" s="96"/>
      <c r="Q337" s="96"/>
      <c r="R337" s="96"/>
      <c r="S337" s="96"/>
      <c r="T337" s="96"/>
      <c r="X337" s="1600"/>
      <c r="AL337" s="78"/>
      <c r="AM337" s="78"/>
      <c r="AN337" s="78"/>
      <c r="AO337" s="78"/>
      <c r="AP337" s="78"/>
      <c r="AQ337" s="78"/>
      <c r="AR337" s="78"/>
      <c r="AS337" s="78"/>
    </row>
    <row r="338" spans="2:45" s="843" customFormat="1" ht="15" customHeight="1" x14ac:dyDescent="0.2">
      <c r="B338" s="600" t="s">
        <v>4436</v>
      </c>
      <c r="C338" s="600" t="s">
        <v>254</v>
      </c>
      <c r="D338" s="600"/>
      <c r="E338" s="600"/>
      <c r="F338" s="23"/>
      <c r="G338" s="23"/>
      <c r="H338" s="691"/>
      <c r="I338" s="589"/>
      <c r="J338" s="589" t="s">
        <v>254</v>
      </c>
      <c r="K338" s="589"/>
      <c r="L338" s="863" t="s">
        <v>4165</v>
      </c>
      <c r="M338" s="96"/>
      <c r="N338" s="96"/>
      <c r="O338" s="96"/>
      <c r="P338" s="96"/>
      <c r="Q338" s="96"/>
      <c r="R338" s="96"/>
      <c r="S338" s="96"/>
      <c r="T338" s="96"/>
      <c r="AL338" s="78"/>
      <c r="AM338" s="78"/>
      <c r="AN338" s="78"/>
      <c r="AO338" s="78"/>
      <c r="AP338" s="78"/>
      <c r="AQ338" s="78"/>
      <c r="AR338" s="78"/>
      <c r="AS338" s="78"/>
    </row>
    <row r="339" spans="2:45" s="843" customFormat="1" ht="15" customHeight="1" x14ac:dyDescent="0.2">
      <c r="B339" s="600" t="s">
        <v>4436</v>
      </c>
      <c r="C339" s="600" t="s">
        <v>254</v>
      </c>
      <c r="D339" s="600" t="s">
        <v>121</v>
      </c>
      <c r="E339" s="600"/>
      <c r="F339" s="23"/>
      <c r="G339" s="23"/>
      <c r="H339" s="691"/>
      <c r="I339" s="589"/>
      <c r="J339" s="589"/>
      <c r="K339" s="590" t="s">
        <v>121</v>
      </c>
      <c r="L339" s="1634" t="s">
        <v>4166</v>
      </c>
      <c r="M339" s="991"/>
      <c r="N339" s="991"/>
      <c r="O339" s="991"/>
      <c r="P339" s="96"/>
      <c r="Q339" s="96"/>
      <c r="R339" s="96"/>
      <c r="S339" s="96"/>
      <c r="T339" s="96"/>
      <c r="AL339" s="78"/>
      <c r="AM339" s="78"/>
      <c r="AN339" s="78"/>
      <c r="AO339" s="78"/>
      <c r="AP339" s="78"/>
      <c r="AQ339" s="78"/>
      <c r="AR339" s="78"/>
      <c r="AS339" s="78"/>
    </row>
    <row r="340" spans="2:45" s="843" customFormat="1" ht="15" customHeight="1" x14ac:dyDescent="0.2">
      <c r="B340" s="600" t="s">
        <v>4436</v>
      </c>
      <c r="C340" s="600" t="s">
        <v>254</v>
      </c>
      <c r="D340" s="600" t="s">
        <v>121</v>
      </c>
      <c r="E340" s="600"/>
      <c r="F340" s="23"/>
      <c r="G340" s="23"/>
      <c r="H340" s="691"/>
      <c r="I340" s="589"/>
      <c r="J340" s="589"/>
      <c r="K340" s="590"/>
      <c r="L340" s="1634"/>
      <c r="M340" s="913"/>
      <c r="N340" s="129"/>
      <c r="O340" s="908">
        <f ca="1">IFERROR(INDEX(M341:M342,MATCH(W334,{0.65,0.78},1)),0)*S340*S332</f>
        <v>0</v>
      </c>
      <c r="P340" s="96"/>
      <c r="Q340" s="96"/>
      <c r="R340" s="96"/>
      <c r="S340" s="198" t="b">
        <f ca="1">W332=INDEX(INDIRECT(U332),1)</f>
        <v>0</v>
      </c>
      <c r="T340" s="96"/>
      <c r="AL340" s="78"/>
      <c r="AM340" s="78"/>
      <c r="AN340" s="1352" t="str">
        <f>SUBSTITUTE(SUBSTITUTE(SUBSTITUTE("dpc"&amp;$B340&amp;$C340&amp;$D340&amp;$E340&amp;$F340,".","_"),"(","_"),")","")</f>
        <v>dpc703_5_1_1_a</v>
      </c>
      <c r="AO340" s="1352">
        <f ca="1">O340</f>
        <v>0</v>
      </c>
      <c r="AP340" s="78"/>
      <c r="AQ340" s="78"/>
      <c r="AR340" s="78"/>
      <c r="AS340" s="78"/>
    </row>
    <row r="341" spans="2:45" s="843" customFormat="1" ht="15" customHeight="1" x14ac:dyDescent="0.2">
      <c r="B341" s="600" t="s">
        <v>4436</v>
      </c>
      <c r="C341" s="600" t="s">
        <v>254</v>
      </c>
      <c r="D341" s="600" t="s">
        <v>121</v>
      </c>
      <c r="E341" s="600" t="s">
        <v>3921</v>
      </c>
      <c r="F341" s="23"/>
      <c r="G341" s="23"/>
      <c r="H341" s="691"/>
      <c r="I341" s="589"/>
      <c r="J341" s="589"/>
      <c r="K341" s="102"/>
      <c r="L341" s="917" t="s">
        <v>5091</v>
      </c>
      <c r="M341" s="913">
        <f ca="1">IFERROR(INDEX({2,2,2,2,2,2,2,1},T247),0)*IF(T317,2,1)</f>
        <v>2</v>
      </c>
      <c r="N341" s="129"/>
      <c r="O341" s="908"/>
      <c r="P341" s="96"/>
      <c r="Q341" s="96"/>
      <c r="R341" s="96"/>
      <c r="S341" s="96"/>
      <c r="T341" s="96"/>
      <c r="AL341" s="1352" t="str">
        <f>SUBSTITUTE(SUBSTITUTE(SUBSTITUTE("dpa"&amp;$B341&amp;$C341&amp;$D341&amp;$E341&amp;$F341,".","_"),"(","_"),")","")</f>
        <v>dpa703_5_1_1_a_1</v>
      </c>
      <c r="AM341" s="1352">
        <f ca="1">M341</f>
        <v>2</v>
      </c>
      <c r="AN341" s="78"/>
      <c r="AO341" s="78"/>
      <c r="AP341" s="78"/>
      <c r="AQ341" s="78"/>
      <c r="AR341" s="78"/>
      <c r="AS341" s="78"/>
    </row>
    <row r="342" spans="2:45" s="843" customFormat="1" ht="15" customHeight="1" x14ac:dyDescent="0.2">
      <c r="B342" s="600" t="s">
        <v>4436</v>
      </c>
      <c r="C342" s="600" t="s">
        <v>254</v>
      </c>
      <c r="D342" s="600" t="s">
        <v>121</v>
      </c>
      <c r="E342" s="600" t="s">
        <v>3922</v>
      </c>
      <c r="F342" s="23"/>
      <c r="G342" s="23"/>
      <c r="H342" s="691"/>
      <c r="I342" s="589"/>
      <c r="J342" s="589"/>
      <c r="K342" s="591"/>
      <c r="L342" s="923" t="s">
        <v>5092</v>
      </c>
      <c r="M342" s="937">
        <f ca="1">IFERROR(INDEX({2,3,3,3,3,3,3,2},T247),0)*IF(T317,2,1)</f>
        <v>3</v>
      </c>
      <c r="N342" s="213"/>
      <c r="O342" s="909"/>
      <c r="P342" s="96"/>
      <c r="Q342" s="96"/>
      <c r="R342" s="96"/>
      <c r="S342" s="96"/>
      <c r="T342" s="96"/>
      <c r="AL342" s="1352" t="str">
        <f>SUBSTITUTE(SUBSTITUTE(SUBSTITUTE("dpa"&amp;$B342&amp;$C342&amp;$D342&amp;$E342&amp;$F342,".","_"),"(","_"),")","")</f>
        <v>dpa703_5_1_1_a_2</v>
      </c>
      <c r="AM342" s="1352">
        <f ca="1">M342</f>
        <v>3</v>
      </c>
      <c r="AN342" s="78"/>
      <c r="AO342" s="78"/>
      <c r="AP342" s="78"/>
      <c r="AQ342" s="78"/>
      <c r="AR342" s="78"/>
      <c r="AS342" s="78"/>
    </row>
    <row r="343" spans="2:45" s="843" customFormat="1" ht="15" customHeight="1" x14ac:dyDescent="0.2">
      <c r="B343" s="600" t="s">
        <v>4436</v>
      </c>
      <c r="C343" s="600" t="s">
        <v>254</v>
      </c>
      <c r="D343" s="600" t="s">
        <v>122</v>
      </c>
      <c r="E343" s="600"/>
      <c r="F343" s="23"/>
      <c r="G343" s="23"/>
      <c r="H343" s="691"/>
      <c r="I343" s="589"/>
      <c r="J343" s="589"/>
      <c r="K343" s="608" t="s">
        <v>122</v>
      </c>
      <c r="L343" s="1633" t="s">
        <v>4167</v>
      </c>
      <c r="M343" s="1757">
        <v>1</v>
      </c>
      <c r="N343" s="195"/>
      <c r="O343" s="1758">
        <f ca="1">IF(W334&gt;=0.78,M343,0)*S343*S332</f>
        <v>0</v>
      </c>
      <c r="P343" s="96"/>
      <c r="Q343" s="96"/>
      <c r="R343" s="96"/>
      <c r="S343" s="198" t="b">
        <f ca="1">W332=INDEX(INDIRECT(U332),2)</f>
        <v>0</v>
      </c>
      <c r="T343" s="96"/>
      <c r="AL343" s="1352" t="str">
        <f>SUBSTITUTE(SUBSTITUTE(SUBSTITUTE("dpa"&amp;$B343&amp;$C343&amp;$D343&amp;$E343&amp;$F343,".","_"),"(","_"),")","")</f>
        <v>dpa703_5_1_1_b</v>
      </c>
      <c r="AM343" s="1352">
        <f>M343</f>
        <v>1</v>
      </c>
      <c r="AN343" s="1352" t="str">
        <f>SUBSTITUTE(SUBSTITUTE(SUBSTITUTE("dpc"&amp;$B343&amp;$C343&amp;$D343&amp;$E343&amp;$F343,".","_"),"(","_"),")","")</f>
        <v>dpc703_5_1_1_b</v>
      </c>
      <c r="AO343" s="1352">
        <f ca="1">O343</f>
        <v>0</v>
      </c>
      <c r="AP343" s="78"/>
      <c r="AQ343" s="78"/>
      <c r="AR343" s="78"/>
      <c r="AS343" s="78"/>
    </row>
    <row r="344" spans="2:45" s="843" customFormat="1" ht="15" customHeight="1" x14ac:dyDescent="0.2">
      <c r="B344" s="600" t="s">
        <v>4436</v>
      </c>
      <c r="C344" s="600" t="s">
        <v>254</v>
      </c>
      <c r="D344" s="600" t="s">
        <v>122</v>
      </c>
      <c r="E344" s="600"/>
      <c r="F344" s="23"/>
      <c r="G344" s="23"/>
      <c r="H344" s="691"/>
      <c r="I344" s="589"/>
      <c r="J344" s="589"/>
      <c r="K344" s="606"/>
      <c r="L344" s="1639"/>
      <c r="M344" s="1754"/>
      <c r="N344" s="173"/>
      <c r="O344" s="1756"/>
      <c r="P344" s="96"/>
      <c r="Q344" s="96"/>
      <c r="R344" s="96"/>
      <c r="S344" s="96"/>
      <c r="T344" s="96"/>
      <c r="AL344" s="78"/>
      <c r="AM344" s="78"/>
      <c r="AN344" s="78"/>
      <c r="AO344" s="78"/>
      <c r="AP344" s="78"/>
      <c r="AQ344" s="78"/>
      <c r="AR344" s="78"/>
      <c r="AS344" s="78"/>
    </row>
    <row r="345" spans="2:45" s="843" customFormat="1" ht="15" customHeight="1" x14ac:dyDescent="0.2">
      <c r="B345" s="600" t="s">
        <v>4436</v>
      </c>
      <c r="C345" s="600" t="s">
        <v>254</v>
      </c>
      <c r="D345" s="600" t="s">
        <v>123</v>
      </c>
      <c r="E345" s="600"/>
      <c r="F345" s="23"/>
      <c r="G345" s="23"/>
      <c r="H345" s="691"/>
      <c r="I345" s="589"/>
      <c r="J345" s="589"/>
      <c r="K345" s="608" t="s">
        <v>123</v>
      </c>
      <c r="L345" s="919" t="s">
        <v>4168</v>
      </c>
      <c r="M345" s="195"/>
      <c r="N345" s="195"/>
      <c r="O345" s="973">
        <f ca="1">IFERROR(INDEX(M346:M347,MATCH(W334,{0.9,0.95},1)),0)*S345*S332</f>
        <v>0</v>
      </c>
      <c r="P345" s="96"/>
      <c r="Q345" s="96"/>
      <c r="R345" s="96"/>
      <c r="S345" s="198" t="b">
        <f ca="1">W332=INDEX(INDIRECT(U332),3)</f>
        <v>0</v>
      </c>
      <c r="T345" s="96"/>
      <c r="AL345" s="78"/>
      <c r="AM345" s="78"/>
      <c r="AN345" s="1352" t="str">
        <f>SUBSTITUTE(SUBSTITUTE(SUBSTITUTE("dpc"&amp;$B345&amp;$C345&amp;$D345&amp;$E345&amp;$F345,".","_"),"(","_"),")","")</f>
        <v>dpc703_5_1_1_c</v>
      </c>
      <c r="AO345" s="1352">
        <f ca="1">O345</f>
        <v>0</v>
      </c>
      <c r="AP345" s="78"/>
      <c r="AQ345" s="78"/>
      <c r="AR345" s="78"/>
      <c r="AS345" s="78"/>
    </row>
    <row r="346" spans="2:45" s="843" customFormat="1" ht="15" customHeight="1" x14ac:dyDescent="0.2">
      <c r="B346" s="600" t="s">
        <v>4436</v>
      </c>
      <c r="C346" s="600" t="s">
        <v>254</v>
      </c>
      <c r="D346" s="600" t="s">
        <v>123</v>
      </c>
      <c r="E346" s="600" t="s">
        <v>3921</v>
      </c>
      <c r="F346" s="23"/>
      <c r="G346" s="23"/>
      <c r="H346" s="691"/>
      <c r="I346" s="589"/>
      <c r="J346" s="589"/>
      <c r="K346" s="590"/>
      <c r="L346" s="917" t="s">
        <v>4169</v>
      </c>
      <c r="M346" s="913">
        <f>IFERROR(INDEX({6,6,5,3,3,3,3,2},T247),0)</f>
        <v>5</v>
      </c>
      <c r="N346" s="991"/>
      <c r="O346" s="991"/>
      <c r="P346" s="96"/>
      <c r="Q346" s="96"/>
      <c r="R346" s="96"/>
      <c r="S346" s="96"/>
      <c r="T346" s="96"/>
      <c r="AL346" s="1352" t="str">
        <f>SUBSTITUTE(SUBSTITUTE(SUBSTITUTE("dpa"&amp;$B346&amp;$C346&amp;$D346&amp;$E346&amp;$F346,".","_"),"(","_"),")","")</f>
        <v>dpa703_5_1_1_c_1</v>
      </c>
      <c r="AM346" s="1352">
        <f>M346</f>
        <v>5</v>
      </c>
      <c r="AN346" s="78"/>
      <c r="AO346" s="78"/>
      <c r="AP346" s="78"/>
      <c r="AQ346" s="78"/>
      <c r="AR346" s="78"/>
      <c r="AS346" s="78"/>
    </row>
    <row r="347" spans="2:45" s="843" customFormat="1" ht="15" customHeight="1" x14ac:dyDescent="0.2">
      <c r="B347" s="600" t="s">
        <v>4436</v>
      </c>
      <c r="C347" s="600" t="s">
        <v>254</v>
      </c>
      <c r="D347" s="600" t="s">
        <v>123</v>
      </c>
      <c r="E347" s="600" t="s">
        <v>3922</v>
      </c>
      <c r="F347" s="23"/>
      <c r="G347" s="23"/>
      <c r="H347" s="691"/>
      <c r="I347" s="589"/>
      <c r="J347" s="589"/>
      <c r="K347" s="591"/>
      <c r="L347" s="923" t="s">
        <v>4170</v>
      </c>
      <c r="M347" s="937">
        <f>IFERROR(INDEX({7,7,5,4,4,4,4,2},T247),0)</f>
        <v>5</v>
      </c>
      <c r="N347" s="173"/>
      <c r="O347" s="173"/>
      <c r="P347" s="96"/>
      <c r="Q347" s="96"/>
      <c r="R347" s="96"/>
      <c r="S347" s="96"/>
      <c r="T347" s="96"/>
      <c r="AL347" s="1352" t="str">
        <f>SUBSTITUTE(SUBSTITUTE(SUBSTITUTE("dpa"&amp;$B347&amp;$C347&amp;$D347&amp;$E347&amp;$F347,".","_"),"(","_"),")","")</f>
        <v>dpa703_5_1_1_c_2</v>
      </c>
      <c r="AM347" s="1352">
        <f>M347</f>
        <v>5</v>
      </c>
      <c r="AN347" s="78"/>
      <c r="AO347" s="78"/>
      <c r="AP347" s="78"/>
      <c r="AQ347" s="78"/>
      <c r="AR347" s="78"/>
      <c r="AS347" s="78"/>
    </row>
    <row r="348" spans="2:45" s="843" customFormat="1" ht="15" customHeight="1" x14ac:dyDescent="0.2">
      <c r="B348" s="600" t="s">
        <v>4436</v>
      </c>
      <c r="C348" s="600" t="s">
        <v>254</v>
      </c>
      <c r="D348" s="600" t="s">
        <v>366</v>
      </c>
      <c r="E348" s="600"/>
      <c r="F348" s="23"/>
      <c r="G348" s="23"/>
      <c r="H348" s="691"/>
      <c r="I348" s="589"/>
      <c r="J348" s="589"/>
      <c r="K348" s="608" t="s">
        <v>366</v>
      </c>
      <c r="L348" s="1633" t="s">
        <v>4171</v>
      </c>
      <c r="M348" s="195"/>
      <c r="N348" s="195"/>
      <c r="O348" s="1637">
        <f ca="1">IFERROR(INDEX(M351:M352,MATCH(W334,{0.92,0.95},1)),0)*S348*S332</f>
        <v>0</v>
      </c>
      <c r="P348" s="96"/>
      <c r="Q348" s="96"/>
      <c r="R348" s="96"/>
      <c r="S348" s="198" t="b">
        <f ca="1">W332=INDEX(INDIRECT(U332),4)</f>
        <v>0</v>
      </c>
      <c r="T348" s="96"/>
      <c r="AL348" s="78"/>
      <c r="AM348" s="78"/>
      <c r="AN348" s="1352" t="str">
        <f>SUBSTITUTE(SUBSTITUTE(SUBSTITUTE("dpc"&amp;$B348&amp;$C348&amp;$D348&amp;$E348&amp;$F348,".","_"),"(","_"),")","")</f>
        <v>dpc703_5_1_1_d</v>
      </c>
      <c r="AO348" s="1352">
        <f ca="1">O348</f>
        <v>0</v>
      </c>
      <c r="AP348" s="78"/>
      <c r="AQ348" s="78"/>
      <c r="AR348" s="78"/>
      <c r="AS348" s="78"/>
    </row>
    <row r="349" spans="2:45" s="843" customFormat="1" ht="15" customHeight="1" x14ac:dyDescent="0.2">
      <c r="B349" s="600" t="s">
        <v>4436</v>
      </c>
      <c r="C349" s="600" t="s">
        <v>254</v>
      </c>
      <c r="D349" s="600" t="s">
        <v>366</v>
      </c>
      <c r="E349" s="600"/>
      <c r="F349" s="23"/>
      <c r="G349" s="23"/>
      <c r="H349" s="691"/>
      <c r="I349" s="589"/>
      <c r="J349" s="589"/>
      <c r="K349" s="590"/>
      <c r="L349" s="1634"/>
      <c r="M349" s="913"/>
      <c r="N349" s="129"/>
      <c r="O349" s="1619"/>
      <c r="P349" s="96"/>
      <c r="Q349" s="96"/>
      <c r="R349" s="96"/>
      <c r="S349" s="96"/>
      <c r="T349" s="96"/>
      <c r="AL349" s="78"/>
      <c r="AM349" s="78"/>
      <c r="AN349" s="78"/>
      <c r="AO349" s="78"/>
      <c r="AP349" s="78"/>
      <c r="AQ349" s="78"/>
      <c r="AR349" s="78"/>
      <c r="AS349" s="78"/>
    </row>
    <row r="350" spans="2:45" s="843" customFormat="1" ht="15" customHeight="1" x14ac:dyDescent="0.2">
      <c r="B350" s="600" t="s">
        <v>4436</v>
      </c>
      <c r="C350" s="600" t="s">
        <v>254</v>
      </c>
      <c r="D350" s="600" t="s">
        <v>366</v>
      </c>
      <c r="E350" s="600"/>
      <c r="F350" s="23"/>
      <c r="G350" s="23"/>
      <c r="H350" s="691"/>
      <c r="I350" s="589"/>
      <c r="J350" s="589"/>
      <c r="K350" s="590"/>
      <c r="L350" s="1634"/>
      <c r="M350" s="913"/>
      <c r="N350" s="129"/>
      <c r="O350" s="1619"/>
      <c r="P350" s="96"/>
      <c r="Q350" s="96"/>
      <c r="R350" s="96"/>
      <c r="S350" s="96"/>
      <c r="T350" s="96"/>
      <c r="AL350" s="78"/>
      <c r="AM350" s="78"/>
      <c r="AN350" s="78"/>
      <c r="AO350" s="78"/>
      <c r="AP350" s="78"/>
      <c r="AQ350" s="78"/>
      <c r="AR350" s="78"/>
      <c r="AS350" s="78"/>
    </row>
    <row r="351" spans="2:45" s="843" customFormat="1" ht="15" customHeight="1" x14ac:dyDescent="0.2">
      <c r="B351" s="600" t="s">
        <v>4436</v>
      </c>
      <c r="C351" s="600" t="s">
        <v>254</v>
      </c>
      <c r="D351" s="600" t="s">
        <v>366</v>
      </c>
      <c r="E351" s="600" t="s">
        <v>3921</v>
      </c>
      <c r="F351" s="23"/>
      <c r="G351" s="23"/>
      <c r="H351" s="691"/>
      <c r="I351" s="589"/>
      <c r="J351" s="589"/>
      <c r="K351" s="102"/>
      <c r="L351" s="917" t="s">
        <v>4172</v>
      </c>
      <c r="M351" s="913">
        <v>1</v>
      </c>
      <c r="N351" s="129"/>
      <c r="O351" s="908"/>
      <c r="P351" s="96"/>
      <c r="Q351" s="96"/>
      <c r="R351" s="96"/>
      <c r="S351" s="96"/>
      <c r="T351" s="96"/>
      <c r="AL351" s="1352" t="str">
        <f>SUBSTITUTE(SUBSTITUTE(SUBSTITUTE("dpa"&amp;$B351&amp;$C351&amp;$D351&amp;$E351&amp;$F351,".","_"),"(","_"),")","")</f>
        <v>dpa703_5_1_1_d_1</v>
      </c>
      <c r="AM351" s="1352">
        <f>M351</f>
        <v>1</v>
      </c>
      <c r="AN351" s="78"/>
      <c r="AO351" s="78"/>
      <c r="AP351" s="78"/>
      <c r="AQ351" s="78"/>
      <c r="AR351" s="78"/>
      <c r="AS351" s="78"/>
    </row>
    <row r="352" spans="2:45" s="843" customFormat="1" ht="15" customHeight="1" x14ac:dyDescent="0.2">
      <c r="B352" s="600" t="s">
        <v>4436</v>
      </c>
      <c r="C352" s="600" t="s">
        <v>254</v>
      </c>
      <c r="D352" s="600" t="s">
        <v>366</v>
      </c>
      <c r="E352" s="600" t="s">
        <v>3922</v>
      </c>
      <c r="F352" s="23"/>
      <c r="G352" s="23"/>
      <c r="H352" s="691"/>
      <c r="I352" s="589"/>
      <c r="J352" s="589"/>
      <c r="K352" s="606"/>
      <c r="L352" s="923" t="s">
        <v>4170</v>
      </c>
      <c r="M352" s="937">
        <f>IFERROR(INDEX({2,2,2,2,2,2,2,1},BF54),0)</f>
        <v>2</v>
      </c>
      <c r="N352" s="213"/>
      <c r="O352" s="909"/>
      <c r="P352" s="96"/>
      <c r="Q352" s="96"/>
      <c r="R352" s="96"/>
      <c r="S352" s="96"/>
      <c r="T352" s="96"/>
      <c r="AL352" s="1352" t="str">
        <f>SUBSTITUTE(SUBSTITUTE(SUBSTITUTE("dpa"&amp;$B352&amp;$C352&amp;$D352&amp;$E352&amp;$F352,".","_"),"(","_"),")","")</f>
        <v>dpa703_5_1_1_d_2</v>
      </c>
      <c r="AM352" s="1352">
        <f>M352</f>
        <v>2</v>
      </c>
      <c r="AN352" s="78"/>
      <c r="AO352" s="78"/>
      <c r="AP352" s="78"/>
      <c r="AQ352" s="78"/>
      <c r="AR352" s="78"/>
      <c r="AS352" s="78"/>
    </row>
    <row r="353" spans="2:45" s="843" customFormat="1" ht="15" customHeight="1" x14ac:dyDescent="0.2">
      <c r="B353" s="600" t="s">
        <v>4436</v>
      </c>
      <c r="C353" s="600" t="s">
        <v>254</v>
      </c>
      <c r="D353" s="600" t="s">
        <v>472</v>
      </c>
      <c r="E353" s="600"/>
      <c r="F353" s="23"/>
      <c r="G353" s="23"/>
      <c r="H353" s="691"/>
      <c r="I353" s="589"/>
      <c r="J353" s="589"/>
      <c r="K353" s="589" t="s">
        <v>472</v>
      </c>
      <c r="L353" s="1634" t="s">
        <v>4173</v>
      </c>
      <c r="M353" s="96"/>
      <c r="N353" s="96"/>
      <c r="O353" s="900">
        <f ca="1">IFERROR(INDEX(M355:M356,MATCH(W334,{0.89,0.94},1)),0)*S353*S332</f>
        <v>0</v>
      </c>
      <c r="P353" s="96"/>
      <c r="Q353" s="96"/>
      <c r="R353" s="96"/>
      <c r="S353" s="198" t="b">
        <f ca="1">W332=INDEX(INDIRECT(U332),5)</f>
        <v>0</v>
      </c>
      <c r="T353" s="96"/>
      <c r="AL353" s="78"/>
      <c r="AM353" s="78"/>
      <c r="AN353" s="1352" t="str">
        <f>SUBSTITUTE(SUBSTITUTE(SUBSTITUTE("dpc"&amp;$B353&amp;$C353&amp;$D353&amp;$E353&amp;$F353,".","_"),"(","_"),")","")</f>
        <v>dpc703_5_1_1_e</v>
      </c>
      <c r="AO353" s="1352">
        <f ca="1">O353</f>
        <v>0</v>
      </c>
      <c r="AP353" s="78"/>
      <c r="AQ353" s="78"/>
      <c r="AR353" s="78"/>
      <c r="AS353" s="78"/>
    </row>
    <row r="354" spans="2:45" s="843" customFormat="1" ht="15" customHeight="1" x14ac:dyDescent="0.2">
      <c r="B354" s="600" t="s">
        <v>4436</v>
      </c>
      <c r="C354" s="600" t="s">
        <v>254</v>
      </c>
      <c r="D354" s="600" t="s">
        <v>472</v>
      </c>
      <c r="E354" s="600"/>
      <c r="F354" s="23"/>
      <c r="G354" s="23"/>
      <c r="H354" s="691"/>
      <c r="I354" s="589"/>
      <c r="J354" s="589"/>
      <c r="K354" s="589"/>
      <c r="L354" s="1634"/>
      <c r="M354" s="96"/>
      <c r="N354" s="96"/>
      <c r="O354" s="96"/>
      <c r="P354" s="96"/>
      <c r="Q354" s="96"/>
      <c r="R354" s="96"/>
      <c r="S354" s="96"/>
      <c r="T354" s="96"/>
      <c r="AL354" s="78"/>
      <c r="AM354" s="78"/>
      <c r="AN354" s="78"/>
      <c r="AO354" s="78"/>
      <c r="AP354" s="78"/>
      <c r="AQ354" s="78"/>
      <c r="AR354" s="78"/>
      <c r="AS354" s="78"/>
    </row>
    <row r="355" spans="2:45" s="843" customFormat="1" ht="15" customHeight="1" x14ac:dyDescent="0.2">
      <c r="B355" s="600" t="s">
        <v>4436</v>
      </c>
      <c r="C355" s="600" t="s">
        <v>254</v>
      </c>
      <c r="D355" s="600" t="s">
        <v>472</v>
      </c>
      <c r="E355" s="600" t="s">
        <v>3921</v>
      </c>
      <c r="F355" s="23"/>
      <c r="G355" s="23"/>
      <c r="H355" s="691"/>
      <c r="I355" s="589"/>
      <c r="J355" s="589"/>
      <c r="K355" s="589"/>
      <c r="L355" s="863" t="s">
        <v>5093</v>
      </c>
      <c r="M355" s="882">
        <f>IFERROR(INDEX({2,2,2,1,1,1,1,1},T247),0)</f>
        <v>2</v>
      </c>
      <c r="N355" s="96"/>
      <c r="O355" s="96"/>
      <c r="P355" s="96"/>
      <c r="Q355" s="96"/>
      <c r="R355" s="96"/>
      <c r="S355" s="96"/>
      <c r="T355" s="96"/>
      <c r="AL355" s="1352" t="str">
        <f>SUBSTITUTE(SUBSTITUTE(SUBSTITUTE("dpa"&amp;$B355&amp;$C355&amp;$D355&amp;$E355&amp;$F355,".","_"),"(","_"),")","")</f>
        <v>dpa703_5_1_1_e_1</v>
      </c>
      <c r="AM355" s="1352">
        <f>M355</f>
        <v>2</v>
      </c>
      <c r="AN355" s="78"/>
      <c r="AO355" s="78"/>
      <c r="AP355" s="78"/>
      <c r="AQ355" s="78"/>
      <c r="AR355" s="78"/>
      <c r="AS355" s="78"/>
    </row>
    <row r="356" spans="2:45" s="843" customFormat="1" ht="15" customHeight="1" x14ac:dyDescent="0.2">
      <c r="B356" s="600" t="s">
        <v>4436</v>
      </c>
      <c r="C356" s="600" t="s">
        <v>254</v>
      </c>
      <c r="D356" s="600" t="s">
        <v>472</v>
      </c>
      <c r="E356" s="600" t="s">
        <v>3922</v>
      </c>
      <c r="F356" s="23"/>
      <c r="G356" s="23"/>
      <c r="H356" s="691"/>
      <c r="I356" s="589"/>
      <c r="J356" s="606"/>
      <c r="K356" s="606"/>
      <c r="L356" s="923" t="s">
        <v>5094</v>
      </c>
      <c r="M356" s="937">
        <f>IFERROR(INDEX({3,3,2,2,2,2,2,1},T247),0)</f>
        <v>2</v>
      </c>
      <c r="N356" s="173"/>
      <c r="O356" s="173"/>
      <c r="P356" s="96"/>
      <c r="Q356" s="96"/>
      <c r="R356" s="96"/>
      <c r="S356" s="96"/>
      <c r="T356" s="96"/>
      <c r="AL356" s="1352" t="str">
        <f>SUBSTITUTE(SUBSTITUTE(SUBSTITUTE("dpa"&amp;$B356&amp;$C356&amp;$D356&amp;$E356&amp;$F356,".","_"),"(","_"),")","")</f>
        <v>dpa703_5_1_1_e_2</v>
      </c>
      <c r="AM356" s="1352">
        <f>M356</f>
        <v>2</v>
      </c>
      <c r="AN356" s="78"/>
      <c r="AO356" s="78"/>
      <c r="AP356" s="78"/>
      <c r="AQ356" s="78"/>
      <c r="AR356" s="78"/>
      <c r="AS356" s="78"/>
    </row>
    <row r="357" spans="2:45" s="843" customFormat="1" ht="15" customHeight="1" x14ac:dyDescent="0.2">
      <c r="B357" s="600" t="s">
        <v>4436</v>
      </c>
      <c r="C357" s="600" t="s">
        <v>255</v>
      </c>
      <c r="D357" s="600"/>
      <c r="E357" s="600"/>
      <c r="F357" s="23"/>
      <c r="G357" s="23"/>
      <c r="H357" s="691"/>
      <c r="I357" s="589"/>
      <c r="J357" s="589" t="s">
        <v>255</v>
      </c>
      <c r="K357" s="589"/>
      <c r="L357" s="863" t="s">
        <v>4174</v>
      </c>
      <c r="M357" s="96"/>
      <c r="N357" s="96"/>
      <c r="O357" s="96"/>
      <c r="P357" s="96"/>
      <c r="Q357" s="96"/>
      <c r="R357" s="96"/>
      <c r="S357" s="96"/>
      <c r="T357" s="96"/>
      <c r="AL357" s="78"/>
      <c r="AM357" s="78"/>
      <c r="AN357" s="78"/>
      <c r="AO357" s="78"/>
      <c r="AP357" s="78"/>
      <c r="AQ357" s="78"/>
      <c r="AR357" s="78"/>
      <c r="AS357" s="78"/>
    </row>
    <row r="358" spans="2:45" s="843" customFormat="1" ht="15" customHeight="1" x14ac:dyDescent="0.2">
      <c r="B358" s="600" t="s">
        <v>4436</v>
      </c>
      <c r="C358" s="600" t="s">
        <v>255</v>
      </c>
      <c r="D358" s="600" t="s">
        <v>121</v>
      </c>
      <c r="E358" s="600"/>
      <c r="F358" s="23"/>
      <c r="G358" s="23"/>
      <c r="H358" s="691"/>
      <c r="I358" s="589"/>
      <c r="J358" s="589"/>
      <c r="K358" s="589" t="s">
        <v>121</v>
      </c>
      <c r="L358" s="1634" t="s">
        <v>4175</v>
      </c>
      <c r="M358" s="96"/>
      <c r="N358" s="96"/>
      <c r="O358" s="886">
        <f ca="1">IFERROR(INDEX(M360:M366,MATCH(W334,{0.94,1,1.5,2,2.2,2.5,3},1)),0)*S358*S332</f>
        <v>0</v>
      </c>
      <c r="P358" s="96"/>
      <c r="Q358" s="96"/>
      <c r="R358" s="96"/>
      <c r="S358" s="198" t="b">
        <f ca="1">W332=INDEX(INDIRECT(U332),6)</f>
        <v>0</v>
      </c>
      <c r="T358" s="96"/>
      <c r="AL358" s="78"/>
      <c r="AM358" s="78"/>
      <c r="AN358" s="1352" t="str">
        <f>SUBSTITUTE(SUBSTITUTE(SUBSTITUTE("dpc"&amp;$B358&amp;$C358&amp;$D358&amp;$E358&amp;$F358,".","_"),"(","_"),")","")</f>
        <v>dpc703_5_1_2_a</v>
      </c>
      <c r="AO358" s="1352">
        <f ca="1">O358</f>
        <v>0</v>
      </c>
      <c r="AP358" s="78"/>
      <c r="AQ358" s="78"/>
      <c r="AR358" s="78"/>
      <c r="AS358" s="78"/>
    </row>
    <row r="359" spans="2:45" s="843" customFormat="1" ht="15" customHeight="1" x14ac:dyDescent="0.2">
      <c r="B359" s="600" t="s">
        <v>4436</v>
      </c>
      <c r="C359" s="600" t="s">
        <v>255</v>
      </c>
      <c r="D359" s="600" t="s">
        <v>121</v>
      </c>
      <c r="E359" s="600"/>
      <c r="F359" s="23"/>
      <c r="G359" s="23"/>
      <c r="H359" s="691"/>
      <c r="I359" s="589"/>
      <c r="J359" s="589"/>
      <c r="K359" s="589"/>
      <c r="L359" s="1634"/>
      <c r="M359" s="882"/>
      <c r="N359" s="129"/>
      <c r="O359" s="886"/>
      <c r="P359" s="96"/>
      <c r="Q359" s="96"/>
      <c r="R359" s="96"/>
      <c r="S359" s="96"/>
      <c r="T359" s="96"/>
      <c r="AL359" s="78"/>
      <c r="AM359" s="78"/>
      <c r="AN359" s="78"/>
      <c r="AO359" s="78"/>
      <c r="AP359" s="78"/>
      <c r="AQ359" s="78"/>
      <c r="AR359" s="78"/>
      <c r="AS359" s="78"/>
    </row>
    <row r="360" spans="2:45" s="843" customFormat="1" ht="15" customHeight="1" x14ac:dyDescent="0.2">
      <c r="B360" s="600" t="s">
        <v>4436</v>
      </c>
      <c r="C360" s="600" t="s">
        <v>255</v>
      </c>
      <c r="D360" s="600" t="s">
        <v>121</v>
      </c>
      <c r="E360" s="600" t="s">
        <v>3921</v>
      </c>
      <c r="F360" s="23"/>
      <c r="G360" s="23"/>
      <c r="H360" s="691"/>
      <c r="I360" s="589"/>
      <c r="J360" s="589"/>
      <c r="K360" s="136"/>
      <c r="L360" s="863" t="s">
        <v>5095</v>
      </c>
      <c r="M360" s="882">
        <v>1</v>
      </c>
      <c r="N360" s="129"/>
      <c r="O360" s="96"/>
      <c r="P360" s="96"/>
      <c r="Q360" s="96"/>
      <c r="R360" s="96"/>
      <c r="S360" s="96"/>
      <c r="T360" s="96"/>
      <c r="AL360" s="1352" t="str">
        <f t="shared" ref="AL360:AL366" si="23">SUBSTITUTE(SUBSTITUTE(SUBSTITUTE("dpa"&amp;$B360&amp;$C360&amp;$D360&amp;$E360&amp;$F360,".","_"),"(","_"),")","")</f>
        <v>dpa703_5_1_2_a_1</v>
      </c>
      <c r="AM360" s="1352">
        <f t="shared" ref="AM360:AM366" si="24">M360</f>
        <v>1</v>
      </c>
      <c r="AN360" s="78"/>
      <c r="AO360" s="78"/>
      <c r="AP360" s="78"/>
      <c r="AQ360" s="78"/>
      <c r="AR360" s="78"/>
      <c r="AS360" s="78"/>
    </row>
    <row r="361" spans="2:45" s="843" customFormat="1" ht="15" customHeight="1" x14ac:dyDescent="0.2">
      <c r="B361" s="600" t="s">
        <v>4436</v>
      </c>
      <c r="C361" s="600" t="s">
        <v>255</v>
      </c>
      <c r="D361" s="600" t="s">
        <v>121</v>
      </c>
      <c r="E361" s="600" t="s">
        <v>3922</v>
      </c>
      <c r="F361" s="23"/>
      <c r="G361" s="23"/>
      <c r="H361" s="691"/>
      <c r="I361" s="589"/>
      <c r="J361" s="589"/>
      <c r="K361" s="136"/>
      <c r="L361" s="863" t="s">
        <v>5096</v>
      </c>
      <c r="M361" s="882">
        <f>IFERROR(INDEX({4,2,2,2,1,1,1,1},T247),0)</f>
        <v>2</v>
      </c>
      <c r="N361" s="129"/>
      <c r="O361" s="96"/>
      <c r="P361" s="96"/>
      <c r="Q361" s="96"/>
      <c r="R361" s="96"/>
      <c r="S361" s="96"/>
      <c r="T361" s="96"/>
      <c r="AL361" s="1352" t="str">
        <f t="shared" si="23"/>
        <v>dpa703_5_1_2_a_2</v>
      </c>
      <c r="AM361" s="1352">
        <f t="shared" si="24"/>
        <v>2</v>
      </c>
      <c r="AN361" s="78"/>
      <c r="AO361" s="78"/>
      <c r="AP361" s="78"/>
      <c r="AQ361" s="78"/>
      <c r="AR361" s="78"/>
      <c r="AS361" s="78"/>
    </row>
    <row r="362" spans="2:45" s="843" customFormat="1" ht="15" customHeight="1" x14ac:dyDescent="0.2">
      <c r="B362" s="600" t="s">
        <v>4436</v>
      </c>
      <c r="C362" s="600" t="s">
        <v>255</v>
      </c>
      <c r="D362" s="600" t="s">
        <v>121</v>
      </c>
      <c r="E362" s="600" t="s">
        <v>3923</v>
      </c>
      <c r="F362" s="23"/>
      <c r="G362" s="23"/>
      <c r="H362" s="691"/>
      <c r="I362" s="589"/>
      <c r="J362" s="589"/>
      <c r="K362" s="136"/>
      <c r="L362" s="863" t="s">
        <v>5097</v>
      </c>
      <c r="M362" s="882">
        <f>IFERROR(INDEX({7,4,3,2,2,2,1,1},T247),0)</f>
        <v>3</v>
      </c>
      <c r="N362" s="96"/>
      <c r="O362" s="96"/>
      <c r="P362" s="96"/>
      <c r="Q362" s="96"/>
      <c r="R362" s="96"/>
      <c r="S362" s="96"/>
      <c r="T362" s="96"/>
      <c r="AL362" s="1352" t="str">
        <f t="shared" si="23"/>
        <v>dpa703_5_1_2_a_3</v>
      </c>
      <c r="AM362" s="1352">
        <f t="shared" si="24"/>
        <v>3</v>
      </c>
      <c r="AN362" s="78"/>
      <c r="AO362" s="78"/>
      <c r="AP362" s="78"/>
      <c r="AQ362" s="78"/>
      <c r="AR362" s="78"/>
      <c r="AS362" s="78"/>
    </row>
    <row r="363" spans="2:45" s="843" customFormat="1" ht="15" customHeight="1" x14ac:dyDescent="0.2">
      <c r="B363" s="600" t="s">
        <v>4436</v>
      </c>
      <c r="C363" s="600" t="s">
        <v>255</v>
      </c>
      <c r="D363" s="600" t="s">
        <v>121</v>
      </c>
      <c r="E363" s="600" t="s">
        <v>3924</v>
      </c>
      <c r="F363" s="23"/>
      <c r="G363" s="23"/>
      <c r="H363" s="691"/>
      <c r="I363" s="589"/>
      <c r="J363" s="589"/>
      <c r="K363" s="136"/>
      <c r="L363" s="97" t="s">
        <v>5098</v>
      </c>
      <c r="M363" s="882">
        <f>IFERROR(INDEX({14,8,7,5,4,4,2,2},T247),0)</f>
        <v>7</v>
      </c>
      <c r="N363" s="96"/>
      <c r="O363" s="96"/>
      <c r="P363" s="96"/>
      <c r="Q363" s="96"/>
      <c r="R363" s="96"/>
      <c r="S363" s="96"/>
      <c r="T363" s="96"/>
      <c r="AL363" s="1352" t="str">
        <f t="shared" si="23"/>
        <v>dpa703_5_1_2_a_4</v>
      </c>
      <c r="AM363" s="1352">
        <f t="shared" si="24"/>
        <v>7</v>
      </c>
      <c r="AN363" s="78"/>
      <c r="AO363" s="78"/>
      <c r="AP363" s="78"/>
      <c r="AQ363" s="78"/>
      <c r="AR363" s="78"/>
      <c r="AS363" s="78"/>
    </row>
    <row r="364" spans="2:45" s="843" customFormat="1" ht="15" customHeight="1" x14ac:dyDescent="0.2">
      <c r="B364" s="600" t="s">
        <v>4436</v>
      </c>
      <c r="C364" s="600" t="s">
        <v>255</v>
      </c>
      <c r="D364" s="600" t="s">
        <v>121</v>
      </c>
      <c r="E364" s="600" t="s">
        <v>3925</v>
      </c>
      <c r="F364" s="23"/>
      <c r="G364" s="23"/>
      <c r="H364" s="691"/>
      <c r="I364" s="589"/>
      <c r="J364" s="589"/>
      <c r="K364" s="136"/>
      <c r="L364" s="97" t="s">
        <v>5099</v>
      </c>
      <c r="M364" s="882">
        <f>IFERROR(INDEX({17,9,8,6,5,4,3,3},T247),0)</f>
        <v>8</v>
      </c>
      <c r="N364" s="96"/>
      <c r="O364" s="96"/>
      <c r="P364" s="96"/>
      <c r="Q364" s="96"/>
      <c r="R364" s="96"/>
      <c r="S364" s="96"/>
      <c r="T364" s="96"/>
      <c r="AL364" s="1352" t="str">
        <f t="shared" si="23"/>
        <v>dpa703_5_1_2_a_5</v>
      </c>
      <c r="AM364" s="1352">
        <f t="shared" si="24"/>
        <v>8</v>
      </c>
      <c r="AN364" s="78"/>
      <c r="AO364" s="78"/>
      <c r="AP364" s="78"/>
      <c r="AQ364" s="78"/>
      <c r="AR364" s="78"/>
      <c r="AS364" s="78"/>
    </row>
    <row r="365" spans="2:45" s="843" customFormat="1" ht="15" customHeight="1" x14ac:dyDescent="0.2">
      <c r="B365" s="600" t="s">
        <v>4436</v>
      </c>
      <c r="C365" s="600" t="s">
        <v>255</v>
      </c>
      <c r="D365" s="600" t="s">
        <v>121</v>
      </c>
      <c r="E365" s="600" t="s">
        <v>3926</v>
      </c>
      <c r="F365" s="23"/>
      <c r="G365" s="23"/>
      <c r="H365" s="691"/>
      <c r="I365" s="589"/>
      <c r="J365" s="589"/>
      <c r="K365" s="102"/>
      <c r="L365" s="917" t="s">
        <v>5100</v>
      </c>
      <c r="M365" s="913">
        <f>IFERROR(INDEX({18,12,10,8,6,6,3,3},T247),0)</f>
        <v>10</v>
      </c>
      <c r="N365" s="991"/>
      <c r="O365" s="991"/>
      <c r="P365" s="96"/>
      <c r="Q365" s="96"/>
      <c r="R365" s="96"/>
      <c r="S365" s="96"/>
      <c r="T365" s="96"/>
      <c r="AL365" s="1352" t="str">
        <f t="shared" si="23"/>
        <v>dpa703_5_1_2_a_6</v>
      </c>
      <c r="AM365" s="1352">
        <f t="shared" si="24"/>
        <v>10</v>
      </c>
      <c r="AN365" s="78"/>
      <c r="AO365" s="78"/>
      <c r="AP365" s="78"/>
      <c r="AQ365" s="78"/>
      <c r="AR365" s="78"/>
      <c r="AS365" s="78"/>
    </row>
    <row r="366" spans="2:45" s="843" customFormat="1" ht="15" customHeight="1" x14ac:dyDescent="0.2">
      <c r="B366" s="600" t="s">
        <v>4436</v>
      </c>
      <c r="C366" s="600" t="s">
        <v>255</v>
      </c>
      <c r="D366" s="600" t="s">
        <v>121</v>
      </c>
      <c r="E366" s="600" t="s">
        <v>3927</v>
      </c>
      <c r="F366" s="23"/>
      <c r="G366" s="23"/>
      <c r="H366" s="691"/>
      <c r="I366" s="589"/>
      <c r="J366" s="589"/>
      <c r="K366" s="591"/>
      <c r="L366" s="170" t="s">
        <v>5101</v>
      </c>
      <c r="M366" s="937">
        <f>IFERROR(INDEX({22,16,13,11,8,8,4,3},T247),0)</f>
        <v>13</v>
      </c>
      <c r="N366" s="173"/>
      <c r="O366" s="173"/>
      <c r="P366" s="96"/>
      <c r="Q366" s="96"/>
      <c r="R366" s="96"/>
      <c r="S366" s="96"/>
      <c r="T366" s="96"/>
      <c r="AL366" s="1352" t="str">
        <f t="shared" si="23"/>
        <v>dpa703_5_1_2_a_7</v>
      </c>
      <c r="AM366" s="1352">
        <f t="shared" si="24"/>
        <v>13</v>
      </c>
      <c r="AN366" s="78"/>
      <c r="AO366" s="78"/>
      <c r="AP366" s="78"/>
      <c r="AQ366" s="78"/>
      <c r="AR366" s="78"/>
      <c r="AS366" s="78"/>
    </row>
    <row r="367" spans="2:45" s="843" customFormat="1" ht="15" customHeight="1" x14ac:dyDescent="0.2">
      <c r="B367" s="600" t="s">
        <v>4436</v>
      </c>
      <c r="C367" s="600" t="s">
        <v>255</v>
      </c>
      <c r="D367" s="600" t="s">
        <v>122</v>
      </c>
      <c r="E367" s="600"/>
      <c r="F367" s="23"/>
      <c r="G367" s="23"/>
      <c r="H367" s="691"/>
      <c r="I367" s="589"/>
      <c r="J367" s="589"/>
      <c r="K367" s="589" t="s">
        <v>122</v>
      </c>
      <c r="L367" s="1634" t="s">
        <v>4176</v>
      </c>
      <c r="M367" s="96"/>
      <c r="N367" s="96"/>
      <c r="O367" s="900">
        <f ca="1">IFERROR(INDEX(M369:M372,MATCH(W334,{2.2,2.5,3,3.5},1)),0)*S367*S332</f>
        <v>0</v>
      </c>
      <c r="P367" s="96"/>
      <c r="Q367" s="96"/>
      <c r="R367" s="96"/>
      <c r="S367" s="198" t="b">
        <f ca="1">W332=INDEX(INDIRECT(U332),7)</f>
        <v>0</v>
      </c>
      <c r="T367" s="96"/>
      <c r="AL367" s="78"/>
      <c r="AM367" s="78"/>
      <c r="AN367" s="1352" t="str">
        <f>SUBSTITUTE(SUBSTITUTE(SUBSTITUTE("dpc"&amp;$B367&amp;$C367&amp;$D367&amp;$E367&amp;$F367,".","_"),"(","_"),")","")</f>
        <v>dpc703_5_1_2_b</v>
      </c>
      <c r="AO367" s="1352">
        <f ca="1">O367</f>
        <v>0</v>
      </c>
      <c r="AP367" s="78"/>
      <c r="AQ367" s="78"/>
      <c r="AR367" s="78"/>
      <c r="AS367" s="78"/>
    </row>
    <row r="368" spans="2:45" s="843" customFormat="1" ht="15" customHeight="1" x14ac:dyDescent="0.2">
      <c r="B368" s="600" t="s">
        <v>4436</v>
      </c>
      <c r="C368" s="600" t="s">
        <v>255</v>
      </c>
      <c r="D368" s="600" t="s">
        <v>122</v>
      </c>
      <c r="E368" s="600"/>
      <c r="F368" s="23"/>
      <c r="G368" s="23"/>
      <c r="H368" s="691"/>
      <c r="I368" s="589"/>
      <c r="J368" s="589"/>
      <c r="K368" s="589"/>
      <c r="L368" s="1634"/>
      <c r="M368" s="96"/>
      <c r="N368" s="96"/>
      <c r="O368" s="96"/>
      <c r="P368" s="96"/>
      <c r="Q368" s="96"/>
      <c r="R368" s="96"/>
      <c r="S368" s="96"/>
      <c r="T368" s="96"/>
      <c r="AL368" s="78"/>
      <c r="AM368" s="78"/>
      <c r="AN368" s="78"/>
      <c r="AO368" s="78"/>
      <c r="AP368" s="78"/>
      <c r="AQ368" s="78"/>
      <c r="AR368" s="78"/>
      <c r="AS368" s="78"/>
    </row>
    <row r="369" spans="2:51" s="843" customFormat="1" ht="15" customHeight="1" x14ac:dyDescent="0.2">
      <c r="B369" s="600" t="s">
        <v>4436</v>
      </c>
      <c r="C369" s="600" t="s">
        <v>255</v>
      </c>
      <c r="D369" s="600" t="s">
        <v>122</v>
      </c>
      <c r="E369" s="600" t="s">
        <v>3921</v>
      </c>
      <c r="F369" s="23"/>
      <c r="G369" s="23"/>
      <c r="H369" s="691"/>
      <c r="I369" s="589"/>
      <c r="J369" s="589"/>
      <c r="K369" s="136"/>
      <c r="L369" s="97" t="s">
        <v>5099</v>
      </c>
      <c r="M369" s="989">
        <f>IFERROR(INDEX({6,4,3,3,2,2,1,1},T247),0)</f>
        <v>3</v>
      </c>
      <c r="N369" s="96"/>
      <c r="O369" s="96"/>
      <c r="P369" s="96"/>
      <c r="Q369" s="96"/>
      <c r="R369" s="96"/>
      <c r="S369" s="96"/>
      <c r="T369" s="96"/>
      <c r="AL369" s="1352" t="str">
        <f>SUBSTITUTE(SUBSTITUTE(SUBSTITUTE("dpa"&amp;$B369&amp;$C369&amp;$D369&amp;$E369&amp;$F369,".","_"),"(","_"),")","")</f>
        <v>dpa703_5_1_2_b_1</v>
      </c>
      <c r="AM369" s="1352">
        <f>M369</f>
        <v>3</v>
      </c>
      <c r="AN369" s="78"/>
      <c r="AO369" s="78"/>
      <c r="AP369" s="78"/>
      <c r="AQ369" s="78"/>
      <c r="AR369" s="78"/>
      <c r="AS369" s="78"/>
    </row>
    <row r="370" spans="2:51" s="843" customFormat="1" ht="15" customHeight="1" x14ac:dyDescent="0.2">
      <c r="B370" s="600" t="s">
        <v>4436</v>
      </c>
      <c r="C370" s="600" t="s">
        <v>255</v>
      </c>
      <c r="D370" s="600" t="s">
        <v>122</v>
      </c>
      <c r="E370" s="600" t="s">
        <v>3922</v>
      </c>
      <c r="F370" s="23"/>
      <c r="G370" s="23"/>
      <c r="H370" s="691"/>
      <c r="I370" s="589"/>
      <c r="J370" s="589"/>
      <c r="K370" s="589"/>
      <c r="L370" s="97" t="s">
        <v>5100</v>
      </c>
      <c r="M370" s="989">
        <f>IFERROR(INDEX({7,5,4,3,3,3,2,2},T247),0)</f>
        <v>4</v>
      </c>
      <c r="N370" s="96"/>
      <c r="O370" s="96"/>
      <c r="P370" s="96"/>
      <c r="Q370" s="96"/>
      <c r="R370" s="96"/>
      <c r="S370" s="96"/>
      <c r="T370" s="96"/>
      <c r="AL370" s="1352" t="str">
        <f>SUBSTITUTE(SUBSTITUTE(SUBSTITUTE("dpa"&amp;$B370&amp;$C370&amp;$D370&amp;$E370&amp;$F370,".","_"),"(","_"),")","")</f>
        <v>dpa703_5_1_2_b_2</v>
      </c>
      <c r="AM370" s="1352">
        <f>M370</f>
        <v>4</v>
      </c>
      <c r="AN370" s="78"/>
      <c r="AO370" s="78"/>
      <c r="AP370" s="78"/>
      <c r="AQ370" s="78"/>
      <c r="AR370" s="78"/>
      <c r="AS370" s="78"/>
    </row>
    <row r="371" spans="2:51" s="843" customFormat="1" ht="15" customHeight="1" x14ac:dyDescent="0.2">
      <c r="B371" s="600" t="s">
        <v>4436</v>
      </c>
      <c r="C371" s="600" t="s">
        <v>255</v>
      </c>
      <c r="D371" s="600" t="s">
        <v>122</v>
      </c>
      <c r="E371" s="600" t="s">
        <v>3923</v>
      </c>
      <c r="F371" s="23"/>
      <c r="G371" s="23"/>
      <c r="H371" s="691"/>
      <c r="I371" s="589"/>
      <c r="J371" s="589"/>
      <c r="K371" s="136"/>
      <c r="L371" s="863" t="s">
        <v>5102</v>
      </c>
      <c r="M371" s="989">
        <f>IFERROR(INDEX({8,5,5,4,3,3,3,2},T247),0)</f>
        <v>5</v>
      </c>
      <c r="N371" s="96"/>
      <c r="O371" s="96"/>
      <c r="P371" s="96"/>
      <c r="Q371" s="96"/>
      <c r="R371" s="96"/>
      <c r="S371" s="96"/>
      <c r="T371" s="96"/>
      <c r="AL371" s="1352" t="str">
        <f>SUBSTITUTE(SUBSTITUTE(SUBSTITUTE("dpa"&amp;$B371&amp;$C371&amp;$D371&amp;$E371&amp;$F371,".","_"),"(","_"),")","")</f>
        <v>dpa703_5_1_2_b_3</v>
      </c>
      <c r="AM371" s="1352">
        <f>M371</f>
        <v>5</v>
      </c>
      <c r="AN371" s="78"/>
      <c r="AO371" s="78"/>
      <c r="AP371" s="78"/>
      <c r="AQ371" s="78"/>
      <c r="AR371" s="78"/>
      <c r="AS371" s="78"/>
    </row>
    <row r="372" spans="2:51" s="843" customFormat="1" ht="15" customHeight="1" x14ac:dyDescent="0.2">
      <c r="B372" s="600" t="s">
        <v>4436</v>
      </c>
      <c r="C372" s="600" t="s">
        <v>255</v>
      </c>
      <c r="D372" s="600" t="s">
        <v>122</v>
      </c>
      <c r="E372" s="600" t="s">
        <v>3924</v>
      </c>
      <c r="F372" s="23"/>
      <c r="G372" s="23"/>
      <c r="H372" s="691"/>
      <c r="I372" s="589"/>
      <c r="J372" s="589"/>
      <c r="K372" s="591"/>
      <c r="L372" s="170" t="s">
        <v>5103</v>
      </c>
      <c r="M372" s="1097">
        <f>IFERROR(INDEX({9,6,6,5,4,4,3,2},T247),0)</f>
        <v>6</v>
      </c>
      <c r="N372" s="173"/>
      <c r="O372" s="173"/>
      <c r="P372" s="96"/>
      <c r="Q372" s="96"/>
      <c r="R372" s="96"/>
      <c r="S372" s="96"/>
      <c r="T372" s="96"/>
      <c r="AL372" s="1352" t="str">
        <f>SUBSTITUTE(SUBSTITUTE(SUBSTITUTE("dpa"&amp;$B372&amp;$C372&amp;$D372&amp;$E372&amp;$F372,".","_"),"(","_"),")","")</f>
        <v>dpa703_5_1_2_b_4</v>
      </c>
      <c r="AM372" s="1352">
        <f>M372</f>
        <v>6</v>
      </c>
      <c r="AN372" s="78"/>
      <c r="AO372" s="78"/>
      <c r="AP372" s="78"/>
      <c r="AQ372" s="78"/>
      <c r="AR372" s="78"/>
      <c r="AS372" s="78"/>
    </row>
    <row r="373" spans="2:51" s="843" customFormat="1" ht="15" customHeight="1" x14ac:dyDescent="0.2">
      <c r="B373" s="600" t="s">
        <v>4436</v>
      </c>
      <c r="C373" s="600" t="s">
        <v>255</v>
      </c>
      <c r="D373" s="600" t="s">
        <v>123</v>
      </c>
      <c r="E373" s="600"/>
      <c r="F373" s="23"/>
      <c r="G373" s="23"/>
      <c r="H373" s="691"/>
      <c r="I373" s="589"/>
      <c r="J373" s="589"/>
      <c r="K373" s="608" t="s">
        <v>123</v>
      </c>
      <c r="L373" s="1633" t="s">
        <v>4177</v>
      </c>
      <c r="M373" s="1757">
        <v>1</v>
      </c>
      <c r="N373" s="195"/>
      <c r="O373" s="1758">
        <f ca="1">IF(W334&gt;=0.91,M373,0)*S373*S332</f>
        <v>0</v>
      </c>
      <c r="P373" s="96"/>
      <c r="Q373" s="96"/>
      <c r="R373" s="96"/>
      <c r="S373" s="198" t="b">
        <f ca="1">W332=INDEX(INDIRECT(U332),8)</f>
        <v>0</v>
      </c>
      <c r="T373" s="96"/>
      <c r="AL373" s="1352" t="str">
        <f>SUBSTITUTE(SUBSTITUTE(SUBSTITUTE("dpa"&amp;$B373&amp;$C373&amp;$D373&amp;$E373&amp;$F373,".","_"),"(","_"),")","")</f>
        <v>dpa703_5_1_2_c</v>
      </c>
      <c r="AM373" s="1352">
        <f>M373</f>
        <v>1</v>
      </c>
      <c r="AN373" s="1352" t="str">
        <f>SUBSTITUTE(SUBSTITUTE(SUBSTITUTE("dpc"&amp;$B373&amp;$C373&amp;$D373&amp;$E373&amp;$F373,".","_"),"(","_"),")","")</f>
        <v>dpc703_5_1_2_c</v>
      </c>
      <c r="AO373" s="1352">
        <f ca="1">O373</f>
        <v>0</v>
      </c>
      <c r="AP373" s="78"/>
      <c r="AQ373" s="78"/>
      <c r="AR373" s="78"/>
      <c r="AS373" s="78"/>
    </row>
    <row r="374" spans="2:51" s="843" customFormat="1" ht="15" customHeight="1" x14ac:dyDescent="0.2">
      <c r="B374" s="600" t="s">
        <v>4436</v>
      </c>
      <c r="C374" s="600" t="s">
        <v>255</v>
      </c>
      <c r="D374" s="600" t="s">
        <v>123</v>
      </c>
      <c r="E374" s="600"/>
      <c r="F374" s="23"/>
      <c r="G374" s="23"/>
      <c r="H374" s="691"/>
      <c r="I374" s="589"/>
      <c r="J374" s="589"/>
      <c r="K374" s="606"/>
      <c r="L374" s="1639"/>
      <c r="M374" s="1754"/>
      <c r="N374" s="173"/>
      <c r="O374" s="1756"/>
      <c r="P374" s="96"/>
      <c r="Q374" s="96"/>
      <c r="R374" s="96"/>
      <c r="S374" s="96"/>
      <c r="T374" s="96"/>
      <c r="AL374" s="78"/>
      <c r="AM374" s="78"/>
      <c r="AN374" s="78"/>
      <c r="AO374" s="78"/>
      <c r="AP374" s="78"/>
      <c r="AQ374" s="78"/>
      <c r="AR374" s="78"/>
      <c r="AS374" s="78"/>
    </row>
    <row r="375" spans="2:51" s="843" customFormat="1" ht="15" customHeight="1" x14ac:dyDescent="0.2">
      <c r="B375" s="600" t="s">
        <v>4436</v>
      </c>
      <c r="C375" s="600" t="s">
        <v>255</v>
      </c>
      <c r="D375" s="600" t="s">
        <v>366</v>
      </c>
      <c r="E375" s="600"/>
      <c r="F375" s="23"/>
      <c r="G375" s="23"/>
      <c r="H375" s="691"/>
      <c r="I375" s="589"/>
      <c r="J375" s="589"/>
      <c r="K375" s="608" t="s">
        <v>366</v>
      </c>
      <c r="L375" s="1633" t="s">
        <v>4178</v>
      </c>
      <c r="M375" s="1757">
        <v>2</v>
      </c>
      <c r="N375" s="195"/>
      <c r="O375" s="1758">
        <f ca="1">IF(W334&gt;=0.97,M375,0)*S375*S332</f>
        <v>0</v>
      </c>
      <c r="P375" s="96"/>
      <c r="Q375" s="96"/>
      <c r="R375" s="96"/>
      <c r="S375" s="198" t="b">
        <f ca="1">W332=INDEX(INDIRECT(U332),9)</f>
        <v>0</v>
      </c>
      <c r="T375" s="96"/>
      <c r="AL375" s="1352" t="str">
        <f>SUBSTITUTE(SUBSTITUTE(SUBSTITUTE("dpa"&amp;$B375&amp;$C375&amp;$D375&amp;$E375&amp;$F375,".","_"),"(","_"),")","")</f>
        <v>dpa703_5_1_2_d</v>
      </c>
      <c r="AM375" s="1352">
        <f>M375</f>
        <v>2</v>
      </c>
      <c r="AN375" s="1352" t="str">
        <f>SUBSTITUTE(SUBSTITUTE(SUBSTITUTE("dpc"&amp;$B375&amp;$C375&amp;$D375&amp;$E375&amp;$F375,".","_"),"(","_"),")","")</f>
        <v>dpc703_5_1_2_d</v>
      </c>
      <c r="AO375" s="1352">
        <f ca="1">O375</f>
        <v>0</v>
      </c>
      <c r="AP375" s="78"/>
      <c r="AQ375" s="78"/>
      <c r="AR375" s="78"/>
      <c r="AS375" s="78"/>
    </row>
    <row r="376" spans="2:51" s="843" customFormat="1" ht="15" customHeight="1" x14ac:dyDescent="0.2">
      <c r="B376" s="600" t="s">
        <v>4436</v>
      </c>
      <c r="C376" s="600" t="s">
        <v>255</v>
      </c>
      <c r="D376" s="600" t="s">
        <v>366</v>
      </c>
      <c r="E376" s="600"/>
      <c r="F376" s="23"/>
      <c r="G376" s="23"/>
      <c r="H376" s="691"/>
      <c r="I376" s="589"/>
      <c r="J376" s="589"/>
      <c r="K376" s="606"/>
      <c r="L376" s="1639"/>
      <c r="M376" s="1754"/>
      <c r="N376" s="173"/>
      <c r="O376" s="1756"/>
      <c r="P376" s="96"/>
      <c r="Q376" s="96"/>
      <c r="R376" s="96"/>
      <c r="S376" s="96"/>
      <c r="T376" s="96"/>
      <c r="AL376" s="78"/>
      <c r="AM376" s="78"/>
      <c r="AN376" s="78"/>
      <c r="AO376" s="78"/>
      <c r="AP376" s="78"/>
      <c r="AQ376" s="78"/>
      <c r="AR376" s="78"/>
      <c r="AS376" s="78"/>
    </row>
    <row r="377" spans="2:51" s="843" customFormat="1" ht="15" customHeight="1" x14ac:dyDescent="0.2">
      <c r="B377" s="600" t="s">
        <v>4436</v>
      </c>
      <c r="C377" s="600" t="s">
        <v>255</v>
      </c>
      <c r="D377" s="600" t="s">
        <v>472</v>
      </c>
      <c r="E377" s="600"/>
      <c r="F377" s="23"/>
      <c r="G377" s="23"/>
      <c r="H377" s="691"/>
      <c r="I377" s="589"/>
      <c r="J377" s="590"/>
      <c r="K377" s="590" t="s">
        <v>472</v>
      </c>
      <c r="L377" s="1634" t="s">
        <v>4179</v>
      </c>
      <c r="M377" s="1752">
        <v>1</v>
      </c>
      <c r="N377" s="991"/>
      <c r="O377" s="1755">
        <f ca="1">IF(W334&gt;=0.95,M377,0)*S377*S332</f>
        <v>0</v>
      </c>
      <c r="P377" s="96"/>
      <c r="Q377" s="96"/>
      <c r="R377" s="96"/>
      <c r="S377" s="198" t="b">
        <f ca="1">W332=INDEX(INDIRECT(U332),10)</f>
        <v>0</v>
      </c>
      <c r="T377" s="96"/>
      <c r="AL377" s="1352" t="str">
        <f>SUBSTITUTE(SUBSTITUTE(SUBSTITUTE("dpa"&amp;$B377&amp;$C377&amp;$D377&amp;$E377&amp;$F377,".","_"),"(","_"),")","")</f>
        <v>dpa703_5_1_2_e</v>
      </c>
      <c r="AM377" s="1352">
        <f>M377</f>
        <v>1</v>
      </c>
      <c r="AN377" s="1352" t="str">
        <f>SUBSTITUTE(SUBSTITUTE(SUBSTITUTE("dpc"&amp;$B377&amp;$C377&amp;$D377&amp;$E377&amp;$F377,".","_"),"(","_"),")","")</f>
        <v>dpc703_5_1_2_e</v>
      </c>
      <c r="AO377" s="1352">
        <f ca="1">O377</f>
        <v>0</v>
      </c>
      <c r="AP377" s="78"/>
      <c r="AQ377" s="78"/>
      <c r="AR377" s="78"/>
      <c r="AS377" s="78"/>
    </row>
    <row r="378" spans="2:51" s="843" customFormat="1" ht="15" customHeight="1" x14ac:dyDescent="0.2">
      <c r="B378" s="600" t="s">
        <v>4436</v>
      </c>
      <c r="C378" s="600" t="s">
        <v>255</v>
      </c>
      <c r="D378" s="600" t="s">
        <v>472</v>
      </c>
      <c r="E378" s="600"/>
      <c r="F378" s="23"/>
      <c r="G378" s="23"/>
      <c r="H378" s="691"/>
      <c r="I378" s="589"/>
      <c r="J378" s="606"/>
      <c r="K378" s="606"/>
      <c r="L378" s="1639"/>
      <c r="M378" s="1754"/>
      <c r="N378" s="173"/>
      <c r="O378" s="1756"/>
      <c r="P378" s="96"/>
      <c r="Q378" s="96"/>
      <c r="R378" s="96"/>
      <c r="S378" s="96"/>
      <c r="T378" s="96"/>
      <c r="AL378" s="78"/>
      <c r="AM378" s="78"/>
      <c r="AN378" s="78"/>
      <c r="AO378" s="78"/>
      <c r="AP378" s="78"/>
      <c r="AQ378" s="78"/>
      <c r="AR378" s="78"/>
      <c r="AS378" s="78"/>
    </row>
    <row r="379" spans="2:51" s="843" customFormat="1" ht="15" customHeight="1" x14ac:dyDescent="0.2">
      <c r="B379" s="600" t="s">
        <v>4436</v>
      </c>
      <c r="C379" s="600" t="s">
        <v>256</v>
      </c>
      <c r="D379" s="600"/>
      <c r="E379" s="600"/>
      <c r="F379" s="23"/>
      <c r="G379" s="23"/>
      <c r="H379" s="691"/>
      <c r="I379" s="606"/>
      <c r="J379" s="606" t="s">
        <v>256</v>
      </c>
      <c r="K379" s="606"/>
      <c r="L379" s="923" t="s">
        <v>4180</v>
      </c>
      <c r="M379" s="937">
        <v>1</v>
      </c>
      <c r="N379" s="213"/>
      <c r="O379" s="909">
        <f ca="1">IF(W334&gt;=0.62,M379,0)*S379*S332</f>
        <v>0</v>
      </c>
      <c r="P379" s="96"/>
      <c r="Q379" s="96"/>
      <c r="R379" s="96"/>
      <c r="S379" s="198" t="b">
        <f ca="1">W332=INDEX(INDIRECT(U332),11)</f>
        <v>0</v>
      </c>
      <c r="T379" s="96"/>
      <c r="AL379" s="1352" t="str">
        <f>SUBSTITUTE(SUBSTITUTE(SUBSTITUTE("dpa"&amp;$B379&amp;$C379&amp;$D379&amp;$E379&amp;$F379,".","_"),"(","_"),")","")</f>
        <v>dpa703_5_1_3</v>
      </c>
      <c r="AM379" s="1352">
        <f>M379</f>
        <v>1</v>
      </c>
      <c r="AN379" s="1352" t="str">
        <f>SUBSTITUTE(SUBSTITUTE(SUBSTITUTE("dpc"&amp;$B379&amp;$C379&amp;$D379&amp;$E379&amp;$F379,".","_"),"(","_"),")","")</f>
        <v>dpc703_5_1_3</v>
      </c>
      <c r="AO379" s="1352">
        <f ca="1">O379</f>
        <v>0</v>
      </c>
      <c r="AP379" s="78"/>
      <c r="AQ379" s="78"/>
      <c r="AR379" s="78"/>
      <c r="AS379" s="78"/>
    </row>
    <row r="380" spans="2:51" s="843" customFormat="1" ht="15" customHeight="1" x14ac:dyDescent="0.2">
      <c r="B380" s="600" t="s">
        <v>4437</v>
      </c>
      <c r="C380" s="600"/>
      <c r="D380" s="600"/>
      <c r="E380" s="600"/>
      <c r="F380" s="23"/>
      <c r="G380" s="23"/>
      <c r="H380" s="691"/>
      <c r="I380" s="608" t="s">
        <v>4181</v>
      </c>
      <c r="J380" s="608"/>
      <c r="K380" s="608"/>
      <c r="L380" s="1686" t="s">
        <v>4182</v>
      </c>
      <c r="M380" s="1748">
        <f>IFERROR(INDEX({23,17,9,7,5,4,2,2},BF73),0)</f>
        <v>23</v>
      </c>
      <c r="N380" s="193"/>
      <c r="O380" s="1637">
        <f ca="1">M380*S380*W380</f>
        <v>0</v>
      </c>
      <c r="P380" s="96" t="b">
        <v>1</v>
      </c>
      <c r="Q380" s="96" t="b">
        <v>1</v>
      </c>
      <c r="R380" s="96" t="b">
        <v>0</v>
      </c>
      <c r="S380" s="96" t="b">
        <f ca="1">S11=2</f>
        <v>0</v>
      </c>
      <c r="T380" s="96" t="b">
        <f ca="1">AND(NOT(S380),W380=TRUE)</f>
        <v>0</v>
      </c>
      <c r="W380" s="27"/>
      <c r="X380" s="1600"/>
      <c r="AC380" s="881" t="b">
        <f ca="1">OR(AD380:AE380)</f>
        <v>0</v>
      </c>
      <c r="AD380" s="881" t="b">
        <f ca="1">T380</f>
        <v>0</v>
      </c>
      <c r="AE380" s="881" t="b">
        <f>AND(R380,NOT(W380))</f>
        <v>0</v>
      </c>
      <c r="AL380" s="1352" t="str">
        <f>SUBSTITUTE(SUBSTITUTE(SUBSTITUTE("dpa"&amp;$B380&amp;$C380&amp;$D380&amp;$E380&amp;$F380,".","_"),"(","_"),")","")</f>
        <v>dpa703_5_2</v>
      </c>
      <c r="AM380" s="1352">
        <f>M380</f>
        <v>23</v>
      </c>
      <c r="AN380" s="1352" t="str">
        <f>SUBSTITUTE(SUBSTITUTE(SUBSTITUTE("dpc"&amp;$B380&amp;$C380&amp;$D380&amp;$E380&amp;$F380,".","_"),"(","_"),")","")</f>
        <v>dpc703_5_2</v>
      </c>
      <c r="AO380" s="1352">
        <f ca="1">O380</f>
        <v>0</v>
      </c>
      <c r="AP380" s="1352" t="str">
        <f>SUBSTITUTE(SUBSTITUTE(SUBSTITUTE("dch"&amp;$B380&amp;$C380&amp;$D380&amp;$E380&amp;$F380,".","_"),"(","_"),")","")</f>
        <v>dch703_5_2</v>
      </c>
      <c r="AQ380" s="1352" t="str">
        <f>IF(LEN(W380)=0,"",W380)</f>
        <v/>
      </c>
      <c r="AR380" s="1352" t="str">
        <f>SUBSTITUTE(SUBSTITUTE(SUBSTITUTE("dnt"&amp;$B380&amp;$C380&amp;$D380&amp;$E380&amp;$F380,".","_"),"(","_"),")","")</f>
        <v>dnt703_5_2</v>
      </c>
      <c r="AS380" s="1352" t="str">
        <f>IF(LEN(X380)=0,"",X380)</f>
        <v/>
      </c>
    </row>
    <row r="381" spans="2:51" s="843" customFormat="1" ht="15" customHeight="1" x14ac:dyDescent="0.2">
      <c r="B381" s="600" t="s">
        <v>4437</v>
      </c>
      <c r="C381" s="600"/>
      <c r="D381" s="600"/>
      <c r="E381" s="600"/>
      <c r="F381" s="23"/>
      <c r="G381" s="23"/>
      <c r="H381" s="691"/>
      <c r="I381" s="606"/>
      <c r="J381" s="606"/>
      <c r="K381" s="606"/>
      <c r="L381" s="1688"/>
      <c r="M381" s="1749"/>
      <c r="N381" s="213"/>
      <c r="O381" s="1620"/>
      <c r="P381" s="96"/>
      <c r="Q381" s="96"/>
      <c r="R381" s="96"/>
      <c r="S381" s="96"/>
      <c r="T381" s="96"/>
      <c r="X381" s="1600"/>
      <c r="AL381" s="78"/>
      <c r="AM381" s="78"/>
      <c r="AN381" s="78"/>
      <c r="AO381" s="78"/>
      <c r="AP381" s="78"/>
      <c r="AQ381" s="78"/>
      <c r="AR381" s="78"/>
      <c r="AS381" s="78"/>
    </row>
    <row r="382" spans="2:51" s="843" customFormat="1" ht="15" customHeight="1" x14ac:dyDescent="0.2">
      <c r="B382" s="600" t="s">
        <v>4438</v>
      </c>
      <c r="C382" s="600"/>
      <c r="D382" s="600"/>
      <c r="E382" s="600"/>
      <c r="F382" s="23"/>
      <c r="G382" s="23"/>
      <c r="H382" s="691"/>
      <c r="I382" s="608" t="s">
        <v>4183</v>
      </c>
      <c r="J382" s="608"/>
      <c r="K382" s="608"/>
      <c r="L382" s="874" t="s">
        <v>4184</v>
      </c>
      <c r="M382" s="1748">
        <v>2</v>
      </c>
      <c r="N382" s="193"/>
      <c r="O382" s="1637">
        <f ca="1">M382*S382*W382</f>
        <v>0</v>
      </c>
      <c r="P382" s="96" t="b">
        <v>1</v>
      </c>
      <c r="Q382" s="96" t="b">
        <v>1</v>
      </c>
      <c r="R382" s="96" t="b">
        <v>0</v>
      </c>
      <c r="S382" s="96" t="b">
        <f ca="1">S11=2</f>
        <v>0</v>
      </c>
      <c r="T382" s="96" t="b">
        <f ca="1">AND(NOT(S382),W382=TRUE)</f>
        <v>0</v>
      </c>
      <c r="W382" s="27"/>
      <c r="X382" s="1600"/>
      <c r="AC382" s="881" t="b">
        <f ca="1">OR(AD382:AE382)</f>
        <v>0</v>
      </c>
      <c r="AD382" s="881" t="b">
        <f ca="1">T382</f>
        <v>0</v>
      </c>
      <c r="AE382" s="881" t="b">
        <f>AND(R382,NOT(W382))</f>
        <v>0</v>
      </c>
      <c r="AL382" s="1352" t="str">
        <f>SUBSTITUTE(SUBSTITUTE(SUBSTITUTE("dpa"&amp;$B382&amp;$C382&amp;$D382&amp;$E382&amp;$F382,".","_"),"(","_"),")","")</f>
        <v>dpa703_5_3</v>
      </c>
      <c r="AM382" s="1352">
        <f>M382</f>
        <v>2</v>
      </c>
      <c r="AN382" s="1352" t="str">
        <f>SUBSTITUTE(SUBSTITUTE(SUBSTITUTE("dpc"&amp;$B382&amp;$C382&amp;$D382&amp;$E382&amp;$F382,".","_"),"(","_"),")","")</f>
        <v>dpc703_5_3</v>
      </c>
      <c r="AO382" s="1352">
        <f ca="1">O382</f>
        <v>0</v>
      </c>
      <c r="AP382" s="1352" t="str">
        <f>SUBSTITUTE(SUBSTITUTE(SUBSTITUTE("dch"&amp;$B382&amp;$C382&amp;$D382&amp;$E382&amp;$F382,".","_"),"(","_"),")","")</f>
        <v>dch703_5_3</v>
      </c>
      <c r="AQ382" s="1352" t="str">
        <f>IF(LEN(W382)=0,"",W382)</f>
        <v/>
      </c>
      <c r="AR382" s="1352" t="str">
        <f>SUBSTITUTE(SUBSTITUTE(SUBSTITUTE("dnt"&amp;$B382&amp;$C382&amp;$D382&amp;$E382&amp;$F382,".","_"),"(","_"),")","")</f>
        <v>dnt703_5_3</v>
      </c>
      <c r="AS382" s="1352" t="str">
        <f>IF(LEN(X382)=0,"",X382)</f>
        <v/>
      </c>
    </row>
    <row r="383" spans="2:51" s="881" customFormat="1" ht="15" customHeight="1" x14ac:dyDescent="0.2">
      <c r="B383" s="600" t="s">
        <v>4438</v>
      </c>
      <c r="C383" s="600"/>
      <c r="D383" s="600"/>
      <c r="E383" s="600"/>
      <c r="F383" s="23"/>
      <c r="G383" s="23"/>
      <c r="H383" s="691"/>
      <c r="I383" s="606"/>
      <c r="J383" s="606"/>
      <c r="K383" s="606"/>
      <c r="L383" s="1098"/>
      <c r="M383" s="1749"/>
      <c r="N383" s="213"/>
      <c r="O383" s="1620"/>
      <c r="P383" s="96"/>
      <c r="Q383" s="96"/>
      <c r="R383" s="96"/>
      <c r="S383" s="96"/>
      <c r="T383" s="96"/>
      <c r="X383" s="1600"/>
      <c r="AL383" s="78"/>
      <c r="AM383" s="78"/>
      <c r="AN383" s="78"/>
      <c r="AO383" s="78"/>
      <c r="AP383" s="78"/>
      <c r="AQ383" s="78"/>
      <c r="AR383" s="78"/>
      <c r="AS383" s="78"/>
      <c r="AX383" s="843"/>
      <c r="AY383" s="843"/>
    </row>
    <row r="384" spans="2:51" s="843" customFormat="1" ht="15" customHeight="1" x14ac:dyDescent="0.2">
      <c r="B384" s="600" t="s">
        <v>4439</v>
      </c>
      <c r="C384" s="600"/>
      <c r="D384" s="600"/>
      <c r="E384" s="600"/>
      <c r="F384" s="23"/>
      <c r="G384" s="23"/>
      <c r="H384" s="691"/>
      <c r="I384" s="608" t="s">
        <v>4185</v>
      </c>
      <c r="J384" s="608"/>
      <c r="K384" s="608"/>
      <c r="L384" s="1686" t="s">
        <v>4186</v>
      </c>
      <c r="M384" s="1748">
        <v>1</v>
      </c>
      <c r="N384" s="193"/>
      <c r="O384" s="1637">
        <f ca="1">M384*S384*W384</f>
        <v>0</v>
      </c>
      <c r="P384" s="96" t="b">
        <v>1</v>
      </c>
      <c r="Q384" s="96" t="b">
        <v>1</v>
      </c>
      <c r="R384" s="96" t="b">
        <v>0</v>
      </c>
      <c r="S384" s="96" t="b">
        <f ca="1">AND(S11=2,OR(AY36=INDEX(ddHeat1,2),AY37=INDEX(ddHeat2,2),AY38=INDEX(ddHeat3,2)))</f>
        <v>0</v>
      </c>
      <c r="T384" s="96" t="b">
        <f ca="1">AND(NOT(S384),W384=TRUE)</f>
        <v>0</v>
      </c>
      <c r="W384" s="27"/>
      <c r="X384" s="1600"/>
      <c r="AC384" s="881" t="b">
        <f ca="1">OR(AD384:AE384)</f>
        <v>0</v>
      </c>
      <c r="AD384" s="881" t="b">
        <f ca="1">T384</f>
        <v>0</v>
      </c>
      <c r="AE384" s="881" t="b">
        <f>AND(R384,NOT(W384))</f>
        <v>0</v>
      </c>
      <c r="AL384" s="1352" t="str">
        <f>SUBSTITUTE(SUBSTITUTE(SUBSTITUTE("dpa"&amp;$B384&amp;$C384&amp;$D384&amp;$E384&amp;$F384,".","_"),"(","_"),")","")</f>
        <v>dpa703_5_4</v>
      </c>
      <c r="AM384" s="1352">
        <f>M384</f>
        <v>1</v>
      </c>
      <c r="AN384" s="1352" t="str">
        <f>SUBSTITUTE(SUBSTITUTE(SUBSTITUTE("dpc"&amp;$B384&amp;$C384&amp;$D384&amp;$E384&amp;$F384,".","_"),"(","_"),")","")</f>
        <v>dpc703_5_4</v>
      </c>
      <c r="AO384" s="1352">
        <f ca="1">O384</f>
        <v>0</v>
      </c>
      <c r="AP384" s="1352" t="str">
        <f>SUBSTITUTE(SUBSTITUTE(SUBSTITUTE("dch"&amp;$B384&amp;$C384&amp;$D384&amp;$E384&amp;$F384,".","_"),"(","_"),")","")</f>
        <v>dch703_5_4</v>
      </c>
      <c r="AQ384" s="1352" t="str">
        <f>IF(LEN(W384)=0,"",W384)</f>
        <v/>
      </c>
      <c r="AR384" s="1352" t="str">
        <f>SUBSTITUTE(SUBSTITUTE(SUBSTITUTE("dnt"&amp;$B384&amp;$C384&amp;$D384&amp;$E384&amp;$F384,".","_"),"(","_"),")","")</f>
        <v>dnt703_5_4</v>
      </c>
      <c r="AS384" s="1352" t="str">
        <f>IF(LEN(X384)=0,"",X384)</f>
        <v/>
      </c>
    </row>
    <row r="385" spans="2:51" s="843" customFormat="1" ht="15" customHeight="1" x14ac:dyDescent="0.2">
      <c r="B385" s="600" t="s">
        <v>4439</v>
      </c>
      <c r="C385" s="600"/>
      <c r="D385" s="600"/>
      <c r="E385" s="600"/>
      <c r="F385" s="23"/>
      <c r="G385" s="23"/>
      <c r="H385" s="691"/>
      <c r="I385" s="606"/>
      <c r="J385" s="606"/>
      <c r="K385" s="606"/>
      <c r="L385" s="1688"/>
      <c r="M385" s="1749"/>
      <c r="N385" s="173"/>
      <c r="O385" s="1620"/>
      <c r="P385" s="96"/>
      <c r="Q385" s="96"/>
      <c r="R385" s="96"/>
      <c r="S385" s="96"/>
      <c r="T385" s="96"/>
      <c r="X385" s="1600"/>
      <c r="AL385" s="78"/>
      <c r="AM385" s="78"/>
      <c r="AN385" s="78"/>
      <c r="AO385" s="78"/>
      <c r="AP385" s="78"/>
      <c r="AQ385" s="78"/>
      <c r="AR385" s="78"/>
      <c r="AS385" s="78"/>
      <c r="AX385" s="881"/>
      <c r="AY385" s="881"/>
    </row>
    <row r="386" spans="2:51" s="843" customFormat="1" ht="15" customHeight="1" x14ac:dyDescent="0.2">
      <c r="B386" s="600" t="s">
        <v>4440</v>
      </c>
      <c r="C386" s="600"/>
      <c r="D386" s="600"/>
      <c r="E386" s="600"/>
      <c r="F386" s="23"/>
      <c r="G386" s="23"/>
      <c r="H386" s="691"/>
      <c r="I386" s="589" t="s">
        <v>4187</v>
      </c>
      <c r="J386" s="589"/>
      <c r="K386" s="589"/>
      <c r="L386" s="1687" t="s">
        <v>4188</v>
      </c>
      <c r="M386" s="96"/>
      <c r="N386" s="96"/>
      <c r="O386" s="1750"/>
      <c r="P386" s="96" t="b">
        <v>1</v>
      </c>
      <c r="Q386" s="96" t="b">
        <v>1</v>
      </c>
      <c r="R386" s="96" t="b">
        <v>0</v>
      </c>
      <c r="S386" s="96" t="b">
        <f ca="1">AND(S11=2,LEN(W332)=0,LEN(W334)=0)</f>
        <v>0</v>
      </c>
      <c r="T386" s="96" t="b">
        <f ca="1">AND(NOT(S386),LEN(W386)&gt;0)</f>
        <v>0</v>
      </c>
      <c r="U386" s="881" t="str">
        <f>SUBSTITUTE(SUBSTITUTE(SUBSTITUTE("dd"&amp;B386&amp;C386&amp;D386&amp;E386&amp;F386,".","_"),"(","_"),")","")</f>
        <v>dd703_5_5</v>
      </c>
      <c r="W386" s="12"/>
      <c r="X386" s="1600"/>
      <c r="AC386" s="905" t="b">
        <f ca="1">OR(AD386:AE386)</f>
        <v>0</v>
      </c>
      <c r="AD386" s="905" t="b">
        <f ca="1">T386</f>
        <v>0</v>
      </c>
      <c r="AE386" s="905" t="b">
        <f>AND(R386,OR(W386="Not Met",W386=""))</f>
        <v>0</v>
      </c>
      <c r="AL386" s="78"/>
      <c r="AM386" s="78"/>
      <c r="AN386" s="78"/>
      <c r="AO386" s="78"/>
      <c r="AP386" s="1352" t="str">
        <f>SUBSTITUTE(SUBSTITUTE(SUBSTITUTE("dch"&amp;$B386&amp;$C386&amp;$D386&amp;$E386&amp;$F386,".","_"),"(","_"),")","")</f>
        <v>dch703_5_5</v>
      </c>
      <c r="AQ386" s="1352" t="str">
        <f>IF(LEN(W386)=0,"",W386)</f>
        <v/>
      </c>
      <c r="AR386" s="1352" t="str">
        <f>SUBSTITUTE(SUBSTITUTE(SUBSTITUTE("dnt"&amp;$B386&amp;$C386&amp;$D386&amp;$E386&amp;$F386,".","_"),"(","_"),")","")</f>
        <v>dnt703_5_5</v>
      </c>
      <c r="AS386" s="1352" t="str">
        <f>IF(LEN(X386)=0,"",X386)</f>
        <v/>
      </c>
    </row>
    <row r="387" spans="2:51" s="843" customFormat="1" ht="15" customHeight="1" x14ac:dyDescent="0.2">
      <c r="B387" s="600" t="s">
        <v>4440</v>
      </c>
      <c r="C387" s="600"/>
      <c r="D387" s="600"/>
      <c r="E387" s="600"/>
      <c r="F387" s="23"/>
      <c r="G387" s="23"/>
      <c r="H387" s="691"/>
      <c r="I387" s="589"/>
      <c r="J387" s="589"/>
      <c r="K387" s="589"/>
      <c r="L387" s="1687"/>
      <c r="M387" s="96"/>
      <c r="N387" s="96"/>
      <c r="O387" s="1750"/>
      <c r="P387" s="96"/>
      <c r="Q387" s="96"/>
      <c r="R387" s="96"/>
      <c r="S387" s="96"/>
      <c r="T387" s="96"/>
      <c r="U387" s="881"/>
      <c r="V387" s="881"/>
      <c r="W387" s="195" t="s">
        <v>4500</v>
      </c>
      <c r="X387" s="1600"/>
      <c r="AL387" s="78"/>
      <c r="AM387" s="78"/>
      <c r="AN387" s="78"/>
      <c r="AO387" s="78"/>
      <c r="AP387" s="78"/>
      <c r="AQ387" s="78"/>
      <c r="AR387" s="78"/>
      <c r="AS387" s="78"/>
    </row>
    <row r="388" spans="2:51" s="843" customFormat="1" ht="15" customHeight="1" x14ac:dyDescent="0.2">
      <c r="B388" s="600" t="s">
        <v>4440</v>
      </c>
      <c r="C388" s="600" t="s">
        <v>3921</v>
      </c>
      <c r="D388" s="600"/>
      <c r="E388" s="600"/>
      <c r="F388" s="23"/>
      <c r="G388" s="23"/>
      <c r="H388" s="691"/>
      <c r="I388" s="589"/>
      <c r="J388" s="589"/>
      <c r="K388" s="589"/>
      <c r="L388" s="1687"/>
      <c r="M388" s="96"/>
      <c r="N388" s="96"/>
      <c r="O388" s="1750"/>
      <c r="P388" s="96" t="b">
        <v>1</v>
      </c>
      <c r="Q388" s="96" t="b">
        <v>1</v>
      </c>
      <c r="R388" s="96" t="b">
        <v>0</v>
      </c>
      <c r="S388" s="96" t="b">
        <f ca="1">S386</f>
        <v>0</v>
      </c>
      <c r="T388" s="96" t="b">
        <f ca="1">AND(NOT(S388),LEN(W388)&gt;0)</f>
        <v>0</v>
      </c>
      <c r="U388" s="881"/>
      <c r="V388" s="881"/>
      <c r="W388" s="336"/>
      <c r="X388" s="1600"/>
      <c r="AC388" s="905" t="b">
        <f ca="1">OR(AD388:AE388)</f>
        <v>0</v>
      </c>
      <c r="AD388" s="905" t="b">
        <f ca="1">T388</f>
        <v>0</v>
      </c>
      <c r="AE388" s="905" t="b">
        <f>AND(R388,OR(W388="Not Met",W388=""))</f>
        <v>0</v>
      </c>
      <c r="AL388" s="78"/>
      <c r="AM388" s="78"/>
      <c r="AN388" s="78"/>
      <c r="AO388" s="78"/>
      <c r="AP388" s="1352" t="str">
        <f>SUBSTITUTE(SUBSTITUTE(SUBSTITUTE("dch"&amp;$B388&amp;$C388&amp;$D388&amp;$E388&amp;$F388,".","_"),"(","_"),")","")</f>
        <v>dch703_5_5_1</v>
      </c>
      <c r="AQ388" s="1352" t="str">
        <f>IF(LEN(W388)=0,"",W388)</f>
        <v/>
      </c>
      <c r="AR388" s="78"/>
      <c r="AS388" s="78"/>
    </row>
    <row r="389" spans="2:51" s="843" customFormat="1" ht="15" customHeight="1" x14ac:dyDescent="0.2">
      <c r="B389" s="600" t="s">
        <v>4440</v>
      </c>
      <c r="C389" s="600"/>
      <c r="D389" s="600"/>
      <c r="E389" s="600"/>
      <c r="F389" s="23"/>
      <c r="G389" s="23"/>
      <c r="H389" s="691"/>
      <c r="I389" s="589"/>
      <c r="J389" s="589"/>
      <c r="K389" s="589"/>
      <c r="L389" s="1687"/>
      <c r="M389" s="96"/>
      <c r="N389" s="96"/>
      <c r="O389" s="1750"/>
      <c r="P389" s="96"/>
      <c r="Q389" s="96"/>
      <c r="R389" s="96"/>
      <c r="S389" s="96"/>
      <c r="T389" s="96"/>
      <c r="X389" s="1600"/>
      <c r="AL389" s="78"/>
      <c r="AM389" s="78"/>
      <c r="AN389" s="78"/>
      <c r="AO389" s="78"/>
      <c r="AP389" s="78"/>
      <c r="AQ389" s="78"/>
      <c r="AR389" s="78"/>
      <c r="AS389" s="78"/>
    </row>
    <row r="390" spans="2:51" s="843" customFormat="1" ht="15" customHeight="1" x14ac:dyDescent="0.2">
      <c r="B390" s="600" t="s">
        <v>4440</v>
      </c>
      <c r="C390" s="600" t="s">
        <v>121</v>
      </c>
      <c r="D390" s="600"/>
      <c r="E390" s="600"/>
      <c r="F390" s="23"/>
      <c r="G390" s="23"/>
      <c r="H390" s="691"/>
      <c r="I390" s="589"/>
      <c r="J390" s="589"/>
      <c r="K390" s="589" t="s">
        <v>121</v>
      </c>
      <c r="L390" s="1634" t="s">
        <v>4189</v>
      </c>
      <c r="M390" s="882"/>
      <c r="N390" s="129"/>
      <c r="O390" s="1619">
        <f ca="1">IFERROR(INDEX(M392:M396,MATCH(W388,{1.3,1.51,1.81,2.31,3.01},1)),0)*S388*S390</f>
        <v>0</v>
      </c>
      <c r="P390" s="96"/>
      <c r="Q390" s="96"/>
      <c r="R390" s="96"/>
      <c r="S390" s="198" t="b">
        <f ca="1">W386=INDEX(INDIRECT(U386),1)</f>
        <v>0</v>
      </c>
      <c r="T390" s="96"/>
      <c r="U390"/>
      <c r="V390"/>
      <c r="W390"/>
      <c r="AL390" s="78"/>
      <c r="AM390" s="78"/>
      <c r="AN390" s="1352" t="str">
        <f>SUBSTITUTE(SUBSTITUTE(SUBSTITUTE("dpc"&amp;$B390&amp;$C390&amp;$D390&amp;$E390&amp;$F390,".","_"),"(","_"),")","")</f>
        <v>dpc703_5_5_a</v>
      </c>
      <c r="AO390" s="1352">
        <f ca="1">O390</f>
        <v>0</v>
      </c>
      <c r="AP390" s="78"/>
      <c r="AQ390" s="78"/>
      <c r="AR390" s="78"/>
      <c r="AS390" s="78"/>
    </row>
    <row r="391" spans="2:51" s="843" customFormat="1" ht="15" customHeight="1" x14ac:dyDescent="0.2">
      <c r="B391" s="600" t="s">
        <v>4440</v>
      </c>
      <c r="C391" s="600" t="s">
        <v>121</v>
      </c>
      <c r="D391" s="600"/>
      <c r="E391" s="600"/>
      <c r="F391" s="23"/>
      <c r="G391" s="23"/>
      <c r="H391" s="691"/>
      <c r="I391" s="589"/>
      <c r="J391" s="589"/>
      <c r="K391" s="589"/>
      <c r="L391" s="1634"/>
      <c r="M391" s="882"/>
      <c r="N391" s="129"/>
      <c r="O391" s="1619"/>
      <c r="P391" s="96"/>
      <c r="Q391" s="96"/>
      <c r="R391" s="96"/>
      <c r="S391" s="96"/>
      <c r="T391" s="96"/>
      <c r="U391"/>
      <c r="V391"/>
      <c r="W391"/>
      <c r="AL391" s="78"/>
      <c r="AM391" s="78"/>
      <c r="AN391" s="78"/>
      <c r="AO391" s="78"/>
      <c r="AP391" s="78"/>
      <c r="AQ391" s="78"/>
      <c r="AR391" s="78"/>
      <c r="AS391" s="78"/>
    </row>
    <row r="392" spans="2:51" s="843" customFormat="1" ht="15" customHeight="1" x14ac:dyDescent="0.2">
      <c r="B392" s="600" t="s">
        <v>4440</v>
      </c>
      <c r="C392" s="600" t="s">
        <v>121</v>
      </c>
      <c r="D392" s="600" t="s">
        <v>3921</v>
      </c>
      <c r="E392" s="600"/>
      <c r="F392" s="23"/>
      <c r="G392" s="23"/>
      <c r="H392" s="691"/>
      <c r="I392" s="589"/>
      <c r="J392" s="589"/>
      <c r="K392" s="136"/>
      <c r="L392" s="863" t="s">
        <v>4190</v>
      </c>
      <c r="M392" s="990">
        <f>IFERROR(INDEX({1,2,3,5,6,7,6,6},T247),0)</f>
        <v>3</v>
      </c>
      <c r="N392" s="129"/>
      <c r="O392" s="886"/>
      <c r="P392" s="96"/>
      <c r="Q392" s="96"/>
      <c r="R392" s="96"/>
      <c r="S392" s="96"/>
      <c r="T392" s="96"/>
      <c r="U392"/>
      <c r="V392"/>
      <c r="W392"/>
      <c r="AL392" s="1352" t="str">
        <f>SUBSTITUTE(SUBSTITUTE(SUBSTITUTE("dpa"&amp;$B392&amp;$C392&amp;$D392&amp;$E392&amp;$F392,".","_"),"(","_"),")","")</f>
        <v>dpa703_5_5_a_1</v>
      </c>
      <c r="AM392" s="1352">
        <f>M392</f>
        <v>3</v>
      </c>
      <c r="AN392" s="78"/>
      <c r="AO392" s="78"/>
      <c r="AP392" s="78"/>
      <c r="AQ392" s="78"/>
      <c r="AR392" s="78"/>
      <c r="AS392" s="78"/>
    </row>
    <row r="393" spans="2:51" s="843" customFormat="1" ht="15" customHeight="1" x14ac:dyDescent="0.2">
      <c r="B393" s="600" t="s">
        <v>4440</v>
      </c>
      <c r="C393" s="600" t="s">
        <v>121</v>
      </c>
      <c r="D393" s="600" t="s">
        <v>3922</v>
      </c>
      <c r="E393" s="600"/>
      <c r="F393" s="23"/>
      <c r="G393" s="23"/>
      <c r="H393" s="691"/>
      <c r="I393" s="589"/>
      <c r="J393" s="589"/>
      <c r="K393" s="136"/>
      <c r="L393" s="863" t="s">
        <v>4191</v>
      </c>
      <c r="M393" s="990">
        <f>IFERROR(INDEX({2,2,4,6,9,10,10,10},T247),0)</f>
        <v>4</v>
      </c>
      <c r="N393" s="129"/>
      <c r="O393" s="886"/>
      <c r="P393" s="96"/>
      <c r="Q393" s="96"/>
      <c r="R393" s="96"/>
      <c r="S393" s="96"/>
      <c r="T393" s="96"/>
      <c r="U393"/>
      <c r="V393"/>
      <c r="W393"/>
      <c r="AL393" s="1352" t="str">
        <f>SUBSTITUTE(SUBSTITUTE(SUBSTITUTE("dpa"&amp;$B393&amp;$C393&amp;$D393&amp;$E393&amp;$F393,".","_"),"(","_"),")","")</f>
        <v>dpa703_5_5_a_2</v>
      </c>
      <c r="AM393" s="1352">
        <f>M393</f>
        <v>4</v>
      </c>
      <c r="AN393" s="78"/>
      <c r="AO393" s="78"/>
      <c r="AP393" s="78"/>
      <c r="AQ393" s="78"/>
      <c r="AR393" s="78"/>
      <c r="AS393" s="78"/>
    </row>
    <row r="394" spans="2:51" s="843" customFormat="1" ht="15" customHeight="1" x14ac:dyDescent="0.2">
      <c r="B394" s="600" t="s">
        <v>4440</v>
      </c>
      <c r="C394" s="600" t="s">
        <v>121</v>
      </c>
      <c r="D394" s="600" t="s">
        <v>3923</v>
      </c>
      <c r="E394" s="600"/>
      <c r="F394" s="23"/>
      <c r="G394" s="23"/>
      <c r="H394" s="691"/>
      <c r="I394" s="589"/>
      <c r="J394" s="589"/>
      <c r="K394" s="136"/>
      <c r="L394" s="863" t="s">
        <v>4192</v>
      </c>
      <c r="M394" s="990">
        <f>IFERROR(INDEX({2,3,5,9,13,14,14,14},T247),0)</f>
        <v>5</v>
      </c>
      <c r="N394" s="129"/>
      <c r="O394" s="886"/>
      <c r="P394" s="96"/>
      <c r="Q394" s="96"/>
      <c r="R394" s="96"/>
      <c r="S394" s="96"/>
      <c r="T394" s="96"/>
      <c r="AL394" s="1352" t="str">
        <f>SUBSTITUTE(SUBSTITUTE(SUBSTITUTE("dpa"&amp;$B394&amp;$C394&amp;$D394&amp;$E394&amp;$F394,".","_"),"(","_"),")","")</f>
        <v>dpa703_5_5_a_3</v>
      </c>
      <c r="AM394" s="1352">
        <f>M394</f>
        <v>5</v>
      </c>
      <c r="AN394" s="78"/>
      <c r="AO394" s="78"/>
      <c r="AP394" s="78"/>
      <c r="AQ394" s="78"/>
      <c r="AR394" s="78"/>
      <c r="AS394" s="78"/>
    </row>
    <row r="395" spans="2:51" s="843" customFormat="1" ht="15" customHeight="1" x14ac:dyDescent="0.2">
      <c r="B395" s="600" t="s">
        <v>4440</v>
      </c>
      <c r="C395" s="600" t="s">
        <v>121</v>
      </c>
      <c r="D395" s="600" t="s">
        <v>3924</v>
      </c>
      <c r="E395" s="600"/>
      <c r="F395" s="23"/>
      <c r="G395" s="23"/>
      <c r="H395" s="691"/>
      <c r="I395" s="589"/>
      <c r="J395" s="589"/>
      <c r="K395" s="136"/>
      <c r="L395" s="863" t="s">
        <v>4193</v>
      </c>
      <c r="M395" s="990">
        <f>IFERROR(INDEX({4,5,8,14,19,21,20,20},T247),0)</f>
        <v>8</v>
      </c>
      <c r="N395" s="129"/>
      <c r="O395" s="886"/>
      <c r="P395" s="96"/>
      <c r="Q395" s="96"/>
      <c r="R395" s="96"/>
      <c r="S395" s="96"/>
      <c r="T395" s="96"/>
      <c r="AL395" s="1352" t="str">
        <f>SUBSTITUTE(SUBSTITUTE(SUBSTITUTE("dpa"&amp;$B395&amp;$C395&amp;$D395&amp;$E395&amp;$F395,".","_"),"(","_"),")","")</f>
        <v>dpa703_5_5_a_4</v>
      </c>
      <c r="AM395" s="1352">
        <f>M395</f>
        <v>8</v>
      </c>
      <c r="AN395" s="78"/>
      <c r="AO395" s="78"/>
      <c r="AP395" s="78"/>
      <c r="AQ395" s="78"/>
      <c r="AR395" s="78"/>
      <c r="AS395" s="78"/>
    </row>
    <row r="396" spans="2:51" s="843" customFormat="1" ht="15" customHeight="1" x14ac:dyDescent="0.2">
      <c r="B396" s="600" t="s">
        <v>4440</v>
      </c>
      <c r="C396" s="600" t="s">
        <v>121</v>
      </c>
      <c r="D396" s="600" t="s">
        <v>3925</v>
      </c>
      <c r="E396" s="600"/>
      <c r="F396" s="23"/>
      <c r="G396" s="23"/>
      <c r="H396" s="691"/>
      <c r="I396" s="589"/>
      <c r="J396" s="589"/>
      <c r="K396" s="591"/>
      <c r="L396" s="923" t="s">
        <v>4194</v>
      </c>
      <c r="M396" s="1099">
        <f>IFERROR(INDEX({5,7,11,21,27,31,30,30},T247),0)</f>
        <v>11</v>
      </c>
      <c r="N396" s="213"/>
      <c r="O396" s="909"/>
      <c r="P396" s="96"/>
      <c r="Q396" s="96"/>
      <c r="R396" s="96"/>
      <c r="S396" s="96"/>
      <c r="T396" s="96"/>
      <c r="AL396" s="1352" t="str">
        <f>SUBSTITUTE(SUBSTITUTE(SUBSTITUTE("dpa"&amp;$B396&amp;$C396&amp;$D396&amp;$E396&amp;$F396,".","_"),"(","_"),")","")</f>
        <v>dpa703_5_5_a_5</v>
      </c>
      <c r="AM396" s="1352">
        <f>M396</f>
        <v>11</v>
      </c>
      <c r="AN396" s="78"/>
      <c r="AO396" s="78"/>
      <c r="AP396" s="78"/>
      <c r="AQ396" s="78"/>
      <c r="AR396" s="78"/>
      <c r="AS396" s="78"/>
    </row>
    <row r="397" spans="2:51" s="843" customFormat="1" ht="15" customHeight="1" x14ac:dyDescent="0.2">
      <c r="B397" s="600" t="s">
        <v>4440</v>
      </c>
      <c r="C397" s="600" t="s">
        <v>122</v>
      </c>
      <c r="D397" s="600"/>
      <c r="E397" s="600"/>
      <c r="F397" s="23"/>
      <c r="G397" s="23"/>
      <c r="H397" s="691"/>
      <c r="I397" s="589"/>
      <c r="J397" s="589"/>
      <c r="K397" s="589" t="s">
        <v>122</v>
      </c>
      <c r="L397" s="1634" t="s">
        <v>4195</v>
      </c>
      <c r="M397" s="882"/>
      <c r="N397" s="129"/>
      <c r="O397" s="1619">
        <f ca="1">IFERROR(INDEX(M399:M403,MATCH(W388,{1.3,1.51,1.81,2.31,3.01},1)),0)*S388*S397</f>
        <v>0</v>
      </c>
      <c r="P397" s="96"/>
      <c r="Q397" s="96"/>
      <c r="R397" s="96"/>
      <c r="S397" s="198" t="b">
        <f ca="1">W386=INDEX(INDIRECT(U386),2)</f>
        <v>0</v>
      </c>
      <c r="T397" s="96"/>
      <c r="AL397" s="78"/>
      <c r="AM397" s="78"/>
      <c r="AN397" s="1352" t="str">
        <f>SUBSTITUTE(SUBSTITUTE(SUBSTITUTE("dpc"&amp;$B397&amp;$C397&amp;$D397&amp;$E397&amp;$F397,".","_"),"(","_"),")","")</f>
        <v>dpc703_5_5_b</v>
      </c>
      <c r="AO397" s="1352">
        <f ca="1">O397</f>
        <v>0</v>
      </c>
      <c r="AP397" s="78"/>
      <c r="AQ397" s="78"/>
      <c r="AR397" s="78"/>
      <c r="AS397" s="78"/>
    </row>
    <row r="398" spans="2:51" s="843" customFormat="1" ht="15" customHeight="1" x14ac:dyDescent="0.2">
      <c r="B398" s="600" t="s">
        <v>4440</v>
      </c>
      <c r="C398" s="600" t="s">
        <v>122</v>
      </c>
      <c r="D398" s="600"/>
      <c r="E398" s="600"/>
      <c r="F398" s="23"/>
      <c r="G398" s="23"/>
      <c r="H398" s="691"/>
      <c r="I398" s="589"/>
      <c r="J398" s="589"/>
      <c r="K398" s="136"/>
      <c r="L398" s="1634"/>
      <c r="M398" s="882"/>
      <c r="N398" s="129"/>
      <c r="O398" s="1619"/>
      <c r="P398" s="96"/>
      <c r="Q398" s="96"/>
      <c r="R398" s="96"/>
      <c r="S398" s="96"/>
      <c r="T398" s="96"/>
      <c r="AL398" s="78"/>
      <c r="AM398" s="78"/>
      <c r="AN398" s="78"/>
      <c r="AO398" s="78"/>
      <c r="AP398" s="78"/>
      <c r="AQ398" s="78"/>
      <c r="AR398" s="78"/>
      <c r="AS398" s="78"/>
    </row>
    <row r="399" spans="2:51" s="843" customFormat="1" ht="15" customHeight="1" x14ac:dyDescent="0.2">
      <c r="B399" s="600" t="s">
        <v>4440</v>
      </c>
      <c r="C399" s="600" t="s">
        <v>122</v>
      </c>
      <c r="D399" s="600" t="s">
        <v>3921</v>
      </c>
      <c r="E399" s="600"/>
      <c r="F399" s="23"/>
      <c r="G399" s="23"/>
      <c r="H399" s="691"/>
      <c r="I399" s="589"/>
      <c r="J399" s="589"/>
      <c r="K399" s="136"/>
      <c r="L399" s="863" t="s">
        <v>4190</v>
      </c>
      <c r="M399" s="990">
        <f>IFERROR(INDEX({1,1,2,3,4,5,4,4},T247),0)</f>
        <v>2</v>
      </c>
      <c r="N399" s="129"/>
      <c r="O399" s="886"/>
      <c r="P399" s="96"/>
      <c r="Q399" s="96"/>
      <c r="R399" s="96"/>
      <c r="S399" s="96"/>
      <c r="T399" s="96"/>
      <c r="AL399" s="1352" t="str">
        <f>SUBSTITUTE(SUBSTITUTE(SUBSTITUTE("dpa"&amp;$B399&amp;$C399&amp;$D399&amp;$E399&amp;$F399,".","_"),"(","_"),")","")</f>
        <v>dpa703_5_5_b_1</v>
      </c>
      <c r="AM399" s="1352">
        <f>M399</f>
        <v>2</v>
      </c>
      <c r="AN399" s="78"/>
      <c r="AO399" s="78"/>
      <c r="AP399" s="78"/>
      <c r="AQ399" s="78"/>
      <c r="AR399" s="78"/>
      <c r="AS399" s="78"/>
    </row>
    <row r="400" spans="2:51" s="843" customFormat="1" ht="15" customHeight="1" x14ac:dyDescent="0.2">
      <c r="B400" s="600" t="s">
        <v>4440</v>
      </c>
      <c r="C400" s="600" t="s">
        <v>122</v>
      </c>
      <c r="D400" s="600" t="s">
        <v>3922</v>
      </c>
      <c r="E400" s="600"/>
      <c r="F400" s="23"/>
      <c r="G400" s="23"/>
      <c r="H400" s="691"/>
      <c r="I400" s="589"/>
      <c r="J400" s="589"/>
      <c r="K400" s="589"/>
      <c r="L400" s="863" t="s">
        <v>4191</v>
      </c>
      <c r="M400" s="990">
        <f>IFERROR(INDEX({1,1,2,4,6,7,7,7},T247),0)</f>
        <v>2</v>
      </c>
      <c r="N400" s="129"/>
      <c r="O400" s="886"/>
      <c r="P400" s="96"/>
      <c r="Q400" s="96"/>
      <c r="R400" s="96"/>
      <c r="S400" s="96"/>
      <c r="T400" s="96"/>
      <c r="AL400" s="1352" t="str">
        <f>SUBSTITUTE(SUBSTITUTE(SUBSTITUTE("dpa"&amp;$B400&amp;$C400&amp;$D400&amp;$E400&amp;$F400,".","_"),"(","_"),")","")</f>
        <v>dpa703_5_5_b_2</v>
      </c>
      <c r="AM400" s="1352">
        <f>M400</f>
        <v>2</v>
      </c>
      <c r="AN400" s="78"/>
      <c r="AO400" s="78"/>
      <c r="AP400" s="78"/>
      <c r="AQ400" s="78"/>
      <c r="AR400" s="78"/>
      <c r="AS400" s="78"/>
    </row>
    <row r="401" spans="2:45" s="843" customFormat="1" ht="15" customHeight="1" x14ac:dyDescent="0.2">
      <c r="B401" s="600" t="s">
        <v>4440</v>
      </c>
      <c r="C401" s="600" t="s">
        <v>122</v>
      </c>
      <c r="D401" s="600" t="s">
        <v>3923</v>
      </c>
      <c r="E401" s="600"/>
      <c r="F401" s="23"/>
      <c r="G401" s="23"/>
      <c r="H401" s="691"/>
      <c r="I401" s="589"/>
      <c r="J401" s="589"/>
      <c r="K401" s="589"/>
      <c r="L401" s="863" t="s">
        <v>4192</v>
      </c>
      <c r="M401" s="990">
        <f>IFERROR(INDEX({1,2,4,6,8,10,9,9},T247),0)</f>
        <v>4</v>
      </c>
      <c r="N401" s="129"/>
      <c r="O401" s="886"/>
      <c r="P401" s="96"/>
      <c r="Q401" s="96"/>
      <c r="R401" s="96"/>
      <c r="S401" s="96"/>
      <c r="T401" s="96"/>
      <c r="AL401" s="1352" t="str">
        <f>SUBSTITUTE(SUBSTITUTE(SUBSTITUTE("dpa"&amp;$B401&amp;$C401&amp;$D401&amp;$E401&amp;$F401,".","_"),"(","_"),")","")</f>
        <v>dpa703_5_5_b_3</v>
      </c>
      <c r="AM401" s="1352">
        <f>M401</f>
        <v>4</v>
      </c>
      <c r="AN401" s="78"/>
      <c r="AO401" s="78"/>
      <c r="AP401" s="78"/>
      <c r="AQ401" s="78"/>
      <c r="AR401" s="78"/>
      <c r="AS401" s="78"/>
    </row>
    <row r="402" spans="2:45" s="843" customFormat="1" ht="15" customHeight="1" x14ac:dyDescent="0.2">
      <c r="B402" s="600" t="s">
        <v>4440</v>
      </c>
      <c r="C402" s="600" t="s">
        <v>122</v>
      </c>
      <c r="D402" s="600" t="s">
        <v>3924</v>
      </c>
      <c r="E402" s="600"/>
      <c r="F402" s="23"/>
      <c r="G402" s="23"/>
      <c r="H402" s="691"/>
      <c r="I402" s="589"/>
      <c r="J402" s="589"/>
      <c r="K402" s="589"/>
      <c r="L402" s="863" t="s">
        <v>4193</v>
      </c>
      <c r="M402" s="990">
        <f>IFERROR(INDEX({2,3,5,10,13,14,13,13},T247),0)</f>
        <v>5</v>
      </c>
      <c r="N402" s="129"/>
      <c r="O402" s="886"/>
      <c r="P402" s="96"/>
      <c r="Q402" s="96"/>
      <c r="R402" s="96"/>
      <c r="S402" s="96"/>
      <c r="T402" s="96"/>
      <c r="AL402" s="1352" t="str">
        <f>SUBSTITUTE(SUBSTITUTE(SUBSTITUTE("dpa"&amp;$B402&amp;$C402&amp;$D402&amp;$E402&amp;$F402,".","_"),"(","_"),")","")</f>
        <v>dpa703_5_5_b_4</v>
      </c>
      <c r="AM402" s="1352">
        <f>M402</f>
        <v>5</v>
      </c>
      <c r="AN402" s="78"/>
      <c r="AO402" s="78"/>
      <c r="AP402" s="78"/>
      <c r="AQ402" s="78"/>
      <c r="AR402" s="78"/>
      <c r="AS402" s="78"/>
    </row>
    <row r="403" spans="2:45" s="843" customFormat="1" ht="15" customHeight="1" thickBot="1" x14ac:dyDescent="0.25">
      <c r="B403" s="600" t="s">
        <v>4440</v>
      </c>
      <c r="C403" s="600" t="s">
        <v>122</v>
      </c>
      <c r="D403" s="600" t="s">
        <v>3925</v>
      </c>
      <c r="E403" s="600"/>
      <c r="F403" s="23"/>
      <c r="G403" s="23"/>
      <c r="H403" s="691"/>
      <c r="I403" s="594"/>
      <c r="J403" s="594"/>
      <c r="K403" s="594"/>
      <c r="L403" s="920" t="s">
        <v>4194</v>
      </c>
      <c r="M403" s="1100">
        <f>IFERROR(INDEX({4,5,7,14,18,20,20,20},T247),0)</f>
        <v>7</v>
      </c>
      <c r="N403" s="239"/>
      <c r="O403" s="922"/>
      <c r="P403" s="100"/>
      <c r="Q403" s="100"/>
      <c r="R403" s="100"/>
      <c r="S403" s="100"/>
      <c r="T403" s="100"/>
      <c r="U403" s="100"/>
      <c r="V403" s="100"/>
      <c r="W403" s="100"/>
      <c r="X403" s="100"/>
      <c r="AL403" s="1352" t="str">
        <f>SUBSTITUTE(SUBSTITUTE(SUBSTITUTE("dpa"&amp;$B403&amp;$C403&amp;$D403&amp;$E403&amp;$F403,".","_"),"(","_"),")","")</f>
        <v>dpa703_5_5_b_5</v>
      </c>
      <c r="AM403" s="1352">
        <f>M403</f>
        <v>7</v>
      </c>
      <c r="AN403" s="78"/>
      <c r="AO403" s="78"/>
      <c r="AP403" s="78"/>
      <c r="AQ403" s="78"/>
      <c r="AR403" s="78"/>
      <c r="AS403" s="78"/>
    </row>
    <row r="404" spans="2:45" s="843" customFormat="1" ht="15" customHeight="1" thickTop="1" x14ac:dyDescent="0.2">
      <c r="B404" s="600">
        <v>703.6</v>
      </c>
      <c r="C404" s="600"/>
      <c r="D404" s="600"/>
      <c r="E404" s="600"/>
      <c r="F404" s="23"/>
      <c r="G404" s="23"/>
      <c r="H404" s="691"/>
      <c r="I404" s="589" t="s">
        <v>4196</v>
      </c>
      <c r="J404" s="589"/>
      <c r="K404" s="589"/>
      <c r="L404" s="869" t="s">
        <v>4197</v>
      </c>
      <c r="M404" s="96"/>
      <c r="N404" s="96"/>
      <c r="O404" s="96"/>
      <c r="P404" s="96"/>
      <c r="Q404" s="96"/>
      <c r="R404" s="96"/>
      <c r="S404" s="96"/>
      <c r="T404" s="96"/>
      <c r="AL404" s="78"/>
      <c r="AM404" s="78"/>
      <c r="AN404" s="78"/>
      <c r="AO404" s="78"/>
      <c r="AP404" s="78"/>
      <c r="AQ404" s="78"/>
      <c r="AR404" s="78"/>
      <c r="AS404" s="78"/>
    </row>
    <row r="405" spans="2:45" s="843" customFormat="1" ht="15" customHeight="1" x14ac:dyDescent="0.2">
      <c r="B405" s="600" t="s">
        <v>4441</v>
      </c>
      <c r="C405" s="600"/>
      <c r="D405" s="600"/>
      <c r="E405" s="600"/>
      <c r="F405" s="23"/>
      <c r="G405" s="23"/>
      <c r="H405" s="691"/>
      <c r="I405" s="589" t="s">
        <v>4198</v>
      </c>
      <c r="J405" s="589"/>
      <c r="K405" s="589"/>
      <c r="L405" s="1687" t="s">
        <v>4199</v>
      </c>
      <c r="M405" s="96"/>
      <c r="N405" s="96"/>
      <c r="O405" s="96"/>
      <c r="P405" s="96"/>
      <c r="Q405" s="96"/>
      <c r="R405" s="96"/>
      <c r="S405" s="96"/>
      <c r="T405" s="96"/>
      <c r="AL405" s="78"/>
      <c r="AM405" s="78"/>
      <c r="AN405" s="78"/>
      <c r="AO405" s="78"/>
      <c r="AP405" s="78"/>
      <c r="AQ405" s="78"/>
      <c r="AR405" s="78"/>
      <c r="AS405" s="78"/>
    </row>
    <row r="406" spans="2:45" s="843" customFormat="1" ht="15" customHeight="1" x14ac:dyDescent="0.2">
      <c r="B406" s="600" t="s">
        <v>4441</v>
      </c>
      <c r="C406" s="600"/>
      <c r="D406" s="600"/>
      <c r="E406" s="600"/>
      <c r="F406" s="23"/>
      <c r="G406" s="23"/>
      <c r="H406" s="691"/>
      <c r="I406" s="589"/>
      <c r="J406" s="589"/>
      <c r="K406" s="589"/>
      <c r="L406" s="1687"/>
      <c r="M406" s="96"/>
      <c r="N406" s="96"/>
      <c r="O406" s="96"/>
      <c r="P406" s="96"/>
      <c r="Q406" s="96"/>
      <c r="R406" s="96"/>
      <c r="S406" s="96"/>
      <c r="T406" s="96"/>
      <c r="AL406" s="78"/>
      <c r="AM406" s="78"/>
      <c r="AN406" s="78"/>
      <c r="AO406" s="78"/>
      <c r="AP406" s="78"/>
      <c r="AQ406" s="78"/>
      <c r="AR406" s="78"/>
      <c r="AS406" s="78"/>
    </row>
    <row r="407" spans="2:45" s="843" customFormat="1" ht="15" customHeight="1" x14ac:dyDescent="0.2">
      <c r="B407" s="600" t="s">
        <v>4441</v>
      </c>
      <c r="C407" s="600" t="s">
        <v>254</v>
      </c>
      <c r="D407" s="600"/>
      <c r="E407" s="600"/>
      <c r="F407" s="23"/>
      <c r="G407" s="23"/>
      <c r="H407" s="691"/>
      <c r="I407" s="589"/>
      <c r="J407" s="590" t="s">
        <v>254</v>
      </c>
      <c r="K407" s="590"/>
      <c r="L407" s="1634" t="s">
        <v>5637</v>
      </c>
      <c r="M407" s="1623">
        <f>IFERROR(INDEX({3,3,3,2,2,2,2,2},T247),0)</f>
        <v>3</v>
      </c>
      <c r="N407" s="129"/>
      <c r="O407" s="1619">
        <f ca="1">M407*S407*W407</f>
        <v>0</v>
      </c>
      <c r="P407" s="96" t="b">
        <v>0</v>
      </c>
      <c r="Q407" s="96" t="b">
        <v>1</v>
      </c>
      <c r="R407" s="96" t="b">
        <v>0</v>
      </c>
      <c r="S407" s="96" t="b">
        <f ca="1">AND(S11=2,NOT(W411),NOT(W409))</f>
        <v>0</v>
      </c>
      <c r="T407" s="96" t="b">
        <f ca="1">AND(NOT(S407),W407=TRUE)</f>
        <v>0</v>
      </c>
      <c r="W407" s="27"/>
      <c r="X407" s="1600"/>
      <c r="AC407" s="881" t="b">
        <f ca="1">OR(AD407:AE407)</f>
        <v>0</v>
      </c>
      <c r="AD407" s="881" t="b">
        <f ca="1">T407</f>
        <v>0</v>
      </c>
      <c r="AE407" s="881" t="b">
        <f>AND(R407,NOT(W407))</f>
        <v>0</v>
      </c>
      <c r="AL407" s="1352" t="str">
        <f>SUBSTITUTE(SUBSTITUTE(SUBSTITUTE("dpa"&amp;$B407&amp;$C407&amp;$D407&amp;$E407&amp;$F407,".","_"),"(","_"),")","")</f>
        <v>dpa703_6_1_1</v>
      </c>
      <c r="AM407" s="1352">
        <f>M407</f>
        <v>3</v>
      </c>
      <c r="AN407" s="1352" t="str">
        <f>SUBSTITUTE(SUBSTITUTE(SUBSTITUTE("dpc"&amp;$B407&amp;$C407&amp;$D407&amp;$E407&amp;$F407,".","_"),"(","_"),")","")</f>
        <v>dpc703_6_1_1</v>
      </c>
      <c r="AO407" s="1352">
        <f ca="1">O407</f>
        <v>0</v>
      </c>
      <c r="AP407" s="1352" t="str">
        <f>SUBSTITUTE(SUBSTITUTE(SUBSTITUTE("dch"&amp;$B407&amp;$C407&amp;$D407&amp;$E407&amp;$F407,".","_"),"(","_"),")","")</f>
        <v>dch703_6_1_1</v>
      </c>
      <c r="AQ407" s="1352" t="str">
        <f>IF(LEN(W407)=0,"",W407)</f>
        <v/>
      </c>
      <c r="AR407" s="1352" t="str">
        <f>SUBSTITUTE(SUBSTITUTE(SUBSTITUTE("dnt"&amp;$B407&amp;$C407&amp;$D407&amp;$E407&amp;$F407,".","_"),"(","_"),")","")</f>
        <v>dnt703_6_1_1</v>
      </c>
      <c r="AS407" s="1352" t="str">
        <f>IF(LEN(X407)=0,"",X407)</f>
        <v/>
      </c>
    </row>
    <row r="408" spans="2:45" s="843" customFormat="1" ht="15" customHeight="1" x14ac:dyDescent="0.2">
      <c r="B408" s="600" t="s">
        <v>4441</v>
      </c>
      <c r="C408" s="600" t="s">
        <v>254</v>
      </c>
      <c r="D408" s="600"/>
      <c r="E408" s="600"/>
      <c r="F408" s="23"/>
      <c r="G408" s="23"/>
      <c r="H408" s="691"/>
      <c r="I408" s="589"/>
      <c r="J408" s="606"/>
      <c r="K408" s="606"/>
      <c r="L408" s="1639"/>
      <c r="M408" s="1624"/>
      <c r="N408" s="213"/>
      <c r="O408" s="1620"/>
      <c r="P408" s="96"/>
      <c r="Q408" s="96"/>
      <c r="R408" s="96"/>
      <c r="S408" s="96"/>
      <c r="T408" s="96"/>
      <c r="X408" s="1600"/>
      <c r="AL408" s="78"/>
      <c r="AM408" s="78"/>
      <c r="AN408" s="78"/>
      <c r="AO408" s="78"/>
      <c r="AP408" s="78"/>
      <c r="AQ408" s="78"/>
      <c r="AR408" s="78"/>
      <c r="AS408" s="78"/>
    </row>
    <row r="409" spans="2:45" s="843" customFormat="1" ht="15" customHeight="1" x14ac:dyDescent="0.2">
      <c r="B409" s="600" t="s">
        <v>4441</v>
      </c>
      <c r="C409" s="600" t="s">
        <v>255</v>
      </c>
      <c r="D409" s="600"/>
      <c r="E409" s="600"/>
      <c r="F409" s="23"/>
      <c r="G409" s="23"/>
      <c r="H409" s="691"/>
      <c r="I409" s="589"/>
      <c r="J409" s="608" t="s">
        <v>255</v>
      </c>
      <c r="K409" s="608"/>
      <c r="L409" s="1633" t="s">
        <v>4200</v>
      </c>
      <c r="M409" s="1636">
        <v>1</v>
      </c>
      <c r="N409" s="193"/>
      <c r="O409" s="1637">
        <f ca="1">M409*S409*W409</f>
        <v>0</v>
      </c>
      <c r="P409" s="96" t="b">
        <v>0</v>
      </c>
      <c r="Q409" s="96" t="b">
        <v>1</v>
      </c>
      <c r="R409" s="96" t="b">
        <v>0</v>
      </c>
      <c r="S409" s="96" t="b">
        <f ca="1">AND(S11=2,NOT(W411),NOT(W407))</f>
        <v>0</v>
      </c>
      <c r="T409" s="96" t="b">
        <f ca="1">AND(NOT(S409),W409=TRUE)</f>
        <v>0</v>
      </c>
      <c r="W409" s="27"/>
      <c r="X409" s="1600"/>
      <c r="AC409" s="881" t="b">
        <f ca="1">OR(AD409:AE409)</f>
        <v>0</v>
      </c>
      <c r="AD409" s="881" t="b">
        <f ca="1">T409</f>
        <v>0</v>
      </c>
      <c r="AE409" s="881" t="b">
        <f>AND(R409,NOT(W409))</f>
        <v>0</v>
      </c>
      <c r="AL409" s="1352" t="str">
        <f>SUBSTITUTE(SUBSTITUTE(SUBSTITUTE("dpa"&amp;$B409&amp;$C409&amp;$D409&amp;$E409&amp;$F409,".","_"),"(","_"),")","")</f>
        <v>dpa703_6_1_2</v>
      </c>
      <c r="AM409" s="1352">
        <f>M409</f>
        <v>1</v>
      </c>
      <c r="AN409" s="1352" t="str">
        <f>SUBSTITUTE(SUBSTITUTE(SUBSTITUTE("dpc"&amp;$B409&amp;$C409&amp;$D409&amp;$E409&amp;$F409,".","_"),"(","_"),")","")</f>
        <v>dpc703_6_1_2</v>
      </c>
      <c r="AO409" s="1352">
        <f ca="1">O409</f>
        <v>0</v>
      </c>
      <c r="AP409" s="1352" t="str">
        <f>SUBSTITUTE(SUBSTITUTE(SUBSTITUTE("dch"&amp;$B409&amp;$C409&amp;$D409&amp;$E409&amp;$F409,".","_"),"(","_"),")","")</f>
        <v>dch703_6_1_2</v>
      </c>
      <c r="AQ409" s="1352" t="str">
        <f>IF(LEN(W409)=0,"",W409)</f>
        <v/>
      </c>
      <c r="AR409" s="1352" t="str">
        <f>SUBSTITUTE(SUBSTITUTE(SUBSTITUTE("dnt"&amp;$B409&amp;$C409&amp;$D409&amp;$E409&amp;$F409,".","_"),"(","_"),")","")</f>
        <v>dnt703_6_1_2</v>
      </c>
      <c r="AS409" s="1352" t="str">
        <f>IF(LEN(X409)=0,"",X409)</f>
        <v/>
      </c>
    </row>
    <row r="410" spans="2:45" s="843" customFormat="1" ht="15" customHeight="1" x14ac:dyDescent="0.2">
      <c r="B410" s="600" t="s">
        <v>4441</v>
      </c>
      <c r="C410" s="600" t="s">
        <v>255</v>
      </c>
      <c r="D410" s="600"/>
      <c r="E410" s="600"/>
      <c r="F410" s="23"/>
      <c r="G410" s="23"/>
      <c r="H410" s="691"/>
      <c r="I410" s="589"/>
      <c r="J410" s="606"/>
      <c r="K410" s="606"/>
      <c r="L410" s="1639"/>
      <c r="M410" s="1624"/>
      <c r="N410" s="213"/>
      <c r="O410" s="1620"/>
      <c r="P410" s="96"/>
      <c r="Q410" s="96"/>
      <c r="R410" s="96"/>
      <c r="S410" s="96"/>
      <c r="T410" s="96"/>
      <c r="W410"/>
      <c r="X410" s="1600"/>
      <c r="AL410" s="78"/>
      <c r="AM410" s="78"/>
      <c r="AN410" s="78"/>
      <c r="AO410" s="78"/>
      <c r="AP410" s="78"/>
      <c r="AQ410" s="78"/>
      <c r="AR410" s="78"/>
      <c r="AS410" s="78"/>
    </row>
    <row r="411" spans="2:45" s="843" customFormat="1" ht="15" customHeight="1" x14ac:dyDescent="0.2">
      <c r="B411" s="600" t="s">
        <v>4441</v>
      </c>
      <c r="C411" s="600" t="s">
        <v>256</v>
      </c>
      <c r="D411" s="600"/>
      <c r="E411" s="600"/>
      <c r="F411" s="23"/>
      <c r="G411" s="23"/>
      <c r="H411" s="691"/>
      <c r="I411" s="590"/>
      <c r="J411" s="590" t="s">
        <v>256</v>
      </c>
      <c r="K411" s="590"/>
      <c r="L411" s="1634" t="s">
        <v>4201</v>
      </c>
      <c r="M411" s="1623">
        <v>7</v>
      </c>
      <c r="N411" s="129"/>
      <c r="O411" s="1619">
        <f ca="1">M411*S411*W411</f>
        <v>0</v>
      </c>
      <c r="P411" s="96" t="b">
        <v>0</v>
      </c>
      <c r="Q411" s="96" t="b">
        <v>1</v>
      </c>
      <c r="R411" s="96" t="b">
        <v>0</v>
      </c>
      <c r="S411" s="96" t="b">
        <f ca="1">AND(S11=2,IF(AY19=INDEX(ddSingleOrMulti,2),TRUE,FALSE),NOT(W409),NOT(W407))</f>
        <v>0</v>
      </c>
      <c r="T411" s="96" t="b">
        <f ca="1">AND(NOT(S411),W411=TRUE)</f>
        <v>0</v>
      </c>
      <c r="W411" s="27"/>
      <c r="X411" s="1600"/>
      <c r="AC411" s="881" t="b">
        <f ca="1">OR(AD411:AE411)</f>
        <v>0</v>
      </c>
      <c r="AD411" s="881" t="b">
        <f ca="1">T411</f>
        <v>0</v>
      </c>
      <c r="AE411" s="881" t="b">
        <f>AND(R411,NOT(W411))</f>
        <v>0</v>
      </c>
      <c r="AL411" s="1352" t="str">
        <f>SUBSTITUTE(SUBSTITUTE(SUBSTITUTE("dpa"&amp;$B411&amp;$C411&amp;$D411&amp;$E411&amp;$F411,".","_"),"(","_"),")","")</f>
        <v>dpa703_6_1_3</v>
      </c>
      <c r="AM411" s="1352">
        <f>M411</f>
        <v>7</v>
      </c>
      <c r="AN411" s="1352" t="str">
        <f>SUBSTITUTE(SUBSTITUTE(SUBSTITUTE("dpc"&amp;$B411&amp;$C411&amp;$D411&amp;$E411&amp;$F411,".","_"),"(","_"),")","")</f>
        <v>dpc703_6_1_3</v>
      </c>
      <c r="AO411" s="1352">
        <f ca="1">O411</f>
        <v>0</v>
      </c>
      <c r="AP411" s="1352" t="str">
        <f>SUBSTITUTE(SUBSTITUTE(SUBSTITUTE("dch"&amp;$B411&amp;$C411&amp;$D411&amp;$E411&amp;$F411,".","_"),"(","_"),")","")</f>
        <v>dch703_6_1_3</v>
      </c>
      <c r="AQ411" s="1352" t="str">
        <f>IF(LEN(W411)=0,"",W411)</f>
        <v/>
      </c>
      <c r="AR411" s="1352" t="str">
        <f>SUBSTITUTE(SUBSTITUTE(SUBSTITUTE("dnt"&amp;$B411&amp;$C411&amp;$D411&amp;$E411&amp;$F411,".","_"),"(","_"),")","")</f>
        <v>dnt703_6_1_3</v>
      </c>
      <c r="AS411" s="1352" t="str">
        <f>IF(LEN(X411)=0,"",X411)</f>
        <v/>
      </c>
    </row>
    <row r="412" spans="2:45" s="843" customFormat="1" ht="15" customHeight="1" x14ac:dyDescent="0.2">
      <c r="B412" s="600" t="s">
        <v>4441</v>
      </c>
      <c r="C412" s="600" t="s">
        <v>256</v>
      </c>
      <c r="D412" s="600"/>
      <c r="E412" s="600"/>
      <c r="F412" s="23"/>
      <c r="G412" s="23"/>
      <c r="H412" s="691"/>
      <c r="I412" s="606"/>
      <c r="J412" s="606"/>
      <c r="K412" s="606"/>
      <c r="L412" s="1639"/>
      <c r="M412" s="1624"/>
      <c r="N412" s="213"/>
      <c r="O412" s="1620"/>
      <c r="P412" s="96"/>
      <c r="Q412" s="96"/>
      <c r="R412" s="96"/>
      <c r="S412" s="96"/>
      <c r="T412" s="96"/>
      <c r="W412" s="965"/>
      <c r="X412" s="1600"/>
      <c r="AL412" s="78"/>
      <c r="AM412" s="78"/>
      <c r="AN412" s="78"/>
      <c r="AO412" s="78"/>
      <c r="AP412" s="78"/>
      <c r="AQ412" s="78"/>
      <c r="AR412" s="78"/>
      <c r="AS412" s="78"/>
    </row>
    <row r="413" spans="2:45" s="843" customFormat="1" ht="15" customHeight="1" x14ac:dyDescent="0.2">
      <c r="B413" s="600" t="s">
        <v>4442</v>
      </c>
      <c r="C413" s="600"/>
      <c r="D413" s="600"/>
      <c r="E413" s="600"/>
      <c r="F413" s="23"/>
      <c r="G413" s="23"/>
      <c r="H413" s="691"/>
      <c r="I413" s="589" t="s">
        <v>4202</v>
      </c>
      <c r="J413" s="589"/>
      <c r="K413" s="589"/>
      <c r="L413" s="869" t="s">
        <v>4203</v>
      </c>
      <c r="M413" s="96"/>
      <c r="N413" s="96"/>
      <c r="O413" s="96"/>
      <c r="P413" s="96"/>
      <c r="Q413" s="96"/>
      <c r="R413" s="96"/>
      <c r="S413" s="96"/>
      <c r="T413" s="96"/>
      <c r="AL413" s="78"/>
      <c r="AM413" s="78"/>
      <c r="AN413" s="78"/>
      <c r="AO413" s="78"/>
      <c r="AP413" s="78"/>
      <c r="AQ413" s="78"/>
      <c r="AR413" s="78"/>
      <c r="AS413" s="78"/>
    </row>
    <row r="414" spans="2:45" s="843" customFormat="1" ht="15" customHeight="1" x14ac:dyDescent="0.2">
      <c r="B414" s="600" t="s">
        <v>4442</v>
      </c>
      <c r="C414" s="600" t="s">
        <v>254</v>
      </c>
      <c r="D414" s="600"/>
      <c r="E414" s="600"/>
      <c r="F414" s="23"/>
      <c r="G414" s="23"/>
      <c r="H414" s="691"/>
      <c r="I414" s="589"/>
      <c r="J414" s="606" t="s">
        <v>254</v>
      </c>
      <c r="K414" s="606"/>
      <c r="L414" s="923" t="s">
        <v>4204</v>
      </c>
      <c r="M414" s="937">
        <v>1</v>
      </c>
      <c r="N414" s="213"/>
      <c r="O414" s="909">
        <f ca="1">M414*S414*W414</f>
        <v>0</v>
      </c>
      <c r="P414" s="96" t="b">
        <v>0</v>
      </c>
      <c r="Q414" s="96" t="b">
        <v>1</v>
      </c>
      <c r="R414" s="96" t="b">
        <v>0</v>
      </c>
      <c r="S414" s="96" t="b">
        <f ca="1">S11=2</f>
        <v>0</v>
      </c>
      <c r="T414" s="96" t="b">
        <f ca="1">AND(NOT(S414),W414=TRUE)</f>
        <v>0</v>
      </c>
      <c r="W414" s="27"/>
      <c r="X414" s="889"/>
      <c r="AC414" s="881" t="b">
        <f ca="1">OR(AD414:AE414)</f>
        <v>0</v>
      </c>
      <c r="AD414" s="881" t="b">
        <f ca="1">T414</f>
        <v>0</v>
      </c>
      <c r="AE414" s="881" t="b">
        <f>AND(R414,NOT(W414))</f>
        <v>0</v>
      </c>
      <c r="AL414" s="1352" t="str">
        <f>SUBSTITUTE(SUBSTITUTE(SUBSTITUTE("dpa"&amp;$B414&amp;$C414&amp;$D414&amp;$E414&amp;$F414,".","_"),"(","_"),")","")</f>
        <v>dpa703_6_2_1</v>
      </c>
      <c r="AM414" s="1352">
        <f>M414</f>
        <v>1</v>
      </c>
      <c r="AN414" s="1352" t="str">
        <f>SUBSTITUTE(SUBSTITUTE(SUBSTITUTE("dpc"&amp;$B414&amp;$C414&amp;$D414&amp;$E414&amp;$F414,".","_"),"(","_"),")","")</f>
        <v>dpc703_6_2_1</v>
      </c>
      <c r="AO414" s="1352">
        <f ca="1">O414</f>
        <v>0</v>
      </c>
      <c r="AP414" s="1352" t="str">
        <f>SUBSTITUTE(SUBSTITUTE(SUBSTITUTE("dch"&amp;$B414&amp;$C414&amp;$D414&amp;$E414&amp;$F414,".","_"),"(","_"),")","")</f>
        <v>dch703_6_2_1</v>
      </c>
      <c r="AQ414" s="1352" t="str">
        <f>IF(LEN(W414)=0,"",W414)</f>
        <v/>
      </c>
      <c r="AR414" s="1352" t="str">
        <f>SUBSTITUTE(SUBSTITUTE(SUBSTITUTE("dnt"&amp;$B414&amp;$C414&amp;$D414&amp;$E414&amp;$F414,".","_"),"(","_"),")","")</f>
        <v>dnt703_6_2_1</v>
      </c>
      <c r="AS414" s="1352" t="str">
        <f>IF(LEN(X414)=0,"",X414)</f>
        <v/>
      </c>
    </row>
    <row r="415" spans="2:45" s="843" customFormat="1" ht="15" customHeight="1" x14ac:dyDescent="0.2">
      <c r="B415" s="600" t="s">
        <v>4442</v>
      </c>
      <c r="C415" s="600" t="s">
        <v>255</v>
      </c>
      <c r="D415" s="600"/>
      <c r="E415" s="600"/>
      <c r="F415" s="23"/>
      <c r="G415" s="23"/>
      <c r="H415" s="691"/>
      <c r="I415" s="589"/>
      <c r="J415" s="607" t="s">
        <v>255</v>
      </c>
      <c r="K415" s="607"/>
      <c r="L415" s="1075" t="s">
        <v>4205</v>
      </c>
      <c r="M415" s="379">
        <v>1</v>
      </c>
      <c r="N415" s="242"/>
      <c r="O415" s="378">
        <f ca="1">M415*S415*W415</f>
        <v>0</v>
      </c>
      <c r="P415" s="96" t="b">
        <v>0</v>
      </c>
      <c r="Q415" s="96" t="b">
        <v>1</v>
      </c>
      <c r="R415" s="96" t="b">
        <v>0</v>
      </c>
      <c r="S415" s="96" t="b">
        <f ca="1">S11=2</f>
        <v>0</v>
      </c>
      <c r="T415" s="96" t="b">
        <f ca="1">AND(NOT(S415),W415=TRUE)</f>
        <v>0</v>
      </c>
      <c r="W415" s="27"/>
      <c r="X415" s="889"/>
      <c r="AC415" s="881" t="b">
        <f ca="1">OR(AD415:AE415)</f>
        <v>0</v>
      </c>
      <c r="AD415" s="881" t="b">
        <f ca="1">T415</f>
        <v>0</v>
      </c>
      <c r="AE415" s="881" t="b">
        <f>AND(R415,NOT(W415))</f>
        <v>0</v>
      </c>
      <c r="AL415" s="1352" t="str">
        <f>SUBSTITUTE(SUBSTITUTE(SUBSTITUTE("dpa"&amp;$B415&amp;$C415&amp;$D415&amp;$E415&amp;$F415,".","_"),"(","_"),")","")</f>
        <v>dpa703_6_2_2</v>
      </c>
      <c r="AM415" s="1352">
        <f>M415</f>
        <v>1</v>
      </c>
      <c r="AN415" s="1352" t="str">
        <f>SUBSTITUTE(SUBSTITUTE(SUBSTITUTE("dpc"&amp;$B415&amp;$C415&amp;$D415&amp;$E415&amp;$F415,".","_"),"(","_"),")","")</f>
        <v>dpc703_6_2_2</v>
      </c>
      <c r="AO415" s="1352">
        <f ca="1">O415</f>
        <v>0</v>
      </c>
      <c r="AP415" s="1352" t="str">
        <f>SUBSTITUTE(SUBSTITUTE(SUBSTITUTE("dch"&amp;$B415&amp;$C415&amp;$D415&amp;$E415&amp;$F415,".","_"),"(","_"),")","")</f>
        <v>dch703_6_2_2</v>
      </c>
      <c r="AQ415" s="1352" t="str">
        <f>IF(LEN(W415)=0,"",W415)</f>
        <v/>
      </c>
      <c r="AR415" s="1352" t="str">
        <f>SUBSTITUTE(SUBSTITUTE(SUBSTITUTE("dnt"&amp;$B415&amp;$C415&amp;$D415&amp;$E415&amp;$F415,".","_"),"(","_"),")","")</f>
        <v>dnt703_6_2_2</v>
      </c>
      <c r="AS415" s="1352" t="str">
        <f>IF(LEN(X415)=0,"",X415)</f>
        <v/>
      </c>
    </row>
    <row r="416" spans="2:45" s="843" customFormat="1" ht="15" customHeight="1" x14ac:dyDescent="0.2">
      <c r="B416" s="600" t="s">
        <v>4442</v>
      </c>
      <c r="C416" s="600" t="s">
        <v>256</v>
      </c>
      <c r="D416" s="600"/>
      <c r="E416" s="600"/>
      <c r="F416" s="23"/>
      <c r="G416" s="23"/>
      <c r="H416" s="691"/>
      <c r="I416" s="590"/>
      <c r="J416" s="590" t="s">
        <v>256</v>
      </c>
      <c r="K416" s="590"/>
      <c r="L416" s="917" t="s">
        <v>4206</v>
      </c>
      <c r="M416" s="913">
        <v>4</v>
      </c>
      <c r="N416" s="129"/>
      <c r="O416" s="908">
        <f ca="1">M416*S416*W416</f>
        <v>0</v>
      </c>
      <c r="P416" s="991" t="b">
        <v>0</v>
      </c>
      <c r="Q416" s="991" t="b">
        <v>1</v>
      </c>
      <c r="R416" s="991" t="b">
        <v>0</v>
      </c>
      <c r="S416" s="991" t="b">
        <f ca="1">S11=2</f>
        <v>0</v>
      </c>
      <c r="T416" s="991" t="b">
        <f ca="1">AND(NOT(S416),W416=TRUE)</f>
        <v>0</v>
      </c>
      <c r="U416" s="991"/>
      <c r="V416" s="991"/>
      <c r="W416" s="333"/>
      <c r="X416" s="1601"/>
      <c r="AC416" s="881" t="b">
        <f ca="1">OR(AD416:AE416)</f>
        <v>0</v>
      </c>
      <c r="AD416" s="881" t="b">
        <f ca="1">T416</f>
        <v>0</v>
      </c>
      <c r="AE416" s="881" t="b">
        <f>AND(R416,NOT(W416))</f>
        <v>0</v>
      </c>
      <c r="AL416" s="1352" t="str">
        <f>SUBSTITUTE(SUBSTITUTE(SUBSTITUTE("dpa"&amp;$B416&amp;$C416&amp;$D416&amp;$E416&amp;$F416,".","_"),"(","_"),")","")</f>
        <v>dpa703_6_2_3</v>
      </c>
      <c r="AM416" s="1352">
        <f>M416</f>
        <v>4</v>
      </c>
      <c r="AN416" s="1352" t="str">
        <f>SUBSTITUTE(SUBSTITUTE(SUBSTITUTE("dpc"&amp;$B416&amp;$C416&amp;$D416&amp;$E416&amp;$F416,".","_"),"(","_"),")","")</f>
        <v>dpc703_6_2_3</v>
      </c>
      <c r="AO416" s="1352">
        <f ca="1">O416</f>
        <v>0</v>
      </c>
      <c r="AP416" s="1352" t="str">
        <f>SUBSTITUTE(SUBSTITUTE(SUBSTITUTE("dch"&amp;$B416&amp;$C416&amp;$D416&amp;$E416&amp;$F416,".","_"),"(","_"),")","")</f>
        <v>dch703_6_2_3</v>
      </c>
      <c r="AQ416" s="1352" t="str">
        <f>IF(LEN(W416)=0,"",W416)</f>
        <v/>
      </c>
      <c r="AR416" s="1352" t="str">
        <f>SUBSTITUTE(SUBSTITUTE(SUBSTITUTE("dnt"&amp;$B416&amp;$C416&amp;$D416&amp;$E416&amp;$F416,".","_"),"(","_"),")","")</f>
        <v>dnt703_6_2_3</v>
      </c>
      <c r="AS416" s="1352" t="str">
        <f>IF(LEN(X416)=0,"",X416)</f>
        <v/>
      </c>
    </row>
    <row r="417" spans="2:51" customFormat="1" ht="15" customHeight="1" thickBot="1" x14ac:dyDescent="0.25">
      <c r="B417" s="600" t="s">
        <v>4442</v>
      </c>
      <c r="C417" s="600" t="s">
        <v>256</v>
      </c>
      <c r="I417" s="100"/>
      <c r="J417" s="100"/>
      <c r="K417" s="100"/>
      <c r="L417" s="709" t="s">
        <v>4846</v>
      </c>
      <c r="M417" s="100"/>
      <c r="N417" s="100"/>
      <c r="O417" s="100"/>
      <c r="P417" s="100"/>
      <c r="Q417" s="100"/>
      <c r="R417" s="100"/>
      <c r="S417" s="100"/>
      <c r="T417" s="100"/>
      <c r="U417" s="100"/>
      <c r="V417" s="100"/>
      <c r="W417" s="100"/>
      <c r="X417" s="1602"/>
      <c r="AL417" s="78"/>
      <c r="AM417" s="78"/>
      <c r="AN417" s="78"/>
      <c r="AO417" s="78"/>
      <c r="AP417" s="78"/>
      <c r="AQ417" s="78"/>
      <c r="AR417" s="78"/>
      <c r="AS417" s="78"/>
      <c r="AX417" s="843"/>
      <c r="AY417" s="843"/>
    </row>
    <row r="418" spans="2:51" s="843" customFormat="1" ht="15" customHeight="1" thickTop="1" x14ac:dyDescent="0.2">
      <c r="B418" s="600">
        <v>703.7</v>
      </c>
      <c r="C418" s="600"/>
      <c r="D418" s="600"/>
      <c r="E418" s="600"/>
      <c r="F418" s="23"/>
      <c r="G418" s="23"/>
      <c r="H418" s="691"/>
      <c r="I418" s="589" t="s">
        <v>4207</v>
      </c>
      <c r="J418" s="589"/>
      <c r="K418" s="589"/>
      <c r="L418" s="869" t="s">
        <v>4208</v>
      </c>
      <c r="M418" s="96"/>
      <c r="N418" s="96"/>
      <c r="O418" s="96"/>
      <c r="P418" s="96"/>
      <c r="Q418" s="96"/>
      <c r="R418" s="96"/>
      <c r="S418" s="96"/>
      <c r="T418" s="96"/>
      <c r="AL418" s="78"/>
      <c r="AM418" s="78"/>
      <c r="AN418" s="78"/>
      <c r="AO418" s="78"/>
      <c r="AP418" s="78"/>
      <c r="AQ418" s="78"/>
      <c r="AR418" s="78"/>
      <c r="AS418" s="78"/>
    </row>
    <row r="419" spans="2:51" s="843" customFormat="1" ht="15" customHeight="1" x14ac:dyDescent="0.2">
      <c r="B419" s="600" t="s">
        <v>4443</v>
      </c>
      <c r="C419" s="600"/>
      <c r="D419" s="600"/>
      <c r="E419" s="600"/>
      <c r="F419" s="23"/>
      <c r="G419" s="23"/>
      <c r="H419" s="691"/>
      <c r="I419" s="589" t="s">
        <v>4209</v>
      </c>
      <c r="J419" s="589"/>
      <c r="K419" s="589"/>
      <c r="L419" s="1687" t="s">
        <v>4210</v>
      </c>
      <c r="M419" s="1623">
        <v>4</v>
      </c>
      <c r="N419" s="129"/>
      <c r="O419" s="1619">
        <f ca="1">M419*S419*W419</f>
        <v>0</v>
      </c>
      <c r="P419" s="96" t="b">
        <v>1</v>
      </c>
      <c r="Q419" s="96" t="b">
        <v>1</v>
      </c>
      <c r="R419" s="96" t="b">
        <v>0</v>
      </c>
      <c r="S419" s="96" t="b">
        <f ca="1">S11=2</f>
        <v>0</v>
      </c>
      <c r="T419" s="96" t="b">
        <f ca="1">AND(NOT(S419),W419=TRUE)</f>
        <v>0</v>
      </c>
      <c r="W419" s="27"/>
      <c r="X419"/>
      <c r="AC419" s="881" t="b">
        <f ca="1">OR(AD419:AE419)</f>
        <v>0</v>
      </c>
      <c r="AD419" s="881" t="b">
        <f ca="1">T419</f>
        <v>0</v>
      </c>
      <c r="AE419" s="881" t="b">
        <f>AND(R419,NOT(W419))</f>
        <v>0</v>
      </c>
      <c r="AL419" s="1352" t="str">
        <f>SUBSTITUTE(SUBSTITUTE(SUBSTITUTE("dpa"&amp;$B419&amp;$C419&amp;$D419&amp;$E419&amp;$F419,".","_"),"(","_"),")","")</f>
        <v>dpa703_7_1</v>
      </c>
      <c r="AM419" s="1352">
        <f>M419</f>
        <v>4</v>
      </c>
      <c r="AN419" s="1352" t="str">
        <f>SUBSTITUTE(SUBSTITUTE(SUBSTITUTE("dpc"&amp;$B419&amp;$C419&amp;$D419&amp;$E419&amp;$F419,".","_"),"(","_"),")","")</f>
        <v>dpc703_7_1</v>
      </c>
      <c r="AO419" s="1352">
        <f ca="1">O419</f>
        <v>0</v>
      </c>
      <c r="AP419" s="1352" t="str">
        <f>SUBSTITUTE(SUBSTITUTE(SUBSTITUTE("dch"&amp;$B419&amp;$C419&amp;$D419&amp;$E419&amp;$F419,".","_"),"(","_"),")","")</f>
        <v>dch703_7_1</v>
      </c>
      <c r="AQ419" s="1352" t="str">
        <f>IF(LEN(W419)=0,"",W419)</f>
        <v/>
      </c>
      <c r="AR419" s="78"/>
      <c r="AS419" s="78"/>
      <c r="AX419"/>
      <c r="AY419"/>
    </row>
    <row r="420" spans="2:51" s="843" customFormat="1" ht="15" customHeight="1" x14ac:dyDescent="0.2">
      <c r="B420" s="600" t="s">
        <v>4443</v>
      </c>
      <c r="C420" s="600"/>
      <c r="D420" s="600"/>
      <c r="E420" s="600"/>
      <c r="F420" s="23"/>
      <c r="G420" s="23"/>
      <c r="H420" s="691"/>
      <c r="I420" s="589"/>
      <c r="J420" s="589"/>
      <c r="K420" s="589"/>
      <c r="L420" s="1687"/>
      <c r="M420" s="1623"/>
      <c r="N420" s="129"/>
      <c r="O420" s="1619"/>
      <c r="P420" s="96"/>
      <c r="Q420" s="96"/>
      <c r="R420" s="96"/>
      <c r="S420" s="96"/>
      <c r="T420" s="96"/>
      <c r="AL420" s="78"/>
      <c r="AM420" s="78"/>
      <c r="AN420" s="78"/>
      <c r="AO420" s="78"/>
      <c r="AP420" s="78"/>
      <c r="AQ420" s="78"/>
      <c r="AR420" s="78"/>
      <c r="AS420" s="78"/>
    </row>
    <row r="421" spans="2:51" s="843" customFormat="1" ht="15" customHeight="1" x14ac:dyDescent="0.2">
      <c r="B421" s="600" t="s">
        <v>4443</v>
      </c>
      <c r="C421" s="600" t="s">
        <v>254</v>
      </c>
      <c r="D421" s="600"/>
      <c r="E421" s="600"/>
      <c r="F421" s="23"/>
      <c r="G421" s="23"/>
      <c r="H421" s="691"/>
      <c r="I421" s="589"/>
      <c r="J421" s="590" t="s">
        <v>254</v>
      </c>
      <c r="K421" s="590"/>
      <c r="L421" s="1634" t="s">
        <v>4211</v>
      </c>
      <c r="M421" s="96"/>
      <c r="N421" s="96"/>
      <c r="O421" s="96"/>
      <c r="P421" s="96"/>
      <c r="Q421" s="96"/>
      <c r="R421" s="96"/>
      <c r="S421" s="96"/>
      <c r="T421" s="96"/>
      <c r="X421" s="1600"/>
      <c r="AL421" s="78"/>
      <c r="AM421" s="78"/>
      <c r="AN421" s="78"/>
      <c r="AO421" s="78"/>
      <c r="AP421" s="78"/>
      <c r="AQ421" s="78"/>
      <c r="AR421" s="1352" t="str">
        <f>SUBSTITUTE(SUBSTITUTE(SUBSTITUTE("dnt"&amp;$B421&amp;$C421&amp;$D421&amp;$E421&amp;$F421,".","_"),"(","_"),")","")</f>
        <v>dnt703_7_1_1</v>
      </c>
      <c r="AS421" s="1352" t="str">
        <f>IF(LEN(X421)=0,"",X421)</f>
        <v/>
      </c>
    </row>
    <row r="422" spans="2:51" s="843" customFormat="1" ht="15" customHeight="1" x14ac:dyDescent="0.2">
      <c r="B422" s="600" t="s">
        <v>4443</v>
      </c>
      <c r="C422" s="600" t="s">
        <v>254</v>
      </c>
      <c r="D422" s="600"/>
      <c r="E422" s="600"/>
      <c r="F422" s="23"/>
      <c r="G422" s="23"/>
      <c r="H422" s="691"/>
      <c r="I422" s="589"/>
      <c r="J422" s="606"/>
      <c r="K422" s="606"/>
      <c r="L422" s="1639"/>
      <c r="M422" s="96"/>
      <c r="N422" s="96"/>
      <c r="O422" s="96"/>
      <c r="P422" s="96"/>
      <c r="Q422" s="96"/>
      <c r="R422" s="96"/>
      <c r="S422" s="96"/>
      <c r="T422" s="96"/>
      <c r="X422" s="1600"/>
      <c r="AL422" s="78"/>
      <c r="AM422" s="78"/>
      <c r="AN422" s="78"/>
      <c r="AO422" s="78"/>
      <c r="AP422" s="78"/>
      <c r="AQ422" s="78"/>
      <c r="AR422" s="78"/>
      <c r="AS422" s="78"/>
    </row>
    <row r="423" spans="2:51" s="843" customFormat="1" ht="15" customHeight="1" x14ac:dyDescent="0.2">
      <c r="B423" s="600" t="s">
        <v>4443</v>
      </c>
      <c r="C423" s="600" t="s">
        <v>255</v>
      </c>
      <c r="D423" s="600"/>
      <c r="E423" s="600"/>
      <c r="F423" s="23"/>
      <c r="G423" s="23"/>
      <c r="H423" s="691"/>
      <c r="I423" s="589"/>
      <c r="J423" s="608" t="s">
        <v>255</v>
      </c>
      <c r="K423" s="608"/>
      <c r="L423" s="1633" t="s">
        <v>4212</v>
      </c>
      <c r="M423" s="96"/>
      <c r="N423" s="96"/>
      <c r="O423" s="96"/>
      <c r="P423" s="96"/>
      <c r="Q423" s="96"/>
      <c r="R423" s="96"/>
      <c r="S423" s="96"/>
      <c r="T423" s="96"/>
      <c r="X423" s="1600"/>
      <c r="AL423" s="78"/>
      <c r="AM423" s="78"/>
      <c r="AN423" s="78"/>
      <c r="AO423" s="78"/>
      <c r="AP423" s="78"/>
      <c r="AQ423" s="78"/>
      <c r="AR423" s="1352" t="str">
        <f>SUBSTITUTE(SUBSTITUTE(SUBSTITUTE("dnt"&amp;$B423&amp;$C423&amp;$D423&amp;$E423&amp;$F423,".","_"),"(","_"),")","")</f>
        <v>dnt703_7_1_2</v>
      </c>
      <c r="AS423" s="1352" t="str">
        <f>IF(LEN(X423)=0,"",X423)</f>
        <v/>
      </c>
    </row>
    <row r="424" spans="2:51" s="843" customFormat="1" ht="15" customHeight="1" x14ac:dyDescent="0.2">
      <c r="B424" s="600" t="s">
        <v>4443</v>
      </c>
      <c r="C424" s="600" t="s">
        <v>255</v>
      </c>
      <c r="D424" s="600"/>
      <c r="E424" s="600"/>
      <c r="F424" s="23"/>
      <c r="G424" s="23"/>
      <c r="H424" s="691"/>
      <c r="I424" s="589"/>
      <c r="J424" s="590"/>
      <c r="K424" s="590"/>
      <c r="L424" s="1634"/>
      <c r="M424" s="96"/>
      <c r="N424" s="96"/>
      <c r="O424" s="96"/>
      <c r="P424" s="96"/>
      <c r="Q424" s="96"/>
      <c r="R424" s="96"/>
      <c r="S424" s="96"/>
      <c r="T424" s="96"/>
      <c r="X424" s="1600"/>
      <c r="AL424" s="78"/>
      <c r="AM424" s="78"/>
      <c r="AN424" s="78"/>
      <c r="AO424" s="78"/>
      <c r="AP424" s="78"/>
      <c r="AQ424" s="78"/>
      <c r="AR424" s="78"/>
      <c r="AS424" s="78"/>
    </row>
    <row r="425" spans="2:51" s="843" customFormat="1" ht="15" customHeight="1" x14ac:dyDescent="0.2">
      <c r="B425" s="600" t="s">
        <v>4443</v>
      </c>
      <c r="C425" s="600" t="s">
        <v>255</v>
      </c>
      <c r="D425" s="600"/>
      <c r="E425" s="600"/>
      <c r="F425" s="23"/>
      <c r="G425" s="23"/>
      <c r="H425" s="691"/>
      <c r="I425" s="589"/>
      <c r="J425" s="606"/>
      <c r="K425" s="606"/>
      <c r="L425" s="1639"/>
      <c r="M425" s="96"/>
      <c r="N425" s="96"/>
      <c r="O425" s="96"/>
      <c r="P425" s="96"/>
      <c r="Q425" s="96"/>
      <c r="R425" s="96"/>
      <c r="S425" s="96"/>
      <c r="T425" s="96"/>
      <c r="X425" s="1600"/>
      <c r="AL425" s="78"/>
      <c r="AM425" s="78"/>
      <c r="AN425" s="78"/>
      <c r="AO425" s="78"/>
      <c r="AP425" s="78"/>
      <c r="AQ425" s="78"/>
      <c r="AR425" s="78"/>
      <c r="AS425" s="78"/>
    </row>
    <row r="426" spans="2:51" s="843" customFormat="1" ht="15" customHeight="1" x14ac:dyDescent="0.2">
      <c r="B426" s="600" t="s">
        <v>4443</v>
      </c>
      <c r="C426" s="600" t="s">
        <v>256</v>
      </c>
      <c r="D426" s="600"/>
      <c r="E426" s="600"/>
      <c r="F426" s="23"/>
      <c r="G426" s="23"/>
      <c r="H426" s="691"/>
      <c r="I426" s="589"/>
      <c r="J426" s="608" t="s">
        <v>256</v>
      </c>
      <c r="K426" s="608"/>
      <c r="L426" s="1633" t="s">
        <v>4213</v>
      </c>
      <c r="M426" s="96"/>
      <c r="N426" s="96"/>
      <c r="O426" s="96"/>
      <c r="P426" s="96"/>
      <c r="Q426" s="96"/>
      <c r="R426" s="96"/>
      <c r="S426" s="96"/>
      <c r="T426" s="96"/>
      <c r="X426" s="1600"/>
      <c r="AL426" s="78"/>
      <c r="AM426" s="78"/>
      <c r="AN426" s="78"/>
      <c r="AO426" s="78"/>
      <c r="AP426" s="78"/>
      <c r="AQ426" s="78"/>
      <c r="AR426" s="1352" t="str">
        <f>SUBSTITUTE(SUBSTITUTE(SUBSTITUTE("dnt"&amp;$B426&amp;$C426&amp;$D426&amp;$E426&amp;$F426,".","_"),"(","_"),")","")</f>
        <v>dnt703_7_1_3</v>
      </c>
      <c r="AS426" s="1352" t="str">
        <f>IF(LEN(X426)=0,"",X426)</f>
        <v/>
      </c>
    </row>
    <row r="427" spans="2:51" s="843" customFormat="1" ht="15" customHeight="1" x14ac:dyDescent="0.2">
      <c r="B427" s="600" t="s">
        <v>4443</v>
      </c>
      <c r="C427" s="600" t="s">
        <v>256</v>
      </c>
      <c r="D427" s="600"/>
      <c r="E427" s="600"/>
      <c r="F427" s="23"/>
      <c r="G427" s="23"/>
      <c r="H427" s="691"/>
      <c r="I427" s="589"/>
      <c r="J427" s="606"/>
      <c r="K427" s="606"/>
      <c r="L427" s="1639"/>
      <c r="M427" s="96"/>
      <c r="N427" s="96"/>
      <c r="O427" s="96"/>
      <c r="P427" s="96"/>
      <c r="Q427" s="96"/>
      <c r="R427" s="96"/>
      <c r="S427" s="96"/>
      <c r="T427" s="96"/>
      <c r="X427" s="1600"/>
      <c r="AL427" s="78"/>
      <c r="AM427" s="78"/>
      <c r="AN427" s="78"/>
      <c r="AO427" s="78"/>
      <c r="AP427" s="78"/>
      <c r="AQ427" s="78"/>
      <c r="AR427" s="78"/>
      <c r="AS427" s="78"/>
    </row>
    <row r="428" spans="2:51" s="843" customFormat="1" ht="15" customHeight="1" x14ac:dyDescent="0.2">
      <c r="B428" s="600" t="s">
        <v>4443</v>
      </c>
      <c r="C428" s="600" t="s">
        <v>259</v>
      </c>
      <c r="D428" s="600"/>
      <c r="E428" s="600"/>
      <c r="F428" s="23"/>
      <c r="G428" s="23"/>
      <c r="H428" s="691"/>
      <c r="I428" s="589"/>
      <c r="J428" s="608" t="s">
        <v>259</v>
      </c>
      <c r="K428" s="608"/>
      <c r="L428" s="1633" t="s">
        <v>4214</v>
      </c>
      <c r="M428" s="96"/>
      <c r="N428" s="96"/>
      <c r="O428" s="96"/>
      <c r="P428" s="96"/>
      <c r="Q428" s="96"/>
      <c r="R428" s="96"/>
      <c r="S428" s="96"/>
      <c r="T428" s="96"/>
      <c r="X428" s="1600"/>
      <c r="AL428" s="78"/>
      <c r="AM428" s="78"/>
      <c r="AN428" s="78"/>
      <c r="AO428" s="78"/>
      <c r="AP428" s="78"/>
      <c r="AQ428" s="78"/>
      <c r="AR428" s="1352" t="str">
        <f>SUBSTITUTE(SUBSTITUTE(SUBSTITUTE("dnt"&amp;$B428&amp;$C428&amp;$D428&amp;$E428&amp;$F428,".","_"),"(","_"),")","")</f>
        <v>dnt703_7_1_4</v>
      </c>
      <c r="AS428" s="1352" t="str">
        <f>IF(LEN(X428)=0,"",X428)</f>
        <v/>
      </c>
    </row>
    <row r="429" spans="2:51" s="843" customFormat="1" ht="15" customHeight="1" x14ac:dyDescent="0.2">
      <c r="B429" s="600" t="s">
        <v>4443</v>
      </c>
      <c r="C429" s="600" t="s">
        <v>259</v>
      </c>
      <c r="D429" s="600"/>
      <c r="E429" s="600"/>
      <c r="F429" s="23"/>
      <c r="G429" s="23"/>
      <c r="H429" s="691"/>
      <c r="I429" s="589"/>
      <c r="J429" s="606"/>
      <c r="K429" s="606"/>
      <c r="L429" s="1639"/>
      <c r="M429" s="96"/>
      <c r="N429" s="96"/>
      <c r="O429" s="96"/>
      <c r="P429" s="96"/>
      <c r="Q429" s="96"/>
      <c r="R429" s="96"/>
      <c r="S429" s="96"/>
      <c r="T429" s="96"/>
      <c r="X429" s="1600"/>
      <c r="AL429" s="78"/>
      <c r="AM429" s="78"/>
      <c r="AN429" s="78"/>
      <c r="AO429" s="78"/>
      <c r="AP429" s="78"/>
      <c r="AQ429" s="78"/>
      <c r="AR429" s="78"/>
      <c r="AS429" s="78"/>
    </row>
    <row r="430" spans="2:51" s="843" customFormat="1" ht="15" customHeight="1" x14ac:dyDescent="0.2">
      <c r="B430" s="600" t="s">
        <v>4443</v>
      </c>
      <c r="C430" s="600" t="s">
        <v>263</v>
      </c>
      <c r="D430" s="600"/>
      <c r="E430" s="600"/>
      <c r="F430" s="23"/>
      <c r="G430" s="23"/>
      <c r="H430" s="691"/>
      <c r="I430" s="589"/>
      <c r="J430" s="608" t="s">
        <v>263</v>
      </c>
      <c r="K430" s="608"/>
      <c r="L430" s="1633" t="s">
        <v>4215</v>
      </c>
      <c r="M430" s="96"/>
      <c r="N430" s="96"/>
      <c r="O430" s="96"/>
      <c r="P430" s="96"/>
      <c r="Q430" s="96"/>
      <c r="R430" s="96"/>
      <c r="S430" s="96"/>
      <c r="T430" s="96"/>
      <c r="X430" s="1600"/>
      <c r="AL430" s="78"/>
      <c r="AM430" s="78"/>
      <c r="AN430" s="78"/>
      <c r="AO430" s="78"/>
      <c r="AP430" s="78"/>
      <c r="AQ430" s="78"/>
      <c r="AR430" s="1352" t="str">
        <f>SUBSTITUTE(SUBSTITUTE(SUBSTITUTE("dnt"&amp;$B430&amp;$C430&amp;$D430&amp;$E430&amp;$F430,".","_"),"(","_"),")","")</f>
        <v>dnt703_7_1_5</v>
      </c>
      <c r="AS430" s="1352" t="str">
        <f>IF(LEN(X430)=0,"",X430)</f>
        <v/>
      </c>
    </row>
    <row r="431" spans="2:51" s="843" customFormat="1" ht="15" customHeight="1" x14ac:dyDescent="0.2">
      <c r="B431" s="600" t="s">
        <v>4443</v>
      </c>
      <c r="C431" s="600" t="s">
        <v>263</v>
      </c>
      <c r="D431" s="600"/>
      <c r="E431" s="600"/>
      <c r="F431" s="23"/>
      <c r="G431" s="23"/>
      <c r="H431" s="691"/>
      <c r="I431" s="589"/>
      <c r="J431" s="606"/>
      <c r="K431" s="606"/>
      <c r="L431" s="1639"/>
      <c r="M431" s="96"/>
      <c r="N431" s="96"/>
      <c r="O431" s="96"/>
      <c r="P431" s="96"/>
      <c r="Q431" s="96"/>
      <c r="R431" s="96"/>
      <c r="S431" s="96"/>
      <c r="T431" s="96"/>
      <c r="X431" s="1600"/>
      <c r="AL431" s="78"/>
      <c r="AM431" s="78"/>
      <c r="AN431" s="78"/>
      <c r="AO431" s="78"/>
      <c r="AP431" s="78"/>
      <c r="AQ431" s="78"/>
      <c r="AR431" s="78"/>
      <c r="AS431" s="78"/>
    </row>
    <row r="432" spans="2:51" s="843" customFormat="1" ht="15" customHeight="1" x14ac:dyDescent="0.2">
      <c r="B432" s="600" t="s">
        <v>4443</v>
      </c>
      <c r="C432" s="600" t="s">
        <v>264</v>
      </c>
      <c r="D432" s="600"/>
      <c r="E432" s="600"/>
      <c r="F432" s="23"/>
      <c r="G432" s="23"/>
      <c r="H432" s="691"/>
      <c r="I432" s="589"/>
      <c r="J432" s="589" t="s">
        <v>264</v>
      </c>
      <c r="K432" s="589"/>
      <c r="L432" s="863" t="s">
        <v>4216</v>
      </c>
      <c r="M432" s="96"/>
      <c r="N432" s="96"/>
      <c r="O432" s="96"/>
      <c r="P432" s="96"/>
      <c r="Q432" s="96"/>
      <c r="R432" s="96"/>
      <c r="S432" s="96"/>
      <c r="T432" s="96"/>
      <c r="X432"/>
      <c r="AL432" s="78"/>
      <c r="AM432" s="78"/>
      <c r="AN432" s="78"/>
      <c r="AO432" s="78"/>
      <c r="AP432" s="78"/>
      <c r="AQ432" s="78"/>
      <c r="AR432" s="78"/>
      <c r="AS432" s="78"/>
    </row>
    <row r="433" spans="2:45" s="843" customFormat="1" ht="15" customHeight="1" x14ac:dyDescent="0.2">
      <c r="B433" s="600" t="s">
        <v>4443</v>
      </c>
      <c r="C433" s="600" t="s">
        <v>264</v>
      </c>
      <c r="D433" s="600" t="s">
        <v>121</v>
      </c>
      <c r="E433" s="600"/>
      <c r="F433" s="23"/>
      <c r="G433" s="23"/>
      <c r="H433" s="691"/>
      <c r="I433" s="589"/>
      <c r="J433" s="589"/>
      <c r="K433" s="589" t="s">
        <v>121</v>
      </c>
      <c r="L433" s="863" t="s">
        <v>4217</v>
      </c>
      <c r="M433" s="96"/>
      <c r="N433" s="96"/>
      <c r="O433" s="96"/>
      <c r="P433" s="96"/>
      <c r="Q433" s="96"/>
      <c r="R433" s="96"/>
      <c r="S433" s="96"/>
      <c r="T433" s="96"/>
      <c r="X433" s="889"/>
      <c r="AL433" s="78"/>
      <c r="AM433" s="78"/>
      <c r="AN433" s="78"/>
      <c r="AO433" s="78"/>
      <c r="AP433" s="78"/>
      <c r="AQ433" s="78"/>
      <c r="AR433" s="1352" t="str">
        <f>SUBSTITUTE(SUBSTITUTE(SUBSTITUTE("dnt"&amp;$B433&amp;$C433&amp;$D433&amp;$E433&amp;$F433,".","_"),"(","_"),")","")</f>
        <v>dnt703_7_1_6_a</v>
      </c>
      <c r="AS433" s="1352" t="str">
        <f>IF(LEN(X433)=0,"",X433)</f>
        <v/>
      </c>
    </row>
    <row r="434" spans="2:45" s="843" customFormat="1" ht="15" customHeight="1" x14ac:dyDescent="0.2">
      <c r="B434" s="600" t="s">
        <v>4443</v>
      </c>
      <c r="C434" s="600" t="s">
        <v>264</v>
      </c>
      <c r="D434" s="600" t="s">
        <v>122</v>
      </c>
      <c r="E434" s="600"/>
      <c r="F434" s="23"/>
      <c r="G434" s="23"/>
      <c r="H434" s="691"/>
      <c r="I434" s="589"/>
      <c r="J434" s="589"/>
      <c r="K434" s="589" t="s">
        <v>122</v>
      </c>
      <c r="L434" s="863" t="s">
        <v>4218</v>
      </c>
      <c r="M434" s="96"/>
      <c r="N434" s="96"/>
      <c r="O434" s="96"/>
      <c r="P434" s="96"/>
      <c r="Q434" s="96"/>
      <c r="R434" s="96"/>
      <c r="S434" s="96"/>
      <c r="T434" s="96"/>
      <c r="X434" s="889"/>
      <c r="AL434" s="78"/>
      <c r="AM434" s="78"/>
      <c r="AN434" s="78"/>
      <c r="AO434" s="78"/>
      <c r="AP434" s="78"/>
      <c r="AQ434" s="78"/>
      <c r="AR434" s="1352" t="str">
        <f>SUBSTITUTE(SUBSTITUTE(SUBSTITUTE("dnt"&amp;$B434&amp;$C434&amp;$D434&amp;$E434&amp;$F434,".","_"),"(","_"),")","")</f>
        <v>dnt703_7_1_6_b</v>
      </c>
      <c r="AS434" s="1352" t="str">
        <f>IF(LEN(X434)=0,"",X434)</f>
        <v/>
      </c>
    </row>
    <row r="435" spans="2:45" s="843" customFormat="1" ht="15" customHeight="1" x14ac:dyDescent="0.2">
      <c r="B435" s="600" t="s">
        <v>4443</v>
      </c>
      <c r="C435" s="600" t="s">
        <v>264</v>
      </c>
      <c r="D435" s="600" t="s">
        <v>123</v>
      </c>
      <c r="E435" s="600"/>
      <c r="F435" s="23"/>
      <c r="G435" s="23"/>
      <c r="H435" s="691"/>
      <c r="I435" s="589"/>
      <c r="J435" s="590"/>
      <c r="K435" s="590" t="s">
        <v>123</v>
      </c>
      <c r="L435" s="1634" t="s">
        <v>4219</v>
      </c>
      <c r="M435" s="96"/>
      <c r="N435" s="96"/>
      <c r="O435" s="96"/>
      <c r="P435" s="96"/>
      <c r="Q435" s="96"/>
      <c r="R435" s="96"/>
      <c r="S435" s="96"/>
      <c r="T435" s="96"/>
      <c r="X435" s="1600"/>
      <c r="AL435" s="78"/>
      <c r="AM435" s="78"/>
      <c r="AN435" s="78"/>
      <c r="AO435" s="78"/>
      <c r="AP435" s="78"/>
      <c r="AQ435" s="78"/>
      <c r="AR435" s="1352" t="str">
        <f>SUBSTITUTE(SUBSTITUTE(SUBSTITUTE("dnt"&amp;$B435&amp;$C435&amp;$D435&amp;$E435&amp;$F435,".","_"),"(","_"),")","")</f>
        <v>dnt703_7_1_6_c</v>
      </c>
      <c r="AS435" s="1352" t="str">
        <f>IF(LEN(X435)=0,"",X435)</f>
        <v/>
      </c>
    </row>
    <row r="436" spans="2:45" s="843" customFormat="1" ht="15" customHeight="1" x14ac:dyDescent="0.2">
      <c r="B436" s="600" t="s">
        <v>4443</v>
      </c>
      <c r="C436" s="600" t="s">
        <v>264</v>
      </c>
      <c r="D436" s="600" t="s">
        <v>123</v>
      </c>
      <c r="E436" s="600"/>
      <c r="F436" s="23"/>
      <c r="G436" s="23"/>
      <c r="H436" s="691"/>
      <c r="I436" s="589"/>
      <c r="J436" s="606"/>
      <c r="K436" s="606"/>
      <c r="L436" s="1639"/>
      <c r="M436" s="96"/>
      <c r="N436" s="96"/>
      <c r="O436" s="96"/>
      <c r="P436" s="96"/>
      <c r="Q436" s="96"/>
      <c r="R436" s="96"/>
      <c r="S436" s="96"/>
      <c r="T436" s="96"/>
      <c r="X436" s="1600"/>
      <c r="AL436" s="78"/>
      <c r="AM436" s="78"/>
      <c r="AN436" s="78"/>
      <c r="AO436" s="78"/>
      <c r="AP436" s="78"/>
      <c r="AQ436" s="78"/>
      <c r="AR436" s="78"/>
      <c r="AS436" s="78"/>
    </row>
    <row r="437" spans="2:45" s="843" customFormat="1" ht="15" customHeight="1" x14ac:dyDescent="0.2">
      <c r="B437" s="600" t="s">
        <v>4443</v>
      </c>
      <c r="C437" s="600" t="s">
        <v>356</v>
      </c>
      <c r="D437" s="600"/>
      <c r="E437" s="600"/>
      <c r="F437" s="23"/>
      <c r="G437" s="23"/>
      <c r="H437" s="691"/>
      <c r="I437" s="589"/>
      <c r="J437" s="608" t="s">
        <v>356</v>
      </c>
      <c r="K437" s="608"/>
      <c r="L437" s="1633" t="s">
        <v>4220</v>
      </c>
      <c r="M437" s="96"/>
      <c r="N437" s="96"/>
      <c r="O437" s="96"/>
      <c r="P437" s="96"/>
      <c r="Q437" s="96"/>
      <c r="R437" s="96"/>
      <c r="S437" s="96"/>
      <c r="T437" s="96"/>
      <c r="X437" s="1600"/>
      <c r="AL437" s="78"/>
      <c r="AM437" s="78"/>
      <c r="AN437" s="78"/>
      <c r="AO437" s="78"/>
      <c r="AP437" s="78"/>
      <c r="AQ437" s="78"/>
      <c r="AR437" s="1352" t="str">
        <f>SUBSTITUTE(SUBSTITUTE(SUBSTITUTE("dnt"&amp;$B437&amp;$C437&amp;$D437&amp;$E437&amp;$F437,".","_"),"(","_"),")","")</f>
        <v>dnt703_7_1_7</v>
      </c>
      <c r="AS437" s="1352" t="str">
        <f>IF(LEN(X437)=0,"",X437)</f>
        <v/>
      </c>
    </row>
    <row r="438" spans="2:45" s="843" customFormat="1" ht="15" customHeight="1" x14ac:dyDescent="0.2">
      <c r="B438" s="600" t="s">
        <v>4443</v>
      </c>
      <c r="C438" s="600" t="s">
        <v>356</v>
      </c>
      <c r="D438" s="600"/>
      <c r="E438" s="600"/>
      <c r="F438" s="23"/>
      <c r="G438" s="23"/>
      <c r="H438" s="691"/>
      <c r="I438" s="589"/>
      <c r="J438" s="606"/>
      <c r="K438" s="606"/>
      <c r="L438" s="1639"/>
      <c r="M438" s="96"/>
      <c r="N438" s="96"/>
      <c r="O438" s="96"/>
      <c r="P438" s="96"/>
      <c r="Q438" s="96"/>
      <c r="R438" s="96"/>
      <c r="S438" s="96"/>
      <c r="T438" s="96"/>
      <c r="X438" s="1600"/>
      <c r="AL438" s="78"/>
      <c r="AM438" s="78"/>
      <c r="AN438" s="78"/>
      <c r="AO438" s="78"/>
      <c r="AP438" s="78"/>
      <c r="AQ438" s="78"/>
      <c r="AR438" s="78"/>
      <c r="AS438" s="78"/>
    </row>
    <row r="439" spans="2:45" s="843" customFormat="1" ht="15" customHeight="1" x14ac:dyDescent="0.2">
      <c r="B439" s="600" t="s">
        <v>4443</v>
      </c>
      <c r="C439" s="600" t="s">
        <v>389</v>
      </c>
      <c r="D439" s="600"/>
      <c r="E439" s="600"/>
      <c r="F439" s="23"/>
      <c r="G439" s="23"/>
      <c r="H439" s="691"/>
      <c r="I439" s="589"/>
      <c r="J439" s="607" t="s">
        <v>389</v>
      </c>
      <c r="K439" s="607"/>
      <c r="L439" s="1075" t="s">
        <v>4221</v>
      </c>
      <c r="M439" s="96"/>
      <c r="N439" s="96"/>
      <c r="O439" s="96"/>
      <c r="P439" s="96"/>
      <c r="Q439" s="96"/>
      <c r="R439" s="96"/>
      <c r="S439" s="96"/>
      <c r="T439" s="96"/>
      <c r="X439" s="889"/>
      <c r="AL439" s="78"/>
      <c r="AM439" s="78"/>
      <c r="AN439" s="78"/>
      <c r="AO439" s="78"/>
      <c r="AP439" s="78"/>
      <c r="AQ439" s="78"/>
      <c r="AR439" s="1352" t="str">
        <f>SUBSTITUTE(SUBSTITUTE(SUBSTITUTE("dnt"&amp;$B439&amp;$C439&amp;$D439&amp;$E439&amp;$F439,".","_"),"(","_"),")","")</f>
        <v>dnt703_7_1_8</v>
      </c>
      <c r="AS439" s="1352" t="str">
        <f>IF(LEN(X439)=0,"",X439)</f>
        <v/>
      </c>
    </row>
    <row r="440" spans="2:45" s="843" customFormat="1" ht="15" customHeight="1" x14ac:dyDescent="0.2">
      <c r="B440" s="600" t="s">
        <v>4443</v>
      </c>
      <c r="C440" s="600" t="s">
        <v>391</v>
      </c>
      <c r="D440" s="600"/>
      <c r="E440" s="600"/>
      <c r="F440" s="23"/>
      <c r="G440" s="23"/>
      <c r="H440" s="691"/>
      <c r="I440" s="589"/>
      <c r="J440" s="589" t="s">
        <v>391</v>
      </c>
      <c r="K440" s="589"/>
      <c r="L440" s="863" t="s">
        <v>4222</v>
      </c>
      <c r="M440" s="96"/>
      <c r="N440" s="96"/>
      <c r="O440" s="96"/>
      <c r="P440" s="96"/>
      <c r="Q440" s="96"/>
      <c r="R440" s="96"/>
      <c r="S440" s="96"/>
      <c r="T440" s="96"/>
      <c r="X440" s="1600"/>
      <c r="AL440" s="78"/>
      <c r="AM440" s="78"/>
      <c r="AN440" s="78"/>
      <c r="AO440" s="78"/>
      <c r="AP440" s="78"/>
      <c r="AQ440" s="78"/>
      <c r="AR440" s="1352" t="str">
        <f>SUBSTITUTE(SUBSTITUTE(SUBSTITUTE("dnt"&amp;$B440&amp;$C440&amp;$D440&amp;$E440&amp;$F440,".","_"),"(","_"),")","")</f>
        <v>dnt703_7_1_9</v>
      </c>
      <c r="AS440" s="1352" t="str">
        <f>IF(LEN(X440)=0,"",X440)</f>
        <v/>
      </c>
    </row>
    <row r="441" spans="2:45" s="843" customFormat="1" ht="15" customHeight="1" x14ac:dyDescent="0.2">
      <c r="B441" s="600" t="s">
        <v>4443</v>
      </c>
      <c r="C441" s="600" t="s">
        <v>391</v>
      </c>
      <c r="D441" s="600"/>
      <c r="E441" s="600"/>
      <c r="F441" s="23"/>
      <c r="G441" s="23"/>
      <c r="H441" s="691"/>
      <c r="I441" s="590"/>
      <c r="J441" s="590"/>
      <c r="K441" s="590"/>
      <c r="L441" s="1730" t="s">
        <v>4847</v>
      </c>
      <c r="M441" s="991"/>
      <c r="N441" s="991"/>
      <c r="O441" s="991"/>
      <c r="P441" s="96"/>
      <c r="Q441" s="96"/>
      <c r="R441" s="96"/>
      <c r="S441" s="96"/>
      <c r="T441" s="96"/>
      <c r="X441" s="1600"/>
      <c r="AL441" s="78"/>
      <c r="AM441" s="78"/>
      <c r="AN441" s="78"/>
      <c r="AO441" s="78"/>
      <c r="AP441" s="78"/>
      <c r="AQ441" s="78"/>
      <c r="AR441" s="78"/>
      <c r="AS441" s="78"/>
    </row>
    <row r="442" spans="2:45" s="843" customFormat="1" ht="15" customHeight="1" x14ac:dyDescent="0.2">
      <c r="B442" s="600" t="s">
        <v>4443</v>
      </c>
      <c r="C442" s="600" t="s">
        <v>391</v>
      </c>
      <c r="D442" s="600"/>
      <c r="E442" s="600"/>
      <c r="F442" s="23"/>
      <c r="G442" s="23"/>
      <c r="H442" s="691"/>
      <c r="I442" s="590"/>
      <c r="J442" s="590"/>
      <c r="K442" s="590"/>
      <c r="L442" s="1730"/>
      <c r="M442" s="991"/>
      <c r="N442" s="991"/>
      <c r="O442" s="991"/>
      <c r="P442" s="96"/>
      <c r="Q442" s="96"/>
      <c r="R442" s="96"/>
      <c r="S442" s="96"/>
      <c r="T442" s="96"/>
      <c r="X442" s="1600"/>
      <c r="AL442" s="78"/>
      <c r="AM442" s="78"/>
      <c r="AN442" s="78"/>
      <c r="AO442" s="78"/>
      <c r="AP442" s="78"/>
      <c r="AQ442" s="78"/>
      <c r="AR442" s="78"/>
      <c r="AS442" s="78"/>
    </row>
    <row r="443" spans="2:45" s="843" customFormat="1" ht="15" customHeight="1" x14ac:dyDescent="0.2">
      <c r="B443" s="600" t="s">
        <v>4443</v>
      </c>
      <c r="C443" s="600" t="s">
        <v>391</v>
      </c>
      <c r="D443" s="600"/>
      <c r="E443" s="600"/>
      <c r="F443" s="23"/>
      <c r="G443" s="23"/>
      <c r="H443" s="691"/>
      <c r="I443" s="590"/>
      <c r="J443" s="590"/>
      <c r="K443" s="590"/>
      <c r="L443" s="1730"/>
      <c r="M443" s="991"/>
      <c r="N443" s="991"/>
      <c r="O443" s="991"/>
      <c r="P443" s="96"/>
      <c r="Q443" s="96"/>
      <c r="R443" s="96"/>
      <c r="S443" s="96"/>
      <c r="T443" s="96"/>
      <c r="X443" s="1600"/>
      <c r="AL443" s="78"/>
      <c r="AM443" s="78"/>
      <c r="AN443" s="78"/>
      <c r="AO443" s="78"/>
      <c r="AP443" s="78"/>
      <c r="AQ443" s="78"/>
      <c r="AR443" s="78"/>
      <c r="AS443" s="78"/>
    </row>
    <row r="444" spans="2:45" s="843" customFormat="1" ht="15" customHeight="1" x14ac:dyDescent="0.2">
      <c r="B444" s="600" t="s">
        <v>4443</v>
      </c>
      <c r="C444" s="600" t="s">
        <v>391</v>
      </c>
      <c r="D444" s="600"/>
      <c r="E444" s="600"/>
      <c r="F444" s="23"/>
      <c r="G444" s="23"/>
      <c r="H444" s="691"/>
      <c r="I444" s="590"/>
      <c r="J444" s="590"/>
      <c r="K444" s="590"/>
      <c r="L444" s="1730"/>
      <c r="M444" s="991"/>
      <c r="N444" s="991"/>
      <c r="O444" s="991"/>
      <c r="P444" s="96"/>
      <c r="Q444" s="96"/>
      <c r="R444" s="96"/>
      <c r="S444" s="96"/>
      <c r="T444" s="96"/>
      <c r="X444" s="1600"/>
      <c r="AL444" s="78"/>
      <c r="AM444" s="78"/>
      <c r="AN444" s="78"/>
      <c r="AO444" s="78"/>
      <c r="AP444" s="78"/>
      <c r="AQ444" s="78"/>
      <c r="AR444" s="78"/>
      <c r="AS444" s="78"/>
    </row>
    <row r="445" spans="2:45" s="843" customFormat="1" ht="15" customHeight="1" x14ac:dyDescent="0.2">
      <c r="B445" s="600" t="s">
        <v>4443</v>
      </c>
      <c r="C445" s="600" t="s">
        <v>391</v>
      </c>
      <c r="D445" s="600"/>
      <c r="E445" s="600"/>
      <c r="F445" s="23"/>
      <c r="G445" s="23"/>
      <c r="H445" s="691"/>
      <c r="I445" s="590"/>
      <c r="J445" s="590"/>
      <c r="K445" s="590"/>
      <c r="L445" s="1730"/>
      <c r="M445" s="991"/>
      <c r="N445" s="991"/>
      <c r="O445" s="991"/>
      <c r="P445" s="96"/>
      <c r="Q445" s="96"/>
      <c r="R445" s="96"/>
      <c r="S445" s="96"/>
      <c r="T445" s="96"/>
      <c r="X445" s="1600"/>
      <c r="AL445" s="78"/>
      <c r="AM445" s="78"/>
      <c r="AN445" s="78"/>
      <c r="AO445" s="78"/>
      <c r="AP445" s="78"/>
      <c r="AQ445" s="78"/>
      <c r="AR445" s="78"/>
      <c r="AS445" s="78"/>
    </row>
    <row r="446" spans="2:45" s="843" customFormat="1" ht="15" customHeight="1" x14ac:dyDescent="0.2">
      <c r="B446" s="600" t="s">
        <v>4443</v>
      </c>
      <c r="C446" s="600" t="s">
        <v>391</v>
      </c>
      <c r="D446" s="600"/>
      <c r="E446" s="600"/>
      <c r="F446" s="23"/>
      <c r="G446" s="23"/>
      <c r="H446" s="691"/>
      <c r="I446" s="606"/>
      <c r="J446" s="606"/>
      <c r="K446" s="606"/>
      <c r="L446" s="1731"/>
      <c r="M446" s="173"/>
      <c r="N446" s="173"/>
      <c r="O446" s="173"/>
      <c r="P446" s="96"/>
      <c r="Q446" s="96"/>
      <c r="R446" s="96"/>
      <c r="S446" s="96"/>
      <c r="T446" s="96"/>
      <c r="X446" s="1600"/>
      <c r="AL446" s="78"/>
      <c r="AM446" s="78"/>
      <c r="AN446" s="78"/>
      <c r="AO446" s="78"/>
      <c r="AP446" s="78"/>
      <c r="AQ446" s="78"/>
      <c r="AR446" s="78"/>
      <c r="AS446" s="78"/>
    </row>
    <row r="447" spans="2:45" s="843" customFormat="1" ht="15" customHeight="1" x14ac:dyDescent="0.2">
      <c r="B447" s="600" t="s">
        <v>4444</v>
      </c>
      <c r="C447" s="600"/>
      <c r="D447" s="600"/>
      <c r="E447" s="600"/>
      <c r="F447" s="23"/>
      <c r="G447" s="23"/>
      <c r="H447" s="691"/>
      <c r="I447" s="608" t="s">
        <v>4223</v>
      </c>
      <c r="J447" s="608"/>
      <c r="K447" s="608"/>
      <c r="L447" s="1686" t="s">
        <v>4224</v>
      </c>
      <c r="M447" s="1636">
        <v>1</v>
      </c>
      <c r="N447" s="193"/>
      <c r="O447" s="1637">
        <f ca="1">M447*S447*W447</f>
        <v>0</v>
      </c>
      <c r="P447" s="96" t="b">
        <v>1</v>
      </c>
      <c r="Q447" s="96" t="b">
        <v>1</v>
      </c>
      <c r="R447" s="96" t="b">
        <v>0</v>
      </c>
      <c r="S447" s="96" t="b">
        <f ca="1">S11=2</f>
        <v>0</v>
      </c>
      <c r="T447" s="96" t="b">
        <f ca="1">AND(NOT(S447),W447=TRUE)</f>
        <v>0</v>
      </c>
      <c r="W447" s="27"/>
      <c r="X447" s="1600"/>
      <c r="AC447" s="881" t="b">
        <f ca="1">OR(AD447:AE447)</f>
        <v>0</v>
      </c>
      <c r="AD447" s="881" t="b">
        <f ca="1">T447</f>
        <v>0</v>
      </c>
      <c r="AE447" s="881" t="b">
        <f>AND(R447,NOT(W447))</f>
        <v>0</v>
      </c>
      <c r="AL447" s="1352" t="str">
        <f>SUBSTITUTE(SUBSTITUTE(SUBSTITUTE("dpa"&amp;$B447&amp;$C447&amp;$D447&amp;$E447&amp;$F447,".","_"),"(","_"),")","")</f>
        <v>dpa703_7_2</v>
      </c>
      <c r="AM447" s="1352">
        <f>M447</f>
        <v>1</v>
      </c>
      <c r="AN447" s="1352" t="str">
        <f>SUBSTITUTE(SUBSTITUTE(SUBSTITUTE("dpc"&amp;$B447&amp;$C447&amp;$D447&amp;$E447&amp;$F447,".","_"),"(","_"),")","")</f>
        <v>dpc703_7_2</v>
      </c>
      <c r="AO447" s="1352">
        <f ca="1">O447</f>
        <v>0</v>
      </c>
      <c r="AP447" s="1352" t="str">
        <f>SUBSTITUTE(SUBSTITUTE(SUBSTITUTE("dch"&amp;$B447&amp;$C447&amp;$D447&amp;$E447&amp;$F447,".","_"),"(","_"),")","")</f>
        <v>dch703_7_2</v>
      </c>
      <c r="AQ447" s="1352" t="str">
        <f>IF(LEN(W447)=0,"",W447)</f>
        <v/>
      </c>
      <c r="AR447" s="1352" t="str">
        <f>SUBSTITUTE(SUBSTITUTE(SUBSTITUTE("dnt"&amp;$B447&amp;$C447&amp;$D447&amp;$E447&amp;$F447,".","_"),"(","_"),")","")</f>
        <v>dnt703_7_2</v>
      </c>
      <c r="AS447" s="1352" t="str">
        <f>IF(LEN(X447)=0,"",X447)</f>
        <v/>
      </c>
    </row>
    <row r="448" spans="2:45" s="843" customFormat="1" ht="15" customHeight="1" x14ac:dyDescent="0.2">
      <c r="B448" s="600" t="s">
        <v>4444</v>
      </c>
      <c r="C448" s="600"/>
      <c r="D448" s="600"/>
      <c r="E448" s="600"/>
      <c r="F448" s="23"/>
      <c r="G448" s="23"/>
      <c r="H448" s="691"/>
      <c r="I448" s="606"/>
      <c r="J448" s="606"/>
      <c r="K448" s="606"/>
      <c r="L448" s="1688"/>
      <c r="M448" s="1624"/>
      <c r="N448" s="213"/>
      <c r="O448" s="1620"/>
      <c r="P448" s="96"/>
      <c r="Q448" s="96"/>
      <c r="R448" s="96"/>
      <c r="S448" s="96"/>
      <c r="T448" s="96"/>
      <c r="X448" s="1600"/>
      <c r="AL448" s="78"/>
      <c r="AM448" s="78"/>
      <c r="AN448" s="78"/>
      <c r="AO448" s="78"/>
      <c r="AP448" s="78"/>
      <c r="AQ448" s="78"/>
      <c r="AR448" s="78"/>
      <c r="AS448" s="78"/>
    </row>
    <row r="449" spans="2:45" s="843" customFormat="1" ht="15" customHeight="1" x14ac:dyDescent="0.2">
      <c r="B449" s="600" t="s">
        <v>4445</v>
      </c>
      <c r="C449" s="600"/>
      <c r="D449" s="600"/>
      <c r="E449" s="600"/>
      <c r="F449" s="23"/>
      <c r="G449" s="23"/>
      <c r="H449" s="691"/>
      <c r="I449" s="589" t="s">
        <v>4225</v>
      </c>
      <c r="J449" s="589"/>
      <c r="K449" s="589"/>
      <c r="L449" s="1687" t="s">
        <v>4226</v>
      </c>
      <c r="M449" s="882"/>
      <c r="N449" s="129"/>
      <c r="O449" s="1619">
        <f ca="1">INDEX({0,3,4},MATCH(S451,{0,3,4},1))*S455</f>
        <v>0</v>
      </c>
      <c r="P449" s="96"/>
      <c r="Q449" s="96"/>
      <c r="R449" s="96"/>
      <c r="S449" s="96"/>
      <c r="T449" s="96"/>
      <c r="AL449" s="78"/>
      <c r="AM449" s="78"/>
      <c r="AN449" s="1352" t="str">
        <f>SUBSTITUTE(SUBSTITUTE(SUBSTITUTE("dpc"&amp;$B449&amp;$C449&amp;$D449&amp;$E449&amp;$F449,".","_"),"(","_"),")","")</f>
        <v>dpc703_7_3</v>
      </c>
      <c r="AO449" s="1352">
        <f ca="1">O449</f>
        <v>0</v>
      </c>
      <c r="AP449" s="78"/>
      <c r="AQ449" s="78"/>
      <c r="AR449" s="78"/>
      <c r="AS449" s="78"/>
    </row>
    <row r="450" spans="2:45" s="843" customFormat="1" ht="15" customHeight="1" x14ac:dyDescent="0.2">
      <c r="B450" s="600" t="s">
        <v>4445</v>
      </c>
      <c r="C450" s="600"/>
      <c r="D450" s="600"/>
      <c r="E450" s="600"/>
      <c r="F450" s="23"/>
      <c r="G450" s="23"/>
      <c r="H450" s="691"/>
      <c r="I450" s="589"/>
      <c r="J450" s="589"/>
      <c r="K450" s="589"/>
      <c r="L450" s="1687"/>
      <c r="M450" s="882"/>
      <c r="N450" s="129"/>
      <c r="O450" s="1619"/>
      <c r="P450" s="96"/>
      <c r="Q450" s="96"/>
      <c r="R450" s="96"/>
      <c r="S450" s="96"/>
      <c r="T450" s="96"/>
      <c r="AL450" s="78"/>
      <c r="AM450" s="78"/>
      <c r="AN450" s="78"/>
      <c r="AO450" s="78"/>
      <c r="AP450" s="78"/>
      <c r="AQ450" s="78"/>
      <c r="AR450" s="78"/>
      <c r="AS450" s="78"/>
    </row>
    <row r="451" spans="2:45" s="843" customFormat="1" ht="15" customHeight="1" x14ac:dyDescent="0.2">
      <c r="B451" s="600" t="s">
        <v>4445</v>
      </c>
      <c r="C451" s="600" t="s">
        <v>3921</v>
      </c>
      <c r="D451" s="600"/>
      <c r="E451" s="600"/>
      <c r="F451" s="23"/>
      <c r="G451" s="23"/>
      <c r="H451" s="691"/>
      <c r="I451" s="589"/>
      <c r="J451" s="589"/>
      <c r="K451" s="589"/>
      <c r="L451" s="872" t="s">
        <v>4227</v>
      </c>
      <c r="M451" s="882">
        <v>3</v>
      </c>
      <c r="N451" s="129"/>
      <c r="O451" s="886"/>
      <c r="P451" s="96"/>
      <c r="Q451" s="96"/>
      <c r="R451" s="96" t="s">
        <v>4481</v>
      </c>
      <c r="S451" s="198">
        <f ca="1">(1*MIN(1,COUNTIF(W455:W459,TRUE))+1*S461*W461+1*W463+1*S465*W465+1*MIN(1,COUNTIF(W470:W472,TRUE))+1*W474)</f>
        <v>0</v>
      </c>
      <c r="T451" s="96"/>
      <c r="AL451" s="1352" t="str">
        <f>SUBSTITUTE(SUBSTITUTE(SUBSTITUTE("dpa"&amp;$B451&amp;$C451&amp;$D451&amp;$E451&amp;$F451,".","_"),"(","_"),")","")</f>
        <v>dpa703_7_3_1</v>
      </c>
      <c r="AM451" s="1352">
        <f>M451</f>
        <v>3</v>
      </c>
      <c r="AN451" s="78"/>
      <c r="AO451" s="78"/>
      <c r="AP451" s="78"/>
      <c r="AQ451" s="78"/>
      <c r="AR451" s="78"/>
      <c r="AS451" s="78"/>
    </row>
    <row r="452" spans="2:45" s="843" customFormat="1" ht="15" customHeight="1" x14ac:dyDescent="0.2">
      <c r="B452" s="600" t="s">
        <v>4445</v>
      </c>
      <c r="C452" s="600" t="s">
        <v>3922</v>
      </c>
      <c r="D452" s="600"/>
      <c r="E452" s="600"/>
      <c r="F452" s="23"/>
      <c r="G452" s="23"/>
      <c r="H452" s="691"/>
      <c r="I452" s="589"/>
      <c r="J452" s="589"/>
      <c r="K452" s="589"/>
      <c r="L452" s="872" t="s">
        <v>4228</v>
      </c>
      <c r="M452" s="882">
        <v>1</v>
      </c>
      <c r="N452" s="129"/>
      <c r="O452" s="886"/>
      <c r="P452" s="96"/>
      <c r="Q452" s="96"/>
      <c r="R452" s="96"/>
      <c r="S452" s="96"/>
      <c r="T452" s="96"/>
      <c r="AL452" s="1352" t="str">
        <f>SUBSTITUTE(SUBSTITUTE(SUBSTITUTE("dpa"&amp;$B452&amp;$C452&amp;$D452&amp;$E452&amp;$F452,".","_"),"(","_"),")","")</f>
        <v>dpa703_7_3_2</v>
      </c>
      <c r="AM452" s="1352">
        <f>M452</f>
        <v>1</v>
      </c>
      <c r="AN452" s="78"/>
      <c r="AO452" s="78"/>
      <c r="AP452" s="78"/>
      <c r="AQ452" s="78"/>
      <c r="AR452" s="78"/>
      <c r="AS452" s="78"/>
    </row>
    <row r="453" spans="2:45" s="843" customFormat="1" ht="15" customHeight="1" x14ac:dyDescent="0.2">
      <c r="B453" s="600" t="s">
        <v>4445</v>
      </c>
      <c r="C453" s="600" t="s">
        <v>254</v>
      </c>
      <c r="D453" s="600"/>
      <c r="E453" s="600"/>
      <c r="F453" s="23"/>
      <c r="G453" s="23"/>
      <c r="H453" s="691"/>
      <c r="I453" s="589"/>
      <c r="J453" s="589" t="s">
        <v>254</v>
      </c>
      <c r="K453" s="589"/>
      <c r="L453" s="1634" t="s">
        <v>4229</v>
      </c>
      <c r="M453" s="882"/>
      <c r="N453" s="129"/>
      <c r="O453" s="886"/>
      <c r="P453" s="96"/>
      <c r="Q453" s="96"/>
      <c r="R453" s="96"/>
      <c r="S453" s="96"/>
      <c r="T453" s="96"/>
      <c r="AL453" s="78"/>
      <c r="AM453" s="78"/>
      <c r="AN453" s="78"/>
      <c r="AO453" s="78"/>
      <c r="AP453" s="78"/>
      <c r="AQ453" s="78"/>
      <c r="AR453" s="78"/>
      <c r="AS453" s="78"/>
    </row>
    <row r="454" spans="2:45" s="843" customFormat="1" ht="15" customHeight="1" x14ac:dyDescent="0.2">
      <c r="B454" s="600" t="s">
        <v>4445</v>
      </c>
      <c r="C454" s="600" t="s">
        <v>254</v>
      </c>
      <c r="D454" s="600"/>
      <c r="E454" s="600"/>
      <c r="F454" s="23"/>
      <c r="G454" s="23"/>
      <c r="H454" s="691"/>
      <c r="I454" s="589"/>
      <c r="J454" s="589"/>
      <c r="K454" s="589"/>
      <c r="L454" s="1634"/>
      <c r="M454" s="882"/>
      <c r="N454" s="129"/>
      <c r="O454" s="886"/>
      <c r="P454" s="96"/>
      <c r="Q454" s="96"/>
      <c r="R454" s="96"/>
      <c r="S454" s="96"/>
      <c r="T454" s="96"/>
      <c r="AL454" s="78"/>
      <c r="AM454" s="78"/>
      <c r="AN454" s="78"/>
      <c r="AO454" s="78"/>
      <c r="AP454" s="78"/>
      <c r="AQ454" s="78"/>
      <c r="AR454" s="78"/>
      <c r="AS454" s="78"/>
    </row>
    <row r="455" spans="2:45" s="843" customFormat="1" ht="15" customHeight="1" x14ac:dyDescent="0.2">
      <c r="B455" s="600" t="s">
        <v>4445</v>
      </c>
      <c r="C455" s="600" t="s">
        <v>254</v>
      </c>
      <c r="D455" s="600" t="s">
        <v>121</v>
      </c>
      <c r="E455" s="600"/>
      <c r="F455" s="23"/>
      <c r="G455" s="23"/>
      <c r="H455" s="691"/>
      <c r="I455" s="589"/>
      <c r="J455" s="589"/>
      <c r="K455" s="590" t="s">
        <v>121</v>
      </c>
      <c r="L455" s="1634" t="s">
        <v>4230</v>
      </c>
      <c r="M455" s="882"/>
      <c r="N455" s="129"/>
      <c r="O455" s="886"/>
      <c r="P455" s="96" t="b">
        <v>1</v>
      </c>
      <c r="Q455" s="96" t="b">
        <v>1</v>
      </c>
      <c r="R455" s="96" t="b">
        <v>0</v>
      </c>
      <c r="S455" s="96" t="b">
        <f ca="1">S11=2</f>
        <v>0</v>
      </c>
      <c r="T455" s="96" t="b">
        <f ca="1">AND(NOT(S455),W455=TRUE)</f>
        <v>0</v>
      </c>
      <c r="W455" s="27"/>
      <c r="X455" s="1600"/>
      <c r="AC455" s="881" t="b">
        <f ca="1">OR(AD455:AE455)</f>
        <v>0</v>
      </c>
      <c r="AD455" s="881" t="b">
        <f ca="1">T455</f>
        <v>0</v>
      </c>
      <c r="AE455" s="881" t="b">
        <f>AND(R455,NOT(W455))</f>
        <v>0</v>
      </c>
      <c r="AL455" s="78"/>
      <c r="AM455" s="78"/>
      <c r="AN455" s="78"/>
      <c r="AO455" s="78"/>
      <c r="AP455" s="1352" t="str">
        <f>SUBSTITUTE(SUBSTITUTE(SUBSTITUTE("dch"&amp;$B455&amp;$C455&amp;$D455&amp;$E455&amp;$F455,".","_"),"(","_"),")","")</f>
        <v>dch703_7_3_1_a</v>
      </c>
      <c r="AQ455" s="1352" t="str">
        <f>IF(LEN(W455)=0,"",W455)</f>
        <v/>
      </c>
      <c r="AR455" s="1352" t="str">
        <f>SUBSTITUTE(SUBSTITUTE(SUBSTITUTE("dnt"&amp;$B455&amp;$C455&amp;$D455&amp;$E455&amp;$F455,".","_"),"(","_"),")","")</f>
        <v>dnt703_7_3_1_a</v>
      </c>
      <c r="AS455" s="1352" t="str">
        <f>IF(LEN(X455)=0,"",X455)</f>
        <v/>
      </c>
    </row>
    <row r="456" spans="2:45" s="843" customFormat="1" ht="15" customHeight="1" x14ac:dyDescent="0.2">
      <c r="B456" s="600" t="s">
        <v>4445</v>
      </c>
      <c r="C456" s="600" t="s">
        <v>254</v>
      </c>
      <c r="D456" s="600" t="s">
        <v>121</v>
      </c>
      <c r="E456" s="600"/>
      <c r="F456" s="23"/>
      <c r="G456" s="23"/>
      <c r="H456" s="691"/>
      <c r="I456" s="589"/>
      <c r="J456" s="589"/>
      <c r="K456" s="606"/>
      <c r="L456" s="1639"/>
      <c r="M456" s="882"/>
      <c r="N456" s="129"/>
      <c r="O456" s="886"/>
      <c r="P456" s="96"/>
      <c r="Q456" s="96"/>
      <c r="R456" s="96"/>
      <c r="S456" s="96"/>
      <c r="T456" s="96"/>
      <c r="X456" s="1600"/>
      <c r="AL456" s="78"/>
      <c r="AM456" s="78"/>
      <c r="AN456" s="78"/>
      <c r="AO456" s="78"/>
      <c r="AP456" s="78"/>
      <c r="AQ456" s="78"/>
      <c r="AR456" s="78"/>
      <c r="AS456" s="78"/>
    </row>
    <row r="457" spans="2:45" s="843" customFormat="1" ht="15" customHeight="1" x14ac:dyDescent="0.2">
      <c r="B457" s="600" t="s">
        <v>4445</v>
      </c>
      <c r="C457" s="600" t="s">
        <v>254</v>
      </c>
      <c r="D457" s="600" t="s">
        <v>122</v>
      </c>
      <c r="E457" s="600"/>
      <c r="F457" s="23"/>
      <c r="G457" s="23"/>
      <c r="H457" s="691"/>
      <c r="I457" s="589"/>
      <c r="J457" s="589"/>
      <c r="K457" s="606" t="s">
        <v>122</v>
      </c>
      <c r="L457" s="1412" t="s">
        <v>4231</v>
      </c>
      <c r="M457" s="882"/>
      <c r="N457" s="129"/>
      <c r="O457" s="886"/>
      <c r="P457" s="96" t="b">
        <v>1</v>
      </c>
      <c r="Q457" s="96" t="b">
        <v>1</v>
      </c>
      <c r="R457" s="96" t="b">
        <v>0</v>
      </c>
      <c r="S457" s="96" t="b">
        <f ca="1">S11=2</f>
        <v>0</v>
      </c>
      <c r="T457" s="96" t="b">
        <f ca="1">AND(NOT(S457),W457=TRUE)</f>
        <v>0</v>
      </c>
      <c r="W457" s="27"/>
      <c r="X457" s="889"/>
      <c r="AC457" s="881" t="b">
        <f ca="1">OR(AD457:AE457)</f>
        <v>0</v>
      </c>
      <c r="AD457" s="881" t="b">
        <f ca="1">T457</f>
        <v>0</v>
      </c>
      <c r="AE457" s="881" t="b">
        <f>AND(R457,NOT(W457))</f>
        <v>0</v>
      </c>
      <c r="AL457" s="78"/>
      <c r="AM457" s="78"/>
      <c r="AN457" s="78"/>
      <c r="AO457" s="78"/>
      <c r="AP457" s="1352" t="str">
        <f>SUBSTITUTE(SUBSTITUTE(SUBSTITUTE("dch"&amp;$B457&amp;$C457&amp;$D457&amp;$E457&amp;$F457,".","_"),"(","_"),")","")</f>
        <v>dch703_7_3_1_b</v>
      </c>
      <c r="AQ457" s="1352" t="str">
        <f>IF(LEN(W457)=0,"",W457)</f>
        <v/>
      </c>
      <c r="AR457" s="1352" t="str">
        <f>SUBSTITUTE(SUBSTITUTE(SUBSTITUTE("dnt"&amp;$B457&amp;$C457&amp;$D457&amp;$E457&amp;$F457,".","_"),"(","_"),")","")</f>
        <v>dnt703_7_3_1_b</v>
      </c>
      <c r="AS457" s="1352" t="str">
        <f>IF(LEN(X457)=0,"",X457)</f>
        <v/>
      </c>
    </row>
    <row r="458" spans="2:45" s="843" customFormat="1" ht="15" customHeight="1" x14ac:dyDescent="0.2">
      <c r="B458" s="600" t="s">
        <v>4445</v>
      </c>
      <c r="C458" s="600" t="s">
        <v>254</v>
      </c>
      <c r="D458" s="600" t="s">
        <v>123</v>
      </c>
      <c r="E458" s="600"/>
      <c r="F458" s="23"/>
      <c r="G458" s="23"/>
      <c r="H458" s="691"/>
      <c r="I458" s="589"/>
      <c r="J458" s="589"/>
      <c r="K458" s="606" t="s">
        <v>123</v>
      </c>
      <c r="L458" s="1412" t="s">
        <v>4232</v>
      </c>
      <c r="M458" s="882"/>
      <c r="N458" s="129"/>
      <c r="O458" s="886"/>
      <c r="P458" s="96" t="b">
        <v>1</v>
      </c>
      <c r="Q458" s="96" t="b">
        <v>1</v>
      </c>
      <c r="R458" s="96" t="b">
        <v>0</v>
      </c>
      <c r="S458" s="96" t="b">
        <f ca="1">S11=2</f>
        <v>0</v>
      </c>
      <c r="T458" s="96" t="b">
        <f ca="1">AND(NOT(S458),W458=TRUE)</f>
        <v>0</v>
      </c>
      <c r="W458" s="27"/>
      <c r="X458" s="889"/>
      <c r="AC458" s="881" t="b">
        <f ca="1">OR(AD458:AE458)</f>
        <v>0</v>
      </c>
      <c r="AD458" s="881" t="b">
        <f ca="1">T458</f>
        <v>0</v>
      </c>
      <c r="AE458" s="881" t="b">
        <f>AND(R458,NOT(W458))</f>
        <v>0</v>
      </c>
      <c r="AL458" s="78"/>
      <c r="AM458" s="78"/>
      <c r="AN458" s="78"/>
      <c r="AO458" s="78"/>
      <c r="AP458" s="1352" t="str">
        <f>SUBSTITUTE(SUBSTITUTE(SUBSTITUTE("dch"&amp;$B458&amp;$C458&amp;$D458&amp;$E458&amp;$F458,".","_"),"(","_"),")","")</f>
        <v>dch703_7_3_1_c</v>
      </c>
      <c r="AQ458" s="1352" t="str">
        <f>IF(LEN(W458)=0,"",W458)</f>
        <v/>
      </c>
      <c r="AR458" s="1352" t="str">
        <f>SUBSTITUTE(SUBSTITUTE(SUBSTITUTE("dnt"&amp;$B458&amp;$C458&amp;$D458&amp;$E458&amp;$F458,".","_"),"(","_"),")","")</f>
        <v>dnt703_7_3_1_c</v>
      </c>
      <c r="AS458" s="1352" t="str">
        <f>IF(LEN(X458)=0,"",X458)</f>
        <v/>
      </c>
    </row>
    <row r="459" spans="2:45" s="843" customFormat="1" ht="15" customHeight="1" x14ac:dyDescent="0.2">
      <c r="B459" s="600" t="s">
        <v>4445</v>
      </c>
      <c r="C459" s="600" t="s">
        <v>254</v>
      </c>
      <c r="D459" s="600" t="s">
        <v>366</v>
      </c>
      <c r="E459" s="600"/>
      <c r="F459" s="23"/>
      <c r="G459" s="23"/>
      <c r="H459" s="691"/>
      <c r="I459" s="589"/>
      <c r="J459" s="590"/>
      <c r="K459" s="590" t="s">
        <v>366</v>
      </c>
      <c r="L459" s="1634" t="s">
        <v>4233</v>
      </c>
      <c r="M459" s="882"/>
      <c r="N459" s="129"/>
      <c r="O459" s="886"/>
      <c r="P459" s="96" t="b">
        <v>1</v>
      </c>
      <c r="Q459" s="96" t="b">
        <v>1</v>
      </c>
      <c r="R459" s="96" t="b">
        <v>0</v>
      </c>
      <c r="S459" s="96" t="b">
        <f ca="1">S11=2</f>
        <v>0</v>
      </c>
      <c r="T459" s="96" t="b">
        <f ca="1">AND(NOT(S459),W459=TRUE)</f>
        <v>0</v>
      </c>
      <c r="W459" s="27"/>
      <c r="X459" s="1600"/>
      <c r="AC459" s="881" t="b">
        <f ca="1">OR(AD459:AE459)</f>
        <v>0</v>
      </c>
      <c r="AD459" s="881" t="b">
        <f ca="1">T459</f>
        <v>0</v>
      </c>
      <c r="AE459" s="881" t="b">
        <f>AND(R459,NOT(W459))</f>
        <v>0</v>
      </c>
      <c r="AL459" s="78"/>
      <c r="AM459" s="78"/>
      <c r="AN459" s="78"/>
      <c r="AO459" s="78"/>
      <c r="AP459" s="1352" t="str">
        <f>SUBSTITUTE(SUBSTITUTE(SUBSTITUTE("dch"&amp;$B459&amp;$C459&amp;$D459&amp;$E459&amp;$F459,".","_"),"(","_"),")","")</f>
        <v>dch703_7_3_1_d</v>
      </c>
      <c r="AQ459" s="1352" t="str">
        <f>IF(LEN(W459)=0,"",W459)</f>
        <v/>
      </c>
      <c r="AR459" s="1352" t="str">
        <f>SUBSTITUTE(SUBSTITUTE(SUBSTITUTE("dnt"&amp;$B459&amp;$C459&amp;$D459&amp;$E459&amp;$F459,".","_"),"(","_"),")","")</f>
        <v>dnt703_7_3_1_d</v>
      </c>
      <c r="AS459" s="1352" t="str">
        <f>IF(LEN(X459)=0,"",X459)</f>
        <v/>
      </c>
    </row>
    <row r="460" spans="2:45" s="843" customFormat="1" ht="15" customHeight="1" x14ac:dyDescent="0.2">
      <c r="B460" s="600" t="s">
        <v>4445</v>
      </c>
      <c r="C460" s="600" t="s">
        <v>254</v>
      </c>
      <c r="D460" s="600" t="s">
        <v>366</v>
      </c>
      <c r="E460" s="600"/>
      <c r="F460" s="23"/>
      <c r="G460" s="23"/>
      <c r="H460" s="691"/>
      <c r="I460" s="589"/>
      <c r="J460" s="606"/>
      <c r="K460" s="606"/>
      <c r="L460" s="1639"/>
      <c r="M460" s="96"/>
      <c r="N460" s="96"/>
      <c r="O460" s="96"/>
      <c r="P460" s="96"/>
      <c r="Q460" s="96"/>
      <c r="R460" s="96"/>
      <c r="S460" s="96"/>
      <c r="T460" s="96"/>
      <c r="X460" s="1600"/>
      <c r="AL460" s="78"/>
      <c r="AM460" s="78"/>
      <c r="AN460" s="78"/>
      <c r="AO460" s="78"/>
      <c r="AP460" s="78"/>
      <c r="AQ460" s="78"/>
      <c r="AR460" s="78"/>
      <c r="AS460" s="78"/>
    </row>
    <row r="461" spans="2:45" s="843" customFormat="1" ht="15" customHeight="1" x14ac:dyDescent="0.2">
      <c r="B461" s="600" t="s">
        <v>4445</v>
      </c>
      <c r="C461" s="600" t="s">
        <v>255</v>
      </c>
      <c r="D461" s="600"/>
      <c r="E461" s="600"/>
      <c r="F461" s="23"/>
      <c r="G461" s="23"/>
      <c r="H461" s="691"/>
      <c r="I461" s="589"/>
      <c r="J461" s="608" t="s">
        <v>255</v>
      </c>
      <c r="K461" s="608"/>
      <c r="L461" s="1633" t="s">
        <v>4234</v>
      </c>
      <c r="M461" s="882"/>
      <c r="N461" s="129"/>
      <c r="O461" s="886"/>
      <c r="P461" s="96" t="b">
        <v>1</v>
      </c>
      <c r="Q461" s="96" t="b">
        <v>1</v>
      </c>
      <c r="R461" s="96" t="b">
        <v>0</v>
      </c>
      <c r="S461" s="96" t="b">
        <f ca="1">AND(S11=2,NOT(W419=TRUE))</f>
        <v>0</v>
      </c>
      <c r="T461" s="96" t="b">
        <f ca="1">AND(NOT(S461),W461=TRUE)</f>
        <v>0</v>
      </c>
      <c r="W461" s="27"/>
      <c r="X461" s="1600"/>
      <c r="AC461" s="881" t="b">
        <f ca="1">OR(AD461:AE461)</f>
        <v>0</v>
      </c>
      <c r="AD461" s="881" t="b">
        <f ca="1">T461</f>
        <v>0</v>
      </c>
      <c r="AE461" s="881" t="b">
        <f>AND(R461,NOT(W461))</f>
        <v>0</v>
      </c>
      <c r="AL461" s="78"/>
      <c r="AM461" s="78"/>
      <c r="AN461" s="78"/>
      <c r="AO461" s="78"/>
      <c r="AP461" s="1352" t="str">
        <f>SUBSTITUTE(SUBSTITUTE(SUBSTITUTE("dch"&amp;$B461&amp;$C461&amp;$D461&amp;$E461&amp;$F461,".","_"),"(","_"),")","")</f>
        <v>dch703_7_3_2</v>
      </c>
      <c r="AQ461" s="1352" t="str">
        <f>IF(LEN(W461)=0,"",W461)</f>
        <v/>
      </c>
      <c r="AR461" s="1352" t="str">
        <f>SUBSTITUTE(SUBSTITUTE(SUBSTITUTE("dnt"&amp;$B461&amp;$C461&amp;$D461&amp;$E461&amp;$F461,".","_"),"(","_"),")","")</f>
        <v>dnt703_7_3_2</v>
      </c>
      <c r="AS461" s="1352" t="str">
        <f>IF(LEN(X461)=0,"",X461)</f>
        <v/>
      </c>
    </row>
    <row r="462" spans="2:45" s="843" customFormat="1" ht="15" customHeight="1" x14ac:dyDescent="0.2">
      <c r="B462" s="600" t="s">
        <v>4445</v>
      </c>
      <c r="C462" s="600" t="s">
        <v>255</v>
      </c>
      <c r="D462" s="600"/>
      <c r="E462" s="600"/>
      <c r="F462" s="23"/>
      <c r="G462" s="23"/>
      <c r="H462" s="691"/>
      <c r="I462" s="589"/>
      <c r="J462" s="606"/>
      <c r="K462" s="606"/>
      <c r="L462" s="1639"/>
      <c r="M462" s="882"/>
      <c r="N462" s="129"/>
      <c r="O462" s="886"/>
      <c r="P462" s="96"/>
      <c r="Q462" s="96"/>
      <c r="R462" s="96"/>
      <c r="S462" s="96"/>
      <c r="T462" s="96"/>
      <c r="X462" s="1600"/>
      <c r="AL462" s="78"/>
      <c r="AM462" s="78"/>
      <c r="AN462" s="78"/>
      <c r="AO462" s="78"/>
      <c r="AP462" s="78"/>
      <c r="AQ462" s="78"/>
      <c r="AR462" s="78"/>
      <c r="AS462" s="78"/>
    </row>
    <row r="463" spans="2:45" s="843" customFormat="1" ht="15" customHeight="1" x14ac:dyDescent="0.2">
      <c r="B463" s="600" t="s">
        <v>4445</v>
      </c>
      <c r="C463" s="600" t="s">
        <v>256</v>
      </c>
      <c r="D463" s="600"/>
      <c r="E463" s="600"/>
      <c r="F463" s="23"/>
      <c r="G463" s="23"/>
      <c r="H463" s="691"/>
      <c r="I463" s="589"/>
      <c r="J463" s="608" t="s">
        <v>256</v>
      </c>
      <c r="K463" s="608"/>
      <c r="L463" s="1633" t="s">
        <v>4235</v>
      </c>
      <c r="M463" s="882"/>
      <c r="N463" s="129"/>
      <c r="O463" s="886"/>
      <c r="P463" s="96" t="b">
        <v>1</v>
      </c>
      <c r="Q463" s="96" t="b">
        <v>1</v>
      </c>
      <c r="R463" s="96" t="b">
        <v>0</v>
      </c>
      <c r="S463" s="96" t="b">
        <f ca="1">S11=2</f>
        <v>0</v>
      </c>
      <c r="T463" s="96" t="b">
        <f ca="1">AND(NOT(S463),W463=TRUE)</f>
        <v>0</v>
      </c>
      <c r="W463" s="27"/>
      <c r="X463" s="1600"/>
      <c r="AC463" s="881" t="b">
        <f ca="1">OR(AD463:AE463)</f>
        <v>0</v>
      </c>
      <c r="AD463" s="881" t="b">
        <f ca="1">T463</f>
        <v>0</v>
      </c>
      <c r="AE463" s="881" t="b">
        <f>AND(R463,NOT(W463))</f>
        <v>0</v>
      </c>
      <c r="AL463" s="78"/>
      <c r="AM463" s="78"/>
      <c r="AN463" s="78"/>
      <c r="AO463" s="78"/>
      <c r="AP463" s="1352" t="str">
        <f>SUBSTITUTE(SUBSTITUTE(SUBSTITUTE("dch"&amp;$B463&amp;$C463&amp;$D463&amp;$E463&amp;$F463,".","_"),"(","_"),")","")</f>
        <v>dch703_7_3_3</v>
      </c>
      <c r="AQ463" s="1352" t="str">
        <f>IF(LEN(W463)=0,"",W463)</f>
        <v/>
      </c>
      <c r="AR463" s="1352" t="str">
        <f>SUBSTITUTE(SUBSTITUTE(SUBSTITUTE("dnt"&amp;$B463&amp;$C463&amp;$D463&amp;$E463&amp;$F463,".","_"),"(","_"),")","")</f>
        <v>dnt703_7_3_3</v>
      </c>
      <c r="AS463" s="1352" t="str">
        <f>IF(LEN(X463)=0,"",X463)</f>
        <v/>
      </c>
    </row>
    <row r="464" spans="2:45" s="843" customFormat="1" ht="15" customHeight="1" x14ac:dyDescent="0.2">
      <c r="B464" s="600" t="s">
        <v>4445</v>
      </c>
      <c r="C464" s="600" t="s">
        <v>256</v>
      </c>
      <c r="D464" s="600"/>
      <c r="E464" s="600"/>
      <c r="F464" s="23"/>
      <c r="G464" s="23"/>
      <c r="H464" s="691"/>
      <c r="I464" s="589"/>
      <c r="J464" s="606"/>
      <c r="K464" s="606"/>
      <c r="L464" s="1639"/>
      <c r="M464" s="96"/>
      <c r="N464" s="96"/>
      <c r="O464" s="96"/>
      <c r="P464" s="96"/>
      <c r="Q464" s="96"/>
      <c r="R464" s="96"/>
      <c r="S464" s="96"/>
      <c r="T464" s="96"/>
      <c r="X464" s="1600"/>
      <c r="AL464" s="78"/>
      <c r="AM464" s="78"/>
      <c r="AN464" s="78"/>
      <c r="AO464" s="78"/>
      <c r="AP464" s="78"/>
      <c r="AQ464" s="78"/>
      <c r="AR464" s="78"/>
      <c r="AS464" s="78"/>
    </row>
    <row r="465" spans="2:45" s="843" customFormat="1" ht="15" customHeight="1" x14ac:dyDescent="0.2">
      <c r="B465" s="600" t="s">
        <v>4445</v>
      </c>
      <c r="C465" s="600" t="s">
        <v>259</v>
      </c>
      <c r="D465" s="600"/>
      <c r="E465" s="600"/>
      <c r="F465" s="23"/>
      <c r="G465" s="23"/>
      <c r="H465" s="691"/>
      <c r="I465" s="589"/>
      <c r="J465" s="608" t="s">
        <v>259</v>
      </c>
      <c r="K465" s="608"/>
      <c r="L465" s="1633" t="s">
        <v>4236</v>
      </c>
      <c r="M465" s="882"/>
      <c r="N465" s="129"/>
      <c r="O465" s="886"/>
      <c r="P465" s="96" t="b">
        <v>1</v>
      </c>
      <c r="Q465" s="96" t="b">
        <v>1</v>
      </c>
      <c r="R465" s="96" t="b">
        <v>0</v>
      </c>
      <c r="S465" s="96" t="b">
        <f ca="1">AND(S11=2,OR(T247=1,T247=2,T247=3))</f>
        <v>0</v>
      </c>
      <c r="T465" s="96" t="b">
        <f ca="1">AND(NOT(S465),W465=TRUE)</f>
        <v>0</v>
      </c>
      <c r="W465" s="27"/>
      <c r="X465" s="1600"/>
      <c r="AC465" s="881" t="b">
        <f ca="1">OR(AD465:AE465)</f>
        <v>0</v>
      </c>
      <c r="AD465" s="881" t="b">
        <f ca="1">T465</f>
        <v>0</v>
      </c>
      <c r="AE465" s="881" t="b">
        <f>AND(R465,NOT(W465))</f>
        <v>0</v>
      </c>
      <c r="AL465" s="78"/>
      <c r="AM465" s="78"/>
      <c r="AN465" s="78"/>
      <c r="AO465" s="78"/>
      <c r="AP465" s="1352" t="str">
        <f>SUBSTITUTE(SUBSTITUTE(SUBSTITUTE("dch"&amp;$B465&amp;$C465&amp;$D465&amp;$E465&amp;$F465,".","_"),"(","_"),")","")</f>
        <v>dch703_7_3_4</v>
      </c>
      <c r="AQ465" s="1352" t="str">
        <f>IF(LEN(W465)=0,"",W465)</f>
        <v/>
      </c>
      <c r="AR465" s="1352" t="str">
        <f>SUBSTITUTE(SUBSTITUTE(SUBSTITUTE("dnt"&amp;$B465&amp;$C465&amp;$D465&amp;$E465&amp;$F465,".","_"),"(","_"),")","")</f>
        <v>dnt703_7_3_4</v>
      </c>
      <c r="AS465" s="1352" t="str">
        <f>IF(LEN(X465)=0,"",X465)</f>
        <v/>
      </c>
    </row>
    <row r="466" spans="2:45" s="843" customFormat="1" ht="15" customHeight="1" x14ac:dyDescent="0.2">
      <c r="B466" s="600" t="s">
        <v>4445</v>
      </c>
      <c r="C466" s="600" t="s">
        <v>259</v>
      </c>
      <c r="D466" s="600"/>
      <c r="E466" s="600"/>
      <c r="F466" s="23"/>
      <c r="G466" s="23"/>
      <c r="H466" s="691"/>
      <c r="I466" s="589"/>
      <c r="J466" s="606"/>
      <c r="K466" s="606"/>
      <c r="L466" s="1639"/>
      <c r="M466" s="96"/>
      <c r="N466" s="96"/>
      <c r="O466" s="96"/>
      <c r="P466" s="96"/>
      <c r="Q466" s="96"/>
      <c r="R466" s="96"/>
      <c r="S466" s="96"/>
      <c r="T466" s="96"/>
      <c r="X466" s="1600"/>
      <c r="AL466" s="78"/>
      <c r="AM466" s="78"/>
      <c r="AN466" s="78"/>
      <c r="AO466" s="78"/>
      <c r="AP466" s="78"/>
      <c r="AQ466" s="78"/>
      <c r="AR466" s="78"/>
      <c r="AS466" s="78"/>
    </row>
    <row r="467" spans="2:45" s="843" customFormat="1" ht="15" customHeight="1" x14ac:dyDescent="0.2">
      <c r="B467" s="600" t="s">
        <v>4445</v>
      </c>
      <c r="C467" s="600" t="s">
        <v>263</v>
      </c>
      <c r="D467" s="600"/>
      <c r="E467" s="600"/>
      <c r="F467" s="23"/>
      <c r="G467" s="23"/>
      <c r="H467" s="691"/>
      <c r="I467" s="589"/>
      <c r="J467" s="589" t="s">
        <v>263</v>
      </c>
      <c r="K467" s="589"/>
      <c r="L467" s="1634" t="s">
        <v>4237</v>
      </c>
      <c r="M467" s="96"/>
      <c r="N467" s="96"/>
      <c r="O467" s="96"/>
      <c r="P467" s="96"/>
      <c r="Q467" s="96"/>
      <c r="R467" s="96"/>
      <c r="S467" s="96"/>
      <c r="T467" s="96"/>
      <c r="AL467" s="78"/>
      <c r="AM467" s="78"/>
      <c r="AN467" s="78"/>
      <c r="AO467" s="78"/>
      <c r="AP467" s="78"/>
      <c r="AQ467" s="78"/>
      <c r="AR467" s="78"/>
      <c r="AS467" s="78"/>
    </row>
    <row r="468" spans="2:45" s="843" customFormat="1" ht="15" customHeight="1" x14ac:dyDescent="0.2">
      <c r="B468" s="600" t="s">
        <v>4445</v>
      </c>
      <c r="C468" s="600" t="s">
        <v>263</v>
      </c>
      <c r="D468" s="600"/>
      <c r="E468" s="600"/>
      <c r="F468" s="23"/>
      <c r="G468" s="23"/>
      <c r="H468" s="691"/>
      <c r="I468" s="589"/>
      <c r="J468" s="589"/>
      <c r="K468" s="589"/>
      <c r="L468" s="1634"/>
      <c r="M468" s="96"/>
      <c r="N468" s="96"/>
      <c r="O468" s="96"/>
      <c r="P468" s="96"/>
      <c r="Q468" s="96"/>
      <c r="R468" s="96"/>
      <c r="S468" s="96"/>
      <c r="T468" s="96"/>
      <c r="AL468" s="78"/>
      <c r="AM468" s="78"/>
      <c r="AN468" s="78"/>
      <c r="AO468" s="78"/>
      <c r="AP468" s="78"/>
      <c r="AQ468" s="78"/>
      <c r="AR468" s="78"/>
      <c r="AS468" s="78"/>
    </row>
    <row r="469" spans="2:45" s="843" customFormat="1" ht="15" customHeight="1" x14ac:dyDescent="0.2">
      <c r="B469" s="600" t="s">
        <v>4445</v>
      </c>
      <c r="C469" s="600" t="s">
        <v>263</v>
      </c>
      <c r="D469" s="600"/>
      <c r="E469" s="600"/>
      <c r="F469" s="23"/>
      <c r="G469" s="23"/>
      <c r="H469" s="691"/>
      <c r="I469" s="589"/>
      <c r="J469" s="589"/>
      <c r="K469" s="589"/>
      <c r="L469" s="1634"/>
      <c r="M469" s="96"/>
      <c r="N469" s="96"/>
      <c r="O469" s="96"/>
      <c r="P469" s="96"/>
      <c r="Q469" s="96"/>
      <c r="R469" s="96"/>
      <c r="S469" s="96"/>
      <c r="T469" s="96"/>
      <c r="AL469" s="78"/>
      <c r="AM469" s="78"/>
      <c r="AN469" s="78"/>
      <c r="AO469" s="78"/>
      <c r="AP469" s="78"/>
      <c r="AQ469" s="78"/>
      <c r="AR469" s="78"/>
      <c r="AS469" s="78"/>
    </row>
    <row r="470" spans="2:45" s="843" customFormat="1" ht="15" customHeight="1" x14ac:dyDescent="0.2">
      <c r="B470" s="600" t="s">
        <v>4445</v>
      </c>
      <c r="C470" s="600" t="s">
        <v>263</v>
      </c>
      <c r="D470" s="600" t="s">
        <v>121</v>
      </c>
      <c r="E470" s="600"/>
      <c r="F470" s="23"/>
      <c r="G470" s="23"/>
      <c r="H470" s="691"/>
      <c r="I470" s="589"/>
      <c r="J470" s="589"/>
      <c r="K470" s="590" t="s">
        <v>121</v>
      </c>
      <c r="L470" s="1634" t="s">
        <v>4238</v>
      </c>
      <c r="M470" s="882"/>
      <c r="N470" s="129"/>
      <c r="O470" s="886"/>
      <c r="P470" s="96" t="b">
        <v>1</v>
      </c>
      <c r="Q470" s="96" t="b">
        <v>1</v>
      </c>
      <c r="R470" s="96" t="b">
        <v>0</v>
      </c>
      <c r="S470" s="96" t="b">
        <f ca="1">S11=2</f>
        <v>0</v>
      </c>
      <c r="T470" s="96" t="b">
        <f ca="1">AND(NOT(S470),W470=TRUE)</f>
        <v>0</v>
      </c>
      <c r="W470" s="27"/>
      <c r="X470" s="1600"/>
      <c r="AC470" s="881" t="b">
        <f ca="1">OR(AD470:AE470)</f>
        <v>0</v>
      </c>
      <c r="AD470" s="881" t="b">
        <f ca="1">T470</f>
        <v>0</v>
      </c>
      <c r="AE470" s="881" t="b">
        <f>AND(R470,NOT(W470))</f>
        <v>0</v>
      </c>
      <c r="AL470" s="78"/>
      <c r="AM470" s="78"/>
      <c r="AN470" s="78"/>
      <c r="AO470" s="78"/>
      <c r="AP470" s="1352" t="str">
        <f>SUBSTITUTE(SUBSTITUTE(SUBSTITUTE("dch"&amp;$B470&amp;$C470&amp;$D470&amp;$E470&amp;$F470,".","_"),"(","_"),")","")</f>
        <v>dch703_7_3_5_a</v>
      </c>
      <c r="AQ470" s="1352" t="str">
        <f>IF(LEN(W470)=0,"",W470)</f>
        <v/>
      </c>
      <c r="AR470" s="1352" t="str">
        <f>SUBSTITUTE(SUBSTITUTE(SUBSTITUTE("dnt"&amp;$B470&amp;$C470&amp;$D470&amp;$E470&amp;$F470,".","_"),"(","_"),")","")</f>
        <v>dnt703_7_3_5_a</v>
      </c>
      <c r="AS470" s="1352" t="str">
        <f>IF(LEN(X470)=0,"",X470)</f>
        <v/>
      </c>
    </row>
    <row r="471" spans="2:45" s="843" customFormat="1" ht="15" customHeight="1" x14ac:dyDescent="0.2">
      <c r="B471" s="600" t="s">
        <v>4445</v>
      </c>
      <c r="C471" s="600" t="s">
        <v>263</v>
      </c>
      <c r="D471" s="600" t="s">
        <v>121</v>
      </c>
      <c r="E471" s="600"/>
      <c r="F471" s="23"/>
      <c r="G471" s="23"/>
      <c r="H471" s="691"/>
      <c r="I471" s="589"/>
      <c r="J471" s="589"/>
      <c r="K471" s="606"/>
      <c r="L471" s="1639"/>
      <c r="M471" s="882"/>
      <c r="N471" s="129"/>
      <c r="O471" s="886"/>
      <c r="P471" s="96"/>
      <c r="Q471" s="96"/>
      <c r="R471" s="96"/>
      <c r="S471" s="96"/>
      <c r="T471" s="96"/>
      <c r="X471" s="1600"/>
      <c r="AL471" s="78"/>
      <c r="AM471" s="78"/>
      <c r="AN471" s="78"/>
      <c r="AO471" s="78"/>
      <c r="AP471" s="78"/>
      <c r="AQ471" s="78"/>
      <c r="AR471" s="78"/>
      <c r="AS471" s="78"/>
    </row>
    <row r="472" spans="2:45" s="843" customFormat="1" ht="15" customHeight="1" x14ac:dyDescent="0.2">
      <c r="B472" s="600" t="s">
        <v>4445</v>
      </c>
      <c r="C472" s="600" t="s">
        <v>263</v>
      </c>
      <c r="D472" s="600" t="s">
        <v>122</v>
      </c>
      <c r="E472" s="600"/>
      <c r="F472" s="23"/>
      <c r="G472" s="23"/>
      <c r="H472" s="691"/>
      <c r="I472" s="589"/>
      <c r="J472" s="590"/>
      <c r="K472" s="590" t="s">
        <v>122</v>
      </c>
      <c r="L472" s="1634" t="s">
        <v>4239</v>
      </c>
      <c r="M472" s="882"/>
      <c r="N472" s="129"/>
      <c r="O472" s="886"/>
      <c r="P472" s="96" t="b">
        <v>1</v>
      </c>
      <c r="Q472" s="96" t="b">
        <v>1</v>
      </c>
      <c r="R472" s="96" t="b">
        <v>0</v>
      </c>
      <c r="S472" s="96" t="b">
        <f ca="1">S11=2</f>
        <v>0</v>
      </c>
      <c r="T472" s="96" t="b">
        <f ca="1">AND(NOT(S472),W472=TRUE)</f>
        <v>0</v>
      </c>
      <c r="W472" s="27"/>
      <c r="X472" s="1600"/>
      <c r="AC472" s="881" t="b">
        <f ca="1">OR(AD472:AE472)</f>
        <v>0</v>
      </c>
      <c r="AD472" s="881" t="b">
        <f ca="1">T472</f>
        <v>0</v>
      </c>
      <c r="AE472" s="881" t="b">
        <f>AND(R472,NOT(W472))</f>
        <v>0</v>
      </c>
      <c r="AL472" s="78"/>
      <c r="AM472" s="78"/>
      <c r="AN472" s="78"/>
      <c r="AO472" s="78"/>
      <c r="AP472" s="1352" t="str">
        <f>SUBSTITUTE(SUBSTITUTE(SUBSTITUTE("dch"&amp;$B472&amp;$C472&amp;$D472&amp;$E472&amp;$F472,".","_"),"(","_"),")","")</f>
        <v>dch703_7_3_5_b</v>
      </c>
      <c r="AQ472" s="1352" t="str">
        <f>IF(LEN(W472)=0,"",W472)</f>
        <v/>
      </c>
      <c r="AR472" s="1352" t="str">
        <f>SUBSTITUTE(SUBSTITUTE(SUBSTITUTE("dnt"&amp;$B472&amp;$C472&amp;$D472&amp;$E472&amp;$F472,".","_"),"(","_"),")","")</f>
        <v>dnt703_7_3_5_b</v>
      </c>
      <c r="AS472" s="1352" t="str">
        <f>IF(LEN(X472)=0,"",X472)</f>
        <v/>
      </c>
    </row>
    <row r="473" spans="2:45" s="843" customFormat="1" ht="15" customHeight="1" x14ac:dyDescent="0.2">
      <c r="B473" s="600" t="s">
        <v>4445</v>
      </c>
      <c r="C473" s="600" t="s">
        <v>263</v>
      </c>
      <c r="D473" s="600" t="s">
        <v>122</v>
      </c>
      <c r="E473" s="600"/>
      <c r="F473" s="23"/>
      <c r="G473" s="23"/>
      <c r="H473" s="691"/>
      <c r="I473" s="589"/>
      <c r="J473" s="606"/>
      <c r="K473" s="606"/>
      <c r="L473" s="1639"/>
      <c r="M473" s="882"/>
      <c r="N473" s="129"/>
      <c r="O473" s="886"/>
      <c r="P473" s="96"/>
      <c r="Q473" s="96"/>
      <c r="R473" s="96"/>
      <c r="S473" s="96"/>
      <c r="T473" s="96"/>
      <c r="X473" s="1600"/>
      <c r="AL473" s="78"/>
      <c r="AM473" s="78"/>
      <c r="AN473" s="78"/>
      <c r="AO473" s="78"/>
      <c r="AP473" s="78"/>
      <c r="AQ473" s="78"/>
      <c r="AR473" s="78"/>
      <c r="AS473" s="78"/>
    </row>
    <row r="474" spans="2:45" s="843" customFormat="1" ht="15" customHeight="1" x14ac:dyDescent="0.2">
      <c r="B474" s="600" t="s">
        <v>4445</v>
      </c>
      <c r="C474" s="600" t="s">
        <v>264</v>
      </c>
      <c r="D474" s="600"/>
      <c r="E474" s="600"/>
      <c r="F474" s="23"/>
      <c r="G474" s="23"/>
      <c r="H474" s="691"/>
      <c r="I474" s="590"/>
      <c r="J474" s="590" t="s">
        <v>264</v>
      </c>
      <c r="K474" s="590"/>
      <c r="L474" s="1634" t="s">
        <v>4240</v>
      </c>
      <c r="M474" s="913"/>
      <c r="N474" s="129"/>
      <c r="O474" s="908"/>
      <c r="P474" s="96" t="b">
        <v>1</v>
      </c>
      <c r="Q474" s="96" t="b">
        <v>1</v>
      </c>
      <c r="R474" s="96" t="b">
        <v>0</v>
      </c>
      <c r="S474" s="96" t="b">
        <f ca="1">S11=2</f>
        <v>0</v>
      </c>
      <c r="T474" s="96" t="b">
        <f ca="1">AND(NOT(S474),W474=TRUE)</f>
        <v>0</v>
      </c>
      <c r="W474" s="27"/>
      <c r="X474" s="1600"/>
      <c r="AC474" s="881" t="b">
        <f ca="1">OR(AD474:AE474)</f>
        <v>0</v>
      </c>
      <c r="AD474" s="881" t="b">
        <f ca="1">T474</f>
        <v>0</v>
      </c>
      <c r="AE474" s="881" t="b">
        <f>AND(R474,NOT(W474))</f>
        <v>0</v>
      </c>
      <c r="AL474" s="78"/>
      <c r="AM474" s="78"/>
      <c r="AN474" s="78"/>
      <c r="AO474" s="78"/>
      <c r="AP474" s="1352" t="str">
        <f>SUBSTITUTE(SUBSTITUTE(SUBSTITUTE("dch"&amp;$B474&amp;$C474&amp;$D474&amp;$E474&amp;$F474,".","_"),"(","_"),")","")</f>
        <v>dch703_7_3_6</v>
      </c>
      <c r="AQ474" s="1352" t="str">
        <f>IF(LEN(W474)=0,"",W474)</f>
        <v/>
      </c>
      <c r="AR474" s="1352" t="str">
        <f>SUBSTITUTE(SUBSTITUTE(SUBSTITUTE("dnt"&amp;$B474&amp;$C474&amp;$D474&amp;$E474&amp;$F474,".","_"),"(","_"),")","")</f>
        <v>dnt703_7_3_6</v>
      </c>
      <c r="AS474" s="1352" t="str">
        <f>IF(LEN(X474)=0,"",X474)</f>
        <v/>
      </c>
    </row>
    <row r="475" spans="2:45" s="843" customFormat="1" ht="15" customHeight="1" x14ac:dyDescent="0.2">
      <c r="B475" s="600" t="s">
        <v>4445</v>
      </c>
      <c r="C475" s="600" t="s">
        <v>264</v>
      </c>
      <c r="D475" s="600"/>
      <c r="E475" s="600"/>
      <c r="F475" s="23"/>
      <c r="G475" s="23"/>
      <c r="H475" s="691"/>
      <c r="I475" s="606"/>
      <c r="J475" s="606"/>
      <c r="K475" s="606"/>
      <c r="L475" s="1639"/>
      <c r="M475" s="937"/>
      <c r="N475" s="213"/>
      <c r="O475" s="909"/>
      <c r="P475" s="96"/>
      <c r="Q475" s="96"/>
      <c r="R475" s="96"/>
      <c r="S475" s="96"/>
      <c r="T475" s="96"/>
      <c r="X475" s="1600"/>
      <c r="AL475" s="78"/>
      <c r="AM475" s="78"/>
      <c r="AN475" s="78"/>
      <c r="AO475" s="78"/>
      <c r="AP475" s="78"/>
      <c r="AQ475" s="78"/>
      <c r="AR475" s="78"/>
      <c r="AS475" s="78"/>
    </row>
    <row r="476" spans="2:45" s="843" customFormat="1" ht="15" customHeight="1" x14ac:dyDescent="0.2">
      <c r="B476" s="600" t="s">
        <v>4446</v>
      </c>
      <c r="C476" s="600"/>
      <c r="D476" s="600"/>
      <c r="E476" s="600"/>
      <c r="F476" s="23"/>
      <c r="G476" s="23"/>
      <c r="H476" s="691"/>
      <c r="I476" s="589" t="s">
        <v>4241</v>
      </c>
      <c r="J476" s="589"/>
      <c r="K476" s="589"/>
      <c r="L476" s="1687" t="s">
        <v>4242</v>
      </c>
      <c r="M476" s="1623">
        <v>4</v>
      </c>
      <c r="N476" s="129"/>
      <c r="O476" s="1619">
        <f ca="1">M476*S476*W476</f>
        <v>0</v>
      </c>
      <c r="P476" s="96" t="b">
        <v>1</v>
      </c>
      <c r="Q476" s="96" t="b">
        <v>1</v>
      </c>
      <c r="R476" s="96" t="b">
        <v>0</v>
      </c>
      <c r="S476" s="96" t="b">
        <f ca="1">AND(S11=2,W419=TRUE,NOT(BI16="Tropical"))</f>
        <v>0</v>
      </c>
      <c r="T476" s="96" t="b">
        <f ca="1">AND(NOT(S476),W476=TRUE)</f>
        <v>0</v>
      </c>
      <c r="W476" s="27"/>
      <c r="X476"/>
      <c r="AC476" s="881" t="b">
        <f ca="1">OR(AD476:AE476)</f>
        <v>0</v>
      </c>
      <c r="AD476" s="881" t="b">
        <f ca="1">T476</f>
        <v>0</v>
      </c>
      <c r="AE476" s="881" t="b">
        <f>AND(R476,NOT(W476))</f>
        <v>0</v>
      </c>
      <c r="AL476" s="1352" t="str">
        <f>SUBSTITUTE(SUBSTITUTE(SUBSTITUTE("dpa"&amp;$B476&amp;$C476&amp;$D476&amp;$E476&amp;$F476,".","_"),"(","_"),")","")</f>
        <v>dpa703_7_4</v>
      </c>
      <c r="AM476" s="1352">
        <f>M476</f>
        <v>4</v>
      </c>
      <c r="AN476" s="1352" t="str">
        <f>SUBSTITUTE(SUBSTITUTE(SUBSTITUTE("dpc"&amp;$B476&amp;$C476&amp;$D476&amp;$E476&amp;$F476,".","_"),"(","_"),")","")</f>
        <v>dpc703_7_4</v>
      </c>
      <c r="AO476" s="1352">
        <f ca="1">O476</f>
        <v>0</v>
      </c>
      <c r="AP476" s="1352" t="str">
        <f>SUBSTITUTE(SUBSTITUTE(SUBSTITUTE("dch"&amp;$B476&amp;$C476&amp;$D476&amp;$E476&amp;$F476,".","_"),"(","_"),")","")</f>
        <v>dch703_7_4</v>
      </c>
      <c r="AQ476" s="1352" t="str">
        <f>IF(LEN(W476)=0,"",W476)</f>
        <v/>
      </c>
      <c r="AR476" s="78"/>
      <c r="AS476" s="78"/>
    </row>
    <row r="477" spans="2:45" s="843" customFormat="1" ht="15" customHeight="1" x14ac:dyDescent="0.2">
      <c r="B477" s="600" t="s">
        <v>4446</v>
      </c>
      <c r="C477" s="600"/>
      <c r="D477" s="600"/>
      <c r="E477" s="600"/>
      <c r="F477" s="23"/>
      <c r="G477" s="23"/>
      <c r="H477" s="691"/>
      <c r="I477" s="589"/>
      <c r="J477" s="589"/>
      <c r="K477" s="589"/>
      <c r="L477" s="1687"/>
      <c r="M477" s="1623"/>
      <c r="N477" s="129"/>
      <c r="O477" s="1619"/>
      <c r="P477" s="96"/>
      <c r="Q477" s="96"/>
      <c r="R477" s="96"/>
      <c r="S477" s="96"/>
      <c r="T477" s="96"/>
      <c r="AL477" s="78"/>
      <c r="AM477" s="78"/>
      <c r="AN477" s="78"/>
      <c r="AO477" s="78"/>
      <c r="AP477" s="78"/>
      <c r="AQ477" s="78"/>
      <c r="AR477" s="78"/>
      <c r="AS477" s="78"/>
    </row>
    <row r="478" spans="2:45" s="843" customFormat="1" ht="15" customHeight="1" x14ac:dyDescent="0.2">
      <c r="B478" s="600" t="s">
        <v>4446</v>
      </c>
      <c r="C478" s="600"/>
      <c r="D478" s="600"/>
      <c r="E478" s="600"/>
      <c r="F478" s="23"/>
      <c r="G478" s="23"/>
      <c r="H478" s="691"/>
      <c r="I478" s="589"/>
      <c r="J478" s="589"/>
      <c r="K478" s="589"/>
      <c r="L478" s="1687"/>
      <c r="M478" s="96"/>
      <c r="N478" s="96"/>
      <c r="O478" s="96"/>
      <c r="P478" s="96"/>
      <c r="Q478" s="96"/>
      <c r="R478" s="96"/>
      <c r="S478" s="96"/>
      <c r="T478" s="96"/>
      <c r="AL478" s="78"/>
      <c r="AM478" s="78"/>
      <c r="AN478" s="78"/>
      <c r="AO478" s="78"/>
      <c r="AP478" s="78"/>
      <c r="AQ478" s="78"/>
      <c r="AR478" s="78"/>
      <c r="AS478" s="78"/>
    </row>
    <row r="479" spans="2:45" s="843" customFormat="1" ht="15" customHeight="1" x14ac:dyDescent="0.2">
      <c r="B479" s="600" t="s">
        <v>4446</v>
      </c>
      <c r="C479" s="600" t="s">
        <v>254</v>
      </c>
      <c r="D479" s="600"/>
      <c r="E479" s="600"/>
      <c r="F479" s="23"/>
      <c r="G479" s="23"/>
      <c r="H479" s="691"/>
      <c r="I479" s="589"/>
      <c r="J479" s="590" t="s">
        <v>254</v>
      </c>
      <c r="K479" s="590"/>
      <c r="L479" s="1634" t="s">
        <v>4243</v>
      </c>
      <c r="M479" s="96"/>
      <c r="N479" s="96"/>
      <c r="O479" s="96"/>
      <c r="P479" s="96"/>
      <c r="Q479" s="96"/>
      <c r="R479" s="96"/>
      <c r="S479" s="96"/>
      <c r="T479" s="96"/>
      <c r="X479" s="1600"/>
      <c r="AL479" s="78"/>
      <c r="AM479" s="78"/>
      <c r="AN479" s="78"/>
      <c r="AO479" s="78"/>
      <c r="AP479" s="78"/>
      <c r="AQ479" s="78"/>
      <c r="AR479" s="1352" t="str">
        <f>SUBSTITUTE(SUBSTITUTE(SUBSTITUTE("dnt"&amp;$B479&amp;$C479&amp;$D479&amp;$E479&amp;$F479,".","_"),"(","_"),")","")</f>
        <v>dnt703_7_4_1</v>
      </c>
      <c r="AS479" s="1352" t="str">
        <f>IF(LEN(X479)=0,"",X479)</f>
        <v/>
      </c>
    </row>
    <row r="480" spans="2:45" s="843" customFormat="1" ht="15" customHeight="1" x14ac:dyDescent="0.2">
      <c r="B480" s="600" t="s">
        <v>4446</v>
      </c>
      <c r="C480" s="600" t="s">
        <v>254</v>
      </c>
      <c r="D480" s="600"/>
      <c r="E480" s="600"/>
      <c r="F480" s="23"/>
      <c r="G480" s="23"/>
      <c r="H480" s="691"/>
      <c r="I480" s="589"/>
      <c r="J480" s="606"/>
      <c r="K480" s="606"/>
      <c r="L480" s="1639"/>
      <c r="M480" s="96"/>
      <c r="N480" s="96"/>
      <c r="O480" s="96"/>
      <c r="P480" s="96"/>
      <c r="Q480" s="96"/>
      <c r="R480" s="96"/>
      <c r="S480" s="96"/>
      <c r="T480" s="96"/>
      <c r="X480" s="1600"/>
      <c r="AL480" s="78"/>
      <c r="AM480" s="78"/>
      <c r="AN480" s="78"/>
      <c r="AO480" s="78"/>
      <c r="AP480" s="78"/>
      <c r="AQ480" s="78"/>
      <c r="AR480" s="78"/>
      <c r="AS480" s="78"/>
    </row>
    <row r="481" spans="2:45" s="843" customFormat="1" ht="15" customHeight="1" x14ac:dyDescent="0.2">
      <c r="B481" s="600" t="s">
        <v>4446</v>
      </c>
      <c r="C481" s="600" t="s">
        <v>255</v>
      </c>
      <c r="D481" s="600"/>
      <c r="E481" s="600"/>
      <c r="F481" s="23"/>
      <c r="G481" s="23"/>
      <c r="H481" s="691"/>
      <c r="I481" s="589"/>
      <c r="J481" s="589" t="s">
        <v>255</v>
      </c>
      <c r="K481" s="589"/>
      <c r="L481" s="1634" t="s">
        <v>4244</v>
      </c>
      <c r="M481" s="96"/>
      <c r="N481" s="96"/>
      <c r="O481" s="96"/>
      <c r="P481" s="96"/>
      <c r="Q481" s="96"/>
      <c r="R481" s="96"/>
      <c r="S481" s="96"/>
      <c r="T481" s="96"/>
      <c r="AL481" s="78"/>
      <c r="AM481" s="78"/>
      <c r="AN481" s="78"/>
      <c r="AO481" s="78"/>
      <c r="AP481" s="78"/>
      <c r="AQ481" s="78"/>
      <c r="AR481" s="78"/>
      <c r="AS481" s="78"/>
    </row>
    <row r="482" spans="2:45" s="843" customFormat="1" ht="15" customHeight="1" x14ac:dyDescent="0.2">
      <c r="B482" s="600" t="s">
        <v>4446</v>
      </c>
      <c r="C482" s="600" t="s">
        <v>255</v>
      </c>
      <c r="D482" s="600"/>
      <c r="E482" s="600"/>
      <c r="F482" s="23"/>
      <c r="G482" s="23"/>
      <c r="H482" s="691"/>
      <c r="I482" s="589"/>
      <c r="J482" s="589"/>
      <c r="K482" s="589"/>
      <c r="L482" s="1634"/>
      <c r="M482" s="96"/>
      <c r="N482" s="96"/>
      <c r="O482" s="96"/>
      <c r="P482" s="96"/>
      <c r="Q482" s="96"/>
      <c r="R482" s="96"/>
      <c r="S482" s="96"/>
      <c r="T482" s="96"/>
      <c r="AL482" s="78"/>
      <c r="AM482" s="78"/>
      <c r="AN482" s="78"/>
      <c r="AO482" s="78"/>
      <c r="AP482" s="78"/>
      <c r="AQ482" s="78"/>
      <c r="AR482" s="78"/>
      <c r="AS482" s="78"/>
    </row>
    <row r="483" spans="2:45" s="843" customFormat="1" ht="15" customHeight="1" x14ac:dyDescent="0.2">
      <c r="B483" s="600" t="s">
        <v>4446</v>
      </c>
      <c r="C483" s="600" t="s">
        <v>255</v>
      </c>
      <c r="D483" s="600" t="s">
        <v>121</v>
      </c>
      <c r="E483" s="600"/>
      <c r="F483" s="23"/>
      <c r="G483" s="23"/>
      <c r="H483" s="691"/>
      <c r="I483" s="589"/>
      <c r="J483" s="589"/>
      <c r="K483" s="589" t="s">
        <v>121</v>
      </c>
      <c r="L483" s="1634" t="s">
        <v>4245</v>
      </c>
      <c r="M483" s="96"/>
      <c r="N483" s="96"/>
      <c r="O483" s="96"/>
      <c r="P483" s="96"/>
      <c r="Q483" s="96"/>
      <c r="R483" s="96"/>
      <c r="S483" s="96"/>
      <c r="T483" s="96"/>
      <c r="X483" s="1600"/>
      <c r="AL483" s="78"/>
      <c r="AM483" s="78"/>
      <c r="AN483" s="78"/>
      <c r="AO483" s="78"/>
      <c r="AP483" s="78"/>
      <c r="AQ483" s="78"/>
      <c r="AR483" s="1352" t="str">
        <f>SUBSTITUTE(SUBSTITUTE(SUBSTITUTE("dnt"&amp;$B483&amp;$C483&amp;$D483&amp;$E483&amp;$F483,".","_"),"(","_"),")","")</f>
        <v>dnt703_7_4_2_a</v>
      </c>
      <c r="AS483" s="1352" t="str">
        <f>IF(LEN(X483)=0,"",X483)</f>
        <v/>
      </c>
    </row>
    <row r="484" spans="2:45" s="843" customFormat="1" ht="15" customHeight="1" x14ac:dyDescent="0.2">
      <c r="B484" s="600" t="s">
        <v>4446</v>
      </c>
      <c r="C484" s="600" t="s">
        <v>255</v>
      </c>
      <c r="D484" s="600" t="s">
        <v>121</v>
      </c>
      <c r="E484" s="600"/>
      <c r="F484" s="23"/>
      <c r="G484" s="23"/>
      <c r="H484" s="691"/>
      <c r="I484" s="589"/>
      <c r="J484" s="589"/>
      <c r="K484" s="589"/>
      <c r="L484" s="1634"/>
      <c r="M484" s="96"/>
      <c r="N484" s="96"/>
      <c r="O484" s="96"/>
      <c r="P484" s="96"/>
      <c r="Q484" s="96"/>
      <c r="R484" s="96"/>
      <c r="S484" s="96"/>
      <c r="T484" s="96"/>
      <c r="X484" s="1600"/>
      <c r="AL484" s="78"/>
      <c r="AM484" s="78"/>
      <c r="AN484" s="78"/>
      <c r="AO484" s="78"/>
      <c r="AP484" s="78"/>
      <c r="AQ484" s="78"/>
      <c r="AR484" s="78"/>
      <c r="AS484" s="78"/>
    </row>
    <row r="485" spans="2:45" s="843" customFormat="1" ht="15" customHeight="1" x14ac:dyDescent="0.2">
      <c r="B485" s="600" t="s">
        <v>4446</v>
      </c>
      <c r="C485" s="600" t="s">
        <v>255</v>
      </c>
      <c r="D485" s="600" t="s">
        <v>121</v>
      </c>
      <c r="E485" s="600"/>
      <c r="F485" s="23"/>
      <c r="G485" s="23"/>
      <c r="H485" s="691"/>
      <c r="I485" s="589"/>
      <c r="J485" s="589"/>
      <c r="K485" s="589"/>
      <c r="L485" s="1634"/>
      <c r="M485" s="96"/>
      <c r="N485" s="96"/>
      <c r="O485" s="96"/>
      <c r="P485" s="96"/>
      <c r="Q485" s="96"/>
      <c r="R485" s="96"/>
      <c r="S485" s="96"/>
      <c r="T485" s="96"/>
      <c r="X485" s="1600"/>
      <c r="AL485" s="78"/>
      <c r="AM485" s="78"/>
      <c r="AN485" s="78"/>
      <c r="AO485" s="78"/>
      <c r="AP485" s="78"/>
      <c r="AQ485" s="78"/>
      <c r="AR485" s="78"/>
      <c r="AS485" s="78"/>
    </row>
    <row r="486" spans="2:45" s="843" customFormat="1" ht="15" customHeight="1" x14ac:dyDescent="0.2">
      <c r="B486" s="600" t="s">
        <v>4446</v>
      </c>
      <c r="C486" s="600" t="s">
        <v>255</v>
      </c>
      <c r="D486" s="600" t="s">
        <v>122</v>
      </c>
      <c r="E486" s="600"/>
      <c r="F486" s="23"/>
      <c r="G486" s="23"/>
      <c r="H486" s="691"/>
      <c r="I486" s="589"/>
      <c r="J486" s="589"/>
      <c r="K486" s="589" t="s">
        <v>122</v>
      </c>
      <c r="L486" s="1634" t="s">
        <v>4246</v>
      </c>
      <c r="M486" s="96"/>
      <c r="N486" s="96"/>
      <c r="O486" s="96"/>
      <c r="P486" s="96"/>
      <c r="Q486" s="96"/>
      <c r="R486" s="96"/>
      <c r="S486" s="96"/>
      <c r="T486" s="96"/>
      <c r="X486" s="1600"/>
      <c r="AL486" s="78"/>
      <c r="AM486" s="78"/>
      <c r="AN486" s="78"/>
      <c r="AO486" s="78"/>
      <c r="AP486" s="78"/>
      <c r="AQ486" s="78"/>
      <c r="AR486" s="1352" t="str">
        <f>SUBSTITUTE(SUBSTITUTE(SUBSTITUTE("dnt"&amp;$B486&amp;$C486&amp;$D486&amp;$E486&amp;$F486,".","_"),"(","_"),")","")</f>
        <v>dnt703_7_4_2_b</v>
      </c>
      <c r="AS486" s="1352" t="str">
        <f>IF(LEN(X486)=0,"",X486)</f>
        <v/>
      </c>
    </row>
    <row r="487" spans="2:45" s="843" customFormat="1" ht="15" customHeight="1" x14ac:dyDescent="0.2">
      <c r="B487" s="600" t="s">
        <v>4446</v>
      </c>
      <c r="C487" s="600" t="s">
        <v>255</v>
      </c>
      <c r="D487" s="600" t="s">
        <v>122</v>
      </c>
      <c r="E487" s="600"/>
      <c r="F487" s="23"/>
      <c r="G487" s="23"/>
      <c r="H487" s="691"/>
      <c r="I487" s="589"/>
      <c r="J487" s="589"/>
      <c r="K487" s="589"/>
      <c r="L487" s="1634"/>
      <c r="M487" s="96"/>
      <c r="N487" s="96"/>
      <c r="O487" s="96"/>
      <c r="P487" s="96"/>
      <c r="Q487" s="96"/>
      <c r="R487" s="96"/>
      <c r="S487" s="96"/>
      <c r="T487" s="96"/>
      <c r="X487" s="1600"/>
      <c r="AL487" s="78"/>
      <c r="AM487" s="78"/>
      <c r="AN487" s="78"/>
      <c r="AO487" s="78"/>
      <c r="AP487" s="78"/>
      <c r="AQ487" s="78"/>
      <c r="AR487" s="78"/>
      <c r="AS487" s="78"/>
    </row>
    <row r="488" spans="2:45" s="843" customFormat="1" ht="15" customHeight="1" x14ac:dyDescent="0.2">
      <c r="B488" s="600" t="s">
        <v>4446</v>
      </c>
      <c r="C488" s="600" t="s">
        <v>255</v>
      </c>
      <c r="D488" s="600" t="s">
        <v>648</v>
      </c>
      <c r="E488" s="600"/>
      <c r="F488" s="23"/>
      <c r="G488" s="23"/>
      <c r="H488" s="691"/>
      <c r="I488" s="589"/>
      <c r="J488" s="589"/>
      <c r="K488" s="873" t="s">
        <v>648</v>
      </c>
      <c r="L488" s="1634" t="s">
        <v>4247</v>
      </c>
      <c r="M488" s="96"/>
      <c r="N488" s="96"/>
      <c r="O488" s="96"/>
      <c r="P488" s="96"/>
      <c r="Q488" s="96"/>
      <c r="R488" s="96"/>
      <c r="S488" s="96"/>
      <c r="T488" s="96"/>
      <c r="X488" s="1600"/>
      <c r="AL488" s="78"/>
      <c r="AM488" s="78"/>
      <c r="AN488" s="78"/>
      <c r="AO488" s="78"/>
      <c r="AP488" s="78"/>
      <c r="AQ488" s="78"/>
      <c r="AR488" s="78"/>
      <c r="AS488" s="78"/>
    </row>
    <row r="489" spans="2:45" s="843" customFormat="1" ht="15" customHeight="1" x14ac:dyDescent="0.2">
      <c r="B489" s="600" t="s">
        <v>4446</v>
      </c>
      <c r="C489" s="600" t="s">
        <v>255</v>
      </c>
      <c r="D489" s="600" t="s">
        <v>648</v>
      </c>
      <c r="E489" s="600"/>
      <c r="F489" s="23"/>
      <c r="G489" s="23"/>
      <c r="H489" s="691"/>
      <c r="I489" s="589"/>
      <c r="J489" s="589"/>
      <c r="K489" s="873"/>
      <c r="L489" s="1634"/>
      <c r="M489" s="96"/>
      <c r="N489" s="96"/>
      <c r="O489" s="96"/>
      <c r="P489" s="96"/>
      <c r="Q489" s="96"/>
      <c r="R489" s="96"/>
      <c r="S489" s="96"/>
      <c r="T489" s="96"/>
      <c r="X489" s="1600"/>
      <c r="AL489" s="78"/>
      <c r="AM489" s="78"/>
      <c r="AN489" s="78"/>
      <c r="AO489" s="78"/>
      <c r="AP489" s="78"/>
      <c r="AQ489" s="78"/>
      <c r="AR489" s="78"/>
      <c r="AS489" s="78"/>
    </row>
    <row r="490" spans="2:45" s="843" customFormat="1" ht="15" customHeight="1" x14ac:dyDescent="0.2">
      <c r="B490" s="600" t="s">
        <v>4446</v>
      </c>
      <c r="C490" s="600" t="s">
        <v>255</v>
      </c>
      <c r="D490" s="600" t="s">
        <v>4248</v>
      </c>
      <c r="E490" s="600"/>
      <c r="F490" s="23"/>
      <c r="G490" s="23"/>
      <c r="H490" s="691"/>
      <c r="I490" s="589"/>
      <c r="J490" s="589"/>
      <c r="K490" s="873" t="s">
        <v>4248</v>
      </c>
      <c r="L490" s="1634" t="s">
        <v>4249</v>
      </c>
      <c r="M490" s="96"/>
      <c r="N490" s="96"/>
      <c r="O490" s="96"/>
      <c r="P490" s="96"/>
      <c r="Q490" s="96"/>
      <c r="R490" s="96"/>
      <c r="S490" s="96"/>
      <c r="T490" s="96"/>
      <c r="X490" s="1600"/>
      <c r="AL490" s="78"/>
      <c r="AM490" s="78"/>
      <c r="AN490" s="78"/>
      <c r="AO490" s="78"/>
      <c r="AP490" s="78"/>
      <c r="AQ490" s="78"/>
      <c r="AR490" s="78"/>
      <c r="AS490" s="78"/>
    </row>
    <row r="491" spans="2:45" s="843" customFormat="1" ht="15" customHeight="1" x14ac:dyDescent="0.2">
      <c r="B491" s="600" t="s">
        <v>4446</v>
      </c>
      <c r="C491" s="600" t="s">
        <v>255</v>
      </c>
      <c r="D491" s="600" t="s">
        <v>4248</v>
      </c>
      <c r="E491" s="600"/>
      <c r="F491" s="23"/>
      <c r="G491" s="23"/>
      <c r="H491" s="691"/>
      <c r="I491" s="589"/>
      <c r="J491" s="589"/>
      <c r="K491" s="873"/>
      <c r="L491" s="1634"/>
      <c r="M491" s="96"/>
      <c r="N491" s="96"/>
      <c r="O491" s="96"/>
      <c r="P491" s="96"/>
      <c r="Q491" s="96"/>
      <c r="R491" s="96"/>
      <c r="S491" s="96"/>
      <c r="T491" s="96"/>
      <c r="X491" s="1600"/>
      <c r="AL491" s="78"/>
      <c r="AM491" s="78"/>
      <c r="AN491" s="78"/>
      <c r="AO491" s="78"/>
      <c r="AP491" s="78"/>
      <c r="AQ491" s="78"/>
      <c r="AR491" s="78"/>
      <c r="AS491" s="78"/>
    </row>
    <row r="492" spans="2:45" s="843" customFormat="1" ht="15" customHeight="1" x14ac:dyDescent="0.2">
      <c r="B492" s="600" t="s">
        <v>4446</v>
      </c>
      <c r="C492" s="600" t="s">
        <v>255</v>
      </c>
      <c r="D492" s="600" t="s">
        <v>4250</v>
      </c>
      <c r="E492" s="600"/>
      <c r="F492" s="23"/>
      <c r="G492" s="23"/>
      <c r="H492" s="691"/>
      <c r="I492" s="589"/>
      <c r="J492" s="589"/>
      <c r="K492" s="873" t="s">
        <v>4250</v>
      </c>
      <c r="L492" s="1634" t="s">
        <v>4251</v>
      </c>
      <c r="M492" s="96"/>
      <c r="N492" s="96"/>
      <c r="O492" s="96"/>
      <c r="P492" s="96"/>
      <c r="Q492" s="96"/>
      <c r="R492" s="96"/>
      <c r="S492" s="96"/>
      <c r="T492" s="96"/>
      <c r="X492" s="1600"/>
      <c r="AL492" s="78"/>
      <c r="AM492" s="78"/>
      <c r="AN492" s="78"/>
      <c r="AO492" s="78"/>
      <c r="AP492" s="78"/>
      <c r="AQ492" s="78"/>
      <c r="AR492" s="78"/>
      <c r="AS492" s="78"/>
    </row>
    <row r="493" spans="2:45" s="843" customFormat="1" ht="15" customHeight="1" x14ac:dyDescent="0.2">
      <c r="B493" s="600" t="s">
        <v>4446</v>
      </c>
      <c r="C493" s="600" t="s">
        <v>255</v>
      </c>
      <c r="D493" s="600" t="s">
        <v>4250</v>
      </c>
      <c r="E493" s="600"/>
      <c r="F493" s="23"/>
      <c r="G493" s="23"/>
      <c r="H493" s="691"/>
      <c r="I493" s="589"/>
      <c r="J493" s="589"/>
      <c r="K493" s="589"/>
      <c r="L493" s="1634"/>
      <c r="M493" s="96"/>
      <c r="N493" s="96"/>
      <c r="O493" s="96"/>
      <c r="P493" s="96"/>
      <c r="Q493" s="96"/>
      <c r="R493" s="96"/>
      <c r="S493" s="96"/>
      <c r="T493" s="96"/>
      <c r="X493" s="1600"/>
      <c r="AL493" s="78"/>
      <c r="AM493" s="78"/>
      <c r="AN493" s="78"/>
      <c r="AO493" s="78"/>
      <c r="AP493" s="78"/>
      <c r="AQ493" s="78"/>
      <c r="AR493" s="78"/>
      <c r="AS493" s="78"/>
    </row>
    <row r="494" spans="2:45" s="843" customFormat="1" ht="15" customHeight="1" x14ac:dyDescent="0.2">
      <c r="B494" s="600" t="s">
        <v>4446</v>
      </c>
      <c r="C494" s="600" t="s">
        <v>255</v>
      </c>
      <c r="D494" s="600" t="s">
        <v>123</v>
      </c>
      <c r="E494" s="600"/>
      <c r="F494" s="23"/>
      <c r="G494" s="23"/>
      <c r="H494" s="691"/>
      <c r="I494" s="589"/>
      <c r="J494" s="590"/>
      <c r="K494" s="590" t="s">
        <v>123</v>
      </c>
      <c r="L494" s="1634" t="s">
        <v>4252</v>
      </c>
      <c r="M494" s="96"/>
      <c r="N494" s="96"/>
      <c r="O494" s="96"/>
      <c r="P494" s="96"/>
      <c r="Q494" s="96"/>
      <c r="R494" s="96"/>
      <c r="S494" s="96"/>
      <c r="T494" s="96"/>
      <c r="X494" s="1600"/>
      <c r="AL494" s="78"/>
      <c r="AM494" s="78"/>
      <c r="AN494" s="78"/>
      <c r="AO494" s="78"/>
      <c r="AP494" s="78"/>
      <c r="AQ494" s="78"/>
      <c r="AR494" s="1352" t="str">
        <f>SUBSTITUTE(SUBSTITUTE(SUBSTITUTE("dnt"&amp;$B494&amp;$C494&amp;$D494&amp;$E494&amp;$F494,".","_"),"(","_"),")","")</f>
        <v>dnt703_7_4_2_c</v>
      </c>
      <c r="AS494" s="1352" t="str">
        <f>IF(LEN(X494)=0,"",X494)</f>
        <v/>
      </c>
    </row>
    <row r="495" spans="2:45" s="843" customFormat="1" ht="15" customHeight="1" x14ac:dyDescent="0.2">
      <c r="B495" s="600" t="s">
        <v>4446</v>
      </c>
      <c r="C495" s="600" t="s">
        <v>255</v>
      </c>
      <c r="D495" s="600" t="s">
        <v>123</v>
      </c>
      <c r="E495" s="600"/>
      <c r="F495" s="23"/>
      <c r="G495" s="23"/>
      <c r="H495" s="691"/>
      <c r="I495" s="589"/>
      <c r="J495" s="590"/>
      <c r="K495" s="590"/>
      <c r="L495" s="1634"/>
      <c r="M495" s="96"/>
      <c r="N495" s="96"/>
      <c r="O495" s="96"/>
      <c r="P495" s="96"/>
      <c r="Q495" s="96"/>
      <c r="R495" s="96"/>
      <c r="S495" s="96"/>
      <c r="T495" s="96"/>
      <c r="X495" s="1600"/>
      <c r="AL495" s="78"/>
      <c r="AM495" s="78"/>
      <c r="AN495" s="78"/>
      <c r="AO495" s="78"/>
      <c r="AP495" s="78"/>
      <c r="AQ495" s="78"/>
      <c r="AR495" s="78"/>
      <c r="AS495" s="78"/>
    </row>
    <row r="496" spans="2:45" s="843" customFormat="1" ht="15" customHeight="1" x14ac:dyDescent="0.2">
      <c r="B496" s="600" t="s">
        <v>4446</v>
      </c>
      <c r="C496" s="600" t="s">
        <v>255</v>
      </c>
      <c r="D496" s="600" t="s">
        <v>123</v>
      </c>
      <c r="E496" s="600"/>
      <c r="F496" s="23"/>
      <c r="G496" s="23"/>
      <c r="H496" s="691"/>
      <c r="I496" s="589"/>
      <c r="J496" s="606"/>
      <c r="K496" s="606"/>
      <c r="L496" s="1639"/>
      <c r="M496" s="96"/>
      <c r="N496" s="96"/>
      <c r="O496" s="96"/>
      <c r="P496" s="96"/>
      <c r="Q496" s="96"/>
      <c r="R496" s="96"/>
      <c r="S496" s="96"/>
      <c r="T496" s="96"/>
      <c r="X496" s="1600"/>
      <c r="AL496" s="78"/>
      <c r="AM496" s="78"/>
      <c r="AN496" s="78"/>
      <c r="AO496" s="78"/>
      <c r="AP496" s="78"/>
      <c r="AQ496" s="78"/>
      <c r="AR496" s="78"/>
      <c r="AS496" s="78"/>
    </row>
    <row r="497" spans="2:51" s="843" customFormat="1" ht="15" customHeight="1" x14ac:dyDescent="0.2">
      <c r="B497" s="600" t="s">
        <v>4446</v>
      </c>
      <c r="C497" s="600" t="s">
        <v>256</v>
      </c>
      <c r="D497" s="600"/>
      <c r="E497" s="600"/>
      <c r="F497" s="23"/>
      <c r="G497" s="23"/>
      <c r="H497" s="691"/>
      <c r="I497" s="589"/>
      <c r="J497" s="589" t="s">
        <v>256</v>
      </c>
      <c r="K497" s="589"/>
      <c r="L497" s="1634" t="s">
        <v>4253</v>
      </c>
      <c r="M497" s="96"/>
      <c r="N497" s="96"/>
      <c r="O497" s="96"/>
      <c r="P497" s="96"/>
      <c r="Q497" s="96"/>
      <c r="R497" s="96"/>
      <c r="S497" s="96"/>
      <c r="T497" s="96"/>
      <c r="X497" s="1600"/>
      <c r="AL497" s="78"/>
      <c r="AM497" s="78"/>
      <c r="AN497" s="78"/>
      <c r="AO497" s="78"/>
      <c r="AP497" s="78"/>
      <c r="AQ497" s="78"/>
      <c r="AR497" s="1352" t="str">
        <f>SUBSTITUTE(SUBSTITUTE(SUBSTITUTE("dnt"&amp;$B497&amp;$C497&amp;$D497&amp;$E497&amp;$F497,".","_"),"(","_"),")","")</f>
        <v>dnt703_7_4_3</v>
      </c>
      <c r="AS497" s="1352" t="str">
        <f>IF(LEN(X497)=0,"",X497)</f>
        <v/>
      </c>
    </row>
    <row r="498" spans="2:51" s="843" customFormat="1" ht="15" customHeight="1" x14ac:dyDescent="0.2">
      <c r="B498" s="600" t="s">
        <v>4446</v>
      </c>
      <c r="C498" s="600" t="s">
        <v>256</v>
      </c>
      <c r="D498" s="600"/>
      <c r="E498" s="600"/>
      <c r="F498" s="23"/>
      <c r="G498" s="23"/>
      <c r="H498" s="691"/>
      <c r="I498" s="589"/>
      <c r="J498" s="589"/>
      <c r="K498" s="589"/>
      <c r="L498" s="1634"/>
      <c r="M498" s="96"/>
      <c r="N498" s="96"/>
      <c r="O498" s="96"/>
      <c r="P498" s="96"/>
      <c r="Q498" s="96"/>
      <c r="R498" s="96"/>
      <c r="S498" s="96"/>
      <c r="T498" s="96"/>
      <c r="X498" s="1600"/>
      <c r="AL498" s="78"/>
      <c r="AM498" s="78"/>
      <c r="AN498" s="78"/>
      <c r="AO498" s="78"/>
      <c r="AP498" s="78"/>
      <c r="AQ498" s="78"/>
      <c r="AR498" s="78"/>
      <c r="AS498" s="78"/>
    </row>
    <row r="499" spans="2:51" s="843" customFormat="1" ht="19" x14ac:dyDescent="0.25">
      <c r="B499" s="600">
        <v>705</v>
      </c>
      <c r="C499" s="600"/>
      <c r="D499" s="600"/>
      <c r="E499" s="600"/>
      <c r="F499" s="23"/>
      <c r="G499" s="23"/>
      <c r="H499" s="691"/>
      <c r="I499" s="1004" t="s">
        <v>4254</v>
      </c>
      <c r="J499" s="81"/>
      <c r="K499" s="81"/>
      <c r="L499" s="1004"/>
      <c r="M499" s="994"/>
      <c r="N499" s="994"/>
      <c r="O499" s="994"/>
      <c r="P499" s="994"/>
      <c r="Q499" s="994"/>
      <c r="R499" s="994"/>
      <c r="S499" s="994"/>
      <c r="T499" s="994"/>
      <c r="U499" s="25"/>
      <c r="V499" s="25"/>
      <c r="W499" s="25"/>
      <c r="X499" s="25"/>
      <c r="AL499" s="78"/>
      <c r="AM499" s="78"/>
      <c r="AN499" s="78"/>
      <c r="AO499" s="78"/>
      <c r="AP499" s="78"/>
      <c r="AQ499" s="78"/>
      <c r="AR499" s="78"/>
      <c r="AS499" s="78"/>
      <c r="AX499"/>
      <c r="AY499"/>
    </row>
    <row r="500" spans="2:51" customFormat="1" ht="19" x14ac:dyDescent="0.25">
      <c r="B500" s="600">
        <v>705</v>
      </c>
      <c r="L500" s="1215" t="s">
        <v>5023</v>
      </c>
      <c r="AL500" s="78"/>
      <c r="AM500" s="78"/>
      <c r="AN500" s="78"/>
      <c r="AO500" s="78"/>
      <c r="AP500" s="78"/>
      <c r="AQ500" s="78"/>
      <c r="AR500" s="78"/>
      <c r="AS500" s="78"/>
      <c r="AX500" s="843"/>
      <c r="AY500" s="843"/>
    </row>
    <row r="501" spans="2:51" s="843" customFormat="1" ht="15" customHeight="1" x14ac:dyDescent="0.2">
      <c r="B501" s="600">
        <v>705.2</v>
      </c>
      <c r="C501" s="600"/>
      <c r="D501" s="600"/>
      <c r="E501" s="600"/>
      <c r="F501" s="23"/>
      <c r="G501" s="23"/>
      <c r="H501" s="691"/>
      <c r="I501" s="589" t="s">
        <v>4255</v>
      </c>
      <c r="J501" s="589"/>
      <c r="K501" s="589"/>
      <c r="L501" s="869" t="s">
        <v>4256</v>
      </c>
      <c r="M501" s="96"/>
      <c r="N501" s="96"/>
      <c r="O501" s="96"/>
      <c r="P501" s="96"/>
      <c r="Q501" s="96"/>
      <c r="R501" s="96"/>
      <c r="S501" s="96"/>
      <c r="T501" s="96"/>
      <c r="AL501" s="78"/>
      <c r="AM501" s="78"/>
      <c r="AN501" s="78"/>
      <c r="AO501" s="78"/>
      <c r="AP501" s="78"/>
      <c r="AQ501" s="78"/>
      <c r="AR501" s="78"/>
      <c r="AS501" s="78"/>
    </row>
    <row r="502" spans="2:51" s="843" customFormat="1" ht="15" customHeight="1" x14ac:dyDescent="0.2">
      <c r="B502" s="600" t="s">
        <v>4447</v>
      </c>
      <c r="C502" s="600"/>
      <c r="D502" s="600"/>
      <c r="E502" s="600"/>
      <c r="F502" s="23"/>
      <c r="G502" s="23"/>
      <c r="H502" s="691"/>
      <c r="I502" s="589" t="s">
        <v>4257</v>
      </c>
      <c r="J502" s="589"/>
      <c r="K502" s="589"/>
      <c r="L502" s="1687" t="s">
        <v>4258</v>
      </c>
      <c r="M502" s="96"/>
      <c r="N502" s="96"/>
      <c r="O502" s="96"/>
      <c r="P502" s="96"/>
      <c r="Q502" s="96"/>
      <c r="R502" s="96"/>
      <c r="S502" s="96"/>
      <c r="T502" s="96"/>
      <c r="AL502" s="78"/>
      <c r="AM502" s="78"/>
      <c r="AN502" s="78"/>
      <c r="AO502" s="78"/>
      <c r="AP502" s="78"/>
      <c r="AQ502" s="78"/>
      <c r="AR502" s="78"/>
      <c r="AS502" s="78"/>
    </row>
    <row r="503" spans="2:51" s="843" customFormat="1" ht="15" customHeight="1" x14ac:dyDescent="0.2">
      <c r="B503" s="600" t="s">
        <v>4447</v>
      </c>
      <c r="C503" s="600"/>
      <c r="D503" s="600"/>
      <c r="E503" s="600"/>
      <c r="F503" s="23"/>
      <c r="G503" s="23"/>
      <c r="H503" s="691"/>
      <c r="I503" s="589"/>
      <c r="J503" s="589"/>
      <c r="K503" s="589"/>
      <c r="L503" s="1687"/>
      <c r="M503" s="96"/>
      <c r="N503" s="96"/>
      <c r="O503" s="96"/>
      <c r="P503" s="96"/>
      <c r="Q503" s="96"/>
      <c r="R503" s="96"/>
      <c r="S503" s="96"/>
      <c r="T503" s="96"/>
      <c r="AL503" s="78"/>
      <c r="AM503" s="78"/>
      <c r="AN503" s="78"/>
      <c r="AO503" s="78"/>
      <c r="AP503" s="78"/>
      <c r="AQ503" s="78"/>
      <c r="AR503" s="78"/>
      <c r="AS503" s="78"/>
    </row>
    <row r="504" spans="2:51" s="843" customFormat="1" ht="15" customHeight="1" x14ac:dyDescent="0.2">
      <c r="B504" s="600" t="s">
        <v>4447</v>
      </c>
      <c r="C504" s="600"/>
      <c r="D504" s="600"/>
      <c r="E504" s="600"/>
      <c r="F504" s="23"/>
      <c r="G504" s="23"/>
      <c r="H504" s="691"/>
      <c r="I504" s="589"/>
      <c r="J504" s="589"/>
      <c r="K504" s="589"/>
      <c r="L504" s="1687"/>
      <c r="M504" s="96"/>
      <c r="N504" s="96"/>
      <c r="O504" s="96"/>
      <c r="P504" s="96"/>
      <c r="Q504" s="96"/>
      <c r="R504" s="96"/>
      <c r="S504" s="96"/>
      <c r="T504" s="96"/>
      <c r="AL504" s="78"/>
      <c r="AM504" s="78"/>
      <c r="AN504" s="78"/>
      <c r="AO504" s="78"/>
      <c r="AP504" s="78"/>
      <c r="AQ504" s="78"/>
      <c r="AR504" s="78"/>
      <c r="AS504" s="78"/>
    </row>
    <row r="505" spans="2:51" s="843" customFormat="1" ht="15" customHeight="1" x14ac:dyDescent="0.2">
      <c r="B505" s="600" t="s">
        <v>4448</v>
      </c>
      <c r="C505" s="600"/>
      <c r="D505" s="600"/>
      <c r="E505" s="600"/>
      <c r="F505" s="23"/>
      <c r="G505" s="23"/>
      <c r="H505" s="691"/>
      <c r="I505" s="589" t="s">
        <v>4259</v>
      </c>
      <c r="J505" s="589"/>
      <c r="K505" s="589"/>
      <c r="L505" s="1687" t="s">
        <v>4260</v>
      </c>
      <c r="M505" s="882"/>
      <c r="N505" s="129"/>
      <c r="O505" s="1619">
        <f ca="1">IFERROR(INDEX({1,2},MATCH(W505,INDIRECT(U505),0)),0)*S505</f>
        <v>0</v>
      </c>
      <c r="P505" s="96" t="b">
        <v>0</v>
      </c>
      <c r="Q505" s="96" t="b">
        <v>1</v>
      </c>
      <c r="R505" s="96" t="b">
        <v>0</v>
      </c>
      <c r="S505" s="96" t="b">
        <f ca="1">S11=2</f>
        <v>0</v>
      </c>
      <c r="T505" s="96" t="b">
        <v>0</v>
      </c>
      <c r="U505" s="881" t="str">
        <f>SUBSTITUTE(SUBSTITUTE(SUBSTITUTE("dd"&amp;B505&amp;C505&amp;D505&amp;E505&amp;F505,".","_"),"(","_"),")","")</f>
        <v>dd705_2_1_1</v>
      </c>
      <c r="W505" s="12"/>
      <c r="X505" s="1600"/>
      <c r="AC505" s="905" t="b">
        <f>OR(AD505:AE505)</f>
        <v>0</v>
      </c>
      <c r="AD505" s="905" t="b">
        <f>T505</f>
        <v>0</v>
      </c>
      <c r="AE505" s="905" t="b">
        <f>AND(R505,OR(W505="Not Met",W505=""))</f>
        <v>0</v>
      </c>
      <c r="AL505" s="78"/>
      <c r="AM505" s="78"/>
      <c r="AN505" s="1352" t="str">
        <f>SUBSTITUTE(SUBSTITUTE(SUBSTITUTE("dpc"&amp;$B505&amp;$C505&amp;$D505&amp;$E505&amp;$F505,".","_"),"(","_"),")","")</f>
        <v>dpc705_2_1_1</v>
      </c>
      <c r="AO505" s="1352">
        <f ca="1">O505</f>
        <v>0</v>
      </c>
      <c r="AP505" s="1352" t="str">
        <f>SUBSTITUTE(SUBSTITUTE(SUBSTITUTE("dch"&amp;$B505&amp;$C505&amp;$D505&amp;$E505&amp;$F505,".","_"),"(","_"),")","")</f>
        <v>dch705_2_1_1</v>
      </c>
      <c r="AQ505" s="1352" t="str">
        <f>IF(LEN(W505)=0,"",W505)</f>
        <v/>
      </c>
      <c r="AR505" s="1352" t="str">
        <f>SUBSTITUTE(SUBSTITUTE(SUBSTITUTE("dnt"&amp;$B505&amp;$C505&amp;$D505&amp;$E505&amp;$F505,".","_"),"(","_"),")","")</f>
        <v>dnt705_2_1_1</v>
      </c>
      <c r="AS505" s="1352" t="str">
        <f>IF(LEN(X505)=0,"",X505)</f>
        <v/>
      </c>
    </row>
    <row r="506" spans="2:51" s="843" customFormat="1" ht="15" customHeight="1" x14ac:dyDescent="0.2">
      <c r="B506" s="600" t="s">
        <v>4448</v>
      </c>
      <c r="C506" s="600"/>
      <c r="D506" s="600"/>
      <c r="E506" s="600"/>
      <c r="F506" s="23"/>
      <c r="G506" s="23"/>
      <c r="H506" s="691"/>
      <c r="I506" s="589"/>
      <c r="J506" s="589"/>
      <c r="K506" s="589"/>
      <c r="L506" s="1687"/>
      <c r="M506" s="882"/>
      <c r="N506" s="129"/>
      <c r="O506" s="1619"/>
      <c r="P506" s="96"/>
      <c r="Q506" s="96"/>
      <c r="R506" s="96"/>
      <c r="S506" s="96"/>
      <c r="T506" s="96"/>
      <c r="X506" s="1600"/>
      <c r="AL506" s="78"/>
      <c r="AM506" s="78"/>
      <c r="AN506" s="78"/>
      <c r="AO506" s="78"/>
      <c r="AP506" s="78"/>
      <c r="AQ506" s="78"/>
      <c r="AR506" s="78"/>
      <c r="AS506" s="78"/>
    </row>
    <row r="507" spans="2:51" s="843" customFormat="1" ht="15" customHeight="1" x14ac:dyDescent="0.2">
      <c r="B507" s="600" t="s">
        <v>4448</v>
      </c>
      <c r="C507" s="600" t="s">
        <v>254</v>
      </c>
      <c r="D507" s="600"/>
      <c r="E507" s="600"/>
      <c r="F507" s="23"/>
      <c r="G507" s="23"/>
      <c r="H507" s="691"/>
      <c r="I507" s="589"/>
      <c r="J507" s="606" t="s">
        <v>254</v>
      </c>
      <c r="K507" s="606"/>
      <c r="L507" s="923" t="s">
        <v>4261</v>
      </c>
      <c r="M507" s="937">
        <v>1</v>
      </c>
      <c r="N507" s="129"/>
      <c r="O507" s="886"/>
      <c r="P507" s="96"/>
      <c r="Q507" s="96"/>
      <c r="R507" s="96"/>
      <c r="S507" s="96"/>
      <c r="T507" s="96"/>
      <c r="X507" s="1600"/>
      <c r="AL507" s="1352" t="str">
        <f>SUBSTITUTE(SUBSTITUTE(SUBSTITUTE("dpa"&amp;$B507&amp;$C507&amp;$D507&amp;$E507&amp;$F507,".","_"),"(","_"),")","")</f>
        <v>dpa705_2_1_1_1</v>
      </c>
      <c r="AM507" s="1352">
        <f>M507</f>
        <v>1</v>
      </c>
      <c r="AN507" s="78"/>
      <c r="AO507" s="78"/>
      <c r="AP507" s="78"/>
      <c r="AQ507" s="78"/>
      <c r="AR507" s="78"/>
      <c r="AS507" s="78"/>
    </row>
    <row r="508" spans="2:51" s="843" customFormat="1" ht="15" customHeight="1" x14ac:dyDescent="0.2">
      <c r="B508" s="600" t="s">
        <v>4448</v>
      </c>
      <c r="C508" s="600" t="s">
        <v>255</v>
      </c>
      <c r="D508" s="600"/>
      <c r="E508" s="600"/>
      <c r="F508" s="23"/>
      <c r="G508" s="23"/>
      <c r="H508" s="691"/>
      <c r="I508" s="606"/>
      <c r="J508" s="606" t="s">
        <v>255</v>
      </c>
      <c r="K508" s="606"/>
      <c r="L508" s="923" t="s">
        <v>4262</v>
      </c>
      <c r="M508" s="937">
        <v>2</v>
      </c>
      <c r="N508" s="213"/>
      <c r="O508" s="909"/>
      <c r="P508" s="96"/>
      <c r="Q508" s="96"/>
      <c r="R508" s="96"/>
      <c r="S508" s="96"/>
      <c r="T508" s="96"/>
      <c r="X508" s="1600"/>
      <c r="AL508" s="1352" t="str">
        <f>SUBSTITUTE(SUBSTITUTE(SUBSTITUTE("dpa"&amp;$B508&amp;$C508&amp;$D508&amp;$E508&amp;$F508,".","_"),"(","_"),")","")</f>
        <v>dpa705_2_1_1_2</v>
      </c>
      <c r="AM508" s="1352">
        <f>M508</f>
        <v>2</v>
      </c>
      <c r="AN508" s="78"/>
      <c r="AO508" s="78"/>
      <c r="AP508" s="78"/>
      <c r="AQ508" s="78"/>
      <c r="AR508" s="78"/>
      <c r="AS508" s="78"/>
    </row>
    <row r="509" spans="2:51" s="843" customFormat="1" ht="15" customHeight="1" x14ac:dyDescent="0.2">
      <c r="B509" s="600" t="s">
        <v>4449</v>
      </c>
      <c r="C509" s="600"/>
      <c r="D509" s="600"/>
      <c r="E509" s="600"/>
      <c r="F509" s="23"/>
      <c r="G509" s="23"/>
      <c r="H509" s="691"/>
      <c r="I509" s="590" t="s">
        <v>4263</v>
      </c>
      <c r="J509" s="590"/>
      <c r="K509" s="590"/>
      <c r="L509" s="1687" t="s">
        <v>4264</v>
      </c>
      <c r="M509" s="1623">
        <v>1</v>
      </c>
      <c r="N509" s="129"/>
      <c r="O509" s="1619">
        <f ca="1">M509*S509*W509</f>
        <v>0</v>
      </c>
      <c r="P509" s="991" t="b">
        <v>0</v>
      </c>
      <c r="Q509" s="991" t="b">
        <v>1</v>
      </c>
      <c r="R509" s="991" t="b">
        <v>0</v>
      </c>
      <c r="S509" s="991" t="b">
        <f ca="1">S11=2</f>
        <v>0</v>
      </c>
      <c r="T509" s="991" t="b">
        <v>0</v>
      </c>
      <c r="U509" s="991"/>
      <c r="V509" s="991"/>
      <c r="W509" s="333"/>
      <c r="X509" s="1600"/>
      <c r="AC509" s="881" t="b">
        <f>OR(AD509:AE509)</f>
        <v>0</v>
      </c>
      <c r="AD509" s="881" t="b">
        <f>T509</f>
        <v>0</v>
      </c>
      <c r="AE509" s="881" t="b">
        <f>AND(R509,NOT(W509))</f>
        <v>0</v>
      </c>
      <c r="AL509" s="1352" t="str">
        <f>SUBSTITUTE(SUBSTITUTE(SUBSTITUTE("dpa"&amp;$B509&amp;$C509&amp;$D509&amp;$E509&amp;$F509,".","_"),"(","_"),")","")</f>
        <v>dpa705_2_1_2</v>
      </c>
      <c r="AM509" s="1352">
        <f>M509</f>
        <v>1</v>
      </c>
      <c r="AN509" s="1352" t="str">
        <f>SUBSTITUTE(SUBSTITUTE(SUBSTITUTE("dpc"&amp;$B509&amp;$C509&amp;$D509&amp;$E509&amp;$F509,".","_"),"(","_"),")","")</f>
        <v>dpc705_2_1_2</v>
      </c>
      <c r="AO509" s="1352">
        <f ca="1">O509</f>
        <v>0</v>
      </c>
      <c r="AP509" s="1352" t="str">
        <f>SUBSTITUTE(SUBSTITUTE(SUBSTITUTE("dch"&amp;$B509&amp;$C509&amp;$D509&amp;$E509&amp;$F509,".","_"),"(","_"),")","")</f>
        <v>dch705_2_1_2</v>
      </c>
      <c r="AQ509" s="1352" t="str">
        <f>IF(LEN(W509)=0,"",W509)</f>
        <v/>
      </c>
      <c r="AR509" s="1352" t="str">
        <f>SUBSTITUTE(SUBSTITUTE(SUBSTITUTE("dnt"&amp;$B509&amp;$C509&amp;$D509&amp;$E509&amp;$F509,".","_"),"(","_"),")","")</f>
        <v>dnt705_2_1_2</v>
      </c>
      <c r="AS509" s="1352" t="str">
        <f>IF(LEN(X509)=0,"",X509)</f>
        <v/>
      </c>
    </row>
    <row r="510" spans="2:51" s="843" customFormat="1" ht="15" customHeight="1" x14ac:dyDescent="0.2">
      <c r="B510" s="600" t="s">
        <v>4449</v>
      </c>
      <c r="C510" s="600"/>
      <c r="D510" s="600"/>
      <c r="E510" s="600"/>
      <c r="F510" s="23"/>
      <c r="G510" s="23"/>
      <c r="H510" s="691"/>
      <c r="I510" s="590"/>
      <c r="J510" s="590"/>
      <c r="K510" s="590"/>
      <c r="L510" s="1687"/>
      <c r="M510" s="1623"/>
      <c r="N510" s="129"/>
      <c r="O510" s="1619"/>
      <c r="P510" s="991"/>
      <c r="Q510" s="991"/>
      <c r="R510" s="991"/>
      <c r="S510" s="991"/>
      <c r="T510" s="991"/>
      <c r="U510" s="991"/>
      <c r="V510" s="991"/>
      <c r="W510" s="114"/>
      <c r="X510" s="1600"/>
      <c r="AL510" s="78"/>
      <c r="AM510" s="78"/>
      <c r="AN510" s="78"/>
      <c r="AO510" s="78"/>
      <c r="AP510" s="78"/>
      <c r="AQ510" s="78"/>
      <c r="AR510" s="78"/>
      <c r="AS510" s="78"/>
    </row>
    <row r="511" spans="2:51" s="843" customFormat="1" ht="15" customHeight="1" x14ac:dyDescent="0.2">
      <c r="B511" s="600" t="s">
        <v>4449</v>
      </c>
      <c r="C511" s="600"/>
      <c r="D511" s="600"/>
      <c r="E511" s="600"/>
      <c r="F511" s="23"/>
      <c r="G511" s="23"/>
      <c r="H511" s="691"/>
      <c r="I511" s="606"/>
      <c r="J511" s="606"/>
      <c r="K511" s="606"/>
      <c r="L511" s="1688"/>
      <c r="M511" s="173"/>
      <c r="N511" s="173"/>
      <c r="O511" s="173"/>
      <c r="P511" s="173"/>
      <c r="Q511" s="173"/>
      <c r="R511" s="173"/>
      <c r="S511" s="173"/>
      <c r="T511" s="173"/>
      <c r="U511" s="173"/>
      <c r="V511" s="173"/>
      <c r="W511" s="818"/>
      <c r="X511" s="1600"/>
      <c r="AL511" s="78"/>
      <c r="AM511" s="78"/>
      <c r="AN511" s="78"/>
      <c r="AO511" s="78"/>
      <c r="AP511" s="78"/>
      <c r="AQ511" s="78"/>
      <c r="AR511" s="78"/>
      <c r="AS511" s="78"/>
    </row>
    <row r="512" spans="2:51" s="843" customFormat="1" ht="15" customHeight="1" x14ac:dyDescent="0.2">
      <c r="B512" s="600" t="s">
        <v>4450</v>
      </c>
      <c r="C512" s="600"/>
      <c r="D512" s="600"/>
      <c r="E512" s="600"/>
      <c r="F512" s="23"/>
      <c r="G512" s="23"/>
      <c r="H512" s="691"/>
      <c r="I512" s="589" t="s">
        <v>4265</v>
      </c>
      <c r="J512" s="589"/>
      <c r="K512" s="589"/>
      <c r="L512" s="869" t="s">
        <v>4266</v>
      </c>
      <c r="M512" s="96"/>
      <c r="N512" s="96"/>
      <c r="O512" s="96"/>
      <c r="P512" s="96"/>
      <c r="Q512" s="96"/>
      <c r="R512" s="96"/>
      <c r="S512" s="96"/>
      <c r="T512" s="96"/>
      <c r="AL512" s="78"/>
      <c r="AM512" s="78"/>
      <c r="AN512" s="78"/>
      <c r="AO512" s="78"/>
      <c r="AP512" s="78"/>
      <c r="AQ512" s="78"/>
      <c r="AR512" s="78"/>
      <c r="AS512" s="78"/>
    </row>
    <row r="513" spans="2:45" s="843" customFormat="1" ht="15" customHeight="1" x14ac:dyDescent="0.2">
      <c r="B513" s="600" t="s">
        <v>4450</v>
      </c>
      <c r="C513" s="600" t="s">
        <v>254</v>
      </c>
      <c r="D513" s="600"/>
      <c r="E513" s="600"/>
      <c r="F513" s="23"/>
      <c r="G513" s="23"/>
      <c r="H513" s="691"/>
      <c r="I513" s="589"/>
      <c r="J513" s="589" t="s">
        <v>254</v>
      </c>
      <c r="K513" s="589"/>
      <c r="L513" s="1634" t="s">
        <v>4267</v>
      </c>
      <c r="M513" s="882"/>
      <c r="N513" s="129"/>
      <c r="O513" s="1619">
        <f ca="1">IFERROR(INDEX({1,2},MATCH(W513,INDIRECT(U513),0)),0)*S513</f>
        <v>0</v>
      </c>
      <c r="P513" s="96" t="b">
        <v>0</v>
      </c>
      <c r="Q513" s="96" t="b">
        <v>1</v>
      </c>
      <c r="R513" s="96" t="b">
        <v>0</v>
      </c>
      <c r="S513" s="96" t="b">
        <f ca="1">IF(AND(S11=2,AY19=INDEX(INDIRECT("ddSingleOrMulti"),2)),TRUE,FALSE)</f>
        <v>0</v>
      </c>
      <c r="T513" s="96" t="b">
        <f ca="1">AND(NOT(S513),LEN(W513)&gt;0)</f>
        <v>0</v>
      </c>
      <c r="U513" s="881" t="str">
        <f>SUBSTITUTE(SUBSTITUTE(SUBSTITUTE("dd"&amp;B513&amp;C513&amp;D513&amp;E513&amp;F513,".","_"),"(","_"),")","")</f>
        <v>dd705_2_1_3_1</v>
      </c>
      <c r="W513" s="12"/>
      <c r="X513" s="1600"/>
      <c r="AC513" s="905" t="b">
        <f ca="1">OR(AD513:AE513)</f>
        <v>0</v>
      </c>
      <c r="AD513" s="905" t="b">
        <f ca="1">T513</f>
        <v>0</v>
      </c>
      <c r="AE513" s="905" t="b">
        <f>AND(R513,OR(W513="Not Met",W513=""))</f>
        <v>0</v>
      </c>
      <c r="AL513" s="78"/>
      <c r="AM513" s="78"/>
      <c r="AN513" s="1352" t="str">
        <f>SUBSTITUTE(SUBSTITUTE(SUBSTITUTE("dpc"&amp;$B513&amp;$C513&amp;$D513&amp;$E513&amp;$F513,".","_"),"(","_"),")","")</f>
        <v>dpc705_2_1_3_1</v>
      </c>
      <c r="AO513" s="1352">
        <f ca="1">O513</f>
        <v>0</v>
      </c>
      <c r="AP513" s="1352" t="str">
        <f>SUBSTITUTE(SUBSTITUTE(SUBSTITUTE("dch"&amp;$B513&amp;$C513&amp;$D513&amp;$E513&amp;$F513,".","_"),"(","_"),")","")</f>
        <v>dch705_2_1_3_1</v>
      </c>
      <c r="AQ513" s="1352" t="str">
        <f>IF(LEN(W513)=0,"",W513)</f>
        <v/>
      </c>
      <c r="AR513" s="1352" t="str">
        <f>SUBSTITUTE(SUBSTITUTE(SUBSTITUTE("dnt"&amp;$B513&amp;$C513&amp;$D513&amp;$E513&amp;$F513,".","_"),"(","_"),")","")</f>
        <v>dnt705_2_1_3_1</v>
      </c>
      <c r="AS513" s="1352" t="str">
        <f>IF(LEN(X513)=0,"",X513)</f>
        <v/>
      </c>
    </row>
    <row r="514" spans="2:45" s="843" customFormat="1" ht="15" customHeight="1" x14ac:dyDescent="0.2">
      <c r="B514" s="600" t="s">
        <v>4450</v>
      </c>
      <c r="C514" s="600" t="s">
        <v>254</v>
      </c>
      <c r="D514" s="600"/>
      <c r="E514" s="600"/>
      <c r="F514" s="23"/>
      <c r="G514" s="23"/>
      <c r="H514" s="691"/>
      <c r="I514" s="589"/>
      <c r="J514" s="589"/>
      <c r="K514" s="589"/>
      <c r="L514" s="1634"/>
      <c r="M514" s="882"/>
      <c r="N514" s="129"/>
      <c r="O514" s="1619"/>
      <c r="P514" s="96"/>
      <c r="Q514" s="96"/>
      <c r="R514" s="96"/>
      <c r="S514" s="96"/>
      <c r="T514" s="96"/>
      <c r="X514" s="1600"/>
      <c r="AL514" s="78"/>
      <c r="AM514" s="78"/>
      <c r="AN514" s="78"/>
      <c r="AO514" s="78"/>
      <c r="AP514" s="78"/>
      <c r="AQ514" s="78"/>
      <c r="AR514" s="78"/>
      <c r="AS514" s="78"/>
    </row>
    <row r="515" spans="2:45" s="843" customFormat="1" ht="15" customHeight="1" x14ac:dyDescent="0.2">
      <c r="B515" s="600" t="s">
        <v>4450</v>
      </c>
      <c r="C515" s="600" t="s">
        <v>254</v>
      </c>
      <c r="D515" s="600" t="s">
        <v>121</v>
      </c>
      <c r="E515" s="600"/>
      <c r="F515" s="23"/>
      <c r="G515" s="23"/>
      <c r="H515" s="691"/>
      <c r="I515" s="589"/>
      <c r="J515" s="589"/>
      <c r="K515" s="606" t="s">
        <v>121</v>
      </c>
      <c r="L515" s="923" t="s">
        <v>4261</v>
      </c>
      <c r="M515" s="937">
        <v>1</v>
      </c>
      <c r="N515" s="129"/>
      <c r="O515" s="886"/>
      <c r="P515" s="96"/>
      <c r="Q515" s="96"/>
      <c r="R515" s="96"/>
      <c r="S515" s="96"/>
      <c r="T515" s="96"/>
      <c r="X515" s="1600"/>
      <c r="AL515" s="1352" t="str">
        <f>SUBSTITUTE(SUBSTITUTE(SUBSTITUTE("dpa"&amp;$B515&amp;$C515&amp;$D515&amp;$E515&amp;$F515,".","_"),"(","_"),")","")</f>
        <v>dpa705_2_1_3_1_a</v>
      </c>
      <c r="AM515" s="1352">
        <f>M515</f>
        <v>1</v>
      </c>
      <c r="AN515" s="78"/>
      <c r="AO515" s="78"/>
      <c r="AP515" s="78"/>
      <c r="AQ515" s="78"/>
      <c r="AR515" s="78"/>
      <c r="AS515" s="78"/>
    </row>
    <row r="516" spans="2:45" s="843" customFormat="1" ht="15" customHeight="1" x14ac:dyDescent="0.2">
      <c r="B516" s="600" t="s">
        <v>4450</v>
      </c>
      <c r="C516" s="600" t="s">
        <v>254</v>
      </c>
      <c r="D516" s="600" t="s">
        <v>122</v>
      </c>
      <c r="E516" s="600"/>
      <c r="F516" s="23"/>
      <c r="G516" s="23"/>
      <c r="H516" s="691"/>
      <c r="I516" s="589"/>
      <c r="J516" s="606"/>
      <c r="K516" s="606" t="s">
        <v>122</v>
      </c>
      <c r="L516" s="923" t="s">
        <v>4262</v>
      </c>
      <c r="M516" s="937">
        <v>2</v>
      </c>
      <c r="N516" s="129"/>
      <c r="O516" s="886"/>
      <c r="P516" s="96"/>
      <c r="Q516" s="96"/>
      <c r="R516" s="96"/>
      <c r="S516" s="96"/>
      <c r="T516" s="96"/>
      <c r="X516" s="1600"/>
      <c r="AL516" s="1352" t="str">
        <f>SUBSTITUTE(SUBSTITUTE(SUBSTITUTE("dpa"&amp;$B516&amp;$C516&amp;$D516&amp;$E516&amp;$F516,".","_"),"(","_"),")","")</f>
        <v>dpa705_2_1_3_1_b</v>
      </c>
      <c r="AM516" s="1352">
        <f>M516</f>
        <v>2</v>
      </c>
      <c r="AN516" s="78"/>
      <c r="AO516" s="78"/>
      <c r="AP516" s="78"/>
      <c r="AQ516" s="78"/>
      <c r="AR516" s="78"/>
      <c r="AS516" s="78"/>
    </row>
    <row r="517" spans="2:45" s="843" customFormat="1" ht="15" customHeight="1" x14ac:dyDescent="0.2">
      <c r="B517" s="600" t="s">
        <v>4450</v>
      </c>
      <c r="C517" s="600" t="s">
        <v>255</v>
      </c>
      <c r="D517" s="600"/>
      <c r="E517" s="600"/>
      <c r="F517" s="23"/>
      <c r="G517" s="23"/>
      <c r="H517" s="691"/>
      <c r="I517" s="589"/>
      <c r="J517" s="589" t="s">
        <v>255</v>
      </c>
      <c r="K517" s="589"/>
      <c r="L517" s="1634" t="s">
        <v>4268</v>
      </c>
      <c r="M517" s="882"/>
      <c r="N517" s="129"/>
      <c r="O517" s="1619">
        <f ca="1">IFERROR(INDEX({2,3},MATCH(W517,INDIRECT(U517),0)),0)*S517</f>
        <v>0</v>
      </c>
      <c r="P517" s="96" t="b">
        <v>0</v>
      </c>
      <c r="Q517" s="96" t="b">
        <v>1</v>
      </c>
      <c r="R517" s="96" t="b">
        <v>0</v>
      </c>
      <c r="S517" s="96" t="b">
        <f ca="1">IF(AND(S11=2,AY19=INDEX(INDIRECT("ddSingleOrMulti"),2)),TRUE,FALSE)</f>
        <v>0</v>
      </c>
      <c r="T517" s="96" t="b">
        <f ca="1">AND(NOT(S517),LEN(W517)&gt;0)</f>
        <v>0</v>
      </c>
      <c r="U517" s="881" t="str">
        <f>SUBSTITUTE(SUBSTITUTE(SUBSTITUTE("dd"&amp;B517&amp;C517&amp;D517&amp;E517&amp;F517,".","_"),"(","_"),")","")</f>
        <v>dd705_2_1_3_2</v>
      </c>
      <c r="W517" s="12"/>
      <c r="X517" s="1600"/>
      <c r="AC517" s="905" t="b">
        <f ca="1">OR(AD517:AE517)</f>
        <v>0</v>
      </c>
      <c r="AD517" s="905" t="b">
        <f ca="1">T517</f>
        <v>0</v>
      </c>
      <c r="AE517" s="905" t="b">
        <f>AND(R517,OR(W517="Not Met",W517=""))</f>
        <v>0</v>
      </c>
      <c r="AL517" s="78"/>
      <c r="AM517" s="78"/>
      <c r="AN517" s="1352" t="str">
        <f>SUBSTITUTE(SUBSTITUTE(SUBSTITUTE("dpc"&amp;$B517&amp;$C517&amp;$D517&amp;$E517&amp;$F517,".","_"),"(","_"),")","")</f>
        <v>dpc705_2_1_3_2</v>
      </c>
      <c r="AO517" s="1352">
        <f ca="1">O517</f>
        <v>0</v>
      </c>
      <c r="AP517" s="1352" t="str">
        <f>SUBSTITUTE(SUBSTITUTE(SUBSTITUTE("dch"&amp;$B517&amp;$C517&amp;$D517&amp;$E517&amp;$F517,".","_"),"(","_"),")","")</f>
        <v>dch705_2_1_3_2</v>
      </c>
      <c r="AQ517" s="1352" t="str">
        <f>IF(LEN(W517)=0,"",W517)</f>
        <v/>
      </c>
      <c r="AR517" s="1352" t="str">
        <f>SUBSTITUTE(SUBSTITUTE(SUBSTITUTE("dnt"&amp;$B517&amp;$C517&amp;$D517&amp;$E517&amp;$F517,".","_"),"(","_"),")","")</f>
        <v>dnt705_2_1_3_2</v>
      </c>
      <c r="AS517" s="1352" t="str">
        <f>IF(LEN(X517)=0,"",X517)</f>
        <v/>
      </c>
    </row>
    <row r="518" spans="2:45" s="843" customFormat="1" ht="15" customHeight="1" x14ac:dyDescent="0.2">
      <c r="B518" s="600" t="s">
        <v>4450</v>
      </c>
      <c r="C518" s="600" t="s">
        <v>255</v>
      </c>
      <c r="D518" s="600"/>
      <c r="E518" s="600"/>
      <c r="F518" s="23"/>
      <c r="G518" s="23"/>
      <c r="H518" s="691"/>
      <c r="I518" s="589"/>
      <c r="J518" s="589"/>
      <c r="K518" s="589"/>
      <c r="L518" s="1634"/>
      <c r="M518" s="882"/>
      <c r="N518" s="129"/>
      <c r="O518" s="1619"/>
      <c r="P518" s="96"/>
      <c r="Q518" s="96"/>
      <c r="R518" s="96"/>
      <c r="S518" s="96"/>
      <c r="T518" s="96"/>
      <c r="X518" s="1600"/>
      <c r="AL518" s="78"/>
      <c r="AM518" s="78"/>
      <c r="AN518" s="78"/>
      <c r="AO518" s="78"/>
      <c r="AP518" s="78"/>
      <c r="AQ518" s="78"/>
      <c r="AR518" s="78"/>
      <c r="AS518" s="78"/>
    </row>
    <row r="519" spans="2:45" s="843" customFormat="1" ht="15" customHeight="1" x14ac:dyDescent="0.2">
      <c r="B519" s="600" t="s">
        <v>4450</v>
      </c>
      <c r="C519" s="600" t="s">
        <v>255</v>
      </c>
      <c r="D519" s="600"/>
      <c r="E519" s="600"/>
      <c r="F519" s="23"/>
      <c r="G519" s="23"/>
      <c r="H519" s="691"/>
      <c r="I519" s="589"/>
      <c r="J519" s="589"/>
      <c r="K519" s="589"/>
      <c r="L519" s="1634"/>
      <c r="M519" s="882"/>
      <c r="N519" s="129"/>
      <c r="O519" s="1619"/>
      <c r="P519" s="96"/>
      <c r="Q519" s="96"/>
      <c r="R519" s="96"/>
      <c r="S519" s="96"/>
      <c r="T519" s="96"/>
      <c r="X519" s="1600"/>
      <c r="AL519" s="78"/>
      <c r="AM519" s="78"/>
      <c r="AN519" s="78"/>
      <c r="AO519" s="78"/>
      <c r="AP519" s="78"/>
      <c r="AQ519" s="78"/>
      <c r="AR519" s="78"/>
      <c r="AS519" s="78"/>
    </row>
    <row r="520" spans="2:45" s="843" customFormat="1" ht="15" customHeight="1" x14ac:dyDescent="0.2">
      <c r="B520" s="600" t="s">
        <v>4450</v>
      </c>
      <c r="C520" s="600" t="s">
        <v>255</v>
      </c>
      <c r="D520" s="600" t="s">
        <v>121</v>
      </c>
      <c r="E520" s="600"/>
      <c r="F520" s="23"/>
      <c r="G520" s="23"/>
      <c r="H520" s="691"/>
      <c r="I520" s="589"/>
      <c r="J520" s="589"/>
      <c r="K520" s="589" t="s">
        <v>121</v>
      </c>
      <c r="L520" s="863" t="s">
        <v>4269</v>
      </c>
      <c r="M520" s="882">
        <v>2</v>
      </c>
      <c r="N520" s="129"/>
      <c r="O520" s="886"/>
      <c r="P520" s="96"/>
      <c r="Q520" s="96"/>
      <c r="R520" s="96"/>
      <c r="S520" s="96"/>
      <c r="T520" s="96"/>
      <c r="X520" s="1600"/>
      <c r="AL520" s="1352" t="str">
        <f>SUBSTITUTE(SUBSTITUTE(SUBSTITUTE("dpa"&amp;$B520&amp;$C520&amp;$D520&amp;$E520&amp;$F520,".","_"),"(","_"),")","")</f>
        <v>dpa705_2_1_3_2_a</v>
      </c>
      <c r="AM520" s="1352">
        <f>M520</f>
        <v>2</v>
      </c>
      <c r="AN520" s="78"/>
      <c r="AO520" s="78"/>
      <c r="AP520" s="78"/>
      <c r="AQ520" s="78"/>
      <c r="AR520" s="78"/>
      <c r="AS520" s="78"/>
    </row>
    <row r="521" spans="2:45" s="843" customFormat="1" ht="15" customHeight="1" x14ac:dyDescent="0.2">
      <c r="B521" s="600" t="s">
        <v>4450</v>
      </c>
      <c r="C521" s="600" t="s">
        <v>255</v>
      </c>
      <c r="D521" s="600" t="s">
        <v>122</v>
      </c>
      <c r="E521" s="600"/>
      <c r="F521" s="23"/>
      <c r="G521" s="23"/>
      <c r="H521" s="691"/>
      <c r="I521" s="606"/>
      <c r="J521" s="606"/>
      <c r="K521" s="606" t="s">
        <v>122</v>
      </c>
      <c r="L521" s="923" t="s">
        <v>4270</v>
      </c>
      <c r="M521" s="937">
        <v>3</v>
      </c>
      <c r="N521" s="213"/>
      <c r="O521" s="909"/>
      <c r="P521" s="96"/>
      <c r="Q521" s="96"/>
      <c r="R521" s="96"/>
      <c r="S521" s="96"/>
      <c r="T521" s="96"/>
      <c r="X521" s="1600"/>
      <c r="AL521" s="1352" t="str">
        <f>SUBSTITUTE(SUBSTITUTE(SUBSTITUTE("dpa"&amp;$B521&amp;$C521&amp;$D521&amp;$E521&amp;$F521,".","_"),"(","_"),")","")</f>
        <v>dpa705_2_1_3_2_b</v>
      </c>
      <c r="AM521" s="1352">
        <f>M521</f>
        <v>3</v>
      </c>
      <c r="AN521" s="78"/>
      <c r="AO521" s="78"/>
      <c r="AP521" s="78"/>
      <c r="AQ521" s="78"/>
      <c r="AR521" s="78"/>
      <c r="AS521" s="78"/>
    </row>
    <row r="522" spans="2:45" s="843" customFormat="1" ht="15" customHeight="1" x14ac:dyDescent="0.2">
      <c r="B522" s="600" t="s">
        <v>4451</v>
      </c>
      <c r="C522" s="600"/>
      <c r="D522" s="600"/>
      <c r="E522" s="600"/>
      <c r="F522" s="23"/>
      <c r="G522" s="23"/>
      <c r="H522" s="691"/>
      <c r="I522" s="589" t="s">
        <v>4271</v>
      </c>
      <c r="J522" s="589"/>
      <c r="K522" s="589"/>
      <c r="L522" s="1687" t="s">
        <v>4272</v>
      </c>
      <c r="M522" s="882"/>
      <c r="N522" s="129"/>
      <c r="O522" s="1619">
        <f ca="1">IFERROR(INDEX({2,3},MATCH(W522,INDIRECT(U522),0)),0)*S522</f>
        <v>0</v>
      </c>
      <c r="P522" s="96" t="b">
        <v>0</v>
      </c>
      <c r="Q522" s="96" t="b">
        <v>1</v>
      </c>
      <c r="R522" s="96" t="b">
        <v>0</v>
      </c>
      <c r="S522" s="96" t="b">
        <f ca="1">IF(AND(S11=2,AY19=INDEX(INDIRECT("ddSingleOrMulti"),2)),TRUE,FALSE)</f>
        <v>0</v>
      </c>
      <c r="T522" s="96" t="b">
        <f ca="1">AND(NOT(S522),LEN(W522)&gt;0)</f>
        <v>0</v>
      </c>
      <c r="U522" s="881" t="str">
        <f>SUBSTITUTE(SUBSTITUTE(SUBSTITUTE("dd"&amp;B522&amp;C522&amp;D522&amp;E522&amp;F522,".","_"),"(","_"),")","")</f>
        <v>dd705_2_1_4</v>
      </c>
      <c r="W522" s="12"/>
      <c r="X522" s="1600"/>
      <c r="AC522" s="905" t="b">
        <f ca="1">OR(AD522:AE522)</f>
        <v>0</v>
      </c>
      <c r="AD522" s="905" t="b">
        <f ca="1">T522</f>
        <v>0</v>
      </c>
      <c r="AE522" s="905" t="b">
        <f>AND(R522,OR(W522="Not Met",W522=""))</f>
        <v>0</v>
      </c>
      <c r="AL522" s="78"/>
      <c r="AM522" s="78"/>
      <c r="AN522" s="1352" t="str">
        <f>SUBSTITUTE(SUBSTITUTE(SUBSTITUTE("dpc"&amp;$B522&amp;$C522&amp;$D522&amp;$E522&amp;$F522,".","_"),"(","_"),")","")</f>
        <v>dpc705_2_1_4</v>
      </c>
      <c r="AO522" s="1352">
        <f ca="1">O522</f>
        <v>0</v>
      </c>
      <c r="AP522" s="1352" t="str">
        <f>SUBSTITUTE(SUBSTITUTE(SUBSTITUTE("dch"&amp;$B522&amp;$C522&amp;$D522&amp;$E522&amp;$F522,".","_"),"(","_"),")","")</f>
        <v>dch705_2_1_4</v>
      </c>
      <c r="AQ522" s="1352" t="str">
        <f>IF(LEN(W522)=0,"",W522)</f>
        <v/>
      </c>
      <c r="AR522" s="1352" t="str">
        <f>SUBSTITUTE(SUBSTITUTE(SUBSTITUTE("dnt"&amp;$B522&amp;$C522&amp;$D522&amp;$E522&amp;$F522,".","_"),"(","_"),")","")</f>
        <v>dnt705_2_1_4</v>
      </c>
      <c r="AS522" s="1352" t="str">
        <f>IF(LEN(X522)=0,"",X522)</f>
        <v/>
      </c>
    </row>
    <row r="523" spans="2:45" s="843" customFormat="1" ht="15" customHeight="1" x14ac:dyDescent="0.2">
      <c r="B523" s="600" t="s">
        <v>4451</v>
      </c>
      <c r="C523" s="600"/>
      <c r="D523" s="600"/>
      <c r="E523" s="600"/>
      <c r="F523" s="23"/>
      <c r="G523" s="23"/>
      <c r="H523" s="691"/>
      <c r="I523" s="589"/>
      <c r="J523" s="589"/>
      <c r="K523" s="589"/>
      <c r="L523" s="1687"/>
      <c r="M523" s="882"/>
      <c r="N523" s="129"/>
      <c r="O523" s="1619"/>
      <c r="P523" s="96"/>
      <c r="Q523" s="96"/>
      <c r="R523" s="96"/>
      <c r="S523" s="96"/>
      <c r="T523" s="96"/>
      <c r="X523" s="1600"/>
      <c r="AL523" s="78"/>
      <c r="AM523" s="78"/>
      <c r="AN523" s="78"/>
      <c r="AO523" s="78"/>
      <c r="AP523" s="78"/>
      <c r="AQ523" s="78"/>
      <c r="AR523" s="78"/>
      <c r="AS523" s="78"/>
    </row>
    <row r="524" spans="2:45" s="843" customFormat="1" ht="15" customHeight="1" x14ac:dyDescent="0.2">
      <c r="B524" s="600" t="s">
        <v>4451</v>
      </c>
      <c r="C524" s="600"/>
      <c r="D524" s="600"/>
      <c r="E524" s="600"/>
      <c r="F524" s="23"/>
      <c r="G524" s="23"/>
      <c r="H524" s="691"/>
      <c r="I524" s="589"/>
      <c r="J524" s="589"/>
      <c r="K524" s="589"/>
      <c r="L524" s="1687"/>
      <c r="M524" s="882"/>
      <c r="N524" s="129"/>
      <c r="O524" s="1619"/>
      <c r="P524" s="96"/>
      <c r="Q524" s="96"/>
      <c r="R524" s="96"/>
      <c r="S524" s="96"/>
      <c r="T524" s="96"/>
      <c r="X524" s="1600"/>
      <c r="AL524" s="78"/>
      <c r="AM524" s="78"/>
      <c r="AN524" s="78"/>
      <c r="AO524" s="78"/>
      <c r="AP524" s="78"/>
      <c r="AQ524" s="78"/>
      <c r="AR524" s="78"/>
      <c r="AS524" s="78"/>
    </row>
    <row r="525" spans="2:45" s="843" customFormat="1" ht="15" customHeight="1" x14ac:dyDescent="0.2">
      <c r="B525" s="600" t="s">
        <v>4451</v>
      </c>
      <c r="C525" s="600" t="s">
        <v>254</v>
      </c>
      <c r="D525" s="600"/>
      <c r="E525" s="600"/>
      <c r="F525" s="23"/>
      <c r="G525" s="23"/>
      <c r="H525" s="691"/>
      <c r="I525" s="589"/>
      <c r="J525" s="606" t="s">
        <v>254</v>
      </c>
      <c r="K525" s="606"/>
      <c r="L525" s="923" t="s">
        <v>4269</v>
      </c>
      <c r="M525" s="937">
        <v>2</v>
      </c>
      <c r="N525" s="129"/>
      <c r="O525" s="886"/>
      <c r="P525" s="96"/>
      <c r="Q525" s="96"/>
      <c r="R525" s="96"/>
      <c r="S525" s="96"/>
      <c r="T525" s="96"/>
      <c r="X525" s="1600"/>
      <c r="AL525" s="1352" t="str">
        <f>SUBSTITUTE(SUBSTITUTE(SUBSTITUTE("dpa"&amp;$B525&amp;$C525&amp;$D525&amp;$E525&amp;$F525,".","_"),"(","_"),")","")</f>
        <v>dpa705_2_1_4_1</v>
      </c>
      <c r="AM525" s="1352">
        <f>M525</f>
        <v>2</v>
      </c>
      <c r="AN525" s="78"/>
      <c r="AO525" s="78"/>
      <c r="AP525" s="78"/>
      <c r="AQ525" s="78"/>
      <c r="AR525" s="78"/>
      <c r="AS525" s="78"/>
    </row>
    <row r="526" spans="2:45" s="843" customFormat="1" ht="15" customHeight="1" x14ac:dyDescent="0.2">
      <c r="B526" s="600" t="s">
        <v>4451</v>
      </c>
      <c r="C526" s="600" t="s">
        <v>255</v>
      </c>
      <c r="D526" s="600"/>
      <c r="E526" s="600"/>
      <c r="F526" s="23"/>
      <c r="G526" s="23"/>
      <c r="H526" s="691"/>
      <c r="I526" s="606"/>
      <c r="J526" s="606" t="s">
        <v>255</v>
      </c>
      <c r="K526" s="606"/>
      <c r="L526" s="923" t="s">
        <v>4273</v>
      </c>
      <c r="M526" s="937">
        <v>3</v>
      </c>
      <c r="N526" s="213"/>
      <c r="O526" s="909"/>
      <c r="P526" s="96"/>
      <c r="Q526" s="96"/>
      <c r="R526" s="96"/>
      <c r="S526" s="96"/>
      <c r="T526" s="96"/>
      <c r="X526" s="1600"/>
      <c r="AL526" s="1352" t="str">
        <f>SUBSTITUTE(SUBSTITUTE(SUBSTITUTE("dpa"&amp;$B526&amp;$C526&amp;$D526&amp;$E526&amp;$F526,".","_"),"(","_"),")","")</f>
        <v>dpa705_2_1_4_2</v>
      </c>
      <c r="AM526" s="1352">
        <f>M526</f>
        <v>3</v>
      </c>
      <c r="AN526" s="78"/>
      <c r="AO526" s="78"/>
      <c r="AP526" s="78"/>
      <c r="AQ526" s="78"/>
      <c r="AR526" s="78"/>
      <c r="AS526" s="78"/>
    </row>
    <row r="527" spans="2:45" s="843" customFormat="1" ht="15" customHeight="1" x14ac:dyDescent="0.2">
      <c r="B527" s="600" t="s">
        <v>4452</v>
      </c>
      <c r="C527" s="600"/>
      <c r="D527" s="600"/>
      <c r="E527" s="600"/>
      <c r="F527" s="23"/>
      <c r="G527" s="23"/>
      <c r="H527" s="691"/>
      <c r="I527" s="608" t="s">
        <v>4274</v>
      </c>
      <c r="J527" s="608"/>
      <c r="K527" s="608"/>
      <c r="L527" s="1686" t="s">
        <v>4275</v>
      </c>
      <c r="M527" s="1636">
        <v>2</v>
      </c>
      <c r="N527" s="193"/>
      <c r="O527" s="1637">
        <f ca="1">M527*S527*W527</f>
        <v>0</v>
      </c>
      <c r="P527" s="96" t="b">
        <v>1</v>
      </c>
      <c r="Q527" s="96" t="b">
        <v>1</v>
      </c>
      <c r="R527" s="96" t="b">
        <v>0</v>
      </c>
      <c r="S527" s="96" t="b">
        <f ca="1">S11=2</f>
        <v>0</v>
      </c>
      <c r="T527" s="96" t="b">
        <v>0</v>
      </c>
      <c r="W527" s="27"/>
      <c r="X527" s="1600"/>
      <c r="AC527" s="881" t="b">
        <f>OR(AD527:AE527)</f>
        <v>0</v>
      </c>
      <c r="AD527" s="881" t="b">
        <f>T527</f>
        <v>0</v>
      </c>
      <c r="AE527" s="881" t="b">
        <f>AND(R527,NOT(W527))</f>
        <v>0</v>
      </c>
      <c r="AL527" s="1352" t="str">
        <f>SUBSTITUTE(SUBSTITUTE(SUBSTITUTE("dpa"&amp;$B527&amp;$C527&amp;$D527&amp;$E527&amp;$F527,".","_"),"(","_"),")","")</f>
        <v>dpa705_2_2</v>
      </c>
      <c r="AM527" s="1352">
        <f>M527</f>
        <v>2</v>
      </c>
      <c r="AN527" s="1352" t="str">
        <f>SUBSTITUTE(SUBSTITUTE(SUBSTITUTE("dpc"&amp;$B527&amp;$C527&amp;$D527&amp;$E527&amp;$F527,".","_"),"(","_"),")","")</f>
        <v>dpc705_2_2</v>
      </c>
      <c r="AO527" s="1352">
        <f ca="1">O527</f>
        <v>0</v>
      </c>
      <c r="AP527" s="1352" t="str">
        <f>SUBSTITUTE(SUBSTITUTE(SUBSTITUTE("dch"&amp;$B527&amp;$C527&amp;$D527&amp;$E527&amp;$F527,".","_"),"(","_"),")","")</f>
        <v>dch705_2_2</v>
      </c>
      <c r="AQ527" s="1352" t="str">
        <f>IF(LEN(W527)=0,"",W527)</f>
        <v/>
      </c>
      <c r="AR527" s="1352" t="str">
        <f>SUBSTITUTE(SUBSTITUTE(SUBSTITUTE("dnt"&amp;$B527&amp;$C527&amp;$D527&amp;$E527&amp;$F527,".","_"),"(","_"),")","")</f>
        <v>dnt705_2_2</v>
      </c>
      <c r="AS527" s="1352" t="str">
        <f>IF(LEN(X527)=0,"",X527)</f>
        <v/>
      </c>
    </row>
    <row r="528" spans="2:45" s="843" customFormat="1" ht="15" customHeight="1" x14ac:dyDescent="0.2">
      <c r="B528" s="600" t="s">
        <v>4452</v>
      </c>
      <c r="C528" s="600"/>
      <c r="D528" s="600"/>
      <c r="E528" s="600"/>
      <c r="F528" s="23"/>
      <c r="G528" s="23"/>
      <c r="H528" s="691"/>
      <c r="I528" s="590"/>
      <c r="J528" s="590"/>
      <c r="K528" s="590"/>
      <c r="L528" s="1687"/>
      <c r="M528" s="1623"/>
      <c r="N528" s="129"/>
      <c r="O528" s="1619"/>
      <c r="P528" s="96"/>
      <c r="Q528" s="96"/>
      <c r="R528" s="96"/>
      <c r="S528" s="96"/>
      <c r="T528" s="96"/>
      <c r="X528" s="1600"/>
      <c r="AL528" s="78"/>
      <c r="AM528" s="78"/>
      <c r="AN528" s="78"/>
      <c r="AO528" s="78"/>
      <c r="AP528" s="78"/>
      <c r="AQ528" s="78"/>
      <c r="AR528" s="78"/>
      <c r="AS528" s="78"/>
    </row>
    <row r="529" spans="2:45" s="843" customFormat="1" ht="15" customHeight="1" x14ac:dyDescent="0.2">
      <c r="B529" s="600" t="s">
        <v>4452</v>
      </c>
      <c r="C529" s="600"/>
      <c r="D529" s="600"/>
      <c r="E529" s="600"/>
      <c r="F529" s="23"/>
      <c r="G529" s="23"/>
      <c r="H529" s="691"/>
      <c r="I529" s="606"/>
      <c r="J529" s="606"/>
      <c r="K529" s="606"/>
      <c r="L529" s="1688"/>
      <c r="M529" s="173"/>
      <c r="N529" s="173"/>
      <c r="O529" s="173"/>
      <c r="P529" s="96"/>
      <c r="Q529" s="96"/>
      <c r="R529" s="96"/>
      <c r="S529" s="96"/>
      <c r="T529" s="96"/>
      <c r="X529" s="1600"/>
      <c r="AL529" s="78"/>
      <c r="AM529" s="78"/>
      <c r="AN529" s="78"/>
      <c r="AO529" s="78"/>
      <c r="AP529" s="78"/>
      <c r="AQ529" s="78"/>
      <c r="AR529" s="78"/>
      <c r="AS529" s="78"/>
    </row>
    <row r="530" spans="2:45" s="843" customFormat="1" ht="15" customHeight="1" x14ac:dyDescent="0.2">
      <c r="B530" s="600" t="s">
        <v>4453</v>
      </c>
      <c r="C530" s="600"/>
      <c r="D530" s="600"/>
      <c r="E530" s="600"/>
      <c r="F530" s="23"/>
      <c r="G530" s="23"/>
      <c r="H530" s="691"/>
      <c r="I530" s="608" t="s">
        <v>4276</v>
      </c>
      <c r="J530" s="608"/>
      <c r="K530" s="608"/>
      <c r="L530" s="1686" t="s">
        <v>4277</v>
      </c>
      <c r="M530" s="1636">
        <v>1</v>
      </c>
      <c r="N530" s="193"/>
      <c r="O530" s="1637">
        <f ca="1">M530*S530*W530</f>
        <v>0</v>
      </c>
      <c r="P530" s="96" t="b">
        <v>0</v>
      </c>
      <c r="Q530" s="96" t="b">
        <v>1</v>
      </c>
      <c r="R530" s="96" t="b">
        <v>0</v>
      </c>
      <c r="S530" s="96" t="b">
        <f ca="1">S11=2</f>
        <v>0</v>
      </c>
      <c r="T530" s="96" t="b">
        <v>0</v>
      </c>
      <c r="W530" s="27"/>
      <c r="X530" s="1600"/>
      <c r="AC530" s="881" t="b">
        <f>OR(AD530:AE530)</f>
        <v>0</v>
      </c>
      <c r="AD530" s="881" t="b">
        <f>T530</f>
        <v>0</v>
      </c>
      <c r="AE530" s="881" t="b">
        <f>AND(R530,NOT(W530))</f>
        <v>0</v>
      </c>
      <c r="AL530" s="1352" t="str">
        <f>SUBSTITUTE(SUBSTITUTE(SUBSTITUTE("dpa"&amp;$B530&amp;$C530&amp;$D530&amp;$E530&amp;$F530,".","_"),"(","_"),")","")</f>
        <v>dpa705_2_3</v>
      </c>
      <c r="AM530" s="1352">
        <f>M530</f>
        <v>1</v>
      </c>
      <c r="AN530" s="1352" t="str">
        <f>SUBSTITUTE(SUBSTITUTE(SUBSTITUTE("dpc"&amp;$B530&amp;$C530&amp;$D530&amp;$E530&amp;$F530,".","_"),"(","_"),")","")</f>
        <v>dpc705_2_3</v>
      </c>
      <c r="AO530" s="1352">
        <f ca="1">O530</f>
        <v>0</v>
      </c>
      <c r="AP530" s="1352" t="str">
        <f>SUBSTITUTE(SUBSTITUTE(SUBSTITUTE("dch"&amp;$B530&amp;$C530&amp;$D530&amp;$E530&amp;$F530,".","_"),"(","_"),")","")</f>
        <v>dch705_2_3</v>
      </c>
      <c r="AQ530" s="1352" t="str">
        <f>IF(LEN(W530)=0,"",W530)</f>
        <v/>
      </c>
      <c r="AR530" s="1352" t="str">
        <f>SUBSTITUTE(SUBSTITUTE(SUBSTITUTE("dnt"&amp;$B530&amp;$C530&amp;$D530&amp;$E530&amp;$F530,".","_"),"(","_"),")","")</f>
        <v>dnt705_2_3</v>
      </c>
      <c r="AS530" s="1352" t="str">
        <f>IF(LEN(X530)=0,"",X530)</f>
        <v/>
      </c>
    </row>
    <row r="531" spans="2:45" s="843" customFormat="1" ht="15" customHeight="1" x14ac:dyDescent="0.2">
      <c r="B531" s="600" t="s">
        <v>4453</v>
      </c>
      <c r="C531" s="600"/>
      <c r="D531" s="600"/>
      <c r="E531" s="600"/>
      <c r="F531" s="23"/>
      <c r="G531" s="23"/>
      <c r="H531" s="691"/>
      <c r="I531" s="606"/>
      <c r="J531" s="606"/>
      <c r="K531" s="606"/>
      <c r="L531" s="1688"/>
      <c r="M531" s="1624"/>
      <c r="N531" s="213"/>
      <c r="O531" s="1620"/>
      <c r="P531" s="96"/>
      <c r="Q531" s="96"/>
      <c r="R531" s="96"/>
      <c r="S531" s="96"/>
      <c r="T531" s="96"/>
      <c r="X531" s="1600"/>
      <c r="AL531" s="78"/>
      <c r="AM531" s="78"/>
      <c r="AN531" s="78"/>
      <c r="AO531" s="78"/>
      <c r="AP531" s="78"/>
      <c r="AQ531" s="78"/>
      <c r="AR531" s="78"/>
      <c r="AS531" s="78"/>
    </row>
    <row r="532" spans="2:45" s="843" customFormat="1" ht="15" customHeight="1" x14ac:dyDescent="0.2">
      <c r="B532" s="600" t="s">
        <v>4454</v>
      </c>
      <c r="C532" s="600"/>
      <c r="D532" s="600"/>
      <c r="E532" s="600"/>
      <c r="F532" s="23"/>
      <c r="G532" s="23"/>
      <c r="H532" s="691"/>
      <c r="I532" s="590" t="s">
        <v>4278</v>
      </c>
      <c r="J532" s="590"/>
      <c r="K532" s="590"/>
      <c r="L532" s="1687" t="s">
        <v>4279</v>
      </c>
      <c r="M532" s="1623">
        <v>1</v>
      </c>
      <c r="N532" s="129"/>
      <c r="O532" s="1619">
        <f>IFERROR(IF(AND(NOT(ISBLANK(W533)),(W533/W534)&lt;(1/400)),1,0),0)</f>
        <v>0</v>
      </c>
      <c r="P532" s="991"/>
      <c r="Q532" s="991"/>
      <c r="R532" s="149"/>
      <c r="S532" s="991"/>
      <c r="T532" s="991"/>
      <c r="U532" s="991"/>
      <c r="V532" s="991"/>
      <c r="W532" s="991" t="s">
        <v>4501</v>
      </c>
      <c r="X532" s="1601"/>
      <c r="AL532" s="1352" t="str">
        <f>SUBSTITUTE(SUBSTITUTE(SUBSTITUTE("dpa"&amp;$B532&amp;$C532&amp;$D532&amp;$E532&amp;$F532,".","_"),"(","_"),")","")</f>
        <v>dpa705_2_4</v>
      </c>
      <c r="AM532" s="1352">
        <f>M532</f>
        <v>1</v>
      </c>
      <c r="AN532" s="1352" t="str">
        <f>SUBSTITUTE(SUBSTITUTE(SUBSTITUTE("dpc"&amp;$B532&amp;$C532&amp;$D532&amp;$E532&amp;$F532,".","_"),"(","_"),")","")</f>
        <v>dpc705_2_4</v>
      </c>
      <c r="AO532" s="1352">
        <f>O532</f>
        <v>0</v>
      </c>
      <c r="AP532" s="78"/>
      <c r="AQ532" s="78"/>
      <c r="AR532" s="1352" t="str">
        <f>SUBSTITUTE(SUBSTITUTE(SUBSTITUTE("dnt"&amp;$B532&amp;$C532&amp;$D532&amp;$E532&amp;$F532,".","_"),"(","_"),")","")</f>
        <v>dnt705_2_4</v>
      </c>
      <c r="AS532" s="1352" t="str">
        <f>IF(LEN(X532)=0,"",X532)</f>
        <v/>
      </c>
    </row>
    <row r="533" spans="2:45" s="843" customFormat="1" ht="15" customHeight="1" x14ac:dyDescent="0.2">
      <c r="B533" s="600" t="s">
        <v>4454</v>
      </c>
      <c r="C533" s="600"/>
      <c r="D533" s="600"/>
      <c r="E533" s="600"/>
      <c r="F533" s="23"/>
      <c r="G533" s="23"/>
      <c r="H533" s="691"/>
      <c r="I533" s="590"/>
      <c r="J533" s="590"/>
      <c r="K533" s="590"/>
      <c r="L533" s="1687"/>
      <c r="M533" s="1623"/>
      <c r="N533" s="129"/>
      <c r="O533" s="1619"/>
      <c r="P533" s="991" t="b">
        <v>0</v>
      </c>
      <c r="Q533" s="991" t="b">
        <v>1</v>
      </c>
      <c r="R533" s="991" t="b">
        <v>0</v>
      </c>
      <c r="S533" s="991" t="b">
        <f ca="1">AND(S11=2,OR(W117="Met",W117="N/A"))</f>
        <v>0</v>
      </c>
      <c r="T533" s="991" t="b">
        <f ca="1">OR(AND(NOT(S533),LEN(W533)&gt;0),AND(W533&gt;0,W161="N/A"))</f>
        <v>0</v>
      </c>
      <c r="U533" s="991"/>
      <c r="V533" s="991"/>
      <c r="W533" s="981"/>
      <c r="X533" s="1601"/>
      <c r="AC533" s="905" t="b">
        <f ca="1">OR(AD533:AE533)</f>
        <v>0</v>
      </c>
      <c r="AD533" s="905" t="b">
        <f ca="1">T533</f>
        <v>0</v>
      </c>
      <c r="AE533" s="905" t="b">
        <f>AND(R533,OR(W533="Not Met",W533=""))</f>
        <v>0</v>
      </c>
      <c r="AL533" s="78"/>
      <c r="AM533" s="78"/>
      <c r="AN533" s="78"/>
      <c r="AO533" s="78"/>
      <c r="AP533" s="1352" t="str">
        <f>SUBSTITUTE(SUBSTITUTE(SUBSTITUTE("dch"&amp;$B533&amp;$C533&amp;$D533&amp;$E533&amp;$F533,".","_"),"(","_"),")","")</f>
        <v>dch705_2_4</v>
      </c>
      <c r="AQ533" s="1352" t="str">
        <f>IF(LEN(W533)=0,"",W533)</f>
        <v/>
      </c>
      <c r="AR533" s="78"/>
      <c r="AS533" s="78"/>
    </row>
    <row r="534" spans="2:45" s="843" customFormat="1" ht="15" customHeight="1" thickBot="1" x14ac:dyDescent="0.25">
      <c r="B534" s="600" t="s">
        <v>4454</v>
      </c>
      <c r="C534" s="600"/>
      <c r="D534" s="600"/>
      <c r="E534" s="600"/>
      <c r="F534" s="23"/>
      <c r="G534" s="23"/>
      <c r="H534" s="691"/>
      <c r="I534" s="594"/>
      <c r="J534" s="594"/>
      <c r="K534" s="594"/>
      <c r="L534" s="1738"/>
      <c r="M534" s="1627"/>
      <c r="N534" s="239"/>
      <c r="O534" s="1638"/>
      <c r="P534" s="100"/>
      <c r="Q534" s="100"/>
      <c r="R534" s="100"/>
      <c r="S534" s="100"/>
      <c r="T534" s="100"/>
      <c r="U534" s="100"/>
      <c r="V534" s="100"/>
      <c r="W534" s="982">
        <f>AY24</f>
        <v>20128</v>
      </c>
      <c r="X534" s="1602"/>
      <c r="AL534" s="78"/>
      <c r="AM534" s="78"/>
      <c r="AN534" s="78"/>
      <c r="AO534" s="78"/>
      <c r="AP534" s="78"/>
      <c r="AQ534" s="78"/>
      <c r="AR534" s="78"/>
      <c r="AS534" s="78"/>
    </row>
    <row r="535" spans="2:45" s="843" customFormat="1" ht="15" customHeight="1" thickTop="1" thickBot="1" x14ac:dyDescent="0.25">
      <c r="B535" s="600">
        <v>705.3</v>
      </c>
      <c r="C535" s="600"/>
      <c r="D535" s="600"/>
      <c r="E535" s="600"/>
      <c r="F535" s="23"/>
      <c r="G535" s="23"/>
      <c r="H535" s="691"/>
      <c r="I535" s="605" t="s">
        <v>4280</v>
      </c>
      <c r="J535" s="605"/>
      <c r="K535" s="605"/>
      <c r="L535" s="1101" t="s">
        <v>4281</v>
      </c>
      <c r="M535" s="1102">
        <v>1</v>
      </c>
      <c r="N535" s="1103"/>
      <c r="O535" s="1104">
        <f ca="1">M535*S535*W535</f>
        <v>0</v>
      </c>
      <c r="P535" s="118" t="b">
        <v>0</v>
      </c>
      <c r="Q535" s="118" t="b">
        <v>1</v>
      </c>
      <c r="R535" s="118" t="b">
        <v>0</v>
      </c>
      <c r="S535" s="118" t="b">
        <f ca="1">S11=2</f>
        <v>0</v>
      </c>
      <c r="T535" s="118" t="b">
        <v>0</v>
      </c>
      <c r="U535" s="118"/>
      <c r="V535" s="118"/>
      <c r="W535" s="120"/>
      <c r="X535" s="128"/>
      <c r="AC535" s="881" t="b">
        <f>OR(AD535:AE535)</f>
        <v>0</v>
      </c>
      <c r="AD535" s="881" t="b">
        <f>T535</f>
        <v>0</v>
      </c>
      <c r="AE535" s="881" t="b">
        <f>AND(R535,NOT(W535))</f>
        <v>0</v>
      </c>
      <c r="AL535" s="1352" t="str">
        <f>SUBSTITUTE(SUBSTITUTE(SUBSTITUTE("dpa"&amp;$B535&amp;$C535&amp;$D535&amp;$E535&amp;$F535,".","_"),"(","_"),")","")</f>
        <v>dpa705_3</v>
      </c>
      <c r="AM535" s="1352">
        <f>M535</f>
        <v>1</v>
      </c>
      <c r="AN535" s="1352" t="str">
        <f>SUBSTITUTE(SUBSTITUTE(SUBSTITUTE("dpc"&amp;$B535&amp;$C535&amp;$D535&amp;$E535&amp;$F535,".","_"),"(","_"),")","")</f>
        <v>dpc705_3</v>
      </c>
      <c r="AO535" s="1352">
        <f ca="1">O535</f>
        <v>0</v>
      </c>
      <c r="AP535" s="1352" t="str">
        <f>SUBSTITUTE(SUBSTITUTE(SUBSTITUTE("dch"&amp;$B535&amp;$C535&amp;$D535&amp;$E535&amp;$F535,".","_"),"(","_"),")","")</f>
        <v>dch705_3</v>
      </c>
      <c r="AQ535" s="1352" t="str">
        <f>IF(LEN(W535)=0,"",W535)</f>
        <v/>
      </c>
      <c r="AR535" s="1352" t="str">
        <f>SUBSTITUTE(SUBSTITUTE(SUBSTITUTE("dnt"&amp;$B535&amp;$C535&amp;$D535&amp;$E535&amp;$F535,".","_"),"(","_"),")","")</f>
        <v>dnt705_3</v>
      </c>
      <c r="AS535" s="1352" t="str">
        <f>IF(LEN(X535)=0,"",X535)</f>
        <v/>
      </c>
    </row>
    <row r="536" spans="2:45" s="843" customFormat="1" ht="15" customHeight="1" thickTop="1" x14ac:dyDescent="0.2">
      <c r="B536" s="600">
        <v>705.4</v>
      </c>
      <c r="C536" s="600"/>
      <c r="D536" s="600"/>
      <c r="E536" s="600"/>
      <c r="F536" s="23"/>
      <c r="G536" s="23"/>
      <c r="H536" s="691"/>
      <c r="I536" s="603" t="s">
        <v>4282</v>
      </c>
      <c r="J536" s="603"/>
      <c r="K536" s="603"/>
      <c r="L536" s="1740" t="s">
        <v>4283</v>
      </c>
      <c r="M536" s="1685">
        <v>2</v>
      </c>
      <c r="N536" s="178"/>
      <c r="O536" s="1682">
        <f ca="1">M536*S536*W536</f>
        <v>0</v>
      </c>
      <c r="P536" s="106" t="b">
        <v>1</v>
      </c>
      <c r="Q536" s="106" t="b">
        <v>1</v>
      </c>
      <c r="R536" s="106" t="b">
        <v>0</v>
      </c>
      <c r="S536" s="106" t="b">
        <f ca="1">S11=2</f>
        <v>0</v>
      </c>
      <c r="T536" s="106" t="b">
        <v>0</v>
      </c>
      <c r="U536" s="106"/>
      <c r="V536" s="106"/>
      <c r="W536" s="334"/>
      <c r="X536" s="1603"/>
      <c r="AC536" s="881" t="b">
        <f>OR(AD536:AE536)</f>
        <v>0</v>
      </c>
      <c r="AD536" s="881" t="b">
        <f>T536</f>
        <v>0</v>
      </c>
      <c r="AE536" s="881" t="b">
        <f>AND(R536,NOT(W536))</f>
        <v>0</v>
      </c>
      <c r="AL536" s="1352" t="str">
        <f>SUBSTITUTE(SUBSTITUTE(SUBSTITUTE("dpa"&amp;$B536&amp;$C536&amp;$D536&amp;$E536&amp;$F536,".","_"),"(","_"),")","")</f>
        <v>dpa705_4</v>
      </c>
      <c r="AM536" s="1352">
        <f>M536</f>
        <v>2</v>
      </c>
      <c r="AN536" s="1352" t="str">
        <f>SUBSTITUTE(SUBSTITUTE(SUBSTITUTE("dpc"&amp;$B536&amp;$C536&amp;$D536&amp;$E536&amp;$F536,".","_"),"(","_"),")","")</f>
        <v>dpc705_4</v>
      </c>
      <c r="AO536" s="1352">
        <f ca="1">O536</f>
        <v>0</v>
      </c>
      <c r="AP536" s="1352" t="str">
        <f>SUBSTITUTE(SUBSTITUTE(SUBSTITUTE("dch"&amp;$B536&amp;$C536&amp;$D536&amp;$E536&amp;$F536,".","_"),"(","_"),")","")</f>
        <v>dch705_4</v>
      </c>
      <c r="AQ536" s="1352" t="str">
        <f>IF(LEN(W536)=0,"",W536)</f>
        <v/>
      </c>
      <c r="AR536" s="1352" t="str">
        <f>SUBSTITUTE(SUBSTITUTE(SUBSTITUTE("dnt"&amp;$B536&amp;$C536&amp;$D536&amp;$E536&amp;$F536,".","_"),"(","_"),")","")</f>
        <v>dnt705_4</v>
      </c>
      <c r="AS536" s="1352" t="str">
        <f>IF(LEN(X536)=0,"",X536)</f>
        <v/>
      </c>
    </row>
    <row r="537" spans="2:45" s="843" customFormat="1" ht="15" customHeight="1" x14ac:dyDescent="0.2">
      <c r="B537" s="600">
        <v>705.4</v>
      </c>
      <c r="C537" s="600"/>
      <c r="D537" s="600"/>
      <c r="E537" s="600"/>
      <c r="F537" s="23"/>
      <c r="G537" s="23"/>
      <c r="H537" s="691"/>
      <c r="I537" s="590"/>
      <c r="J537" s="590"/>
      <c r="K537" s="590"/>
      <c r="L537" s="1687"/>
      <c r="M537" s="1623"/>
      <c r="N537" s="129"/>
      <c r="O537" s="1619"/>
      <c r="P537" s="991"/>
      <c r="Q537" s="991"/>
      <c r="R537" s="991"/>
      <c r="S537" s="991"/>
      <c r="T537" s="991"/>
      <c r="U537" s="991"/>
      <c r="V537" s="991"/>
      <c r="W537" s="991"/>
      <c r="X537" s="1601"/>
      <c r="AL537" s="78"/>
      <c r="AM537" s="78"/>
      <c r="AN537" s="78"/>
      <c r="AO537" s="78"/>
      <c r="AP537" s="78"/>
      <c r="AQ537" s="78"/>
      <c r="AR537" s="78"/>
      <c r="AS537" s="78"/>
    </row>
    <row r="538" spans="2:45" s="843" customFormat="1" ht="15" customHeight="1" thickBot="1" x14ac:dyDescent="0.25">
      <c r="B538" s="600">
        <v>705.4</v>
      </c>
      <c r="C538" s="600"/>
      <c r="D538" s="600"/>
      <c r="E538" s="600"/>
      <c r="F538" s="23"/>
      <c r="G538" s="23"/>
      <c r="H538" s="691"/>
      <c r="I538" s="594"/>
      <c r="J538" s="594"/>
      <c r="K538" s="594"/>
      <c r="L538" s="1738"/>
      <c r="M538" s="1627"/>
      <c r="N538" s="239"/>
      <c r="O538" s="1638"/>
      <c r="P538" s="100"/>
      <c r="Q538" s="100"/>
      <c r="R538" s="100"/>
      <c r="S538" s="100"/>
      <c r="T538" s="100"/>
      <c r="U538" s="100"/>
      <c r="V538" s="100"/>
      <c r="W538" s="100"/>
      <c r="X538" s="1602"/>
      <c r="AL538" s="78"/>
      <c r="AM538" s="78"/>
      <c r="AN538" s="78"/>
      <c r="AO538" s="78"/>
      <c r="AP538" s="78"/>
      <c r="AQ538" s="78"/>
      <c r="AR538" s="78"/>
      <c r="AS538" s="78"/>
    </row>
    <row r="539" spans="2:45" s="843" customFormat="1" ht="15" customHeight="1" thickTop="1" x14ac:dyDescent="0.2">
      <c r="B539" s="600">
        <v>705.5</v>
      </c>
      <c r="C539" s="600"/>
      <c r="D539" s="600"/>
      <c r="E539" s="600"/>
      <c r="F539" s="23"/>
      <c r="G539" s="23"/>
      <c r="H539" s="691"/>
      <c r="I539" s="589" t="s">
        <v>4284</v>
      </c>
      <c r="J539" s="589"/>
      <c r="K539" s="589"/>
      <c r="L539" s="869" t="s">
        <v>4285</v>
      </c>
      <c r="M539" s="96"/>
      <c r="N539" s="96"/>
      <c r="O539" s="96"/>
      <c r="P539" s="96"/>
      <c r="Q539" s="96"/>
      <c r="R539" s="96"/>
      <c r="S539" s="96"/>
      <c r="T539" s="96"/>
      <c r="AL539" s="78"/>
      <c r="AM539" s="78"/>
      <c r="AN539" s="78"/>
      <c r="AO539" s="78"/>
      <c r="AP539" s="78"/>
      <c r="AQ539" s="78"/>
      <c r="AR539" s="78"/>
      <c r="AS539" s="78"/>
    </row>
    <row r="540" spans="2:45" s="843" customFormat="1" ht="15" customHeight="1" x14ac:dyDescent="0.2">
      <c r="B540" s="600" t="s">
        <v>4455</v>
      </c>
      <c r="C540" s="600"/>
      <c r="D540" s="600"/>
      <c r="E540" s="600"/>
      <c r="F540" s="23"/>
      <c r="G540" s="23"/>
      <c r="H540" s="691"/>
      <c r="I540" s="589" t="s">
        <v>4286</v>
      </c>
      <c r="J540" s="589"/>
      <c r="K540" s="589"/>
      <c r="L540" s="869" t="s">
        <v>4287</v>
      </c>
      <c r="M540" s="96"/>
      <c r="N540" s="96"/>
      <c r="O540" s="96"/>
      <c r="P540" s="96"/>
      <c r="Q540" s="96"/>
      <c r="R540" s="96"/>
      <c r="S540" s="96"/>
      <c r="T540" s="96"/>
      <c r="AL540" s="78"/>
      <c r="AM540" s="78"/>
      <c r="AN540" s="78"/>
      <c r="AO540" s="78"/>
      <c r="AP540" s="78"/>
      <c r="AQ540" s="78"/>
      <c r="AR540" s="78"/>
      <c r="AS540" s="78"/>
    </row>
    <row r="541" spans="2:45" s="843" customFormat="1" ht="15" customHeight="1" x14ac:dyDescent="0.2">
      <c r="B541" s="600" t="s">
        <v>4455</v>
      </c>
      <c r="C541" s="600" t="s">
        <v>254</v>
      </c>
      <c r="D541" s="600"/>
      <c r="E541" s="600"/>
      <c r="F541" s="23"/>
      <c r="G541" s="23"/>
      <c r="H541" s="691"/>
      <c r="I541" s="589"/>
      <c r="J541" s="590" t="s">
        <v>254</v>
      </c>
      <c r="K541" s="590"/>
      <c r="L541" s="1634" t="s">
        <v>4288</v>
      </c>
      <c r="M541" s="1623">
        <v>1</v>
      </c>
      <c r="N541" s="991"/>
      <c r="O541" s="1619">
        <f ca="1">M541*S541*W541</f>
        <v>0</v>
      </c>
      <c r="P541" s="96" t="b">
        <v>1</v>
      </c>
      <c r="Q541" s="96" t="b">
        <v>1</v>
      </c>
      <c r="R541" s="96" t="b">
        <v>0</v>
      </c>
      <c r="S541" s="96" t="b">
        <f ca="1">S11=2</f>
        <v>0</v>
      </c>
      <c r="T541" s="96" t="b">
        <v>0</v>
      </c>
      <c r="W541" s="27"/>
      <c r="X541" s="1600"/>
      <c r="AC541" s="881" t="b">
        <f>OR(AD541:AE541)</f>
        <v>0</v>
      </c>
      <c r="AD541" s="881" t="b">
        <f>T541</f>
        <v>0</v>
      </c>
      <c r="AE541" s="881" t="b">
        <f>AND(R541,NOT(W541))</f>
        <v>0</v>
      </c>
      <c r="AL541" s="1352" t="str">
        <f>SUBSTITUTE(SUBSTITUTE(SUBSTITUTE("dpa"&amp;$B541&amp;$C541&amp;$D541&amp;$E541&amp;$F541,".","_"),"(","_"),")","")</f>
        <v>dpa705_5_1_1</v>
      </c>
      <c r="AM541" s="1352">
        <f>M541</f>
        <v>1</v>
      </c>
      <c r="AN541" s="1352" t="str">
        <f>SUBSTITUTE(SUBSTITUTE(SUBSTITUTE("dpc"&amp;$B541&amp;$C541&amp;$D541&amp;$E541&amp;$F541,".","_"),"(","_"),")","")</f>
        <v>dpc705_5_1_1</v>
      </c>
      <c r="AO541" s="1352">
        <f ca="1">O541</f>
        <v>0</v>
      </c>
      <c r="AP541" s="1352" t="str">
        <f>SUBSTITUTE(SUBSTITUTE(SUBSTITUTE("dch"&amp;$B541&amp;$C541&amp;$D541&amp;$E541&amp;$F541,".","_"),"(","_"),")","")</f>
        <v>dch705_5_1_1</v>
      </c>
      <c r="AQ541" s="1352" t="str">
        <f>IF(LEN(W541)=0,"",W541)</f>
        <v/>
      </c>
      <c r="AR541" s="1352" t="str">
        <f>SUBSTITUTE(SUBSTITUTE(SUBSTITUTE("dnt"&amp;$B541&amp;$C541&amp;$D541&amp;$E541&amp;$F541,".","_"),"(","_"),")","")</f>
        <v>dnt705_5_1_1</v>
      </c>
      <c r="AS541" s="1352" t="str">
        <f>IF(LEN(X541)=0,"",X541)</f>
        <v/>
      </c>
    </row>
    <row r="542" spans="2:45" s="843" customFormat="1" ht="15" customHeight="1" x14ac:dyDescent="0.2">
      <c r="B542" s="600" t="s">
        <v>4455</v>
      </c>
      <c r="C542" s="600" t="s">
        <v>254</v>
      </c>
      <c r="D542" s="600"/>
      <c r="E542" s="600"/>
      <c r="F542" s="23"/>
      <c r="G542" s="23"/>
      <c r="H542" s="691"/>
      <c r="I542" s="589"/>
      <c r="J542" s="590"/>
      <c r="K542" s="590"/>
      <c r="L542" s="1634"/>
      <c r="M542" s="1623"/>
      <c r="N542" s="991"/>
      <c r="O542" s="1619"/>
      <c r="P542" s="96"/>
      <c r="Q542" s="96"/>
      <c r="R542" s="96"/>
      <c r="S542" s="96"/>
      <c r="T542" s="96"/>
      <c r="X542" s="1600"/>
      <c r="AL542" s="78"/>
      <c r="AM542" s="78"/>
      <c r="AN542" s="78"/>
      <c r="AO542" s="78"/>
      <c r="AP542" s="78"/>
      <c r="AQ542" s="78"/>
      <c r="AR542" s="78"/>
      <c r="AS542" s="78"/>
    </row>
    <row r="543" spans="2:45" s="843" customFormat="1" ht="15" customHeight="1" x14ac:dyDescent="0.2">
      <c r="B543" s="600" t="s">
        <v>4455</v>
      </c>
      <c r="C543" s="600" t="s">
        <v>254</v>
      </c>
      <c r="D543" s="600"/>
      <c r="E543" s="600"/>
      <c r="F543" s="23"/>
      <c r="G543" s="23"/>
      <c r="H543" s="691"/>
      <c r="I543" s="589"/>
      <c r="J543" s="606"/>
      <c r="K543" s="606"/>
      <c r="L543" s="1639"/>
      <c r="M543" s="1624"/>
      <c r="N543" s="173"/>
      <c r="O543" s="1620"/>
      <c r="P543" s="96"/>
      <c r="Q543" s="96"/>
      <c r="R543" s="96"/>
      <c r="S543" s="96"/>
      <c r="T543" s="96"/>
      <c r="X543" s="1600"/>
      <c r="AL543" s="78"/>
      <c r="AM543" s="78"/>
      <c r="AN543" s="78"/>
      <c r="AO543" s="78"/>
      <c r="AP543" s="78"/>
      <c r="AQ543" s="78"/>
      <c r="AR543" s="78"/>
      <c r="AS543" s="78"/>
    </row>
    <row r="544" spans="2:45" s="843" customFormat="1" ht="15" customHeight="1" x14ac:dyDescent="0.2">
      <c r="B544" s="600" t="s">
        <v>4455</v>
      </c>
      <c r="C544" s="600" t="s">
        <v>255</v>
      </c>
      <c r="D544" s="600"/>
      <c r="E544" s="600"/>
      <c r="F544" s="23"/>
      <c r="G544" s="23"/>
      <c r="H544" s="691"/>
      <c r="I544" s="590"/>
      <c r="J544" s="590" t="s">
        <v>255</v>
      </c>
      <c r="K544" s="590"/>
      <c r="L544" s="1634" t="s">
        <v>4289</v>
      </c>
      <c r="M544" s="1623">
        <v>1</v>
      </c>
      <c r="N544" s="991"/>
      <c r="O544" s="1619">
        <f ca="1">M544*S544*W544</f>
        <v>0</v>
      </c>
      <c r="P544" s="96" t="b">
        <v>1</v>
      </c>
      <c r="Q544" s="96" t="b">
        <v>1</v>
      </c>
      <c r="R544" s="96" t="b">
        <v>0</v>
      </c>
      <c r="S544" s="96" t="b">
        <f ca="1">S11=2</f>
        <v>0</v>
      </c>
      <c r="T544" s="96" t="b">
        <v>0</v>
      </c>
      <c r="W544" s="27"/>
      <c r="X544" s="1600"/>
      <c r="AC544" s="881" t="b">
        <f>OR(AD544:AE544)</f>
        <v>0</v>
      </c>
      <c r="AD544" s="881" t="b">
        <f>T544</f>
        <v>0</v>
      </c>
      <c r="AE544" s="881" t="b">
        <f>AND(R544,NOT(W544))</f>
        <v>0</v>
      </c>
      <c r="AL544" s="1352" t="str">
        <f>SUBSTITUTE(SUBSTITUTE(SUBSTITUTE("dpa"&amp;$B544&amp;$C544&amp;$D544&amp;$E544&amp;$F544,".","_"),"(","_"),")","")</f>
        <v>dpa705_5_1_2</v>
      </c>
      <c r="AM544" s="1352">
        <f>M544</f>
        <v>1</v>
      </c>
      <c r="AN544" s="1352" t="str">
        <f>SUBSTITUTE(SUBSTITUTE(SUBSTITUTE("dpc"&amp;$B544&amp;$C544&amp;$D544&amp;$E544&amp;$F544,".","_"),"(","_"),")","")</f>
        <v>dpc705_5_1_2</v>
      </c>
      <c r="AO544" s="1352">
        <f ca="1">O544</f>
        <v>0</v>
      </c>
      <c r="AP544" s="1352" t="str">
        <f>SUBSTITUTE(SUBSTITUTE(SUBSTITUTE("dch"&amp;$B544&amp;$C544&amp;$D544&amp;$E544&amp;$F544,".","_"),"(","_"),")","")</f>
        <v>dch705_5_1_2</v>
      </c>
      <c r="AQ544" s="1352" t="str">
        <f>IF(LEN(W544)=0,"",W544)</f>
        <v/>
      </c>
      <c r="AR544" s="1352" t="str">
        <f>SUBSTITUTE(SUBSTITUTE(SUBSTITUTE("dnt"&amp;$B544&amp;$C544&amp;$D544&amp;$E544&amp;$F544,".","_"),"(","_"),")","")</f>
        <v>dnt705_5_1_2</v>
      </c>
      <c r="AS544" s="1352" t="str">
        <f>IF(LEN(X544)=0,"",X544)</f>
        <v/>
      </c>
    </row>
    <row r="545" spans="2:45" s="843" customFormat="1" ht="15" customHeight="1" x14ac:dyDescent="0.2">
      <c r="B545" s="600" t="s">
        <v>4455</v>
      </c>
      <c r="C545" s="600" t="s">
        <v>255</v>
      </c>
      <c r="D545" s="600"/>
      <c r="E545" s="600"/>
      <c r="F545" s="23"/>
      <c r="G545" s="23"/>
      <c r="H545" s="691"/>
      <c r="I545" s="606"/>
      <c r="J545" s="606"/>
      <c r="K545" s="606"/>
      <c r="L545" s="1639"/>
      <c r="M545" s="1624"/>
      <c r="N545" s="173"/>
      <c r="O545" s="1620"/>
      <c r="P545" s="96"/>
      <c r="Q545" s="96"/>
      <c r="R545" s="96"/>
      <c r="S545" s="96"/>
      <c r="T545" s="96"/>
      <c r="X545" s="1600"/>
      <c r="AL545" s="78"/>
      <c r="AM545" s="78"/>
      <c r="AN545" s="78"/>
      <c r="AO545" s="78"/>
      <c r="AP545" s="78"/>
      <c r="AQ545" s="78"/>
      <c r="AR545" s="78"/>
      <c r="AS545" s="78"/>
    </row>
    <row r="546" spans="2:45" s="843" customFormat="1" ht="15" customHeight="1" x14ac:dyDescent="0.2">
      <c r="B546" s="600" t="s">
        <v>4456</v>
      </c>
      <c r="C546" s="600"/>
      <c r="D546" s="600"/>
      <c r="E546" s="600"/>
      <c r="F546" s="23"/>
      <c r="G546" s="23"/>
      <c r="H546" s="691"/>
      <c r="I546" s="589" t="s">
        <v>4290</v>
      </c>
      <c r="J546" s="589"/>
      <c r="K546" s="589"/>
      <c r="L546" s="1687" t="s">
        <v>4291</v>
      </c>
      <c r="M546" s="1623">
        <v>3</v>
      </c>
      <c r="N546" s="129"/>
      <c r="O546" s="1619">
        <f ca="1">M546*S546*W546</f>
        <v>0</v>
      </c>
      <c r="P546" s="96" t="b">
        <v>0</v>
      </c>
      <c r="Q546" s="96" t="b">
        <v>1</v>
      </c>
      <c r="R546" s="96" t="b">
        <v>0</v>
      </c>
      <c r="S546" s="96" t="b">
        <f ca="1">S11=2</f>
        <v>0</v>
      </c>
      <c r="T546" s="96" t="b">
        <v>0</v>
      </c>
      <c r="W546" s="27"/>
      <c r="X546" s="1600"/>
      <c r="AC546" s="881" t="b">
        <f>OR(AD546:AE546)</f>
        <v>0</v>
      </c>
      <c r="AD546" s="881" t="b">
        <f>T546</f>
        <v>0</v>
      </c>
      <c r="AE546" s="881" t="b">
        <f>AND(R546,NOT(W546))</f>
        <v>0</v>
      </c>
      <c r="AL546" s="1352" t="str">
        <f>SUBSTITUTE(SUBSTITUTE(SUBSTITUTE("dpa"&amp;$B546&amp;$C546&amp;$D546&amp;$E546&amp;$F546,".","_"),"(","_"),")","")</f>
        <v>dpa705_5_2</v>
      </c>
      <c r="AM546" s="1352">
        <f>M546</f>
        <v>3</v>
      </c>
      <c r="AN546" s="1352" t="str">
        <f>SUBSTITUTE(SUBSTITUTE(SUBSTITUTE("dpc"&amp;$B546&amp;$C546&amp;$D546&amp;$E546&amp;$F546,".","_"),"(","_"),")","")</f>
        <v>dpc705_5_2</v>
      </c>
      <c r="AO546" s="1352">
        <f ca="1">O546</f>
        <v>0</v>
      </c>
      <c r="AP546" s="1352" t="str">
        <f>SUBSTITUTE(SUBSTITUTE(SUBSTITUTE("dch"&amp;$B546&amp;$C546&amp;$D546&amp;$E546&amp;$F546,".","_"),"(","_"),")","")</f>
        <v>dch705_5_2</v>
      </c>
      <c r="AQ546" s="1352" t="str">
        <f>IF(LEN(W546)=0,"",W546)</f>
        <v/>
      </c>
      <c r="AR546" s="1352" t="str">
        <f>SUBSTITUTE(SUBSTITUTE(SUBSTITUTE("dnt"&amp;$B546&amp;$C546&amp;$D546&amp;$E546&amp;$F546,".","_"),"(","_"),")","")</f>
        <v>dnt705_5_2</v>
      </c>
      <c r="AS546" s="1352" t="str">
        <f>IF(LEN(X546)=0,"",X546)</f>
        <v/>
      </c>
    </row>
    <row r="547" spans="2:45" s="843" customFormat="1" ht="15" customHeight="1" x14ac:dyDescent="0.2">
      <c r="B547" s="600" t="s">
        <v>4456</v>
      </c>
      <c r="C547" s="600"/>
      <c r="D547" s="600"/>
      <c r="E547" s="600"/>
      <c r="F547" s="23"/>
      <c r="G547" s="23"/>
      <c r="H547" s="691"/>
      <c r="I547" s="589"/>
      <c r="J547" s="589"/>
      <c r="K547" s="589"/>
      <c r="L547" s="1687"/>
      <c r="M547" s="1623"/>
      <c r="N547" s="129"/>
      <c r="O547" s="1619"/>
      <c r="P547" s="96"/>
      <c r="Q547" s="96"/>
      <c r="R547" s="96"/>
      <c r="S547" s="96"/>
      <c r="T547" s="96"/>
      <c r="X547" s="1600"/>
      <c r="AL547" s="78"/>
      <c r="AM547" s="78"/>
      <c r="AN547" s="78"/>
      <c r="AO547" s="78"/>
      <c r="AP547" s="78"/>
      <c r="AQ547" s="78"/>
      <c r="AR547" s="78"/>
      <c r="AS547" s="78"/>
    </row>
    <row r="548" spans="2:45" s="843" customFormat="1" ht="15" customHeight="1" x14ac:dyDescent="0.2">
      <c r="B548" s="600" t="s">
        <v>4456</v>
      </c>
      <c r="C548" s="600" t="s">
        <v>254</v>
      </c>
      <c r="D548" s="600"/>
      <c r="E548" s="600"/>
      <c r="F548" s="23"/>
      <c r="G548" s="23"/>
      <c r="H548" s="691"/>
      <c r="I548" s="589"/>
      <c r="J548" s="606" t="s">
        <v>254</v>
      </c>
      <c r="K548" s="606"/>
      <c r="L548" s="923" t="s">
        <v>4292</v>
      </c>
      <c r="M548" s="96"/>
      <c r="N548" s="96"/>
      <c r="O548" s="96"/>
      <c r="P548" s="96"/>
      <c r="Q548" s="96"/>
      <c r="R548" s="96"/>
      <c r="S548" s="96"/>
      <c r="T548" s="96"/>
      <c r="X548" s="889"/>
      <c r="AL548" s="78"/>
      <c r="AM548" s="78"/>
      <c r="AN548" s="78"/>
      <c r="AO548" s="78"/>
      <c r="AP548" s="78"/>
      <c r="AQ548" s="78"/>
      <c r="AR548" s="1352" t="str">
        <f t="shared" ref="AR548:AR553" si="25">SUBSTITUTE(SUBSTITUTE(SUBSTITUTE("dnt"&amp;$B548&amp;$C548&amp;$D548&amp;$E548&amp;$F548,".","_"),"(","_"),")","")</f>
        <v>dnt705_5_2_1</v>
      </c>
      <c r="AS548" s="1352" t="str">
        <f t="shared" ref="AS548:AS553" si="26">IF(LEN(X548)=0,"",X548)</f>
        <v/>
      </c>
    </row>
    <row r="549" spans="2:45" s="843" customFormat="1" ht="15" customHeight="1" x14ac:dyDescent="0.2">
      <c r="B549" s="600" t="s">
        <v>4456</v>
      </c>
      <c r="C549" s="600" t="s">
        <v>255</v>
      </c>
      <c r="D549" s="600"/>
      <c r="E549" s="600"/>
      <c r="F549" s="23"/>
      <c r="G549" s="23"/>
      <c r="H549" s="691"/>
      <c r="I549" s="589"/>
      <c r="J549" s="607" t="s">
        <v>255</v>
      </c>
      <c r="K549" s="607"/>
      <c r="L549" s="1075" t="s">
        <v>4293</v>
      </c>
      <c r="M549" s="96"/>
      <c r="N549" s="96"/>
      <c r="O549" s="96"/>
      <c r="P549" s="96"/>
      <c r="Q549" s="96"/>
      <c r="R549" s="96"/>
      <c r="S549" s="96"/>
      <c r="T549" s="96"/>
      <c r="X549" s="889"/>
      <c r="AL549" s="78"/>
      <c r="AM549" s="78"/>
      <c r="AN549" s="78"/>
      <c r="AO549" s="78"/>
      <c r="AP549" s="78"/>
      <c r="AQ549" s="78"/>
      <c r="AR549" s="1352" t="str">
        <f t="shared" si="25"/>
        <v>dnt705_5_2_2</v>
      </c>
      <c r="AS549" s="1352" t="str">
        <f t="shared" si="26"/>
        <v/>
      </c>
    </row>
    <row r="550" spans="2:45" s="843" customFormat="1" ht="15" customHeight="1" x14ac:dyDescent="0.2">
      <c r="B550" s="600" t="s">
        <v>4456</v>
      </c>
      <c r="C550" s="600" t="s">
        <v>256</v>
      </c>
      <c r="D550" s="600"/>
      <c r="E550" s="600"/>
      <c r="F550" s="23"/>
      <c r="G550" s="23"/>
      <c r="H550" s="691"/>
      <c r="I550" s="589"/>
      <c r="J550" s="607" t="s">
        <v>256</v>
      </c>
      <c r="K550" s="607"/>
      <c r="L550" s="1075" t="s">
        <v>4294</v>
      </c>
      <c r="M550" s="96"/>
      <c r="N550" s="96"/>
      <c r="O550" s="96"/>
      <c r="P550" s="96"/>
      <c r="Q550" s="96"/>
      <c r="R550" s="96"/>
      <c r="S550" s="96"/>
      <c r="T550" s="96"/>
      <c r="X550" s="889"/>
      <c r="AL550" s="78"/>
      <c r="AM550" s="78"/>
      <c r="AN550" s="78"/>
      <c r="AO550" s="78"/>
      <c r="AP550" s="78"/>
      <c r="AQ550" s="78"/>
      <c r="AR550" s="1352" t="str">
        <f t="shared" si="25"/>
        <v>dnt705_5_2_3</v>
      </c>
      <c r="AS550" s="1352" t="str">
        <f t="shared" si="26"/>
        <v/>
      </c>
    </row>
    <row r="551" spans="2:45" s="843" customFormat="1" ht="15" customHeight="1" x14ac:dyDescent="0.2">
      <c r="B551" s="600" t="s">
        <v>4456</v>
      </c>
      <c r="C551" s="600" t="s">
        <v>259</v>
      </c>
      <c r="D551" s="600"/>
      <c r="E551" s="600"/>
      <c r="F551" s="23"/>
      <c r="G551" s="23"/>
      <c r="H551" s="691"/>
      <c r="I551" s="589"/>
      <c r="J551" s="607" t="s">
        <v>259</v>
      </c>
      <c r="K551" s="607"/>
      <c r="L551" s="1075" t="s">
        <v>4295</v>
      </c>
      <c r="M551" s="96"/>
      <c r="N551" s="96"/>
      <c r="O551" s="96"/>
      <c r="P551" s="96"/>
      <c r="Q551" s="96"/>
      <c r="R551" s="96"/>
      <c r="S551" s="96"/>
      <c r="T551" s="96"/>
      <c r="X551" s="889"/>
      <c r="AL551" s="78"/>
      <c r="AM551" s="78"/>
      <c r="AN551" s="78"/>
      <c r="AO551" s="78"/>
      <c r="AP551" s="78"/>
      <c r="AQ551" s="78"/>
      <c r="AR551" s="1352" t="str">
        <f t="shared" si="25"/>
        <v>dnt705_5_2_4</v>
      </c>
      <c r="AS551" s="1352" t="str">
        <f t="shared" si="26"/>
        <v/>
      </c>
    </row>
    <row r="552" spans="2:45" s="843" customFormat="1" ht="15" customHeight="1" x14ac:dyDescent="0.2">
      <c r="B552" s="600" t="s">
        <v>4456</v>
      </c>
      <c r="C552" s="600" t="s">
        <v>263</v>
      </c>
      <c r="D552" s="600"/>
      <c r="E552" s="600"/>
      <c r="F552" s="23"/>
      <c r="G552" s="23"/>
      <c r="H552" s="691"/>
      <c r="I552" s="589"/>
      <c r="J552" s="607" t="s">
        <v>263</v>
      </c>
      <c r="K552" s="607"/>
      <c r="L552" s="1075" t="s">
        <v>4296</v>
      </c>
      <c r="M552" s="96"/>
      <c r="N552" s="96"/>
      <c r="O552" s="96"/>
      <c r="P552" s="96"/>
      <c r="Q552" s="96"/>
      <c r="R552" s="96"/>
      <c r="S552" s="96"/>
      <c r="T552" s="96"/>
      <c r="X552" s="889"/>
      <c r="AL552" s="78"/>
      <c r="AM552" s="78"/>
      <c r="AN552" s="78"/>
      <c r="AO552" s="78"/>
      <c r="AP552" s="78"/>
      <c r="AQ552" s="78"/>
      <c r="AR552" s="1352" t="str">
        <f t="shared" si="25"/>
        <v>dnt705_5_2_5</v>
      </c>
      <c r="AS552" s="1352" t="str">
        <f t="shared" si="26"/>
        <v/>
      </c>
    </row>
    <row r="553" spans="2:45" s="843" customFormat="1" ht="15" customHeight="1" x14ac:dyDescent="0.2">
      <c r="B553" s="600" t="s">
        <v>4456</v>
      </c>
      <c r="C553" s="600" t="s">
        <v>264</v>
      </c>
      <c r="D553" s="600"/>
      <c r="E553" s="600"/>
      <c r="F553" s="23"/>
      <c r="G553" s="23"/>
      <c r="H553" s="691"/>
      <c r="I553" s="606"/>
      <c r="J553" s="606" t="s">
        <v>264</v>
      </c>
      <c r="K553" s="606"/>
      <c r="L553" s="923" t="s">
        <v>4297</v>
      </c>
      <c r="M553" s="173"/>
      <c r="N553" s="173"/>
      <c r="O553" s="173"/>
      <c r="P553" s="173"/>
      <c r="Q553" s="173"/>
      <c r="R553" s="173"/>
      <c r="S553" s="173"/>
      <c r="T553" s="173"/>
      <c r="U553" s="173"/>
      <c r="V553" s="173"/>
      <c r="W553" s="818"/>
      <c r="X553" s="889"/>
      <c r="AL553" s="78"/>
      <c r="AM553" s="78"/>
      <c r="AN553" s="78"/>
      <c r="AO553" s="78"/>
      <c r="AP553" s="78"/>
      <c r="AQ553" s="78"/>
      <c r="AR553" s="1352" t="str">
        <f t="shared" si="25"/>
        <v>dnt705_5_2_6</v>
      </c>
      <c r="AS553" s="1352" t="str">
        <f t="shared" si="26"/>
        <v/>
      </c>
    </row>
    <row r="554" spans="2:45" s="843" customFormat="1" ht="15" customHeight="1" x14ac:dyDescent="0.2">
      <c r="B554" s="600" t="s">
        <v>4503</v>
      </c>
      <c r="C554" s="600"/>
      <c r="D554" s="600"/>
      <c r="E554" s="600"/>
      <c r="F554" s="23"/>
      <c r="G554" s="23"/>
      <c r="H554" s="691"/>
      <c r="I554" s="589" t="s">
        <v>4502</v>
      </c>
      <c r="J554" s="589"/>
      <c r="K554" s="589"/>
      <c r="L554" s="869" t="s">
        <v>4298</v>
      </c>
      <c r="M554" s="96"/>
      <c r="N554" s="96"/>
      <c r="O554" s="96"/>
      <c r="P554" s="96"/>
      <c r="Q554" s="96"/>
      <c r="R554" s="96"/>
      <c r="S554" s="96"/>
      <c r="T554" s="96"/>
      <c r="AL554" s="78"/>
      <c r="AM554" s="78"/>
      <c r="AN554" s="78"/>
      <c r="AO554" s="78"/>
      <c r="AP554" s="78"/>
      <c r="AQ554" s="78"/>
      <c r="AR554" s="78"/>
      <c r="AS554" s="78"/>
    </row>
    <row r="555" spans="2:45" s="843" customFormat="1" ht="15" customHeight="1" x14ac:dyDescent="0.2">
      <c r="B555" s="600" t="s">
        <v>4503</v>
      </c>
      <c r="C555" s="600" t="s">
        <v>254</v>
      </c>
      <c r="D555" s="600"/>
      <c r="E555" s="600"/>
      <c r="F555" s="23"/>
      <c r="G555" s="23"/>
      <c r="H555" s="691"/>
      <c r="I555" s="589"/>
      <c r="J555" s="590" t="s">
        <v>254</v>
      </c>
      <c r="K555" s="590"/>
      <c r="L555" s="1634" t="s">
        <v>4299</v>
      </c>
      <c r="M555" s="1623">
        <v>3</v>
      </c>
      <c r="N555" s="991"/>
      <c r="O555" s="1619">
        <f ca="1">M555*S555*W555</f>
        <v>0</v>
      </c>
      <c r="P555" s="96" t="b">
        <v>0</v>
      </c>
      <c r="Q555" s="96" t="b">
        <v>1</v>
      </c>
      <c r="R555" s="96" t="b">
        <v>0</v>
      </c>
      <c r="S555" s="96" t="b">
        <f ca="1">S11=2</f>
        <v>0</v>
      </c>
      <c r="T555" s="96" t="b">
        <v>0</v>
      </c>
      <c r="W555" s="27"/>
      <c r="X555" s="1600"/>
      <c r="AC555" s="881" t="b">
        <f>OR(AD555:AE555)</f>
        <v>0</v>
      </c>
      <c r="AD555" s="881" t="b">
        <f>T555</f>
        <v>0</v>
      </c>
      <c r="AE555" s="881" t="b">
        <f>AND(R555,NOT(W555))</f>
        <v>0</v>
      </c>
      <c r="AL555" s="1352" t="str">
        <f>SUBSTITUTE(SUBSTITUTE(SUBSTITUTE("dpa"&amp;$B555&amp;$C555&amp;$D555&amp;$E555&amp;$F555,".","_"),"(","_"),")","")</f>
        <v>dpa705_5_3_1</v>
      </c>
      <c r="AM555" s="1352">
        <f>M555</f>
        <v>3</v>
      </c>
      <c r="AN555" s="1352" t="str">
        <f>SUBSTITUTE(SUBSTITUTE(SUBSTITUTE("dpc"&amp;$B555&amp;$C555&amp;$D555&amp;$E555&amp;$F555,".","_"),"(","_"),")","")</f>
        <v>dpc705_5_3_1</v>
      </c>
      <c r="AO555" s="1352">
        <f ca="1">O555</f>
        <v>0</v>
      </c>
      <c r="AP555" s="1352" t="str">
        <f>SUBSTITUTE(SUBSTITUTE(SUBSTITUTE("dch"&amp;$B555&amp;$C555&amp;$D555&amp;$E555&amp;$F555,".","_"),"(","_"),")","")</f>
        <v>dch705_5_3_1</v>
      </c>
      <c r="AQ555" s="1352" t="str">
        <f>IF(LEN(W555)=0,"",W555)</f>
        <v/>
      </c>
      <c r="AR555" s="1352" t="str">
        <f>SUBSTITUTE(SUBSTITUTE(SUBSTITUTE("dnt"&amp;$B555&amp;$C555&amp;$D555&amp;$E555&amp;$F555,".","_"),"(","_"),")","")</f>
        <v>dnt705_5_3_1</v>
      </c>
      <c r="AS555" s="1352" t="str">
        <f>IF(LEN(X555)=0,"",X555)</f>
        <v/>
      </c>
    </row>
    <row r="556" spans="2:45" s="843" customFormat="1" ht="15" customHeight="1" x14ac:dyDescent="0.2">
      <c r="B556" s="600" t="s">
        <v>4503</v>
      </c>
      <c r="C556" s="600" t="s">
        <v>254</v>
      </c>
      <c r="D556" s="600"/>
      <c r="E556" s="600"/>
      <c r="F556" s="23"/>
      <c r="G556" s="23"/>
      <c r="H556" s="691"/>
      <c r="I556" s="589"/>
      <c r="J556" s="606"/>
      <c r="K556" s="606"/>
      <c r="L556" s="1639"/>
      <c r="M556" s="1624"/>
      <c r="N556" s="173"/>
      <c r="O556" s="1620"/>
      <c r="P556" s="96"/>
      <c r="Q556" s="96"/>
      <c r="R556" s="96"/>
      <c r="S556" s="96"/>
      <c r="T556" s="96"/>
      <c r="X556" s="1600"/>
      <c r="AL556" s="78"/>
      <c r="AM556" s="78"/>
      <c r="AN556" s="78"/>
      <c r="AO556" s="78"/>
      <c r="AP556" s="78"/>
      <c r="AQ556" s="78"/>
      <c r="AR556" s="78"/>
      <c r="AS556" s="78"/>
    </row>
    <row r="557" spans="2:45" s="843" customFormat="1" ht="15" customHeight="1" thickBot="1" x14ac:dyDescent="0.25">
      <c r="B557" s="600" t="s">
        <v>4503</v>
      </c>
      <c r="C557" s="600" t="s">
        <v>255</v>
      </c>
      <c r="D557" s="600"/>
      <c r="E557" s="600"/>
      <c r="F557" s="23"/>
      <c r="G557" s="23"/>
      <c r="H557" s="691"/>
      <c r="I557" s="594"/>
      <c r="J557" s="594" t="s">
        <v>255</v>
      </c>
      <c r="K557" s="594"/>
      <c r="L557" s="920" t="s">
        <v>4300</v>
      </c>
      <c r="M557" s="914">
        <v>3</v>
      </c>
      <c r="N557" s="100"/>
      <c r="O557" s="922">
        <f ca="1">M557*S557*W557</f>
        <v>0</v>
      </c>
      <c r="P557" s="100" t="b">
        <v>0</v>
      </c>
      <c r="Q557" s="100" t="b">
        <v>1</v>
      </c>
      <c r="R557" s="100" t="b">
        <v>0</v>
      </c>
      <c r="S557" s="100" t="b">
        <f ca="1">S11=2</f>
        <v>0</v>
      </c>
      <c r="T557" s="100" t="b">
        <v>0</v>
      </c>
      <c r="U557" s="100"/>
      <c r="V557" s="100"/>
      <c r="W557" s="101"/>
      <c r="X557" s="938"/>
      <c r="AC557" s="881" t="b">
        <f>OR(AD557:AE557)</f>
        <v>0</v>
      </c>
      <c r="AD557" s="881" t="b">
        <f>T557</f>
        <v>0</v>
      </c>
      <c r="AE557" s="881" t="b">
        <f>AND(R557,NOT(W557))</f>
        <v>0</v>
      </c>
      <c r="AL557" s="1352" t="str">
        <f>SUBSTITUTE(SUBSTITUTE(SUBSTITUTE("dpa"&amp;$B557&amp;$C557&amp;$D557&amp;$E557&amp;$F557,".","_"),"(","_"),")","")</f>
        <v>dpa705_5_3_2</v>
      </c>
      <c r="AM557" s="1352">
        <f>M557</f>
        <v>3</v>
      </c>
      <c r="AN557" s="1352" t="str">
        <f>SUBSTITUTE(SUBSTITUTE(SUBSTITUTE("dpc"&amp;$B557&amp;$C557&amp;$D557&amp;$E557&amp;$F557,".","_"),"(","_"),")","")</f>
        <v>dpc705_5_3_2</v>
      </c>
      <c r="AO557" s="1352">
        <f ca="1">O557</f>
        <v>0</v>
      </c>
      <c r="AP557" s="1352" t="str">
        <f>SUBSTITUTE(SUBSTITUTE(SUBSTITUTE("dch"&amp;$B557&amp;$C557&amp;$D557&amp;$E557&amp;$F557,".","_"),"(","_"),")","")</f>
        <v>dch705_5_3_2</v>
      </c>
      <c r="AQ557" s="1352" t="str">
        <f>IF(LEN(W557)=0,"",W557)</f>
        <v/>
      </c>
      <c r="AR557" s="78"/>
      <c r="AS557" s="78"/>
    </row>
    <row r="558" spans="2:45" s="843" customFormat="1" ht="15" customHeight="1" thickTop="1" x14ac:dyDescent="0.2">
      <c r="B558" s="600">
        <v>705.6</v>
      </c>
      <c r="C558" s="600"/>
      <c r="D558" s="600"/>
      <c r="E558" s="600"/>
      <c r="F558" s="23"/>
      <c r="G558" s="23"/>
      <c r="H558" s="691"/>
      <c r="I558" s="589" t="s">
        <v>4301</v>
      </c>
      <c r="J558" s="589"/>
      <c r="K558" s="589"/>
      <c r="L558" s="869" t="s">
        <v>4302</v>
      </c>
      <c r="M558" s="882"/>
      <c r="N558" s="96"/>
      <c r="O558" s="886"/>
      <c r="P558" s="96"/>
      <c r="Q558" s="96"/>
      <c r="R558" s="96"/>
      <c r="S558" s="96"/>
      <c r="T558" s="96"/>
      <c r="AL558" s="78"/>
      <c r="AM558" s="78"/>
      <c r="AN558" s="78"/>
      <c r="AO558" s="78"/>
      <c r="AP558" s="78"/>
      <c r="AQ558" s="78"/>
      <c r="AR558" s="78"/>
      <c r="AS558" s="78"/>
    </row>
    <row r="559" spans="2:45" s="843" customFormat="1" ht="15" customHeight="1" x14ac:dyDescent="0.2">
      <c r="B559" s="600" t="s">
        <v>4457</v>
      </c>
      <c r="C559" s="600"/>
      <c r="D559" s="600"/>
      <c r="E559" s="600"/>
      <c r="F559" s="23"/>
      <c r="G559" s="23"/>
      <c r="H559" s="691"/>
      <c r="I559" s="589" t="s">
        <v>4303</v>
      </c>
      <c r="J559" s="589"/>
      <c r="K559" s="589"/>
      <c r="L559" s="1687" t="s">
        <v>4304</v>
      </c>
      <c r="M559" s="1623">
        <v>3</v>
      </c>
      <c r="N559" s="129"/>
      <c r="O559" s="1619">
        <f ca="1">M559*S559</f>
        <v>0</v>
      </c>
      <c r="P559" s="96" t="b">
        <v>1</v>
      </c>
      <c r="Q559" s="96" t="b">
        <v>1</v>
      </c>
      <c r="R559" s="96" t="b">
        <v>0</v>
      </c>
      <c r="S559" s="96" t="b">
        <f ca="1">S11=2</f>
        <v>0</v>
      </c>
      <c r="T559" s="96" t="b">
        <v>0</v>
      </c>
      <c r="W559" s="1751" t="s">
        <v>4504</v>
      </c>
      <c r="X559" s="1600"/>
      <c r="AL559" s="1352" t="str">
        <f>SUBSTITUTE(SUBSTITUTE(SUBSTITUTE("dpa"&amp;$B559&amp;$C559&amp;$D559&amp;$E559&amp;$F559,".","_"),"(","_"),")","")</f>
        <v>dpa705_6_1</v>
      </c>
      <c r="AM559" s="1352">
        <f>M559</f>
        <v>3</v>
      </c>
      <c r="AN559" s="1352" t="str">
        <f>SUBSTITUTE(SUBSTITUTE(SUBSTITUTE("dpc"&amp;$B559&amp;$C559&amp;$D559&amp;$E559&amp;$F559,".","_"),"(","_"),")","")</f>
        <v>dpc705_6_1</v>
      </c>
      <c r="AO559" s="1352">
        <f ca="1">O559</f>
        <v>0</v>
      </c>
      <c r="AP559" s="1352"/>
      <c r="AQ559" s="1352"/>
      <c r="AR559" s="1352" t="str">
        <f>SUBSTITUTE(SUBSTITUTE(SUBSTITUTE("dnt"&amp;$B559&amp;$C559&amp;$D559&amp;$E559&amp;$F559,".","_"),"(","_"),")","")</f>
        <v>dnt705_6_1</v>
      </c>
      <c r="AS559" s="1352" t="str">
        <f>IF(LEN(X559)=0,"",X559)</f>
        <v/>
      </c>
    </row>
    <row r="560" spans="2:45" s="843" customFormat="1" ht="15" customHeight="1" x14ac:dyDescent="0.2">
      <c r="B560" s="600" t="s">
        <v>4457</v>
      </c>
      <c r="C560" s="600"/>
      <c r="D560" s="600"/>
      <c r="E560" s="600"/>
      <c r="F560" s="23"/>
      <c r="G560" s="23"/>
      <c r="H560" s="691"/>
      <c r="I560" s="589"/>
      <c r="J560" s="589"/>
      <c r="K560" s="589"/>
      <c r="L560" s="1687"/>
      <c r="M560" s="1623"/>
      <c r="N560" s="129"/>
      <c r="O560" s="1619"/>
      <c r="P560" s="96"/>
      <c r="Q560" s="96"/>
      <c r="R560" s="96"/>
      <c r="S560" s="96"/>
      <c r="T560" s="96"/>
      <c r="W560" s="1751"/>
      <c r="X560" s="1600"/>
      <c r="AL560" s="78"/>
      <c r="AM560" s="78"/>
      <c r="AN560" s="78"/>
      <c r="AO560" s="78"/>
      <c r="AP560" s="78"/>
      <c r="AQ560" s="78"/>
      <c r="AR560" s="78"/>
      <c r="AS560" s="78"/>
    </row>
    <row r="561" spans="2:51" s="843" customFormat="1" ht="15" customHeight="1" x14ac:dyDescent="0.2">
      <c r="B561" s="600" t="s">
        <v>4457</v>
      </c>
      <c r="C561" s="600"/>
      <c r="D561" s="600"/>
      <c r="E561" s="600"/>
      <c r="F561" s="23"/>
      <c r="G561" s="23"/>
      <c r="H561" s="691"/>
      <c r="I561" s="589"/>
      <c r="J561" s="589"/>
      <c r="K561" s="589"/>
      <c r="L561" s="1687"/>
      <c r="M561" s="1623"/>
      <c r="N561" s="129"/>
      <c r="O561" s="1619"/>
      <c r="P561" s="96"/>
      <c r="Q561" s="96"/>
      <c r="R561" s="96"/>
      <c r="S561" s="96"/>
      <c r="T561" s="96"/>
      <c r="W561" s="1751"/>
      <c r="X561" s="1600"/>
      <c r="AL561" s="78"/>
      <c r="AM561" s="78"/>
      <c r="AN561" s="78"/>
      <c r="AO561" s="78"/>
      <c r="AP561" s="78"/>
      <c r="AQ561" s="78"/>
      <c r="AR561" s="78"/>
      <c r="AS561" s="78"/>
    </row>
    <row r="562" spans="2:51" s="843" customFormat="1" ht="15" customHeight="1" x14ac:dyDescent="0.2">
      <c r="B562" s="600" t="s">
        <v>4457</v>
      </c>
      <c r="C562" s="600"/>
      <c r="D562" s="600"/>
      <c r="E562" s="600"/>
      <c r="F562" s="23"/>
      <c r="G562" s="23"/>
      <c r="H562" s="691"/>
      <c r="I562" s="589"/>
      <c r="J562" s="589"/>
      <c r="K562" s="589"/>
      <c r="L562" s="1687"/>
      <c r="M562" s="1623"/>
      <c r="N562" s="129"/>
      <c r="O562" s="1619"/>
      <c r="P562" s="96"/>
      <c r="Q562" s="96"/>
      <c r="R562" s="96"/>
      <c r="S562" s="96"/>
      <c r="T562" s="96"/>
      <c r="W562" s="1751"/>
      <c r="X562" s="1600"/>
      <c r="AL562" s="78"/>
      <c r="AM562" s="78"/>
      <c r="AN562" s="78"/>
      <c r="AO562" s="78"/>
      <c r="AP562" s="78"/>
      <c r="AQ562" s="78"/>
      <c r="AR562" s="78"/>
      <c r="AS562" s="78"/>
    </row>
    <row r="563" spans="2:51" s="843" customFormat="1" ht="15" customHeight="1" x14ac:dyDescent="0.2">
      <c r="B563" s="600" t="s">
        <v>4457</v>
      </c>
      <c r="C563" s="600"/>
      <c r="D563" s="600"/>
      <c r="E563" s="600"/>
      <c r="F563" s="23"/>
      <c r="G563" s="23"/>
      <c r="H563" s="691"/>
      <c r="I563" s="589"/>
      <c r="J563" s="589"/>
      <c r="K563" s="589"/>
      <c r="L563" s="1687"/>
      <c r="M563" s="1623"/>
      <c r="N563" s="129"/>
      <c r="O563" s="1619"/>
      <c r="P563" s="96"/>
      <c r="Q563" s="96"/>
      <c r="R563" s="96"/>
      <c r="S563" s="96"/>
      <c r="T563" s="96"/>
      <c r="W563" s="1751"/>
      <c r="X563" s="1600"/>
      <c r="AL563" s="78"/>
      <c r="AM563" s="78"/>
      <c r="AN563" s="78"/>
      <c r="AO563" s="78"/>
      <c r="AP563" s="78"/>
      <c r="AQ563" s="78"/>
      <c r="AR563" s="78"/>
      <c r="AS563" s="78"/>
    </row>
    <row r="564" spans="2:51" s="843" customFormat="1" ht="15" customHeight="1" x14ac:dyDescent="0.2">
      <c r="B564" s="600" t="s">
        <v>4457</v>
      </c>
      <c r="C564" s="600"/>
      <c r="D564" s="600"/>
      <c r="E564" s="600"/>
      <c r="F564" s="23"/>
      <c r="G564" s="23"/>
      <c r="H564" s="691"/>
      <c r="I564" s="589"/>
      <c r="J564" s="589"/>
      <c r="K564" s="589"/>
      <c r="L564" s="1687"/>
      <c r="M564" s="1623"/>
      <c r="N564" s="129"/>
      <c r="O564" s="1619"/>
      <c r="P564" s="96"/>
      <c r="Q564" s="96"/>
      <c r="R564" s="96"/>
      <c r="S564" s="96"/>
      <c r="T564" s="96"/>
      <c r="W564" s="1751"/>
      <c r="X564" s="1600"/>
      <c r="AL564" s="78"/>
      <c r="AM564" s="78"/>
      <c r="AN564" s="78"/>
      <c r="AO564" s="78"/>
      <c r="AP564" s="78"/>
      <c r="AQ564" s="78"/>
      <c r="AR564" s="78"/>
      <c r="AS564" s="78"/>
    </row>
    <row r="565" spans="2:51" s="843" customFormat="1" ht="15" customHeight="1" x14ac:dyDescent="0.2">
      <c r="B565" s="600" t="s">
        <v>4457</v>
      </c>
      <c r="C565" s="600" t="s">
        <v>254</v>
      </c>
      <c r="D565" s="600"/>
      <c r="E565" s="600"/>
      <c r="F565" s="23"/>
      <c r="G565" s="23"/>
      <c r="H565" s="691"/>
      <c r="I565" s="589"/>
      <c r="J565" s="589" t="s">
        <v>254</v>
      </c>
      <c r="K565" s="589"/>
      <c r="L565" s="863" t="s">
        <v>4305</v>
      </c>
      <c r="M565" s="96"/>
      <c r="N565" s="96"/>
      <c r="O565" s="96"/>
      <c r="P565" s="96"/>
      <c r="Q565" s="96"/>
      <c r="R565" s="96"/>
      <c r="S565" s="96"/>
      <c r="T565" s="96"/>
      <c r="W565" s="96"/>
      <c r="X565" s="1600"/>
      <c r="AL565" s="78"/>
      <c r="AM565" s="78"/>
      <c r="AN565" s="78"/>
      <c r="AO565" s="78"/>
      <c r="AP565" s="78"/>
      <c r="AQ565" s="78"/>
      <c r="AR565" s="78"/>
      <c r="AS565" s="78"/>
    </row>
    <row r="566" spans="2:51" s="843" customFormat="1" ht="15" customHeight="1" x14ac:dyDescent="0.2">
      <c r="B566" s="600" t="s">
        <v>4457</v>
      </c>
      <c r="C566" s="600" t="s">
        <v>255</v>
      </c>
      <c r="D566" s="600"/>
      <c r="E566" s="600"/>
      <c r="F566" s="23"/>
      <c r="G566" s="23"/>
      <c r="H566" s="691"/>
      <c r="I566" s="589"/>
      <c r="J566" s="589" t="s">
        <v>255</v>
      </c>
      <c r="K566" s="589"/>
      <c r="L566" s="863" t="s">
        <v>4306</v>
      </c>
      <c r="M566" s="96"/>
      <c r="N566" s="96"/>
      <c r="O566" s="96"/>
      <c r="P566" s="96"/>
      <c r="Q566" s="96"/>
      <c r="R566" s="96"/>
      <c r="S566" s="96"/>
      <c r="T566" s="96"/>
      <c r="X566" s="1600"/>
      <c r="AL566" s="78"/>
      <c r="AM566" s="78"/>
      <c r="AN566" s="78"/>
      <c r="AO566" s="78"/>
      <c r="AP566" s="78"/>
      <c r="AQ566" s="78"/>
      <c r="AR566" s="78"/>
      <c r="AS566" s="78"/>
    </row>
    <row r="567" spans="2:51" s="843" customFormat="1" ht="15" customHeight="1" x14ac:dyDescent="0.2">
      <c r="B567" s="600" t="s">
        <v>4457</v>
      </c>
      <c r="C567" s="600" t="s">
        <v>256</v>
      </c>
      <c r="D567" s="600"/>
      <c r="E567" s="600"/>
      <c r="F567" s="23"/>
      <c r="G567" s="23"/>
      <c r="H567" s="691"/>
      <c r="I567" s="589"/>
      <c r="J567" s="589" t="s">
        <v>256</v>
      </c>
      <c r="K567" s="589"/>
      <c r="L567" s="863" t="s">
        <v>4307</v>
      </c>
      <c r="M567" s="96"/>
      <c r="N567" s="96"/>
      <c r="O567" s="96"/>
      <c r="P567" s="96"/>
      <c r="Q567" s="96"/>
      <c r="R567" s="96"/>
      <c r="S567" s="96"/>
      <c r="T567" s="96"/>
      <c r="X567" s="1600"/>
      <c r="AL567" s="78"/>
      <c r="AM567" s="78"/>
      <c r="AN567" s="78"/>
      <c r="AO567" s="78"/>
      <c r="AP567" s="78"/>
      <c r="AQ567" s="78"/>
      <c r="AR567" s="78"/>
      <c r="AS567" s="78"/>
    </row>
    <row r="568" spans="2:51" s="843" customFormat="1" ht="15" customHeight="1" x14ac:dyDescent="0.2">
      <c r="B568" s="600" t="s">
        <v>4457</v>
      </c>
      <c r="C568" s="600" t="s">
        <v>259</v>
      </c>
      <c r="D568" s="600"/>
      <c r="E568" s="600"/>
      <c r="F568" s="23"/>
      <c r="G568" s="23"/>
      <c r="H568" s="691"/>
      <c r="I568" s="590"/>
      <c r="J568" s="590" t="s">
        <v>259</v>
      </c>
      <c r="K568" s="590"/>
      <c r="L568" s="1634" t="s">
        <v>4308</v>
      </c>
      <c r="M568" s="991"/>
      <c r="N568" s="991"/>
      <c r="O568" s="991"/>
      <c r="P568" s="991"/>
      <c r="Q568" s="991"/>
      <c r="R568" s="991"/>
      <c r="S568" s="991"/>
      <c r="T568" s="991"/>
      <c r="U568" s="991"/>
      <c r="V568" s="991"/>
      <c r="W568" s="114"/>
      <c r="X568" s="1600"/>
      <c r="AL568" s="78"/>
      <c r="AM568" s="78"/>
      <c r="AN568" s="78"/>
      <c r="AO568" s="78"/>
      <c r="AP568" s="78"/>
      <c r="AQ568" s="78"/>
      <c r="AR568" s="78"/>
      <c r="AS568" s="78"/>
    </row>
    <row r="569" spans="2:51" s="843" customFormat="1" ht="15" customHeight="1" x14ac:dyDescent="0.2">
      <c r="B569" s="600" t="s">
        <v>4457</v>
      </c>
      <c r="C569" s="600" t="s">
        <v>259</v>
      </c>
      <c r="D569" s="600"/>
      <c r="E569" s="600"/>
      <c r="F569" s="23"/>
      <c r="G569" s="23"/>
      <c r="H569" s="691"/>
      <c r="I569" s="606"/>
      <c r="J569" s="606"/>
      <c r="K569" s="606"/>
      <c r="L569" s="1639"/>
      <c r="M569" s="173"/>
      <c r="N569" s="173"/>
      <c r="O569" s="173"/>
      <c r="P569" s="173"/>
      <c r="Q569" s="173"/>
      <c r="R569" s="173"/>
      <c r="S569" s="173"/>
      <c r="T569" s="173"/>
      <c r="U569" s="173"/>
      <c r="V569" s="173"/>
      <c r="W569" s="818"/>
      <c r="X569" s="1600"/>
      <c r="AL569" s="78"/>
      <c r="AM569" s="78"/>
      <c r="AN569" s="78"/>
      <c r="AO569" s="78"/>
      <c r="AP569" s="78"/>
      <c r="AQ569" s="78"/>
      <c r="AR569" s="78"/>
      <c r="AS569" s="78"/>
    </row>
    <row r="570" spans="2:51" s="843" customFormat="1" ht="15" customHeight="1" x14ac:dyDescent="0.2">
      <c r="B570" s="600" t="s">
        <v>4458</v>
      </c>
      <c r="C570" s="600"/>
      <c r="D570" s="600"/>
      <c r="E570" s="600"/>
      <c r="F570" s="23"/>
      <c r="G570" s="23"/>
      <c r="H570" s="691"/>
      <c r="I570" s="589" t="s">
        <v>4309</v>
      </c>
      <c r="J570" s="589"/>
      <c r="K570" s="589"/>
      <c r="L570" s="869" t="s">
        <v>4310</v>
      </c>
      <c r="M570" s="96"/>
      <c r="N570" s="96"/>
      <c r="O570" s="96"/>
      <c r="P570" s="96"/>
      <c r="Q570" s="96"/>
      <c r="R570" s="96"/>
      <c r="S570" s="96"/>
      <c r="T570" s="96"/>
      <c r="AL570" s="78"/>
      <c r="AM570" s="78"/>
      <c r="AN570" s="78"/>
      <c r="AO570" s="78"/>
      <c r="AP570" s="78"/>
      <c r="AQ570" s="78"/>
      <c r="AR570" s="78"/>
      <c r="AS570" s="78"/>
    </row>
    <row r="571" spans="2:51" s="843" customFormat="1" ht="15" customHeight="1" x14ac:dyDescent="0.2">
      <c r="B571" s="600" t="s">
        <v>4459</v>
      </c>
      <c r="C571" s="600"/>
      <c r="D571" s="600"/>
      <c r="E571" s="600"/>
      <c r="F571" s="23"/>
      <c r="G571" s="23"/>
      <c r="H571" s="691"/>
      <c r="I571" s="589" t="s">
        <v>4311</v>
      </c>
      <c r="J571" s="589"/>
      <c r="K571" s="589"/>
      <c r="L571" s="1687" t="s">
        <v>4312</v>
      </c>
      <c r="M571" s="96"/>
      <c r="N571" s="96"/>
      <c r="O571" s="96"/>
      <c r="P571" s="96"/>
      <c r="Q571" s="96"/>
      <c r="R571" s="96"/>
      <c r="S571" s="96"/>
      <c r="T571" s="96"/>
      <c r="AL571" s="78"/>
      <c r="AM571" s="78"/>
      <c r="AN571" s="78"/>
      <c r="AO571" s="78"/>
      <c r="AP571" s="78"/>
      <c r="AQ571" s="78"/>
      <c r="AR571" s="78"/>
      <c r="AS571" s="78"/>
    </row>
    <row r="572" spans="2:51" s="843" customFormat="1" ht="15" customHeight="1" x14ac:dyDescent="0.2">
      <c r="B572" s="600" t="s">
        <v>4459</v>
      </c>
      <c r="C572" s="600"/>
      <c r="D572" s="600"/>
      <c r="E572" s="600"/>
      <c r="F572" s="23"/>
      <c r="G572" s="23"/>
      <c r="H572" s="691"/>
      <c r="I572" s="589"/>
      <c r="J572" s="589"/>
      <c r="K572" s="589"/>
      <c r="L572" s="1687"/>
      <c r="M572" s="96"/>
      <c r="N572" s="96"/>
      <c r="O572" s="96"/>
      <c r="P572" s="96"/>
      <c r="Q572" s="96"/>
      <c r="R572" s="96"/>
      <c r="S572" s="96"/>
      <c r="T572" s="96"/>
      <c r="AL572" s="78"/>
      <c r="AM572" s="78"/>
      <c r="AN572" s="78"/>
      <c r="AO572" s="78"/>
      <c r="AP572" s="78"/>
      <c r="AQ572" s="78"/>
      <c r="AR572" s="78"/>
      <c r="AS572" s="78"/>
    </row>
    <row r="573" spans="2:51" s="843" customFormat="1" ht="15" customHeight="1" x14ac:dyDescent="0.2">
      <c r="B573" s="600" t="s">
        <v>4459</v>
      </c>
      <c r="C573" s="600"/>
      <c r="D573" s="600"/>
      <c r="E573" s="600"/>
      <c r="F573" s="23"/>
      <c r="G573" s="23"/>
      <c r="H573" s="691"/>
      <c r="I573" s="589"/>
      <c r="J573" s="589"/>
      <c r="K573" s="589"/>
      <c r="L573" s="1687"/>
      <c r="M573" s="96"/>
      <c r="N573" s="96"/>
      <c r="O573" s="96"/>
      <c r="P573" s="96"/>
      <c r="Q573" s="96"/>
      <c r="R573" s="96"/>
      <c r="S573" s="96"/>
      <c r="T573" s="96"/>
      <c r="AL573" s="78"/>
      <c r="AM573" s="78"/>
      <c r="AN573" s="78"/>
      <c r="AO573" s="78"/>
      <c r="AP573" s="78"/>
      <c r="AQ573" s="78"/>
      <c r="AR573" s="78"/>
      <c r="AS573" s="78"/>
    </row>
    <row r="574" spans="2:51" s="843" customFormat="1" ht="15" customHeight="1" x14ac:dyDescent="0.2">
      <c r="B574" s="600" t="s">
        <v>4459</v>
      </c>
      <c r="C574" s="600"/>
      <c r="D574" s="600"/>
      <c r="E574" s="600"/>
      <c r="F574" s="23"/>
      <c r="G574" s="23"/>
      <c r="H574" s="691"/>
      <c r="I574" s="589"/>
      <c r="J574" s="589"/>
      <c r="K574" s="589"/>
      <c r="L574" s="1687"/>
      <c r="M574" s="96"/>
      <c r="N574" s="96"/>
      <c r="O574" s="96"/>
      <c r="P574" s="96"/>
      <c r="Q574" s="96"/>
      <c r="R574" s="96"/>
      <c r="S574" s="96"/>
      <c r="T574" s="96"/>
      <c r="AL574" s="78"/>
      <c r="AM574" s="78"/>
      <c r="AN574" s="78"/>
      <c r="AO574" s="78"/>
      <c r="AP574" s="78"/>
      <c r="AQ574" s="78"/>
      <c r="AR574" s="78"/>
      <c r="AS574" s="78"/>
    </row>
    <row r="575" spans="2:51" s="843" customFormat="1" ht="15" customHeight="1" x14ac:dyDescent="0.2">
      <c r="B575" s="600" t="s">
        <v>4459</v>
      </c>
      <c r="C575" s="600"/>
      <c r="D575" s="600"/>
      <c r="E575" s="600"/>
      <c r="F575" s="23"/>
      <c r="G575" s="23"/>
      <c r="H575" s="691"/>
      <c r="I575" s="589"/>
      <c r="J575" s="589"/>
      <c r="K575" s="589"/>
      <c r="L575" s="1687"/>
      <c r="M575" s="96"/>
      <c r="N575" s="96"/>
      <c r="O575" s="96"/>
      <c r="P575" s="96"/>
      <c r="Q575" s="96"/>
      <c r="R575" s="96"/>
      <c r="S575" s="96"/>
      <c r="T575" s="96"/>
      <c r="W575" s="881" t="s">
        <v>3029</v>
      </c>
      <c r="AL575" s="78"/>
      <c r="AM575" s="78"/>
      <c r="AN575" s="78"/>
      <c r="AO575" s="78"/>
      <c r="AP575" s="78"/>
      <c r="AQ575" s="78"/>
      <c r="AR575" s="78"/>
      <c r="AS575" s="78"/>
    </row>
    <row r="576" spans="2:51" s="843" customFormat="1" ht="15" customHeight="1" x14ac:dyDescent="0.2">
      <c r="B576" s="600" t="s">
        <v>4459</v>
      </c>
      <c r="C576" s="600" t="s">
        <v>254</v>
      </c>
      <c r="D576" s="600"/>
      <c r="E576" s="600"/>
      <c r="F576" s="23"/>
      <c r="G576" s="23"/>
      <c r="H576" s="691"/>
      <c r="I576" s="589"/>
      <c r="J576" s="590" t="s">
        <v>254</v>
      </c>
      <c r="K576" s="590"/>
      <c r="L576" s="1217" t="s">
        <v>4313</v>
      </c>
      <c r="M576" s="1623">
        <v>3</v>
      </c>
      <c r="N576" s="129"/>
      <c r="O576" s="1619">
        <f>IF(OR(LEN(W576)&gt;0,LEN(W578)&gt;0),M576,0)</f>
        <v>0</v>
      </c>
      <c r="P576" s="96" t="b">
        <v>0</v>
      </c>
      <c r="Q576" s="96" t="b">
        <v>1</v>
      </c>
      <c r="R576" s="96" t="b">
        <v>0</v>
      </c>
      <c r="S576" s="96" t="b">
        <f ca="1">AND(S11=2,OR(S38,AND(OR(AND(BF16=2,BG16="Dry"),BI16="Tropical"),S124,O191&gt;0)),LEN(W578)=0)</f>
        <v>0</v>
      </c>
      <c r="T576" s="96" t="b">
        <f ca="1">AND(NOT(S576),LEN(W576)&gt;0)</f>
        <v>0</v>
      </c>
      <c r="W576" s="336"/>
      <c r="X576" s="1600"/>
      <c r="AC576" s="905" t="b">
        <f ca="1">OR(AD576:AE576)</f>
        <v>0</v>
      </c>
      <c r="AD576" s="905" t="b">
        <f ca="1">T576</f>
        <v>0</v>
      </c>
      <c r="AE576" s="905" t="b">
        <f>AND(R576,OR(W576="Not Met",W576=""))</f>
        <v>0</v>
      </c>
      <c r="AL576" s="1352" t="str">
        <f>SUBSTITUTE(SUBSTITUTE(SUBSTITUTE("dpa"&amp;$B576&amp;$C576&amp;$D576&amp;$E576&amp;$F576,".","_"),"(","_"),")","")</f>
        <v>dpa705_6_2_1_1</v>
      </c>
      <c r="AM576" s="1352">
        <f>M576</f>
        <v>3</v>
      </c>
      <c r="AN576" s="1352" t="str">
        <f>SUBSTITUTE(SUBSTITUTE(SUBSTITUTE("dpc"&amp;$B576&amp;$C576&amp;$D576&amp;$E576&amp;$F576,".","_"),"(","_"),")","")</f>
        <v>dpc705_6_2_1_1</v>
      </c>
      <c r="AO576" s="1352">
        <f>O576</f>
        <v>0</v>
      </c>
      <c r="AP576" s="1352" t="str">
        <f>SUBSTITUTE(SUBSTITUTE(SUBSTITUTE("dch"&amp;$B576&amp;$C576&amp;$D576&amp;$E576&amp;$F576,".","_"),"(","_"),")","")</f>
        <v>dch705_6_2_1_1</v>
      </c>
      <c r="AQ576" s="1352" t="str">
        <f>IF(LEN(W576)=0,"",W576)</f>
        <v/>
      </c>
      <c r="AR576" s="1352" t="str">
        <f>SUBSTITUTE(SUBSTITUTE(SUBSTITUTE("dnt"&amp;$B576&amp;$C576&amp;$D576&amp;$E576&amp;$F576,".","_"),"(","_"),")","")</f>
        <v>dnt705_6_2_1_1</v>
      </c>
      <c r="AS576" s="1352" t="str">
        <f>IF(LEN(X576)=0,"",X576)</f>
        <v/>
      </c>
      <c r="AX576"/>
      <c r="AY576"/>
    </row>
    <row r="577" spans="2:51" customFormat="1" ht="15" customHeight="1" x14ac:dyDescent="0.2">
      <c r="B577" s="600" t="s">
        <v>4459</v>
      </c>
      <c r="C577" s="600" t="s">
        <v>254</v>
      </c>
      <c r="J577" s="1219"/>
      <c r="K577" s="1219"/>
      <c r="L577" s="1219"/>
      <c r="M577" s="1623"/>
      <c r="N577" s="1219"/>
      <c r="O577" s="1619"/>
      <c r="W577" s="1216" t="s">
        <v>3445</v>
      </c>
      <c r="X577" s="1600"/>
      <c r="AL577" s="78"/>
      <c r="AM577" s="78"/>
      <c r="AN577" s="78"/>
      <c r="AO577" s="78"/>
      <c r="AP577" s="78"/>
      <c r="AQ577" s="78"/>
      <c r="AR577" s="78"/>
      <c r="AS577" s="78"/>
    </row>
    <row r="578" spans="2:51" customFormat="1" ht="15" customHeight="1" x14ac:dyDescent="0.2">
      <c r="B578" s="600" t="s">
        <v>4459</v>
      </c>
      <c r="C578" s="600" t="s">
        <v>254</v>
      </c>
      <c r="D578" t="s">
        <v>3921</v>
      </c>
      <c r="J578" s="173"/>
      <c r="K578" s="173"/>
      <c r="L578" s="173"/>
      <c r="M578" s="1624"/>
      <c r="N578" s="173"/>
      <c r="O578" s="1620"/>
      <c r="P578" s="1219" t="b">
        <v>0</v>
      </c>
      <c r="Q578" s="1219" t="b">
        <v>1</v>
      </c>
      <c r="R578" s="1219" t="b">
        <v>0</v>
      </c>
      <c r="S578" s="1216" t="b">
        <f ca="1">AND(S11=2,OR(S38,AND(OR(AND(BF16=2,BG16="Dry"),BI16="Tropical"),S124,O191&gt;0)),LEN(W576)=0)</f>
        <v>0</v>
      </c>
      <c r="T578" s="1219" t="b">
        <f ca="1">AND(NOT(S578),LEN(W578)&gt;0)</f>
        <v>0</v>
      </c>
      <c r="W578" s="336"/>
      <c r="X578" s="1600"/>
      <c r="AL578" s="78"/>
      <c r="AM578" s="78"/>
      <c r="AN578" s="78"/>
      <c r="AO578" s="78"/>
      <c r="AP578" s="1352" t="str">
        <f>SUBSTITUTE(SUBSTITUTE(SUBSTITUTE("dch"&amp;$B578&amp;$C578&amp;$D578&amp;$E578&amp;$F578,".","_"),"(","_"),")","")</f>
        <v>dch705_6_2_1_1_1</v>
      </c>
      <c r="AQ578" s="1352" t="str">
        <f>IF(LEN(W578)=0,"",W578)</f>
        <v/>
      </c>
      <c r="AR578" s="78"/>
      <c r="AS578" s="78"/>
      <c r="AX578" s="843"/>
      <c r="AY578" s="843"/>
    </row>
    <row r="579" spans="2:51" s="843" customFormat="1" ht="15" customHeight="1" x14ac:dyDescent="0.2">
      <c r="B579" s="600" t="s">
        <v>4459</v>
      </c>
      <c r="C579" s="600" t="s">
        <v>255</v>
      </c>
      <c r="D579" s="600"/>
      <c r="E579" s="600"/>
      <c r="F579" s="23"/>
      <c r="G579" s="23"/>
      <c r="H579" s="691"/>
      <c r="I579" s="589"/>
      <c r="J579" s="589" t="s">
        <v>255</v>
      </c>
      <c r="K579" s="589"/>
      <c r="L579" s="863" t="s">
        <v>4314</v>
      </c>
      <c r="M579" s="882">
        <v>5</v>
      </c>
      <c r="N579" s="129"/>
      <c r="O579" s="886">
        <f ca="1">M579*S579*W579</f>
        <v>0</v>
      </c>
      <c r="P579" s="96" t="b">
        <v>0</v>
      </c>
      <c r="Q579" s="96" t="b">
        <v>1</v>
      </c>
      <c r="R579" s="96" t="b">
        <v>0</v>
      </c>
      <c r="S579" s="96" t="b">
        <f ca="1">AND(S11=2,O576&gt;0)</f>
        <v>0</v>
      </c>
      <c r="T579" s="96" t="b">
        <f ca="1">AND(NOT(S579),W579=TRUE)</f>
        <v>0</v>
      </c>
      <c r="W579" s="27"/>
      <c r="X579" s="1600"/>
      <c r="AC579" s="881" t="b">
        <f ca="1">OR(AD579:AE579)</f>
        <v>0</v>
      </c>
      <c r="AD579" s="881" t="b">
        <f ca="1">T579</f>
        <v>0</v>
      </c>
      <c r="AE579" s="1" t="b">
        <f>AND(W579=TRUE,LEN(X579)=0)</f>
        <v>0</v>
      </c>
      <c r="AL579" s="1352" t="str">
        <f>SUBSTITUTE(SUBSTITUTE(SUBSTITUTE("dpa"&amp;$B579&amp;$C579&amp;$D579&amp;$E579&amp;$F579,".","_"),"(","_"),")","")</f>
        <v>dpa705_6_2_1_2</v>
      </c>
      <c r="AM579" s="1352">
        <f>M579</f>
        <v>5</v>
      </c>
      <c r="AN579" s="1352" t="str">
        <f>SUBSTITUTE(SUBSTITUTE(SUBSTITUTE("dpc"&amp;$B579&amp;$C579&amp;$D579&amp;$E579&amp;$F579,".","_"),"(","_"),")","")</f>
        <v>dpc705_6_2_1_2</v>
      </c>
      <c r="AO579" s="1352">
        <f ca="1">O579</f>
        <v>0</v>
      </c>
      <c r="AP579" s="1352" t="str">
        <f>SUBSTITUTE(SUBSTITUTE(SUBSTITUTE("dch"&amp;$B579&amp;$C579&amp;$D579&amp;$E579&amp;$F579,".","_"),"(","_"),")","")</f>
        <v>dch705_6_2_1_2</v>
      </c>
      <c r="AQ579" s="1352" t="str">
        <f>IF(LEN(W579)=0,"",W579)</f>
        <v/>
      </c>
      <c r="AR579" s="1352" t="str">
        <f>SUBSTITUTE(SUBSTITUTE(SUBSTITUTE("dnt"&amp;$B579&amp;$C579&amp;$D579&amp;$E579&amp;$F579,".","_"),"(","_"),")","")</f>
        <v>dnt705_6_2_1_2</v>
      </c>
      <c r="AS579" s="1352" t="str">
        <f>IF(LEN(X579)=0,"",X579)</f>
        <v/>
      </c>
    </row>
    <row r="580" spans="2:51" s="905" customFormat="1" ht="15" customHeight="1" x14ac:dyDescent="0.2">
      <c r="B580" s="600" t="s">
        <v>4459</v>
      </c>
      <c r="C580" s="600" t="s">
        <v>255</v>
      </c>
      <c r="D580" s="600"/>
      <c r="E580" s="600"/>
      <c r="F580" s="23"/>
      <c r="G580" s="23"/>
      <c r="H580" s="691"/>
      <c r="I580" s="590"/>
      <c r="J580" s="590"/>
      <c r="K580" s="590"/>
      <c r="L580" s="1730" t="s">
        <v>4848</v>
      </c>
      <c r="M580" s="913"/>
      <c r="N580" s="129"/>
      <c r="O580" s="908"/>
      <c r="P580" s="991"/>
      <c r="Q580" s="991"/>
      <c r="R580" s="991"/>
      <c r="S580" s="991"/>
      <c r="T580" s="991"/>
      <c r="U580" s="991"/>
      <c r="V580" s="991"/>
      <c r="W580" s="114"/>
      <c r="X580" s="1600"/>
      <c r="AL580" s="78"/>
      <c r="AM580" s="78"/>
      <c r="AN580" s="78"/>
      <c r="AO580" s="78"/>
      <c r="AP580" s="78"/>
      <c r="AQ580" s="78"/>
      <c r="AR580" s="78"/>
      <c r="AS580" s="78"/>
      <c r="AX580" s="843"/>
      <c r="AY580" s="843"/>
    </row>
    <row r="581" spans="2:51" s="905" customFormat="1" ht="15" customHeight="1" x14ac:dyDescent="0.2">
      <c r="B581" s="600" t="s">
        <v>4459</v>
      </c>
      <c r="C581" s="600" t="s">
        <v>255</v>
      </c>
      <c r="D581" s="600"/>
      <c r="E581" s="600"/>
      <c r="F581" s="23"/>
      <c r="G581" s="23"/>
      <c r="H581" s="691"/>
      <c r="I581" s="606"/>
      <c r="J581" s="606"/>
      <c r="K581" s="606"/>
      <c r="L581" s="1731"/>
      <c r="M581" s="937"/>
      <c r="N581" s="213"/>
      <c r="O581" s="909"/>
      <c r="P581" s="173"/>
      <c r="Q581" s="173"/>
      <c r="R581" s="173"/>
      <c r="S581" s="173"/>
      <c r="T581" s="173"/>
      <c r="U581" s="173"/>
      <c r="V581" s="173"/>
      <c r="W581" s="818"/>
      <c r="X581" s="1600"/>
      <c r="AL581" s="78"/>
      <c r="AM581" s="78"/>
      <c r="AN581" s="78"/>
      <c r="AO581" s="78"/>
      <c r="AP581" s="78"/>
      <c r="AQ581" s="78"/>
      <c r="AR581" s="78"/>
      <c r="AS581" s="78"/>
      <c r="AX581" s="843"/>
      <c r="AY581" s="843"/>
    </row>
    <row r="582" spans="2:51" s="843" customFormat="1" ht="15" customHeight="1" x14ac:dyDescent="0.2">
      <c r="B582" s="600" t="s">
        <v>4460</v>
      </c>
      <c r="C582" s="600"/>
      <c r="D582" s="600"/>
      <c r="E582" s="600"/>
      <c r="F582" s="23"/>
      <c r="G582" s="23"/>
      <c r="H582" s="691"/>
      <c r="I582" s="589" t="s">
        <v>4315</v>
      </c>
      <c r="J582" s="589"/>
      <c r="K582" s="589"/>
      <c r="L582" s="1687" t="s">
        <v>4316</v>
      </c>
      <c r="M582"/>
      <c r="N582"/>
      <c r="O582"/>
      <c r="P582"/>
      <c r="Q582"/>
      <c r="R582"/>
      <c r="S582"/>
      <c r="T582"/>
      <c r="W582"/>
      <c r="AL582" s="78"/>
      <c r="AM582" s="78"/>
      <c r="AN582" s="78"/>
      <c r="AO582" s="78"/>
      <c r="AP582" s="78"/>
      <c r="AQ582" s="78"/>
      <c r="AR582" s="78"/>
      <c r="AS582" s="78"/>
      <c r="AX582" s="905"/>
      <c r="AY582" s="905"/>
    </row>
    <row r="583" spans="2:51" s="843" customFormat="1" ht="15" customHeight="1" x14ac:dyDescent="0.2">
      <c r="B583" s="600" t="s">
        <v>4460</v>
      </c>
      <c r="C583" s="600"/>
      <c r="D583" s="600"/>
      <c r="E583" s="600"/>
      <c r="F583" s="23"/>
      <c r="G583" s="23"/>
      <c r="H583" s="691"/>
      <c r="I583" s="589"/>
      <c r="J583" s="589"/>
      <c r="K583" s="589"/>
      <c r="L583" s="1687"/>
      <c r="M583"/>
      <c r="N583"/>
      <c r="O583"/>
      <c r="P583"/>
      <c r="Q583"/>
      <c r="R583"/>
      <c r="S583"/>
      <c r="T583"/>
      <c r="AL583" s="78"/>
      <c r="AM583" s="78"/>
      <c r="AN583" s="78"/>
      <c r="AO583" s="78"/>
      <c r="AP583" s="78"/>
      <c r="AQ583" s="78"/>
      <c r="AR583" s="78"/>
      <c r="AS583" s="78"/>
      <c r="AX583" s="905"/>
      <c r="AY583" s="905"/>
    </row>
    <row r="584" spans="2:51" s="843" customFormat="1" ht="15" customHeight="1" x14ac:dyDescent="0.2">
      <c r="B584" s="600" t="s">
        <v>4460</v>
      </c>
      <c r="C584" s="600"/>
      <c r="D584" s="600"/>
      <c r="E584" s="600"/>
      <c r="F584" s="23"/>
      <c r="G584" s="23"/>
      <c r="H584" s="691"/>
      <c r="I584" s="589"/>
      <c r="J584" s="589"/>
      <c r="K584" s="589"/>
      <c r="L584" s="1687"/>
      <c r="M584" s="882"/>
      <c r="N584" s="129"/>
      <c r="O584" s="886"/>
      <c r="P584" s="96"/>
      <c r="Q584" s="96"/>
      <c r="R584" s="96"/>
      <c r="S584" s="96"/>
      <c r="T584" s="96"/>
      <c r="AL584" s="78"/>
      <c r="AM584" s="78"/>
      <c r="AN584" s="78"/>
      <c r="AO584" s="78"/>
      <c r="AP584" s="78"/>
      <c r="AQ584" s="78"/>
      <c r="AR584" s="78"/>
      <c r="AS584" s="78"/>
    </row>
    <row r="585" spans="2:51" s="843" customFormat="1" ht="15" customHeight="1" x14ac:dyDescent="0.2">
      <c r="B585" s="600" t="s">
        <v>4460</v>
      </c>
      <c r="C585" s="600" t="s">
        <v>254</v>
      </c>
      <c r="D585" s="600"/>
      <c r="E585" s="600"/>
      <c r="F585" s="23"/>
      <c r="G585" s="23"/>
      <c r="H585" s="691"/>
      <c r="I585" s="589"/>
      <c r="J585" s="590" t="s">
        <v>254</v>
      </c>
      <c r="K585" s="590"/>
      <c r="L585" s="1634" t="s">
        <v>4317</v>
      </c>
      <c r="M585" s="1623">
        <v>5</v>
      </c>
      <c r="N585" s="129"/>
      <c r="O585" s="1619">
        <f ca="1">M585*S585*W585</f>
        <v>0</v>
      </c>
      <c r="P585" s="96" t="b">
        <v>0</v>
      </c>
      <c r="Q585" s="96" t="b">
        <v>1</v>
      </c>
      <c r="R585" s="96" t="b">
        <v>0</v>
      </c>
      <c r="S585" s="96" t="b">
        <f ca="1">S11=2</f>
        <v>0</v>
      </c>
      <c r="T585" s="96" t="b">
        <v>0</v>
      </c>
      <c r="W585" s="27"/>
      <c r="X585" s="1600"/>
      <c r="AC585" s="881" t="b">
        <f>OR(AD585:AE585)</f>
        <v>0</v>
      </c>
      <c r="AD585" s="881" t="b">
        <f>T585</f>
        <v>0</v>
      </c>
      <c r="AE585" s="881" t="b">
        <f>AND(R585,NOT(W585))</f>
        <v>0</v>
      </c>
      <c r="AL585" s="1352" t="str">
        <f>SUBSTITUTE(SUBSTITUTE(SUBSTITUTE("dpa"&amp;$B585&amp;$C585&amp;$D585&amp;$E585&amp;$F585,".","_"),"(","_"),")","")</f>
        <v>dpa705_6_2_2_1</v>
      </c>
      <c r="AM585" s="1352">
        <f>M585</f>
        <v>5</v>
      </c>
      <c r="AN585" s="1352" t="str">
        <f>SUBSTITUTE(SUBSTITUTE(SUBSTITUTE("dpc"&amp;$B585&amp;$C585&amp;$D585&amp;$E585&amp;$F585,".","_"),"(","_"),")","")</f>
        <v>dpc705_6_2_2_1</v>
      </c>
      <c r="AO585" s="1352">
        <f ca="1">O585</f>
        <v>0</v>
      </c>
      <c r="AP585" s="1352" t="str">
        <f>SUBSTITUTE(SUBSTITUTE(SUBSTITUTE("dch"&amp;$B585&amp;$C585&amp;$D585&amp;$E585&amp;$F585,".","_"),"(","_"),")","")</f>
        <v>dch705_6_2_2_1</v>
      </c>
      <c r="AQ585" s="1352" t="str">
        <f>IF(LEN(W585)=0,"",W585)</f>
        <v/>
      </c>
      <c r="AR585" s="1352" t="str">
        <f>SUBSTITUTE(SUBSTITUTE(SUBSTITUTE("dnt"&amp;$B585&amp;$C585&amp;$D585&amp;$E585&amp;$F585,".","_"),"(","_"),")","")</f>
        <v>dnt705_6_2_2_1</v>
      </c>
      <c r="AS585" s="1352" t="str">
        <f>IF(LEN(X585)=0,"",X585)</f>
        <v/>
      </c>
    </row>
    <row r="586" spans="2:51" s="843" customFormat="1" ht="15" customHeight="1" x14ac:dyDescent="0.2">
      <c r="B586" s="600" t="s">
        <v>4460</v>
      </c>
      <c r="C586" s="600" t="s">
        <v>254</v>
      </c>
      <c r="D586" s="600"/>
      <c r="E586" s="600"/>
      <c r="F586" s="23"/>
      <c r="G586" s="23"/>
      <c r="H586" s="691"/>
      <c r="I586" s="589"/>
      <c r="J586" s="606"/>
      <c r="K586" s="606"/>
      <c r="L586" s="1639"/>
      <c r="M586" s="1624"/>
      <c r="N586" s="173"/>
      <c r="O586" s="1620"/>
      <c r="P586" s="96"/>
      <c r="Q586" s="96"/>
      <c r="R586" s="96"/>
      <c r="S586" s="96"/>
      <c r="T586" s="96"/>
      <c r="X586" s="1600"/>
      <c r="AL586" s="78"/>
      <c r="AM586" s="78"/>
      <c r="AN586" s="78"/>
      <c r="AO586" s="78"/>
      <c r="AP586" s="78"/>
      <c r="AQ586" s="78"/>
      <c r="AR586" s="78"/>
      <c r="AS586" s="78"/>
    </row>
    <row r="587" spans="2:51" s="843" customFormat="1" ht="15" customHeight="1" x14ac:dyDescent="0.2">
      <c r="B587" s="600" t="s">
        <v>4460</v>
      </c>
      <c r="C587" s="600" t="s">
        <v>255</v>
      </c>
      <c r="D587" s="600"/>
      <c r="E587" s="600"/>
      <c r="F587" s="23"/>
      <c r="G587" s="23"/>
      <c r="H587" s="691"/>
      <c r="I587" s="589"/>
      <c r="J587" s="589" t="s">
        <v>255</v>
      </c>
      <c r="K587" s="589"/>
      <c r="L587" s="863" t="s">
        <v>4318</v>
      </c>
      <c r="M587" s="882">
        <v>3</v>
      </c>
      <c r="N587" s="129"/>
      <c r="O587" s="886">
        <f ca="1">M587*S587*W587</f>
        <v>0</v>
      </c>
      <c r="P587" s="96" t="b">
        <v>0</v>
      </c>
      <c r="Q587" s="96" t="b">
        <v>1</v>
      </c>
      <c r="R587" s="96" t="b">
        <v>0</v>
      </c>
      <c r="S587" s="96" t="b">
        <f ca="1">S11=2</f>
        <v>0</v>
      </c>
      <c r="T587" s="96" t="b">
        <v>0</v>
      </c>
      <c r="W587" s="27"/>
      <c r="X587" s="1600"/>
      <c r="AC587" s="881" t="b">
        <f>OR(AD587:AE587)</f>
        <v>0</v>
      </c>
      <c r="AD587" s="881" t="b">
        <f>T587</f>
        <v>0</v>
      </c>
      <c r="AE587" s="1" t="b">
        <f>AND(W587=TRUE,LEN(X587)=0)</f>
        <v>0</v>
      </c>
      <c r="AL587" s="1352" t="str">
        <f>SUBSTITUTE(SUBSTITUTE(SUBSTITUTE("dpa"&amp;$B587&amp;$C587&amp;$D587&amp;$E587&amp;$F587,".","_"),"(","_"),")","")</f>
        <v>dpa705_6_2_2_2</v>
      </c>
      <c r="AM587" s="1352">
        <f>M587</f>
        <v>3</v>
      </c>
      <c r="AN587" s="1352" t="str">
        <f>SUBSTITUTE(SUBSTITUTE(SUBSTITUTE("dpc"&amp;$B587&amp;$C587&amp;$D587&amp;$E587&amp;$F587,".","_"),"(","_"),")","")</f>
        <v>dpc705_6_2_2_2</v>
      </c>
      <c r="AO587" s="1352">
        <f ca="1">O587</f>
        <v>0</v>
      </c>
      <c r="AP587" s="1352" t="str">
        <f>SUBSTITUTE(SUBSTITUTE(SUBSTITUTE("dch"&amp;$B587&amp;$C587&amp;$D587&amp;$E587&amp;$F587,".","_"),"(","_"),")","")</f>
        <v>dch705_6_2_2_2</v>
      </c>
      <c r="AQ587" s="1352" t="str">
        <f>IF(LEN(W587)=0,"",W587)</f>
        <v/>
      </c>
      <c r="AR587" s="1352" t="str">
        <f>SUBSTITUTE(SUBSTITUTE(SUBSTITUTE("dnt"&amp;$B587&amp;$C587&amp;$D587&amp;$E587&amp;$F587,".","_"),"(","_"),")","")</f>
        <v>dnt705_6_2_2_2</v>
      </c>
      <c r="AS587" s="1352" t="str">
        <f>IF(LEN(X587)=0,"",X587)</f>
        <v/>
      </c>
    </row>
    <row r="588" spans="2:51" customFormat="1" ht="15" customHeight="1" x14ac:dyDescent="0.2">
      <c r="B588" s="600" t="s">
        <v>4460</v>
      </c>
      <c r="C588" s="600" t="s">
        <v>255</v>
      </c>
      <c r="I588" s="991"/>
      <c r="J588" s="991"/>
      <c r="K588" s="991"/>
      <c r="L588" s="1730" t="s">
        <v>4849</v>
      </c>
      <c r="M588" s="991"/>
      <c r="N588" s="991"/>
      <c r="O588" s="991"/>
      <c r="X588" s="1600"/>
      <c r="AL588" s="78"/>
      <c r="AM588" s="78"/>
      <c r="AN588" s="78"/>
      <c r="AO588" s="78"/>
      <c r="AP588" s="78"/>
      <c r="AQ588" s="78"/>
      <c r="AR588" s="78"/>
      <c r="AS588" s="78"/>
      <c r="AX588" s="843"/>
      <c r="AY588" s="843"/>
    </row>
    <row r="589" spans="2:51" customFormat="1" ht="15" customHeight="1" x14ac:dyDescent="0.2">
      <c r="B589" s="600" t="s">
        <v>4460</v>
      </c>
      <c r="C589" s="600" t="s">
        <v>255</v>
      </c>
      <c r="I589" s="173"/>
      <c r="J589" s="173"/>
      <c r="K589" s="173"/>
      <c r="L589" s="1731"/>
      <c r="M589" s="173"/>
      <c r="N589" s="173"/>
      <c r="O589" s="173"/>
      <c r="X589" s="1600"/>
      <c r="AL589" s="78"/>
      <c r="AM589" s="78"/>
      <c r="AN589" s="78"/>
      <c r="AO589" s="78"/>
      <c r="AP589" s="78"/>
      <c r="AQ589" s="78"/>
      <c r="AR589" s="78"/>
      <c r="AS589" s="78"/>
      <c r="AX589" s="843"/>
      <c r="AY589" s="843"/>
    </row>
    <row r="590" spans="2:51" s="843" customFormat="1" ht="15" customHeight="1" x14ac:dyDescent="0.2">
      <c r="B590" s="600" t="s">
        <v>4461</v>
      </c>
      <c r="C590" s="600"/>
      <c r="D590" s="600"/>
      <c r="E590" s="600"/>
      <c r="F590" s="23"/>
      <c r="G590" s="23"/>
      <c r="H590" s="691"/>
      <c r="I590" s="589" t="s">
        <v>4319</v>
      </c>
      <c r="J590" s="589"/>
      <c r="K590" s="589"/>
      <c r="L590" s="1687" t="s">
        <v>4320</v>
      </c>
      <c r="M590" s="882"/>
      <c r="N590" s="129"/>
      <c r="O590" s="1619">
        <f ca="1">IFERROR(INDEX({3,5},MATCH(W590,INDIRECT(U590),0)),0)*S590</f>
        <v>0</v>
      </c>
      <c r="P590" s="96" t="b">
        <v>0</v>
      </c>
      <c r="Q590" s="96" t="b">
        <v>1</v>
      </c>
      <c r="R590" s="96" t="b">
        <v>0</v>
      </c>
      <c r="S590" s="96" t="b">
        <f ca="1">AND(S11=2,OR(AY40&lt;&gt;INDEX(ddHDucts,2),AY44&lt;&gt;INDEX(ddCDucts,2)),LEN(W321)=0)</f>
        <v>0</v>
      </c>
      <c r="T590" s="96" t="b">
        <f ca="1">AND(NOT(S590),LEN(W590)&gt;0)</f>
        <v>0</v>
      </c>
      <c r="U590" s="881" t="str">
        <f>SUBSTITUTE(SUBSTITUTE(SUBSTITUTE("dd"&amp;B590&amp;C590&amp;D590&amp;E590&amp;F590,".","_"),"(","_"),")","")</f>
        <v>dd705_6_2_3</v>
      </c>
      <c r="W590" s="12"/>
      <c r="X590" s="1600"/>
      <c r="AC590" s="905" t="b">
        <f ca="1">OR(AD590:AE590)</f>
        <v>0</v>
      </c>
      <c r="AD590" s="905" t="b">
        <f ca="1">T590</f>
        <v>0</v>
      </c>
      <c r="AE590" s="905" t="b">
        <f>AND(R590,OR(W590="Not Met",W590=""))</f>
        <v>0</v>
      </c>
      <c r="AL590" s="78"/>
      <c r="AM590" s="78"/>
      <c r="AN590" s="1352" t="str">
        <f>SUBSTITUTE(SUBSTITUTE(SUBSTITUTE("dpc"&amp;$B590&amp;$C590&amp;$D590&amp;$E590&amp;$F590,".","_"),"(","_"),")","")</f>
        <v>dpc705_6_2_3</v>
      </c>
      <c r="AO590" s="1352">
        <f ca="1">O590</f>
        <v>0</v>
      </c>
      <c r="AP590" s="1352" t="str">
        <f>SUBSTITUTE(SUBSTITUTE(SUBSTITUTE("dch"&amp;$B590&amp;$C590&amp;$D590&amp;$E590&amp;$F590,".","_"),"(","_"),")","")</f>
        <v>dch705_6_2_3</v>
      </c>
      <c r="AQ590" s="1352" t="str">
        <f>IF(LEN(W590)=0,"",W590)</f>
        <v/>
      </c>
      <c r="AR590" s="1352" t="str">
        <f>SUBSTITUTE(SUBSTITUTE(SUBSTITUTE("dnt"&amp;$B590&amp;$C590&amp;$D590&amp;$E590&amp;$F590,".","_"),"(","_"),")","")</f>
        <v>dnt705_6_2_3</v>
      </c>
      <c r="AS590" s="1352" t="str">
        <f>IF(LEN(X590)=0,"",X590)</f>
        <v/>
      </c>
      <c r="AX590"/>
      <c r="AY590"/>
    </row>
    <row r="591" spans="2:51" s="843" customFormat="1" ht="15" customHeight="1" x14ac:dyDescent="0.2">
      <c r="B591" s="600" t="s">
        <v>4461</v>
      </c>
      <c r="C591" s="600"/>
      <c r="D591" s="600"/>
      <c r="E591" s="600"/>
      <c r="F591" s="23"/>
      <c r="G591" s="23"/>
      <c r="H591" s="691"/>
      <c r="I591" s="589"/>
      <c r="J591" s="589"/>
      <c r="K591" s="589"/>
      <c r="L591" s="1687"/>
      <c r="M591" s="882"/>
      <c r="N591" s="129"/>
      <c r="O591" s="1619"/>
      <c r="P591" s="96"/>
      <c r="Q591" s="96"/>
      <c r="R591" s="96"/>
      <c r="S591" s="96"/>
      <c r="T591" s="96"/>
      <c r="X591" s="1600"/>
      <c r="AL591" s="78"/>
      <c r="AM591" s="78"/>
      <c r="AN591" s="78"/>
      <c r="AO591" s="78"/>
      <c r="AP591" s="78"/>
      <c r="AQ591" s="78"/>
      <c r="AR591" s="78"/>
      <c r="AS591" s="78"/>
      <c r="AX591"/>
      <c r="AY591"/>
    </row>
    <row r="592" spans="2:51" s="843" customFormat="1" ht="15" customHeight="1" x14ac:dyDescent="0.2">
      <c r="B592" s="600" t="s">
        <v>4461</v>
      </c>
      <c r="C592" s="600"/>
      <c r="D592" s="600"/>
      <c r="E592" s="600"/>
      <c r="F592" s="23"/>
      <c r="G592" s="23"/>
      <c r="H592" s="691"/>
      <c r="I592" s="589"/>
      <c r="J592" s="589"/>
      <c r="K592" s="589"/>
      <c r="L592" s="1687"/>
      <c r="M592" s="882"/>
      <c r="N592" s="129"/>
      <c r="O592" s="1619"/>
      <c r="P592" s="96"/>
      <c r="Q592" s="96"/>
      <c r="R592" s="96"/>
      <c r="S592" s="96"/>
      <c r="T592" s="96"/>
      <c r="X592" s="1600"/>
      <c r="AL592" s="78"/>
      <c r="AM592" s="78"/>
      <c r="AN592" s="78"/>
      <c r="AO592" s="78"/>
      <c r="AP592" s="78"/>
      <c r="AQ592" s="78"/>
      <c r="AR592" s="78"/>
      <c r="AS592" s="78"/>
    </row>
    <row r="593" spans="2:45" s="843" customFormat="1" ht="15" customHeight="1" x14ac:dyDescent="0.2">
      <c r="B593" s="600" t="s">
        <v>4461</v>
      </c>
      <c r="C593" s="600" t="s">
        <v>254</v>
      </c>
      <c r="D593" s="600"/>
      <c r="E593" s="600"/>
      <c r="F593" s="23"/>
      <c r="G593" s="23"/>
      <c r="H593" s="691"/>
      <c r="I593" s="589"/>
      <c r="J593" s="606" t="s">
        <v>254</v>
      </c>
      <c r="K593" s="606"/>
      <c r="L593" s="923" t="s">
        <v>4321</v>
      </c>
      <c r="M593" s="937">
        <v>3</v>
      </c>
      <c r="N593" s="129"/>
      <c r="O593" s="886"/>
      <c r="P593" s="96"/>
      <c r="Q593" s="96"/>
      <c r="R593" s="96"/>
      <c r="S593" s="96"/>
      <c r="T593" s="96"/>
      <c r="X593" s="1600"/>
      <c r="AL593" s="1352" t="str">
        <f>SUBSTITUTE(SUBSTITUTE(SUBSTITUTE("dpa"&amp;$B593&amp;$C593&amp;$D593&amp;$E593&amp;$F593,".","_"),"(","_"),")","")</f>
        <v>dpa705_6_2_3_1</v>
      </c>
      <c r="AM593" s="1352">
        <f>M593</f>
        <v>3</v>
      </c>
      <c r="AN593" s="78"/>
      <c r="AO593" s="78"/>
      <c r="AP593" s="78"/>
      <c r="AQ593" s="78"/>
      <c r="AR593" s="78"/>
      <c r="AS593" s="78"/>
    </row>
    <row r="594" spans="2:45" s="843" customFormat="1" ht="15" customHeight="1" x14ac:dyDescent="0.2">
      <c r="B594" s="600" t="s">
        <v>4461</v>
      </c>
      <c r="C594" s="600" t="s">
        <v>255</v>
      </c>
      <c r="D594" s="600"/>
      <c r="E594" s="600"/>
      <c r="F594" s="23"/>
      <c r="G594" s="23"/>
      <c r="H594" s="691"/>
      <c r="I594" s="590"/>
      <c r="J594" s="590" t="s">
        <v>255</v>
      </c>
      <c r="K594" s="590"/>
      <c r="L594" s="1634" t="s">
        <v>4322</v>
      </c>
      <c r="M594" s="1623">
        <v>5</v>
      </c>
      <c r="N594" s="129"/>
      <c r="O594" s="908"/>
      <c r="P594" s="96"/>
      <c r="Q594" s="96"/>
      <c r="R594" s="96"/>
      <c r="S594" s="96"/>
      <c r="T594" s="96"/>
      <c r="X594" s="1600"/>
      <c r="AL594" s="1352" t="str">
        <f>SUBSTITUTE(SUBSTITUTE(SUBSTITUTE("dpa"&amp;$B594&amp;$C594&amp;$D594&amp;$E594&amp;$F594,".","_"),"(","_"),")","")</f>
        <v>dpa705_6_2_3_2</v>
      </c>
      <c r="AM594" s="1352">
        <f>M594</f>
        <v>5</v>
      </c>
      <c r="AN594" s="78"/>
      <c r="AO594" s="78"/>
      <c r="AP594" s="78"/>
      <c r="AQ594" s="78"/>
      <c r="AR594" s="78"/>
      <c r="AS594" s="78"/>
    </row>
    <row r="595" spans="2:45" s="843" customFormat="1" ht="15" customHeight="1" x14ac:dyDescent="0.2">
      <c r="B595" s="600" t="s">
        <v>4461</v>
      </c>
      <c r="C595" s="600" t="s">
        <v>255</v>
      </c>
      <c r="D595" s="600"/>
      <c r="E595" s="600"/>
      <c r="F595" s="23"/>
      <c r="G595" s="23"/>
      <c r="H595" s="691"/>
      <c r="I595" s="606"/>
      <c r="J595" s="606"/>
      <c r="K595" s="606"/>
      <c r="L595" s="1639"/>
      <c r="M595" s="1624"/>
      <c r="N595" s="213"/>
      <c r="O595" s="909"/>
      <c r="P595" s="96"/>
      <c r="Q595" s="96"/>
      <c r="R595" s="96"/>
      <c r="S595" s="96"/>
      <c r="T595" s="96"/>
      <c r="X595" s="1600"/>
      <c r="AL595" s="78"/>
      <c r="AM595" s="78"/>
      <c r="AN595" s="78"/>
      <c r="AO595" s="78"/>
      <c r="AP595" s="78"/>
      <c r="AQ595" s="78"/>
      <c r="AR595" s="78"/>
      <c r="AS595" s="78"/>
    </row>
    <row r="596" spans="2:45" s="843" customFormat="1" ht="15" customHeight="1" x14ac:dyDescent="0.2">
      <c r="B596" s="600" t="s">
        <v>4462</v>
      </c>
      <c r="C596" s="600"/>
      <c r="D596" s="600"/>
      <c r="E596" s="600"/>
      <c r="F596" s="23"/>
      <c r="G596" s="23"/>
      <c r="H596" s="691"/>
      <c r="I596" s="589" t="s">
        <v>4323</v>
      </c>
      <c r="J596" s="589"/>
      <c r="K596" s="589"/>
      <c r="L596" s="1687" t="s">
        <v>4324</v>
      </c>
      <c r="M596" s="1623">
        <v>1</v>
      </c>
      <c r="N596" s="129"/>
      <c r="O596" s="1619">
        <f ca="1">M596*S596*W596*NOT(W598)</f>
        <v>0</v>
      </c>
      <c r="P596" s="96" t="b">
        <v>1</v>
      </c>
      <c r="Q596" s="96" t="b">
        <v>0</v>
      </c>
      <c r="R596" s="96" t="b">
        <v>0</v>
      </c>
      <c r="S596" s="96" t="b">
        <f ca="1">S11=2</f>
        <v>0</v>
      </c>
      <c r="T596" s="96" t="b">
        <v>0</v>
      </c>
      <c r="W596" s="27"/>
      <c r="AC596" s="881" t="b">
        <f>OR(AD596:AE596)</f>
        <v>0</v>
      </c>
      <c r="AD596" s="881" t="b">
        <f>T596</f>
        <v>0</v>
      </c>
      <c r="AE596" s="881" t="b">
        <f>AND(R596,NOT(W596))</f>
        <v>0</v>
      </c>
      <c r="AL596" s="1352" t="str">
        <f>SUBSTITUTE(SUBSTITUTE(SUBSTITUTE("dpa"&amp;$B596&amp;$C596&amp;$D596&amp;$E596&amp;$F596,".","_"),"(","_"),")","")</f>
        <v>dpa705_6_3</v>
      </c>
      <c r="AM596" s="1352">
        <f>M596</f>
        <v>1</v>
      </c>
      <c r="AN596" s="1352" t="str">
        <f>SUBSTITUTE(SUBSTITUTE(SUBSTITUTE("dpc"&amp;$B596&amp;$C596&amp;$D596&amp;$E596&amp;$F596,".","_"),"(","_"),")","")</f>
        <v>dpc705_6_3</v>
      </c>
      <c r="AO596" s="1352">
        <f ca="1">O596</f>
        <v>0</v>
      </c>
      <c r="AP596" s="1352" t="str">
        <f>SUBSTITUTE(SUBSTITUTE(SUBSTITUTE("dch"&amp;$B596&amp;$C596&amp;$D596&amp;$E596&amp;$F596,".","_"),"(","_"),")","")</f>
        <v>dch705_6_3</v>
      </c>
      <c r="AQ596" s="1352" t="str">
        <f>IF(LEN(W596)=0,"",W596)</f>
        <v/>
      </c>
      <c r="AR596" s="78"/>
      <c r="AS596" s="78"/>
    </row>
    <row r="597" spans="2:45" s="843" customFormat="1" ht="15" customHeight="1" x14ac:dyDescent="0.2">
      <c r="B597" s="600" t="s">
        <v>4462</v>
      </c>
      <c r="C597" s="600"/>
      <c r="D597" s="600"/>
      <c r="E597" s="600"/>
      <c r="F597" s="23"/>
      <c r="G597" s="23"/>
      <c r="H597" s="691"/>
      <c r="I597" s="589"/>
      <c r="J597" s="589"/>
      <c r="K597" s="589"/>
      <c r="L597" s="1687"/>
      <c r="M597" s="1623"/>
      <c r="N597" s="129"/>
      <c r="O597" s="1619"/>
      <c r="P597" s="96"/>
      <c r="Q597" s="96"/>
      <c r="R597" s="96"/>
      <c r="S597" s="96"/>
      <c r="T597" s="96"/>
      <c r="W597" s="881" t="s">
        <v>4506</v>
      </c>
      <c r="AL597" s="78"/>
      <c r="AM597" s="78"/>
      <c r="AN597" s="78"/>
      <c r="AO597" s="78"/>
      <c r="AP597" s="78"/>
      <c r="AQ597" s="78"/>
      <c r="AR597" s="78"/>
      <c r="AS597" s="78"/>
    </row>
    <row r="598" spans="2:45" s="843" customFormat="1" ht="15" customHeight="1" x14ac:dyDescent="0.2">
      <c r="B598" s="600" t="s">
        <v>4462</v>
      </c>
      <c r="C598" s="600" t="s">
        <v>3921</v>
      </c>
      <c r="D598" s="600"/>
      <c r="E598" s="600"/>
      <c r="F598" s="23"/>
      <c r="G598" s="23"/>
      <c r="H598" s="691"/>
      <c r="I598" s="589"/>
      <c r="J598" s="589"/>
      <c r="K598" s="589"/>
      <c r="L598" s="1687"/>
      <c r="M598" s="882"/>
      <c r="N598" s="129"/>
      <c r="O598" s="886"/>
      <c r="P598" s="96" t="b">
        <v>1</v>
      </c>
      <c r="Q598" s="96" t="b">
        <v>0</v>
      </c>
      <c r="R598" s="96" t="b">
        <v>0</v>
      </c>
      <c r="S598" s="96" t="b">
        <f ca="1">S11=2</f>
        <v>0</v>
      </c>
      <c r="T598" s="96" t="b">
        <v>0</v>
      </c>
      <c r="W598" s="27"/>
      <c r="AC598" s="881" t="b">
        <f>OR(AD598:AE598)</f>
        <v>0</v>
      </c>
      <c r="AD598" s="881" t="b">
        <f>T598</f>
        <v>0</v>
      </c>
      <c r="AE598" s="881" t="b">
        <f>AND(R598,NOT(W598))</f>
        <v>0</v>
      </c>
      <c r="AL598" s="78"/>
      <c r="AM598" s="78"/>
      <c r="AN598" s="78"/>
      <c r="AO598" s="78"/>
      <c r="AP598" s="1352" t="str">
        <f>SUBSTITUTE(SUBSTITUTE(SUBSTITUTE("dch"&amp;$B598&amp;$C598&amp;$D598&amp;$E598&amp;$F598,".","_"),"(","_"),")","")</f>
        <v>dch705_6_3_1</v>
      </c>
      <c r="AQ598" s="1352" t="str">
        <f>IF(LEN(W598)=0,"",W598)</f>
        <v/>
      </c>
      <c r="AR598" s="78"/>
      <c r="AS598" s="78"/>
    </row>
    <row r="599" spans="2:45" s="843" customFormat="1" ht="15" customHeight="1" x14ac:dyDescent="0.2">
      <c r="B599" s="600" t="s">
        <v>4462</v>
      </c>
      <c r="C599" s="600"/>
      <c r="D599" s="600" t="s">
        <v>121</v>
      </c>
      <c r="E599" s="600"/>
      <c r="F599" s="23"/>
      <c r="G599" s="23"/>
      <c r="H599" s="691"/>
      <c r="I599" s="589"/>
      <c r="J599" s="589"/>
      <c r="K599" s="589" t="s">
        <v>121</v>
      </c>
      <c r="L599" s="863" t="s">
        <v>4325</v>
      </c>
      <c r="M599" s="96"/>
      <c r="N599" s="96"/>
      <c r="O599" s="96"/>
      <c r="P599" s="96"/>
      <c r="Q599" s="96"/>
      <c r="R599" s="96"/>
      <c r="S599" s="96"/>
      <c r="T599" s="96"/>
      <c r="X599" s="889"/>
      <c r="AL599" s="78"/>
      <c r="AM599" s="78"/>
      <c r="AN599" s="78"/>
      <c r="AO599" s="78"/>
      <c r="AP599" s="78"/>
      <c r="AQ599" s="78"/>
      <c r="AR599" s="1352" t="str">
        <f t="shared" ref="AR599:AR605" si="27">SUBSTITUTE(SUBSTITUTE(SUBSTITUTE("dnt"&amp;$B599&amp;$C599&amp;$D599&amp;$E599&amp;$F599,".","_"),"(","_"),")","")</f>
        <v>dnt705_6_3_a</v>
      </c>
      <c r="AS599" s="1352" t="str">
        <f t="shared" ref="AS599:AS605" si="28">IF(LEN(X599)=0,"",X599)</f>
        <v/>
      </c>
    </row>
    <row r="600" spans="2:45" s="843" customFormat="1" ht="15" customHeight="1" x14ac:dyDescent="0.2">
      <c r="B600" s="600" t="s">
        <v>4462</v>
      </c>
      <c r="C600" s="600"/>
      <c r="D600" s="600" t="s">
        <v>122</v>
      </c>
      <c r="E600" s="600"/>
      <c r="F600" s="23"/>
      <c r="G600" s="23"/>
      <c r="H600" s="691"/>
      <c r="I600" s="589"/>
      <c r="J600" s="589"/>
      <c r="K600" s="589" t="s">
        <v>122</v>
      </c>
      <c r="L600" s="863" t="s">
        <v>4326</v>
      </c>
      <c r="M600" s="96"/>
      <c r="N600" s="96"/>
      <c r="O600" s="96"/>
      <c r="P600" s="96"/>
      <c r="Q600" s="96"/>
      <c r="R600" s="96"/>
      <c r="S600" s="96"/>
      <c r="T600" s="96"/>
      <c r="X600" s="889"/>
      <c r="AL600" s="78"/>
      <c r="AM600" s="78"/>
      <c r="AN600" s="78"/>
      <c r="AO600" s="78"/>
      <c r="AP600" s="78"/>
      <c r="AQ600" s="78"/>
      <c r="AR600" s="1352" t="str">
        <f t="shared" si="27"/>
        <v>dnt705_6_3_b</v>
      </c>
      <c r="AS600" s="1352" t="str">
        <f t="shared" si="28"/>
        <v/>
      </c>
    </row>
    <row r="601" spans="2:45" s="843" customFormat="1" ht="15" customHeight="1" x14ac:dyDescent="0.2">
      <c r="B601" s="600" t="s">
        <v>4462</v>
      </c>
      <c r="C601" s="600"/>
      <c r="D601" s="600" t="s">
        <v>123</v>
      </c>
      <c r="E601" s="600"/>
      <c r="F601" s="23"/>
      <c r="G601" s="23"/>
      <c r="H601" s="691"/>
      <c r="I601" s="589"/>
      <c r="J601" s="589"/>
      <c r="K601" s="589" t="s">
        <v>123</v>
      </c>
      <c r="L601" s="863" t="s">
        <v>4327</v>
      </c>
      <c r="M601" s="96"/>
      <c r="N601" s="96"/>
      <c r="O601" s="96"/>
      <c r="P601" s="96"/>
      <c r="Q601" s="96"/>
      <c r="R601" s="96"/>
      <c r="S601" s="96"/>
      <c r="T601" s="96"/>
      <c r="X601" s="889"/>
      <c r="AL601" s="78"/>
      <c r="AM601" s="78"/>
      <c r="AN601" s="78"/>
      <c r="AO601" s="78"/>
      <c r="AP601" s="78"/>
      <c r="AQ601" s="78"/>
      <c r="AR601" s="1352" t="str">
        <f t="shared" si="27"/>
        <v>dnt705_6_3_c</v>
      </c>
      <c r="AS601" s="1352" t="str">
        <f t="shared" si="28"/>
        <v/>
      </c>
    </row>
    <row r="602" spans="2:45" s="843" customFormat="1" ht="15" customHeight="1" x14ac:dyDescent="0.2">
      <c r="B602" s="600" t="s">
        <v>4462</v>
      </c>
      <c r="C602" s="600"/>
      <c r="D602" s="600" t="s">
        <v>366</v>
      </c>
      <c r="E602" s="600"/>
      <c r="F602" s="23"/>
      <c r="G602" s="23"/>
      <c r="H602" s="691"/>
      <c r="I602" s="589"/>
      <c r="J602" s="589"/>
      <c r="K602" s="589" t="s">
        <v>366</v>
      </c>
      <c r="L602" s="863" t="s">
        <v>4328</v>
      </c>
      <c r="M602" s="96"/>
      <c r="N602" s="96"/>
      <c r="O602" s="96"/>
      <c r="P602" s="96"/>
      <c r="Q602" s="96"/>
      <c r="R602" s="96"/>
      <c r="S602" s="96"/>
      <c r="T602" s="96"/>
      <c r="X602" s="889"/>
      <c r="AL602" s="78"/>
      <c r="AM602" s="78"/>
      <c r="AN602" s="78"/>
      <c r="AO602" s="78"/>
      <c r="AP602" s="78"/>
      <c r="AQ602" s="78"/>
      <c r="AR602" s="1352" t="str">
        <f t="shared" si="27"/>
        <v>dnt705_6_3_d</v>
      </c>
      <c r="AS602" s="1352" t="str">
        <f t="shared" si="28"/>
        <v/>
      </c>
    </row>
    <row r="603" spans="2:45" s="843" customFormat="1" ht="15" customHeight="1" x14ac:dyDescent="0.2">
      <c r="B603" s="600" t="s">
        <v>4462</v>
      </c>
      <c r="C603" s="600"/>
      <c r="D603" s="600" t="s">
        <v>472</v>
      </c>
      <c r="E603" s="600"/>
      <c r="F603" s="23"/>
      <c r="G603" s="23"/>
      <c r="H603" s="691"/>
      <c r="I603" s="589"/>
      <c r="J603" s="589"/>
      <c r="K603" s="589" t="s">
        <v>472</v>
      </c>
      <c r="L603" s="863" t="s">
        <v>4329</v>
      </c>
      <c r="M603" s="96"/>
      <c r="N603" s="96"/>
      <c r="O603" s="96"/>
      <c r="P603" s="96"/>
      <c r="Q603" s="96"/>
      <c r="R603" s="96"/>
      <c r="S603" s="96"/>
      <c r="T603" s="96"/>
      <c r="X603" s="889"/>
      <c r="AL603" s="78"/>
      <c r="AM603" s="78"/>
      <c r="AN603" s="78"/>
      <c r="AO603" s="78"/>
      <c r="AP603" s="78"/>
      <c r="AQ603" s="78"/>
      <c r="AR603" s="1352" t="str">
        <f t="shared" si="27"/>
        <v>dnt705_6_3_e</v>
      </c>
      <c r="AS603" s="1352" t="str">
        <f t="shared" si="28"/>
        <v/>
      </c>
    </row>
    <row r="604" spans="2:45" s="843" customFormat="1" ht="15" customHeight="1" x14ac:dyDescent="0.2">
      <c r="B604" s="600" t="s">
        <v>4462</v>
      </c>
      <c r="C604" s="600"/>
      <c r="D604" s="600" t="s">
        <v>510</v>
      </c>
      <c r="E604" s="600"/>
      <c r="F604" s="23"/>
      <c r="G604" s="23"/>
      <c r="H604" s="691"/>
      <c r="I604" s="589"/>
      <c r="J604" s="589"/>
      <c r="K604" s="589" t="s">
        <v>510</v>
      </c>
      <c r="L604" s="863" t="s">
        <v>4330</v>
      </c>
      <c r="M604" s="96"/>
      <c r="N604" s="96"/>
      <c r="O604" s="96"/>
      <c r="P604" s="96"/>
      <c r="Q604" s="96"/>
      <c r="R604" s="96"/>
      <c r="S604" s="96"/>
      <c r="T604" s="96"/>
      <c r="X604" s="889"/>
      <c r="AL604" s="78"/>
      <c r="AM604" s="78"/>
      <c r="AN604" s="78"/>
      <c r="AO604" s="78"/>
      <c r="AP604" s="78"/>
      <c r="AQ604" s="78"/>
      <c r="AR604" s="1352" t="str">
        <f t="shared" si="27"/>
        <v>dnt705_6_3_f</v>
      </c>
      <c r="AS604" s="1352" t="str">
        <f t="shared" si="28"/>
        <v/>
      </c>
    </row>
    <row r="605" spans="2:45" s="843" customFormat="1" ht="15" customHeight="1" x14ac:dyDescent="0.2">
      <c r="B605" s="600" t="s">
        <v>4462</v>
      </c>
      <c r="C605" s="600"/>
      <c r="D605" s="600" t="s">
        <v>512</v>
      </c>
      <c r="E605" s="600"/>
      <c r="F605" s="23"/>
      <c r="G605" s="23"/>
      <c r="H605" s="691"/>
      <c r="I605" s="590"/>
      <c r="J605" s="590"/>
      <c r="K605" s="590" t="s">
        <v>512</v>
      </c>
      <c r="L605" s="1634" t="s">
        <v>4331</v>
      </c>
      <c r="M605" s="991"/>
      <c r="N605" s="991"/>
      <c r="O605" s="991"/>
      <c r="P605" s="991"/>
      <c r="Q605" s="991"/>
      <c r="R605" s="991"/>
      <c r="S605" s="991"/>
      <c r="T605" s="991"/>
      <c r="U605" s="991"/>
      <c r="V605" s="991"/>
      <c r="W605" s="114"/>
      <c r="X605" s="1600"/>
      <c r="AL605" s="78"/>
      <c r="AM605" s="78"/>
      <c r="AN605" s="78"/>
      <c r="AO605" s="78"/>
      <c r="AP605" s="78"/>
      <c r="AQ605" s="78"/>
      <c r="AR605" s="1352" t="str">
        <f t="shared" si="27"/>
        <v>dnt705_6_3_g</v>
      </c>
      <c r="AS605" s="1352" t="str">
        <f t="shared" si="28"/>
        <v/>
      </c>
    </row>
    <row r="606" spans="2:45" s="843" customFormat="1" ht="15" customHeight="1" x14ac:dyDescent="0.2">
      <c r="B606" s="600" t="s">
        <v>4462</v>
      </c>
      <c r="C606" s="600"/>
      <c r="D606" s="600" t="s">
        <v>512</v>
      </c>
      <c r="E606" s="600"/>
      <c r="F606" s="23"/>
      <c r="G606" s="23"/>
      <c r="H606" s="691"/>
      <c r="I606" s="606"/>
      <c r="J606" s="606"/>
      <c r="K606" s="606"/>
      <c r="L606" s="1639"/>
      <c r="M606" s="173"/>
      <c r="N606" s="173"/>
      <c r="O606" s="173"/>
      <c r="P606" s="173"/>
      <c r="Q606" s="173"/>
      <c r="R606" s="173"/>
      <c r="S606" s="173"/>
      <c r="T606" s="173"/>
      <c r="U606" s="173"/>
      <c r="V606" s="173"/>
      <c r="W606" s="818"/>
      <c r="X606" s="1600"/>
      <c r="AL606" s="78"/>
      <c r="AM606" s="78"/>
      <c r="AN606" s="78"/>
      <c r="AO606" s="78"/>
      <c r="AP606" s="78"/>
      <c r="AQ606" s="78"/>
      <c r="AR606" s="78"/>
      <c r="AS606" s="78"/>
    </row>
    <row r="607" spans="2:45" s="843" customFormat="1" ht="15" customHeight="1" x14ac:dyDescent="0.2">
      <c r="B607" s="600" t="s">
        <v>4463</v>
      </c>
      <c r="C607" s="600"/>
      <c r="D607" s="600"/>
      <c r="E607" s="600"/>
      <c r="F607" s="23"/>
      <c r="G607" s="23"/>
      <c r="H607" s="691"/>
      <c r="I607" s="589" t="s">
        <v>4332</v>
      </c>
      <c r="J607" s="589"/>
      <c r="K607" s="589"/>
      <c r="L607" s="869" t="s">
        <v>4333</v>
      </c>
      <c r="M607" s="96"/>
      <c r="N607" s="96"/>
      <c r="O607" s="96"/>
      <c r="P607" s="96"/>
      <c r="Q607" s="96"/>
      <c r="R607" s="96"/>
      <c r="S607" s="96"/>
      <c r="T607" s="96"/>
      <c r="AL607" s="78"/>
      <c r="AM607" s="78"/>
      <c r="AN607" s="78"/>
      <c r="AO607" s="78"/>
      <c r="AP607" s="78"/>
      <c r="AQ607" s="78"/>
      <c r="AR607" s="78"/>
      <c r="AS607" s="78"/>
    </row>
    <row r="608" spans="2:45" s="843" customFormat="1" ht="15" customHeight="1" x14ac:dyDescent="0.2">
      <c r="B608" s="600" t="s">
        <v>4464</v>
      </c>
      <c r="C608" s="600"/>
      <c r="D608" s="600"/>
      <c r="E608" s="600"/>
      <c r="F608" s="23"/>
      <c r="G608" s="23"/>
      <c r="H608" s="691"/>
      <c r="I608" s="590" t="s">
        <v>4334</v>
      </c>
      <c r="J608" s="590"/>
      <c r="K608" s="590"/>
      <c r="L608" s="1687" t="s">
        <v>4335</v>
      </c>
      <c r="M608" s="1623">
        <v>1</v>
      </c>
      <c r="N608" s="129"/>
      <c r="O608" s="1619">
        <f ca="1">M608*S608*W608</f>
        <v>0</v>
      </c>
      <c r="P608" s="96" t="b">
        <v>1</v>
      </c>
      <c r="Q608" s="96" t="b">
        <v>1</v>
      </c>
      <c r="R608" s="96" t="b">
        <v>0</v>
      </c>
      <c r="S608" s="96" t="b">
        <f ca="1">IF(AND(S11=2,AY19=INDEX(INDIRECT("ddSingleOrMulti"),1)),TRUE,FALSE)</f>
        <v>0</v>
      </c>
      <c r="T608" s="96" t="b">
        <f ca="1">AND(NOT(S608),W608=TRUE)</f>
        <v>0</v>
      </c>
      <c r="W608" s="27"/>
      <c r="X608" s="1600"/>
      <c r="AC608" s="881" t="b">
        <f ca="1">OR(AD608:AE608)</f>
        <v>0</v>
      </c>
      <c r="AD608" s="881" t="b">
        <f ca="1">T608</f>
        <v>0</v>
      </c>
      <c r="AE608" s="881" t="b">
        <f>AND(R608,NOT(W608))</f>
        <v>0</v>
      </c>
      <c r="AL608" s="1352" t="str">
        <f>SUBSTITUTE(SUBSTITUTE(SUBSTITUTE("dpa"&amp;$B608&amp;$C608&amp;$D608&amp;$E608&amp;$F608,".","_"),"(","_"),")","")</f>
        <v>dpa705_6_4_1</v>
      </c>
      <c r="AM608" s="1352">
        <f>M608</f>
        <v>1</v>
      </c>
      <c r="AN608" s="1352" t="str">
        <f>SUBSTITUTE(SUBSTITUTE(SUBSTITUTE("dpc"&amp;$B608&amp;$C608&amp;$D608&amp;$E608&amp;$F608,".","_"),"(","_"),")","")</f>
        <v>dpc705_6_4_1</v>
      </c>
      <c r="AO608" s="1352">
        <f ca="1">O608</f>
        <v>0</v>
      </c>
      <c r="AP608" s="1352" t="str">
        <f>SUBSTITUTE(SUBSTITUTE(SUBSTITUTE("dch"&amp;$B608&amp;$C608&amp;$D608&amp;$E608&amp;$F608,".","_"),"(","_"),")","")</f>
        <v>dch705_6_4_1</v>
      </c>
      <c r="AQ608" s="1352" t="str">
        <f>IF(LEN(W608)=0,"",W608)</f>
        <v/>
      </c>
      <c r="AR608" s="1352" t="str">
        <f>SUBSTITUTE(SUBSTITUTE(SUBSTITUTE("dnt"&amp;$B608&amp;$C608&amp;$D608&amp;$E608&amp;$F608,".","_"),"(","_"),")","")</f>
        <v>dnt705_6_4_1</v>
      </c>
      <c r="AS608" s="1352" t="str">
        <f>IF(LEN(X608)=0,"",X608)</f>
        <v/>
      </c>
    </row>
    <row r="609" spans="2:45" s="843" customFormat="1" ht="15" customHeight="1" x14ac:dyDescent="0.2">
      <c r="B609" s="600" t="s">
        <v>4464</v>
      </c>
      <c r="C609" s="600"/>
      <c r="D609" s="600"/>
      <c r="E609" s="600"/>
      <c r="F609" s="23"/>
      <c r="G609" s="23"/>
      <c r="H609" s="691"/>
      <c r="I609" s="606"/>
      <c r="J609" s="606"/>
      <c r="K609" s="606"/>
      <c r="L609" s="1688"/>
      <c r="M609" s="1624"/>
      <c r="N609" s="213"/>
      <c r="O609" s="1620"/>
      <c r="P609" s="96"/>
      <c r="Q609" s="96"/>
      <c r="R609" s="96"/>
      <c r="S609" s="96"/>
      <c r="T609" s="96"/>
      <c r="X609" s="1600"/>
      <c r="AL609" s="78"/>
      <c r="AM609" s="78"/>
      <c r="AN609" s="78"/>
      <c r="AO609" s="78"/>
      <c r="AP609" s="78"/>
      <c r="AQ609" s="78"/>
      <c r="AR609" s="78"/>
      <c r="AS609" s="78"/>
    </row>
    <row r="610" spans="2:45" s="843" customFormat="1" ht="15" customHeight="1" x14ac:dyDescent="0.2">
      <c r="B610" s="600" t="s">
        <v>4465</v>
      </c>
      <c r="C610" s="600"/>
      <c r="D610" s="600"/>
      <c r="E610" s="600"/>
      <c r="F610" s="23"/>
      <c r="G610" s="23"/>
      <c r="H610" s="691"/>
      <c r="I610" s="590" t="s">
        <v>4336</v>
      </c>
      <c r="J610" s="590"/>
      <c r="K610" s="590"/>
      <c r="L610" s="1687" t="s">
        <v>4337</v>
      </c>
      <c r="M610" s="1623">
        <v>2</v>
      </c>
      <c r="N610" s="129"/>
      <c r="O610" s="1619">
        <f ca="1">M610*S610*W610</f>
        <v>0</v>
      </c>
      <c r="P610" s="991" t="b">
        <v>1</v>
      </c>
      <c r="Q610" s="991" t="b">
        <v>1</v>
      </c>
      <c r="R610" s="991" t="b">
        <v>0</v>
      </c>
      <c r="S610" s="991" t="b">
        <f ca="1">IF(AND(S11=2,AY19=INDEX(INDIRECT("ddSingleOrMulti"),2)),TRUE,FALSE)</f>
        <v>0</v>
      </c>
      <c r="T610" s="991" t="b">
        <f ca="1">AND(NOT(S610),W610=TRUE)</f>
        <v>0</v>
      </c>
      <c r="U610" s="991"/>
      <c r="V610" s="991"/>
      <c r="W610" s="333"/>
      <c r="X610" s="1601"/>
      <c r="AC610" s="881" t="b">
        <f ca="1">OR(AD610:AE610)</f>
        <v>0</v>
      </c>
      <c r="AD610" s="881" t="b">
        <f ca="1">T610</f>
        <v>0</v>
      </c>
      <c r="AE610" s="881" t="b">
        <f>AND(R610,NOT(W610))</f>
        <v>0</v>
      </c>
      <c r="AL610" s="1352" t="str">
        <f>SUBSTITUTE(SUBSTITUTE(SUBSTITUTE("dpa"&amp;$B610&amp;$C610&amp;$D610&amp;$E610&amp;$F610,".","_"),"(","_"),")","")</f>
        <v>dpa705_6_4_2</v>
      </c>
      <c r="AM610" s="1352">
        <f>M610</f>
        <v>2</v>
      </c>
      <c r="AN610" s="1352" t="str">
        <f>SUBSTITUTE(SUBSTITUTE(SUBSTITUTE("dpc"&amp;$B610&amp;$C610&amp;$D610&amp;$E610&amp;$F610,".","_"),"(","_"),")","")</f>
        <v>dpc705_6_4_2</v>
      </c>
      <c r="AO610" s="1352">
        <f ca="1">O610</f>
        <v>0</v>
      </c>
      <c r="AP610" s="1352" t="str">
        <f>SUBSTITUTE(SUBSTITUTE(SUBSTITUTE("dch"&amp;$B610&amp;$C610&amp;$D610&amp;$E610&amp;$F610,".","_"),"(","_"),")","")</f>
        <v>dch705_6_4_2</v>
      </c>
      <c r="AQ610" s="1352" t="str">
        <f>IF(LEN(W610)=0,"",W610)</f>
        <v/>
      </c>
      <c r="AR610" s="1352" t="str">
        <f>SUBSTITUTE(SUBSTITUTE(SUBSTITUTE("dnt"&amp;$B610&amp;$C610&amp;$D610&amp;$E610&amp;$F610,".","_"),"(","_"),")","")</f>
        <v>dnt705_6_4_2</v>
      </c>
      <c r="AS610" s="1352" t="str">
        <f>IF(LEN(X610)=0,"",X610)</f>
        <v/>
      </c>
    </row>
    <row r="611" spans="2:45" s="843" customFormat="1" ht="15" customHeight="1" thickBot="1" x14ac:dyDescent="0.25">
      <c r="B611" s="600" t="s">
        <v>4465</v>
      </c>
      <c r="C611" s="600"/>
      <c r="D611" s="600"/>
      <c r="E611" s="600"/>
      <c r="F611" s="23"/>
      <c r="G611" s="23"/>
      <c r="H611" s="691"/>
      <c r="I611" s="594"/>
      <c r="J611" s="594"/>
      <c r="K611" s="594"/>
      <c r="L611" s="1738"/>
      <c r="M611" s="1627"/>
      <c r="N611" s="239"/>
      <c r="O611" s="1638"/>
      <c r="P611" s="100"/>
      <c r="Q611" s="100"/>
      <c r="R611" s="100"/>
      <c r="S611" s="100"/>
      <c r="T611" s="100"/>
      <c r="U611" s="100"/>
      <c r="V611" s="100"/>
      <c r="W611" s="100"/>
      <c r="X611" s="1602"/>
      <c r="AL611" s="78"/>
      <c r="AM611" s="78"/>
      <c r="AN611" s="78"/>
      <c r="AO611" s="78"/>
      <c r="AP611" s="78"/>
      <c r="AQ611" s="78"/>
      <c r="AR611" s="78"/>
      <c r="AS611" s="78"/>
    </row>
    <row r="612" spans="2:45" s="843" customFormat="1" ht="15" customHeight="1" thickTop="1" x14ac:dyDescent="0.2">
      <c r="B612" s="600">
        <v>705.7</v>
      </c>
      <c r="C612" s="600"/>
      <c r="D612" s="600"/>
      <c r="E612" s="600"/>
      <c r="F612" s="23"/>
      <c r="G612" s="23"/>
      <c r="H612" s="691"/>
      <c r="I612" s="589" t="s">
        <v>4338</v>
      </c>
      <c r="J612" s="589"/>
      <c r="K612" s="589"/>
      <c r="L612" s="1687" t="s">
        <v>4339</v>
      </c>
      <c r="M612" s="1623">
        <v>1</v>
      </c>
      <c r="N612" s="129"/>
      <c r="O612" s="1619">
        <f ca="1">M612*S612*W612</f>
        <v>0</v>
      </c>
      <c r="P612" s="96" t="b">
        <v>0</v>
      </c>
      <c r="Q612" s="96" t="b">
        <v>1</v>
      </c>
      <c r="R612" s="96" t="b">
        <v>0</v>
      </c>
      <c r="S612" s="96" t="b">
        <f ca="1">IF(AND(S11=2,AY19=INDEX(INDIRECT("ddSingleOrMulti"),2)),TRUE,FALSE)</f>
        <v>0</v>
      </c>
      <c r="T612" s="96" t="b">
        <f ca="1">AND(NOT(S612),W612=TRUE)</f>
        <v>0</v>
      </c>
      <c r="W612" s="119"/>
      <c r="X612" s="1599"/>
      <c r="AC612" s="881" t="b">
        <f ca="1">OR(AD612:AE612)</f>
        <v>0</v>
      </c>
      <c r="AD612" s="881" t="b">
        <f ca="1">T612</f>
        <v>0</v>
      </c>
      <c r="AE612" s="881" t="b">
        <f>AND(R612,NOT(W612))</f>
        <v>0</v>
      </c>
      <c r="AL612" s="1352" t="str">
        <f>SUBSTITUTE(SUBSTITUTE(SUBSTITUTE("dpa"&amp;$B612&amp;$C612&amp;$D612&amp;$E612&amp;$F612,".","_"),"(","_"),")","")</f>
        <v>dpa705_7</v>
      </c>
      <c r="AM612" s="1352">
        <f>M612</f>
        <v>1</v>
      </c>
      <c r="AN612" s="1352" t="str">
        <f>SUBSTITUTE(SUBSTITUTE(SUBSTITUTE("dpc"&amp;$B612&amp;$C612&amp;$D612&amp;$E612&amp;$F612,".","_"),"(","_"),")","")</f>
        <v>dpc705_7</v>
      </c>
      <c r="AO612" s="1352">
        <f ca="1">O612</f>
        <v>0</v>
      </c>
      <c r="AP612" s="1352" t="str">
        <f>SUBSTITUTE(SUBSTITUTE(SUBSTITUTE("dch"&amp;$B612&amp;$C612&amp;$D612&amp;$E612&amp;$F612,".","_"),"(","_"),")","")</f>
        <v>dch705_7</v>
      </c>
      <c r="AQ612" s="1352" t="str">
        <f>IF(LEN(W612)=0,"",W612)</f>
        <v/>
      </c>
      <c r="AR612" s="1352" t="str">
        <f>SUBSTITUTE(SUBSTITUTE(SUBSTITUTE("dnt"&amp;$B612&amp;$C612&amp;$D612&amp;$E612&amp;$F612,".","_"),"(","_"),")","")</f>
        <v>dnt705_7</v>
      </c>
      <c r="AS612" s="1352" t="str">
        <f>IF(LEN(X612)=0,"",X612)</f>
        <v/>
      </c>
    </row>
    <row r="613" spans="2:45" s="843" customFormat="1" ht="15" customHeight="1" x14ac:dyDescent="0.2">
      <c r="B613" s="600">
        <v>705.7</v>
      </c>
      <c r="C613" s="600"/>
      <c r="D613" s="600"/>
      <c r="E613" s="600"/>
      <c r="F613" s="23"/>
      <c r="G613" s="23"/>
      <c r="H613" s="691"/>
      <c r="I613" s="589"/>
      <c r="J613" s="589"/>
      <c r="K613" s="589"/>
      <c r="L613" s="1687"/>
      <c r="M613" s="1623"/>
      <c r="N613" s="129"/>
      <c r="O613" s="1619"/>
      <c r="P613" s="96"/>
      <c r="Q613" s="96"/>
      <c r="R613" s="96"/>
      <c r="S613" s="96"/>
      <c r="T613" s="96"/>
      <c r="X613" s="1600"/>
      <c r="AL613" s="78"/>
      <c r="AM613" s="78"/>
      <c r="AN613" s="78"/>
      <c r="AO613" s="78"/>
      <c r="AP613" s="78"/>
      <c r="AQ613" s="78"/>
      <c r="AR613" s="78"/>
      <c r="AS613" s="78"/>
    </row>
    <row r="614" spans="2:45" s="843" customFormat="1" ht="15" customHeight="1" x14ac:dyDescent="0.2">
      <c r="B614" s="600">
        <v>705.7</v>
      </c>
      <c r="C614" s="600"/>
      <c r="D614" s="600"/>
      <c r="E614" s="600"/>
      <c r="F614" s="23"/>
      <c r="G614" s="23"/>
      <c r="H614" s="691"/>
      <c r="I614" s="589"/>
      <c r="J614" s="589"/>
      <c r="K614" s="589"/>
      <c r="L614" s="1687"/>
      <c r="M614" s="1623"/>
      <c r="N614" s="129"/>
      <c r="O614" s="1619"/>
      <c r="P614" s="96"/>
      <c r="Q614" s="96"/>
      <c r="R614" s="96"/>
      <c r="S614" s="96"/>
      <c r="T614" s="96"/>
      <c r="X614" s="1600"/>
      <c r="AL614" s="78"/>
      <c r="AM614" s="78"/>
      <c r="AN614" s="78"/>
      <c r="AO614" s="78"/>
      <c r="AP614" s="78"/>
      <c r="AQ614" s="78"/>
      <c r="AR614" s="78"/>
      <c r="AS614" s="78"/>
    </row>
    <row r="615" spans="2:45" s="843" customFormat="1" ht="15" customHeight="1" x14ac:dyDescent="0.2">
      <c r="B615" s="600">
        <v>705.7</v>
      </c>
      <c r="C615" s="600"/>
      <c r="D615" s="600"/>
      <c r="E615" s="600"/>
      <c r="F615" s="23"/>
      <c r="G615" s="23"/>
      <c r="H615" s="691"/>
      <c r="I615" s="589"/>
      <c r="J615" s="589"/>
      <c r="K615" s="589"/>
      <c r="L615" s="1687"/>
      <c r="M615" s="1623"/>
      <c r="N615" s="129"/>
      <c r="O615" s="1619"/>
      <c r="P615" s="96"/>
      <c r="Q615" s="96"/>
      <c r="R615" s="96"/>
      <c r="S615" s="96"/>
      <c r="T615" s="96"/>
      <c r="X615" s="1600"/>
      <c r="AL615" s="78"/>
      <c r="AM615" s="78"/>
      <c r="AN615" s="78"/>
      <c r="AO615" s="78"/>
      <c r="AP615" s="78"/>
      <c r="AQ615" s="78"/>
      <c r="AR615" s="78"/>
      <c r="AS615" s="78"/>
    </row>
    <row r="616" spans="2:45" s="843" customFormat="1" ht="19" x14ac:dyDescent="0.25">
      <c r="B616" s="600">
        <v>706</v>
      </c>
      <c r="C616" s="600"/>
      <c r="D616" s="600"/>
      <c r="E616" s="600"/>
      <c r="F616" s="23"/>
      <c r="G616" s="23"/>
      <c r="H616" s="691"/>
      <c r="I616" s="1004" t="s">
        <v>4340</v>
      </c>
      <c r="J616" s="81"/>
      <c r="K616" s="81"/>
      <c r="L616" s="1004"/>
      <c r="M616" s="994"/>
      <c r="N616" s="994"/>
      <c r="O616" s="994"/>
      <c r="P616" s="994"/>
      <c r="Q616" s="994"/>
      <c r="R616" s="994"/>
      <c r="S616" s="994"/>
      <c r="T616" s="994"/>
      <c r="U616" s="25"/>
      <c r="V616" s="25"/>
      <c r="W616" s="25"/>
      <c r="X616" s="25"/>
      <c r="AL616" s="78"/>
      <c r="AM616" s="78"/>
      <c r="AN616" s="78"/>
      <c r="AO616" s="78"/>
      <c r="AP616" s="78"/>
      <c r="AQ616" s="78"/>
      <c r="AR616" s="78"/>
      <c r="AS616" s="78"/>
    </row>
    <row r="617" spans="2:45" s="843" customFormat="1" ht="15" customHeight="1" x14ac:dyDescent="0.2">
      <c r="B617" s="600">
        <v>706.1</v>
      </c>
      <c r="C617" s="600"/>
      <c r="D617" s="600"/>
      <c r="E617" s="600"/>
      <c r="F617" s="23"/>
      <c r="G617" s="23"/>
      <c r="H617" s="691"/>
      <c r="I617" s="589" t="s">
        <v>4341</v>
      </c>
      <c r="J617" s="589"/>
      <c r="K617" s="589"/>
      <c r="L617" s="1687" t="s">
        <v>4342</v>
      </c>
      <c r="M617" s="1623" t="s">
        <v>4482</v>
      </c>
      <c r="N617" s="129"/>
      <c r="O617" s="1619">
        <f ca="1">MIN(3,(M619*S619*W619+M620*S620*W620+M621*S621*W621+M622*S622*W622+M624*S624*W624))</f>
        <v>0</v>
      </c>
      <c r="P617" s="96"/>
      <c r="Q617" s="96"/>
      <c r="R617" s="96"/>
      <c r="S617" s="96"/>
      <c r="T617" s="96"/>
      <c r="AL617" s="1352" t="str">
        <f>SUBSTITUTE(SUBSTITUTE(SUBSTITUTE("dpa"&amp;$B617&amp;$C617&amp;$D617&amp;$E617&amp;$F617,".","_"),"(","_"),")","")</f>
        <v>dpa706_1</v>
      </c>
      <c r="AM617" s="1352" t="str">
        <f>M617</f>
        <v>3 Max</v>
      </c>
      <c r="AN617" s="1352" t="str">
        <f>SUBSTITUTE(SUBSTITUTE(SUBSTITUTE("dpc"&amp;$B617&amp;$C617&amp;$D617&amp;$E617&amp;$F617,".","_"),"(","_"),")","")</f>
        <v>dpc706_1</v>
      </c>
      <c r="AO617" s="1352">
        <f ca="1">O617</f>
        <v>0</v>
      </c>
      <c r="AP617" s="78"/>
      <c r="AQ617" s="78"/>
      <c r="AR617" s="78"/>
      <c r="AS617" s="78"/>
    </row>
    <row r="618" spans="2:45" s="843" customFormat="1" ht="15" customHeight="1" x14ac:dyDescent="0.2">
      <c r="B618" s="600">
        <v>706.1</v>
      </c>
      <c r="C618" s="600"/>
      <c r="D618" s="600"/>
      <c r="E618" s="600"/>
      <c r="F618" s="23"/>
      <c r="G618" s="23"/>
      <c r="H618" s="691"/>
      <c r="I618" s="589"/>
      <c r="J618" s="589"/>
      <c r="K618" s="589"/>
      <c r="L618" s="1687"/>
      <c r="M618" s="1623"/>
      <c r="N618" s="129"/>
      <c r="O618" s="1619"/>
      <c r="P618" s="96"/>
      <c r="Q618" s="96"/>
      <c r="R618" s="96"/>
      <c r="S618" s="96"/>
      <c r="T618" s="96"/>
      <c r="AL618" s="78"/>
      <c r="AM618" s="78"/>
      <c r="AN618" s="78"/>
      <c r="AO618" s="78"/>
      <c r="AP618" s="78"/>
      <c r="AQ618" s="78"/>
      <c r="AR618" s="78"/>
      <c r="AS618" s="78"/>
    </row>
    <row r="619" spans="2:45" s="843" customFormat="1" ht="15" customHeight="1" x14ac:dyDescent="0.2">
      <c r="B619" s="600">
        <v>706.1</v>
      </c>
      <c r="C619" s="600" t="s">
        <v>254</v>
      </c>
      <c r="D619" s="600"/>
      <c r="E619" s="600"/>
      <c r="F619" s="23"/>
      <c r="G619" s="23"/>
      <c r="H619" s="691"/>
      <c r="I619" s="589"/>
      <c r="J619" s="606" t="s">
        <v>254</v>
      </c>
      <c r="K619" s="606"/>
      <c r="L619" s="923" t="s">
        <v>4343</v>
      </c>
      <c r="M619" s="937">
        <v>1</v>
      </c>
      <c r="N619" s="129"/>
      <c r="O619" s="886"/>
      <c r="P619" s="96"/>
      <c r="Q619" s="96" t="b">
        <v>1</v>
      </c>
      <c r="R619" s="96" t="b">
        <v>0</v>
      </c>
      <c r="S619" s="96" t="b">
        <f ca="1">S11=2</f>
        <v>0</v>
      </c>
      <c r="T619" s="96" t="b">
        <v>0</v>
      </c>
      <c r="W619" s="27"/>
      <c r="X619" s="889"/>
      <c r="AC619" s="881" t="b">
        <f>OR(AD619:AE619)</f>
        <v>0</v>
      </c>
      <c r="AD619" s="881" t="b">
        <f>T619</f>
        <v>0</v>
      </c>
      <c r="AE619" s="881" t="b">
        <f>AND(R619,NOT(W619))</f>
        <v>0</v>
      </c>
      <c r="AL619" s="1352" t="str">
        <f>SUBSTITUTE(SUBSTITUTE(SUBSTITUTE("dpa"&amp;$B619&amp;$C619&amp;$D619&amp;$E619&amp;$F619,".","_"),"(","_"),")","")</f>
        <v>dpa706_1_1</v>
      </c>
      <c r="AM619" s="1352">
        <f>M619</f>
        <v>1</v>
      </c>
      <c r="AN619" s="78"/>
      <c r="AO619" s="78"/>
      <c r="AP619" s="1352" t="str">
        <f t="shared" ref="AP619:AP622" si="29">SUBSTITUTE(SUBSTITUTE(SUBSTITUTE("dch"&amp;$B619&amp;$C619&amp;$D619&amp;$E619&amp;$F619,".","_"),"(","_"),")","")</f>
        <v>dch706_1_1</v>
      </c>
      <c r="AQ619" s="1352" t="str">
        <f t="shared" ref="AQ619:AQ622" si="30">IF(LEN(W619)=0,"",W619)</f>
        <v/>
      </c>
      <c r="AR619" s="1352" t="str">
        <f>SUBSTITUTE(SUBSTITUTE(SUBSTITUTE("dnt"&amp;$B619&amp;$C619&amp;$D619&amp;$E619&amp;$F619,".","_"),"(","_"),")","")</f>
        <v>dnt706_1_1</v>
      </c>
      <c r="AS619" s="1352" t="str">
        <f>IF(LEN(X619)=0,"",X619)</f>
        <v/>
      </c>
    </row>
    <row r="620" spans="2:45" s="843" customFormat="1" ht="15" customHeight="1" x14ac:dyDescent="0.2">
      <c r="B620" s="600">
        <v>706.1</v>
      </c>
      <c r="C620" s="600" t="s">
        <v>255</v>
      </c>
      <c r="D620" s="600"/>
      <c r="E620" s="600"/>
      <c r="F620" s="23"/>
      <c r="G620" s="23"/>
      <c r="H620" s="691"/>
      <c r="I620" s="589"/>
      <c r="J620" s="606" t="s">
        <v>255</v>
      </c>
      <c r="K620" s="606"/>
      <c r="L620" s="923" t="s">
        <v>4344</v>
      </c>
      <c r="M620" s="937">
        <v>1</v>
      </c>
      <c r="N620" s="129"/>
      <c r="O620" s="886"/>
      <c r="P620" s="96"/>
      <c r="Q620" s="96" t="b">
        <v>1</v>
      </c>
      <c r="R620" s="96" t="b">
        <v>0</v>
      </c>
      <c r="S620" s="96" t="b">
        <f ca="1">S11=2</f>
        <v>0</v>
      </c>
      <c r="T620" s="96" t="b">
        <v>0</v>
      </c>
      <c r="W620" s="27"/>
      <c r="X620" s="889"/>
      <c r="AC620" s="881" t="b">
        <f>OR(AD620:AE620)</f>
        <v>0</v>
      </c>
      <c r="AD620" s="881" t="b">
        <f>T620</f>
        <v>0</v>
      </c>
      <c r="AE620" s="881" t="b">
        <f>AND(R620,NOT(W620))</f>
        <v>0</v>
      </c>
      <c r="AL620" s="1352" t="str">
        <f>SUBSTITUTE(SUBSTITUTE(SUBSTITUTE("dpa"&amp;$B620&amp;$C620&amp;$D620&amp;$E620&amp;$F620,".","_"),"(","_"),")","")</f>
        <v>dpa706_1_2</v>
      </c>
      <c r="AM620" s="1352">
        <f>M620</f>
        <v>1</v>
      </c>
      <c r="AN620" s="78"/>
      <c r="AO620" s="78"/>
      <c r="AP620" s="1352" t="str">
        <f t="shared" si="29"/>
        <v>dch706_1_2</v>
      </c>
      <c r="AQ620" s="1352" t="str">
        <f t="shared" si="30"/>
        <v/>
      </c>
      <c r="AR620" s="1352" t="str">
        <f>SUBSTITUTE(SUBSTITUTE(SUBSTITUTE("dnt"&amp;$B620&amp;$C620&amp;$D620&amp;$E620&amp;$F620,".","_"),"(","_"),")","")</f>
        <v>dnt706_1_2</v>
      </c>
      <c r="AS620" s="1352" t="str">
        <f>IF(LEN(X620)=0,"",X620)</f>
        <v/>
      </c>
    </row>
    <row r="621" spans="2:45" s="843" customFormat="1" ht="15" customHeight="1" x14ac:dyDescent="0.2">
      <c r="B621" s="600">
        <v>706.1</v>
      </c>
      <c r="C621" s="600" t="s">
        <v>256</v>
      </c>
      <c r="D621" s="600"/>
      <c r="E621" s="600"/>
      <c r="F621" s="23"/>
      <c r="G621" s="23"/>
      <c r="H621" s="691"/>
      <c r="I621" s="589"/>
      <c r="J621" s="606" t="s">
        <v>256</v>
      </c>
      <c r="K621" s="606"/>
      <c r="L621" s="923" t="s">
        <v>4345</v>
      </c>
      <c r="M621" s="937">
        <v>3</v>
      </c>
      <c r="N621" s="129"/>
      <c r="O621" s="886"/>
      <c r="P621" s="96"/>
      <c r="Q621" s="96" t="b">
        <v>1</v>
      </c>
      <c r="R621" s="96" t="b">
        <v>0</v>
      </c>
      <c r="S621" s="96" t="b">
        <f ca="1">S11=2</f>
        <v>0</v>
      </c>
      <c r="T621" s="96" t="b">
        <v>0</v>
      </c>
      <c r="W621" s="27"/>
      <c r="X621" s="889"/>
      <c r="AC621" s="881" t="b">
        <f>OR(AD621:AE621)</f>
        <v>0</v>
      </c>
      <c r="AD621" s="881" t="b">
        <f>T621</f>
        <v>0</v>
      </c>
      <c r="AE621" s="881" t="b">
        <f>AND(R621,NOT(W621))</f>
        <v>0</v>
      </c>
      <c r="AL621" s="1352" t="str">
        <f>SUBSTITUTE(SUBSTITUTE(SUBSTITUTE("dpa"&amp;$B621&amp;$C621&amp;$D621&amp;$E621&amp;$F621,".","_"),"(","_"),")","")</f>
        <v>dpa706_1_3</v>
      </c>
      <c r="AM621" s="1352">
        <f>M621</f>
        <v>3</v>
      </c>
      <c r="AN621" s="78"/>
      <c r="AO621" s="78"/>
      <c r="AP621" s="1352" t="str">
        <f t="shared" si="29"/>
        <v>dch706_1_3</v>
      </c>
      <c r="AQ621" s="1352" t="str">
        <f t="shared" si="30"/>
        <v/>
      </c>
      <c r="AR621" s="1352" t="str">
        <f>SUBSTITUTE(SUBSTITUTE(SUBSTITUTE("dnt"&amp;$B621&amp;$C621&amp;$D621&amp;$E621&amp;$F621,".","_"),"(","_"),")","")</f>
        <v>dnt706_1_3</v>
      </c>
      <c r="AS621" s="1352" t="str">
        <f>IF(LEN(X621)=0,"",X621)</f>
        <v/>
      </c>
    </row>
    <row r="622" spans="2:45" s="843" customFormat="1" ht="15" customHeight="1" x14ac:dyDescent="0.2">
      <c r="B622" s="600">
        <v>706.1</v>
      </c>
      <c r="C622" s="600" t="s">
        <v>259</v>
      </c>
      <c r="D622" s="600"/>
      <c r="E622" s="600"/>
      <c r="F622" s="23"/>
      <c r="G622" s="23"/>
      <c r="H622" s="691"/>
      <c r="I622" s="589"/>
      <c r="J622" s="590" t="s">
        <v>259</v>
      </c>
      <c r="K622" s="590"/>
      <c r="L622" s="1634" t="s">
        <v>4346</v>
      </c>
      <c r="M622" s="1623">
        <v>1</v>
      </c>
      <c r="N622" s="129"/>
      <c r="O622" s="886"/>
      <c r="P622" s="96"/>
      <c r="Q622" s="96" t="b">
        <v>1</v>
      </c>
      <c r="R622" s="96" t="b">
        <v>0</v>
      </c>
      <c r="S622" s="96" t="b">
        <f ca="1">S11=2</f>
        <v>0</v>
      </c>
      <c r="T622" s="96" t="b">
        <v>0</v>
      </c>
      <c r="W622" s="27"/>
      <c r="X622" s="1600"/>
      <c r="AC622" s="881" t="b">
        <f>OR(AD622:AE622)</f>
        <v>0</v>
      </c>
      <c r="AD622" s="881" t="b">
        <f>T622</f>
        <v>0</v>
      </c>
      <c r="AE622" s="881" t="b">
        <f>AND(R622,NOT(W622))</f>
        <v>0</v>
      </c>
      <c r="AL622" s="1352" t="str">
        <f>SUBSTITUTE(SUBSTITUTE(SUBSTITUTE("dpa"&amp;$B622&amp;$C622&amp;$D622&amp;$E622&amp;$F622,".","_"),"(","_"),")","")</f>
        <v>dpa706_1_4</v>
      </c>
      <c r="AM622" s="1352">
        <f>M622</f>
        <v>1</v>
      </c>
      <c r="AN622" s="78"/>
      <c r="AO622" s="78"/>
      <c r="AP622" s="1352" t="str">
        <f t="shared" si="29"/>
        <v>dch706_1_4</v>
      </c>
      <c r="AQ622" s="1352" t="str">
        <f t="shared" si="30"/>
        <v/>
      </c>
      <c r="AR622" s="1352" t="str">
        <f>SUBSTITUTE(SUBSTITUTE(SUBSTITUTE("dnt"&amp;$B622&amp;$C622&amp;$D622&amp;$E622&amp;$F622,".","_"),"(","_"),")","")</f>
        <v>dnt706_1_4</v>
      </c>
      <c r="AS622" s="1352" t="str">
        <f>IF(LEN(X622)=0,"",X622)</f>
        <v/>
      </c>
    </row>
    <row r="623" spans="2:45" s="843" customFormat="1" ht="15" customHeight="1" x14ac:dyDescent="0.2">
      <c r="B623" s="600">
        <v>706.1</v>
      </c>
      <c r="C623" s="600" t="s">
        <v>259</v>
      </c>
      <c r="D623" s="600"/>
      <c r="E623" s="600"/>
      <c r="F623" s="23"/>
      <c r="G623" s="23"/>
      <c r="H623" s="691"/>
      <c r="I623" s="589"/>
      <c r="J623" s="606"/>
      <c r="K623" s="606"/>
      <c r="L623" s="1639"/>
      <c r="M623" s="1624"/>
      <c r="N623" s="129"/>
      <c r="O623" s="886"/>
      <c r="P623" s="96"/>
      <c r="Q623" s="96"/>
      <c r="R623" s="96"/>
      <c r="S623" s="96"/>
      <c r="T623" s="96"/>
      <c r="X623" s="1600"/>
      <c r="AL623" s="78"/>
      <c r="AM623" s="78"/>
      <c r="AN623" s="78"/>
      <c r="AO623" s="78"/>
      <c r="AP623" s="78"/>
      <c r="AQ623" s="78"/>
      <c r="AR623" s="78"/>
      <c r="AS623" s="78"/>
    </row>
    <row r="624" spans="2:45" s="843" customFormat="1" ht="15" customHeight="1" thickBot="1" x14ac:dyDescent="0.25">
      <c r="B624" s="600">
        <v>706.1</v>
      </c>
      <c r="C624" s="600" t="s">
        <v>263</v>
      </c>
      <c r="D624" s="600"/>
      <c r="E624" s="600"/>
      <c r="F624" s="23"/>
      <c r="G624" s="23"/>
      <c r="H624" s="691"/>
      <c r="I624" s="594"/>
      <c r="J624" s="594" t="s">
        <v>263</v>
      </c>
      <c r="K624" s="594"/>
      <c r="L624" s="920" t="s">
        <v>4347</v>
      </c>
      <c r="M624" s="914">
        <v>1</v>
      </c>
      <c r="N624" s="239"/>
      <c r="O624" s="922"/>
      <c r="P624" s="100" t="b">
        <v>0</v>
      </c>
      <c r="Q624" s="100" t="b">
        <v>1</v>
      </c>
      <c r="R624" s="100" t="b">
        <v>0</v>
      </c>
      <c r="S624" s="100" t="b">
        <f ca="1">S11=2</f>
        <v>0</v>
      </c>
      <c r="T624" s="100" t="b">
        <v>0</v>
      </c>
      <c r="U624" s="100"/>
      <c r="V624" s="100"/>
      <c r="W624" s="101"/>
      <c r="X624" s="938"/>
      <c r="AC624" s="881" t="b">
        <f>OR(AD624:AE624)</f>
        <v>0</v>
      </c>
      <c r="AD624" s="881" t="b">
        <f>T624</f>
        <v>0</v>
      </c>
      <c r="AE624" s="881" t="b">
        <f>AND(R624,NOT(W624))</f>
        <v>0</v>
      </c>
      <c r="AL624" s="1352" t="str">
        <f>SUBSTITUTE(SUBSTITUTE(SUBSTITUTE("dpa"&amp;$B624&amp;$C624&amp;$D624&amp;$E624&amp;$F624,".","_"),"(","_"),")","")</f>
        <v>dpa706_1_5</v>
      </c>
      <c r="AM624" s="1352">
        <f>M624</f>
        <v>1</v>
      </c>
      <c r="AN624" s="78"/>
      <c r="AO624" s="78"/>
      <c r="AP624" s="1352" t="str">
        <f>SUBSTITUTE(SUBSTITUTE(SUBSTITUTE("dch"&amp;$B624&amp;$C624&amp;$D624&amp;$E624&amp;$F624,".","_"),"(","_"),")","")</f>
        <v>dch706_1_5</v>
      </c>
      <c r="AQ624" s="1352" t="str">
        <f>IF(LEN(W624)=0,"",W624)</f>
        <v/>
      </c>
      <c r="AR624" s="1352" t="str">
        <f>SUBSTITUTE(SUBSTITUTE(SUBSTITUTE("dnt"&amp;$B624&amp;$C624&amp;$D624&amp;$E624&amp;$F624,".","_"),"(","_"),")","")</f>
        <v>dnt706_1_5</v>
      </c>
      <c r="AS624" s="1352" t="str">
        <f>IF(LEN(X624)=0,"",X624)</f>
        <v/>
      </c>
    </row>
    <row r="625" spans="2:45" s="843" customFormat="1" ht="15" customHeight="1" thickTop="1" x14ac:dyDescent="0.2">
      <c r="B625" s="600">
        <v>706.2</v>
      </c>
      <c r="C625" s="600"/>
      <c r="D625" s="600"/>
      <c r="E625" s="600"/>
      <c r="F625" s="23"/>
      <c r="G625" s="23"/>
      <c r="H625" s="691"/>
      <c r="I625" s="589" t="s">
        <v>4348</v>
      </c>
      <c r="J625" s="589"/>
      <c r="K625" s="589"/>
      <c r="L625" s="1687" t="s">
        <v>4349</v>
      </c>
      <c r="M625" s="96"/>
      <c r="N625" s="96"/>
      <c r="O625" s="96"/>
      <c r="P625" s="96"/>
      <c r="Q625" s="96"/>
      <c r="R625" s="96"/>
      <c r="S625" s="96"/>
      <c r="T625" s="96"/>
      <c r="AL625" s="78"/>
      <c r="AM625" s="78"/>
      <c r="AN625" s="78"/>
      <c r="AO625" s="78"/>
      <c r="AP625" s="78"/>
      <c r="AQ625" s="78"/>
      <c r="AR625" s="78"/>
      <c r="AS625" s="78"/>
    </row>
    <row r="626" spans="2:45" s="843" customFormat="1" ht="15" customHeight="1" x14ac:dyDescent="0.2">
      <c r="B626" s="600">
        <v>706.2</v>
      </c>
      <c r="C626" s="600"/>
      <c r="D626" s="600"/>
      <c r="E626" s="600"/>
      <c r="F626" s="23"/>
      <c r="G626" s="23"/>
      <c r="H626" s="691"/>
      <c r="I626" s="589"/>
      <c r="J626" s="589"/>
      <c r="K626" s="589"/>
      <c r="L626" s="1687"/>
      <c r="M626" s="96"/>
      <c r="N626" s="96"/>
      <c r="O626" s="96"/>
      <c r="P626" s="96"/>
      <c r="Q626" s="96"/>
      <c r="R626" s="96"/>
      <c r="S626" s="96"/>
      <c r="T626" s="96"/>
      <c r="AL626" s="78"/>
      <c r="AM626" s="78"/>
      <c r="AN626" s="78"/>
      <c r="AO626" s="78"/>
      <c r="AP626" s="78"/>
      <c r="AQ626" s="78"/>
      <c r="AR626" s="78"/>
      <c r="AS626" s="78"/>
    </row>
    <row r="627" spans="2:45" s="843" customFormat="1" ht="15" customHeight="1" x14ac:dyDescent="0.2">
      <c r="B627" s="600">
        <v>706.2</v>
      </c>
      <c r="C627" s="600" t="s">
        <v>254</v>
      </c>
      <c r="D627" s="600"/>
      <c r="E627" s="600"/>
      <c r="F627" s="23"/>
      <c r="G627" s="23"/>
      <c r="H627" s="691"/>
      <c r="I627" s="589"/>
      <c r="J627" s="590" t="s">
        <v>254</v>
      </c>
      <c r="K627" s="590"/>
      <c r="L627" s="1634" t="s">
        <v>4350</v>
      </c>
      <c r="M627" s="1623">
        <v>1</v>
      </c>
      <c r="N627" s="129"/>
      <c r="O627" s="1619">
        <f ca="1">M627*S627*W627</f>
        <v>0</v>
      </c>
      <c r="P627" s="96" t="b">
        <v>0</v>
      </c>
      <c r="Q627" s="96" t="b">
        <v>1</v>
      </c>
      <c r="R627" s="96" t="b">
        <v>0</v>
      </c>
      <c r="S627" s="96" t="b">
        <f ca="1">S11=2</f>
        <v>0</v>
      </c>
      <c r="T627" s="96" t="b">
        <v>0</v>
      </c>
      <c r="W627" s="27"/>
      <c r="X627" s="1600"/>
      <c r="AC627" s="881" t="b">
        <f>OR(AD627:AE627)</f>
        <v>0</v>
      </c>
      <c r="AD627" s="881" t="b">
        <f>T627</f>
        <v>0</v>
      </c>
      <c r="AE627" s="881" t="b">
        <f>AND(R627,NOT(W627))</f>
        <v>0</v>
      </c>
      <c r="AL627" s="1352" t="str">
        <f>SUBSTITUTE(SUBSTITUTE(SUBSTITUTE("dpa"&amp;$B627&amp;$C627&amp;$D627&amp;$E627&amp;$F627,".","_"),"(","_"),")","")</f>
        <v>dpa706_2_1</v>
      </c>
      <c r="AM627" s="1352">
        <f>M627</f>
        <v>1</v>
      </c>
      <c r="AN627" s="1352" t="str">
        <f>SUBSTITUTE(SUBSTITUTE(SUBSTITUTE("dpc"&amp;$B627&amp;$C627&amp;$D627&amp;$E627&amp;$F627,".","_"),"(","_"),")","")</f>
        <v>dpc706_2_1</v>
      </c>
      <c r="AO627" s="1352">
        <f ca="1">O627</f>
        <v>0</v>
      </c>
      <c r="AP627" s="1352" t="str">
        <f>SUBSTITUTE(SUBSTITUTE(SUBSTITUTE("dch"&amp;$B627&amp;$C627&amp;$D627&amp;$E627&amp;$F627,".","_"),"(","_"),")","")</f>
        <v>dch706_2_1</v>
      </c>
      <c r="AQ627" s="1352" t="str">
        <f>IF(LEN(W627)=0,"",W627)</f>
        <v/>
      </c>
      <c r="AR627" s="1352" t="str">
        <f>SUBSTITUTE(SUBSTITUTE(SUBSTITUTE("dnt"&amp;$B627&amp;$C627&amp;$D627&amp;$E627&amp;$F627,".","_"),"(","_"),")","")</f>
        <v>dnt706_2_1</v>
      </c>
      <c r="AS627" s="1352" t="str">
        <f>IF(LEN(X627)=0,"",X627)</f>
        <v/>
      </c>
    </row>
    <row r="628" spans="2:45" s="843" customFormat="1" ht="15" customHeight="1" x14ac:dyDescent="0.2">
      <c r="B628" s="600">
        <v>706.2</v>
      </c>
      <c r="C628" s="600" t="s">
        <v>254</v>
      </c>
      <c r="D628" s="600"/>
      <c r="E628" s="600"/>
      <c r="F628" s="23"/>
      <c r="G628" s="23"/>
      <c r="H628" s="691"/>
      <c r="I628" s="589"/>
      <c r="J628" s="590"/>
      <c r="K628" s="590"/>
      <c r="L628" s="1634"/>
      <c r="M628" s="1623"/>
      <c r="N628" s="129"/>
      <c r="O628" s="1619"/>
      <c r="P628" s="96"/>
      <c r="Q628" s="96"/>
      <c r="R628" s="96"/>
      <c r="S628" s="96"/>
      <c r="T628" s="96"/>
      <c r="X628" s="1600"/>
      <c r="AL628" s="78"/>
      <c r="AM628" s="78"/>
      <c r="AN628" s="78"/>
      <c r="AO628" s="78"/>
      <c r="AP628" s="78"/>
      <c r="AQ628" s="78"/>
      <c r="AR628" s="78"/>
      <c r="AS628" s="78"/>
    </row>
    <row r="629" spans="2:45" s="843" customFormat="1" ht="15" customHeight="1" x14ac:dyDescent="0.2">
      <c r="B629" s="600">
        <v>706.2</v>
      </c>
      <c r="C629" s="600" t="s">
        <v>254</v>
      </c>
      <c r="D629" s="600"/>
      <c r="E629" s="600"/>
      <c r="F629" s="23"/>
      <c r="G629" s="23"/>
      <c r="H629" s="691"/>
      <c r="I629" s="589"/>
      <c r="J629" s="590"/>
      <c r="K629" s="590"/>
      <c r="L629" s="1634"/>
      <c r="M629" s="1623"/>
      <c r="N629" s="129"/>
      <c r="O629" s="1619"/>
      <c r="P629" s="96"/>
      <c r="Q629" s="96"/>
      <c r="R629" s="96"/>
      <c r="S629" s="96"/>
      <c r="T629" s="96"/>
      <c r="X629" s="1600"/>
      <c r="AL629" s="78"/>
      <c r="AM629" s="78"/>
      <c r="AN629" s="78"/>
      <c r="AO629" s="78"/>
      <c r="AP629" s="78"/>
      <c r="AQ629" s="78"/>
      <c r="AR629" s="78"/>
      <c r="AS629" s="78"/>
    </row>
    <row r="630" spans="2:45" s="843" customFormat="1" ht="15" customHeight="1" x14ac:dyDescent="0.2">
      <c r="B630" s="600">
        <v>706.2</v>
      </c>
      <c r="C630" s="600" t="s">
        <v>254</v>
      </c>
      <c r="D630" s="600"/>
      <c r="E630" s="600"/>
      <c r="F630" s="23"/>
      <c r="G630" s="23"/>
      <c r="H630" s="691"/>
      <c r="I630" s="589"/>
      <c r="J630" s="590"/>
      <c r="K630" s="590"/>
      <c r="L630" s="1634"/>
      <c r="M630" s="1623"/>
      <c r="N630" s="991"/>
      <c r="O630" s="1619"/>
      <c r="P630" s="96"/>
      <c r="Q630" s="96"/>
      <c r="R630" s="96"/>
      <c r="S630" s="96"/>
      <c r="T630" s="96"/>
      <c r="X630" s="1600"/>
      <c r="AL630" s="78"/>
      <c r="AM630" s="78"/>
      <c r="AN630" s="78"/>
      <c r="AO630" s="78"/>
      <c r="AP630" s="78"/>
      <c r="AQ630" s="78"/>
      <c r="AR630" s="78"/>
      <c r="AS630" s="78"/>
    </row>
    <row r="631" spans="2:45" s="843" customFormat="1" ht="15" customHeight="1" x14ac:dyDescent="0.2">
      <c r="B631" s="600">
        <v>706.2</v>
      </c>
      <c r="C631" s="600" t="s">
        <v>254</v>
      </c>
      <c r="D631" s="600"/>
      <c r="E631" s="600"/>
      <c r="F631" s="23"/>
      <c r="G631" s="23"/>
      <c r="H631" s="691"/>
      <c r="I631" s="589"/>
      <c r="J631" s="606"/>
      <c r="K631" s="606"/>
      <c r="L631" s="1639"/>
      <c r="M631" s="1624"/>
      <c r="N631" s="173"/>
      <c r="O631" s="1620"/>
      <c r="P631" s="96"/>
      <c r="Q631" s="96"/>
      <c r="R631" s="96"/>
      <c r="S631" s="96"/>
      <c r="T631" s="96"/>
      <c r="X631" s="1600"/>
      <c r="AL631" s="78"/>
      <c r="AM631" s="78"/>
      <c r="AN631" s="78"/>
      <c r="AO631" s="78"/>
      <c r="AP631" s="78"/>
      <c r="AQ631" s="78"/>
      <c r="AR631" s="78"/>
      <c r="AS631" s="78"/>
    </row>
    <row r="632" spans="2:45" s="843" customFormat="1" ht="15" customHeight="1" x14ac:dyDescent="0.2">
      <c r="B632" s="600">
        <v>706.2</v>
      </c>
      <c r="C632" s="600" t="s">
        <v>255</v>
      </c>
      <c r="D632" s="600"/>
      <c r="E632" s="600"/>
      <c r="F632" s="23"/>
      <c r="G632" s="23"/>
      <c r="H632" s="691"/>
      <c r="I632" s="590"/>
      <c r="J632" s="590" t="s">
        <v>255</v>
      </c>
      <c r="K632" s="590"/>
      <c r="L632" s="1634" t="s">
        <v>4351</v>
      </c>
      <c r="M632" s="913"/>
      <c r="N632" s="129"/>
      <c r="O632" s="1619">
        <f ca="1">IFERROR(INDEX({1,2},MATCH(W632,INDIRECT(U632),0)),0)</f>
        <v>0</v>
      </c>
      <c r="P632" s="991" t="b">
        <v>0</v>
      </c>
      <c r="Q632" s="991" t="b">
        <v>1</v>
      </c>
      <c r="R632" s="991" t="b">
        <v>0</v>
      </c>
      <c r="S632" s="991" t="b">
        <f ca="1">S11=2</f>
        <v>0</v>
      </c>
      <c r="T632" s="991" t="b">
        <v>0</v>
      </c>
      <c r="U632" s="991" t="str">
        <f>SUBSTITUTE(SUBSTITUTE(SUBSTITUTE("dd"&amp;B632&amp;C632&amp;D632&amp;E632&amp;F632,".","_"),"(","_"),")","")</f>
        <v>dd706_2_2</v>
      </c>
      <c r="V632" s="991"/>
      <c r="W632" s="110"/>
      <c r="X632" s="1601"/>
      <c r="AC632" s="905" t="b">
        <f>OR(AD632:AE632)</f>
        <v>0</v>
      </c>
      <c r="AD632" s="905" t="b">
        <f>T632</f>
        <v>0</v>
      </c>
      <c r="AE632" s="905" t="b">
        <f>AND(R632,OR(W632="Not Met",W632=""))</f>
        <v>0</v>
      </c>
      <c r="AL632" s="78"/>
      <c r="AM632" s="78"/>
      <c r="AN632" s="1352" t="str">
        <f>SUBSTITUTE(SUBSTITUTE(SUBSTITUTE("dpc"&amp;$B632&amp;$C632&amp;$D632&amp;$E632&amp;$F632,".","_"),"(","_"),")","")</f>
        <v>dpc706_2_2</v>
      </c>
      <c r="AO632" s="1352">
        <f ca="1">O632</f>
        <v>0</v>
      </c>
      <c r="AP632" s="1352" t="str">
        <f>SUBSTITUTE(SUBSTITUTE(SUBSTITUTE("dch"&amp;$B632&amp;$C632&amp;$D632&amp;$E632&amp;$F632,".","_"),"(","_"),")","")</f>
        <v>dch706_2_2</v>
      </c>
      <c r="AQ632" s="1352" t="str">
        <f>IF(LEN(W632)=0,"",W632)</f>
        <v/>
      </c>
      <c r="AR632" s="1352" t="str">
        <f>SUBSTITUTE(SUBSTITUTE(SUBSTITUTE("dnt"&amp;$B632&amp;$C632&amp;$D632&amp;$E632&amp;$F632,".","_"),"(","_"),")","")</f>
        <v>dnt706_2_2</v>
      </c>
      <c r="AS632" s="1352" t="str">
        <f>IF(LEN(X632)=0,"",X632)</f>
        <v/>
      </c>
    </row>
    <row r="633" spans="2:45" s="843" customFormat="1" ht="15" customHeight="1" x14ac:dyDescent="0.2">
      <c r="B633" s="600">
        <v>706.2</v>
      </c>
      <c r="C633" s="600" t="s">
        <v>255</v>
      </c>
      <c r="D633" s="600"/>
      <c r="E633" s="600"/>
      <c r="F633" s="23"/>
      <c r="G633" s="23"/>
      <c r="H633" s="691"/>
      <c r="I633" s="590"/>
      <c r="J633" s="590"/>
      <c r="K633" s="590"/>
      <c r="L633" s="1634"/>
      <c r="M633" s="913"/>
      <c r="N633" s="129"/>
      <c r="O633" s="1619"/>
      <c r="P633" s="991"/>
      <c r="Q633" s="991"/>
      <c r="R633" s="991"/>
      <c r="S633" s="991"/>
      <c r="T633" s="991"/>
      <c r="U633" s="991"/>
      <c r="V633" s="991"/>
      <c r="W633" s="991"/>
      <c r="X633" s="1601"/>
      <c r="AL633" s="78"/>
      <c r="AM633" s="78"/>
      <c r="AN633" s="78"/>
      <c r="AO633" s="78"/>
      <c r="AP633" s="78"/>
      <c r="AQ633" s="78"/>
      <c r="AR633" s="78"/>
      <c r="AS633" s="78"/>
    </row>
    <row r="634" spans="2:45" s="843" customFormat="1" ht="15" customHeight="1" x14ac:dyDescent="0.2">
      <c r="B634" s="600">
        <v>706.2</v>
      </c>
      <c r="C634" s="600" t="s">
        <v>255</v>
      </c>
      <c r="D634" s="600"/>
      <c r="E634" s="600"/>
      <c r="F634" s="23"/>
      <c r="G634" s="23"/>
      <c r="H634" s="691"/>
      <c r="I634" s="590"/>
      <c r="J634" s="590"/>
      <c r="K634" s="590"/>
      <c r="L634" s="1634"/>
      <c r="M634" s="913"/>
      <c r="N634" s="129"/>
      <c r="O634" s="1619"/>
      <c r="P634" s="991"/>
      <c r="Q634" s="991"/>
      <c r="R634" s="991"/>
      <c r="S634" s="991"/>
      <c r="T634" s="991"/>
      <c r="U634" s="991"/>
      <c r="V634" s="991"/>
      <c r="W634" s="991"/>
      <c r="X634" s="1601"/>
      <c r="AL634" s="78"/>
      <c r="AM634" s="78"/>
      <c r="AN634" s="78"/>
      <c r="AO634" s="78"/>
      <c r="AP634" s="78"/>
      <c r="AQ634" s="78"/>
      <c r="AR634" s="78"/>
      <c r="AS634" s="78"/>
    </row>
    <row r="635" spans="2:45" s="843" customFormat="1" ht="15" customHeight="1" x14ac:dyDescent="0.2">
      <c r="B635" s="600">
        <v>706.2</v>
      </c>
      <c r="C635" s="600" t="s">
        <v>255</v>
      </c>
      <c r="D635" s="600" t="s">
        <v>121</v>
      </c>
      <c r="E635" s="600"/>
      <c r="F635" s="23"/>
      <c r="G635" s="23"/>
      <c r="H635" s="691"/>
      <c r="I635" s="590"/>
      <c r="J635" s="590"/>
      <c r="K635" s="590" t="s">
        <v>121</v>
      </c>
      <c r="L635" s="1634" t="s">
        <v>4352</v>
      </c>
      <c r="M635" s="1623">
        <v>1</v>
      </c>
      <c r="N635" s="129"/>
      <c r="O635" s="908"/>
      <c r="P635" s="991"/>
      <c r="Q635" s="991"/>
      <c r="R635" s="991"/>
      <c r="S635" s="991"/>
      <c r="T635" s="991"/>
      <c r="U635" s="991"/>
      <c r="V635" s="991"/>
      <c r="W635" s="991"/>
      <c r="X635" s="1601"/>
      <c r="AL635" s="1352" t="str">
        <f>SUBSTITUTE(SUBSTITUTE(SUBSTITUTE("dpa"&amp;$B635&amp;$C635&amp;$D635&amp;$E635&amp;$F635,".","_"),"(","_"),")","")</f>
        <v>dpa706_2_2_a</v>
      </c>
      <c r="AM635" s="1352">
        <f>M635</f>
        <v>1</v>
      </c>
      <c r="AN635" s="78"/>
      <c r="AO635" s="78"/>
      <c r="AP635" s="78"/>
      <c r="AQ635" s="78"/>
      <c r="AR635" s="78"/>
      <c r="AS635" s="78"/>
    </row>
    <row r="636" spans="2:45" s="843" customFormat="1" ht="15" customHeight="1" x14ac:dyDescent="0.2">
      <c r="B636" s="600">
        <v>706.2</v>
      </c>
      <c r="C636" s="600" t="s">
        <v>255</v>
      </c>
      <c r="D636" s="600" t="s">
        <v>121</v>
      </c>
      <c r="E636" s="600"/>
      <c r="F636" s="23"/>
      <c r="G636" s="23"/>
      <c r="H636" s="691"/>
      <c r="I636" s="590"/>
      <c r="J636" s="590"/>
      <c r="K636" s="606"/>
      <c r="L636" s="1639"/>
      <c r="M636" s="1624"/>
      <c r="N636" s="129"/>
      <c r="O636" s="908"/>
      <c r="P636" s="991"/>
      <c r="Q636" s="991"/>
      <c r="R636" s="991"/>
      <c r="S636" s="991"/>
      <c r="T636" s="991"/>
      <c r="U636" s="991"/>
      <c r="V636" s="991"/>
      <c r="W636" s="991"/>
      <c r="X636" s="1601"/>
      <c r="AL636" s="78"/>
      <c r="AM636" s="78"/>
      <c r="AN636" s="78"/>
      <c r="AO636" s="78"/>
      <c r="AP636" s="78"/>
      <c r="AQ636" s="78"/>
      <c r="AR636" s="78"/>
      <c r="AS636" s="78"/>
    </row>
    <row r="637" spans="2:45" s="843" customFormat="1" ht="15" customHeight="1" x14ac:dyDescent="0.2">
      <c r="B637" s="600">
        <v>706.2</v>
      </c>
      <c r="C637" s="600" t="s">
        <v>255</v>
      </c>
      <c r="D637" s="600" t="s">
        <v>122</v>
      </c>
      <c r="E637" s="600"/>
      <c r="F637" s="23"/>
      <c r="G637" s="23"/>
      <c r="H637" s="691"/>
      <c r="I637" s="590"/>
      <c r="J637" s="590"/>
      <c r="K637" s="590" t="s">
        <v>122</v>
      </c>
      <c r="L637" s="1634" t="s">
        <v>4353</v>
      </c>
      <c r="M637" s="1623">
        <v>2</v>
      </c>
      <c r="N637" s="129"/>
      <c r="O637" s="908"/>
      <c r="P637" s="991"/>
      <c r="Q637" s="991"/>
      <c r="R637" s="991"/>
      <c r="S637" s="991"/>
      <c r="T637" s="991"/>
      <c r="U637" s="991"/>
      <c r="V637" s="991"/>
      <c r="W637" s="991"/>
      <c r="X637" s="1601"/>
      <c r="AL637" s="1352" t="str">
        <f>SUBSTITUTE(SUBSTITUTE(SUBSTITUTE("dpa"&amp;$B637&amp;$C637&amp;$D637&amp;$E637&amp;$F637,".","_"),"(","_"),")","")</f>
        <v>dpa706_2_2_b</v>
      </c>
      <c r="AM637" s="1352">
        <f>M637</f>
        <v>2</v>
      </c>
      <c r="AN637" s="78"/>
      <c r="AO637" s="78"/>
      <c r="AP637" s="78"/>
      <c r="AQ637" s="78"/>
      <c r="AR637" s="78"/>
      <c r="AS637" s="78"/>
    </row>
    <row r="638" spans="2:45" s="843" customFormat="1" ht="15" customHeight="1" thickBot="1" x14ac:dyDescent="0.25">
      <c r="B638" s="600">
        <v>706.2</v>
      </c>
      <c r="C638" s="600" t="s">
        <v>255</v>
      </c>
      <c r="D638" s="600" t="s">
        <v>122</v>
      </c>
      <c r="E638" s="600"/>
      <c r="F638" s="23"/>
      <c r="G638" s="23"/>
      <c r="H638" s="691"/>
      <c r="I638" s="594"/>
      <c r="J638" s="594"/>
      <c r="K638" s="594"/>
      <c r="L638" s="1635"/>
      <c r="M638" s="1627"/>
      <c r="N638" s="239"/>
      <c r="O638" s="922"/>
      <c r="P638" s="100"/>
      <c r="Q638" s="100"/>
      <c r="R638" s="100"/>
      <c r="S638" s="100"/>
      <c r="T638" s="100"/>
      <c r="U638" s="100"/>
      <c r="V638" s="100"/>
      <c r="W638" s="100"/>
      <c r="X638" s="1602"/>
      <c r="AL638" s="78"/>
      <c r="AM638" s="78"/>
      <c r="AN638" s="78"/>
      <c r="AO638" s="78"/>
      <c r="AP638" s="78"/>
      <c r="AQ638" s="78"/>
      <c r="AR638" s="78"/>
      <c r="AS638" s="78"/>
    </row>
    <row r="639" spans="2:45" s="843" customFormat="1" ht="15" customHeight="1" thickTop="1" x14ac:dyDescent="0.2">
      <c r="B639" s="600">
        <v>706.3</v>
      </c>
      <c r="C639" s="600"/>
      <c r="D639" s="600"/>
      <c r="E639" s="600"/>
      <c r="F639" s="23"/>
      <c r="G639" s="23"/>
      <c r="H639" s="691"/>
      <c r="I639" s="589" t="s">
        <v>4354</v>
      </c>
      <c r="J639" s="589"/>
      <c r="K639" s="589"/>
      <c r="L639" s="1687" t="s">
        <v>4355</v>
      </c>
      <c r="M639" s="882"/>
      <c r="N639" s="129"/>
      <c r="O639" s="1619">
        <f ca="1">IFERROR(INDEX({0,1,2},MATCH((1*S643*W643+1*S644*W644+1*S645*W645+1*S646*W646+1*S647*W647+1*S648*W648+2*S649*W649+2*S650*W650),{0,3,6},1)),0)</f>
        <v>0</v>
      </c>
      <c r="P639" s="96"/>
      <c r="Q639" s="96"/>
      <c r="R639" s="96"/>
      <c r="S639" s="96"/>
      <c r="T639" s="96"/>
      <c r="X639" s="1599"/>
      <c r="AL639" s="78"/>
      <c r="AM639" s="78"/>
      <c r="AN639" s="1352" t="str">
        <f>SUBSTITUTE(SUBSTITUTE(SUBSTITUTE("dpc"&amp;$B639&amp;$C639&amp;$D639&amp;$E639&amp;$F639,".","_"),"(","_"),")","")</f>
        <v>dpc706_3</v>
      </c>
      <c r="AO639" s="1352">
        <f ca="1">O639</f>
        <v>0</v>
      </c>
      <c r="AP639" s="78"/>
      <c r="AQ639" s="78"/>
      <c r="AR639" s="1352" t="str">
        <f>SUBSTITUTE(SUBSTITUTE(SUBSTITUTE("dnt"&amp;$B639&amp;$C639&amp;$D639&amp;$E639&amp;$F639,".","_"),"(","_"),")","")</f>
        <v>dnt706_3</v>
      </c>
      <c r="AS639" s="1352" t="str">
        <f>IF(LEN(X639)=0,"",X639)</f>
        <v/>
      </c>
    </row>
    <row r="640" spans="2:45" s="843" customFormat="1" ht="15" customHeight="1" x14ac:dyDescent="0.2">
      <c r="B640" s="600">
        <v>706.3</v>
      </c>
      <c r="C640" s="600"/>
      <c r="D640" s="600"/>
      <c r="E640" s="600"/>
      <c r="F640" s="23"/>
      <c r="G640" s="23"/>
      <c r="H640" s="691"/>
      <c r="I640" s="589"/>
      <c r="J640" s="589"/>
      <c r="K640" s="589"/>
      <c r="L640" s="1687"/>
      <c r="M640" s="882"/>
      <c r="N640" s="129"/>
      <c r="O640" s="1619"/>
      <c r="P640" s="96"/>
      <c r="Q640" s="96"/>
      <c r="R640" s="96"/>
      <c r="S640" s="96"/>
      <c r="T640" s="96"/>
      <c r="X640" s="1600"/>
      <c r="AL640" s="78"/>
      <c r="AM640" s="78"/>
      <c r="AN640" s="78"/>
      <c r="AO640" s="78"/>
      <c r="AP640" s="78"/>
      <c r="AQ640" s="78"/>
      <c r="AR640" s="78"/>
      <c r="AS640" s="78"/>
    </row>
    <row r="641" spans="2:51" s="881" customFormat="1" ht="15" customHeight="1" x14ac:dyDescent="0.2">
      <c r="B641" s="600">
        <v>706.3</v>
      </c>
      <c r="C641" s="600" t="s">
        <v>3921</v>
      </c>
      <c r="D641" s="600"/>
      <c r="E641" s="600"/>
      <c r="F641" s="23"/>
      <c r="G641" s="23"/>
      <c r="H641" s="691"/>
      <c r="I641" s="589"/>
      <c r="J641" s="589"/>
      <c r="K641" s="589"/>
      <c r="L641" s="863" t="s">
        <v>4362</v>
      </c>
      <c r="M641" s="882">
        <v>1</v>
      </c>
      <c r="N641" s="129"/>
      <c r="O641" s="886"/>
      <c r="P641" s="96"/>
      <c r="Q641" s="96"/>
      <c r="R641" s="96"/>
      <c r="S641" s="96"/>
      <c r="T641" s="96"/>
      <c r="X641" s="1600"/>
      <c r="AL641" s="1352" t="str">
        <f>SUBSTITUTE(SUBSTITUTE(SUBSTITUTE("dpa"&amp;$B641&amp;$C641&amp;$D641&amp;$E641&amp;$F641,".","_"),"(","_"),")","")</f>
        <v>dpa706_3_1</v>
      </c>
      <c r="AM641" s="1352">
        <f>M641</f>
        <v>1</v>
      </c>
      <c r="AN641" s="78"/>
      <c r="AO641" s="78"/>
      <c r="AP641" s="78"/>
      <c r="AQ641" s="78"/>
      <c r="AR641" s="78"/>
      <c r="AS641" s="78"/>
      <c r="AX641" s="843"/>
      <c r="AY641" s="843"/>
    </row>
    <row r="642" spans="2:51" s="881" customFormat="1" ht="15" customHeight="1" x14ac:dyDescent="0.2">
      <c r="B642" s="600">
        <v>706.3</v>
      </c>
      <c r="C642" s="600" t="s">
        <v>3922</v>
      </c>
      <c r="D642" s="600"/>
      <c r="E642" s="600"/>
      <c r="F642" s="23"/>
      <c r="G642" s="23"/>
      <c r="H642" s="691"/>
      <c r="I642" s="589"/>
      <c r="J642" s="589"/>
      <c r="K642" s="589"/>
      <c r="L642" s="863" t="s">
        <v>4363</v>
      </c>
      <c r="M642" s="882">
        <v>2</v>
      </c>
      <c r="N642" s="129"/>
      <c r="O642" s="886"/>
      <c r="P642" s="96"/>
      <c r="Q642" s="96"/>
      <c r="R642" s="96"/>
      <c r="S642" s="96"/>
      <c r="T642" s="96"/>
      <c r="X642" s="1600"/>
      <c r="AL642" s="1352" t="str">
        <f>SUBSTITUTE(SUBSTITUTE(SUBSTITUTE("dpa"&amp;$B642&amp;$C642&amp;$D642&amp;$E642&amp;$F642,".","_"),"(","_"),")","")</f>
        <v>dpa706_3_2</v>
      </c>
      <c r="AM642" s="1352">
        <f>M642</f>
        <v>2</v>
      </c>
      <c r="AN642" s="78"/>
      <c r="AO642" s="78"/>
      <c r="AP642" s="78"/>
      <c r="AQ642" s="78"/>
      <c r="AR642" s="78"/>
      <c r="AS642" s="78"/>
      <c r="AX642" s="843"/>
      <c r="AY642" s="843"/>
    </row>
    <row r="643" spans="2:51" s="843" customFormat="1" ht="15" customHeight="1" x14ac:dyDescent="0.2">
      <c r="B643" s="600">
        <v>706.3</v>
      </c>
      <c r="C643" s="600" t="s">
        <v>254</v>
      </c>
      <c r="D643" s="600"/>
      <c r="E643" s="600"/>
      <c r="F643" s="23"/>
      <c r="G643" s="23"/>
      <c r="H643" s="691"/>
      <c r="I643" s="589"/>
      <c r="J643" s="589" t="s">
        <v>254</v>
      </c>
      <c r="K643" s="589"/>
      <c r="L643" s="863" t="s">
        <v>4204</v>
      </c>
      <c r="M643" s="882"/>
      <c r="N643" s="129"/>
      <c r="O643" s="886"/>
      <c r="P643" s="96" t="b">
        <v>0</v>
      </c>
      <c r="Q643" s="96" t="b">
        <v>1</v>
      </c>
      <c r="R643" s="96" t="b">
        <v>0</v>
      </c>
      <c r="S643" s="96" t="b">
        <f ca="1">AND(S11=2,IFERROR(NOT(OR(W684:W685,W694)),TRUE))</f>
        <v>0</v>
      </c>
      <c r="T643" s="96" t="b">
        <f t="shared" ref="T643:T650" ca="1" si="31">AND(NOT(S643),W643=TRUE)</f>
        <v>0</v>
      </c>
      <c r="W643" s="27"/>
      <c r="X643" s="889"/>
      <c r="AC643" s="881" t="b">
        <f t="shared" ref="AC643:AC650" ca="1" si="32">OR(AD643:AE643)</f>
        <v>0</v>
      </c>
      <c r="AD643" s="881" t="b">
        <f t="shared" ref="AD643:AD650" ca="1" si="33">T643</f>
        <v>0</v>
      </c>
      <c r="AE643" s="881" t="b">
        <f t="shared" ref="AE643:AE650" si="34">AND(R643,NOT(W643))</f>
        <v>0</v>
      </c>
      <c r="AL643" s="78"/>
      <c r="AM643" s="78"/>
      <c r="AN643" s="78"/>
      <c r="AO643" s="78"/>
      <c r="AP643" s="1352" t="str">
        <f t="shared" ref="AP643:AP650" si="35">SUBSTITUTE(SUBSTITUTE(SUBSTITUTE("dch"&amp;$B643&amp;$C643&amp;$D643&amp;$E643&amp;$F643,".","_"),"(","_"),")","")</f>
        <v>dch706_3_1</v>
      </c>
      <c r="AQ643" s="1352" t="str">
        <f t="shared" ref="AQ643:AQ650" si="36">IF(LEN(W643)=0,"",W643)</f>
        <v/>
      </c>
      <c r="AR643" s="1352" t="str">
        <f t="shared" ref="AR643:AR650" si="37">SUBSTITUTE(SUBSTITUTE(SUBSTITUTE("dnt"&amp;$B643&amp;$C643&amp;$D643&amp;$E643&amp;$F643,".","_"),"(","_"),")","")</f>
        <v>dnt706_3_1</v>
      </c>
      <c r="AS643" s="1352" t="str">
        <f t="shared" ref="AS643:AS650" si="38">IF(LEN(X643)=0,"",X643)</f>
        <v/>
      </c>
      <c r="AX643" s="881"/>
      <c r="AY643" s="881"/>
    </row>
    <row r="644" spans="2:51" s="843" customFormat="1" ht="15" customHeight="1" x14ac:dyDescent="0.2">
      <c r="B644" s="600">
        <v>706.3</v>
      </c>
      <c r="C644" s="600" t="s">
        <v>255</v>
      </c>
      <c r="D644" s="600"/>
      <c r="E644" s="600"/>
      <c r="F644" s="23"/>
      <c r="G644" s="23"/>
      <c r="H644" s="691"/>
      <c r="I644" s="589"/>
      <c r="J644" s="589" t="s">
        <v>255</v>
      </c>
      <c r="K644" s="589"/>
      <c r="L644" s="863" t="s">
        <v>4356</v>
      </c>
      <c r="M644" s="882"/>
      <c r="N644" s="129"/>
      <c r="O644" s="886"/>
      <c r="P644" s="96" t="b">
        <v>0</v>
      </c>
      <c r="Q644" s="96" t="b">
        <v>1</v>
      </c>
      <c r="R644" s="96" t="b">
        <v>0</v>
      </c>
      <c r="S644" s="96" t="b">
        <f ca="1">AND(S11=2,IFERROR(NOT(OR(W684:W685,W694)),TRUE))</f>
        <v>0</v>
      </c>
      <c r="T644" s="96" t="b">
        <f t="shared" ca="1" si="31"/>
        <v>0</v>
      </c>
      <c r="W644" s="27"/>
      <c r="X644" s="889"/>
      <c r="AC644" s="881" t="b">
        <f t="shared" ca="1" si="32"/>
        <v>0</v>
      </c>
      <c r="AD644" s="881" t="b">
        <f t="shared" ca="1" si="33"/>
        <v>0</v>
      </c>
      <c r="AE644" s="881" t="b">
        <f t="shared" si="34"/>
        <v>0</v>
      </c>
      <c r="AL644" s="78"/>
      <c r="AM644" s="78"/>
      <c r="AN644" s="78"/>
      <c r="AO644" s="78"/>
      <c r="AP644" s="1352" t="str">
        <f t="shared" si="35"/>
        <v>dch706_3_2</v>
      </c>
      <c r="AQ644" s="1352" t="str">
        <f t="shared" si="36"/>
        <v/>
      </c>
      <c r="AR644" s="1352" t="str">
        <f t="shared" si="37"/>
        <v>dnt706_3_2</v>
      </c>
      <c r="AS644" s="1352" t="str">
        <f t="shared" si="38"/>
        <v/>
      </c>
      <c r="AX644" s="881"/>
      <c r="AY644" s="881"/>
    </row>
    <row r="645" spans="2:51" s="843" customFormat="1" ht="15" customHeight="1" x14ac:dyDescent="0.2">
      <c r="B645" s="600">
        <v>706.3</v>
      </c>
      <c r="C645" s="600" t="s">
        <v>256</v>
      </c>
      <c r="D645" s="600"/>
      <c r="E645" s="600"/>
      <c r="F645" s="23"/>
      <c r="G645" s="23"/>
      <c r="H645" s="691"/>
      <c r="I645" s="589"/>
      <c r="J645" s="589" t="s">
        <v>256</v>
      </c>
      <c r="K645" s="589"/>
      <c r="L645" s="863" t="s">
        <v>674</v>
      </c>
      <c r="M645" s="882"/>
      <c r="N645" s="129"/>
      <c r="O645" s="886"/>
      <c r="P645" s="96" t="b">
        <v>0</v>
      </c>
      <c r="Q645" s="96" t="b">
        <v>1</v>
      </c>
      <c r="R645" s="96" t="b">
        <v>0</v>
      </c>
      <c r="S645" s="96" t="b">
        <f ca="1">AND(S11=2,IFERROR(NOT(OR(W684:W685,W694)),TRUE))</f>
        <v>0</v>
      </c>
      <c r="T645" s="96" t="b">
        <f t="shared" ca="1" si="31"/>
        <v>0</v>
      </c>
      <c r="W645" s="27"/>
      <c r="X645" s="889"/>
      <c r="AC645" s="881" t="b">
        <f t="shared" ca="1" si="32"/>
        <v>0</v>
      </c>
      <c r="AD645" s="881" t="b">
        <f t="shared" ca="1" si="33"/>
        <v>0</v>
      </c>
      <c r="AE645" s="881" t="b">
        <f t="shared" si="34"/>
        <v>0</v>
      </c>
      <c r="AL645" s="78"/>
      <c r="AM645" s="78"/>
      <c r="AN645" s="78"/>
      <c r="AO645" s="78"/>
      <c r="AP645" s="1352" t="str">
        <f t="shared" si="35"/>
        <v>dch706_3_3</v>
      </c>
      <c r="AQ645" s="1352" t="str">
        <f t="shared" si="36"/>
        <v/>
      </c>
      <c r="AR645" s="1352" t="str">
        <f t="shared" si="37"/>
        <v>dnt706_3_3</v>
      </c>
      <c r="AS645" s="1352" t="str">
        <f t="shared" si="38"/>
        <v/>
      </c>
    </row>
    <row r="646" spans="2:51" s="843" customFormat="1" ht="15" customHeight="1" x14ac:dyDescent="0.2">
      <c r="B646" s="600">
        <v>706.3</v>
      </c>
      <c r="C646" s="600" t="s">
        <v>259</v>
      </c>
      <c r="D646" s="600"/>
      <c r="E646" s="600"/>
      <c r="F646" s="23"/>
      <c r="G646" s="23"/>
      <c r="H646" s="691"/>
      <c r="I646" s="589"/>
      <c r="J646" s="589" t="s">
        <v>259</v>
      </c>
      <c r="K646" s="589"/>
      <c r="L646" s="863" t="s">
        <v>4357</v>
      </c>
      <c r="M646" s="882"/>
      <c r="N646" s="129"/>
      <c r="O646" s="886"/>
      <c r="P646" s="96" t="b">
        <v>0</v>
      </c>
      <c r="Q646" s="96" t="b">
        <v>1</v>
      </c>
      <c r="R646" s="96" t="b">
        <v>0</v>
      </c>
      <c r="S646" s="96" t="b">
        <f ca="1">AND(S11=2,IFERROR(NOT(OR(W684:W685,W694)),TRUE))</f>
        <v>0</v>
      </c>
      <c r="T646" s="96" t="b">
        <f t="shared" ca="1" si="31"/>
        <v>0</v>
      </c>
      <c r="W646" s="27"/>
      <c r="X646" s="889"/>
      <c r="AC646" s="881" t="b">
        <f t="shared" ca="1" si="32"/>
        <v>0</v>
      </c>
      <c r="AD646" s="881" t="b">
        <f t="shared" ca="1" si="33"/>
        <v>0</v>
      </c>
      <c r="AE646" s="881" t="b">
        <f t="shared" si="34"/>
        <v>0</v>
      </c>
      <c r="AL646" s="78"/>
      <c r="AM646" s="78"/>
      <c r="AN646" s="78"/>
      <c r="AO646" s="78"/>
      <c r="AP646" s="1352" t="str">
        <f t="shared" si="35"/>
        <v>dch706_3_4</v>
      </c>
      <c r="AQ646" s="1352" t="str">
        <f t="shared" si="36"/>
        <v/>
      </c>
      <c r="AR646" s="1352" t="str">
        <f t="shared" si="37"/>
        <v>dnt706_3_4</v>
      </c>
      <c r="AS646" s="1352" t="str">
        <f t="shared" si="38"/>
        <v/>
      </c>
    </row>
    <row r="647" spans="2:51" s="843" customFormat="1" ht="15" customHeight="1" x14ac:dyDescent="0.2">
      <c r="B647" s="600">
        <v>706.3</v>
      </c>
      <c r="C647" s="600" t="s">
        <v>263</v>
      </c>
      <c r="D647" s="600"/>
      <c r="E647" s="600"/>
      <c r="F647" s="23"/>
      <c r="G647" s="23"/>
      <c r="H647" s="691"/>
      <c r="I647" s="589"/>
      <c r="J647" s="589" t="s">
        <v>263</v>
      </c>
      <c r="K647" s="589"/>
      <c r="L647" s="863" t="s">
        <v>4358</v>
      </c>
      <c r="M647" s="882"/>
      <c r="N647" s="129"/>
      <c r="O647" s="886"/>
      <c r="P647" s="96" t="b">
        <v>0</v>
      </c>
      <c r="Q647" s="96" t="b">
        <v>1</v>
      </c>
      <c r="R647" s="96" t="b">
        <v>0</v>
      </c>
      <c r="S647" s="96" t="b">
        <f ca="1">AND(S11=2,IFERROR(NOT(OR(W684:W685,W694)),TRUE))</f>
        <v>0</v>
      </c>
      <c r="T647" s="96" t="b">
        <f t="shared" ca="1" si="31"/>
        <v>0</v>
      </c>
      <c r="W647" s="27"/>
      <c r="X647" s="889"/>
      <c r="AC647" s="881" t="b">
        <f t="shared" ca="1" si="32"/>
        <v>0</v>
      </c>
      <c r="AD647" s="881" t="b">
        <f t="shared" ca="1" si="33"/>
        <v>0</v>
      </c>
      <c r="AE647" s="881" t="b">
        <f t="shared" si="34"/>
        <v>0</v>
      </c>
      <c r="AL647" s="78"/>
      <c r="AM647" s="78"/>
      <c r="AN647" s="78"/>
      <c r="AO647" s="78"/>
      <c r="AP647" s="1352" t="str">
        <f t="shared" si="35"/>
        <v>dch706_3_5</v>
      </c>
      <c r="AQ647" s="1352" t="str">
        <f t="shared" si="36"/>
        <v/>
      </c>
      <c r="AR647" s="1352" t="str">
        <f t="shared" si="37"/>
        <v>dnt706_3_5</v>
      </c>
      <c r="AS647" s="1352" t="str">
        <f t="shared" si="38"/>
        <v/>
      </c>
    </row>
    <row r="648" spans="2:51" s="843" customFormat="1" ht="15" customHeight="1" x14ac:dyDescent="0.2">
      <c r="B648" s="600">
        <v>706.3</v>
      </c>
      <c r="C648" s="600" t="s">
        <v>264</v>
      </c>
      <c r="D648" s="600"/>
      <c r="E648" s="600"/>
      <c r="F648" s="23"/>
      <c r="G648" s="23"/>
      <c r="H648" s="691"/>
      <c r="I648" s="589"/>
      <c r="J648" s="589" t="s">
        <v>264</v>
      </c>
      <c r="K648" s="589"/>
      <c r="L648" s="863" t="s">
        <v>4359</v>
      </c>
      <c r="M648" s="882"/>
      <c r="N648" s="129"/>
      <c r="O648" s="886"/>
      <c r="P648" s="96" t="b">
        <v>0</v>
      </c>
      <c r="Q648" s="96" t="b">
        <v>1</v>
      </c>
      <c r="R648" s="96" t="b">
        <v>0</v>
      </c>
      <c r="S648" s="96" t="b">
        <f ca="1">AND(S11=2,IFERROR(NOT(OR(W684:W685,W694)),TRUE))</f>
        <v>0</v>
      </c>
      <c r="T648" s="96" t="b">
        <f t="shared" ca="1" si="31"/>
        <v>0</v>
      </c>
      <c r="W648" s="27"/>
      <c r="X648" s="889"/>
      <c r="AC648" s="881" t="b">
        <f t="shared" ca="1" si="32"/>
        <v>0</v>
      </c>
      <c r="AD648" s="881" t="b">
        <f t="shared" ca="1" si="33"/>
        <v>0</v>
      </c>
      <c r="AE648" s="881" t="b">
        <f t="shared" si="34"/>
        <v>0</v>
      </c>
      <c r="AL648" s="78"/>
      <c r="AM648" s="78"/>
      <c r="AN648" s="78"/>
      <c r="AO648" s="78"/>
      <c r="AP648" s="1352" t="str">
        <f t="shared" si="35"/>
        <v>dch706_3_6</v>
      </c>
      <c r="AQ648" s="1352" t="str">
        <f t="shared" si="36"/>
        <v/>
      </c>
      <c r="AR648" s="1352" t="str">
        <f t="shared" si="37"/>
        <v>dnt706_3_6</v>
      </c>
      <c r="AS648" s="1352" t="str">
        <f t="shared" si="38"/>
        <v/>
      </c>
    </row>
    <row r="649" spans="2:51" s="843" customFormat="1" ht="15" customHeight="1" x14ac:dyDescent="0.2">
      <c r="B649" s="600">
        <v>706.3</v>
      </c>
      <c r="C649" s="600" t="s">
        <v>356</v>
      </c>
      <c r="D649" s="600"/>
      <c r="E649" s="600"/>
      <c r="F649" s="23"/>
      <c r="G649" s="23"/>
      <c r="H649" s="691"/>
      <c r="I649" s="589"/>
      <c r="J649" s="589" t="s">
        <v>356</v>
      </c>
      <c r="K649" s="589"/>
      <c r="L649" s="863" t="s">
        <v>4360</v>
      </c>
      <c r="M649" s="882"/>
      <c r="N649" s="129"/>
      <c r="O649" s="886"/>
      <c r="P649" s="96" t="b">
        <v>0</v>
      </c>
      <c r="Q649" s="96" t="b">
        <v>1</v>
      </c>
      <c r="R649" s="96" t="b">
        <v>0</v>
      </c>
      <c r="S649" s="96" t="b">
        <f ca="1">AND(S11=2,IFERROR(NOT(OR(W684:W685,W694)),TRUE))</f>
        <v>0</v>
      </c>
      <c r="T649" s="96" t="b">
        <f t="shared" ca="1" si="31"/>
        <v>0</v>
      </c>
      <c r="W649" s="27"/>
      <c r="X649" s="889"/>
      <c r="AC649" s="881" t="b">
        <f t="shared" ca="1" si="32"/>
        <v>0</v>
      </c>
      <c r="AD649" s="881" t="b">
        <f t="shared" ca="1" si="33"/>
        <v>0</v>
      </c>
      <c r="AE649" s="881" t="b">
        <f t="shared" si="34"/>
        <v>0</v>
      </c>
      <c r="AL649" s="78"/>
      <c r="AM649" s="78"/>
      <c r="AN649" s="78"/>
      <c r="AO649" s="78"/>
      <c r="AP649" s="1352" t="str">
        <f t="shared" si="35"/>
        <v>dch706_3_7</v>
      </c>
      <c r="AQ649" s="1352" t="str">
        <f t="shared" si="36"/>
        <v/>
      </c>
      <c r="AR649" s="1352" t="str">
        <f t="shared" si="37"/>
        <v>dnt706_3_7</v>
      </c>
      <c r="AS649" s="1352" t="str">
        <f t="shared" si="38"/>
        <v/>
      </c>
    </row>
    <row r="650" spans="2:51" s="843" customFormat="1" ht="15" customHeight="1" x14ac:dyDescent="0.2">
      <c r="B650" s="600">
        <v>706.3</v>
      </c>
      <c r="C650" s="600" t="s">
        <v>389</v>
      </c>
      <c r="D650" s="600"/>
      <c r="E650" s="600"/>
      <c r="F650" s="23"/>
      <c r="G650" s="23"/>
      <c r="H650" s="691"/>
      <c r="I650" s="589"/>
      <c r="J650" s="589" t="s">
        <v>389</v>
      </c>
      <c r="K650" s="589"/>
      <c r="L650" s="863" t="s">
        <v>4361</v>
      </c>
      <c r="M650" s="882"/>
      <c r="N650" s="129"/>
      <c r="O650" s="886"/>
      <c r="P650" s="96" t="b">
        <v>0</v>
      </c>
      <c r="Q650" s="96" t="b">
        <v>1</v>
      </c>
      <c r="R650" s="96" t="b">
        <v>0</v>
      </c>
      <c r="S650" s="96" t="b">
        <f ca="1">AND(S11=2,IFERROR(NOT(OR(W684:W685,W694)),TRUE))</f>
        <v>0</v>
      </c>
      <c r="T650" s="96" t="b">
        <f t="shared" ca="1" si="31"/>
        <v>0</v>
      </c>
      <c r="W650" s="27"/>
      <c r="X650" s="889"/>
      <c r="AC650" s="881" t="b">
        <f t="shared" ca="1" si="32"/>
        <v>0</v>
      </c>
      <c r="AD650" s="881" t="b">
        <f t="shared" ca="1" si="33"/>
        <v>0</v>
      </c>
      <c r="AE650" s="881" t="b">
        <f t="shared" si="34"/>
        <v>0</v>
      </c>
      <c r="AL650" s="78"/>
      <c r="AM650" s="78"/>
      <c r="AN650" s="78"/>
      <c r="AO650" s="78"/>
      <c r="AP650" s="1352" t="str">
        <f t="shared" si="35"/>
        <v>dch706_3_8</v>
      </c>
      <c r="AQ650" s="1352" t="str">
        <f t="shared" si="36"/>
        <v/>
      </c>
      <c r="AR650" s="1352" t="str">
        <f t="shared" si="37"/>
        <v>dnt706_3_8</v>
      </c>
      <c r="AS650" s="1352" t="str">
        <f t="shared" si="38"/>
        <v/>
      </c>
    </row>
    <row r="651" spans="2:51" s="843" customFormat="1" ht="15" customHeight="1" x14ac:dyDescent="0.2">
      <c r="B651" s="600">
        <v>706.3</v>
      </c>
      <c r="C651" s="600" t="s">
        <v>389</v>
      </c>
      <c r="D651" s="600"/>
      <c r="E651" s="600"/>
      <c r="F651" s="23"/>
      <c r="G651" s="23"/>
      <c r="H651" s="691"/>
      <c r="I651" s="589"/>
      <c r="J651" s="589"/>
      <c r="K651" s="589"/>
      <c r="L651" s="1745" t="s">
        <v>4364</v>
      </c>
      <c r="M651" s="96"/>
      <c r="N651" s="96"/>
      <c r="O651" s="96"/>
      <c r="P651" s="96"/>
      <c r="Q651" s="96"/>
      <c r="R651" s="96"/>
      <c r="S651" s="96"/>
      <c r="T651" s="96"/>
      <c r="AL651" s="78"/>
      <c r="AM651" s="78"/>
      <c r="AN651" s="78"/>
      <c r="AO651" s="78"/>
      <c r="AP651" s="78"/>
      <c r="AQ651" s="78"/>
      <c r="AR651" s="78"/>
      <c r="AS651" s="78"/>
    </row>
    <row r="652" spans="2:51" s="843" customFormat="1" ht="15" customHeight="1" x14ac:dyDescent="0.2">
      <c r="B652" s="600">
        <v>706.3</v>
      </c>
      <c r="C652" s="600" t="s">
        <v>389</v>
      </c>
      <c r="D652" s="600"/>
      <c r="E652" s="600"/>
      <c r="F652" s="23"/>
      <c r="G652" s="23"/>
      <c r="H652" s="691"/>
      <c r="I652" s="589"/>
      <c r="J652" s="589"/>
      <c r="K652" s="589"/>
      <c r="L652" s="1745"/>
      <c r="M652" s="96"/>
      <c r="N652" s="96"/>
      <c r="O652" s="96"/>
      <c r="P652" s="96"/>
      <c r="Q652" s="96"/>
      <c r="R652" s="96"/>
      <c r="S652" s="96"/>
      <c r="T652" s="96"/>
      <c r="AL652" s="78"/>
      <c r="AM652" s="78"/>
      <c r="AN652" s="78"/>
      <c r="AO652" s="78"/>
      <c r="AP652" s="78"/>
      <c r="AQ652" s="78"/>
      <c r="AR652" s="78"/>
      <c r="AS652" s="78"/>
    </row>
    <row r="653" spans="2:51" s="843" customFormat="1" ht="15" customHeight="1" x14ac:dyDescent="0.2">
      <c r="B653" s="600">
        <v>706.3</v>
      </c>
      <c r="C653" s="600" t="s">
        <v>389</v>
      </c>
      <c r="D653" s="600"/>
      <c r="E653" s="600"/>
      <c r="F653" s="23"/>
      <c r="G653" s="23"/>
      <c r="H653" s="691"/>
      <c r="I653" s="590"/>
      <c r="J653" s="590"/>
      <c r="K653" s="590"/>
      <c r="L653" s="1745" t="s">
        <v>4851</v>
      </c>
      <c r="M653" s="991"/>
      <c r="N653" s="991"/>
      <c r="O653" s="991"/>
      <c r="P653" s="991"/>
      <c r="Q653" s="991"/>
      <c r="R653" s="991"/>
      <c r="S653" s="991"/>
      <c r="T653" s="991"/>
      <c r="U653" s="991"/>
      <c r="V653" s="991"/>
      <c r="W653" s="991"/>
      <c r="X653" s="991"/>
      <c r="AL653" s="78"/>
      <c r="AM653" s="78"/>
      <c r="AN653" s="78"/>
      <c r="AO653" s="78"/>
      <c r="AP653" s="78"/>
      <c r="AQ653" s="78"/>
      <c r="AR653" s="78"/>
      <c r="AS653" s="78"/>
    </row>
    <row r="654" spans="2:51" s="843" customFormat="1" ht="15" customHeight="1" thickBot="1" x14ac:dyDescent="0.25">
      <c r="B654" s="600">
        <v>706.3</v>
      </c>
      <c r="C654" s="600" t="s">
        <v>389</v>
      </c>
      <c r="D654" s="600"/>
      <c r="E654" s="600"/>
      <c r="F654" s="23"/>
      <c r="G654" s="23"/>
      <c r="H654" s="691"/>
      <c r="I654" s="594"/>
      <c r="J654" s="594"/>
      <c r="K654" s="594"/>
      <c r="L654" s="1746"/>
      <c r="M654" s="100"/>
      <c r="N654" s="100"/>
      <c r="O654" s="100"/>
      <c r="P654" s="100"/>
      <c r="Q654" s="100"/>
      <c r="R654" s="100"/>
      <c r="S654" s="100"/>
      <c r="T654" s="100"/>
      <c r="U654" s="100"/>
      <c r="V654" s="100"/>
      <c r="W654" s="100"/>
      <c r="X654" s="100"/>
      <c r="AL654" s="78"/>
      <c r="AM654" s="78"/>
      <c r="AN654" s="78"/>
      <c r="AO654" s="78"/>
      <c r="AP654" s="78"/>
      <c r="AQ654" s="78"/>
      <c r="AR654" s="78"/>
      <c r="AS654" s="78"/>
    </row>
    <row r="655" spans="2:51" s="843" customFormat="1" ht="15" customHeight="1" thickTop="1" x14ac:dyDescent="0.2">
      <c r="B655" s="600">
        <v>706.4</v>
      </c>
      <c r="C655" s="600"/>
      <c r="D655" s="600"/>
      <c r="E655" s="600"/>
      <c r="F655" s="23"/>
      <c r="G655" s="23"/>
      <c r="H655" s="691"/>
      <c r="I655" s="589" t="s">
        <v>4365</v>
      </c>
      <c r="J655" s="589"/>
      <c r="K655" s="589"/>
      <c r="L655" s="869" t="s">
        <v>4366</v>
      </c>
      <c r="M655" s="96"/>
      <c r="N655" s="96"/>
      <c r="O655" s="96"/>
      <c r="P655" s="96"/>
      <c r="Q655" s="96"/>
      <c r="R655" s="96"/>
      <c r="S655" s="96"/>
      <c r="T655" s="96"/>
      <c r="AL655" s="78"/>
      <c r="AM655" s="78"/>
      <c r="AN655" s="78"/>
      <c r="AO655" s="78"/>
      <c r="AP655" s="78"/>
      <c r="AQ655" s="78"/>
      <c r="AR655" s="78"/>
      <c r="AS655" s="78"/>
    </row>
    <row r="656" spans="2:51" s="843" customFormat="1" ht="15" customHeight="1" x14ac:dyDescent="0.2">
      <c r="B656" s="600" t="s">
        <v>4466</v>
      </c>
      <c r="C656" s="600"/>
      <c r="D656" s="600"/>
      <c r="E656" s="600"/>
      <c r="F656" s="23"/>
      <c r="G656" s="23"/>
      <c r="H656" s="691"/>
      <c r="I656" s="589" t="s">
        <v>4367</v>
      </c>
      <c r="J656" s="589"/>
      <c r="K656" s="589"/>
      <c r="L656" s="869" t="s">
        <v>4368</v>
      </c>
      <c r="M656" s="96"/>
      <c r="N656" s="96"/>
      <c r="O656" s="96"/>
      <c r="P656" s="96"/>
      <c r="Q656" s="96"/>
      <c r="R656" s="96"/>
      <c r="S656" s="96"/>
      <c r="T656" s="96"/>
      <c r="AL656" s="78"/>
      <c r="AM656" s="78"/>
      <c r="AN656" s="78"/>
      <c r="AO656" s="78"/>
      <c r="AP656" s="78"/>
      <c r="AQ656" s="78"/>
      <c r="AR656" s="78"/>
      <c r="AS656" s="78"/>
    </row>
    <row r="657" spans="2:51" s="843" customFormat="1" ht="15" customHeight="1" x14ac:dyDescent="0.2">
      <c r="B657" s="600" t="s">
        <v>4466</v>
      </c>
      <c r="C657" s="600" t="s">
        <v>254</v>
      </c>
      <c r="D657" s="600"/>
      <c r="E657" s="600"/>
      <c r="F657" s="23"/>
      <c r="G657" s="23"/>
      <c r="H657" s="691"/>
      <c r="I657" s="589"/>
      <c r="J657" s="590" t="s">
        <v>254</v>
      </c>
      <c r="K657" s="590"/>
      <c r="L657" s="1634" t="s">
        <v>4369</v>
      </c>
      <c r="M657" s="1623">
        <v>1</v>
      </c>
      <c r="N657" s="129"/>
      <c r="O657" s="1619">
        <f ca="1">M657*S657*W657</f>
        <v>0</v>
      </c>
      <c r="P657" s="96" t="b">
        <v>1</v>
      </c>
      <c r="Q657" s="96" t="b">
        <v>1</v>
      </c>
      <c r="R657" s="96" t="b">
        <v>0</v>
      </c>
      <c r="S657" s="96" t="b">
        <f ca="1">S11=2</f>
        <v>0</v>
      </c>
      <c r="T657" s="96" t="b">
        <v>0</v>
      </c>
      <c r="W657" s="27"/>
      <c r="X657" s="1600"/>
      <c r="AC657" s="881" t="b">
        <f>OR(AD657:AE657)</f>
        <v>0</v>
      </c>
      <c r="AD657" s="881" t="b">
        <f>T657</f>
        <v>0</v>
      </c>
      <c r="AE657" s="881" t="b">
        <f>AND(R657,NOT(W657))</f>
        <v>0</v>
      </c>
      <c r="AL657" s="1352" t="str">
        <f>SUBSTITUTE(SUBSTITUTE(SUBSTITUTE("dpa"&amp;$B657&amp;$C657&amp;$D657&amp;$E657&amp;$F657,".","_"),"(","_"),")","")</f>
        <v>dpa706_4_1_1</v>
      </c>
      <c r="AM657" s="1352">
        <f>M657</f>
        <v>1</v>
      </c>
      <c r="AN657" s="1352" t="str">
        <f>SUBSTITUTE(SUBSTITUTE(SUBSTITUTE("dpc"&amp;$B657&amp;$C657&amp;$D657&amp;$E657&amp;$F657,".","_"),"(","_"),")","")</f>
        <v>dpc706_4_1_1</v>
      </c>
      <c r="AO657" s="1352">
        <f ca="1">O657</f>
        <v>0</v>
      </c>
      <c r="AP657" s="1352" t="str">
        <f>SUBSTITUTE(SUBSTITUTE(SUBSTITUTE("dch"&amp;$B657&amp;$C657&amp;$D657&amp;$E657&amp;$F657,".","_"),"(","_"),")","")</f>
        <v>dch706_4_1_1</v>
      </c>
      <c r="AQ657" s="1352" t="str">
        <f>IF(LEN(W657)=0,"",W657)</f>
        <v/>
      </c>
      <c r="AR657" s="1352" t="str">
        <f>SUBSTITUTE(SUBSTITUTE(SUBSTITUTE("dnt"&amp;$B657&amp;$C657&amp;$D657&amp;$E657&amp;$F657,".","_"),"(","_"),")","")</f>
        <v>dnt706_4_1_1</v>
      </c>
      <c r="AS657" s="1352" t="str">
        <f>IF(LEN(X657)=0,"",X657)</f>
        <v/>
      </c>
    </row>
    <row r="658" spans="2:51" s="843" customFormat="1" ht="15" customHeight="1" x14ac:dyDescent="0.2">
      <c r="B658" s="600" t="s">
        <v>4466</v>
      </c>
      <c r="C658" s="600" t="s">
        <v>254</v>
      </c>
      <c r="D658" s="600"/>
      <c r="E658" s="600"/>
      <c r="F658" s="23"/>
      <c r="G658" s="23"/>
      <c r="H658" s="691"/>
      <c r="I658" s="589"/>
      <c r="J658" s="606"/>
      <c r="K658" s="606"/>
      <c r="L658" s="1639"/>
      <c r="M658" s="1624"/>
      <c r="N658" s="213"/>
      <c r="O658" s="1620"/>
      <c r="P658" s="96"/>
      <c r="Q658" s="96"/>
      <c r="R658" s="96"/>
      <c r="S658" s="96"/>
      <c r="T658" s="96"/>
      <c r="X658" s="1600"/>
      <c r="AL658" s="78"/>
      <c r="AM658" s="78"/>
      <c r="AN658" s="78"/>
      <c r="AO658" s="78"/>
      <c r="AP658" s="78"/>
      <c r="AQ658" s="78"/>
      <c r="AR658" s="78"/>
      <c r="AS658" s="78"/>
    </row>
    <row r="659" spans="2:51" s="843" customFormat="1" ht="15" customHeight="1" x14ac:dyDescent="0.2">
      <c r="B659" s="600" t="s">
        <v>4466</v>
      </c>
      <c r="C659" s="600" t="s">
        <v>255</v>
      </c>
      <c r="D659" s="600"/>
      <c r="E659" s="600"/>
      <c r="F659" s="23"/>
      <c r="G659" s="23"/>
      <c r="H659" s="691"/>
      <c r="I659" s="590"/>
      <c r="J659" s="590" t="s">
        <v>255</v>
      </c>
      <c r="K659" s="590"/>
      <c r="L659" s="1634" t="s">
        <v>4370</v>
      </c>
      <c r="M659" s="1623">
        <v>3</v>
      </c>
      <c r="N659" s="129"/>
      <c r="O659" s="1619">
        <f ca="1">M659*S659*W659</f>
        <v>0</v>
      </c>
      <c r="P659" s="96" t="b">
        <v>1</v>
      </c>
      <c r="Q659" s="96" t="b">
        <v>1</v>
      </c>
      <c r="R659" s="96" t="b">
        <v>0</v>
      </c>
      <c r="S659" s="96" t="b">
        <f ca="1">S11=2</f>
        <v>0</v>
      </c>
      <c r="T659" s="96" t="b">
        <v>0</v>
      </c>
      <c r="W659" s="27"/>
      <c r="X659" s="1600"/>
      <c r="AC659" s="881" t="b">
        <f>OR(AD659:AE659)</f>
        <v>0</v>
      </c>
      <c r="AD659" s="881" t="b">
        <f>T659</f>
        <v>0</v>
      </c>
      <c r="AE659" s="881" t="b">
        <f>AND(R659,NOT(W659))</f>
        <v>0</v>
      </c>
      <c r="AL659" s="1352" t="str">
        <f>SUBSTITUTE(SUBSTITUTE(SUBSTITUTE("dpa"&amp;$B659&amp;$C659&amp;$D659&amp;$E659&amp;$F659,".","_"),"(","_"),")","")</f>
        <v>dpa706_4_1_2</v>
      </c>
      <c r="AM659" s="1352">
        <f>M659</f>
        <v>3</v>
      </c>
      <c r="AN659" s="1352" t="str">
        <f>SUBSTITUTE(SUBSTITUTE(SUBSTITUTE("dpc"&amp;$B659&amp;$C659&amp;$D659&amp;$E659&amp;$F659,".","_"),"(","_"),")","")</f>
        <v>dpc706_4_1_2</v>
      </c>
      <c r="AO659" s="1352">
        <f ca="1">O659</f>
        <v>0</v>
      </c>
      <c r="AP659" s="1352" t="str">
        <f>SUBSTITUTE(SUBSTITUTE(SUBSTITUTE("dch"&amp;$B659&amp;$C659&amp;$D659&amp;$E659&amp;$F659,".","_"),"(","_"),")","")</f>
        <v>dch706_4_1_2</v>
      </c>
      <c r="AQ659" s="1352" t="str">
        <f>IF(LEN(W659)=0,"",W659)</f>
        <v/>
      </c>
      <c r="AR659" s="1352" t="str">
        <f>SUBSTITUTE(SUBSTITUTE(SUBSTITUTE("dnt"&amp;$B659&amp;$C659&amp;$D659&amp;$E659&amp;$F659,".","_"),"(","_"),")","")</f>
        <v>dnt706_4_1_2</v>
      </c>
      <c r="AS659" s="1352" t="str">
        <f>IF(LEN(X659)=0,"",X659)</f>
        <v/>
      </c>
    </row>
    <row r="660" spans="2:51" s="843" customFormat="1" ht="15" customHeight="1" x14ac:dyDescent="0.2">
      <c r="B660" s="600" t="s">
        <v>4466</v>
      </c>
      <c r="C660" s="600" t="s">
        <v>255</v>
      </c>
      <c r="D660" s="600"/>
      <c r="E660" s="600"/>
      <c r="F660" s="23"/>
      <c r="G660" s="23"/>
      <c r="H660" s="691"/>
      <c r="I660" s="606"/>
      <c r="J660" s="606"/>
      <c r="K660" s="606"/>
      <c r="L660" s="1639"/>
      <c r="M660" s="1624"/>
      <c r="N660" s="213"/>
      <c r="O660" s="1620"/>
      <c r="P660" s="96"/>
      <c r="Q660" s="96"/>
      <c r="R660" s="96"/>
      <c r="S660" s="96"/>
      <c r="T660" s="96"/>
      <c r="X660" s="1600"/>
      <c r="AL660" s="78"/>
      <c r="AM660" s="78"/>
      <c r="AN660" s="78"/>
      <c r="AO660" s="78"/>
      <c r="AP660" s="78"/>
      <c r="AQ660" s="78"/>
      <c r="AR660" s="78"/>
      <c r="AS660" s="78"/>
    </row>
    <row r="661" spans="2:51" s="843" customFormat="1" ht="15" customHeight="1" x14ac:dyDescent="0.2">
      <c r="B661" s="600" t="s">
        <v>4467</v>
      </c>
      <c r="C661" s="600"/>
      <c r="D661" s="600"/>
      <c r="E661" s="600"/>
      <c r="F661" s="23"/>
      <c r="G661" s="23"/>
      <c r="H661" s="691"/>
      <c r="I661" s="590" t="s">
        <v>4371</v>
      </c>
      <c r="J661" s="590"/>
      <c r="K661" s="590"/>
      <c r="L661" s="1687" t="s">
        <v>4372</v>
      </c>
      <c r="M661" s="1623">
        <v>1</v>
      </c>
      <c r="N661" s="129"/>
      <c r="O661" s="1619">
        <f ca="1">M661*S661*W661</f>
        <v>0</v>
      </c>
      <c r="P661" s="991" t="b">
        <v>1</v>
      </c>
      <c r="Q661" s="991" t="b">
        <v>1</v>
      </c>
      <c r="R661" s="991" t="b">
        <v>0</v>
      </c>
      <c r="S661" s="991" t="b">
        <f ca="1">S11=2</f>
        <v>0</v>
      </c>
      <c r="T661" s="991" t="b">
        <v>0</v>
      </c>
      <c r="U661" s="991"/>
      <c r="V661" s="991"/>
      <c r="W661" s="333"/>
      <c r="X661" s="1601"/>
      <c r="AC661" s="881" t="b">
        <f>OR(AD661:AE661)</f>
        <v>0</v>
      </c>
      <c r="AD661" s="881" t="b">
        <f>T661</f>
        <v>0</v>
      </c>
      <c r="AE661" s="881" t="b">
        <f>AND(R661,NOT(W661))</f>
        <v>0</v>
      </c>
      <c r="AL661" s="1352" t="str">
        <f>SUBSTITUTE(SUBSTITUTE(SUBSTITUTE("dpa"&amp;$B661&amp;$C661&amp;$D661&amp;$E661&amp;$F661,".","_"),"(","_"),")","")</f>
        <v>dpa706_4_2</v>
      </c>
      <c r="AM661" s="1352">
        <f>M661</f>
        <v>1</v>
      </c>
      <c r="AN661" s="1352" t="str">
        <f>SUBSTITUTE(SUBSTITUTE(SUBSTITUTE("dpc"&amp;$B661&amp;$C661&amp;$D661&amp;$E661&amp;$F661,".","_"),"(","_"),")","")</f>
        <v>dpc706_4_2</v>
      </c>
      <c r="AO661" s="1352">
        <f ca="1">O661</f>
        <v>0</v>
      </c>
      <c r="AP661" s="1352" t="str">
        <f>SUBSTITUTE(SUBSTITUTE(SUBSTITUTE("dch"&amp;$B661&amp;$C661&amp;$D661&amp;$E661&amp;$F661,".","_"),"(","_"),")","")</f>
        <v>dch706_4_2</v>
      </c>
      <c r="AQ661" s="1352" t="str">
        <f>IF(LEN(W661)=0,"",W661)</f>
        <v/>
      </c>
      <c r="AR661" s="1352" t="str">
        <f>SUBSTITUTE(SUBSTITUTE(SUBSTITUTE("dnt"&amp;$B661&amp;$C661&amp;$D661&amp;$E661&amp;$F661,".","_"),"(","_"),")","")</f>
        <v>dnt706_4_2</v>
      </c>
      <c r="AS661" s="1352" t="str">
        <f>IF(LEN(X661)=0,"",X661)</f>
        <v/>
      </c>
    </row>
    <row r="662" spans="2:51" s="843" customFormat="1" ht="15" customHeight="1" thickBot="1" x14ac:dyDescent="0.25">
      <c r="B662" s="600" t="s">
        <v>4467</v>
      </c>
      <c r="C662" s="600"/>
      <c r="D662" s="600"/>
      <c r="E662" s="600"/>
      <c r="F662" s="23"/>
      <c r="G662" s="23"/>
      <c r="H662" s="691"/>
      <c r="I662" s="594"/>
      <c r="J662" s="594"/>
      <c r="K662" s="594"/>
      <c r="L662" s="1738"/>
      <c r="M662" s="1627"/>
      <c r="N662" s="239"/>
      <c r="O662" s="1638"/>
      <c r="P662" s="100"/>
      <c r="Q662" s="100"/>
      <c r="R662" s="100"/>
      <c r="S662" s="100"/>
      <c r="T662" s="100"/>
      <c r="U662" s="100"/>
      <c r="V662" s="100"/>
      <c r="W662" s="100"/>
      <c r="X662" s="1602"/>
      <c r="AL662" s="78"/>
      <c r="AM662" s="78"/>
      <c r="AN662" s="78"/>
      <c r="AO662" s="78"/>
      <c r="AP662" s="78"/>
      <c r="AQ662" s="78"/>
      <c r="AR662" s="78"/>
      <c r="AS662" s="78"/>
    </row>
    <row r="663" spans="2:51" s="843" customFormat="1" ht="15" customHeight="1" thickTop="1" x14ac:dyDescent="0.2">
      <c r="B663" s="600">
        <v>706.5</v>
      </c>
      <c r="C663" s="600"/>
      <c r="D663" s="600"/>
      <c r="E663" s="600"/>
      <c r="F663" s="23"/>
      <c r="G663" s="23"/>
      <c r="H663" s="691"/>
      <c r="I663" s="589" t="s">
        <v>4373</v>
      </c>
      <c r="J663" s="589"/>
      <c r="K663" s="589"/>
      <c r="L663" s="869" t="s">
        <v>4374</v>
      </c>
      <c r="M663" s="96"/>
      <c r="N663" s="96"/>
      <c r="O663" s="96"/>
      <c r="P663" s="96"/>
      <c r="Q663" s="96"/>
      <c r="R663" s="96"/>
      <c r="S663" s="96"/>
      <c r="T663" s="96"/>
      <c r="AL663" s="78"/>
      <c r="AM663" s="78"/>
      <c r="AN663" s="78"/>
      <c r="AO663" s="78"/>
      <c r="AP663" s="78"/>
      <c r="AQ663" s="78"/>
      <c r="AR663" s="78"/>
      <c r="AS663" s="78"/>
    </row>
    <row r="664" spans="2:51" s="843" customFormat="1" ht="15" customHeight="1" x14ac:dyDescent="0.2">
      <c r="B664" s="600">
        <v>706.5</v>
      </c>
      <c r="C664" s="600" t="s">
        <v>254</v>
      </c>
      <c r="D664" s="600"/>
      <c r="E664" s="600"/>
      <c r="F664" s="23"/>
      <c r="G664" s="23"/>
      <c r="H664" s="691"/>
      <c r="I664" s="589"/>
      <c r="J664" s="590" t="s">
        <v>254</v>
      </c>
      <c r="K664" s="590"/>
      <c r="L664" s="917" t="s">
        <v>4375</v>
      </c>
      <c r="M664" s="1623">
        <v>1</v>
      </c>
      <c r="N664" s="129"/>
      <c r="O664" s="1619">
        <f ca="1">M664*S664*W664</f>
        <v>0</v>
      </c>
      <c r="P664" s="96" t="b">
        <v>0</v>
      </c>
      <c r="Q664" s="96" t="b">
        <v>1</v>
      </c>
      <c r="R664" s="96" t="b">
        <v>0</v>
      </c>
      <c r="S664" s="96" t="b">
        <f ca="1">S11=2</f>
        <v>0</v>
      </c>
      <c r="T664" s="96" t="b">
        <v>0</v>
      </c>
      <c r="W664" s="27"/>
      <c r="X664" s="1600"/>
      <c r="AC664" s="881" t="b">
        <f>OR(AD664:AE664)</f>
        <v>0</v>
      </c>
      <c r="AD664" s="881" t="b">
        <f>T664</f>
        <v>0</v>
      </c>
      <c r="AE664" s="881" t="b">
        <f>AND(R664,NOT(W664))</f>
        <v>0</v>
      </c>
      <c r="AL664" s="1352" t="str">
        <f>SUBSTITUTE(SUBSTITUTE(SUBSTITUTE("dpa"&amp;$B664&amp;$C664&amp;$D664&amp;$E664&amp;$F664,".","_"),"(","_"),")","")</f>
        <v>dpa706_5_1</v>
      </c>
      <c r="AM664" s="1352">
        <f>M664</f>
        <v>1</v>
      </c>
      <c r="AN664" s="1352" t="str">
        <f>SUBSTITUTE(SUBSTITUTE(SUBSTITUTE("dpc"&amp;$B664&amp;$C664&amp;$D664&amp;$E664&amp;$F664,".","_"),"(","_"),")","")</f>
        <v>dpc706_5_1</v>
      </c>
      <c r="AO664" s="1352">
        <f ca="1">O664</f>
        <v>0</v>
      </c>
      <c r="AP664" s="1352" t="str">
        <f>SUBSTITUTE(SUBSTITUTE(SUBSTITUTE("dch"&amp;$B664&amp;$C664&amp;$D664&amp;$E664&amp;$F664,".","_"),"(","_"),")","")</f>
        <v>dch706_5_1</v>
      </c>
      <c r="AQ664" s="1352" t="str">
        <f>IF(LEN(W664)=0,"",W664)</f>
        <v/>
      </c>
      <c r="AR664" s="1352" t="str">
        <f>SUBSTITUTE(SUBSTITUTE(SUBSTITUTE("dnt"&amp;$B664&amp;$C664&amp;$D664&amp;$E664&amp;$F664,".","_"),"(","_"),")","")</f>
        <v>dnt706_5_1</v>
      </c>
      <c r="AS664" s="1352" t="str">
        <f>IF(LEN(X664)=0,"",X664)</f>
        <v/>
      </c>
    </row>
    <row r="665" spans="2:51" s="881" customFormat="1" ht="15" customHeight="1" x14ac:dyDescent="0.2">
      <c r="B665" s="600">
        <v>706.5</v>
      </c>
      <c r="C665" s="600" t="s">
        <v>254</v>
      </c>
      <c r="D665" s="600"/>
      <c r="E665" s="600"/>
      <c r="F665" s="23"/>
      <c r="G665" s="23"/>
      <c r="H665" s="691"/>
      <c r="I665" s="589"/>
      <c r="J665" s="606"/>
      <c r="K665" s="606"/>
      <c r="L665" s="923"/>
      <c r="M665" s="1624"/>
      <c r="N665" s="213"/>
      <c r="O665" s="1620"/>
      <c r="P665" s="96"/>
      <c r="Q665" s="96"/>
      <c r="R665" s="96"/>
      <c r="S665" s="198">
        <f ca="1">IF(AY19=INDEX(INDIRECT("ddSingleOrMulti"),1),1,AY20)</f>
        <v>48</v>
      </c>
      <c r="T665" s="96"/>
      <c r="U665" s="843"/>
      <c r="V665" s="843"/>
      <c r="W665" s="96" t="str">
        <f ca="1">"kW per "&amp;IF(AY19=INDEX(INDIRECT("ddSingleOrMulti"),1),"1 unit:",AY20&amp;" units:")</f>
        <v>kW per 48 units:</v>
      </c>
      <c r="X665" s="1600"/>
      <c r="AL665" s="78"/>
      <c r="AM665" s="78"/>
      <c r="AN665" s="78"/>
      <c r="AO665" s="78"/>
      <c r="AP665" s="78"/>
      <c r="AQ665" s="78"/>
      <c r="AR665" s="78"/>
      <c r="AS665" s="78"/>
      <c r="AX665" s="843"/>
      <c r="AY665" s="843"/>
    </row>
    <row r="666" spans="2:51" s="843" customFormat="1" ht="15" customHeight="1" x14ac:dyDescent="0.2">
      <c r="B666" s="600">
        <v>706.5</v>
      </c>
      <c r="C666" s="600" t="s">
        <v>255</v>
      </c>
      <c r="D666" s="600"/>
      <c r="E666" s="600"/>
      <c r="F666" s="23"/>
      <c r="G666" s="23"/>
      <c r="H666" s="691"/>
      <c r="I666" s="589"/>
      <c r="J666" s="590" t="s">
        <v>255</v>
      </c>
      <c r="K666" s="590"/>
      <c r="L666" s="917" t="s">
        <v>4376</v>
      </c>
      <c r="M666" s="1692" t="s">
        <v>4507</v>
      </c>
      <c r="N666" s="991"/>
      <c r="O666" s="1619">
        <f ca="1">IFERROR(ROUNDDOWN(2*W666/S665,0),0)*S666</f>
        <v>0</v>
      </c>
      <c r="P666" s="96" t="b">
        <v>0</v>
      </c>
      <c r="Q666" s="96" t="b">
        <v>1</v>
      </c>
      <c r="R666" s="96" t="b">
        <v>0</v>
      </c>
      <c r="S666" s="96" t="b">
        <f ca="1">S11=2</f>
        <v>0</v>
      </c>
      <c r="T666" s="96" t="b">
        <v>0</v>
      </c>
      <c r="W666" s="983"/>
      <c r="X666" s="1600"/>
      <c r="AC666" s="905" t="b">
        <f>OR(AD666:AE666)</f>
        <v>0</v>
      </c>
      <c r="AD666" s="905" t="b">
        <f>T666</f>
        <v>0</v>
      </c>
      <c r="AE666" s="905" t="b">
        <f>AND(R666,OR(W666="Not Met",W666=""))</f>
        <v>0</v>
      </c>
      <c r="AL666" s="1352" t="str">
        <f>SUBSTITUTE(SUBSTITUTE(SUBSTITUTE("dpa"&amp;$B666&amp;$C666&amp;$D666&amp;$E666&amp;$F666,".","_"),"(","_"),")","")</f>
        <v>dpa706_5_2</v>
      </c>
      <c r="AM666" s="1352" t="str">
        <f>M666</f>
        <v>2 per kW</v>
      </c>
      <c r="AN666" s="1352" t="str">
        <f>SUBSTITUTE(SUBSTITUTE(SUBSTITUTE("dpc"&amp;$B666&amp;$C666&amp;$D666&amp;$E666&amp;$F666,".","_"),"(","_"),")","")</f>
        <v>dpc706_5_2</v>
      </c>
      <c r="AO666" s="1352">
        <f ca="1">O666</f>
        <v>0</v>
      </c>
      <c r="AP666" s="1352" t="str">
        <f>SUBSTITUTE(SUBSTITUTE(SUBSTITUTE("dch"&amp;$B666&amp;$C666&amp;$D666&amp;$E666&amp;$F666,".","_"),"(","_"),")","")</f>
        <v>dch706_5_2</v>
      </c>
      <c r="AQ666" s="1352" t="str">
        <f>IF(LEN(W666)=0,"",W666)</f>
        <v/>
      </c>
      <c r="AR666" s="78"/>
      <c r="AS666" s="78"/>
    </row>
    <row r="667" spans="2:51" s="881" customFormat="1" ht="15" customHeight="1" x14ac:dyDescent="0.2">
      <c r="B667" s="600">
        <v>706.5</v>
      </c>
      <c r="C667" s="600" t="s">
        <v>255</v>
      </c>
      <c r="D667" s="600"/>
      <c r="E667" s="600"/>
      <c r="F667" s="23"/>
      <c r="G667" s="23"/>
      <c r="H667" s="691"/>
      <c r="I667" s="589"/>
      <c r="J667" s="606"/>
      <c r="K667" s="606"/>
      <c r="L667" s="923"/>
      <c r="M667" s="1711"/>
      <c r="N667" s="173"/>
      <c r="O667" s="1620"/>
      <c r="P667" s="96"/>
      <c r="Q667" s="96"/>
      <c r="R667" s="96"/>
      <c r="S667" s="96"/>
      <c r="T667" s="96"/>
      <c r="U667" s="843"/>
      <c r="V667" s="843"/>
      <c r="W667" s="843" t="str">
        <f ca="1">"kWh of storage per "&amp;IF(AY19=INDEX(INDIRECT("ddSingleOrMulti"),1),"1 unit:",AY20&amp;" units:")</f>
        <v>kWh of storage per 48 units:</v>
      </c>
      <c r="X667" s="1600"/>
      <c r="AL667" s="78"/>
      <c r="AM667" s="78"/>
      <c r="AN667" s="78"/>
      <c r="AO667" s="78"/>
      <c r="AP667" s="78"/>
      <c r="AQ667" s="78"/>
      <c r="AR667" s="78"/>
      <c r="AS667" s="78"/>
    </row>
    <row r="668" spans="2:51" s="843" customFormat="1" ht="15" customHeight="1" x14ac:dyDescent="0.2">
      <c r="B668" s="600">
        <v>706.5</v>
      </c>
      <c r="C668" s="600" t="s">
        <v>256</v>
      </c>
      <c r="D668" s="600"/>
      <c r="E668" s="600"/>
      <c r="F668" s="23"/>
      <c r="G668" s="23"/>
      <c r="H668" s="691"/>
      <c r="I668" s="589"/>
      <c r="J668" s="589" t="s">
        <v>256</v>
      </c>
      <c r="K668" s="589"/>
      <c r="L668" s="1634" t="s">
        <v>4377</v>
      </c>
      <c r="M668" s="1692" t="s">
        <v>4508</v>
      </c>
      <c r="N668" s="96"/>
      <c r="O668" s="1619">
        <f ca="1">IFERROR(ROUNDDOWN(W668/2/S665,0),0)*S668</f>
        <v>0</v>
      </c>
      <c r="P668" s="96" t="b">
        <v>0</v>
      </c>
      <c r="Q668" s="96" t="b">
        <v>1</v>
      </c>
      <c r="R668" s="96" t="b">
        <v>0</v>
      </c>
      <c r="S668" s="96" t="b">
        <f ca="1">AND(S11=2,W666&gt;0)</f>
        <v>0</v>
      </c>
      <c r="T668" s="96" t="b">
        <v>0</v>
      </c>
      <c r="U668" s="881"/>
      <c r="V668" s="881"/>
      <c r="W668" s="984"/>
      <c r="X668" s="1600"/>
      <c r="AC668" s="905" t="b">
        <f>OR(AD668:AE668)</f>
        <v>0</v>
      </c>
      <c r="AD668" s="905" t="b">
        <f>T668</f>
        <v>0</v>
      </c>
      <c r="AE668" s="905" t="b">
        <f>AND(R668,OR(W668="Not Met",W668=""))</f>
        <v>0</v>
      </c>
      <c r="AL668" s="1352" t="str">
        <f>SUBSTITUTE(SUBSTITUTE(SUBSTITUTE("dpa"&amp;$B668&amp;$C668&amp;$D668&amp;$E668&amp;$F668,".","_"),"(","_"),")","")</f>
        <v>dpa706_5_3</v>
      </c>
      <c r="AM668" s="1352" t="str">
        <f>M668</f>
        <v>2 per kW,
1 per 2 kWh</v>
      </c>
      <c r="AN668" s="1352" t="str">
        <f>SUBSTITUTE(SUBSTITUTE(SUBSTITUTE("dpc"&amp;$B668&amp;$C668&amp;$D668&amp;$E668&amp;$F668,".","_"),"(","_"),")","")</f>
        <v>dpc706_5_3</v>
      </c>
      <c r="AO668" s="1352">
        <f ca="1">O668</f>
        <v>0</v>
      </c>
      <c r="AP668" s="1352" t="str">
        <f>SUBSTITUTE(SUBSTITUTE(SUBSTITUTE("dch"&amp;$B668&amp;$C668&amp;$D668&amp;$E668&amp;$F668,".","_"),"(","_"),")","")</f>
        <v>dch706_5_3</v>
      </c>
      <c r="AQ668" s="1352" t="str">
        <f>IF(LEN(W668)=0,"",W668)</f>
        <v/>
      </c>
      <c r="AR668" s="78"/>
      <c r="AS668" s="78"/>
    </row>
    <row r="669" spans="2:51" s="843" customFormat="1" ht="15" customHeight="1" x14ac:dyDescent="0.2">
      <c r="B669" s="600">
        <v>706.5</v>
      </c>
      <c r="C669" s="600" t="s">
        <v>256</v>
      </c>
      <c r="D669" s="600"/>
      <c r="E669" s="600"/>
      <c r="F669" s="23"/>
      <c r="G669" s="23"/>
      <c r="H669" s="691"/>
      <c r="I669" s="589"/>
      <c r="J669" s="589"/>
      <c r="K669" s="589"/>
      <c r="L669" s="1634"/>
      <c r="M669" s="1692"/>
      <c r="N669" s="96"/>
      <c r="O669" s="1619"/>
      <c r="P669" s="96"/>
      <c r="Q669" s="96"/>
      <c r="R669" s="96"/>
      <c r="S669" s="96"/>
      <c r="T669" s="96"/>
      <c r="U669" s="881"/>
      <c r="V669" s="881"/>
      <c r="W669"/>
      <c r="X669" s="1600"/>
      <c r="AL669" s="78"/>
      <c r="AM669" s="78"/>
      <c r="AN669" s="78"/>
      <c r="AO669" s="78"/>
      <c r="AP669" s="78"/>
      <c r="AQ669" s="78"/>
      <c r="AR669" s="78"/>
      <c r="AS669" s="78"/>
      <c r="AX669" s="881"/>
      <c r="AY669" s="881"/>
    </row>
    <row r="670" spans="2:51" s="843" customFormat="1" ht="15" customHeight="1" x14ac:dyDescent="0.2">
      <c r="B670" s="600">
        <v>706.5</v>
      </c>
      <c r="C670" s="600"/>
      <c r="D670" s="600"/>
      <c r="E670" s="600"/>
      <c r="F670" s="23"/>
      <c r="G670" s="23"/>
      <c r="H670" s="691"/>
      <c r="I670" s="589"/>
      <c r="J670" s="589"/>
      <c r="K670" s="589"/>
      <c r="L670" s="1727" t="s">
        <v>5068</v>
      </c>
      <c r="M670" s="992"/>
      <c r="N670" s="96"/>
      <c r="O670" s="96"/>
      <c r="AL670" s="78"/>
      <c r="AM670" s="78"/>
      <c r="AN670" s="78"/>
      <c r="AO670" s="78"/>
      <c r="AP670" s="78"/>
      <c r="AQ670" s="78"/>
      <c r="AR670" s="78"/>
      <c r="AS670" s="78"/>
    </row>
    <row r="671" spans="2:51" s="843" customFormat="1" ht="15" customHeight="1" x14ac:dyDescent="0.2">
      <c r="B671" s="600">
        <v>706.5</v>
      </c>
      <c r="C671" s="600"/>
      <c r="D671" s="600"/>
      <c r="E671" s="600"/>
      <c r="F671" s="23"/>
      <c r="G671" s="23"/>
      <c r="H671" s="691"/>
      <c r="I671" s="589"/>
      <c r="J671" s="589"/>
      <c r="K671" s="589"/>
      <c r="L671" s="1727"/>
      <c r="M671" s="992"/>
      <c r="N671" s="96"/>
      <c r="O671" s="96"/>
      <c r="P671" s="96"/>
      <c r="Q671" s="96"/>
      <c r="R671" s="96"/>
      <c r="S671" s="96"/>
      <c r="T671" s="96"/>
      <c r="AL671" s="78"/>
      <c r="AM671" s="78"/>
      <c r="AN671" s="78"/>
      <c r="AO671" s="78"/>
      <c r="AP671" s="78"/>
      <c r="AQ671" s="78"/>
      <c r="AR671" s="78"/>
      <c r="AS671" s="78"/>
    </row>
    <row r="672" spans="2:51" s="843" customFormat="1" ht="15" customHeight="1" x14ac:dyDescent="0.2">
      <c r="B672" s="600">
        <v>706.5</v>
      </c>
      <c r="C672" s="600"/>
      <c r="D672" s="600"/>
      <c r="E672" s="600"/>
      <c r="F672" s="23"/>
      <c r="G672" s="23"/>
      <c r="H672" s="691"/>
      <c r="I672" s="589"/>
      <c r="J672" s="589"/>
      <c r="K672" s="589"/>
      <c r="L672" s="1727"/>
      <c r="M672" s="992"/>
      <c r="N672" s="96"/>
      <c r="O672" s="96"/>
      <c r="P672" s="96"/>
      <c r="Q672" s="96"/>
      <c r="R672" s="96"/>
      <c r="S672" s="96"/>
      <c r="T672" s="96"/>
      <c r="AL672" s="78"/>
      <c r="AM672" s="78"/>
      <c r="AN672" s="78"/>
      <c r="AO672" s="78"/>
      <c r="AP672" s="78"/>
      <c r="AQ672" s="78"/>
      <c r="AR672" s="78"/>
      <c r="AS672" s="78"/>
    </row>
    <row r="673" spans="2:45" s="843" customFormat="1" ht="15" customHeight="1" x14ac:dyDescent="0.2">
      <c r="B673" s="600">
        <v>706.5</v>
      </c>
      <c r="C673" s="600"/>
      <c r="D673" s="600"/>
      <c r="E673" s="600"/>
      <c r="F673" s="23"/>
      <c r="G673" s="23"/>
      <c r="H673" s="691"/>
      <c r="I673" s="589"/>
      <c r="J673" s="589"/>
      <c r="K673" s="589"/>
      <c r="L673" s="1727"/>
      <c r="M673" s="96"/>
      <c r="N673" s="96"/>
      <c r="O673" s="96"/>
      <c r="P673" s="96"/>
      <c r="Q673" s="96"/>
      <c r="R673" s="96"/>
      <c r="S673" s="96"/>
      <c r="T673" s="96"/>
      <c r="AL673" s="78"/>
      <c r="AM673" s="78"/>
      <c r="AN673" s="78"/>
      <c r="AO673" s="78"/>
      <c r="AP673" s="78"/>
      <c r="AQ673" s="78"/>
      <c r="AR673" s="78"/>
      <c r="AS673" s="78"/>
    </row>
    <row r="674" spans="2:45" s="843" customFormat="1" ht="15" customHeight="1" x14ac:dyDescent="0.2">
      <c r="B674" s="600">
        <v>706.5</v>
      </c>
      <c r="C674" s="600"/>
      <c r="D674" s="600"/>
      <c r="E674" s="600"/>
      <c r="F674" s="23"/>
      <c r="G674" s="23"/>
      <c r="H674" s="691"/>
      <c r="I674" s="589"/>
      <c r="J674" s="589"/>
      <c r="K674" s="589"/>
      <c r="L674" s="1727"/>
      <c r="M674" s="96"/>
      <c r="N674" s="96"/>
      <c r="O674" s="96"/>
      <c r="P674" s="96"/>
      <c r="Q674" s="96"/>
      <c r="R674" s="96"/>
      <c r="S674" s="96"/>
      <c r="T674" s="96"/>
      <c r="AL674" s="78"/>
      <c r="AM674" s="78"/>
      <c r="AN674" s="78"/>
      <c r="AO674" s="78"/>
      <c r="AP674" s="78"/>
      <c r="AQ674" s="78"/>
      <c r="AR674" s="78"/>
      <c r="AS674" s="78"/>
    </row>
    <row r="675" spans="2:45" s="843" customFormat="1" ht="15" customHeight="1" x14ac:dyDescent="0.2">
      <c r="B675" s="600">
        <v>706.5</v>
      </c>
      <c r="C675" s="600"/>
      <c r="D675" s="600"/>
      <c r="E675" s="600"/>
      <c r="F675" s="23"/>
      <c r="G675" s="23"/>
      <c r="H675" s="691"/>
      <c r="I675" s="589"/>
      <c r="J675" s="589"/>
      <c r="K675" s="589"/>
      <c r="L675" s="1727"/>
      <c r="M675" s="96"/>
      <c r="N675" s="96"/>
      <c r="O675" s="96"/>
      <c r="P675" s="96"/>
      <c r="Q675" s="96"/>
      <c r="R675" s="96"/>
      <c r="S675" s="96"/>
      <c r="T675" s="96"/>
      <c r="AL675" s="78"/>
      <c r="AM675" s="78"/>
      <c r="AN675" s="78"/>
      <c r="AO675" s="78"/>
      <c r="AP675" s="78"/>
      <c r="AQ675" s="78"/>
      <c r="AR675" s="78"/>
      <c r="AS675" s="78"/>
    </row>
    <row r="676" spans="2:45" s="843" customFormat="1" ht="15" customHeight="1" x14ac:dyDescent="0.2">
      <c r="B676" s="600">
        <v>706.5</v>
      </c>
      <c r="C676" s="600"/>
      <c r="D676" s="600"/>
      <c r="E676" s="600"/>
      <c r="F676" s="23"/>
      <c r="G676" s="23"/>
      <c r="H676" s="691"/>
      <c r="I676" s="590"/>
      <c r="J676" s="590"/>
      <c r="K676" s="590"/>
      <c r="L676" s="1743" t="s">
        <v>4378</v>
      </c>
      <c r="M676" s="991"/>
      <c r="N676" s="991"/>
      <c r="O676" s="991"/>
      <c r="P676" s="991"/>
      <c r="Q676" s="991"/>
      <c r="R676" s="991"/>
      <c r="S676" s="991"/>
      <c r="T676" s="991"/>
      <c r="U676" s="991"/>
      <c r="V676" s="991"/>
      <c r="W676" s="991"/>
      <c r="X676" s="991"/>
      <c r="AL676" s="78"/>
      <c r="AM676" s="78"/>
      <c r="AN676" s="78"/>
      <c r="AO676" s="78"/>
      <c r="AP676" s="78"/>
      <c r="AQ676" s="78"/>
      <c r="AR676" s="78"/>
      <c r="AS676" s="78"/>
    </row>
    <row r="677" spans="2:45" s="843" customFormat="1" ht="15" customHeight="1" thickBot="1" x14ac:dyDescent="0.25">
      <c r="B677" s="600">
        <v>706.5</v>
      </c>
      <c r="C677" s="600"/>
      <c r="D677" s="600"/>
      <c r="E677" s="600"/>
      <c r="F677" s="23"/>
      <c r="G677" s="23"/>
      <c r="H677" s="691"/>
      <c r="I677" s="594"/>
      <c r="J677" s="594"/>
      <c r="K677" s="594"/>
      <c r="L677" s="1744"/>
      <c r="M677" s="100"/>
      <c r="N677" s="100"/>
      <c r="O677" s="100"/>
      <c r="P677" s="100"/>
      <c r="Q677" s="100"/>
      <c r="R677" s="100"/>
      <c r="S677" s="100"/>
      <c r="T677" s="100"/>
      <c r="U677" s="100"/>
      <c r="V677" s="100"/>
      <c r="W677" s="100"/>
      <c r="X677" s="100"/>
      <c r="AL677" s="78"/>
      <c r="AM677" s="78"/>
      <c r="AN677" s="78"/>
      <c r="AO677" s="78"/>
      <c r="AP677" s="78"/>
      <c r="AQ677" s="78"/>
      <c r="AR677" s="78"/>
      <c r="AS677" s="78"/>
    </row>
    <row r="678" spans="2:45" s="843" customFormat="1" ht="15" customHeight="1" thickTop="1" x14ac:dyDescent="0.2">
      <c r="B678" s="600">
        <v>706.6</v>
      </c>
      <c r="C678" s="600"/>
      <c r="D678" s="600"/>
      <c r="E678" s="600"/>
      <c r="F678" s="23"/>
      <c r="G678" s="23"/>
      <c r="H678" s="691"/>
      <c r="I678" s="603" t="s">
        <v>4379</v>
      </c>
      <c r="J678" s="603"/>
      <c r="K678" s="603"/>
      <c r="L678" s="1740" t="s">
        <v>4380</v>
      </c>
      <c r="M678" s="1685">
        <v>2</v>
      </c>
      <c r="N678" s="178"/>
      <c r="O678" s="1682">
        <f ca="1">M678*S678*W678</f>
        <v>0</v>
      </c>
      <c r="P678" s="106" t="b">
        <v>1</v>
      </c>
      <c r="Q678" s="106" t="b">
        <v>1</v>
      </c>
      <c r="R678" s="106" t="b">
        <v>0</v>
      </c>
      <c r="S678" s="106" t="b">
        <f ca="1">AND(S11=2,AY19=INDEX(INDIRECT("ddSingleOrMulti"),2))</f>
        <v>0</v>
      </c>
      <c r="T678" s="106" t="b">
        <f ca="1">AND(NOT(S678),W678=TRUE)</f>
        <v>0</v>
      </c>
      <c r="U678" s="106"/>
      <c r="V678" s="106"/>
      <c r="W678" s="334"/>
      <c r="X678" s="1603"/>
      <c r="AC678" s="881" t="b">
        <f ca="1">OR(AD678:AE678)</f>
        <v>0</v>
      </c>
      <c r="AD678" s="881" t="b">
        <f ca="1">T678</f>
        <v>0</v>
      </c>
      <c r="AE678" s="881" t="b">
        <f>AND(R678,NOT(W678))</f>
        <v>0</v>
      </c>
      <c r="AL678" s="1352" t="str">
        <f>SUBSTITUTE(SUBSTITUTE(SUBSTITUTE("dpa"&amp;$B678&amp;$C678&amp;$D678&amp;$E678&amp;$F678,".","_"),"(","_"),")","")</f>
        <v>dpa706_6</v>
      </c>
      <c r="AM678" s="1352">
        <f>M678</f>
        <v>2</v>
      </c>
      <c r="AN678" s="1352" t="str">
        <f>SUBSTITUTE(SUBSTITUTE(SUBSTITUTE("dpc"&amp;$B678&amp;$C678&amp;$D678&amp;$E678&amp;$F678,".","_"),"(","_"),")","")</f>
        <v>dpc706_6</v>
      </c>
      <c r="AO678" s="1352">
        <f ca="1">O678</f>
        <v>0</v>
      </c>
      <c r="AP678" s="1352" t="str">
        <f>SUBSTITUTE(SUBSTITUTE(SUBSTITUTE("dch"&amp;$B678&amp;$C678&amp;$D678&amp;$E678&amp;$F678,".","_"),"(","_"),")","")</f>
        <v>dch706_6</v>
      </c>
      <c r="AQ678" s="1352" t="str">
        <f>IF(LEN(W678)=0,"",W678)</f>
        <v/>
      </c>
      <c r="AR678" s="1352" t="str">
        <f>SUBSTITUTE(SUBSTITUTE(SUBSTITUTE("dnt"&amp;$B678&amp;$C678&amp;$D678&amp;$E678&amp;$F678,".","_"),"(","_"),")","")</f>
        <v>dnt706_6</v>
      </c>
      <c r="AS678" s="1352" t="str">
        <f>IF(LEN(X678)=0,"",X678)</f>
        <v/>
      </c>
    </row>
    <row r="679" spans="2:45" s="843" customFormat="1" ht="15" customHeight="1" thickBot="1" x14ac:dyDescent="0.25">
      <c r="B679" s="600">
        <v>706.6</v>
      </c>
      <c r="C679" s="600"/>
      <c r="D679" s="600"/>
      <c r="E679" s="600"/>
      <c r="F679" s="23"/>
      <c r="G679" s="23"/>
      <c r="H679" s="691"/>
      <c r="I679" s="594"/>
      <c r="J679" s="594"/>
      <c r="K679" s="594"/>
      <c r="L679" s="1738"/>
      <c r="M679" s="1627"/>
      <c r="N679" s="239"/>
      <c r="O679" s="1638"/>
      <c r="P679" s="100"/>
      <c r="Q679" s="100"/>
      <c r="R679" s="100"/>
      <c r="S679" s="100"/>
      <c r="T679" s="100"/>
      <c r="U679" s="100"/>
      <c r="V679" s="100"/>
      <c r="W679" s="100"/>
      <c r="X679" s="1602"/>
      <c r="AL679" s="78"/>
      <c r="AM679" s="78"/>
      <c r="AN679" s="78"/>
      <c r="AO679" s="78"/>
      <c r="AP679" s="78"/>
      <c r="AQ679" s="78"/>
      <c r="AR679" s="78"/>
      <c r="AS679" s="78"/>
    </row>
    <row r="680" spans="2:45" s="843" customFormat="1" ht="15" customHeight="1" thickTop="1" x14ac:dyDescent="0.2">
      <c r="B680" s="600">
        <v>706.7</v>
      </c>
      <c r="C680" s="600"/>
      <c r="D680" s="600"/>
      <c r="E680" s="600"/>
      <c r="F680" s="23"/>
      <c r="G680" s="23"/>
      <c r="H680" s="691"/>
      <c r="I680" s="589" t="s">
        <v>4381</v>
      </c>
      <c r="J680" s="589"/>
      <c r="K680" s="589"/>
      <c r="L680" s="1687" t="s">
        <v>4852</v>
      </c>
      <c r="M680" s="96"/>
      <c r="N680" s="96"/>
      <c r="O680" s="96"/>
      <c r="P680" s="96"/>
      <c r="Q680" s="96"/>
      <c r="R680" s="96"/>
      <c r="S680" s="96"/>
      <c r="T680" s="96"/>
      <c r="AL680" s="78"/>
      <c r="AM680" s="78"/>
      <c r="AN680" s="78"/>
      <c r="AO680" s="78"/>
      <c r="AP680" s="78"/>
      <c r="AQ680" s="78"/>
      <c r="AR680" s="78"/>
      <c r="AS680" s="78"/>
    </row>
    <row r="681" spans="2:45" s="843" customFormat="1" ht="15" customHeight="1" x14ac:dyDescent="0.2">
      <c r="B681" s="600">
        <v>706.7</v>
      </c>
      <c r="C681" s="600"/>
      <c r="D681" s="600"/>
      <c r="E681" s="600"/>
      <c r="F681" s="23"/>
      <c r="G681" s="23"/>
      <c r="H681" s="691"/>
      <c r="I681" s="589"/>
      <c r="J681" s="589"/>
      <c r="K681" s="589"/>
      <c r="L681" s="1687"/>
      <c r="M681" s="96"/>
      <c r="N681" s="96"/>
      <c r="O681" s="96"/>
      <c r="P681" s="96"/>
      <c r="Q681" s="96"/>
      <c r="R681" s="96"/>
      <c r="S681" s="96"/>
      <c r="T681" s="96"/>
      <c r="AL681" s="78"/>
      <c r="AM681" s="78"/>
      <c r="AN681" s="78"/>
      <c r="AO681" s="78"/>
      <c r="AP681" s="78"/>
      <c r="AQ681" s="78"/>
      <c r="AR681" s="78"/>
      <c r="AS681" s="78"/>
    </row>
    <row r="682" spans="2:45" s="843" customFormat="1" ht="15" customHeight="1" x14ac:dyDescent="0.2">
      <c r="B682" s="600">
        <v>706.7</v>
      </c>
      <c r="C682" s="600"/>
      <c r="D682" s="600"/>
      <c r="E682" s="600"/>
      <c r="F682" s="23"/>
      <c r="G682" s="23"/>
      <c r="H682" s="691"/>
      <c r="I682" s="589"/>
      <c r="J682" s="589"/>
      <c r="K682" s="589"/>
      <c r="L682" s="1687"/>
      <c r="M682" s="96"/>
      <c r="N682" s="96"/>
      <c r="O682" s="96"/>
      <c r="P682" s="96"/>
      <c r="Q682" s="96"/>
      <c r="R682" s="96"/>
      <c r="S682" s="96"/>
      <c r="T682" s="96"/>
      <c r="AL682" s="78"/>
      <c r="AM682" s="78"/>
      <c r="AN682" s="78"/>
      <c r="AO682" s="78"/>
      <c r="AP682" s="78"/>
      <c r="AQ682" s="78"/>
      <c r="AR682" s="78"/>
      <c r="AS682" s="78"/>
    </row>
    <row r="683" spans="2:45" s="843" customFormat="1" ht="15" customHeight="1" x14ac:dyDescent="0.2">
      <c r="B683" s="600">
        <v>706.7</v>
      </c>
      <c r="C683" s="600"/>
      <c r="D683" s="600"/>
      <c r="E683" s="600"/>
      <c r="F683" s="23"/>
      <c r="G683" s="23"/>
      <c r="H683" s="691"/>
      <c r="I683" s="589"/>
      <c r="J683" s="589"/>
      <c r="K683" s="589"/>
      <c r="L683" s="1687"/>
      <c r="M683" s="96"/>
      <c r="N683" s="96"/>
      <c r="O683" s="96"/>
      <c r="P683" s="96"/>
      <c r="Q683" s="96"/>
      <c r="R683" s="96"/>
      <c r="S683" s="96"/>
      <c r="T683" s="96"/>
      <c r="AL683" s="78"/>
      <c r="AM683" s="78"/>
      <c r="AN683" s="78"/>
      <c r="AO683" s="78"/>
      <c r="AP683" s="78"/>
      <c r="AQ683" s="78"/>
      <c r="AR683" s="78"/>
      <c r="AS683" s="78"/>
    </row>
    <row r="684" spans="2:45" s="843" customFormat="1" ht="15" customHeight="1" x14ac:dyDescent="0.2">
      <c r="B684" s="600">
        <v>706.7</v>
      </c>
      <c r="C684" s="600" t="s">
        <v>254</v>
      </c>
      <c r="D684" s="600"/>
      <c r="E684" s="600"/>
      <c r="F684" s="23"/>
      <c r="G684" s="23"/>
      <c r="H684" s="691"/>
      <c r="I684" s="589"/>
      <c r="J684" s="606" t="s">
        <v>254</v>
      </c>
      <c r="K684" s="606"/>
      <c r="L684" s="923" t="s">
        <v>4382</v>
      </c>
      <c r="M684" s="937">
        <v>1</v>
      </c>
      <c r="N684" s="213"/>
      <c r="O684" s="909">
        <f ca="1">M684*S684*W684</f>
        <v>0</v>
      </c>
      <c r="P684" s="96" t="b">
        <v>0</v>
      </c>
      <c r="Q684" s="96" t="b">
        <v>1</v>
      </c>
      <c r="R684" s="96" t="b">
        <v>0</v>
      </c>
      <c r="S684" s="96" t="b">
        <f ca="1">AND(S11=2,IFERROR(NOT(OR(W643:W650,W694)),TRUE))</f>
        <v>0</v>
      </c>
      <c r="T684" s="96" t="b">
        <f ca="1">AND(NOT(S684),W684=TRUE)</f>
        <v>0</v>
      </c>
      <c r="W684" s="27"/>
      <c r="X684" s="889"/>
      <c r="AC684" s="881" t="b">
        <f ca="1">OR(AD684:AE684)</f>
        <v>0</v>
      </c>
      <c r="AD684" s="881" t="b">
        <f ca="1">T684</f>
        <v>0</v>
      </c>
      <c r="AE684" s="881" t="b">
        <f>AND(R684,NOT(W684))</f>
        <v>0</v>
      </c>
      <c r="AL684" s="1352" t="str">
        <f>SUBSTITUTE(SUBSTITUTE(SUBSTITUTE("dpa"&amp;$B684&amp;$C684&amp;$D684&amp;$E684&amp;$F684,".","_"),"(","_"),")","")</f>
        <v>dpa706_7_1</v>
      </c>
      <c r="AM684" s="1352">
        <f>M684</f>
        <v>1</v>
      </c>
      <c r="AN684" s="1352" t="str">
        <f>SUBSTITUTE(SUBSTITUTE(SUBSTITUTE("dpc"&amp;$B684&amp;$C684&amp;$D684&amp;$E684&amp;$F684,".","_"),"(","_"),")","")</f>
        <v>dpc706_7_1</v>
      </c>
      <c r="AO684" s="1352">
        <f ca="1">O684</f>
        <v>0</v>
      </c>
      <c r="AP684" s="1352" t="str">
        <f>SUBSTITUTE(SUBSTITUTE(SUBSTITUTE("dch"&amp;$B684&amp;$C684&amp;$D684&amp;$E684&amp;$F684,".","_"),"(","_"),")","")</f>
        <v>dch706_7_1</v>
      </c>
      <c r="AQ684" s="1352" t="str">
        <f>IF(LEN(W684)=0,"",W684)</f>
        <v/>
      </c>
      <c r="AR684" s="1352" t="str">
        <f>SUBSTITUTE(SUBSTITUTE(SUBSTITUTE("dnt"&amp;$B684&amp;$C684&amp;$D684&amp;$E684&amp;$F684,".","_"),"(","_"),")","")</f>
        <v>dnt706_7_1</v>
      </c>
      <c r="AS684" s="1352" t="str">
        <f>IF(LEN(X684)=0,"",X684)</f>
        <v/>
      </c>
    </row>
    <row r="685" spans="2:45" s="843" customFormat="1" ht="15" customHeight="1" thickBot="1" x14ac:dyDescent="0.25">
      <c r="B685" s="600">
        <v>706.7</v>
      </c>
      <c r="C685" s="600" t="s">
        <v>255</v>
      </c>
      <c r="D685" s="600"/>
      <c r="E685" s="600"/>
      <c r="F685" s="23"/>
      <c r="G685" s="23"/>
      <c r="H685" s="691"/>
      <c r="I685" s="594"/>
      <c r="J685" s="594" t="s">
        <v>255</v>
      </c>
      <c r="K685" s="594"/>
      <c r="L685" s="920" t="s">
        <v>4383</v>
      </c>
      <c r="M685" s="914">
        <v>1</v>
      </c>
      <c r="N685" s="239"/>
      <c r="O685" s="922">
        <f ca="1">M685*S685*W685</f>
        <v>0</v>
      </c>
      <c r="P685" s="100" t="b">
        <v>0</v>
      </c>
      <c r="Q685" s="100" t="b">
        <v>1</v>
      </c>
      <c r="R685" s="100" t="b">
        <v>0</v>
      </c>
      <c r="S685" s="100" t="b">
        <f ca="1">AND(S11=2,IFERROR(NOT(OR(W643:W650,W694)),TRUE))</f>
        <v>0</v>
      </c>
      <c r="T685" s="100" t="b">
        <f ca="1">AND(NOT(S685),W685=TRUE)</f>
        <v>0</v>
      </c>
      <c r="U685" s="100"/>
      <c r="V685" s="100"/>
      <c r="W685" s="101"/>
      <c r="X685" s="938"/>
      <c r="AC685" s="881" t="b">
        <f ca="1">OR(AD685:AE685)</f>
        <v>0</v>
      </c>
      <c r="AD685" s="881" t="b">
        <f ca="1">T685</f>
        <v>0</v>
      </c>
      <c r="AE685" s="881" t="b">
        <f>AND(R685,NOT(W685))</f>
        <v>0</v>
      </c>
      <c r="AL685" s="1352" t="str">
        <f>SUBSTITUTE(SUBSTITUTE(SUBSTITUTE("dpa"&amp;$B685&amp;$C685&amp;$D685&amp;$E685&amp;$F685,".","_"),"(","_"),")","")</f>
        <v>dpa706_7_2</v>
      </c>
      <c r="AM685" s="1352">
        <f>M685</f>
        <v>1</v>
      </c>
      <c r="AN685" s="1352" t="str">
        <f>SUBSTITUTE(SUBSTITUTE(SUBSTITUTE("dpc"&amp;$B685&amp;$C685&amp;$D685&amp;$E685&amp;$F685,".","_"),"(","_"),")","")</f>
        <v>dpc706_7_2</v>
      </c>
      <c r="AO685" s="1352">
        <f ca="1">O685</f>
        <v>0</v>
      </c>
      <c r="AP685" s="1352" t="str">
        <f>SUBSTITUTE(SUBSTITUTE(SUBSTITUTE("dch"&amp;$B685&amp;$C685&amp;$D685&amp;$E685&amp;$F685,".","_"),"(","_"),")","")</f>
        <v>dch706_7_2</v>
      </c>
      <c r="AQ685" s="1352" t="str">
        <f>IF(LEN(W685)=0,"",W685)</f>
        <v/>
      </c>
      <c r="AR685" s="1352" t="str">
        <f>SUBSTITUTE(SUBSTITUTE(SUBSTITUTE("dnt"&amp;$B685&amp;$C685&amp;$D685&amp;$E685&amp;$F685,".","_"),"(","_"),")","")</f>
        <v>dnt706_7_2</v>
      </c>
      <c r="AS685" s="1352" t="str">
        <f>IF(LEN(X685)=0,"",X685)</f>
        <v/>
      </c>
    </row>
    <row r="686" spans="2:45" s="843" customFormat="1" ht="15" customHeight="1" thickTop="1" x14ac:dyDescent="0.2">
      <c r="B686" s="600">
        <v>706.8</v>
      </c>
      <c r="C686" s="600"/>
      <c r="D686" s="600"/>
      <c r="E686" s="600"/>
      <c r="F686" s="23"/>
      <c r="G686" s="23"/>
      <c r="H686" s="691"/>
      <c r="I686" s="603" t="s">
        <v>4384</v>
      </c>
      <c r="J686" s="603"/>
      <c r="K686" s="603"/>
      <c r="L686" s="1740" t="s">
        <v>4385</v>
      </c>
      <c r="M686" s="1685">
        <v>2</v>
      </c>
      <c r="N686" s="178"/>
      <c r="O686" s="1682">
        <f ca="1">M686*S686*W686</f>
        <v>0</v>
      </c>
      <c r="P686" s="106" t="b">
        <v>1</v>
      </c>
      <c r="Q686" s="106" t="b">
        <v>1</v>
      </c>
      <c r="R686" s="106" t="b">
        <v>0</v>
      </c>
      <c r="S686" s="106" t="b">
        <f ca="1">S11=2</f>
        <v>0</v>
      </c>
      <c r="T686" s="106" t="b">
        <v>0</v>
      </c>
      <c r="U686" s="106"/>
      <c r="V686" s="106"/>
      <c r="W686" s="334"/>
      <c r="X686" s="1603"/>
      <c r="AC686" s="881" t="b">
        <f>OR(AD686:AE686)</f>
        <v>0</v>
      </c>
      <c r="AD686" s="881" t="b">
        <f>T686</f>
        <v>0</v>
      </c>
      <c r="AE686" s="881" t="b">
        <f>AND(R686,NOT(W686))</f>
        <v>0</v>
      </c>
      <c r="AL686" s="1352" t="str">
        <f>SUBSTITUTE(SUBSTITUTE(SUBSTITUTE("dpa"&amp;$B686&amp;$C686&amp;$D686&amp;$E686&amp;$F686,".","_"),"(","_"),")","")</f>
        <v>dpa706_8</v>
      </c>
      <c r="AM686" s="1352">
        <f>M686</f>
        <v>2</v>
      </c>
      <c r="AN686" s="1352" t="str">
        <f>SUBSTITUTE(SUBSTITUTE(SUBSTITUTE("dpc"&amp;$B686&amp;$C686&amp;$D686&amp;$E686&amp;$F686,".","_"),"(","_"),")","")</f>
        <v>dpc706_8</v>
      </c>
      <c r="AO686" s="1352">
        <f ca="1">O686</f>
        <v>0</v>
      </c>
      <c r="AP686" s="1352" t="str">
        <f>SUBSTITUTE(SUBSTITUTE(SUBSTITUTE("dch"&amp;$B686&amp;$C686&amp;$D686&amp;$E686&amp;$F686,".","_"),"(","_"),")","")</f>
        <v>dch706_8</v>
      </c>
      <c r="AQ686" s="1352" t="str">
        <f>IF(LEN(W686)=0,"",W686)</f>
        <v/>
      </c>
      <c r="AR686" s="1352" t="str">
        <f>SUBSTITUTE(SUBSTITUTE(SUBSTITUTE("dnt"&amp;$B686&amp;$C686&amp;$D686&amp;$E686&amp;$F686,".","_"),"(","_"),")","")</f>
        <v>dnt706_8</v>
      </c>
      <c r="AS686" s="1352" t="str">
        <f>IF(LEN(X686)=0,"",X686)</f>
        <v/>
      </c>
    </row>
    <row r="687" spans="2:45" s="843" customFormat="1" ht="15" customHeight="1" x14ac:dyDescent="0.2">
      <c r="B687" s="600">
        <v>706.8</v>
      </c>
      <c r="C687" s="600"/>
      <c r="D687" s="600"/>
      <c r="E687" s="600"/>
      <c r="F687" s="23"/>
      <c r="G687" s="23"/>
      <c r="H687" s="691"/>
      <c r="I687" s="590"/>
      <c r="J687" s="590"/>
      <c r="K687" s="590"/>
      <c r="L687" s="1687"/>
      <c r="M687" s="1623"/>
      <c r="N687" s="129"/>
      <c r="O687" s="1619"/>
      <c r="P687" s="991"/>
      <c r="Q687" s="991"/>
      <c r="R687" s="991"/>
      <c r="S687" s="991"/>
      <c r="T687" s="991"/>
      <c r="U687" s="991"/>
      <c r="V687" s="991"/>
      <c r="W687" s="991"/>
      <c r="X687" s="1601"/>
      <c r="AL687" s="78"/>
      <c r="AM687" s="78"/>
      <c r="AN687" s="78"/>
      <c r="AO687" s="78"/>
      <c r="AP687" s="78"/>
      <c r="AQ687" s="78"/>
      <c r="AR687" s="78"/>
      <c r="AS687" s="78"/>
    </row>
    <row r="688" spans="2:45" s="843" customFormat="1" ht="15" customHeight="1" thickBot="1" x14ac:dyDescent="0.25">
      <c r="B688" s="600">
        <v>706.8</v>
      </c>
      <c r="C688" s="600"/>
      <c r="D688" s="600"/>
      <c r="E688" s="600"/>
      <c r="F688" s="23"/>
      <c r="G688" s="23"/>
      <c r="H688" s="691"/>
      <c r="I688" s="594"/>
      <c r="J688" s="594"/>
      <c r="K688" s="594"/>
      <c r="L688" s="1738"/>
      <c r="M688" s="1627"/>
      <c r="N688" s="239"/>
      <c r="O688" s="1638"/>
      <c r="P688" s="100"/>
      <c r="Q688" s="100"/>
      <c r="R688" s="100"/>
      <c r="S688" s="100"/>
      <c r="T688" s="100"/>
      <c r="U688" s="100"/>
      <c r="V688" s="100"/>
      <c r="W688" s="100"/>
      <c r="X688" s="1602"/>
      <c r="AL688" s="78"/>
      <c r="AM688" s="78"/>
      <c r="AN688" s="78"/>
      <c r="AO688" s="78"/>
      <c r="AP688" s="78"/>
      <c r="AQ688" s="78"/>
      <c r="AR688" s="78"/>
      <c r="AS688" s="78"/>
    </row>
    <row r="689" spans="2:45" s="843" customFormat="1" ht="15" customHeight="1" thickTop="1" x14ac:dyDescent="0.2">
      <c r="B689" s="600">
        <v>706.9</v>
      </c>
      <c r="C689" s="600"/>
      <c r="D689" s="600"/>
      <c r="E689" s="600"/>
      <c r="F689" s="23"/>
      <c r="G689" s="23"/>
      <c r="H689" s="691"/>
      <c r="I689" s="603" t="s">
        <v>4386</v>
      </c>
      <c r="J689" s="603"/>
      <c r="K689" s="603"/>
      <c r="L689" s="1740" t="s">
        <v>4387</v>
      </c>
      <c r="M689" s="1685">
        <v>1</v>
      </c>
      <c r="N689" s="178"/>
      <c r="O689" s="1682">
        <f ca="1">M689*S689*W689</f>
        <v>0</v>
      </c>
      <c r="P689" s="1105" t="b">
        <v>1</v>
      </c>
      <c r="Q689" s="1105" t="b">
        <v>1</v>
      </c>
      <c r="R689" s="1105" t="b">
        <v>0</v>
      </c>
      <c r="S689" s="1105" t="b">
        <f ca="1">S11=2</f>
        <v>0</v>
      </c>
      <c r="T689" s="1105" t="b">
        <v>0</v>
      </c>
      <c r="U689" s="106"/>
      <c r="V689" s="106"/>
      <c r="W689" s="334"/>
      <c r="X689" s="1603"/>
      <c r="AC689" s="881" t="b">
        <f>OR(AD689:AE689)</f>
        <v>0</v>
      </c>
      <c r="AD689" s="881" t="b">
        <f>T689</f>
        <v>0</v>
      </c>
      <c r="AE689" s="881" t="b">
        <f>AND(R689,NOT(W689))</f>
        <v>0</v>
      </c>
      <c r="AL689" s="1352" t="str">
        <f>SUBSTITUTE(SUBSTITUTE(SUBSTITUTE("dpa"&amp;$B689&amp;$C689&amp;$D689&amp;$E689&amp;$F689,".","_"),"(","_"),")","")</f>
        <v>dpa706_9</v>
      </c>
      <c r="AM689" s="1352">
        <f>M689</f>
        <v>1</v>
      </c>
      <c r="AN689" s="1352" t="str">
        <f>SUBSTITUTE(SUBSTITUTE(SUBSTITUTE("dpc"&amp;$B689&amp;$C689&amp;$D689&amp;$E689&amp;$F689,".","_"),"(","_"),")","")</f>
        <v>dpc706_9</v>
      </c>
      <c r="AO689" s="1352">
        <f ca="1">O689</f>
        <v>0</v>
      </c>
      <c r="AP689" s="1352" t="str">
        <f>SUBSTITUTE(SUBSTITUTE(SUBSTITUTE("dch"&amp;$B689&amp;$C689&amp;$D689&amp;$E689&amp;$F689,".","_"),"(","_"),")","")</f>
        <v>dch706_9</v>
      </c>
      <c r="AQ689" s="1352" t="str">
        <f>IF(LEN(W689)=0,"",W689)</f>
        <v/>
      </c>
      <c r="AR689" s="1352" t="str">
        <f>SUBSTITUTE(SUBSTITUTE(SUBSTITUTE("dnt"&amp;$B689&amp;$C689&amp;$D689&amp;$E689&amp;$F689,".","_"),"(","_"),")","")</f>
        <v>dnt706_9</v>
      </c>
      <c r="AS689" s="1352" t="str">
        <f>IF(LEN(X689)=0,"",X689)</f>
        <v/>
      </c>
    </row>
    <row r="690" spans="2:45" s="843" customFormat="1" ht="15" customHeight="1" x14ac:dyDescent="0.2">
      <c r="B690" s="600">
        <v>706.9</v>
      </c>
      <c r="C690" s="600"/>
      <c r="D690" s="600"/>
      <c r="E690" s="600"/>
      <c r="F690" s="23"/>
      <c r="G690" s="23"/>
      <c r="H690" s="691"/>
      <c r="I690" s="590"/>
      <c r="J690" s="590"/>
      <c r="K690" s="590"/>
      <c r="L690" s="1687"/>
      <c r="M690" s="1623"/>
      <c r="N690" s="129"/>
      <c r="O690" s="1619"/>
      <c r="P690" s="991"/>
      <c r="Q690" s="991"/>
      <c r="R690" s="991"/>
      <c r="S690" s="991"/>
      <c r="T690" s="991"/>
      <c r="U690" s="991"/>
      <c r="V690" s="991"/>
      <c r="W690" s="991"/>
      <c r="X690" s="1601"/>
      <c r="AL690" s="78"/>
      <c r="AM690" s="78"/>
      <c r="AN690" s="78"/>
      <c r="AO690" s="78"/>
      <c r="AP690" s="78"/>
      <c r="AQ690" s="78"/>
      <c r="AR690" s="78"/>
      <c r="AS690" s="78"/>
    </row>
    <row r="691" spans="2:45" s="843" customFormat="1" ht="15" customHeight="1" x14ac:dyDescent="0.2">
      <c r="B691" s="600">
        <v>706.9</v>
      </c>
      <c r="C691" s="600"/>
      <c r="D691" s="600"/>
      <c r="E691" s="600"/>
      <c r="F691" s="23"/>
      <c r="G691" s="23"/>
      <c r="H691" s="691"/>
      <c r="I691" s="590"/>
      <c r="J691" s="590"/>
      <c r="K691" s="590"/>
      <c r="L691" s="1687"/>
      <c r="M691" s="1623"/>
      <c r="N691" s="129"/>
      <c r="O691" s="1619"/>
      <c r="P691" s="991"/>
      <c r="Q691" s="991"/>
      <c r="R691" s="991"/>
      <c r="S691" s="991"/>
      <c r="T691" s="991"/>
      <c r="U691" s="991"/>
      <c r="V691" s="991"/>
      <c r="W691" s="991"/>
      <c r="X691" s="1601"/>
      <c r="AL691" s="78"/>
      <c r="AM691" s="78"/>
      <c r="AN691" s="78"/>
      <c r="AO691" s="78"/>
      <c r="AP691" s="78"/>
      <c r="AQ691" s="78"/>
      <c r="AR691" s="78"/>
      <c r="AS691" s="78"/>
    </row>
    <row r="692" spans="2:45" s="843" customFormat="1" ht="15" customHeight="1" x14ac:dyDescent="0.2">
      <c r="B692" s="600">
        <v>706.9</v>
      </c>
      <c r="C692" s="600"/>
      <c r="D692" s="600"/>
      <c r="E692" s="600"/>
      <c r="F692" s="23"/>
      <c r="G692" s="23"/>
      <c r="H692" s="691"/>
      <c r="I692" s="590"/>
      <c r="J692" s="590"/>
      <c r="K692" s="590"/>
      <c r="L692" s="1687"/>
      <c r="M692" s="1623"/>
      <c r="N692" s="991"/>
      <c r="O692" s="1619"/>
      <c r="P692" s="991"/>
      <c r="Q692" s="991"/>
      <c r="R692" s="991"/>
      <c r="S692" s="991"/>
      <c r="T692" s="991"/>
      <c r="U692" s="991"/>
      <c r="V692" s="991"/>
      <c r="W692" s="991"/>
      <c r="X692" s="1601"/>
      <c r="AL692" s="78"/>
      <c r="AM692" s="78"/>
      <c r="AN692" s="78"/>
      <c r="AO692" s="78"/>
      <c r="AP692" s="78"/>
      <c r="AQ692" s="78"/>
      <c r="AR692" s="78"/>
      <c r="AS692" s="78"/>
    </row>
    <row r="693" spans="2:45" s="843" customFormat="1" ht="15" customHeight="1" thickBot="1" x14ac:dyDescent="0.25">
      <c r="B693" s="600">
        <v>706.9</v>
      </c>
      <c r="C693" s="600"/>
      <c r="D693" s="600"/>
      <c r="E693" s="600"/>
      <c r="F693" s="23"/>
      <c r="G693" s="23"/>
      <c r="H693" s="691"/>
      <c r="I693" s="594"/>
      <c r="J693" s="594"/>
      <c r="K693" s="594"/>
      <c r="L693" s="1738"/>
      <c r="M693" s="1627"/>
      <c r="N693" s="100"/>
      <c r="O693" s="1638"/>
      <c r="P693" s="100"/>
      <c r="Q693" s="100"/>
      <c r="R693" s="100"/>
      <c r="S693" s="100"/>
      <c r="T693" s="100"/>
      <c r="U693" s="100"/>
      <c r="V693" s="100"/>
      <c r="W693" s="100"/>
      <c r="X693" s="1602"/>
      <c r="AL693" s="78"/>
      <c r="AM693" s="78"/>
      <c r="AN693" s="78"/>
      <c r="AO693" s="78"/>
      <c r="AP693" s="78"/>
      <c r="AQ693" s="78"/>
      <c r="AR693" s="78"/>
      <c r="AS693" s="78"/>
    </row>
    <row r="694" spans="2:45" s="843" customFormat="1" ht="15" customHeight="1" thickTop="1" x14ac:dyDescent="0.2">
      <c r="B694" s="600" t="s">
        <v>4513</v>
      </c>
      <c r="C694" s="600"/>
      <c r="D694" s="600"/>
      <c r="E694" s="600"/>
      <c r="F694" s="23"/>
      <c r="G694" s="23"/>
      <c r="H694" s="691"/>
      <c r="I694" s="603" t="s">
        <v>4388</v>
      </c>
      <c r="J694" s="603"/>
      <c r="K694" s="603"/>
      <c r="L694" s="1740" t="s">
        <v>4853</v>
      </c>
      <c r="M694" s="1685">
        <v>1</v>
      </c>
      <c r="N694" s="178"/>
      <c r="O694" s="1682">
        <f ca="1">M694*S694*W694</f>
        <v>0</v>
      </c>
      <c r="P694" s="106" t="b">
        <v>1</v>
      </c>
      <c r="Q694" s="106" t="b">
        <v>1</v>
      </c>
      <c r="R694" s="106" t="b">
        <v>0</v>
      </c>
      <c r="S694" s="106" t="b">
        <f ca="1">AND(S11=2,IFERROR(NOT(OR(W643:W650,W684:W685)),TRUE))</f>
        <v>0</v>
      </c>
      <c r="T694" s="106" t="b">
        <f ca="1">AND(NOT(S694),W694=TRUE)</f>
        <v>0</v>
      </c>
      <c r="U694" s="106"/>
      <c r="V694" s="106"/>
      <c r="W694" s="334"/>
      <c r="X694" s="1603"/>
      <c r="AC694" s="881" t="b">
        <f ca="1">OR(AD694:AE694)</f>
        <v>0</v>
      </c>
      <c r="AD694" s="881" t="b">
        <f ca="1">T694</f>
        <v>0</v>
      </c>
      <c r="AE694" s="881" t="b">
        <f>AND(R694,NOT(W694))</f>
        <v>0</v>
      </c>
      <c r="AL694" s="1352" t="str">
        <f>SUBSTITUTE(SUBSTITUTE(SUBSTITUTE("dpa"&amp;$B694&amp;$C694&amp;$D694&amp;$E694&amp;$F694,".","_"),"(","_"),")","")</f>
        <v>dpa706_10</v>
      </c>
      <c r="AM694" s="1352">
        <f>M694</f>
        <v>1</v>
      </c>
      <c r="AN694" s="1352" t="str">
        <f>SUBSTITUTE(SUBSTITUTE(SUBSTITUTE("dpc"&amp;$B694&amp;$C694&amp;$D694&amp;$E694&amp;$F694,".","_"),"(","_"),")","")</f>
        <v>dpc706_10</v>
      </c>
      <c r="AO694" s="1352">
        <f ca="1">O694</f>
        <v>0</v>
      </c>
      <c r="AP694" s="1352" t="str">
        <f>SUBSTITUTE(SUBSTITUTE(SUBSTITUTE("dch"&amp;$B694&amp;$C694&amp;$D694&amp;$E694&amp;$F694,".","_"),"(","_"),")","")</f>
        <v>dch706_10</v>
      </c>
      <c r="AQ694" s="1352" t="str">
        <f>IF(LEN(W694)=0,"",W694)</f>
        <v/>
      </c>
      <c r="AR694" s="1352" t="str">
        <f>SUBSTITUTE(SUBSTITUTE(SUBSTITUTE("dnt"&amp;$B694&amp;$C694&amp;$D694&amp;$E694&amp;$F694,".","_"),"(","_"),")","")</f>
        <v>dnt706_10</v>
      </c>
      <c r="AS694" s="1352" t="str">
        <f>IF(LEN(X694)=0,"",X694)</f>
        <v/>
      </c>
    </row>
    <row r="695" spans="2:45" s="843" customFormat="1" ht="15" customHeight="1" x14ac:dyDescent="0.2">
      <c r="B695" s="600" t="s">
        <v>4513</v>
      </c>
      <c r="C695" s="600"/>
      <c r="D695" s="600"/>
      <c r="E695" s="600"/>
      <c r="F695" s="23"/>
      <c r="G695" s="23"/>
      <c r="H695" s="691"/>
      <c r="I695" s="590"/>
      <c r="J695" s="590"/>
      <c r="K695" s="590"/>
      <c r="L695" s="1687"/>
      <c r="M695" s="1623"/>
      <c r="N695" s="129"/>
      <c r="O695" s="1619"/>
      <c r="P695" s="991"/>
      <c r="Q695" s="991"/>
      <c r="R695" s="991"/>
      <c r="S695" s="991"/>
      <c r="T695" s="991"/>
      <c r="U695" s="991"/>
      <c r="V695" s="991"/>
      <c r="W695" s="991"/>
      <c r="X695" s="1601"/>
      <c r="AL695" s="78"/>
      <c r="AM695" s="78"/>
      <c r="AN695" s="78"/>
      <c r="AO695" s="78"/>
      <c r="AP695" s="78"/>
      <c r="AQ695" s="78"/>
      <c r="AR695" s="78"/>
      <c r="AS695" s="78"/>
    </row>
    <row r="696" spans="2:45" s="843" customFormat="1" ht="15" customHeight="1" x14ac:dyDescent="0.2">
      <c r="B696" s="600" t="s">
        <v>4513</v>
      </c>
      <c r="C696" s="600"/>
      <c r="D696" s="600"/>
      <c r="E696" s="600"/>
      <c r="F696" s="23"/>
      <c r="G696" s="23"/>
      <c r="H696" s="691"/>
      <c r="I696" s="590"/>
      <c r="J696" s="590"/>
      <c r="K696" s="590"/>
      <c r="L696" s="1687"/>
      <c r="M696" s="1623"/>
      <c r="N696" s="129"/>
      <c r="O696" s="1619"/>
      <c r="P696" s="991"/>
      <c r="Q696" s="991"/>
      <c r="R696" s="991"/>
      <c r="S696" s="991"/>
      <c r="T696" s="991"/>
      <c r="U696" s="991"/>
      <c r="V696" s="991"/>
      <c r="W696" s="991"/>
      <c r="X696" s="1601"/>
      <c r="AL696" s="78"/>
      <c r="AM696" s="78"/>
      <c r="AN696" s="78"/>
      <c r="AO696" s="78"/>
      <c r="AP696" s="78"/>
      <c r="AQ696" s="78"/>
      <c r="AR696" s="78"/>
      <c r="AS696" s="78"/>
    </row>
    <row r="697" spans="2:45" s="843" customFormat="1" ht="15" customHeight="1" x14ac:dyDescent="0.2">
      <c r="B697" s="600" t="s">
        <v>4513</v>
      </c>
      <c r="C697" s="600"/>
      <c r="D697" s="600"/>
      <c r="E697" s="600"/>
      <c r="F697" s="23"/>
      <c r="G697" s="23"/>
      <c r="H697" s="691"/>
      <c r="I697" s="590"/>
      <c r="J697" s="590"/>
      <c r="K697" s="590"/>
      <c r="L697" s="1687"/>
      <c r="M697" s="991"/>
      <c r="N697" s="991"/>
      <c r="O697" s="991"/>
      <c r="P697" s="991"/>
      <c r="Q697" s="991"/>
      <c r="R697" s="991"/>
      <c r="S697" s="991"/>
      <c r="T697" s="991"/>
      <c r="U697" s="991"/>
      <c r="V697" s="991"/>
      <c r="W697" s="991"/>
      <c r="X697" s="1601"/>
      <c r="AL697" s="78"/>
      <c r="AM697" s="78"/>
      <c r="AN697" s="78"/>
      <c r="AO697" s="78"/>
      <c r="AP697" s="78"/>
      <c r="AQ697" s="78"/>
      <c r="AR697" s="78"/>
      <c r="AS697" s="78"/>
    </row>
    <row r="698" spans="2:45" s="843" customFormat="1" ht="15" customHeight="1" thickBot="1" x14ac:dyDescent="0.25">
      <c r="B698" s="600" t="s">
        <v>4513</v>
      </c>
      <c r="C698" s="600"/>
      <c r="D698" s="600"/>
      <c r="E698" s="600"/>
      <c r="F698" s="23"/>
      <c r="G698" s="23"/>
      <c r="H698" s="691"/>
      <c r="I698" s="594"/>
      <c r="J698" s="594"/>
      <c r="K698" s="594"/>
      <c r="L698" s="1738"/>
      <c r="M698" s="100"/>
      <c r="N698" s="100"/>
      <c r="O698" s="100"/>
      <c r="P698" s="100"/>
      <c r="Q698" s="100"/>
      <c r="R698" s="100"/>
      <c r="S698" s="100"/>
      <c r="T698" s="100"/>
      <c r="U698" s="100"/>
      <c r="V698" s="100"/>
      <c r="W698" s="100"/>
      <c r="X698" s="1602"/>
      <c r="AL698" s="78"/>
      <c r="AM698" s="78"/>
      <c r="AN698" s="78"/>
      <c r="AO698" s="78"/>
      <c r="AP698" s="78"/>
      <c r="AQ698" s="78"/>
      <c r="AR698" s="78"/>
      <c r="AS698" s="78"/>
    </row>
    <row r="699" spans="2:45" s="843" customFormat="1" ht="15" customHeight="1" thickTop="1" x14ac:dyDescent="0.2">
      <c r="B699" s="600">
        <v>706.11</v>
      </c>
      <c r="C699" s="600"/>
      <c r="D699" s="600"/>
      <c r="E699" s="600"/>
      <c r="F699" s="23"/>
      <c r="G699" s="23"/>
      <c r="H699" s="691"/>
      <c r="I699" s="603" t="s">
        <v>4389</v>
      </c>
      <c r="J699" s="603"/>
      <c r="K699" s="603"/>
      <c r="L699" s="1740" t="s">
        <v>4390</v>
      </c>
      <c r="M699" s="1685">
        <v>2</v>
      </c>
      <c r="N699" s="178"/>
      <c r="O699" s="1682">
        <f ca="1">M699*S699*W699</f>
        <v>0</v>
      </c>
      <c r="P699" s="1105" t="b">
        <v>1</v>
      </c>
      <c r="Q699" s="1105" t="b">
        <v>1</v>
      </c>
      <c r="R699" s="1105" t="b">
        <v>0</v>
      </c>
      <c r="S699" s="1105" t="b">
        <f ca="1">S11=2</f>
        <v>0</v>
      </c>
      <c r="T699" s="1105" t="b">
        <v>0</v>
      </c>
      <c r="U699" s="106"/>
      <c r="V699" s="106"/>
      <c r="W699" s="334"/>
      <c r="X699" s="1603"/>
      <c r="AC699" s="881" t="b">
        <f>OR(AD699:AE699)</f>
        <v>0</v>
      </c>
      <c r="AD699" s="881" t="b">
        <f>T699</f>
        <v>0</v>
      </c>
      <c r="AE699" s="881" t="b">
        <f>AND(R699,NOT(W699))</f>
        <v>0</v>
      </c>
      <c r="AL699" s="1352" t="str">
        <f>SUBSTITUTE(SUBSTITUTE(SUBSTITUTE("dpa"&amp;$B699&amp;$C699&amp;$D699&amp;$E699&amp;$F699,".","_"),"(","_"),")","")</f>
        <v>dpa706_11</v>
      </c>
      <c r="AM699" s="1352">
        <f>M699</f>
        <v>2</v>
      </c>
      <c r="AN699" s="1352" t="str">
        <f>SUBSTITUTE(SUBSTITUTE(SUBSTITUTE("dpc"&amp;$B699&amp;$C699&amp;$D699&amp;$E699&amp;$F699,".","_"),"(","_"),")","")</f>
        <v>dpc706_11</v>
      </c>
      <c r="AO699" s="1352">
        <f ca="1">O699</f>
        <v>0</v>
      </c>
      <c r="AP699" s="1352" t="str">
        <f>SUBSTITUTE(SUBSTITUTE(SUBSTITUTE("dch"&amp;$B699&amp;$C699&amp;$D699&amp;$E699&amp;$F699,".","_"),"(","_"),")","")</f>
        <v>dch706_11</v>
      </c>
      <c r="AQ699" s="1352" t="str">
        <f>IF(LEN(W699)=0,"",W699)</f>
        <v/>
      </c>
      <c r="AR699" s="1352" t="str">
        <f>SUBSTITUTE(SUBSTITUTE(SUBSTITUTE("dnt"&amp;$B699&amp;$C699&amp;$D699&amp;$E699&amp;$F699,".","_"),"(","_"),")","")</f>
        <v>dnt706_11</v>
      </c>
      <c r="AS699" s="1352" t="str">
        <f>IF(LEN(X699)=0,"",X699)</f>
        <v/>
      </c>
    </row>
    <row r="700" spans="2:45" s="843" customFormat="1" ht="15" customHeight="1" thickBot="1" x14ac:dyDescent="0.25">
      <c r="B700" s="600">
        <v>706.11</v>
      </c>
      <c r="C700" s="600"/>
      <c r="D700" s="600"/>
      <c r="E700" s="600"/>
      <c r="F700" s="23"/>
      <c r="G700" s="23"/>
      <c r="H700" s="691"/>
      <c r="I700" s="594"/>
      <c r="J700" s="594"/>
      <c r="K700" s="594"/>
      <c r="L700" s="1738"/>
      <c r="M700" s="1627"/>
      <c r="N700" s="239"/>
      <c r="O700" s="1638"/>
      <c r="P700" s="100"/>
      <c r="Q700" s="100"/>
      <c r="R700" s="100"/>
      <c r="S700" s="100"/>
      <c r="T700" s="100"/>
      <c r="U700" s="100"/>
      <c r="V700" s="100"/>
      <c r="W700" s="100"/>
      <c r="X700" s="1602"/>
      <c r="AL700" s="78"/>
      <c r="AM700" s="78"/>
      <c r="AN700" s="78"/>
      <c r="AO700" s="78"/>
      <c r="AP700" s="78"/>
      <c r="AQ700" s="78"/>
      <c r="AR700" s="78"/>
      <c r="AS700" s="78"/>
    </row>
    <row r="701" spans="2:45" s="843" customFormat="1" ht="15" customHeight="1" thickTop="1" x14ac:dyDescent="0.2">
      <c r="B701" s="600">
        <v>706.12</v>
      </c>
      <c r="C701" s="600"/>
      <c r="D701" s="600"/>
      <c r="E701" s="600"/>
      <c r="F701" s="23"/>
      <c r="G701" s="23"/>
      <c r="H701" s="691"/>
      <c r="I701" s="603" t="s">
        <v>4391</v>
      </c>
      <c r="J701" s="603"/>
      <c r="K701" s="603"/>
      <c r="L701" s="1740" t="s">
        <v>4392</v>
      </c>
      <c r="M701" s="1685">
        <v>1</v>
      </c>
      <c r="N701" s="178"/>
      <c r="O701" s="1682">
        <f ca="1">M701*S701*W701</f>
        <v>0</v>
      </c>
      <c r="P701" s="1105" t="b">
        <v>1</v>
      </c>
      <c r="Q701" s="1105" t="b">
        <v>1</v>
      </c>
      <c r="R701" s="1105" t="b">
        <v>0</v>
      </c>
      <c r="S701" s="1105" t="b">
        <f ca="1">S11=2</f>
        <v>0</v>
      </c>
      <c r="T701" s="1105" t="b">
        <v>0</v>
      </c>
      <c r="U701" s="106"/>
      <c r="V701" s="106"/>
      <c r="W701" s="334"/>
      <c r="X701" s="1603"/>
      <c r="AC701" s="881" t="b">
        <f>OR(AD701:AE701)</f>
        <v>0</v>
      </c>
      <c r="AD701" s="881" t="b">
        <f>T701</f>
        <v>0</v>
      </c>
      <c r="AE701" s="881" t="b">
        <f>AND(R701,NOT(W701))</f>
        <v>0</v>
      </c>
      <c r="AL701" s="1352" t="str">
        <f>SUBSTITUTE(SUBSTITUTE(SUBSTITUTE("dpa"&amp;$B701&amp;$C701&amp;$D701&amp;$E701&amp;$F701,".","_"),"(","_"),")","")</f>
        <v>dpa706_12</v>
      </c>
      <c r="AM701" s="1352">
        <f>M701</f>
        <v>1</v>
      </c>
      <c r="AN701" s="1352" t="str">
        <f>SUBSTITUTE(SUBSTITUTE(SUBSTITUTE("dpc"&amp;$B701&amp;$C701&amp;$D701&amp;$E701&amp;$F701,".","_"),"(","_"),")","")</f>
        <v>dpc706_12</v>
      </c>
      <c r="AO701" s="1352">
        <f ca="1">O701</f>
        <v>0</v>
      </c>
      <c r="AP701" s="1352" t="str">
        <f>SUBSTITUTE(SUBSTITUTE(SUBSTITUTE("dch"&amp;$B701&amp;$C701&amp;$D701&amp;$E701&amp;$F701,".","_"),"(","_"),")","")</f>
        <v>dch706_12</v>
      </c>
      <c r="AQ701" s="1352" t="str">
        <f>IF(LEN(W701)=0,"",W701)</f>
        <v/>
      </c>
      <c r="AR701" s="1352" t="str">
        <f>SUBSTITUTE(SUBSTITUTE(SUBSTITUTE("dnt"&amp;$B701&amp;$C701&amp;$D701&amp;$E701&amp;$F701,".","_"),"(","_"),")","")</f>
        <v>dnt706_12</v>
      </c>
      <c r="AS701" s="1352" t="str">
        <f>IF(LEN(X701)=0,"",X701)</f>
        <v/>
      </c>
    </row>
    <row r="702" spans="2:45" s="843" customFormat="1" ht="15" customHeight="1" x14ac:dyDescent="0.2">
      <c r="B702" s="600">
        <v>706.12</v>
      </c>
      <c r="C702" s="600"/>
      <c r="D702" s="600"/>
      <c r="E702" s="600"/>
      <c r="F702" s="23"/>
      <c r="G702" s="23"/>
      <c r="H702" s="691"/>
      <c r="I702" s="590"/>
      <c r="J702" s="590"/>
      <c r="K702" s="590"/>
      <c r="L702" s="1687"/>
      <c r="M702" s="1623"/>
      <c r="N702" s="129"/>
      <c r="O702" s="1619"/>
      <c r="P702" s="991"/>
      <c r="Q702" s="991"/>
      <c r="R702" s="991"/>
      <c r="S702" s="991"/>
      <c r="T702" s="991"/>
      <c r="U702" s="991"/>
      <c r="V702" s="991"/>
      <c r="W702" s="991"/>
      <c r="X702" s="1601"/>
      <c r="AL702" s="78"/>
      <c r="AM702" s="78"/>
      <c r="AN702" s="78"/>
      <c r="AO702" s="78"/>
      <c r="AP702" s="78"/>
      <c r="AQ702" s="78"/>
      <c r="AR702" s="78"/>
      <c r="AS702" s="78"/>
    </row>
    <row r="703" spans="2:45" s="843" customFormat="1" ht="15" customHeight="1" x14ac:dyDescent="0.2">
      <c r="B703" s="600">
        <v>706.12</v>
      </c>
      <c r="C703" s="600"/>
      <c r="D703" s="600"/>
      <c r="E703" s="600"/>
      <c r="F703" s="23"/>
      <c r="G703" s="23"/>
      <c r="H703" s="691"/>
      <c r="I703" s="590"/>
      <c r="J703" s="590"/>
      <c r="K703" s="590"/>
      <c r="L703" s="1687"/>
      <c r="M703" s="1623"/>
      <c r="N703" s="129"/>
      <c r="O703" s="1619"/>
      <c r="P703" s="991"/>
      <c r="Q703" s="991"/>
      <c r="R703" s="991"/>
      <c r="S703" s="991"/>
      <c r="T703" s="991"/>
      <c r="U703" s="991"/>
      <c r="V703" s="991"/>
      <c r="W703" s="991"/>
      <c r="X703" s="1601"/>
      <c r="AL703" s="78"/>
      <c r="AM703" s="78"/>
      <c r="AN703" s="78"/>
      <c r="AO703" s="78"/>
      <c r="AP703" s="78"/>
      <c r="AQ703" s="78"/>
      <c r="AR703" s="78"/>
      <c r="AS703" s="78"/>
    </row>
    <row r="704" spans="2:45" s="843" customFormat="1" ht="15" customHeight="1" thickBot="1" x14ac:dyDescent="0.25">
      <c r="B704" s="600">
        <v>706.12</v>
      </c>
      <c r="C704" s="600"/>
      <c r="D704" s="600"/>
      <c r="E704" s="600"/>
      <c r="F704" s="23"/>
      <c r="G704" s="23"/>
      <c r="H704" s="691"/>
      <c r="I704" s="594"/>
      <c r="J704" s="594"/>
      <c r="K704" s="594"/>
      <c r="L704" s="1738"/>
      <c r="M704" s="1627"/>
      <c r="N704" s="100"/>
      <c r="O704" s="1638"/>
      <c r="P704" s="100"/>
      <c r="Q704" s="100"/>
      <c r="R704" s="100"/>
      <c r="S704" s="100"/>
      <c r="T704" s="100"/>
      <c r="U704" s="100"/>
      <c r="V704" s="100"/>
      <c r="W704" s="100"/>
      <c r="X704" s="1602"/>
      <c r="AL704" s="78"/>
      <c r="AM704" s="78"/>
      <c r="AN704" s="78"/>
      <c r="AO704" s="78"/>
      <c r="AP704" s="78"/>
      <c r="AQ704" s="78"/>
      <c r="AR704" s="78"/>
      <c r="AS704" s="78"/>
    </row>
    <row r="705" spans="2:61" s="843" customFormat="1" ht="15" customHeight="1" thickTop="1" x14ac:dyDescent="0.2">
      <c r="B705" s="600">
        <v>706.13</v>
      </c>
      <c r="C705" s="600"/>
      <c r="D705" s="600"/>
      <c r="E705" s="600"/>
      <c r="F705" s="23"/>
      <c r="G705" s="23"/>
      <c r="H705" s="691"/>
      <c r="I705" s="603" t="s">
        <v>4393</v>
      </c>
      <c r="J705" s="603"/>
      <c r="K705" s="603"/>
      <c r="L705" s="1740" t="s">
        <v>4394</v>
      </c>
      <c r="M705" s="106"/>
      <c r="N705" s="106"/>
      <c r="O705" s="1682">
        <f ca="1">IFERROR(INDEX({1,2},MATCH(W705,INDIRECT(U705),0)),0)</f>
        <v>0</v>
      </c>
      <c r="P705" s="1105" t="b">
        <v>0</v>
      </c>
      <c r="Q705" s="1105" t="b">
        <v>1</v>
      </c>
      <c r="R705" s="1105" t="b">
        <v>0</v>
      </c>
      <c r="S705" s="1105" t="b">
        <f ca="1">S11=2</f>
        <v>0</v>
      </c>
      <c r="T705" s="1105" t="b">
        <v>0</v>
      </c>
      <c r="U705" s="106" t="str">
        <f>SUBSTITUTE(SUBSTITUTE(SUBSTITUTE("dd"&amp;B705&amp;C705&amp;D705&amp;E705&amp;F705,".","_"),"(","_"),")","")</f>
        <v>dd706_13</v>
      </c>
      <c r="V705" s="106"/>
      <c r="W705" s="188"/>
      <c r="X705" s="1603"/>
      <c r="AC705" s="905" t="b">
        <f>OR(AD705:AE705)</f>
        <v>0</v>
      </c>
      <c r="AD705" s="905" t="b">
        <f>T705</f>
        <v>0</v>
      </c>
      <c r="AE705" s="905" t="b">
        <f>AND(R705,OR(W705="Not Met",W705=""))</f>
        <v>0</v>
      </c>
      <c r="AL705" s="78"/>
      <c r="AM705" s="78"/>
      <c r="AN705" s="1352" t="str">
        <f>SUBSTITUTE(SUBSTITUTE(SUBSTITUTE("dpc"&amp;$B705&amp;$C705&amp;$D705&amp;$E705&amp;$F705,".","_"),"(","_"),")","")</f>
        <v>dpc706_13</v>
      </c>
      <c r="AO705" s="1352">
        <f ca="1">O705</f>
        <v>0</v>
      </c>
      <c r="AP705" s="1352" t="str">
        <f>SUBSTITUTE(SUBSTITUTE(SUBSTITUTE("dch"&amp;$B705&amp;$C705&amp;$D705&amp;$E705&amp;$F705,".","_"),"(","_"),")","")</f>
        <v>dch706_13</v>
      </c>
      <c r="AQ705" s="1352" t="str">
        <f>IF(LEN(W705)=0,"",W705)</f>
        <v/>
      </c>
      <c r="AR705" s="1352" t="str">
        <f>SUBSTITUTE(SUBSTITUTE(SUBSTITUTE("dnt"&amp;$B705&amp;$C705&amp;$D705&amp;$E705&amp;$F705,".","_"),"(","_"),")","")</f>
        <v>dnt706_13</v>
      </c>
      <c r="AS705" s="1352" t="str">
        <f>IF(LEN(X705)=0,"",X705)</f>
        <v/>
      </c>
    </row>
    <row r="706" spans="2:61" s="843" customFormat="1" ht="15" customHeight="1" x14ac:dyDescent="0.2">
      <c r="B706" s="600">
        <v>706.13</v>
      </c>
      <c r="C706" s="600"/>
      <c r="D706" s="600"/>
      <c r="E706" s="600"/>
      <c r="F706" s="23"/>
      <c r="G706" s="23"/>
      <c r="H706" s="691"/>
      <c r="I706" s="590"/>
      <c r="J706" s="590"/>
      <c r="K706" s="590"/>
      <c r="L706" s="1687"/>
      <c r="M706" s="991"/>
      <c r="N706" s="991"/>
      <c r="O706" s="1619"/>
      <c r="P706" s="991"/>
      <c r="Q706" s="991"/>
      <c r="R706" s="991"/>
      <c r="S706" s="991"/>
      <c r="T706" s="991"/>
      <c r="U706" s="991"/>
      <c r="V706" s="991"/>
      <c r="W706" s="991"/>
      <c r="X706" s="1601"/>
      <c r="AL706" s="78"/>
      <c r="AM706" s="78"/>
      <c r="AN706" s="78"/>
      <c r="AO706" s="78"/>
      <c r="AP706" s="78"/>
      <c r="AQ706" s="78"/>
      <c r="AR706" s="78"/>
      <c r="AS706" s="78"/>
    </row>
    <row r="707" spans="2:61" s="843" customFormat="1" ht="15" customHeight="1" x14ac:dyDescent="0.2">
      <c r="B707" s="600">
        <v>706.13</v>
      </c>
      <c r="C707" s="600" t="s">
        <v>254</v>
      </c>
      <c r="D707" s="600"/>
      <c r="E707" s="600"/>
      <c r="F707" s="23"/>
      <c r="G707" s="23"/>
      <c r="H707" s="691"/>
      <c r="I707" s="590"/>
      <c r="J707" s="606" t="s">
        <v>254</v>
      </c>
      <c r="K707" s="606"/>
      <c r="L707" s="923" t="s">
        <v>4395</v>
      </c>
      <c r="M707" s="1097">
        <v>1</v>
      </c>
      <c r="N707" s="991"/>
      <c r="O707" s="908"/>
      <c r="P707" s="991"/>
      <c r="Q707" s="991"/>
      <c r="R707" s="991"/>
      <c r="S707" s="991"/>
      <c r="T707" s="991"/>
      <c r="U707" s="991"/>
      <c r="V707" s="991"/>
      <c r="W707" s="991"/>
      <c r="X707" s="1601"/>
      <c r="AL707" s="1352" t="str">
        <f>SUBSTITUTE(SUBSTITUTE(SUBSTITUTE("dpa"&amp;$B707&amp;$C707&amp;$D707&amp;$E707&amp;$F707,".","_"),"(","_"),")","")</f>
        <v>dpa706_13_1</v>
      </c>
      <c r="AM707" s="1352">
        <f>M707</f>
        <v>1</v>
      </c>
      <c r="AN707" s="78"/>
      <c r="AO707" s="78"/>
      <c r="AP707" s="78"/>
      <c r="AQ707" s="78"/>
      <c r="AR707" s="78"/>
      <c r="AS707" s="78"/>
    </row>
    <row r="708" spans="2:61" s="843" customFormat="1" ht="15" customHeight="1" thickBot="1" x14ac:dyDescent="0.25">
      <c r="B708" s="600">
        <v>706.13</v>
      </c>
      <c r="C708" s="600" t="s">
        <v>255</v>
      </c>
      <c r="D708" s="600"/>
      <c r="E708" s="600"/>
      <c r="F708" s="23"/>
      <c r="G708" s="23"/>
      <c r="H708" s="691"/>
      <c r="I708" s="594"/>
      <c r="J708" s="594" t="s">
        <v>255</v>
      </c>
      <c r="K708" s="594"/>
      <c r="L708" s="920" t="s">
        <v>4396</v>
      </c>
      <c r="M708" s="1106">
        <v>2</v>
      </c>
      <c r="N708" s="100"/>
      <c r="O708" s="100"/>
      <c r="P708" s="100"/>
      <c r="Q708" s="100"/>
      <c r="R708" s="100"/>
      <c r="S708" s="100"/>
      <c r="T708" s="100"/>
      <c r="U708" s="100"/>
      <c r="V708" s="100"/>
      <c r="W708" s="100"/>
      <c r="X708" s="1602"/>
      <c r="AL708" s="1352" t="str">
        <f>SUBSTITUTE(SUBSTITUTE(SUBSTITUTE("dpa"&amp;$B708&amp;$C708&amp;$D708&amp;$E708&amp;$F708,".","_"),"(","_"),")","")</f>
        <v>dpa706_13_2</v>
      </c>
      <c r="AM708" s="1352">
        <f>M708</f>
        <v>2</v>
      </c>
      <c r="AN708" s="78"/>
      <c r="AO708" s="78"/>
      <c r="AP708" s="78"/>
      <c r="AQ708" s="78"/>
      <c r="AR708" s="78"/>
      <c r="AS708" s="78"/>
    </row>
    <row r="709" spans="2:61" s="843" customFormat="1" ht="15" customHeight="1" thickTop="1" x14ac:dyDescent="0.2">
      <c r="B709" s="600">
        <v>706.14</v>
      </c>
      <c r="C709" s="600"/>
      <c r="D709" s="600"/>
      <c r="E709" s="600"/>
      <c r="F709" s="23"/>
      <c r="G709" s="23"/>
      <c r="H709" s="691"/>
      <c r="I709" s="589" t="s">
        <v>4397</v>
      </c>
      <c r="J709" s="589"/>
      <c r="K709" s="589"/>
      <c r="L709" s="869" t="s">
        <v>4398</v>
      </c>
      <c r="M709" s="96"/>
      <c r="N709" s="96"/>
      <c r="O709" s="96"/>
      <c r="P709" s="96"/>
      <c r="Q709" s="96"/>
      <c r="R709" s="96"/>
      <c r="S709" s="96"/>
      <c r="T709" s="96"/>
      <c r="AL709" s="78"/>
      <c r="AM709" s="78"/>
      <c r="AN709" s="78"/>
      <c r="AO709" s="78"/>
      <c r="AP709" s="78"/>
      <c r="AQ709" s="78"/>
      <c r="AR709" s="78"/>
      <c r="AS709" s="78"/>
    </row>
    <row r="710" spans="2:61" s="843" customFormat="1" ht="15" customHeight="1" x14ac:dyDescent="0.2">
      <c r="B710" s="600">
        <v>706.14</v>
      </c>
      <c r="C710" s="600" t="s">
        <v>254</v>
      </c>
      <c r="D710" s="600"/>
      <c r="E710" s="600"/>
      <c r="F710" s="23"/>
      <c r="G710" s="23"/>
      <c r="H710" s="691"/>
      <c r="I710" s="590"/>
      <c r="J710" s="590" t="s">
        <v>254</v>
      </c>
      <c r="K710" s="590"/>
      <c r="L710" s="1634" t="s">
        <v>4399</v>
      </c>
      <c r="M710" s="1752">
        <v>3</v>
      </c>
      <c r="N710" s="991"/>
      <c r="O710" s="1755">
        <f ca="1">M710*S710*W710</f>
        <v>0</v>
      </c>
      <c r="P710" s="464" t="b">
        <v>1</v>
      </c>
      <c r="Q710" s="464" t="b">
        <v>1</v>
      </c>
      <c r="R710" s="464" t="b">
        <v>0</v>
      </c>
      <c r="S710" s="464" t="b">
        <f ca="1">S11=2</f>
        <v>0</v>
      </c>
      <c r="T710" s="464" t="b">
        <v>0</v>
      </c>
      <c r="U710" s="991"/>
      <c r="V710" s="991"/>
      <c r="W710" s="333"/>
      <c r="X710" s="1601"/>
      <c r="AC710" s="881" t="b">
        <f>OR(AD710:AE710)</f>
        <v>0</v>
      </c>
      <c r="AD710" s="881" t="b">
        <f>T710</f>
        <v>0</v>
      </c>
      <c r="AE710" s="881" t="b">
        <f>AND(R710,NOT(W710))</f>
        <v>0</v>
      </c>
      <c r="AL710" s="1352" t="str">
        <f>SUBSTITUTE(SUBSTITUTE(SUBSTITUTE("dpa"&amp;$B710&amp;$C710&amp;$D710&amp;$E710&amp;$F710,".","_"),"(","_"),")","")</f>
        <v>dpa706_14_1</v>
      </c>
      <c r="AM710" s="1352">
        <f>M710</f>
        <v>3</v>
      </c>
      <c r="AN710" s="1352" t="str">
        <f>SUBSTITUTE(SUBSTITUTE(SUBSTITUTE("dpc"&amp;$B710&amp;$C710&amp;$D710&amp;$E710&amp;$F710,".","_"),"(","_"),")","")</f>
        <v>dpc706_14_1</v>
      </c>
      <c r="AO710" s="1352">
        <f ca="1">O710</f>
        <v>0</v>
      </c>
      <c r="AP710" s="1352" t="str">
        <f>SUBSTITUTE(SUBSTITUTE(SUBSTITUTE("dch"&amp;$B710&amp;$C710&amp;$D710&amp;$E710&amp;$F710,".","_"),"(","_"),")","")</f>
        <v>dch706_14_1</v>
      </c>
      <c r="AQ710" s="1352" t="str">
        <f>IF(LEN(W710)=0,"",W710)</f>
        <v/>
      </c>
      <c r="AR710" s="1352" t="str">
        <f>SUBSTITUTE(SUBSTITUTE(SUBSTITUTE("dnt"&amp;$B710&amp;$C710&amp;$D710&amp;$E710&amp;$F710,".","_"),"(","_"),")","")</f>
        <v>dnt706_14_1</v>
      </c>
      <c r="AS710" s="1352" t="str">
        <f>IF(LEN(X710)=0,"",X710)</f>
        <v/>
      </c>
    </row>
    <row r="711" spans="2:61" s="843" customFormat="1" ht="15" customHeight="1" x14ac:dyDescent="0.2">
      <c r="B711" s="600">
        <v>706.14</v>
      </c>
      <c r="C711" s="600" t="s">
        <v>254</v>
      </c>
      <c r="D711" s="600"/>
      <c r="E711" s="600"/>
      <c r="F711" s="23"/>
      <c r="G711" s="23"/>
      <c r="H711" s="691"/>
      <c r="I711" s="590"/>
      <c r="J711" s="590"/>
      <c r="K711" s="590"/>
      <c r="L711" s="1634"/>
      <c r="M711" s="1752"/>
      <c r="N711" s="991"/>
      <c r="O711" s="1755"/>
      <c r="P711" s="991"/>
      <c r="Q711" s="991"/>
      <c r="R711" s="991"/>
      <c r="S711" s="991"/>
      <c r="T711" s="991"/>
      <c r="U711" s="991"/>
      <c r="V711" s="991"/>
      <c r="W711" s="991"/>
      <c r="X711" s="1601"/>
      <c r="AL711" s="78"/>
      <c r="AM711" s="78"/>
      <c r="AN711" s="78"/>
      <c r="AO711" s="78"/>
      <c r="AP711" s="78"/>
      <c r="AQ711" s="78"/>
      <c r="AR711" s="78"/>
      <c r="AS711" s="78"/>
    </row>
    <row r="712" spans="2:61" s="843" customFormat="1" ht="15" customHeight="1" x14ac:dyDescent="0.2">
      <c r="B712" s="600">
        <v>706.14</v>
      </c>
      <c r="C712" s="600" t="s">
        <v>254</v>
      </c>
      <c r="D712" s="600"/>
      <c r="E712" s="600"/>
      <c r="F712" s="23"/>
      <c r="G712" s="23"/>
      <c r="H712" s="691"/>
      <c r="I712" s="590"/>
      <c r="J712" s="590"/>
      <c r="K712" s="590"/>
      <c r="L712" s="1634"/>
      <c r="M712" s="1752"/>
      <c r="N712" s="991"/>
      <c r="O712" s="1755"/>
      <c r="P712" s="991"/>
      <c r="Q712" s="991"/>
      <c r="R712" s="991"/>
      <c r="S712" s="991"/>
      <c r="T712" s="991"/>
      <c r="U712" s="991"/>
      <c r="V712" s="991"/>
      <c r="W712" s="991"/>
      <c r="X712" s="1601"/>
      <c r="AL712" s="78"/>
      <c r="AM712" s="78"/>
      <c r="AN712" s="78"/>
      <c r="AO712" s="78"/>
      <c r="AP712" s="78"/>
      <c r="AQ712" s="78"/>
      <c r="AR712" s="78"/>
      <c r="AS712" s="78"/>
    </row>
    <row r="713" spans="2:61" s="843" customFormat="1" ht="15" customHeight="1" x14ac:dyDescent="0.2">
      <c r="B713" s="600">
        <v>706.14</v>
      </c>
      <c r="C713" s="600" t="s">
        <v>254</v>
      </c>
      <c r="D713" s="600"/>
      <c r="E713" s="600"/>
      <c r="F713" s="23"/>
      <c r="G713" s="23"/>
      <c r="H713" s="691"/>
      <c r="I713" s="590"/>
      <c r="J713" s="606"/>
      <c r="K713" s="606"/>
      <c r="L713" s="1639"/>
      <c r="M713" s="1754"/>
      <c r="N713" s="173"/>
      <c r="O713" s="1756"/>
      <c r="P713" s="991"/>
      <c r="Q713" s="991"/>
      <c r="R713" s="991"/>
      <c r="S713" s="991"/>
      <c r="T713" s="991"/>
      <c r="U713" s="991"/>
      <c r="V713" s="991"/>
      <c r="W713" s="991"/>
      <c r="X713" s="1601"/>
      <c r="AL713" s="78"/>
      <c r="AM713" s="78"/>
      <c r="AN713" s="78"/>
      <c r="AO713" s="78"/>
      <c r="AP713" s="78"/>
      <c r="AQ713" s="78"/>
      <c r="AR713" s="78"/>
      <c r="AS713" s="78"/>
    </row>
    <row r="714" spans="2:61" s="843" customFormat="1" ht="15" customHeight="1" x14ac:dyDescent="0.2">
      <c r="B714" s="600">
        <v>706.14</v>
      </c>
      <c r="C714" s="600" t="s">
        <v>255</v>
      </c>
      <c r="D714" s="600"/>
      <c r="E714" s="600"/>
      <c r="F714" s="23"/>
      <c r="G714" s="23"/>
      <c r="H714" s="691"/>
      <c r="I714" s="590"/>
      <c r="J714" s="590" t="s">
        <v>255</v>
      </c>
      <c r="K714" s="590"/>
      <c r="L714" s="1634" t="s">
        <v>4400</v>
      </c>
      <c r="M714" s="1752">
        <v>1</v>
      </c>
      <c r="N714" s="991"/>
      <c r="O714" s="1755">
        <f ca="1">M714*S714*W714</f>
        <v>0</v>
      </c>
      <c r="P714" s="464" t="b">
        <v>0</v>
      </c>
      <c r="Q714" s="464" t="b">
        <v>1</v>
      </c>
      <c r="R714" s="464" t="b">
        <v>0</v>
      </c>
      <c r="S714" s="464" t="b">
        <f ca="1">S11=2</f>
        <v>0</v>
      </c>
      <c r="T714" s="464" t="b">
        <v>0</v>
      </c>
      <c r="U714" s="991"/>
      <c r="V714" s="991"/>
      <c r="W714" s="333"/>
      <c r="X714" s="1601"/>
      <c r="AC714" s="881" t="b">
        <f>OR(AD714:AE714)</f>
        <v>0</v>
      </c>
      <c r="AD714" s="881" t="b">
        <f>T714</f>
        <v>0</v>
      </c>
      <c r="AE714" s="881" t="b">
        <f>AND(R714,NOT(W714))</f>
        <v>0</v>
      </c>
      <c r="AL714" s="1352" t="str">
        <f>SUBSTITUTE(SUBSTITUTE(SUBSTITUTE("dpa"&amp;$B714&amp;$C714&amp;$D714&amp;$E714&amp;$F714,".","_"),"(","_"),")","")</f>
        <v>dpa706_14_2</v>
      </c>
      <c r="AM714" s="1352">
        <f>M714</f>
        <v>1</v>
      </c>
      <c r="AN714" s="1352" t="str">
        <f>SUBSTITUTE(SUBSTITUTE(SUBSTITUTE("dpc"&amp;$B714&amp;$C714&amp;$D714&amp;$E714&amp;$F714,".","_"),"(","_"),")","")</f>
        <v>dpc706_14_2</v>
      </c>
      <c r="AO714" s="1352">
        <f ca="1">O714</f>
        <v>0</v>
      </c>
      <c r="AP714" s="1352" t="str">
        <f>SUBSTITUTE(SUBSTITUTE(SUBSTITUTE("dch"&amp;$B714&amp;$C714&amp;$D714&amp;$E714&amp;$F714,".","_"),"(","_"),")","")</f>
        <v>dch706_14_2</v>
      </c>
      <c r="AQ714" s="1352" t="str">
        <f>IF(LEN(W714)=0,"",W714)</f>
        <v/>
      </c>
      <c r="AR714" s="1352" t="str">
        <f>SUBSTITUTE(SUBSTITUTE(SUBSTITUTE("dnt"&amp;$B714&amp;$C714&amp;$D714&amp;$E714&amp;$F714,".","_"),"(","_"),")","")</f>
        <v>dnt706_14_2</v>
      </c>
      <c r="AS714" s="1352" t="str">
        <f>IF(LEN(X714)=0,"",X714)</f>
        <v/>
      </c>
      <c r="AZ714" s="78"/>
      <c r="BA714" s="78"/>
      <c r="BB714" s="78"/>
      <c r="BC714" s="78"/>
      <c r="BD714" s="78"/>
      <c r="BE714" s="78"/>
      <c r="BF714" s="78"/>
      <c r="BG714" s="78"/>
      <c r="BH714" s="78"/>
      <c r="BI714" s="78"/>
    </row>
    <row r="715" spans="2:61" s="843" customFormat="1" ht="15" customHeight="1" thickBot="1" x14ac:dyDescent="0.25">
      <c r="B715" s="600">
        <v>706.14</v>
      </c>
      <c r="C715" s="600" t="s">
        <v>255</v>
      </c>
      <c r="D715" s="600"/>
      <c r="E715" s="600"/>
      <c r="F715" s="23"/>
      <c r="G715" s="23"/>
      <c r="H715" s="691"/>
      <c r="I715" s="594"/>
      <c r="J715" s="594"/>
      <c r="K715" s="594"/>
      <c r="L715" s="1635"/>
      <c r="M715" s="1753"/>
      <c r="N715" s="100"/>
      <c r="O715" s="1645"/>
      <c r="P715" s="100"/>
      <c r="Q715" s="100"/>
      <c r="R715" s="100"/>
      <c r="S715" s="100"/>
      <c r="T715" s="100"/>
      <c r="U715" s="100"/>
      <c r="V715" s="100"/>
      <c r="W715" s="100"/>
      <c r="X715" s="1602"/>
      <c r="AL715" s="78"/>
      <c r="AM715" s="78"/>
      <c r="AN715" s="78"/>
      <c r="AO715" s="78"/>
      <c r="AP715" s="78"/>
      <c r="AQ715" s="78"/>
      <c r="AR715" s="78"/>
      <c r="AS715" s="78"/>
      <c r="AZ715" s="78"/>
      <c r="BA715" s="78"/>
      <c r="BB715" s="78"/>
      <c r="BC715" s="78"/>
      <c r="BD715" s="78"/>
      <c r="BE715" s="78"/>
      <c r="BF715" s="78"/>
      <c r="BG715" s="78"/>
      <c r="BH715" s="78"/>
      <c r="BI715" s="78"/>
    </row>
    <row r="716" spans="2:61" s="843" customFormat="1" ht="15" customHeight="1" thickTop="1" x14ac:dyDescent="0.2">
      <c r="B716" s="600">
        <v>706.15</v>
      </c>
      <c r="C716" s="600"/>
      <c r="D716" s="600"/>
      <c r="E716" s="600"/>
      <c r="F716" s="23"/>
      <c r="G716" s="23"/>
      <c r="H716" s="691"/>
      <c r="I716" s="589" t="s">
        <v>4401</v>
      </c>
      <c r="J716" s="589"/>
      <c r="K716" s="589"/>
      <c r="L716" s="1687" t="s">
        <v>4402</v>
      </c>
      <c r="M716" s="96"/>
      <c r="N716" s="96"/>
      <c r="O716" s="96"/>
      <c r="P716" s="96"/>
      <c r="Q716" s="96"/>
      <c r="R716" s="96"/>
      <c r="S716" s="96"/>
      <c r="T716" s="96"/>
      <c r="AL716" s="78"/>
      <c r="AM716" s="78"/>
      <c r="AN716" s="78"/>
      <c r="AO716" s="78"/>
      <c r="AP716" s="78"/>
      <c r="AQ716" s="78"/>
      <c r="AR716" s="78"/>
      <c r="AS716" s="78"/>
      <c r="AX716" s="78"/>
      <c r="AY716" s="78"/>
      <c r="AZ716" s="78"/>
      <c r="BA716" s="78"/>
      <c r="BB716" s="78"/>
      <c r="BC716" s="78"/>
      <c r="BD716" s="78"/>
      <c r="BE716" s="78"/>
      <c r="BF716" s="78"/>
      <c r="BG716" s="78"/>
      <c r="BH716" s="78"/>
      <c r="BI716" s="78"/>
    </row>
    <row r="717" spans="2:61" s="843" customFormat="1" ht="15" customHeight="1" x14ac:dyDescent="0.2">
      <c r="B717" s="600">
        <v>706.15</v>
      </c>
      <c r="C717" s="600"/>
      <c r="D717" s="600"/>
      <c r="E717" s="600"/>
      <c r="F717" s="23"/>
      <c r="G717" s="23"/>
      <c r="H717" s="691"/>
      <c r="I717" s="589"/>
      <c r="J717" s="589"/>
      <c r="K717" s="589"/>
      <c r="L717" s="1687"/>
      <c r="M717" s="96"/>
      <c r="N717" s="96"/>
      <c r="O717" s="96"/>
      <c r="P717" s="96"/>
      <c r="Q717" s="96"/>
      <c r="R717" s="96"/>
      <c r="S717" s="96"/>
      <c r="T717" s="96"/>
      <c r="AL717" s="78"/>
      <c r="AM717" s="78"/>
      <c r="AN717" s="78"/>
      <c r="AO717" s="78"/>
      <c r="AP717" s="78"/>
      <c r="AQ717" s="78"/>
      <c r="AR717" s="78"/>
      <c r="AS717" s="78"/>
      <c r="AX717" s="78"/>
      <c r="AY717" s="78"/>
      <c r="AZ717" s="78"/>
      <c r="BA717" s="78"/>
      <c r="BB717" s="78"/>
      <c r="BC717" s="78"/>
      <c r="BD717" s="78"/>
      <c r="BE717" s="78"/>
      <c r="BF717" s="78"/>
      <c r="BG717" s="78"/>
      <c r="BH717" s="78"/>
      <c r="BI717" s="78"/>
    </row>
    <row r="718" spans="2:61" s="843" customFormat="1" ht="15" customHeight="1" x14ac:dyDescent="0.2">
      <c r="B718" s="600">
        <v>706.15</v>
      </c>
      <c r="C718" s="600"/>
      <c r="D718" s="600"/>
      <c r="E718" s="600"/>
      <c r="F718" s="23"/>
      <c r="G718" s="23"/>
      <c r="H718" s="691"/>
      <c r="I718" s="589"/>
      <c r="J718" s="589"/>
      <c r="K718" s="589"/>
      <c r="L718" s="1687"/>
      <c r="M718" s="96"/>
      <c r="N718" s="96"/>
      <c r="O718" s="96"/>
      <c r="P718" s="96"/>
      <c r="Q718" s="96"/>
      <c r="R718" s="96"/>
      <c r="S718" s="96"/>
      <c r="T718" s="96"/>
      <c r="AL718" s="78"/>
      <c r="AM718" s="78"/>
      <c r="AN718" s="78"/>
      <c r="AO718" s="78"/>
      <c r="AP718" s="78"/>
      <c r="AQ718" s="78"/>
      <c r="AR718" s="78"/>
      <c r="AS718" s="78"/>
      <c r="AX718" s="78"/>
      <c r="AY718" s="78"/>
      <c r="AZ718" s="78"/>
      <c r="BA718" s="78"/>
      <c r="BB718" s="78"/>
      <c r="BC718" s="78"/>
      <c r="BD718" s="78"/>
      <c r="BE718" s="78"/>
      <c r="BF718" s="78"/>
      <c r="BG718" s="78"/>
      <c r="BH718" s="78"/>
      <c r="BI718" s="78"/>
    </row>
    <row r="719" spans="2:61" s="843" customFormat="1" ht="15" customHeight="1" x14ac:dyDescent="0.2">
      <c r="B719" s="600">
        <v>706.15</v>
      </c>
      <c r="C719" s="600" t="s">
        <v>254</v>
      </c>
      <c r="D719" s="600"/>
      <c r="E719" s="600"/>
      <c r="F719" s="23"/>
      <c r="G719" s="23"/>
      <c r="H719" s="691"/>
      <c r="I719" s="589"/>
      <c r="J719" s="606" t="s">
        <v>254</v>
      </c>
      <c r="K719" s="606"/>
      <c r="L719" s="923" t="s">
        <v>4403</v>
      </c>
      <c r="M719" s="972">
        <v>2</v>
      </c>
      <c r="N719" s="173"/>
      <c r="O719" s="909">
        <f ca="1">M719*S719*W719</f>
        <v>0</v>
      </c>
      <c r="P719" s="464" t="b">
        <v>1</v>
      </c>
      <c r="Q719" s="464" t="b">
        <v>1</v>
      </c>
      <c r="R719" s="464" t="b">
        <v>0</v>
      </c>
      <c r="S719" s="464" t="b">
        <f ca="1">S11=2</f>
        <v>0</v>
      </c>
      <c r="T719" s="464" t="b">
        <v>0</v>
      </c>
      <c r="W719" s="27"/>
      <c r="X719" s="889"/>
      <c r="AC719" s="881" t="b">
        <f>OR(AD719:AE719)</f>
        <v>0</v>
      </c>
      <c r="AD719" s="881" t="b">
        <f>T719</f>
        <v>0</v>
      </c>
      <c r="AE719" s="881" t="b">
        <f>AND(R719,NOT(W719))</f>
        <v>0</v>
      </c>
      <c r="AL719" s="1352" t="str">
        <f>SUBSTITUTE(SUBSTITUTE(SUBSTITUTE("dpa"&amp;$B719&amp;$C719&amp;$D719&amp;$E719&amp;$F719,".","_"),"(","_"),")","")</f>
        <v>dpa706_15_1</v>
      </c>
      <c r="AM719" s="1352">
        <f>M719</f>
        <v>2</v>
      </c>
      <c r="AN719" s="1352" t="str">
        <f>SUBSTITUTE(SUBSTITUTE(SUBSTITUTE("dpc"&amp;$B719&amp;$C719&amp;$D719&amp;$E719&amp;$F719,".","_"),"(","_"),")","")</f>
        <v>dpc706_15_1</v>
      </c>
      <c r="AO719" s="1352">
        <f ca="1">O719</f>
        <v>0</v>
      </c>
      <c r="AP719" s="1352" t="str">
        <f>SUBSTITUTE(SUBSTITUTE(SUBSTITUTE("dch"&amp;$B719&amp;$C719&amp;$D719&amp;$E719&amp;$F719,".","_"),"(","_"),")","")</f>
        <v>dch706_15_1</v>
      </c>
      <c r="AQ719" s="1352" t="str">
        <f>IF(LEN(W719)=0,"",W719)</f>
        <v/>
      </c>
      <c r="AR719" s="1352" t="str">
        <f>SUBSTITUTE(SUBSTITUTE(SUBSTITUTE("dnt"&amp;$B719&amp;$C719&amp;$D719&amp;$E719&amp;$F719,".","_"),"(","_"),")","")</f>
        <v>dnt706_15_1</v>
      </c>
      <c r="AS719" s="1352" t="str">
        <f>IF(LEN(X719)=0,"",X719)</f>
        <v/>
      </c>
      <c r="AX719" s="78"/>
      <c r="AY719" s="78"/>
      <c r="AZ719" s="78"/>
      <c r="BA719" s="78"/>
      <c r="BB719" s="78"/>
      <c r="BC719" s="78"/>
      <c r="BD719" s="78"/>
      <c r="BE719" s="78"/>
      <c r="BF719" s="78"/>
      <c r="BG719" s="78"/>
      <c r="BH719" s="78"/>
      <c r="BI719" s="78"/>
    </row>
    <row r="720" spans="2:61" s="843" customFormat="1" ht="15" customHeight="1" thickBot="1" x14ac:dyDescent="0.25">
      <c r="B720" s="600">
        <v>706.15</v>
      </c>
      <c r="C720" s="600" t="s">
        <v>255</v>
      </c>
      <c r="D720" s="600"/>
      <c r="E720" s="600"/>
      <c r="F720" s="23"/>
      <c r="G720" s="23"/>
      <c r="H720" s="691"/>
      <c r="I720" s="589"/>
      <c r="J720" s="589" t="s">
        <v>255</v>
      </c>
      <c r="K720" s="589"/>
      <c r="L720" s="863" t="s">
        <v>4404</v>
      </c>
      <c r="M720" s="901">
        <v>2</v>
      </c>
      <c r="N720" s="100"/>
      <c r="O720" s="887">
        <f ca="1">M720*S720*W720</f>
        <v>0</v>
      </c>
      <c r="P720" s="993" t="b">
        <v>1</v>
      </c>
      <c r="Q720" s="993" t="b">
        <v>1</v>
      </c>
      <c r="R720" s="993" t="b">
        <v>0</v>
      </c>
      <c r="S720" s="993" t="b">
        <f ca="1">S11=2</f>
        <v>0</v>
      </c>
      <c r="T720" s="993" t="b">
        <v>0</v>
      </c>
      <c r="W720" s="27"/>
      <c r="X720" s="889"/>
      <c r="AC720" s="881" t="b">
        <f>OR(AD720:AE720)</f>
        <v>0</v>
      </c>
      <c r="AD720" s="881" t="b">
        <f>T720</f>
        <v>0</v>
      </c>
      <c r="AE720" s="881" t="b">
        <f>AND(R720,NOT(W720))</f>
        <v>0</v>
      </c>
      <c r="AL720" s="1352" t="str">
        <f>SUBSTITUTE(SUBSTITUTE(SUBSTITUTE("dpa"&amp;$B720&amp;$C720&amp;$D720&amp;$E720&amp;$F720,".","_"),"(","_"),")","")</f>
        <v>dpa706_15_2</v>
      </c>
      <c r="AM720" s="1352">
        <f>M720</f>
        <v>2</v>
      </c>
      <c r="AN720" s="1352" t="str">
        <f>SUBSTITUTE(SUBSTITUTE(SUBSTITUTE("dpc"&amp;$B720&amp;$C720&amp;$D720&amp;$E720&amp;$F720,".","_"),"(","_"),")","")</f>
        <v>dpc706_15_2</v>
      </c>
      <c r="AO720" s="1352">
        <f ca="1">O720</f>
        <v>0</v>
      </c>
      <c r="AP720" s="1352" t="str">
        <f>SUBSTITUTE(SUBSTITUTE(SUBSTITUTE("dch"&amp;$B720&amp;$C720&amp;$D720&amp;$E720&amp;$F720,".","_"),"(","_"),")","")</f>
        <v>dch706_15_2</v>
      </c>
      <c r="AQ720" s="1352" t="str">
        <f>IF(LEN(W720)=0,"",W720)</f>
        <v/>
      </c>
      <c r="AR720" s="1352" t="str">
        <f>SUBSTITUTE(SUBSTITUTE(SUBSTITUTE("dnt"&amp;$B720&amp;$C720&amp;$D720&amp;$E720&amp;$F720,".","_"),"(","_"),")","")</f>
        <v>dnt706_15_2</v>
      </c>
      <c r="AS720" s="1352" t="str">
        <f>IF(LEN(X720)=0,"",X720)</f>
        <v/>
      </c>
      <c r="AX720" s="78"/>
      <c r="AY720" s="78"/>
      <c r="AZ720" s="78"/>
      <c r="BA720" s="78"/>
      <c r="BB720" s="78"/>
      <c r="BC720" s="78"/>
      <c r="BD720" s="78"/>
      <c r="BE720" s="78"/>
      <c r="BF720" s="78"/>
      <c r="BG720" s="78"/>
      <c r="BH720" s="78"/>
      <c r="BI720" s="78"/>
    </row>
    <row r="721" spans="9:61" ht="17" thickTop="1" thickBot="1" x14ac:dyDescent="0.25">
      <c r="I721" s="201" t="s">
        <v>2921</v>
      </c>
      <c r="J721" s="202"/>
      <c r="K721" s="202"/>
      <c r="L721" s="202"/>
      <c r="M721" s="985"/>
      <c r="N721" s="986"/>
      <c r="O721" s="987"/>
      <c r="P721" s="986"/>
      <c r="Q721" s="986"/>
      <c r="R721" s="986"/>
      <c r="S721" s="986"/>
      <c r="T721" s="986"/>
      <c r="U721" s="202"/>
      <c r="V721" s="202"/>
      <c r="W721" s="202"/>
      <c r="X721" s="278" t="s">
        <v>2922</v>
      </c>
    </row>
    <row r="722" spans="9:61" ht="16" thickTop="1" x14ac:dyDescent="0.2"/>
    <row r="728" spans="9:61" ht="15" customHeight="1" x14ac:dyDescent="0.2"/>
    <row r="730" spans="9:61" ht="15" customHeight="1" x14ac:dyDescent="0.2"/>
    <row r="732" spans="9:61" ht="15" customHeight="1" x14ac:dyDescent="0.2"/>
    <row r="734" spans="9:61" ht="15" customHeight="1" x14ac:dyDescent="0.2">
      <c r="AZ734" s="132"/>
      <c r="BA734" s="132"/>
      <c r="BB734" s="132"/>
      <c r="BC734" s="132"/>
      <c r="BD734" s="132"/>
      <c r="BE734" s="132"/>
      <c r="BF734" s="132"/>
      <c r="BG734" s="132"/>
      <c r="BH734" s="132"/>
      <c r="BI734" s="132"/>
    </row>
    <row r="736" spans="9:61" x14ac:dyDescent="0.2">
      <c r="AX736" s="132"/>
      <c r="AY736" s="132"/>
    </row>
    <row r="741" spans="62:70" x14ac:dyDescent="0.2">
      <c r="BJ741" s="132"/>
      <c r="BK741" s="132"/>
      <c r="BL741" s="132"/>
      <c r="BM741" s="132"/>
      <c r="BN741" s="132"/>
      <c r="BO741" s="132"/>
      <c r="BP741" s="132"/>
      <c r="BQ741" s="132"/>
      <c r="BR741" s="132"/>
    </row>
  </sheetData>
  <sheetProtection algorithmName="SHA-512" hashValue="HNaLU+bKfKAKRAI/TN8WdXi+dLC2gs06t9pTlXLD0DFnQM6NLgBAjIf1s4WQkdmH69oMsWdm+Ij/KjdRjIdK/A==" saltValue="IcDu4sDYjfwIHvL5g7BY+w==" spinCount="100000" sheet="1" objects="1" scenarios="1" selectLockedCells="1"/>
  <mergeCells count="461">
    <mergeCell ref="X678:X679"/>
    <mergeCell ref="X686:X688"/>
    <mergeCell ref="X689:X693"/>
    <mergeCell ref="X694:X698"/>
    <mergeCell ref="X699:X700"/>
    <mergeCell ref="X701:X704"/>
    <mergeCell ref="X705:X708"/>
    <mergeCell ref="X710:X713"/>
    <mergeCell ref="X714:X715"/>
    <mergeCell ref="X612:X615"/>
    <mergeCell ref="X622:X623"/>
    <mergeCell ref="X627:X631"/>
    <mergeCell ref="X632:X638"/>
    <mergeCell ref="X639:X642"/>
    <mergeCell ref="X657:X658"/>
    <mergeCell ref="X659:X660"/>
    <mergeCell ref="X661:X662"/>
    <mergeCell ref="X664:X669"/>
    <mergeCell ref="X541:X543"/>
    <mergeCell ref="X544:X545"/>
    <mergeCell ref="X555:X556"/>
    <mergeCell ref="X559:X569"/>
    <mergeCell ref="X585:X586"/>
    <mergeCell ref="X590:X595"/>
    <mergeCell ref="X605:X606"/>
    <mergeCell ref="X608:X609"/>
    <mergeCell ref="X610:X611"/>
    <mergeCell ref="X579:X581"/>
    <mergeCell ref="X587:X589"/>
    <mergeCell ref="X505:X508"/>
    <mergeCell ref="X509:X511"/>
    <mergeCell ref="X513:X516"/>
    <mergeCell ref="X517:X521"/>
    <mergeCell ref="X522:X526"/>
    <mergeCell ref="X527:X529"/>
    <mergeCell ref="X530:X531"/>
    <mergeCell ref="X532:X534"/>
    <mergeCell ref="X536:X538"/>
    <mergeCell ref="X461:X462"/>
    <mergeCell ref="X463:X464"/>
    <mergeCell ref="X465:X466"/>
    <mergeCell ref="X470:X471"/>
    <mergeCell ref="X472:X473"/>
    <mergeCell ref="X474:X475"/>
    <mergeCell ref="X497:X498"/>
    <mergeCell ref="X494:X496"/>
    <mergeCell ref="X486:X493"/>
    <mergeCell ref="X483:X485"/>
    <mergeCell ref="X479:X480"/>
    <mergeCell ref="X447:X448"/>
    <mergeCell ref="X455:X456"/>
    <mergeCell ref="X459:X460"/>
    <mergeCell ref="X380:X381"/>
    <mergeCell ref="X382:X383"/>
    <mergeCell ref="X384:X385"/>
    <mergeCell ref="X386:X389"/>
    <mergeCell ref="X407:X408"/>
    <mergeCell ref="X409:X410"/>
    <mergeCell ref="X411:X412"/>
    <mergeCell ref="X421:X422"/>
    <mergeCell ref="X423:X425"/>
    <mergeCell ref="X416:X417"/>
    <mergeCell ref="X440:X446"/>
    <mergeCell ref="X318:X319"/>
    <mergeCell ref="X321:X329"/>
    <mergeCell ref="X331:X337"/>
    <mergeCell ref="X426:X427"/>
    <mergeCell ref="X428:X429"/>
    <mergeCell ref="X430:X431"/>
    <mergeCell ref="X437:X438"/>
    <mergeCell ref="X435:X436"/>
    <mergeCell ref="X172:X174"/>
    <mergeCell ref="X175:X176"/>
    <mergeCell ref="X178:X183"/>
    <mergeCell ref="X185:X186"/>
    <mergeCell ref="X187:X190"/>
    <mergeCell ref="X191:X194"/>
    <mergeCell ref="X196:X202"/>
    <mergeCell ref="X295:X301"/>
    <mergeCell ref="X271:X276"/>
    <mergeCell ref="X302:X308"/>
    <mergeCell ref="X309:X312"/>
    <mergeCell ref="X283:X288"/>
    <mergeCell ref="X277:X278"/>
    <mergeCell ref="X265:X267"/>
    <mergeCell ref="M699:M700"/>
    <mergeCell ref="O699:O700"/>
    <mergeCell ref="M701:M704"/>
    <mergeCell ref="O701:O704"/>
    <mergeCell ref="O627:O631"/>
    <mergeCell ref="M627:M631"/>
    <mergeCell ref="M343:M344"/>
    <mergeCell ref="M373:M374"/>
    <mergeCell ref="M375:M376"/>
    <mergeCell ref="M377:M378"/>
    <mergeCell ref="O373:O374"/>
    <mergeCell ref="O375:O376"/>
    <mergeCell ref="O377:O378"/>
    <mergeCell ref="O348:O350"/>
    <mergeCell ref="O343:O344"/>
    <mergeCell ref="M694:M696"/>
    <mergeCell ref="O694:O696"/>
    <mergeCell ref="M686:M688"/>
    <mergeCell ref="O686:O688"/>
    <mergeCell ref="M617:M618"/>
    <mergeCell ref="O617:O618"/>
    <mergeCell ref="M622:M623"/>
    <mergeCell ref="O632:O634"/>
    <mergeCell ref="M635:M636"/>
    <mergeCell ref="W559:W564"/>
    <mergeCell ref="M714:M715"/>
    <mergeCell ref="M710:M713"/>
    <mergeCell ref="O710:O713"/>
    <mergeCell ref="O714:O715"/>
    <mergeCell ref="O705:O706"/>
    <mergeCell ref="M585:M586"/>
    <mergeCell ref="O585:O586"/>
    <mergeCell ref="M664:M665"/>
    <mergeCell ref="O664:O665"/>
    <mergeCell ref="M666:M667"/>
    <mergeCell ref="M668:M669"/>
    <mergeCell ref="O666:O667"/>
    <mergeCell ref="O668:O669"/>
    <mergeCell ref="M689:M693"/>
    <mergeCell ref="O689:O693"/>
    <mergeCell ref="M657:M658"/>
    <mergeCell ref="O657:O658"/>
    <mergeCell ref="M659:M660"/>
    <mergeCell ref="O659:O660"/>
    <mergeCell ref="M661:M662"/>
    <mergeCell ref="O661:O662"/>
    <mergeCell ref="M678:M679"/>
    <mergeCell ref="O678:O679"/>
    <mergeCell ref="M637:M638"/>
    <mergeCell ref="O639:O640"/>
    <mergeCell ref="M594:M595"/>
    <mergeCell ref="M596:M597"/>
    <mergeCell ref="O596:O597"/>
    <mergeCell ref="M608:M609"/>
    <mergeCell ref="O608:O609"/>
    <mergeCell ref="M610:M611"/>
    <mergeCell ref="O610:O611"/>
    <mergeCell ref="M612:M615"/>
    <mergeCell ref="O612:O615"/>
    <mergeCell ref="O536:O538"/>
    <mergeCell ref="M546:M547"/>
    <mergeCell ref="O546:O547"/>
    <mergeCell ref="M559:M564"/>
    <mergeCell ref="O559:O564"/>
    <mergeCell ref="O590:O592"/>
    <mergeCell ref="M541:M543"/>
    <mergeCell ref="O541:O543"/>
    <mergeCell ref="M544:M545"/>
    <mergeCell ref="O544:O545"/>
    <mergeCell ref="M555:M556"/>
    <mergeCell ref="O555:O556"/>
    <mergeCell ref="M576:M578"/>
    <mergeCell ref="O576:O578"/>
    <mergeCell ref="O513:O514"/>
    <mergeCell ref="O517:O519"/>
    <mergeCell ref="O522:O524"/>
    <mergeCell ref="M527:M528"/>
    <mergeCell ref="O527:O528"/>
    <mergeCell ref="M530:M531"/>
    <mergeCell ref="O530:O531"/>
    <mergeCell ref="M532:M534"/>
    <mergeCell ref="O532:O534"/>
    <mergeCell ref="O419:O420"/>
    <mergeCell ref="M447:M448"/>
    <mergeCell ref="O447:O448"/>
    <mergeCell ref="O449:O450"/>
    <mergeCell ref="M476:M477"/>
    <mergeCell ref="O476:O477"/>
    <mergeCell ref="O505:O506"/>
    <mergeCell ref="M509:M510"/>
    <mergeCell ref="O509:O510"/>
    <mergeCell ref="O409:O410"/>
    <mergeCell ref="M411:M412"/>
    <mergeCell ref="O411:O412"/>
    <mergeCell ref="O397:O398"/>
    <mergeCell ref="M380:M381"/>
    <mergeCell ref="O380:O381"/>
    <mergeCell ref="O390:O391"/>
    <mergeCell ref="O386:O389"/>
    <mergeCell ref="M382:M383"/>
    <mergeCell ref="O382:O383"/>
    <mergeCell ref="M384:M385"/>
    <mergeCell ref="O384:O385"/>
    <mergeCell ref="O321:O325"/>
    <mergeCell ref="M245:M249"/>
    <mergeCell ref="O245:O249"/>
    <mergeCell ref="M289:M290"/>
    <mergeCell ref="O289:O290"/>
    <mergeCell ref="M292:M294"/>
    <mergeCell ref="O292:O294"/>
    <mergeCell ref="M407:M408"/>
    <mergeCell ref="O407:O408"/>
    <mergeCell ref="O295:O298"/>
    <mergeCell ref="M309:M310"/>
    <mergeCell ref="O309:O310"/>
    <mergeCell ref="M277:M278"/>
    <mergeCell ref="O277:O278"/>
    <mergeCell ref="M322:M325"/>
    <mergeCell ref="O191:O193"/>
    <mergeCell ref="M196:M201"/>
    <mergeCell ref="X222:X230"/>
    <mergeCell ref="X232:X237"/>
    <mergeCell ref="X238:X244"/>
    <mergeCell ref="X245:X249"/>
    <mergeCell ref="X251:X256"/>
    <mergeCell ref="X257:X259"/>
    <mergeCell ref="X260:X264"/>
    <mergeCell ref="X212:X221"/>
    <mergeCell ref="M212:M216"/>
    <mergeCell ref="O212:O216"/>
    <mergeCell ref="M191:M193"/>
    <mergeCell ref="X203:X211"/>
    <mergeCell ref="L716:L718"/>
    <mergeCell ref="L160:L161"/>
    <mergeCell ref="M160:M161"/>
    <mergeCell ref="L172:L173"/>
    <mergeCell ref="M172:M173"/>
    <mergeCell ref="M175:M176"/>
    <mergeCell ref="L699:L700"/>
    <mergeCell ref="L701:L704"/>
    <mergeCell ref="L705:L706"/>
    <mergeCell ref="L710:L713"/>
    <mergeCell ref="L714:L715"/>
    <mergeCell ref="L678:L679"/>
    <mergeCell ref="L680:L683"/>
    <mergeCell ref="L686:L688"/>
    <mergeCell ref="L689:L693"/>
    <mergeCell ref="L694:L698"/>
    <mergeCell ref="L668:L669"/>
    <mergeCell ref="L676:L677"/>
    <mergeCell ref="L651:L652"/>
    <mergeCell ref="L653:L654"/>
    <mergeCell ref="L657:L658"/>
    <mergeCell ref="M409:M410"/>
    <mergeCell ref="M419:M420"/>
    <mergeCell ref="M536:M538"/>
    <mergeCell ref="L659:L660"/>
    <mergeCell ref="L661:L662"/>
    <mergeCell ref="L627:L631"/>
    <mergeCell ref="L632:L634"/>
    <mergeCell ref="L635:L636"/>
    <mergeCell ref="L637:L638"/>
    <mergeCell ref="L639:L640"/>
    <mergeCell ref="L610:L611"/>
    <mergeCell ref="L612:L615"/>
    <mergeCell ref="L617:L618"/>
    <mergeCell ref="L622:L623"/>
    <mergeCell ref="L625:L626"/>
    <mergeCell ref="L590:L592"/>
    <mergeCell ref="L594:L595"/>
    <mergeCell ref="L596:L598"/>
    <mergeCell ref="L605:L606"/>
    <mergeCell ref="L608:L609"/>
    <mergeCell ref="L559:L564"/>
    <mergeCell ref="L568:L569"/>
    <mergeCell ref="L571:L575"/>
    <mergeCell ref="L582:L584"/>
    <mergeCell ref="L585:L586"/>
    <mergeCell ref="L580:L581"/>
    <mergeCell ref="L588:L589"/>
    <mergeCell ref="L536:L538"/>
    <mergeCell ref="L541:L543"/>
    <mergeCell ref="L544:L545"/>
    <mergeCell ref="L546:L547"/>
    <mergeCell ref="L555:L556"/>
    <mergeCell ref="L517:L519"/>
    <mergeCell ref="L522:L524"/>
    <mergeCell ref="L527:L529"/>
    <mergeCell ref="L530:L531"/>
    <mergeCell ref="L532:L534"/>
    <mergeCell ref="L502:L504"/>
    <mergeCell ref="L505:L506"/>
    <mergeCell ref="L509:L511"/>
    <mergeCell ref="L513:L514"/>
    <mergeCell ref="L488:L489"/>
    <mergeCell ref="L490:L491"/>
    <mergeCell ref="L492:L493"/>
    <mergeCell ref="L494:L496"/>
    <mergeCell ref="L497:L498"/>
    <mergeCell ref="L476:L478"/>
    <mergeCell ref="L479:L480"/>
    <mergeCell ref="L481:L482"/>
    <mergeCell ref="L483:L485"/>
    <mergeCell ref="L486:L487"/>
    <mergeCell ref="L465:L466"/>
    <mergeCell ref="L467:L469"/>
    <mergeCell ref="L470:L471"/>
    <mergeCell ref="L472:L473"/>
    <mergeCell ref="L474:L475"/>
    <mergeCell ref="L453:L454"/>
    <mergeCell ref="L455:L456"/>
    <mergeCell ref="L459:L460"/>
    <mergeCell ref="L461:L462"/>
    <mergeCell ref="L463:L464"/>
    <mergeCell ref="L435:L436"/>
    <mergeCell ref="L437:L438"/>
    <mergeCell ref="L441:L446"/>
    <mergeCell ref="L447:L448"/>
    <mergeCell ref="L449:L450"/>
    <mergeCell ref="L421:L422"/>
    <mergeCell ref="L423:L425"/>
    <mergeCell ref="L426:L427"/>
    <mergeCell ref="L428:L429"/>
    <mergeCell ref="L430:L431"/>
    <mergeCell ref="L331:L337"/>
    <mergeCell ref="L339:L340"/>
    <mergeCell ref="L343:L344"/>
    <mergeCell ref="L348:L350"/>
    <mergeCell ref="L419:L420"/>
    <mergeCell ref="L397:L398"/>
    <mergeCell ref="L405:L406"/>
    <mergeCell ref="L407:L408"/>
    <mergeCell ref="L409:L410"/>
    <mergeCell ref="L411:L412"/>
    <mergeCell ref="L377:L378"/>
    <mergeCell ref="L380:L381"/>
    <mergeCell ref="L384:L385"/>
    <mergeCell ref="L386:L389"/>
    <mergeCell ref="L390:L391"/>
    <mergeCell ref="L353:L354"/>
    <mergeCell ref="L358:L359"/>
    <mergeCell ref="L367:L368"/>
    <mergeCell ref="L373:L374"/>
    <mergeCell ref="L375:L376"/>
    <mergeCell ref="L321:L326"/>
    <mergeCell ref="L292:L294"/>
    <mergeCell ref="L295:L298"/>
    <mergeCell ref="L302:L307"/>
    <mergeCell ref="L309:L310"/>
    <mergeCell ref="L318:L319"/>
    <mergeCell ref="L232:L239"/>
    <mergeCell ref="L245:L249"/>
    <mergeCell ref="L268:L270"/>
    <mergeCell ref="L280:L282"/>
    <mergeCell ref="L289:L290"/>
    <mergeCell ref="L311:L312"/>
    <mergeCell ref="L203:L210"/>
    <mergeCell ref="L222:L230"/>
    <mergeCell ref="L175:L176"/>
    <mergeCell ref="L178:L183"/>
    <mergeCell ref="L185:L186"/>
    <mergeCell ref="L187:L190"/>
    <mergeCell ref="L124:L125"/>
    <mergeCell ref="L220:L221"/>
    <mergeCell ref="L212:L216"/>
    <mergeCell ref="L169:L171"/>
    <mergeCell ref="X95:X96"/>
    <mergeCell ref="X99:X101"/>
    <mergeCell ref="X102:X103"/>
    <mergeCell ref="X104:X106"/>
    <mergeCell ref="X160:X171"/>
    <mergeCell ref="X107:X116"/>
    <mergeCell ref="X133:X136"/>
    <mergeCell ref="X141:X157"/>
    <mergeCell ref="X129:X132"/>
    <mergeCell ref="M12:M17"/>
    <mergeCell ref="X12:X18"/>
    <mergeCell ref="M19:M21"/>
    <mergeCell ref="L19:L21"/>
    <mergeCell ref="M124:M125"/>
    <mergeCell ref="M117:M123"/>
    <mergeCell ref="M107:M116"/>
    <mergeCell ref="X124:X125"/>
    <mergeCell ref="L163:L168"/>
    <mergeCell ref="X117:X123"/>
    <mergeCell ref="L133:L136"/>
    <mergeCell ref="M133:M136"/>
    <mergeCell ref="L137:L139"/>
    <mergeCell ref="L148:L152"/>
    <mergeCell ref="L153:L157"/>
    <mergeCell ref="L107:L113"/>
    <mergeCell ref="L114:L116"/>
    <mergeCell ref="M126:M128"/>
    <mergeCell ref="X126:X128"/>
    <mergeCell ref="L129:L131"/>
    <mergeCell ref="M129:M131"/>
    <mergeCell ref="X86:X89"/>
    <mergeCell ref="X90:X91"/>
    <mergeCell ref="X92:X94"/>
    <mergeCell ref="X4:X5"/>
    <mergeCell ref="Q6:Q7"/>
    <mergeCell ref="X6:X7"/>
    <mergeCell ref="R6:R7"/>
    <mergeCell ref="S6:S7"/>
    <mergeCell ref="T6:T7"/>
    <mergeCell ref="M1:W5"/>
    <mergeCell ref="U6:U7"/>
    <mergeCell ref="V6:V7"/>
    <mergeCell ref="W6:W7"/>
    <mergeCell ref="P6:P7"/>
    <mergeCell ref="M6:M7"/>
    <mergeCell ref="N6:N7"/>
    <mergeCell ref="X78:X80"/>
    <mergeCell ref="X68:X69"/>
    <mergeCell ref="X71:X72"/>
    <mergeCell ref="X76:X77"/>
    <mergeCell ref="X19:X21"/>
    <mergeCell ref="X22:X26"/>
    <mergeCell ref="X28:X30"/>
    <mergeCell ref="X34:X35"/>
    <mergeCell ref="X62:X63"/>
    <mergeCell ref="X59:X61"/>
    <mergeCell ref="X31:X33"/>
    <mergeCell ref="X37:X41"/>
    <mergeCell ref="O178:O183"/>
    <mergeCell ref="M185:M186"/>
    <mergeCell ref="O185:O186"/>
    <mergeCell ref="M187:M189"/>
    <mergeCell ref="O187:O189"/>
    <mergeCell ref="M31:M33"/>
    <mergeCell ref="M37:M41"/>
    <mergeCell ref="M34:M35"/>
    <mergeCell ref="M55:M58"/>
    <mergeCell ref="L99:L101"/>
    <mergeCell ref="L76:L77"/>
    <mergeCell ref="L191:L194"/>
    <mergeCell ref="L196:L202"/>
    <mergeCell ref="M28:M30"/>
    <mergeCell ref="M22:M26"/>
    <mergeCell ref="L68:L69"/>
    <mergeCell ref="L31:L33"/>
    <mergeCell ref="M178:M183"/>
    <mergeCell ref="L64:L66"/>
    <mergeCell ref="L37:L41"/>
    <mergeCell ref="L71:L72"/>
    <mergeCell ref="L146:L147"/>
    <mergeCell ref="L141:L145"/>
    <mergeCell ref="L126:L128"/>
    <mergeCell ref="L104:L106"/>
    <mergeCell ref="L117:L123"/>
    <mergeCell ref="L92:L94"/>
    <mergeCell ref="L86:L89"/>
    <mergeCell ref="X81:X84"/>
    <mergeCell ref="X292:X294"/>
    <mergeCell ref="X546:X547"/>
    <mergeCell ref="X576:X578"/>
    <mergeCell ref="L670:L675"/>
    <mergeCell ref="H1:H7"/>
    <mergeCell ref="I1:L1"/>
    <mergeCell ref="L102:L103"/>
    <mergeCell ref="L78:L79"/>
    <mergeCell ref="L28:L30"/>
    <mergeCell ref="L22:L26"/>
    <mergeCell ref="L34:L35"/>
    <mergeCell ref="L59:L63"/>
    <mergeCell ref="L55:L58"/>
    <mergeCell ref="I2:L2"/>
    <mergeCell ref="I3:L3"/>
    <mergeCell ref="I6:K7"/>
    <mergeCell ref="L12:L17"/>
    <mergeCell ref="I4:L4"/>
    <mergeCell ref="I5:L5"/>
    <mergeCell ref="L90:L91"/>
    <mergeCell ref="L6:L7"/>
    <mergeCell ref="L95:L96"/>
    <mergeCell ref="L81:L84"/>
  </mergeCells>
  <conditionalFormatting sqref="X2">
    <cfRule type="expression" dxfId="4803" priority="1341">
      <formula>$AG$3</formula>
    </cfRule>
  </conditionalFormatting>
  <conditionalFormatting sqref="X3">
    <cfRule type="expression" dxfId="4802" priority="1342">
      <formula>$AI$3</formula>
    </cfRule>
  </conditionalFormatting>
  <conditionalFormatting sqref="W19">
    <cfRule type="expression" dxfId="4801" priority="1313">
      <formula>OR($T$19 = TRUE, AND($W$19 = TRUE, $S$19 = FALSE))</formula>
    </cfRule>
    <cfRule type="expression" dxfId="4800" priority="1314">
      <formula>$S$19 = FALSE</formula>
    </cfRule>
    <cfRule type="expression" dxfId="4799" priority="1315">
      <formula>AND(IF($R$19,$W$19,TRUE),LEN(TRIM($W$19))&gt;0)</formula>
    </cfRule>
    <cfRule type="expression" dxfId="4798" priority="1316">
      <formula>AND($R$19,$S$19)</formula>
    </cfRule>
  </conditionalFormatting>
  <conditionalFormatting sqref="W22">
    <cfRule type="expression" dxfId="4797" priority="1309">
      <formula>OR($T$22 = TRUE, AND(LEN(TRIM($W$22))&gt;0, $S$22 = FALSE))</formula>
    </cfRule>
    <cfRule type="expression" dxfId="4796" priority="1310">
      <formula>$S$22 = FALSE</formula>
    </cfRule>
    <cfRule type="expression" dxfId="4795" priority="1311">
      <formula>AND($W$22&lt;&gt;"Not Met",LEN(TRIM($W$22))&gt;0)</formula>
    </cfRule>
    <cfRule type="expression" dxfId="4794" priority="1312">
      <formula>AND($R$22,$S$22)</formula>
    </cfRule>
  </conditionalFormatting>
  <conditionalFormatting sqref="W38">
    <cfRule type="expression" dxfId="4793" priority="1305">
      <formula>OR($T$38 = TRUE, AND($W$38 = TRUE, $S$38 = FALSE))</formula>
    </cfRule>
    <cfRule type="expression" dxfId="4792" priority="1306">
      <formula>$S$38 = FALSE</formula>
    </cfRule>
    <cfRule type="expression" dxfId="4791" priority="1307">
      <formula>AND(IF($R$38,$W$38,TRUE),LEN(TRIM($W$38))&gt;0)</formula>
    </cfRule>
    <cfRule type="expression" dxfId="4790" priority="1308">
      <formula>AND($R$38,$S$38)</formula>
    </cfRule>
  </conditionalFormatting>
  <conditionalFormatting sqref="W28">
    <cfRule type="expression" dxfId="4789" priority="1276">
      <formula>AND($R$28,$S$28)</formula>
    </cfRule>
  </conditionalFormatting>
  <conditionalFormatting sqref="W28">
    <cfRule type="expression" dxfId="4788" priority="1275">
      <formula>AND(IF($R$28,$W$28,TRUE),LEN(TRIM($W$28))&gt;0)</formula>
    </cfRule>
  </conditionalFormatting>
  <conditionalFormatting sqref="W28">
    <cfRule type="expression" dxfId="4787" priority="1274">
      <formula>$S$28 = FALSE</formula>
    </cfRule>
  </conditionalFormatting>
  <conditionalFormatting sqref="W28">
    <cfRule type="expression" dxfId="4786" priority="1273">
      <formula>OR($T$28 = TRUE, AND($W$28 = TRUE, $S$28 = FALSE))</formula>
    </cfRule>
  </conditionalFormatting>
  <conditionalFormatting sqref="W31">
    <cfRule type="expression" dxfId="4785" priority="1272">
      <formula>AND($R$31,$S$31)</formula>
    </cfRule>
  </conditionalFormatting>
  <conditionalFormatting sqref="W31">
    <cfRule type="expression" dxfId="4784" priority="1271">
      <formula>AND(IF($R$31,$W$31,TRUE),LEN(TRIM($W$31))&gt;0)</formula>
    </cfRule>
  </conditionalFormatting>
  <conditionalFormatting sqref="W31">
    <cfRule type="expression" dxfId="4783" priority="1270">
      <formula>$S$31 = FALSE</formula>
    </cfRule>
  </conditionalFormatting>
  <conditionalFormatting sqref="W31">
    <cfRule type="expression" dxfId="4782" priority="1269">
      <formula>OR($T$31 = TRUE, AND($W$31 = TRUE, $S$31 = FALSE))</formula>
    </cfRule>
  </conditionalFormatting>
  <conditionalFormatting sqref="W34">
    <cfRule type="expression" dxfId="4781" priority="1268">
      <formula>AND($R$34,$S$34)</formula>
    </cfRule>
  </conditionalFormatting>
  <conditionalFormatting sqref="W34">
    <cfRule type="expression" dxfId="4780" priority="1267">
      <formula>AND(IF($R$34,$W$34,TRUE),LEN(TRIM($W$34))&gt;0)</formula>
    </cfRule>
  </conditionalFormatting>
  <conditionalFormatting sqref="W34">
    <cfRule type="expression" dxfId="4779" priority="1266">
      <formula>$S$34 = FALSE</formula>
    </cfRule>
  </conditionalFormatting>
  <conditionalFormatting sqref="W34">
    <cfRule type="expression" dxfId="4778" priority="1265">
      <formula>OR($T$34 = TRUE, AND($W$34 = TRUE, $S$34 = FALSE))</formula>
    </cfRule>
  </conditionalFormatting>
  <conditionalFormatting sqref="W78">
    <cfRule type="expression" dxfId="4777" priority="1256">
      <formula>AND($R$78,$S$78)</formula>
    </cfRule>
  </conditionalFormatting>
  <conditionalFormatting sqref="W78">
    <cfRule type="expression" dxfId="4776" priority="1255">
      <formula>AND(IF($R$78,$W$78,TRUE),LEN(TRIM($W$78))&gt;0)</formula>
    </cfRule>
  </conditionalFormatting>
  <conditionalFormatting sqref="W78">
    <cfRule type="expression" dxfId="4775" priority="1254">
      <formula>$S$78 = FALSE</formula>
    </cfRule>
  </conditionalFormatting>
  <conditionalFormatting sqref="W78">
    <cfRule type="expression" dxfId="4774" priority="1253">
      <formula>OR($T$78 = TRUE, AND($W$78 = TRUE, $S$78 = FALSE))</formula>
    </cfRule>
  </conditionalFormatting>
  <conditionalFormatting sqref="W81">
    <cfRule type="expression" dxfId="4773" priority="1252">
      <formula>AND($R$81,$S$81)</formula>
    </cfRule>
  </conditionalFormatting>
  <conditionalFormatting sqref="W81">
    <cfRule type="expression" dxfId="4772" priority="1251">
      <formula>AND(IF($R$81,$W$81,TRUE),LEN(TRIM($W$81))&gt;0)</formula>
    </cfRule>
  </conditionalFormatting>
  <conditionalFormatting sqref="W81">
    <cfRule type="expression" dxfId="4771" priority="1250">
      <formula>$S$81 = FALSE</formula>
    </cfRule>
  </conditionalFormatting>
  <conditionalFormatting sqref="W81">
    <cfRule type="expression" dxfId="4770" priority="1249">
      <formula>OR($T$81 = TRUE, AND($W$81 = TRUE, $S$81 = FALSE))</formula>
    </cfRule>
  </conditionalFormatting>
  <conditionalFormatting sqref="W117">
    <cfRule type="expression" dxfId="4769" priority="1248">
      <formula>AND($R$117,$S$117)</formula>
    </cfRule>
  </conditionalFormatting>
  <conditionalFormatting sqref="W117">
    <cfRule type="expression" dxfId="4768" priority="1247">
      <formula>AND($W$117&lt;&gt;"Not Met",LEN(TRIM($W$117))&gt;0)</formula>
    </cfRule>
  </conditionalFormatting>
  <conditionalFormatting sqref="W117">
    <cfRule type="expression" dxfId="4767" priority="1246">
      <formula>$S$117 = FALSE</formula>
    </cfRule>
  </conditionalFormatting>
  <conditionalFormatting sqref="W117">
    <cfRule type="expression" dxfId="4766" priority="1245">
      <formula>OR($T$117 = TRUE, AND(LEN(TRIM($W$117))&gt;0, $S$117 = FALSE))</formula>
    </cfRule>
  </conditionalFormatting>
  <conditionalFormatting sqref="W126">
    <cfRule type="expression" dxfId="4765" priority="1244">
      <formula>AND($R$126,$S$126)</formula>
    </cfRule>
  </conditionalFormatting>
  <conditionalFormatting sqref="W126">
    <cfRule type="expression" dxfId="4764" priority="1243">
      <formula>AND(IF($R$126,$W$126,TRUE),LEN(TRIM($W$126))&gt;0)</formula>
    </cfRule>
  </conditionalFormatting>
  <conditionalFormatting sqref="W126">
    <cfRule type="expression" dxfId="4763" priority="1242">
      <formula>$S$126 = FALSE</formula>
    </cfRule>
  </conditionalFormatting>
  <conditionalFormatting sqref="W126">
    <cfRule type="expression" dxfId="4762" priority="1241">
      <formula>OR($T$126 = TRUE, AND($W$126 = TRUE, $S$126 = FALSE))</formula>
    </cfRule>
  </conditionalFormatting>
  <conditionalFormatting sqref="W59">
    <cfRule type="expression" dxfId="4761" priority="894">
      <formula>AND(R59,S59)</formula>
    </cfRule>
  </conditionalFormatting>
  <conditionalFormatting sqref="W59">
    <cfRule type="expression" dxfId="4760" priority="893">
      <formula>NOT(ISBLANK(W59))</formula>
    </cfRule>
  </conditionalFormatting>
  <conditionalFormatting sqref="W59">
    <cfRule type="expression" dxfId="4759" priority="892">
      <formula>S59 = FALSE</formula>
    </cfRule>
  </conditionalFormatting>
  <conditionalFormatting sqref="W59">
    <cfRule type="expression" dxfId="4758" priority="891">
      <formula>OR(T59 = TRUE, AND(W59 = TRUE, S59 = FALSE))</formula>
    </cfRule>
  </conditionalFormatting>
  <conditionalFormatting sqref="X1">
    <cfRule type="expression" dxfId="4757" priority="780">
      <formula>startError</formula>
    </cfRule>
  </conditionalFormatting>
  <conditionalFormatting sqref="W62">
    <cfRule type="expression" dxfId="4756" priority="779">
      <formula>AND(R62,S62)</formula>
    </cfRule>
  </conditionalFormatting>
  <conditionalFormatting sqref="W62">
    <cfRule type="expression" dxfId="4755" priority="778">
      <formula>NOT(ISBLANK(W62))</formula>
    </cfRule>
  </conditionalFormatting>
  <conditionalFormatting sqref="W62">
    <cfRule type="expression" dxfId="4754" priority="777">
      <formula>S62 = FALSE</formula>
    </cfRule>
  </conditionalFormatting>
  <conditionalFormatting sqref="W62">
    <cfRule type="expression" dxfId="4753" priority="776">
      <formula>OR(T62 = TRUE, AND(W62 = TRUE, S62 = FALSE))</formula>
    </cfRule>
  </conditionalFormatting>
  <conditionalFormatting sqref="I1">
    <cfRule type="expression" dxfId="4752" priority="768">
      <formula>$AG$1="Gold"</formula>
    </cfRule>
    <cfRule type="expression" dxfId="4751" priority="769">
      <formula>$AG$1="Silver"</formula>
    </cfRule>
    <cfRule type="expression" dxfId="4750" priority="770">
      <formula>$AG$1="Bronze"</formula>
    </cfRule>
    <cfRule type="expression" dxfId="4749" priority="771">
      <formula>$AG$1="Emerald"</formula>
    </cfRule>
  </conditionalFormatting>
  <conditionalFormatting sqref="W12">
    <cfRule type="expression" dxfId="4748" priority="737">
      <formula>OR($T$12 = TRUE, AND($W$12 = TRUE, $S$12 = FALSE))</formula>
    </cfRule>
    <cfRule type="expression" dxfId="4747" priority="738">
      <formula>$S$12 = FALSE</formula>
    </cfRule>
    <cfRule type="expression" dxfId="4746" priority="739">
      <formula>AND(IF($R$12,$W$12,TRUE),LEN(TRIM($W$12))&gt;0)</formula>
    </cfRule>
    <cfRule type="expression" dxfId="4745" priority="740">
      <formula>AND($R$12,$S$12)</formula>
    </cfRule>
  </conditionalFormatting>
  <conditionalFormatting sqref="W124">
    <cfRule type="expression" dxfId="4744" priority="720">
      <formula>AND($R$124,$S$124)</formula>
    </cfRule>
  </conditionalFormatting>
  <conditionalFormatting sqref="W124">
    <cfRule type="expression" dxfId="4743" priority="719">
      <formula>AND(IF($R$124,$W$124,TRUE),LEN(TRIM($W$124))&gt;0)</formula>
    </cfRule>
  </conditionalFormatting>
  <conditionalFormatting sqref="W124">
    <cfRule type="expression" dxfId="4742" priority="718">
      <formula>$S$124 = FALSE</formula>
    </cfRule>
  </conditionalFormatting>
  <conditionalFormatting sqref="W124">
    <cfRule type="expression" dxfId="4741" priority="717">
      <formula>OR($T$124 = TRUE, AND($W$124 = TRUE, $S$124 = FALSE))</formula>
    </cfRule>
  </conditionalFormatting>
  <conditionalFormatting sqref="W178">
    <cfRule type="expression" dxfId="4740" priority="704">
      <formula>AND($R$178,$S$178)</formula>
    </cfRule>
  </conditionalFormatting>
  <conditionalFormatting sqref="W178">
    <cfRule type="expression" dxfId="4739" priority="703">
      <formula>AND(IF($R$178,$W$178,TRUE),LEN(TRIM($W$178))&gt;0)</formula>
    </cfRule>
  </conditionalFormatting>
  <conditionalFormatting sqref="W178">
    <cfRule type="expression" dxfId="4738" priority="702">
      <formula>$S$178 = FALSE</formula>
    </cfRule>
  </conditionalFormatting>
  <conditionalFormatting sqref="W178">
    <cfRule type="expression" dxfId="4737" priority="701">
      <formula>OR($T$178 = TRUE, AND($W$178 = TRUE, $S$178 = FALSE))</formula>
    </cfRule>
  </conditionalFormatting>
  <conditionalFormatting sqref="W187">
    <cfRule type="expression" dxfId="4736" priority="700">
      <formula>AND($R$187,$S$187)</formula>
    </cfRule>
  </conditionalFormatting>
  <conditionalFormatting sqref="W187">
    <cfRule type="expression" dxfId="4735" priority="699">
      <formula>AND(IF($R$187,$W$187,TRUE),LEN(TRIM($W$187))&gt;0)</formula>
    </cfRule>
  </conditionalFormatting>
  <conditionalFormatting sqref="W187">
    <cfRule type="expression" dxfId="4734" priority="698">
      <formula>$S$187 = FALSE</formula>
    </cfRule>
  </conditionalFormatting>
  <conditionalFormatting sqref="W187">
    <cfRule type="expression" dxfId="4733" priority="697">
      <formula>OR($T$187 = TRUE, AND($W$187 = TRUE, $S$187 = FALSE))</formula>
    </cfRule>
  </conditionalFormatting>
  <conditionalFormatting sqref="W245">
    <cfRule type="expression" dxfId="4732" priority="692">
      <formula>AND($R$245,$S$245)</formula>
    </cfRule>
  </conditionalFormatting>
  <conditionalFormatting sqref="W245">
    <cfRule type="expression" dxfId="4731" priority="691">
      <formula>AND(IF($R$245,$W$245,TRUE),LEN(TRIM($W$245))&gt;0)</formula>
    </cfRule>
  </conditionalFormatting>
  <conditionalFormatting sqref="W245">
    <cfRule type="expression" dxfId="4730" priority="690">
      <formula>$S$245 = FALSE</formula>
    </cfRule>
  </conditionalFormatting>
  <conditionalFormatting sqref="W245">
    <cfRule type="expression" dxfId="4729" priority="689">
      <formula>OR($T$245 = TRUE, AND($W$245 = TRUE, $S$245 = FALSE))</formula>
    </cfRule>
  </conditionalFormatting>
  <conditionalFormatting sqref="W289">
    <cfRule type="expression" dxfId="4728" priority="688">
      <formula>AND($R$289,$S$289)</formula>
    </cfRule>
  </conditionalFormatting>
  <conditionalFormatting sqref="W289">
    <cfRule type="expression" dxfId="4727" priority="687">
      <formula>AND(IF($R$289,$W$289,TRUE),LEN(TRIM($W$289))&gt;0)</formula>
    </cfRule>
  </conditionalFormatting>
  <conditionalFormatting sqref="W289">
    <cfRule type="expression" dxfId="4726" priority="686">
      <formula>$S$289 = FALSE</formula>
    </cfRule>
  </conditionalFormatting>
  <conditionalFormatting sqref="W289">
    <cfRule type="expression" dxfId="4725" priority="685">
      <formula>OR($T$289 = TRUE, AND($W$289 = TRUE, $S$289 = FALSE))</formula>
    </cfRule>
  </conditionalFormatting>
  <conditionalFormatting sqref="W292">
    <cfRule type="expression" dxfId="4724" priority="684">
      <formula>AND($R$292,$S$292)</formula>
    </cfRule>
  </conditionalFormatting>
  <conditionalFormatting sqref="W292">
    <cfRule type="expression" dxfId="4723" priority="683">
      <formula>AND(IF($R$292,$W$292,TRUE),LEN(TRIM($W$292))&gt;0)</formula>
    </cfRule>
  </conditionalFormatting>
  <conditionalFormatting sqref="W292">
    <cfRule type="expression" dxfId="4722" priority="682">
      <formula>$S$292 = FALSE</formula>
    </cfRule>
  </conditionalFormatting>
  <conditionalFormatting sqref="W292">
    <cfRule type="expression" dxfId="4721" priority="681">
      <formula>OR($T$292 = TRUE, AND($W$292 = TRUE, $S$292 = FALSE))</formula>
    </cfRule>
  </conditionalFormatting>
  <conditionalFormatting sqref="W302">
    <cfRule type="expression" dxfId="4720" priority="680">
      <formula>AND($R$302,$S$302)</formula>
    </cfRule>
  </conditionalFormatting>
  <conditionalFormatting sqref="W302">
    <cfRule type="expression" dxfId="4719" priority="679">
      <formula>AND(IF($R$302,$W$302,TRUE),LEN(TRIM($W$302))&gt;0)</formula>
    </cfRule>
  </conditionalFormatting>
  <conditionalFormatting sqref="W302">
    <cfRule type="expression" dxfId="4718" priority="678">
      <formula>$S$302 = FALSE</formula>
    </cfRule>
  </conditionalFormatting>
  <conditionalFormatting sqref="W302">
    <cfRule type="expression" dxfId="4717" priority="677">
      <formula>OR($T$302 = TRUE, AND($W$302 = TRUE, $S$302 = FALSE))</formula>
    </cfRule>
  </conditionalFormatting>
  <conditionalFormatting sqref="W309">
    <cfRule type="expression" dxfId="4716" priority="676">
      <formula>AND($R$309,$S$309)</formula>
    </cfRule>
  </conditionalFormatting>
  <conditionalFormatting sqref="W309">
    <cfRule type="expression" dxfId="4715" priority="675">
      <formula>AND(IF($R$309,$W$309,TRUE),LEN(TRIM($W$309))&gt;0)</formula>
    </cfRule>
  </conditionalFormatting>
  <conditionalFormatting sqref="W309">
    <cfRule type="expression" dxfId="4714" priority="674">
      <formula>$S$309 = FALSE</formula>
    </cfRule>
  </conditionalFormatting>
  <conditionalFormatting sqref="W309">
    <cfRule type="expression" dxfId="4713" priority="673">
      <formula>OR($T$309 = TRUE, AND($W$309 = TRUE, $S$309 = FALSE))</formula>
    </cfRule>
  </conditionalFormatting>
  <conditionalFormatting sqref="W314">
    <cfRule type="expression" dxfId="4712" priority="672">
      <formula>AND($R$314,$S$314)</formula>
    </cfRule>
  </conditionalFormatting>
  <conditionalFormatting sqref="W314">
    <cfRule type="expression" dxfId="4711" priority="671">
      <formula>AND(IF($R$314,$W$314,TRUE),LEN(TRIM($W$314))&gt;0)</formula>
    </cfRule>
  </conditionalFormatting>
  <conditionalFormatting sqref="W314">
    <cfRule type="expression" dxfId="4710" priority="670">
      <formula>$S$314 = FALSE</formula>
    </cfRule>
  </conditionalFormatting>
  <conditionalFormatting sqref="W314">
    <cfRule type="expression" dxfId="4709" priority="669">
      <formula>OR($T$314 = TRUE, AND($W$314 = TRUE, $S$314 = FALSE))</formula>
    </cfRule>
  </conditionalFormatting>
  <conditionalFormatting sqref="W315">
    <cfRule type="expression" dxfId="4708" priority="668">
      <formula>AND($R$315,$S$315)</formula>
    </cfRule>
  </conditionalFormatting>
  <conditionalFormatting sqref="W315">
    <cfRule type="expression" dxfId="4707" priority="667">
      <formula>AND(IF($R$315,$W$315,TRUE),LEN(TRIM($W$315))&gt;0)</formula>
    </cfRule>
  </conditionalFormatting>
  <conditionalFormatting sqref="W315">
    <cfRule type="expression" dxfId="4706" priority="666">
      <formula>$S$315 = FALSE</formula>
    </cfRule>
  </conditionalFormatting>
  <conditionalFormatting sqref="W315">
    <cfRule type="expression" dxfId="4705" priority="665">
      <formula>OR($T$315 = TRUE, AND($W$315 = TRUE, $S$315 = FALSE))</formula>
    </cfRule>
  </conditionalFormatting>
  <conditionalFormatting sqref="W317">
    <cfRule type="expression" dxfId="4704" priority="664">
      <formula>AND($R$317,$S$317)</formula>
    </cfRule>
  </conditionalFormatting>
  <conditionalFormatting sqref="W317">
    <cfRule type="expression" dxfId="4703" priority="663">
      <formula>AND(IF($R$317,$W$317,TRUE),LEN(TRIM($W$317))&gt;0)</formula>
    </cfRule>
  </conditionalFormatting>
  <conditionalFormatting sqref="W317">
    <cfRule type="expression" dxfId="4702" priority="662">
      <formula>$S$317 = FALSE</formula>
    </cfRule>
  </conditionalFormatting>
  <conditionalFormatting sqref="W317">
    <cfRule type="expression" dxfId="4701" priority="661">
      <formula>OR($T$317 = TRUE, AND($W$317 = TRUE, $S$317 = FALSE))</formula>
    </cfRule>
  </conditionalFormatting>
  <conditionalFormatting sqref="W318">
    <cfRule type="expression" dxfId="4700" priority="660">
      <formula>AND($R$318,$S$318)</formula>
    </cfRule>
  </conditionalFormatting>
  <conditionalFormatting sqref="W318">
    <cfRule type="expression" dxfId="4699" priority="659">
      <formula>AND(IF($R$318,$W$318,TRUE),LEN(TRIM($W$318))&gt;0)</formula>
    </cfRule>
  </conditionalFormatting>
  <conditionalFormatting sqref="W318">
    <cfRule type="expression" dxfId="4698" priority="658">
      <formula>$S$318 = FALSE</formula>
    </cfRule>
  </conditionalFormatting>
  <conditionalFormatting sqref="W318">
    <cfRule type="expression" dxfId="4697" priority="657">
      <formula>OR($T$318 = TRUE, AND($W$318 = TRUE, $S$318 = FALSE))</formula>
    </cfRule>
  </conditionalFormatting>
  <conditionalFormatting sqref="W320">
    <cfRule type="expression" dxfId="4696" priority="656">
      <formula>AND($R$320,$S$320)</formula>
    </cfRule>
  </conditionalFormatting>
  <conditionalFormatting sqref="W320">
    <cfRule type="expression" dxfId="4695" priority="655">
      <formula>AND(IF($R$320,$W$320,TRUE),LEN(TRIM($W$320))&gt;0)</formula>
    </cfRule>
  </conditionalFormatting>
  <conditionalFormatting sqref="W320">
    <cfRule type="expression" dxfId="4694" priority="654">
      <formula>$S$320 = FALSE</formula>
    </cfRule>
  </conditionalFormatting>
  <conditionalFormatting sqref="W320">
    <cfRule type="expression" dxfId="4693" priority="653">
      <formula>OR($T$320 = TRUE, AND($W$320 = TRUE, $S$320 = FALSE))</formula>
    </cfRule>
  </conditionalFormatting>
  <conditionalFormatting sqref="W380">
    <cfRule type="expression" dxfId="4692" priority="652">
      <formula>AND($R$380,$S$380)</formula>
    </cfRule>
  </conditionalFormatting>
  <conditionalFormatting sqref="W380">
    <cfRule type="expression" dxfId="4691" priority="651">
      <formula>AND(IF($R$380,$W$380,TRUE),LEN(TRIM($W$380))&gt;0)</formula>
    </cfRule>
  </conditionalFormatting>
  <conditionalFormatting sqref="W380">
    <cfRule type="expression" dxfId="4690" priority="650">
      <formula>$S$380 = FALSE</formula>
    </cfRule>
  </conditionalFormatting>
  <conditionalFormatting sqref="W380">
    <cfRule type="expression" dxfId="4689" priority="649">
      <formula>OR($T$380 = TRUE, AND($W$380 = TRUE, $S$380 = FALSE))</formula>
    </cfRule>
  </conditionalFormatting>
  <conditionalFormatting sqref="W382">
    <cfRule type="expression" dxfId="4688" priority="648">
      <formula>AND($R$382,$S$382)</formula>
    </cfRule>
  </conditionalFormatting>
  <conditionalFormatting sqref="W382">
    <cfRule type="expression" dxfId="4687" priority="647">
      <formula>AND(IF($R$382,$W$382,TRUE),LEN(TRIM($W$382))&gt;0)</formula>
    </cfRule>
  </conditionalFormatting>
  <conditionalFormatting sqref="W382">
    <cfRule type="expression" dxfId="4686" priority="646">
      <formula>$S$382 = FALSE</formula>
    </cfRule>
  </conditionalFormatting>
  <conditionalFormatting sqref="W382">
    <cfRule type="expression" dxfId="4685" priority="645">
      <formula>OR($T$382 = TRUE, AND($W$382 = TRUE, $S$382 = FALSE))</formula>
    </cfRule>
  </conditionalFormatting>
  <conditionalFormatting sqref="W384">
    <cfRule type="expression" dxfId="4684" priority="644">
      <formula>AND($R$384,$S$384)</formula>
    </cfRule>
  </conditionalFormatting>
  <conditionalFormatting sqref="W384">
    <cfRule type="expression" dxfId="4683" priority="643">
      <formula>AND(IF($R$384,$W$384,TRUE),LEN(TRIM($W$384))&gt;0)</formula>
    </cfRule>
  </conditionalFormatting>
  <conditionalFormatting sqref="W384">
    <cfRule type="expression" dxfId="4682" priority="642">
      <formula>$S$384 = FALSE</formula>
    </cfRule>
  </conditionalFormatting>
  <conditionalFormatting sqref="W384">
    <cfRule type="expression" dxfId="4681" priority="641">
      <formula>OR($T$384 = TRUE, AND($W$384 = TRUE, $S$384 = FALSE))</formula>
    </cfRule>
  </conditionalFormatting>
  <conditionalFormatting sqref="W407">
    <cfRule type="expression" dxfId="4680" priority="640">
      <formula>AND($R$407,$S$407)</formula>
    </cfRule>
  </conditionalFormatting>
  <conditionalFormatting sqref="W407">
    <cfRule type="expression" dxfId="4679" priority="639">
      <formula>AND(IF($R$407,$W$407,TRUE),LEN(TRIM($W$407))&gt;0)</formula>
    </cfRule>
  </conditionalFormatting>
  <conditionalFormatting sqref="W407">
    <cfRule type="expression" dxfId="4678" priority="638">
      <formula>$S$407 = FALSE</formula>
    </cfRule>
  </conditionalFormatting>
  <conditionalFormatting sqref="W407">
    <cfRule type="expression" dxfId="4677" priority="637">
      <formula>OR($T$407 = TRUE, AND($W$407 = TRUE, $S$407 = FALSE))</formula>
    </cfRule>
  </conditionalFormatting>
  <conditionalFormatting sqref="W409">
    <cfRule type="expression" dxfId="4676" priority="632">
      <formula>AND($R$409,$S$409)</formula>
    </cfRule>
  </conditionalFormatting>
  <conditionalFormatting sqref="W409">
    <cfRule type="expression" dxfId="4675" priority="631">
      <formula>AND(IF($R$409,$W$409,TRUE),LEN(TRIM($W$409))&gt;0)</formula>
    </cfRule>
  </conditionalFormatting>
  <conditionalFormatting sqref="W409">
    <cfRule type="expression" dxfId="4674" priority="630">
      <formula>$S$409 = FALSE</formula>
    </cfRule>
  </conditionalFormatting>
  <conditionalFormatting sqref="W409">
    <cfRule type="expression" dxfId="4673" priority="629">
      <formula>OR($T$409 = TRUE, AND($W$409 = TRUE, $S$409 = FALSE))</formula>
    </cfRule>
  </conditionalFormatting>
  <conditionalFormatting sqref="W411">
    <cfRule type="expression" dxfId="4672" priority="628">
      <formula>AND($R$411,$S$411)</formula>
    </cfRule>
  </conditionalFormatting>
  <conditionalFormatting sqref="W411">
    <cfRule type="expression" dxfId="4671" priority="627">
      <formula>AND(IF($R$411,$W$411,TRUE),LEN(TRIM($W$411))&gt;0)</formula>
    </cfRule>
  </conditionalFormatting>
  <conditionalFormatting sqref="W411">
    <cfRule type="expression" dxfId="4670" priority="626">
      <formula>$S$411 = FALSE</formula>
    </cfRule>
  </conditionalFormatting>
  <conditionalFormatting sqref="W411">
    <cfRule type="expression" dxfId="4669" priority="625">
      <formula>OR($T$411 = TRUE, AND($W$411 = TRUE, $S$411 = FALSE))</formula>
    </cfRule>
  </conditionalFormatting>
  <conditionalFormatting sqref="W414">
    <cfRule type="expression" dxfId="4668" priority="624">
      <formula>AND($R$414,$S$414)</formula>
    </cfRule>
  </conditionalFormatting>
  <conditionalFormatting sqref="W414">
    <cfRule type="expression" dxfId="4667" priority="623">
      <formula>AND(IF($R$414,$W$414,TRUE),LEN(TRIM($W$414))&gt;0)</formula>
    </cfRule>
  </conditionalFormatting>
  <conditionalFormatting sqref="W414">
    <cfRule type="expression" dxfId="4666" priority="622">
      <formula>$S$414 = FALSE</formula>
    </cfRule>
  </conditionalFormatting>
  <conditionalFormatting sqref="W414">
    <cfRule type="expression" dxfId="4665" priority="621">
      <formula>OR($T$414 = TRUE, AND($W$414 = TRUE, $S$414 = FALSE))</formula>
    </cfRule>
  </conditionalFormatting>
  <conditionalFormatting sqref="W415">
    <cfRule type="expression" dxfId="4664" priority="620">
      <formula>AND($R$415,$S$415)</formula>
    </cfRule>
  </conditionalFormatting>
  <conditionalFormatting sqref="W415">
    <cfRule type="expression" dxfId="4663" priority="619">
      <formula>AND(IF($R$415,$W$415,TRUE),LEN(TRIM($W$415))&gt;0)</formula>
    </cfRule>
  </conditionalFormatting>
  <conditionalFormatting sqref="W415">
    <cfRule type="expression" dxfId="4662" priority="618">
      <formula>$S$415 = FALSE</formula>
    </cfRule>
  </conditionalFormatting>
  <conditionalFormatting sqref="W415">
    <cfRule type="expression" dxfId="4661" priority="617">
      <formula>OR($T$415 = TRUE, AND($W$415 = TRUE, $S$415 = FALSE))</formula>
    </cfRule>
  </conditionalFormatting>
  <conditionalFormatting sqref="W416">
    <cfRule type="expression" dxfId="4660" priority="616">
      <formula>AND($R$416,$S$416)</formula>
    </cfRule>
  </conditionalFormatting>
  <conditionalFormatting sqref="W416">
    <cfRule type="expression" dxfId="4659" priority="615">
      <formula>AND(IF($R$416,$W$416,TRUE),LEN(TRIM($W$416))&gt;0)</formula>
    </cfRule>
  </conditionalFormatting>
  <conditionalFormatting sqref="W416">
    <cfRule type="expression" dxfId="4658" priority="614">
      <formula>$S$416 = FALSE</formula>
    </cfRule>
  </conditionalFormatting>
  <conditionalFormatting sqref="W416">
    <cfRule type="expression" dxfId="4657" priority="613">
      <formula>OR($T$416 = TRUE, AND($W$416 = TRUE, $S$416 = FALSE))</formula>
    </cfRule>
  </conditionalFormatting>
  <conditionalFormatting sqref="W419">
    <cfRule type="expression" dxfId="4656" priority="612">
      <formula>AND($R$419,$S$419)</formula>
    </cfRule>
  </conditionalFormatting>
  <conditionalFormatting sqref="W419">
    <cfRule type="expression" dxfId="4655" priority="611">
      <formula>AND(IF($R$419,$W$419,TRUE),LEN(TRIM($W$419))&gt;0)</formula>
    </cfRule>
  </conditionalFormatting>
  <conditionalFormatting sqref="W419">
    <cfRule type="expression" dxfId="4654" priority="610">
      <formula>$S$419 = FALSE</formula>
    </cfRule>
  </conditionalFormatting>
  <conditionalFormatting sqref="W419">
    <cfRule type="expression" dxfId="4653" priority="609">
      <formula>OR($T$419 = TRUE, AND($W$419 = TRUE, $S$419 = FALSE))</formula>
    </cfRule>
  </conditionalFormatting>
  <conditionalFormatting sqref="W447">
    <cfRule type="expression" dxfId="4652" priority="608">
      <formula>AND($R$447,$S$447)</formula>
    </cfRule>
  </conditionalFormatting>
  <conditionalFormatting sqref="W447">
    <cfRule type="expression" dxfId="4651" priority="607">
      <formula>AND(IF($R$447,$W$447,TRUE),LEN(TRIM($W$447))&gt;0)</formula>
    </cfRule>
  </conditionalFormatting>
  <conditionalFormatting sqref="W447">
    <cfRule type="expression" dxfId="4650" priority="606">
      <formula>$S$447 = FALSE</formula>
    </cfRule>
  </conditionalFormatting>
  <conditionalFormatting sqref="W447">
    <cfRule type="expression" dxfId="4649" priority="605">
      <formula>OR($T$447 = TRUE, AND($W$447 = TRUE, $S$447 = FALSE))</formula>
    </cfRule>
  </conditionalFormatting>
  <conditionalFormatting sqref="W455">
    <cfRule type="expression" dxfId="4648" priority="604">
      <formula>AND($R$455,$S$455)</formula>
    </cfRule>
  </conditionalFormatting>
  <conditionalFormatting sqref="W455">
    <cfRule type="expression" dxfId="4647" priority="603">
      <formula>AND(IF($R$455,$W$455,TRUE),LEN(TRIM($W$455))&gt;0)</formula>
    </cfRule>
  </conditionalFormatting>
  <conditionalFormatting sqref="W455">
    <cfRule type="expression" dxfId="4646" priority="602">
      <formula>$S$455 = FALSE</formula>
    </cfRule>
  </conditionalFormatting>
  <conditionalFormatting sqref="W455">
    <cfRule type="expression" dxfId="4645" priority="601">
      <formula>OR($T$455 = TRUE, AND($W$455 = TRUE, $S$455 = FALSE))</formula>
    </cfRule>
  </conditionalFormatting>
  <conditionalFormatting sqref="W457">
    <cfRule type="expression" dxfId="4644" priority="600">
      <formula>AND($R$457,$S$457)</formula>
    </cfRule>
  </conditionalFormatting>
  <conditionalFormatting sqref="W457">
    <cfRule type="expression" dxfId="4643" priority="599">
      <formula>AND(IF($R$457,$W$457,TRUE),LEN(TRIM($W$457))&gt;0)</formula>
    </cfRule>
  </conditionalFormatting>
  <conditionalFormatting sqref="W457">
    <cfRule type="expression" dxfId="4642" priority="598">
      <formula>$S$457 = FALSE</formula>
    </cfRule>
  </conditionalFormatting>
  <conditionalFormatting sqref="W457">
    <cfRule type="expression" dxfId="4641" priority="597">
      <formula>OR($T$457 = TRUE, AND($W$457 = TRUE, $S$457 = FALSE))</formula>
    </cfRule>
  </conditionalFormatting>
  <conditionalFormatting sqref="W458">
    <cfRule type="expression" dxfId="4640" priority="596">
      <formula>AND($R$458,$S$458)</formula>
    </cfRule>
  </conditionalFormatting>
  <conditionalFormatting sqref="W458">
    <cfRule type="expression" dxfId="4639" priority="595">
      <formula>AND(IF($R$458,$W$458,TRUE),LEN(TRIM($W$458))&gt;0)</formula>
    </cfRule>
  </conditionalFormatting>
  <conditionalFormatting sqref="W458">
    <cfRule type="expression" dxfId="4638" priority="594">
      <formula>$S$458 = FALSE</formula>
    </cfRule>
  </conditionalFormatting>
  <conditionalFormatting sqref="W458">
    <cfRule type="expression" dxfId="4637" priority="593">
      <formula>OR($T$458 = TRUE, AND($W$458 = TRUE, $S$458 = FALSE))</formula>
    </cfRule>
  </conditionalFormatting>
  <conditionalFormatting sqref="W459">
    <cfRule type="expression" dxfId="4636" priority="592">
      <formula>AND($R$459,$S$459)</formula>
    </cfRule>
  </conditionalFormatting>
  <conditionalFormatting sqref="W459">
    <cfRule type="expression" dxfId="4635" priority="591">
      <formula>AND(IF($R$459,$W$459,TRUE),LEN(TRIM($W$459))&gt;0)</formula>
    </cfRule>
  </conditionalFormatting>
  <conditionalFormatting sqref="W459">
    <cfRule type="expression" dxfId="4634" priority="590">
      <formula>$S$459 = FALSE</formula>
    </cfRule>
  </conditionalFormatting>
  <conditionalFormatting sqref="W459">
    <cfRule type="expression" dxfId="4633" priority="589">
      <formula>OR($T$459 = TRUE, AND($W$459 = TRUE, $S$459 = FALSE))</formula>
    </cfRule>
  </conditionalFormatting>
  <conditionalFormatting sqref="W461">
    <cfRule type="expression" dxfId="4632" priority="588">
      <formula>AND($R$461,$S$461)</formula>
    </cfRule>
  </conditionalFormatting>
  <conditionalFormatting sqref="W461">
    <cfRule type="expression" dxfId="4631" priority="587">
      <formula>AND(IF($R$461,$W$461,TRUE),LEN(TRIM($W$461))&gt;0)</formula>
    </cfRule>
  </conditionalFormatting>
  <conditionalFormatting sqref="W461">
    <cfRule type="expression" dxfId="4630" priority="586">
      <formula>$S$461 = FALSE</formula>
    </cfRule>
  </conditionalFormatting>
  <conditionalFormatting sqref="W461">
    <cfRule type="expression" dxfId="4629" priority="585">
      <formula>OR($T$461 = TRUE, AND($W$461 = TRUE, $S$461 = FALSE))</formula>
    </cfRule>
  </conditionalFormatting>
  <conditionalFormatting sqref="W463">
    <cfRule type="expression" dxfId="4628" priority="584">
      <formula>AND($R$463,$S$463)</formula>
    </cfRule>
  </conditionalFormatting>
  <conditionalFormatting sqref="W463">
    <cfRule type="expression" dxfId="4627" priority="583">
      <formula>AND(IF($R$463,$W$463,TRUE),LEN(TRIM($W$463))&gt;0)</formula>
    </cfRule>
  </conditionalFormatting>
  <conditionalFormatting sqref="W463">
    <cfRule type="expression" dxfId="4626" priority="582">
      <formula>$S$463 = FALSE</formula>
    </cfRule>
  </conditionalFormatting>
  <conditionalFormatting sqref="W463">
    <cfRule type="expression" dxfId="4625" priority="581">
      <formula>OR($T$463 = TRUE, AND($W$463 = TRUE, $S$463 = FALSE))</formula>
    </cfRule>
  </conditionalFormatting>
  <conditionalFormatting sqref="W465">
    <cfRule type="expression" dxfId="4624" priority="580">
      <formula>AND($R$465,$S$465)</formula>
    </cfRule>
  </conditionalFormatting>
  <conditionalFormatting sqref="W465">
    <cfRule type="expression" dxfId="4623" priority="579">
      <formula>AND(IF($R$465,$W$465,TRUE),LEN(TRIM($W$465))&gt;0)</formula>
    </cfRule>
  </conditionalFormatting>
  <conditionalFormatting sqref="W465">
    <cfRule type="expression" dxfId="4622" priority="578">
      <formula>$S$465 = FALSE</formula>
    </cfRule>
  </conditionalFormatting>
  <conditionalFormatting sqref="W465">
    <cfRule type="expression" dxfId="4621" priority="577">
      <formula>OR($T$465 = TRUE, AND($W$465 = TRUE, $S$465 = FALSE))</formula>
    </cfRule>
  </conditionalFormatting>
  <conditionalFormatting sqref="W470">
    <cfRule type="expression" dxfId="4620" priority="576">
      <formula>AND($R$470,$S$470)</formula>
    </cfRule>
  </conditionalFormatting>
  <conditionalFormatting sqref="W470">
    <cfRule type="expression" dxfId="4619" priority="575">
      <formula>AND(IF($R$470,$W$470,TRUE),LEN(TRIM($W$470))&gt;0)</formula>
    </cfRule>
  </conditionalFormatting>
  <conditionalFormatting sqref="W470">
    <cfRule type="expression" dxfId="4618" priority="574">
      <formula>$S$470 = FALSE</formula>
    </cfRule>
  </conditionalFormatting>
  <conditionalFormatting sqref="W470">
    <cfRule type="expression" dxfId="4617" priority="573">
      <formula>OR($T$470 = TRUE, AND($W$470 = TRUE, $S$470 = FALSE))</formula>
    </cfRule>
  </conditionalFormatting>
  <conditionalFormatting sqref="W472">
    <cfRule type="expression" dxfId="4616" priority="572">
      <formula>AND($R$472,$S$472)</formula>
    </cfRule>
  </conditionalFormatting>
  <conditionalFormatting sqref="W472">
    <cfRule type="expression" dxfId="4615" priority="571">
      <formula>AND(IF($R$472,$W$472,TRUE),LEN(TRIM($W$472))&gt;0)</formula>
    </cfRule>
  </conditionalFormatting>
  <conditionalFormatting sqref="W472">
    <cfRule type="expression" dxfId="4614" priority="570">
      <formula>$S$472 = FALSE</formula>
    </cfRule>
  </conditionalFormatting>
  <conditionalFormatting sqref="W472">
    <cfRule type="expression" dxfId="4613" priority="569">
      <formula>OR($T$472 = TRUE, AND($W$472 = TRUE, $S$472 = FALSE))</formula>
    </cfRule>
  </conditionalFormatting>
  <conditionalFormatting sqref="W474">
    <cfRule type="expression" dxfId="4612" priority="568">
      <formula>AND($R$474,$S$474)</formula>
    </cfRule>
  </conditionalFormatting>
  <conditionalFormatting sqref="W474">
    <cfRule type="expression" dxfId="4611" priority="567">
      <formula>AND(IF($R$474,$W$474,TRUE),LEN(TRIM($W$474))&gt;0)</formula>
    </cfRule>
  </conditionalFormatting>
  <conditionalFormatting sqref="W474">
    <cfRule type="expression" dxfId="4610" priority="566">
      <formula>$S$474 = FALSE</formula>
    </cfRule>
  </conditionalFormatting>
  <conditionalFormatting sqref="W474">
    <cfRule type="expression" dxfId="4609" priority="565">
      <formula>OR($T$474 = TRUE, AND($W$474 = TRUE, $S$474 = FALSE))</formula>
    </cfRule>
  </conditionalFormatting>
  <conditionalFormatting sqref="W476">
    <cfRule type="expression" dxfId="4608" priority="564">
      <formula>AND($R$476,$S$476)</formula>
    </cfRule>
  </conditionalFormatting>
  <conditionalFormatting sqref="W476">
    <cfRule type="expression" dxfId="4607" priority="563">
      <formula>AND(IF($R$476,$W$476,TRUE),LEN(TRIM($W$476))&gt;0)</formula>
    </cfRule>
  </conditionalFormatting>
  <conditionalFormatting sqref="W476">
    <cfRule type="expression" dxfId="4606" priority="562">
      <formula>$S$476 = FALSE</formula>
    </cfRule>
  </conditionalFormatting>
  <conditionalFormatting sqref="W476">
    <cfRule type="expression" dxfId="4605" priority="561">
      <formula>OR($T$476 = TRUE, AND($W$476 = TRUE, $S$476 = FALSE))</formula>
    </cfRule>
  </conditionalFormatting>
  <conditionalFormatting sqref="W509">
    <cfRule type="expression" dxfId="4604" priority="560">
      <formula>AND($R$509,$S$509)</formula>
    </cfRule>
  </conditionalFormatting>
  <conditionalFormatting sqref="W509">
    <cfRule type="expression" dxfId="4603" priority="559">
      <formula>AND(IF($R$509,$W$509,TRUE),LEN(TRIM($W$509))&gt;0)</formula>
    </cfRule>
  </conditionalFormatting>
  <conditionalFormatting sqref="W509">
    <cfRule type="expression" dxfId="4602" priority="558">
      <formula>$S$509 = FALSE</formula>
    </cfRule>
  </conditionalFormatting>
  <conditionalFormatting sqref="W509">
    <cfRule type="expression" dxfId="4601" priority="557">
      <formula>OR($T$509 = TRUE, AND($W$509 = TRUE, $S$509 = FALSE))</formula>
    </cfRule>
  </conditionalFormatting>
  <conditionalFormatting sqref="W527">
    <cfRule type="expression" dxfId="4600" priority="556">
      <formula>AND($R$527,$S$527)</formula>
    </cfRule>
  </conditionalFormatting>
  <conditionalFormatting sqref="W527">
    <cfRule type="expression" dxfId="4599" priority="555">
      <formula>AND(IF($R$527,$W$527,TRUE),LEN(TRIM($W$527))&gt;0)</formula>
    </cfRule>
  </conditionalFormatting>
  <conditionalFormatting sqref="W527">
    <cfRule type="expression" dxfId="4598" priority="554">
      <formula>$S$527 = FALSE</formula>
    </cfRule>
  </conditionalFormatting>
  <conditionalFormatting sqref="W527">
    <cfRule type="expression" dxfId="4597" priority="553">
      <formula>OR($T$527 = TRUE, AND($W$527 = TRUE, $S$527 = FALSE))</formula>
    </cfRule>
  </conditionalFormatting>
  <conditionalFormatting sqref="W530">
    <cfRule type="expression" dxfId="4596" priority="552">
      <formula>AND($R$530,$S$530)</formula>
    </cfRule>
  </conditionalFormatting>
  <conditionalFormatting sqref="W530">
    <cfRule type="expression" dxfId="4595" priority="551">
      <formula>AND(IF($R$530,$W$530,TRUE),LEN(TRIM($W$530))&gt;0)</formula>
    </cfRule>
  </conditionalFormatting>
  <conditionalFormatting sqref="W530">
    <cfRule type="expression" dxfId="4594" priority="550">
      <formula>$S$530 = FALSE</formula>
    </cfRule>
  </conditionalFormatting>
  <conditionalFormatting sqref="W530">
    <cfRule type="expression" dxfId="4593" priority="549">
      <formula>OR($T$530 = TRUE, AND($W$530 = TRUE, $S$530 = FALSE))</formula>
    </cfRule>
  </conditionalFormatting>
  <conditionalFormatting sqref="W535">
    <cfRule type="expression" dxfId="4592" priority="548">
      <formula>AND($R$535,$S$535)</formula>
    </cfRule>
  </conditionalFormatting>
  <conditionalFormatting sqref="W535">
    <cfRule type="expression" dxfId="4591" priority="547">
      <formula>AND(IF($R$535,$W$535,TRUE),LEN(TRIM($W$535))&gt;0)</formula>
    </cfRule>
  </conditionalFormatting>
  <conditionalFormatting sqref="W535">
    <cfRule type="expression" dxfId="4590" priority="546">
      <formula>$S$535 = FALSE</formula>
    </cfRule>
  </conditionalFormatting>
  <conditionalFormatting sqref="W535">
    <cfRule type="expression" dxfId="4589" priority="545">
      <formula>OR($T$535 = TRUE, AND($W$535 = TRUE, $S$535 = FALSE))</formula>
    </cfRule>
  </conditionalFormatting>
  <conditionalFormatting sqref="W536">
    <cfRule type="expression" dxfId="4588" priority="544">
      <formula>AND($R$536,$S$536)</formula>
    </cfRule>
  </conditionalFormatting>
  <conditionalFormatting sqref="W536">
    <cfRule type="expression" dxfId="4587" priority="543">
      <formula>AND(IF($R$536,$W$536,TRUE),LEN(TRIM($W$536))&gt;0)</formula>
    </cfRule>
  </conditionalFormatting>
  <conditionalFormatting sqref="W536">
    <cfRule type="expression" dxfId="4586" priority="542">
      <formula>$S$536 = FALSE</formula>
    </cfRule>
  </conditionalFormatting>
  <conditionalFormatting sqref="W536">
    <cfRule type="expression" dxfId="4585" priority="541">
      <formula>OR($T$536 = TRUE, AND($W$536 = TRUE, $S$536 = FALSE))</formula>
    </cfRule>
  </conditionalFormatting>
  <conditionalFormatting sqref="W546">
    <cfRule type="expression" dxfId="4584" priority="540">
      <formula>AND($R$546,$S$546)</formula>
    </cfRule>
  </conditionalFormatting>
  <conditionalFormatting sqref="W546">
    <cfRule type="expression" dxfId="4583" priority="539">
      <formula>AND(IF($R$546,$W$546,TRUE),LEN(TRIM($W$546))&gt;0)</formula>
    </cfRule>
  </conditionalFormatting>
  <conditionalFormatting sqref="W546">
    <cfRule type="expression" dxfId="4582" priority="538">
      <formula>$S$546 = FALSE</formula>
    </cfRule>
  </conditionalFormatting>
  <conditionalFormatting sqref="W546">
    <cfRule type="expression" dxfId="4581" priority="537">
      <formula>OR($T$546 = TRUE, AND($W$546 = TRUE, $S$546 = FALSE))</formula>
    </cfRule>
  </conditionalFormatting>
  <conditionalFormatting sqref="W579">
    <cfRule type="expression" dxfId="4580" priority="536">
      <formula>AND($R$579,$S$579)</formula>
    </cfRule>
  </conditionalFormatting>
  <conditionalFormatting sqref="W579">
    <cfRule type="expression" dxfId="4579" priority="535">
      <formula>AND(IF($R$579,$W$579,TRUE),LEN(TRIM($W$579))&gt;0)</formula>
    </cfRule>
  </conditionalFormatting>
  <conditionalFormatting sqref="W579">
    <cfRule type="expression" dxfId="4578" priority="534">
      <formula>$S$579 = FALSE</formula>
    </cfRule>
  </conditionalFormatting>
  <conditionalFormatting sqref="W579">
    <cfRule type="expression" dxfId="4577" priority="533">
      <formula>OR($T$579 = TRUE, AND($W$579 = TRUE, $S$579 = FALSE))</formula>
    </cfRule>
  </conditionalFormatting>
  <conditionalFormatting sqref="W596">
    <cfRule type="expression" dxfId="4576" priority="528">
      <formula>AND($R$596,$S$596)</formula>
    </cfRule>
  </conditionalFormatting>
  <conditionalFormatting sqref="W596">
    <cfRule type="expression" dxfId="4575" priority="527">
      <formula>AND(IF($R$596,$W$596,TRUE),LEN(TRIM($W$596))&gt;0)</formula>
    </cfRule>
  </conditionalFormatting>
  <conditionalFormatting sqref="W596">
    <cfRule type="expression" dxfId="4574" priority="526">
      <formula>$S$596 = FALSE</formula>
    </cfRule>
  </conditionalFormatting>
  <conditionalFormatting sqref="W596">
    <cfRule type="expression" dxfId="4573" priority="525">
      <formula>OR($T$596 = TRUE, AND($W$596 = TRUE, $S$596 = FALSE))</formula>
    </cfRule>
  </conditionalFormatting>
  <conditionalFormatting sqref="W598">
    <cfRule type="expression" dxfId="4572" priority="524">
      <formula>AND($R$598,$S$598)</formula>
    </cfRule>
  </conditionalFormatting>
  <conditionalFormatting sqref="W598">
    <cfRule type="expression" dxfId="4571" priority="523">
      <formula>AND(IF($R$598,$W$598,TRUE),LEN(TRIM($W$598))&gt;0)</formula>
    </cfRule>
  </conditionalFormatting>
  <conditionalFormatting sqref="W598">
    <cfRule type="expression" dxfId="4570" priority="522">
      <formula>$S$598 = FALSE</formula>
    </cfRule>
  </conditionalFormatting>
  <conditionalFormatting sqref="W598">
    <cfRule type="expression" dxfId="4569" priority="521">
      <formula>OR($T$598 = TRUE, AND($W$598 = TRUE, $S$598 = FALSE))</formula>
    </cfRule>
  </conditionalFormatting>
  <conditionalFormatting sqref="W608">
    <cfRule type="expression" dxfId="4568" priority="520">
      <formula>AND($R$608,$S$608)</formula>
    </cfRule>
  </conditionalFormatting>
  <conditionalFormatting sqref="W608">
    <cfRule type="expression" dxfId="4567" priority="519">
      <formula>AND(IF($R$608,$W$608,TRUE),LEN(TRIM($W$608))&gt;0)</formula>
    </cfRule>
  </conditionalFormatting>
  <conditionalFormatting sqref="W608">
    <cfRule type="expression" dxfId="4566" priority="518">
      <formula>$S$608 = FALSE</formula>
    </cfRule>
  </conditionalFormatting>
  <conditionalFormatting sqref="W608">
    <cfRule type="expression" dxfId="4565" priority="517">
      <formula>OR($T$608 = TRUE, AND($W$608 = TRUE, $S$608 = FALSE))</formula>
    </cfRule>
  </conditionalFormatting>
  <conditionalFormatting sqref="W610">
    <cfRule type="expression" dxfId="4564" priority="516">
      <formula>AND($R$610,$S$610)</formula>
    </cfRule>
  </conditionalFormatting>
  <conditionalFormatting sqref="W610">
    <cfRule type="expression" dxfId="4563" priority="515">
      <formula>AND(IF($R$610,$W$610,TRUE),LEN(TRIM($W$610))&gt;0)</formula>
    </cfRule>
  </conditionalFormatting>
  <conditionalFormatting sqref="W610">
    <cfRule type="expression" dxfId="4562" priority="514">
      <formula>$S$610 = FALSE</formula>
    </cfRule>
  </conditionalFormatting>
  <conditionalFormatting sqref="W610">
    <cfRule type="expression" dxfId="4561" priority="513">
      <formula>OR($T$610 = TRUE, AND($W$610 = TRUE, $S$610 = FALSE))</formula>
    </cfRule>
  </conditionalFormatting>
  <conditionalFormatting sqref="W612">
    <cfRule type="expression" dxfId="4560" priority="512">
      <formula>AND($R$612,$S$612)</formula>
    </cfRule>
  </conditionalFormatting>
  <conditionalFormatting sqref="W612">
    <cfRule type="expression" dxfId="4559" priority="511">
      <formula>AND(IF($R$612,$W$612,TRUE),LEN(TRIM($W$612))&gt;0)</formula>
    </cfRule>
  </conditionalFormatting>
  <conditionalFormatting sqref="W612">
    <cfRule type="expression" dxfId="4558" priority="510">
      <formula>$S$612 = FALSE</formula>
    </cfRule>
  </conditionalFormatting>
  <conditionalFormatting sqref="W612">
    <cfRule type="expression" dxfId="4557" priority="509">
      <formula>OR($T$612 = TRUE, AND($W$612 = TRUE, $S$612 = FALSE))</formula>
    </cfRule>
  </conditionalFormatting>
  <conditionalFormatting sqref="W619">
    <cfRule type="expression" dxfId="4556" priority="508">
      <formula>AND($R$619,$S$619)</formula>
    </cfRule>
  </conditionalFormatting>
  <conditionalFormatting sqref="W619">
    <cfRule type="expression" dxfId="4555" priority="507">
      <formula>AND(IF($R$619,$W$619,TRUE),LEN(TRIM($W$619))&gt;0)</formula>
    </cfRule>
  </conditionalFormatting>
  <conditionalFormatting sqref="W619">
    <cfRule type="expression" dxfId="4554" priority="506">
      <formula>$S$619 = FALSE</formula>
    </cfRule>
  </conditionalFormatting>
  <conditionalFormatting sqref="W619">
    <cfRule type="expression" dxfId="4553" priority="505">
      <formula>OR($T$619 = TRUE, AND($W$619 = TRUE, $S$619 = FALSE))</formula>
    </cfRule>
  </conditionalFormatting>
  <conditionalFormatting sqref="W620">
    <cfRule type="expression" dxfId="4552" priority="504">
      <formula>AND($R$620,$S$620)</formula>
    </cfRule>
  </conditionalFormatting>
  <conditionalFormatting sqref="W620">
    <cfRule type="expression" dxfId="4551" priority="503">
      <formula>AND(IF($R$620,$W$620,TRUE),LEN(TRIM($W$620))&gt;0)</formula>
    </cfRule>
  </conditionalFormatting>
  <conditionalFormatting sqref="W620">
    <cfRule type="expression" dxfId="4550" priority="502">
      <formula>$S$620 = FALSE</formula>
    </cfRule>
  </conditionalFormatting>
  <conditionalFormatting sqref="W620">
    <cfRule type="expression" dxfId="4549" priority="501">
      <formula>OR($T$620 = TRUE, AND($W$620 = TRUE, $S$620 = FALSE))</formula>
    </cfRule>
  </conditionalFormatting>
  <conditionalFormatting sqref="W621">
    <cfRule type="expression" dxfId="4548" priority="500">
      <formula>AND($R$621,$S$621)</formula>
    </cfRule>
  </conditionalFormatting>
  <conditionalFormatting sqref="W621">
    <cfRule type="expression" dxfId="4547" priority="499">
      <formula>AND(IF($R$621,$W$621,TRUE),LEN(TRIM($W$621))&gt;0)</formula>
    </cfRule>
  </conditionalFormatting>
  <conditionalFormatting sqref="W621">
    <cfRule type="expression" dxfId="4546" priority="498">
      <formula>$S$621 = FALSE</formula>
    </cfRule>
  </conditionalFormatting>
  <conditionalFormatting sqref="W621">
    <cfRule type="expression" dxfId="4545" priority="497">
      <formula>OR($T$621 = TRUE, AND($W$621 = TRUE, $S$621 = FALSE))</formula>
    </cfRule>
  </conditionalFormatting>
  <conditionalFormatting sqref="W622">
    <cfRule type="expression" dxfId="4544" priority="496">
      <formula>AND($R$622,$S$622)</formula>
    </cfRule>
  </conditionalFormatting>
  <conditionalFormatting sqref="W622">
    <cfRule type="expression" dxfId="4543" priority="495">
      <formula>AND(IF($R$622,$W$622,TRUE),LEN(TRIM($W$622))&gt;0)</formula>
    </cfRule>
  </conditionalFormatting>
  <conditionalFormatting sqref="W622">
    <cfRule type="expression" dxfId="4542" priority="494">
      <formula>$S$622 = FALSE</formula>
    </cfRule>
  </conditionalFormatting>
  <conditionalFormatting sqref="W622">
    <cfRule type="expression" dxfId="4541" priority="493">
      <formula>OR($T$622 = TRUE, AND($W$622 = TRUE, $S$622 = FALSE))</formula>
    </cfRule>
  </conditionalFormatting>
  <conditionalFormatting sqref="W624">
    <cfRule type="expression" dxfId="4540" priority="492">
      <formula>AND($R$624,$S$624)</formula>
    </cfRule>
  </conditionalFormatting>
  <conditionalFormatting sqref="W624">
    <cfRule type="expression" dxfId="4539" priority="491">
      <formula>AND(IF($R$624,$W$624,TRUE),LEN(TRIM($W$624))&gt;0)</formula>
    </cfRule>
  </conditionalFormatting>
  <conditionalFormatting sqref="W624">
    <cfRule type="expression" dxfId="4538" priority="490">
      <formula>$S$624 = FALSE</formula>
    </cfRule>
  </conditionalFormatting>
  <conditionalFormatting sqref="W624">
    <cfRule type="expression" dxfId="4537" priority="489">
      <formula>OR($T$624 = TRUE, AND($W$624 = TRUE, $S$624 = FALSE))</formula>
    </cfRule>
  </conditionalFormatting>
  <conditionalFormatting sqref="W627">
    <cfRule type="expression" dxfId="4536" priority="488">
      <formula>AND($R$627,$S$627)</formula>
    </cfRule>
  </conditionalFormatting>
  <conditionalFormatting sqref="W627">
    <cfRule type="expression" dxfId="4535" priority="487">
      <formula>AND(IF($R$627,$W$627,TRUE),LEN(TRIM($W$627))&gt;0)</formula>
    </cfRule>
  </conditionalFormatting>
  <conditionalFormatting sqref="W627">
    <cfRule type="expression" dxfId="4534" priority="486">
      <formula>$S$627 = FALSE</formula>
    </cfRule>
  </conditionalFormatting>
  <conditionalFormatting sqref="W627">
    <cfRule type="expression" dxfId="4533" priority="485">
      <formula>OR($T$627 = TRUE, AND($W$627 = TRUE, $S$627 = FALSE))</formula>
    </cfRule>
  </conditionalFormatting>
  <conditionalFormatting sqref="W643">
    <cfRule type="expression" dxfId="4532" priority="484">
      <formula>AND($R$643,$S$643)</formula>
    </cfRule>
  </conditionalFormatting>
  <conditionalFormatting sqref="W643">
    <cfRule type="expression" dxfId="4531" priority="483">
      <formula>AND(IF($R$643,$W$643,TRUE),LEN(TRIM($W$643))&gt;0)</formula>
    </cfRule>
  </conditionalFormatting>
  <conditionalFormatting sqref="W643">
    <cfRule type="expression" dxfId="4530" priority="482">
      <formula>$S$643 = FALSE</formula>
    </cfRule>
  </conditionalFormatting>
  <conditionalFormatting sqref="W643">
    <cfRule type="expression" dxfId="4529" priority="481">
      <formula>OR($T$643 = TRUE, AND($W$643 = TRUE, $S$643 = FALSE))</formula>
    </cfRule>
  </conditionalFormatting>
  <conditionalFormatting sqref="W644">
    <cfRule type="expression" dxfId="4528" priority="480">
      <formula>AND($R$644,$S$644)</formula>
    </cfRule>
  </conditionalFormatting>
  <conditionalFormatting sqref="W644">
    <cfRule type="expression" dxfId="4527" priority="479">
      <formula>AND(IF($R$644,$W$644,TRUE),LEN(TRIM($W$644))&gt;0)</formula>
    </cfRule>
  </conditionalFormatting>
  <conditionalFormatting sqref="W644">
    <cfRule type="expression" dxfId="4526" priority="478">
      <formula>$S$644 = FALSE</formula>
    </cfRule>
  </conditionalFormatting>
  <conditionalFormatting sqref="W644">
    <cfRule type="expression" dxfId="4525" priority="477">
      <formula>OR($T$644 = TRUE, AND($W$644 = TRUE, $S$644 = FALSE))</formula>
    </cfRule>
  </conditionalFormatting>
  <conditionalFormatting sqref="W645">
    <cfRule type="expression" dxfId="4524" priority="476">
      <formula>AND($R$645,$S$645)</formula>
    </cfRule>
  </conditionalFormatting>
  <conditionalFormatting sqref="W645">
    <cfRule type="expression" dxfId="4523" priority="475">
      <formula>AND(IF($R$645,$W$645,TRUE),LEN(TRIM($W$645))&gt;0)</formula>
    </cfRule>
  </conditionalFormatting>
  <conditionalFormatting sqref="W645">
    <cfRule type="expression" dxfId="4522" priority="474">
      <formula>$S$645 = FALSE</formula>
    </cfRule>
  </conditionalFormatting>
  <conditionalFormatting sqref="W645">
    <cfRule type="expression" dxfId="4521" priority="473">
      <formula>OR($T$645 = TRUE, AND($W$645 = TRUE, $S$645 = FALSE))</formula>
    </cfRule>
  </conditionalFormatting>
  <conditionalFormatting sqref="W646">
    <cfRule type="expression" dxfId="4520" priority="472">
      <formula>AND($R$646,$S$646)</formula>
    </cfRule>
  </conditionalFormatting>
  <conditionalFormatting sqref="W646">
    <cfRule type="expression" dxfId="4519" priority="471">
      <formula>AND(IF($R$646,$W$646,TRUE),LEN(TRIM($W$646))&gt;0)</formula>
    </cfRule>
  </conditionalFormatting>
  <conditionalFormatting sqref="W646">
    <cfRule type="expression" dxfId="4518" priority="470">
      <formula>$S$646 = FALSE</formula>
    </cfRule>
  </conditionalFormatting>
  <conditionalFormatting sqref="W646">
    <cfRule type="expression" dxfId="4517" priority="469">
      <formula>OR($T$646 = TRUE, AND($W$646 = TRUE, $S$646 = FALSE))</formula>
    </cfRule>
  </conditionalFormatting>
  <conditionalFormatting sqref="W647">
    <cfRule type="expression" dxfId="4516" priority="468">
      <formula>AND($R$647,$S$647)</formula>
    </cfRule>
  </conditionalFormatting>
  <conditionalFormatting sqref="W647">
    <cfRule type="expression" dxfId="4515" priority="467">
      <formula>AND(IF($R$647,$W$647,TRUE),LEN(TRIM($W$647))&gt;0)</formula>
    </cfRule>
  </conditionalFormatting>
  <conditionalFormatting sqref="W647">
    <cfRule type="expression" dxfId="4514" priority="466">
      <formula>$S$647 = FALSE</formula>
    </cfRule>
  </conditionalFormatting>
  <conditionalFormatting sqref="W647">
    <cfRule type="expression" dxfId="4513" priority="465">
      <formula>OR($T$647 = TRUE, AND($W$647 = TRUE, $S$647 = FALSE))</formula>
    </cfRule>
  </conditionalFormatting>
  <conditionalFormatting sqref="W648">
    <cfRule type="expression" dxfId="4512" priority="464">
      <formula>AND($R$648,$S$648)</formula>
    </cfRule>
  </conditionalFormatting>
  <conditionalFormatting sqref="W648">
    <cfRule type="expression" dxfId="4511" priority="463">
      <formula>AND(IF($R$648,$W$648,TRUE),LEN(TRIM($W$648))&gt;0)</formula>
    </cfRule>
  </conditionalFormatting>
  <conditionalFormatting sqref="W648">
    <cfRule type="expression" dxfId="4510" priority="462">
      <formula>$S$648 = FALSE</formula>
    </cfRule>
  </conditionalFormatting>
  <conditionalFormatting sqref="W648">
    <cfRule type="expression" dxfId="4509" priority="461">
      <formula>OR($T$648 = TRUE, AND($W$648 = TRUE, $S$648 = FALSE))</formula>
    </cfRule>
  </conditionalFormatting>
  <conditionalFormatting sqref="W649">
    <cfRule type="expression" dxfId="4508" priority="460">
      <formula>AND($R$649,$S$649)</formula>
    </cfRule>
  </conditionalFormatting>
  <conditionalFormatting sqref="W649">
    <cfRule type="expression" dxfId="4507" priority="459">
      <formula>AND(IF($R$649,$W$649,TRUE),LEN(TRIM($W$649))&gt;0)</formula>
    </cfRule>
  </conditionalFormatting>
  <conditionalFormatting sqref="W649">
    <cfRule type="expression" dxfId="4506" priority="458">
      <formula>$S$649 = FALSE</formula>
    </cfRule>
  </conditionalFormatting>
  <conditionalFormatting sqref="W649">
    <cfRule type="expression" dxfId="4505" priority="457">
      <formula>OR($T$649 = TRUE, AND($W$649 = TRUE, $S$649 = FALSE))</formula>
    </cfRule>
  </conditionalFormatting>
  <conditionalFormatting sqref="W650">
    <cfRule type="expression" dxfId="4504" priority="456">
      <formula>AND($R$650,$S$650)</formula>
    </cfRule>
  </conditionalFormatting>
  <conditionalFormatting sqref="W650">
    <cfRule type="expression" dxfId="4503" priority="455">
      <formula>AND(IF($R$650,$W$650,TRUE),LEN(TRIM($W$650))&gt;0)</formula>
    </cfRule>
  </conditionalFormatting>
  <conditionalFormatting sqref="W650">
    <cfRule type="expression" dxfId="4502" priority="454">
      <formula>$S$650 = FALSE</formula>
    </cfRule>
  </conditionalFormatting>
  <conditionalFormatting sqref="W650">
    <cfRule type="expression" dxfId="4501" priority="453">
      <formula>OR($T$650 = TRUE, AND($W$650 = TRUE, $S$650 = FALSE))</formula>
    </cfRule>
  </conditionalFormatting>
  <conditionalFormatting sqref="W657">
    <cfRule type="expression" dxfId="4500" priority="452">
      <formula>AND($R$657,$S$657)</formula>
    </cfRule>
  </conditionalFormatting>
  <conditionalFormatting sqref="W657">
    <cfRule type="expression" dxfId="4499" priority="451">
      <formula>AND(IF($R$657,$W$657,TRUE),LEN(TRIM($W$657))&gt;0)</formula>
    </cfRule>
  </conditionalFormatting>
  <conditionalFormatting sqref="W657">
    <cfRule type="expression" dxfId="4498" priority="450">
      <formula>$S$657 = FALSE</formula>
    </cfRule>
  </conditionalFormatting>
  <conditionalFormatting sqref="W657">
    <cfRule type="expression" dxfId="4497" priority="449">
      <formula>OR($T$657 = TRUE, AND($W$657 = TRUE, $S$657 = FALSE))</formula>
    </cfRule>
  </conditionalFormatting>
  <conditionalFormatting sqref="W659">
    <cfRule type="expression" dxfId="4496" priority="448">
      <formula>AND($R$659,$S$659)</formula>
    </cfRule>
  </conditionalFormatting>
  <conditionalFormatting sqref="W659">
    <cfRule type="expression" dxfId="4495" priority="447">
      <formula>AND(IF($R$659,$W$659,TRUE),LEN(TRIM($W$659))&gt;0)</formula>
    </cfRule>
  </conditionalFormatting>
  <conditionalFormatting sqref="W659">
    <cfRule type="expression" dxfId="4494" priority="446">
      <formula>$S$659 = FALSE</formula>
    </cfRule>
  </conditionalFormatting>
  <conditionalFormatting sqref="W659">
    <cfRule type="expression" dxfId="4493" priority="445">
      <formula>OR($T$659 = TRUE, AND($W$659 = TRUE, $S$659 = FALSE))</formula>
    </cfRule>
  </conditionalFormatting>
  <conditionalFormatting sqref="W661">
    <cfRule type="expression" dxfId="4492" priority="444">
      <formula>AND($R$661,$S$661)</formula>
    </cfRule>
  </conditionalFormatting>
  <conditionalFormatting sqref="W661">
    <cfRule type="expression" dxfId="4491" priority="443">
      <formula>AND(IF($R$661,$W$661,TRUE),LEN(TRIM($W$661))&gt;0)</formula>
    </cfRule>
  </conditionalFormatting>
  <conditionalFormatting sqref="W661">
    <cfRule type="expression" dxfId="4490" priority="442">
      <formula>$S$661 = FALSE</formula>
    </cfRule>
  </conditionalFormatting>
  <conditionalFormatting sqref="W661">
    <cfRule type="expression" dxfId="4489" priority="441">
      <formula>OR($T$661 = TRUE, AND($W$661 = TRUE, $S$661 = FALSE))</formula>
    </cfRule>
  </conditionalFormatting>
  <conditionalFormatting sqref="W678">
    <cfRule type="expression" dxfId="4488" priority="440">
      <formula>AND($R$678,$S$678)</formula>
    </cfRule>
  </conditionalFormatting>
  <conditionalFormatting sqref="W678">
    <cfRule type="expression" dxfId="4487" priority="439">
      <formula>AND(IF($R$678,$W$678,TRUE),LEN(TRIM($W$678))&gt;0)</formula>
    </cfRule>
  </conditionalFormatting>
  <conditionalFormatting sqref="W678">
    <cfRule type="expression" dxfId="4486" priority="438">
      <formula>$S$678 = FALSE</formula>
    </cfRule>
  </conditionalFormatting>
  <conditionalFormatting sqref="W678">
    <cfRule type="expression" dxfId="4485" priority="437">
      <formula>OR($T$678 = TRUE, AND($W$678 = TRUE, $S$678 = FALSE))</formula>
    </cfRule>
  </conditionalFormatting>
  <conditionalFormatting sqref="W684">
    <cfRule type="expression" dxfId="4484" priority="436">
      <formula>AND($R$684,$S$684)</formula>
    </cfRule>
  </conditionalFormatting>
  <conditionalFormatting sqref="W684">
    <cfRule type="expression" dxfId="4483" priority="435">
      <formula>AND(IF($R$684,$W$684,TRUE),LEN(TRIM($W$684))&gt;0)</formula>
    </cfRule>
  </conditionalFormatting>
  <conditionalFormatting sqref="W684">
    <cfRule type="expression" dxfId="4482" priority="434">
      <formula>$S$684 = FALSE</formula>
    </cfRule>
  </conditionalFormatting>
  <conditionalFormatting sqref="W684">
    <cfRule type="expression" dxfId="4481" priority="433">
      <formula>OR($T$684 = TRUE, AND($W$684 = TRUE, $S$684 = FALSE))</formula>
    </cfRule>
  </conditionalFormatting>
  <conditionalFormatting sqref="W685">
    <cfRule type="expression" dxfId="4480" priority="432">
      <formula>AND($R$685,$S$685)</formula>
    </cfRule>
  </conditionalFormatting>
  <conditionalFormatting sqref="W685">
    <cfRule type="expression" dxfId="4479" priority="431">
      <formula>AND(IF($R$685,$W$685,TRUE),LEN(TRIM($W$685))&gt;0)</formula>
    </cfRule>
  </conditionalFormatting>
  <conditionalFormatting sqref="W685">
    <cfRule type="expression" dxfId="4478" priority="430">
      <formula>$S$685 = FALSE</formula>
    </cfRule>
  </conditionalFormatting>
  <conditionalFormatting sqref="W685">
    <cfRule type="expression" dxfId="4477" priority="429">
      <formula>OR($T$685 = TRUE, AND($W$685 = TRUE, $S$685 = FALSE))</formula>
    </cfRule>
  </conditionalFormatting>
  <conditionalFormatting sqref="W686">
    <cfRule type="expression" dxfId="4476" priority="428">
      <formula>AND($R$686,$S$686)</formula>
    </cfRule>
  </conditionalFormatting>
  <conditionalFormatting sqref="W686">
    <cfRule type="expression" dxfId="4475" priority="427">
      <formula>AND(IF($R$686,$W$686,TRUE),LEN(TRIM($W$686))&gt;0)</formula>
    </cfRule>
  </conditionalFormatting>
  <conditionalFormatting sqref="W686">
    <cfRule type="expression" dxfId="4474" priority="426">
      <formula>$S$686 = FALSE</formula>
    </cfRule>
  </conditionalFormatting>
  <conditionalFormatting sqref="W686">
    <cfRule type="expression" dxfId="4473" priority="425">
      <formula>OR($T$686 = TRUE, AND($W$686 = TRUE, $S$686 = FALSE))</formula>
    </cfRule>
  </conditionalFormatting>
  <conditionalFormatting sqref="W694">
    <cfRule type="expression" dxfId="4472" priority="424">
      <formula>AND($R$694,$S$694)</formula>
    </cfRule>
  </conditionalFormatting>
  <conditionalFormatting sqref="W694">
    <cfRule type="expression" dxfId="4471" priority="423">
      <formula>AND(IF($R$694,$W$694,TRUE),LEN(TRIM($W$694))&gt;0)</formula>
    </cfRule>
  </conditionalFormatting>
  <conditionalFormatting sqref="W694">
    <cfRule type="expression" dxfId="4470" priority="422">
      <formula>$S$694 = FALSE</formula>
    </cfRule>
  </conditionalFormatting>
  <conditionalFormatting sqref="W694">
    <cfRule type="expression" dxfId="4469" priority="421">
      <formula>OR($T$694 = TRUE, AND($W$694 = TRUE, $S$694 = FALSE))</formula>
    </cfRule>
  </conditionalFormatting>
  <conditionalFormatting sqref="W705">
    <cfRule type="expression" dxfId="4468" priority="420">
      <formula>AND($R$705,$S$705)</formula>
    </cfRule>
  </conditionalFormatting>
  <conditionalFormatting sqref="W705">
    <cfRule type="expression" dxfId="4467" priority="419">
      <formula>AND($W$705&lt;&gt;"Not Met",LEN(TRIM($W$705))&gt;0)</formula>
    </cfRule>
  </conditionalFormatting>
  <conditionalFormatting sqref="W705">
    <cfRule type="expression" dxfId="4466" priority="418">
      <formula>$S$705 = FALSE</formula>
    </cfRule>
  </conditionalFormatting>
  <conditionalFormatting sqref="W705">
    <cfRule type="expression" dxfId="4465" priority="417">
      <formula>OR($T$705 = TRUE, AND(LEN(TRIM($W$705))&gt;0, $S$705 = FALSE))</formula>
    </cfRule>
  </conditionalFormatting>
  <conditionalFormatting sqref="W632">
    <cfRule type="expression" dxfId="4464" priority="416">
      <formula>AND($R$632,$S$632)</formula>
    </cfRule>
  </conditionalFormatting>
  <conditionalFormatting sqref="W632">
    <cfRule type="expression" dxfId="4463" priority="415">
      <formula>AND($W$632&lt;&gt;"Not Met",LEN(TRIM($W$632))&gt;0)</formula>
    </cfRule>
  </conditionalFormatting>
  <conditionalFormatting sqref="W632">
    <cfRule type="expression" dxfId="4462" priority="414">
      <formula>$S$632 = FALSE</formula>
    </cfRule>
  </conditionalFormatting>
  <conditionalFormatting sqref="W632">
    <cfRule type="expression" dxfId="4461" priority="413">
      <formula>OR($T$632 = TRUE, AND(LEN(TRIM($W$632))&gt;0, $S$632 = FALSE))</formula>
    </cfRule>
  </conditionalFormatting>
  <conditionalFormatting sqref="W590">
    <cfRule type="expression" dxfId="4460" priority="412">
      <formula>AND($R$590,$S$590)</formula>
    </cfRule>
  </conditionalFormatting>
  <conditionalFormatting sqref="W590">
    <cfRule type="expression" dxfId="4459" priority="411">
      <formula>AND($W$590&lt;&gt;"Not Met",LEN(TRIM($W$590))&gt;0)</formula>
    </cfRule>
  </conditionalFormatting>
  <conditionalFormatting sqref="W590">
    <cfRule type="expression" dxfId="4458" priority="410">
      <formula>$S$590 = FALSE</formula>
    </cfRule>
  </conditionalFormatting>
  <conditionalFormatting sqref="W590">
    <cfRule type="expression" dxfId="4457" priority="409">
      <formula>OR($T$590 = TRUE, AND(LEN(TRIM($W$590))&gt;0, $S$590 = FALSE))</formula>
    </cfRule>
  </conditionalFormatting>
  <conditionalFormatting sqref="W522">
    <cfRule type="expression" dxfId="4456" priority="408">
      <formula>AND($R$522,$S$522)</formula>
    </cfRule>
  </conditionalFormatting>
  <conditionalFormatting sqref="W522">
    <cfRule type="expression" dxfId="4455" priority="407">
      <formula>AND($W$522&lt;&gt;"Not Met",LEN(TRIM($W$522))&gt;0)</formula>
    </cfRule>
  </conditionalFormatting>
  <conditionalFormatting sqref="W522">
    <cfRule type="expression" dxfId="4454" priority="406">
      <formula>$S$522 = FALSE</formula>
    </cfRule>
  </conditionalFormatting>
  <conditionalFormatting sqref="W522">
    <cfRule type="expression" dxfId="4453" priority="405">
      <formula>OR($T$522 = TRUE, AND(LEN(TRIM($W$522))&gt;0, $S$522 = FALSE))</formula>
    </cfRule>
  </conditionalFormatting>
  <conditionalFormatting sqref="W517">
    <cfRule type="expression" dxfId="4452" priority="404">
      <formula>AND($R$517,$S$517)</formula>
    </cfRule>
  </conditionalFormatting>
  <conditionalFormatting sqref="W517">
    <cfRule type="expression" dxfId="4451" priority="403">
      <formula>AND($W$517&lt;&gt;"Not Met",LEN(TRIM($W$517))&gt;0)</formula>
    </cfRule>
  </conditionalFormatting>
  <conditionalFormatting sqref="W517">
    <cfRule type="expression" dxfId="4450" priority="402">
      <formula>$S$517 = FALSE</formula>
    </cfRule>
  </conditionalFormatting>
  <conditionalFormatting sqref="W517">
    <cfRule type="expression" dxfId="4449" priority="401">
      <formula>OR($T$517 = TRUE, AND(LEN(TRIM($W$517))&gt;0, $S$517 = FALSE))</formula>
    </cfRule>
  </conditionalFormatting>
  <conditionalFormatting sqref="W513">
    <cfRule type="expression" dxfId="4448" priority="400">
      <formula>AND($R$513,$S$513)</formula>
    </cfRule>
  </conditionalFormatting>
  <conditionalFormatting sqref="W513">
    <cfRule type="expression" dxfId="4447" priority="399">
      <formula>AND($W$513&lt;&gt;"Not Met",LEN(TRIM($W$513))&gt;0)</formula>
    </cfRule>
  </conditionalFormatting>
  <conditionalFormatting sqref="W513">
    <cfRule type="expression" dxfId="4446" priority="398">
      <formula>$S$513 = FALSE</formula>
    </cfRule>
  </conditionalFormatting>
  <conditionalFormatting sqref="W513">
    <cfRule type="expression" dxfId="4445" priority="397">
      <formula>OR($T$513 = TRUE, AND(LEN(TRIM($W$513))&gt;0, $S$513 = FALSE))</formula>
    </cfRule>
  </conditionalFormatting>
  <conditionalFormatting sqref="W505">
    <cfRule type="expression" dxfId="4444" priority="396">
      <formula>AND($R$505,$S$505)</formula>
    </cfRule>
  </conditionalFormatting>
  <conditionalFormatting sqref="W505">
    <cfRule type="expression" dxfId="4443" priority="395">
      <formula>AND($W$505&lt;&gt;"Not Met",LEN(TRIM($W$505))&gt;0)</formula>
    </cfRule>
  </conditionalFormatting>
  <conditionalFormatting sqref="W505">
    <cfRule type="expression" dxfId="4442" priority="394">
      <formula>$S$505 = FALSE</formula>
    </cfRule>
  </conditionalFormatting>
  <conditionalFormatting sqref="W505">
    <cfRule type="expression" dxfId="4441" priority="393">
      <formula>OR($T$505 = TRUE, AND(LEN(TRIM($W$505))&gt;0, $S$505 = FALSE))</formula>
    </cfRule>
  </conditionalFormatting>
  <conditionalFormatting sqref="W386">
    <cfRule type="expression" dxfId="4440" priority="392">
      <formula>AND($R$386,$S$386)</formula>
    </cfRule>
  </conditionalFormatting>
  <conditionalFormatting sqref="W386">
    <cfRule type="expression" dxfId="4439" priority="391">
      <formula>AND($W$386&lt;&gt;"Not Met",LEN(TRIM($W$386))&gt;0)</formula>
    </cfRule>
  </conditionalFormatting>
  <conditionalFormatting sqref="W386">
    <cfRule type="expression" dxfId="4438" priority="390">
      <formula>$S$386 = FALSE</formula>
    </cfRule>
  </conditionalFormatting>
  <conditionalFormatting sqref="W386">
    <cfRule type="expression" dxfId="4437" priority="389">
      <formula>OR($T$386 = TRUE, AND(LEN(TRIM($W$386))&gt;0, $S$386 = FALSE))</formula>
    </cfRule>
  </conditionalFormatting>
  <conditionalFormatting sqref="W332">
    <cfRule type="expression" dxfId="4436" priority="388">
      <formula>AND($R$332,$S$332)</formula>
    </cfRule>
  </conditionalFormatting>
  <conditionalFormatting sqref="W332">
    <cfRule type="expression" dxfId="4435" priority="387">
      <formula>AND($W$332&lt;&gt;"Not Met",LEN(TRIM($W$332))&gt;0)</formula>
    </cfRule>
  </conditionalFormatting>
  <conditionalFormatting sqref="W332">
    <cfRule type="expression" dxfId="4434" priority="386">
      <formula>$S$332 = FALSE</formula>
    </cfRule>
  </conditionalFormatting>
  <conditionalFormatting sqref="W332">
    <cfRule type="expression" dxfId="4433" priority="385">
      <formula>OR($T$332 = TRUE, AND(LEN(TRIM($W$332))&gt;0, $S$332 = FALSE))</formula>
    </cfRule>
  </conditionalFormatting>
  <conditionalFormatting sqref="W321">
    <cfRule type="expression" dxfId="4432" priority="384">
      <formula>AND($R$321,$S$321)</formula>
    </cfRule>
  </conditionalFormatting>
  <conditionalFormatting sqref="W321">
    <cfRule type="expression" dxfId="4431" priority="383">
      <formula>AND($W$321&lt;&gt;"Not Met",LEN(TRIM($W$321))&gt;0)</formula>
    </cfRule>
  </conditionalFormatting>
  <conditionalFormatting sqref="W321">
    <cfRule type="expression" dxfId="4430" priority="382">
      <formula>$S$321 = FALSE</formula>
    </cfRule>
  </conditionalFormatting>
  <conditionalFormatting sqref="W321">
    <cfRule type="expression" dxfId="4429" priority="381">
      <formula>OR($T$321 = TRUE, AND(LEN(TRIM($W$321))&gt;0, $S$321 = FALSE))</formula>
    </cfRule>
  </conditionalFormatting>
  <conditionalFormatting sqref="W239">
    <cfRule type="expression" dxfId="4428" priority="380">
      <formula>AND($R$239,$S$239)</formula>
    </cfRule>
  </conditionalFormatting>
  <conditionalFormatting sqref="W239">
    <cfRule type="expression" dxfId="4427" priority="379">
      <formula>AND($W$239&lt;&gt;"Not Met",LEN(TRIM($W$239))&gt;0)</formula>
    </cfRule>
  </conditionalFormatting>
  <conditionalFormatting sqref="W239">
    <cfRule type="expression" dxfId="4426" priority="378">
      <formula>$S$239 = FALSE</formula>
    </cfRule>
  </conditionalFormatting>
  <conditionalFormatting sqref="W239">
    <cfRule type="expression" dxfId="4425" priority="377">
      <formula>OR($T$239 = TRUE, AND(LEN(TRIM($W$239))&gt;0, $S$239 = FALSE))</formula>
    </cfRule>
  </conditionalFormatting>
  <conditionalFormatting sqref="W233">
    <cfRule type="expression" dxfId="4424" priority="376">
      <formula>AND($R$233,$S$233)</formula>
    </cfRule>
  </conditionalFormatting>
  <conditionalFormatting sqref="W233">
    <cfRule type="expression" dxfId="4423" priority="375">
      <formula>AND($W$233&lt;&gt;"Not Met",LEN(TRIM($W$233))&gt;0)</formula>
    </cfRule>
  </conditionalFormatting>
  <conditionalFormatting sqref="W233">
    <cfRule type="expression" dxfId="4422" priority="374">
      <formula>$S$233 = FALSE</formula>
    </cfRule>
  </conditionalFormatting>
  <conditionalFormatting sqref="W233">
    <cfRule type="expression" dxfId="4421" priority="373">
      <formula>OR($T$233 = TRUE, AND(LEN(TRIM($W$233))&gt;0, $S$233 = FALSE))</formula>
    </cfRule>
  </conditionalFormatting>
  <conditionalFormatting sqref="W222">
    <cfRule type="expression" dxfId="4420" priority="372">
      <formula>AND($R$222,$S$222)</formula>
    </cfRule>
  </conditionalFormatting>
  <conditionalFormatting sqref="W222">
    <cfRule type="expression" dxfId="4419" priority="371">
      <formula>AND($W$222&lt;&gt;"Not Met",LEN(TRIM($W$222))&gt;0)</formula>
    </cfRule>
  </conditionalFormatting>
  <conditionalFormatting sqref="W222">
    <cfRule type="expression" dxfId="4418" priority="370">
      <formula>$S$222 = FALSE</formula>
    </cfRule>
  </conditionalFormatting>
  <conditionalFormatting sqref="W222">
    <cfRule type="expression" dxfId="4417" priority="369">
      <formula>OR($T$222 = TRUE, AND(LEN(TRIM($W$222))&gt;0, $S$222 = FALSE))</formula>
    </cfRule>
  </conditionalFormatting>
  <conditionalFormatting sqref="W212">
    <cfRule type="expression" dxfId="4416" priority="368">
      <formula>AND($R$212,$S$212)</formula>
    </cfRule>
  </conditionalFormatting>
  <conditionalFormatting sqref="W212">
    <cfRule type="expression" dxfId="4415" priority="367">
      <formula>AND($W$212&lt;&gt;"Not Met",LEN(TRIM($W$212))&gt;0)</formula>
    </cfRule>
  </conditionalFormatting>
  <conditionalFormatting sqref="W212">
    <cfRule type="expression" dxfId="4414" priority="366">
      <formula>$S$212 = FALSE</formula>
    </cfRule>
  </conditionalFormatting>
  <conditionalFormatting sqref="W212">
    <cfRule type="expression" dxfId="4413" priority="365">
      <formula>OR($T$212 = TRUE, AND(LEN(TRIM($W$212))&gt;0, $S$212 = FALSE))</formula>
    </cfRule>
  </conditionalFormatting>
  <conditionalFormatting sqref="W203">
    <cfRule type="expression" dxfId="4412" priority="364">
      <formula>AND($R$203,$S$203)</formula>
    </cfRule>
  </conditionalFormatting>
  <conditionalFormatting sqref="W203">
    <cfRule type="expression" dxfId="4411" priority="363">
      <formula>AND($W$203&lt;&gt;"Not Met",LEN(TRIM($W$203))&gt;0)</formula>
    </cfRule>
  </conditionalFormatting>
  <conditionalFormatting sqref="W203">
    <cfRule type="expression" dxfId="4410" priority="362">
      <formula>$S$203 = FALSE</formula>
    </cfRule>
  </conditionalFormatting>
  <conditionalFormatting sqref="W203">
    <cfRule type="expression" dxfId="4409" priority="361">
      <formula>OR($T$203 = TRUE, AND(LEN(TRIM($W$203))&gt;0, $S$203 = FALSE))</formula>
    </cfRule>
  </conditionalFormatting>
  <conditionalFormatting sqref="W180">
    <cfRule type="expression" dxfId="4408" priority="360">
      <formula>AND(R180,S180)</formula>
    </cfRule>
  </conditionalFormatting>
  <conditionalFormatting sqref="W180">
    <cfRule type="expression" dxfId="4407" priority="359">
      <formula>NOT(ISBLANK(W180))</formula>
    </cfRule>
  </conditionalFormatting>
  <conditionalFormatting sqref="W180">
    <cfRule type="expression" dxfId="4406" priority="358">
      <formula>S180 = FALSE</formula>
    </cfRule>
  </conditionalFormatting>
  <conditionalFormatting sqref="W180">
    <cfRule type="expression" dxfId="4405" priority="357">
      <formula>OR(T180 = TRUE, AND(W180 = TRUE, S180 = FALSE))</formula>
    </cfRule>
  </conditionalFormatting>
  <conditionalFormatting sqref="W186">
    <cfRule type="expression" dxfId="4404" priority="356">
      <formula>AND(R186,S186)</formula>
    </cfRule>
  </conditionalFormatting>
  <conditionalFormatting sqref="W186">
    <cfRule type="expression" dxfId="4403" priority="355">
      <formula>NOT(ISBLANK(W186))</formula>
    </cfRule>
  </conditionalFormatting>
  <conditionalFormatting sqref="W186">
    <cfRule type="expression" dxfId="4402" priority="354">
      <formula>S186 = FALSE</formula>
    </cfRule>
  </conditionalFormatting>
  <conditionalFormatting sqref="W186">
    <cfRule type="expression" dxfId="4401" priority="353">
      <formula>OR(T186 = TRUE, AND(W186 = TRUE, S186 = FALSE))</formula>
    </cfRule>
  </conditionalFormatting>
  <conditionalFormatting sqref="W252">
    <cfRule type="expression" dxfId="4400" priority="352">
      <formula>AND(R252,S252)</formula>
    </cfRule>
  </conditionalFormatting>
  <conditionalFormatting sqref="W252">
    <cfRule type="expression" dxfId="4399" priority="351">
      <formula>NOT(ISBLANK(W252))</formula>
    </cfRule>
  </conditionalFormatting>
  <conditionalFormatting sqref="W252">
    <cfRule type="expression" dxfId="4398" priority="350">
      <formula>S252 = FALSE</formula>
    </cfRule>
  </conditionalFormatting>
  <conditionalFormatting sqref="W252">
    <cfRule type="expression" dxfId="4397" priority="349">
      <formula>OR(T252 = TRUE, AND(W252 = TRUE, S252 = FALSE))</formula>
    </cfRule>
  </conditionalFormatting>
  <conditionalFormatting sqref="W258">
    <cfRule type="expression" dxfId="4396" priority="348">
      <formula>AND(R258,S258)</formula>
    </cfRule>
  </conditionalFormatting>
  <conditionalFormatting sqref="W258">
    <cfRule type="expression" dxfId="4395" priority="347">
      <formula>NOT(ISBLANK(W258))</formula>
    </cfRule>
  </conditionalFormatting>
  <conditionalFormatting sqref="W258">
    <cfRule type="expression" dxfId="4394" priority="346">
      <formula>S258 = FALSE</formula>
    </cfRule>
  </conditionalFormatting>
  <conditionalFormatting sqref="W258">
    <cfRule type="expression" dxfId="4393" priority="345">
      <formula>OR(T258 = TRUE, AND(W258 = TRUE, S258 = FALSE))</formula>
    </cfRule>
  </conditionalFormatting>
  <conditionalFormatting sqref="W261">
    <cfRule type="expression" dxfId="4392" priority="344">
      <formula>AND(R261,S261)</formula>
    </cfRule>
  </conditionalFormatting>
  <conditionalFormatting sqref="W261">
    <cfRule type="expression" dxfId="4391" priority="343">
      <formula>NOT(ISBLANK(W261))</formula>
    </cfRule>
  </conditionalFormatting>
  <conditionalFormatting sqref="W261">
    <cfRule type="expression" dxfId="4390" priority="342">
      <formula>S261 = FALSE</formula>
    </cfRule>
  </conditionalFormatting>
  <conditionalFormatting sqref="W261">
    <cfRule type="expression" dxfId="4389" priority="341">
      <formula>OR(T261 = TRUE, AND(W261 = TRUE, S261 = FALSE))</formula>
    </cfRule>
  </conditionalFormatting>
  <conditionalFormatting sqref="W266">
    <cfRule type="expression" dxfId="4388" priority="340">
      <formula>AND(R266,S266)</formula>
    </cfRule>
  </conditionalFormatting>
  <conditionalFormatting sqref="W266">
    <cfRule type="expression" dxfId="4387" priority="339">
      <formula>NOT(ISBLANK(W266))</formula>
    </cfRule>
  </conditionalFormatting>
  <conditionalFormatting sqref="W266">
    <cfRule type="expression" dxfId="4386" priority="338">
      <formula>S266 = FALSE</formula>
    </cfRule>
  </conditionalFormatting>
  <conditionalFormatting sqref="W266">
    <cfRule type="expression" dxfId="4385" priority="337">
      <formula>OR(T266 = TRUE, AND(W266 = TRUE, S266 = FALSE))</formula>
    </cfRule>
  </conditionalFormatting>
  <conditionalFormatting sqref="W272">
    <cfRule type="expression" dxfId="4384" priority="336">
      <formula>AND(R272,S272)</formula>
    </cfRule>
  </conditionalFormatting>
  <conditionalFormatting sqref="W272">
    <cfRule type="expression" dxfId="4383" priority="335">
      <formula>NOT(ISBLANK(W272))</formula>
    </cfRule>
  </conditionalFormatting>
  <conditionalFormatting sqref="W272">
    <cfRule type="expression" dxfId="4382" priority="334">
      <formula>S272 = FALSE</formula>
    </cfRule>
  </conditionalFormatting>
  <conditionalFormatting sqref="W272">
    <cfRule type="expression" dxfId="4381" priority="333">
      <formula>OR(T272 = TRUE, AND(W272 = TRUE, S272 = FALSE))</formula>
    </cfRule>
  </conditionalFormatting>
  <conditionalFormatting sqref="W279">
    <cfRule type="expression" dxfId="4380" priority="332">
      <formula>AND(R279,S279)</formula>
    </cfRule>
  </conditionalFormatting>
  <conditionalFormatting sqref="W279">
    <cfRule type="expression" dxfId="4379" priority="331">
      <formula>NOT(ISBLANK(W279))</formula>
    </cfRule>
  </conditionalFormatting>
  <conditionalFormatting sqref="W279">
    <cfRule type="expression" dxfId="4378" priority="330">
      <formula>S279 = FALSE</formula>
    </cfRule>
  </conditionalFormatting>
  <conditionalFormatting sqref="W279">
    <cfRule type="expression" dxfId="4377" priority="329">
      <formula>OR(T279 = TRUE, AND(W279 = TRUE, S279 = FALSE))</formula>
    </cfRule>
  </conditionalFormatting>
  <conditionalFormatting sqref="W284">
    <cfRule type="expression" dxfId="4376" priority="328">
      <formula>AND(R284,S284)</formula>
    </cfRule>
  </conditionalFormatting>
  <conditionalFormatting sqref="W284">
    <cfRule type="expression" dxfId="4375" priority="327">
      <formula>NOT(ISBLANK(W284))</formula>
    </cfRule>
  </conditionalFormatting>
  <conditionalFormatting sqref="W284">
    <cfRule type="expression" dxfId="4374" priority="326">
      <formula>S284 = FALSE</formula>
    </cfRule>
  </conditionalFormatting>
  <conditionalFormatting sqref="W284">
    <cfRule type="expression" dxfId="4373" priority="325">
      <formula>OR(T284 = TRUE, AND(W284 = TRUE, S284 = FALSE))</formula>
    </cfRule>
  </conditionalFormatting>
  <conditionalFormatting sqref="W291">
    <cfRule type="expression" dxfId="4372" priority="324">
      <formula>AND(R291,S291)</formula>
    </cfRule>
  </conditionalFormatting>
  <conditionalFormatting sqref="W291">
    <cfRule type="expression" dxfId="4371" priority="323">
      <formula>NOT(ISBLANK(W291))</formula>
    </cfRule>
  </conditionalFormatting>
  <conditionalFormatting sqref="W291">
    <cfRule type="expression" dxfId="4370" priority="322">
      <formula>S291 = FALSE</formula>
    </cfRule>
  </conditionalFormatting>
  <conditionalFormatting sqref="W291">
    <cfRule type="expression" dxfId="4369" priority="321">
      <formula>OR(T291 = TRUE, AND(W291 = TRUE, S291 = FALSE))</formula>
    </cfRule>
  </conditionalFormatting>
  <conditionalFormatting sqref="W296">
    <cfRule type="expression" dxfId="4368" priority="320">
      <formula>AND(R296,S296)</formula>
    </cfRule>
  </conditionalFormatting>
  <conditionalFormatting sqref="W296">
    <cfRule type="expression" dxfId="4367" priority="319">
      <formula>NOT(ISBLANK(W296))</formula>
    </cfRule>
  </conditionalFormatting>
  <conditionalFormatting sqref="W296">
    <cfRule type="expression" dxfId="4366" priority="318">
      <formula>S296 = FALSE</formula>
    </cfRule>
  </conditionalFormatting>
  <conditionalFormatting sqref="W296">
    <cfRule type="expression" dxfId="4365" priority="317">
      <formula>OR(T296 = TRUE, AND(W296 = TRUE, S296 = FALSE))</formula>
    </cfRule>
  </conditionalFormatting>
  <conditionalFormatting sqref="W304">
    <cfRule type="expression" dxfId="4364" priority="316">
      <formula>AND(R304,S304)</formula>
    </cfRule>
  </conditionalFormatting>
  <conditionalFormatting sqref="W304">
    <cfRule type="expression" dxfId="4363" priority="315">
      <formula>NOT(ISBLANK(W304))</formula>
    </cfRule>
  </conditionalFormatting>
  <conditionalFormatting sqref="W304">
    <cfRule type="expression" dxfId="4362" priority="314">
      <formula>S304 = FALSE</formula>
    </cfRule>
  </conditionalFormatting>
  <conditionalFormatting sqref="W304">
    <cfRule type="expression" dxfId="4361" priority="313">
      <formula>OR(T304 = TRUE, AND(W304 = TRUE, S304 = FALSE))</formula>
    </cfRule>
  </conditionalFormatting>
  <conditionalFormatting sqref="W388">
    <cfRule type="expression" dxfId="4360" priority="304">
      <formula>AND(R388,S388)</formula>
    </cfRule>
  </conditionalFormatting>
  <conditionalFormatting sqref="W388">
    <cfRule type="expression" dxfId="4359" priority="303">
      <formula>AND(R388,LEN(TRIM(W388))&gt;0)</formula>
    </cfRule>
  </conditionalFormatting>
  <conditionalFormatting sqref="W388">
    <cfRule type="expression" dxfId="4358" priority="302">
      <formula>S388 = FALSE</formula>
    </cfRule>
  </conditionalFormatting>
  <conditionalFormatting sqref="W388">
    <cfRule type="expression" dxfId="4357" priority="301">
      <formula>OR(T388 = TRUE, AND(W388 &gt; 0, S388 = FALSE))</formula>
    </cfRule>
  </conditionalFormatting>
  <conditionalFormatting sqref="W533">
    <cfRule type="expression" dxfId="4356" priority="300">
      <formula>AND(R533,S533)</formula>
    </cfRule>
  </conditionalFormatting>
  <conditionalFormatting sqref="W533">
    <cfRule type="expression" dxfId="4355" priority="299">
      <formula>AND(S533,LEN(TRIM(W533))&gt;0)</formula>
    </cfRule>
  </conditionalFormatting>
  <conditionalFormatting sqref="W533">
    <cfRule type="expression" dxfId="4354" priority="298">
      <formula>S533 = FALSE</formula>
    </cfRule>
  </conditionalFormatting>
  <conditionalFormatting sqref="W533">
    <cfRule type="expression" dxfId="4353" priority="297">
      <formula>OR(T533 = TRUE, AND(W533 &gt; 0, S533 = FALSE))</formula>
    </cfRule>
  </conditionalFormatting>
  <conditionalFormatting sqref="W541">
    <cfRule type="expression" dxfId="4352" priority="296">
      <formula>AND($R$541,$S$541)</formula>
    </cfRule>
  </conditionalFormatting>
  <conditionalFormatting sqref="W541">
    <cfRule type="expression" dxfId="4351" priority="295">
      <formula>AND(IF($R$541,$W$541,TRUE),LEN(TRIM($W$541))&gt;0)</formula>
    </cfRule>
  </conditionalFormatting>
  <conditionalFormatting sqref="W541">
    <cfRule type="expression" dxfId="4350" priority="294">
      <formula>$S$541 = FALSE</formula>
    </cfRule>
  </conditionalFormatting>
  <conditionalFormatting sqref="W541">
    <cfRule type="expression" dxfId="4349" priority="293">
      <formula>OR($T$541 = TRUE, AND($W$541 = TRUE, $S$541 = FALSE))</formula>
    </cfRule>
  </conditionalFormatting>
  <conditionalFormatting sqref="W544">
    <cfRule type="expression" dxfId="4348" priority="292">
      <formula>AND($R$544,$S$544)</formula>
    </cfRule>
  </conditionalFormatting>
  <conditionalFormatting sqref="W544">
    <cfRule type="expression" dxfId="4347" priority="291">
      <formula>AND(IF($R$544,$W$544,TRUE),LEN(TRIM($W$544))&gt;0)</formula>
    </cfRule>
  </conditionalFormatting>
  <conditionalFormatting sqref="W544">
    <cfRule type="expression" dxfId="4346" priority="290">
      <formula>$S$544 = FALSE</formula>
    </cfRule>
  </conditionalFormatting>
  <conditionalFormatting sqref="W544">
    <cfRule type="expression" dxfId="4345" priority="289">
      <formula>OR($T$544 = TRUE, AND($W$544 = TRUE, $S$544 = FALSE))</formula>
    </cfRule>
  </conditionalFormatting>
  <conditionalFormatting sqref="W555">
    <cfRule type="expression" dxfId="4344" priority="288">
      <formula>AND($R$555,$S$555)</formula>
    </cfRule>
  </conditionalFormatting>
  <conditionalFormatting sqref="W555">
    <cfRule type="expression" dxfId="4343" priority="287">
      <formula>AND(IF($R$555,$W$555,TRUE),LEN(TRIM($W$555))&gt;0)</formula>
    </cfRule>
  </conditionalFormatting>
  <conditionalFormatting sqref="W555">
    <cfRule type="expression" dxfId="4342" priority="286">
      <formula>$S$555 = FALSE</formula>
    </cfRule>
  </conditionalFormatting>
  <conditionalFormatting sqref="W555">
    <cfRule type="expression" dxfId="4341" priority="285">
      <formula>OR($T$555 = TRUE, AND($W$555 = TRUE, $S$555 = FALSE))</formula>
    </cfRule>
  </conditionalFormatting>
  <conditionalFormatting sqref="W557">
    <cfRule type="expression" dxfId="4340" priority="284">
      <formula>AND($R$557,$S$557)</formula>
    </cfRule>
  </conditionalFormatting>
  <conditionalFormatting sqref="W557">
    <cfRule type="expression" dxfId="4339" priority="283">
      <formula>AND(IF($R$557,$W$557,TRUE),LEN(TRIM($W$557))&gt;0)</formula>
    </cfRule>
  </conditionalFormatting>
  <conditionalFormatting sqref="W557">
    <cfRule type="expression" dxfId="4338" priority="282">
      <formula>$S$557 = FALSE</formula>
    </cfRule>
  </conditionalFormatting>
  <conditionalFormatting sqref="W557">
    <cfRule type="expression" dxfId="4337" priority="281">
      <formula>OR($T$557 = TRUE, AND($W$557 = TRUE, $S$557 = FALSE))</formula>
    </cfRule>
  </conditionalFormatting>
  <conditionalFormatting sqref="W576">
    <cfRule type="expression" dxfId="4336" priority="280">
      <formula>AND(R576,S576)</formula>
    </cfRule>
  </conditionalFormatting>
  <conditionalFormatting sqref="W576">
    <cfRule type="expression" dxfId="4335" priority="279">
      <formula>NOT(ISBLANK(W576))</formula>
    </cfRule>
  </conditionalFormatting>
  <conditionalFormatting sqref="W576">
    <cfRule type="expression" dxfId="4334" priority="278">
      <formula>S576 = FALSE</formula>
    </cfRule>
  </conditionalFormatting>
  <conditionalFormatting sqref="W576">
    <cfRule type="expression" dxfId="4333" priority="277">
      <formula>OR(T576 = TRUE, AND(W576 = TRUE, S576 = FALSE))</formula>
    </cfRule>
  </conditionalFormatting>
  <conditionalFormatting sqref="W666">
    <cfRule type="expression" dxfId="4332" priority="276">
      <formula>AND(R666,S666)</formula>
    </cfRule>
  </conditionalFormatting>
  <conditionalFormatting sqref="W666">
    <cfRule type="expression" dxfId="4331" priority="275">
      <formula>AND(S666,LEN(TRIM(W666))&gt;0)</formula>
    </cfRule>
  </conditionalFormatting>
  <conditionalFormatting sqref="W666">
    <cfRule type="expression" dxfId="4330" priority="274">
      <formula>S666 = FALSE</formula>
    </cfRule>
  </conditionalFormatting>
  <conditionalFormatting sqref="W666">
    <cfRule type="expression" dxfId="4329" priority="273">
      <formula>OR(T666 = TRUE, AND(W666 &gt; 0, S666 = FALSE))</formula>
    </cfRule>
  </conditionalFormatting>
  <conditionalFormatting sqref="W664">
    <cfRule type="expression" dxfId="4328" priority="268">
      <formula>AND($R$664,$S$664)</formula>
    </cfRule>
  </conditionalFormatting>
  <conditionalFormatting sqref="W664">
    <cfRule type="expression" dxfId="4327" priority="267">
      <formula>AND(IF($R$664,$W$664,TRUE),LEN(TRIM($W$664))&gt;0)</formula>
    </cfRule>
  </conditionalFormatting>
  <conditionalFormatting sqref="W664">
    <cfRule type="expression" dxfId="4326" priority="266">
      <formula>$S$664 = FALSE</formula>
    </cfRule>
  </conditionalFormatting>
  <conditionalFormatting sqref="W664">
    <cfRule type="expression" dxfId="4325" priority="265">
      <formula>OR($T$664 = TRUE, AND($W$664 = TRUE, $S$664 = FALSE))</formula>
    </cfRule>
  </conditionalFormatting>
  <conditionalFormatting sqref="W668">
    <cfRule type="expression" dxfId="4324" priority="264">
      <formula>AND(R668,S668)</formula>
    </cfRule>
  </conditionalFormatting>
  <conditionalFormatting sqref="W668">
    <cfRule type="expression" dxfId="4323" priority="263">
      <formula>AND(S668,LEN(TRIM(W668))&gt;0)</formula>
    </cfRule>
  </conditionalFormatting>
  <conditionalFormatting sqref="W668">
    <cfRule type="expression" dxfId="4322" priority="262">
      <formula>S668 = FALSE</formula>
    </cfRule>
  </conditionalFormatting>
  <conditionalFormatting sqref="W668">
    <cfRule type="expression" dxfId="4321" priority="261">
      <formula>OR(T668 = TRUE, AND(W668 &gt; 0, S668 = FALSE))</formula>
    </cfRule>
  </conditionalFormatting>
  <conditionalFormatting sqref="W689">
    <cfRule type="expression" dxfId="4320" priority="260">
      <formula>AND($R$689,$S$689)</formula>
    </cfRule>
  </conditionalFormatting>
  <conditionalFormatting sqref="W689">
    <cfRule type="expression" dxfId="4319" priority="259">
      <formula>AND(IF($R$689,$W$689,TRUE),LEN(TRIM($W$689))&gt;0)</formula>
    </cfRule>
  </conditionalFormatting>
  <conditionalFormatting sqref="W689">
    <cfRule type="expression" dxfId="4318" priority="258">
      <formula>$S$689 = FALSE</formula>
    </cfRule>
  </conditionalFormatting>
  <conditionalFormatting sqref="W689">
    <cfRule type="expression" dxfId="4317" priority="257">
      <formula>OR($T$689 = TRUE, AND($W$689 = TRUE, $S$689 = FALSE))</formula>
    </cfRule>
  </conditionalFormatting>
  <conditionalFormatting sqref="W699">
    <cfRule type="expression" dxfId="4316" priority="256">
      <formula>AND($R$699,$S$699)</formula>
    </cfRule>
  </conditionalFormatting>
  <conditionalFormatting sqref="W699">
    <cfRule type="expression" dxfId="4315" priority="255">
      <formula>AND(IF($R$699,$W$699,TRUE),LEN(TRIM($W$699))&gt;0)</formula>
    </cfRule>
  </conditionalFormatting>
  <conditionalFormatting sqref="W699">
    <cfRule type="expression" dxfId="4314" priority="254">
      <formula>$S$699 = FALSE</formula>
    </cfRule>
  </conditionalFormatting>
  <conditionalFormatting sqref="W699">
    <cfRule type="expression" dxfId="4313" priority="253">
      <formula>OR($T$699 = TRUE, AND($W$699 = TRUE, $S$699 = FALSE))</formula>
    </cfRule>
  </conditionalFormatting>
  <conditionalFormatting sqref="W701">
    <cfRule type="expression" dxfId="4312" priority="252">
      <formula>AND($R$701,$S$701)</formula>
    </cfRule>
  </conditionalFormatting>
  <conditionalFormatting sqref="W701">
    <cfRule type="expression" dxfId="4311" priority="251">
      <formula>AND(IF($R$701,$W$701,TRUE),LEN(TRIM($W$701))&gt;0)</formula>
    </cfRule>
  </conditionalFormatting>
  <conditionalFormatting sqref="W701">
    <cfRule type="expression" dxfId="4310" priority="250">
      <formula>$S$701 = FALSE</formula>
    </cfRule>
  </conditionalFormatting>
  <conditionalFormatting sqref="W701">
    <cfRule type="expression" dxfId="4309" priority="249">
      <formula>OR($T$701 = TRUE, AND($W$701 = TRUE, $S$701 = FALSE))</formula>
    </cfRule>
  </conditionalFormatting>
  <conditionalFormatting sqref="W710">
    <cfRule type="expression" dxfId="4308" priority="248">
      <formula>AND($R$710,$S$710)</formula>
    </cfRule>
  </conditionalFormatting>
  <conditionalFormatting sqref="W710">
    <cfRule type="expression" dxfId="4307" priority="247">
      <formula>AND(IF($R$710,$W$710,TRUE),LEN(TRIM($W$710))&gt;0)</formula>
    </cfRule>
  </conditionalFormatting>
  <conditionalFormatting sqref="W710">
    <cfRule type="expression" dxfId="4306" priority="246">
      <formula>$S$710 = FALSE</formula>
    </cfRule>
  </conditionalFormatting>
  <conditionalFormatting sqref="W710">
    <cfRule type="expression" dxfId="4305" priority="245">
      <formula>OR($T$710 = TRUE, AND($W$710 = TRUE, $S$710 = FALSE))</formula>
    </cfRule>
  </conditionalFormatting>
  <conditionalFormatting sqref="W714">
    <cfRule type="expression" dxfId="4304" priority="244">
      <formula>AND($R$714,$S$714)</formula>
    </cfRule>
  </conditionalFormatting>
  <conditionalFormatting sqref="W714">
    <cfRule type="expression" dxfId="4303" priority="243">
      <formula>AND(IF($R$714,$W$714,TRUE),LEN(TRIM($W$714))&gt;0)</formula>
    </cfRule>
  </conditionalFormatting>
  <conditionalFormatting sqref="W714">
    <cfRule type="expression" dxfId="4302" priority="242">
      <formula>$S$714 = FALSE</formula>
    </cfRule>
  </conditionalFormatting>
  <conditionalFormatting sqref="W714">
    <cfRule type="expression" dxfId="4301" priority="241">
      <formula>OR($T$714 = TRUE, AND($W$714 = TRUE, $S$714 = FALSE))</formula>
    </cfRule>
  </conditionalFormatting>
  <conditionalFormatting sqref="W719">
    <cfRule type="expression" dxfId="4300" priority="240">
      <formula>AND($R$719,$S$719)</formula>
    </cfRule>
  </conditionalFormatting>
  <conditionalFormatting sqref="W719">
    <cfRule type="expression" dxfId="4299" priority="239">
      <formula>AND(IF($R$719,$W$719,TRUE),LEN(TRIM($W$719))&gt;0)</formula>
    </cfRule>
  </conditionalFormatting>
  <conditionalFormatting sqref="W719">
    <cfRule type="expression" dxfId="4298" priority="238">
      <formula>$S$719 = FALSE</formula>
    </cfRule>
  </conditionalFormatting>
  <conditionalFormatting sqref="W719">
    <cfRule type="expression" dxfId="4297" priority="237">
      <formula>OR($T$719 = TRUE, AND($W$719 = TRUE, $S$719 = FALSE))</formula>
    </cfRule>
  </conditionalFormatting>
  <conditionalFormatting sqref="W720">
    <cfRule type="expression" dxfId="4296" priority="236">
      <formula>AND($R$720,$S$720)</formula>
    </cfRule>
  </conditionalFormatting>
  <conditionalFormatting sqref="W720">
    <cfRule type="expression" dxfId="4295" priority="235">
      <formula>AND(IF($R$720,$W$720,TRUE),LEN(TRIM($W$720))&gt;0)</formula>
    </cfRule>
  </conditionalFormatting>
  <conditionalFormatting sqref="W720">
    <cfRule type="expression" dxfId="4294" priority="234">
      <formula>$S$720 = FALSE</formula>
    </cfRule>
  </conditionalFormatting>
  <conditionalFormatting sqref="W720">
    <cfRule type="expression" dxfId="4293" priority="233">
      <formula>OR($T$720 = TRUE, AND($W$720 = TRUE, $S$720 = FALSE))</formula>
    </cfRule>
  </conditionalFormatting>
  <conditionalFormatting sqref="W334">
    <cfRule type="expression" dxfId="4292" priority="232">
      <formula>AND(R334,S334)</formula>
    </cfRule>
  </conditionalFormatting>
  <conditionalFormatting sqref="W334">
    <cfRule type="expression" dxfId="4291" priority="231">
      <formula>AND(S334,LEN(TRIM(W334))&gt;0)</formula>
    </cfRule>
  </conditionalFormatting>
  <conditionalFormatting sqref="W334">
    <cfRule type="expression" dxfId="4290" priority="230">
      <formula>S334 = FALSE</formula>
    </cfRule>
  </conditionalFormatting>
  <conditionalFormatting sqref="W334">
    <cfRule type="expression" dxfId="4289" priority="229">
      <formula>OR(T334 = TRUE, AND(W334 &gt; 0, S334 = FALSE))</formula>
    </cfRule>
  </conditionalFormatting>
  <conditionalFormatting sqref="W585">
    <cfRule type="expression" dxfId="4288" priority="228">
      <formula>AND($R$585,$S$585)</formula>
    </cfRule>
  </conditionalFormatting>
  <conditionalFormatting sqref="W585">
    <cfRule type="expression" dxfId="4287" priority="227">
      <formula>AND(IF($R$585,$W$585,TRUE),LEN(TRIM($W$585))&gt;0)</formula>
    </cfRule>
  </conditionalFormatting>
  <conditionalFormatting sqref="W585">
    <cfRule type="expression" dxfId="4286" priority="226">
      <formula>$S$585 = FALSE</formula>
    </cfRule>
  </conditionalFormatting>
  <conditionalFormatting sqref="W585">
    <cfRule type="expression" dxfId="4285" priority="225">
      <formula>OR($T$585 = TRUE, AND($W$585 = TRUE, $S$585 = FALSE))</formula>
    </cfRule>
  </conditionalFormatting>
  <conditionalFormatting sqref="W587">
    <cfRule type="expression" dxfId="4284" priority="224">
      <formula>AND($R$587,$S$587)</formula>
    </cfRule>
  </conditionalFormatting>
  <conditionalFormatting sqref="W587">
    <cfRule type="expression" dxfId="4283" priority="223">
      <formula>AND(IF($R$587,$W$587,TRUE),LEN(TRIM($W$587))&gt;0)</formula>
    </cfRule>
  </conditionalFormatting>
  <conditionalFormatting sqref="W587">
    <cfRule type="expression" dxfId="4282" priority="222">
      <formula>$S$587 = FALSE</formula>
    </cfRule>
  </conditionalFormatting>
  <conditionalFormatting sqref="W587">
    <cfRule type="expression" dxfId="4281" priority="221">
      <formula>OR($T$587 = TRUE, AND($W$587 = TRUE, $S$587 = FALSE))</formula>
    </cfRule>
  </conditionalFormatting>
  <conditionalFormatting sqref="W277">
    <cfRule type="expression" dxfId="4280" priority="220">
      <formula>AND(R277,S277)</formula>
    </cfRule>
  </conditionalFormatting>
  <conditionalFormatting sqref="W277">
    <cfRule type="expression" dxfId="4279" priority="219">
      <formula>NOT(ISBLANK(W277))</formula>
    </cfRule>
  </conditionalFormatting>
  <conditionalFormatting sqref="W277">
    <cfRule type="expression" dxfId="4278" priority="218">
      <formula>S277 = FALSE</formula>
    </cfRule>
  </conditionalFormatting>
  <conditionalFormatting sqref="W277">
    <cfRule type="expression" dxfId="4277" priority="217">
      <formula>OR(T277 = TRUE, AND(W277 = TRUE, S277 = FALSE))</formula>
    </cfRule>
  </conditionalFormatting>
  <conditionalFormatting sqref="W42">
    <cfRule type="expression" dxfId="4276" priority="111">
      <formula>AND($R$42,$S$42)</formula>
    </cfRule>
  </conditionalFormatting>
  <conditionalFormatting sqref="W42">
    <cfRule type="expression" dxfId="4275" priority="110">
      <formula>AND($W$42&lt;&gt;"Not Met",LEN(TRIM($W$42))&gt;0)</formula>
    </cfRule>
  </conditionalFormatting>
  <conditionalFormatting sqref="W42">
    <cfRule type="expression" dxfId="4274" priority="109">
      <formula>$S$42 = FALSE</formula>
    </cfRule>
  </conditionalFormatting>
  <conditionalFormatting sqref="W42">
    <cfRule type="expression" dxfId="4273" priority="108">
      <formula>OR($T$42 = TRUE, AND(LEN(TRIM($W$42))&gt;0, $S$42 = FALSE))</formula>
    </cfRule>
  </conditionalFormatting>
  <conditionalFormatting sqref="W43">
    <cfRule type="expression" dxfId="4272" priority="107">
      <formula>AND($R$43,$S$43)</formula>
    </cfRule>
  </conditionalFormatting>
  <conditionalFormatting sqref="W43">
    <cfRule type="expression" dxfId="4271" priority="106">
      <formula>AND($W$43&lt;&gt;"Not Met",LEN(TRIM($W$43))&gt;0)</formula>
    </cfRule>
  </conditionalFormatting>
  <conditionalFormatting sqref="W43">
    <cfRule type="expression" dxfId="4270" priority="105">
      <formula>$S$43 = FALSE</formula>
    </cfRule>
  </conditionalFormatting>
  <conditionalFormatting sqref="W43">
    <cfRule type="expression" dxfId="4269" priority="104">
      <formula>OR($T$43 = TRUE, AND(LEN(TRIM($W$43))&gt;0, $S$43 = FALSE))</formula>
    </cfRule>
  </conditionalFormatting>
  <conditionalFormatting sqref="W44">
    <cfRule type="expression" dxfId="4268" priority="103">
      <formula>AND($R$44,$S$44)</formula>
    </cfRule>
  </conditionalFormatting>
  <conditionalFormatting sqref="W44">
    <cfRule type="expression" dxfId="4267" priority="102">
      <formula>AND($W$44&lt;&gt;"Not Met",LEN(TRIM($W$44))&gt;0)</formula>
    </cfRule>
  </conditionalFormatting>
  <conditionalFormatting sqref="W44">
    <cfRule type="expression" dxfId="4266" priority="101">
      <formula>$S$44 = FALSE</formula>
    </cfRule>
  </conditionalFormatting>
  <conditionalFormatting sqref="W44">
    <cfRule type="expression" dxfId="4265" priority="100">
      <formula>OR($T$44 = TRUE, AND(LEN(TRIM($W$44))&gt;0, $S$44 = FALSE))</formula>
    </cfRule>
  </conditionalFormatting>
  <conditionalFormatting sqref="W45">
    <cfRule type="expression" dxfId="4264" priority="99">
      <formula>AND($R$45,$S$45)</formula>
    </cfRule>
  </conditionalFormatting>
  <conditionalFormatting sqref="W45">
    <cfRule type="expression" dxfId="4263" priority="98">
      <formula>AND($W$45&lt;&gt;"Not Met",LEN(TRIM($W$45))&gt;0)</formula>
    </cfRule>
  </conditionalFormatting>
  <conditionalFormatting sqref="W45">
    <cfRule type="expression" dxfId="4262" priority="97">
      <formula>$S$45 = FALSE</formula>
    </cfRule>
  </conditionalFormatting>
  <conditionalFormatting sqref="W45">
    <cfRule type="expression" dxfId="4261" priority="96">
      <formula>OR($T$45 = TRUE, AND(LEN(TRIM($W$45))&gt;0, $S$45 = FALSE))</formula>
    </cfRule>
  </conditionalFormatting>
  <conditionalFormatting sqref="W46">
    <cfRule type="expression" dxfId="4260" priority="95">
      <formula>AND($R$46,$S$46)</formula>
    </cfRule>
  </conditionalFormatting>
  <conditionalFormatting sqref="W46">
    <cfRule type="expression" dxfId="4259" priority="94">
      <formula>AND($W$46&lt;&gt;"Not Met",LEN(TRIM($W$46))&gt;0)</formula>
    </cfRule>
  </conditionalFormatting>
  <conditionalFormatting sqref="W46">
    <cfRule type="expression" dxfId="4258" priority="93">
      <formula>$S$46 = FALSE</formula>
    </cfRule>
  </conditionalFormatting>
  <conditionalFormatting sqref="W46">
    <cfRule type="expression" dxfId="4257" priority="92">
      <formula>OR($T$46 = TRUE, AND(LEN(TRIM($W$46))&gt;0, $S$46 = FALSE))</formula>
    </cfRule>
  </conditionalFormatting>
  <conditionalFormatting sqref="W47">
    <cfRule type="expression" dxfId="4256" priority="91">
      <formula>AND($R$47,$S$47)</formula>
    </cfRule>
  </conditionalFormatting>
  <conditionalFormatting sqref="W47">
    <cfRule type="expression" dxfId="4255" priority="90">
      <formula>AND($W$47&lt;&gt;"Not Met",LEN(TRIM($W$47))&gt;0)</formula>
    </cfRule>
  </conditionalFormatting>
  <conditionalFormatting sqref="W47">
    <cfRule type="expression" dxfId="4254" priority="89">
      <formula>$S$47 = FALSE</formula>
    </cfRule>
  </conditionalFormatting>
  <conditionalFormatting sqref="W47">
    <cfRule type="expression" dxfId="4253" priority="88">
      <formula>OR($T$47 = TRUE, AND(LEN(TRIM($W$47))&gt;0, $S$47 = FALSE))</formula>
    </cfRule>
  </conditionalFormatting>
  <conditionalFormatting sqref="W48">
    <cfRule type="expression" dxfId="4252" priority="87">
      <formula>AND($R$48,$S$48)</formula>
    </cfRule>
  </conditionalFormatting>
  <conditionalFormatting sqref="W48">
    <cfRule type="expression" dxfId="4251" priority="86">
      <formula>AND($W$48&lt;&gt;"Not Met",LEN(TRIM($W$48))&gt;0)</formula>
    </cfRule>
  </conditionalFormatting>
  <conditionalFormatting sqref="W48">
    <cfRule type="expression" dxfId="4250" priority="85">
      <formula>$S$48 = FALSE</formula>
    </cfRule>
  </conditionalFormatting>
  <conditionalFormatting sqref="W48">
    <cfRule type="expression" dxfId="4249" priority="84">
      <formula>OR($T$48 = TRUE, AND(LEN(TRIM($W$48))&gt;0, $S$48 = FALSE))</formula>
    </cfRule>
  </conditionalFormatting>
  <conditionalFormatting sqref="W49">
    <cfRule type="expression" dxfId="4248" priority="83">
      <formula>AND($R$49,$S$49)</formula>
    </cfRule>
  </conditionalFormatting>
  <conditionalFormatting sqref="W49">
    <cfRule type="expression" dxfId="4247" priority="82">
      <formula>AND($W$49&lt;&gt;"Not Met",LEN(TRIM($W$49))&gt;0)</formula>
    </cfRule>
  </conditionalFormatting>
  <conditionalFormatting sqref="W49">
    <cfRule type="expression" dxfId="4246" priority="81">
      <formula>$S$49 = FALSE</formula>
    </cfRule>
  </conditionalFormatting>
  <conditionalFormatting sqref="W49">
    <cfRule type="expression" dxfId="4245" priority="80">
      <formula>OR($T$49 = TRUE, AND(LEN(TRIM($W$49))&gt;0, $S$49 = FALSE))</formula>
    </cfRule>
  </conditionalFormatting>
  <conditionalFormatting sqref="W50">
    <cfRule type="expression" dxfId="4244" priority="79">
      <formula>AND($R$50,$S$50)</formula>
    </cfRule>
  </conditionalFormatting>
  <conditionalFormatting sqref="W50">
    <cfRule type="expression" dxfId="4243" priority="78">
      <formula>AND($W$50&lt;&gt;"Not Met",LEN(TRIM($W$50))&gt;0)</formula>
    </cfRule>
  </conditionalFormatting>
  <conditionalFormatting sqref="W50">
    <cfRule type="expression" dxfId="4242" priority="77">
      <formula>$S$50 = FALSE</formula>
    </cfRule>
  </conditionalFormatting>
  <conditionalFormatting sqref="W50">
    <cfRule type="expression" dxfId="4241" priority="76">
      <formula>OR($T$50 = TRUE, AND(LEN(TRIM($W$50))&gt;0, $S$50 = FALSE))</formula>
    </cfRule>
  </conditionalFormatting>
  <conditionalFormatting sqref="W51">
    <cfRule type="expression" dxfId="4240" priority="75">
      <formula>AND($R$51,$S$51)</formula>
    </cfRule>
  </conditionalFormatting>
  <conditionalFormatting sqref="W51">
    <cfRule type="expression" dxfId="4239" priority="74">
      <formula>AND($W$51&lt;&gt;"Not Met",LEN(TRIM($W$51))&gt;0)</formula>
    </cfRule>
  </conditionalFormatting>
  <conditionalFormatting sqref="W51">
    <cfRule type="expression" dxfId="4238" priority="73">
      <formula>$S$51 = FALSE</formula>
    </cfRule>
  </conditionalFormatting>
  <conditionalFormatting sqref="W51">
    <cfRule type="expression" dxfId="4237" priority="72">
      <formula>OR($T$51 = TRUE, AND(LEN(TRIM($W$51))&gt;0, $S$51 = FALSE))</formula>
    </cfRule>
  </conditionalFormatting>
  <conditionalFormatting sqref="W52">
    <cfRule type="expression" dxfId="4236" priority="71">
      <formula>AND($R$52,$S$52)</formula>
    </cfRule>
  </conditionalFormatting>
  <conditionalFormatting sqref="W52">
    <cfRule type="expression" dxfId="4235" priority="70">
      <formula>AND($W$52&lt;&gt;"Not Met",LEN(TRIM($W$52))&gt;0)</formula>
    </cfRule>
  </conditionalFormatting>
  <conditionalFormatting sqref="W52">
    <cfRule type="expression" dxfId="4234" priority="69">
      <formula>$S$52 = FALSE</formula>
    </cfRule>
  </conditionalFormatting>
  <conditionalFormatting sqref="W52">
    <cfRule type="expression" dxfId="4233" priority="68">
      <formula>OR($T$52 = TRUE, AND(LEN(TRIM($W$52))&gt;0, $S$52 = FALSE))</formula>
    </cfRule>
  </conditionalFormatting>
  <conditionalFormatting sqref="W53">
    <cfRule type="expression" dxfId="4232" priority="67">
      <formula>AND($R$53,$S$53)</formula>
    </cfRule>
  </conditionalFormatting>
  <conditionalFormatting sqref="W53">
    <cfRule type="expression" dxfId="4231" priority="66">
      <formula>AND($W$53&lt;&gt;"Not Met",LEN(TRIM($W$53))&gt;0)</formula>
    </cfRule>
  </conditionalFormatting>
  <conditionalFormatting sqref="W53">
    <cfRule type="expression" dxfId="4230" priority="65">
      <formula>$S$53 = FALSE</formula>
    </cfRule>
  </conditionalFormatting>
  <conditionalFormatting sqref="W53">
    <cfRule type="expression" dxfId="4229" priority="64">
      <formula>OR($T$53 = TRUE, AND(LEN(TRIM($W$53))&gt;0, $S$53 = FALSE))</formula>
    </cfRule>
  </conditionalFormatting>
  <conditionalFormatting sqref="W54">
    <cfRule type="expression" dxfId="4228" priority="63">
      <formula>AND($R$54,$S$54)</formula>
    </cfRule>
  </conditionalFormatting>
  <conditionalFormatting sqref="W54">
    <cfRule type="expression" dxfId="4227" priority="62">
      <formula>AND($W$54&lt;&gt;"Not Met",LEN(TRIM($W$54))&gt;0)</formula>
    </cfRule>
  </conditionalFormatting>
  <conditionalFormatting sqref="W54">
    <cfRule type="expression" dxfId="4226" priority="61">
      <formula>$S$54 = FALSE</formula>
    </cfRule>
  </conditionalFormatting>
  <conditionalFormatting sqref="W54">
    <cfRule type="expression" dxfId="4225" priority="60">
      <formula>OR($T$54 = TRUE, AND(LEN(TRIM($W$54))&gt;0, $S$54 = FALSE))</formula>
    </cfRule>
  </conditionalFormatting>
  <conditionalFormatting sqref="X232:X237">
    <cfRule type="expression" dxfId="4224" priority="59">
      <formula>W233=INDEX(INDIRECT(U233),1)</formula>
    </cfRule>
  </conditionalFormatting>
  <conditionalFormatting sqref="X238:X244">
    <cfRule type="expression" dxfId="4223" priority="58">
      <formula>W239=INDEX(INDIRECT(U239),1)</formula>
    </cfRule>
  </conditionalFormatting>
  <conditionalFormatting sqref="X579:X581">
    <cfRule type="expression" dxfId="4222" priority="57">
      <formula>W579=TRUE</formula>
    </cfRule>
  </conditionalFormatting>
  <conditionalFormatting sqref="X587:X589">
    <cfRule type="expression" dxfId="4221" priority="56">
      <formula>W587=TRUE</formula>
    </cfRule>
  </conditionalFormatting>
  <conditionalFormatting sqref="W10">
    <cfRule type="expression" dxfId="4220" priority="55">
      <formula>$W$10="Path not chosen"</formula>
    </cfRule>
  </conditionalFormatting>
  <conditionalFormatting sqref="W146">
    <cfRule type="expression" dxfId="4219" priority="54">
      <formula>AND(R146,S146)</formula>
    </cfRule>
  </conditionalFormatting>
  <conditionalFormatting sqref="W146">
    <cfRule type="expression" dxfId="4218" priority="53">
      <formula>NOT(ISBLANK(W146))</formula>
    </cfRule>
  </conditionalFormatting>
  <conditionalFormatting sqref="W146">
    <cfRule type="expression" dxfId="4217" priority="52">
      <formula>S146 = FALSE</formula>
    </cfRule>
  </conditionalFormatting>
  <conditionalFormatting sqref="W146">
    <cfRule type="expression" dxfId="4216" priority="51">
      <formula>OR(T146 = TRUE, AND(W146 = TRUE, S146 = FALSE))</formula>
    </cfRule>
  </conditionalFormatting>
  <conditionalFormatting sqref="W107">
    <cfRule type="expression" dxfId="4215" priority="50">
      <formula>AND($R$107,$S$107)</formula>
    </cfRule>
  </conditionalFormatting>
  <conditionalFormatting sqref="W107">
    <cfRule type="expression" dxfId="4214" priority="49">
      <formula>AND($W$107&lt;&gt;"Not Met",LEN(TRIM($W$107))&gt;0)</formula>
    </cfRule>
  </conditionalFormatting>
  <conditionalFormatting sqref="W107">
    <cfRule type="expression" dxfId="4213" priority="48">
      <formula>$S$107 = FALSE</formula>
    </cfRule>
  </conditionalFormatting>
  <conditionalFormatting sqref="W107">
    <cfRule type="expression" dxfId="4212" priority="47">
      <formula>OR($T$107 = TRUE, AND(LEN(TRIM($W$107))&gt;0, $S$107 = FALSE))</formula>
    </cfRule>
  </conditionalFormatting>
  <conditionalFormatting sqref="W129">
    <cfRule type="expression" dxfId="4211" priority="46">
      <formula>AND($R$129,$S$129)</formula>
    </cfRule>
  </conditionalFormatting>
  <conditionalFormatting sqref="W129">
    <cfRule type="expression" dxfId="4210" priority="45">
      <formula>AND($W$129&lt;&gt;"Not Met",LEN(TRIM($W$129))&gt;0)</formula>
    </cfRule>
  </conditionalFormatting>
  <conditionalFormatting sqref="W129">
    <cfRule type="expression" dxfId="4209" priority="44">
      <formula>$S$129 = FALSE</formula>
    </cfRule>
  </conditionalFormatting>
  <conditionalFormatting sqref="W129">
    <cfRule type="expression" dxfId="4208" priority="43">
      <formula>OR($T$129 = TRUE, AND(LEN(TRIM($W$129))&gt;0, $S$129 = FALSE))</formula>
    </cfRule>
  </conditionalFormatting>
  <conditionalFormatting sqref="W133">
    <cfRule type="expression" dxfId="4207" priority="42">
      <formula>AND($R$133,$S$133)</formula>
    </cfRule>
  </conditionalFormatting>
  <conditionalFormatting sqref="W133">
    <cfRule type="expression" dxfId="4206" priority="41">
      <formula>AND($W$133&lt;&gt;"Not Met",LEN(TRIM($W$133))&gt;0)</formula>
    </cfRule>
  </conditionalFormatting>
  <conditionalFormatting sqref="W133">
    <cfRule type="expression" dxfId="4205" priority="40">
      <formula>$S$133 = FALSE</formula>
    </cfRule>
  </conditionalFormatting>
  <conditionalFormatting sqref="W133">
    <cfRule type="expression" dxfId="4204" priority="39">
      <formula>OR($T$133 = TRUE, AND(LEN(TRIM($W$133))&gt;0, $S$133 = FALSE))</formula>
    </cfRule>
  </conditionalFormatting>
  <conditionalFormatting sqref="W578">
    <cfRule type="expression" dxfId="4203" priority="38">
      <formula>AND(R578,S578)</formula>
    </cfRule>
  </conditionalFormatting>
  <conditionalFormatting sqref="W578">
    <cfRule type="expression" dxfId="4202" priority="37">
      <formula>NOT(ISBLANK(W578))</formula>
    </cfRule>
  </conditionalFormatting>
  <conditionalFormatting sqref="W578">
    <cfRule type="expression" dxfId="4201" priority="36">
      <formula>S578 = FALSE</formula>
    </cfRule>
  </conditionalFormatting>
  <conditionalFormatting sqref="W578">
    <cfRule type="expression" dxfId="4200" priority="35">
      <formula>OR(T578 = TRUE, AND(W578 = TRUE, S578 = FALSE))</formula>
    </cfRule>
  </conditionalFormatting>
  <conditionalFormatting sqref="W56">
    <cfRule type="expression" dxfId="4199" priority="34">
      <formula>AND($R$56,$S$56)</formula>
    </cfRule>
  </conditionalFormatting>
  <conditionalFormatting sqref="W56">
    <cfRule type="expression" dxfId="4198" priority="33">
      <formula>AND(IF($R$56,$W$56,TRUE),LEN(TRIM($W$56))&gt;0)</formula>
    </cfRule>
  </conditionalFormatting>
  <conditionalFormatting sqref="W56">
    <cfRule type="expression" dxfId="4197" priority="32">
      <formula>$S$56 = FALSE</formula>
    </cfRule>
  </conditionalFormatting>
  <conditionalFormatting sqref="W56">
    <cfRule type="expression" dxfId="4196" priority="31">
      <formula>OR($T$56 = TRUE, AND($W$56 = TRUE, $S$56 = FALSE))</formula>
    </cfRule>
  </conditionalFormatting>
  <conditionalFormatting sqref="W323">
    <cfRule type="expression" dxfId="4195" priority="30">
      <formula>AND(R323,S323)</formula>
    </cfRule>
  </conditionalFormatting>
  <conditionalFormatting sqref="W323">
    <cfRule type="expression" dxfId="4194" priority="29">
      <formula>NOT(ISBLANK(W323))</formula>
    </cfRule>
  </conditionalFormatting>
  <conditionalFormatting sqref="W323">
    <cfRule type="expression" dxfId="4193" priority="28">
      <formula>S323 = FALSE</formula>
    </cfRule>
  </conditionalFormatting>
  <conditionalFormatting sqref="W323">
    <cfRule type="expression" dxfId="4192" priority="27">
      <formula>OR(T323 = TRUE, AND(W323 = TRUE, S323 = FALSE))</formula>
    </cfRule>
  </conditionalFormatting>
  <conditionalFormatting sqref="W325">
    <cfRule type="expression" dxfId="4191" priority="26">
      <formula>AND(R325,S325)</formula>
    </cfRule>
  </conditionalFormatting>
  <conditionalFormatting sqref="W325">
    <cfRule type="expression" dxfId="4190" priority="25">
      <formula>NOT(ISBLANK(W325))</formula>
    </cfRule>
  </conditionalFormatting>
  <conditionalFormatting sqref="W325">
    <cfRule type="expression" dxfId="4189" priority="24">
      <formula>S325 = FALSE</formula>
    </cfRule>
  </conditionalFormatting>
  <conditionalFormatting sqref="W325">
    <cfRule type="expression" dxfId="4188" priority="23">
      <formula>OR(T325 = TRUE, AND(W325 = TRUE, S325 = FALSE))</formula>
    </cfRule>
  </conditionalFormatting>
  <conditionalFormatting sqref="M322:M325">
    <cfRule type="expression" dxfId="4187" priority="22">
      <formula>(T326&gt;6)</formula>
    </cfRule>
  </conditionalFormatting>
  <conditionalFormatting sqref="W196">
    <cfRule type="expression" dxfId="4186" priority="17">
      <formula>AND($R$196,$S$196)</formula>
    </cfRule>
  </conditionalFormatting>
  <conditionalFormatting sqref="W196">
    <cfRule type="expression" dxfId="4185" priority="16">
      <formula>AND($W$196&lt;&gt;"Not Met",LEN(TRIM($W$196))&gt;0)</formula>
    </cfRule>
  </conditionalFormatting>
  <conditionalFormatting sqref="W196">
    <cfRule type="expression" dxfId="4184" priority="15">
      <formula>$S$196 = FALSE</formula>
    </cfRule>
  </conditionalFormatting>
  <conditionalFormatting sqref="W196">
    <cfRule type="expression" dxfId="4183" priority="14">
      <formula>OR($T$196 = TRUE, AND(LEN(TRIM($W$196))&gt;0, $S$196 = FALSE))</formula>
    </cfRule>
  </conditionalFormatting>
  <conditionalFormatting sqref="W160">
    <cfRule type="expression" dxfId="4182" priority="13">
      <formula>AND($R$160,$S$160)</formula>
    </cfRule>
  </conditionalFormatting>
  <conditionalFormatting sqref="W160">
    <cfRule type="expression" dxfId="4181" priority="12">
      <formula>AND($W$160&lt;&gt;"Not Met",LEN(TRIM($W$160))&gt;0)</formula>
    </cfRule>
  </conditionalFormatting>
  <conditionalFormatting sqref="W160">
    <cfRule type="expression" dxfId="4180" priority="11">
      <formula>$S$160 = FALSE</formula>
    </cfRule>
  </conditionalFormatting>
  <conditionalFormatting sqref="W160">
    <cfRule type="expression" dxfId="4179" priority="10">
      <formula>OR($T$160 = TRUE, AND(LEN(TRIM($W$160))&gt;0, $S$160 = FALSE))</formula>
    </cfRule>
  </conditionalFormatting>
  <conditionalFormatting sqref="W172">
    <cfRule type="expression" dxfId="4178" priority="9">
      <formula>AND($R$172,$S$172)</formula>
    </cfRule>
  </conditionalFormatting>
  <conditionalFormatting sqref="W172">
    <cfRule type="expression" dxfId="4177" priority="8">
      <formula>AND($W$172&lt;&gt;"Not Met",LEN(TRIM($W$172))&gt;0)</formula>
    </cfRule>
  </conditionalFormatting>
  <conditionalFormatting sqref="W172">
    <cfRule type="expression" dxfId="4176" priority="7">
      <formula>$S$172 = FALSE</formula>
    </cfRule>
  </conditionalFormatting>
  <conditionalFormatting sqref="W172">
    <cfRule type="expression" dxfId="4175" priority="6">
      <formula>OR($T$172 = TRUE, AND(LEN(TRIM($W$172))&gt;0, $S$172 = FALSE))</formula>
    </cfRule>
  </conditionalFormatting>
  <conditionalFormatting sqref="W175">
    <cfRule type="expression" dxfId="4174" priority="5">
      <formula>AND($R$175,$S$175)</formula>
    </cfRule>
  </conditionalFormatting>
  <conditionalFormatting sqref="W175">
    <cfRule type="expression" dxfId="4173" priority="4">
      <formula>AND($W$175&lt;&gt;"Not Met",LEN(TRIM($W$175))&gt;0)</formula>
    </cfRule>
  </conditionalFormatting>
  <conditionalFormatting sqref="W175">
    <cfRule type="expression" dxfId="4172" priority="3">
      <formula>$S$175 = FALSE</formula>
    </cfRule>
  </conditionalFormatting>
  <conditionalFormatting sqref="W175">
    <cfRule type="expression" dxfId="4171" priority="2">
      <formula>OR($T$175 = TRUE, AND(LEN(TRIM($W$175))&gt;0, $S$175 = FALSE))</formula>
    </cfRule>
  </conditionalFormatting>
  <conditionalFormatting sqref="X160 X172 X175">
    <cfRule type="expression" dxfId="4170" priority="1">
      <formula>(W160=INDEX(INDIRECT(U160),3))</formula>
    </cfRule>
  </conditionalFormatting>
  <dataValidations xWindow="1349" yWindow="897" count="54">
    <dataValidation type="list" allowBlank="1" showDropDown="1" showInputMessage="1" showErrorMessage="1" error="Use Checkbox" prompt="Use Checkbox" sqref="W19 W414:W416 W38 W579 W12 W28 W78 W81 W34 W31 W699 W587 W124 W126 W710 W701 W714 W694 W684:W686 W678 W661 W659 W657 W643:W650 W627 W624 W619:W622 W612 W610 W608 W598 W596 W689 W546 W535:W536 W530 W527 W509 W476 W474 W472 W470 W465 W463 W461 W457:W459 W455 W447 W419 W585 W411 W409 W407 W384 W382 W380 W320 W317:W318 W314:W315 W309 W302 W292 W289 W245 W56 W187 W178 W557 W555 W544 W541 W664 W719:W720" xr:uid="{00000000-0002-0000-0500-000000000000}">
      <formula1>TorF</formula1>
    </dataValidation>
    <dataValidation type="list" allowBlank="1" showInputMessage="1" showErrorMessage="1" error="Please use the dropdown." sqref="W22" xr:uid="{00000000-0002-0000-0500-000001000000}">
      <formula1>INDIRECT($U$22)</formula1>
    </dataValidation>
    <dataValidation type="list" allowBlank="1" showInputMessage="1" showErrorMessage="1" error="Please use the dropdown." sqref="W117" xr:uid="{00000000-0002-0000-0500-000002000000}">
      <formula1>INDIRECT($U$117)</formula1>
    </dataValidation>
    <dataValidation type="decimal" allowBlank="1" showDropDown="1" showInputMessage="1" showErrorMessage="1" prompt="Enter the ACH50" sqref="W59 W576" xr:uid="{00000000-0002-0000-0500-000003000000}">
      <formula1>0</formula1>
      <formula2>50</formula2>
    </dataValidation>
    <dataValidation type="decimal" allowBlank="1" showDropDown="1" showInputMessage="1" showErrorMessage="1" prompt="Enter the ELR50" sqref="W62 W578" xr:uid="{00000000-0002-0000-0500-000004000000}">
      <formula1>0</formula1>
      <formula2>1</formula2>
    </dataValidation>
    <dataValidation type="list" allowBlank="1" showInputMessage="1" showErrorMessage="1" error="Please use the dropdown." sqref="W705" xr:uid="{1BC672F4-D2B7-4C68-9FDD-F3A056345B1B}">
      <formula1>INDIRECT($U$705)</formula1>
    </dataValidation>
    <dataValidation type="list" allowBlank="1" showInputMessage="1" showErrorMessage="1" error="Please use the dropdown." sqref="W632" xr:uid="{009CCDBB-E4CE-44A1-A1C7-97DACBD2DA70}">
      <formula1>INDIRECT($U$632)</formula1>
    </dataValidation>
    <dataValidation type="list" allowBlank="1" showInputMessage="1" showErrorMessage="1" error="Please use the dropdown." sqref="W590" xr:uid="{E4D1850A-25EE-4418-BA48-C4A11D746292}">
      <formula1>INDIRECT($U$590)</formula1>
    </dataValidation>
    <dataValidation type="list" allowBlank="1" showInputMessage="1" showErrorMessage="1" error="Please use the dropdown." sqref="W522" xr:uid="{6C38CEB7-33AE-4328-8D5D-5DBC2F1F8346}">
      <formula1>INDIRECT($U$522)</formula1>
    </dataValidation>
    <dataValidation type="list" allowBlank="1" showInputMessage="1" showErrorMessage="1" error="Please use the dropdown." sqref="W517" xr:uid="{6A1DC682-AD4B-4E19-A462-F6E4CA86157E}">
      <formula1>INDIRECT($U$517)</formula1>
    </dataValidation>
    <dataValidation type="list" allowBlank="1" showInputMessage="1" showErrorMessage="1" error="Please use the dropdown." sqref="W513" xr:uid="{D4F6EA05-2605-4079-9F5B-FEDAC4A85735}">
      <formula1>INDIRECT($U$513)</formula1>
    </dataValidation>
    <dataValidation type="list" allowBlank="1" showInputMessage="1" showErrorMessage="1" error="Please use the dropdown." sqref="W505" xr:uid="{E2163250-8CE3-484F-A3A4-9CE0FEB3F125}">
      <formula1>INDIRECT($U$505)</formula1>
    </dataValidation>
    <dataValidation type="list" allowBlank="1" showInputMessage="1" showErrorMessage="1" error="Please use the dropdown." sqref="W386" xr:uid="{9AC0B0EF-6350-4C02-9D86-55406605E6F4}">
      <formula1>INDIRECT($U$386)</formula1>
    </dataValidation>
    <dataValidation type="list" allowBlank="1" showInputMessage="1" showErrorMessage="1" error="Please use the dropdown." sqref="W332" xr:uid="{3A82DB5F-98EF-4C39-9341-4E3E14735D23}">
      <formula1>INDIRECT($U$332)</formula1>
    </dataValidation>
    <dataValidation type="list" allowBlank="1" showInputMessage="1" showErrorMessage="1" error="Please use the dropdown." sqref="W321" xr:uid="{CD7315C9-4342-498B-8629-87976EB008B6}">
      <formula1>INDIRECT($U$321)</formula1>
    </dataValidation>
    <dataValidation type="list" allowBlank="1" showInputMessage="1" showErrorMessage="1" error="Please use the dropdown." sqref="W239" xr:uid="{8EA02647-B1FA-4D5F-9FAE-7A81F7C80E20}">
      <formula1>INDIRECT($U$239)</formula1>
    </dataValidation>
    <dataValidation type="list" allowBlank="1" showInputMessage="1" showErrorMessage="1" error="Please use the dropdown." sqref="W233" xr:uid="{C4126FA0-8689-4050-A518-BA3944AD3C29}">
      <formula1>INDIRECT($U$233)</formula1>
    </dataValidation>
    <dataValidation type="list" allowBlank="1" showInputMessage="1" showErrorMessage="1" error="Please use the dropdown." sqref="W222" xr:uid="{0D2DDB1F-9E66-4654-99CD-1308569E65A0}">
      <formula1>INDIRECT($U$222)</formula1>
    </dataValidation>
    <dataValidation type="list" allowBlank="1" showInputMessage="1" showErrorMessage="1" error="Please use the dropdown." sqref="W212" xr:uid="{BB8FEF68-AD19-471B-B7D4-D101B5A69010}">
      <formula1>INDIRECT($U$212)</formula1>
    </dataValidation>
    <dataValidation type="list" allowBlank="1" showInputMessage="1" showErrorMessage="1" error="Please use the dropdown." sqref="W203" xr:uid="{AFBCA11C-4D66-4B19-99C6-2D16B440B8A1}">
      <formula1>INDIRECT($U$203)</formula1>
    </dataValidation>
    <dataValidation type="decimal" allowBlank="1" showDropDown="1" showInputMessage="1" showErrorMessage="1" error="Enter a percentage" prompt="Enter a percentage" sqref="W180 W146" xr:uid="{0D8318DD-264A-46A1-87BD-0CB8AB79AECA}">
      <formula1>0</formula1>
      <formula2>1</formula2>
    </dataValidation>
    <dataValidation type="decimal" allowBlank="1" showDropDown="1" showInputMessage="1" showErrorMessage="1" error="Enter a nuber of inches" prompt="Enter a number of inches" sqref="W186" xr:uid="{3FDF1032-9820-41D2-B47D-E43168F3FD84}">
      <formula1>0</formula1>
      <formula2>36</formula2>
    </dataValidation>
    <dataValidation type="decimal" allowBlank="1" showDropDown="1" showInputMessage="1" showErrorMessage="1" prompt="Enter the AFUE" sqref="W252 W258 W261 W266" xr:uid="{27E4C0CA-CA1E-4C52-B26C-18336E0878DB}">
      <formula1>0</formula1>
      <formula2>1</formula2>
    </dataValidation>
    <dataValidation type="decimal" allowBlank="1" showDropDown="1" showInputMessage="1" showErrorMessage="1" prompt="Enter the HSPF" sqref="W272 W277" xr:uid="{6A5CAE78-B4BE-4F59-B6E7-CD09190FF84D}">
      <formula1>0</formula1>
      <formula2>100</formula2>
    </dataValidation>
    <dataValidation type="decimal" allowBlank="1" showDropDown="1" showInputMessage="1" showErrorMessage="1" prompt="Enter the COP" sqref="W279 W291" xr:uid="{788B901B-B208-4A5D-BC64-708C2A4A9F3F}">
      <formula1>0</formula1>
      <formula2>100</formula2>
    </dataValidation>
    <dataValidation type="decimal" allowBlank="1" showDropDown="1" showInputMessage="1" showErrorMessage="1" prompt="Enter the SEER" sqref="W284" xr:uid="{1D5AE14C-12D5-4496-8316-B4D43B41A204}">
      <formula1>0</formula1>
      <formula2>100</formula2>
    </dataValidation>
    <dataValidation type="decimal" allowBlank="1" showDropDown="1" showInputMessage="1" showErrorMessage="1" prompt="Enter the EER" sqref="W296" xr:uid="{2E052FF4-6261-4C6E-8617-F632B05560B2}">
      <formula1>0</formula1>
      <formula2>100</formula2>
    </dataValidation>
    <dataValidation type="whole" allowBlank="1" showDropDown="1" showInputMessage="1" showErrorMessage="1" prompt="Enter number of fans" sqref="W304" xr:uid="{43DD3E90-BC70-4378-AC84-6131F64FC365}">
      <formula1>0</formula1>
      <formula2>100</formula2>
    </dataValidation>
    <dataValidation type="decimal" allowBlank="1" showDropDown="1" showInputMessage="1" showErrorMessage="1" error="Enter a Number" prompt="Enter cfm/100 sf" sqref="W323 W325" xr:uid="{BCF07BFB-C7A3-48CE-B389-30754DAC0A2A}">
      <formula1>0</formula1>
      <formula2>4</formula2>
    </dataValidation>
    <dataValidation type="decimal" allowBlank="1" showDropDown="1" showInputMessage="1" showErrorMessage="1" error="Enter a number" prompt="Enter SEF" sqref="W388" xr:uid="{6469C2C2-640A-446C-A68D-F793E1943CCC}">
      <formula1>0</formula1>
      <formula2>5</formula2>
    </dataValidation>
    <dataValidation type="whole" allowBlank="1" showDropDown="1" showInputMessage="1" showErrorMessage="1" error="Enter a whole number" prompt="Enter number of recessed luminaires penetrating the thermal envelope" sqref="W533" xr:uid="{945B5917-111C-430C-80F2-CA57E2877AC0}">
      <formula1>0</formula1>
      <formula2>100</formula2>
    </dataValidation>
    <dataValidation type="whole" allowBlank="1" showDropDown="1" showInputMessage="1" showErrorMessage="1" error="Enter a whole number" prompt="Enter number of kW" sqref="W666" xr:uid="{56DB36E8-BB4A-4372-9A77-70553F7EC5F7}">
      <formula1>0</formula1>
      <formula2>1000</formula2>
    </dataValidation>
    <dataValidation type="whole" allowBlank="1" showDropDown="1" showInputMessage="1" showErrorMessage="1" error="Enter a whole number" prompt="Enter number of kWh" sqref="W668" xr:uid="{0F3E25ED-506A-4100-A21E-F84AF7DFDC77}">
      <formula1>0</formula1>
      <formula2>1000</formula2>
    </dataValidation>
    <dataValidation type="decimal" allowBlank="1" showDropDown="1" showInputMessage="1" showErrorMessage="1" error="Enter a number" prompt="Enter Energy Factor or Thermal Efficiency" sqref="W334" xr:uid="{A2D7BBE1-9952-4387-945C-19335D82643F}">
      <formula1>0</formula1>
      <formula2>3</formula2>
    </dataValidation>
    <dataValidation type="list" allowBlank="1" showInputMessage="1" showErrorMessage="1" error="Please use the dropdown." sqref="W42" xr:uid="{2087FD1B-37BA-422F-B62E-037E3F38A75F}">
      <formula1>INDIRECT($U$42)</formula1>
    </dataValidation>
    <dataValidation type="list" allowBlank="1" showInputMessage="1" showErrorMessage="1" error="Please use the dropdown." sqref="W43" xr:uid="{D82350AD-E198-4163-8066-B1AA9E6AEF32}">
      <formula1>INDIRECT($U$43)</formula1>
    </dataValidation>
    <dataValidation type="list" allowBlank="1" showInputMessage="1" showErrorMessage="1" error="Please use the dropdown." sqref="W44" xr:uid="{43B9582D-6E66-4152-A9C5-41B6EC81CE69}">
      <formula1>INDIRECT($U$44)</formula1>
    </dataValidation>
    <dataValidation type="list" allowBlank="1" showInputMessage="1" showErrorMessage="1" error="Please use the dropdown." sqref="W45" xr:uid="{97C6744D-F2A2-43CB-923E-C1E9FE03CD18}">
      <formula1>INDIRECT($U$45)</formula1>
    </dataValidation>
    <dataValidation type="list" allowBlank="1" showInputMessage="1" showErrorMessage="1" error="Please use the dropdown." sqref="W46" xr:uid="{7D4CD5BF-8ECA-4C64-8821-41B2A12522CF}">
      <formula1>INDIRECT($U$46)</formula1>
    </dataValidation>
    <dataValidation type="list" allowBlank="1" showInputMessage="1" showErrorMessage="1" error="Please use the dropdown." sqref="W47" xr:uid="{12EA95E9-0E69-48AD-BB7F-582BA0BAAA0E}">
      <formula1>INDIRECT($U$47)</formula1>
    </dataValidation>
    <dataValidation type="list" allowBlank="1" showInputMessage="1" showErrorMessage="1" error="Please use the dropdown." sqref="W48" xr:uid="{172FA617-CA91-491B-A463-26CD1B327AAD}">
      <formula1>INDIRECT($U$48)</formula1>
    </dataValidation>
    <dataValidation type="list" allowBlank="1" showInputMessage="1" showErrorMessage="1" error="Please use the dropdown." sqref="W49" xr:uid="{AF89244A-4FDE-4B4A-BA04-F0A3B2E55C1D}">
      <formula1>INDIRECT($U$49)</formula1>
    </dataValidation>
    <dataValidation type="list" allowBlank="1" showInputMessage="1" showErrorMessage="1" error="Please use the dropdown." sqref="W50" xr:uid="{DE4BEB19-3151-4354-9386-012AEF27F2B2}">
      <formula1>INDIRECT($U$50)</formula1>
    </dataValidation>
    <dataValidation type="list" allowBlank="1" showInputMessage="1" showErrorMessage="1" error="Please use the dropdown." sqref="W51" xr:uid="{7E941C9C-3ABC-4CC5-9983-C0633A8C36B6}">
      <formula1>INDIRECT($U$51)</formula1>
    </dataValidation>
    <dataValidation type="list" allowBlank="1" showInputMessage="1" showErrorMessage="1" error="Please use the dropdown." sqref="W52" xr:uid="{A5FEED7E-168A-49CC-B9BA-5BA83F39AEC6}">
      <formula1>INDIRECT($U$52)</formula1>
    </dataValidation>
    <dataValidation type="list" allowBlank="1" showInputMessage="1" showErrorMessage="1" error="Please use the dropdown." sqref="W53" xr:uid="{6DD22FA8-C04E-4295-9FD3-7137154CEBE2}">
      <formula1>INDIRECT($U$53)</formula1>
    </dataValidation>
    <dataValidation type="list" allowBlank="1" showInputMessage="1" showErrorMessage="1" error="Please use the dropdown." sqref="W54" xr:uid="{207F5722-056F-4BDC-8DC2-2FA02ED40D7B}">
      <formula1>INDIRECT($U$54)</formula1>
    </dataValidation>
    <dataValidation type="list" allowBlank="1" showInputMessage="1" showErrorMessage="1" error="Please use the dropdown." sqref="W107" xr:uid="{A65B08DC-42EB-4D7E-9630-5FC468DDDF0F}">
      <formula1>INDIRECT($U$107)</formula1>
    </dataValidation>
    <dataValidation type="list" allowBlank="1" showInputMessage="1" showErrorMessage="1" error="Please use the dropdown." sqref="W129" xr:uid="{6166E37E-E45C-49BD-9865-09ECA027F19C}">
      <formula1>INDIRECT($U$129)</formula1>
    </dataValidation>
    <dataValidation type="list" allowBlank="1" showInputMessage="1" showErrorMessage="1" error="Please use the dropdown." sqref="W133" xr:uid="{A5F90176-ED79-4918-ACD2-522360818B84}">
      <formula1>INDIRECT($U$133)</formula1>
    </dataValidation>
    <dataValidation type="list" allowBlank="1" showInputMessage="1" showErrorMessage="1" error="Please use the dropdown." sqref="W196" xr:uid="{69F6636A-9F0B-4ADC-96A4-329D74BC4B5D}">
      <formula1>INDIRECT($U$196)</formula1>
    </dataValidation>
    <dataValidation type="list" allowBlank="1" showInputMessage="1" showErrorMessage="1" error="Please use the dropdown." sqref="W160" xr:uid="{FACA7E93-901A-400F-A47B-E003EFF534C7}">
      <formula1>INDIRECT($U$160)</formula1>
    </dataValidation>
    <dataValidation type="list" allowBlank="1" showInputMessage="1" showErrorMessage="1" error="Please use the dropdown." sqref="W172" xr:uid="{600D5ED5-BC6F-416C-A0E4-C5D3BE80DBC3}">
      <formula1>INDIRECT($U$172)</formula1>
    </dataValidation>
    <dataValidation type="list" allowBlank="1" showInputMessage="1" showErrorMessage="1" error="Please use the dropdown." sqref="W175" xr:uid="{6AE21ABC-884D-4347-B10C-FA40999F99A3}">
      <formula1>INDIRECT($U$175)</formula1>
    </dataValidation>
  </dataValidations>
  <hyperlinks>
    <hyperlink ref="L80" location="'Table 11.701.4.3.2(2)'!A1" display="See Table 11.701.4.3.2(2)" xr:uid="{00000000-0004-0000-0500-000000000000}"/>
    <hyperlink ref="X721" location="'Ch8'!A1" display="CLICK TO PROCEED TO CHAPTER 8 &gt;&gt;" xr:uid="{00000000-0004-0000-0500-000001000000}"/>
    <hyperlink ref="L140" location="'Table 305.2.5.1'!A1" display="See Table Table 305.2.5.1" xr:uid="{00000000-0004-0000-0500-000002000000}"/>
    <hyperlink ref="M178:M183" location="'Table 11.703.2.1(b)'!A1" display="Per Table 11.703.2.1(b)" xr:uid="{02FBF7F8-73F7-40CD-80B1-AE609B76AD11}"/>
    <hyperlink ref="M185:M186" location="'Table 11.703.2.2'!A1" display="Per Table 11.703.2.2" xr:uid="{806F1FB6-38A2-4BE5-926C-B4576DA716CD}"/>
    <hyperlink ref="M191:M193" location="'Table 11.703.2.4'!A1" display="Per Table 11.703.2.4" xr:uid="{12A52C82-7A31-462F-B399-937BFF7A239E}"/>
    <hyperlink ref="M212:M216" location="'Table 11.703.2.5.2(a),(b)&amp;(c)'!A1" display="'Table 11.703.2.5.2(a),(b)&amp;(c)'!A1" xr:uid="{ACA59CF5-0341-410B-B097-E983AE0C0040}"/>
    <hyperlink ref="L184" location="'Table 11.703.2.1(a)'!A1" display="See Table 11.703.2.1(a)" xr:uid="{6E2AEA3D-302A-48D5-872C-B362EAA8B3F6}"/>
    <hyperlink ref="L132" location="'Table 11.703.2.5.1'!A1" display="See Table 11.703.2.5.1" xr:uid="{ECDC0B3A-0778-41B2-9A20-30ECC9BFEDA9}"/>
    <hyperlink ref="L211" location="'Table 11.703.2.5.1'!A1" display="See Table 11.703.2.5.1" xr:uid="{063613C5-CBCF-43F4-9B5E-8F01F8F39A30}"/>
  </hyperlinks>
  <pageMargins left="0.7" right="0.7" top="0.75" bottom="0.75" header="0.3" footer="0.3"/>
  <pageSetup scale="61" fitToHeight="0" orientation="landscape" r:id="rId1"/>
  <rowBreaks count="2" manualBreakCount="2">
    <brk id="35" max="16383" man="1"/>
    <brk id="80" max="16383" man="1"/>
  </rowBreaks>
  <drawing r:id="rId2"/>
  <legacyDrawing r:id="rId3"/>
  <mc:AlternateContent xmlns:mc="http://schemas.openxmlformats.org/markup-compatibility/2006">
    <mc:Choice Requires="x14">
      <controls>
        <mc:AlternateContent xmlns:mc="http://schemas.openxmlformats.org/markup-compatibility/2006">
          <mc:Choice Requires="x14">
            <control shapeId="5125" r:id="rId4" name="Check Box 5">
              <controlPr locked="0" defaultSize="0" autoFill="0" autoLine="0" autoPict="0">
                <anchor moveWithCells="1">
                  <from>
                    <xdr:col>22</xdr:col>
                    <xdr:colOff>0</xdr:colOff>
                    <xdr:row>18</xdr:row>
                    <xdr:rowOff>0</xdr:rowOff>
                  </from>
                  <to>
                    <xdr:col>22</xdr:col>
                    <xdr:colOff>177800</xdr:colOff>
                    <xdr:row>18</xdr:row>
                    <xdr:rowOff>177800</xdr:rowOff>
                  </to>
                </anchor>
              </controlPr>
            </control>
          </mc:Choice>
        </mc:AlternateContent>
        <mc:AlternateContent xmlns:mc="http://schemas.openxmlformats.org/markup-compatibility/2006">
          <mc:Choice Requires="x14">
            <control shapeId="5128" r:id="rId5" name="Check Box 8">
              <controlPr locked="0" defaultSize="0" autoFill="0" autoLine="0" autoPict="0">
                <anchor moveWithCells="1">
                  <from>
                    <xdr:col>22</xdr:col>
                    <xdr:colOff>0</xdr:colOff>
                    <xdr:row>37</xdr:row>
                    <xdr:rowOff>0</xdr:rowOff>
                  </from>
                  <to>
                    <xdr:col>22</xdr:col>
                    <xdr:colOff>177800</xdr:colOff>
                    <xdr:row>37</xdr:row>
                    <xdr:rowOff>177800</xdr:rowOff>
                  </to>
                </anchor>
              </controlPr>
            </control>
          </mc:Choice>
        </mc:AlternateContent>
        <mc:AlternateContent xmlns:mc="http://schemas.openxmlformats.org/markup-compatibility/2006">
          <mc:Choice Requires="x14">
            <control shapeId="5137" r:id="rId6" name="Check Box 17">
              <controlPr locked="0" defaultSize="0" autoFill="0" autoLine="0" autoPict="0">
                <anchor moveWithCells="1">
                  <from>
                    <xdr:col>22</xdr:col>
                    <xdr:colOff>0</xdr:colOff>
                    <xdr:row>27</xdr:row>
                    <xdr:rowOff>0</xdr:rowOff>
                  </from>
                  <to>
                    <xdr:col>22</xdr:col>
                    <xdr:colOff>177800</xdr:colOff>
                    <xdr:row>27</xdr:row>
                    <xdr:rowOff>177800</xdr:rowOff>
                  </to>
                </anchor>
              </controlPr>
            </control>
          </mc:Choice>
        </mc:AlternateContent>
        <mc:AlternateContent xmlns:mc="http://schemas.openxmlformats.org/markup-compatibility/2006">
          <mc:Choice Requires="x14">
            <control shapeId="5138" r:id="rId7" name="Check Box 18">
              <controlPr locked="0" defaultSize="0" autoFill="0" autoLine="0" autoPict="0">
                <anchor moveWithCells="1">
                  <from>
                    <xdr:col>22</xdr:col>
                    <xdr:colOff>0</xdr:colOff>
                    <xdr:row>30</xdr:row>
                    <xdr:rowOff>0</xdr:rowOff>
                  </from>
                  <to>
                    <xdr:col>22</xdr:col>
                    <xdr:colOff>177800</xdr:colOff>
                    <xdr:row>30</xdr:row>
                    <xdr:rowOff>177800</xdr:rowOff>
                  </to>
                </anchor>
              </controlPr>
            </control>
          </mc:Choice>
        </mc:AlternateContent>
        <mc:AlternateContent xmlns:mc="http://schemas.openxmlformats.org/markup-compatibility/2006">
          <mc:Choice Requires="x14">
            <control shapeId="5139" r:id="rId8" name="Check Box 19">
              <controlPr locked="0" defaultSize="0" autoFill="0" autoLine="0" autoPict="0">
                <anchor moveWithCells="1">
                  <from>
                    <xdr:col>22</xdr:col>
                    <xdr:colOff>0</xdr:colOff>
                    <xdr:row>33</xdr:row>
                    <xdr:rowOff>0</xdr:rowOff>
                  </from>
                  <to>
                    <xdr:col>22</xdr:col>
                    <xdr:colOff>177800</xdr:colOff>
                    <xdr:row>33</xdr:row>
                    <xdr:rowOff>177800</xdr:rowOff>
                  </to>
                </anchor>
              </controlPr>
            </control>
          </mc:Choice>
        </mc:AlternateContent>
        <mc:AlternateContent xmlns:mc="http://schemas.openxmlformats.org/markup-compatibility/2006">
          <mc:Choice Requires="x14">
            <control shapeId="5146" r:id="rId9" name="Check Box 26">
              <controlPr locked="0" defaultSize="0" autoFill="0" autoLine="0" autoPict="0">
                <anchor moveWithCells="1">
                  <from>
                    <xdr:col>22</xdr:col>
                    <xdr:colOff>0</xdr:colOff>
                    <xdr:row>77</xdr:row>
                    <xdr:rowOff>0</xdr:rowOff>
                  </from>
                  <to>
                    <xdr:col>22</xdr:col>
                    <xdr:colOff>177800</xdr:colOff>
                    <xdr:row>77</xdr:row>
                    <xdr:rowOff>177800</xdr:rowOff>
                  </to>
                </anchor>
              </controlPr>
            </control>
          </mc:Choice>
        </mc:AlternateContent>
        <mc:AlternateContent xmlns:mc="http://schemas.openxmlformats.org/markup-compatibility/2006">
          <mc:Choice Requires="x14">
            <control shapeId="5148" r:id="rId10" name="Check Box 28">
              <controlPr locked="0" defaultSize="0" autoFill="0" autoLine="0" autoPict="0">
                <anchor moveWithCells="1">
                  <from>
                    <xdr:col>22</xdr:col>
                    <xdr:colOff>0</xdr:colOff>
                    <xdr:row>80</xdr:row>
                    <xdr:rowOff>0</xdr:rowOff>
                  </from>
                  <to>
                    <xdr:col>22</xdr:col>
                    <xdr:colOff>177800</xdr:colOff>
                    <xdr:row>80</xdr:row>
                    <xdr:rowOff>177800</xdr:rowOff>
                  </to>
                </anchor>
              </controlPr>
            </control>
          </mc:Choice>
        </mc:AlternateContent>
        <mc:AlternateContent xmlns:mc="http://schemas.openxmlformats.org/markup-compatibility/2006">
          <mc:Choice Requires="x14">
            <control shapeId="5150" r:id="rId11" name="Check Box 30">
              <controlPr locked="0" defaultSize="0" autoFill="0" autoLine="0" autoPict="0">
                <anchor moveWithCells="1">
                  <from>
                    <xdr:col>22</xdr:col>
                    <xdr:colOff>0</xdr:colOff>
                    <xdr:row>125</xdr:row>
                    <xdr:rowOff>0</xdr:rowOff>
                  </from>
                  <to>
                    <xdr:col>22</xdr:col>
                    <xdr:colOff>177800</xdr:colOff>
                    <xdr:row>125</xdr:row>
                    <xdr:rowOff>177800</xdr:rowOff>
                  </to>
                </anchor>
              </controlPr>
            </control>
          </mc:Choice>
        </mc:AlternateContent>
        <mc:AlternateContent xmlns:mc="http://schemas.openxmlformats.org/markup-compatibility/2006">
          <mc:Choice Requires="x14">
            <control shapeId="5155" r:id="rId12" name="Check Box 35">
              <controlPr locked="0" defaultSize="0" autoFill="0" autoLine="0" autoPict="0">
                <anchor moveWithCells="1">
                  <from>
                    <xdr:col>22</xdr:col>
                    <xdr:colOff>0</xdr:colOff>
                    <xdr:row>11</xdr:row>
                    <xdr:rowOff>0</xdr:rowOff>
                  </from>
                  <to>
                    <xdr:col>22</xdr:col>
                    <xdr:colOff>177800</xdr:colOff>
                    <xdr:row>11</xdr:row>
                    <xdr:rowOff>177800</xdr:rowOff>
                  </to>
                </anchor>
              </controlPr>
            </control>
          </mc:Choice>
        </mc:AlternateContent>
        <mc:AlternateContent xmlns:mc="http://schemas.openxmlformats.org/markup-compatibility/2006">
          <mc:Choice Requires="x14">
            <control shapeId="5163" r:id="rId13" name="Check Box 43">
              <controlPr locked="0" defaultSize="0" autoFill="0" autoLine="0" autoPict="0">
                <anchor moveWithCells="1">
                  <from>
                    <xdr:col>22</xdr:col>
                    <xdr:colOff>0</xdr:colOff>
                    <xdr:row>123</xdr:row>
                    <xdr:rowOff>0</xdr:rowOff>
                  </from>
                  <to>
                    <xdr:col>22</xdr:col>
                    <xdr:colOff>177800</xdr:colOff>
                    <xdr:row>123</xdr:row>
                    <xdr:rowOff>177800</xdr:rowOff>
                  </to>
                </anchor>
              </controlPr>
            </control>
          </mc:Choice>
        </mc:AlternateContent>
        <mc:AlternateContent xmlns:mc="http://schemas.openxmlformats.org/markup-compatibility/2006">
          <mc:Choice Requires="x14">
            <control shapeId="5171" r:id="rId14" name="Check Box 51">
              <controlPr locked="0" defaultSize="0" autoFill="0" autoLine="0" autoPict="0">
                <anchor moveWithCells="1">
                  <from>
                    <xdr:col>22</xdr:col>
                    <xdr:colOff>0</xdr:colOff>
                    <xdr:row>177</xdr:row>
                    <xdr:rowOff>0</xdr:rowOff>
                  </from>
                  <to>
                    <xdr:col>22</xdr:col>
                    <xdr:colOff>177800</xdr:colOff>
                    <xdr:row>177</xdr:row>
                    <xdr:rowOff>177800</xdr:rowOff>
                  </to>
                </anchor>
              </controlPr>
            </control>
          </mc:Choice>
        </mc:AlternateContent>
        <mc:AlternateContent xmlns:mc="http://schemas.openxmlformats.org/markup-compatibility/2006">
          <mc:Choice Requires="x14">
            <control shapeId="5173" r:id="rId15" name="Check Box 53">
              <controlPr locked="0" defaultSize="0" autoFill="0" autoLine="0" autoPict="0">
                <anchor moveWithCells="1">
                  <from>
                    <xdr:col>22</xdr:col>
                    <xdr:colOff>0</xdr:colOff>
                    <xdr:row>186</xdr:row>
                    <xdr:rowOff>0</xdr:rowOff>
                  </from>
                  <to>
                    <xdr:col>22</xdr:col>
                    <xdr:colOff>177800</xdr:colOff>
                    <xdr:row>186</xdr:row>
                    <xdr:rowOff>177800</xdr:rowOff>
                  </to>
                </anchor>
              </controlPr>
            </control>
          </mc:Choice>
        </mc:AlternateContent>
        <mc:AlternateContent xmlns:mc="http://schemas.openxmlformats.org/markup-compatibility/2006">
          <mc:Choice Requires="x14">
            <control shapeId="5176" r:id="rId16" name="Check Box 56">
              <controlPr locked="0" defaultSize="0" autoFill="0" autoLine="0" autoPict="0">
                <anchor moveWithCells="1">
                  <from>
                    <xdr:col>22</xdr:col>
                    <xdr:colOff>0</xdr:colOff>
                    <xdr:row>244</xdr:row>
                    <xdr:rowOff>0</xdr:rowOff>
                  </from>
                  <to>
                    <xdr:col>22</xdr:col>
                    <xdr:colOff>177800</xdr:colOff>
                    <xdr:row>244</xdr:row>
                    <xdr:rowOff>177800</xdr:rowOff>
                  </to>
                </anchor>
              </controlPr>
            </control>
          </mc:Choice>
        </mc:AlternateContent>
        <mc:AlternateContent xmlns:mc="http://schemas.openxmlformats.org/markup-compatibility/2006">
          <mc:Choice Requires="x14">
            <control shapeId="5177" r:id="rId17" name="Check Box 57">
              <controlPr locked="0" defaultSize="0" autoFill="0" autoLine="0" autoPict="0">
                <anchor moveWithCells="1">
                  <from>
                    <xdr:col>22</xdr:col>
                    <xdr:colOff>0</xdr:colOff>
                    <xdr:row>288</xdr:row>
                    <xdr:rowOff>0</xdr:rowOff>
                  </from>
                  <to>
                    <xdr:col>22</xdr:col>
                    <xdr:colOff>177800</xdr:colOff>
                    <xdr:row>288</xdr:row>
                    <xdr:rowOff>177800</xdr:rowOff>
                  </to>
                </anchor>
              </controlPr>
            </control>
          </mc:Choice>
        </mc:AlternateContent>
        <mc:AlternateContent xmlns:mc="http://schemas.openxmlformats.org/markup-compatibility/2006">
          <mc:Choice Requires="x14">
            <control shapeId="5178" r:id="rId18" name="Check Box 58">
              <controlPr locked="0" defaultSize="0" autoFill="0" autoLine="0" autoPict="0">
                <anchor moveWithCells="1">
                  <from>
                    <xdr:col>22</xdr:col>
                    <xdr:colOff>0</xdr:colOff>
                    <xdr:row>291</xdr:row>
                    <xdr:rowOff>0</xdr:rowOff>
                  </from>
                  <to>
                    <xdr:col>22</xdr:col>
                    <xdr:colOff>177800</xdr:colOff>
                    <xdr:row>291</xdr:row>
                    <xdr:rowOff>177800</xdr:rowOff>
                  </to>
                </anchor>
              </controlPr>
            </control>
          </mc:Choice>
        </mc:AlternateContent>
        <mc:AlternateContent xmlns:mc="http://schemas.openxmlformats.org/markup-compatibility/2006">
          <mc:Choice Requires="x14">
            <control shapeId="5179" r:id="rId19" name="Check Box 59">
              <controlPr locked="0" defaultSize="0" autoFill="0" autoLine="0" autoPict="0">
                <anchor moveWithCells="1">
                  <from>
                    <xdr:col>22</xdr:col>
                    <xdr:colOff>0</xdr:colOff>
                    <xdr:row>301</xdr:row>
                    <xdr:rowOff>0</xdr:rowOff>
                  </from>
                  <to>
                    <xdr:col>22</xdr:col>
                    <xdr:colOff>177800</xdr:colOff>
                    <xdr:row>301</xdr:row>
                    <xdr:rowOff>177800</xdr:rowOff>
                  </to>
                </anchor>
              </controlPr>
            </control>
          </mc:Choice>
        </mc:AlternateContent>
        <mc:AlternateContent xmlns:mc="http://schemas.openxmlformats.org/markup-compatibility/2006">
          <mc:Choice Requires="x14">
            <control shapeId="5180" r:id="rId20" name="Check Box 60">
              <controlPr locked="0" defaultSize="0" autoFill="0" autoLine="0" autoPict="0">
                <anchor moveWithCells="1">
                  <from>
                    <xdr:col>22</xdr:col>
                    <xdr:colOff>0</xdr:colOff>
                    <xdr:row>308</xdr:row>
                    <xdr:rowOff>0</xdr:rowOff>
                  </from>
                  <to>
                    <xdr:col>22</xdr:col>
                    <xdr:colOff>177800</xdr:colOff>
                    <xdr:row>308</xdr:row>
                    <xdr:rowOff>177800</xdr:rowOff>
                  </to>
                </anchor>
              </controlPr>
            </control>
          </mc:Choice>
        </mc:AlternateContent>
        <mc:AlternateContent xmlns:mc="http://schemas.openxmlformats.org/markup-compatibility/2006">
          <mc:Choice Requires="x14">
            <control shapeId="5181" r:id="rId21" name="Check Box 61">
              <controlPr locked="0" defaultSize="0" autoFill="0" autoLine="0" autoPict="0">
                <anchor moveWithCells="1">
                  <from>
                    <xdr:col>22</xdr:col>
                    <xdr:colOff>0</xdr:colOff>
                    <xdr:row>313</xdr:row>
                    <xdr:rowOff>0</xdr:rowOff>
                  </from>
                  <to>
                    <xdr:col>22</xdr:col>
                    <xdr:colOff>177800</xdr:colOff>
                    <xdr:row>313</xdr:row>
                    <xdr:rowOff>177800</xdr:rowOff>
                  </to>
                </anchor>
              </controlPr>
            </control>
          </mc:Choice>
        </mc:AlternateContent>
        <mc:AlternateContent xmlns:mc="http://schemas.openxmlformats.org/markup-compatibility/2006">
          <mc:Choice Requires="x14">
            <control shapeId="5182" r:id="rId22" name="Check Box 62">
              <controlPr locked="0" defaultSize="0" autoFill="0" autoLine="0" autoPict="0">
                <anchor moveWithCells="1">
                  <from>
                    <xdr:col>22</xdr:col>
                    <xdr:colOff>0</xdr:colOff>
                    <xdr:row>314</xdr:row>
                    <xdr:rowOff>0</xdr:rowOff>
                  </from>
                  <to>
                    <xdr:col>22</xdr:col>
                    <xdr:colOff>177800</xdr:colOff>
                    <xdr:row>314</xdr:row>
                    <xdr:rowOff>177800</xdr:rowOff>
                  </to>
                </anchor>
              </controlPr>
            </control>
          </mc:Choice>
        </mc:AlternateContent>
        <mc:AlternateContent xmlns:mc="http://schemas.openxmlformats.org/markup-compatibility/2006">
          <mc:Choice Requires="x14">
            <control shapeId="5183" r:id="rId23" name="Check Box 63">
              <controlPr locked="0" defaultSize="0" autoFill="0" autoLine="0" autoPict="0">
                <anchor moveWithCells="1">
                  <from>
                    <xdr:col>22</xdr:col>
                    <xdr:colOff>0</xdr:colOff>
                    <xdr:row>316</xdr:row>
                    <xdr:rowOff>0</xdr:rowOff>
                  </from>
                  <to>
                    <xdr:col>22</xdr:col>
                    <xdr:colOff>177800</xdr:colOff>
                    <xdr:row>316</xdr:row>
                    <xdr:rowOff>177800</xdr:rowOff>
                  </to>
                </anchor>
              </controlPr>
            </control>
          </mc:Choice>
        </mc:AlternateContent>
        <mc:AlternateContent xmlns:mc="http://schemas.openxmlformats.org/markup-compatibility/2006">
          <mc:Choice Requires="x14">
            <control shapeId="5184" r:id="rId24" name="Check Box 64">
              <controlPr locked="0" defaultSize="0" autoFill="0" autoLine="0" autoPict="0">
                <anchor moveWithCells="1">
                  <from>
                    <xdr:col>22</xdr:col>
                    <xdr:colOff>0</xdr:colOff>
                    <xdr:row>317</xdr:row>
                    <xdr:rowOff>0</xdr:rowOff>
                  </from>
                  <to>
                    <xdr:col>22</xdr:col>
                    <xdr:colOff>177800</xdr:colOff>
                    <xdr:row>317</xdr:row>
                    <xdr:rowOff>177800</xdr:rowOff>
                  </to>
                </anchor>
              </controlPr>
            </control>
          </mc:Choice>
        </mc:AlternateContent>
        <mc:AlternateContent xmlns:mc="http://schemas.openxmlformats.org/markup-compatibility/2006">
          <mc:Choice Requires="x14">
            <control shapeId="5185" r:id="rId25" name="Check Box 65">
              <controlPr locked="0" defaultSize="0" autoFill="0" autoLine="0" autoPict="0">
                <anchor moveWithCells="1">
                  <from>
                    <xdr:col>22</xdr:col>
                    <xdr:colOff>0</xdr:colOff>
                    <xdr:row>319</xdr:row>
                    <xdr:rowOff>0</xdr:rowOff>
                  </from>
                  <to>
                    <xdr:col>22</xdr:col>
                    <xdr:colOff>177800</xdr:colOff>
                    <xdr:row>319</xdr:row>
                    <xdr:rowOff>177800</xdr:rowOff>
                  </to>
                </anchor>
              </controlPr>
            </control>
          </mc:Choice>
        </mc:AlternateContent>
        <mc:AlternateContent xmlns:mc="http://schemas.openxmlformats.org/markup-compatibility/2006">
          <mc:Choice Requires="x14">
            <control shapeId="5186" r:id="rId26" name="Check Box 66">
              <controlPr locked="0" defaultSize="0" autoFill="0" autoLine="0" autoPict="0">
                <anchor moveWithCells="1">
                  <from>
                    <xdr:col>22</xdr:col>
                    <xdr:colOff>0</xdr:colOff>
                    <xdr:row>379</xdr:row>
                    <xdr:rowOff>0</xdr:rowOff>
                  </from>
                  <to>
                    <xdr:col>22</xdr:col>
                    <xdr:colOff>177800</xdr:colOff>
                    <xdr:row>379</xdr:row>
                    <xdr:rowOff>177800</xdr:rowOff>
                  </to>
                </anchor>
              </controlPr>
            </control>
          </mc:Choice>
        </mc:AlternateContent>
        <mc:AlternateContent xmlns:mc="http://schemas.openxmlformats.org/markup-compatibility/2006">
          <mc:Choice Requires="x14">
            <control shapeId="5187" r:id="rId27" name="Check Box 67">
              <controlPr locked="0" defaultSize="0" autoFill="0" autoLine="0" autoPict="0">
                <anchor moveWithCells="1">
                  <from>
                    <xdr:col>22</xdr:col>
                    <xdr:colOff>0</xdr:colOff>
                    <xdr:row>381</xdr:row>
                    <xdr:rowOff>0</xdr:rowOff>
                  </from>
                  <to>
                    <xdr:col>22</xdr:col>
                    <xdr:colOff>177800</xdr:colOff>
                    <xdr:row>381</xdr:row>
                    <xdr:rowOff>177800</xdr:rowOff>
                  </to>
                </anchor>
              </controlPr>
            </control>
          </mc:Choice>
        </mc:AlternateContent>
        <mc:AlternateContent xmlns:mc="http://schemas.openxmlformats.org/markup-compatibility/2006">
          <mc:Choice Requires="x14">
            <control shapeId="5188" r:id="rId28" name="Check Box 68">
              <controlPr locked="0" defaultSize="0" autoFill="0" autoLine="0" autoPict="0">
                <anchor moveWithCells="1">
                  <from>
                    <xdr:col>22</xdr:col>
                    <xdr:colOff>0</xdr:colOff>
                    <xdr:row>383</xdr:row>
                    <xdr:rowOff>0</xdr:rowOff>
                  </from>
                  <to>
                    <xdr:col>22</xdr:col>
                    <xdr:colOff>177800</xdr:colOff>
                    <xdr:row>383</xdr:row>
                    <xdr:rowOff>177800</xdr:rowOff>
                  </to>
                </anchor>
              </controlPr>
            </control>
          </mc:Choice>
        </mc:AlternateContent>
        <mc:AlternateContent xmlns:mc="http://schemas.openxmlformats.org/markup-compatibility/2006">
          <mc:Choice Requires="x14">
            <control shapeId="5189" r:id="rId29" name="Check Box 69">
              <controlPr locked="0" defaultSize="0" autoFill="0" autoLine="0" autoPict="0">
                <anchor moveWithCells="1">
                  <from>
                    <xdr:col>22</xdr:col>
                    <xdr:colOff>0</xdr:colOff>
                    <xdr:row>406</xdr:row>
                    <xdr:rowOff>0</xdr:rowOff>
                  </from>
                  <to>
                    <xdr:col>22</xdr:col>
                    <xdr:colOff>177800</xdr:colOff>
                    <xdr:row>406</xdr:row>
                    <xdr:rowOff>177800</xdr:rowOff>
                  </to>
                </anchor>
              </controlPr>
            </control>
          </mc:Choice>
        </mc:AlternateContent>
        <mc:AlternateContent xmlns:mc="http://schemas.openxmlformats.org/markup-compatibility/2006">
          <mc:Choice Requires="x14">
            <control shapeId="5191" r:id="rId30" name="Check Box 71">
              <controlPr locked="0" defaultSize="0" autoFill="0" autoLine="0" autoPict="0">
                <anchor moveWithCells="1">
                  <from>
                    <xdr:col>22</xdr:col>
                    <xdr:colOff>0</xdr:colOff>
                    <xdr:row>408</xdr:row>
                    <xdr:rowOff>0</xdr:rowOff>
                  </from>
                  <to>
                    <xdr:col>22</xdr:col>
                    <xdr:colOff>177800</xdr:colOff>
                    <xdr:row>408</xdr:row>
                    <xdr:rowOff>177800</xdr:rowOff>
                  </to>
                </anchor>
              </controlPr>
            </control>
          </mc:Choice>
        </mc:AlternateContent>
        <mc:AlternateContent xmlns:mc="http://schemas.openxmlformats.org/markup-compatibility/2006">
          <mc:Choice Requires="x14">
            <control shapeId="5192" r:id="rId31" name="Check Box 72">
              <controlPr locked="0" defaultSize="0" autoFill="0" autoLine="0" autoPict="0">
                <anchor moveWithCells="1">
                  <from>
                    <xdr:col>22</xdr:col>
                    <xdr:colOff>0</xdr:colOff>
                    <xdr:row>410</xdr:row>
                    <xdr:rowOff>0</xdr:rowOff>
                  </from>
                  <to>
                    <xdr:col>22</xdr:col>
                    <xdr:colOff>177800</xdr:colOff>
                    <xdr:row>410</xdr:row>
                    <xdr:rowOff>177800</xdr:rowOff>
                  </to>
                </anchor>
              </controlPr>
            </control>
          </mc:Choice>
        </mc:AlternateContent>
        <mc:AlternateContent xmlns:mc="http://schemas.openxmlformats.org/markup-compatibility/2006">
          <mc:Choice Requires="x14">
            <control shapeId="5193" r:id="rId32" name="Check Box 73">
              <controlPr locked="0" defaultSize="0" autoFill="0" autoLine="0" autoPict="0">
                <anchor moveWithCells="1">
                  <from>
                    <xdr:col>22</xdr:col>
                    <xdr:colOff>0</xdr:colOff>
                    <xdr:row>413</xdr:row>
                    <xdr:rowOff>0</xdr:rowOff>
                  </from>
                  <to>
                    <xdr:col>22</xdr:col>
                    <xdr:colOff>177800</xdr:colOff>
                    <xdr:row>413</xdr:row>
                    <xdr:rowOff>177800</xdr:rowOff>
                  </to>
                </anchor>
              </controlPr>
            </control>
          </mc:Choice>
        </mc:AlternateContent>
        <mc:AlternateContent xmlns:mc="http://schemas.openxmlformats.org/markup-compatibility/2006">
          <mc:Choice Requires="x14">
            <control shapeId="5194" r:id="rId33" name="Check Box 74">
              <controlPr locked="0" defaultSize="0" autoFill="0" autoLine="0" autoPict="0">
                <anchor moveWithCells="1">
                  <from>
                    <xdr:col>22</xdr:col>
                    <xdr:colOff>0</xdr:colOff>
                    <xdr:row>414</xdr:row>
                    <xdr:rowOff>0</xdr:rowOff>
                  </from>
                  <to>
                    <xdr:col>22</xdr:col>
                    <xdr:colOff>177800</xdr:colOff>
                    <xdr:row>414</xdr:row>
                    <xdr:rowOff>177800</xdr:rowOff>
                  </to>
                </anchor>
              </controlPr>
            </control>
          </mc:Choice>
        </mc:AlternateContent>
        <mc:AlternateContent xmlns:mc="http://schemas.openxmlformats.org/markup-compatibility/2006">
          <mc:Choice Requires="x14">
            <control shapeId="5195" r:id="rId34" name="Check Box 75">
              <controlPr locked="0" defaultSize="0" autoFill="0" autoLine="0" autoPict="0">
                <anchor moveWithCells="1">
                  <from>
                    <xdr:col>22</xdr:col>
                    <xdr:colOff>0</xdr:colOff>
                    <xdr:row>415</xdr:row>
                    <xdr:rowOff>0</xdr:rowOff>
                  </from>
                  <to>
                    <xdr:col>22</xdr:col>
                    <xdr:colOff>177800</xdr:colOff>
                    <xdr:row>415</xdr:row>
                    <xdr:rowOff>177800</xdr:rowOff>
                  </to>
                </anchor>
              </controlPr>
            </control>
          </mc:Choice>
        </mc:AlternateContent>
        <mc:AlternateContent xmlns:mc="http://schemas.openxmlformats.org/markup-compatibility/2006">
          <mc:Choice Requires="x14">
            <control shapeId="5196" r:id="rId35" name="Check Box 76">
              <controlPr locked="0" defaultSize="0" autoFill="0" autoLine="0" autoPict="0">
                <anchor moveWithCells="1">
                  <from>
                    <xdr:col>22</xdr:col>
                    <xdr:colOff>0</xdr:colOff>
                    <xdr:row>418</xdr:row>
                    <xdr:rowOff>0</xdr:rowOff>
                  </from>
                  <to>
                    <xdr:col>22</xdr:col>
                    <xdr:colOff>177800</xdr:colOff>
                    <xdr:row>418</xdr:row>
                    <xdr:rowOff>177800</xdr:rowOff>
                  </to>
                </anchor>
              </controlPr>
            </control>
          </mc:Choice>
        </mc:AlternateContent>
        <mc:AlternateContent xmlns:mc="http://schemas.openxmlformats.org/markup-compatibility/2006">
          <mc:Choice Requires="x14">
            <control shapeId="5197" r:id="rId36" name="Check Box 77">
              <controlPr locked="0" defaultSize="0" autoFill="0" autoLine="0" autoPict="0">
                <anchor moveWithCells="1">
                  <from>
                    <xdr:col>22</xdr:col>
                    <xdr:colOff>0</xdr:colOff>
                    <xdr:row>446</xdr:row>
                    <xdr:rowOff>0</xdr:rowOff>
                  </from>
                  <to>
                    <xdr:col>22</xdr:col>
                    <xdr:colOff>177800</xdr:colOff>
                    <xdr:row>446</xdr:row>
                    <xdr:rowOff>177800</xdr:rowOff>
                  </to>
                </anchor>
              </controlPr>
            </control>
          </mc:Choice>
        </mc:AlternateContent>
        <mc:AlternateContent xmlns:mc="http://schemas.openxmlformats.org/markup-compatibility/2006">
          <mc:Choice Requires="x14">
            <control shapeId="5198" r:id="rId37" name="Check Box 78">
              <controlPr locked="0" defaultSize="0" autoFill="0" autoLine="0" autoPict="0">
                <anchor moveWithCells="1">
                  <from>
                    <xdr:col>22</xdr:col>
                    <xdr:colOff>0</xdr:colOff>
                    <xdr:row>454</xdr:row>
                    <xdr:rowOff>0</xdr:rowOff>
                  </from>
                  <to>
                    <xdr:col>22</xdr:col>
                    <xdr:colOff>177800</xdr:colOff>
                    <xdr:row>454</xdr:row>
                    <xdr:rowOff>177800</xdr:rowOff>
                  </to>
                </anchor>
              </controlPr>
            </control>
          </mc:Choice>
        </mc:AlternateContent>
        <mc:AlternateContent xmlns:mc="http://schemas.openxmlformats.org/markup-compatibility/2006">
          <mc:Choice Requires="x14">
            <control shapeId="5199" r:id="rId38" name="Check Box 79">
              <controlPr locked="0" defaultSize="0" autoFill="0" autoLine="0" autoPict="0">
                <anchor moveWithCells="1">
                  <from>
                    <xdr:col>22</xdr:col>
                    <xdr:colOff>0</xdr:colOff>
                    <xdr:row>456</xdr:row>
                    <xdr:rowOff>0</xdr:rowOff>
                  </from>
                  <to>
                    <xdr:col>22</xdr:col>
                    <xdr:colOff>177800</xdr:colOff>
                    <xdr:row>456</xdr:row>
                    <xdr:rowOff>177800</xdr:rowOff>
                  </to>
                </anchor>
              </controlPr>
            </control>
          </mc:Choice>
        </mc:AlternateContent>
        <mc:AlternateContent xmlns:mc="http://schemas.openxmlformats.org/markup-compatibility/2006">
          <mc:Choice Requires="x14">
            <control shapeId="5200" r:id="rId39" name="Check Box 80">
              <controlPr locked="0" defaultSize="0" autoFill="0" autoLine="0" autoPict="0">
                <anchor moveWithCells="1">
                  <from>
                    <xdr:col>22</xdr:col>
                    <xdr:colOff>0</xdr:colOff>
                    <xdr:row>457</xdr:row>
                    <xdr:rowOff>0</xdr:rowOff>
                  </from>
                  <to>
                    <xdr:col>22</xdr:col>
                    <xdr:colOff>177800</xdr:colOff>
                    <xdr:row>457</xdr:row>
                    <xdr:rowOff>177800</xdr:rowOff>
                  </to>
                </anchor>
              </controlPr>
            </control>
          </mc:Choice>
        </mc:AlternateContent>
        <mc:AlternateContent xmlns:mc="http://schemas.openxmlformats.org/markup-compatibility/2006">
          <mc:Choice Requires="x14">
            <control shapeId="5201" r:id="rId40" name="Check Box 81">
              <controlPr locked="0" defaultSize="0" autoFill="0" autoLine="0" autoPict="0">
                <anchor moveWithCells="1">
                  <from>
                    <xdr:col>22</xdr:col>
                    <xdr:colOff>0</xdr:colOff>
                    <xdr:row>458</xdr:row>
                    <xdr:rowOff>0</xdr:rowOff>
                  </from>
                  <to>
                    <xdr:col>22</xdr:col>
                    <xdr:colOff>177800</xdr:colOff>
                    <xdr:row>458</xdr:row>
                    <xdr:rowOff>177800</xdr:rowOff>
                  </to>
                </anchor>
              </controlPr>
            </control>
          </mc:Choice>
        </mc:AlternateContent>
        <mc:AlternateContent xmlns:mc="http://schemas.openxmlformats.org/markup-compatibility/2006">
          <mc:Choice Requires="x14">
            <control shapeId="5202" r:id="rId41" name="Check Box 82">
              <controlPr locked="0" defaultSize="0" autoFill="0" autoLine="0" autoPict="0">
                <anchor moveWithCells="1">
                  <from>
                    <xdr:col>22</xdr:col>
                    <xdr:colOff>0</xdr:colOff>
                    <xdr:row>460</xdr:row>
                    <xdr:rowOff>0</xdr:rowOff>
                  </from>
                  <to>
                    <xdr:col>22</xdr:col>
                    <xdr:colOff>177800</xdr:colOff>
                    <xdr:row>460</xdr:row>
                    <xdr:rowOff>177800</xdr:rowOff>
                  </to>
                </anchor>
              </controlPr>
            </control>
          </mc:Choice>
        </mc:AlternateContent>
        <mc:AlternateContent xmlns:mc="http://schemas.openxmlformats.org/markup-compatibility/2006">
          <mc:Choice Requires="x14">
            <control shapeId="5203" r:id="rId42" name="Check Box 83">
              <controlPr locked="0" defaultSize="0" autoFill="0" autoLine="0" autoPict="0">
                <anchor moveWithCells="1">
                  <from>
                    <xdr:col>22</xdr:col>
                    <xdr:colOff>0</xdr:colOff>
                    <xdr:row>462</xdr:row>
                    <xdr:rowOff>0</xdr:rowOff>
                  </from>
                  <to>
                    <xdr:col>22</xdr:col>
                    <xdr:colOff>177800</xdr:colOff>
                    <xdr:row>462</xdr:row>
                    <xdr:rowOff>177800</xdr:rowOff>
                  </to>
                </anchor>
              </controlPr>
            </control>
          </mc:Choice>
        </mc:AlternateContent>
        <mc:AlternateContent xmlns:mc="http://schemas.openxmlformats.org/markup-compatibility/2006">
          <mc:Choice Requires="x14">
            <control shapeId="5204" r:id="rId43" name="Check Box 84">
              <controlPr locked="0" defaultSize="0" autoFill="0" autoLine="0" autoPict="0">
                <anchor moveWithCells="1">
                  <from>
                    <xdr:col>22</xdr:col>
                    <xdr:colOff>0</xdr:colOff>
                    <xdr:row>464</xdr:row>
                    <xdr:rowOff>0</xdr:rowOff>
                  </from>
                  <to>
                    <xdr:col>22</xdr:col>
                    <xdr:colOff>177800</xdr:colOff>
                    <xdr:row>464</xdr:row>
                    <xdr:rowOff>177800</xdr:rowOff>
                  </to>
                </anchor>
              </controlPr>
            </control>
          </mc:Choice>
        </mc:AlternateContent>
        <mc:AlternateContent xmlns:mc="http://schemas.openxmlformats.org/markup-compatibility/2006">
          <mc:Choice Requires="x14">
            <control shapeId="5205" r:id="rId44" name="Check Box 85">
              <controlPr locked="0" defaultSize="0" autoFill="0" autoLine="0" autoPict="0">
                <anchor moveWithCells="1">
                  <from>
                    <xdr:col>22</xdr:col>
                    <xdr:colOff>0</xdr:colOff>
                    <xdr:row>469</xdr:row>
                    <xdr:rowOff>0</xdr:rowOff>
                  </from>
                  <to>
                    <xdr:col>22</xdr:col>
                    <xdr:colOff>177800</xdr:colOff>
                    <xdr:row>469</xdr:row>
                    <xdr:rowOff>177800</xdr:rowOff>
                  </to>
                </anchor>
              </controlPr>
            </control>
          </mc:Choice>
        </mc:AlternateContent>
        <mc:AlternateContent xmlns:mc="http://schemas.openxmlformats.org/markup-compatibility/2006">
          <mc:Choice Requires="x14">
            <control shapeId="5206" r:id="rId45" name="Check Box 86">
              <controlPr locked="0" defaultSize="0" autoFill="0" autoLine="0" autoPict="0">
                <anchor moveWithCells="1">
                  <from>
                    <xdr:col>22</xdr:col>
                    <xdr:colOff>0</xdr:colOff>
                    <xdr:row>471</xdr:row>
                    <xdr:rowOff>0</xdr:rowOff>
                  </from>
                  <to>
                    <xdr:col>22</xdr:col>
                    <xdr:colOff>177800</xdr:colOff>
                    <xdr:row>471</xdr:row>
                    <xdr:rowOff>177800</xdr:rowOff>
                  </to>
                </anchor>
              </controlPr>
            </control>
          </mc:Choice>
        </mc:AlternateContent>
        <mc:AlternateContent xmlns:mc="http://schemas.openxmlformats.org/markup-compatibility/2006">
          <mc:Choice Requires="x14">
            <control shapeId="5207" r:id="rId46" name="Check Box 87">
              <controlPr locked="0" defaultSize="0" autoFill="0" autoLine="0" autoPict="0">
                <anchor moveWithCells="1">
                  <from>
                    <xdr:col>22</xdr:col>
                    <xdr:colOff>0</xdr:colOff>
                    <xdr:row>473</xdr:row>
                    <xdr:rowOff>0</xdr:rowOff>
                  </from>
                  <to>
                    <xdr:col>22</xdr:col>
                    <xdr:colOff>177800</xdr:colOff>
                    <xdr:row>473</xdr:row>
                    <xdr:rowOff>177800</xdr:rowOff>
                  </to>
                </anchor>
              </controlPr>
            </control>
          </mc:Choice>
        </mc:AlternateContent>
        <mc:AlternateContent xmlns:mc="http://schemas.openxmlformats.org/markup-compatibility/2006">
          <mc:Choice Requires="x14">
            <control shapeId="5208" r:id="rId47" name="Check Box 88">
              <controlPr locked="0" defaultSize="0" autoFill="0" autoLine="0" autoPict="0">
                <anchor moveWithCells="1">
                  <from>
                    <xdr:col>22</xdr:col>
                    <xdr:colOff>0</xdr:colOff>
                    <xdr:row>475</xdr:row>
                    <xdr:rowOff>0</xdr:rowOff>
                  </from>
                  <to>
                    <xdr:col>22</xdr:col>
                    <xdr:colOff>177800</xdr:colOff>
                    <xdr:row>475</xdr:row>
                    <xdr:rowOff>177800</xdr:rowOff>
                  </to>
                </anchor>
              </controlPr>
            </control>
          </mc:Choice>
        </mc:AlternateContent>
        <mc:AlternateContent xmlns:mc="http://schemas.openxmlformats.org/markup-compatibility/2006">
          <mc:Choice Requires="x14">
            <control shapeId="5210" r:id="rId48" name="Check Box 90">
              <controlPr locked="0" defaultSize="0" autoFill="0" autoLine="0" autoPict="0">
                <anchor moveWithCells="1">
                  <from>
                    <xdr:col>22</xdr:col>
                    <xdr:colOff>0</xdr:colOff>
                    <xdr:row>508</xdr:row>
                    <xdr:rowOff>0</xdr:rowOff>
                  </from>
                  <to>
                    <xdr:col>22</xdr:col>
                    <xdr:colOff>177800</xdr:colOff>
                    <xdr:row>508</xdr:row>
                    <xdr:rowOff>177800</xdr:rowOff>
                  </to>
                </anchor>
              </controlPr>
            </control>
          </mc:Choice>
        </mc:AlternateContent>
        <mc:AlternateContent xmlns:mc="http://schemas.openxmlformats.org/markup-compatibility/2006">
          <mc:Choice Requires="x14">
            <control shapeId="5211" r:id="rId49" name="Check Box 91">
              <controlPr locked="0" defaultSize="0" autoFill="0" autoLine="0" autoPict="0">
                <anchor moveWithCells="1">
                  <from>
                    <xdr:col>22</xdr:col>
                    <xdr:colOff>0</xdr:colOff>
                    <xdr:row>526</xdr:row>
                    <xdr:rowOff>0</xdr:rowOff>
                  </from>
                  <to>
                    <xdr:col>22</xdr:col>
                    <xdr:colOff>177800</xdr:colOff>
                    <xdr:row>526</xdr:row>
                    <xdr:rowOff>177800</xdr:rowOff>
                  </to>
                </anchor>
              </controlPr>
            </control>
          </mc:Choice>
        </mc:AlternateContent>
        <mc:AlternateContent xmlns:mc="http://schemas.openxmlformats.org/markup-compatibility/2006">
          <mc:Choice Requires="x14">
            <control shapeId="5212" r:id="rId50" name="Check Box 92">
              <controlPr locked="0" defaultSize="0" autoFill="0" autoLine="0" autoPict="0">
                <anchor moveWithCells="1">
                  <from>
                    <xdr:col>22</xdr:col>
                    <xdr:colOff>0</xdr:colOff>
                    <xdr:row>529</xdr:row>
                    <xdr:rowOff>0</xdr:rowOff>
                  </from>
                  <to>
                    <xdr:col>22</xdr:col>
                    <xdr:colOff>177800</xdr:colOff>
                    <xdr:row>529</xdr:row>
                    <xdr:rowOff>177800</xdr:rowOff>
                  </to>
                </anchor>
              </controlPr>
            </control>
          </mc:Choice>
        </mc:AlternateContent>
        <mc:AlternateContent xmlns:mc="http://schemas.openxmlformats.org/markup-compatibility/2006">
          <mc:Choice Requires="x14">
            <control shapeId="5213" r:id="rId51" name="Check Box 93">
              <controlPr locked="0" defaultSize="0" autoFill="0" autoLine="0" autoPict="0">
                <anchor moveWithCells="1">
                  <from>
                    <xdr:col>22</xdr:col>
                    <xdr:colOff>0</xdr:colOff>
                    <xdr:row>534</xdr:row>
                    <xdr:rowOff>0</xdr:rowOff>
                  </from>
                  <to>
                    <xdr:col>22</xdr:col>
                    <xdr:colOff>177800</xdr:colOff>
                    <xdr:row>534</xdr:row>
                    <xdr:rowOff>177800</xdr:rowOff>
                  </to>
                </anchor>
              </controlPr>
            </control>
          </mc:Choice>
        </mc:AlternateContent>
        <mc:AlternateContent xmlns:mc="http://schemas.openxmlformats.org/markup-compatibility/2006">
          <mc:Choice Requires="x14">
            <control shapeId="5214" r:id="rId52" name="Check Box 94">
              <controlPr locked="0" defaultSize="0" autoFill="0" autoLine="0" autoPict="0">
                <anchor moveWithCells="1">
                  <from>
                    <xdr:col>22</xdr:col>
                    <xdr:colOff>0</xdr:colOff>
                    <xdr:row>535</xdr:row>
                    <xdr:rowOff>0</xdr:rowOff>
                  </from>
                  <to>
                    <xdr:col>22</xdr:col>
                    <xdr:colOff>177800</xdr:colOff>
                    <xdr:row>535</xdr:row>
                    <xdr:rowOff>177800</xdr:rowOff>
                  </to>
                </anchor>
              </controlPr>
            </control>
          </mc:Choice>
        </mc:AlternateContent>
        <mc:AlternateContent xmlns:mc="http://schemas.openxmlformats.org/markup-compatibility/2006">
          <mc:Choice Requires="x14">
            <control shapeId="5215" r:id="rId53" name="Check Box 95">
              <controlPr locked="0" defaultSize="0" autoFill="0" autoLine="0" autoPict="0">
                <anchor moveWithCells="1">
                  <from>
                    <xdr:col>22</xdr:col>
                    <xdr:colOff>0</xdr:colOff>
                    <xdr:row>545</xdr:row>
                    <xdr:rowOff>0</xdr:rowOff>
                  </from>
                  <to>
                    <xdr:col>22</xdr:col>
                    <xdr:colOff>177800</xdr:colOff>
                    <xdr:row>545</xdr:row>
                    <xdr:rowOff>177800</xdr:rowOff>
                  </to>
                </anchor>
              </controlPr>
            </control>
          </mc:Choice>
        </mc:AlternateContent>
        <mc:AlternateContent xmlns:mc="http://schemas.openxmlformats.org/markup-compatibility/2006">
          <mc:Choice Requires="x14">
            <control shapeId="5216" r:id="rId54" name="Check Box 96">
              <controlPr locked="0" defaultSize="0" autoFill="0" autoLine="0" autoPict="0">
                <anchor moveWithCells="1">
                  <from>
                    <xdr:col>22</xdr:col>
                    <xdr:colOff>0</xdr:colOff>
                    <xdr:row>578</xdr:row>
                    <xdr:rowOff>0</xdr:rowOff>
                  </from>
                  <to>
                    <xdr:col>22</xdr:col>
                    <xdr:colOff>177800</xdr:colOff>
                    <xdr:row>578</xdr:row>
                    <xdr:rowOff>177800</xdr:rowOff>
                  </to>
                </anchor>
              </controlPr>
            </control>
          </mc:Choice>
        </mc:AlternateContent>
        <mc:AlternateContent xmlns:mc="http://schemas.openxmlformats.org/markup-compatibility/2006">
          <mc:Choice Requires="x14">
            <control shapeId="5218" r:id="rId55" name="Check Box 98">
              <controlPr locked="0" defaultSize="0" autoFill="0" autoLine="0" autoPict="0">
                <anchor moveWithCells="1">
                  <from>
                    <xdr:col>22</xdr:col>
                    <xdr:colOff>0</xdr:colOff>
                    <xdr:row>595</xdr:row>
                    <xdr:rowOff>0</xdr:rowOff>
                  </from>
                  <to>
                    <xdr:col>22</xdr:col>
                    <xdr:colOff>177800</xdr:colOff>
                    <xdr:row>595</xdr:row>
                    <xdr:rowOff>177800</xdr:rowOff>
                  </to>
                </anchor>
              </controlPr>
            </control>
          </mc:Choice>
        </mc:AlternateContent>
        <mc:AlternateContent xmlns:mc="http://schemas.openxmlformats.org/markup-compatibility/2006">
          <mc:Choice Requires="x14">
            <control shapeId="5219" r:id="rId56" name="Check Box 99">
              <controlPr locked="0" defaultSize="0" autoFill="0" autoLine="0" autoPict="0">
                <anchor moveWithCells="1">
                  <from>
                    <xdr:col>22</xdr:col>
                    <xdr:colOff>0</xdr:colOff>
                    <xdr:row>597</xdr:row>
                    <xdr:rowOff>0</xdr:rowOff>
                  </from>
                  <to>
                    <xdr:col>22</xdr:col>
                    <xdr:colOff>177800</xdr:colOff>
                    <xdr:row>597</xdr:row>
                    <xdr:rowOff>177800</xdr:rowOff>
                  </to>
                </anchor>
              </controlPr>
            </control>
          </mc:Choice>
        </mc:AlternateContent>
        <mc:AlternateContent xmlns:mc="http://schemas.openxmlformats.org/markup-compatibility/2006">
          <mc:Choice Requires="x14">
            <control shapeId="5220" r:id="rId57" name="Check Box 100">
              <controlPr locked="0" defaultSize="0" autoFill="0" autoLine="0" autoPict="0">
                <anchor moveWithCells="1">
                  <from>
                    <xdr:col>22</xdr:col>
                    <xdr:colOff>0</xdr:colOff>
                    <xdr:row>607</xdr:row>
                    <xdr:rowOff>0</xdr:rowOff>
                  </from>
                  <to>
                    <xdr:col>22</xdr:col>
                    <xdr:colOff>177800</xdr:colOff>
                    <xdr:row>607</xdr:row>
                    <xdr:rowOff>177800</xdr:rowOff>
                  </to>
                </anchor>
              </controlPr>
            </control>
          </mc:Choice>
        </mc:AlternateContent>
        <mc:AlternateContent xmlns:mc="http://schemas.openxmlformats.org/markup-compatibility/2006">
          <mc:Choice Requires="x14">
            <control shapeId="5221" r:id="rId58" name="Check Box 101">
              <controlPr locked="0" defaultSize="0" autoFill="0" autoLine="0" autoPict="0">
                <anchor moveWithCells="1">
                  <from>
                    <xdr:col>22</xdr:col>
                    <xdr:colOff>0</xdr:colOff>
                    <xdr:row>609</xdr:row>
                    <xdr:rowOff>0</xdr:rowOff>
                  </from>
                  <to>
                    <xdr:col>22</xdr:col>
                    <xdr:colOff>177800</xdr:colOff>
                    <xdr:row>609</xdr:row>
                    <xdr:rowOff>177800</xdr:rowOff>
                  </to>
                </anchor>
              </controlPr>
            </control>
          </mc:Choice>
        </mc:AlternateContent>
        <mc:AlternateContent xmlns:mc="http://schemas.openxmlformats.org/markup-compatibility/2006">
          <mc:Choice Requires="x14">
            <control shapeId="5222" r:id="rId59" name="Check Box 102">
              <controlPr locked="0" defaultSize="0" autoFill="0" autoLine="0" autoPict="0">
                <anchor moveWithCells="1">
                  <from>
                    <xdr:col>22</xdr:col>
                    <xdr:colOff>0</xdr:colOff>
                    <xdr:row>611</xdr:row>
                    <xdr:rowOff>0</xdr:rowOff>
                  </from>
                  <to>
                    <xdr:col>22</xdr:col>
                    <xdr:colOff>177800</xdr:colOff>
                    <xdr:row>611</xdr:row>
                    <xdr:rowOff>177800</xdr:rowOff>
                  </to>
                </anchor>
              </controlPr>
            </control>
          </mc:Choice>
        </mc:AlternateContent>
        <mc:AlternateContent xmlns:mc="http://schemas.openxmlformats.org/markup-compatibility/2006">
          <mc:Choice Requires="x14">
            <control shapeId="5223" r:id="rId60" name="Check Box 103">
              <controlPr locked="0" defaultSize="0" autoFill="0" autoLine="0" autoPict="0">
                <anchor moveWithCells="1">
                  <from>
                    <xdr:col>22</xdr:col>
                    <xdr:colOff>0</xdr:colOff>
                    <xdr:row>618</xdr:row>
                    <xdr:rowOff>0</xdr:rowOff>
                  </from>
                  <to>
                    <xdr:col>22</xdr:col>
                    <xdr:colOff>177800</xdr:colOff>
                    <xdr:row>618</xdr:row>
                    <xdr:rowOff>177800</xdr:rowOff>
                  </to>
                </anchor>
              </controlPr>
            </control>
          </mc:Choice>
        </mc:AlternateContent>
        <mc:AlternateContent xmlns:mc="http://schemas.openxmlformats.org/markup-compatibility/2006">
          <mc:Choice Requires="x14">
            <control shapeId="5224" r:id="rId61" name="Check Box 104">
              <controlPr locked="0" defaultSize="0" autoFill="0" autoLine="0" autoPict="0">
                <anchor moveWithCells="1">
                  <from>
                    <xdr:col>22</xdr:col>
                    <xdr:colOff>0</xdr:colOff>
                    <xdr:row>619</xdr:row>
                    <xdr:rowOff>0</xdr:rowOff>
                  </from>
                  <to>
                    <xdr:col>22</xdr:col>
                    <xdr:colOff>177800</xdr:colOff>
                    <xdr:row>619</xdr:row>
                    <xdr:rowOff>177800</xdr:rowOff>
                  </to>
                </anchor>
              </controlPr>
            </control>
          </mc:Choice>
        </mc:AlternateContent>
        <mc:AlternateContent xmlns:mc="http://schemas.openxmlformats.org/markup-compatibility/2006">
          <mc:Choice Requires="x14">
            <control shapeId="5225" r:id="rId62" name="Check Box 105">
              <controlPr locked="0" defaultSize="0" autoFill="0" autoLine="0" autoPict="0">
                <anchor moveWithCells="1">
                  <from>
                    <xdr:col>22</xdr:col>
                    <xdr:colOff>0</xdr:colOff>
                    <xdr:row>620</xdr:row>
                    <xdr:rowOff>0</xdr:rowOff>
                  </from>
                  <to>
                    <xdr:col>22</xdr:col>
                    <xdr:colOff>177800</xdr:colOff>
                    <xdr:row>620</xdr:row>
                    <xdr:rowOff>177800</xdr:rowOff>
                  </to>
                </anchor>
              </controlPr>
            </control>
          </mc:Choice>
        </mc:AlternateContent>
        <mc:AlternateContent xmlns:mc="http://schemas.openxmlformats.org/markup-compatibility/2006">
          <mc:Choice Requires="x14">
            <control shapeId="5226" r:id="rId63" name="Check Box 106">
              <controlPr locked="0" defaultSize="0" autoFill="0" autoLine="0" autoPict="0">
                <anchor moveWithCells="1">
                  <from>
                    <xdr:col>22</xdr:col>
                    <xdr:colOff>0</xdr:colOff>
                    <xdr:row>621</xdr:row>
                    <xdr:rowOff>0</xdr:rowOff>
                  </from>
                  <to>
                    <xdr:col>22</xdr:col>
                    <xdr:colOff>177800</xdr:colOff>
                    <xdr:row>621</xdr:row>
                    <xdr:rowOff>177800</xdr:rowOff>
                  </to>
                </anchor>
              </controlPr>
            </control>
          </mc:Choice>
        </mc:AlternateContent>
        <mc:AlternateContent xmlns:mc="http://schemas.openxmlformats.org/markup-compatibility/2006">
          <mc:Choice Requires="x14">
            <control shapeId="5227" r:id="rId64" name="Check Box 107">
              <controlPr locked="0" defaultSize="0" autoFill="0" autoLine="0" autoPict="0">
                <anchor moveWithCells="1">
                  <from>
                    <xdr:col>22</xdr:col>
                    <xdr:colOff>0</xdr:colOff>
                    <xdr:row>623</xdr:row>
                    <xdr:rowOff>0</xdr:rowOff>
                  </from>
                  <to>
                    <xdr:col>22</xdr:col>
                    <xdr:colOff>177800</xdr:colOff>
                    <xdr:row>623</xdr:row>
                    <xdr:rowOff>177800</xdr:rowOff>
                  </to>
                </anchor>
              </controlPr>
            </control>
          </mc:Choice>
        </mc:AlternateContent>
        <mc:AlternateContent xmlns:mc="http://schemas.openxmlformats.org/markup-compatibility/2006">
          <mc:Choice Requires="x14">
            <control shapeId="5228" r:id="rId65" name="Check Box 108">
              <controlPr locked="0" defaultSize="0" autoFill="0" autoLine="0" autoPict="0">
                <anchor moveWithCells="1">
                  <from>
                    <xdr:col>22</xdr:col>
                    <xdr:colOff>0</xdr:colOff>
                    <xdr:row>626</xdr:row>
                    <xdr:rowOff>0</xdr:rowOff>
                  </from>
                  <to>
                    <xdr:col>22</xdr:col>
                    <xdr:colOff>177800</xdr:colOff>
                    <xdr:row>626</xdr:row>
                    <xdr:rowOff>177800</xdr:rowOff>
                  </to>
                </anchor>
              </controlPr>
            </control>
          </mc:Choice>
        </mc:AlternateContent>
        <mc:AlternateContent xmlns:mc="http://schemas.openxmlformats.org/markup-compatibility/2006">
          <mc:Choice Requires="x14">
            <control shapeId="5229" r:id="rId66" name="Check Box 109">
              <controlPr locked="0" defaultSize="0" autoFill="0" autoLine="0" autoPict="0">
                <anchor moveWithCells="1">
                  <from>
                    <xdr:col>22</xdr:col>
                    <xdr:colOff>0</xdr:colOff>
                    <xdr:row>642</xdr:row>
                    <xdr:rowOff>0</xdr:rowOff>
                  </from>
                  <to>
                    <xdr:col>22</xdr:col>
                    <xdr:colOff>177800</xdr:colOff>
                    <xdr:row>642</xdr:row>
                    <xdr:rowOff>177800</xdr:rowOff>
                  </to>
                </anchor>
              </controlPr>
            </control>
          </mc:Choice>
        </mc:AlternateContent>
        <mc:AlternateContent xmlns:mc="http://schemas.openxmlformats.org/markup-compatibility/2006">
          <mc:Choice Requires="x14">
            <control shapeId="5230" r:id="rId67" name="Check Box 110">
              <controlPr locked="0" defaultSize="0" autoFill="0" autoLine="0" autoPict="0">
                <anchor moveWithCells="1">
                  <from>
                    <xdr:col>22</xdr:col>
                    <xdr:colOff>0</xdr:colOff>
                    <xdr:row>643</xdr:row>
                    <xdr:rowOff>0</xdr:rowOff>
                  </from>
                  <to>
                    <xdr:col>22</xdr:col>
                    <xdr:colOff>177800</xdr:colOff>
                    <xdr:row>643</xdr:row>
                    <xdr:rowOff>177800</xdr:rowOff>
                  </to>
                </anchor>
              </controlPr>
            </control>
          </mc:Choice>
        </mc:AlternateContent>
        <mc:AlternateContent xmlns:mc="http://schemas.openxmlformats.org/markup-compatibility/2006">
          <mc:Choice Requires="x14">
            <control shapeId="5231" r:id="rId68" name="Check Box 111">
              <controlPr locked="0" defaultSize="0" autoFill="0" autoLine="0" autoPict="0">
                <anchor moveWithCells="1">
                  <from>
                    <xdr:col>22</xdr:col>
                    <xdr:colOff>0</xdr:colOff>
                    <xdr:row>644</xdr:row>
                    <xdr:rowOff>0</xdr:rowOff>
                  </from>
                  <to>
                    <xdr:col>22</xdr:col>
                    <xdr:colOff>177800</xdr:colOff>
                    <xdr:row>644</xdr:row>
                    <xdr:rowOff>177800</xdr:rowOff>
                  </to>
                </anchor>
              </controlPr>
            </control>
          </mc:Choice>
        </mc:AlternateContent>
        <mc:AlternateContent xmlns:mc="http://schemas.openxmlformats.org/markup-compatibility/2006">
          <mc:Choice Requires="x14">
            <control shapeId="5232" r:id="rId69" name="Check Box 112">
              <controlPr locked="0" defaultSize="0" autoFill="0" autoLine="0" autoPict="0">
                <anchor moveWithCells="1">
                  <from>
                    <xdr:col>22</xdr:col>
                    <xdr:colOff>0</xdr:colOff>
                    <xdr:row>645</xdr:row>
                    <xdr:rowOff>0</xdr:rowOff>
                  </from>
                  <to>
                    <xdr:col>22</xdr:col>
                    <xdr:colOff>177800</xdr:colOff>
                    <xdr:row>645</xdr:row>
                    <xdr:rowOff>177800</xdr:rowOff>
                  </to>
                </anchor>
              </controlPr>
            </control>
          </mc:Choice>
        </mc:AlternateContent>
        <mc:AlternateContent xmlns:mc="http://schemas.openxmlformats.org/markup-compatibility/2006">
          <mc:Choice Requires="x14">
            <control shapeId="5233" r:id="rId70" name="Check Box 113">
              <controlPr locked="0" defaultSize="0" autoFill="0" autoLine="0" autoPict="0">
                <anchor moveWithCells="1">
                  <from>
                    <xdr:col>22</xdr:col>
                    <xdr:colOff>0</xdr:colOff>
                    <xdr:row>646</xdr:row>
                    <xdr:rowOff>0</xdr:rowOff>
                  </from>
                  <to>
                    <xdr:col>22</xdr:col>
                    <xdr:colOff>177800</xdr:colOff>
                    <xdr:row>646</xdr:row>
                    <xdr:rowOff>177800</xdr:rowOff>
                  </to>
                </anchor>
              </controlPr>
            </control>
          </mc:Choice>
        </mc:AlternateContent>
        <mc:AlternateContent xmlns:mc="http://schemas.openxmlformats.org/markup-compatibility/2006">
          <mc:Choice Requires="x14">
            <control shapeId="5234" r:id="rId71" name="Check Box 114">
              <controlPr locked="0" defaultSize="0" autoFill="0" autoLine="0" autoPict="0">
                <anchor moveWithCells="1">
                  <from>
                    <xdr:col>22</xdr:col>
                    <xdr:colOff>0</xdr:colOff>
                    <xdr:row>647</xdr:row>
                    <xdr:rowOff>0</xdr:rowOff>
                  </from>
                  <to>
                    <xdr:col>22</xdr:col>
                    <xdr:colOff>177800</xdr:colOff>
                    <xdr:row>647</xdr:row>
                    <xdr:rowOff>177800</xdr:rowOff>
                  </to>
                </anchor>
              </controlPr>
            </control>
          </mc:Choice>
        </mc:AlternateContent>
        <mc:AlternateContent xmlns:mc="http://schemas.openxmlformats.org/markup-compatibility/2006">
          <mc:Choice Requires="x14">
            <control shapeId="5235" r:id="rId72" name="Check Box 115">
              <controlPr locked="0" defaultSize="0" autoFill="0" autoLine="0" autoPict="0">
                <anchor moveWithCells="1">
                  <from>
                    <xdr:col>22</xdr:col>
                    <xdr:colOff>0</xdr:colOff>
                    <xdr:row>648</xdr:row>
                    <xdr:rowOff>0</xdr:rowOff>
                  </from>
                  <to>
                    <xdr:col>22</xdr:col>
                    <xdr:colOff>177800</xdr:colOff>
                    <xdr:row>648</xdr:row>
                    <xdr:rowOff>177800</xdr:rowOff>
                  </to>
                </anchor>
              </controlPr>
            </control>
          </mc:Choice>
        </mc:AlternateContent>
        <mc:AlternateContent xmlns:mc="http://schemas.openxmlformats.org/markup-compatibility/2006">
          <mc:Choice Requires="x14">
            <control shapeId="5236" r:id="rId73" name="Check Box 116">
              <controlPr locked="0" defaultSize="0" autoFill="0" autoLine="0" autoPict="0">
                <anchor moveWithCells="1">
                  <from>
                    <xdr:col>22</xdr:col>
                    <xdr:colOff>0</xdr:colOff>
                    <xdr:row>649</xdr:row>
                    <xdr:rowOff>0</xdr:rowOff>
                  </from>
                  <to>
                    <xdr:col>22</xdr:col>
                    <xdr:colOff>177800</xdr:colOff>
                    <xdr:row>649</xdr:row>
                    <xdr:rowOff>177800</xdr:rowOff>
                  </to>
                </anchor>
              </controlPr>
            </control>
          </mc:Choice>
        </mc:AlternateContent>
        <mc:AlternateContent xmlns:mc="http://schemas.openxmlformats.org/markup-compatibility/2006">
          <mc:Choice Requires="x14">
            <control shapeId="5237" r:id="rId74" name="Check Box 117">
              <controlPr locked="0" defaultSize="0" autoFill="0" autoLine="0" autoPict="0">
                <anchor moveWithCells="1">
                  <from>
                    <xdr:col>22</xdr:col>
                    <xdr:colOff>0</xdr:colOff>
                    <xdr:row>656</xdr:row>
                    <xdr:rowOff>0</xdr:rowOff>
                  </from>
                  <to>
                    <xdr:col>22</xdr:col>
                    <xdr:colOff>177800</xdr:colOff>
                    <xdr:row>656</xdr:row>
                    <xdr:rowOff>177800</xdr:rowOff>
                  </to>
                </anchor>
              </controlPr>
            </control>
          </mc:Choice>
        </mc:AlternateContent>
        <mc:AlternateContent xmlns:mc="http://schemas.openxmlformats.org/markup-compatibility/2006">
          <mc:Choice Requires="x14">
            <control shapeId="5238" r:id="rId75" name="Check Box 118">
              <controlPr locked="0" defaultSize="0" autoFill="0" autoLine="0" autoPict="0">
                <anchor moveWithCells="1">
                  <from>
                    <xdr:col>22</xdr:col>
                    <xdr:colOff>0</xdr:colOff>
                    <xdr:row>658</xdr:row>
                    <xdr:rowOff>0</xdr:rowOff>
                  </from>
                  <to>
                    <xdr:col>22</xdr:col>
                    <xdr:colOff>177800</xdr:colOff>
                    <xdr:row>658</xdr:row>
                    <xdr:rowOff>177800</xdr:rowOff>
                  </to>
                </anchor>
              </controlPr>
            </control>
          </mc:Choice>
        </mc:AlternateContent>
        <mc:AlternateContent xmlns:mc="http://schemas.openxmlformats.org/markup-compatibility/2006">
          <mc:Choice Requires="x14">
            <control shapeId="5239" r:id="rId76" name="Check Box 119">
              <controlPr locked="0" defaultSize="0" autoFill="0" autoLine="0" autoPict="0">
                <anchor moveWithCells="1">
                  <from>
                    <xdr:col>22</xdr:col>
                    <xdr:colOff>0</xdr:colOff>
                    <xdr:row>660</xdr:row>
                    <xdr:rowOff>0</xdr:rowOff>
                  </from>
                  <to>
                    <xdr:col>22</xdr:col>
                    <xdr:colOff>177800</xdr:colOff>
                    <xdr:row>660</xdr:row>
                    <xdr:rowOff>177800</xdr:rowOff>
                  </to>
                </anchor>
              </controlPr>
            </control>
          </mc:Choice>
        </mc:AlternateContent>
        <mc:AlternateContent xmlns:mc="http://schemas.openxmlformats.org/markup-compatibility/2006">
          <mc:Choice Requires="x14">
            <control shapeId="5240" r:id="rId77" name="Check Box 120">
              <controlPr locked="0" defaultSize="0" autoFill="0" autoLine="0" autoPict="0">
                <anchor moveWithCells="1">
                  <from>
                    <xdr:col>22</xdr:col>
                    <xdr:colOff>0</xdr:colOff>
                    <xdr:row>677</xdr:row>
                    <xdr:rowOff>0</xdr:rowOff>
                  </from>
                  <to>
                    <xdr:col>22</xdr:col>
                    <xdr:colOff>177800</xdr:colOff>
                    <xdr:row>677</xdr:row>
                    <xdr:rowOff>177800</xdr:rowOff>
                  </to>
                </anchor>
              </controlPr>
            </control>
          </mc:Choice>
        </mc:AlternateContent>
        <mc:AlternateContent xmlns:mc="http://schemas.openxmlformats.org/markup-compatibility/2006">
          <mc:Choice Requires="x14">
            <control shapeId="5241" r:id="rId78" name="Check Box 121">
              <controlPr locked="0" defaultSize="0" autoFill="0" autoLine="0" autoPict="0">
                <anchor moveWithCells="1">
                  <from>
                    <xdr:col>22</xdr:col>
                    <xdr:colOff>0</xdr:colOff>
                    <xdr:row>683</xdr:row>
                    <xdr:rowOff>0</xdr:rowOff>
                  </from>
                  <to>
                    <xdr:col>22</xdr:col>
                    <xdr:colOff>177800</xdr:colOff>
                    <xdr:row>683</xdr:row>
                    <xdr:rowOff>177800</xdr:rowOff>
                  </to>
                </anchor>
              </controlPr>
            </control>
          </mc:Choice>
        </mc:AlternateContent>
        <mc:AlternateContent xmlns:mc="http://schemas.openxmlformats.org/markup-compatibility/2006">
          <mc:Choice Requires="x14">
            <control shapeId="5242" r:id="rId79" name="Check Box 122">
              <controlPr locked="0" defaultSize="0" autoFill="0" autoLine="0" autoPict="0">
                <anchor moveWithCells="1">
                  <from>
                    <xdr:col>22</xdr:col>
                    <xdr:colOff>0</xdr:colOff>
                    <xdr:row>684</xdr:row>
                    <xdr:rowOff>0</xdr:rowOff>
                  </from>
                  <to>
                    <xdr:col>22</xdr:col>
                    <xdr:colOff>177800</xdr:colOff>
                    <xdr:row>684</xdr:row>
                    <xdr:rowOff>177800</xdr:rowOff>
                  </to>
                </anchor>
              </controlPr>
            </control>
          </mc:Choice>
        </mc:AlternateContent>
        <mc:AlternateContent xmlns:mc="http://schemas.openxmlformats.org/markup-compatibility/2006">
          <mc:Choice Requires="x14">
            <control shapeId="5243" r:id="rId80" name="Check Box 123">
              <controlPr locked="0" defaultSize="0" autoFill="0" autoLine="0" autoPict="0">
                <anchor moveWithCells="1">
                  <from>
                    <xdr:col>22</xdr:col>
                    <xdr:colOff>0</xdr:colOff>
                    <xdr:row>685</xdr:row>
                    <xdr:rowOff>0</xdr:rowOff>
                  </from>
                  <to>
                    <xdr:col>22</xdr:col>
                    <xdr:colOff>177800</xdr:colOff>
                    <xdr:row>685</xdr:row>
                    <xdr:rowOff>177800</xdr:rowOff>
                  </to>
                </anchor>
              </controlPr>
            </control>
          </mc:Choice>
        </mc:AlternateContent>
        <mc:AlternateContent xmlns:mc="http://schemas.openxmlformats.org/markup-compatibility/2006">
          <mc:Choice Requires="x14">
            <control shapeId="5244" r:id="rId81" name="Check Box 124">
              <controlPr locked="0" defaultSize="0" autoFill="0" autoLine="0" autoPict="0">
                <anchor moveWithCells="1">
                  <from>
                    <xdr:col>22</xdr:col>
                    <xdr:colOff>0</xdr:colOff>
                    <xdr:row>693</xdr:row>
                    <xdr:rowOff>0</xdr:rowOff>
                  </from>
                  <to>
                    <xdr:col>22</xdr:col>
                    <xdr:colOff>177800</xdr:colOff>
                    <xdr:row>693</xdr:row>
                    <xdr:rowOff>177800</xdr:rowOff>
                  </to>
                </anchor>
              </controlPr>
            </control>
          </mc:Choice>
        </mc:AlternateContent>
        <mc:AlternateContent xmlns:mc="http://schemas.openxmlformats.org/markup-compatibility/2006">
          <mc:Choice Requires="x14">
            <control shapeId="5252" r:id="rId82" name="Check Box 132">
              <controlPr locked="0" defaultSize="0" autoFill="0" autoLine="0" autoPict="0">
                <anchor moveWithCells="1">
                  <from>
                    <xdr:col>22</xdr:col>
                    <xdr:colOff>0</xdr:colOff>
                    <xdr:row>540</xdr:row>
                    <xdr:rowOff>0</xdr:rowOff>
                  </from>
                  <to>
                    <xdr:col>22</xdr:col>
                    <xdr:colOff>177800</xdr:colOff>
                    <xdr:row>540</xdr:row>
                    <xdr:rowOff>177800</xdr:rowOff>
                  </to>
                </anchor>
              </controlPr>
            </control>
          </mc:Choice>
        </mc:AlternateContent>
        <mc:AlternateContent xmlns:mc="http://schemas.openxmlformats.org/markup-compatibility/2006">
          <mc:Choice Requires="x14">
            <control shapeId="5253" r:id="rId83" name="Check Box 133">
              <controlPr locked="0" defaultSize="0" autoFill="0" autoLine="0" autoPict="0">
                <anchor moveWithCells="1">
                  <from>
                    <xdr:col>22</xdr:col>
                    <xdr:colOff>0</xdr:colOff>
                    <xdr:row>543</xdr:row>
                    <xdr:rowOff>0</xdr:rowOff>
                  </from>
                  <to>
                    <xdr:col>22</xdr:col>
                    <xdr:colOff>177800</xdr:colOff>
                    <xdr:row>543</xdr:row>
                    <xdr:rowOff>177800</xdr:rowOff>
                  </to>
                </anchor>
              </controlPr>
            </control>
          </mc:Choice>
        </mc:AlternateContent>
        <mc:AlternateContent xmlns:mc="http://schemas.openxmlformats.org/markup-compatibility/2006">
          <mc:Choice Requires="x14">
            <control shapeId="5255" r:id="rId84" name="Check Box 135">
              <controlPr locked="0" defaultSize="0" autoFill="0" autoLine="0" autoPict="0">
                <anchor moveWithCells="1">
                  <from>
                    <xdr:col>22</xdr:col>
                    <xdr:colOff>0</xdr:colOff>
                    <xdr:row>554</xdr:row>
                    <xdr:rowOff>0</xdr:rowOff>
                  </from>
                  <to>
                    <xdr:col>22</xdr:col>
                    <xdr:colOff>177800</xdr:colOff>
                    <xdr:row>554</xdr:row>
                    <xdr:rowOff>177800</xdr:rowOff>
                  </to>
                </anchor>
              </controlPr>
            </control>
          </mc:Choice>
        </mc:AlternateContent>
        <mc:AlternateContent xmlns:mc="http://schemas.openxmlformats.org/markup-compatibility/2006">
          <mc:Choice Requires="x14">
            <control shapeId="5256" r:id="rId85" name="Check Box 136">
              <controlPr locked="0" defaultSize="0" autoFill="0" autoLine="0" autoPict="0">
                <anchor moveWithCells="1">
                  <from>
                    <xdr:col>22</xdr:col>
                    <xdr:colOff>0</xdr:colOff>
                    <xdr:row>556</xdr:row>
                    <xdr:rowOff>0</xdr:rowOff>
                  </from>
                  <to>
                    <xdr:col>22</xdr:col>
                    <xdr:colOff>177800</xdr:colOff>
                    <xdr:row>556</xdr:row>
                    <xdr:rowOff>177800</xdr:rowOff>
                  </to>
                </anchor>
              </controlPr>
            </control>
          </mc:Choice>
        </mc:AlternateContent>
        <mc:AlternateContent xmlns:mc="http://schemas.openxmlformats.org/markup-compatibility/2006">
          <mc:Choice Requires="x14">
            <control shapeId="5258" r:id="rId86" name="Check Box 138">
              <controlPr locked="0" defaultSize="0" autoFill="0" autoLine="0" autoPict="0">
                <anchor moveWithCells="1">
                  <from>
                    <xdr:col>22</xdr:col>
                    <xdr:colOff>0</xdr:colOff>
                    <xdr:row>663</xdr:row>
                    <xdr:rowOff>0</xdr:rowOff>
                  </from>
                  <to>
                    <xdr:col>22</xdr:col>
                    <xdr:colOff>177800</xdr:colOff>
                    <xdr:row>663</xdr:row>
                    <xdr:rowOff>177800</xdr:rowOff>
                  </to>
                </anchor>
              </controlPr>
            </control>
          </mc:Choice>
        </mc:AlternateContent>
        <mc:AlternateContent xmlns:mc="http://schemas.openxmlformats.org/markup-compatibility/2006">
          <mc:Choice Requires="x14">
            <control shapeId="5260" r:id="rId87" name="Check Box 140">
              <controlPr locked="0" defaultSize="0" autoFill="0" autoLine="0" autoPict="0">
                <anchor moveWithCells="1">
                  <from>
                    <xdr:col>22</xdr:col>
                    <xdr:colOff>0</xdr:colOff>
                    <xdr:row>688</xdr:row>
                    <xdr:rowOff>0</xdr:rowOff>
                  </from>
                  <to>
                    <xdr:col>22</xdr:col>
                    <xdr:colOff>177800</xdr:colOff>
                    <xdr:row>688</xdr:row>
                    <xdr:rowOff>177800</xdr:rowOff>
                  </to>
                </anchor>
              </controlPr>
            </control>
          </mc:Choice>
        </mc:AlternateContent>
        <mc:AlternateContent xmlns:mc="http://schemas.openxmlformats.org/markup-compatibility/2006">
          <mc:Choice Requires="x14">
            <control shapeId="5261" r:id="rId88" name="Check Box 141">
              <controlPr locked="0" defaultSize="0" autoFill="0" autoLine="0" autoPict="0">
                <anchor moveWithCells="1">
                  <from>
                    <xdr:col>22</xdr:col>
                    <xdr:colOff>0</xdr:colOff>
                    <xdr:row>698</xdr:row>
                    <xdr:rowOff>0</xdr:rowOff>
                  </from>
                  <to>
                    <xdr:col>22</xdr:col>
                    <xdr:colOff>177800</xdr:colOff>
                    <xdr:row>698</xdr:row>
                    <xdr:rowOff>177800</xdr:rowOff>
                  </to>
                </anchor>
              </controlPr>
            </control>
          </mc:Choice>
        </mc:AlternateContent>
        <mc:AlternateContent xmlns:mc="http://schemas.openxmlformats.org/markup-compatibility/2006">
          <mc:Choice Requires="x14">
            <control shapeId="5262" r:id="rId89" name="Check Box 142">
              <controlPr locked="0" defaultSize="0" autoFill="0" autoLine="0" autoPict="0">
                <anchor moveWithCells="1">
                  <from>
                    <xdr:col>22</xdr:col>
                    <xdr:colOff>0</xdr:colOff>
                    <xdr:row>700</xdr:row>
                    <xdr:rowOff>0</xdr:rowOff>
                  </from>
                  <to>
                    <xdr:col>22</xdr:col>
                    <xdr:colOff>177800</xdr:colOff>
                    <xdr:row>700</xdr:row>
                    <xdr:rowOff>177800</xdr:rowOff>
                  </to>
                </anchor>
              </controlPr>
            </control>
          </mc:Choice>
        </mc:AlternateContent>
        <mc:AlternateContent xmlns:mc="http://schemas.openxmlformats.org/markup-compatibility/2006">
          <mc:Choice Requires="x14">
            <control shapeId="5263" r:id="rId90" name="Check Box 143">
              <controlPr locked="0" defaultSize="0" autoFill="0" autoLine="0" autoPict="0">
                <anchor moveWithCells="1">
                  <from>
                    <xdr:col>22</xdr:col>
                    <xdr:colOff>0</xdr:colOff>
                    <xdr:row>709</xdr:row>
                    <xdr:rowOff>0</xdr:rowOff>
                  </from>
                  <to>
                    <xdr:col>22</xdr:col>
                    <xdr:colOff>177800</xdr:colOff>
                    <xdr:row>709</xdr:row>
                    <xdr:rowOff>177800</xdr:rowOff>
                  </to>
                </anchor>
              </controlPr>
            </control>
          </mc:Choice>
        </mc:AlternateContent>
        <mc:AlternateContent xmlns:mc="http://schemas.openxmlformats.org/markup-compatibility/2006">
          <mc:Choice Requires="x14">
            <control shapeId="5264" r:id="rId91" name="Check Box 144">
              <controlPr locked="0" defaultSize="0" autoFill="0" autoLine="0" autoPict="0">
                <anchor moveWithCells="1">
                  <from>
                    <xdr:col>22</xdr:col>
                    <xdr:colOff>0</xdr:colOff>
                    <xdr:row>713</xdr:row>
                    <xdr:rowOff>0</xdr:rowOff>
                  </from>
                  <to>
                    <xdr:col>22</xdr:col>
                    <xdr:colOff>177800</xdr:colOff>
                    <xdr:row>713</xdr:row>
                    <xdr:rowOff>177800</xdr:rowOff>
                  </to>
                </anchor>
              </controlPr>
            </control>
          </mc:Choice>
        </mc:AlternateContent>
        <mc:AlternateContent xmlns:mc="http://schemas.openxmlformats.org/markup-compatibility/2006">
          <mc:Choice Requires="x14">
            <control shapeId="5265" r:id="rId92" name="Check Box 145">
              <controlPr locked="0" defaultSize="0" autoFill="0" autoLine="0" autoPict="0">
                <anchor moveWithCells="1">
                  <from>
                    <xdr:col>22</xdr:col>
                    <xdr:colOff>0</xdr:colOff>
                    <xdr:row>718</xdr:row>
                    <xdr:rowOff>0</xdr:rowOff>
                  </from>
                  <to>
                    <xdr:col>22</xdr:col>
                    <xdr:colOff>177800</xdr:colOff>
                    <xdr:row>718</xdr:row>
                    <xdr:rowOff>177800</xdr:rowOff>
                  </to>
                </anchor>
              </controlPr>
            </control>
          </mc:Choice>
        </mc:AlternateContent>
        <mc:AlternateContent xmlns:mc="http://schemas.openxmlformats.org/markup-compatibility/2006">
          <mc:Choice Requires="x14">
            <control shapeId="5266" r:id="rId93" name="Check Box 146">
              <controlPr locked="0" defaultSize="0" autoFill="0" autoLine="0" autoPict="0">
                <anchor moveWithCells="1">
                  <from>
                    <xdr:col>22</xdr:col>
                    <xdr:colOff>0</xdr:colOff>
                    <xdr:row>719</xdr:row>
                    <xdr:rowOff>0</xdr:rowOff>
                  </from>
                  <to>
                    <xdr:col>22</xdr:col>
                    <xdr:colOff>177800</xdr:colOff>
                    <xdr:row>719</xdr:row>
                    <xdr:rowOff>177800</xdr:rowOff>
                  </to>
                </anchor>
              </controlPr>
            </control>
          </mc:Choice>
        </mc:AlternateContent>
        <mc:AlternateContent xmlns:mc="http://schemas.openxmlformats.org/markup-compatibility/2006">
          <mc:Choice Requires="x14">
            <control shapeId="5280" r:id="rId94" name="Check Box 160">
              <controlPr locked="0" defaultSize="0" autoFill="0" autoLine="0" autoPict="0">
                <anchor moveWithCells="1">
                  <from>
                    <xdr:col>22</xdr:col>
                    <xdr:colOff>0</xdr:colOff>
                    <xdr:row>584</xdr:row>
                    <xdr:rowOff>0</xdr:rowOff>
                  </from>
                  <to>
                    <xdr:col>22</xdr:col>
                    <xdr:colOff>177800</xdr:colOff>
                    <xdr:row>584</xdr:row>
                    <xdr:rowOff>177800</xdr:rowOff>
                  </to>
                </anchor>
              </controlPr>
            </control>
          </mc:Choice>
        </mc:AlternateContent>
        <mc:AlternateContent xmlns:mc="http://schemas.openxmlformats.org/markup-compatibility/2006">
          <mc:Choice Requires="x14">
            <control shapeId="5281" r:id="rId95" name="Check Box 161">
              <controlPr locked="0" defaultSize="0" autoFill="0" autoLine="0" autoPict="0">
                <anchor moveWithCells="1">
                  <from>
                    <xdr:col>22</xdr:col>
                    <xdr:colOff>0</xdr:colOff>
                    <xdr:row>586</xdr:row>
                    <xdr:rowOff>0</xdr:rowOff>
                  </from>
                  <to>
                    <xdr:col>22</xdr:col>
                    <xdr:colOff>177800</xdr:colOff>
                    <xdr:row>586</xdr:row>
                    <xdr:rowOff>177800</xdr:rowOff>
                  </to>
                </anchor>
              </controlPr>
            </control>
          </mc:Choice>
        </mc:AlternateContent>
        <mc:AlternateContent xmlns:mc="http://schemas.openxmlformats.org/markup-compatibility/2006">
          <mc:Choice Requires="x14">
            <control shapeId="5283" r:id="rId96" name="Check Box 163">
              <controlPr locked="0" defaultSize="0" autoFill="0" autoLine="0" autoPict="0">
                <anchor moveWithCells="1">
                  <from>
                    <xdr:col>22</xdr:col>
                    <xdr:colOff>0</xdr:colOff>
                    <xdr:row>55</xdr:row>
                    <xdr:rowOff>0</xdr:rowOff>
                  </from>
                  <to>
                    <xdr:col>22</xdr:col>
                    <xdr:colOff>177800</xdr:colOff>
                    <xdr:row>55</xdr:row>
                    <xdr:rowOff>177800</xdr:rowOff>
                  </to>
                </anchor>
              </controlPr>
            </control>
          </mc:Choice>
        </mc:AlternateContent>
      </controls>
    </mc:Choice>
  </mc:AlternateContent>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5E3745D-BFCC-4E97-8908-467796853331}">
  <sheetPr codeName="Sheet31">
    <pageSetUpPr fitToPage="1"/>
  </sheetPr>
  <dimension ref="A1:BI271"/>
  <sheetViews>
    <sheetView showGridLines="0" topLeftCell="H1" zoomScaleNormal="100" workbookViewId="0">
      <pane ySplit="7" topLeftCell="A248" activePane="bottomLeft" state="frozen"/>
      <selection activeCell="G45" sqref="G45:H45"/>
      <selection pane="bottomLeft" activeCell="X115" sqref="X115:X126"/>
    </sheetView>
  </sheetViews>
  <sheetFormatPr baseColWidth="10" defaultColWidth="9.1640625" defaultRowHeight="15" x14ac:dyDescent="0.2"/>
  <cols>
    <col min="1" max="1" width="9.1640625" style="20" hidden="1" customWidth="1"/>
    <col min="2" max="2" width="7.33203125" style="995" hidden="1" customWidth="1"/>
    <col min="3" max="5" width="3.83203125" style="995" hidden="1" customWidth="1"/>
    <col min="6" max="7" width="3.83203125" style="20" hidden="1" customWidth="1"/>
    <col min="8" max="8" width="3.83203125" style="20" customWidth="1"/>
    <col min="9" max="9" width="10.5" style="881" customWidth="1"/>
    <col min="10" max="11" width="3.83203125" style="881" customWidth="1"/>
    <col min="12" max="12" width="71.6640625" style="881" customWidth="1"/>
    <col min="13" max="13" width="13.5" style="894" customWidth="1"/>
    <col min="14" max="14" width="7.6640625" style="881" hidden="1" customWidth="1"/>
    <col min="15" max="15" width="7.6640625" style="894" customWidth="1"/>
    <col min="16" max="21" width="8.83203125" style="881" hidden="1" customWidth="1"/>
    <col min="22" max="22" width="3" style="881" hidden="1" customWidth="1"/>
    <col min="23" max="23" width="21.5" style="881" customWidth="1"/>
    <col min="24" max="24" width="69" style="881" customWidth="1"/>
    <col min="25" max="26" width="34.83203125" style="881" hidden="1" customWidth="1"/>
    <col min="27" max="37" width="9.1640625" style="881" hidden="1" customWidth="1"/>
    <col min="38" max="38" width="19.1640625" style="881" hidden="1" customWidth="1"/>
    <col min="39" max="39" width="2.1640625" style="881" hidden="1" customWidth="1"/>
    <col min="40" max="40" width="16.33203125" style="881" hidden="1" customWidth="1"/>
    <col min="41" max="41" width="2.1640625" style="881" hidden="1" customWidth="1"/>
    <col min="42" max="42" width="16.5" style="881" hidden="1" customWidth="1"/>
    <col min="43" max="43" width="2.1640625" style="881" hidden="1" customWidth="1"/>
    <col min="44" max="44" width="18.6640625" style="881" hidden="1" customWidth="1"/>
    <col min="45" max="45" width="2.1640625" style="881" hidden="1" customWidth="1"/>
    <col min="46" max="61" width="9.1640625" style="881" hidden="1" customWidth="1"/>
    <col min="62" max="16384" width="9.1640625" style="881"/>
  </cols>
  <sheetData>
    <row r="1" spans="1:61" x14ac:dyDescent="0.2">
      <c r="H1" s="1674" t="s">
        <v>3446</v>
      </c>
      <c r="I1" s="1651" t="str">
        <f ca="1">IF(OR(AG3,AI3),"Errors on page, no Level reached","Chapter Level: "&amp;AG1)</f>
        <v>Chapter Level: Silver</v>
      </c>
      <c r="J1" s="1651"/>
      <c r="K1" s="1651"/>
      <c r="L1" s="1651"/>
      <c r="M1" s="1675"/>
      <c r="N1" s="1675"/>
      <c r="O1" s="1675"/>
      <c r="P1" s="1675"/>
      <c r="Q1" s="1675"/>
      <c r="R1" s="1675"/>
      <c r="S1" s="1675"/>
      <c r="T1" s="1675"/>
      <c r="U1" s="1675"/>
      <c r="V1" s="1675"/>
      <c r="W1" s="1675"/>
      <c r="X1" s="520" t="s">
        <v>3423</v>
      </c>
      <c r="AF1" s="879" t="s">
        <v>606</v>
      </c>
      <c r="AG1" s="881" t="str">
        <f ca="1">IF(OR(AG3,AI3),"None",Ch8Level)</f>
        <v>Silver</v>
      </c>
    </row>
    <row r="2" spans="1:61" x14ac:dyDescent="0.2">
      <c r="H2" s="1674"/>
      <c r="I2" s="1652" t="str">
        <f ca="1">IF(OR(AG3,AI3),"Errors on page, no Level reached","Total Project Points: "&amp;Dpoints)</f>
        <v>Total Project Points: 116</v>
      </c>
      <c r="J2" s="1652"/>
      <c r="K2" s="1652"/>
      <c r="L2" s="1652"/>
      <c r="M2" s="1675"/>
      <c r="N2" s="1675"/>
      <c r="O2" s="1675"/>
      <c r="P2" s="1675"/>
      <c r="Q2" s="1675"/>
      <c r="R2" s="1675"/>
      <c r="S2" s="1675"/>
      <c r="T2" s="1675"/>
      <c r="U2" s="1675"/>
      <c r="V2" s="1675"/>
      <c r="W2" s="1675"/>
      <c r="X2" s="520" t="s">
        <v>2890</v>
      </c>
      <c r="AF2" s="879" t="s">
        <v>611</v>
      </c>
      <c r="AG2" s="881">
        <f ca="1">INDIRECT(AF2)</f>
        <v>42</v>
      </c>
      <c r="AH2" s="881" t="s">
        <v>614</v>
      </c>
      <c r="AI2" s="881" t="e">
        <f ca="1">INDIRECT(AH2)</f>
        <v>#REF!</v>
      </c>
    </row>
    <row r="3" spans="1:61" x14ac:dyDescent="0.2">
      <c r="H3" s="1674"/>
      <c r="I3" s="1652" t="str">
        <f ca="1">IF(OR(AG3,AI3),"Errors on page, no Level reached","Total Project Level: "&amp;Dlevel)</f>
        <v>Total Project Level: Bronze</v>
      </c>
      <c r="J3" s="1652"/>
      <c r="K3" s="1652"/>
      <c r="L3" s="1652"/>
      <c r="M3" s="1675"/>
      <c r="N3" s="1675"/>
      <c r="O3" s="1675"/>
      <c r="P3" s="1675"/>
      <c r="Q3" s="1675"/>
      <c r="R3" s="1675"/>
      <c r="S3" s="1675"/>
      <c r="T3" s="1675"/>
      <c r="U3" s="1675"/>
      <c r="V3" s="1675"/>
      <c r="W3" s="1675"/>
      <c r="X3" s="520" t="s">
        <v>2889</v>
      </c>
      <c r="AF3" s="879" t="s">
        <v>612</v>
      </c>
      <c r="AG3" s="881" t="b">
        <f ca="1">OR(AE:AE)</f>
        <v>0</v>
      </c>
      <c r="AH3" s="879" t="s">
        <v>613</v>
      </c>
      <c r="AI3" s="881" t="b">
        <f ca="1">OR(AD:AD)</f>
        <v>0</v>
      </c>
    </row>
    <row r="4" spans="1:61" x14ac:dyDescent="0.2">
      <c r="H4" s="1674"/>
      <c r="I4" s="1658" t="str">
        <f ca="1">IF(OR(AG3,AI3),"Errors on page, no Level reached","Points Needed to Earn Next Level: "&amp;DNext)</f>
        <v>Points Needed to Earn Next Level: 9</v>
      </c>
      <c r="J4" s="1659"/>
      <c r="K4" s="1659"/>
      <c r="L4" s="1660"/>
      <c r="M4" s="1675"/>
      <c r="N4" s="1675"/>
      <c r="O4" s="1675"/>
      <c r="P4" s="1675"/>
      <c r="Q4" s="1675"/>
      <c r="R4" s="1675"/>
      <c r="S4" s="1675"/>
      <c r="T4" s="1675"/>
      <c r="U4" s="1675"/>
      <c r="V4" s="1675"/>
      <c r="W4" s="1675"/>
      <c r="X4" s="1543" t="s">
        <v>5034</v>
      </c>
      <c r="AF4" s="879"/>
      <c r="AH4" s="879"/>
    </row>
    <row r="5" spans="1:61" x14ac:dyDescent="0.2">
      <c r="H5" s="1674"/>
      <c r="I5" s="1661" t="str">
        <f>"Revision Date:  "&amp;TEXT('Info &amp; Intro'!E7,"m/d/yyyy")</f>
        <v>Revision Date:  5/10/2020</v>
      </c>
      <c r="J5" s="1662"/>
      <c r="K5" s="1662"/>
      <c r="L5" s="1663"/>
      <c r="M5" s="1675"/>
      <c r="N5" s="1675"/>
      <c r="O5" s="1675"/>
      <c r="P5" s="1675"/>
      <c r="Q5" s="1675"/>
      <c r="R5" s="1675"/>
      <c r="S5" s="1675"/>
      <c r="T5" s="1675"/>
      <c r="U5" s="1675"/>
      <c r="V5" s="1675"/>
      <c r="W5" s="1675"/>
      <c r="X5" s="1543"/>
      <c r="AF5" s="879"/>
      <c r="AH5" s="879"/>
    </row>
    <row r="6" spans="1:61" x14ac:dyDescent="0.2">
      <c r="H6" s="1674"/>
      <c r="I6" s="1666" t="s">
        <v>247</v>
      </c>
      <c r="J6" s="1667"/>
      <c r="K6" s="1668"/>
      <c r="L6" s="1761" t="s">
        <v>683</v>
      </c>
      <c r="M6" s="1762" t="s">
        <v>248</v>
      </c>
      <c r="N6" s="1761"/>
      <c r="O6" s="36" t="s">
        <v>298</v>
      </c>
      <c r="P6" s="1761" t="s">
        <v>3456</v>
      </c>
      <c r="Q6" s="1761" t="s">
        <v>290</v>
      </c>
      <c r="R6" s="1761" t="s">
        <v>249</v>
      </c>
      <c r="S6" s="1664" t="s">
        <v>250</v>
      </c>
      <c r="T6" s="1664" t="s">
        <v>0</v>
      </c>
      <c r="U6" s="1664" t="s">
        <v>3457</v>
      </c>
      <c r="V6" s="1664"/>
      <c r="W6" s="1664" t="s">
        <v>251</v>
      </c>
      <c r="X6" s="1653" t="s">
        <v>1</v>
      </c>
      <c r="AC6" s="878" t="s">
        <v>288</v>
      </c>
      <c r="AD6" s="878" t="s">
        <v>0</v>
      </c>
      <c r="AE6" s="878" t="s">
        <v>287</v>
      </c>
    </row>
    <row r="7" spans="1:61" x14ac:dyDescent="0.2">
      <c r="H7" s="1674"/>
      <c r="I7" s="1666"/>
      <c r="J7" s="1667"/>
      <c r="K7" s="1668"/>
      <c r="L7" s="1664"/>
      <c r="M7" s="1735"/>
      <c r="N7" s="1664"/>
      <c r="O7" s="36" t="s">
        <v>299</v>
      </c>
      <c r="P7" s="1664"/>
      <c r="Q7" s="1664"/>
      <c r="R7" s="1664"/>
      <c r="S7" s="1665"/>
      <c r="T7" s="1665"/>
      <c r="U7" s="1665"/>
      <c r="V7" s="1665"/>
      <c r="W7" s="1665"/>
      <c r="X7" s="1654"/>
      <c r="AC7" s="878" t="s">
        <v>288</v>
      </c>
      <c r="AD7" s="878" t="s">
        <v>0</v>
      </c>
      <c r="AE7" s="878" t="s">
        <v>287</v>
      </c>
    </row>
    <row r="8" spans="1:61" hidden="1" x14ac:dyDescent="0.2">
      <c r="I8" s="893"/>
      <c r="J8" s="893"/>
      <c r="K8" s="893"/>
      <c r="L8" s="892"/>
      <c r="M8" s="899"/>
      <c r="N8" s="892"/>
      <c r="O8" s="36"/>
      <c r="P8" s="892"/>
      <c r="Q8" s="892"/>
      <c r="R8" s="892"/>
      <c r="S8" s="892"/>
      <c r="T8" s="892"/>
      <c r="U8" s="892"/>
      <c r="V8" s="892"/>
      <c r="W8" s="892"/>
      <c r="X8" s="893"/>
      <c r="AC8" s="878"/>
      <c r="AD8" s="878"/>
      <c r="AE8" s="878"/>
    </row>
    <row r="9" spans="1:61" ht="19" x14ac:dyDescent="0.25">
      <c r="A9" s="20" t="s">
        <v>246</v>
      </c>
      <c r="B9" s="995" t="s">
        <v>246</v>
      </c>
      <c r="C9" s="995" t="s">
        <v>246</v>
      </c>
      <c r="D9" s="995" t="s">
        <v>246</v>
      </c>
      <c r="E9" s="995" t="s">
        <v>246</v>
      </c>
      <c r="F9" s="20" t="s">
        <v>246</v>
      </c>
      <c r="G9" s="20" t="s">
        <v>246</v>
      </c>
      <c r="H9" s="693"/>
      <c r="I9" s="24" t="s">
        <v>4515</v>
      </c>
      <c r="J9" s="24"/>
      <c r="K9" s="24"/>
      <c r="L9" s="25"/>
      <c r="M9" s="871"/>
      <c r="N9" s="1170" t="s">
        <v>246</v>
      </c>
      <c r="O9" s="26"/>
      <c r="P9" s="881" t="s">
        <v>246</v>
      </c>
      <c r="Q9" s="881" t="s">
        <v>246</v>
      </c>
      <c r="R9" s="881" t="s">
        <v>246</v>
      </c>
      <c r="S9" s="881" t="s">
        <v>246</v>
      </c>
      <c r="T9" s="881" t="s">
        <v>246</v>
      </c>
      <c r="U9" s="881" t="s">
        <v>246</v>
      </c>
      <c r="V9" s="881" t="s">
        <v>246</v>
      </c>
      <c r="W9" s="25"/>
      <c r="X9" s="25"/>
      <c r="Y9" s="877" t="s">
        <v>246</v>
      </c>
      <c r="Z9" s="877" t="s">
        <v>246</v>
      </c>
      <c r="AA9" s="877" t="s">
        <v>246</v>
      </c>
      <c r="AB9" s="877" t="s">
        <v>246</v>
      </c>
      <c r="AC9" s="877" t="s">
        <v>246</v>
      </c>
      <c r="AD9" s="877" t="s">
        <v>246</v>
      </c>
      <c r="AE9" s="877" t="s">
        <v>246</v>
      </c>
      <c r="AF9" s="877" t="s">
        <v>246</v>
      </c>
      <c r="AG9" s="877" t="s">
        <v>246</v>
      </c>
      <c r="AH9" s="877" t="s">
        <v>246</v>
      </c>
      <c r="AI9" s="877" t="s">
        <v>246</v>
      </c>
      <c r="AJ9" s="877" t="s">
        <v>246</v>
      </c>
      <c r="AK9" s="877" t="s">
        <v>246</v>
      </c>
      <c r="AL9" s="1351" t="s">
        <v>246</v>
      </c>
      <c r="AM9" s="877" t="s">
        <v>246</v>
      </c>
      <c r="AN9" s="1351" t="s">
        <v>246</v>
      </c>
      <c r="AO9" s="877" t="s">
        <v>246</v>
      </c>
      <c r="AP9" s="877" t="s">
        <v>246</v>
      </c>
      <c r="AQ9" s="877" t="s">
        <v>246</v>
      </c>
      <c r="AR9" s="877" t="s">
        <v>246</v>
      </c>
      <c r="AS9" s="877" t="s">
        <v>246</v>
      </c>
      <c r="AT9" s="877" t="s">
        <v>246</v>
      </c>
      <c r="AU9" s="877" t="s">
        <v>246</v>
      </c>
      <c r="AV9" s="877" t="s">
        <v>246</v>
      </c>
      <c r="AW9" s="877" t="s">
        <v>246</v>
      </c>
      <c r="AX9" s="877" t="s">
        <v>246</v>
      </c>
      <c r="AY9" s="877" t="s">
        <v>246</v>
      </c>
      <c r="AZ9" s="877" t="s">
        <v>246</v>
      </c>
      <c r="BA9" s="877" t="s">
        <v>246</v>
      </c>
      <c r="BB9" s="877" t="s">
        <v>246</v>
      </c>
      <c r="BC9" s="877" t="s">
        <v>246</v>
      </c>
      <c r="BD9" s="877" t="s">
        <v>246</v>
      </c>
      <c r="BE9" s="877" t="s">
        <v>246</v>
      </c>
      <c r="BF9" s="877" t="s">
        <v>246</v>
      </c>
      <c r="BG9" s="877" t="s">
        <v>246</v>
      </c>
      <c r="BH9" s="877" t="s">
        <v>246</v>
      </c>
      <c r="BI9" s="877" t="s">
        <v>246</v>
      </c>
    </row>
    <row r="10" spans="1:61" x14ac:dyDescent="0.2">
      <c r="A10"/>
      <c r="B10" s="600" t="s">
        <v>4695</v>
      </c>
      <c r="C10" s="858"/>
      <c r="D10" s="858"/>
      <c r="E10" s="600"/>
      <c r="F10" s="23"/>
      <c r="G10" s="23"/>
      <c r="H10" s="691"/>
      <c r="I10" s="590" t="s">
        <v>4516</v>
      </c>
      <c r="J10" s="1068"/>
      <c r="K10" s="1068"/>
      <c r="L10" s="1687" t="s">
        <v>4517</v>
      </c>
      <c r="M10" s="991"/>
      <c r="N10" s="991"/>
      <c r="O10" s="991"/>
      <c r="P10" s="991"/>
      <c r="Q10" s="991"/>
      <c r="R10" s="991"/>
      <c r="S10" s="991"/>
      <c r="T10" s="991"/>
      <c r="U10" s="991"/>
      <c r="V10" s="991"/>
      <c r="W10" s="991"/>
      <c r="X10" s="991"/>
      <c r="AL10" s="266"/>
      <c r="AM10" s="266"/>
      <c r="AP10" s="266"/>
      <c r="AQ10" s="266"/>
      <c r="AR10" s="266"/>
      <c r="AS10" s="266"/>
    </row>
    <row r="11" spans="1:61" x14ac:dyDescent="0.2">
      <c r="A11"/>
      <c r="B11" s="600" t="s">
        <v>4695</v>
      </c>
      <c r="I11" s="991"/>
      <c r="J11" s="991"/>
      <c r="K11" s="991"/>
      <c r="L11" s="1687"/>
      <c r="M11" s="966"/>
      <c r="N11" s="991"/>
      <c r="O11" s="966"/>
      <c r="P11" s="991"/>
      <c r="Q11" s="991"/>
      <c r="R11" s="991"/>
      <c r="S11" s="991"/>
      <c r="T11" s="991"/>
      <c r="U11" s="991"/>
      <c r="V11" s="991"/>
      <c r="W11" s="991"/>
      <c r="X11" s="991"/>
      <c r="AL11" s="266"/>
      <c r="AM11" s="266"/>
      <c r="AP11" s="266"/>
      <c r="AQ11" s="266"/>
      <c r="AR11" s="266"/>
      <c r="AS11" s="266"/>
      <c r="AX11" s="879" t="str">
        <f>'Overview (Design)'!A10</f>
        <v>Builder Name:</v>
      </c>
      <c r="AY11" s="881" t="str">
        <f>'Overview (Design)'!G10</f>
        <v>TWG Development</v>
      </c>
    </row>
    <row r="12" spans="1:61" ht="16" thickBot="1" x14ac:dyDescent="0.25">
      <c r="A12"/>
      <c r="B12" s="600" t="s">
        <v>4695</v>
      </c>
      <c r="I12" s="100"/>
      <c r="J12" s="100"/>
      <c r="K12" s="100"/>
      <c r="L12" s="1738"/>
      <c r="M12" s="931"/>
      <c r="N12" s="100"/>
      <c r="O12" s="931"/>
      <c r="P12" s="100"/>
      <c r="Q12" s="100"/>
      <c r="R12" s="100"/>
      <c r="S12" s="100"/>
      <c r="T12" s="100"/>
      <c r="U12" s="100"/>
      <c r="V12" s="100"/>
      <c r="W12" s="100"/>
      <c r="X12" s="100"/>
      <c r="AL12" s="266"/>
      <c r="AM12" s="266"/>
      <c r="AP12" s="266"/>
      <c r="AQ12" s="266"/>
      <c r="AR12" s="266"/>
      <c r="AS12" s="266"/>
      <c r="AX12" s="879" t="str">
        <f>'Overview (Design)'!A11</f>
        <v>Physical Address of Home:</v>
      </c>
      <c r="AY12" s="881" t="str">
        <f>'Overview (Design)'!G11</f>
        <v>330 Brownlee Road SW</v>
      </c>
    </row>
    <row r="13" spans="1:61" ht="15" customHeight="1" thickTop="1" x14ac:dyDescent="0.2">
      <c r="A13"/>
      <c r="B13" s="600">
        <v>801.1</v>
      </c>
      <c r="C13" s="858"/>
      <c r="D13" s="858"/>
      <c r="E13" s="600"/>
      <c r="F13" s="23"/>
      <c r="G13" s="23"/>
      <c r="H13" s="691"/>
      <c r="I13" s="603" t="s">
        <v>4518</v>
      </c>
      <c r="J13" s="1070"/>
      <c r="K13" s="1070"/>
      <c r="L13" s="1740" t="s">
        <v>5008</v>
      </c>
      <c r="M13" s="106"/>
      <c r="N13" s="106"/>
      <c r="O13" s="106"/>
      <c r="P13" s="1071" t="b">
        <v>1</v>
      </c>
      <c r="Q13" s="1071" t="b">
        <v>0</v>
      </c>
      <c r="R13" s="1071" t="b">
        <v>1</v>
      </c>
      <c r="S13" s="1071" t="b">
        <v>1</v>
      </c>
      <c r="T13" s="106" t="b">
        <f ca="1">IF(AND(NOT(S13),LEN(W13)&gt;0),TRUE,FALSE)</f>
        <v>0</v>
      </c>
      <c r="U13" s="106" t="str">
        <f>SUBSTITUTE(SUBSTITUTE(SUBSTITUTE("dd"&amp;B13&amp;C13&amp;D13&amp;E13&amp;F13,".","_"),"(","_"),")","")</f>
        <v>dd801_1</v>
      </c>
      <c r="V13" s="106"/>
      <c r="W13" s="1181" t="str">
        <f ca="1">IFERROR(INDEX(INDIRECT(U13),MATCH(AY33,ddWaterPath,0)),"Path not chosen")</f>
        <v>Prescriptive Path</v>
      </c>
      <c r="X13" s="106"/>
      <c r="AC13" s="905" t="b">
        <f ca="1">OR(AD13:AE13)</f>
        <v>0</v>
      </c>
      <c r="AD13" s="905" t="b">
        <f ca="1">T13</f>
        <v>0</v>
      </c>
      <c r="AE13" s="905" t="b">
        <f ca="1">AND(R13,NOT(LEN(W13)&gt;0))</f>
        <v>0</v>
      </c>
      <c r="AF13" s="905"/>
      <c r="AG13" s="905"/>
      <c r="AH13" s="905"/>
      <c r="AI13" s="905"/>
      <c r="AJ13" s="905"/>
      <c r="AK13" s="905"/>
      <c r="AP13" s="1352"/>
      <c r="AQ13" s="1352"/>
      <c r="AX13" s="879" t="str">
        <f>'Overview (Design)'!A12</f>
        <v>Community/Lot #:</v>
      </c>
      <c r="AY13" s="881">
        <f>'Overview (Design)'!G12</f>
        <v>0</v>
      </c>
    </row>
    <row r="14" spans="1:61" x14ac:dyDescent="0.2">
      <c r="A14"/>
      <c r="B14" s="600">
        <v>801.1</v>
      </c>
      <c r="C14" s="858"/>
      <c r="D14" s="858"/>
      <c r="E14" s="600"/>
      <c r="F14" s="23"/>
      <c r="G14" s="23"/>
      <c r="H14" s="691"/>
      <c r="I14" s="590"/>
      <c r="J14" s="1068"/>
      <c r="K14" s="1068"/>
      <c r="L14" s="1687"/>
      <c r="M14" s="991"/>
      <c r="N14" s="991"/>
      <c r="O14" s="991"/>
      <c r="P14" s="991"/>
      <c r="Q14" s="991"/>
      <c r="R14" s="991"/>
      <c r="S14" s="991">
        <f ca="1">IFERROR(MATCH(W13,INDIRECT(U13),0),0)</f>
        <v>1</v>
      </c>
      <c r="T14" s="991"/>
      <c r="U14" s="991"/>
      <c r="V14" s="991"/>
      <c r="W14" s="991"/>
      <c r="X14" s="991"/>
      <c r="AX14" s="879" t="str">
        <f>'Overview (Design)'!A13</f>
        <v>City:</v>
      </c>
      <c r="AY14" s="881" t="str">
        <f>'Overview (Design)'!G13</f>
        <v>Atlanta</v>
      </c>
    </row>
    <row r="15" spans="1:61" x14ac:dyDescent="0.2">
      <c r="A15"/>
      <c r="B15" s="600">
        <v>801.1</v>
      </c>
      <c r="C15" s="858"/>
      <c r="D15" s="858"/>
      <c r="E15" s="600"/>
      <c r="F15" s="23"/>
      <c r="G15" s="23"/>
      <c r="H15" s="691"/>
      <c r="I15" s="590"/>
      <c r="J15" s="1068"/>
      <c r="K15" s="1068"/>
      <c r="L15" s="1687"/>
      <c r="M15" s="991"/>
      <c r="N15" s="991"/>
      <c r="O15" s="991"/>
      <c r="P15" s="991"/>
      <c r="Q15" s="991"/>
      <c r="R15" s="991"/>
      <c r="S15" s="991"/>
      <c r="T15" s="991"/>
      <c r="U15" s="991"/>
      <c r="V15" s="991"/>
      <c r="W15" s="991"/>
      <c r="X15" s="991"/>
      <c r="AX15" s="879" t="str">
        <f>'Overview (Design)'!A14</f>
        <v>State:</v>
      </c>
      <c r="AY15" s="881" t="str">
        <f>'Overview (Design)'!G14</f>
        <v>Georgia</v>
      </c>
      <c r="BC15" s="881" t="str">
        <f>'Overview (Design)'!K14</f>
        <v>State</v>
      </c>
      <c r="BD15" s="881" t="str">
        <f>'Overview (Design)'!L14</f>
        <v>County</v>
      </c>
      <c r="BE15" s="881" t="str">
        <f>'Overview (Design)'!M14</f>
        <v>Radon</v>
      </c>
      <c r="BF15" s="881" t="str">
        <f>'Overview (Design)'!N14</f>
        <v>Climate</v>
      </c>
      <c r="BG15" s="881" t="str">
        <f>'Overview (Design)'!O14</f>
        <v>Moist</v>
      </c>
      <c r="BH15" s="881" t="str">
        <f>'Overview (Design)'!P14</f>
        <v>WarmHumid</v>
      </c>
      <c r="BI15" s="881" t="str">
        <f>'Overview (Design)'!Q14</f>
        <v>Tropical</v>
      </c>
    </row>
    <row r="16" spans="1:61" x14ac:dyDescent="0.2">
      <c r="B16" s="600">
        <v>801.1</v>
      </c>
      <c r="C16" s="858"/>
      <c r="D16" s="858"/>
      <c r="E16" s="600"/>
      <c r="F16" s="23"/>
      <c r="G16" s="23"/>
      <c r="H16" s="691"/>
      <c r="I16" s="590"/>
      <c r="J16" s="1068"/>
      <c r="K16" s="1068"/>
      <c r="L16" s="1687"/>
      <c r="M16" s="991"/>
      <c r="N16" s="991"/>
      <c r="O16" s="991"/>
      <c r="P16" s="991"/>
      <c r="Q16" s="991"/>
      <c r="R16" s="991"/>
      <c r="S16" s="991"/>
      <c r="T16" s="991"/>
      <c r="U16" s="991"/>
      <c r="V16" s="991"/>
      <c r="W16" s="991"/>
      <c r="X16" s="991"/>
      <c r="AX16" s="879" t="str">
        <f>'Overview (Design)'!A15</f>
        <v>County:</v>
      </c>
      <c r="AY16" s="881" t="str">
        <f>'Overview (Design)'!G15</f>
        <v xml:space="preserve">Fulton  </v>
      </c>
      <c r="BC16" s="881" t="str">
        <f>'Overview (Design)'!K15</f>
        <v>Georgia</v>
      </c>
      <c r="BD16" s="881" t="str">
        <f>'Overview (Design)'!L15</f>
        <v xml:space="preserve">Fulton  </v>
      </c>
      <c r="BE16" s="881">
        <f>'Overview (Design)'!M15</f>
        <v>1</v>
      </c>
      <c r="BF16" s="881">
        <f>'Overview (Design)'!N15</f>
        <v>3</v>
      </c>
      <c r="BG16" s="881" t="str">
        <f>'Overview (Design)'!O15</f>
        <v>Moist</v>
      </c>
      <c r="BH16" s="881" t="str">
        <f>'Overview (Design)'!P15</f>
        <v xml:space="preserve"> </v>
      </c>
      <c r="BI16" s="881" t="str">
        <f>'Overview (Design)'!Q15</f>
        <v xml:space="preserve"> </v>
      </c>
    </row>
    <row r="17" spans="2:51" x14ac:dyDescent="0.2">
      <c r="B17" s="600">
        <v>801.1</v>
      </c>
      <c r="C17" s="858"/>
      <c r="D17" s="858"/>
      <c r="E17" s="600"/>
      <c r="F17" s="23"/>
      <c r="G17" s="23"/>
      <c r="H17" s="691"/>
      <c r="I17" s="590"/>
      <c r="J17" s="1068"/>
      <c r="K17" s="1068"/>
      <c r="L17" s="1687"/>
      <c r="M17" s="991"/>
      <c r="N17" s="991"/>
      <c r="O17" s="991"/>
      <c r="P17" s="991"/>
      <c r="Q17" s="991"/>
      <c r="R17" s="991"/>
      <c r="S17" s="991"/>
      <c r="T17" s="991"/>
      <c r="U17" s="991"/>
      <c r="V17" s="991"/>
      <c r="W17" s="991"/>
      <c r="X17" s="991"/>
      <c r="AX17" s="879" t="str">
        <f>'Overview (Design)'!A16</f>
        <v>Zip:</v>
      </c>
      <c r="AY17" s="881" t="str">
        <f>'Overview (Design)'!G16</f>
        <v>30311</v>
      </c>
    </row>
    <row r="18" spans="2:51" ht="16" thickBot="1" x14ac:dyDescent="0.25">
      <c r="B18" s="600">
        <v>801.1</v>
      </c>
      <c r="C18" s="858"/>
      <c r="D18" s="858"/>
      <c r="E18" s="600"/>
      <c r="F18" s="23"/>
      <c r="G18" s="23"/>
      <c r="H18" s="691"/>
      <c r="I18" s="594"/>
      <c r="J18" s="1069"/>
      <c r="K18" s="1069"/>
      <c r="L18" s="1738"/>
      <c r="M18" s="100"/>
      <c r="N18" s="100"/>
      <c r="O18" s="100"/>
      <c r="P18" s="100"/>
      <c r="Q18" s="100"/>
      <c r="R18" s="100"/>
      <c r="S18" s="100"/>
      <c r="T18" s="100"/>
      <c r="U18" s="100"/>
      <c r="V18" s="100"/>
      <c r="W18" s="100"/>
      <c r="X18" s="100"/>
      <c r="AX18" s="879"/>
    </row>
    <row r="19" spans="2:51" ht="15" customHeight="1" thickTop="1" x14ac:dyDescent="0.2">
      <c r="B19" s="600" t="s">
        <v>4698</v>
      </c>
      <c r="C19" s="600"/>
      <c r="D19" s="600"/>
      <c r="E19" s="600"/>
      <c r="F19" s="23"/>
      <c r="G19" s="23"/>
      <c r="H19" s="691"/>
      <c r="I19" s="589" t="s">
        <v>4698</v>
      </c>
      <c r="J19" s="69"/>
      <c r="K19" s="69"/>
      <c r="L19" s="1611" t="s">
        <v>4697</v>
      </c>
      <c r="M19"/>
      <c r="N19"/>
      <c r="O19"/>
      <c r="P19"/>
      <c r="Q19"/>
      <c r="R19"/>
      <c r="S19"/>
      <c r="T19"/>
      <c r="U19"/>
      <c r="V19"/>
      <c r="W19"/>
      <c r="X19"/>
      <c r="AX19" s="879" t="str">
        <f>'Overview (Design)'!A18</f>
        <v>Single-Family or Multifamily:</v>
      </c>
      <c r="AY19" s="881" t="str">
        <f>'Overview (Design)'!G18</f>
        <v>Multifamily</v>
      </c>
    </row>
    <row r="20" spans="2:51" ht="15" customHeight="1" x14ac:dyDescent="0.2">
      <c r="B20" s="600" t="s">
        <v>4698</v>
      </c>
      <c r="L20" s="1611"/>
      <c r="X20"/>
      <c r="AX20" s="879" t="str">
        <f>'Overview (Design)'!A19</f>
        <v>Number of Units:</v>
      </c>
      <c r="AY20" s="881">
        <f>'Overview (Design)'!G19</f>
        <v>48</v>
      </c>
    </row>
    <row r="21" spans="2:51" x14ac:dyDescent="0.2">
      <c r="B21" s="600" t="s">
        <v>4698</v>
      </c>
      <c r="L21" s="1611"/>
      <c r="X21"/>
      <c r="AX21" s="879" t="str">
        <f>'Overview (Design)'!A23</f>
        <v>Project Name:</v>
      </c>
      <c r="AY21" s="881" t="str">
        <f>'Overview (Design)'!G23</f>
        <v>Towne West Manor</v>
      </c>
    </row>
    <row r="22" spans="2:51" x14ac:dyDescent="0.2">
      <c r="B22" s="600" t="s">
        <v>4698</v>
      </c>
      <c r="I22" s="905"/>
      <c r="J22" s="905"/>
      <c r="K22" s="905"/>
      <c r="L22" s="870" t="s">
        <v>5006</v>
      </c>
      <c r="M22" s="930"/>
      <c r="N22" s="905"/>
      <c r="O22" s="930"/>
      <c r="P22" s="905"/>
      <c r="Q22" s="905"/>
      <c r="R22" s="905"/>
      <c r="S22" s="905"/>
      <c r="T22" s="905"/>
      <c r="U22" s="905"/>
      <c r="V22" s="905"/>
      <c r="W22" s="905"/>
      <c r="X22" s="905"/>
      <c r="Y22" s="905"/>
      <c r="Z22" s="905"/>
      <c r="AA22" s="905"/>
      <c r="AB22" s="905"/>
      <c r="AC22" s="905"/>
      <c r="AD22" s="905"/>
      <c r="AE22" s="905"/>
      <c r="AF22" s="905"/>
      <c r="AG22" s="905"/>
      <c r="AH22" s="905"/>
      <c r="AI22" s="905"/>
      <c r="AJ22" s="905"/>
      <c r="AK22" s="905"/>
      <c r="AT22" s="905"/>
      <c r="AU22" s="905"/>
      <c r="AV22" s="905"/>
      <c r="AW22" s="905"/>
    </row>
    <row r="23" spans="2:51" x14ac:dyDescent="0.2">
      <c r="B23" s="600" t="s">
        <v>4698</v>
      </c>
      <c r="L23" s="1611" t="s">
        <v>4696</v>
      </c>
      <c r="X23" s="1600"/>
      <c r="AR23" s="1352" t="str">
        <f>SUBSTITUTE(SUBSTITUTE(SUBSTITUTE("dnt"&amp;$B23&amp;$C23&amp;$D23&amp;$E23&amp;$F23,".","_"),"(","_"),")","")</f>
        <v>dnt305_2_6_1</v>
      </c>
      <c r="AS23" s="1352" t="str">
        <f>IF(LEN(X23)=0,"",X23)</f>
        <v/>
      </c>
      <c r="AX23" s="879" t="str">
        <f>'Overview (Design)'!A25</f>
        <v>Above grade plane finished floor area:</v>
      </c>
      <c r="AY23" s="881">
        <f>'Overview (Design)'!G25</f>
        <v>1184</v>
      </c>
    </row>
    <row r="24" spans="2:51" x14ac:dyDescent="0.2">
      <c r="B24" s="600" t="s">
        <v>4698</v>
      </c>
      <c r="L24" s="1611"/>
      <c r="X24" s="1600"/>
      <c r="AX24" s="879" t="str">
        <f>'Overview (Design)'!A26</f>
        <v>Total conditioned floor area:</v>
      </c>
      <c r="AY24" s="881">
        <f>'Overview (Design)'!G26</f>
        <v>20128</v>
      </c>
    </row>
    <row r="25" spans="2:51" x14ac:dyDescent="0.2">
      <c r="B25" s="600" t="s">
        <v>4698</v>
      </c>
      <c r="L25" s="1611"/>
      <c r="X25" s="1600"/>
      <c r="AX25" s="879" t="str">
        <f>'Overview (Design)'!A27</f>
        <v>Stories above grade:</v>
      </c>
      <c r="AY25" s="881">
        <f>'Overview (Design)'!G27</f>
        <v>2</v>
      </c>
    </row>
    <row r="26" spans="2:51" x14ac:dyDescent="0.2">
      <c r="B26" s="600" t="s">
        <v>4698</v>
      </c>
      <c r="L26" s="1611"/>
      <c r="W26" s="1212" t="s">
        <v>5012</v>
      </c>
      <c r="X26" s="1600"/>
      <c r="AX26" s="1167"/>
      <c r="AY26" s="1168"/>
    </row>
    <row r="27" spans="2:51" ht="15" customHeight="1" x14ac:dyDescent="0.2">
      <c r="B27" s="600" t="s">
        <v>4698</v>
      </c>
      <c r="L27" s="1759" t="s">
        <v>3472</v>
      </c>
      <c r="P27" s="881" t="b">
        <v>0</v>
      </c>
      <c r="Q27" s="881" t="b">
        <v>1</v>
      </c>
      <c r="R27" s="881" t="b">
        <f ca="1">S27</f>
        <v>0</v>
      </c>
      <c r="S27" s="881" t="b">
        <f ca="1">S14=2</f>
        <v>0</v>
      </c>
      <c r="T27" s="1208" t="b">
        <f ca="1">IF(AND(NOT(S27),LEN(W27)&gt;0),TRUE,FALSE)</f>
        <v>0</v>
      </c>
      <c r="W27" s="977"/>
      <c r="X27" s="1600"/>
      <c r="AC27" s="1198" t="b">
        <f ca="1">OR(AD27:AE27)</f>
        <v>0</v>
      </c>
      <c r="AD27" s="1198" t="b">
        <f ca="1">T27</f>
        <v>0</v>
      </c>
      <c r="AE27" s="1198" t="b">
        <f ca="1">AND(R27,OR(W27="Not Met",W27=""))</f>
        <v>0</v>
      </c>
      <c r="AP27" s="1352" t="str">
        <f>SUBSTITUTE(SUBSTITUTE(SUBSTITUTE("dch"&amp;$B27&amp;$C27&amp;$D27&amp;$E27&amp;$F27,".","_"),"(","_"),")","")</f>
        <v>dch305_2_6_1</v>
      </c>
      <c r="AQ27" s="1352" t="str">
        <f>IF(LEN(W27)=0,"",W27)</f>
        <v/>
      </c>
      <c r="AX27" s="879" t="str">
        <f>'Overview (Design)'!A29</f>
        <v>Year Built:</v>
      </c>
      <c r="AY27" s="881">
        <f>'Overview (Design)'!G29</f>
        <v>1969</v>
      </c>
    </row>
    <row r="28" spans="2:51" ht="15" customHeight="1" x14ac:dyDescent="0.2">
      <c r="B28" s="600" t="s">
        <v>4698</v>
      </c>
      <c r="L28" s="1759"/>
      <c r="X28" s="1600"/>
      <c r="AX28" s="1167" t="str">
        <f>'Overview (Design)'!A30</f>
        <v>Energy Baseline Year:</v>
      </c>
      <c r="AY28" s="1168">
        <f>'Overview (Design)'!G30</f>
        <v>2020</v>
      </c>
    </row>
    <row r="29" spans="2:51" ht="15" customHeight="1" x14ac:dyDescent="0.2">
      <c r="B29" s="600" t="s">
        <v>4698</v>
      </c>
      <c r="L29" s="1611" t="s">
        <v>3473</v>
      </c>
      <c r="X29" s="1600"/>
      <c r="AX29" s="1167" t="str">
        <f>'Overview (Design)'!A31</f>
        <v>Water Baseline Year:</v>
      </c>
      <c r="AY29" s="1168">
        <f>'Overview (Design)'!G31</f>
        <v>2020</v>
      </c>
    </row>
    <row r="30" spans="2:51" ht="15" customHeight="1" x14ac:dyDescent="0.2">
      <c r="B30" s="600" t="s">
        <v>4698</v>
      </c>
      <c r="L30" s="1611"/>
      <c r="X30" s="1600"/>
      <c r="AX30" s="1167" t="str">
        <f>'Overview (Design)'!A32</f>
        <v xml:space="preserve">Project Description: </v>
      </c>
      <c r="AY30" s="1168" t="str">
        <f>'Overview (Design)'!G32</f>
        <v>n/a</v>
      </c>
    </row>
    <row r="31" spans="2:51" ht="15" customHeight="1" x14ac:dyDescent="0.2">
      <c r="B31" s="600" t="s">
        <v>4698</v>
      </c>
      <c r="L31" s="1611"/>
      <c r="X31" s="1600"/>
      <c r="AX31" s="1167"/>
      <c r="AY31" s="1168"/>
    </row>
    <row r="32" spans="2:51" ht="15" customHeight="1" x14ac:dyDescent="0.2">
      <c r="B32" s="600" t="s">
        <v>4698</v>
      </c>
      <c r="L32" s="1611"/>
      <c r="X32" s="1600"/>
      <c r="AX32" s="1167" t="str">
        <f>'Overview (Design)'!A34</f>
        <v>Selected Energy Compliance Path:</v>
      </c>
      <c r="AY32" s="1168" t="str">
        <f>'Overview (Design)'!G34</f>
        <v>Performance</v>
      </c>
    </row>
    <row r="33" spans="2:51" ht="15" customHeight="1" x14ac:dyDescent="0.2">
      <c r="B33" s="600" t="s">
        <v>4698</v>
      </c>
      <c r="L33" s="1611"/>
      <c r="X33" s="1600"/>
      <c r="AX33" s="1167" t="str">
        <f>'Overview (Design)'!A35</f>
        <v>Selected Water Compliance Path:</v>
      </c>
      <c r="AY33" s="1168" t="str">
        <f>'Overview (Design)'!G35</f>
        <v>Prescriptive</v>
      </c>
    </row>
    <row r="34" spans="2:51" ht="15" customHeight="1" x14ac:dyDescent="0.2">
      <c r="B34" s="600" t="s">
        <v>4698</v>
      </c>
      <c r="I34" s="905"/>
      <c r="J34" s="905"/>
      <c r="K34" s="905"/>
      <c r="L34" s="1611"/>
      <c r="M34" s="930"/>
      <c r="N34" s="905"/>
      <c r="O34" s="930"/>
      <c r="P34" s="905"/>
      <c r="Q34" s="905"/>
      <c r="R34" s="905"/>
      <c r="S34" s="905"/>
      <c r="T34" s="905"/>
      <c r="U34" s="905"/>
      <c r="V34" s="905"/>
      <c r="W34" s="905"/>
      <c r="X34" s="1600"/>
      <c r="AX34" s="879" t="str">
        <f>'Overview (Design)'!A36</f>
        <v>Foundation Type:</v>
      </c>
      <c r="AY34" s="881" t="str">
        <f>'Overview (Design)'!G36</f>
        <v>Slab on grade</v>
      </c>
    </row>
    <row r="35" spans="2:51" ht="15" customHeight="1" x14ac:dyDescent="0.2">
      <c r="B35" s="600" t="s">
        <v>4698</v>
      </c>
      <c r="I35" s="905"/>
      <c r="J35" s="905"/>
      <c r="K35" s="905"/>
      <c r="L35" s="1611" t="s">
        <v>5007</v>
      </c>
      <c r="M35" s="930"/>
      <c r="N35" s="905"/>
      <c r="O35" s="930"/>
      <c r="P35" s="905"/>
      <c r="Q35" s="905"/>
      <c r="R35" s="905"/>
      <c r="S35" s="905"/>
      <c r="T35" s="905"/>
      <c r="U35" s="905"/>
      <c r="V35" s="905"/>
      <c r="W35" s="905"/>
      <c r="X35" s="1600"/>
      <c r="AX35" s="879"/>
    </row>
    <row r="36" spans="2:51" x14ac:dyDescent="0.2">
      <c r="B36" s="600" t="s">
        <v>4698</v>
      </c>
      <c r="I36" s="905"/>
      <c r="J36" s="905"/>
      <c r="K36" s="905"/>
      <c r="L36" s="1611"/>
      <c r="M36" s="930"/>
      <c r="N36" s="905"/>
      <c r="O36" s="930"/>
      <c r="P36" s="905"/>
      <c r="Q36" s="905"/>
      <c r="R36" s="905"/>
      <c r="S36" s="905"/>
      <c r="T36" s="905"/>
      <c r="U36" s="905"/>
      <c r="V36" s="905"/>
      <c r="W36" s="905"/>
      <c r="X36" s="1600"/>
      <c r="AX36" s="879" t="str">
        <f>'Overview (Design)'!A38</f>
        <v>Type of Heating System (main system):</v>
      </c>
      <c r="AY36" s="881" t="str">
        <f>'Overview (Design)'!G38</f>
        <v>Heat Pump</v>
      </c>
    </row>
    <row r="37" spans="2:51" ht="15" customHeight="1" x14ac:dyDescent="0.2">
      <c r="B37" s="600" t="s">
        <v>4698</v>
      </c>
      <c r="I37" s="905"/>
      <c r="J37" s="905"/>
      <c r="K37" s="905"/>
      <c r="L37" s="1611"/>
      <c r="M37" s="930"/>
      <c r="N37" s="905"/>
      <c r="O37" s="930"/>
      <c r="P37" s="905"/>
      <c r="Q37" s="905"/>
      <c r="R37" s="905"/>
      <c r="S37" s="905"/>
      <c r="T37" s="905"/>
      <c r="U37" s="905"/>
      <c r="V37" s="905"/>
      <c r="W37" s="905"/>
      <c r="X37" s="1600"/>
      <c r="AX37" s="879" t="str">
        <f>'Overview (Design)'!A39</f>
        <v>Type of Heating System (system 2):</v>
      </c>
      <c r="AY37" s="881">
        <f>'Overview (Design)'!G39</f>
        <v>0</v>
      </c>
    </row>
    <row r="38" spans="2:51" x14ac:dyDescent="0.2">
      <c r="B38" s="600" t="s">
        <v>4698</v>
      </c>
      <c r="I38" s="905"/>
      <c r="J38" s="905"/>
      <c r="K38" s="905"/>
      <c r="L38" s="1611"/>
      <c r="M38" s="930"/>
      <c r="N38" s="905"/>
      <c r="O38" s="930"/>
      <c r="P38" s="905"/>
      <c r="Q38" s="905"/>
      <c r="R38" s="905"/>
      <c r="S38" s="905"/>
      <c r="T38" s="905"/>
      <c r="U38" s="905"/>
      <c r="V38" s="905"/>
      <c r="X38" s="1600"/>
      <c r="AX38" s="879" t="str">
        <f>'Overview (Design)'!A40</f>
        <v>Type of Heating System (system 3):</v>
      </c>
      <c r="AY38" s="881">
        <f>'Overview (Design)'!G40</f>
        <v>0</v>
      </c>
    </row>
    <row r="39" spans="2:51" ht="19" x14ac:dyDescent="0.25">
      <c r="B39" s="600">
        <v>802</v>
      </c>
      <c r="C39" s="858"/>
      <c r="D39" s="858"/>
      <c r="E39" s="600"/>
      <c r="F39" s="23"/>
      <c r="G39" s="23"/>
      <c r="H39" s="691"/>
      <c r="I39" s="1004" t="s">
        <v>4519</v>
      </c>
      <c r="J39" s="1003"/>
      <c r="K39" s="1003"/>
      <c r="L39" s="1004"/>
      <c r="M39" s="25"/>
      <c r="N39" s="25"/>
      <c r="O39" s="25"/>
      <c r="P39" s="25"/>
      <c r="Q39" s="25"/>
      <c r="R39" s="25"/>
      <c r="S39" s="25"/>
      <c r="T39" s="25"/>
      <c r="U39" s="25"/>
      <c r="V39" s="25"/>
      <c r="W39" s="25"/>
      <c r="X39" s="25"/>
      <c r="AX39" s="879" t="str">
        <f>'Overview (Design)'!A42</f>
        <v>Heating Ducts:</v>
      </c>
      <c r="AY39" s="881" t="str">
        <f>'Overview (Design)'!G42</f>
        <v>Ducted</v>
      </c>
    </row>
    <row r="40" spans="2:51" ht="15" customHeight="1" x14ac:dyDescent="0.2">
      <c r="B40" s="600">
        <v>802.1</v>
      </c>
      <c r="C40" s="858"/>
      <c r="D40" s="858"/>
      <c r="E40" s="600"/>
      <c r="F40" s="23"/>
      <c r="G40" s="23"/>
      <c r="H40" s="691"/>
      <c r="I40" s="589" t="s">
        <v>4520</v>
      </c>
      <c r="J40" s="873"/>
      <c r="K40" s="873"/>
      <c r="L40" s="1687" t="s">
        <v>4857</v>
      </c>
      <c r="M40" s="890"/>
      <c r="N40" s="4"/>
      <c r="O40" s="1669">
        <f ca="1">IFERROR(INDEX({8,12,20,24,28,9},MATCH(W41,INDIRECT(U41),0)),0)*S41*NOT(T41)</f>
        <v>0</v>
      </c>
      <c r="U40" s="991"/>
      <c r="X40"/>
      <c r="AN40" s="1352" t="str">
        <f>SUBSTITUTE(SUBSTITUTE(SUBSTITUTE("dpc"&amp;$B40&amp;$C40&amp;$D40&amp;$E40&amp;$F40,".","_"),"(","_"),")","")</f>
        <v>dpc802_1</v>
      </c>
      <c r="AO40" s="1352">
        <f ca="1">O40</f>
        <v>0</v>
      </c>
      <c r="AX40" s="879" t="str">
        <f>'Overview (Design)'!A43</f>
        <v>Type of Cooling System (main system):</v>
      </c>
      <c r="AY40" s="881" t="str">
        <f>'Overview (Design)'!G43</f>
        <v>Heat Pump</v>
      </c>
    </row>
    <row r="41" spans="2:51" ht="15" customHeight="1" x14ac:dyDescent="0.2">
      <c r="B41" s="600">
        <v>802.1</v>
      </c>
      <c r="C41" s="858"/>
      <c r="D41" s="858"/>
      <c r="E41" s="600"/>
      <c r="F41" s="23"/>
      <c r="G41" s="23"/>
      <c r="H41" s="691"/>
      <c r="I41" s="589"/>
      <c r="J41" s="873"/>
      <c r="K41" s="873"/>
      <c r="L41" s="1687"/>
      <c r="M41" s="890"/>
      <c r="N41" s="4"/>
      <c r="O41" s="1669"/>
      <c r="P41" s="881" t="b">
        <v>1</v>
      </c>
      <c r="Q41" s="881" t="b">
        <v>1</v>
      </c>
      <c r="R41" s="881" t="b">
        <v>0</v>
      </c>
      <c r="S41" s="881" t="b">
        <f ca="1">AND(S43,S44,S14=1)</f>
        <v>0</v>
      </c>
      <c r="T41" s="96" t="b">
        <f ca="1">OR(IF(AND(NOT(S41),LEN(W41)&gt;0),TRUE,FALSE),AND(W41=INDEX(INDIRECT(U41),6),NOT(AY19=INDEX(ddSingleOrMulti,2))))</f>
        <v>0</v>
      </c>
      <c r="U41" s="991" t="str">
        <f>SUBSTITUTE(SUBSTITUTE(SUBSTITUTE("dd"&amp;B41&amp;C41&amp;D41&amp;E41&amp;F41,".","_"),"(","_"),")","")</f>
        <v>dd802_1</v>
      </c>
      <c r="W41" s="12"/>
      <c r="X41"/>
      <c r="AC41" s="905" t="b">
        <f ca="1">OR(AD41:AE41)</f>
        <v>0</v>
      </c>
      <c r="AD41" s="905" t="b">
        <f ca="1">T41</f>
        <v>0</v>
      </c>
      <c r="AE41" s="905"/>
      <c r="AP41" s="1352" t="str">
        <f>SUBSTITUTE(SUBSTITUTE(SUBSTITUTE("dch"&amp;$B41&amp;$C41&amp;$D41&amp;$E41&amp;$F41,".","_"),"(","_"),")","")</f>
        <v>dch802_1</v>
      </c>
      <c r="AQ41" s="1352" t="str">
        <f>IF(LEN(W41)=0,"",W41)</f>
        <v/>
      </c>
      <c r="AX41" s="879" t="str">
        <f>'Overview (Design)'!A44</f>
        <v>Type of Cooling System (system 2):</v>
      </c>
      <c r="AY41" s="881">
        <f>'Overview (Design)'!G44</f>
        <v>0</v>
      </c>
    </row>
    <row r="42" spans="2:51" ht="15" customHeight="1" x14ac:dyDescent="0.2">
      <c r="B42" s="600">
        <v>802.1</v>
      </c>
      <c r="C42" s="858"/>
      <c r="D42" s="858"/>
      <c r="E42" s="600"/>
      <c r="F42" s="23"/>
      <c r="G42" s="23"/>
      <c r="H42" s="691"/>
      <c r="I42" s="589"/>
      <c r="J42" s="873"/>
      <c r="K42" s="873"/>
      <c r="L42" s="1687"/>
      <c r="M42" s="890"/>
      <c r="N42" s="4"/>
      <c r="O42" s="1669"/>
      <c r="X42"/>
      <c r="AX42" s="879" t="str">
        <f>'Overview (Design)'!A45</f>
        <v>Type of Cooling System (system 3):</v>
      </c>
      <c r="AY42" s="881">
        <f>'Overview (Design)'!G45</f>
        <v>0</v>
      </c>
    </row>
    <row r="43" spans="2:51" x14ac:dyDescent="0.2">
      <c r="B43" s="600">
        <v>802.1</v>
      </c>
      <c r="C43" s="858"/>
      <c r="D43" s="858"/>
      <c r="E43" s="600"/>
      <c r="F43" s="23"/>
      <c r="G43" s="23"/>
      <c r="H43" s="691"/>
      <c r="I43" s="589"/>
      <c r="J43" s="873"/>
      <c r="K43" s="873"/>
      <c r="L43" s="1687"/>
      <c r="M43" s="890"/>
      <c r="N43" s="4"/>
      <c r="O43" s="1669"/>
      <c r="S43" s="1" t="b">
        <f ca="1">('11.700'!S596=TRUE)</f>
        <v>0</v>
      </c>
      <c r="X43"/>
      <c r="AX43" s="879" t="str">
        <f>'Overview (Design)'!A46</f>
        <v>Cooling Ducts:</v>
      </c>
      <c r="AY43" s="881" t="str">
        <f>'Overview (Design)'!G46</f>
        <v>Ducted</v>
      </c>
    </row>
    <row r="44" spans="2:51" ht="15" customHeight="1" x14ac:dyDescent="0.2">
      <c r="B44" s="600">
        <v>802.1</v>
      </c>
      <c r="C44" s="858"/>
      <c r="D44" s="858"/>
      <c r="E44" s="600"/>
      <c r="F44" s="23"/>
      <c r="G44" s="23"/>
      <c r="H44" s="691"/>
      <c r="I44" s="589"/>
      <c r="J44" s="873"/>
      <c r="K44" s="873"/>
      <c r="L44" s="1687"/>
      <c r="M44" s="890"/>
      <c r="N44" s="4"/>
      <c r="O44" s="1669"/>
      <c r="S44" s="1" t="b">
        <f>('11.700'!W596=TRUE)</f>
        <v>0</v>
      </c>
      <c r="X44"/>
      <c r="AX44" s="879"/>
    </row>
    <row r="45" spans="2:51" x14ac:dyDescent="0.2">
      <c r="B45" s="600">
        <v>802.1</v>
      </c>
      <c r="C45" s="858"/>
      <c r="D45" s="858"/>
      <c r="E45" s="600"/>
      <c r="F45" s="23"/>
      <c r="G45" s="23"/>
      <c r="H45" s="691"/>
      <c r="I45" s="589"/>
      <c r="J45" s="873"/>
      <c r="K45" s="873"/>
      <c r="L45" s="1687"/>
      <c r="M45" s="890"/>
      <c r="N45" s="4"/>
      <c r="O45" s="885"/>
      <c r="X45"/>
      <c r="AX45" s="879" t="str">
        <f>'Overview (Design)'!A48</f>
        <v>Maximum window and door SHGC:</v>
      </c>
      <c r="AY45" s="881">
        <f>'Overview (Design)'!G48</f>
        <v>0.22</v>
      </c>
    </row>
    <row r="46" spans="2:51" ht="15" customHeight="1" x14ac:dyDescent="0.2">
      <c r="B46" s="600">
        <v>802.1</v>
      </c>
      <c r="C46" s="858"/>
      <c r="D46" s="858"/>
      <c r="E46" s="600"/>
      <c r="F46" s="23"/>
      <c r="G46" s="23"/>
      <c r="H46" s="691"/>
      <c r="I46" s="589"/>
      <c r="J46" s="873"/>
      <c r="K46" s="873"/>
      <c r="L46" s="1687"/>
      <c r="M46" s="890"/>
      <c r="N46" s="4"/>
      <c r="O46" s="885"/>
      <c r="X46"/>
      <c r="AX46" s="879" t="str">
        <f>'Overview (Design)'!A49</f>
        <v>Maximum skylight SHGC:</v>
      </c>
      <c r="AY46" s="881">
        <f>'Overview (Design)'!G49</f>
        <v>0</v>
      </c>
    </row>
    <row r="47" spans="2:51" ht="15" customHeight="1" x14ac:dyDescent="0.2">
      <c r="B47" s="600">
        <v>802.1</v>
      </c>
      <c r="C47" s="858"/>
      <c r="D47" s="858"/>
      <c r="E47" s="600"/>
      <c r="F47" s="23"/>
      <c r="G47" s="23"/>
      <c r="H47" s="691"/>
      <c r="I47" s="589"/>
      <c r="J47" s="873"/>
      <c r="K47" s="873"/>
      <c r="L47" s="1687"/>
      <c r="M47" s="890"/>
      <c r="N47" s="4"/>
      <c r="O47" s="885"/>
      <c r="X47"/>
      <c r="AX47" s="879" t="str">
        <f>'Overview (Design)'!A50</f>
        <v>Maximum window and door U-value:</v>
      </c>
      <c r="AY47" s="881">
        <f>'Overview (Design)'!G50</f>
        <v>0.28999999999999998</v>
      </c>
    </row>
    <row r="48" spans="2:51" x14ac:dyDescent="0.2">
      <c r="B48" s="600">
        <v>802.1</v>
      </c>
      <c r="C48" s="858"/>
      <c r="D48" s="858"/>
      <c r="E48" s="600"/>
      <c r="F48" s="23"/>
      <c r="G48" s="23"/>
      <c r="H48" s="691"/>
      <c r="I48" s="589"/>
      <c r="J48" s="873"/>
      <c r="K48" s="873"/>
      <c r="L48" s="1687"/>
      <c r="M48" s="890"/>
      <c r="N48" s="4"/>
      <c r="O48" s="885"/>
      <c r="X48"/>
      <c r="AX48" s="879" t="str">
        <f>'Overview (Design)'!A51</f>
        <v>Maximum skylight U-value:</v>
      </c>
      <c r="AY48" s="881">
        <f>'Overview (Design)'!G51</f>
        <v>0</v>
      </c>
    </row>
    <row r="49" spans="2:51" ht="15" customHeight="1" x14ac:dyDescent="0.2">
      <c r="B49" s="600">
        <v>802.1</v>
      </c>
      <c r="C49" s="858"/>
      <c r="D49" s="858"/>
      <c r="E49" s="600"/>
      <c r="F49" s="23"/>
      <c r="G49" s="23"/>
      <c r="H49" s="691"/>
      <c r="I49" s="589"/>
      <c r="J49" s="873"/>
      <c r="K49" s="873"/>
      <c r="L49" s="1687"/>
      <c r="M49" s="890"/>
      <c r="N49" s="4"/>
      <c r="O49" s="885"/>
      <c r="X49"/>
      <c r="AX49" s="879" t="str">
        <f>'Overview (Design)'!A52</f>
        <v>Renewable Energy:</v>
      </c>
      <c r="AY49" s="881">
        <f>'Overview (Design)'!G52</f>
        <v>0</v>
      </c>
    </row>
    <row r="50" spans="2:51" x14ac:dyDescent="0.2">
      <c r="B50" s="600">
        <v>802.1</v>
      </c>
      <c r="C50" s="858"/>
      <c r="D50" s="858"/>
      <c r="E50" s="600"/>
      <c r="F50" s="23"/>
      <c r="G50" s="23"/>
      <c r="H50" s="691"/>
      <c r="I50" s="589"/>
      <c r="J50" s="873"/>
      <c r="K50" s="873"/>
      <c r="L50" s="1687"/>
      <c r="M50" s="890"/>
      <c r="N50" s="4"/>
      <c r="O50" s="885"/>
      <c r="X50"/>
      <c r="AX50" s="879" t="str">
        <f>'Overview (Design)'!A53</f>
        <v>Thermal Envelope Insulation:</v>
      </c>
      <c r="AY50" s="881">
        <f>'Overview (Design)'!G53</f>
        <v>0</v>
      </c>
    </row>
    <row r="51" spans="2:51" x14ac:dyDescent="0.2">
      <c r="B51" s="600">
        <v>802.1</v>
      </c>
      <c r="C51" s="858" t="s">
        <v>254</v>
      </c>
      <c r="D51" s="858"/>
      <c r="E51" s="600"/>
      <c r="F51" s="23"/>
      <c r="G51" s="23"/>
      <c r="H51" s="691"/>
      <c r="I51" s="589"/>
      <c r="J51" s="1068" t="s">
        <v>254</v>
      </c>
      <c r="K51" s="1068"/>
      <c r="L51" s="1634" t="s">
        <v>4521</v>
      </c>
      <c r="M51" s="1623">
        <v>8</v>
      </c>
      <c r="N51" s="4"/>
      <c r="O51" s="885"/>
      <c r="X51" s="1600"/>
      <c r="AL51" s="1352" t="str">
        <f>SUBSTITUTE(SUBSTITUTE(SUBSTITUTE("dpa"&amp;$B51&amp;$C51&amp;$D51&amp;$E51&amp;$F51,".","_"),"(","_"),")","")</f>
        <v>dpa802_1_1</v>
      </c>
      <c r="AM51" s="1352">
        <f>M51</f>
        <v>8</v>
      </c>
      <c r="AR51" s="1352" t="str">
        <f>SUBSTITUTE(SUBSTITUTE(SUBSTITUTE("dnt"&amp;$B51&amp;$C51&amp;$D51&amp;$E51&amp;$F51,".","_"),"(","_"),")","")</f>
        <v>dnt802_1_1</v>
      </c>
      <c r="AS51" s="1352" t="str">
        <f>IF(LEN(X51)=0,"",X51)</f>
        <v/>
      </c>
      <c r="AX51" s="879" t="str">
        <f>'Overview (Design)'!A54</f>
        <v>Attic Type:</v>
      </c>
      <c r="AY51" s="881" t="str">
        <f>'Overview (Design)'!G54</f>
        <v>Vented</v>
      </c>
    </row>
    <row r="52" spans="2:51" x14ac:dyDescent="0.2">
      <c r="B52" s="600">
        <v>802.1</v>
      </c>
      <c r="C52" s="858" t="s">
        <v>254</v>
      </c>
      <c r="D52" s="858"/>
      <c r="E52" s="600"/>
      <c r="F52" s="23"/>
      <c r="G52" s="23"/>
      <c r="H52" s="691"/>
      <c r="I52" s="589"/>
      <c r="J52" s="1072"/>
      <c r="K52" s="1072"/>
      <c r="L52" s="1639"/>
      <c r="M52" s="1624"/>
      <c r="N52" s="4"/>
      <c r="O52" s="885"/>
      <c r="X52" s="1600"/>
      <c r="AX52" s="879" t="str">
        <f>'Overview (Design)'!A55</f>
        <v>Attached Garage:</v>
      </c>
      <c r="AY52" s="881" t="str">
        <f>'Overview (Design)'!G55</f>
        <v>No</v>
      </c>
    </row>
    <row r="53" spans="2:51" x14ac:dyDescent="0.2">
      <c r="B53" s="600">
        <v>802.1</v>
      </c>
      <c r="C53" s="858" t="s">
        <v>255</v>
      </c>
      <c r="D53" s="858"/>
      <c r="E53" s="600"/>
      <c r="F53" s="23"/>
      <c r="G53" s="23"/>
      <c r="H53" s="691"/>
      <c r="I53" s="589"/>
      <c r="J53" s="873" t="s">
        <v>255</v>
      </c>
      <c r="K53" s="1073"/>
      <c r="L53" s="1633" t="s">
        <v>4522</v>
      </c>
      <c r="M53" s="1636">
        <v>12</v>
      </c>
      <c r="N53" s="4"/>
      <c r="O53" s="885"/>
      <c r="X53" s="1600"/>
      <c r="AL53" s="1352" t="str">
        <f>SUBSTITUTE(SUBSTITUTE(SUBSTITUTE("dpa"&amp;$B53&amp;$C53&amp;$D53&amp;$E53&amp;$F53,".","_"),"(","_"),")","")</f>
        <v>dpa802_1_2</v>
      </c>
      <c r="AM53" s="1352">
        <f>M53</f>
        <v>12</v>
      </c>
      <c r="AX53" s="879" t="str">
        <f>'Overview (Design)'!A56</f>
        <v>Recessed Lighting:</v>
      </c>
      <c r="AY53" s="881">
        <f>'Overview (Design)'!G56</f>
        <v>0</v>
      </c>
    </row>
    <row r="54" spans="2:51" ht="15" customHeight="1" x14ac:dyDescent="0.2">
      <c r="B54" s="600">
        <v>802.1</v>
      </c>
      <c r="C54" s="858" t="s">
        <v>255</v>
      </c>
      <c r="D54" s="858"/>
      <c r="E54" s="600"/>
      <c r="F54" s="23"/>
      <c r="G54" s="23"/>
      <c r="H54" s="691"/>
      <c r="I54" s="589"/>
      <c r="J54" s="1072"/>
      <c r="K54" s="1072"/>
      <c r="L54" s="1639"/>
      <c r="M54" s="1624"/>
      <c r="N54" s="4"/>
      <c r="O54" s="885"/>
      <c r="X54" s="1600"/>
      <c r="AX54" s="879"/>
    </row>
    <row r="55" spans="2:51" x14ac:dyDescent="0.2">
      <c r="B55" s="600">
        <v>802.1</v>
      </c>
      <c r="C55" s="858" t="s">
        <v>256</v>
      </c>
      <c r="D55" s="858"/>
      <c r="E55" s="600"/>
      <c r="F55" s="23"/>
      <c r="G55" s="23"/>
      <c r="H55" s="691"/>
      <c r="I55" s="589"/>
      <c r="J55" s="873" t="s">
        <v>256</v>
      </c>
      <c r="K55" s="1073"/>
      <c r="L55" s="1633" t="s">
        <v>4523</v>
      </c>
      <c r="M55" s="1636">
        <v>20</v>
      </c>
      <c r="N55" s="4"/>
      <c r="O55" s="885"/>
      <c r="X55" s="1600"/>
      <c r="AL55" s="1352" t="str">
        <f>SUBSTITUTE(SUBSTITUTE(SUBSTITUTE("dpa"&amp;$B55&amp;$C55&amp;$D55&amp;$E55&amp;$F55,".","_"),"(","_"),")","")</f>
        <v>dpa802_1_3</v>
      </c>
      <c r="AM55" s="1352">
        <f>M55</f>
        <v>20</v>
      </c>
      <c r="AX55" s="879" t="str">
        <f>'Overview (Design)'!A58</f>
        <v>Special Design Features:</v>
      </c>
      <c r="AY55" s="881">
        <f>'Overview (Design)'!G58</f>
        <v>0</v>
      </c>
    </row>
    <row r="56" spans="2:51" x14ac:dyDescent="0.2">
      <c r="B56" s="600">
        <v>802.1</v>
      </c>
      <c r="C56" s="858" t="s">
        <v>256</v>
      </c>
      <c r="D56" s="858"/>
      <c r="E56" s="600"/>
      <c r="F56" s="23"/>
      <c r="G56" s="23"/>
      <c r="H56" s="691"/>
      <c r="I56" s="589"/>
      <c r="J56" s="1072"/>
      <c r="K56" s="1072"/>
      <c r="L56" s="1639"/>
      <c r="M56" s="1624"/>
      <c r="N56" s="4"/>
      <c r="O56" s="885"/>
      <c r="X56" s="1600"/>
      <c r="AX56" s="879" t="str">
        <f>'Overview (Design)'!A59</f>
        <v>Passive Solar:</v>
      </c>
      <c r="AY56" s="881">
        <f>'Overview (Design)'!G59</f>
        <v>0</v>
      </c>
    </row>
    <row r="57" spans="2:51" ht="15" customHeight="1" x14ac:dyDescent="0.2">
      <c r="B57" s="600">
        <v>802.1</v>
      </c>
      <c r="C57" s="858" t="s">
        <v>259</v>
      </c>
      <c r="D57" s="858"/>
      <c r="E57" s="600"/>
      <c r="F57" s="23"/>
      <c r="G57" s="23"/>
      <c r="H57" s="691"/>
      <c r="I57" s="589"/>
      <c r="J57" s="873" t="s">
        <v>259</v>
      </c>
      <c r="K57" s="873"/>
      <c r="L57" s="1634" t="s">
        <v>4524</v>
      </c>
      <c r="M57" s="1628">
        <v>24</v>
      </c>
      <c r="N57" s="4"/>
      <c r="O57" s="885"/>
      <c r="X57" s="1600"/>
      <c r="AL57" s="1352" t="str">
        <f>SUBSTITUTE(SUBSTITUTE(SUBSTITUTE("dpa"&amp;$B57&amp;$C57&amp;$D57&amp;$E57&amp;$F57,".","_"),"(","_"),")","")</f>
        <v>dpa802_1_4</v>
      </c>
      <c r="AM57" s="1352">
        <f>M57</f>
        <v>24</v>
      </c>
      <c r="AX57" s="879" t="str">
        <f>'Overview (Design)'!A60</f>
        <v>Mass Walls:</v>
      </c>
      <c r="AY57" s="881">
        <f>'Overview (Design)'!G60</f>
        <v>0</v>
      </c>
    </row>
    <row r="58" spans="2:51" x14ac:dyDescent="0.2">
      <c r="B58" s="600">
        <v>802.1</v>
      </c>
      <c r="C58" s="858" t="s">
        <v>259</v>
      </c>
      <c r="D58" s="858"/>
      <c r="E58" s="600"/>
      <c r="F58" s="23"/>
      <c r="G58" s="23"/>
      <c r="H58" s="691"/>
      <c r="I58" s="589"/>
      <c r="J58" s="873"/>
      <c r="K58" s="873"/>
      <c r="L58" s="1634"/>
      <c r="M58" s="1628"/>
      <c r="N58" s="4"/>
      <c r="O58" s="885"/>
      <c r="X58" s="1600"/>
      <c r="AX58" s="879" t="str">
        <f>'Overview (Design)'!A61</f>
        <v>Radiant/Hydronic:</v>
      </c>
      <c r="AY58" s="881">
        <f>'Overview (Design)'!G61</f>
        <v>0</v>
      </c>
    </row>
    <row r="59" spans="2:51" ht="15" customHeight="1" x14ac:dyDescent="0.2">
      <c r="B59" s="600">
        <v>802.1</v>
      </c>
      <c r="C59" s="858" t="s">
        <v>259</v>
      </c>
      <c r="D59" s="858"/>
      <c r="E59" s="600"/>
      <c r="F59" s="23"/>
      <c r="G59" s="23"/>
      <c r="H59" s="691"/>
      <c r="I59" s="589"/>
      <c r="J59" s="873"/>
      <c r="K59" s="873"/>
      <c r="L59" s="1634"/>
      <c r="M59" s="1628"/>
      <c r="N59" s="4"/>
      <c r="O59" s="885"/>
      <c r="X59" s="1600"/>
      <c r="AX59" s="879" t="str">
        <f>'Overview (Design)'!A62</f>
        <v>Tankless Water Heater:</v>
      </c>
      <c r="AY59" s="881">
        <f>'Overview (Design)'!G62</f>
        <v>0</v>
      </c>
    </row>
    <row r="60" spans="2:51" x14ac:dyDescent="0.2">
      <c r="B60" s="600">
        <v>802.1</v>
      </c>
      <c r="C60" s="858" t="s">
        <v>259</v>
      </c>
      <c r="D60" s="858" t="s">
        <v>121</v>
      </c>
      <c r="E60" s="600"/>
      <c r="F60" s="23"/>
      <c r="G60" s="23"/>
      <c r="H60" s="691"/>
      <c r="I60" s="589"/>
      <c r="J60" s="873"/>
      <c r="K60" s="1068" t="s">
        <v>121</v>
      </c>
      <c r="L60" s="1634" t="s">
        <v>4525</v>
      </c>
      <c r="M60" s="1623" t="s">
        <v>4658</v>
      </c>
      <c r="N60" s="4"/>
      <c r="O60" s="885"/>
      <c r="X60" s="1600"/>
      <c r="AL60" s="1352" t="str">
        <f>SUBSTITUTE(SUBSTITUTE(SUBSTITUTE("dpa"&amp;$B60&amp;$C60&amp;$D60&amp;$E60&amp;$F60,".","_"),"(","_"),")","")</f>
        <v>dpa802_1_4_a</v>
      </c>
      <c r="AM60" s="1352" t="str">
        <f>M60</f>
        <v>4 Additional</v>
      </c>
      <c r="AX60" s="879" t="str">
        <f>'Overview (Design)'!A63</f>
        <v>Composting Toilet:</v>
      </c>
      <c r="AY60" s="881">
        <f>'Overview (Design)'!G63</f>
        <v>0</v>
      </c>
    </row>
    <row r="61" spans="2:51" x14ac:dyDescent="0.2">
      <c r="B61" s="600">
        <v>802.1</v>
      </c>
      <c r="C61" s="858" t="s">
        <v>259</v>
      </c>
      <c r="D61" s="858" t="s">
        <v>121</v>
      </c>
      <c r="E61" s="600"/>
      <c r="F61" s="23"/>
      <c r="G61" s="23"/>
      <c r="H61" s="691"/>
      <c r="I61" s="589"/>
      <c r="J61" s="1072"/>
      <c r="K61" s="1072"/>
      <c r="L61" s="1639"/>
      <c r="M61" s="1624"/>
      <c r="N61" s="4"/>
      <c r="O61" s="885"/>
      <c r="X61" s="1600"/>
      <c r="AX61" s="879"/>
    </row>
    <row r="62" spans="2:51" ht="15" customHeight="1" x14ac:dyDescent="0.2">
      <c r="B62" s="600">
        <v>802.1</v>
      </c>
      <c r="C62" s="858" t="s">
        <v>263</v>
      </c>
      <c r="D62" s="858"/>
      <c r="E62" s="600"/>
      <c r="F62" s="23"/>
      <c r="G62" s="23"/>
      <c r="H62" s="691"/>
      <c r="I62" s="589"/>
      <c r="J62" s="1073" t="s">
        <v>263</v>
      </c>
      <c r="K62" s="1073"/>
      <c r="L62" s="1633" t="s">
        <v>4526</v>
      </c>
      <c r="M62" s="1623">
        <v>9</v>
      </c>
      <c r="N62" s="129"/>
      <c r="O62" s="886"/>
      <c r="X62" s="1600"/>
      <c r="AL62" s="1352" t="str">
        <f>SUBSTITUTE(SUBSTITUTE(SUBSTITUTE("dpa"&amp;$B62&amp;$C62&amp;$D62&amp;$E62&amp;$F62,".","_"),"(","_"),")","")</f>
        <v>dpa802_1_5</v>
      </c>
      <c r="AM62" s="1352">
        <f>M62</f>
        <v>9</v>
      </c>
      <c r="AR62" s="1352" t="str">
        <f>SUBSTITUTE(SUBSTITUTE(SUBSTITUTE("dnt"&amp;$B62&amp;$C62&amp;$D62&amp;$E62&amp;$F62,".","_"),"(","_"),")","")</f>
        <v>dnt802_1_5</v>
      </c>
      <c r="AS62" s="1352" t="str">
        <f>IF(LEN(X62)=0,"",X62)</f>
        <v/>
      </c>
      <c r="AX62" s="879" t="str">
        <f>'Overview (Design)'!A65</f>
        <v>Local Energy Code:</v>
      </c>
      <c r="AY62" s="881" t="str">
        <f>'Overview (Design)'!G65</f>
        <v>2015 IECC</v>
      </c>
    </row>
    <row r="63" spans="2:51" x14ac:dyDescent="0.2">
      <c r="B63" s="600">
        <v>802.1</v>
      </c>
      <c r="C63" s="858" t="s">
        <v>263</v>
      </c>
      <c r="D63" s="858"/>
      <c r="E63" s="600"/>
      <c r="F63" s="23"/>
      <c r="G63" s="23"/>
      <c r="H63" s="691"/>
      <c r="I63" s="589"/>
      <c r="J63" s="1068"/>
      <c r="K63" s="1068"/>
      <c r="L63" s="1634"/>
      <c r="M63" s="1623"/>
      <c r="N63" s="129"/>
      <c r="O63" s="886"/>
      <c r="X63" s="1600"/>
      <c r="AX63" s="879" t="str">
        <f>'Overview (Design)'!A66</f>
        <v>Local Building Code:</v>
      </c>
      <c r="AY63" s="881" t="str">
        <f>'Overview (Design)'!G66</f>
        <v>2018 IBC</v>
      </c>
    </row>
    <row r="64" spans="2:51" x14ac:dyDescent="0.2">
      <c r="B64" s="600">
        <v>802.1</v>
      </c>
      <c r="C64" s="858" t="s">
        <v>263</v>
      </c>
      <c r="D64" s="858"/>
      <c r="E64" s="600"/>
      <c r="F64" s="23"/>
      <c r="G64" s="23"/>
      <c r="H64" s="691"/>
      <c r="I64" s="589"/>
      <c r="J64" s="1068"/>
      <c r="K64" s="1068"/>
      <c r="L64" s="1634"/>
      <c r="M64" s="1623"/>
      <c r="N64" s="129"/>
      <c r="O64" s="886"/>
      <c r="X64" s="1600"/>
      <c r="AX64" s="879"/>
    </row>
    <row r="65" spans="2:50" x14ac:dyDescent="0.2">
      <c r="B65" s="600">
        <v>802.1</v>
      </c>
      <c r="C65" s="858" t="s">
        <v>263</v>
      </c>
      <c r="D65" s="858"/>
      <c r="E65" s="600"/>
      <c r="F65" s="23"/>
      <c r="G65" s="23"/>
      <c r="H65" s="691"/>
      <c r="I65" s="589"/>
      <c r="J65" s="1068"/>
      <c r="K65" s="1068"/>
      <c r="L65" s="1634"/>
      <c r="M65" s="1623"/>
      <c r="N65" s="129"/>
      <c r="O65" s="886"/>
      <c r="X65" s="1600"/>
      <c r="AX65" s="879"/>
    </row>
    <row r="66" spans="2:50" x14ac:dyDescent="0.2">
      <c r="B66" s="600">
        <v>802.1</v>
      </c>
      <c r="C66" s="858" t="s">
        <v>263</v>
      </c>
      <c r="D66" s="858"/>
      <c r="E66" s="600"/>
      <c r="F66" s="23"/>
      <c r="G66" s="23"/>
      <c r="H66" s="691"/>
      <c r="I66" s="589"/>
      <c r="J66" s="1072"/>
      <c r="K66" s="1072"/>
      <c r="L66" s="1639"/>
      <c r="M66" s="1624"/>
      <c r="N66" s="213"/>
      <c r="O66" s="888"/>
      <c r="X66" s="1600"/>
      <c r="AX66" s="879"/>
    </row>
    <row r="67" spans="2:50" ht="15" customHeight="1" x14ac:dyDescent="0.2">
      <c r="B67" s="600">
        <v>802.1</v>
      </c>
      <c r="C67" s="858" t="s">
        <v>264</v>
      </c>
      <c r="D67" s="858"/>
      <c r="E67" s="600"/>
      <c r="F67" s="23"/>
      <c r="G67" s="23"/>
      <c r="H67" s="691"/>
      <c r="I67" s="590"/>
      <c r="J67" s="1068" t="s">
        <v>264</v>
      </c>
      <c r="K67" s="1068"/>
      <c r="L67" s="1634" t="s">
        <v>4527</v>
      </c>
      <c r="M67" s="1623" t="s">
        <v>4658</v>
      </c>
      <c r="N67" s="129"/>
      <c r="O67" s="1619">
        <f ca="1">4*S67*W67</f>
        <v>0</v>
      </c>
      <c r="P67" s="991" t="b">
        <v>1</v>
      </c>
      <c r="Q67" s="991" t="b">
        <v>1</v>
      </c>
      <c r="R67" s="991" t="b">
        <v>0</v>
      </c>
      <c r="S67" s="991" t="b">
        <f ca="1">AND(S41,NOT(W41=""),S14=1)</f>
        <v>0</v>
      </c>
      <c r="T67" s="991" t="b">
        <f ca="1">IF(AND(NOT(S67),W67=TRUE),TRUE,FALSE)</f>
        <v>0</v>
      </c>
      <c r="U67" s="991"/>
      <c r="V67" s="991"/>
      <c r="W67" s="333"/>
      <c r="X67" s="1601"/>
      <c r="AC67" s="905" t="b">
        <f ca="1">OR(AD67:AE67)</f>
        <v>0</v>
      </c>
      <c r="AD67" s="905" t="b">
        <f ca="1">T67</f>
        <v>0</v>
      </c>
      <c r="AE67" s="905"/>
      <c r="AL67" s="1352" t="str">
        <f>SUBSTITUTE(SUBSTITUTE(SUBSTITUTE("dpa"&amp;$B67&amp;$C67&amp;$D67&amp;$E67&amp;$F67,".","_"),"(","_"),")","")</f>
        <v>dpa802_1_6</v>
      </c>
      <c r="AM67" s="1352" t="str">
        <f>M67</f>
        <v>4 Additional</v>
      </c>
      <c r="AN67" s="1352" t="str">
        <f>SUBSTITUTE(SUBSTITUTE(SUBSTITUTE("dpc"&amp;$B67&amp;$C67&amp;$D67&amp;$E67&amp;$F67,".","_"),"(","_"),")","")</f>
        <v>dpc802_1_6</v>
      </c>
      <c r="AO67" s="1352">
        <f ca="1">O67</f>
        <v>0</v>
      </c>
      <c r="AP67" s="1352" t="str">
        <f>SUBSTITUTE(SUBSTITUTE(SUBSTITUTE("dch"&amp;$B67&amp;$C67&amp;$D67&amp;$E67&amp;$F67,".","_"),"(","_"),")","")</f>
        <v>dch802_1_6</v>
      </c>
      <c r="AQ67" s="1352" t="str">
        <f>IF(LEN(W67)=0,"",W67)</f>
        <v/>
      </c>
      <c r="AR67" s="1352" t="str">
        <f>SUBSTITUTE(SUBSTITUTE(SUBSTITUTE("dnt"&amp;$B67&amp;$C67&amp;$D67&amp;$E67&amp;$F67,".","_"),"(","_"),")","")</f>
        <v>dnt802_1_6</v>
      </c>
      <c r="AS67" s="1352" t="str">
        <f>IF(LEN(X67)=0,"",X67)</f>
        <v/>
      </c>
      <c r="AX67" s="879"/>
    </row>
    <row r="68" spans="2:50" x14ac:dyDescent="0.2">
      <c r="B68" s="600">
        <v>802.1</v>
      </c>
      <c r="C68" s="858" t="s">
        <v>264</v>
      </c>
      <c r="D68" s="858"/>
      <c r="E68" s="600"/>
      <c r="F68" s="23"/>
      <c r="G68" s="23"/>
      <c r="H68" s="691"/>
      <c r="I68" s="590"/>
      <c r="J68" s="1068"/>
      <c r="K68" s="1068"/>
      <c r="L68" s="1634"/>
      <c r="M68" s="1623"/>
      <c r="N68" s="129"/>
      <c r="O68" s="1619"/>
      <c r="P68" s="991"/>
      <c r="Q68" s="991"/>
      <c r="R68" s="991"/>
      <c r="S68" s="991"/>
      <c r="T68" s="991"/>
      <c r="U68" s="991"/>
      <c r="V68" s="991"/>
      <c r="W68" s="991"/>
      <c r="X68" s="1601"/>
      <c r="AX68" s="879"/>
    </row>
    <row r="69" spans="2:50" ht="15" customHeight="1" thickBot="1" x14ac:dyDescent="0.25">
      <c r="B69" s="600">
        <v>802.1</v>
      </c>
      <c r="C69" s="858" t="s">
        <v>264</v>
      </c>
      <c r="D69" s="858"/>
      <c r="E69" s="600"/>
      <c r="F69" s="23"/>
      <c r="G69" s="23"/>
      <c r="H69" s="691"/>
      <c r="I69" s="594"/>
      <c r="J69" s="1069"/>
      <c r="K69" s="1069"/>
      <c r="L69" s="1635"/>
      <c r="M69" s="1627"/>
      <c r="N69" s="239"/>
      <c r="O69" s="1638"/>
      <c r="P69" s="100"/>
      <c r="Q69" s="100"/>
      <c r="R69" s="100"/>
      <c r="S69" s="100"/>
      <c r="T69" s="100"/>
      <c r="U69" s="100"/>
      <c r="V69" s="100"/>
      <c r="W69" s="100"/>
      <c r="X69" s="1602"/>
      <c r="AX69" s="879"/>
    </row>
    <row r="70" spans="2:50" ht="16" thickTop="1" x14ac:dyDescent="0.2">
      <c r="B70" s="600">
        <v>802.2</v>
      </c>
      <c r="C70" s="858"/>
      <c r="D70" s="858"/>
      <c r="E70" s="600"/>
      <c r="F70" s="23"/>
      <c r="G70" s="23"/>
      <c r="H70" s="691"/>
      <c r="I70" s="589" t="s">
        <v>4528</v>
      </c>
      <c r="J70" s="873"/>
      <c r="K70" s="873"/>
      <c r="L70" s="1687" t="s">
        <v>4529</v>
      </c>
      <c r="M70" s="890"/>
      <c r="N70" s="4"/>
      <c r="O70" s="885"/>
      <c r="X70"/>
      <c r="AX70" s="879"/>
    </row>
    <row r="71" spans="2:50" x14ac:dyDescent="0.2">
      <c r="B71" s="600">
        <v>802.2</v>
      </c>
      <c r="C71" s="858"/>
      <c r="D71" s="858"/>
      <c r="E71" s="600"/>
      <c r="F71" s="23"/>
      <c r="G71" s="23"/>
      <c r="H71" s="691"/>
      <c r="I71" s="589"/>
      <c r="J71" s="873"/>
      <c r="K71" s="873"/>
      <c r="L71" s="1687"/>
      <c r="M71" s="890"/>
      <c r="N71" s="4"/>
      <c r="O71" s="885"/>
      <c r="X71"/>
      <c r="AX71" s="879"/>
    </row>
    <row r="72" spans="2:50" x14ac:dyDescent="0.2">
      <c r="B72" s="600">
        <v>802.2</v>
      </c>
      <c r="C72" s="858" t="s">
        <v>254</v>
      </c>
      <c r="D72" s="858"/>
      <c r="E72" s="600"/>
      <c r="F72" s="23"/>
      <c r="G72" s="23"/>
      <c r="H72" s="691"/>
      <c r="I72" s="589"/>
      <c r="J72" s="1072" t="s">
        <v>254</v>
      </c>
      <c r="K72" s="1072"/>
      <c r="L72" s="923" t="s">
        <v>5082</v>
      </c>
      <c r="M72" s="883">
        <v>2</v>
      </c>
      <c r="N72" s="213"/>
      <c r="O72" s="888">
        <f ca="1">2*S72*W72</f>
        <v>2</v>
      </c>
      <c r="P72" s="96" t="b">
        <v>0</v>
      </c>
      <c r="Q72" s="881" t="b">
        <v>1</v>
      </c>
      <c r="R72" s="881" t="b">
        <v>0</v>
      </c>
      <c r="S72" s="905" t="b">
        <f ca="1">S14=1</f>
        <v>1</v>
      </c>
      <c r="T72" s="96" t="b">
        <f ca="1">IF(AND(NOT(S72),W72=TRUE),TRUE,FALSE)</f>
        <v>0</v>
      </c>
      <c r="U72" s="991"/>
      <c r="W72" s="27" t="b">
        <v>1</v>
      </c>
      <c r="X72" s="906"/>
      <c r="AC72" s="905" t="b">
        <f ca="1">OR(AD72:AE72)</f>
        <v>0</v>
      </c>
      <c r="AD72" s="905" t="b">
        <f ca="1">T72</f>
        <v>0</v>
      </c>
      <c r="AE72" s="905"/>
      <c r="AL72" s="1352" t="str">
        <f>SUBSTITUTE(SUBSTITUTE(SUBSTITUTE("dpa"&amp;$B72&amp;$C72&amp;$D72&amp;$E72&amp;$F72,".","_"),"(","_"),")","")</f>
        <v>dpa802_2_1</v>
      </c>
      <c r="AM72" s="1352">
        <f>M72</f>
        <v>2</v>
      </c>
      <c r="AN72" s="1352" t="str">
        <f>SUBSTITUTE(SUBSTITUTE(SUBSTITUTE("dpc"&amp;$B72&amp;$C72&amp;$D72&amp;$E72&amp;$F72,".","_"),"(","_"),")","")</f>
        <v>dpc802_2_1</v>
      </c>
      <c r="AO72" s="1352">
        <f ca="1">O72</f>
        <v>2</v>
      </c>
      <c r="AP72" s="1352" t="str">
        <f>SUBSTITUTE(SUBSTITUTE(SUBSTITUTE("dch"&amp;$B72&amp;$C72&amp;$D72&amp;$E72&amp;$F72,".","_"),"(","_"),")","")</f>
        <v>dch802_2_1</v>
      </c>
      <c r="AQ72" s="1352" t="b">
        <f>IF(LEN(W72)=0,"",W72)</f>
        <v>1</v>
      </c>
      <c r="AR72" s="1352" t="str">
        <f>SUBSTITUTE(SUBSTITUTE(SUBSTITUTE("dnt"&amp;$B72&amp;$C72&amp;$D72&amp;$E72&amp;$F72,".","_"),"(","_"),")","")</f>
        <v>dnt802_2_1</v>
      </c>
      <c r="AS72" s="1352" t="str">
        <f>IF(LEN(X72)=0,"",X72)</f>
        <v/>
      </c>
      <c r="AX72" s="879"/>
    </row>
    <row r="73" spans="2:50" ht="15" customHeight="1" x14ac:dyDescent="0.2">
      <c r="B73" s="600">
        <v>802.2</v>
      </c>
      <c r="C73" s="858" t="s">
        <v>255</v>
      </c>
      <c r="D73" s="858"/>
      <c r="E73" s="600"/>
      <c r="F73" s="23"/>
      <c r="G73" s="23"/>
      <c r="H73" s="691"/>
      <c r="I73" s="590"/>
      <c r="J73" s="1074" t="s">
        <v>255</v>
      </c>
      <c r="K73" s="1074"/>
      <c r="L73" s="1075" t="s">
        <v>4530</v>
      </c>
      <c r="M73" s="937">
        <v>13</v>
      </c>
      <c r="N73" s="129"/>
      <c r="O73" s="1619">
        <f ca="1">IFERROR(INDEX({13,18},MATCH(W73,INDIRECT(U73),0)),0)</f>
        <v>0</v>
      </c>
      <c r="P73" s="991" t="b">
        <v>0</v>
      </c>
      <c r="Q73" s="991" t="b">
        <v>1</v>
      </c>
      <c r="R73" s="991" t="b">
        <v>0</v>
      </c>
      <c r="S73" s="991" t="b">
        <f ca="1">S14=1</f>
        <v>1</v>
      </c>
      <c r="T73" s="991" t="b">
        <f ca="1">IF(AND(NOT(S73),LEN(W73)&gt;0),TRUE,FALSE)</f>
        <v>0</v>
      </c>
      <c r="U73" s="991" t="str">
        <f>SUBSTITUTE(SUBSTITUTE(SUBSTITUTE("dd"&amp;B73&amp;C73&amp;D73&amp;E73&amp;F73,".","_"),"(","_"),")","")</f>
        <v>dd802_2_2</v>
      </c>
      <c r="V73" s="991"/>
      <c r="W73" s="110"/>
      <c r="X73" s="1601"/>
      <c r="AC73" s="905" t="b">
        <f ca="1">OR(AD73:AE73)</f>
        <v>0</v>
      </c>
      <c r="AD73" s="905" t="b">
        <f ca="1">T73</f>
        <v>0</v>
      </c>
      <c r="AE73" s="905"/>
      <c r="AL73" s="1352" t="str">
        <f>SUBSTITUTE(SUBSTITUTE(SUBSTITUTE("dpa"&amp;$B73&amp;$C73&amp;$D73&amp;$E73&amp;$F73,".","_"),"(","_"),")","")</f>
        <v>dpa802_2_2</v>
      </c>
      <c r="AM73" s="1352">
        <f>M73</f>
        <v>13</v>
      </c>
      <c r="AN73" s="1352" t="str">
        <f>SUBSTITUTE(SUBSTITUTE(SUBSTITUTE("dpc"&amp;$B73&amp;$C73&amp;$D73&amp;$E73&amp;$F73,".","_"),"(","_"),")","")</f>
        <v>dpc802_2_2</v>
      </c>
      <c r="AO73" s="1352">
        <f ca="1">O73</f>
        <v>0</v>
      </c>
      <c r="AP73" s="1352" t="str">
        <f>SUBSTITUTE(SUBSTITUTE(SUBSTITUTE("dch"&amp;$B73&amp;$C73&amp;$D73&amp;$E73&amp;$F73,".","_"),"(","_"),")","")</f>
        <v>dch802_2_2</v>
      </c>
      <c r="AQ73" s="1352" t="str">
        <f>IF(LEN(W73)=0,"",W73)</f>
        <v/>
      </c>
      <c r="AR73" s="1352" t="str">
        <f>SUBSTITUTE(SUBSTITUTE(SUBSTITUTE("dnt"&amp;$B73&amp;$C73&amp;$D73&amp;$E73&amp;$F73,".","_"),"(","_"),")","")</f>
        <v>dnt802_2_2</v>
      </c>
      <c r="AS73" s="1352" t="str">
        <f>IF(LEN(X73)=0,"",X73)</f>
        <v/>
      </c>
      <c r="AX73" s="879"/>
    </row>
    <row r="74" spans="2:50" x14ac:dyDescent="0.2">
      <c r="B74" s="600">
        <v>802.2</v>
      </c>
      <c r="C74" s="858" t="s">
        <v>256</v>
      </c>
      <c r="D74" s="858"/>
      <c r="E74" s="600"/>
      <c r="F74" s="23"/>
      <c r="G74" s="23"/>
      <c r="H74" s="691"/>
      <c r="I74" s="590"/>
      <c r="J74" s="1068" t="s">
        <v>256</v>
      </c>
      <c r="K74" s="1068"/>
      <c r="L74" s="917" t="s">
        <v>4531</v>
      </c>
      <c r="M74" s="913">
        <v>18</v>
      </c>
      <c r="N74" s="129"/>
      <c r="O74" s="1619"/>
      <c r="P74" s="991"/>
      <c r="Q74" s="991"/>
      <c r="R74" s="991"/>
      <c r="S74" s="991"/>
      <c r="T74" s="991"/>
      <c r="U74" s="991"/>
      <c r="V74" s="991"/>
      <c r="W74" s="991"/>
      <c r="X74" s="1601"/>
      <c r="AL74" s="1352" t="str">
        <f>SUBSTITUTE(SUBSTITUTE(SUBSTITUTE("dpa"&amp;$B74&amp;$C74&amp;$D74&amp;$E74&amp;$F74,".","_"),"(","_"),")","")</f>
        <v>dpa802_2_3</v>
      </c>
      <c r="AM74" s="1352">
        <f>M74</f>
        <v>18</v>
      </c>
      <c r="AX74" s="879"/>
    </row>
    <row r="75" spans="2:50" x14ac:dyDescent="0.2">
      <c r="B75" s="600">
        <v>802.2</v>
      </c>
      <c r="C75" s="858"/>
      <c r="D75" s="858"/>
      <c r="E75" s="600"/>
      <c r="F75" s="23"/>
      <c r="G75" s="23"/>
      <c r="H75" s="691"/>
      <c r="I75" s="590"/>
      <c r="J75" s="1068"/>
      <c r="K75" s="1068"/>
      <c r="L75" s="1730" t="s">
        <v>4861</v>
      </c>
      <c r="M75" s="913"/>
      <c r="N75" s="129"/>
      <c r="O75" s="908"/>
      <c r="P75" s="991"/>
      <c r="Q75" s="991"/>
      <c r="R75" s="991"/>
      <c r="S75" s="991"/>
      <c r="T75" s="991"/>
      <c r="U75" s="991"/>
      <c r="V75" s="991"/>
      <c r="W75" s="991"/>
      <c r="X75" s="1601"/>
      <c r="AX75" s="879"/>
    </row>
    <row r="76" spans="2:50" ht="16" thickBot="1" x14ac:dyDescent="0.25">
      <c r="B76" s="600">
        <v>802.2</v>
      </c>
      <c r="C76" s="858"/>
      <c r="D76" s="858"/>
      <c r="E76" s="600"/>
      <c r="F76" s="23"/>
      <c r="G76" s="23"/>
      <c r="H76" s="691"/>
      <c r="I76" s="594"/>
      <c r="J76" s="1069"/>
      <c r="K76" s="1069"/>
      <c r="L76" s="1739"/>
      <c r="M76" s="914"/>
      <c r="N76" s="239"/>
      <c r="O76" s="922"/>
      <c r="P76" s="100"/>
      <c r="Q76" s="100"/>
      <c r="R76" s="100"/>
      <c r="S76" s="100"/>
      <c r="T76" s="100"/>
      <c r="U76" s="100"/>
      <c r="V76" s="100"/>
      <c r="W76" s="100"/>
      <c r="X76" s="1602"/>
      <c r="AX76" s="879"/>
    </row>
    <row r="77" spans="2:50" ht="15" customHeight="1" thickTop="1" x14ac:dyDescent="0.2">
      <c r="B77" s="600">
        <v>802.3</v>
      </c>
      <c r="C77" s="858"/>
      <c r="D77" s="858"/>
      <c r="E77" s="600"/>
      <c r="F77" s="23"/>
      <c r="G77" s="23"/>
      <c r="H77" s="691"/>
      <c r="I77" s="589" t="s">
        <v>4532</v>
      </c>
      <c r="J77" s="873"/>
      <c r="K77" s="873"/>
      <c r="L77" s="897" t="s">
        <v>4533</v>
      </c>
      <c r="M77" s="882"/>
      <c r="N77" s="129"/>
      <c r="O77" s="886"/>
      <c r="P77" s="96"/>
      <c r="Q77" s="96"/>
      <c r="R77" s="96"/>
      <c r="S77" s="96"/>
      <c r="T77" s="96"/>
      <c r="U77" s="96"/>
      <c r="V77" s="96"/>
      <c r="W77" s="96"/>
      <c r="AX77" s="879"/>
    </row>
    <row r="78" spans="2:50" x14ac:dyDescent="0.2">
      <c r="B78" s="600">
        <v>802.3</v>
      </c>
      <c r="C78" s="858" t="s">
        <v>254</v>
      </c>
      <c r="D78" s="858"/>
      <c r="E78" s="600"/>
      <c r="F78" s="23"/>
      <c r="G78" s="23"/>
      <c r="H78" s="691"/>
      <c r="I78" s="589"/>
      <c r="J78" s="873" t="s">
        <v>254</v>
      </c>
      <c r="K78" s="873"/>
      <c r="L78" s="895" t="s">
        <v>4534</v>
      </c>
      <c r="M78" s="882"/>
      <c r="N78" s="129"/>
      <c r="O78" s="886"/>
      <c r="P78" s="96"/>
      <c r="Q78" s="96"/>
      <c r="R78" s="96"/>
      <c r="S78" s="96"/>
      <c r="T78" s="96"/>
      <c r="U78" s="96"/>
      <c r="V78" s="96"/>
      <c r="W78" s="96"/>
      <c r="AX78" s="879"/>
    </row>
    <row r="79" spans="2:50" x14ac:dyDescent="0.2">
      <c r="B79" s="600">
        <v>802.3</v>
      </c>
      <c r="C79" s="858" t="s">
        <v>254</v>
      </c>
      <c r="D79" s="858" t="s">
        <v>121</v>
      </c>
      <c r="E79" s="600"/>
      <c r="F79" s="23"/>
      <c r="G79" s="23"/>
      <c r="H79" s="691"/>
      <c r="I79" s="589"/>
      <c r="J79" s="873"/>
      <c r="K79" s="1068" t="s">
        <v>121</v>
      </c>
      <c r="L79" s="1634" t="s">
        <v>4535</v>
      </c>
      <c r="M79" s="1711" t="s">
        <v>4680</v>
      </c>
      <c r="N79" s="129"/>
      <c r="O79" s="1619">
        <f ca="1">W79*2*S79</f>
        <v>0</v>
      </c>
      <c r="P79" s="881" t="b">
        <v>0</v>
      </c>
      <c r="Q79" s="881" t="b">
        <v>1</v>
      </c>
      <c r="R79" s="96" t="b">
        <v>0</v>
      </c>
      <c r="S79" s="464" t="b">
        <f ca="1">AND(AY19=INDEX(INDIRECT("ddSingleOrMulti"),1),S14=1)</f>
        <v>0</v>
      </c>
      <c r="T79" s="96" t="b">
        <f ca="1">IF(AND(NOT(S79),LEN(W79)&gt;0),TRUE,FALSE)</f>
        <v>0</v>
      </c>
      <c r="U79" s="96"/>
      <c r="V79" s="96"/>
      <c r="W79" s="1195"/>
      <c r="X79" s="1600"/>
      <c r="AC79" s="905" t="b">
        <f ca="1">OR(AD79:AE79)</f>
        <v>0</v>
      </c>
      <c r="AD79" s="905" t="b">
        <f ca="1">T79</f>
        <v>0</v>
      </c>
      <c r="AE79" s="905"/>
      <c r="AL79" s="1352" t="str">
        <f>SUBSTITUTE(SUBSTITUTE(SUBSTITUTE("dpa"&amp;$B79&amp;$C79&amp;$D79&amp;$E79&amp;$F79,".","_"),"(","_"),")","")</f>
        <v>dpa802_3_1_a</v>
      </c>
      <c r="AM79" s="1352" t="str">
        <f>M79</f>
        <v>2 per unique meter</v>
      </c>
      <c r="AN79" s="1352" t="str">
        <f>SUBSTITUTE(SUBSTITUTE(SUBSTITUTE("dpc"&amp;$B79&amp;$C79&amp;$D79&amp;$E79&amp;$F79,".","_"),"(","_"),")","")</f>
        <v>dpc802_3_1_a</v>
      </c>
      <c r="AO79" s="1352">
        <f ca="1">O79</f>
        <v>0</v>
      </c>
      <c r="AP79" s="1352" t="str">
        <f>SUBSTITUTE(SUBSTITUTE(SUBSTITUTE("dch"&amp;$B79&amp;$C79&amp;$D79&amp;$E79&amp;$F79,".","_"),"(","_"),")","")</f>
        <v>dch802_3_1_a</v>
      </c>
      <c r="AQ79" s="1352" t="str">
        <f>IF(LEN(W79)=0,"",W79)</f>
        <v/>
      </c>
      <c r="AR79" s="1352" t="str">
        <f>SUBSTITUTE(SUBSTITUTE(SUBSTITUTE("dnt"&amp;$B79&amp;$C79&amp;$D79&amp;$E79&amp;$F79,".","_"),"(","_"),")","")</f>
        <v>dnt802_3_1_a</v>
      </c>
      <c r="AS79" s="1352" t="str">
        <f>IF(LEN(X79)=0,"",X79)</f>
        <v/>
      </c>
      <c r="AX79" s="879"/>
    </row>
    <row r="80" spans="2:50" x14ac:dyDescent="0.2">
      <c r="B80" s="600">
        <v>802.3</v>
      </c>
      <c r="C80" s="858" t="s">
        <v>254</v>
      </c>
      <c r="D80" s="858" t="s">
        <v>121</v>
      </c>
      <c r="E80" s="600"/>
      <c r="F80" s="23"/>
      <c r="G80" s="23"/>
      <c r="H80" s="691"/>
      <c r="I80" s="589"/>
      <c r="J80" s="873"/>
      <c r="K80" s="1072"/>
      <c r="L80" s="1639"/>
      <c r="M80" s="1711"/>
      <c r="N80" s="129"/>
      <c r="O80" s="1620"/>
      <c r="P80" s="96"/>
      <c r="Q80" s="96"/>
      <c r="R80" s="96"/>
      <c r="S80" s="96"/>
      <c r="T80" s="96"/>
      <c r="U80" s="96"/>
      <c r="V80" s="96"/>
      <c r="W80" s="1185"/>
      <c r="X80" s="1600"/>
      <c r="AX80" s="879"/>
    </row>
    <row r="81" spans="2:50" x14ac:dyDescent="0.2">
      <c r="B81" s="600">
        <v>802.3</v>
      </c>
      <c r="C81" s="858" t="s">
        <v>254</v>
      </c>
      <c r="D81" s="858" t="s">
        <v>122</v>
      </c>
      <c r="E81" s="600"/>
      <c r="F81" s="23"/>
      <c r="G81" s="23"/>
      <c r="H81" s="691"/>
      <c r="I81" s="589"/>
      <c r="J81" s="1068"/>
      <c r="K81" s="1068" t="s">
        <v>122</v>
      </c>
      <c r="L81" s="1634" t="s">
        <v>4536</v>
      </c>
      <c r="M81" s="1734" t="s">
        <v>4681</v>
      </c>
      <c r="N81" s="129"/>
      <c r="O81" s="1619">
        <f ca="1">W81*2*S81</f>
        <v>0</v>
      </c>
      <c r="P81" s="905" t="b">
        <v>0</v>
      </c>
      <c r="Q81" s="881" t="b">
        <v>1</v>
      </c>
      <c r="R81" s="96" t="b">
        <v>0</v>
      </c>
      <c r="S81" s="464" t="b">
        <f ca="1">AND(AY19=INDEX(INDIRECT("ddSingleOrMulti"),1),S14=1)</f>
        <v>0</v>
      </c>
      <c r="T81" s="96" t="b">
        <f ca="1">IF(AND(NOT(S81),LEN(W81)&gt;0),TRUE,FALSE)</f>
        <v>0</v>
      </c>
      <c r="U81" s="96"/>
      <c r="V81" s="96"/>
      <c r="W81" s="1196"/>
      <c r="X81" s="1600"/>
      <c r="AC81" s="905" t="b">
        <f ca="1">OR(AD81:AE81)</f>
        <v>0</v>
      </c>
      <c r="AD81" s="905" t="b">
        <f ca="1">T81</f>
        <v>0</v>
      </c>
      <c r="AE81" s="905"/>
      <c r="AL81" s="1352" t="str">
        <f>SUBSTITUTE(SUBSTITUTE(SUBSTITUTE("dpa"&amp;$B81&amp;$C81&amp;$D81&amp;$E81&amp;$F81,".","_"),"(","_"),")","")</f>
        <v>dpa802_3_1_b</v>
      </c>
      <c r="AM81" s="1352" t="str">
        <f>M81</f>
        <v>2 per sensor package</v>
      </c>
      <c r="AN81" s="1352" t="str">
        <f>SUBSTITUTE(SUBSTITUTE(SUBSTITUTE("dpc"&amp;$B81&amp;$C81&amp;$D81&amp;$E81&amp;$F81,".","_"),"(","_"),")","")</f>
        <v>dpc802_3_1_b</v>
      </c>
      <c r="AO81" s="1352">
        <f ca="1">O81</f>
        <v>0</v>
      </c>
      <c r="AP81" s="1352" t="str">
        <f>SUBSTITUTE(SUBSTITUTE(SUBSTITUTE("dch"&amp;$B81&amp;$C81&amp;$D81&amp;$E81&amp;$F81,".","_"),"(","_"),")","")</f>
        <v>dch802_3_1_b</v>
      </c>
      <c r="AQ81" s="1352" t="str">
        <f>IF(LEN(W81)=0,"",W81)</f>
        <v/>
      </c>
      <c r="AR81" s="1352" t="str">
        <f>SUBSTITUTE(SUBSTITUTE(SUBSTITUTE("dnt"&amp;$B81&amp;$C81&amp;$D81&amp;$E81&amp;$F81,".","_"),"(","_"),")","")</f>
        <v>dnt802_3_1_b</v>
      </c>
      <c r="AS81" s="1352" t="str">
        <f>IF(LEN(X81)=0,"",X81)</f>
        <v/>
      </c>
      <c r="AX81" s="879"/>
    </row>
    <row r="82" spans="2:50" ht="15" customHeight="1" x14ac:dyDescent="0.2">
      <c r="B82" s="600">
        <v>802.3</v>
      </c>
      <c r="C82" s="858" t="s">
        <v>254</v>
      </c>
      <c r="D82" s="858" t="s">
        <v>122</v>
      </c>
      <c r="E82" s="600"/>
      <c r="F82" s="23"/>
      <c r="G82" s="23"/>
      <c r="H82" s="691"/>
      <c r="I82" s="589"/>
      <c r="J82" s="1068"/>
      <c r="K82" s="1068"/>
      <c r="L82" s="1634"/>
      <c r="M82" s="1692"/>
      <c r="N82" s="129"/>
      <c r="O82" s="1619"/>
      <c r="P82" s="96"/>
      <c r="Q82" s="96"/>
      <c r="R82" s="96"/>
      <c r="S82" s="96"/>
      <c r="T82" s="96"/>
      <c r="U82" s="96"/>
      <c r="V82" s="96"/>
      <c r="W82" s="96"/>
      <c r="X82" s="1600"/>
      <c r="AX82" s="879"/>
    </row>
    <row r="83" spans="2:50" x14ac:dyDescent="0.2">
      <c r="B83" s="600">
        <v>802.3</v>
      </c>
      <c r="C83" s="858" t="s">
        <v>254</v>
      </c>
      <c r="D83" s="858" t="s">
        <v>122</v>
      </c>
      <c r="E83" s="600"/>
      <c r="F83" s="23"/>
      <c r="G83" s="23"/>
      <c r="H83" s="691"/>
      <c r="I83" s="589"/>
      <c r="J83" s="1068"/>
      <c r="K83" s="1068"/>
      <c r="L83" s="1634"/>
      <c r="M83" s="1692"/>
      <c r="N83" s="129"/>
      <c r="O83" s="1619"/>
      <c r="P83" s="96"/>
      <c r="Q83" s="96"/>
      <c r="R83" s="96"/>
      <c r="S83" s="96"/>
      <c r="T83" s="96"/>
      <c r="U83" s="96"/>
      <c r="V83" s="96"/>
      <c r="W83" s="96"/>
      <c r="X83" s="1600"/>
      <c r="AX83" s="879"/>
    </row>
    <row r="84" spans="2:50" x14ac:dyDescent="0.2">
      <c r="B84" s="600">
        <v>802.3</v>
      </c>
      <c r="C84" s="858" t="s">
        <v>254</v>
      </c>
      <c r="D84" s="858" t="s">
        <v>122</v>
      </c>
      <c r="E84" s="600"/>
      <c r="F84" s="23"/>
      <c r="G84" s="23"/>
      <c r="H84" s="691"/>
      <c r="I84" s="589"/>
      <c r="J84" s="1072"/>
      <c r="K84" s="1072"/>
      <c r="L84" s="1639"/>
      <c r="M84" s="1711"/>
      <c r="N84" s="213"/>
      <c r="O84" s="1620"/>
      <c r="P84" s="96"/>
      <c r="Q84" s="96"/>
      <c r="R84" s="96"/>
      <c r="S84" s="96"/>
      <c r="T84" s="96"/>
      <c r="U84" s="96"/>
      <c r="V84" s="96"/>
      <c r="W84" s="96"/>
      <c r="X84" s="1600"/>
      <c r="AX84" s="879"/>
    </row>
    <row r="85" spans="2:50" x14ac:dyDescent="0.2">
      <c r="B85" s="600">
        <v>802.3</v>
      </c>
      <c r="C85" s="858" t="s">
        <v>255</v>
      </c>
      <c r="D85" s="858"/>
      <c r="E85" s="600"/>
      <c r="F85" s="23"/>
      <c r="G85" s="23"/>
      <c r="H85" s="691"/>
      <c r="I85" s="589"/>
      <c r="J85" s="873" t="s">
        <v>255</v>
      </c>
      <c r="K85" s="873"/>
      <c r="L85" s="1634" t="s">
        <v>4537</v>
      </c>
      <c r="M85" s="882"/>
      <c r="N85" s="129"/>
      <c r="O85" s="886"/>
      <c r="P85" s="198"/>
      <c r="Q85" s="411" t="s">
        <v>5013</v>
      </c>
      <c r="R85" s="1213">
        <f ca="1">SUM(O40:O84)+SUM(O95:O269)</f>
        <v>42</v>
      </c>
      <c r="S85" s="96"/>
      <c r="T85" s="96"/>
      <c r="U85" s="96"/>
      <c r="V85" s="96"/>
      <c r="W85" s="96"/>
      <c r="AX85" s="879"/>
    </row>
    <row r="86" spans="2:50" x14ac:dyDescent="0.2">
      <c r="B86" s="600">
        <v>802.3</v>
      </c>
      <c r="C86" s="858" t="s">
        <v>255</v>
      </c>
      <c r="D86" s="858"/>
      <c r="E86" s="600"/>
      <c r="F86" s="23"/>
      <c r="G86" s="23"/>
      <c r="H86" s="691"/>
      <c r="I86" s="589"/>
      <c r="J86" s="873"/>
      <c r="K86" s="873"/>
      <c r="L86" s="1634"/>
      <c r="M86" s="1768" t="s">
        <v>5015</v>
      </c>
      <c r="N86" s="129"/>
      <c r="O86" s="886"/>
      <c r="P86" s="198"/>
      <c r="Q86" s="411" t="s">
        <v>5016</v>
      </c>
      <c r="R86" s="198" t="b">
        <f ca="1">OR(O88&lt;R89,O90&lt;R91)</f>
        <v>0</v>
      </c>
      <c r="S86" s="96"/>
      <c r="T86" s="96"/>
      <c r="U86" s="96"/>
      <c r="V86" s="96"/>
      <c r="W86" s="96"/>
      <c r="AL86" s="1352" t="str">
        <f>SUBSTITUTE(SUBSTITUTE(SUBSTITUTE("dpa"&amp;$B86&amp;$C86&amp;$D86&amp;$E86&amp;$F86,".","_"),"(","_"),")","")</f>
        <v>dpa802_3_2</v>
      </c>
      <c r="AM86" s="1352" t="str">
        <f>M86</f>
        <v>Points Reduced</v>
      </c>
      <c r="AX86" s="879"/>
    </row>
    <row r="87" spans="2:50" x14ac:dyDescent="0.2">
      <c r="B87" s="600">
        <v>802.3</v>
      </c>
      <c r="C87" s="858" t="s">
        <v>255</v>
      </c>
      <c r="D87" s="858"/>
      <c r="E87" s="600"/>
      <c r="F87" s="23"/>
      <c r="G87" s="23"/>
      <c r="H87" s="691"/>
      <c r="I87" s="589"/>
      <c r="J87" s="873"/>
      <c r="K87" s="873"/>
      <c r="L87" s="1634"/>
      <c r="M87" s="1768"/>
      <c r="N87" s="129"/>
      <c r="O87" s="886"/>
      <c r="P87" s="96"/>
      <c r="Q87" s="96"/>
      <c r="R87" s="96"/>
      <c r="S87" s="96"/>
      <c r="T87" s="96"/>
      <c r="U87" s="96"/>
      <c r="V87" s="96"/>
      <c r="W87" s="96"/>
      <c r="AX87" s="879"/>
    </row>
    <row r="88" spans="2:50" x14ac:dyDescent="0.2">
      <c r="B88" s="600">
        <v>802.3</v>
      </c>
      <c r="C88" s="858" t="s">
        <v>255</v>
      </c>
      <c r="D88" s="858" t="s">
        <v>121</v>
      </c>
      <c r="E88" s="600"/>
      <c r="F88" s="23"/>
      <c r="G88" s="23"/>
      <c r="H88" s="691"/>
      <c r="I88" s="589"/>
      <c r="J88" s="873"/>
      <c r="K88" s="1068" t="s">
        <v>121</v>
      </c>
      <c r="L88" s="1634" t="s">
        <v>4535</v>
      </c>
      <c r="M88" s="1711" t="s">
        <v>4682</v>
      </c>
      <c r="N88" s="129"/>
      <c r="O88" s="1619">
        <f ca="1">IF((R91+R89)&lt;=R85,R89,IF(R89&lt;=R91,MIN(R85/2,R89),(R85-O90)))</f>
        <v>0</v>
      </c>
      <c r="P88" s="905" t="b">
        <v>0</v>
      </c>
      <c r="Q88" s="881" t="b">
        <v>1</v>
      </c>
      <c r="R88" s="96" t="b">
        <v>0</v>
      </c>
      <c r="S88" s="464" t="b">
        <f ca="1">AND(AY19=INDEX(INDIRECT("ddSingleOrMulti"),2),S14=1)</f>
        <v>1</v>
      </c>
      <c r="T88" s="96" t="b">
        <f ca="1">IF(AND(NOT(S88),LEN(W88)&gt;0),TRUE,FALSE)</f>
        <v>0</v>
      </c>
      <c r="U88" s="96"/>
      <c r="V88" s="96"/>
      <c r="W88" s="1195"/>
      <c r="X88" s="1600"/>
      <c r="AC88" s="905" t="b">
        <f ca="1">OR(AD88:AE88)</f>
        <v>0</v>
      </c>
      <c r="AD88" s="905" t="b">
        <f ca="1">T88</f>
        <v>0</v>
      </c>
      <c r="AE88" s="905"/>
      <c r="AL88" s="1352" t="str">
        <f>SUBSTITUTE(SUBSTITUTE(SUBSTITUTE("dpa"&amp;$B88&amp;$C88&amp;$D88&amp;$E88&amp;$F88,".","_"),"(","_"),")","")</f>
        <v>dpa802_3_2_a</v>
      </c>
      <c r="AM88" s="1352" t="str">
        <f>M88</f>
        <v>2 per unique use meter</v>
      </c>
      <c r="AN88" s="1352" t="str">
        <f>SUBSTITUTE(SUBSTITUTE(SUBSTITUTE("dpc"&amp;$B88&amp;$C88&amp;$D88&amp;$E88&amp;$F88,".","_"),"(","_"),")","")</f>
        <v>dpc802_3_2_a</v>
      </c>
      <c r="AO88" s="1352">
        <f ca="1">O88</f>
        <v>0</v>
      </c>
      <c r="AP88" s="1352" t="str">
        <f>SUBSTITUTE(SUBSTITUTE(SUBSTITUTE("dch"&amp;$B88&amp;$C88&amp;$D88&amp;$E88&amp;$F88,".","_"),"(","_"),")","")</f>
        <v>dch802_3_2_a</v>
      </c>
      <c r="AQ88" s="1352" t="str">
        <f>IF(LEN(W88)=0,"",W88)</f>
        <v/>
      </c>
      <c r="AR88" s="1352" t="str">
        <f>SUBSTITUTE(SUBSTITUTE(SUBSTITUTE("dnt"&amp;$B88&amp;$C88&amp;$D88&amp;$E88&amp;$F88,".","_"),"(","_"),")","")</f>
        <v>dnt802_3_2_a</v>
      </c>
      <c r="AS88" s="1352" t="str">
        <f>IF(LEN(X88)=0,"",X88)</f>
        <v/>
      </c>
      <c r="AX88" s="879"/>
    </row>
    <row r="89" spans="2:50" x14ac:dyDescent="0.2">
      <c r="B89" s="600">
        <v>802.3</v>
      </c>
      <c r="C89" s="858" t="s">
        <v>255</v>
      </c>
      <c r="D89" s="858" t="s">
        <v>121</v>
      </c>
      <c r="E89" s="600"/>
      <c r="F89" s="23"/>
      <c r="G89" s="23"/>
      <c r="H89" s="691"/>
      <c r="I89" s="589"/>
      <c r="J89" s="873"/>
      <c r="K89" s="1072"/>
      <c r="L89" s="1639"/>
      <c r="M89" s="1711"/>
      <c r="N89" s="129"/>
      <c r="O89" s="1620"/>
      <c r="P89" s="198"/>
      <c r="Q89" s="411" t="s">
        <v>5014</v>
      </c>
      <c r="R89" s="1213">
        <f ca="1">W88*2*S88</f>
        <v>0</v>
      </c>
      <c r="S89" s="96"/>
      <c r="T89" s="96"/>
      <c r="U89" s="96"/>
      <c r="V89" s="96"/>
      <c r="W89" s="1185"/>
      <c r="X89" s="1600"/>
      <c r="AX89" s="879"/>
    </row>
    <row r="90" spans="2:50" ht="15" customHeight="1" x14ac:dyDescent="0.2">
      <c r="B90" s="600">
        <v>802.3</v>
      </c>
      <c r="C90" s="858" t="s">
        <v>255</v>
      </c>
      <c r="D90" s="858" t="s">
        <v>122</v>
      </c>
      <c r="E90" s="600"/>
      <c r="F90" s="23"/>
      <c r="G90" s="23"/>
      <c r="H90" s="691"/>
      <c r="I90" s="590"/>
      <c r="J90" s="1068"/>
      <c r="K90" s="1068" t="s">
        <v>122</v>
      </c>
      <c r="L90" s="1634" t="s">
        <v>4536</v>
      </c>
      <c r="M90" s="1734" t="s">
        <v>4681</v>
      </c>
      <c r="N90" s="129"/>
      <c r="O90" s="1619">
        <f ca="1">IF((R91+R89)&lt;=R85,R91,IF(R91&lt;=R89,MIN(R85/2,R91),(R85-O88)))</f>
        <v>0</v>
      </c>
      <c r="P90" s="905" t="b">
        <v>0</v>
      </c>
      <c r="Q90" s="881" t="b">
        <v>1</v>
      </c>
      <c r="R90" s="96" t="b">
        <v>0</v>
      </c>
      <c r="S90" s="464" t="b">
        <f ca="1">AND(AY19=INDEX(INDIRECT("ddSingleOrMulti"),2),S14=1)</f>
        <v>1</v>
      </c>
      <c r="T90" s="96" t="b">
        <f ca="1">IF(AND(NOT(S90),LEN(W90)&gt;0),TRUE,FALSE)</f>
        <v>0</v>
      </c>
      <c r="U90" s="96"/>
      <c r="V90" s="96"/>
      <c r="W90" s="1196"/>
      <c r="X90" s="1601"/>
      <c r="AC90" s="905" t="b">
        <f ca="1">OR(AD90:AE90)</f>
        <v>0</v>
      </c>
      <c r="AD90" s="905" t="b">
        <f ca="1">T90</f>
        <v>0</v>
      </c>
      <c r="AE90" s="905"/>
      <c r="AL90" s="1352" t="str">
        <f>SUBSTITUTE(SUBSTITUTE(SUBSTITUTE("dpa"&amp;$B90&amp;$C90&amp;$D90&amp;$E90&amp;$F90,".","_"),"(","_"),")","")</f>
        <v>dpa802_3_2_b</v>
      </c>
      <c r="AM90" s="1352" t="str">
        <f>M90</f>
        <v>2 per sensor package</v>
      </c>
      <c r="AN90" s="1352" t="str">
        <f>SUBSTITUTE(SUBSTITUTE(SUBSTITUTE("dpc"&amp;$B90&amp;$C90&amp;$D90&amp;$E90&amp;$F90,".","_"),"(","_"),")","")</f>
        <v>dpc802_3_2_b</v>
      </c>
      <c r="AO90" s="1352">
        <f ca="1">O90</f>
        <v>0</v>
      </c>
      <c r="AP90" s="1352" t="str">
        <f>SUBSTITUTE(SUBSTITUTE(SUBSTITUTE("dch"&amp;$B90&amp;$C90&amp;$D90&amp;$E90&amp;$F90,".","_"),"(","_"),")","")</f>
        <v>dch802_3_2_b</v>
      </c>
      <c r="AQ90" s="1352" t="str">
        <f>IF(LEN(W90)=0,"",W90)</f>
        <v/>
      </c>
      <c r="AR90" s="1352" t="str">
        <f>SUBSTITUTE(SUBSTITUTE(SUBSTITUTE("dnt"&amp;$B90&amp;$C90&amp;$D90&amp;$E90&amp;$F90,".","_"),"(","_"),")","")</f>
        <v>dnt802_3_2_b</v>
      </c>
      <c r="AS90" s="1352" t="str">
        <f>IF(LEN(X90)=0,"",X90)</f>
        <v/>
      </c>
      <c r="AX90" s="879"/>
    </row>
    <row r="91" spans="2:50" x14ac:dyDescent="0.2">
      <c r="B91" s="600">
        <v>802.3</v>
      </c>
      <c r="C91" s="858" t="s">
        <v>255</v>
      </c>
      <c r="D91" s="858" t="s">
        <v>122</v>
      </c>
      <c r="E91" s="600"/>
      <c r="F91" s="23"/>
      <c r="G91" s="23"/>
      <c r="H91" s="691"/>
      <c r="I91" s="590"/>
      <c r="J91" s="1068"/>
      <c r="K91" s="1068"/>
      <c r="L91" s="1634"/>
      <c r="M91" s="1692"/>
      <c r="N91" s="129"/>
      <c r="O91" s="1619"/>
      <c r="P91" s="198"/>
      <c r="Q91" s="411" t="s">
        <v>5014</v>
      </c>
      <c r="R91" s="1213">
        <f ca="1">W90*2*S90</f>
        <v>0</v>
      </c>
      <c r="S91" s="96"/>
      <c r="T91" s="96"/>
      <c r="U91" s="96"/>
      <c r="V91" s="96"/>
      <c r="W91" s="96"/>
      <c r="X91" s="1601"/>
      <c r="AX91" s="879"/>
    </row>
    <row r="92" spans="2:50" x14ac:dyDescent="0.2">
      <c r="B92" s="600">
        <v>802.3</v>
      </c>
      <c r="C92" s="858" t="s">
        <v>255</v>
      </c>
      <c r="D92" s="858" t="s">
        <v>122</v>
      </c>
      <c r="E92" s="600"/>
      <c r="F92" s="23"/>
      <c r="G92" s="23"/>
      <c r="H92" s="691"/>
      <c r="I92" s="590"/>
      <c r="J92" s="1068"/>
      <c r="K92" s="1068"/>
      <c r="L92" s="1634"/>
      <c r="M92" s="1692"/>
      <c r="N92" s="129"/>
      <c r="O92" s="1619"/>
      <c r="P92"/>
      <c r="Q92"/>
      <c r="R92"/>
      <c r="S92" s="96"/>
      <c r="T92" s="96"/>
      <c r="U92" s="96"/>
      <c r="V92" s="96"/>
      <c r="W92" s="96"/>
      <c r="X92" s="1601"/>
      <c r="AX92" s="879"/>
    </row>
    <row r="93" spans="2:50" ht="15" customHeight="1" thickBot="1" x14ac:dyDescent="0.25">
      <c r="B93" s="600">
        <v>802.3</v>
      </c>
      <c r="C93" s="858" t="s">
        <v>255</v>
      </c>
      <c r="D93" s="858" t="s">
        <v>122</v>
      </c>
      <c r="E93" s="600"/>
      <c r="F93" s="23"/>
      <c r="G93" s="23"/>
      <c r="H93" s="691"/>
      <c r="I93" s="594"/>
      <c r="J93" s="1069"/>
      <c r="K93" s="1069"/>
      <c r="L93" s="1635"/>
      <c r="M93" s="1763"/>
      <c r="N93" s="239"/>
      <c r="O93" s="1638"/>
      <c r="P93"/>
      <c r="Q93"/>
      <c r="R93"/>
      <c r="S93" s="100"/>
      <c r="T93" s="100"/>
      <c r="U93" s="100"/>
      <c r="V93" s="100"/>
      <c r="W93" s="100"/>
      <c r="X93" s="1602"/>
      <c r="AX93" s="879"/>
    </row>
    <row r="94" spans="2:50" ht="16" thickTop="1" x14ac:dyDescent="0.2">
      <c r="B94" s="600">
        <v>802.4</v>
      </c>
      <c r="C94" s="858"/>
      <c r="D94" s="858"/>
      <c r="E94" s="600"/>
      <c r="F94" s="23"/>
      <c r="G94" s="23"/>
      <c r="H94" s="691"/>
      <c r="I94" s="589" t="s">
        <v>4643</v>
      </c>
      <c r="J94" s="873"/>
      <c r="K94" s="873"/>
      <c r="L94" s="897" t="s">
        <v>4538</v>
      </c>
      <c r="M94" s="414"/>
      <c r="N94" s="4"/>
      <c r="O94" s="885"/>
      <c r="W94" s="881" t="s">
        <v>4659</v>
      </c>
      <c r="AX94" s="879"/>
    </row>
    <row r="95" spans="2:50" x14ac:dyDescent="0.2">
      <c r="B95" s="600">
        <v>802.4</v>
      </c>
      <c r="C95" s="858" t="s">
        <v>254</v>
      </c>
      <c r="D95" s="858"/>
      <c r="E95" s="600"/>
      <c r="F95" s="23"/>
      <c r="G95" s="23"/>
      <c r="H95" s="691"/>
      <c r="I95" s="589"/>
      <c r="J95" s="873" t="s">
        <v>254</v>
      </c>
      <c r="K95" s="873"/>
      <c r="L95" s="1634" t="s">
        <v>4539</v>
      </c>
      <c r="M95" s="1722" t="s">
        <v>4660</v>
      </c>
      <c r="N95" s="4"/>
      <c r="O95" s="1669">
        <f ca="1">IFERROR(INDEX({4,5,6,7},MATCH(W95,INDIRECT(U95),0)),0)*S95</f>
        <v>4</v>
      </c>
      <c r="P95" s="96" t="b">
        <v>0</v>
      </c>
      <c r="Q95" s="881" t="b">
        <v>1</v>
      </c>
      <c r="R95" s="881" t="b">
        <v>0</v>
      </c>
      <c r="S95" s="905" t="b">
        <f ca="1">S14=1</f>
        <v>1</v>
      </c>
      <c r="T95" s="96" t="b">
        <f ca="1">IF(AND(NOT(S95),LEN(W95)&gt;0),TRUE,FALSE)</f>
        <v>0</v>
      </c>
      <c r="U95" s="991" t="str">
        <f>SUBSTITUTE(SUBSTITUTE(SUBSTITUTE("dd"&amp;B95&amp;C95&amp;D95&amp;E95&amp;F95,".","_"),"(","_"),")","")</f>
        <v>dd802_4_1</v>
      </c>
      <c r="W95" s="996" t="s">
        <v>4676</v>
      </c>
      <c r="X95" s="1600"/>
      <c r="AC95" s="905" t="b">
        <f ca="1">OR(AD95:AE95)</f>
        <v>0</v>
      </c>
      <c r="AD95" s="905" t="b">
        <f ca="1">T95</f>
        <v>0</v>
      </c>
      <c r="AE95" s="905"/>
      <c r="AL95" s="1352" t="str">
        <f>SUBSTITUTE(SUBSTITUTE(SUBSTITUTE("dpa"&amp;$B95&amp;$C95&amp;$D95&amp;$E95&amp;$F95,".","_"),"(","_"),")","")</f>
        <v>dpa802_4_1</v>
      </c>
      <c r="AM95" s="1352" t="str">
        <f>M95</f>
        <v xml:space="preserve">4 for first compartment </v>
      </c>
      <c r="AN95" s="1352" t="str">
        <f>SUBSTITUTE(SUBSTITUTE(SUBSTITUTE("dpc"&amp;$B95&amp;$C95&amp;$D95&amp;$E95&amp;$F95,".","_"),"(","_"),")","")</f>
        <v>dpc802_4_1</v>
      </c>
      <c r="AO95" s="1352">
        <f ca="1">O95</f>
        <v>4</v>
      </c>
      <c r="AP95" s="1352" t="str">
        <f>SUBSTITUTE(SUBSTITUTE(SUBSTITUTE("dch"&amp;$B95&amp;$C95&amp;$D95&amp;$E95&amp;$F95,".","_"),"(","_"),")","")</f>
        <v>dch802_4_1</v>
      </c>
      <c r="AQ95" s="1352" t="str">
        <f>IF(LEN(W95)=0,"",W95)</f>
        <v>1 compartment</v>
      </c>
      <c r="AR95" s="1352" t="str">
        <f>SUBSTITUTE(SUBSTITUTE(SUBSTITUTE("dnt"&amp;$B95&amp;$C95&amp;$D95&amp;$E95&amp;$F95,".","_"),"(","_"),")","")</f>
        <v>dnt802_4_1</v>
      </c>
      <c r="AS95" s="1352" t="str">
        <f>IF(LEN(X95)=0,"",X95)</f>
        <v/>
      </c>
      <c r="AX95" s="879"/>
    </row>
    <row r="96" spans="2:50" x14ac:dyDescent="0.2">
      <c r="B96" s="600">
        <v>802.4</v>
      </c>
      <c r="C96" s="858" t="s">
        <v>254</v>
      </c>
      <c r="D96" s="858"/>
      <c r="E96" s="600"/>
      <c r="F96" s="23"/>
      <c r="G96" s="23"/>
      <c r="H96" s="691"/>
      <c r="I96" s="589"/>
      <c r="J96" s="873"/>
      <c r="K96" s="873"/>
      <c r="L96" s="1634"/>
      <c r="M96" s="1722"/>
      <c r="N96" s="4"/>
      <c r="O96" s="1669"/>
      <c r="X96" s="1600"/>
      <c r="AX96" s="879"/>
    </row>
    <row r="97" spans="2:50" x14ac:dyDescent="0.2">
      <c r="B97" s="600">
        <v>802.4</v>
      </c>
      <c r="C97" s="858" t="s">
        <v>254</v>
      </c>
      <c r="D97" s="858" t="s">
        <v>3921</v>
      </c>
      <c r="E97" s="600"/>
      <c r="F97" s="23"/>
      <c r="G97" s="23"/>
      <c r="H97" s="691"/>
      <c r="I97" s="589"/>
      <c r="J97" s="873"/>
      <c r="K97" s="873"/>
      <c r="L97" s="1634"/>
      <c r="M97" s="1722" t="s">
        <v>4661</v>
      </c>
      <c r="N97" s="4"/>
      <c r="O97" s="1669"/>
      <c r="X97" s="1600"/>
      <c r="AL97" s="1352" t="str">
        <f>SUBSTITUTE(SUBSTITUTE(SUBSTITUTE("dpa"&amp;$B97&amp;$C97&amp;$D97&amp;$E97&amp;$F97,".","_"),"(","_"),")","")</f>
        <v>dpa802_4_1_1</v>
      </c>
      <c r="AM97" s="1352" t="str">
        <f>M97</f>
        <v>1 for each additional compartment in dwelling</v>
      </c>
      <c r="AX97" s="879"/>
    </row>
    <row r="98" spans="2:50" ht="15" customHeight="1" x14ac:dyDescent="0.2">
      <c r="B98" s="600">
        <v>802.4</v>
      </c>
      <c r="C98" s="858" t="s">
        <v>254</v>
      </c>
      <c r="D98" s="858"/>
      <c r="E98" s="600"/>
      <c r="F98" s="23"/>
      <c r="G98" s="23"/>
      <c r="H98" s="691"/>
      <c r="I98" s="589"/>
      <c r="J98" s="873"/>
      <c r="K98" s="873"/>
      <c r="L98" s="1634"/>
      <c r="M98" s="1722"/>
      <c r="N98" s="4"/>
      <c r="O98" s="1669"/>
      <c r="X98" s="1600"/>
      <c r="AX98" s="879"/>
    </row>
    <row r="99" spans="2:50" x14ac:dyDescent="0.2">
      <c r="B99" s="600">
        <v>802.4</v>
      </c>
      <c r="C99" s="858" t="s">
        <v>254</v>
      </c>
      <c r="D99" s="858"/>
      <c r="E99" s="600"/>
      <c r="F99" s="23"/>
      <c r="G99" s="23"/>
      <c r="H99" s="691"/>
      <c r="I99" s="589"/>
      <c r="J99" s="873"/>
      <c r="K99" s="873"/>
      <c r="L99" s="1634"/>
      <c r="M99" s="1722"/>
      <c r="N99" s="4"/>
      <c r="O99" s="1669"/>
      <c r="X99" s="1600"/>
      <c r="AX99" s="879"/>
    </row>
    <row r="100" spans="2:50" x14ac:dyDescent="0.2">
      <c r="B100" s="600">
        <v>802.4</v>
      </c>
      <c r="C100" s="858" t="s">
        <v>254</v>
      </c>
      <c r="D100" s="858"/>
      <c r="E100" s="600"/>
      <c r="F100" s="23"/>
      <c r="G100" s="23"/>
      <c r="H100" s="691"/>
      <c r="I100" s="589"/>
      <c r="J100" s="873"/>
      <c r="K100" s="873"/>
      <c r="L100" s="1634"/>
      <c r="M100" s="1722"/>
      <c r="N100" s="4"/>
      <c r="O100" s="1669"/>
      <c r="X100" s="1600"/>
      <c r="AX100" s="879"/>
    </row>
    <row r="101" spans="2:50" x14ac:dyDescent="0.2">
      <c r="B101" s="600">
        <v>802.4</v>
      </c>
      <c r="C101" s="858" t="s">
        <v>254</v>
      </c>
      <c r="D101" s="858"/>
      <c r="E101" s="600"/>
      <c r="F101" s="23"/>
      <c r="G101" s="23"/>
      <c r="H101" s="691"/>
      <c r="I101" s="589"/>
      <c r="J101" s="873"/>
      <c r="K101" s="873"/>
      <c r="L101" s="1634"/>
      <c r="X101" s="1600"/>
      <c r="AX101" s="879"/>
    </row>
    <row r="102" spans="2:50" ht="15" customHeight="1" x14ac:dyDescent="0.2">
      <c r="B102" s="600">
        <v>802.4</v>
      </c>
      <c r="C102" s="858" t="s">
        <v>254</v>
      </c>
      <c r="D102" s="858"/>
      <c r="E102" s="600"/>
      <c r="F102" s="23"/>
      <c r="G102" s="23"/>
      <c r="H102" s="691"/>
      <c r="I102" s="589"/>
      <c r="J102" s="873"/>
      <c r="K102" s="873"/>
      <c r="L102" s="1634"/>
      <c r="X102" s="1600"/>
      <c r="AX102" s="879"/>
    </row>
    <row r="103" spans="2:50" x14ac:dyDescent="0.2">
      <c r="B103" s="600">
        <v>802.4</v>
      </c>
      <c r="C103" s="858" t="s">
        <v>254</v>
      </c>
      <c r="D103" s="858" t="s">
        <v>3922</v>
      </c>
      <c r="E103" s="600"/>
      <c r="F103" s="23"/>
      <c r="G103" s="23"/>
      <c r="H103" s="691"/>
      <c r="I103" s="589"/>
      <c r="J103" s="1068"/>
      <c r="K103" s="1068"/>
      <c r="L103" s="1745" t="s">
        <v>4540</v>
      </c>
      <c r="M103" s="1623" t="s">
        <v>4662</v>
      </c>
      <c r="N103" s="129"/>
      <c r="O103" s="886"/>
      <c r="X103" s="1600"/>
      <c r="AL103" s="1352" t="str">
        <f>SUBSTITUTE(SUBSTITUTE(SUBSTITUTE("dpa"&amp;$B103&amp;$C103&amp;$D103&amp;$E103&amp;$F103,".","_"),"(","_"),")","")</f>
        <v>dpa802_4_1_2</v>
      </c>
      <c r="AM103" s="1352" t="str">
        <f>M103</f>
        <v>7 Max</v>
      </c>
      <c r="AX103" s="879"/>
    </row>
    <row r="104" spans="2:50" x14ac:dyDescent="0.2">
      <c r="B104" s="600">
        <v>802.4</v>
      </c>
      <c r="C104" s="858" t="s">
        <v>254</v>
      </c>
      <c r="D104" s="858"/>
      <c r="E104" s="600"/>
      <c r="F104" s="23"/>
      <c r="G104" s="23"/>
      <c r="H104" s="691"/>
      <c r="I104" s="589"/>
      <c r="J104" s="1068"/>
      <c r="K104" s="1068"/>
      <c r="L104" s="1745"/>
      <c r="M104" s="1623"/>
      <c r="N104" s="129"/>
      <c r="O104" s="886"/>
      <c r="X104" s="1600"/>
      <c r="AX104" s="879"/>
    </row>
    <row r="105" spans="2:50" x14ac:dyDescent="0.2">
      <c r="B105" s="600">
        <v>802.4</v>
      </c>
      <c r="C105" s="858" t="s">
        <v>254</v>
      </c>
      <c r="D105" s="858"/>
      <c r="E105" s="600"/>
      <c r="F105" s="23"/>
      <c r="G105" s="23"/>
      <c r="H105" s="691"/>
      <c r="I105" s="589"/>
      <c r="J105" s="1072"/>
      <c r="K105" s="1072"/>
      <c r="L105" s="1760"/>
      <c r="M105" s="1624"/>
      <c r="N105" s="213"/>
      <c r="O105" s="888"/>
      <c r="U105" s="991"/>
      <c r="X105" s="1600"/>
      <c r="AX105" s="879"/>
    </row>
    <row r="106" spans="2:50" ht="15" customHeight="1" x14ac:dyDescent="0.2">
      <c r="B106" s="600">
        <v>802.4</v>
      </c>
      <c r="C106" s="858" t="s">
        <v>255</v>
      </c>
      <c r="D106" s="858"/>
      <c r="E106" s="600"/>
      <c r="F106" s="23"/>
      <c r="G106" s="23"/>
      <c r="H106" s="691"/>
      <c r="I106" s="589"/>
      <c r="J106" s="873" t="s">
        <v>255</v>
      </c>
      <c r="K106" s="873"/>
      <c r="L106" s="1634" t="s">
        <v>4858</v>
      </c>
      <c r="M106" s="890"/>
      <c r="N106" s="4"/>
      <c r="O106" s="1637">
        <f ca="1">IFERROR(INDEX({6,10,14},MATCH(W106,INDIRECT(U106),0)),0)*S106</f>
        <v>6</v>
      </c>
      <c r="P106" s="96" t="b">
        <v>0</v>
      </c>
      <c r="Q106" s="881" t="b">
        <v>1</v>
      </c>
      <c r="R106" s="881" t="b">
        <v>0</v>
      </c>
      <c r="S106" s="881" t="b">
        <f ca="1">AND(LEN(W95)&gt;0,S14=1)</f>
        <v>1</v>
      </c>
      <c r="T106" s="96" t="b">
        <f ca="1">IF(AND(NOT(S106),LEN(W106)&gt;0),TRUE,FALSE)</f>
        <v>0</v>
      </c>
      <c r="U106" s="991" t="str">
        <f>SUBSTITUTE(SUBSTITUTE(SUBSTITUTE("dd"&amp;B106&amp;C106&amp;D106&amp;E106&amp;F106,".","_"),"(","_"),")","")</f>
        <v>dd802_4_2</v>
      </c>
      <c r="W106" s="12" t="s">
        <v>121</v>
      </c>
      <c r="X106" s="1600"/>
      <c r="AC106" s="905" t="b">
        <f ca="1">OR(AD106:AE106)</f>
        <v>0</v>
      </c>
      <c r="AD106" s="905" t="b">
        <f ca="1">T106</f>
        <v>0</v>
      </c>
      <c r="AE106" s="905"/>
      <c r="AN106" s="1352" t="str">
        <f>SUBSTITUTE(SUBSTITUTE(SUBSTITUTE("dpc"&amp;$B106&amp;$C106&amp;$D106&amp;$E106&amp;$F106,".","_"),"(","_"),")","")</f>
        <v>dpc802_4_2</v>
      </c>
      <c r="AO106" s="1352">
        <f ca="1">O106</f>
        <v>6</v>
      </c>
      <c r="AP106" s="1352" t="str">
        <f>SUBSTITUTE(SUBSTITUTE(SUBSTITUTE("dch"&amp;$B106&amp;$C106&amp;$D106&amp;$E106&amp;$F106,".","_"),"(","_"),")","")</f>
        <v>dch802_4_2</v>
      </c>
      <c r="AQ106" s="1352" t="str">
        <f>IF(LEN(W106)=0,"",W106)</f>
        <v>(a)</v>
      </c>
      <c r="AR106" s="1352" t="str">
        <f>SUBSTITUTE(SUBSTITUTE(SUBSTITUTE("dnt"&amp;$B106&amp;$C106&amp;$D106&amp;$E106&amp;$F106,".","_"),"(","_"),")","")</f>
        <v>dnt802_4_2</v>
      </c>
      <c r="AS106" s="1352" t="str">
        <f>IF(LEN(X106)=0,"",X106)</f>
        <v/>
      </c>
      <c r="AX106" s="879"/>
    </row>
    <row r="107" spans="2:50" x14ac:dyDescent="0.2">
      <c r="B107" s="600">
        <v>802.4</v>
      </c>
      <c r="C107" s="858" t="s">
        <v>255</v>
      </c>
      <c r="D107" s="858"/>
      <c r="E107" s="600"/>
      <c r="F107" s="23"/>
      <c r="G107" s="23"/>
      <c r="H107" s="691"/>
      <c r="I107" s="589"/>
      <c r="J107" s="873"/>
      <c r="K107" s="873"/>
      <c r="L107" s="1634"/>
      <c r="M107" s="890"/>
      <c r="N107" s="4"/>
      <c r="O107" s="1669"/>
      <c r="X107" s="1600"/>
      <c r="AX107" s="879"/>
    </row>
    <row r="108" spans="2:50" x14ac:dyDescent="0.2">
      <c r="B108" s="600">
        <v>802.4</v>
      </c>
      <c r="C108" s="858" t="s">
        <v>255</v>
      </c>
      <c r="D108" s="858"/>
      <c r="E108" s="600"/>
      <c r="F108" s="23"/>
      <c r="G108" s="23"/>
      <c r="H108" s="691"/>
      <c r="I108" s="589"/>
      <c r="J108" s="873"/>
      <c r="K108" s="873"/>
      <c r="L108" s="1634"/>
      <c r="N108" s="4"/>
      <c r="O108" s="1669"/>
      <c r="X108" s="1600"/>
      <c r="AX108" s="879"/>
    </row>
    <row r="109" spans="2:50" x14ac:dyDescent="0.2">
      <c r="B109" s="600">
        <v>802.4</v>
      </c>
      <c r="C109" s="858" t="s">
        <v>255</v>
      </c>
      <c r="D109" s="858" t="s">
        <v>121</v>
      </c>
      <c r="E109" s="600"/>
      <c r="F109" s="23"/>
      <c r="G109" s="23"/>
      <c r="H109" s="691"/>
      <c r="I109" s="589"/>
      <c r="J109" s="873"/>
      <c r="K109" s="1072" t="s">
        <v>121</v>
      </c>
      <c r="L109" s="923" t="s">
        <v>4541</v>
      </c>
      <c r="M109" s="937" t="s">
        <v>4663</v>
      </c>
      <c r="N109" s="4"/>
      <c r="O109" s="885"/>
      <c r="X109" s="1600"/>
      <c r="AL109" s="1352" t="str">
        <f>SUBSTITUTE(SUBSTITUTE(SUBSTITUTE("dpa"&amp;$B109&amp;$C109&amp;$D109&amp;$E109&amp;$F109,".","_"),"(","_"),")","")</f>
        <v>dpa802_4_2_a</v>
      </c>
      <c r="AM109" s="1352" t="str">
        <f>M109</f>
        <v xml:space="preserve">6 Additional </v>
      </c>
      <c r="AX109" s="879"/>
    </row>
    <row r="110" spans="2:50" x14ac:dyDescent="0.2">
      <c r="B110" s="600">
        <v>802.4</v>
      </c>
      <c r="C110" s="858" t="s">
        <v>255</v>
      </c>
      <c r="D110" s="858" t="s">
        <v>122</v>
      </c>
      <c r="E110" s="600"/>
      <c r="F110" s="23"/>
      <c r="G110" s="23"/>
      <c r="H110" s="691"/>
      <c r="I110" s="589"/>
      <c r="J110" s="1072"/>
      <c r="K110" s="1072" t="s">
        <v>122</v>
      </c>
      <c r="L110" s="923" t="s">
        <v>4542</v>
      </c>
      <c r="M110" s="937" t="s">
        <v>4664</v>
      </c>
      <c r="N110" s="4"/>
      <c r="O110" s="888"/>
      <c r="U110" s="991"/>
      <c r="X110" s="1600"/>
      <c r="AL110" s="1352" t="str">
        <f>SUBSTITUTE(SUBSTITUTE(SUBSTITUTE("dpa"&amp;$B110&amp;$C110&amp;$D110&amp;$E110&amp;$F110,".","_"),"(","_"),")","")</f>
        <v>dpa802_4_2_b</v>
      </c>
      <c r="AM110" s="1352" t="str">
        <f>M110</f>
        <v xml:space="preserve">10 Additional </v>
      </c>
      <c r="AX110" s="879"/>
    </row>
    <row r="111" spans="2:50" ht="15" customHeight="1" x14ac:dyDescent="0.2">
      <c r="B111" s="600">
        <v>802.4</v>
      </c>
      <c r="C111" s="858" t="s">
        <v>256</v>
      </c>
      <c r="D111" s="858"/>
      <c r="E111" s="600"/>
      <c r="F111" s="23"/>
      <c r="G111" s="23"/>
      <c r="H111" s="691"/>
      <c r="I111" s="590"/>
      <c r="J111" s="1068" t="s">
        <v>256</v>
      </c>
      <c r="K111" s="1068"/>
      <c r="L111" s="1634" t="s">
        <v>4543</v>
      </c>
      <c r="M111" s="1692" t="s">
        <v>4665</v>
      </c>
      <c r="N111" s="129"/>
      <c r="O111" s="1619">
        <f ca="1">IFERROR(MATCH(W111,INDIRECT(U111),0),0)*S111</f>
        <v>0</v>
      </c>
      <c r="P111" s="991" t="b">
        <v>0</v>
      </c>
      <c r="Q111" s="991" t="b">
        <v>1</v>
      </c>
      <c r="R111" s="991" t="b">
        <v>0</v>
      </c>
      <c r="S111" s="991" t="b">
        <f ca="1">S14=1</f>
        <v>1</v>
      </c>
      <c r="T111" s="991" t="b">
        <f ca="1">IF(AND(NOT(S111),LEN(W111)&gt;0),TRUE,FALSE)</f>
        <v>0</v>
      </c>
      <c r="U111" s="991" t="str">
        <f>SUBSTITUTE(SUBSTITUTE(SUBSTITUTE("dd"&amp;B111&amp;C111&amp;D111&amp;E111&amp;F111,".","_"),"(","_"),")","")</f>
        <v>dd802_4_3</v>
      </c>
      <c r="V111" s="991"/>
      <c r="W111" s="110"/>
      <c r="X111" s="1601"/>
      <c r="AC111" s="905" t="b">
        <f ca="1">OR(AD111:AE111)</f>
        <v>0</v>
      </c>
      <c r="AD111" s="905" t="b">
        <f ca="1">T111</f>
        <v>0</v>
      </c>
      <c r="AE111" s="905"/>
      <c r="AL111" s="1352" t="str">
        <f>SUBSTITUTE(SUBSTITUTE(SUBSTITUTE("dpa"&amp;$B111&amp;$C111&amp;$D111&amp;$E111&amp;$F111,".","_"),"(","_"),")","")</f>
        <v>dpa802_4_3</v>
      </c>
      <c r="AM111" s="1352" t="str">
        <f>M111</f>
        <v>1
3 Max</v>
      </c>
      <c r="AN111" s="1352" t="str">
        <f>SUBSTITUTE(SUBSTITUTE(SUBSTITUTE("dpc"&amp;$B111&amp;$C111&amp;$D111&amp;$E111&amp;$F111,".","_"),"(","_"),")","")</f>
        <v>dpc802_4_3</v>
      </c>
      <c r="AO111" s="1352">
        <f ca="1">O111</f>
        <v>0</v>
      </c>
      <c r="AP111" s="1352" t="str">
        <f>SUBSTITUTE(SUBSTITUTE(SUBSTITUTE("dch"&amp;$B111&amp;$C111&amp;$D111&amp;$E111&amp;$F111,".","_"),"(","_"),")","")</f>
        <v>dch802_4_3</v>
      </c>
      <c r="AQ111" s="1352" t="str">
        <f>IF(LEN(W111)=0,"",W111)</f>
        <v/>
      </c>
      <c r="AR111" s="1352" t="str">
        <f>SUBSTITUTE(SUBSTITUTE(SUBSTITUTE("dnt"&amp;$B111&amp;$C111&amp;$D111&amp;$E111&amp;$F111,".","_"),"(","_"),")","")</f>
        <v>dnt802_4_3</v>
      </c>
      <c r="AS111" s="1352" t="str">
        <f>IF(LEN(X111)=0,"",X111)</f>
        <v/>
      </c>
      <c r="AX111" s="879"/>
    </row>
    <row r="112" spans="2:50" x14ac:dyDescent="0.2">
      <c r="B112" s="600">
        <v>802.4</v>
      </c>
      <c r="C112" s="858" t="s">
        <v>256</v>
      </c>
      <c r="D112" s="858"/>
      <c r="E112" s="600"/>
      <c r="F112" s="23"/>
      <c r="G112" s="23"/>
      <c r="H112" s="691"/>
      <c r="I112" s="590"/>
      <c r="J112" s="1068"/>
      <c r="K112" s="1068"/>
      <c r="L112" s="1634"/>
      <c r="M112" s="1692"/>
      <c r="N112" s="129"/>
      <c r="O112" s="1619"/>
      <c r="P112" s="991"/>
      <c r="Q112" s="991"/>
      <c r="R112" s="991"/>
      <c r="S112" s="991"/>
      <c r="T112" s="991"/>
      <c r="U112" s="991"/>
      <c r="V112" s="991"/>
      <c r="W112" s="114"/>
      <c r="X112" s="1601"/>
      <c r="AX112" s="879"/>
    </row>
    <row r="113" spans="2:50" ht="16" thickBot="1" x14ac:dyDescent="0.25">
      <c r="B113" s="600">
        <v>802.4</v>
      </c>
      <c r="C113" s="858" t="s">
        <v>256</v>
      </c>
      <c r="D113" s="858"/>
      <c r="E113" s="600"/>
      <c r="F113" s="23"/>
      <c r="G113" s="23"/>
      <c r="H113" s="691"/>
      <c r="I113" s="594"/>
      <c r="J113" s="1069"/>
      <c r="K113" s="1069"/>
      <c r="L113" s="1635"/>
      <c r="M113" s="914"/>
      <c r="N113" s="239"/>
      <c r="O113" s="922"/>
      <c r="P113" s="100"/>
      <c r="Q113" s="100"/>
      <c r="R113" s="100"/>
      <c r="S113" s="100"/>
      <c r="T113" s="100"/>
      <c r="U113" s="100"/>
      <c r="V113" s="100"/>
      <c r="W113" s="113"/>
      <c r="X113" s="1602"/>
      <c r="AX113" s="879"/>
    </row>
    <row r="114" spans="2:50" ht="15" customHeight="1" thickTop="1" x14ac:dyDescent="0.2">
      <c r="B114" s="600">
        <v>802.5</v>
      </c>
      <c r="C114" s="858"/>
      <c r="D114" s="858"/>
      <c r="E114" s="600"/>
      <c r="F114" s="23"/>
      <c r="G114" s="23"/>
      <c r="H114" s="691"/>
      <c r="I114" s="589" t="s">
        <v>4544</v>
      </c>
      <c r="J114" s="873"/>
      <c r="K114" s="873"/>
      <c r="L114" s="897" t="s">
        <v>4545</v>
      </c>
      <c r="M114" s="882"/>
      <c r="N114" s="129"/>
      <c r="O114" s="886"/>
      <c r="P114" s="96"/>
      <c r="Q114" s="96"/>
      <c r="R114" s="96"/>
      <c r="S114" s="96"/>
      <c r="T114" s="96"/>
      <c r="U114" s="991"/>
      <c r="V114" s="96"/>
      <c r="W114" s="96"/>
      <c r="AX114" s="879"/>
    </row>
    <row r="115" spans="2:50" x14ac:dyDescent="0.2">
      <c r="B115" s="600" t="s">
        <v>4644</v>
      </c>
      <c r="C115" s="858"/>
      <c r="D115" s="858"/>
      <c r="E115" s="600"/>
      <c r="F115" s="23"/>
      <c r="G115" s="23"/>
      <c r="H115" s="691"/>
      <c r="I115" s="589" t="s">
        <v>4546</v>
      </c>
      <c r="J115" s="873"/>
      <c r="K115" s="873"/>
      <c r="L115" s="1687" t="s">
        <v>4547</v>
      </c>
      <c r="M115" s="890"/>
      <c r="N115" s="4"/>
      <c r="O115" s="1669">
        <f ca="1">(S116*S118+IFERROR(INDEX({0,0,6,8,12},MATCH(W117,INDIRECT(U117),0)),0))*S115</f>
        <v>16</v>
      </c>
      <c r="P115" s="96" t="b">
        <v>0</v>
      </c>
      <c r="Q115" s="881" t="b">
        <v>1</v>
      </c>
      <c r="R115" s="881" t="b">
        <v>0</v>
      </c>
      <c r="S115" s="905" t="b">
        <f ca="1">S14=1</f>
        <v>1</v>
      </c>
      <c r="T115" s="96" t="b">
        <f ca="1">IF(AND(NOT(S115),LEN(W115)&gt;0),TRUE,FALSE)</f>
        <v>0</v>
      </c>
      <c r="U115" s="991" t="str">
        <f>SUBSTITUTE(SUBSTITUTE(SUBSTITUTE("dd"&amp;B115&amp;C115&amp;D115&amp;E115&amp;F115,".","_"),"(","_"),")","")</f>
        <v>dd802_5_1</v>
      </c>
      <c r="W115" s="12" t="s">
        <v>4688</v>
      </c>
      <c r="X115" s="1600"/>
      <c r="AC115" s="905" t="b">
        <f ca="1">OR(AD115:AE115)</f>
        <v>0</v>
      </c>
      <c r="AD115" s="905" t="b">
        <f ca="1">T115</f>
        <v>0</v>
      </c>
      <c r="AE115" s="905"/>
      <c r="AN115" s="1352" t="str">
        <f>SUBSTITUTE(SUBSTITUTE(SUBSTITUTE("dpc"&amp;$B115&amp;$C115&amp;$D115&amp;$E115&amp;$F115,".","_"),"(","_"),")","")</f>
        <v>dpc802_5_1</v>
      </c>
      <c r="AO115" s="1352">
        <f ca="1">O115</f>
        <v>16</v>
      </c>
      <c r="AP115" s="1352" t="str">
        <f>SUBSTITUTE(SUBSTITUTE(SUBSTITUTE("dch"&amp;$B115&amp;$C115&amp;$D115&amp;$E115&amp;$F115,".","_"),"(","_"),")","")</f>
        <v>dch802_5_1</v>
      </c>
      <c r="AQ115" s="1352" t="str">
        <f>IF(LEN(W115)=0,"",W115)</f>
        <v>2 fixtures</v>
      </c>
      <c r="AR115" s="1352" t="str">
        <f>SUBSTITUTE(SUBSTITUTE(SUBSTITUTE("dnt"&amp;$B115&amp;$C115&amp;$D115&amp;$E115&amp;$F115,".","_"),"(","_"),")","")</f>
        <v>dnt802_5_1</v>
      </c>
      <c r="AS115" s="1352" t="str">
        <f>IF(LEN(X115)=0,"",X115)</f>
        <v/>
      </c>
      <c r="AX115" s="879"/>
    </row>
    <row r="116" spans="2:50" x14ac:dyDescent="0.2">
      <c r="B116" s="600" t="s">
        <v>4644</v>
      </c>
      <c r="C116" s="858"/>
      <c r="D116" s="858"/>
      <c r="E116" s="600"/>
      <c r="F116" s="23"/>
      <c r="G116" s="23"/>
      <c r="H116" s="691"/>
      <c r="I116" s="589"/>
      <c r="J116" s="873"/>
      <c r="K116" s="873"/>
      <c r="L116" s="1687"/>
      <c r="M116"/>
      <c r="N116" s="129"/>
      <c r="O116" s="1669"/>
      <c r="S116" s="1">
        <f ca="1">IFERROR(MATCH(W115,INDIRECT(U115),0),0)</f>
        <v>2</v>
      </c>
      <c r="U116" s="991"/>
      <c r="X116" s="1600"/>
      <c r="AX116" s="879"/>
    </row>
    <row r="117" spans="2:50" x14ac:dyDescent="0.2">
      <c r="B117" s="600" t="s">
        <v>4644</v>
      </c>
      <c r="C117" s="858" t="s">
        <v>3921</v>
      </c>
      <c r="D117" s="858"/>
      <c r="E117" s="600"/>
      <c r="F117" s="23"/>
      <c r="G117" s="23"/>
      <c r="H117" s="691"/>
      <c r="I117" s="589"/>
      <c r="J117" s="873"/>
      <c r="K117" s="873"/>
      <c r="L117" s="1687"/>
      <c r="M117"/>
      <c r="N117" s="129"/>
      <c r="O117" s="1669"/>
      <c r="P117" s="96" t="b">
        <v>0</v>
      </c>
      <c r="Q117" s="881" t="b">
        <v>1</v>
      </c>
      <c r="R117" s="173" t="b">
        <v>0</v>
      </c>
      <c r="S117" s="173" t="b">
        <f ca="1">AND(LEN(W115)&gt;0,S14=1)</f>
        <v>1</v>
      </c>
      <c r="T117" s="96" t="b">
        <f ca="1">IF(AND(NOT(S117),LEN(W117)&gt;0),TRUE,FALSE)</f>
        <v>0</v>
      </c>
      <c r="U117" s="991" t="str">
        <f>SUBSTITUTE(SUBSTITUTE(SUBSTITUTE("dd"&amp;B117&amp;C117&amp;D117&amp;E117&amp;F117,".","_"),"(","_"),")","")</f>
        <v>dd802_5_1_1</v>
      </c>
      <c r="V117" s="173"/>
      <c r="W117" s="12" t="s">
        <v>263</v>
      </c>
      <c r="X117" s="1600"/>
      <c r="AC117" s="905" t="b">
        <f ca="1">OR(AD117:AE117)</f>
        <v>0</v>
      </c>
      <c r="AD117" s="905" t="b">
        <f ca="1">T117</f>
        <v>0</v>
      </c>
      <c r="AE117" s="905"/>
      <c r="AP117" s="1352" t="str">
        <f>SUBSTITUTE(SUBSTITUTE(SUBSTITUTE("dch"&amp;$B117&amp;$C117&amp;$D117&amp;$E117&amp;$F117,".","_"),"(","_"),")","")</f>
        <v>dch802_5_1_1</v>
      </c>
      <c r="AQ117" s="1352" t="str">
        <f>IF(LEN(W117)=0,"",W117)</f>
        <v>(5)</v>
      </c>
      <c r="AX117" s="879"/>
    </row>
    <row r="118" spans="2:50" ht="15" customHeight="1" x14ac:dyDescent="0.2">
      <c r="B118" s="600" t="s">
        <v>4644</v>
      </c>
      <c r="C118" s="858" t="s">
        <v>254</v>
      </c>
      <c r="D118" s="858"/>
      <c r="E118" s="600"/>
      <c r="F118" s="23"/>
      <c r="G118" s="23"/>
      <c r="H118" s="691"/>
      <c r="I118" s="589"/>
      <c r="J118" s="1068" t="s">
        <v>254</v>
      </c>
      <c r="K118" s="1068"/>
      <c r="L118" s="917" t="s">
        <v>4548</v>
      </c>
      <c r="M118" s="1623" t="s">
        <v>4699</v>
      </c>
      <c r="N118" s="129"/>
      <c r="O118" s="908"/>
      <c r="S118" s="1">
        <f ca="1">MIN(2,(IFERROR(MATCH(W117,INDIRECT(U117),0),0)))</f>
        <v>2</v>
      </c>
      <c r="U118" s="991"/>
      <c r="X118" s="1600"/>
      <c r="AL118" s="1352" t="str">
        <f>SUBSTITUTE(SUBSTITUTE(SUBSTITUTE("dpa"&amp;$B118&amp;$C118&amp;$D118&amp;$E118&amp;$F118,".","_"),"(","_"),")","")</f>
        <v>dpa802_5_1_1</v>
      </c>
      <c r="AM118" s="1352" t="str">
        <f>M118</f>
        <v>1 [3 max*]</v>
      </c>
      <c r="AX118" s="879"/>
    </row>
    <row r="119" spans="2:50" ht="15" customHeight="1" x14ac:dyDescent="0.2">
      <c r="B119" s="600" t="s">
        <v>4644</v>
      </c>
      <c r="C119" s="858" t="s">
        <v>254</v>
      </c>
      <c r="D119" s="858"/>
      <c r="E119" s="600"/>
      <c r="F119" s="23"/>
      <c r="G119" s="23"/>
      <c r="H119" s="691"/>
      <c r="I119" s="589"/>
      <c r="J119" s="1068"/>
      <c r="K119" s="1068"/>
      <c r="L119" s="1745" t="s">
        <v>4549</v>
      </c>
      <c r="M119" s="1623"/>
      <c r="N119" s="129"/>
      <c r="O119"/>
      <c r="U119" s="991"/>
      <c r="X119" s="1600"/>
      <c r="AX119" s="879"/>
    </row>
    <row r="120" spans="2:50" x14ac:dyDescent="0.2">
      <c r="B120" s="600" t="s">
        <v>4644</v>
      </c>
      <c r="C120" s="858" t="s">
        <v>254</v>
      </c>
      <c r="D120" s="858"/>
      <c r="E120" s="600"/>
      <c r="F120" s="23"/>
      <c r="G120" s="23"/>
      <c r="H120" s="691"/>
      <c r="I120" s="589"/>
      <c r="J120" s="1068"/>
      <c r="K120" s="1068"/>
      <c r="L120" s="1745"/>
      <c r="M120" s="1623"/>
      <c r="N120" s="129"/>
      <c r="O120"/>
      <c r="U120" s="991"/>
      <c r="X120" s="1600"/>
      <c r="AX120" s="879"/>
    </row>
    <row r="121" spans="2:50" ht="15" customHeight="1" x14ac:dyDescent="0.2">
      <c r="B121" s="600" t="s">
        <v>4644</v>
      </c>
      <c r="C121" s="858" t="s">
        <v>254</v>
      </c>
      <c r="D121" s="858"/>
      <c r="E121" s="600"/>
      <c r="F121" s="23"/>
      <c r="G121" s="23"/>
      <c r="H121" s="691"/>
      <c r="I121" s="589"/>
      <c r="J121" s="1072"/>
      <c r="K121" s="1072"/>
      <c r="L121" s="1760"/>
      <c r="M121" s="1624"/>
      <c r="N121" s="129"/>
      <c r="O121" s="886"/>
      <c r="P121" s="96"/>
      <c r="R121" s="96"/>
      <c r="S121" s="96"/>
      <c r="T121" s="96"/>
      <c r="U121" s="991"/>
      <c r="V121" s="96"/>
      <c r="W121"/>
      <c r="X121" s="1600"/>
      <c r="AX121" s="879"/>
    </row>
    <row r="122" spans="2:50" x14ac:dyDescent="0.2">
      <c r="B122" s="600" t="s">
        <v>4644</v>
      </c>
      <c r="C122" s="858" t="s">
        <v>255</v>
      </c>
      <c r="D122" s="858"/>
      <c r="E122" s="600"/>
      <c r="F122" s="23"/>
      <c r="G122" s="23"/>
      <c r="H122" s="691"/>
      <c r="I122" s="589"/>
      <c r="J122" s="1074" t="s">
        <v>255</v>
      </c>
      <c r="K122" s="1074"/>
      <c r="L122" s="1075" t="s">
        <v>4550</v>
      </c>
      <c r="M122" s="379" t="s">
        <v>4700</v>
      </c>
      <c r="N122" s="129"/>
      <c r="O122" s="886"/>
      <c r="P122" s="96"/>
      <c r="R122" s="96"/>
      <c r="S122" s="96"/>
      <c r="T122" s="96"/>
      <c r="U122" s="991"/>
      <c r="V122" s="96"/>
      <c r="W122"/>
      <c r="X122" s="1600"/>
      <c r="AL122" s="1352" t="str">
        <f>SUBSTITUTE(SUBSTITUTE(SUBSTITUTE("dpa"&amp;$B122&amp;$C122&amp;$D122&amp;$E122&amp;$F122,".","_"),"(","_"),")","")</f>
        <v>dpa802_5_1_2</v>
      </c>
      <c r="AM122" s="1352" t="str">
        <f>M122</f>
        <v>2 [6 max*]</v>
      </c>
      <c r="AX122" s="879"/>
    </row>
    <row r="123" spans="2:50" x14ac:dyDescent="0.2">
      <c r="B123" s="600" t="s">
        <v>4644</v>
      </c>
      <c r="C123" s="858" t="s">
        <v>256</v>
      </c>
      <c r="D123" s="858"/>
      <c r="E123" s="600"/>
      <c r="F123" s="23"/>
      <c r="G123" s="23"/>
      <c r="H123" s="691"/>
      <c r="I123" s="589"/>
      <c r="J123" s="1074" t="s">
        <v>256</v>
      </c>
      <c r="K123" s="1074"/>
      <c r="L123" s="1075" t="s">
        <v>4551</v>
      </c>
      <c r="M123" s="379" t="s">
        <v>4663</v>
      </c>
      <c r="N123" s="129"/>
      <c r="O123" s="886"/>
      <c r="P123" s="96"/>
      <c r="R123" s="96"/>
      <c r="S123" s="96"/>
      <c r="T123" s="96"/>
      <c r="U123" s="991"/>
      <c r="V123" s="96"/>
      <c r="W123"/>
      <c r="X123" s="1600"/>
      <c r="AL123" s="1352" t="str">
        <f>SUBSTITUTE(SUBSTITUTE(SUBSTITUTE("dpa"&amp;$B123&amp;$C123&amp;$D123&amp;$E123&amp;$F123,".","_"),"(","_"),")","")</f>
        <v>dpa802_5_1_3</v>
      </c>
      <c r="AM123" s="1352" t="str">
        <f>M123</f>
        <v xml:space="preserve">6 Additional </v>
      </c>
      <c r="AX123" s="879"/>
    </row>
    <row r="124" spans="2:50" ht="15" customHeight="1" x14ac:dyDescent="0.2">
      <c r="B124" s="600" t="s">
        <v>4644</v>
      </c>
      <c r="C124" s="858" t="s">
        <v>259</v>
      </c>
      <c r="D124" s="858"/>
      <c r="E124" s="600"/>
      <c r="F124" s="23"/>
      <c r="G124" s="23"/>
      <c r="H124" s="691"/>
      <c r="I124" s="589"/>
      <c r="J124" s="1073" t="s">
        <v>259</v>
      </c>
      <c r="K124" s="1073"/>
      <c r="L124" s="1633" t="s">
        <v>4552</v>
      </c>
      <c r="M124" s="921" t="s">
        <v>4701</v>
      </c>
      <c r="N124" s="129"/>
      <c r="O124" s="886"/>
      <c r="P124" s="96"/>
      <c r="R124" s="96"/>
      <c r="S124" s="96"/>
      <c r="T124" s="96"/>
      <c r="U124" s="991"/>
      <c r="V124" s="96"/>
      <c r="W124"/>
      <c r="X124" s="1600"/>
      <c r="AL124" s="1352" t="str">
        <f>SUBSTITUTE(SUBSTITUTE(SUBSTITUTE("dpa"&amp;$B124&amp;$C124&amp;$D124&amp;$E124&amp;$F124,".","_"),"(","_"),")","")</f>
        <v>dpa802_5_1_4</v>
      </c>
      <c r="AM124" s="1352" t="str">
        <f>M124</f>
        <v xml:space="preserve">8 Additional </v>
      </c>
      <c r="AX124" s="879"/>
    </row>
    <row r="125" spans="2:50" x14ac:dyDescent="0.2">
      <c r="B125" s="600" t="s">
        <v>4644</v>
      </c>
      <c r="C125" s="858" t="s">
        <v>259</v>
      </c>
      <c r="D125" s="858"/>
      <c r="E125" s="600"/>
      <c r="F125" s="23"/>
      <c r="G125" s="23"/>
      <c r="H125" s="691"/>
      <c r="I125" s="589"/>
      <c r="J125" s="1072"/>
      <c r="K125" s="1072"/>
      <c r="L125" s="1639"/>
      <c r="M125" s="937"/>
      <c r="N125" s="129"/>
      <c r="O125" s="886"/>
      <c r="P125" s="96"/>
      <c r="R125" s="96"/>
      <c r="S125" s="96"/>
      <c r="T125" s="96"/>
      <c r="U125" s="991"/>
      <c r="V125" s="96"/>
      <c r="W125"/>
      <c r="X125" s="1600"/>
      <c r="AX125" s="879"/>
    </row>
    <row r="126" spans="2:50" ht="15" customHeight="1" x14ac:dyDescent="0.2">
      <c r="B126" s="600" t="s">
        <v>4644</v>
      </c>
      <c r="C126" s="858" t="s">
        <v>263</v>
      </c>
      <c r="D126" s="858"/>
      <c r="E126" s="600"/>
      <c r="F126" s="23"/>
      <c r="G126" s="23"/>
      <c r="H126" s="691"/>
      <c r="I126" s="606"/>
      <c r="J126" s="1072" t="s">
        <v>263</v>
      </c>
      <c r="K126" s="1072"/>
      <c r="L126" s="923" t="s">
        <v>4553</v>
      </c>
      <c r="M126" s="937" t="s">
        <v>4702</v>
      </c>
      <c r="N126" s="213"/>
      <c r="O126" s="909"/>
      <c r="P126" s="173"/>
      <c r="Q126" s="173"/>
      <c r="R126" s="173"/>
      <c r="S126" s="173"/>
      <c r="T126" s="173"/>
      <c r="U126" s="173"/>
      <c r="V126" s="173"/>
      <c r="W126" s="818"/>
      <c r="X126" s="1600"/>
      <c r="AL126" s="1352" t="str">
        <f>SUBSTITUTE(SUBSTITUTE(SUBSTITUTE("dpa"&amp;$B126&amp;$C126&amp;$D126&amp;$E126&amp;$F126,".","_"),"(","_"),")","")</f>
        <v>dpa802_5_1_5</v>
      </c>
      <c r="AM126" s="1352" t="str">
        <f>M126</f>
        <v xml:space="preserve">12 Additional </v>
      </c>
      <c r="AX126" s="879"/>
    </row>
    <row r="127" spans="2:50" x14ac:dyDescent="0.2">
      <c r="B127" s="600" t="s">
        <v>4645</v>
      </c>
      <c r="C127" s="858"/>
      <c r="D127" s="858"/>
      <c r="E127" s="600"/>
      <c r="F127" s="23"/>
      <c r="G127" s="23"/>
      <c r="H127" s="691"/>
      <c r="I127" s="589" t="s">
        <v>4554</v>
      </c>
      <c r="J127" s="873"/>
      <c r="K127" s="873"/>
      <c r="L127" s="1687" t="s">
        <v>4555</v>
      </c>
      <c r="M127" s="579"/>
      <c r="N127" s="129"/>
      <c r="O127" s="1619">
        <f ca="1">IFERROR(INDEX({3,4},MATCH(W127,INDIRECT(U127),0)),0)*S127</f>
        <v>3</v>
      </c>
      <c r="P127" s="96" t="b">
        <v>0</v>
      </c>
      <c r="Q127" s="881" t="b">
        <v>1</v>
      </c>
      <c r="R127" s="96" t="b">
        <v>0</v>
      </c>
      <c r="S127" s="464" t="b">
        <f ca="1">S14=1</f>
        <v>1</v>
      </c>
      <c r="T127" s="991" t="b">
        <f ca="1">IF(AND(NOT(S127),LEN(W127)&gt;0),TRUE,FALSE)</f>
        <v>0</v>
      </c>
      <c r="U127" s="991" t="str">
        <f>SUBSTITUTE(SUBSTITUTE(SUBSTITUTE("dd"&amp;B127&amp;C127&amp;D127&amp;E127&amp;F127,".","_"),"(","_"),")","")</f>
        <v>dd802_5_2</v>
      </c>
      <c r="V127" s="96"/>
      <c r="W127" s="269" t="s">
        <v>254</v>
      </c>
      <c r="X127" s="1600"/>
      <c r="AC127" s="905" t="b">
        <f ca="1">OR(AD127:AE127)</f>
        <v>0</v>
      </c>
      <c r="AD127" s="905" t="b">
        <f ca="1">T127</f>
        <v>0</v>
      </c>
      <c r="AE127" s="905"/>
      <c r="AN127" s="1352" t="str">
        <f>SUBSTITUTE(SUBSTITUTE(SUBSTITUTE("dpc"&amp;$B127&amp;$C127&amp;$D127&amp;$E127&amp;$F127,".","_"),"(","_"),")","")</f>
        <v>dpc802_5_2</v>
      </c>
      <c r="AO127" s="1352">
        <f ca="1">O127</f>
        <v>3</v>
      </c>
      <c r="AP127" s="1352" t="str">
        <f>SUBSTITUTE(SUBSTITUTE(SUBSTITUTE("dch"&amp;$B127&amp;$C127&amp;$D127&amp;$E127&amp;$F127,".","_"),"(","_"),")","")</f>
        <v>dch802_5_2</v>
      </c>
      <c r="AQ127" s="1352" t="str">
        <f>IF(LEN(W127)=0,"",W127)</f>
        <v>(1)</v>
      </c>
      <c r="AR127" s="1352" t="str">
        <f>SUBSTITUTE(SUBSTITUTE(SUBSTITUTE("dnt"&amp;$B127&amp;$C127&amp;$D127&amp;$E127&amp;$F127,".","_"),"(","_"),")","")</f>
        <v>dnt802_5_2</v>
      </c>
      <c r="AS127" s="1352" t="str">
        <f>IF(LEN(X127)=0,"",X127)</f>
        <v/>
      </c>
      <c r="AX127" s="879"/>
    </row>
    <row r="128" spans="2:50" x14ac:dyDescent="0.2">
      <c r="B128" s="600" t="s">
        <v>4645</v>
      </c>
      <c r="C128" s="858"/>
      <c r="D128" s="858"/>
      <c r="E128" s="600"/>
      <c r="F128" s="23"/>
      <c r="G128" s="23"/>
      <c r="H128" s="691"/>
      <c r="I128" s="589"/>
      <c r="J128" s="873"/>
      <c r="K128" s="873"/>
      <c r="L128" s="1687"/>
      <c r="M128" s="881"/>
      <c r="O128" s="1619"/>
      <c r="X128" s="1600"/>
      <c r="AX128" s="879"/>
    </row>
    <row r="129" spans="2:50" x14ac:dyDescent="0.2">
      <c r="B129" s="600" t="s">
        <v>4645</v>
      </c>
      <c r="C129" s="858"/>
      <c r="D129" s="858"/>
      <c r="E129" s="600"/>
      <c r="F129" s="23"/>
      <c r="G129" s="23"/>
      <c r="H129" s="691"/>
      <c r="I129" s="589"/>
      <c r="J129" s="873"/>
      <c r="K129" s="873"/>
      <c r="L129" s="1687"/>
      <c r="M129" s="881"/>
      <c r="O129" s="1619"/>
      <c r="X129" s="1600"/>
      <c r="AX129" s="879"/>
    </row>
    <row r="130" spans="2:50" x14ac:dyDescent="0.2">
      <c r="B130" s="600" t="s">
        <v>4645</v>
      </c>
      <c r="C130" s="858" t="s">
        <v>254</v>
      </c>
      <c r="D130" s="858"/>
      <c r="E130" s="600"/>
      <c r="F130" s="23"/>
      <c r="G130" s="23"/>
      <c r="H130" s="691"/>
      <c r="I130" s="589"/>
      <c r="J130" s="1072" t="s">
        <v>254</v>
      </c>
      <c r="K130" s="1072"/>
      <c r="L130" s="923" t="s">
        <v>4556</v>
      </c>
      <c r="M130" s="937">
        <v>3</v>
      </c>
      <c r="N130" s="129"/>
      <c r="O130" s="886"/>
      <c r="P130" s="96"/>
      <c r="R130" s="96"/>
      <c r="S130" s="96"/>
      <c r="T130" s="96"/>
      <c r="U130" s="96"/>
      <c r="V130" s="96"/>
      <c r="W130"/>
      <c r="X130" s="1600"/>
      <c r="AL130" s="1352" t="str">
        <f>SUBSTITUTE(SUBSTITUTE(SUBSTITUTE("dpa"&amp;$B130&amp;$C130&amp;$D130&amp;$E130&amp;$F130,".","_"),"(","_"),")","")</f>
        <v>dpa802_5_2_1</v>
      </c>
      <c r="AM130" s="1352">
        <f>M130</f>
        <v>3</v>
      </c>
      <c r="AX130" s="879"/>
    </row>
    <row r="131" spans="2:50" x14ac:dyDescent="0.2">
      <c r="B131" s="600" t="s">
        <v>4645</v>
      </c>
      <c r="C131" s="858" t="s">
        <v>255</v>
      </c>
      <c r="D131" s="858"/>
      <c r="E131" s="600"/>
      <c r="F131" s="23"/>
      <c r="G131" s="23"/>
      <c r="H131" s="691"/>
      <c r="I131" s="606"/>
      <c r="J131" s="1072" t="s">
        <v>255</v>
      </c>
      <c r="K131" s="1072"/>
      <c r="L131" s="923" t="s">
        <v>4557</v>
      </c>
      <c r="M131" s="937" t="s">
        <v>4668</v>
      </c>
      <c r="O131" s="173"/>
      <c r="U131" s="991"/>
      <c r="X131" s="1600"/>
      <c r="AL131" s="1352" t="str">
        <f>SUBSTITUTE(SUBSTITUTE(SUBSTITUTE("dpa"&amp;$B131&amp;$C131&amp;$D131&amp;$E131&amp;$F131,".","_"),"(","_"),")","")</f>
        <v>dpa802_5_2_2</v>
      </c>
      <c r="AM131" s="1352" t="str">
        <f>M131</f>
        <v>1 Additional</v>
      </c>
      <c r="AX131" s="879"/>
    </row>
    <row r="132" spans="2:50" x14ac:dyDescent="0.2">
      <c r="B132" s="600" t="s">
        <v>4646</v>
      </c>
      <c r="C132" s="858"/>
      <c r="D132" s="858"/>
      <c r="E132" s="600"/>
      <c r="F132" s="23"/>
      <c r="G132" s="23"/>
      <c r="H132" s="691"/>
      <c r="I132" s="590" t="s">
        <v>4558</v>
      </c>
      <c r="J132" s="1068"/>
      <c r="K132" s="1068"/>
      <c r="L132" s="1687" t="s">
        <v>4559</v>
      </c>
      <c r="M132" s="1692" t="s">
        <v>4665</v>
      </c>
      <c r="N132" s="129"/>
      <c r="O132" s="1619">
        <f ca="1">IFERROR(MATCH(W132,INDIRECT(U132),0),0)*S132</f>
        <v>0</v>
      </c>
      <c r="P132" s="96" t="b">
        <v>0</v>
      </c>
      <c r="Q132" s="881" t="b">
        <v>1</v>
      </c>
      <c r="R132" s="96" t="b">
        <v>0</v>
      </c>
      <c r="S132" s="991" t="b">
        <f ca="1">S14=1</f>
        <v>1</v>
      </c>
      <c r="T132" s="991" t="b">
        <f ca="1">IF(AND(NOT(S132),LEN(W132)&gt;0),TRUE,FALSE)</f>
        <v>0</v>
      </c>
      <c r="U132" s="991" t="str">
        <f>SUBSTITUTE(SUBSTITUTE(SUBSTITUTE("dd"&amp;B132&amp;C132&amp;D132&amp;E132&amp;F132,".","_"),"(","_"),")","")</f>
        <v>dd802_5_3</v>
      </c>
      <c r="V132" s="96"/>
      <c r="W132" s="12"/>
      <c r="X132" s="1600"/>
      <c r="AC132" s="905" t="b">
        <f ca="1">OR(AD132:AE132)</f>
        <v>0</v>
      </c>
      <c r="AD132" s="905" t="b">
        <f ca="1">T132</f>
        <v>0</v>
      </c>
      <c r="AE132" s="905"/>
      <c r="AL132" s="1352" t="str">
        <f>SUBSTITUTE(SUBSTITUTE(SUBSTITUTE("dpa"&amp;$B132&amp;$C132&amp;$D132&amp;$E132&amp;$F132,".","_"),"(","_"),")","")</f>
        <v>dpa802_5_3</v>
      </c>
      <c r="AM132" s="1352" t="str">
        <f>M132</f>
        <v>1
3 Max</v>
      </c>
      <c r="AN132" s="1352" t="str">
        <f>SUBSTITUTE(SUBSTITUTE(SUBSTITUTE("dpc"&amp;$B132&amp;$C132&amp;$D132&amp;$E132&amp;$F132,".","_"),"(","_"),")","")</f>
        <v>dpc802_5_3</v>
      </c>
      <c r="AO132" s="1352">
        <f ca="1">O132</f>
        <v>0</v>
      </c>
      <c r="AP132" s="1352" t="str">
        <f>SUBSTITUTE(SUBSTITUTE(SUBSTITUTE("dch"&amp;$B132&amp;$C132&amp;$D132&amp;$E132&amp;$F132,".","_"),"(","_"),")","")</f>
        <v>dch802_5_3</v>
      </c>
      <c r="AQ132" s="1352" t="str">
        <f>IF(LEN(W132)=0,"",W132)</f>
        <v/>
      </c>
      <c r="AR132" s="1352" t="str">
        <f>SUBSTITUTE(SUBSTITUTE(SUBSTITUTE("dnt"&amp;$B132&amp;$C132&amp;$D132&amp;$E132&amp;$F132,".","_"),"(","_"),")","")</f>
        <v>dnt802_5_3</v>
      </c>
      <c r="AS132" s="1352" t="str">
        <f>IF(LEN(X132)=0,"",X132)</f>
        <v/>
      </c>
      <c r="AX132" s="879"/>
    </row>
    <row r="133" spans="2:50" x14ac:dyDescent="0.2">
      <c r="B133" s="600" t="s">
        <v>4646</v>
      </c>
      <c r="C133" s="858"/>
      <c r="D133" s="858"/>
      <c r="E133" s="600"/>
      <c r="F133" s="23"/>
      <c r="G133" s="23"/>
      <c r="H133" s="691"/>
      <c r="I133" s="606"/>
      <c r="J133" s="1072"/>
      <c r="K133" s="1072"/>
      <c r="L133" s="1688"/>
      <c r="M133" s="1711"/>
      <c r="N133" s="213"/>
      <c r="O133" s="1620"/>
      <c r="P133" s="96"/>
      <c r="Q133" s="96"/>
      <c r="R133" s="96"/>
      <c r="S133" s="96"/>
      <c r="T133" s="96"/>
      <c r="U133" s="991"/>
      <c r="V133" s="96"/>
      <c r="W133" s="965"/>
      <c r="X133" s="1600"/>
      <c r="AX133" s="879"/>
    </row>
    <row r="134" spans="2:50" ht="15" customHeight="1" x14ac:dyDescent="0.2">
      <c r="B134" s="600" t="s">
        <v>4647</v>
      </c>
      <c r="C134" s="858"/>
      <c r="D134" s="858"/>
      <c r="E134" s="600"/>
      <c r="F134" s="23"/>
      <c r="G134" s="23"/>
      <c r="H134" s="691"/>
      <c r="I134" s="589" t="s">
        <v>4560</v>
      </c>
      <c r="J134" s="873"/>
      <c r="K134" s="873"/>
      <c r="L134" s="1687" t="s">
        <v>4854</v>
      </c>
      <c r="M134" s="890"/>
      <c r="N134" s="4"/>
      <c r="O134" s="885"/>
      <c r="U134" s="991"/>
      <c r="AX134" s="879"/>
    </row>
    <row r="135" spans="2:50" x14ac:dyDescent="0.2">
      <c r="B135" s="600" t="s">
        <v>4647</v>
      </c>
      <c r="C135" s="858"/>
      <c r="D135" s="858"/>
      <c r="E135" s="600"/>
      <c r="F135" s="23"/>
      <c r="G135" s="23"/>
      <c r="H135" s="691"/>
      <c r="I135" s="589"/>
      <c r="J135" s="873"/>
      <c r="K135" s="873"/>
      <c r="L135" s="1687"/>
      <c r="M135" s="890"/>
      <c r="N135" s="4"/>
      <c r="O135" s="885"/>
      <c r="U135" s="991"/>
      <c r="AX135" s="879"/>
    </row>
    <row r="136" spans="2:50" x14ac:dyDescent="0.2">
      <c r="B136" s="600" t="s">
        <v>4647</v>
      </c>
      <c r="C136" s="858" t="s">
        <v>254</v>
      </c>
      <c r="D136" s="858"/>
      <c r="E136" s="600"/>
      <c r="F136" s="23"/>
      <c r="G136" s="23"/>
      <c r="H136" s="691"/>
      <c r="I136" s="589"/>
      <c r="J136" s="1068" t="s">
        <v>254</v>
      </c>
      <c r="K136" s="1068"/>
      <c r="L136" s="1634" t="s">
        <v>4703</v>
      </c>
      <c r="M136" s="1764" t="str">
        <f ca="1">IF(O145&gt;0,"Met","Gold/Emerald not available")</f>
        <v>Met</v>
      </c>
      <c r="N136" s="129"/>
      <c r="O136" s="886"/>
      <c r="U136" s="991"/>
      <c r="X136" s="1600"/>
      <c r="AL136" s="1352" t="str">
        <f>SUBSTITUTE(SUBSTITUTE(SUBSTITUTE("dpa"&amp;$B136&amp;$C136&amp;$D136&amp;$E136&amp;$F136,".","_"),"(","_"),")","")</f>
        <v>dpa802_5_4_1</v>
      </c>
      <c r="AM136" s="1352" t="str">
        <f ca="1">M136</f>
        <v>Met</v>
      </c>
      <c r="AR136" s="1352" t="str">
        <f>SUBSTITUTE(SUBSTITUTE(SUBSTITUTE("dnt"&amp;$B136&amp;$C136&amp;$D136&amp;$E136&amp;$F136,".","_"),"(","_"),")","")</f>
        <v>dnt802_5_4_1</v>
      </c>
      <c r="AS136" s="1352" t="str">
        <f>IF(LEN(X136)=0,"",X136)</f>
        <v/>
      </c>
      <c r="AX136" s="879"/>
    </row>
    <row r="137" spans="2:50" x14ac:dyDescent="0.2">
      <c r="B137" s="600" t="s">
        <v>4647</v>
      </c>
      <c r="C137" s="858" t="s">
        <v>254</v>
      </c>
      <c r="D137" s="858"/>
      <c r="E137" s="600"/>
      <c r="F137" s="23"/>
      <c r="G137" s="23"/>
      <c r="H137" s="691"/>
      <c r="I137" s="589"/>
      <c r="J137" s="1072"/>
      <c r="K137" s="1072"/>
      <c r="L137" s="1639"/>
      <c r="M137" s="1765"/>
      <c r="N137" s="213"/>
      <c r="O137" s="888"/>
      <c r="P137" s="96"/>
      <c r="Q137" s="96"/>
      <c r="R137" s="96"/>
      <c r="S137" s="96"/>
      <c r="T137" s="96"/>
      <c r="U137" s="991"/>
      <c r="V137" s="96"/>
      <c r="W137" s="96"/>
      <c r="X137" s="1600"/>
      <c r="AX137" s="879"/>
    </row>
    <row r="138" spans="2:50" x14ac:dyDescent="0.2">
      <c r="B138" s="600" t="s">
        <v>4647</v>
      </c>
      <c r="C138" s="858" t="s">
        <v>255</v>
      </c>
      <c r="D138" s="858"/>
      <c r="E138" s="600"/>
      <c r="F138" s="23"/>
      <c r="G138" s="23"/>
      <c r="H138" s="691"/>
      <c r="I138" s="589"/>
      <c r="J138" s="1073" t="s">
        <v>255</v>
      </c>
      <c r="K138" s="1073"/>
      <c r="L138" s="1633" t="s">
        <v>5083</v>
      </c>
      <c r="M138" s="1722" t="s">
        <v>4666</v>
      </c>
      <c r="N138" s="4"/>
      <c r="O138" s="1669">
        <f ca="1">IFERROR(2*MATCH(W138,INDIRECT(U138),0),0)*S138</f>
        <v>4</v>
      </c>
      <c r="P138" s="96" t="b">
        <v>0</v>
      </c>
      <c r="Q138" s="881" t="b">
        <v>1</v>
      </c>
      <c r="R138" s="881" t="b">
        <v>0</v>
      </c>
      <c r="S138" s="905" t="b">
        <f ca="1">S14=1</f>
        <v>1</v>
      </c>
      <c r="T138" s="96" t="b">
        <f ca="1">IF(AND(NOT(S138),LEN(W138)&gt;0),TRUE,FALSE)</f>
        <v>0</v>
      </c>
      <c r="U138" s="991" t="str">
        <f>SUBSTITUTE(SUBSTITUTE(SUBSTITUTE("dd"&amp;B138&amp;C138&amp;D138&amp;E138&amp;F138,".","_"),"(","_"),")","")</f>
        <v>dd802_5_4_2</v>
      </c>
      <c r="W138" s="12" t="s">
        <v>4688</v>
      </c>
      <c r="X138" s="1600"/>
      <c r="AC138" s="905" t="b">
        <f ca="1">OR(AD138:AE138)</f>
        <v>0</v>
      </c>
      <c r="AD138" s="905" t="b">
        <f ca="1">T138</f>
        <v>0</v>
      </c>
      <c r="AE138" s="905"/>
      <c r="AL138" s="1352" t="str">
        <f>SUBSTITUTE(SUBSTITUTE(SUBSTITUTE("dpa"&amp;$B138&amp;$C138&amp;$D138&amp;$E138&amp;$F138,".","_"),"(","_"),")","")</f>
        <v>dpa802_5_4_2</v>
      </c>
      <c r="AM138" s="1352" t="str">
        <f>M138</f>
        <v>2 
6 Max</v>
      </c>
      <c r="AN138" s="1352" t="str">
        <f>SUBSTITUTE(SUBSTITUTE(SUBSTITUTE("dpc"&amp;$B138&amp;$C138&amp;$D138&amp;$E138&amp;$F138,".","_"),"(","_"),")","")</f>
        <v>dpc802_5_4_2</v>
      </c>
      <c r="AO138" s="1352">
        <f ca="1">O138</f>
        <v>4</v>
      </c>
      <c r="AP138" s="1352" t="str">
        <f>SUBSTITUTE(SUBSTITUTE(SUBSTITUTE("dch"&amp;$B138&amp;$C138&amp;$D138&amp;$E138&amp;$F138,".","_"),"(","_"),")","")</f>
        <v>dch802_5_4_2</v>
      </c>
      <c r="AQ138" s="1352" t="str">
        <f>IF(LEN(W138)=0,"",W138)</f>
        <v>2 fixtures</v>
      </c>
      <c r="AR138" s="1352" t="str">
        <f>SUBSTITUTE(SUBSTITUTE(SUBSTITUTE("dnt"&amp;$B138&amp;$C138&amp;$D138&amp;$E138&amp;$F138,".","_"),"(","_"),")","")</f>
        <v>dnt802_5_4_2</v>
      </c>
      <c r="AS138" s="1352" t="str">
        <f>IF(LEN(X138)=0,"",X138)</f>
        <v/>
      </c>
      <c r="AX138" s="879"/>
    </row>
    <row r="139" spans="2:50" ht="15" customHeight="1" x14ac:dyDescent="0.2">
      <c r="B139" s="600" t="s">
        <v>4647</v>
      </c>
      <c r="C139" s="858" t="s">
        <v>255</v>
      </c>
      <c r="D139" s="858"/>
      <c r="E139" s="600"/>
      <c r="F139" s="23"/>
      <c r="G139" s="23"/>
      <c r="H139" s="691"/>
      <c r="I139" s="589"/>
      <c r="J139" s="1068"/>
      <c r="K139" s="1068"/>
      <c r="L139" s="1634"/>
      <c r="M139" s="1722"/>
      <c r="N139" s="4"/>
      <c r="O139" s="1669"/>
      <c r="U139" s="991"/>
      <c r="X139" s="1600"/>
      <c r="AX139" s="879"/>
    </row>
    <row r="140" spans="2:50" x14ac:dyDescent="0.2">
      <c r="B140" s="600" t="s">
        <v>4647</v>
      </c>
      <c r="C140" s="858" t="s">
        <v>255</v>
      </c>
      <c r="D140" s="858"/>
      <c r="E140" s="600"/>
      <c r="F140" s="23"/>
      <c r="G140" s="23"/>
      <c r="H140" s="691"/>
      <c r="I140" s="589"/>
      <c r="J140" s="1068"/>
      <c r="K140" s="1068"/>
      <c r="L140" s="1634"/>
      <c r="M140" s="1722"/>
      <c r="N140" s="4"/>
      <c r="O140" s="1669"/>
      <c r="U140" s="991"/>
      <c r="X140" s="1600"/>
      <c r="AX140" s="879"/>
    </row>
    <row r="141" spans="2:50" ht="15" customHeight="1" x14ac:dyDescent="0.2">
      <c r="B141" s="600" t="s">
        <v>4647</v>
      </c>
      <c r="C141" s="858" t="s">
        <v>255</v>
      </c>
      <c r="D141" s="858"/>
      <c r="E141" s="600"/>
      <c r="F141" s="23"/>
      <c r="G141" s="23"/>
      <c r="H141" s="691"/>
      <c r="I141" s="589"/>
      <c r="J141" s="1068"/>
      <c r="K141" s="1068"/>
      <c r="L141" s="1634"/>
      <c r="M141" s="890"/>
      <c r="N141" s="4"/>
      <c r="O141" s="885"/>
      <c r="U141" s="991"/>
      <c r="X141" s="1600"/>
      <c r="AX141" s="879"/>
    </row>
    <row r="142" spans="2:50" x14ac:dyDescent="0.2">
      <c r="B142" s="600" t="s">
        <v>4647</v>
      </c>
      <c r="C142" s="858" t="s">
        <v>255</v>
      </c>
      <c r="D142" s="858"/>
      <c r="E142" s="600"/>
      <c r="F142" s="23"/>
      <c r="G142" s="23"/>
      <c r="H142" s="691"/>
      <c r="I142" s="589"/>
      <c r="J142" s="1068"/>
      <c r="K142" s="1068"/>
      <c r="L142" s="1634"/>
      <c r="M142" s="890"/>
      <c r="N142" s="4"/>
      <c r="O142" s="885"/>
      <c r="U142" s="991"/>
      <c r="X142" s="1600"/>
      <c r="AX142" s="879"/>
    </row>
    <row r="143" spans="2:50" x14ac:dyDescent="0.2">
      <c r="B143" s="600" t="s">
        <v>4647</v>
      </c>
      <c r="C143" s="858" t="s">
        <v>255</v>
      </c>
      <c r="D143" s="858"/>
      <c r="E143" s="600"/>
      <c r="F143" s="23"/>
      <c r="G143" s="23"/>
      <c r="H143" s="691"/>
      <c r="I143" s="589"/>
      <c r="J143" s="1068"/>
      <c r="K143" s="1068"/>
      <c r="L143" s="1634"/>
      <c r="M143" s="890"/>
      <c r="N143" s="4"/>
      <c r="O143" s="885"/>
      <c r="U143" s="991"/>
      <c r="X143" s="1600"/>
      <c r="AX143" s="879"/>
    </row>
    <row r="144" spans="2:50" ht="15" customHeight="1" x14ac:dyDescent="0.2">
      <c r="B144" s="600" t="s">
        <v>4647</v>
      </c>
      <c r="C144" s="858" t="s">
        <v>255</v>
      </c>
      <c r="D144" s="858"/>
      <c r="E144" s="600"/>
      <c r="F144" s="23"/>
      <c r="G144" s="23"/>
      <c r="H144" s="691"/>
      <c r="I144" s="589"/>
      <c r="J144" s="1072"/>
      <c r="K144" s="1072"/>
      <c r="L144" s="1639"/>
      <c r="M144" s="883"/>
      <c r="N144" s="4"/>
      <c r="O144" s="888"/>
      <c r="U144" s="991"/>
      <c r="X144" s="1600"/>
      <c r="AX144" s="879"/>
    </row>
    <row r="145" spans="2:50" x14ac:dyDescent="0.2">
      <c r="B145" s="600" t="s">
        <v>4647</v>
      </c>
      <c r="C145" s="858" t="s">
        <v>256</v>
      </c>
      <c r="D145" s="858"/>
      <c r="E145" s="600"/>
      <c r="F145" s="23"/>
      <c r="G145" s="23"/>
      <c r="H145" s="691"/>
      <c r="I145" s="589"/>
      <c r="J145" s="1072" t="s">
        <v>256</v>
      </c>
      <c r="K145" s="1072"/>
      <c r="L145" s="923" t="s">
        <v>4855</v>
      </c>
      <c r="M145" s="998">
        <f ca="1">11-O138</f>
        <v>7</v>
      </c>
      <c r="N145" s="213"/>
      <c r="O145" s="888">
        <f ca="1">M145*W145*S145</f>
        <v>7</v>
      </c>
      <c r="P145" s="96" t="b">
        <v>0</v>
      </c>
      <c r="Q145" s="881" t="b">
        <v>1</v>
      </c>
      <c r="R145" s="881" t="b">
        <v>0</v>
      </c>
      <c r="S145" s="881" t="b">
        <f ca="1">AND(LEN(W138)&gt;0,S14=1)</f>
        <v>1</v>
      </c>
      <c r="T145" s="96" t="b">
        <f ca="1">IF(AND(NOT(S145),W145=TRUE),TRUE,FALSE)</f>
        <v>0</v>
      </c>
      <c r="U145" s="991"/>
      <c r="W145" s="27" t="b">
        <v>1</v>
      </c>
      <c r="X145" s="906"/>
      <c r="AC145" s="905" t="b">
        <f ca="1">OR(AD145:AE145)</f>
        <v>0</v>
      </c>
      <c r="AD145" s="905" t="b">
        <f ca="1">T145</f>
        <v>0</v>
      </c>
      <c r="AE145" s="905"/>
      <c r="AL145" s="1352" t="str">
        <f>SUBSTITUTE(SUBSTITUTE(SUBSTITUTE("dpa"&amp;$B145&amp;$C145&amp;$D145&amp;$E145&amp;$F145,".","_"),"(","_"),")","")</f>
        <v>dpa802_5_4_3</v>
      </c>
      <c r="AM145" s="1352">
        <f ca="1">M145</f>
        <v>7</v>
      </c>
      <c r="AN145" s="1352" t="str">
        <f>SUBSTITUTE(SUBSTITUTE(SUBSTITUTE("dpc"&amp;$B145&amp;$C145&amp;$D145&amp;$E145&amp;$F145,".","_"),"(","_"),")","")</f>
        <v>dpc802_5_4_3</v>
      </c>
      <c r="AO145" s="1352">
        <f ca="1">O145</f>
        <v>7</v>
      </c>
      <c r="AP145" s="1352" t="str">
        <f>SUBSTITUTE(SUBSTITUTE(SUBSTITUTE("dch"&amp;$B145&amp;$C145&amp;$D145&amp;$E145&amp;$F145,".","_"),"(","_"),")","")</f>
        <v>dch802_5_4_3</v>
      </c>
      <c r="AQ145" s="1352" t="b">
        <f>IF(LEN(W145)=0,"",W145)</f>
        <v>1</v>
      </c>
      <c r="AR145" s="1352" t="str">
        <f>SUBSTITUTE(SUBSTITUTE(SUBSTITUTE("dnt"&amp;$B145&amp;$C145&amp;$D145&amp;$E145&amp;$F145,".","_"),"(","_"),")","")</f>
        <v>dnt802_5_4_3</v>
      </c>
      <c r="AS145" s="1352" t="str">
        <f>IF(LEN(X145)=0,"",X145)</f>
        <v/>
      </c>
      <c r="AX145" s="879"/>
    </row>
    <row r="146" spans="2:50" ht="15" customHeight="1" x14ac:dyDescent="0.2">
      <c r="B146" s="600" t="s">
        <v>4647</v>
      </c>
      <c r="C146" s="858" t="s">
        <v>259</v>
      </c>
      <c r="D146" s="858"/>
      <c r="E146" s="600"/>
      <c r="F146" s="23"/>
      <c r="G146" s="23"/>
      <c r="H146" s="691"/>
      <c r="I146" s="589"/>
      <c r="J146" s="873" t="s">
        <v>259</v>
      </c>
      <c r="K146" s="873"/>
      <c r="L146" s="1634" t="s">
        <v>4856</v>
      </c>
      <c r="M146" s="890"/>
      <c r="N146" s="4"/>
      <c r="O146" s="885"/>
      <c r="U146" s="991"/>
      <c r="AX146" s="879"/>
    </row>
    <row r="147" spans="2:50" x14ac:dyDescent="0.2">
      <c r="B147" s="600" t="s">
        <v>4647</v>
      </c>
      <c r="C147" s="858" t="s">
        <v>259</v>
      </c>
      <c r="D147" s="858"/>
      <c r="E147" s="600"/>
      <c r="F147" s="23"/>
      <c r="G147" s="23"/>
      <c r="H147" s="691"/>
      <c r="I147" s="589"/>
      <c r="J147" s="873"/>
      <c r="K147" s="873"/>
      <c r="L147" s="1634"/>
      <c r="M147" s="890"/>
      <c r="N147" s="4"/>
      <c r="O147" s="885"/>
      <c r="U147" s="991"/>
      <c r="AX147" s="879"/>
    </row>
    <row r="148" spans="2:50" x14ac:dyDescent="0.2">
      <c r="B148" s="600" t="s">
        <v>4647</v>
      </c>
      <c r="C148" s="858" t="s">
        <v>259</v>
      </c>
      <c r="D148" s="858" t="s">
        <v>121</v>
      </c>
      <c r="E148" s="600"/>
      <c r="F148" s="23"/>
      <c r="G148" s="23"/>
      <c r="H148" s="691"/>
      <c r="I148" s="589"/>
      <c r="J148" s="873"/>
      <c r="K148" s="1068" t="s">
        <v>121</v>
      </c>
      <c r="L148" s="1634" t="s">
        <v>4561</v>
      </c>
      <c r="M148" s="1704" t="s">
        <v>4667</v>
      </c>
      <c r="N148" s="129"/>
      <c r="O148" s="1619">
        <f ca="1">IFERROR(MATCH(W148,INDIRECT(U148),0),0)*S148</f>
        <v>0</v>
      </c>
      <c r="P148" s="96" t="b">
        <v>0</v>
      </c>
      <c r="Q148" s="881" t="b">
        <v>1</v>
      </c>
      <c r="R148" s="881" t="b">
        <v>0</v>
      </c>
      <c r="S148" s="881" t="b">
        <f ca="1">AND(W145=TRUE,S145,S14=1)</f>
        <v>1</v>
      </c>
      <c r="T148" s="96" t="b">
        <f ca="1">IF(AND(NOT(S148),LEN(W148)&gt;0),TRUE,FALSE)</f>
        <v>0</v>
      </c>
      <c r="U148" s="991" t="str">
        <f>SUBSTITUTE(SUBSTITUTE(SUBSTITUTE("dd"&amp;B148&amp;C148&amp;D148&amp;E148&amp;F148,".","_"),"(","_"),")","")</f>
        <v>dd802_5_4_4_a</v>
      </c>
      <c r="W148" s="12"/>
      <c r="X148" s="1600"/>
      <c r="AC148" s="905" t="b">
        <f ca="1">OR(AD148:AE148)</f>
        <v>0</v>
      </c>
      <c r="AD148" s="905" t="b">
        <f ca="1">T148</f>
        <v>0</v>
      </c>
      <c r="AE148" s="905"/>
      <c r="AL148" s="1352" t="str">
        <f>SUBSTITUTE(SUBSTITUTE(SUBSTITUTE("dpa"&amp;$B148&amp;$C148&amp;$D148&amp;$E148&amp;$F148,".","_"),"(","_"),")","")</f>
        <v>dpa802_5_4_4_a</v>
      </c>
      <c r="AM148" s="1352" t="str">
        <f>M148</f>
        <v>1 Additional
3 Max</v>
      </c>
      <c r="AN148" s="1352" t="str">
        <f>SUBSTITUTE(SUBSTITUTE(SUBSTITUTE("dpc"&amp;$B148&amp;$C148&amp;$D148&amp;$E148&amp;$F148,".","_"),"(","_"),")","")</f>
        <v>dpc802_5_4_4_a</v>
      </c>
      <c r="AO148" s="1352">
        <f ca="1">O148</f>
        <v>0</v>
      </c>
      <c r="AP148" s="1352" t="str">
        <f>SUBSTITUTE(SUBSTITUTE(SUBSTITUTE("dch"&amp;$B148&amp;$C148&amp;$D148&amp;$E148&amp;$F148,".","_"),"(","_"),")","")</f>
        <v>dch802_5_4_4_a</v>
      </c>
      <c r="AQ148" s="1352" t="str">
        <f>IF(LEN(W148)=0,"",W148)</f>
        <v/>
      </c>
      <c r="AR148" s="1352" t="str">
        <f>SUBSTITUTE(SUBSTITUTE(SUBSTITUTE("dnt"&amp;$B148&amp;$C148&amp;$D148&amp;$E148&amp;$F148,".","_"),"(","_"),")","")</f>
        <v>dnt802_5_4_4_a</v>
      </c>
      <c r="AS148" s="1352" t="str">
        <f>IF(LEN(X148)=0,"",X148)</f>
        <v/>
      </c>
      <c r="AX148" s="879"/>
    </row>
    <row r="149" spans="2:50" x14ac:dyDescent="0.2">
      <c r="B149" s="600" t="s">
        <v>4647</v>
      </c>
      <c r="C149" s="858" t="s">
        <v>259</v>
      </c>
      <c r="D149" s="858" t="s">
        <v>121</v>
      </c>
      <c r="E149" s="600"/>
      <c r="F149" s="23"/>
      <c r="G149" s="23"/>
      <c r="H149" s="691"/>
      <c r="I149" s="589"/>
      <c r="J149" s="873"/>
      <c r="K149" s="1068"/>
      <c r="L149" s="1634"/>
      <c r="M149" s="1766"/>
      <c r="N149" s="129"/>
      <c r="O149" s="1619"/>
      <c r="X149" s="1600"/>
      <c r="AX149" s="879"/>
    </row>
    <row r="150" spans="2:50" x14ac:dyDescent="0.2">
      <c r="B150" s="600" t="s">
        <v>4647</v>
      </c>
      <c r="C150" s="858" t="s">
        <v>259</v>
      </c>
      <c r="D150" s="858" t="s">
        <v>121</v>
      </c>
      <c r="E150" s="600"/>
      <c r="F150" s="23"/>
      <c r="G150" s="23"/>
      <c r="H150" s="691"/>
      <c r="I150" s="589"/>
      <c r="J150" s="873"/>
      <c r="K150" s="1068"/>
      <c r="L150" s="1634"/>
      <c r="M150" s="1766"/>
      <c r="N150" s="129"/>
      <c r="O150" s="1619"/>
      <c r="X150" s="1600"/>
      <c r="AX150" s="879"/>
    </row>
    <row r="151" spans="2:50" x14ac:dyDescent="0.2">
      <c r="B151" s="600" t="s">
        <v>4647</v>
      </c>
      <c r="C151" s="858" t="s">
        <v>259</v>
      </c>
      <c r="D151" s="858" t="s">
        <v>121</v>
      </c>
      <c r="E151" s="600"/>
      <c r="F151" s="23"/>
      <c r="G151" s="23"/>
      <c r="H151" s="691"/>
      <c r="I151" s="589"/>
      <c r="J151" s="873"/>
      <c r="K151" s="1072"/>
      <c r="L151" s="1639"/>
      <c r="M151" s="1767"/>
      <c r="N151" s="213"/>
      <c r="O151" s="1620"/>
      <c r="X151" s="1600"/>
      <c r="AX151" s="879"/>
    </row>
    <row r="152" spans="2:50" ht="15" customHeight="1" x14ac:dyDescent="0.2">
      <c r="B152" s="600" t="s">
        <v>4647</v>
      </c>
      <c r="C152" s="858" t="s">
        <v>259</v>
      </c>
      <c r="D152" s="858" t="s">
        <v>122</v>
      </c>
      <c r="E152" s="600"/>
      <c r="F152" s="23"/>
      <c r="G152" s="23"/>
      <c r="H152" s="691"/>
      <c r="I152" s="589"/>
      <c r="J152" s="873"/>
      <c r="K152" s="1073" t="s">
        <v>122</v>
      </c>
      <c r="L152" s="1633" t="s">
        <v>4562</v>
      </c>
      <c r="M152" s="1623" t="s">
        <v>4668</v>
      </c>
      <c r="N152" s="129"/>
      <c r="O152" s="1619">
        <f ca="1">1*W152*S152</f>
        <v>0</v>
      </c>
      <c r="P152" s="96" t="b">
        <v>0</v>
      </c>
      <c r="Q152" s="881" t="b">
        <v>1</v>
      </c>
      <c r="R152" s="881" t="b">
        <v>0</v>
      </c>
      <c r="S152" s="881" t="b">
        <f ca="1">AND(W145=TRUE,S145,S14=1)</f>
        <v>1</v>
      </c>
      <c r="T152" s="96" t="b">
        <f ca="1">IF(AND(NOT(S152),W152=TRUE),TRUE,FALSE)</f>
        <v>0</v>
      </c>
      <c r="W152" s="27"/>
      <c r="X152" s="1600"/>
      <c r="AC152" s="905" t="b">
        <f ca="1">OR(AD152:AE152)</f>
        <v>0</v>
      </c>
      <c r="AD152" s="905" t="b">
        <f ca="1">T152</f>
        <v>0</v>
      </c>
      <c r="AE152" s="905"/>
      <c r="AL152" s="1352" t="str">
        <f>SUBSTITUTE(SUBSTITUTE(SUBSTITUTE("dpa"&amp;$B152&amp;$C152&amp;$D152&amp;$E152&amp;$F152,".","_"),"(","_"),")","")</f>
        <v>dpa802_5_4_4_b</v>
      </c>
      <c r="AM152" s="1352" t="str">
        <f>M152</f>
        <v>1 Additional</v>
      </c>
      <c r="AN152" s="1352" t="str">
        <f>SUBSTITUTE(SUBSTITUTE(SUBSTITUTE("dpc"&amp;$B152&amp;$C152&amp;$D152&amp;$E152&amp;$F152,".","_"),"(","_"),")","")</f>
        <v>dpc802_5_4_4_b</v>
      </c>
      <c r="AO152" s="1352">
        <f ca="1">O152</f>
        <v>0</v>
      </c>
      <c r="AP152" s="1352" t="str">
        <f>SUBSTITUTE(SUBSTITUTE(SUBSTITUTE("dch"&amp;$B152&amp;$C152&amp;$D152&amp;$E152&amp;$F152,".","_"),"(","_"),")","")</f>
        <v>dch802_5_4_4_b</v>
      </c>
      <c r="AQ152" s="1352" t="str">
        <f>IF(LEN(W152)=0,"",W152)</f>
        <v/>
      </c>
      <c r="AR152" s="1352" t="str">
        <f>SUBSTITUTE(SUBSTITUTE(SUBSTITUTE("dnt"&amp;$B152&amp;$C152&amp;$D152&amp;$E152&amp;$F152,".","_"),"(","_"),")","")</f>
        <v>dnt802_5_4_4_b</v>
      </c>
      <c r="AS152" s="1352" t="str">
        <f>IF(LEN(X152)=0,"",X152)</f>
        <v/>
      </c>
      <c r="AX152" s="879"/>
    </row>
    <row r="153" spans="2:50" x14ac:dyDescent="0.2">
      <c r="B153" s="600" t="s">
        <v>4647</v>
      </c>
      <c r="C153" s="858" t="s">
        <v>259</v>
      </c>
      <c r="D153" s="858" t="s">
        <v>122</v>
      </c>
      <c r="E153" s="600"/>
      <c r="F153" s="23"/>
      <c r="G153" s="23"/>
      <c r="H153" s="691"/>
      <c r="I153" s="589"/>
      <c r="J153" s="873"/>
      <c r="K153" s="1072"/>
      <c r="L153" s="1639"/>
      <c r="M153" s="1624"/>
      <c r="N153" s="213"/>
      <c r="O153" s="1620"/>
      <c r="X153" s="1600"/>
      <c r="AX153" s="879"/>
    </row>
    <row r="154" spans="2:50" ht="15" customHeight="1" thickBot="1" x14ac:dyDescent="0.25">
      <c r="B154" s="600" t="s">
        <v>4647</v>
      </c>
      <c r="C154" s="858" t="s">
        <v>259</v>
      </c>
      <c r="D154" s="858" t="s">
        <v>123</v>
      </c>
      <c r="E154" s="600"/>
      <c r="F154" s="23"/>
      <c r="G154" s="23"/>
      <c r="H154" s="691"/>
      <c r="I154" s="590"/>
      <c r="J154" s="1068"/>
      <c r="K154" s="1068" t="s">
        <v>123</v>
      </c>
      <c r="L154" s="1634" t="s">
        <v>4563</v>
      </c>
      <c r="M154" s="913" t="s">
        <v>4669</v>
      </c>
      <c r="N154" s="129"/>
      <c r="O154" s="908">
        <f ca="1">6*S154*W154</f>
        <v>0</v>
      </c>
      <c r="P154" s="991" t="b">
        <v>0</v>
      </c>
      <c r="Q154" s="991" t="b">
        <v>1</v>
      </c>
      <c r="R154" s="100" t="b">
        <v>0</v>
      </c>
      <c r="S154" s="100" t="b">
        <f ca="1">AND(W145=TRUE,S145,S14=1)</f>
        <v>1</v>
      </c>
      <c r="T154" s="100" t="b">
        <f ca="1">IF(AND(NOT(S154),W154=TRUE),TRUE,FALSE)</f>
        <v>0</v>
      </c>
      <c r="U154" s="100"/>
      <c r="V154" s="100"/>
      <c r="W154" s="333"/>
      <c r="X154" s="1601"/>
      <c r="AC154" s="905" t="b">
        <f ca="1">OR(AD154:AE154)</f>
        <v>0</v>
      </c>
      <c r="AD154" s="905" t="b">
        <f ca="1">T154</f>
        <v>0</v>
      </c>
      <c r="AE154" s="905"/>
      <c r="AL154" s="1352" t="str">
        <f>SUBSTITUTE(SUBSTITUTE(SUBSTITUTE("dpa"&amp;$B154&amp;$C154&amp;$D154&amp;$E154&amp;$F154,".","_"),"(","_"),")","")</f>
        <v>dpa802_5_4_4_c</v>
      </c>
      <c r="AM154" s="1352" t="str">
        <f>M154</f>
        <v>6 Additional</v>
      </c>
      <c r="AN154" s="1352" t="str">
        <f>SUBSTITUTE(SUBSTITUTE(SUBSTITUTE("dpc"&amp;$B154&amp;$C154&amp;$D154&amp;$E154&amp;$F154,".","_"),"(","_"),")","")</f>
        <v>dpc802_5_4_4_c</v>
      </c>
      <c r="AO154" s="1352">
        <f ca="1">O154</f>
        <v>0</v>
      </c>
      <c r="AP154" s="1352" t="str">
        <f>SUBSTITUTE(SUBSTITUTE(SUBSTITUTE("dch"&amp;$B154&amp;$C154&amp;$D154&amp;$E154&amp;$F154,".","_"),"(","_"),")","")</f>
        <v>dch802_5_4_4_c</v>
      </c>
      <c r="AQ154" s="1352" t="str">
        <f>IF(LEN(W154)=0,"",W154)</f>
        <v/>
      </c>
      <c r="AR154" s="1352" t="str">
        <f>SUBSTITUTE(SUBSTITUTE(SUBSTITUTE("dnt"&amp;$B154&amp;$C154&amp;$D154&amp;$E154&amp;$F154,".","_"),"(","_"),")","")</f>
        <v>dnt802_5_4_4_c</v>
      </c>
      <c r="AS154" s="1352" t="str">
        <f>IF(LEN(X154)=0,"",X154)</f>
        <v/>
      </c>
      <c r="AX154" s="879"/>
    </row>
    <row r="155" spans="2:50" ht="17" thickTop="1" thickBot="1" x14ac:dyDescent="0.25">
      <c r="B155" s="600" t="s">
        <v>4647</v>
      </c>
      <c r="C155" s="858" t="s">
        <v>259</v>
      </c>
      <c r="D155" s="858" t="s">
        <v>123</v>
      </c>
      <c r="E155" s="600"/>
      <c r="F155" s="23"/>
      <c r="G155" s="23"/>
      <c r="H155" s="691"/>
      <c r="I155" s="594"/>
      <c r="J155" s="1069"/>
      <c r="K155" s="1069"/>
      <c r="L155" s="1635"/>
      <c r="M155" s="914"/>
      <c r="N155" s="239"/>
      <c r="O155" s="922"/>
      <c r="P155" s="100"/>
      <c r="Q155" s="100"/>
      <c r="R155" s="100"/>
      <c r="S155" s="100"/>
      <c r="T155" s="100"/>
      <c r="U155" s="100"/>
      <c r="V155" s="100"/>
      <c r="W155" s="100"/>
      <c r="X155" s="1602"/>
      <c r="AX155" s="879"/>
    </row>
    <row r="156" spans="2:50" ht="15" customHeight="1" thickTop="1" x14ac:dyDescent="0.2">
      <c r="B156" s="600">
        <v>802.6</v>
      </c>
      <c r="C156" s="858"/>
      <c r="D156" s="858"/>
      <c r="E156" s="600"/>
      <c r="F156" s="23"/>
      <c r="G156" s="23"/>
      <c r="H156" s="691"/>
      <c r="I156" s="589" t="s">
        <v>4564</v>
      </c>
      <c r="J156" s="873"/>
      <c r="K156" s="873"/>
      <c r="L156" s="897" t="s">
        <v>4565</v>
      </c>
      <c r="M156" s="882"/>
      <c r="N156" s="129"/>
      <c r="O156" s="886"/>
      <c r="P156" s="96"/>
      <c r="Q156" s="96"/>
      <c r="R156" s="96"/>
      <c r="S156" s="96"/>
      <c r="T156" s="96"/>
      <c r="U156" s="991"/>
      <c r="V156" s="96"/>
      <c r="W156" s="173"/>
      <c r="AX156" s="879"/>
    </row>
    <row r="157" spans="2:50" x14ac:dyDescent="0.2">
      <c r="B157" s="600" t="s">
        <v>4648</v>
      </c>
      <c r="C157" s="858"/>
      <c r="D157" s="858"/>
      <c r="E157" s="600"/>
      <c r="F157" s="23"/>
      <c r="G157" s="23"/>
      <c r="H157" s="691"/>
      <c r="I157" s="589" t="s">
        <v>4566</v>
      </c>
      <c r="J157" s="873"/>
      <c r="K157" s="873"/>
      <c r="L157" s="1687" t="s">
        <v>4567</v>
      </c>
      <c r="M157" s="1697" t="str">
        <f>IF(R157,"Mandatory","N/A")</f>
        <v>Mandatory</v>
      </c>
      <c r="N157" s="129"/>
      <c r="O157" s="886"/>
      <c r="P157" s="96" t="b">
        <v>0</v>
      </c>
      <c r="Q157" s="881" t="b">
        <v>1</v>
      </c>
      <c r="R157" s="96" t="b">
        <f>S157</f>
        <v>1</v>
      </c>
      <c r="S157" s="1180" t="b">
        <f>NOT(W171=TRUE)</f>
        <v>1</v>
      </c>
      <c r="T157" s="96" t="b">
        <f>IF(AND(NOT(S157),LEN(W157)&gt;0),TRUE,FALSE)</f>
        <v>0</v>
      </c>
      <c r="U157" s="991" t="str">
        <f>SUBSTITUTE(SUBSTITUTE(SUBSTITUTE("dd"&amp;B157&amp;C157&amp;D157&amp;E157&amp;F157,".","_"),"(","_"),")","")</f>
        <v>dd802_6_1</v>
      </c>
      <c r="V157" s="96"/>
      <c r="W157" s="12" t="s">
        <v>2590</v>
      </c>
      <c r="X157" s="1600"/>
      <c r="AC157" s="905" t="b">
        <f>OR(AD157:AE157)</f>
        <v>0</v>
      </c>
      <c r="AD157" s="905" t="b">
        <f>T157</f>
        <v>0</v>
      </c>
      <c r="AE157" s="905" t="b">
        <f>AND(R157,NOT(LEN(W157)&gt;0))</f>
        <v>0</v>
      </c>
      <c r="AL157" s="1352" t="str">
        <f>SUBSTITUTE(SUBSTITUTE(SUBSTITUTE("dpa"&amp;$B157&amp;$C157&amp;$D157&amp;$E157&amp;$F157,".","_"),"(","_"),")","")</f>
        <v>dpa802_6_1</v>
      </c>
      <c r="AM157" s="1352" t="str">
        <f>M157</f>
        <v>Mandatory</v>
      </c>
      <c r="AP157" s="1352" t="str">
        <f>SUBSTITUTE(SUBSTITUTE(SUBSTITUTE("dch"&amp;$B157&amp;$C157&amp;$D157&amp;$E157&amp;$F157,".","_"),"(","_"),")","")</f>
        <v>dch802_6_1</v>
      </c>
      <c r="AQ157" s="1352" t="str">
        <f>IF(LEN(W157)=0,"",W157)</f>
        <v>N/A</v>
      </c>
      <c r="AR157" s="1352" t="str">
        <f>SUBSTITUTE(SUBSTITUTE(SUBSTITUTE("dnt"&amp;$B157&amp;$C157&amp;$D157&amp;$E157&amp;$F157,".","_"),"(","_"),")","")</f>
        <v>dnt802_6_1</v>
      </c>
      <c r="AS157" s="1352" t="str">
        <f>IF(LEN(X157)=0,"",X157)</f>
        <v/>
      </c>
      <c r="AX157" s="879"/>
    </row>
    <row r="158" spans="2:50" ht="15" customHeight="1" x14ac:dyDescent="0.2">
      <c r="B158" s="600" t="s">
        <v>4648</v>
      </c>
      <c r="C158" s="858"/>
      <c r="D158" s="858"/>
      <c r="E158" s="600"/>
      <c r="F158" s="23"/>
      <c r="G158" s="23"/>
      <c r="H158" s="691"/>
      <c r="I158" s="589"/>
      <c r="J158" s="873"/>
      <c r="K158" s="873"/>
      <c r="L158" s="1687"/>
      <c r="M158" s="1697"/>
      <c r="N158" s="129"/>
      <c r="O158" s="909"/>
      <c r="P158" s="96"/>
      <c r="Q158" s="96"/>
      <c r="R158" s="96"/>
      <c r="S158" s="96"/>
      <c r="T158" s="96"/>
      <c r="U158" s="991"/>
      <c r="V158" s="96"/>
      <c r="W158" s="96"/>
      <c r="X158" s="1600"/>
      <c r="AX158" s="879"/>
    </row>
    <row r="159" spans="2:50" x14ac:dyDescent="0.2">
      <c r="B159" s="600" t="s">
        <v>4649</v>
      </c>
      <c r="C159" s="858"/>
      <c r="D159" s="858"/>
      <c r="E159" s="600"/>
      <c r="F159" s="23"/>
      <c r="G159" s="23"/>
      <c r="H159" s="691"/>
      <c r="I159" s="608" t="s">
        <v>4568</v>
      </c>
      <c r="J159" s="1073"/>
      <c r="K159" s="1073"/>
      <c r="L159" s="1686" t="s">
        <v>4569</v>
      </c>
      <c r="M159" s="1636">
        <v>6</v>
      </c>
      <c r="N159" s="129"/>
      <c r="O159" s="1619">
        <f ca="1">6*S159*W159</f>
        <v>0</v>
      </c>
      <c r="P159" s="96" t="b">
        <v>0</v>
      </c>
      <c r="Q159" s="881" t="b">
        <v>1</v>
      </c>
      <c r="R159" s="96" t="b">
        <v>0</v>
      </c>
      <c r="S159" s="96" t="b">
        <f ca="1">AND(NOT(W171=TRUE),S14=1)</f>
        <v>1</v>
      </c>
      <c r="T159" s="96" t="b">
        <f ca="1">IF(AND(NOT(S159),W159=TRUE),TRUE,FALSE)</f>
        <v>0</v>
      </c>
      <c r="U159" s="96"/>
      <c r="V159" s="96"/>
      <c r="W159" s="27"/>
      <c r="X159" s="1600"/>
      <c r="AC159" s="905" t="b">
        <f ca="1">OR(AD159:AE159)</f>
        <v>0</v>
      </c>
      <c r="AD159" s="905" t="b">
        <f ca="1">T159</f>
        <v>0</v>
      </c>
      <c r="AE159" s="905"/>
      <c r="AL159" s="1352" t="str">
        <f>SUBSTITUTE(SUBSTITUTE(SUBSTITUTE("dpa"&amp;$B159&amp;$C159&amp;$D159&amp;$E159&amp;$F159,".","_"),"(","_"),")","")</f>
        <v>dpa802_6_2</v>
      </c>
      <c r="AM159" s="1352">
        <f>M159</f>
        <v>6</v>
      </c>
      <c r="AN159" s="1352" t="str">
        <f>SUBSTITUTE(SUBSTITUTE(SUBSTITUTE("dpc"&amp;$B159&amp;$C159&amp;$D159&amp;$E159&amp;$F159,".","_"),"(","_"),")","")</f>
        <v>dpc802_6_2</v>
      </c>
      <c r="AO159" s="1352">
        <f ca="1">O159</f>
        <v>0</v>
      </c>
      <c r="AP159" s="1352" t="str">
        <f>SUBSTITUTE(SUBSTITUTE(SUBSTITUTE("dch"&amp;$B159&amp;$C159&amp;$D159&amp;$E159&amp;$F159,".","_"),"(","_"),")","")</f>
        <v>dch802_6_2</v>
      </c>
      <c r="AQ159" s="1352" t="str">
        <f>IF(LEN(W159)=0,"",W159)</f>
        <v/>
      </c>
      <c r="AR159" s="1352" t="str">
        <f>SUBSTITUTE(SUBSTITUTE(SUBSTITUTE("dnt"&amp;$B159&amp;$C159&amp;$D159&amp;$E159&amp;$F159,".","_"),"(","_"),")","")</f>
        <v>dnt802_6_2</v>
      </c>
      <c r="AS159" s="1352" t="str">
        <f>IF(LEN(X159)=0,"",X159)</f>
        <v/>
      </c>
      <c r="AX159" s="879"/>
    </row>
    <row r="160" spans="2:50" x14ac:dyDescent="0.2">
      <c r="B160" s="600" t="s">
        <v>4649</v>
      </c>
      <c r="C160" s="858"/>
      <c r="D160" s="858"/>
      <c r="E160" s="600"/>
      <c r="F160" s="23"/>
      <c r="G160" s="23"/>
      <c r="H160" s="691"/>
      <c r="I160" s="590"/>
      <c r="J160" s="1068"/>
      <c r="K160" s="1068"/>
      <c r="L160" s="1687"/>
      <c r="M160" s="1623"/>
      <c r="N160" s="129"/>
      <c r="O160" s="1619"/>
      <c r="P160" s="96"/>
      <c r="Q160" s="96"/>
      <c r="R160" s="96"/>
      <c r="S160" s="96"/>
      <c r="T160" s="96"/>
      <c r="U160" s="96"/>
      <c r="V160" s="96"/>
      <c r="W160" s="96"/>
      <c r="X160" s="1600"/>
      <c r="AX160" s="879"/>
    </row>
    <row r="161" spans="2:50" x14ac:dyDescent="0.2">
      <c r="B161" s="600" t="s">
        <v>4649</v>
      </c>
      <c r="C161" s="858"/>
      <c r="D161" s="858"/>
      <c r="E161" s="600"/>
      <c r="F161" s="23"/>
      <c r="G161" s="23"/>
      <c r="H161" s="691"/>
      <c r="I161" s="606"/>
      <c r="J161" s="1072"/>
      <c r="K161" s="1072"/>
      <c r="L161" s="1688"/>
      <c r="M161" s="1624"/>
      <c r="N161" s="213"/>
      <c r="O161" s="1620"/>
      <c r="P161" s="173"/>
      <c r="Q161" s="173"/>
      <c r="R161" s="173"/>
      <c r="S161" s="173"/>
      <c r="T161" s="173"/>
      <c r="U161" s="173"/>
      <c r="V161" s="173"/>
      <c r="W161" s="96"/>
      <c r="X161" s="1600"/>
      <c r="AX161" s="879"/>
    </row>
    <row r="162" spans="2:50" ht="15" customHeight="1" x14ac:dyDescent="0.2">
      <c r="B162" s="600" t="s">
        <v>4650</v>
      </c>
      <c r="C162" s="858"/>
      <c r="D162" s="858"/>
      <c r="E162" s="600"/>
      <c r="F162" s="23"/>
      <c r="G162" s="23"/>
      <c r="H162" s="691"/>
      <c r="I162" s="589" t="s">
        <v>4570</v>
      </c>
      <c r="J162" s="873"/>
      <c r="K162" s="873"/>
      <c r="L162" s="897" t="s">
        <v>4571</v>
      </c>
      <c r="M162" s="890"/>
      <c r="N162" s="4"/>
      <c r="O162" s="885"/>
      <c r="AX162" s="879"/>
    </row>
    <row r="163" spans="2:50" x14ac:dyDescent="0.2">
      <c r="B163" s="600" t="s">
        <v>4650</v>
      </c>
      <c r="C163" s="858" t="s">
        <v>254</v>
      </c>
      <c r="D163" s="858"/>
      <c r="E163" s="600"/>
      <c r="F163" s="23"/>
      <c r="G163" s="23"/>
      <c r="H163" s="691"/>
      <c r="I163" s="589"/>
      <c r="J163" s="1072" t="s">
        <v>254</v>
      </c>
      <c r="K163" s="1072"/>
      <c r="L163" s="923" t="s">
        <v>4572</v>
      </c>
      <c r="M163" s="883">
        <v>4</v>
      </c>
      <c r="N163" s="213"/>
      <c r="O163" s="888">
        <f ca="1">M163*S163*W163</f>
        <v>0</v>
      </c>
      <c r="P163" s="96" t="b">
        <v>0</v>
      </c>
      <c r="Q163" s="881" t="b">
        <v>1</v>
      </c>
      <c r="R163" s="881" t="b">
        <v>0</v>
      </c>
      <c r="S163" s="881" t="b">
        <f ca="1">AND(NOT(W171=TRUE),S14=1)</f>
        <v>1</v>
      </c>
      <c r="T163" s="96" t="b">
        <f ca="1">IF(AND(NOT(S163),W163=TRUE),TRUE,FALSE)</f>
        <v>0</v>
      </c>
      <c r="W163" s="27"/>
      <c r="X163" s="906"/>
      <c r="AC163" s="905" t="b">
        <f ca="1">OR(AD163:AE163)</f>
        <v>0</v>
      </c>
      <c r="AD163" s="905" t="b">
        <f ca="1">T163</f>
        <v>0</v>
      </c>
      <c r="AE163" s="905"/>
      <c r="AL163" s="1352" t="str">
        <f>SUBSTITUTE(SUBSTITUTE(SUBSTITUTE("dpa"&amp;$B163&amp;$C163&amp;$D163&amp;$E163&amp;$F163,".","_"),"(","_"),")","")</f>
        <v>dpa802_6_3_1</v>
      </c>
      <c r="AM163" s="1352">
        <f>M163</f>
        <v>4</v>
      </c>
      <c r="AN163" s="1352" t="str">
        <f>SUBSTITUTE(SUBSTITUTE(SUBSTITUTE("dpc"&amp;$B163&amp;$C163&amp;$D163&amp;$E163&amp;$F163,".","_"),"(","_"),")","")</f>
        <v>dpc802_6_3_1</v>
      </c>
      <c r="AO163" s="1352">
        <f ca="1">O163</f>
        <v>0</v>
      </c>
      <c r="AP163" s="1352" t="str">
        <f>SUBSTITUTE(SUBSTITUTE(SUBSTITUTE("dch"&amp;$B163&amp;$C163&amp;$D163&amp;$E163&amp;$F163,".","_"),"(","_"),")","")</f>
        <v>dch802_6_3_1</v>
      </c>
      <c r="AQ163" s="1352" t="str">
        <f>IF(LEN(W163)=0,"",W163)</f>
        <v/>
      </c>
      <c r="AR163" s="1352" t="str">
        <f>SUBSTITUTE(SUBSTITUTE(SUBSTITUTE("dnt"&amp;$B163&amp;$C163&amp;$D163&amp;$E163&amp;$F163,".","_"),"(","_"),")","")</f>
        <v>dnt802_6_3_1</v>
      </c>
      <c r="AS163" s="1352" t="str">
        <f>IF(LEN(X163)=0,"",X163)</f>
        <v/>
      </c>
      <c r="AX163" s="879"/>
    </row>
    <row r="164" spans="2:50" ht="15" customHeight="1" x14ac:dyDescent="0.2">
      <c r="B164" s="600" t="s">
        <v>4650</v>
      </c>
      <c r="C164" s="858" t="s">
        <v>255</v>
      </c>
      <c r="D164" s="858"/>
      <c r="E164" s="600"/>
      <c r="F164" s="23"/>
      <c r="G164" s="23"/>
      <c r="H164" s="691"/>
      <c r="I164" s="589"/>
      <c r="J164" s="1074" t="s">
        <v>255</v>
      </c>
      <c r="K164" s="1074"/>
      <c r="L164" s="1075" t="s">
        <v>4573</v>
      </c>
      <c r="M164" s="883">
        <v>4</v>
      </c>
      <c r="N164" s="213"/>
      <c r="O164" s="888">
        <f ca="1">M164*S164*W164</f>
        <v>0</v>
      </c>
      <c r="P164" s="96" t="b">
        <v>0</v>
      </c>
      <c r="Q164" s="881" t="b">
        <v>1</v>
      </c>
      <c r="R164" s="881" t="b">
        <v>0</v>
      </c>
      <c r="S164" s="881" t="b">
        <f ca="1">AND(NOT(W171=TRUE),S14=1)</f>
        <v>1</v>
      </c>
      <c r="T164" s="96" t="b">
        <f ca="1">IF(AND(NOT(S164),W164=TRUE),TRUE,FALSE)</f>
        <v>0</v>
      </c>
      <c r="W164" s="27"/>
      <c r="X164" s="906"/>
      <c r="AC164" s="905" t="b">
        <f ca="1">OR(AD164:AE164)</f>
        <v>0</v>
      </c>
      <c r="AD164" s="905" t="b">
        <f ca="1">T164</f>
        <v>0</v>
      </c>
      <c r="AE164" s="905"/>
      <c r="AL164" s="1352" t="str">
        <f>SUBSTITUTE(SUBSTITUTE(SUBSTITUTE("dpa"&amp;$B164&amp;$C164&amp;$D164&amp;$E164&amp;$F164,".","_"),"(","_"),")","")</f>
        <v>dpa802_6_3_2</v>
      </c>
      <c r="AM164" s="1352">
        <f>M164</f>
        <v>4</v>
      </c>
      <c r="AN164" s="1352" t="str">
        <f>SUBSTITUTE(SUBSTITUTE(SUBSTITUTE("dpc"&amp;$B164&amp;$C164&amp;$D164&amp;$E164&amp;$F164,".","_"),"(","_"),")","")</f>
        <v>dpc802_6_3_2</v>
      </c>
      <c r="AO164" s="1352">
        <f ca="1">O164</f>
        <v>0</v>
      </c>
      <c r="AP164" s="1352" t="str">
        <f>SUBSTITUTE(SUBSTITUTE(SUBSTITUTE("dch"&amp;$B164&amp;$C164&amp;$D164&amp;$E164&amp;$F164,".","_"),"(","_"),")","")</f>
        <v>dch802_6_3_2</v>
      </c>
      <c r="AQ164" s="1352" t="str">
        <f>IF(LEN(W164)=0,"",W164)</f>
        <v/>
      </c>
      <c r="AR164" s="1352" t="str">
        <f>SUBSTITUTE(SUBSTITUTE(SUBSTITUTE("dnt"&amp;$B164&amp;$C164&amp;$D164&amp;$E164&amp;$F164,".","_"),"(","_"),")","")</f>
        <v>dnt802_6_3_2</v>
      </c>
      <c r="AS164" s="1352" t="str">
        <f>IF(LEN(X164)=0,"",X164)</f>
        <v/>
      </c>
      <c r="AX164" s="879"/>
    </row>
    <row r="165" spans="2:50" x14ac:dyDescent="0.2">
      <c r="B165" s="600" t="s">
        <v>4650</v>
      </c>
      <c r="C165" s="858" t="s">
        <v>256</v>
      </c>
      <c r="D165" s="858"/>
      <c r="E165" s="600"/>
      <c r="F165" s="23"/>
      <c r="G165" s="23"/>
      <c r="H165" s="691"/>
      <c r="I165" s="590"/>
      <c r="J165" s="1073" t="s">
        <v>256</v>
      </c>
      <c r="K165" s="1073"/>
      <c r="L165" s="1633" t="s">
        <v>4574</v>
      </c>
      <c r="M165" s="1623">
        <v>5</v>
      </c>
      <c r="N165" s="129"/>
      <c r="O165" s="1619">
        <f ca="1">M165*S165*W165</f>
        <v>0</v>
      </c>
      <c r="P165" s="96" t="b">
        <v>0</v>
      </c>
      <c r="Q165" s="881" t="b">
        <v>1</v>
      </c>
      <c r="R165" s="96" t="b">
        <v>0</v>
      </c>
      <c r="S165" s="96" t="b">
        <f ca="1">AND(W163=TRUE,NOT(W171=TRUE),S14=1)</f>
        <v>0</v>
      </c>
      <c r="T165" s="96" t="b">
        <f ca="1">IF(AND(NOT(S165),W165=TRUE),TRUE,FALSE)</f>
        <v>0</v>
      </c>
      <c r="U165" s="96"/>
      <c r="V165" s="96"/>
      <c r="W165" s="27"/>
      <c r="X165" s="1600"/>
      <c r="AC165" s="905" t="b">
        <f ca="1">OR(AD165:AE165)</f>
        <v>0</v>
      </c>
      <c r="AD165" s="905" t="b">
        <f ca="1">T165</f>
        <v>0</v>
      </c>
      <c r="AE165" s="905"/>
      <c r="AL165" s="1352" t="str">
        <f>SUBSTITUTE(SUBSTITUTE(SUBSTITUTE("dpa"&amp;$B165&amp;$C165&amp;$D165&amp;$E165&amp;$F165,".","_"),"(","_"),")","")</f>
        <v>dpa802_6_3_3</v>
      </c>
      <c r="AM165" s="1352">
        <f>M165</f>
        <v>5</v>
      </c>
      <c r="AN165" s="1352" t="str">
        <f>SUBSTITUTE(SUBSTITUTE(SUBSTITUTE("dpc"&amp;$B165&amp;$C165&amp;$D165&amp;$E165&amp;$F165,".","_"),"(","_"),")","")</f>
        <v>dpc802_6_3_3</v>
      </c>
      <c r="AO165" s="1352">
        <f ca="1">O165</f>
        <v>0</v>
      </c>
      <c r="AP165" s="1352" t="str">
        <f>SUBSTITUTE(SUBSTITUTE(SUBSTITUTE("dch"&amp;$B165&amp;$C165&amp;$D165&amp;$E165&amp;$F165,".","_"),"(","_"),")","")</f>
        <v>dch802_6_3_3</v>
      </c>
      <c r="AQ165" s="1352" t="str">
        <f>IF(LEN(W165)=0,"",W165)</f>
        <v/>
      </c>
      <c r="AR165" s="1352" t="str">
        <f>SUBSTITUTE(SUBSTITUTE(SUBSTITUTE("dnt"&amp;$B165&amp;$C165&amp;$D165&amp;$E165&amp;$F165,".","_"),"(","_"),")","")</f>
        <v>dnt802_6_3_3</v>
      </c>
      <c r="AS165" s="1352" t="str">
        <f>IF(LEN(X165)=0,"",X165)</f>
        <v/>
      </c>
      <c r="AX165" s="879"/>
    </row>
    <row r="166" spans="2:50" x14ac:dyDescent="0.2">
      <c r="B166" s="600" t="s">
        <v>4650</v>
      </c>
      <c r="C166" s="858" t="s">
        <v>256</v>
      </c>
      <c r="D166" s="858"/>
      <c r="E166" s="600"/>
      <c r="F166" s="23"/>
      <c r="G166" s="23"/>
      <c r="H166" s="691"/>
      <c r="I166" s="606"/>
      <c r="J166" s="1072"/>
      <c r="K166" s="1072"/>
      <c r="L166" s="1639"/>
      <c r="M166" s="1624"/>
      <c r="N166" s="213"/>
      <c r="O166" s="1620"/>
      <c r="P166" s="173"/>
      <c r="Q166" s="173"/>
      <c r="R166" s="173"/>
      <c r="S166" s="173"/>
      <c r="T166" s="173"/>
      <c r="U166" s="173"/>
      <c r="V166" s="173"/>
      <c r="W166" s="173"/>
      <c r="X166" s="1600"/>
      <c r="AX166" s="879"/>
    </row>
    <row r="167" spans="2:50" ht="15" customHeight="1" x14ac:dyDescent="0.2">
      <c r="B167" s="600" t="s">
        <v>4651</v>
      </c>
      <c r="C167" s="858"/>
      <c r="D167" s="858"/>
      <c r="E167" s="600"/>
      <c r="F167" s="23"/>
      <c r="G167" s="23"/>
      <c r="H167" s="691"/>
      <c r="I167" s="589" t="s">
        <v>4575</v>
      </c>
      <c r="J167" s="873"/>
      <c r="K167" s="873"/>
      <c r="L167" s="1687" t="s">
        <v>4576</v>
      </c>
      <c r="AX167" s="879"/>
    </row>
    <row r="168" spans="2:50" x14ac:dyDescent="0.2">
      <c r="B168" s="600" t="s">
        <v>4651</v>
      </c>
      <c r="C168" s="858"/>
      <c r="D168" s="858"/>
      <c r="E168" s="600"/>
      <c r="F168" s="23"/>
      <c r="G168" s="23"/>
      <c r="H168" s="691"/>
      <c r="I168" s="589"/>
      <c r="J168" s="873"/>
      <c r="K168" s="873"/>
      <c r="L168" s="1687"/>
      <c r="AX168" s="879"/>
    </row>
    <row r="169" spans="2:50" ht="15" customHeight="1" x14ac:dyDescent="0.2">
      <c r="B169" s="600" t="s">
        <v>4651</v>
      </c>
      <c r="C169" s="858" t="s">
        <v>254</v>
      </c>
      <c r="D169" s="858"/>
      <c r="E169" s="600"/>
      <c r="F169" s="23"/>
      <c r="G169" s="23"/>
      <c r="H169" s="691"/>
      <c r="I169" s="589"/>
      <c r="J169" s="1068" t="s">
        <v>254</v>
      </c>
      <c r="K169" s="1068"/>
      <c r="L169" s="1634" t="s">
        <v>4577</v>
      </c>
      <c r="M169" s="1623">
        <v>10</v>
      </c>
      <c r="N169" s="129"/>
      <c r="O169" s="1619">
        <f ca="1">M169*S169*W169</f>
        <v>0</v>
      </c>
      <c r="P169" s="96" t="b">
        <v>0</v>
      </c>
      <c r="Q169" s="881" t="b">
        <v>1</v>
      </c>
      <c r="R169" s="881" t="b">
        <v>0</v>
      </c>
      <c r="S169" s="881" t="b">
        <f ca="1">AND(NOT(W171=TRUE),S14=1)</f>
        <v>1</v>
      </c>
      <c r="T169" s="96" t="b">
        <f ca="1">IF(AND(NOT(S169),W169=TRUE),TRUE,FALSE)</f>
        <v>0</v>
      </c>
      <c r="W169" s="27"/>
      <c r="X169" s="1600"/>
      <c r="AC169" s="905" t="b">
        <f ca="1">OR(AD169:AE169)</f>
        <v>0</v>
      </c>
      <c r="AD169" s="905" t="b">
        <f ca="1">T169</f>
        <v>0</v>
      </c>
      <c r="AE169" s="905"/>
      <c r="AL169" s="1352" t="str">
        <f>SUBSTITUTE(SUBSTITUTE(SUBSTITUTE("dpa"&amp;$B169&amp;$C169&amp;$D169&amp;$E169&amp;$F169,".","_"),"(","_"),")","")</f>
        <v>dpa802_6_4_1</v>
      </c>
      <c r="AM169" s="1352">
        <f>M169</f>
        <v>10</v>
      </c>
      <c r="AN169" s="1352" t="str">
        <f>SUBSTITUTE(SUBSTITUTE(SUBSTITUTE("dpc"&amp;$B169&amp;$C169&amp;$D169&amp;$E169&amp;$F169,".","_"),"(","_"),")","")</f>
        <v>dpc802_6_4_1</v>
      </c>
      <c r="AO169" s="1352">
        <f ca="1">O169</f>
        <v>0</v>
      </c>
      <c r="AP169" s="1352" t="str">
        <f>SUBSTITUTE(SUBSTITUTE(SUBSTITUTE("dch"&amp;$B169&amp;$C169&amp;$D169&amp;$E169&amp;$F169,".","_"),"(","_"),")","")</f>
        <v>dch802_6_4_1</v>
      </c>
      <c r="AQ169" s="1352" t="str">
        <f>IF(LEN(W169)=0,"",W169)</f>
        <v/>
      </c>
      <c r="AR169" s="1352" t="str">
        <f>SUBSTITUTE(SUBSTITUTE(SUBSTITUTE("dnt"&amp;$B169&amp;$C169&amp;$D169&amp;$E169&amp;$F169,".","_"),"(","_"),")","")</f>
        <v>dnt802_6_4_1</v>
      </c>
      <c r="AS169" s="1352" t="str">
        <f>IF(LEN(X169)=0,"",X169)</f>
        <v/>
      </c>
      <c r="AX169" s="879"/>
    </row>
    <row r="170" spans="2:50" x14ac:dyDescent="0.2">
      <c r="B170" s="600" t="s">
        <v>4651</v>
      </c>
      <c r="C170" s="858" t="s">
        <v>254</v>
      </c>
      <c r="D170" s="858"/>
      <c r="E170" s="600"/>
      <c r="F170" s="23"/>
      <c r="G170" s="23"/>
      <c r="H170" s="691"/>
      <c r="I170" s="589"/>
      <c r="J170" s="1072"/>
      <c r="K170" s="1072"/>
      <c r="L170" s="1639"/>
      <c r="M170" s="1624"/>
      <c r="N170" s="213"/>
      <c r="O170" s="1620"/>
      <c r="X170" s="1600"/>
      <c r="AX170" s="879"/>
    </row>
    <row r="171" spans="2:50" ht="15" customHeight="1" x14ac:dyDescent="0.2">
      <c r="B171" s="600" t="s">
        <v>4651</v>
      </c>
      <c r="C171" s="858" t="s">
        <v>255</v>
      </c>
      <c r="D171" s="858"/>
      <c r="E171" s="600"/>
      <c r="F171" s="23"/>
      <c r="G171" s="23"/>
      <c r="H171" s="691"/>
      <c r="I171" s="590"/>
      <c r="J171" s="1068" t="s">
        <v>255</v>
      </c>
      <c r="K171" s="1068"/>
      <c r="L171" s="1634" t="s">
        <v>4578</v>
      </c>
      <c r="M171" s="1623">
        <v>15</v>
      </c>
      <c r="N171" s="129"/>
      <c r="O171" s="1619">
        <f ca="1">M171*S171*W171</f>
        <v>0</v>
      </c>
      <c r="P171" s="991" t="b">
        <v>0</v>
      </c>
      <c r="Q171" s="991" t="b">
        <v>1</v>
      </c>
      <c r="R171" s="991" t="b">
        <v>0</v>
      </c>
      <c r="S171" s="991" t="b">
        <f ca="1">AND(NOT(W159=TRUE),NOT(W163=TRUE),NOT(W164=TRUE),NOT(W165=TRUE),NOT(W157=TRUE),NOT(W169=TRUE),NOT(W175=TRUE),S172,S14=1)</f>
        <v>0</v>
      </c>
      <c r="T171" s="991" t="b">
        <f ca="1">IF(AND(NOT(S171),W171=TRUE),TRUE,FALSE)</f>
        <v>0</v>
      </c>
      <c r="U171" s="991"/>
      <c r="V171" s="991"/>
      <c r="W171" s="333"/>
      <c r="X171" s="1600"/>
      <c r="AC171" s="905" t="b">
        <f ca="1">OR(AD171:AE171)</f>
        <v>0</v>
      </c>
      <c r="AD171" s="905" t="b">
        <f ca="1">T171</f>
        <v>0</v>
      </c>
      <c r="AE171" s="905"/>
      <c r="AL171" s="1352" t="str">
        <f>SUBSTITUTE(SUBSTITUTE(SUBSTITUTE("dpa"&amp;$B171&amp;$C171&amp;$D171&amp;$E171&amp;$F171,".","_"),"(","_"),")","")</f>
        <v>dpa802_6_4_2</v>
      </c>
      <c r="AM171" s="1352">
        <f>M171</f>
        <v>15</v>
      </c>
      <c r="AN171" s="1352" t="str">
        <f>SUBSTITUTE(SUBSTITUTE(SUBSTITUTE("dpc"&amp;$B171&amp;$C171&amp;$D171&amp;$E171&amp;$F171,".","_"),"(","_"),")","")</f>
        <v>dpc802_6_4_2</v>
      </c>
      <c r="AO171" s="1352">
        <f ca="1">O171</f>
        <v>0</v>
      </c>
      <c r="AP171" s="1352" t="str">
        <f>SUBSTITUTE(SUBSTITUTE(SUBSTITUTE("dch"&amp;$B171&amp;$C171&amp;$D171&amp;$E171&amp;$F171,".","_"),"(","_"),")","")</f>
        <v>dch802_6_4_2</v>
      </c>
      <c r="AQ171" s="1352" t="str">
        <f>IF(LEN(W171)=0,"",W171)</f>
        <v/>
      </c>
      <c r="AR171" s="1352" t="str">
        <f>SUBSTITUTE(SUBSTITUTE(SUBSTITUTE("dnt"&amp;$B171&amp;$C171&amp;$D171&amp;$E171&amp;$F171,".","_"),"(","_"),")","")</f>
        <v>dnt802_6_4_2</v>
      </c>
      <c r="AS171" s="1352" t="str">
        <f>IF(LEN(X171)=0,"",X171)</f>
        <v/>
      </c>
      <c r="AX171" s="879"/>
    </row>
    <row r="172" spans="2:50" x14ac:dyDescent="0.2">
      <c r="B172" s="600" t="s">
        <v>4651</v>
      </c>
      <c r="C172" s="858" t="s">
        <v>255</v>
      </c>
      <c r="D172" s="858"/>
      <c r="E172" s="600"/>
      <c r="F172" s="23"/>
      <c r="G172" s="23"/>
      <c r="H172" s="691"/>
      <c r="I172" s="606"/>
      <c r="J172" s="1072"/>
      <c r="K172" s="1072"/>
      <c r="L172" s="1639"/>
      <c r="M172" s="1624"/>
      <c r="N172" s="213"/>
      <c r="O172" s="1620"/>
      <c r="P172" s="173"/>
      <c r="Q172" s="173"/>
      <c r="R172" s="173"/>
      <c r="S172" s="1178" t="b">
        <f ca="1">IFERROR(AND(MATCH('11.500'!W135,INDIRECT('11.500'!U135),0)=3,SUM('11.500'!O137:O157)&gt;=5),FALSE)</f>
        <v>0</v>
      </c>
      <c r="T172" s="173"/>
      <c r="U172" s="173"/>
      <c r="V172" s="173"/>
      <c r="W172" s="818"/>
      <c r="X172" s="1600"/>
      <c r="AX172" s="879"/>
    </row>
    <row r="173" spans="2:50" x14ac:dyDescent="0.2">
      <c r="B173" s="600" t="s">
        <v>4652</v>
      </c>
      <c r="C173" s="858"/>
      <c r="D173" s="858"/>
      <c r="E173" s="600"/>
      <c r="F173" s="23"/>
      <c r="G173" s="23"/>
      <c r="H173" s="691"/>
      <c r="I173" s="589" t="s">
        <v>4579</v>
      </c>
      <c r="J173" s="873"/>
      <c r="K173" s="873"/>
      <c r="L173" s="897" t="s">
        <v>4580</v>
      </c>
      <c r="AX173" s="879"/>
    </row>
    <row r="174" spans="2:50" x14ac:dyDescent="0.2">
      <c r="B174" s="600" t="s">
        <v>4652</v>
      </c>
      <c r="C174" s="858"/>
      <c r="D174" s="858"/>
      <c r="E174" s="600"/>
      <c r="F174" s="23"/>
      <c r="G174" s="23"/>
      <c r="H174" s="691"/>
      <c r="I174" s="589"/>
      <c r="J174" s="873"/>
      <c r="K174" s="873"/>
      <c r="L174" s="898" t="s">
        <v>4581</v>
      </c>
      <c r="M174" s="882"/>
      <c r="N174" s="129"/>
      <c r="O174" s="886"/>
      <c r="P174" s="96"/>
      <c r="Q174" s="96"/>
      <c r="R174" s="96"/>
      <c r="T174" s="96"/>
      <c r="U174" s="96"/>
      <c r="V174" s="96"/>
      <c r="W174" s="96"/>
      <c r="AX174" s="879"/>
    </row>
    <row r="175" spans="2:50" x14ac:dyDescent="0.2">
      <c r="B175" s="600" t="s">
        <v>4652</v>
      </c>
      <c r="C175" s="858" t="s">
        <v>254</v>
      </c>
      <c r="D175" s="858"/>
      <c r="E175" s="600"/>
      <c r="F175" s="23"/>
      <c r="G175" s="23"/>
      <c r="H175" s="691"/>
      <c r="I175" s="589"/>
      <c r="J175" s="1068" t="s">
        <v>254</v>
      </c>
      <c r="K175" s="1068"/>
      <c r="L175" s="1634" t="s">
        <v>4582</v>
      </c>
      <c r="M175" s="1623">
        <v>3</v>
      </c>
      <c r="N175" s="129"/>
      <c r="O175" s="1619">
        <f ca="1">M175*S175*W175</f>
        <v>0</v>
      </c>
      <c r="P175" s="991" t="b">
        <v>0</v>
      </c>
      <c r="Q175" s="991" t="b">
        <v>1</v>
      </c>
      <c r="R175" s="991" t="b">
        <v>0</v>
      </c>
      <c r="S175" s="991" t="b">
        <f ca="1">AND(NOT(W171=TRUE),S14=1)</f>
        <v>1</v>
      </c>
      <c r="T175" s="991" t="b">
        <f ca="1">IF(AND(NOT(S175),W175=TRUE),TRUE,FALSE)</f>
        <v>0</v>
      </c>
      <c r="U175" s="991"/>
      <c r="V175" s="96"/>
      <c r="W175" s="27"/>
      <c r="X175" s="1600"/>
      <c r="AC175" s="905" t="b">
        <f ca="1">OR(AD175:AE175)</f>
        <v>0</v>
      </c>
      <c r="AD175" s="905" t="b">
        <f ca="1">T175</f>
        <v>0</v>
      </c>
      <c r="AE175" s="905"/>
      <c r="AL175" s="1352" t="str">
        <f>SUBSTITUTE(SUBSTITUTE(SUBSTITUTE("dpa"&amp;$B175&amp;$C175&amp;$D175&amp;$E175&amp;$F175,".","_"),"(","_"),")","")</f>
        <v>dpa802_6_5_1</v>
      </c>
      <c r="AM175" s="1352">
        <f>M175</f>
        <v>3</v>
      </c>
      <c r="AN175" s="1352" t="str">
        <f>SUBSTITUTE(SUBSTITUTE(SUBSTITUTE("dpc"&amp;$B175&amp;$C175&amp;$D175&amp;$E175&amp;$F175,".","_"),"(","_"),")","")</f>
        <v>dpc802_6_5_1</v>
      </c>
      <c r="AO175" s="1352">
        <f ca="1">O175</f>
        <v>0</v>
      </c>
      <c r="AP175" s="1352" t="str">
        <f>SUBSTITUTE(SUBSTITUTE(SUBSTITUTE("dch"&amp;$B175&amp;$C175&amp;$D175&amp;$E175&amp;$F175,".","_"),"(","_"),")","")</f>
        <v>dch802_6_5_1</v>
      </c>
      <c r="AQ175" s="1352" t="str">
        <f>IF(LEN(W175)=0,"",W175)</f>
        <v/>
      </c>
      <c r="AR175" s="1352" t="str">
        <f>SUBSTITUTE(SUBSTITUTE(SUBSTITUTE("dnt"&amp;$B175&amp;$C175&amp;$D175&amp;$E175&amp;$F175,".","_"),"(","_"),")","")</f>
        <v>dnt802_6_5_1</v>
      </c>
      <c r="AS175" s="1352" t="str">
        <f>IF(LEN(X175)=0,"",X175)</f>
        <v/>
      </c>
      <c r="AX175" s="879"/>
    </row>
    <row r="176" spans="2:50" x14ac:dyDescent="0.2">
      <c r="B176" s="600" t="s">
        <v>4652</v>
      </c>
      <c r="C176" s="858" t="s">
        <v>254</v>
      </c>
      <c r="D176" s="858"/>
      <c r="E176" s="600"/>
      <c r="F176" s="23"/>
      <c r="G176" s="23"/>
      <c r="H176" s="691"/>
      <c r="I176" s="589"/>
      <c r="J176" s="1072"/>
      <c r="K176" s="1072"/>
      <c r="L176" s="1639"/>
      <c r="M176" s="1624"/>
      <c r="N176" s="213"/>
      <c r="O176" s="1620"/>
      <c r="P176" s="991"/>
      <c r="Q176" s="991"/>
      <c r="R176" s="991"/>
      <c r="S176" s="991"/>
      <c r="T176" s="991"/>
      <c r="U176" s="991"/>
      <c r="V176" s="991"/>
      <c r="W176" s="214"/>
      <c r="X176" s="1600"/>
      <c r="AX176" s="879"/>
    </row>
    <row r="177" spans="1:61" x14ac:dyDescent="0.2">
      <c r="B177" s="600" t="s">
        <v>4652</v>
      </c>
      <c r="C177" s="858" t="s">
        <v>255</v>
      </c>
      <c r="D177" s="858"/>
      <c r="E177" s="600"/>
      <c r="F177" s="23"/>
      <c r="G177" s="23"/>
      <c r="H177" s="691"/>
      <c r="I177" s="589"/>
      <c r="J177" s="1073" t="s">
        <v>255</v>
      </c>
      <c r="K177" s="1073"/>
      <c r="L177" s="1633" t="s">
        <v>4583</v>
      </c>
      <c r="M177" s="1636">
        <v>3</v>
      </c>
      <c r="N177" s="193"/>
      <c r="O177" s="1637">
        <f ca="1">M177*S177*W177</f>
        <v>0</v>
      </c>
      <c r="P177" s="991" t="b">
        <v>0</v>
      </c>
      <c r="Q177" s="991" t="b">
        <v>1</v>
      </c>
      <c r="R177" s="991" t="b">
        <v>0</v>
      </c>
      <c r="S177" s="991" t="b">
        <f ca="1">AND(NOT(W171=TRUE),S14=1)</f>
        <v>1</v>
      </c>
      <c r="T177" s="991" t="b">
        <f ca="1">IF(AND(NOT(S177),W177=TRUE),TRUE,FALSE)</f>
        <v>0</v>
      </c>
      <c r="U177" s="991"/>
      <c r="W177" s="119"/>
      <c r="X177" s="1600"/>
      <c r="AC177" s="905" t="b">
        <f ca="1">OR(AD177:AE177)</f>
        <v>0</v>
      </c>
      <c r="AD177" s="905" t="b">
        <f ca="1">T177</f>
        <v>0</v>
      </c>
      <c r="AE177" s="905"/>
      <c r="AL177" s="1352" t="str">
        <f>SUBSTITUTE(SUBSTITUTE(SUBSTITUTE("dpa"&amp;$B177&amp;$C177&amp;$D177&amp;$E177&amp;$F177,".","_"),"(","_"),")","")</f>
        <v>dpa802_6_5_2</v>
      </c>
      <c r="AM177" s="1352">
        <f>M177</f>
        <v>3</v>
      </c>
      <c r="AN177" s="1352" t="str">
        <f>SUBSTITUTE(SUBSTITUTE(SUBSTITUTE("dpc"&amp;$B177&amp;$C177&amp;$D177&amp;$E177&amp;$F177,".","_"),"(","_"),")","")</f>
        <v>dpc802_6_5_2</v>
      </c>
      <c r="AO177" s="1352">
        <f ca="1">O177</f>
        <v>0</v>
      </c>
      <c r="AP177" s="1352" t="str">
        <f>SUBSTITUTE(SUBSTITUTE(SUBSTITUTE("dch"&amp;$B177&amp;$C177&amp;$D177&amp;$E177&amp;$F177,".","_"),"(","_"),")","")</f>
        <v>dch802_6_5_2</v>
      </c>
      <c r="AQ177" s="1352" t="str">
        <f>IF(LEN(W177)=0,"",W177)</f>
        <v/>
      </c>
      <c r="AR177" s="1352" t="str">
        <f>SUBSTITUTE(SUBSTITUTE(SUBSTITUTE("dnt"&amp;$B177&amp;$C177&amp;$D177&amp;$E177&amp;$F177,".","_"),"(","_"),")","")</f>
        <v>dnt802_6_5_2</v>
      </c>
      <c r="AS177" s="1352" t="str">
        <f>IF(LEN(X177)=0,"",X177)</f>
        <v/>
      </c>
      <c r="AX177" s="879"/>
    </row>
    <row r="178" spans="1:61" ht="15" customHeight="1" x14ac:dyDescent="0.2">
      <c r="B178" s="600" t="s">
        <v>4652</v>
      </c>
      <c r="C178" s="858" t="s">
        <v>255</v>
      </c>
      <c r="D178" s="858"/>
      <c r="E178" s="600"/>
      <c r="F178" s="23"/>
      <c r="G178" s="23"/>
      <c r="H178" s="691"/>
      <c r="I178" s="589"/>
      <c r="J178" s="1072"/>
      <c r="K178" s="1072"/>
      <c r="L178" s="1639"/>
      <c r="M178" s="1624"/>
      <c r="N178" s="213"/>
      <c r="O178" s="1620"/>
      <c r="P178" s="991"/>
      <c r="Q178" s="991"/>
      <c r="R178" s="991"/>
      <c r="S178" s="991"/>
      <c r="T178" s="991"/>
      <c r="U178" s="991"/>
      <c r="V178" s="96"/>
      <c r="W178" s="96"/>
      <c r="X178" s="1600"/>
      <c r="AX178" s="879"/>
    </row>
    <row r="179" spans="1:61" x14ac:dyDescent="0.2">
      <c r="B179" s="600" t="s">
        <v>4652</v>
      </c>
      <c r="C179" s="858" t="s">
        <v>256</v>
      </c>
      <c r="D179" s="858"/>
      <c r="E179" s="600"/>
      <c r="F179" s="23"/>
      <c r="G179" s="23"/>
      <c r="H179" s="691"/>
      <c r="I179" s="589"/>
      <c r="J179" s="1074" t="s">
        <v>256</v>
      </c>
      <c r="K179" s="1074"/>
      <c r="L179" s="1075" t="s">
        <v>4584</v>
      </c>
      <c r="M179" s="379">
        <v>3</v>
      </c>
      <c r="N179" s="242"/>
      <c r="O179" s="378">
        <f ca="1">M179*S179*W179</f>
        <v>0</v>
      </c>
      <c r="P179" s="991" t="b">
        <v>0</v>
      </c>
      <c r="Q179" s="991" t="b">
        <v>1</v>
      </c>
      <c r="R179" s="991" t="b">
        <v>0</v>
      </c>
      <c r="S179" s="991" t="b">
        <f ca="1">AND(NOT(W171=TRUE),S14=1)</f>
        <v>1</v>
      </c>
      <c r="T179" s="991" t="b">
        <f ca="1">IF(AND(NOT(S179),W179=TRUE),TRUE,FALSE)</f>
        <v>0</v>
      </c>
      <c r="U179" s="991"/>
      <c r="V179" s="96"/>
      <c r="W179" s="27"/>
      <c r="X179" s="906"/>
      <c r="AC179" s="905" t="b">
        <f ca="1">OR(AD179:AE179)</f>
        <v>0</v>
      </c>
      <c r="AD179" s="905" t="b">
        <f ca="1">T179</f>
        <v>0</v>
      </c>
      <c r="AE179" s="905"/>
      <c r="AL179" s="1352" t="str">
        <f>SUBSTITUTE(SUBSTITUTE(SUBSTITUTE("dpa"&amp;$B179&amp;$C179&amp;$D179&amp;$E179&amp;$F179,".","_"),"(","_"),")","")</f>
        <v>dpa802_6_5_3</v>
      </c>
      <c r="AM179" s="1352">
        <f>M179</f>
        <v>3</v>
      </c>
      <c r="AN179" s="1352" t="str">
        <f>SUBSTITUTE(SUBSTITUTE(SUBSTITUTE("dpc"&amp;$B179&amp;$C179&amp;$D179&amp;$E179&amp;$F179,".","_"),"(","_"),")","")</f>
        <v>dpc802_6_5_3</v>
      </c>
      <c r="AO179" s="1352">
        <f ca="1">O179</f>
        <v>0</v>
      </c>
      <c r="AP179" s="1352" t="str">
        <f>SUBSTITUTE(SUBSTITUTE(SUBSTITUTE("dch"&amp;$B179&amp;$C179&amp;$D179&amp;$E179&amp;$F179,".","_"),"(","_"),")","")</f>
        <v>dch802_6_5_3</v>
      </c>
      <c r="AQ179" s="1352" t="str">
        <f>IF(LEN(W179)=0,"",W179)</f>
        <v/>
      </c>
      <c r="AR179" s="1352" t="str">
        <f>SUBSTITUTE(SUBSTITUTE(SUBSTITUTE("dnt"&amp;$B179&amp;$C179&amp;$D179&amp;$E179&amp;$F179,".","_"),"(","_"),")","")</f>
        <v>dnt802_6_5_3</v>
      </c>
      <c r="AS179" s="1352" t="str">
        <f>IF(LEN(X179)=0,"",X179)</f>
        <v/>
      </c>
      <c r="AX179" s="879"/>
    </row>
    <row r="180" spans="1:61" ht="15" customHeight="1" x14ac:dyDescent="0.2">
      <c r="B180" s="600" t="s">
        <v>4652</v>
      </c>
      <c r="C180" s="858" t="s">
        <v>259</v>
      </c>
      <c r="D180" s="858"/>
      <c r="E180" s="600"/>
      <c r="F180" s="23"/>
      <c r="G180" s="23"/>
      <c r="H180" s="691"/>
      <c r="I180" s="589"/>
      <c r="J180" s="1073" t="s">
        <v>259</v>
      </c>
      <c r="K180" s="1073"/>
      <c r="L180" s="1633" t="s">
        <v>4585</v>
      </c>
      <c r="M180" s="1636">
        <v>3</v>
      </c>
      <c r="N180" s="193"/>
      <c r="O180" s="1637">
        <f ca="1">M180*S180*W180</f>
        <v>0</v>
      </c>
      <c r="P180" s="991" t="b">
        <v>0</v>
      </c>
      <c r="Q180" s="991" t="b">
        <v>1</v>
      </c>
      <c r="R180" s="991" t="b">
        <v>0</v>
      </c>
      <c r="S180" s="991" t="b">
        <f ca="1">AND(NOT(W171=TRUE),S14=1)</f>
        <v>1</v>
      </c>
      <c r="T180" s="991" t="b">
        <f ca="1">IF(AND(NOT(S180),W180=TRUE),TRUE,FALSE)</f>
        <v>0</v>
      </c>
      <c r="U180" s="991"/>
      <c r="W180" s="27"/>
      <c r="X180" s="1600"/>
      <c r="AC180" s="905" t="b">
        <f ca="1">OR(AD180:AE180)</f>
        <v>0</v>
      </c>
      <c r="AD180" s="905" t="b">
        <f ca="1">T180</f>
        <v>0</v>
      </c>
      <c r="AE180" s="905"/>
      <c r="AL180" s="1352" t="str">
        <f>SUBSTITUTE(SUBSTITUTE(SUBSTITUTE("dpa"&amp;$B180&amp;$C180&amp;$D180&amp;$E180&amp;$F180,".","_"),"(","_"),")","")</f>
        <v>dpa802_6_5_4</v>
      </c>
      <c r="AM180" s="1352">
        <f>M180</f>
        <v>3</v>
      </c>
      <c r="AN180" s="1352" t="str">
        <f>SUBSTITUTE(SUBSTITUTE(SUBSTITUTE("dpc"&amp;$B180&amp;$C180&amp;$D180&amp;$E180&amp;$F180,".","_"),"(","_"),")","")</f>
        <v>dpc802_6_5_4</v>
      </c>
      <c r="AO180" s="1352">
        <f ca="1">O180</f>
        <v>0</v>
      </c>
      <c r="AP180" s="1352" t="str">
        <f>SUBSTITUTE(SUBSTITUTE(SUBSTITUTE("dch"&amp;$B180&amp;$C180&amp;$D180&amp;$E180&amp;$F180,".","_"),"(","_"),")","")</f>
        <v>dch802_6_5_4</v>
      </c>
      <c r="AQ180" s="1352" t="str">
        <f>IF(LEN(W180)=0,"",W180)</f>
        <v/>
      </c>
      <c r="AR180" s="1352" t="str">
        <f>SUBSTITUTE(SUBSTITUTE(SUBSTITUTE("dnt"&amp;$B180&amp;$C180&amp;$D180&amp;$E180&amp;$F180,".","_"),"(","_"),")","")</f>
        <v>dnt802_6_5_4</v>
      </c>
      <c r="AS180" s="1352" t="str">
        <f>IF(LEN(X180)=0,"",X180)</f>
        <v/>
      </c>
      <c r="AX180" s="879"/>
    </row>
    <row r="181" spans="1:61" x14ac:dyDescent="0.2">
      <c r="B181" s="600" t="s">
        <v>4652</v>
      </c>
      <c r="C181" s="858" t="s">
        <v>259</v>
      </c>
      <c r="D181" s="858"/>
      <c r="E181" s="600"/>
      <c r="F181" s="23"/>
      <c r="G181" s="23"/>
      <c r="H181" s="691"/>
      <c r="I181" s="589"/>
      <c r="J181" s="1072"/>
      <c r="K181" s="1072"/>
      <c r="L181" s="1639"/>
      <c r="M181" s="1624"/>
      <c r="N181" s="213"/>
      <c r="O181" s="1620"/>
      <c r="P181" s="991"/>
      <c r="Q181" s="991"/>
      <c r="R181" s="991"/>
      <c r="S181" s="991"/>
      <c r="T181" s="991"/>
      <c r="U181" s="991"/>
      <c r="X181" s="1600"/>
      <c r="AX181" s="879"/>
    </row>
    <row r="182" spans="1:61" x14ac:dyDescent="0.2">
      <c r="B182" s="600" t="s">
        <v>4652</v>
      </c>
      <c r="C182" s="858" t="s">
        <v>263</v>
      </c>
      <c r="D182" s="858"/>
      <c r="E182" s="600"/>
      <c r="F182" s="23"/>
      <c r="G182" s="23"/>
      <c r="H182" s="691"/>
      <c r="I182" s="590"/>
      <c r="J182" s="1068" t="s">
        <v>263</v>
      </c>
      <c r="K182" s="1068"/>
      <c r="L182" s="1634" t="s">
        <v>4586</v>
      </c>
      <c r="M182" s="1623">
        <v>3</v>
      </c>
      <c r="N182" s="129"/>
      <c r="O182" s="1619">
        <f ca="1">M182*S182*W182</f>
        <v>0</v>
      </c>
      <c r="P182" s="991" t="b">
        <v>0</v>
      </c>
      <c r="Q182" s="991" t="b">
        <v>1</v>
      </c>
      <c r="R182" s="991" t="b">
        <v>0</v>
      </c>
      <c r="S182" s="991" t="b">
        <f ca="1">AND(NOT(W171=TRUE),S14=1)</f>
        <v>1</v>
      </c>
      <c r="T182" s="991" t="b">
        <f ca="1">IF(AND(NOT(S182),W182=TRUE),TRUE,FALSE)</f>
        <v>0</v>
      </c>
      <c r="U182" s="991"/>
      <c r="V182" s="991"/>
      <c r="W182" s="333"/>
      <c r="X182" s="1601"/>
      <c r="AC182" s="905" t="b">
        <f ca="1">OR(AD182:AE182)</f>
        <v>0</v>
      </c>
      <c r="AD182" s="905" t="b">
        <f ca="1">T182</f>
        <v>0</v>
      </c>
      <c r="AE182" s="905"/>
      <c r="AL182" s="1352" t="str">
        <f>SUBSTITUTE(SUBSTITUTE(SUBSTITUTE("dpa"&amp;$B182&amp;$C182&amp;$D182&amp;$E182&amp;$F182,".","_"),"(","_"),")","")</f>
        <v>dpa802_6_5_5</v>
      </c>
      <c r="AM182" s="1352">
        <f>M182</f>
        <v>3</v>
      </c>
      <c r="AN182" s="1352" t="str">
        <f>SUBSTITUTE(SUBSTITUTE(SUBSTITUTE("dpc"&amp;$B182&amp;$C182&amp;$D182&amp;$E182&amp;$F182,".","_"),"(","_"),")","")</f>
        <v>dpc802_6_5_5</v>
      </c>
      <c r="AO182" s="1352">
        <f ca="1">O182</f>
        <v>0</v>
      </c>
      <c r="AP182" s="1352" t="str">
        <f>SUBSTITUTE(SUBSTITUTE(SUBSTITUTE("dch"&amp;$B182&amp;$C182&amp;$D182&amp;$E182&amp;$F182,".","_"),"(","_"),")","")</f>
        <v>dch802_6_5_5</v>
      </c>
      <c r="AQ182" s="1352" t="str">
        <f>IF(LEN(W182)=0,"",W182)</f>
        <v/>
      </c>
      <c r="AR182" s="1352" t="str">
        <f>SUBSTITUTE(SUBSTITUTE(SUBSTITUTE("dnt"&amp;$B182&amp;$C182&amp;$D182&amp;$E182&amp;$F182,".","_"),"(","_"),")","")</f>
        <v>dnt802_6_5_5</v>
      </c>
      <c r="AS182" s="1352" t="str">
        <f>IF(LEN(X182)=0,"",X182)</f>
        <v/>
      </c>
      <c r="AX182" s="879"/>
    </row>
    <row r="183" spans="1:61" ht="15" customHeight="1" thickBot="1" x14ac:dyDescent="0.25">
      <c r="B183" s="600" t="s">
        <v>4652</v>
      </c>
      <c r="C183" s="858" t="s">
        <v>263</v>
      </c>
      <c r="D183" s="858"/>
      <c r="E183" s="600"/>
      <c r="F183" s="23"/>
      <c r="G183" s="23"/>
      <c r="H183" s="691"/>
      <c r="I183" s="594"/>
      <c r="J183" s="1069"/>
      <c r="K183" s="1069"/>
      <c r="L183" s="1635"/>
      <c r="M183" s="1627"/>
      <c r="N183" s="239"/>
      <c r="O183" s="1638"/>
      <c r="P183" s="100"/>
      <c r="Q183" s="100"/>
      <c r="R183" s="100"/>
      <c r="S183" s="100"/>
      <c r="T183" s="100"/>
      <c r="U183" s="100"/>
      <c r="V183" s="100"/>
      <c r="W183" s="100"/>
      <c r="X183" s="1602"/>
      <c r="AX183" s="879"/>
    </row>
    <row r="184" spans="1:61" ht="16" thickTop="1" x14ac:dyDescent="0.2">
      <c r="B184" s="600">
        <v>802.7</v>
      </c>
      <c r="C184" s="858"/>
      <c r="D184" s="858"/>
      <c r="E184" s="600"/>
      <c r="F184" s="23"/>
      <c r="G184" s="23"/>
      <c r="H184" s="691"/>
      <c r="I184" s="589" t="s">
        <v>4587</v>
      </c>
      <c r="J184" s="873"/>
      <c r="K184" s="873"/>
      <c r="L184" s="1687" t="s">
        <v>4588</v>
      </c>
      <c r="M184" s="913"/>
      <c r="N184" s="129"/>
      <c r="O184" s="908"/>
      <c r="P184" s="991"/>
      <c r="Q184" s="991"/>
      <c r="R184" s="991"/>
      <c r="S184" s="991"/>
      <c r="T184" s="991"/>
      <c r="U184" s="991"/>
      <c r="V184" s="991"/>
      <c r="W184" s="991"/>
      <c r="AX184" s="879"/>
    </row>
    <row r="185" spans="1:61" x14ac:dyDescent="0.2">
      <c r="B185" s="600">
        <v>802.7</v>
      </c>
      <c r="C185" s="858"/>
      <c r="D185" s="858"/>
      <c r="E185" s="600"/>
      <c r="F185" s="23"/>
      <c r="G185" s="23"/>
      <c r="H185" s="691"/>
      <c r="I185" s="589"/>
      <c r="J185" s="873"/>
      <c r="K185" s="873"/>
      <c r="L185" s="1687"/>
      <c r="M185" s="882"/>
      <c r="N185" s="129"/>
      <c r="O185" s="886"/>
      <c r="P185" s="96"/>
      <c r="Q185" s="96"/>
      <c r="R185" s="96"/>
      <c r="S185" s="96"/>
      <c r="T185" s="96"/>
      <c r="U185" s="991"/>
      <c r="V185" s="96"/>
      <c r="W185" s="96"/>
      <c r="AX185" s="879"/>
    </row>
    <row r="186" spans="1:61" ht="15" customHeight="1" x14ac:dyDescent="0.2">
      <c r="B186" s="600" t="s">
        <v>4653</v>
      </c>
      <c r="C186" s="858"/>
      <c r="D186" s="858"/>
      <c r="E186" s="600"/>
      <c r="F186" s="23"/>
      <c r="G186" s="23"/>
      <c r="H186" s="691"/>
      <c r="I186" s="589" t="s">
        <v>4589</v>
      </c>
      <c r="J186" s="873"/>
      <c r="K186" s="873"/>
      <c r="L186" s="897" t="s">
        <v>4590</v>
      </c>
      <c r="M186" s="882"/>
      <c r="N186" s="129"/>
      <c r="O186" s="886">
        <f ca="1">IFERROR(INDEX({5,5,10,15,25},MATCH(W186,INDIRECT(U186),0)),0)*S186</f>
        <v>0</v>
      </c>
      <c r="P186" s="96" t="b">
        <v>0</v>
      </c>
      <c r="Q186" s="881" t="b">
        <v>1</v>
      </c>
      <c r="R186" s="96" t="b">
        <v>0</v>
      </c>
      <c r="S186" s="991" t="b">
        <f ca="1">S14=1</f>
        <v>1</v>
      </c>
      <c r="T186" s="96" t="b">
        <f ca="1">IF(AND(NOT(S186),LEN(W186)&gt;0),TRUE,FALSE)</f>
        <v>0</v>
      </c>
      <c r="U186" s="991" t="str">
        <f>SUBSTITUTE(SUBSTITUTE(SUBSTITUTE("dd"&amp;B186&amp;C186&amp;D186&amp;E186&amp;F186,".","_"),"(","_"),")","")</f>
        <v>dd802_7_1</v>
      </c>
      <c r="V186" s="96"/>
      <c r="W186" s="110"/>
      <c r="X186" s="1600"/>
      <c r="AC186" s="905" t="b">
        <f ca="1">OR(AD186:AE186)</f>
        <v>0</v>
      </c>
      <c r="AD186" s="905" t="b">
        <f ca="1">T186</f>
        <v>0</v>
      </c>
      <c r="AE186" s="905"/>
      <c r="AN186" s="1352" t="str">
        <f>SUBSTITUTE(SUBSTITUTE(SUBSTITUTE("dpc"&amp;$B186&amp;$C186&amp;$D186&amp;$E186&amp;$F186,".","_"),"(","_"),")","")</f>
        <v>dpc802_7_1</v>
      </c>
      <c r="AO186" s="1352">
        <f ca="1">O186</f>
        <v>0</v>
      </c>
      <c r="AP186" s="1352" t="str">
        <f>SUBSTITUTE(SUBSTITUTE(SUBSTITUTE("dch"&amp;$B186&amp;$C186&amp;$D186&amp;$E186&amp;$F186,".","_"),"(","_"),")","")</f>
        <v>dch802_7_1</v>
      </c>
      <c r="AQ186" s="1352" t="str">
        <f>IF(LEN(W186)=0,"",W186)</f>
        <v/>
      </c>
      <c r="AR186" s="1352" t="str">
        <f>SUBSTITUTE(SUBSTITUTE(SUBSTITUTE("dnt"&amp;$B186&amp;$C186&amp;$D186&amp;$E186&amp;$F186,".","_"),"(","_"),")","")</f>
        <v>dnt802_7_1</v>
      </c>
      <c r="AS186" s="1352" t="str">
        <f>IF(LEN(X186)=0,"",X186)</f>
        <v/>
      </c>
      <c r="AX186" s="879"/>
    </row>
    <row r="187" spans="1:61" x14ac:dyDescent="0.2">
      <c r="B187" s="600" t="s">
        <v>4653</v>
      </c>
      <c r="C187" s="858" t="s">
        <v>254</v>
      </c>
      <c r="D187" s="858"/>
      <c r="E187" s="600"/>
      <c r="F187" s="23"/>
      <c r="G187" s="23"/>
      <c r="H187" s="691"/>
      <c r="I187" s="589"/>
      <c r="J187" s="1072" t="s">
        <v>254</v>
      </c>
      <c r="K187" s="1072"/>
      <c r="L187" s="923" t="s">
        <v>4591</v>
      </c>
      <c r="M187" s="883">
        <v>5</v>
      </c>
      <c r="N187" s="129"/>
      <c r="O187" s="886"/>
      <c r="P187" s="96"/>
      <c r="Q187" s="96"/>
      <c r="R187" s="96"/>
      <c r="S187" s="96"/>
      <c r="T187" s="96"/>
      <c r="U187" s="96"/>
      <c r="V187" s="96"/>
      <c r="W187" s="96"/>
      <c r="X187" s="1600"/>
      <c r="AL187" s="1352" t="str">
        <f>SUBSTITUTE(SUBSTITUTE(SUBSTITUTE("dpa"&amp;$B187&amp;$C187&amp;$D187&amp;$E187&amp;$F187,".","_"),"(","_"),")","")</f>
        <v>dpa802_7_1_1</v>
      </c>
      <c r="AM187" s="1352">
        <f>M187</f>
        <v>5</v>
      </c>
      <c r="AX187" s="879"/>
    </row>
    <row r="188" spans="1:61" ht="15" customHeight="1" x14ac:dyDescent="0.2">
      <c r="B188" s="600" t="s">
        <v>4653</v>
      </c>
      <c r="C188" s="858" t="s">
        <v>255</v>
      </c>
      <c r="D188" s="858"/>
      <c r="E188" s="600"/>
      <c r="F188" s="23"/>
      <c r="G188" s="23"/>
      <c r="H188" s="691"/>
      <c r="I188" s="589"/>
      <c r="J188" s="873" t="s">
        <v>255</v>
      </c>
      <c r="K188" s="873"/>
      <c r="L188" s="1633" t="s">
        <v>4592</v>
      </c>
      <c r="M188" s="882"/>
      <c r="N188" s="129"/>
      <c r="O188" s="886"/>
      <c r="P188" s="96"/>
      <c r="Q188" s="96"/>
      <c r="R188" s="96"/>
      <c r="S188" s="96"/>
      <c r="T188" s="96"/>
      <c r="U188" s="96"/>
      <c r="V188" s="96"/>
      <c r="W188" s="96"/>
      <c r="X188" s="1600"/>
      <c r="AX188" s="879"/>
    </row>
    <row r="189" spans="1:61" s="905" customFormat="1" ht="15" customHeight="1" x14ac:dyDescent="0.2">
      <c r="A189" s="20"/>
      <c r="B189" s="600" t="s">
        <v>4653</v>
      </c>
      <c r="C189" s="858" t="s">
        <v>255</v>
      </c>
      <c r="D189" s="858"/>
      <c r="E189" s="600"/>
      <c r="F189" s="23"/>
      <c r="G189" s="23"/>
      <c r="H189" s="691"/>
      <c r="I189" s="589"/>
      <c r="J189" s="873"/>
      <c r="K189" s="873"/>
      <c r="L189" s="1634"/>
      <c r="M189" s="913"/>
      <c r="N189" s="129"/>
      <c r="O189" s="908"/>
      <c r="P189" s="991"/>
      <c r="Q189" s="991"/>
      <c r="R189" s="991"/>
      <c r="S189" s="991"/>
      <c r="T189" s="991"/>
      <c r="U189" s="991"/>
      <c r="V189" s="991"/>
      <c r="W189" s="991"/>
      <c r="X189" s="1600"/>
      <c r="AL189" s="881"/>
      <c r="AM189" s="881"/>
      <c r="AN189" s="881"/>
      <c r="AO189" s="881"/>
      <c r="AP189" s="881"/>
      <c r="AQ189" s="881"/>
      <c r="AR189" s="881"/>
      <c r="AS189" s="881"/>
      <c r="AX189" s="879"/>
      <c r="AY189" s="881"/>
      <c r="AZ189" s="881"/>
      <c r="BA189" s="881"/>
      <c r="BB189" s="881"/>
      <c r="BC189" s="881"/>
      <c r="BD189" s="881"/>
      <c r="BE189" s="881"/>
      <c r="BF189" s="881"/>
      <c r="BG189" s="881"/>
      <c r="BH189" s="881"/>
      <c r="BI189" s="881"/>
    </row>
    <row r="190" spans="1:61" x14ac:dyDescent="0.2">
      <c r="B190" s="600" t="s">
        <v>4653</v>
      </c>
      <c r="C190" s="858" t="s">
        <v>255</v>
      </c>
      <c r="D190" s="858" t="s">
        <v>121</v>
      </c>
      <c r="E190" s="600"/>
      <c r="F190" s="23"/>
      <c r="G190" s="23"/>
      <c r="H190" s="691"/>
      <c r="I190" s="589"/>
      <c r="J190" s="873"/>
      <c r="K190" s="606" t="s">
        <v>121</v>
      </c>
      <c r="L190" s="923" t="s">
        <v>4593</v>
      </c>
      <c r="M190" s="883">
        <v>5</v>
      </c>
      <c r="N190" s="129"/>
      <c r="O190" s="886"/>
      <c r="P190" s="96"/>
      <c r="Q190" s="96"/>
      <c r="R190" s="96"/>
      <c r="S190" s="96"/>
      <c r="T190" s="96"/>
      <c r="U190" s="96"/>
      <c r="V190" s="96"/>
      <c r="W190" s="96"/>
      <c r="X190" s="1600"/>
      <c r="AL190" s="1352" t="str">
        <f>SUBSTITUTE(SUBSTITUTE(SUBSTITUTE("dpa"&amp;$B190&amp;$C190&amp;$D190&amp;$E190&amp;$F190,".","_"),"(","_"),")","")</f>
        <v>dpa802_7_1_2_a</v>
      </c>
      <c r="AM190" s="1352">
        <f>M190</f>
        <v>5</v>
      </c>
      <c r="AX190" s="879"/>
      <c r="AZ190" s="905"/>
      <c r="BA190" s="905"/>
      <c r="BB190" s="905"/>
      <c r="BC190" s="905"/>
      <c r="BD190" s="905"/>
      <c r="BE190" s="905"/>
      <c r="BF190" s="905"/>
      <c r="BG190" s="905"/>
      <c r="BH190" s="905"/>
      <c r="BI190" s="905"/>
    </row>
    <row r="191" spans="1:61" x14ac:dyDescent="0.2">
      <c r="B191" s="600" t="s">
        <v>4653</v>
      </c>
      <c r="C191" s="858" t="s">
        <v>255</v>
      </c>
      <c r="D191" s="858" t="s">
        <v>122</v>
      </c>
      <c r="E191" s="600"/>
      <c r="F191" s="23"/>
      <c r="G191" s="23"/>
      <c r="H191" s="691"/>
      <c r="I191" s="589"/>
      <c r="J191" s="873"/>
      <c r="K191" s="607" t="s">
        <v>122</v>
      </c>
      <c r="L191" s="1075" t="s">
        <v>4594</v>
      </c>
      <c r="M191" s="883">
        <v>10</v>
      </c>
      <c r="N191" s="129"/>
      <c r="O191" s="886"/>
      <c r="P191" s="96"/>
      <c r="Q191" s="96"/>
      <c r="R191" s="96"/>
      <c r="S191" s="96"/>
      <c r="T191" s="96"/>
      <c r="U191" s="96"/>
      <c r="V191" s="96"/>
      <c r="W191" s="96"/>
      <c r="X191" s="1600"/>
      <c r="AL191" s="1352" t="str">
        <f>SUBSTITUTE(SUBSTITUTE(SUBSTITUTE("dpa"&amp;$B191&amp;$C191&amp;$D191&amp;$E191&amp;$F191,".","_"),"(","_"),")","")</f>
        <v>dpa802_7_1_2_b</v>
      </c>
      <c r="AM191" s="1352">
        <f>M191</f>
        <v>10</v>
      </c>
      <c r="AX191" s="879"/>
    </row>
    <row r="192" spans="1:61" x14ac:dyDescent="0.2">
      <c r="B192" s="600" t="s">
        <v>4653</v>
      </c>
      <c r="C192" s="858" t="s">
        <v>255</v>
      </c>
      <c r="D192" s="858" t="s">
        <v>123</v>
      </c>
      <c r="E192" s="600"/>
      <c r="F192" s="23"/>
      <c r="G192" s="23"/>
      <c r="H192" s="691"/>
      <c r="I192" s="589"/>
      <c r="J192" s="873"/>
      <c r="K192" s="608" t="s">
        <v>123</v>
      </c>
      <c r="L192" s="1633" t="s">
        <v>4595</v>
      </c>
      <c r="M192" s="1623">
        <v>15</v>
      </c>
      <c r="N192" s="129"/>
      <c r="O192" s="886"/>
      <c r="P192" s="96"/>
      <c r="Q192" s="96"/>
      <c r="R192" s="96"/>
      <c r="S192" s="96"/>
      <c r="T192" s="96"/>
      <c r="U192" s="96"/>
      <c r="V192" s="96"/>
      <c r="W192" s="96"/>
      <c r="X192" s="1600"/>
      <c r="AL192" s="1352" t="str">
        <f>SUBSTITUTE(SUBSTITUTE(SUBSTITUTE("dpa"&amp;$B192&amp;$C192&amp;$D192&amp;$E192&amp;$F192,".","_"),"(","_"),")","")</f>
        <v>dpa802_7_1_2_c</v>
      </c>
      <c r="AM192" s="1352">
        <f>M192</f>
        <v>15</v>
      </c>
      <c r="AX192" s="904"/>
      <c r="AY192" s="905"/>
    </row>
    <row r="193" spans="2:50" ht="15" customHeight="1" x14ac:dyDescent="0.2">
      <c r="B193" s="600" t="s">
        <v>4653</v>
      </c>
      <c r="C193" s="858" t="s">
        <v>255</v>
      </c>
      <c r="D193" s="858" t="s">
        <v>123</v>
      </c>
      <c r="E193" s="600"/>
      <c r="F193" s="23"/>
      <c r="G193" s="23"/>
      <c r="H193" s="691"/>
      <c r="I193" s="589"/>
      <c r="J193" s="873"/>
      <c r="K193" s="606"/>
      <c r="L193" s="1639"/>
      <c r="M193" s="1624"/>
      <c r="N193" s="129"/>
      <c r="O193" s="886"/>
      <c r="P193" s="96"/>
      <c r="Q193" s="96"/>
      <c r="R193" s="96"/>
      <c r="S193" s="96"/>
      <c r="T193" s="96"/>
      <c r="U193" s="96"/>
      <c r="V193" s="96"/>
      <c r="W193" s="96"/>
      <c r="X193" s="1600"/>
      <c r="AX193" s="879"/>
    </row>
    <row r="194" spans="2:50" x14ac:dyDescent="0.2">
      <c r="B194" s="600" t="s">
        <v>4653</v>
      </c>
      <c r="C194" s="858" t="s">
        <v>255</v>
      </c>
      <c r="D194" s="858" t="s">
        <v>366</v>
      </c>
      <c r="E194" s="600"/>
      <c r="F194" s="23"/>
      <c r="G194" s="23"/>
      <c r="H194" s="691"/>
      <c r="I194" s="590"/>
      <c r="J194" s="1068"/>
      <c r="K194" s="590" t="s">
        <v>366</v>
      </c>
      <c r="L194" s="1634" t="s">
        <v>4596</v>
      </c>
      <c r="M194" s="1623">
        <v>25</v>
      </c>
      <c r="N194" s="129"/>
      <c r="O194" s="886"/>
      <c r="P194" s="96"/>
      <c r="Q194" s="96"/>
      <c r="R194" s="96"/>
      <c r="S194" s="96"/>
      <c r="T194" s="96"/>
      <c r="U194" s="96"/>
      <c r="V194" s="96"/>
      <c r="W194" s="96"/>
      <c r="X194" s="1600"/>
      <c r="AL194" s="1352" t="str">
        <f>SUBSTITUTE(SUBSTITUTE(SUBSTITUTE("dpa"&amp;$B194&amp;$C194&amp;$D194&amp;$E194&amp;$F194,".","_"),"(","_"),")","")</f>
        <v>dpa802_7_1_2_d</v>
      </c>
      <c r="AM194" s="1352">
        <f>M194</f>
        <v>25</v>
      </c>
      <c r="AX194" s="879"/>
    </row>
    <row r="195" spans="2:50" x14ac:dyDescent="0.2">
      <c r="B195" s="600" t="s">
        <v>4653</v>
      </c>
      <c r="C195" s="858" t="s">
        <v>255</v>
      </c>
      <c r="D195" s="858" t="s">
        <v>366</v>
      </c>
      <c r="E195" s="600"/>
      <c r="F195" s="23"/>
      <c r="G195" s="23"/>
      <c r="H195" s="691"/>
      <c r="I195" s="590"/>
      <c r="J195" s="1068"/>
      <c r="K195" s="1068"/>
      <c r="L195" s="1634"/>
      <c r="M195" s="1623"/>
      <c r="N195" s="129"/>
      <c r="O195" s="886"/>
      <c r="P195" s="96"/>
      <c r="Q195" s="96"/>
      <c r="R195" s="96"/>
      <c r="S195" s="96"/>
      <c r="T195" s="96"/>
      <c r="U195" s="96"/>
      <c r="V195" s="96"/>
      <c r="W195" s="96"/>
      <c r="X195" s="1600"/>
      <c r="AX195" s="879"/>
    </row>
    <row r="196" spans="2:50" ht="15" customHeight="1" x14ac:dyDescent="0.2">
      <c r="B196" s="600" t="s">
        <v>4653</v>
      </c>
      <c r="C196" s="858" t="s">
        <v>255</v>
      </c>
      <c r="D196" s="858" t="s">
        <v>366</v>
      </c>
      <c r="E196" s="600"/>
      <c r="F196" s="23"/>
      <c r="G196" s="23"/>
      <c r="H196" s="691"/>
      <c r="I196" s="606"/>
      <c r="J196" s="1072"/>
      <c r="K196" s="1072"/>
      <c r="L196" s="1639"/>
      <c r="M196" s="1624"/>
      <c r="N196" s="213"/>
      <c r="O196" s="888"/>
      <c r="P196" s="173"/>
      <c r="Q196" s="173"/>
      <c r="R196" s="173"/>
      <c r="S196" s="173"/>
      <c r="T196" s="173"/>
      <c r="U196" s="173"/>
      <c r="V196" s="173"/>
      <c r="W196" s="173"/>
      <c r="X196" s="1600"/>
      <c r="AX196" s="879"/>
    </row>
    <row r="197" spans="2:50" x14ac:dyDescent="0.2">
      <c r="B197" s="600" t="s">
        <v>4654</v>
      </c>
      <c r="C197" s="858"/>
      <c r="D197" s="858"/>
      <c r="E197" s="600"/>
      <c r="F197" s="23"/>
      <c r="G197" s="23"/>
      <c r="H197" s="691"/>
      <c r="I197" s="589" t="s">
        <v>4597</v>
      </c>
      <c r="J197" s="873"/>
      <c r="K197" s="873"/>
      <c r="L197" s="1687" t="s">
        <v>4598</v>
      </c>
      <c r="M197" s="890"/>
      <c r="N197" s="4"/>
      <c r="O197" s="1669">
        <f ca="1">MAX(IFERROR(5*MATCH(W200,INDIRECT(U200),0),0)*S200,M202*S202*W202)*S200</f>
        <v>0</v>
      </c>
      <c r="AN197" s="1352" t="str">
        <f>SUBSTITUTE(SUBSTITUTE(SUBSTITUTE("dpc"&amp;$B197&amp;$C197&amp;$D197&amp;$E197&amp;$F197,".","_"),"(","_"),")","")</f>
        <v>dpc802_7_2</v>
      </c>
      <c r="AO197" s="1352">
        <f ca="1">O197</f>
        <v>0</v>
      </c>
      <c r="AX197" s="879"/>
    </row>
    <row r="198" spans="2:50" x14ac:dyDescent="0.2">
      <c r="B198" s="600" t="s">
        <v>4654</v>
      </c>
      <c r="C198" s="858"/>
      <c r="D198" s="858"/>
      <c r="E198" s="600"/>
      <c r="F198" s="23"/>
      <c r="G198" s="23"/>
      <c r="H198" s="691"/>
      <c r="I198" s="589"/>
      <c r="J198" s="873"/>
      <c r="K198" s="873"/>
      <c r="L198" s="1687"/>
      <c r="M198" s="890"/>
      <c r="N198" s="4"/>
      <c r="O198" s="1669"/>
      <c r="AX198" s="879"/>
    </row>
    <row r="199" spans="2:50" ht="15" customHeight="1" x14ac:dyDescent="0.2">
      <c r="B199" s="600" t="s">
        <v>4654</v>
      </c>
      <c r="C199" s="858"/>
      <c r="D199" s="858"/>
      <c r="E199" s="600"/>
      <c r="F199" s="23"/>
      <c r="G199" s="23"/>
      <c r="H199" s="691"/>
      <c r="I199" s="589"/>
      <c r="J199" s="873"/>
      <c r="K199" s="873"/>
      <c r="L199" s="1687"/>
      <c r="M199" s="890"/>
      <c r="N199" s="4"/>
      <c r="O199" s="1669"/>
      <c r="U199" s="991"/>
      <c r="AX199" s="879"/>
    </row>
    <row r="200" spans="2:50" x14ac:dyDescent="0.2">
      <c r="B200" s="600" t="s">
        <v>4654</v>
      </c>
      <c r="C200" s="858" t="s">
        <v>254</v>
      </c>
      <c r="D200" s="858"/>
      <c r="E200" s="600"/>
      <c r="F200" s="23"/>
      <c r="G200" s="23"/>
      <c r="H200" s="691"/>
      <c r="I200" s="589"/>
      <c r="J200" s="1068" t="s">
        <v>254</v>
      </c>
      <c r="K200" s="1068"/>
      <c r="L200" s="1634" t="s">
        <v>4599</v>
      </c>
      <c r="M200" s="1692" t="s">
        <v>4670</v>
      </c>
      <c r="N200" s="4"/>
      <c r="O200" s="885"/>
      <c r="P200" s="96" t="b">
        <v>0</v>
      </c>
      <c r="Q200" s="881" t="b">
        <v>1</v>
      </c>
      <c r="R200" s="881" t="b">
        <v>0</v>
      </c>
      <c r="S200" s="905" t="b">
        <f ca="1">S14=1</f>
        <v>1</v>
      </c>
      <c r="T200" s="96" t="b">
        <f ca="1">IF(AND(NOT(S200),LEN(W200)&gt;0),TRUE,FALSE)</f>
        <v>0</v>
      </c>
      <c r="U200" s="991" t="str">
        <f>SUBSTITUTE(SUBSTITUTE(SUBSTITUTE("dd"&amp;B200&amp;C200&amp;D200&amp;E200&amp;F200,".","_"),"(","_"),")","")</f>
        <v>dd802_7_2_1</v>
      </c>
      <c r="W200" s="12"/>
      <c r="X200" s="1600"/>
      <c r="AC200" s="905" t="b">
        <f ca="1">OR(AD200:AE200)</f>
        <v>0</v>
      </c>
      <c r="AD200" s="905" t="b">
        <f ca="1">T200</f>
        <v>0</v>
      </c>
      <c r="AE200" s="905"/>
      <c r="AL200" s="1352" t="str">
        <f>SUBSTITUTE(SUBSTITUTE(SUBSTITUTE("dpa"&amp;$B200&amp;$C200&amp;$D200&amp;$E200&amp;$F200,".","_"),"(","_"),")","")</f>
        <v>dpa802_7_2_1</v>
      </c>
      <c r="AM200" s="1352" t="str">
        <f>M200</f>
        <v>5
15 Max</v>
      </c>
      <c r="AP200" s="1352" t="str">
        <f>SUBSTITUTE(SUBSTITUTE(SUBSTITUTE("dch"&amp;$B200&amp;$C200&amp;$D200&amp;$E200&amp;$F200,".","_"),"(","_"),")","")</f>
        <v>dch802_7_2_1</v>
      </c>
      <c r="AQ200" s="1352" t="str">
        <f>IF(LEN(W200)=0,"",W200)</f>
        <v/>
      </c>
      <c r="AR200" s="1352" t="str">
        <f>SUBSTITUTE(SUBSTITUTE(SUBSTITUTE("dnt"&amp;$B200&amp;$C200&amp;$D200&amp;$E200&amp;$F200,".","_"),"(","_"),")","")</f>
        <v>dnt802_7_2_1</v>
      </c>
      <c r="AS200" s="1352" t="str">
        <f>IF(LEN(X200)=0,"",X200)</f>
        <v/>
      </c>
      <c r="AX200" s="879"/>
    </row>
    <row r="201" spans="2:50" x14ac:dyDescent="0.2">
      <c r="B201" s="600" t="s">
        <v>4654</v>
      </c>
      <c r="C201" s="858" t="s">
        <v>254</v>
      </c>
      <c r="D201" s="858"/>
      <c r="E201" s="600"/>
      <c r="F201" s="23"/>
      <c r="G201" s="23"/>
      <c r="H201" s="691"/>
      <c r="I201" s="589"/>
      <c r="J201" s="1072"/>
      <c r="K201" s="1072"/>
      <c r="L201" s="1639"/>
      <c r="M201" s="1624"/>
      <c r="N201" s="4"/>
      <c r="O201" s="885"/>
      <c r="X201" s="1600"/>
      <c r="AX201" s="879"/>
    </row>
    <row r="202" spans="2:50" ht="16" thickBot="1" x14ac:dyDescent="0.25">
      <c r="B202" s="600" t="s">
        <v>4654</v>
      </c>
      <c r="C202" s="858" t="s">
        <v>255</v>
      </c>
      <c r="D202" s="858"/>
      <c r="E202" s="600"/>
      <c r="F202" s="23"/>
      <c r="G202" s="23"/>
      <c r="H202" s="691"/>
      <c r="I202" s="589"/>
      <c r="J202" s="873" t="s">
        <v>255</v>
      </c>
      <c r="K202" s="873"/>
      <c r="L202" s="1634" t="s">
        <v>4600</v>
      </c>
      <c r="M202" s="913">
        <v>25</v>
      </c>
      <c r="N202" s="129"/>
      <c r="O202" s="908"/>
      <c r="P202" s="991" t="b">
        <v>0</v>
      </c>
      <c r="Q202" s="991" t="b">
        <v>1</v>
      </c>
      <c r="R202" s="100" t="b">
        <v>0</v>
      </c>
      <c r="S202" s="100" t="b">
        <f ca="1">S14=1</f>
        <v>1</v>
      </c>
      <c r="T202" s="991" t="b">
        <f ca="1">IF(AND(NOT(S202),W202=TRUE),TRUE,FALSE)</f>
        <v>0</v>
      </c>
      <c r="U202" s="100"/>
      <c r="V202" s="100"/>
      <c r="W202" s="333"/>
      <c r="X202" s="1601"/>
      <c r="AC202" s="905" t="b">
        <f ca="1">OR(AD202:AE202)</f>
        <v>0</v>
      </c>
      <c r="AD202" s="905" t="b">
        <f ca="1">T202</f>
        <v>0</v>
      </c>
      <c r="AE202" s="905"/>
      <c r="AL202" s="1352" t="str">
        <f>SUBSTITUTE(SUBSTITUTE(SUBSTITUTE("dpa"&amp;$B202&amp;$C202&amp;$D202&amp;$E202&amp;$F202,".","_"),"(","_"),")","")</f>
        <v>dpa802_7_2_2</v>
      </c>
      <c r="AM202" s="1352">
        <f>M202</f>
        <v>25</v>
      </c>
      <c r="AP202" s="1352" t="str">
        <f>SUBSTITUTE(SUBSTITUTE(SUBSTITUTE("dch"&amp;$B202&amp;$C202&amp;$D202&amp;$E202&amp;$F202,".","_"),"(","_"),")","")</f>
        <v>dch802_7_2_2</v>
      </c>
      <c r="AQ202" s="1352" t="str">
        <f>IF(LEN(W202)=0,"",W202)</f>
        <v/>
      </c>
      <c r="AR202" s="1352" t="str">
        <f>SUBSTITUTE(SUBSTITUTE(SUBSTITUTE("dnt"&amp;$B202&amp;$C202&amp;$D202&amp;$E202&amp;$F202,".","_"),"(","_"),")","")</f>
        <v>dnt802_7_2_2</v>
      </c>
      <c r="AS202" s="1352" t="str">
        <f>IF(LEN(X202)=0,"",X202)</f>
        <v/>
      </c>
      <c r="AX202" s="879"/>
    </row>
    <row r="203" spans="2:50" ht="16" thickTop="1" x14ac:dyDescent="0.2">
      <c r="B203" s="600" t="s">
        <v>4654</v>
      </c>
      <c r="C203" s="858" t="s">
        <v>255</v>
      </c>
      <c r="D203" s="858"/>
      <c r="E203" s="600"/>
      <c r="F203" s="23"/>
      <c r="G203" s="23"/>
      <c r="H203" s="691"/>
      <c r="I203" s="589"/>
      <c r="J203" s="873"/>
      <c r="K203" s="873"/>
      <c r="L203" s="1634"/>
      <c r="M203" s="991"/>
      <c r="N203" s="991"/>
      <c r="O203" s="991"/>
      <c r="P203" s="991"/>
      <c r="Q203" s="991"/>
      <c r="R203" s="991"/>
      <c r="S203" s="991"/>
      <c r="T203" s="991"/>
      <c r="U203" s="991"/>
      <c r="V203" s="991"/>
      <c r="W203" s="991"/>
      <c r="X203" s="1601"/>
      <c r="AX203" s="879"/>
    </row>
    <row r="204" spans="2:50" x14ac:dyDescent="0.2">
      <c r="B204" s="600" t="s">
        <v>4654</v>
      </c>
      <c r="C204" s="858" t="s">
        <v>255</v>
      </c>
      <c r="D204" s="858"/>
      <c r="E204" s="600"/>
      <c r="F204" s="23"/>
      <c r="G204" s="23"/>
      <c r="H204" s="691"/>
      <c r="I204" s="589"/>
      <c r="J204" s="873"/>
      <c r="K204" s="873"/>
      <c r="L204" s="1634"/>
      <c r="M204" s="991"/>
      <c r="N204" s="991"/>
      <c r="O204" s="991"/>
      <c r="P204" s="991"/>
      <c r="Q204" s="991"/>
      <c r="R204" s="991"/>
      <c r="S204" s="991"/>
      <c r="T204" s="991"/>
      <c r="U204" s="991"/>
      <c r="V204" s="991"/>
      <c r="W204" s="991"/>
      <c r="X204" s="1601"/>
      <c r="AX204" s="879"/>
    </row>
    <row r="205" spans="2:50" ht="15" customHeight="1" x14ac:dyDescent="0.2">
      <c r="B205" s="600" t="s">
        <v>4654</v>
      </c>
      <c r="C205" s="858" t="s">
        <v>255</v>
      </c>
      <c r="D205" s="858"/>
      <c r="E205" s="600"/>
      <c r="F205" s="23"/>
      <c r="G205" s="23"/>
      <c r="H205" s="691"/>
      <c r="I205" s="589"/>
      <c r="J205" s="873"/>
      <c r="K205" s="873"/>
      <c r="L205" s="1634"/>
      <c r="M205" s="913"/>
      <c r="N205" s="129"/>
      <c r="O205" s="908"/>
      <c r="P205" s="991"/>
      <c r="Q205" s="991"/>
      <c r="R205" s="991"/>
      <c r="S205" s="991"/>
      <c r="T205" s="991"/>
      <c r="U205" s="991"/>
      <c r="V205" s="991"/>
      <c r="W205" s="991"/>
      <c r="X205" s="1601"/>
      <c r="AX205" s="879"/>
    </row>
    <row r="206" spans="2:50" x14ac:dyDescent="0.2">
      <c r="B206" s="600" t="s">
        <v>4654</v>
      </c>
      <c r="C206" s="858" t="s">
        <v>255</v>
      </c>
      <c r="D206" s="858" t="s">
        <v>121</v>
      </c>
      <c r="E206" s="600"/>
      <c r="F206" s="23"/>
      <c r="G206" s="23"/>
      <c r="H206" s="691"/>
      <c r="I206" s="589"/>
      <c r="J206" s="873"/>
      <c r="K206" s="590" t="s">
        <v>121</v>
      </c>
      <c r="L206" s="1634" t="s">
        <v>4601</v>
      </c>
      <c r="M206" s="913"/>
      <c r="N206" s="129"/>
      <c r="O206" s="908"/>
      <c r="P206" s="991"/>
      <c r="Q206" s="991"/>
      <c r="R206" s="991"/>
      <c r="S206" s="991"/>
      <c r="T206" s="991"/>
      <c r="U206" s="991"/>
      <c r="V206" s="991"/>
      <c r="W206" s="991"/>
      <c r="X206" s="1601"/>
      <c r="AX206" s="879"/>
    </row>
    <row r="207" spans="2:50" ht="15" customHeight="1" x14ac:dyDescent="0.2">
      <c r="B207" s="600" t="s">
        <v>4654</v>
      </c>
      <c r="C207" s="858" t="s">
        <v>255</v>
      </c>
      <c r="D207" s="858" t="s">
        <v>121</v>
      </c>
      <c r="E207" s="600"/>
      <c r="F207" s="23"/>
      <c r="G207" s="23"/>
      <c r="H207" s="691"/>
      <c r="I207" s="589"/>
      <c r="J207" s="873"/>
      <c r="K207" s="590"/>
      <c r="L207" s="1634"/>
      <c r="M207" s="913"/>
      <c r="N207" s="129"/>
      <c r="O207" s="908"/>
      <c r="P207" s="991"/>
      <c r="Q207" s="991"/>
      <c r="R207" s="991"/>
      <c r="S207" s="991"/>
      <c r="T207" s="991"/>
      <c r="U207" s="991"/>
      <c r="V207" s="991"/>
      <c r="W207" s="991"/>
      <c r="X207" s="1601"/>
      <c r="AX207" s="879"/>
    </row>
    <row r="208" spans="2:50" x14ac:dyDescent="0.2">
      <c r="B208" s="600" t="s">
        <v>4654</v>
      </c>
      <c r="C208" s="858" t="s">
        <v>255</v>
      </c>
      <c r="D208" s="858" t="s">
        <v>121</v>
      </c>
      <c r="E208" s="600"/>
      <c r="F208" s="23"/>
      <c r="G208" s="23"/>
      <c r="H208" s="691"/>
      <c r="I208" s="589"/>
      <c r="J208" s="873"/>
      <c r="K208" s="590"/>
      <c r="L208" s="1634"/>
      <c r="M208" s="913"/>
      <c r="N208" s="129"/>
      <c r="O208" s="908"/>
      <c r="P208" s="991"/>
      <c r="Q208" s="991"/>
      <c r="R208" s="991"/>
      <c r="S208" s="991"/>
      <c r="T208" s="991"/>
      <c r="U208" s="991"/>
      <c r="V208" s="991"/>
      <c r="W208" s="991"/>
      <c r="X208" s="1601"/>
      <c r="AX208" s="879"/>
    </row>
    <row r="209" spans="2:50" x14ac:dyDescent="0.2">
      <c r="B209" s="600" t="s">
        <v>4654</v>
      </c>
      <c r="C209" s="858" t="s">
        <v>255</v>
      </c>
      <c r="D209" s="858" t="s">
        <v>122</v>
      </c>
      <c r="E209" s="600"/>
      <c r="F209" s="23"/>
      <c r="G209" s="23"/>
      <c r="H209" s="691"/>
      <c r="I209" s="589"/>
      <c r="J209" s="873"/>
      <c r="K209" s="590" t="s">
        <v>122</v>
      </c>
      <c r="L209" s="1634" t="s">
        <v>4602</v>
      </c>
      <c r="M209" s="913"/>
      <c r="N209" s="129"/>
      <c r="O209" s="908"/>
      <c r="P209" s="991"/>
      <c r="Q209" s="991"/>
      <c r="R209" s="991"/>
      <c r="S209" s="991"/>
      <c r="T209" s="991"/>
      <c r="U209" s="991"/>
      <c r="V209" s="991"/>
      <c r="W209" s="991"/>
      <c r="X209" s="1601"/>
      <c r="AX209" s="879"/>
    </row>
    <row r="210" spans="2:50" ht="15" customHeight="1" x14ac:dyDescent="0.2">
      <c r="B210" s="600" t="s">
        <v>4654</v>
      </c>
      <c r="C210" s="858" t="s">
        <v>255</v>
      </c>
      <c r="D210" s="858" t="s">
        <v>122</v>
      </c>
      <c r="E210" s="600"/>
      <c r="F210" s="23"/>
      <c r="G210" s="23"/>
      <c r="H210" s="691"/>
      <c r="I210" s="589"/>
      <c r="J210" s="873"/>
      <c r="K210" s="590"/>
      <c r="L210" s="1634"/>
      <c r="M210" s="913"/>
      <c r="N210" s="129"/>
      <c r="O210" s="908"/>
      <c r="P210" s="991"/>
      <c r="Q210" s="991"/>
      <c r="R210" s="991"/>
      <c r="S210" s="991"/>
      <c r="T210" s="991"/>
      <c r="U210" s="991"/>
      <c r="V210" s="991"/>
      <c r="W210" s="991"/>
      <c r="X210" s="1601"/>
      <c r="AX210" s="879"/>
    </row>
    <row r="211" spans="2:50" x14ac:dyDescent="0.2">
      <c r="B211" s="600" t="s">
        <v>4654</v>
      </c>
      <c r="C211" s="858" t="s">
        <v>255</v>
      </c>
      <c r="D211" s="858" t="s">
        <v>123</v>
      </c>
      <c r="E211" s="600"/>
      <c r="F211" s="23"/>
      <c r="G211" s="23"/>
      <c r="H211" s="691"/>
      <c r="I211" s="589"/>
      <c r="J211" s="873"/>
      <c r="K211" s="590" t="s">
        <v>123</v>
      </c>
      <c r="L211" s="917" t="s">
        <v>4603</v>
      </c>
      <c r="M211" s="913"/>
      <c r="N211" s="129"/>
      <c r="O211" s="908"/>
      <c r="P211" s="991"/>
      <c r="Q211" s="991"/>
      <c r="R211" s="991"/>
      <c r="S211" s="991"/>
      <c r="T211" s="991"/>
      <c r="U211" s="991"/>
      <c r="V211" s="991"/>
      <c r="W211" s="991"/>
      <c r="X211" s="1601"/>
      <c r="AX211" s="879"/>
    </row>
    <row r="212" spans="2:50" ht="15" customHeight="1" x14ac:dyDescent="0.2">
      <c r="B212" s="600" t="s">
        <v>4654</v>
      </c>
      <c r="C212" s="858" t="s">
        <v>255</v>
      </c>
      <c r="D212" s="858" t="s">
        <v>648</v>
      </c>
      <c r="E212" s="600"/>
      <c r="F212" s="23"/>
      <c r="G212" s="23"/>
      <c r="H212" s="691"/>
      <c r="I212" s="589"/>
      <c r="J212" s="873"/>
      <c r="K212" s="873" t="s">
        <v>648</v>
      </c>
      <c r="L212" s="1634" t="s">
        <v>4604</v>
      </c>
      <c r="M212" s="913"/>
      <c r="N212" s="129"/>
      <c r="O212" s="908"/>
      <c r="P212" s="991"/>
      <c r="Q212" s="991"/>
      <c r="R212" s="991"/>
      <c r="S212" s="991"/>
      <c r="T212" s="991"/>
      <c r="U212" s="991"/>
      <c r="V212" s="991"/>
      <c r="W212" s="991"/>
      <c r="X212" s="1601"/>
      <c r="AX212" s="879"/>
    </row>
    <row r="213" spans="2:50" x14ac:dyDescent="0.2">
      <c r="B213" s="600" t="s">
        <v>4654</v>
      </c>
      <c r="C213" s="858" t="s">
        <v>255</v>
      </c>
      <c r="D213" s="858" t="s">
        <v>648</v>
      </c>
      <c r="E213" s="600"/>
      <c r="F213" s="23"/>
      <c r="G213" s="23"/>
      <c r="H213" s="691"/>
      <c r="I213" s="589"/>
      <c r="J213" s="873"/>
      <c r="K213" s="873"/>
      <c r="L213" s="1634"/>
      <c r="M213" s="913"/>
      <c r="N213" s="129"/>
      <c r="O213" s="908"/>
      <c r="P213" s="991"/>
      <c r="Q213" s="991"/>
      <c r="R213" s="991"/>
      <c r="S213" s="991"/>
      <c r="T213" s="991"/>
      <c r="U213" s="991"/>
      <c r="V213" s="991"/>
      <c r="W213" s="991"/>
      <c r="X213" s="1601"/>
      <c r="AX213" s="879"/>
    </row>
    <row r="214" spans="2:50" x14ac:dyDescent="0.2">
      <c r="B214" s="600" t="s">
        <v>4654</v>
      </c>
      <c r="C214" s="858" t="s">
        <v>255</v>
      </c>
      <c r="D214" s="858" t="s">
        <v>648</v>
      </c>
      <c r="E214" s="600"/>
      <c r="F214" s="23"/>
      <c r="G214" s="23"/>
      <c r="H214" s="691"/>
      <c r="I214" s="589"/>
      <c r="J214" s="873"/>
      <c r="K214" s="873"/>
      <c r="L214" s="1634"/>
      <c r="M214" s="913"/>
      <c r="N214" s="129"/>
      <c r="O214" s="908"/>
      <c r="P214" s="991"/>
      <c r="Q214" s="991"/>
      <c r="R214" s="991"/>
      <c r="S214" s="991"/>
      <c r="T214" s="991"/>
      <c r="U214" s="991"/>
      <c r="V214" s="991"/>
      <c r="W214" s="991"/>
      <c r="X214" s="1601"/>
      <c r="AX214" s="879"/>
    </row>
    <row r="215" spans="2:50" ht="15" customHeight="1" x14ac:dyDescent="0.2">
      <c r="B215" s="600" t="s">
        <v>4654</v>
      </c>
      <c r="C215" s="858" t="s">
        <v>255</v>
      </c>
      <c r="D215" s="858" t="s">
        <v>648</v>
      </c>
      <c r="E215" s="600"/>
      <c r="F215" s="23"/>
      <c r="G215" s="23"/>
      <c r="H215" s="691"/>
      <c r="I215" s="589"/>
      <c r="J215" s="873"/>
      <c r="K215" s="873"/>
      <c r="L215" s="1634"/>
      <c r="M215" s="913"/>
      <c r="N215" s="129"/>
      <c r="O215" s="908"/>
      <c r="P215" s="991"/>
      <c r="Q215" s="991"/>
      <c r="R215" s="991"/>
      <c r="S215" s="991"/>
      <c r="T215" s="991"/>
      <c r="U215" s="991"/>
      <c r="V215" s="991"/>
      <c r="W215" s="991"/>
      <c r="X215" s="1601"/>
      <c r="AX215" s="879"/>
    </row>
    <row r="216" spans="2:50" x14ac:dyDescent="0.2">
      <c r="B216" s="600" t="s">
        <v>4654</v>
      </c>
      <c r="C216" s="858" t="s">
        <v>255</v>
      </c>
      <c r="D216" s="858" t="s">
        <v>4248</v>
      </c>
      <c r="E216" s="600"/>
      <c r="F216" s="23"/>
      <c r="G216" s="23"/>
      <c r="H216" s="691"/>
      <c r="I216" s="589"/>
      <c r="J216" s="873"/>
      <c r="K216" s="873" t="s">
        <v>4248</v>
      </c>
      <c r="L216" s="917" t="s">
        <v>4605</v>
      </c>
      <c r="M216" s="913"/>
      <c r="N216" s="129"/>
      <c r="O216" s="908"/>
      <c r="P216" s="991"/>
      <c r="Q216" s="991"/>
      <c r="R216" s="991"/>
      <c r="S216" s="991"/>
      <c r="T216" s="991"/>
      <c r="U216" s="991"/>
      <c r="V216" s="991"/>
      <c r="W216" s="991"/>
      <c r="X216" s="1601"/>
      <c r="AX216" s="879"/>
    </row>
    <row r="217" spans="2:50" x14ac:dyDescent="0.2">
      <c r="B217" s="600" t="s">
        <v>4654</v>
      </c>
      <c r="C217" s="858" t="s">
        <v>255</v>
      </c>
      <c r="D217" s="858" t="s">
        <v>4250</v>
      </c>
      <c r="E217" s="600"/>
      <c r="F217" s="23"/>
      <c r="G217" s="23"/>
      <c r="H217" s="691"/>
      <c r="I217" s="589"/>
      <c r="J217" s="873"/>
      <c r="K217" s="873" t="s">
        <v>4250</v>
      </c>
      <c r="L217" s="917" t="s">
        <v>4606</v>
      </c>
      <c r="M217" s="913"/>
      <c r="N217" s="129"/>
      <c r="O217" s="908"/>
      <c r="P217" s="991"/>
      <c r="Q217" s="991"/>
      <c r="R217" s="991"/>
      <c r="S217" s="991"/>
      <c r="T217" s="991"/>
      <c r="U217" s="991"/>
      <c r="V217" s="991"/>
      <c r="W217" s="991"/>
      <c r="X217" s="1601"/>
      <c r="AX217" s="879"/>
    </row>
    <row r="218" spans="2:50" x14ac:dyDescent="0.2">
      <c r="B218" s="600" t="s">
        <v>4654</v>
      </c>
      <c r="C218" s="858" t="s">
        <v>255</v>
      </c>
      <c r="D218" s="858" t="s">
        <v>366</v>
      </c>
      <c r="E218" s="600"/>
      <c r="F218" s="23"/>
      <c r="G218" s="23"/>
      <c r="H218" s="691"/>
      <c r="I218" s="589"/>
      <c r="J218" s="873"/>
      <c r="K218" s="589" t="s">
        <v>366</v>
      </c>
      <c r="L218" s="1634" t="s">
        <v>4607</v>
      </c>
      <c r="M218" s="991"/>
      <c r="N218" s="991"/>
      <c r="O218" s="991"/>
      <c r="P218" s="991"/>
      <c r="Q218" s="991"/>
      <c r="R218" s="991"/>
      <c r="S218" s="991"/>
      <c r="T218" s="991"/>
      <c r="U218" s="991"/>
      <c r="V218" s="991"/>
      <c r="W218" s="991"/>
      <c r="X218" s="1601"/>
      <c r="AX218" s="879"/>
    </row>
    <row r="219" spans="2:50" x14ac:dyDescent="0.2">
      <c r="B219" s="600" t="s">
        <v>4654</v>
      </c>
      <c r="C219" s="858" t="s">
        <v>255</v>
      </c>
      <c r="D219" s="858" t="s">
        <v>366</v>
      </c>
      <c r="E219" s="600"/>
      <c r="F219" s="23"/>
      <c r="G219" s="23"/>
      <c r="H219" s="691"/>
      <c r="I219" s="589"/>
      <c r="J219" s="873"/>
      <c r="K219" s="589"/>
      <c r="L219" s="1634"/>
      <c r="M219" s="991"/>
      <c r="N219" s="991"/>
      <c r="O219" s="991"/>
      <c r="P219" s="991"/>
      <c r="Q219" s="991"/>
      <c r="R219" s="991"/>
      <c r="S219" s="991"/>
      <c r="T219" s="991"/>
      <c r="U219" s="991"/>
      <c r="V219" s="991"/>
      <c r="W219" s="991"/>
      <c r="X219" s="1601"/>
      <c r="AX219" s="879"/>
    </row>
    <row r="220" spans="2:50" x14ac:dyDescent="0.2">
      <c r="B220" s="600" t="s">
        <v>4654</v>
      </c>
      <c r="C220" s="858" t="s">
        <v>255</v>
      </c>
      <c r="D220" s="858" t="s">
        <v>472</v>
      </c>
      <c r="E220" s="600"/>
      <c r="F220" s="23"/>
      <c r="G220" s="23"/>
      <c r="H220" s="691"/>
      <c r="I220" s="589"/>
      <c r="J220" s="873"/>
      <c r="K220" s="589" t="s">
        <v>472</v>
      </c>
      <c r="L220" s="1634" t="s">
        <v>4608</v>
      </c>
      <c r="M220" s="913"/>
      <c r="N220" s="129"/>
      <c r="O220" s="908"/>
      <c r="P220" s="991"/>
      <c r="Q220" s="991"/>
      <c r="R220" s="991"/>
      <c r="S220" s="991"/>
      <c r="T220" s="991"/>
      <c r="U220" s="991"/>
      <c r="V220" s="991"/>
      <c r="W220" s="991"/>
      <c r="X220" s="1601"/>
      <c r="AX220" s="879"/>
    </row>
    <row r="221" spans="2:50" x14ac:dyDescent="0.2">
      <c r="B221" s="600" t="s">
        <v>4654</v>
      </c>
      <c r="C221" s="858" t="s">
        <v>255</v>
      </c>
      <c r="D221" s="858" t="s">
        <v>472</v>
      </c>
      <c r="E221" s="600"/>
      <c r="F221" s="23"/>
      <c r="G221" s="23"/>
      <c r="H221" s="691"/>
      <c r="I221" s="589"/>
      <c r="J221" s="873"/>
      <c r="K221" s="589"/>
      <c r="L221" s="1634"/>
      <c r="M221" s="913"/>
      <c r="N221" s="129"/>
      <c r="O221" s="908"/>
      <c r="P221" s="991"/>
      <c r="Q221" s="991"/>
      <c r="R221" s="991"/>
      <c r="S221" s="991"/>
      <c r="T221" s="991"/>
      <c r="U221" s="991"/>
      <c r="V221" s="991"/>
      <c r="W221" s="991"/>
      <c r="X221" s="1601"/>
      <c r="AX221" s="879"/>
    </row>
    <row r="222" spans="2:50" x14ac:dyDescent="0.2">
      <c r="B222" s="600" t="s">
        <v>4654</v>
      </c>
      <c r="C222" s="858" t="s">
        <v>255</v>
      </c>
      <c r="D222" s="858" t="s">
        <v>510</v>
      </c>
      <c r="E222" s="600"/>
      <c r="F222" s="23"/>
      <c r="G222" s="23"/>
      <c r="H222" s="691"/>
      <c r="I222" s="589"/>
      <c r="J222" s="873"/>
      <c r="K222" s="589" t="s">
        <v>510</v>
      </c>
      <c r="L222" s="917" t="s">
        <v>4609</v>
      </c>
      <c r="M222" s="913"/>
      <c r="N222" s="129"/>
      <c r="O222" s="908"/>
      <c r="P222" s="991"/>
      <c r="Q222" s="991"/>
      <c r="R222" s="991"/>
      <c r="S222" s="991"/>
      <c r="T222" s="991"/>
      <c r="U222" s="991"/>
      <c r="V222" s="991"/>
      <c r="W222" s="991"/>
      <c r="X222" s="1601"/>
      <c r="AX222" s="879"/>
    </row>
    <row r="223" spans="2:50" ht="15" customHeight="1" x14ac:dyDescent="0.2">
      <c r="B223" s="600" t="s">
        <v>4654</v>
      </c>
      <c r="C223" s="858" t="s">
        <v>255</v>
      </c>
      <c r="D223" s="858" t="s">
        <v>512</v>
      </c>
      <c r="E223" s="600"/>
      <c r="F223" s="23"/>
      <c r="G223" s="23"/>
      <c r="H223" s="691"/>
      <c r="I223" s="590"/>
      <c r="J223" s="1068"/>
      <c r="K223" s="590" t="s">
        <v>512</v>
      </c>
      <c r="L223" s="1634" t="s">
        <v>4610</v>
      </c>
      <c r="M223" s="913"/>
      <c r="N223" s="129"/>
      <c r="O223" s="908"/>
      <c r="P223" s="991"/>
      <c r="Q223" s="991"/>
      <c r="R223" s="991"/>
      <c r="S223" s="991"/>
      <c r="T223" s="991"/>
      <c r="U223" s="991"/>
      <c r="V223" s="991"/>
      <c r="W223" s="991"/>
      <c r="X223" s="1601"/>
      <c r="AX223" s="879"/>
    </row>
    <row r="224" spans="2:50" ht="16" thickBot="1" x14ac:dyDescent="0.25">
      <c r="B224" s="600" t="s">
        <v>4654</v>
      </c>
      <c r="C224" s="858" t="s">
        <v>255</v>
      </c>
      <c r="D224" s="858" t="s">
        <v>512</v>
      </c>
      <c r="E224" s="600"/>
      <c r="F224" s="23"/>
      <c r="G224" s="23"/>
      <c r="H224" s="691"/>
      <c r="I224" s="594"/>
      <c r="J224" s="1069"/>
      <c r="K224" s="1069"/>
      <c r="L224" s="1635"/>
      <c r="M224" s="914"/>
      <c r="N224" s="239"/>
      <c r="O224" s="922"/>
      <c r="P224" s="100"/>
      <c r="Q224" s="100"/>
      <c r="R224" s="100"/>
      <c r="S224" s="100"/>
      <c r="T224" s="100"/>
      <c r="U224" s="100"/>
      <c r="V224" s="100"/>
      <c r="W224" s="100"/>
      <c r="X224" s="1602"/>
      <c r="AX224" s="879"/>
    </row>
    <row r="225" spans="2:50" ht="16" thickTop="1" x14ac:dyDescent="0.2">
      <c r="B225" s="600">
        <v>802.8</v>
      </c>
      <c r="C225" s="858"/>
      <c r="D225" s="858"/>
      <c r="E225" s="600"/>
      <c r="F225" s="23"/>
      <c r="G225" s="23"/>
      <c r="H225" s="691"/>
      <c r="I225" s="590" t="s">
        <v>4611</v>
      </c>
      <c r="J225" s="1068"/>
      <c r="K225" s="1068"/>
      <c r="L225" s="1687" t="s">
        <v>4612</v>
      </c>
      <c r="M225" s="1623">
        <v>1</v>
      </c>
      <c r="N225" s="129"/>
      <c r="O225" s="1619">
        <f ca="1">M225*S225*W225</f>
        <v>0</v>
      </c>
      <c r="P225" s="991" t="b">
        <v>0</v>
      </c>
      <c r="Q225" s="991" t="b">
        <v>1</v>
      </c>
      <c r="R225" s="991" t="b">
        <v>0</v>
      </c>
      <c r="S225" s="991" t="b">
        <f ca="1">S14=1</f>
        <v>1</v>
      </c>
      <c r="T225" s="991" t="b">
        <f ca="1">IF(AND(NOT(S225),W225=TRUE),TRUE,FALSE)</f>
        <v>0</v>
      </c>
      <c r="U225" s="991"/>
      <c r="V225" s="991"/>
      <c r="W225" s="119"/>
      <c r="X225" s="1599"/>
      <c r="AC225" s="905" t="b">
        <f ca="1">OR(AD225:AE225)</f>
        <v>0</v>
      </c>
      <c r="AD225" s="905" t="b">
        <f ca="1">T225</f>
        <v>0</v>
      </c>
      <c r="AE225" s="905"/>
      <c r="AL225" s="1352" t="str">
        <f>SUBSTITUTE(SUBSTITUTE(SUBSTITUTE("dpa"&amp;$B225&amp;$C225&amp;$D225&amp;$E225&amp;$F225,".","_"),"(","_"),")","")</f>
        <v>dpa802_8</v>
      </c>
      <c r="AM225" s="1352">
        <f>M225</f>
        <v>1</v>
      </c>
      <c r="AN225" s="1352" t="str">
        <f>SUBSTITUTE(SUBSTITUTE(SUBSTITUTE("dpc"&amp;$B225&amp;$C225&amp;$D225&amp;$E225&amp;$F225,".","_"),"(","_"),")","")</f>
        <v>dpc802_8</v>
      </c>
      <c r="AO225" s="1352">
        <f ca="1">O225</f>
        <v>0</v>
      </c>
      <c r="AP225" s="1352" t="str">
        <f>SUBSTITUTE(SUBSTITUTE(SUBSTITUTE("dch"&amp;$B225&amp;$C225&amp;$D225&amp;$E225&amp;$F225,".","_"),"(","_"),")","")</f>
        <v>dch802_8</v>
      </c>
      <c r="AQ225" s="1352" t="str">
        <f>IF(LEN(W225)=0,"",W225)</f>
        <v/>
      </c>
      <c r="AR225" s="1352" t="str">
        <f>SUBSTITUTE(SUBSTITUTE(SUBSTITUTE("dnt"&amp;$B225&amp;$C225&amp;$D225&amp;$E225&amp;$F225,".","_"),"(","_"),")","")</f>
        <v>dnt802_8</v>
      </c>
      <c r="AS225" s="1352" t="str">
        <f>IF(LEN(X225)=0,"",X225)</f>
        <v/>
      </c>
      <c r="AX225" s="879"/>
    </row>
    <row r="226" spans="2:50" ht="16" thickBot="1" x14ac:dyDescent="0.25">
      <c r="B226" s="600">
        <v>802.8</v>
      </c>
      <c r="C226" s="858"/>
      <c r="D226" s="858"/>
      <c r="E226" s="600"/>
      <c r="F226" s="23"/>
      <c r="G226" s="23"/>
      <c r="H226" s="691"/>
      <c r="I226" s="594"/>
      <c r="J226" s="1069"/>
      <c r="K226" s="1069"/>
      <c r="L226" s="1738"/>
      <c r="M226" s="1627"/>
      <c r="N226" s="239"/>
      <c r="O226" s="1638"/>
      <c r="P226" s="100"/>
      <c r="Q226" s="100"/>
      <c r="R226" s="100"/>
      <c r="S226" s="100"/>
      <c r="T226" s="100"/>
      <c r="U226" s="100"/>
      <c r="V226" s="100"/>
      <c r="W226" s="100"/>
      <c r="X226" s="1602"/>
      <c r="AX226" s="879"/>
    </row>
    <row r="227" spans="2:50" ht="16" thickTop="1" x14ac:dyDescent="0.2">
      <c r="B227" s="600">
        <v>802.9</v>
      </c>
      <c r="C227" s="858"/>
      <c r="D227" s="858"/>
      <c r="E227" s="600"/>
      <c r="F227" s="23"/>
      <c r="G227" s="23"/>
      <c r="H227" s="691"/>
      <c r="I227" s="1076" t="s">
        <v>4613</v>
      </c>
      <c r="J227" s="1077"/>
      <c r="K227" s="1077"/>
      <c r="L227" s="1078" t="s">
        <v>4614</v>
      </c>
      <c r="M227" s="1079"/>
      <c r="N227" s="1080"/>
      <c r="O227" s="1081"/>
      <c r="U227" s="991"/>
      <c r="AX227" s="879"/>
    </row>
    <row r="228" spans="2:50" x14ac:dyDescent="0.2">
      <c r="B228" s="600" t="s">
        <v>4655</v>
      </c>
      <c r="C228" s="858"/>
      <c r="D228" s="858"/>
      <c r="E228" s="600"/>
      <c r="F228" s="23"/>
      <c r="G228" s="23"/>
      <c r="H228" s="691"/>
      <c r="I228" s="589" t="s">
        <v>4615</v>
      </c>
      <c r="J228" s="873"/>
      <c r="K228" s="873"/>
      <c r="L228" s="1687" t="s">
        <v>4616</v>
      </c>
      <c r="M228" s="890"/>
      <c r="N228" s="4"/>
      <c r="O228" s="1619">
        <f ca="1">IFERROR(INDEX({5,2},MATCH(W228,INDIRECT(U228),0)),0)*S228</f>
        <v>0</v>
      </c>
      <c r="P228" s="96" t="b">
        <v>0</v>
      </c>
      <c r="Q228" s="881" t="b">
        <v>1</v>
      </c>
      <c r="R228" s="881" t="b">
        <v>0</v>
      </c>
      <c r="S228" s="905" t="b">
        <f ca="1">S14=1</f>
        <v>1</v>
      </c>
      <c r="T228" s="991" t="b">
        <f ca="1">IF(AND(NOT(S228),LEN(W228)&gt;0),TRUE,FALSE)</f>
        <v>0</v>
      </c>
      <c r="U228" s="991" t="str">
        <f>SUBSTITUTE(SUBSTITUTE(SUBSTITUTE("dd"&amp;B228&amp;C228&amp;D228&amp;E228&amp;F228,".","_"),"(","_"),")","")</f>
        <v>dd802_9_1</v>
      </c>
      <c r="W228" s="12"/>
      <c r="X228" s="1600"/>
      <c r="AC228" s="905" t="b">
        <f ca="1">OR(AD228:AE228)</f>
        <v>0</v>
      </c>
      <c r="AD228" s="905" t="b">
        <f ca="1">T228</f>
        <v>0</v>
      </c>
      <c r="AE228" s="905"/>
      <c r="AN228" s="1352" t="str">
        <f>SUBSTITUTE(SUBSTITUTE(SUBSTITUTE("dpc"&amp;$B228&amp;$C228&amp;$D228&amp;$E228&amp;$F228,".","_"),"(","_"),")","")</f>
        <v>dpc802_9_1</v>
      </c>
      <c r="AO228" s="1352">
        <f ca="1">O228</f>
        <v>0</v>
      </c>
      <c r="AP228" s="1352" t="str">
        <f>SUBSTITUTE(SUBSTITUTE(SUBSTITUTE("dch"&amp;$B228&amp;$C228&amp;$D228&amp;$E228&amp;$F228,".","_"),"(","_"),")","")</f>
        <v>dch802_9_1</v>
      </c>
      <c r="AQ228" s="1352" t="str">
        <f>IF(LEN(W228)=0,"",W228)</f>
        <v/>
      </c>
      <c r="AR228" s="1352" t="str">
        <f>SUBSTITUTE(SUBSTITUTE(SUBSTITUTE("dnt"&amp;$B228&amp;$C228&amp;$D228&amp;$E228&amp;$F228,".","_"),"(","_"),")","")</f>
        <v>dnt802_9_1</v>
      </c>
      <c r="AS228" s="1352" t="str">
        <f>IF(LEN(X228)=0,"",X228)</f>
        <v/>
      </c>
      <c r="AX228" s="879"/>
    </row>
    <row r="229" spans="2:50" ht="15" customHeight="1" x14ac:dyDescent="0.2">
      <c r="B229" s="600" t="s">
        <v>4655</v>
      </c>
      <c r="C229" s="858"/>
      <c r="D229" s="858"/>
      <c r="E229" s="600"/>
      <c r="F229" s="23"/>
      <c r="G229" s="23"/>
      <c r="H229" s="691"/>
      <c r="I229" s="589"/>
      <c r="J229" s="873"/>
      <c r="K229" s="873"/>
      <c r="L229" s="1687"/>
      <c r="M229" s="890"/>
      <c r="N229" s="4"/>
      <c r="O229" s="1619"/>
      <c r="U229" s="991"/>
      <c r="X229" s="1600"/>
      <c r="AX229" s="879"/>
    </row>
    <row r="230" spans="2:50" x14ac:dyDescent="0.2">
      <c r="B230" s="600" t="s">
        <v>4655</v>
      </c>
      <c r="C230" s="858"/>
      <c r="D230" s="858"/>
      <c r="E230" s="600"/>
      <c r="F230" s="23"/>
      <c r="G230" s="23"/>
      <c r="H230" s="691"/>
      <c r="I230" s="589"/>
      <c r="J230" s="873"/>
      <c r="K230" s="873"/>
      <c r="L230" s="1687"/>
      <c r="M230" s="890"/>
      <c r="N230" s="4"/>
      <c r="O230" s="1619"/>
      <c r="U230" s="991"/>
      <c r="X230" s="1600"/>
      <c r="AX230" s="879"/>
    </row>
    <row r="231" spans="2:50" x14ac:dyDescent="0.2">
      <c r="B231" s="600" t="s">
        <v>4655</v>
      </c>
      <c r="C231" s="858"/>
      <c r="D231" s="858"/>
      <c r="E231" s="600"/>
      <c r="F231" s="23"/>
      <c r="G231" s="23"/>
      <c r="H231" s="691"/>
      <c r="I231" s="589"/>
      <c r="J231" s="873"/>
      <c r="K231" s="873"/>
      <c r="L231" s="1687"/>
      <c r="M231" s="890"/>
      <c r="N231" s="4"/>
      <c r="O231" s="1619"/>
      <c r="U231" s="991"/>
      <c r="X231" s="1600"/>
      <c r="AX231" s="879"/>
    </row>
    <row r="232" spans="2:50" x14ac:dyDescent="0.2">
      <c r="B232" s="600" t="s">
        <v>4655</v>
      </c>
      <c r="C232" s="858"/>
      <c r="D232" s="858"/>
      <c r="E232" s="600"/>
      <c r="F232" s="23"/>
      <c r="G232" s="23"/>
      <c r="H232" s="691"/>
      <c r="I232" s="589"/>
      <c r="J232" s="873"/>
      <c r="K232" s="873"/>
      <c r="L232" s="1687"/>
      <c r="M232" s="890"/>
      <c r="N232" s="4"/>
      <c r="O232" s="1619"/>
      <c r="U232" s="991"/>
      <c r="X232" s="1600"/>
      <c r="AX232" s="879"/>
    </row>
    <row r="233" spans="2:50" x14ac:dyDescent="0.2">
      <c r="B233" s="600" t="s">
        <v>4655</v>
      </c>
      <c r="C233" s="858"/>
      <c r="D233" s="858"/>
      <c r="E233" s="600"/>
      <c r="F233" s="23"/>
      <c r="G233" s="23"/>
      <c r="H233" s="691"/>
      <c r="I233" s="589"/>
      <c r="J233" s="873"/>
      <c r="K233" s="873"/>
      <c r="L233" s="1687"/>
      <c r="M233" s="890"/>
      <c r="N233" s="4"/>
      <c r="O233" s="885"/>
      <c r="U233" s="991"/>
      <c r="X233" s="1600"/>
      <c r="AX233" s="879"/>
    </row>
    <row r="234" spans="2:50" ht="15" customHeight="1" x14ac:dyDescent="0.2">
      <c r="B234" s="600" t="s">
        <v>4655</v>
      </c>
      <c r="C234" s="858" t="s">
        <v>254</v>
      </c>
      <c r="D234" s="858"/>
      <c r="E234" s="600"/>
      <c r="F234" s="23"/>
      <c r="G234" s="23"/>
      <c r="H234" s="691"/>
      <c r="I234" s="589"/>
      <c r="J234" s="1072" t="s">
        <v>254</v>
      </c>
      <c r="K234" s="1072"/>
      <c r="L234" s="923" t="s">
        <v>4617</v>
      </c>
      <c r="M234" s="937">
        <v>5</v>
      </c>
      <c r="N234" s="4"/>
      <c r="O234" s="885"/>
      <c r="U234" s="991"/>
      <c r="X234" s="1600"/>
      <c r="AL234" s="1352" t="str">
        <f>SUBSTITUTE(SUBSTITUTE(SUBSTITUTE("dpa"&amp;$B234&amp;$C234&amp;$D234&amp;$E234&amp;$F234,".","_"),"(","_"),")","")</f>
        <v>dpa802_9_1_1</v>
      </c>
      <c r="AM234" s="1352">
        <f>M234</f>
        <v>5</v>
      </c>
      <c r="AX234" s="879"/>
    </row>
    <row r="235" spans="2:50" x14ac:dyDescent="0.2">
      <c r="B235" s="600" t="s">
        <v>4655</v>
      </c>
      <c r="C235" s="858" t="s">
        <v>255</v>
      </c>
      <c r="D235" s="858"/>
      <c r="E235" s="600"/>
      <c r="F235" s="23"/>
      <c r="G235" s="23"/>
      <c r="H235" s="691"/>
      <c r="I235" s="606"/>
      <c r="J235" s="1072" t="s">
        <v>255</v>
      </c>
      <c r="K235" s="1072"/>
      <c r="L235" s="923" t="s">
        <v>4618</v>
      </c>
      <c r="M235" s="937">
        <v>2</v>
      </c>
      <c r="N235" s="213"/>
      <c r="O235" s="909"/>
      <c r="U235" s="991"/>
      <c r="X235" s="1600"/>
      <c r="AL235" s="1352" t="str">
        <f>SUBSTITUTE(SUBSTITUTE(SUBSTITUTE("dpa"&amp;$B235&amp;$C235&amp;$D235&amp;$E235&amp;$F235,".","_"),"(","_"),")","")</f>
        <v>dpa802_9_1_2</v>
      </c>
      <c r="AM235" s="1352">
        <f>M235</f>
        <v>2</v>
      </c>
      <c r="AX235" s="879"/>
    </row>
    <row r="236" spans="2:50" x14ac:dyDescent="0.2">
      <c r="B236" s="600" t="s">
        <v>4656</v>
      </c>
      <c r="C236" s="858"/>
      <c r="D236" s="858"/>
      <c r="E236" s="600"/>
      <c r="F236" s="23"/>
      <c r="G236" s="23"/>
      <c r="H236" s="691"/>
      <c r="I236" s="589" t="s">
        <v>4619</v>
      </c>
      <c r="J236" s="873"/>
      <c r="K236" s="873"/>
      <c r="L236" s="1687" t="s">
        <v>4620</v>
      </c>
      <c r="M236" s="913"/>
      <c r="N236" s="129"/>
      <c r="O236" s="1619">
        <f ca="1">IFERROR(INDEX({3,1},MATCH(W236,INDIRECT(U236),0)),0)*S236</f>
        <v>0</v>
      </c>
      <c r="P236" s="991" t="b">
        <v>0</v>
      </c>
      <c r="Q236" s="991" t="b">
        <v>1</v>
      </c>
      <c r="R236" s="991" t="b">
        <v>0</v>
      </c>
      <c r="S236" s="991" t="b">
        <f ca="1">S14=1</f>
        <v>1</v>
      </c>
      <c r="T236" s="991" t="b">
        <f ca="1">IF(AND(NOT(S236),LEN(W236)&gt;0),TRUE,FALSE)</f>
        <v>0</v>
      </c>
      <c r="U236" s="991" t="str">
        <f>SUBSTITUTE(SUBSTITUTE(SUBSTITUTE("dd"&amp;B236&amp;C236&amp;D236&amp;E236&amp;F236,".","_"),"(","_"),")","")</f>
        <v>dd802_9_2</v>
      </c>
      <c r="V236" s="991"/>
      <c r="W236" s="110"/>
      <c r="X236" s="1601"/>
      <c r="AC236" s="905" t="b">
        <f ca="1">OR(AD236:AE236)</f>
        <v>0</v>
      </c>
      <c r="AD236" s="905" t="b">
        <f ca="1">T236</f>
        <v>0</v>
      </c>
      <c r="AE236" s="905"/>
      <c r="AN236" s="1352" t="str">
        <f>SUBSTITUTE(SUBSTITUTE(SUBSTITUTE("dpc"&amp;$B236&amp;$C236&amp;$D236&amp;$E236&amp;$F236,".","_"),"(","_"),")","")</f>
        <v>dpc802_9_2</v>
      </c>
      <c r="AO236" s="1352">
        <f ca="1">O236</f>
        <v>0</v>
      </c>
      <c r="AP236" s="1352" t="str">
        <f>SUBSTITUTE(SUBSTITUTE(SUBSTITUTE("dch"&amp;$B236&amp;$C236&amp;$D236&amp;$E236&amp;$F236,".","_"),"(","_"),")","")</f>
        <v>dch802_9_2</v>
      </c>
      <c r="AQ236" s="1352" t="str">
        <f>IF(LEN(W236)=0,"",W236)</f>
        <v/>
      </c>
      <c r="AR236" s="1352" t="str">
        <f>SUBSTITUTE(SUBSTITUTE(SUBSTITUTE("dnt"&amp;$B236&amp;$C236&amp;$D236&amp;$E236&amp;$F236,".","_"),"(","_"),")","")</f>
        <v>dnt802_9_2</v>
      </c>
      <c r="AS236" s="1352" t="str">
        <f>IF(LEN(X236)=0,"",X236)</f>
        <v/>
      </c>
      <c r="AX236" s="879"/>
    </row>
    <row r="237" spans="2:50" x14ac:dyDescent="0.2">
      <c r="B237" s="600" t="s">
        <v>4656</v>
      </c>
      <c r="C237" s="858"/>
      <c r="D237" s="858"/>
      <c r="E237" s="600"/>
      <c r="F237" s="23"/>
      <c r="G237" s="23"/>
      <c r="H237" s="691"/>
      <c r="I237" s="589"/>
      <c r="J237" s="873"/>
      <c r="K237" s="873"/>
      <c r="L237" s="1687"/>
      <c r="M237" s="913"/>
      <c r="N237" s="129"/>
      <c r="O237" s="1619"/>
      <c r="P237" s="991"/>
      <c r="Q237" s="991"/>
      <c r="R237" s="991"/>
      <c r="S237" s="991"/>
      <c r="T237" s="991"/>
      <c r="U237" s="991"/>
      <c r="V237" s="991"/>
      <c r="W237" s="991"/>
      <c r="X237" s="1601"/>
      <c r="AX237" s="879"/>
    </row>
    <row r="238" spans="2:50" ht="15" customHeight="1" x14ac:dyDescent="0.2">
      <c r="B238" s="600" t="s">
        <v>4656</v>
      </c>
      <c r="C238" s="858"/>
      <c r="D238" s="858"/>
      <c r="E238" s="600"/>
      <c r="F238" s="23"/>
      <c r="G238" s="23"/>
      <c r="H238" s="691"/>
      <c r="I238" s="589"/>
      <c r="J238" s="873"/>
      <c r="K238" s="873"/>
      <c r="L238" s="1687"/>
      <c r="M238" s="913"/>
      <c r="N238" s="129"/>
      <c r="O238" s="1619"/>
      <c r="P238" s="991"/>
      <c r="Q238" s="991"/>
      <c r="R238" s="991"/>
      <c r="S238" s="991"/>
      <c r="T238" s="991"/>
      <c r="U238" s="991"/>
      <c r="V238" s="991"/>
      <c r="W238" s="991"/>
      <c r="X238" s="1601"/>
      <c r="AX238" s="879"/>
    </row>
    <row r="239" spans="2:50" x14ac:dyDescent="0.2">
      <c r="B239" s="600" t="s">
        <v>4656</v>
      </c>
      <c r="C239" s="858" t="s">
        <v>254</v>
      </c>
      <c r="D239" s="858"/>
      <c r="E239" s="600"/>
      <c r="F239" s="23"/>
      <c r="G239" s="23"/>
      <c r="H239" s="691"/>
      <c r="I239" s="589"/>
      <c r="J239" s="1072" t="s">
        <v>254</v>
      </c>
      <c r="K239" s="1072"/>
      <c r="L239" s="923" t="s">
        <v>4621</v>
      </c>
      <c r="M239" s="937">
        <v>3</v>
      </c>
      <c r="N239" s="129"/>
      <c r="O239" s="908"/>
      <c r="P239" s="991"/>
      <c r="Q239" s="991"/>
      <c r="R239" s="991"/>
      <c r="S239" s="991"/>
      <c r="T239" s="991"/>
      <c r="U239" s="991"/>
      <c r="V239" s="991"/>
      <c r="W239" s="991"/>
      <c r="X239" s="1601"/>
      <c r="AL239" s="1352" t="str">
        <f>SUBSTITUTE(SUBSTITUTE(SUBSTITUTE("dpa"&amp;$B239&amp;$C239&amp;$D239&amp;$E239&amp;$F239,".","_"),"(","_"),")","")</f>
        <v>dpa802_9_2_1</v>
      </c>
      <c r="AM239" s="1352">
        <f>M239</f>
        <v>3</v>
      </c>
      <c r="AX239" s="879"/>
    </row>
    <row r="240" spans="2:50" ht="16" thickBot="1" x14ac:dyDescent="0.25">
      <c r="B240" s="600" t="s">
        <v>4656</v>
      </c>
      <c r="C240" s="858" t="s">
        <v>255</v>
      </c>
      <c r="D240" s="858"/>
      <c r="E240" s="600"/>
      <c r="F240" s="23"/>
      <c r="G240" s="23"/>
      <c r="H240" s="691"/>
      <c r="I240" s="594"/>
      <c r="J240" s="1069" t="s">
        <v>255</v>
      </c>
      <c r="K240" s="1069"/>
      <c r="L240" s="920" t="s">
        <v>4622</v>
      </c>
      <c r="M240" s="914">
        <v>1</v>
      </c>
      <c r="N240" s="239"/>
      <c r="O240" s="922"/>
      <c r="P240" s="100"/>
      <c r="Q240" s="100"/>
      <c r="R240" s="100"/>
      <c r="S240" s="100"/>
      <c r="T240" s="100"/>
      <c r="U240" s="100"/>
      <c r="V240" s="100"/>
      <c r="W240" s="100"/>
      <c r="X240" s="1602"/>
      <c r="AL240" s="1352" t="str">
        <f>SUBSTITUTE(SUBSTITUTE(SUBSTITUTE("dpa"&amp;$B240&amp;$C240&amp;$D240&amp;$E240&amp;$F240,".","_"),"(","_"),")","")</f>
        <v>dpa802_9_2_2</v>
      </c>
      <c r="AM240" s="1352">
        <f>M240</f>
        <v>1</v>
      </c>
      <c r="AX240" s="879"/>
    </row>
    <row r="241" spans="2:50" ht="15" customHeight="1" thickTop="1" x14ac:dyDescent="0.2">
      <c r="B241" s="600" t="s">
        <v>5291</v>
      </c>
      <c r="C241" s="858"/>
      <c r="D241" s="858"/>
      <c r="E241" s="600"/>
      <c r="F241" s="23"/>
      <c r="G241" s="23"/>
      <c r="H241" s="691"/>
      <c r="I241" s="1076" t="s">
        <v>4623</v>
      </c>
      <c r="J241" s="1077"/>
      <c r="K241" s="1077"/>
      <c r="L241" s="1078" t="s">
        <v>4624</v>
      </c>
      <c r="M241" s="1079"/>
      <c r="N241" s="1080"/>
      <c r="O241" s="1081"/>
      <c r="P241" s="284"/>
      <c r="Q241" s="284"/>
      <c r="R241" s="284"/>
      <c r="S241" s="284"/>
      <c r="T241" s="284"/>
      <c r="U241" s="284"/>
      <c r="V241" s="284"/>
      <c r="W241" s="284"/>
      <c r="X241" s="284"/>
      <c r="AX241" s="879"/>
    </row>
    <row r="242" spans="2:50" x14ac:dyDescent="0.2">
      <c r="B242" s="600" t="s">
        <v>4657</v>
      </c>
      <c r="C242" s="858"/>
      <c r="D242" s="858"/>
      <c r="E242" s="600"/>
      <c r="F242" s="23"/>
      <c r="G242" s="23"/>
      <c r="H242" s="691"/>
      <c r="I242" s="589" t="s">
        <v>4625</v>
      </c>
      <c r="J242" s="873"/>
      <c r="K242" s="873"/>
      <c r="L242" s="1687" t="s">
        <v>4626</v>
      </c>
      <c r="M242" s="1714" t="str">
        <f ca="1">IF(R242,"Mandatory","N/A")</f>
        <v>Mandatory</v>
      </c>
      <c r="N242" s="4"/>
      <c r="O242" s="1500"/>
      <c r="P242" s="1498" t="b">
        <v>0</v>
      </c>
      <c r="Q242" s="1498" t="b">
        <v>1</v>
      </c>
      <c r="R242" s="1498" t="b">
        <f ca="1">S242</f>
        <v>1</v>
      </c>
      <c r="S242" s="1498" t="b">
        <f ca="1">S14=1</f>
        <v>1</v>
      </c>
      <c r="T242" s="1498" t="b">
        <f ca="1">IF(AND(NOT(S242),LEN(W242)&gt;0),TRUE,FALSE)</f>
        <v>0</v>
      </c>
      <c r="U242" s="1498" t="str">
        <f>SUBSTITUTE(SUBSTITUTE(SUBSTITUTE("dd"&amp;B242&amp;C242&amp;D242&amp;E242&amp;F242,".","_"),"(","_"),")","")</f>
        <v>dd802_10_1</v>
      </c>
      <c r="W242" s="12" t="s">
        <v>2590</v>
      </c>
      <c r="X242" s="1600"/>
      <c r="AC242" s="1498" t="b">
        <f ca="1">OR(AD242:AE242)</f>
        <v>0</v>
      </c>
      <c r="AD242" s="1498" t="b">
        <f ca="1">T242</f>
        <v>0</v>
      </c>
      <c r="AL242" s="1498" t="str">
        <f>SUBSTITUTE(SUBSTITUTE(SUBSTITUTE("dpa"&amp;$B242&amp;$C242&amp;$D242&amp;$E242&amp;$F242,".","_"),"(","_"),")","")</f>
        <v>dpa802_10_1</v>
      </c>
      <c r="AM242" s="1498" t="str">
        <f ca="1">M242</f>
        <v>Mandatory</v>
      </c>
      <c r="AP242" s="1498" t="str">
        <f>SUBSTITUTE(SUBSTITUTE(SUBSTITUTE("dch"&amp;$B242&amp;$C242&amp;$D242&amp;$E242&amp;$F242,".","_"),"(","_"),")","")</f>
        <v>dch802_10_1</v>
      </c>
      <c r="AQ242" s="1498" t="str">
        <f>IF(LEN(W242)=0,"",W242)</f>
        <v>N/A</v>
      </c>
      <c r="AR242" s="1498" t="str">
        <f>SUBSTITUTE(SUBSTITUTE(SUBSTITUTE("dnt"&amp;$B242&amp;$C242&amp;$D242&amp;$E242&amp;$F242,".","_"),"(","_"),")","")</f>
        <v>dnt802_10_1</v>
      </c>
      <c r="AS242" s="1498" t="str">
        <f>IF(LEN(X242)=0,"",X242)</f>
        <v/>
      </c>
      <c r="AX242" s="879"/>
    </row>
    <row r="243" spans="2:50" x14ac:dyDescent="0.2">
      <c r="B243" s="600" t="s">
        <v>4657</v>
      </c>
      <c r="C243" s="858"/>
      <c r="D243" s="858"/>
      <c r="E243" s="600"/>
      <c r="F243" s="23"/>
      <c r="G243" s="23"/>
      <c r="H243" s="691"/>
      <c r="I243" s="589"/>
      <c r="J243" s="873"/>
      <c r="K243" s="873"/>
      <c r="L243" s="1687"/>
      <c r="M243" s="1714"/>
      <c r="N243" s="4"/>
      <c r="O243" s="1500"/>
      <c r="P243" s="1498"/>
      <c r="Q243" s="1498"/>
      <c r="R243" s="1498"/>
      <c r="S243" s="1498"/>
      <c r="T243" s="1498"/>
      <c r="U243" s="1498"/>
      <c r="X243" s="1600"/>
      <c r="AC243" s="1498"/>
      <c r="AD243" s="1498"/>
      <c r="AX243" s="879"/>
    </row>
    <row r="244" spans="2:50" ht="15" customHeight="1" x14ac:dyDescent="0.2">
      <c r="B244" s="600" t="s">
        <v>4657</v>
      </c>
      <c r="C244" s="858"/>
      <c r="D244" s="858"/>
      <c r="E244" s="600"/>
      <c r="F244" s="23"/>
      <c r="G244" s="23"/>
      <c r="H244" s="691"/>
      <c r="I244" s="589"/>
      <c r="J244" s="873"/>
      <c r="K244" s="873"/>
      <c r="L244" s="1687"/>
      <c r="M244" s="1714"/>
      <c r="N244" s="4"/>
      <c r="O244" s="1500"/>
      <c r="P244" s="1498"/>
      <c r="Q244" s="1498"/>
      <c r="R244" s="1498"/>
      <c r="S244" s="1498"/>
      <c r="T244" s="1498"/>
      <c r="U244" s="1498"/>
      <c r="X244" s="1600"/>
      <c r="AX244" s="879"/>
    </row>
    <row r="245" spans="2:50" x14ac:dyDescent="0.2">
      <c r="B245" s="600" t="s">
        <v>4657</v>
      </c>
      <c r="C245" s="858" t="s">
        <v>254</v>
      </c>
      <c r="D245" s="858"/>
      <c r="E245" s="600"/>
      <c r="F245" s="23"/>
      <c r="G245" s="23"/>
      <c r="H245" s="691"/>
      <c r="I245" s="589"/>
      <c r="J245" s="873" t="s">
        <v>254</v>
      </c>
      <c r="K245" s="873"/>
      <c r="L245" s="895" t="s">
        <v>4627</v>
      </c>
      <c r="M245" s="890">
        <v>10</v>
      </c>
      <c r="N245" s="4"/>
      <c r="O245" s="885">
        <f ca="1">M245*W245*S245</f>
        <v>0</v>
      </c>
      <c r="P245" s="96" t="b">
        <v>0</v>
      </c>
      <c r="Q245" s="881" t="b">
        <v>1</v>
      </c>
      <c r="R245" s="881" t="b">
        <v>0</v>
      </c>
      <c r="S245" s="905" t="b">
        <f ca="1">S14=1</f>
        <v>1</v>
      </c>
      <c r="T245" s="991" t="b">
        <f ca="1">IF(AND(NOT(S245),W245=TRUE),TRUE,FALSE)</f>
        <v>0</v>
      </c>
      <c r="W245" s="27"/>
      <c r="X245" s="906"/>
      <c r="AC245" s="905" t="b">
        <f ca="1">OR(AD245:AE245)</f>
        <v>0</v>
      </c>
      <c r="AD245" s="905" t="b">
        <f ca="1">T245</f>
        <v>0</v>
      </c>
      <c r="AE245" s="905"/>
      <c r="AL245" s="1352" t="str">
        <f>SUBSTITUTE(SUBSTITUTE(SUBSTITUTE("dpa"&amp;$B245&amp;$C245&amp;$D245&amp;$E245&amp;$F245,".","_"),"(","_"),")","")</f>
        <v>dpa802_10_1_1</v>
      </c>
      <c r="AM245" s="1352">
        <f>M245</f>
        <v>10</v>
      </c>
      <c r="AN245" s="1352" t="str">
        <f>SUBSTITUTE(SUBSTITUTE(SUBSTITUTE("dpc"&amp;$B245&amp;$C245&amp;$D245&amp;$E245&amp;$F245,".","_"),"(","_"),")","")</f>
        <v>dpc802_10_1_1</v>
      </c>
      <c r="AO245" s="1352">
        <f ca="1">O245</f>
        <v>0</v>
      </c>
      <c r="AP245" s="1352" t="str">
        <f>SUBSTITUTE(SUBSTITUTE(SUBSTITUTE("dch"&amp;$B245&amp;$C245&amp;$D245&amp;$E245&amp;$F245,".","_"),"(","_"),")","")</f>
        <v>dch802_10_1_1</v>
      </c>
      <c r="AQ245" s="1352" t="str">
        <f>IF(LEN(W245)=0,"",W245)</f>
        <v/>
      </c>
      <c r="AR245" s="1352" t="str">
        <f>SUBSTITUTE(SUBSTITUTE(SUBSTITUTE("dnt"&amp;$B245&amp;$C245&amp;$D245&amp;$E245&amp;$F245,".","_"),"(","_"),")","")</f>
        <v>dnt802_10_1_1</v>
      </c>
      <c r="AS245" s="1352" t="str">
        <f>IF(LEN(X245)=0,"",X245)</f>
        <v/>
      </c>
      <c r="AX245" s="879"/>
    </row>
    <row r="246" spans="2:50" ht="19" x14ac:dyDescent="0.25">
      <c r="B246" s="600">
        <v>803</v>
      </c>
      <c r="C246" s="858"/>
      <c r="D246" s="858"/>
      <c r="E246" s="600"/>
      <c r="F246" s="23"/>
      <c r="G246" s="23"/>
      <c r="H246" s="691"/>
      <c r="I246" s="1004" t="s">
        <v>4628</v>
      </c>
      <c r="J246" s="1003"/>
      <c r="K246" s="1003"/>
      <c r="L246" s="1004"/>
      <c r="M246" s="71"/>
      <c r="N246" s="25"/>
      <c r="O246" s="71"/>
      <c r="P246" s="25"/>
      <c r="Q246" s="25"/>
      <c r="R246" s="25"/>
      <c r="S246" s="25"/>
      <c r="T246" s="25"/>
      <c r="U246" s="25"/>
      <c r="V246" s="25"/>
      <c r="W246" s="25"/>
      <c r="X246" s="25"/>
      <c r="AX246" s="879"/>
    </row>
    <row r="247" spans="2:50" x14ac:dyDescent="0.2">
      <c r="B247" s="600">
        <v>803.1</v>
      </c>
      <c r="C247" s="858"/>
      <c r="D247" s="858"/>
      <c r="E247" s="600"/>
      <c r="F247" s="23"/>
      <c r="G247" s="23"/>
      <c r="H247" s="691"/>
      <c r="I247" s="589" t="s">
        <v>4629</v>
      </c>
      <c r="J247" s="873"/>
      <c r="K247" s="873"/>
      <c r="L247" s="1687" t="s">
        <v>4859</v>
      </c>
      <c r="M247" s="890"/>
      <c r="N247" s="4"/>
      <c r="O247" s="1669">
        <f ca="1">MAX(IFERROR(5*MATCH(W251,INDIRECT(U251),0),0)*S251,M253*S253*W253)*S251</f>
        <v>0</v>
      </c>
      <c r="AN247" s="1352" t="str">
        <f>SUBSTITUTE(SUBSTITUTE(SUBSTITUTE("dpc"&amp;$B247&amp;$C247&amp;$D247&amp;$E247&amp;$F247,".","_"),"(","_"),")","")</f>
        <v>dpc803_1</v>
      </c>
      <c r="AO247" s="1352">
        <f ca="1">O247</f>
        <v>0</v>
      </c>
      <c r="AX247" s="879"/>
    </row>
    <row r="248" spans="2:50" x14ac:dyDescent="0.2">
      <c r="B248" s="600">
        <v>803.1</v>
      </c>
      <c r="C248" s="858"/>
      <c r="D248" s="858"/>
      <c r="E248" s="600"/>
      <c r="F248" s="23"/>
      <c r="G248" s="23"/>
      <c r="H248" s="691"/>
      <c r="I248" s="589"/>
      <c r="J248" s="873"/>
      <c r="K248" s="873"/>
      <c r="L248" s="1687"/>
      <c r="M248" s="890"/>
      <c r="N248" s="4"/>
      <c r="O248" s="1669"/>
      <c r="AX248" s="879"/>
    </row>
    <row r="249" spans="2:50" ht="15" customHeight="1" x14ac:dyDescent="0.2">
      <c r="B249" s="600">
        <v>803.1</v>
      </c>
      <c r="C249" s="858"/>
      <c r="D249" s="858"/>
      <c r="E249" s="600"/>
      <c r="F249" s="23"/>
      <c r="G249" s="23"/>
      <c r="H249" s="691"/>
      <c r="I249" s="589"/>
      <c r="J249" s="873"/>
      <c r="K249" s="873"/>
      <c r="L249" s="1687"/>
      <c r="M249" s="890"/>
      <c r="N249" s="4"/>
      <c r="O249" s="1669"/>
      <c r="AX249" s="879"/>
    </row>
    <row r="250" spans="2:50" x14ac:dyDescent="0.2">
      <c r="B250" s="600">
        <v>803.1</v>
      </c>
      <c r="C250" s="858"/>
      <c r="D250" s="858"/>
      <c r="E250" s="600"/>
      <c r="F250" s="23"/>
      <c r="G250" s="23"/>
      <c r="H250" s="691"/>
      <c r="I250" s="589"/>
      <c r="J250" s="873"/>
      <c r="K250" s="873"/>
      <c r="L250" s="1687"/>
      <c r="M250" s="890"/>
      <c r="N250" s="4"/>
      <c r="O250" s="885"/>
      <c r="U250" s="991"/>
      <c r="AX250" s="879"/>
    </row>
    <row r="251" spans="2:50" x14ac:dyDescent="0.2">
      <c r="B251" s="600">
        <v>803.1</v>
      </c>
      <c r="C251" s="858" t="s">
        <v>254</v>
      </c>
      <c r="D251" s="858"/>
      <c r="E251" s="600"/>
      <c r="F251" s="23"/>
      <c r="G251" s="23"/>
      <c r="H251" s="691"/>
      <c r="I251" s="590"/>
      <c r="J251" s="1068" t="s">
        <v>254</v>
      </c>
      <c r="K251" s="1068"/>
      <c r="L251" s="1634" t="s">
        <v>4630</v>
      </c>
      <c r="M251" s="1692" t="s">
        <v>4671</v>
      </c>
      <c r="N251" s="4"/>
      <c r="O251" s="885"/>
      <c r="P251" s="881" t="b">
        <v>1</v>
      </c>
      <c r="Q251" s="881" t="b">
        <v>1</v>
      </c>
      <c r="R251" s="881" t="b">
        <v>0</v>
      </c>
      <c r="S251" s="881" t="b">
        <f ca="1">AND(NOT(W267),S14=1)</f>
        <v>1</v>
      </c>
      <c r="T251" s="96" t="b">
        <f ca="1">IF(AND(NOT(S251),LEN(W251)&gt;0),TRUE,FALSE)</f>
        <v>0</v>
      </c>
      <c r="U251" s="991" t="str">
        <f>SUBSTITUTE(SUBSTITUTE(SUBSTITUTE("dd"&amp;B251&amp;C251&amp;D251&amp;E251&amp;F251,".","_"),"(","_"),")","")</f>
        <v>dd803_1_1</v>
      </c>
      <c r="W251" s="12"/>
      <c r="X251" s="1600"/>
      <c r="AC251" s="905" t="b">
        <f ca="1">OR(AD251:AE251)</f>
        <v>0</v>
      </c>
      <c r="AD251" s="905" t="b">
        <f ca="1">T251</f>
        <v>0</v>
      </c>
      <c r="AE251" s="905"/>
      <c r="AL251" s="1352" t="str">
        <f>SUBSTITUTE(SUBSTITUTE(SUBSTITUTE("dpa"&amp;$B251&amp;$C251&amp;$D251&amp;$E251&amp;$F251,".","_"),"(","_"),")","")</f>
        <v>dpa803_1_1</v>
      </c>
      <c r="AM251" s="1352" t="str">
        <f>M251</f>
        <v>5
20 Max</v>
      </c>
      <c r="AP251" s="1352" t="str">
        <f>SUBSTITUTE(SUBSTITUTE(SUBSTITUTE("dch"&amp;$B251&amp;$C251&amp;$D251&amp;$E251&amp;$F251,".","_"),"(","_"),")","")</f>
        <v>dch803_1_1</v>
      </c>
      <c r="AQ251" s="1352" t="str">
        <f>IF(LEN(W251)=0,"",W251)</f>
        <v/>
      </c>
      <c r="AR251" s="1352" t="str">
        <f>SUBSTITUTE(SUBSTITUTE(SUBSTITUTE("dnt"&amp;$B251&amp;$C251&amp;$D251&amp;$E251&amp;$F251,".","_"),"(","_"),")","")</f>
        <v>dnt803_1_1</v>
      </c>
      <c r="AS251" s="1352" t="str">
        <f>IF(LEN(X251)=0,"",X251)</f>
        <v/>
      </c>
      <c r="AX251" s="879"/>
    </row>
    <row r="252" spans="2:50" ht="15" customHeight="1" x14ac:dyDescent="0.2">
      <c r="B252" s="600">
        <v>803.1</v>
      </c>
      <c r="C252" s="858" t="s">
        <v>254</v>
      </c>
      <c r="D252" s="858"/>
      <c r="E252" s="600"/>
      <c r="F252" s="23"/>
      <c r="G252" s="23"/>
      <c r="H252" s="691"/>
      <c r="I252" s="590"/>
      <c r="J252" s="1072"/>
      <c r="K252" s="1072"/>
      <c r="L252" s="1639"/>
      <c r="M252" s="1624"/>
      <c r="N252" s="4"/>
      <c r="O252" s="885"/>
      <c r="X252" s="1600"/>
      <c r="AX252" s="879"/>
    </row>
    <row r="253" spans="2:50" ht="16" thickBot="1" x14ac:dyDescent="0.25">
      <c r="B253" s="600">
        <v>803.1</v>
      </c>
      <c r="C253" s="858" t="s">
        <v>255</v>
      </c>
      <c r="D253" s="858"/>
      <c r="E253" s="600"/>
      <c r="F253" s="23"/>
      <c r="G253" s="23"/>
      <c r="H253" s="691"/>
      <c r="I253" s="594"/>
      <c r="J253" s="1069" t="s">
        <v>255</v>
      </c>
      <c r="K253" s="1069"/>
      <c r="L253" s="920" t="s">
        <v>4631</v>
      </c>
      <c r="M253" s="884">
        <v>10</v>
      </c>
      <c r="N253" s="239"/>
      <c r="O253" s="887"/>
      <c r="P253" s="881" t="b">
        <v>1</v>
      </c>
      <c r="Q253" s="881" t="b">
        <v>1</v>
      </c>
      <c r="R253" s="100" t="b">
        <v>0</v>
      </c>
      <c r="S253" s="100" t="b">
        <f ca="1">AND(NOT(W267),S14=1)</f>
        <v>1</v>
      </c>
      <c r="T253" s="100" t="b">
        <f ca="1">IF(AND(NOT(S253),W253=TRUE),TRUE,FALSE)</f>
        <v>0</v>
      </c>
      <c r="U253" s="100"/>
      <c r="V253" s="100"/>
      <c r="W253" s="27"/>
      <c r="X253" s="906"/>
      <c r="AC253" s="905" t="b">
        <f ca="1">OR(AD253:AE253)</f>
        <v>0</v>
      </c>
      <c r="AD253" s="905" t="b">
        <f ca="1">T253</f>
        <v>0</v>
      </c>
      <c r="AE253" s="905"/>
      <c r="AL253" s="1352" t="str">
        <f>SUBSTITUTE(SUBSTITUTE(SUBSTITUTE("dpa"&amp;$B253&amp;$C253&amp;$D253&amp;$E253&amp;$F253,".","_"),"(","_"),")","")</f>
        <v>dpa803_1_2</v>
      </c>
      <c r="AM253" s="1352">
        <f>M253</f>
        <v>10</v>
      </c>
      <c r="AP253" s="1352" t="str">
        <f>SUBSTITUTE(SUBSTITUTE(SUBSTITUTE("dch"&amp;$B253&amp;$C253&amp;$D253&amp;$E253&amp;$F253,".","_"),"(","_"),")","")</f>
        <v>dch803_1_2</v>
      </c>
      <c r="AQ253" s="1352" t="str">
        <f>IF(LEN(W253)=0,"",W253)</f>
        <v/>
      </c>
      <c r="AR253" s="1352" t="str">
        <f>SUBSTITUTE(SUBSTITUTE(SUBSTITUTE("dnt"&amp;$B253&amp;$C253&amp;$D253&amp;$E253&amp;$F253,".","_"),"(","_"),")","")</f>
        <v>dnt803_1_2</v>
      </c>
      <c r="AS253" s="1352" t="str">
        <f>IF(LEN(X253)=0,"",X253)</f>
        <v/>
      </c>
      <c r="AX253" s="879"/>
    </row>
    <row r="254" spans="2:50" ht="15" customHeight="1" thickTop="1" x14ac:dyDescent="0.2">
      <c r="B254" s="600">
        <v>803.2</v>
      </c>
      <c r="C254" s="858"/>
      <c r="D254" s="858"/>
      <c r="E254" s="600"/>
      <c r="F254" s="23"/>
      <c r="G254" s="23"/>
      <c r="H254" s="691"/>
      <c r="I254" s="590" t="s">
        <v>4632</v>
      </c>
      <c r="J254" s="1068"/>
      <c r="K254" s="1068"/>
      <c r="L254" s="1687" t="s">
        <v>4633</v>
      </c>
      <c r="M254" s="1691" t="s">
        <v>4672</v>
      </c>
      <c r="N254" s="178"/>
      <c r="O254" s="1682">
        <f>W255*3</f>
        <v>0</v>
      </c>
      <c r="P254" s="106"/>
      <c r="Q254" s="106"/>
      <c r="R254" s="106"/>
      <c r="S254" s="106"/>
      <c r="T254" s="106"/>
      <c r="U254" s="106"/>
      <c r="V254" s="106"/>
      <c r="W254" s="106" t="s">
        <v>4673</v>
      </c>
      <c r="X254" s="1600"/>
      <c r="AL254" s="1352" t="str">
        <f>SUBSTITUTE(SUBSTITUTE(SUBSTITUTE("dpa"&amp;$B254&amp;$C254&amp;$D254&amp;$E254&amp;$F254,".","_"),"(","_"),")","")</f>
        <v>dpa803_2</v>
      </c>
      <c r="AM254" s="1352" t="str">
        <f>M254</f>
        <v>3 per roughed in system</v>
      </c>
      <c r="AN254" s="1352" t="str">
        <f>SUBSTITUTE(SUBSTITUTE(SUBSTITUTE("dpc"&amp;$B254&amp;$C254&amp;$D254&amp;$E254&amp;$F254,".","_"),"(","_"),")","")</f>
        <v>dpc803_2</v>
      </c>
      <c r="AO254" s="1352">
        <f>O254</f>
        <v>0</v>
      </c>
      <c r="AR254" s="1352" t="str">
        <f>SUBSTITUTE(SUBSTITUTE(SUBSTITUTE("dnt"&amp;$B254&amp;$C254&amp;$D254&amp;$E254&amp;$F254,".","_"),"(","_"),")","")</f>
        <v>dnt803_2</v>
      </c>
      <c r="AS254" s="1352" t="str">
        <f>IF(LEN(X254)=0,"",X254)</f>
        <v/>
      </c>
      <c r="AX254" s="879"/>
    </row>
    <row r="255" spans="2:50" x14ac:dyDescent="0.2">
      <c r="B255" s="600">
        <v>803.2</v>
      </c>
      <c r="C255" s="858"/>
      <c r="D255" s="858"/>
      <c r="E255" s="600"/>
      <c r="F255" s="23"/>
      <c r="G255" s="23"/>
      <c r="H255" s="691"/>
      <c r="I255" s="590"/>
      <c r="J255" s="1068"/>
      <c r="K255" s="1068"/>
      <c r="L255" s="1687"/>
      <c r="M255" s="1692"/>
      <c r="N255" s="129"/>
      <c r="O255" s="1619"/>
      <c r="P255" s="881" t="b">
        <v>1</v>
      </c>
      <c r="Q255" s="881" t="b">
        <v>1</v>
      </c>
      <c r="R255" s="96" t="b">
        <v>0</v>
      </c>
      <c r="S255" s="991" t="b">
        <f ca="1">S14=1</f>
        <v>1</v>
      </c>
      <c r="T255" s="96" t="b">
        <f ca="1">IF(AND(NOT(S255),LEN(W255)&gt;0),TRUE,FALSE)</f>
        <v>0</v>
      </c>
      <c r="U255" s="96"/>
      <c r="V255" s="96"/>
      <c r="W255" s="1001"/>
      <c r="X255" s="1600"/>
      <c r="AC255" s="905" t="b">
        <f ca="1">OR(AD255:AE255)</f>
        <v>0</v>
      </c>
      <c r="AD255" s="905" t="b">
        <f ca="1">T255</f>
        <v>0</v>
      </c>
      <c r="AE255" s="905"/>
      <c r="AP255" s="1352" t="str">
        <f>SUBSTITUTE(SUBSTITUTE(SUBSTITUTE("dch"&amp;$B255&amp;$C255&amp;$D255&amp;$E255&amp;$F255,".","_"),"(","_"),")","")</f>
        <v>dch803_2</v>
      </c>
      <c r="AQ255" s="1352" t="str">
        <f>IF(LEN(W255)=0,"",W255)</f>
        <v/>
      </c>
      <c r="AX255" s="879"/>
    </row>
    <row r="256" spans="2:50" ht="16" thickBot="1" x14ac:dyDescent="0.25">
      <c r="B256" s="600">
        <v>803.2</v>
      </c>
      <c r="C256" s="858"/>
      <c r="D256" s="858"/>
      <c r="E256" s="600"/>
      <c r="F256" s="23"/>
      <c r="G256" s="23"/>
      <c r="H256" s="691"/>
      <c r="I256" s="594"/>
      <c r="J256" s="1069"/>
      <c r="K256" s="1069"/>
      <c r="L256" s="1738"/>
      <c r="M256" s="1763"/>
      <c r="N256" s="239"/>
      <c r="O256" s="1638"/>
      <c r="P256" s="100"/>
      <c r="Q256" s="100"/>
      <c r="R256" s="100"/>
      <c r="S256" s="100"/>
      <c r="T256" s="100"/>
      <c r="U256" s="100"/>
      <c r="V256" s="100"/>
      <c r="W256" s="100"/>
      <c r="X256" s="1600"/>
      <c r="AX256" s="879"/>
    </row>
    <row r="257" spans="2:50" ht="16" thickTop="1" x14ac:dyDescent="0.2">
      <c r="B257" s="600">
        <v>803.3</v>
      </c>
      <c r="C257" s="858"/>
      <c r="D257" s="858"/>
      <c r="E257" s="600"/>
      <c r="F257" s="23"/>
      <c r="G257" s="23"/>
      <c r="H257" s="691"/>
      <c r="I257" s="589" t="s">
        <v>4634</v>
      </c>
      <c r="J257" s="873"/>
      <c r="K257" s="873"/>
      <c r="L257" s="1687" t="s">
        <v>4635</v>
      </c>
      <c r="M257" s="1628">
        <v>2</v>
      </c>
      <c r="N257" s="4"/>
      <c r="O257" s="1669">
        <f ca="1">IF(LEN(W257)&gt;0,M257,0)*S257</f>
        <v>0</v>
      </c>
      <c r="P257" s="96" t="b">
        <v>0</v>
      </c>
      <c r="Q257" s="881" t="b">
        <v>1</v>
      </c>
      <c r="R257" s="96" t="b">
        <v>0</v>
      </c>
      <c r="S257" s="991" t="b">
        <f ca="1">S14=1</f>
        <v>1</v>
      </c>
      <c r="T257" s="96" t="b">
        <f ca="1">IF(AND(NOT(S257),LEN(W257)&gt;0),TRUE,FALSE)</f>
        <v>0</v>
      </c>
      <c r="U257" s="195" t="str">
        <f>SUBSTITUTE(SUBSTITUTE(SUBSTITUTE("dd"&amp;B257&amp;C257&amp;D257&amp;E257&amp;F257,".","_"),"(","_"),")","")</f>
        <v>dd803_3</v>
      </c>
      <c r="W257" s="12"/>
      <c r="X257" s="1600"/>
      <c r="AC257" s="905" t="b">
        <f ca="1">OR(AD257:AE257)</f>
        <v>0</v>
      </c>
      <c r="AD257" s="905" t="b">
        <f ca="1">T257</f>
        <v>0</v>
      </c>
      <c r="AE257" s="905"/>
      <c r="AL257" s="1352" t="str">
        <f>SUBSTITUTE(SUBSTITUTE(SUBSTITUTE("dpa"&amp;$B257&amp;$C257&amp;$D257&amp;$E257&amp;$F257,".","_"),"(","_"),")","")</f>
        <v>dpa803_3</v>
      </c>
      <c r="AM257" s="1352">
        <f>M257</f>
        <v>2</v>
      </c>
      <c r="AN257" s="1352" t="str">
        <f>SUBSTITUTE(SUBSTITUTE(SUBSTITUTE("dpc"&amp;$B257&amp;$C257&amp;$D257&amp;$E257&amp;$F257,".","_"),"(","_"),")","")</f>
        <v>dpc803_3</v>
      </c>
      <c r="AO257" s="1352">
        <f ca="1">O257</f>
        <v>0</v>
      </c>
      <c r="AP257" s="1352" t="str">
        <f>SUBSTITUTE(SUBSTITUTE(SUBSTITUTE("dch"&amp;$B257&amp;$C257&amp;$D257&amp;$E257&amp;$F257,".","_"),"(","_"),")","")</f>
        <v>dch803_3</v>
      </c>
      <c r="AQ257" s="1352" t="str">
        <f>IF(LEN(W257)=0,"",W257)</f>
        <v/>
      </c>
      <c r="AR257" s="1352" t="str">
        <f>SUBSTITUTE(SUBSTITUTE(SUBSTITUTE("dnt"&amp;$B257&amp;$C257&amp;$D257&amp;$E257&amp;$F257,".","_"),"(","_"),")","")</f>
        <v>dnt803_3</v>
      </c>
      <c r="AS257" s="1352" t="str">
        <f>IF(LEN(X257)=0,"",X257)</f>
        <v/>
      </c>
      <c r="AX257" s="879"/>
    </row>
    <row r="258" spans="2:50" x14ac:dyDescent="0.2">
      <c r="B258" s="600">
        <v>803.3</v>
      </c>
      <c r="C258" s="858"/>
      <c r="D258" s="858"/>
      <c r="E258" s="600"/>
      <c r="F258" s="23"/>
      <c r="G258" s="23"/>
      <c r="H258" s="691"/>
      <c r="I258" s="589"/>
      <c r="J258" s="873"/>
      <c r="K258" s="873"/>
      <c r="L258" s="1687"/>
      <c r="M258" s="1628"/>
      <c r="N258" s="4"/>
      <c r="O258" s="1669"/>
      <c r="X258" s="1600"/>
      <c r="AX258" s="879"/>
    </row>
    <row r="259" spans="2:50" x14ac:dyDescent="0.2">
      <c r="B259" s="600">
        <v>803.3</v>
      </c>
      <c r="C259" s="858"/>
      <c r="D259" s="858"/>
      <c r="E259" s="600"/>
      <c r="F259" s="23"/>
      <c r="G259" s="23"/>
      <c r="H259" s="691"/>
      <c r="I259" s="589"/>
      <c r="J259" s="873"/>
      <c r="K259" s="873"/>
      <c r="L259" s="1687"/>
      <c r="M259" s="1628"/>
      <c r="N259" s="4"/>
      <c r="O259" s="1669"/>
      <c r="X259" s="1600"/>
      <c r="AX259" s="879"/>
    </row>
    <row r="260" spans="2:50" x14ac:dyDescent="0.2">
      <c r="B260" s="600">
        <v>803.3</v>
      </c>
      <c r="C260" s="858" t="s">
        <v>254</v>
      </c>
      <c r="D260" s="858"/>
      <c r="E260" s="600"/>
      <c r="F260" s="23"/>
      <c r="G260" s="23"/>
      <c r="H260" s="691"/>
      <c r="I260" s="590"/>
      <c r="J260" s="1072" t="s">
        <v>254</v>
      </c>
      <c r="K260" s="1072"/>
      <c r="L260" s="923" t="s">
        <v>4636</v>
      </c>
      <c r="M260" s="882"/>
      <c r="N260" s="129"/>
      <c r="O260" s="886"/>
      <c r="P260"/>
      <c r="Q260"/>
      <c r="R260"/>
      <c r="S260"/>
      <c r="T260"/>
      <c r="U260"/>
      <c r="V260"/>
      <c r="W260"/>
      <c r="X260" s="1600"/>
    </row>
    <row r="261" spans="2:50" ht="16" thickBot="1" x14ac:dyDescent="0.25">
      <c r="B261" s="600">
        <v>803.3</v>
      </c>
      <c r="C261" s="858" t="s">
        <v>255</v>
      </c>
      <c r="D261" s="858"/>
      <c r="E261" s="600"/>
      <c r="F261" s="23"/>
      <c r="G261" s="23"/>
      <c r="H261" s="691"/>
      <c r="I261" s="594"/>
      <c r="J261" s="1069" t="s">
        <v>255</v>
      </c>
      <c r="K261" s="1069"/>
      <c r="L261" s="920" t="s">
        <v>4637</v>
      </c>
      <c r="M261" s="884"/>
      <c r="N261" s="239"/>
      <c r="O261" s="887"/>
      <c r="P261"/>
      <c r="Q261"/>
      <c r="R261"/>
      <c r="S261"/>
      <c r="T261"/>
      <c r="U261"/>
      <c r="V261"/>
      <c r="W261" s="113"/>
      <c r="X261" s="1600"/>
    </row>
    <row r="262" spans="2:50" ht="16" thickTop="1" x14ac:dyDescent="0.2">
      <c r="B262" s="600">
        <v>803.4</v>
      </c>
      <c r="C262" s="858"/>
      <c r="D262" s="858"/>
      <c r="E262" s="600"/>
      <c r="F262" s="23"/>
      <c r="G262" s="23"/>
      <c r="H262" s="691"/>
      <c r="I262" s="590" t="s">
        <v>4638</v>
      </c>
      <c r="J262" s="1068"/>
      <c r="K262" s="1068"/>
      <c r="L262" s="1687" t="s">
        <v>4639</v>
      </c>
      <c r="M262" s="1685">
        <v>20</v>
      </c>
      <c r="N262" s="178"/>
      <c r="O262" s="1682">
        <f ca="1">M262*S262*W262</f>
        <v>0</v>
      </c>
      <c r="P262" s="96" t="b">
        <v>0</v>
      </c>
      <c r="Q262" s="881" t="b">
        <v>1</v>
      </c>
      <c r="R262" s="106" t="b">
        <v>0</v>
      </c>
      <c r="S262" s="106" t="b">
        <f ca="1">S14=1</f>
        <v>1</v>
      </c>
      <c r="T262" s="106" t="b">
        <f ca="1">IF(AND(NOT(S262),W262=TRUE),TRUE,FALSE)</f>
        <v>0</v>
      </c>
      <c r="U262" s="106"/>
      <c r="V262" s="106"/>
      <c r="W262" s="119"/>
      <c r="X262" s="1600"/>
      <c r="AC262" s="905" t="b">
        <f ca="1">OR(AD262:AE262)</f>
        <v>0</v>
      </c>
      <c r="AD262" s="905" t="b">
        <f ca="1">T262</f>
        <v>0</v>
      </c>
      <c r="AE262" s="905"/>
      <c r="AL262" s="1352" t="str">
        <f>SUBSTITUTE(SUBSTITUTE(SUBSTITUTE("dpa"&amp;$B262&amp;$C262&amp;$D262&amp;$E262&amp;$F262,".","_"),"(","_"),")","")</f>
        <v>dpa803_4</v>
      </c>
      <c r="AM262" s="1352">
        <f>M262</f>
        <v>20</v>
      </c>
      <c r="AN262" s="1352" t="str">
        <f>SUBSTITUTE(SUBSTITUTE(SUBSTITUTE("dpc"&amp;$B262&amp;$C262&amp;$D262&amp;$E262&amp;$F262,".","_"),"(","_"),")","")</f>
        <v>dpc803_4</v>
      </c>
      <c r="AO262" s="1352">
        <f ca="1">O262</f>
        <v>0</v>
      </c>
      <c r="AP262" s="1352" t="str">
        <f>SUBSTITUTE(SUBSTITUTE(SUBSTITUTE("dch"&amp;$B262&amp;$C262&amp;$D262&amp;$E262&amp;$F262,".","_"),"(","_"),")","")</f>
        <v>dch803_4</v>
      </c>
      <c r="AQ262" s="1352" t="str">
        <f>IF(LEN(W262)=0,"",W262)</f>
        <v/>
      </c>
      <c r="AR262" s="1352" t="str">
        <f>SUBSTITUTE(SUBSTITUTE(SUBSTITUTE("dnt"&amp;$B262&amp;$C262&amp;$D262&amp;$E262&amp;$F262,".","_"),"(","_"),")","")</f>
        <v>dnt803_4</v>
      </c>
      <c r="AS262" s="1352" t="str">
        <f>IF(LEN(X262)=0,"",X262)</f>
        <v/>
      </c>
    </row>
    <row r="263" spans="2:50" x14ac:dyDescent="0.2">
      <c r="B263" s="600">
        <v>803.4</v>
      </c>
      <c r="C263" s="858"/>
      <c r="D263" s="858"/>
      <c r="E263" s="600"/>
      <c r="F263" s="23"/>
      <c r="G263" s="23"/>
      <c r="H263" s="691"/>
      <c r="I263" s="590"/>
      <c r="J263" s="1068"/>
      <c r="K263" s="1068"/>
      <c r="L263" s="1687"/>
      <c r="M263" s="1623"/>
      <c r="N263" s="129"/>
      <c r="O263" s="1619"/>
      <c r="P263" s="96"/>
      <c r="Q263" s="96"/>
      <c r="R263" s="96"/>
      <c r="S263" s="96"/>
      <c r="T263" s="96"/>
      <c r="U263" s="96"/>
      <c r="V263" s="96"/>
      <c r="W263" s="96"/>
      <c r="X263" s="1600"/>
    </row>
    <row r="264" spans="2:50" ht="16" thickBot="1" x14ac:dyDescent="0.25">
      <c r="B264" s="600">
        <v>803.4</v>
      </c>
      <c r="C264" s="858"/>
      <c r="D264" s="858"/>
      <c r="E264" s="600"/>
      <c r="F264" s="23"/>
      <c r="G264" s="23"/>
      <c r="H264" s="691"/>
      <c r="I264" s="594"/>
      <c r="J264" s="1069"/>
      <c r="K264" s="1069"/>
      <c r="L264" s="1738"/>
      <c r="M264" s="1627"/>
      <c r="N264" s="239"/>
      <c r="O264" s="1638"/>
      <c r="P264" s="100"/>
      <c r="Q264" s="100"/>
      <c r="R264" s="100"/>
      <c r="S264" s="100"/>
      <c r="T264" s="100"/>
      <c r="U264" s="100"/>
      <c r="V264" s="100"/>
      <c r="W264" s="100"/>
      <c r="X264" s="1600"/>
    </row>
    <row r="265" spans="2:50" ht="16" thickTop="1" x14ac:dyDescent="0.2">
      <c r="B265" s="600">
        <v>803.5</v>
      </c>
      <c r="C265" s="858"/>
      <c r="D265" s="858"/>
      <c r="E265" s="600"/>
      <c r="F265" s="23"/>
      <c r="G265" s="23"/>
      <c r="H265" s="691"/>
      <c r="I265" s="590" t="s">
        <v>4640</v>
      </c>
      <c r="J265" s="1068"/>
      <c r="K265" s="1068"/>
      <c r="L265" s="1687" t="s">
        <v>4641</v>
      </c>
      <c r="M265" s="1685">
        <v>1</v>
      </c>
      <c r="N265" s="178"/>
      <c r="O265" s="1682">
        <f ca="1">M265*S265*W265</f>
        <v>0</v>
      </c>
      <c r="P265" s="96" t="b">
        <v>0</v>
      </c>
      <c r="Q265" s="881" t="b">
        <v>1</v>
      </c>
      <c r="R265" s="106" t="b">
        <v>0</v>
      </c>
      <c r="S265" s="106" t="b">
        <f ca="1">S14=1</f>
        <v>1</v>
      </c>
      <c r="T265" s="106" t="b">
        <f ca="1">IF(AND(NOT(S265),W265=TRUE),TRUE,FALSE)</f>
        <v>0</v>
      </c>
      <c r="U265" s="106"/>
      <c r="V265" s="106"/>
      <c r="W265" s="27"/>
      <c r="X265" s="1600"/>
      <c r="AC265" s="905" t="b">
        <f ca="1">OR(AD265:AE265)</f>
        <v>0</v>
      </c>
      <c r="AD265" s="905" t="b">
        <f ca="1">T265</f>
        <v>0</v>
      </c>
      <c r="AE265" s="905"/>
      <c r="AL265" s="1352" t="str">
        <f>SUBSTITUTE(SUBSTITUTE(SUBSTITUTE("dpa"&amp;$B265&amp;$C265&amp;$D265&amp;$E265&amp;$F265,".","_"),"(","_"),")","")</f>
        <v>dpa803_5</v>
      </c>
      <c r="AM265" s="1352">
        <f>M265</f>
        <v>1</v>
      </c>
      <c r="AN265" s="1352" t="str">
        <f>SUBSTITUTE(SUBSTITUTE(SUBSTITUTE("dpc"&amp;$B265&amp;$C265&amp;$D265&amp;$E265&amp;$F265,".","_"),"(","_"),")","")</f>
        <v>dpc803_5</v>
      </c>
      <c r="AO265" s="1352">
        <f ca="1">O265</f>
        <v>0</v>
      </c>
      <c r="AP265" s="1352" t="str">
        <f>SUBSTITUTE(SUBSTITUTE(SUBSTITUTE("dch"&amp;$B265&amp;$C265&amp;$D265&amp;$E265&amp;$F265,".","_"),"(","_"),")","")</f>
        <v>dch803_5</v>
      </c>
      <c r="AQ265" s="1352" t="str">
        <f>IF(LEN(W265)=0,"",W265)</f>
        <v/>
      </c>
      <c r="AR265" s="1352" t="str">
        <f>SUBSTITUTE(SUBSTITUTE(SUBSTITUTE("dnt"&amp;$B265&amp;$C265&amp;$D265&amp;$E265&amp;$F265,".","_"),"(","_"),")","")</f>
        <v>dnt803_5</v>
      </c>
      <c r="AS265" s="1352" t="str">
        <f>IF(LEN(X265)=0,"",X265)</f>
        <v/>
      </c>
    </row>
    <row r="266" spans="2:50" ht="16" thickBot="1" x14ac:dyDescent="0.25">
      <c r="B266" s="600">
        <v>803.5</v>
      </c>
      <c r="C266" s="858"/>
      <c r="D266" s="858"/>
      <c r="E266" s="600"/>
      <c r="F266" s="23"/>
      <c r="G266" s="23"/>
      <c r="H266" s="691"/>
      <c r="I266" s="594"/>
      <c r="J266" s="1069"/>
      <c r="K266" s="1069"/>
      <c r="L266" s="1738"/>
      <c r="M266" s="1627"/>
      <c r="N266" s="239"/>
      <c r="O266" s="1638"/>
      <c r="P266" s="100"/>
      <c r="Q266" s="100"/>
      <c r="R266" s="100"/>
      <c r="S266" s="100"/>
      <c r="T266" s="100"/>
      <c r="U266" s="100"/>
      <c r="V266" s="100"/>
      <c r="W266" s="100"/>
      <c r="X266" s="1600"/>
    </row>
    <row r="267" spans="2:50" ht="16" thickTop="1" x14ac:dyDescent="0.2">
      <c r="B267" s="600">
        <v>803.6</v>
      </c>
      <c r="C267" s="858"/>
      <c r="D267" s="858"/>
      <c r="E267" s="600"/>
      <c r="F267" s="23"/>
      <c r="G267" s="23"/>
      <c r="H267" s="691"/>
      <c r="I267" s="589" t="s">
        <v>4642</v>
      </c>
      <c r="J267" s="873"/>
      <c r="K267" s="873"/>
      <c r="L267" s="1687" t="s">
        <v>4860</v>
      </c>
      <c r="M267" s="1685">
        <v>20</v>
      </c>
      <c r="N267" s="178"/>
      <c r="O267" s="1682">
        <f ca="1">M267*S267*W267</f>
        <v>0</v>
      </c>
      <c r="P267" s="106" t="b">
        <v>0</v>
      </c>
      <c r="Q267" s="106" t="b">
        <v>1</v>
      </c>
      <c r="R267" s="106" t="b">
        <v>0</v>
      </c>
      <c r="S267" s="106" t="b">
        <f ca="1">AND(NOT(OR(LEN(W251)&gt;0,W253)),S14=1)</f>
        <v>1</v>
      </c>
      <c r="T267" s="106" t="b">
        <f ca="1">IF(AND(NOT(S267),W267=TRUE),TRUE,FALSE)</f>
        <v>0</v>
      </c>
      <c r="W267" s="27"/>
      <c r="X267" s="1600"/>
      <c r="AC267" s="905" t="b">
        <f ca="1">OR(AD267:AE267)</f>
        <v>0</v>
      </c>
      <c r="AD267" s="905" t="b">
        <f ca="1">T267</f>
        <v>0</v>
      </c>
      <c r="AE267" s="905"/>
      <c r="AL267" s="1352" t="str">
        <f>SUBSTITUTE(SUBSTITUTE(SUBSTITUTE("dpa"&amp;$B267&amp;$C267&amp;$D267&amp;$E267&amp;$F267,".","_"),"(","_"),")","")</f>
        <v>dpa803_6</v>
      </c>
      <c r="AM267" s="1352">
        <f>M267</f>
        <v>20</v>
      </c>
      <c r="AN267" s="1352" t="str">
        <f>SUBSTITUTE(SUBSTITUTE(SUBSTITUTE("dpc"&amp;$B267&amp;$C267&amp;$D267&amp;$E267&amp;$F267,".","_"),"(","_"),")","")</f>
        <v>dpc803_6</v>
      </c>
      <c r="AO267" s="1352">
        <f ca="1">O267</f>
        <v>0</v>
      </c>
      <c r="AP267" s="1352" t="str">
        <f>SUBSTITUTE(SUBSTITUTE(SUBSTITUTE("dch"&amp;$B267&amp;$C267&amp;$D267&amp;$E267&amp;$F267,".","_"),"(","_"),")","")</f>
        <v>dch803_6</v>
      </c>
      <c r="AQ267" s="1352" t="str">
        <f>IF(LEN(W267)=0,"",W267)</f>
        <v/>
      </c>
      <c r="AR267" s="1352" t="str">
        <f>SUBSTITUTE(SUBSTITUTE(SUBSTITUTE("dnt"&amp;$B267&amp;$C267&amp;$D267&amp;$E267&amp;$F267,".","_"),"(","_"),")","")</f>
        <v>dnt803_6</v>
      </c>
      <c r="AS267" s="1352" t="str">
        <f>IF(LEN(X267)=0,"",X267)</f>
        <v/>
      </c>
    </row>
    <row r="268" spans="2:50" x14ac:dyDescent="0.2">
      <c r="B268" s="600">
        <v>803.6</v>
      </c>
      <c r="C268" s="858"/>
      <c r="D268" s="858"/>
      <c r="E268" s="600"/>
      <c r="F268" s="23"/>
      <c r="G268" s="23"/>
      <c r="H268" s="691"/>
      <c r="I268" s="589"/>
      <c r="J268" s="873"/>
      <c r="K268" s="873"/>
      <c r="L268" s="1687"/>
      <c r="M268" s="1623"/>
      <c r="N268" s="129"/>
      <c r="O268" s="1619"/>
      <c r="P268" s="991"/>
      <c r="Q268" s="991"/>
      <c r="R268" s="991"/>
      <c r="S268" s="991"/>
      <c r="T268" s="991"/>
      <c r="X268" s="1600"/>
    </row>
    <row r="269" spans="2:50" ht="16" thickBot="1" x14ac:dyDescent="0.25">
      <c r="B269" s="600">
        <v>803.6</v>
      </c>
      <c r="C269" s="858"/>
      <c r="D269" s="858"/>
      <c r="E269" s="600"/>
      <c r="F269" s="23"/>
      <c r="G269" s="23"/>
      <c r="H269" s="691"/>
      <c r="I269" s="589"/>
      <c r="J269" s="873"/>
      <c r="K269" s="873"/>
      <c r="L269" s="1687"/>
      <c r="M269" s="1627"/>
      <c r="N269" s="239"/>
      <c r="O269" s="1638"/>
      <c r="P269" s="100"/>
      <c r="Q269" s="100"/>
      <c r="R269" s="100"/>
      <c r="S269" s="100"/>
      <c r="T269" s="100"/>
      <c r="X269" s="1600"/>
    </row>
    <row r="270" spans="2:50" ht="17" thickTop="1" thickBot="1" x14ac:dyDescent="0.25">
      <c r="I270" s="201" t="s">
        <v>2918</v>
      </c>
      <c r="J270" s="202"/>
      <c r="K270" s="202"/>
      <c r="L270" s="202"/>
      <c r="M270" s="985"/>
      <c r="N270" s="986"/>
      <c r="O270" s="987"/>
      <c r="P270" s="986"/>
      <c r="Q270" s="986"/>
      <c r="R270" s="986"/>
      <c r="S270" s="986"/>
      <c r="T270" s="986"/>
      <c r="U270" s="202"/>
      <c r="V270" s="202"/>
      <c r="W270" s="202"/>
      <c r="X270" s="278" t="s">
        <v>2919</v>
      </c>
    </row>
    <row r="271" spans="2:50" ht="16" thickTop="1" x14ac:dyDescent="0.2"/>
  </sheetData>
  <sheetProtection algorithmName="SHA-512" hashValue="tblCeeDH+cGae7wD2y/d2NOqeZ0w5xpcUKqviE48IuxMsWfXz7L92eSbWzCIhpfaZMJnsufSdLVHxxUdkKmxrg==" saltValue="8+jj2RqeHuMEr/UHNPJjBw==" spinCount="100000" sheet="1" objects="1" scenarios="1" selectLockedCells="1"/>
  <mergeCells count="211">
    <mergeCell ref="M242:M244"/>
    <mergeCell ref="X242:X244"/>
    <mergeCell ref="X23:X38"/>
    <mergeCell ref="M86:M87"/>
    <mergeCell ref="M265:M266"/>
    <mergeCell ref="O265:O266"/>
    <mergeCell ref="M267:M269"/>
    <mergeCell ref="O267:O269"/>
    <mergeCell ref="M132:M133"/>
    <mergeCell ref="O132:O133"/>
    <mergeCell ref="M157:M158"/>
    <mergeCell ref="M254:M256"/>
    <mergeCell ref="O254:O256"/>
    <mergeCell ref="M257:M259"/>
    <mergeCell ref="O257:O259"/>
    <mergeCell ref="M262:M264"/>
    <mergeCell ref="O262:O264"/>
    <mergeCell ref="O197:O199"/>
    <mergeCell ref="M200:M201"/>
    <mergeCell ref="M225:M226"/>
    <mergeCell ref="O225:O226"/>
    <mergeCell ref="O247:O249"/>
    <mergeCell ref="M251:M252"/>
    <mergeCell ref="M171:M172"/>
    <mergeCell ref="M192:M193"/>
    <mergeCell ref="L106:L108"/>
    <mergeCell ref="L81:L84"/>
    <mergeCell ref="M194:M196"/>
    <mergeCell ref="M159:M161"/>
    <mergeCell ref="O159:O161"/>
    <mergeCell ref="M165:M166"/>
    <mergeCell ref="O165:O166"/>
    <mergeCell ref="M169:M170"/>
    <mergeCell ref="M136:M137"/>
    <mergeCell ref="M138:M140"/>
    <mergeCell ref="O138:O140"/>
    <mergeCell ref="M148:M151"/>
    <mergeCell ref="O148:O151"/>
    <mergeCell ref="M152:M153"/>
    <mergeCell ref="O152:O153"/>
    <mergeCell ref="M177:M178"/>
    <mergeCell ref="O177:O178"/>
    <mergeCell ref="M180:M181"/>
    <mergeCell ref="O180:O181"/>
    <mergeCell ref="M182:M183"/>
    <mergeCell ref="O182:O183"/>
    <mergeCell ref="M111:M112"/>
    <mergeCell ref="O111:O112"/>
    <mergeCell ref="O73:O74"/>
    <mergeCell ref="M95:M96"/>
    <mergeCell ref="O95:O100"/>
    <mergeCell ref="M97:M100"/>
    <mergeCell ref="M103:M105"/>
    <mergeCell ref="M79:M80"/>
    <mergeCell ref="M81:M84"/>
    <mergeCell ref="M88:M89"/>
    <mergeCell ref="M90:M93"/>
    <mergeCell ref="O171:O172"/>
    <mergeCell ref="M175:M176"/>
    <mergeCell ref="O175:O176"/>
    <mergeCell ref="L265:L266"/>
    <mergeCell ref="L267:L269"/>
    <mergeCell ref="O40:O44"/>
    <mergeCell ref="M51:M52"/>
    <mergeCell ref="M53:M54"/>
    <mergeCell ref="M55:M56"/>
    <mergeCell ref="M57:M59"/>
    <mergeCell ref="M60:M61"/>
    <mergeCell ref="M62:M66"/>
    <mergeCell ref="M67:M69"/>
    <mergeCell ref="L236:L238"/>
    <mergeCell ref="L242:L244"/>
    <mergeCell ref="L247:L250"/>
    <mergeCell ref="L251:L252"/>
    <mergeCell ref="L257:L259"/>
    <mergeCell ref="L262:L264"/>
    <mergeCell ref="L194:L196"/>
    <mergeCell ref="L197:L199"/>
    <mergeCell ref="L200:L201"/>
    <mergeCell ref="L202:L205"/>
    <mergeCell ref="L206:L208"/>
    <mergeCell ref="L209:L210"/>
    <mergeCell ref="L254:L256"/>
    <mergeCell ref="L225:L226"/>
    <mergeCell ref="L228:L233"/>
    <mergeCell ref="L154:L155"/>
    <mergeCell ref="L146:L147"/>
    <mergeCell ref="L157:L158"/>
    <mergeCell ref="L138:L144"/>
    <mergeCell ref="L119:L121"/>
    <mergeCell ref="L124:L125"/>
    <mergeCell ref="L212:L215"/>
    <mergeCell ref="L218:L219"/>
    <mergeCell ref="L220:L221"/>
    <mergeCell ref="L223:L224"/>
    <mergeCell ref="L192:L193"/>
    <mergeCell ref="L177:L178"/>
    <mergeCell ref="L180:L181"/>
    <mergeCell ref="L182:L183"/>
    <mergeCell ref="L184:L185"/>
    <mergeCell ref="L159:L161"/>
    <mergeCell ref="L165:L166"/>
    <mergeCell ref="L171:L172"/>
    <mergeCell ref="L175:L176"/>
    <mergeCell ref="L167:L168"/>
    <mergeCell ref="L148:L151"/>
    <mergeCell ref="L152:L153"/>
    <mergeCell ref="X6:X7"/>
    <mergeCell ref="X4:X5"/>
    <mergeCell ref="I5:L5"/>
    <mergeCell ref="I6:K7"/>
    <mergeCell ref="L6:L7"/>
    <mergeCell ref="M6:M7"/>
    <mergeCell ref="N6:N7"/>
    <mergeCell ref="P6:P7"/>
    <mergeCell ref="Q6:Q7"/>
    <mergeCell ref="R6:R7"/>
    <mergeCell ref="S6:S7"/>
    <mergeCell ref="L10:L12"/>
    <mergeCell ref="L19:L21"/>
    <mergeCell ref="L23:L26"/>
    <mergeCell ref="L13:L18"/>
    <mergeCell ref="L40:L50"/>
    <mergeCell ref="L51:L52"/>
    <mergeCell ref="L53:L54"/>
    <mergeCell ref="L55:L56"/>
    <mergeCell ref="L57:L59"/>
    <mergeCell ref="L60:L61"/>
    <mergeCell ref="O67:O69"/>
    <mergeCell ref="L62:L66"/>
    <mergeCell ref="X159:X161"/>
    <mergeCell ref="L27:L28"/>
    <mergeCell ref="L35:L38"/>
    <mergeCell ref="L29:L34"/>
    <mergeCell ref="O169:O170"/>
    <mergeCell ref="O106:O108"/>
    <mergeCell ref="O115:O117"/>
    <mergeCell ref="O127:O129"/>
    <mergeCell ref="L115:L117"/>
    <mergeCell ref="L103:L105"/>
    <mergeCell ref="L95:L102"/>
    <mergeCell ref="L88:L89"/>
    <mergeCell ref="L85:L87"/>
    <mergeCell ref="L90:L93"/>
    <mergeCell ref="L127:L129"/>
    <mergeCell ref="L132:L133"/>
    <mergeCell ref="L134:L135"/>
    <mergeCell ref="L136:L137"/>
    <mergeCell ref="L67:L69"/>
    <mergeCell ref="L70:L71"/>
    <mergeCell ref="L79:L80"/>
    <mergeCell ref="L111:L113"/>
    <mergeCell ref="L169:L170"/>
    <mergeCell ref="H1:H7"/>
    <mergeCell ref="I1:L1"/>
    <mergeCell ref="M1:W5"/>
    <mergeCell ref="I2:L2"/>
    <mergeCell ref="I3:L3"/>
    <mergeCell ref="I4:L4"/>
    <mergeCell ref="T6:T7"/>
    <mergeCell ref="U6:U7"/>
    <mergeCell ref="V6:V7"/>
    <mergeCell ref="W6:W7"/>
    <mergeCell ref="X186:X196"/>
    <mergeCell ref="X200:X201"/>
    <mergeCell ref="O236:O238"/>
    <mergeCell ref="O228:O232"/>
    <mergeCell ref="X51:X61"/>
    <mergeCell ref="X62:X66"/>
    <mergeCell ref="X67:X69"/>
    <mergeCell ref="X73:X76"/>
    <mergeCell ref="X79:X80"/>
    <mergeCell ref="X81:X84"/>
    <mergeCell ref="X88:X89"/>
    <mergeCell ref="X90:X93"/>
    <mergeCell ref="X95:X105"/>
    <mergeCell ref="X106:X110"/>
    <mergeCell ref="X111:X113"/>
    <mergeCell ref="X115:X126"/>
    <mergeCell ref="X127:X131"/>
    <mergeCell ref="X132:X133"/>
    <mergeCell ref="X136:X137"/>
    <mergeCell ref="X138:X144"/>
    <mergeCell ref="X148:X151"/>
    <mergeCell ref="X152:X153"/>
    <mergeCell ref="X154:X155"/>
    <mergeCell ref="X157:X158"/>
    <mergeCell ref="X267:X269"/>
    <mergeCell ref="O79:O80"/>
    <mergeCell ref="O81:O84"/>
    <mergeCell ref="O88:O89"/>
    <mergeCell ref="O90:O93"/>
    <mergeCell ref="M118:M121"/>
    <mergeCell ref="L75:L76"/>
    <mergeCell ref="L188:L189"/>
    <mergeCell ref="X202:X224"/>
    <mergeCell ref="X225:X226"/>
    <mergeCell ref="X228:X235"/>
    <mergeCell ref="X236:X240"/>
    <mergeCell ref="X251:X252"/>
    <mergeCell ref="X254:X256"/>
    <mergeCell ref="X257:X261"/>
    <mergeCell ref="X262:X264"/>
    <mergeCell ref="X265:X266"/>
    <mergeCell ref="X165:X166"/>
    <mergeCell ref="X169:X170"/>
    <mergeCell ref="X171:X172"/>
    <mergeCell ref="X175:X176"/>
    <mergeCell ref="X177:X178"/>
    <mergeCell ref="X180:X181"/>
    <mergeCell ref="X182:X183"/>
  </mergeCells>
  <conditionalFormatting sqref="X2">
    <cfRule type="expression" dxfId="4169" priority="919">
      <formula>$AG$3</formula>
    </cfRule>
  </conditionalFormatting>
  <conditionalFormatting sqref="X3">
    <cfRule type="expression" dxfId="4168" priority="920">
      <formula>$AI$3</formula>
    </cfRule>
  </conditionalFormatting>
  <conditionalFormatting sqref="X1">
    <cfRule type="expression" dxfId="4167" priority="866">
      <formula>startError</formula>
    </cfRule>
  </conditionalFormatting>
  <conditionalFormatting sqref="I1">
    <cfRule type="expression" dxfId="4166" priority="858">
      <formula>$AG$1="Gold"</formula>
    </cfRule>
    <cfRule type="expression" dxfId="4165" priority="859">
      <formula>$AG$1="Silver"</formula>
    </cfRule>
    <cfRule type="expression" dxfId="4164" priority="860">
      <formula>$AG$1="Bronze"</formula>
    </cfRule>
    <cfRule type="expression" dxfId="4163" priority="861">
      <formula>$AG$1="Emerald"</formula>
    </cfRule>
  </conditionalFormatting>
  <conditionalFormatting sqref="W95">
    <cfRule type="expression" dxfId="4162" priority="300">
      <formula>OR($T$95 = TRUE, AND(LEN(TRIM($W$95))&gt;0, $S$95 = FALSE))</formula>
    </cfRule>
    <cfRule type="expression" dxfId="4161" priority="301">
      <formula>$S$95 = FALSE</formula>
    </cfRule>
    <cfRule type="expression" dxfId="4160" priority="302">
      <formula>AND($W$95&lt;&gt;"Not Met",LEN(TRIM($W$95))&gt;0)</formula>
    </cfRule>
    <cfRule type="expression" dxfId="4159" priority="303">
      <formula>AND($R$95,$S$95)</formula>
    </cfRule>
  </conditionalFormatting>
  <conditionalFormatting sqref="W106">
    <cfRule type="expression" dxfId="4158" priority="296">
      <formula>OR($T$106 = TRUE, AND(LEN(TRIM($W$106))&gt;0, $S$106 = FALSE))</formula>
    </cfRule>
    <cfRule type="expression" dxfId="4157" priority="297">
      <formula>$S$106 = FALSE</formula>
    </cfRule>
    <cfRule type="expression" dxfId="4156" priority="298">
      <formula>AND($W$106&lt;&gt;"Not Met",LEN(TRIM($W$106))&gt;0)</formula>
    </cfRule>
    <cfRule type="expression" dxfId="4155" priority="299">
      <formula>AND($R$106,$S$106)</formula>
    </cfRule>
  </conditionalFormatting>
  <conditionalFormatting sqref="W111">
    <cfRule type="expression" dxfId="4154" priority="292">
      <formula>OR($T$111 = TRUE, AND(LEN(TRIM($W$111))&gt;0, $S$111 = FALSE))</formula>
    </cfRule>
    <cfRule type="expression" dxfId="4153" priority="293">
      <formula>$S$111 = FALSE</formula>
    </cfRule>
    <cfRule type="expression" dxfId="4152" priority="294">
      <formula>AND($W$111&lt;&gt;"Not Met",LEN(TRIM($W$111))&gt;0)</formula>
    </cfRule>
    <cfRule type="expression" dxfId="4151" priority="295">
      <formula>AND($R$111,$S$111)</formula>
    </cfRule>
  </conditionalFormatting>
  <conditionalFormatting sqref="W115">
    <cfRule type="expression" dxfId="4150" priority="288">
      <formula>OR($T$115 = TRUE, AND(LEN(TRIM($W$115))&gt;0, $S$115 = FALSE))</formula>
    </cfRule>
    <cfRule type="expression" dxfId="4149" priority="289">
      <formula>$S$115 = FALSE</formula>
    </cfRule>
    <cfRule type="expression" dxfId="4148" priority="290">
      <formula>AND($W$115&lt;&gt;"Not Met",LEN(TRIM($W$115))&gt;0)</formula>
    </cfRule>
    <cfRule type="expression" dxfId="4147" priority="291">
      <formula>AND($R$115,$S$115)</formula>
    </cfRule>
  </conditionalFormatting>
  <conditionalFormatting sqref="M136:M137">
    <cfRule type="expression" dxfId="4146" priority="279">
      <formula>NOT(O145&gt;0)</formula>
    </cfRule>
  </conditionalFormatting>
  <conditionalFormatting sqref="W138">
    <cfRule type="expression" dxfId="4145" priority="266">
      <formula>AND($R$138,$S$138)</formula>
    </cfRule>
  </conditionalFormatting>
  <conditionalFormatting sqref="W138">
    <cfRule type="expression" dxfId="4144" priority="265">
      <formula>AND($W$138&lt;&gt;"Not Met",LEN(TRIM($W$138))&gt;0)</formula>
    </cfRule>
  </conditionalFormatting>
  <conditionalFormatting sqref="W138">
    <cfRule type="expression" dxfId="4143" priority="264">
      <formula>$S$138 = FALSE</formula>
    </cfRule>
  </conditionalFormatting>
  <conditionalFormatting sqref="W138">
    <cfRule type="expression" dxfId="4142" priority="263">
      <formula>OR($T$138 = TRUE, AND(LEN(TRIM($W$138))&gt;0, $S$138 = FALSE))</formula>
    </cfRule>
  </conditionalFormatting>
  <conditionalFormatting sqref="W148">
    <cfRule type="expression" dxfId="4141" priority="262">
      <formula>AND($R$148,$S$148)</formula>
    </cfRule>
  </conditionalFormatting>
  <conditionalFormatting sqref="W148">
    <cfRule type="expression" dxfId="4140" priority="261">
      <formula>AND($W$148&lt;&gt;"Not Met",LEN(TRIM($W$148))&gt;0)</formula>
    </cfRule>
  </conditionalFormatting>
  <conditionalFormatting sqref="W148">
    <cfRule type="expression" dxfId="4139" priority="260">
      <formula>$S$148 = FALSE</formula>
    </cfRule>
  </conditionalFormatting>
  <conditionalFormatting sqref="W148">
    <cfRule type="expression" dxfId="4138" priority="259">
      <formula>OR($T$148 = TRUE, AND(LEN(TRIM($W$148))&gt;0, $S$148 = FALSE))</formula>
    </cfRule>
  </conditionalFormatting>
  <conditionalFormatting sqref="W186">
    <cfRule type="expression" dxfId="4137" priority="238">
      <formula>AND($R$186,$S$186)</formula>
    </cfRule>
  </conditionalFormatting>
  <conditionalFormatting sqref="W186">
    <cfRule type="expression" dxfId="4136" priority="237">
      <formula>AND($W$186&lt;&gt;"Not Met",LEN(TRIM($W$186))&gt;0)</formula>
    </cfRule>
  </conditionalFormatting>
  <conditionalFormatting sqref="W186">
    <cfRule type="expression" dxfId="4135" priority="236">
      <formula>$S$186 = FALSE</formula>
    </cfRule>
  </conditionalFormatting>
  <conditionalFormatting sqref="W186">
    <cfRule type="expression" dxfId="4134" priority="235">
      <formula>OR($T$186 = TRUE, AND(LEN(TRIM($W$186))&gt;0, $S$186 = FALSE))</formula>
    </cfRule>
  </conditionalFormatting>
  <conditionalFormatting sqref="W200">
    <cfRule type="expression" dxfId="4133" priority="226">
      <formula>AND($R$200,$S$200)</formula>
    </cfRule>
  </conditionalFormatting>
  <conditionalFormatting sqref="W200">
    <cfRule type="expression" dxfId="4132" priority="225">
      <formula>AND($W$200&lt;&gt;"Not Met",LEN(TRIM($W$200))&gt;0)</formula>
    </cfRule>
  </conditionalFormatting>
  <conditionalFormatting sqref="W200">
    <cfRule type="expression" dxfId="4131" priority="224">
      <formula>$S$200 = FALSE</formula>
    </cfRule>
  </conditionalFormatting>
  <conditionalFormatting sqref="W200">
    <cfRule type="expression" dxfId="4130" priority="223">
      <formula>OR($T$200 = TRUE, AND(LEN(TRIM($W$200))&gt;0, $S$200 = FALSE))</formula>
    </cfRule>
  </conditionalFormatting>
  <conditionalFormatting sqref="W255">
    <cfRule type="expression" dxfId="4129" priority="198">
      <formula>AND(R255,S255)</formula>
    </cfRule>
  </conditionalFormatting>
  <conditionalFormatting sqref="W255">
    <cfRule type="expression" dxfId="4128" priority="197">
      <formula>AND(R255,LEN(TRIM(W255))&gt;0)</formula>
    </cfRule>
  </conditionalFormatting>
  <conditionalFormatting sqref="W255">
    <cfRule type="expression" dxfId="4127" priority="196">
      <formula>S255 = FALSE</formula>
    </cfRule>
  </conditionalFormatting>
  <conditionalFormatting sqref="W255">
    <cfRule type="expression" dxfId="4126" priority="195">
      <formula>OR(T255 = TRUE, AND(W255 &gt; 0, S255 = FALSE))</formula>
    </cfRule>
  </conditionalFormatting>
  <conditionalFormatting sqref="W251">
    <cfRule type="expression" dxfId="4125" priority="194">
      <formula>AND($R$251,$S$251)</formula>
    </cfRule>
  </conditionalFormatting>
  <conditionalFormatting sqref="W251">
    <cfRule type="expression" dxfId="4124" priority="193">
      <formula>AND($W$251&lt;&gt;"Not Met",LEN(TRIM($W$251))&gt;0)</formula>
    </cfRule>
  </conditionalFormatting>
  <conditionalFormatting sqref="W251">
    <cfRule type="expression" dxfId="4123" priority="192">
      <formula>$S$251 = FALSE</formula>
    </cfRule>
  </conditionalFormatting>
  <conditionalFormatting sqref="W251">
    <cfRule type="expression" dxfId="4122" priority="191">
      <formula>OR($T$251 = TRUE, AND(LEN(TRIM($W$251))&gt;0, $S$251 = FALSE))</formula>
    </cfRule>
  </conditionalFormatting>
  <conditionalFormatting sqref="W157">
    <cfRule type="expression" dxfId="4121" priority="190">
      <formula>AND($R$157,$S$157)</formula>
    </cfRule>
  </conditionalFormatting>
  <conditionalFormatting sqref="W157">
    <cfRule type="expression" dxfId="4120" priority="189">
      <formula>AND($W$157&lt;&gt;"Not Met",LEN(TRIM($W$157))&gt;0)</formula>
    </cfRule>
  </conditionalFormatting>
  <conditionalFormatting sqref="W157">
    <cfRule type="expression" dxfId="4119" priority="188">
      <formula>$S$157 = FALSE</formula>
    </cfRule>
  </conditionalFormatting>
  <conditionalFormatting sqref="W157">
    <cfRule type="expression" dxfId="4118" priority="187">
      <formula>OR($T$157 = TRUE, AND(LEN(TRIM($W$157))&gt;0, $S$157 = FALSE))</formula>
    </cfRule>
  </conditionalFormatting>
  <conditionalFormatting sqref="W262">
    <cfRule type="expression" dxfId="4117" priority="178">
      <formula>AND($R$262,$S$262)</formula>
    </cfRule>
  </conditionalFormatting>
  <conditionalFormatting sqref="W262">
    <cfRule type="expression" dxfId="4116" priority="177">
      <formula>AND(IF($R$262,$W$262,TRUE),LEN(TRIM($W$262))&gt;0)</formula>
    </cfRule>
  </conditionalFormatting>
  <conditionalFormatting sqref="W262">
    <cfRule type="expression" dxfId="4115" priority="176">
      <formula>$S$262 = FALSE</formula>
    </cfRule>
  </conditionalFormatting>
  <conditionalFormatting sqref="W262">
    <cfRule type="expression" dxfId="4114" priority="175">
      <formula>OR($T$262 = TRUE, AND($W$262 = TRUE, $S$262 = FALSE))</formula>
    </cfRule>
  </conditionalFormatting>
  <conditionalFormatting sqref="W265">
    <cfRule type="expression" dxfId="4113" priority="174">
      <formula>AND($R$265,$S$265)</formula>
    </cfRule>
  </conditionalFormatting>
  <conditionalFormatting sqref="W265">
    <cfRule type="expression" dxfId="4112" priority="173">
      <formula>AND(IF($R$265,$W$265,TRUE),LEN(TRIM($W$265))&gt;0)</formula>
    </cfRule>
  </conditionalFormatting>
  <conditionalFormatting sqref="W265">
    <cfRule type="expression" dxfId="4111" priority="172">
      <formula>$S$265 = FALSE</formula>
    </cfRule>
  </conditionalFormatting>
  <conditionalFormatting sqref="W265">
    <cfRule type="expression" dxfId="4110" priority="171">
      <formula>OR($T$265 = TRUE, AND($W$265 = TRUE, $S$265 = FALSE))</formula>
    </cfRule>
  </conditionalFormatting>
  <conditionalFormatting sqref="W267">
    <cfRule type="expression" dxfId="4109" priority="170">
      <formula>AND($R$267,$S$267)</formula>
    </cfRule>
  </conditionalFormatting>
  <conditionalFormatting sqref="W267">
    <cfRule type="expression" dxfId="4108" priority="169">
      <formula>AND(IF($R$267,$W$267,TRUE),LEN(TRIM($W$267))&gt;0)</formula>
    </cfRule>
  </conditionalFormatting>
  <conditionalFormatting sqref="W267">
    <cfRule type="expression" dxfId="4107" priority="168">
      <formula>$S$267 = FALSE</formula>
    </cfRule>
  </conditionalFormatting>
  <conditionalFormatting sqref="W267">
    <cfRule type="expression" dxfId="4106" priority="167">
      <formula>OR($T$267 = TRUE, AND($W$267 = TRUE, $S$267 = FALSE))</formula>
    </cfRule>
  </conditionalFormatting>
  <conditionalFormatting sqref="W253">
    <cfRule type="expression" dxfId="4105" priority="166">
      <formula>AND($R$253,$S$253)</formula>
    </cfRule>
  </conditionalFormatting>
  <conditionalFormatting sqref="W253">
    <cfRule type="expression" dxfId="4104" priority="165">
      <formula>AND(IF($R$253,$W$253,TRUE),LEN(TRIM($W$253))&gt;0)</formula>
    </cfRule>
  </conditionalFormatting>
  <conditionalFormatting sqref="W253">
    <cfRule type="expression" dxfId="4103" priority="164">
      <formula>$S$253 = FALSE</formula>
    </cfRule>
  </conditionalFormatting>
  <conditionalFormatting sqref="W253">
    <cfRule type="expression" dxfId="4102" priority="163">
      <formula>OR($T$253 = TRUE, AND($W$253 = TRUE, $S$253 = FALSE))</formula>
    </cfRule>
  </conditionalFormatting>
  <conditionalFormatting sqref="W225">
    <cfRule type="expression" dxfId="4101" priority="162">
      <formula>AND($R$225,$S$225)</formula>
    </cfRule>
  </conditionalFormatting>
  <conditionalFormatting sqref="W225">
    <cfRule type="expression" dxfId="4100" priority="161">
      <formula>AND(IF($R$225,$W$225,TRUE),LEN(TRIM($W$225))&gt;0)</formula>
    </cfRule>
  </conditionalFormatting>
  <conditionalFormatting sqref="W225">
    <cfRule type="expression" dxfId="4099" priority="160">
      <formula>$S$225 = FALSE</formula>
    </cfRule>
  </conditionalFormatting>
  <conditionalFormatting sqref="W225">
    <cfRule type="expression" dxfId="4098" priority="159">
      <formula>OR($T$225 = TRUE, AND($W$225 = TRUE, $S$225 = FALSE))</formula>
    </cfRule>
  </conditionalFormatting>
  <conditionalFormatting sqref="W202">
    <cfRule type="expression" dxfId="4097" priority="158">
      <formula>AND($R$202,$S$202)</formula>
    </cfRule>
  </conditionalFormatting>
  <conditionalFormatting sqref="W202">
    <cfRule type="expression" dxfId="4096" priority="157">
      <formula>AND(IF($R$202,$W$202,TRUE),LEN(TRIM($W$202))&gt;0)</formula>
    </cfRule>
  </conditionalFormatting>
  <conditionalFormatting sqref="W202">
    <cfRule type="expression" dxfId="4095" priority="156">
      <formula>$S$202 = FALSE</formula>
    </cfRule>
  </conditionalFormatting>
  <conditionalFormatting sqref="W202">
    <cfRule type="expression" dxfId="4094" priority="155">
      <formula>OR($T$202 = TRUE, AND($W$202 = TRUE, $S$202 = FALSE))</formula>
    </cfRule>
  </conditionalFormatting>
  <conditionalFormatting sqref="W175">
    <cfRule type="expression" dxfId="4093" priority="154">
      <formula>AND($R$175,$S$175)</formula>
    </cfRule>
  </conditionalFormatting>
  <conditionalFormatting sqref="W175">
    <cfRule type="expression" dxfId="4092" priority="153">
      <formula>AND(IF($R$175,$W$175,TRUE),LEN(TRIM($W$175))&gt;0)</formula>
    </cfRule>
  </conditionalFormatting>
  <conditionalFormatting sqref="W175">
    <cfRule type="expression" dxfId="4091" priority="152">
      <formula>$S$175 = FALSE</formula>
    </cfRule>
  </conditionalFormatting>
  <conditionalFormatting sqref="W175">
    <cfRule type="expression" dxfId="4090" priority="151">
      <formula>OR($T$175 = TRUE, AND($W$175 = TRUE, $S$175 = FALSE))</formula>
    </cfRule>
  </conditionalFormatting>
  <conditionalFormatting sqref="W171">
    <cfRule type="expression" dxfId="4089" priority="150">
      <formula>AND($R$171,$S$171)</formula>
    </cfRule>
  </conditionalFormatting>
  <conditionalFormatting sqref="W171">
    <cfRule type="expression" dxfId="4088" priority="149">
      <formula>AND(IF($R$171,$W$171,TRUE),LEN(TRIM($W$171))&gt;0)</formula>
    </cfRule>
  </conditionalFormatting>
  <conditionalFormatting sqref="W171">
    <cfRule type="expression" dxfId="4087" priority="148">
      <formula>$S$171 = FALSE</formula>
    </cfRule>
  </conditionalFormatting>
  <conditionalFormatting sqref="W171">
    <cfRule type="expression" dxfId="4086" priority="147">
      <formula>OR($T$171 = TRUE, AND($W$171 = TRUE, $S$171 = FALSE))</formula>
    </cfRule>
  </conditionalFormatting>
  <conditionalFormatting sqref="W169">
    <cfRule type="expression" dxfId="4085" priority="142">
      <formula>AND($R$169,$S$169)</formula>
    </cfRule>
  </conditionalFormatting>
  <conditionalFormatting sqref="W169">
    <cfRule type="expression" dxfId="4084" priority="141">
      <formula>AND(IF($R$169,$W$169,TRUE),LEN(TRIM($W$169))&gt;0)</formula>
    </cfRule>
  </conditionalFormatting>
  <conditionalFormatting sqref="W169">
    <cfRule type="expression" dxfId="4083" priority="140">
      <formula>$S$169 = FALSE</formula>
    </cfRule>
  </conditionalFormatting>
  <conditionalFormatting sqref="W169">
    <cfRule type="expression" dxfId="4082" priority="139">
      <formula>OR($T$169 = TRUE, AND($W$169 = TRUE, $S$169 = FALSE))</formula>
    </cfRule>
  </conditionalFormatting>
  <conditionalFormatting sqref="W165">
    <cfRule type="expression" dxfId="4081" priority="138">
      <formula>AND($R$165,$S$165)</formula>
    </cfRule>
  </conditionalFormatting>
  <conditionalFormatting sqref="W165">
    <cfRule type="expression" dxfId="4080" priority="137">
      <formula>AND(IF($R$165,$W$165,TRUE),LEN(TRIM($W$165))&gt;0)</formula>
    </cfRule>
  </conditionalFormatting>
  <conditionalFormatting sqref="W165">
    <cfRule type="expression" dxfId="4079" priority="136">
      <formula>$S$165 = FALSE</formula>
    </cfRule>
  </conditionalFormatting>
  <conditionalFormatting sqref="W165">
    <cfRule type="expression" dxfId="4078" priority="135">
      <formula>OR($T$165 = TRUE, AND($W$165 = TRUE, $S$165 = FALSE))</formula>
    </cfRule>
  </conditionalFormatting>
  <conditionalFormatting sqref="W164">
    <cfRule type="expression" dxfId="4077" priority="134">
      <formula>AND($R$164,$S$164)</formula>
    </cfRule>
  </conditionalFormatting>
  <conditionalFormatting sqref="W164">
    <cfRule type="expression" dxfId="4076" priority="133">
      <formula>AND(IF($R$164,$W$164,TRUE),LEN(TRIM($W$164))&gt;0)</formula>
    </cfRule>
  </conditionalFormatting>
  <conditionalFormatting sqref="W164">
    <cfRule type="expression" dxfId="4075" priority="132">
      <formula>$S$164 = FALSE</formula>
    </cfRule>
  </conditionalFormatting>
  <conditionalFormatting sqref="W164">
    <cfRule type="expression" dxfId="4074" priority="131">
      <formula>OR($T$164 = TRUE, AND($W$164 = TRUE, $S$164 = FALSE))</formula>
    </cfRule>
  </conditionalFormatting>
  <conditionalFormatting sqref="W163">
    <cfRule type="expression" dxfId="4073" priority="130">
      <formula>AND($R$163,$S$163)</formula>
    </cfRule>
  </conditionalFormatting>
  <conditionalFormatting sqref="W163">
    <cfRule type="expression" dxfId="4072" priority="129">
      <formula>AND(IF($R$163,$W$163,TRUE),LEN(TRIM($W$163))&gt;0)</formula>
    </cfRule>
  </conditionalFormatting>
  <conditionalFormatting sqref="W163">
    <cfRule type="expression" dxfId="4071" priority="128">
      <formula>$S$163 = FALSE</formula>
    </cfRule>
  </conditionalFormatting>
  <conditionalFormatting sqref="W163">
    <cfRule type="expression" dxfId="4070" priority="127">
      <formula>OR($T$163 = TRUE, AND($W$163 = TRUE, $S$163 = FALSE))</formula>
    </cfRule>
  </conditionalFormatting>
  <conditionalFormatting sqref="W159">
    <cfRule type="expression" dxfId="4069" priority="126">
      <formula>AND($R$159,$S$159)</formula>
    </cfRule>
  </conditionalFormatting>
  <conditionalFormatting sqref="W159">
    <cfRule type="expression" dxfId="4068" priority="125">
      <formula>AND(IF($R$159,$W$159,TRUE),LEN(TRIM($W$159))&gt;0)</formula>
    </cfRule>
  </conditionalFormatting>
  <conditionalFormatting sqref="W159">
    <cfRule type="expression" dxfId="4067" priority="124">
      <formula>$S$159 = FALSE</formula>
    </cfRule>
  </conditionalFormatting>
  <conditionalFormatting sqref="W159">
    <cfRule type="expression" dxfId="4066" priority="123">
      <formula>OR($T$159 = TRUE, AND($W$159 = TRUE, $S$159 = FALSE))</formula>
    </cfRule>
  </conditionalFormatting>
  <conditionalFormatting sqref="W154">
    <cfRule type="expression" dxfId="4065" priority="122">
      <formula>AND($R$154,$S$154)</formula>
    </cfRule>
  </conditionalFormatting>
  <conditionalFormatting sqref="W154">
    <cfRule type="expression" dxfId="4064" priority="121">
      <formula>AND(IF($R$154,$W$154,TRUE),LEN(TRIM($W$154))&gt;0)</formula>
    </cfRule>
  </conditionalFormatting>
  <conditionalFormatting sqref="W154">
    <cfRule type="expression" dxfId="4063" priority="120">
      <formula>$S$154 = FALSE</formula>
    </cfRule>
  </conditionalFormatting>
  <conditionalFormatting sqref="W154">
    <cfRule type="expression" dxfId="4062" priority="119">
      <formula>OR($T$154 = TRUE, AND($W$154 = TRUE, $S$154 = FALSE))</formula>
    </cfRule>
  </conditionalFormatting>
  <conditionalFormatting sqref="W152">
    <cfRule type="expression" dxfId="4061" priority="118">
      <formula>AND($R$152,$S$152)</formula>
    </cfRule>
  </conditionalFormatting>
  <conditionalFormatting sqref="W152">
    <cfRule type="expression" dxfId="4060" priority="117">
      <formula>AND(IF($R$152,$W$152,TRUE),LEN(TRIM($W$152))&gt;0)</formula>
    </cfRule>
  </conditionalFormatting>
  <conditionalFormatting sqref="W152">
    <cfRule type="expression" dxfId="4059" priority="116">
      <formula>$S$152 = FALSE</formula>
    </cfRule>
  </conditionalFormatting>
  <conditionalFormatting sqref="W152">
    <cfRule type="expression" dxfId="4058" priority="115">
      <formula>OR($T$152 = TRUE, AND($W$152 = TRUE, $S$152 = FALSE))</formula>
    </cfRule>
  </conditionalFormatting>
  <conditionalFormatting sqref="W145">
    <cfRule type="expression" dxfId="4057" priority="114">
      <formula>AND($R$145,$S$145)</formula>
    </cfRule>
  </conditionalFormatting>
  <conditionalFormatting sqref="W145">
    <cfRule type="expression" dxfId="4056" priority="113">
      <formula>AND(IF($R$145,$W$145,TRUE),LEN(TRIM($W$145))&gt;0)</formula>
    </cfRule>
  </conditionalFormatting>
  <conditionalFormatting sqref="W145">
    <cfRule type="expression" dxfId="4055" priority="112">
      <formula>$S$145 = FALSE</formula>
    </cfRule>
  </conditionalFormatting>
  <conditionalFormatting sqref="W145">
    <cfRule type="expression" dxfId="4054" priority="111">
      <formula>OR($T$145 = TRUE, AND($W$145 = TRUE, $S$145 = FALSE))</formula>
    </cfRule>
  </conditionalFormatting>
  <conditionalFormatting sqref="W72">
    <cfRule type="expression" dxfId="4053" priority="106">
      <formula>AND($R$72,$S$72)</formula>
    </cfRule>
  </conditionalFormatting>
  <conditionalFormatting sqref="W72">
    <cfRule type="expression" dxfId="4052" priority="105">
      <formula>AND(IF($R$72,$W$72,TRUE),LEN(TRIM($W$72))&gt;0)</formula>
    </cfRule>
  </conditionalFormatting>
  <conditionalFormatting sqref="W72">
    <cfRule type="expression" dxfId="4051" priority="104">
      <formula>$S$72 = FALSE</formula>
    </cfRule>
  </conditionalFormatting>
  <conditionalFormatting sqref="W72">
    <cfRule type="expression" dxfId="4050" priority="103">
      <formula>OR($T$72 = TRUE, AND($W$72 = TRUE, $S$72 = FALSE))</formula>
    </cfRule>
  </conditionalFormatting>
  <conditionalFormatting sqref="W67">
    <cfRule type="expression" dxfId="4049" priority="102">
      <formula>AND($R$67,$S$67)</formula>
    </cfRule>
  </conditionalFormatting>
  <conditionalFormatting sqref="W67">
    <cfRule type="expression" dxfId="4048" priority="101">
      <formula>AND(IF($R$67,$W$67,TRUE),LEN(TRIM($W$67))&gt;0)</formula>
    </cfRule>
  </conditionalFormatting>
  <conditionalFormatting sqref="W67">
    <cfRule type="expression" dxfId="4047" priority="100">
      <formula>$S$67 = FALSE</formula>
    </cfRule>
  </conditionalFormatting>
  <conditionalFormatting sqref="W67">
    <cfRule type="expression" dxfId="4046" priority="99">
      <formula>OR($T$67 = TRUE, AND($W$67 = TRUE, $S$67 = FALSE))</formula>
    </cfRule>
  </conditionalFormatting>
  <conditionalFormatting sqref="W177">
    <cfRule type="expression" dxfId="4045" priority="98">
      <formula>AND($R$177,$S$177)</formula>
    </cfRule>
  </conditionalFormatting>
  <conditionalFormatting sqref="W177">
    <cfRule type="expression" dxfId="4044" priority="97">
      <formula>AND(IF($R$177,$W$177,TRUE),LEN(TRIM($W$177))&gt;0)</formula>
    </cfRule>
  </conditionalFormatting>
  <conditionalFormatting sqref="W177">
    <cfRule type="expression" dxfId="4043" priority="96">
      <formula>$S$177 = FALSE</formula>
    </cfRule>
  </conditionalFormatting>
  <conditionalFormatting sqref="W177">
    <cfRule type="expression" dxfId="4042" priority="95">
      <formula>OR($T$177 = TRUE, AND($W$177 = TRUE, $S$177 = FALSE))</formula>
    </cfRule>
  </conditionalFormatting>
  <conditionalFormatting sqref="W179">
    <cfRule type="expression" dxfId="4041" priority="94">
      <formula>AND($R$179,$S$179)</formula>
    </cfRule>
  </conditionalFormatting>
  <conditionalFormatting sqref="W179">
    <cfRule type="expression" dxfId="4040" priority="93">
      <formula>AND(IF($R$179,$W$179,TRUE),LEN(TRIM($W$179))&gt;0)</formula>
    </cfRule>
  </conditionalFormatting>
  <conditionalFormatting sqref="W179">
    <cfRule type="expression" dxfId="4039" priority="92">
      <formula>$S$179 = FALSE</formula>
    </cfRule>
  </conditionalFormatting>
  <conditionalFormatting sqref="W179">
    <cfRule type="expression" dxfId="4038" priority="91">
      <formula>OR($T$179 = TRUE, AND($W$179 = TRUE, $S$179 = FALSE))</formula>
    </cfRule>
  </conditionalFormatting>
  <conditionalFormatting sqref="W180">
    <cfRule type="expression" dxfId="4037" priority="90">
      <formula>AND($R$180,$S$180)</formula>
    </cfRule>
  </conditionalFormatting>
  <conditionalFormatting sqref="W180">
    <cfRule type="expression" dxfId="4036" priority="89">
      <formula>AND(IF($R$180,$W$180,TRUE),LEN(TRIM($W$180))&gt;0)</formula>
    </cfRule>
  </conditionalFormatting>
  <conditionalFormatting sqref="W180">
    <cfRule type="expression" dxfId="4035" priority="88">
      <formula>$S$180 = FALSE</formula>
    </cfRule>
  </conditionalFormatting>
  <conditionalFormatting sqref="W180">
    <cfRule type="expression" dxfId="4034" priority="87">
      <formula>OR($T$180 = TRUE, AND($W$180 = TRUE, $S$180 = FALSE))</formula>
    </cfRule>
  </conditionalFormatting>
  <conditionalFormatting sqref="W182">
    <cfRule type="expression" dxfId="4033" priority="86">
      <formula>AND($R$182,$S$182)</formula>
    </cfRule>
  </conditionalFormatting>
  <conditionalFormatting sqref="W182">
    <cfRule type="expression" dxfId="4032" priority="85">
      <formula>AND(IF($R$182,$W$182,TRUE),LEN(TRIM($W$182))&gt;0)</formula>
    </cfRule>
  </conditionalFormatting>
  <conditionalFormatting sqref="W182">
    <cfRule type="expression" dxfId="4031" priority="84">
      <formula>$S$182 = FALSE</formula>
    </cfRule>
  </conditionalFormatting>
  <conditionalFormatting sqref="W182">
    <cfRule type="expression" dxfId="4030" priority="83">
      <formula>OR($T$182 = TRUE, AND($W$182 = TRUE, $S$182 = FALSE))</formula>
    </cfRule>
  </conditionalFormatting>
  <conditionalFormatting sqref="W245">
    <cfRule type="expression" dxfId="4029" priority="82">
      <formula>AND($R$245,$S$245)</formula>
    </cfRule>
  </conditionalFormatting>
  <conditionalFormatting sqref="W245">
    <cfRule type="expression" dxfId="4028" priority="81">
      <formula>AND(IF($R$245,$W$245,TRUE),LEN(TRIM($W$245))&gt;0)</formula>
    </cfRule>
  </conditionalFormatting>
  <conditionalFormatting sqref="W245">
    <cfRule type="expression" dxfId="4027" priority="80">
      <formula>$S$245 = FALSE</formula>
    </cfRule>
  </conditionalFormatting>
  <conditionalFormatting sqref="W245">
    <cfRule type="expression" dxfId="4026" priority="79">
      <formula>OR($T$245 = TRUE, AND($W$245 = TRUE, $S$245 = FALSE))</formula>
    </cfRule>
  </conditionalFormatting>
  <conditionalFormatting sqref="W41">
    <cfRule type="expression" dxfId="4025" priority="59">
      <formula>OR($T$41 = TRUE, AND(LEN(TRIM($W$41))&gt;0, $S$41 = FALSE))</formula>
    </cfRule>
    <cfRule type="expression" dxfId="4024" priority="60">
      <formula>$S$41 = FALSE</formula>
    </cfRule>
    <cfRule type="expression" dxfId="4023" priority="61">
      <formula>AND($W$41&lt;&gt;"Not Met",LEN(TRIM($W$41))&gt;0)</formula>
    </cfRule>
    <cfRule type="expression" dxfId="4022" priority="62">
      <formula>AND($R$41,$S$41)</formula>
    </cfRule>
  </conditionalFormatting>
  <conditionalFormatting sqref="W73">
    <cfRule type="expression" dxfId="4021" priority="58">
      <formula>AND($R$73,$S$73)</formula>
    </cfRule>
  </conditionalFormatting>
  <conditionalFormatting sqref="W73">
    <cfRule type="expression" dxfId="4020" priority="57">
      <formula>AND($W$73&lt;&gt;"Not Met",LEN(TRIM($W$73))&gt;0)</formula>
    </cfRule>
  </conditionalFormatting>
  <conditionalFormatting sqref="W73">
    <cfRule type="expression" dxfId="4019" priority="56">
      <formula>$S$73 = FALSE</formula>
    </cfRule>
  </conditionalFormatting>
  <conditionalFormatting sqref="W73">
    <cfRule type="expression" dxfId="4018" priority="55">
      <formula>OR($T$73 = TRUE, AND(LEN(TRIM($W$73))&gt;0, $S$73 = FALSE))</formula>
    </cfRule>
  </conditionalFormatting>
  <conditionalFormatting sqref="W127">
    <cfRule type="expression" dxfId="4017" priority="54">
      <formula>AND($R$127,$S$127)</formula>
    </cfRule>
  </conditionalFormatting>
  <conditionalFormatting sqref="W127">
    <cfRule type="expression" dxfId="4016" priority="53">
      <formula>AND($W$127&lt;&gt;"Not Met",LEN(TRIM($W$127))&gt;0)</formula>
    </cfRule>
  </conditionalFormatting>
  <conditionalFormatting sqref="W127">
    <cfRule type="expression" dxfId="4015" priority="52">
      <formula>$S$127 = FALSE</formula>
    </cfRule>
  </conditionalFormatting>
  <conditionalFormatting sqref="W127">
    <cfRule type="expression" dxfId="4014" priority="51">
      <formula>OR($T$127 = TRUE, AND(LEN(TRIM($W$127))&gt;0, $S$127 = FALSE))</formula>
    </cfRule>
  </conditionalFormatting>
  <conditionalFormatting sqref="W228">
    <cfRule type="expression" dxfId="4013" priority="50">
      <formula>AND($R$228,$S$228)</formula>
    </cfRule>
  </conditionalFormatting>
  <conditionalFormatting sqref="W228">
    <cfRule type="expression" dxfId="4012" priority="49">
      <formula>AND($W$228&lt;&gt;"Not Met",LEN(TRIM($W$228))&gt;0)</formula>
    </cfRule>
  </conditionalFormatting>
  <conditionalFormatting sqref="W228">
    <cfRule type="expression" dxfId="4011" priority="48">
      <formula>$S$228 = FALSE</formula>
    </cfRule>
  </conditionalFormatting>
  <conditionalFormatting sqref="W228">
    <cfRule type="expression" dxfId="4010" priority="47">
      <formula>OR($T$228 = TRUE, AND(LEN(TRIM($W$228))&gt;0, $S$228 = FALSE))</formula>
    </cfRule>
  </conditionalFormatting>
  <conditionalFormatting sqref="W236">
    <cfRule type="expression" dxfId="4009" priority="46">
      <formula>AND($R$236,$S$236)</formula>
    </cfRule>
  </conditionalFormatting>
  <conditionalFormatting sqref="W236">
    <cfRule type="expression" dxfId="4008" priority="45">
      <formula>AND($W$236&lt;&gt;"Not Met",LEN(TRIM($W$236))&gt;0)</formula>
    </cfRule>
  </conditionalFormatting>
  <conditionalFormatting sqref="W236">
    <cfRule type="expression" dxfId="4007" priority="44">
      <formula>$S$236 = FALSE</formula>
    </cfRule>
  </conditionalFormatting>
  <conditionalFormatting sqref="W236">
    <cfRule type="expression" dxfId="4006" priority="43">
      <formula>OR($T$236 = TRUE, AND(LEN(TRIM($W$236))&gt;0, $S$236 = FALSE))</formula>
    </cfRule>
  </conditionalFormatting>
  <conditionalFormatting sqref="W257">
    <cfRule type="expression" dxfId="4005" priority="42">
      <formula>AND($R$257,$S$257)</formula>
    </cfRule>
  </conditionalFormatting>
  <conditionalFormatting sqref="W257">
    <cfRule type="expression" dxfId="4004" priority="41">
      <formula>AND($W$257&lt;&gt;"Not Met",LEN(TRIM($W$257))&gt;0)</formula>
    </cfRule>
  </conditionalFormatting>
  <conditionalFormatting sqref="W257">
    <cfRule type="expression" dxfId="4003" priority="40">
      <formula>$S$257 = FALSE</formula>
    </cfRule>
  </conditionalFormatting>
  <conditionalFormatting sqref="W257">
    <cfRule type="expression" dxfId="4002" priority="39">
      <formula>OR($T$257 = TRUE, AND(LEN(TRIM($W$257))&gt;0, $S$257 = FALSE))</formula>
    </cfRule>
  </conditionalFormatting>
  <conditionalFormatting sqref="W132">
    <cfRule type="expression" dxfId="4001" priority="34">
      <formula>AND($R$132,$S$132)</formula>
    </cfRule>
  </conditionalFormatting>
  <conditionalFormatting sqref="W132">
    <cfRule type="expression" dxfId="4000" priority="33">
      <formula>AND($W$132&lt;&gt;"Not Met",LEN(TRIM($W$132))&gt;0)</formula>
    </cfRule>
  </conditionalFormatting>
  <conditionalFormatting sqref="W132">
    <cfRule type="expression" dxfId="3999" priority="32">
      <formula>$S$132 = FALSE</formula>
    </cfRule>
  </conditionalFormatting>
  <conditionalFormatting sqref="W132">
    <cfRule type="expression" dxfId="3998" priority="31">
      <formula>OR($T$132 = TRUE, AND(LEN(TRIM($W$132))&gt;0, $S$132 = FALSE))</formula>
    </cfRule>
  </conditionalFormatting>
  <conditionalFormatting sqref="W117">
    <cfRule type="expression" dxfId="3997" priority="30">
      <formula>AND($R$117,$S$117)</formula>
    </cfRule>
  </conditionalFormatting>
  <conditionalFormatting sqref="W117">
    <cfRule type="expression" dxfId="3996" priority="29">
      <formula>AND($W$117&lt;&gt;"Not Met",LEN(TRIM($W$117))&gt;0)</formula>
    </cfRule>
  </conditionalFormatting>
  <conditionalFormatting sqref="W117">
    <cfRule type="expression" dxfId="3995" priority="28">
      <formula>$S$117 = FALSE</formula>
    </cfRule>
  </conditionalFormatting>
  <conditionalFormatting sqref="W117">
    <cfRule type="expression" dxfId="3994" priority="27">
      <formula>OR($T$117 = TRUE, AND(LEN(TRIM($W$117))&gt;0, $S$117 = FALSE))</formula>
    </cfRule>
  </conditionalFormatting>
  <conditionalFormatting sqref="W13">
    <cfRule type="expression" dxfId="3993" priority="26">
      <formula>$W$13="Path not chosen"</formula>
    </cfRule>
  </conditionalFormatting>
  <conditionalFormatting sqref="W79">
    <cfRule type="expression" dxfId="3992" priority="25">
      <formula>AND(R79,S79)</formula>
    </cfRule>
  </conditionalFormatting>
  <conditionalFormatting sqref="W79">
    <cfRule type="expression" dxfId="3991" priority="24">
      <formula>AND(R79,LEN(TRIM(W79))&gt;0)</formula>
    </cfRule>
  </conditionalFormatting>
  <conditionalFormatting sqref="W79">
    <cfRule type="expression" dxfId="3990" priority="23">
      <formula>S79 = FALSE</formula>
    </cfRule>
  </conditionalFormatting>
  <conditionalFormatting sqref="W79">
    <cfRule type="expression" dxfId="3989" priority="22">
      <formula>OR(T79 = TRUE, AND(W79 &gt; 0, S79 = FALSE))</formula>
    </cfRule>
  </conditionalFormatting>
  <conditionalFormatting sqref="W81">
    <cfRule type="expression" dxfId="3988" priority="21">
      <formula>AND(R81,S81)</formula>
    </cfRule>
  </conditionalFormatting>
  <conditionalFormatting sqref="W81">
    <cfRule type="expression" dxfId="3987" priority="20">
      <formula>AND(R81,LEN(TRIM(W81))&gt;0)</formula>
    </cfRule>
  </conditionalFormatting>
  <conditionalFormatting sqref="W81">
    <cfRule type="expression" dxfId="3986" priority="19">
      <formula>S81 = FALSE</formula>
    </cfRule>
  </conditionalFormatting>
  <conditionalFormatting sqref="W81">
    <cfRule type="expression" dxfId="3985" priority="18">
      <formula>OR(T81 = TRUE, AND(W81 &gt; 0, S81 = FALSE))</formula>
    </cfRule>
  </conditionalFormatting>
  <conditionalFormatting sqref="W88">
    <cfRule type="expression" dxfId="3984" priority="17">
      <formula>AND(R88,S88)</formula>
    </cfRule>
  </conditionalFormatting>
  <conditionalFormatting sqref="W88">
    <cfRule type="expression" dxfId="3983" priority="16">
      <formula>AND(R88,LEN(TRIM(W88))&gt;0)</formula>
    </cfRule>
  </conditionalFormatting>
  <conditionalFormatting sqref="W88">
    <cfRule type="expression" dxfId="3982" priority="15">
      <formula>S88 = FALSE</formula>
    </cfRule>
  </conditionalFormatting>
  <conditionalFormatting sqref="W88">
    <cfRule type="expression" dxfId="3981" priority="14">
      <formula>OR(T88 = TRUE, AND(W88 &gt; 0, S88 = FALSE))</formula>
    </cfRule>
  </conditionalFormatting>
  <conditionalFormatting sqref="W90">
    <cfRule type="expression" dxfId="3980" priority="13">
      <formula>AND(R90,S90)</formula>
    </cfRule>
  </conditionalFormatting>
  <conditionalFormatting sqref="W90">
    <cfRule type="expression" dxfId="3979" priority="12">
      <formula>AND(R90,LEN(TRIM(W90))&gt;0)</formula>
    </cfRule>
  </conditionalFormatting>
  <conditionalFormatting sqref="W90">
    <cfRule type="expression" dxfId="3978" priority="11">
      <formula>S90 = FALSE</formula>
    </cfRule>
  </conditionalFormatting>
  <conditionalFormatting sqref="W90">
    <cfRule type="expression" dxfId="3977" priority="10">
      <formula>OR(T90 = TRUE, AND(W90 &gt; 0, S90 = FALSE))</formula>
    </cfRule>
  </conditionalFormatting>
  <conditionalFormatting sqref="W27">
    <cfRule type="expression" dxfId="3976" priority="9">
      <formula>AND(R27,S27)</formula>
    </cfRule>
  </conditionalFormatting>
  <conditionalFormatting sqref="W27">
    <cfRule type="expression" dxfId="3975" priority="8">
      <formula>NOT(ISBLANK(W27))</formula>
    </cfRule>
  </conditionalFormatting>
  <conditionalFormatting sqref="W27">
    <cfRule type="expression" dxfId="3974" priority="7">
      <formula>S27 = FALSE</formula>
    </cfRule>
  </conditionalFormatting>
  <conditionalFormatting sqref="W27">
    <cfRule type="expression" dxfId="3973" priority="6">
      <formula>OR(T27 = TRUE, AND(W27 = TRUE, S27 = FALSE))</formula>
    </cfRule>
  </conditionalFormatting>
  <conditionalFormatting sqref="M86:M87">
    <cfRule type="expression" dxfId="3972" priority="5">
      <formula>R86</formula>
    </cfRule>
  </conditionalFormatting>
  <conditionalFormatting sqref="W242">
    <cfRule type="expression" dxfId="3971" priority="4">
      <formula>AND($R$242,$S$242)</formula>
    </cfRule>
  </conditionalFormatting>
  <conditionalFormatting sqref="W242">
    <cfRule type="expression" dxfId="3970" priority="3">
      <formula>AND($W$242&lt;&gt;"Not Met",LEN(TRIM($W$242))&gt;0)</formula>
    </cfRule>
  </conditionalFormatting>
  <conditionalFormatting sqref="W242">
    <cfRule type="expression" dxfId="3969" priority="2">
      <formula>$S$242 = FALSE</formula>
    </cfRule>
  </conditionalFormatting>
  <conditionalFormatting sqref="W242">
    <cfRule type="expression" dxfId="3968" priority="1">
      <formula>OR($T$242 = TRUE, AND(LEN(TRIM($W$242))&gt;0, $S$242 = FALSE))</formula>
    </cfRule>
  </conditionalFormatting>
  <dataValidations count="26">
    <dataValidation type="list" allowBlank="1" showInputMessage="1" showErrorMessage="1" error="Please use the dropdown." sqref="W157" xr:uid="{6231A043-81F2-41D4-94E2-79F4612C4C8B}">
      <formula1>INDIRECT($U$157)</formula1>
    </dataValidation>
    <dataValidation type="list" allowBlank="1" showInputMessage="1" showErrorMessage="1" error="Please use the dropdown." sqref="W251" xr:uid="{FB4E72F7-810D-4311-BCB2-B8F26C648385}">
      <formula1>INDIRECT($U$251)</formula1>
    </dataValidation>
    <dataValidation type="whole" allowBlank="1" showDropDown="1" showInputMessage="1" showErrorMessage="1" error="Enter a whole number" prompt="Enter number of systems" sqref="W255" xr:uid="{3395726F-FD09-4583-8C71-1FEB6F943A96}">
      <formula1>0</formula1>
      <formula2>5</formula2>
    </dataValidation>
    <dataValidation type="list" allowBlank="1" showInputMessage="1" showErrorMessage="1" error="Please use the dropdown." sqref="W200" xr:uid="{0E3EBDF8-AB2A-4A26-9685-DC854363E4D8}">
      <formula1>INDIRECT($U$200)</formula1>
    </dataValidation>
    <dataValidation type="list" allowBlank="1" showInputMessage="1" showErrorMessage="1" error="Please use the dropdown." sqref="W186" xr:uid="{6AEF92ED-1A56-4464-8ADD-7091AE1A16F9}">
      <formula1>INDIRECT($U$186)</formula1>
    </dataValidation>
    <dataValidation type="list" allowBlank="1" showInputMessage="1" showErrorMessage="1" error="Please use the dropdown." sqref="W148" xr:uid="{F9C865C3-F87A-4072-B27D-1CA0B421D30D}">
      <formula1>INDIRECT($U$148)</formula1>
    </dataValidation>
    <dataValidation type="list" allowBlank="1" showInputMessage="1" showErrorMessage="1" error="Please use the dropdown." sqref="W138" xr:uid="{7949E373-F135-4D46-AFE7-7DC991154908}">
      <formula1>INDIRECT($U$138)</formula1>
    </dataValidation>
    <dataValidation type="list" allowBlank="1" showInputMessage="1" showErrorMessage="1" error="Please use the dropdown." sqref="W115" xr:uid="{0C1028F0-15FC-4D59-AB7C-38749BD88B47}">
      <formula1>INDIRECT($U$115)</formula1>
    </dataValidation>
    <dataValidation type="list" allowBlank="1" showInputMessage="1" showErrorMessage="1" error="Please use the dropdown." sqref="W111" xr:uid="{7C04A8B1-831D-4DCB-B18F-9B396BB1AA3E}">
      <formula1>INDIRECT($U$111)</formula1>
    </dataValidation>
    <dataValidation type="list" allowBlank="1" showInputMessage="1" showErrorMessage="1" error="Please use the dropdown." sqref="W106" xr:uid="{0EC7C8DF-9915-4A03-BA9F-6AB0F97F017D}">
      <formula1>INDIRECT($U$106)</formula1>
    </dataValidation>
    <dataValidation type="list" allowBlank="1" showInputMessage="1" showErrorMessage="1" error="Please use the dropdown." sqref="W95" xr:uid="{BB811065-A988-4879-B971-7464A5DA7FFE}">
      <formula1>INDIRECT($U$95)</formula1>
    </dataValidation>
    <dataValidation type="list" allowBlank="1" showDropDown="1" showInputMessage="1" showErrorMessage="1" error="Use Checkbox" prompt="Use Checkbox" sqref="W262 W67 W72 W171 W145 W152 W154 W159 W163:W165 W169 W177 W175 W202 W225 W253 W267 W265 W245 W182 W179:W180" xr:uid="{DE64C1B1-2AC3-46B5-9021-4F5FD53F7D3E}">
      <formula1>TorF</formula1>
    </dataValidation>
    <dataValidation type="whole" allowBlank="1" showDropDown="1" showInputMessage="1" showErrorMessage="1" error="Enter a whole number" prompt="Enter number of meters" sqref="W79" xr:uid="{1F4831CA-434E-4CC4-BC84-1EFDC2910F06}">
      <formula1>0</formula1>
      <formula2>10</formula2>
    </dataValidation>
    <dataValidation type="list" allowBlank="1" showInputMessage="1" showErrorMessage="1" error="Please use the dropdown." sqref="W41" xr:uid="{983F5BF5-246D-48D0-95F9-F2B4EC9EB2CE}">
      <formula1>INDIRECT($U$41)</formula1>
    </dataValidation>
    <dataValidation type="list" allowBlank="1" showInputMessage="1" showErrorMessage="1" error="Please use the dropdown." sqref="W73" xr:uid="{CA0435AA-4D08-434A-BE52-0AEE9862FC74}">
      <formula1>INDIRECT($U$73)</formula1>
    </dataValidation>
    <dataValidation type="list" allowBlank="1" showInputMessage="1" showErrorMessage="1" error="Please use the dropdown." sqref="W127" xr:uid="{16113539-6D14-44B7-A1A3-EE3820A6F7C5}">
      <formula1>INDIRECT($U$127)</formula1>
    </dataValidation>
    <dataValidation type="list" allowBlank="1" showInputMessage="1" showErrorMessage="1" error="Please use the dropdown." sqref="W228" xr:uid="{1E6F974A-5C25-4D46-B1B1-0B56B4BB0F32}">
      <formula1>INDIRECT($U$228)</formula1>
    </dataValidation>
    <dataValidation type="list" allowBlank="1" showInputMessage="1" showErrorMessage="1" error="Please use the dropdown." sqref="W236" xr:uid="{3AE23152-7667-4E65-8D10-589198E9DED8}">
      <formula1>INDIRECT($U$236)</formula1>
    </dataValidation>
    <dataValidation type="list" allowBlank="1" showInputMessage="1" showErrorMessage="1" error="Please use the dropdown." sqref="W257" xr:uid="{051CBB2B-A8B0-48C3-A68C-B87AFCF23C8E}">
      <formula1>INDIRECT($U$257)</formula1>
    </dataValidation>
    <dataValidation type="list" allowBlank="1" showInputMessage="1" showErrorMessage="1" error="Please use the dropdown." sqref="W132" xr:uid="{19674D2F-4BB7-49CF-9979-3587D7F0DD81}">
      <formula1>INDIRECT($U$132)</formula1>
    </dataValidation>
    <dataValidation type="list" allowBlank="1" showInputMessage="1" showErrorMessage="1" error="Please use the dropdown." sqref="W117" xr:uid="{5ABD2313-CC6D-4DA4-9314-0674279954E3}">
      <formula1>INDIRECT($U$117)</formula1>
    </dataValidation>
    <dataValidation type="whole" allowBlank="1" showDropDown="1" showInputMessage="1" showErrorMessage="1" error="Enter a whole number" prompt="Enter number of meters" sqref="W88" xr:uid="{D8196ECF-0BD3-44CE-82FF-D0EB213B389A}">
      <formula1>0</formula1>
      <formula2>700</formula2>
    </dataValidation>
    <dataValidation type="whole" allowBlank="1" showDropDown="1" showInputMessage="1" showErrorMessage="1" error="Enter a whole number" prompt="Enter number of sensor packages" sqref="W81" xr:uid="{474EA62D-2CCD-4555-A657-639A5A0FD783}">
      <formula1>0</formula1>
      <formula2>10</formula2>
    </dataValidation>
    <dataValidation type="whole" allowBlank="1" showDropDown="1" showInputMessage="1" showErrorMessage="1" error="Enter a whole number" prompt="Enter number of sensor packages" sqref="W90" xr:uid="{9407CFC4-2130-4CAC-97B3-C6CE28678251}">
      <formula1>0</formula1>
      <formula2>700</formula2>
    </dataValidation>
    <dataValidation type="decimal" allowBlank="1" showDropDown="1" showInputMessage="1" showErrorMessage="1" error="Enter a percentage" prompt="Enter a percentage" sqref="W27" xr:uid="{C58089C5-6F43-4E7B-B87A-33F2DB233D5B}">
      <formula1>0</formula1>
      <formula2>1</formula2>
    </dataValidation>
    <dataValidation type="list" allowBlank="1" showInputMessage="1" showErrorMessage="1" error="Please use the dropdown." sqref="W242" xr:uid="{9E6DB5FC-CD5E-4FE3-9A6F-F941CD42B771}">
      <formula1>INDIRECT($U$242)</formula1>
    </dataValidation>
  </dataValidations>
  <hyperlinks>
    <hyperlink ref="X270" location="'Ch9'!A1" display="CLICK TO PROCEED TO CHAPTER 9 &gt;&gt;" xr:uid="{81094E21-FC53-4AF8-88CD-C5C0C5575966}"/>
    <hyperlink ref="L22" location="'Table 305.2.6.1'!A1" display="See Table Table 305.2.6.1" xr:uid="{5DC461CA-73AA-43E7-A0E7-F9A37E368623}"/>
  </hyperlinks>
  <pageMargins left="0.7" right="0.7" top="0.75" bottom="0.75" header="0.3" footer="0.3"/>
  <pageSetup scale="61" fitToHeight="0" orientation="landscape" r:id="rId1"/>
  <drawing r:id="rId2"/>
  <legacyDrawing r:id="rId3"/>
  <mc:AlternateContent xmlns:mc="http://schemas.openxmlformats.org/markup-compatibility/2006">
    <mc:Choice Requires="x14">
      <controls>
        <mc:AlternateContent xmlns:mc="http://schemas.openxmlformats.org/markup-compatibility/2006">
          <mc:Choice Requires="x14">
            <control shapeId="57472" r:id="rId4" name="Check Box 128">
              <controlPr locked="0" defaultSize="0" autoFill="0" autoLine="0" autoPict="0">
                <anchor moveWithCells="1">
                  <from>
                    <xdr:col>22</xdr:col>
                    <xdr:colOff>0</xdr:colOff>
                    <xdr:row>261</xdr:row>
                    <xdr:rowOff>0</xdr:rowOff>
                  </from>
                  <to>
                    <xdr:col>22</xdr:col>
                    <xdr:colOff>177800</xdr:colOff>
                    <xdr:row>261</xdr:row>
                    <xdr:rowOff>177800</xdr:rowOff>
                  </to>
                </anchor>
              </controlPr>
            </control>
          </mc:Choice>
        </mc:AlternateContent>
        <mc:AlternateContent xmlns:mc="http://schemas.openxmlformats.org/markup-compatibility/2006">
          <mc:Choice Requires="x14">
            <control shapeId="57473" r:id="rId5" name="Check Box 129">
              <controlPr locked="0" defaultSize="0" autoFill="0" autoLine="0" autoPict="0">
                <anchor moveWithCells="1">
                  <from>
                    <xdr:col>22</xdr:col>
                    <xdr:colOff>0</xdr:colOff>
                    <xdr:row>264</xdr:row>
                    <xdr:rowOff>0</xdr:rowOff>
                  </from>
                  <to>
                    <xdr:col>22</xdr:col>
                    <xdr:colOff>177800</xdr:colOff>
                    <xdr:row>264</xdr:row>
                    <xdr:rowOff>177800</xdr:rowOff>
                  </to>
                </anchor>
              </controlPr>
            </control>
          </mc:Choice>
        </mc:AlternateContent>
        <mc:AlternateContent xmlns:mc="http://schemas.openxmlformats.org/markup-compatibility/2006">
          <mc:Choice Requires="x14">
            <control shapeId="57474" r:id="rId6" name="Check Box 130">
              <controlPr locked="0" defaultSize="0" autoFill="0" autoLine="0" autoPict="0">
                <anchor moveWithCells="1">
                  <from>
                    <xdr:col>22</xdr:col>
                    <xdr:colOff>0</xdr:colOff>
                    <xdr:row>266</xdr:row>
                    <xdr:rowOff>0</xdr:rowOff>
                  </from>
                  <to>
                    <xdr:col>22</xdr:col>
                    <xdr:colOff>177800</xdr:colOff>
                    <xdr:row>266</xdr:row>
                    <xdr:rowOff>177800</xdr:rowOff>
                  </to>
                </anchor>
              </controlPr>
            </control>
          </mc:Choice>
        </mc:AlternateContent>
        <mc:AlternateContent xmlns:mc="http://schemas.openxmlformats.org/markup-compatibility/2006">
          <mc:Choice Requires="x14">
            <control shapeId="57475" r:id="rId7" name="Check Box 131">
              <controlPr locked="0" defaultSize="0" autoFill="0" autoLine="0" autoPict="0">
                <anchor moveWithCells="1">
                  <from>
                    <xdr:col>22</xdr:col>
                    <xdr:colOff>0</xdr:colOff>
                    <xdr:row>252</xdr:row>
                    <xdr:rowOff>0</xdr:rowOff>
                  </from>
                  <to>
                    <xdr:col>22</xdr:col>
                    <xdr:colOff>177800</xdr:colOff>
                    <xdr:row>252</xdr:row>
                    <xdr:rowOff>177800</xdr:rowOff>
                  </to>
                </anchor>
              </controlPr>
            </control>
          </mc:Choice>
        </mc:AlternateContent>
        <mc:AlternateContent xmlns:mc="http://schemas.openxmlformats.org/markup-compatibility/2006">
          <mc:Choice Requires="x14">
            <control shapeId="57476" r:id="rId8" name="Check Box 132">
              <controlPr locked="0" defaultSize="0" autoFill="0" autoLine="0" autoPict="0">
                <anchor moveWithCells="1">
                  <from>
                    <xdr:col>22</xdr:col>
                    <xdr:colOff>0</xdr:colOff>
                    <xdr:row>224</xdr:row>
                    <xdr:rowOff>0</xdr:rowOff>
                  </from>
                  <to>
                    <xdr:col>22</xdr:col>
                    <xdr:colOff>177800</xdr:colOff>
                    <xdr:row>224</xdr:row>
                    <xdr:rowOff>177800</xdr:rowOff>
                  </to>
                </anchor>
              </controlPr>
            </control>
          </mc:Choice>
        </mc:AlternateContent>
        <mc:AlternateContent xmlns:mc="http://schemas.openxmlformats.org/markup-compatibility/2006">
          <mc:Choice Requires="x14">
            <control shapeId="57477" r:id="rId9" name="Check Box 133">
              <controlPr locked="0" defaultSize="0" autoFill="0" autoLine="0" autoPict="0">
                <anchor moveWithCells="1">
                  <from>
                    <xdr:col>22</xdr:col>
                    <xdr:colOff>0</xdr:colOff>
                    <xdr:row>201</xdr:row>
                    <xdr:rowOff>0</xdr:rowOff>
                  </from>
                  <to>
                    <xdr:col>22</xdr:col>
                    <xdr:colOff>177800</xdr:colOff>
                    <xdr:row>201</xdr:row>
                    <xdr:rowOff>177800</xdr:rowOff>
                  </to>
                </anchor>
              </controlPr>
            </control>
          </mc:Choice>
        </mc:AlternateContent>
        <mc:AlternateContent xmlns:mc="http://schemas.openxmlformats.org/markup-compatibility/2006">
          <mc:Choice Requires="x14">
            <control shapeId="57478" r:id="rId10" name="Check Box 134">
              <controlPr locked="0" defaultSize="0" autoFill="0" autoLine="0" autoPict="0">
                <anchor moveWithCells="1">
                  <from>
                    <xdr:col>22</xdr:col>
                    <xdr:colOff>0</xdr:colOff>
                    <xdr:row>174</xdr:row>
                    <xdr:rowOff>0</xdr:rowOff>
                  </from>
                  <to>
                    <xdr:col>22</xdr:col>
                    <xdr:colOff>177800</xdr:colOff>
                    <xdr:row>174</xdr:row>
                    <xdr:rowOff>177800</xdr:rowOff>
                  </to>
                </anchor>
              </controlPr>
            </control>
          </mc:Choice>
        </mc:AlternateContent>
        <mc:AlternateContent xmlns:mc="http://schemas.openxmlformats.org/markup-compatibility/2006">
          <mc:Choice Requires="x14">
            <control shapeId="57479" r:id="rId11" name="Check Box 135">
              <controlPr locked="0" defaultSize="0" autoFill="0" autoLine="0" autoPict="0">
                <anchor moveWithCells="1">
                  <from>
                    <xdr:col>22</xdr:col>
                    <xdr:colOff>0</xdr:colOff>
                    <xdr:row>170</xdr:row>
                    <xdr:rowOff>0</xdr:rowOff>
                  </from>
                  <to>
                    <xdr:col>22</xdr:col>
                    <xdr:colOff>177800</xdr:colOff>
                    <xdr:row>170</xdr:row>
                    <xdr:rowOff>177800</xdr:rowOff>
                  </to>
                </anchor>
              </controlPr>
            </control>
          </mc:Choice>
        </mc:AlternateContent>
        <mc:AlternateContent xmlns:mc="http://schemas.openxmlformats.org/markup-compatibility/2006">
          <mc:Choice Requires="x14">
            <control shapeId="57481" r:id="rId12" name="Check Box 137">
              <controlPr locked="0" defaultSize="0" autoFill="0" autoLine="0" autoPict="0">
                <anchor moveWithCells="1">
                  <from>
                    <xdr:col>22</xdr:col>
                    <xdr:colOff>0</xdr:colOff>
                    <xdr:row>168</xdr:row>
                    <xdr:rowOff>0</xdr:rowOff>
                  </from>
                  <to>
                    <xdr:col>22</xdr:col>
                    <xdr:colOff>177800</xdr:colOff>
                    <xdr:row>168</xdr:row>
                    <xdr:rowOff>177800</xdr:rowOff>
                  </to>
                </anchor>
              </controlPr>
            </control>
          </mc:Choice>
        </mc:AlternateContent>
        <mc:AlternateContent xmlns:mc="http://schemas.openxmlformats.org/markup-compatibility/2006">
          <mc:Choice Requires="x14">
            <control shapeId="57482" r:id="rId13" name="Check Box 138">
              <controlPr locked="0" defaultSize="0" autoFill="0" autoLine="0" autoPict="0">
                <anchor moveWithCells="1">
                  <from>
                    <xdr:col>22</xdr:col>
                    <xdr:colOff>0</xdr:colOff>
                    <xdr:row>164</xdr:row>
                    <xdr:rowOff>0</xdr:rowOff>
                  </from>
                  <to>
                    <xdr:col>22</xdr:col>
                    <xdr:colOff>177800</xdr:colOff>
                    <xdr:row>164</xdr:row>
                    <xdr:rowOff>177800</xdr:rowOff>
                  </to>
                </anchor>
              </controlPr>
            </control>
          </mc:Choice>
        </mc:AlternateContent>
        <mc:AlternateContent xmlns:mc="http://schemas.openxmlformats.org/markup-compatibility/2006">
          <mc:Choice Requires="x14">
            <control shapeId="57483" r:id="rId14" name="Check Box 139">
              <controlPr locked="0" defaultSize="0" autoFill="0" autoLine="0" autoPict="0">
                <anchor moveWithCells="1">
                  <from>
                    <xdr:col>22</xdr:col>
                    <xdr:colOff>0</xdr:colOff>
                    <xdr:row>163</xdr:row>
                    <xdr:rowOff>0</xdr:rowOff>
                  </from>
                  <to>
                    <xdr:col>22</xdr:col>
                    <xdr:colOff>177800</xdr:colOff>
                    <xdr:row>163</xdr:row>
                    <xdr:rowOff>177800</xdr:rowOff>
                  </to>
                </anchor>
              </controlPr>
            </control>
          </mc:Choice>
        </mc:AlternateContent>
        <mc:AlternateContent xmlns:mc="http://schemas.openxmlformats.org/markup-compatibility/2006">
          <mc:Choice Requires="x14">
            <control shapeId="57484" r:id="rId15" name="Check Box 140">
              <controlPr locked="0" defaultSize="0" autoFill="0" autoLine="0" autoPict="0">
                <anchor moveWithCells="1">
                  <from>
                    <xdr:col>22</xdr:col>
                    <xdr:colOff>0</xdr:colOff>
                    <xdr:row>162</xdr:row>
                    <xdr:rowOff>0</xdr:rowOff>
                  </from>
                  <to>
                    <xdr:col>22</xdr:col>
                    <xdr:colOff>177800</xdr:colOff>
                    <xdr:row>162</xdr:row>
                    <xdr:rowOff>177800</xdr:rowOff>
                  </to>
                </anchor>
              </controlPr>
            </control>
          </mc:Choice>
        </mc:AlternateContent>
        <mc:AlternateContent xmlns:mc="http://schemas.openxmlformats.org/markup-compatibility/2006">
          <mc:Choice Requires="x14">
            <control shapeId="57485" r:id="rId16" name="Check Box 141">
              <controlPr locked="0" defaultSize="0" autoFill="0" autoLine="0" autoPict="0">
                <anchor moveWithCells="1">
                  <from>
                    <xdr:col>22</xdr:col>
                    <xdr:colOff>0</xdr:colOff>
                    <xdr:row>158</xdr:row>
                    <xdr:rowOff>0</xdr:rowOff>
                  </from>
                  <to>
                    <xdr:col>22</xdr:col>
                    <xdr:colOff>177800</xdr:colOff>
                    <xdr:row>158</xdr:row>
                    <xdr:rowOff>177800</xdr:rowOff>
                  </to>
                </anchor>
              </controlPr>
            </control>
          </mc:Choice>
        </mc:AlternateContent>
        <mc:AlternateContent xmlns:mc="http://schemas.openxmlformats.org/markup-compatibility/2006">
          <mc:Choice Requires="x14">
            <control shapeId="57486" r:id="rId17" name="Check Box 142">
              <controlPr locked="0" defaultSize="0" autoFill="0" autoLine="0" autoPict="0">
                <anchor moveWithCells="1">
                  <from>
                    <xdr:col>22</xdr:col>
                    <xdr:colOff>0</xdr:colOff>
                    <xdr:row>153</xdr:row>
                    <xdr:rowOff>0</xdr:rowOff>
                  </from>
                  <to>
                    <xdr:col>22</xdr:col>
                    <xdr:colOff>177800</xdr:colOff>
                    <xdr:row>153</xdr:row>
                    <xdr:rowOff>177800</xdr:rowOff>
                  </to>
                </anchor>
              </controlPr>
            </control>
          </mc:Choice>
        </mc:AlternateContent>
        <mc:AlternateContent xmlns:mc="http://schemas.openxmlformats.org/markup-compatibility/2006">
          <mc:Choice Requires="x14">
            <control shapeId="57487" r:id="rId18" name="Check Box 143">
              <controlPr locked="0" defaultSize="0" autoFill="0" autoLine="0" autoPict="0">
                <anchor moveWithCells="1">
                  <from>
                    <xdr:col>22</xdr:col>
                    <xdr:colOff>0</xdr:colOff>
                    <xdr:row>151</xdr:row>
                    <xdr:rowOff>0</xdr:rowOff>
                  </from>
                  <to>
                    <xdr:col>22</xdr:col>
                    <xdr:colOff>177800</xdr:colOff>
                    <xdr:row>151</xdr:row>
                    <xdr:rowOff>177800</xdr:rowOff>
                  </to>
                </anchor>
              </controlPr>
            </control>
          </mc:Choice>
        </mc:AlternateContent>
        <mc:AlternateContent xmlns:mc="http://schemas.openxmlformats.org/markup-compatibility/2006">
          <mc:Choice Requires="x14">
            <control shapeId="57488" r:id="rId19" name="Check Box 144">
              <controlPr locked="0" defaultSize="0" autoFill="0" autoLine="0" autoPict="0">
                <anchor moveWithCells="1">
                  <from>
                    <xdr:col>22</xdr:col>
                    <xdr:colOff>0</xdr:colOff>
                    <xdr:row>144</xdr:row>
                    <xdr:rowOff>0</xdr:rowOff>
                  </from>
                  <to>
                    <xdr:col>22</xdr:col>
                    <xdr:colOff>177800</xdr:colOff>
                    <xdr:row>144</xdr:row>
                    <xdr:rowOff>177800</xdr:rowOff>
                  </to>
                </anchor>
              </controlPr>
            </control>
          </mc:Choice>
        </mc:AlternateContent>
        <mc:AlternateContent xmlns:mc="http://schemas.openxmlformats.org/markup-compatibility/2006">
          <mc:Choice Requires="x14">
            <control shapeId="57490" r:id="rId20" name="Check Box 146">
              <controlPr locked="0" defaultSize="0" autoFill="0" autoLine="0" autoPict="0">
                <anchor moveWithCells="1">
                  <from>
                    <xdr:col>22</xdr:col>
                    <xdr:colOff>0</xdr:colOff>
                    <xdr:row>71</xdr:row>
                    <xdr:rowOff>0</xdr:rowOff>
                  </from>
                  <to>
                    <xdr:col>22</xdr:col>
                    <xdr:colOff>177800</xdr:colOff>
                    <xdr:row>71</xdr:row>
                    <xdr:rowOff>177800</xdr:rowOff>
                  </to>
                </anchor>
              </controlPr>
            </control>
          </mc:Choice>
        </mc:AlternateContent>
        <mc:AlternateContent xmlns:mc="http://schemas.openxmlformats.org/markup-compatibility/2006">
          <mc:Choice Requires="x14">
            <control shapeId="57491" r:id="rId21" name="Check Box 147">
              <controlPr locked="0" defaultSize="0" autoFill="0" autoLine="0" autoPict="0">
                <anchor moveWithCells="1">
                  <from>
                    <xdr:col>22</xdr:col>
                    <xdr:colOff>0</xdr:colOff>
                    <xdr:row>66</xdr:row>
                    <xdr:rowOff>0</xdr:rowOff>
                  </from>
                  <to>
                    <xdr:col>22</xdr:col>
                    <xdr:colOff>177800</xdr:colOff>
                    <xdr:row>66</xdr:row>
                    <xdr:rowOff>177800</xdr:rowOff>
                  </to>
                </anchor>
              </controlPr>
            </control>
          </mc:Choice>
        </mc:AlternateContent>
        <mc:AlternateContent xmlns:mc="http://schemas.openxmlformats.org/markup-compatibility/2006">
          <mc:Choice Requires="x14">
            <control shapeId="57495" r:id="rId22" name="Check Box 151">
              <controlPr locked="0" defaultSize="0" autoFill="0" autoLine="0" autoPict="0">
                <anchor moveWithCells="1">
                  <from>
                    <xdr:col>22</xdr:col>
                    <xdr:colOff>0</xdr:colOff>
                    <xdr:row>176</xdr:row>
                    <xdr:rowOff>0</xdr:rowOff>
                  </from>
                  <to>
                    <xdr:col>22</xdr:col>
                    <xdr:colOff>177800</xdr:colOff>
                    <xdr:row>176</xdr:row>
                    <xdr:rowOff>177800</xdr:rowOff>
                  </to>
                </anchor>
              </controlPr>
            </control>
          </mc:Choice>
        </mc:AlternateContent>
        <mc:AlternateContent xmlns:mc="http://schemas.openxmlformats.org/markup-compatibility/2006">
          <mc:Choice Requires="x14">
            <control shapeId="57496" r:id="rId23" name="Check Box 152">
              <controlPr locked="0" defaultSize="0" autoFill="0" autoLine="0" autoPict="0">
                <anchor moveWithCells="1">
                  <from>
                    <xdr:col>22</xdr:col>
                    <xdr:colOff>0</xdr:colOff>
                    <xdr:row>178</xdr:row>
                    <xdr:rowOff>0</xdr:rowOff>
                  </from>
                  <to>
                    <xdr:col>22</xdr:col>
                    <xdr:colOff>177800</xdr:colOff>
                    <xdr:row>178</xdr:row>
                    <xdr:rowOff>177800</xdr:rowOff>
                  </to>
                </anchor>
              </controlPr>
            </control>
          </mc:Choice>
        </mc:AlternateContent>
        <mc:AlternateContent xmlns:mc="http://schemas.openxmlformats.org/markup-compatibility/2006">
          <mc:Choice Requires="x14">
            <control shapeId="57497" r:id="rId24" name="Check Box 153">
              <controlPr locked="0" defaultSize="0" autoFill="0" autoLine="0" autoPict="0">
                <anchor moveWithCells="1">
                  <from>
                    <xdr:col>22</xdr:col>
                    <xdr:colOff>0</xdr:colOff>
                    <xdr:row>179</xdr:row>
                    <xdr:rowOff>0</xdr:rowOff>
                  </from>
                  <to>
                    <xdr:col>22</xdr:col>
                    <xdr:colOff>177800</xdr:colOff>
                    <xdr:row>179</xdr:row>
                    <xdr:rowOff>177800</xdr:rowOff>
                  </to>
                </anchor>
              </controlPr>
            </control>
          </mc:Choice>
        </mc:AlternateContent>
        <mc:AlternateContent xmlns:mc="http://schemas.openxmlformats.org/markup-compatibility/2006">
          <mc:Choice Requires="x14">
            <control shapeId="57498" r:id="rId25" name="Check Box 154">
              <controlPr locked="0" defaultSize="0" autoFill="0" autoLine="0" autoPict="0">
                <anchor moveWithCells="1">
                  <from>
                    <xdr:col>22</xdr:col>
                    <xdr:colOff>0</xdr:colOff>
                    <xdr:row>181</xdr:row>
                    <xdr:rowOff>0</xdr:rowOff>
                  </from>
                  <to>
                    <xdr:col>22</xdr:col>
                    <xdr:colOff>177800</xdr:colOff>
                    <xdr:row>181</xdr:row>
                    <xdr:rowOff>177800</xdr:rowOff>
                  </to>
                </anchor>
              </controlPr>
            </control>
          </mc:Choice>
        </mc:AlternateContent>
        <mc:AlternateContent xmlns:mc="http://schemas.openxmlformats.org/markup-compatibility/2006">
          <mc:Choice Requires="x14">
            <control shapeId="57500" r:id="rId26" name="Check Box 156">
              <controlPr locked="0" defaultSize="0" autoFill="0" autoLine="0" autoPict="0">
                <anchor moveWithCells="1">
                  <from>
                    <xdr:col>22</xdr:col>
                    <xdr:colOff>0</xdr:colOff>
                    <xdr:row>244</xdr:row>
                    <xdr:rowOff>0</xdr:rowOff>
                  </from>
                  <to>
                    <xdr:col>22</xdr:col>
                    <xdr:colOff>177800</xdr:colOff>
                    <xdr:row>244</xdr:row>
                    <xdr:rowOff>177800</xdr:rowOff>
                  </to>
                </anchor>
              </controlPr>
            </control>
          </mc:Choice>
        </mc:AlternateContent>
      </controls>
    </mc:Choice>
  </mc:AlternateContent>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9">
    <pageSetUpPr fitToPage="1"/>
  </sheetPr>
  <dimension ref="A1:BI411"/>
  <sheetViews>
    <sheetView showGridLines="0" topLeftCell="H1" zoomScaleNormal="100" workbookViewId="0">
      <pane ySplit="7" topLeftCell="A385" activePane="bottomLeft" state="frozen"/>
      <selection activeCell="G45" sqref="G45:H45"/>
      <selection pane="bottomLeft" activeCell="X249" sqref="X249:X250"/>
    </sheetView>
  </sheetViews>
  <sheetFormatPr baseColWidth="10" defaultColWidth="9.1640625" defaultRowHeight="15" x14ac:dyDescent="0.2"/>
  <cols>
    <col min="1" max="1" width="9.1640625" style="20" hidden="1" customWidth="1"/>
    <col min="2" max="2" width="7.33203125" style="20" hidden="1" customWidth="1"/>
    <col min="3" max="7" width="3.83203125" style="20" hidden="1" customWidth="1"/>
    <col min="8" max="8" width="3.83203125" style="20" customWidth="1"/>
    <col min="9" max="9" width="10.5" style="78" customWidth="1"/>
    <col min="10" max="11" width="3.83203125" style="78" customWidth="1"/>
    <col min="12" max="12" width="71.6640625" style="78" customWidth="1"/>
    <col min="13" max="13" width="13.5" style="70" customWidth="1"/>
    <col min="14" max="14" width="7.6640625" style="78" hidden="1" customWidth="1"/>
    <col min="15" max="15" width="7.6640625" style="78" customWidth="1"/>
    <col min="16" max="21" width="8.83203125" style="78" hidden="1" customWidth="1"/>
    <col min="22" max="22" width="3" style="78" hidden="1" customWidth="1"/>
    <col min="23" max="23" width="21.5" style="78" customWidth="1"/>
    <col min="24" max="24" width="69" style="78" customWidth="1"/>
    <col min="25" max="25" width="34.83203125" style="704" hidden="1" customWidth="1"/>
    <col min="26" max="26" width="34.83203125" style="78" hidden="1" customWidth="1"/>
    <col min="27" max="27" width="9.1640625" style="707" hidden="1" customWidth="1"/>
    <col min="28" max="37" width="9.1640625" style="78" hidden="1" customWidth="1"/>
    <col min="38" max="38" width="16.5" style="78" hidden="1" customWidth="1"/>
    <col min="39" max="39" width="2.1640625" style="78" hidden="1" customWidth="1"/>
    <col min="40" max="40" width="14.33203125" style="78" hidden="1" customWidth="1"/>
    <col min="41" max="41" width="2.1640625" style="78" hidden="1" customWidth="1"/>
    <col min="42" max="42" width="14.33203125" style="78" hidden="1" customWidth="1"/>
    <col min="43" max="43" width="2.1640625" style="78" hidden="1" customWidth="1"/>
    <col min="44" max="44" width="14.1640625" style="78" hidden="1" customWidth="1"/>
    <col min="45" max="45" width="2.1640625" style="78" hidden="1" customWidth="1"/>
    <col min="46" max="61" width="9.1640625" style="78" hidden="1" customWidth="1"/>
    <col min="62" max="16384" width="9.1640625" style="78"/>
  </cols>
  <sheetData>
    <row r="1" spans="1:61" x14ac:dyDescent="0.2">
      <c r="H1" s="1674" t="s">
        <v>3446</v>
      </c>
      <c r="I1" s="1651" t="str">
        <f ca="1">IF(OR(AG3,AI3),"Errors on page, no Level reached","Total Chapter Points: "&amp;AG2)</f>
        <v>Total Chapter Points: 34</v>
      </c>
      <c r="J1" s="1651"/>
      <c r="K1" s="1651"/>
      <c r="L1" s="1651"/>
      <c r="M1" s="1675"/>
      <c r="N1" s="1675"/>
      <c r="O1" s="1675"/>
      <c r="P1" s="1675"/>
      <c r="Q1" s="1675"/>
      <c r="R1" s="1675"/>
      <c r="S1" s="1675"/>
      <c r="T1" s="1675"/>
      <c r="U1" s="1675"/>
      <c r="V1" s="1675"/>
      <c r="W1" s="1675"/>
      <c r="X1" s="520" t="s">
        <v>3423</v>
      </c>
      <c r="AF1" s="77" t="s">
        <v>616</v>
      </c>
      <c r="AG1" s="327">
        <f ca="1">IF(OR(AG3,AI3),"None",Ch9Level)</f>
        <v>0</v>
      </c>
    </row>
    <row r="2" spans="1:61" x14ac:dyDescent="0.2">
      <c r="H2" s="1674"/>
      <c r="I2" s="1652" t="str">
        <f ca="1">IF(OR(AG3,AI3),"Errors on page, no Level reached","Total Project Points: "&amp;Dpoints)</f>
        <v>Total Project Points: 116</v>
      </c>
      <c r="J2" s="1652"/>
      <c r="K2" s="1652"/>
      <c r="L2" s="1652"/>
      <c r="M2" s="1675"/>
      <c r="N2" s="1675"/>
      <c r="O2" s="1675"/>
      <c r="P2" s="1675"/>
      <c r="Q2" s="1675"/>
      <c r="R2" s="1675"/>
      <c r="S2" s="1675"/>
      <c r="T2" s="1675"/>
      <c r="U2" s="1675"/>
      <c r="V2" s="1675"/>
      <c r="W2" s="1675"/>
      <c r="X2" s="520" t="s">
        <v>2890</v>
      </c>
      <c r="AF2" s="77" t="s">
        <v>617</v>
      </c>
      <c r="AG2" s="78">
        <f ca="1">INDIRECT(AF2)</f>
        <v>34</v>
      </c>
      <c r="AH2" s="78" t="s">
        <v>619</v>
      </c>
      <c r="AI2" s="78" t="e">
        <f ca="1">INDIRECT(AH2)</f>
        <v>#REF!</v>
      </c>
      <c r="AJ2"/>
      <c r="AK2"/>
    </row>
    <row r="3" spans="1:61" x14ac:dyDescent="0.2">
      <c r="H3" s="1674"/>
      <c r="I3" s="1652" t="str">
        <f ca="1">IF(OR(AG3,AI3),"Errors on page, no Level reached","Total Project Level: "&amp;Dlevel)</f>
        <v>Total Project Level: Bronze</v>
      </c>
      <c r="J3" s="1652"/>
      <c r="K3" s="1652"/>
      <c r="L3" s="1652"/>
      <c r="M3" s="1675"/>
      <c r="N3" s="1675"/>
      <c r="O3" s="1675"/>
      <c r="P3" s="1675"/>
      <c r="Q3" s="1675"/>
      <c r="R3" s="1675"/>
      <c r="S3" s="1675"/>
      <c r="T3" s="1675"/>
      <c r="U3" s="1675"/>
      <c r="V3" s="1675"/>
      <c r="W3" s="1675"/>
      <c r="X3" s="520" t="s">
        <v>2889</v>
      </c>
      <c r="AF3" s="77" t="s">
        <v>618</v>
      </c>
      <c r="AG3" s="78" t="b">
        <f ca="1">OR(AE:AE)</f>
        <v>0</v>
      </c>
      <c r="AH3" s="77" t="s">
        <v>620</v>
      </c>
      <c r="AI3" s="78" t="b">
        <f ca="1">OR(AD:AD)</f>
        <v>0</v>
      </c>
      <c r="AJ3"/>
      <c r="AK3"/>
    </row>
    <row r="4" spans="1:61" x14ac:dyDescent="0.2">
      <c r="H4" s="1674"/>
      <c r="I4" s="1658" t="str">
        <f ca="1">IF(OR(AG3,AI3),"Errors on page, no Level reached","Points Needed to Earn Next Level: "&amp;DNext)</f>
        <v>Points Needed to Earn Next Level: 9</v>
      </c>
      <c r="J4" s="1659"/>
      <c r="K4" s="1659"/>
      <c r="L4" s="1660"/>
      <c r="M4" s="1675"/>
      <c r="N4" s="1675"/>
      <c r="O4" s="1675"/>
      <c r="P4" s="1675"/>
      <c r="Q4" s="1675"/>
      <c r="R4" s="1675"/>
      <c r="S4" s="1675"/>
      <c r="T4" s="1675"/>
      <c r="U4" s="1675"/>
      <c r="V4" s="1675"/>
      <c r="W4" s="1675"/>
      <c r="X4" s="1543" t="s">
        <v>5034</v>
      </c>
      <c r="AF4" s="77"/>
      <c r="AH4" s="77"/>
    </row>
    <row r="5" spans="1:61" x14ac:dyDescent="0.2">
      <c r="H5" s="1674"/>
      <c r="I5" s="1661" t="str">
        <f>"Revision Date:  "&amp;TEXT('Info &amp; Intro'!E7,"m/d/yyyy")</f>
        <v>Revision Date:  5/10/2020</v>
      </c>
      <c r="J5" s="1662"/>
      <c r="K5" s="1662"/>
      <c r="L5" s="1663"/>
      <c r="M5" s="1675"/>
      <c r="N5" s="1675"/>
      <c r="O5" s="1675"/>
      <c r="P5" s="1675"/>
      <c r="Q5" s="1675"/>
      <c r="R5" s="1675"/>
      <c r="S5" s="1675"/>
      <c r="T5" s="1675"/>
      <c r="U5" s="1675"/>
      <c r="V5" s="1675"/>
      <c r="W5" s="1675"/>
      <c r="X5" s="1543"/>
      <c r="AF5" s="77"/>
      <c r="AH5" s="77"/>
    </row>
    <row r="6" spans="1:61" x14ac:dyDescent="0.2">
      <c r="H6" s="1674"/>
      <c r="I6" s="1666" t="s">
        <v>247</v>
      </c>
      <c r="J6" s="1667"/>
      <c r="K6" s="1668"/>
      <c r="L6" s="1664" t="s">
        <v>684</v>
      </c>
      <c r="M6" s="1664" t="s">
        <v>248</v>
      </c>
      <c r="N6" s="1664"/>
      <c r="O6" s="36" t="s">
        <v>298</v>
      </c>
      <c r="P6" s="1664" t="s">
        <v>3456</v>
      </c>
      <c r="Q6" s="1664" t="s">
        <v>290</v>
      </c>
      <c r="R6" s="1664" t="s">
        <v>249</v>
      </c>
      <c r="S6" s="1664" t="s">
        <v>250</v>
      </c>
      <c r="T6" s="1664" t="s">
        <v>0</v>
      </c>
      <c r="U6" s="1664" t="s">
        <v>3457</v>
      </c>
      <c r="V6" s="1664"/>
      <c r="W6" s="1664" t="s">
        <v>251</v>
      </c>
      <c r="X6" s="1653" t="s">
        <v>1</v>
      </c>
      <c r="AC6" s="76" t="s">
        <v>288</v>
      </c>
      <c r="AD6" s="76" t="s">
        <v>0</v>
      </c>
      <c r="AE6" s="76" t="s">
        <v>287</v>
      </c>
    </row>
    <row r="7" spans="1:61" x14ac:dyDescent="0.2">
      <c r="H7" s="1674"/>
      <c r="I7" s="1666"/>
      <c r="J7" s="1667"/>
      <c r="K7" s="1668"/>
      <c r="L7" s="1665"/>
      <c r="M7" s="1665"/>
      <c r="N7" s="1665"/>
      <c r="O7" s="36" t="s">
        <v>299</v>
      </c>
      <c r="P7" s="1665"/>
      <c r="Q7" s="1665"/>
      <c r="R7" s="1665"/>
      <c r="S7" s="1665"/>
      <c r="T7" s="1665"/>
      <c r="U7" s="1665"/>
      <c r="V7" s="1665"/>
      <c r="W7" s="1665"/>
      <c r="X7" s="1654"/>
      <c r="AC7" s="76" t="s">
        <v>288</v>
      </c>
      <c r="AD7" s="76" t="s">
        <v>0</v>
      </c>
      <c r="AE7" s="76" t="s">
        <v>287</v>
      </c>
    </row>
    <row r="8" spans="1:61" s="685" customFormat="1" hidden="1" x14ac:dyDescent="0.2">
      <c r="A8" s="20"/>
      <c r="B8" s="20"/>
      <c r="C8" s="20"/>
      <c r="D8" s="20"/>
      <c r="E8" s="20"/>
      <c r="F8" s="20"/>
      <c r="G8" s="20"/>
      <c r="H8" s="20"/>
      <c r="I8" s="687"/>
      <c r="J8" s="687"/>
      <c r="K8" s="687"/>
      <c r="L8" s="686"/>
      <c r="M8" s="686"/>
      <c r="N8" s="686"/>
      <c r="O8" s="36"/>
      <c r="P8" s="686"/>
      <c r="Q8" s="686"/>
      <c r="R8" s="686"/>
      <c r="S8" s="686"/>
      <c r="T8" s="686"/>
      <c r="U8" s="686"/>
      <c r="V8" s="686"/>
      <c r="W8" s="686"/>
      <c r="X8" s="687"/>
      <c r="Y8" s="704"/>
      <c r="AA8" s="707"/>
      <c r="AC8" s="684"/>
      <c r="AD8" s="684"/>
      <c r="AE8" s="684"/>
    </row>
    <row r="9" spans="1:61" ht="19" x14ac:dyDescent="0.25">
      <c r="A9" s="20" t="s">
        <v>246</v>
      </c>
      <c r="B9" s="20" t="s">
        <v>246</v>
      </c>
      <c r="C9" s="20" t="s">
        <v>246</v>
      </c>
      <c r="D9" s="20" t="s">
        <v>246</v>
      </c>
      <c r="E9" s="20" t="s">
        <v>246</v>
      </c>
      <c r="F9" s="20" t="s">
        <v>246</v>
      </c>
      <c r="G9" s="20" t="s">
        <v>246</v>
      </c>
      <c r="H9" s="693"/>
      <c r="I9" s="24" t="s">
        <v>3659</v>
      </c>
      <c r="J9" s="24"/>
      <c r="K9" s="24"/>
      <c r="L9" s="25"/>
      <c r="M9" s="26"/>
      <c r="N9" s="78" t="s">
        <v>246</v>
      </c>
      <c r="O9" s="26"/>
      <c r="P9" s="78" t="s">
        <v>246</v>
      </c>
      <c r="Q9" s="78" t="s">
        <v>246</v>
      </c>
      <c r="R9" s="78" t="s">
        <v>246</v>
      </c>
      <c r="S9" s="78" t="s">
        <v>246</v>
      </c>
      <c r="T9" s="78" t="s">
        <v>246</v>
      </c>
      <c r="U9" s="78" t="s">
        <v>246</v>
      </c>
      <c r="V9" s="78" t="s">
        <v>246</v>
      </c>
      <c r="W9" s="25"/>
      <c r="X9" s="25"/>
      <c r="Y9" s="703" t="s">
        <v>246</v>
      </c>
      <c r="Z9" s="75" t="s">
        <v>246</v>
      </c>
      <c r="AA9" s="705" t="s">
        <v>246</v>
      </c>
      <c r="AB9" s="699" t="s">
        <v>246</v>
      </c>
      <c r="AC9" s="75" t="s">
        <v>246</v>
      </c>
      <c r="AD9" s="75" t="s">
        <v>246</v>
      </c>
      <c r="AE9" s="75" t="s">
        <v>246</v>
      </c>
      <c r="AF9" s="75" t="s">
        <v>246</v>
      </c>
      <c r="AG9" s="75" t="s">
        <v>246</v>
      </c>
      <c r="AH9" s="75" t="s">
        <v>246</v>
      </c>
      <c r="AI9" s="75" t="s">
        <v>246</v>
      </c>
      <c r="AJ9" s="75" t="s">
        <v>246</v>
      </c>
      <c r="AK9" s="75" t="s">
        <v>246</v>
      </c>
      <c r="AL9" s="1351" t="s">
        <v>246</v>
      </c>
      <c r="AM9" s="75" t="s">
        <v>246</v>
      </c>
      <c r="AN9" s="1351" t="s">
        <v>246</v>
      </c>
      <c r="AO9" s="75" t="s">
        <v>246</v>
      </c>
      <c r="AP9" s="75" t="s">
        <v>246</v>
      </c>
      <c r="AQ9" s="75" t="s">
        <v>246</v>
      </c>
      <c r="AR9" s="75" t="s">
        <v>246</v>
      </c>
      <c r="AS9" s="75" t="s">
        <v>246</v>
      </c>
      <c r="AT9" s="75" t="s">
        <v>246</v>
      </c>
      <c r="AU9" s="75" t="s">
        <v>246</v>
      </c>
      <c r="AV9" s="75" t="s">
        <v>246</v>
      </c>
      <c r="AW9" s="75" t="s">
        <v>246</v>
      </c>
      <c r="AX9" s="75" t="s">
        <v>246</v>
      </c>
      <c r="AY9" s="75" t="s">
        <v>246</v>
      </c>
      <c r="AZ9" s="75" t="s">
        <v>246</v>
      </c>
      <c r="BA9" s="75" t="s">
        <v>246</v>
      </c>
      <c r="BB9" s="75" t="s">
        <v>246</v>
      </c>
      <c r="BC9" s="75" t="s">
        <v>246</v>
      </c>
      <c r="BD9" s="75" t="s">
        <v>246</v>
      </c>
      <c r="BE9" s="75" t="s">
        <v>246</v>
      </c>
      <c r="BF9" s="75" t="s">
        <v>246</v>
      </c>
      <c r="BG9" s="75" t="s">
        <v>246</v>
      </c>
      <c r="BH9" s="75" t="s">
        <v>246</v>
      </c>
      <c r="BI9" s="699" t="s">
        <v>246</v>
      </c>
    </row>
    <row r="10" spans="1:61" x14ac:dyDescent="0.2">
      <c r="B10" s="600" t="s">
        <v>3215</v>
      </c>
      <c r="C10" s="23"/>
      <c r="D10" s="23"/>
      <c r="E10" s="23"/>
      <c r="F10" s="23"/>
      <c r="G10" s="23"/>
      <c r="H10" s="691"/>
      <c r="I10" s="1107" t="s">
        <v>3660</v>
      </c>
      <c r="J10" s="213"/>
      <c r="K10" s="213"/>
      <c r="L10" s="957" t="s">
        <v>3748</v>
      </c>
      <c r="M10" s="997"/>
      <c r="N10" s="173"/>
      <c r="O10" s="937"/>
      <c r="P10" s="173"/>
      <c r="Q10" s="173"/>
      <c r="R10" s="173"/>
      <c r="S10" s="173"/>
      <c r="T10" s="173"/>
      <c r="U10" s="173"/>
      <c r="V10" s="173"/>
      <c r="W10" s="173"/>
      <c r="X10" s="173"/>
      <c r="BI10" s="701"/>
    </row>
    <row r="11" spans="1:61" x14ac:dyDescent="0.2">
      <c r="B11" s="600">
        <v>901.1</v>
      </c>
      <c r="C11" s="23"/>
      <c r="D11" s="23"/>
      <c r="E11" s="23"/>
      <c r="F11" s="23"/>
      <c r="G11" s="23"/>
      <c r="H11" s="691"/>
      <c r="I11" s="237" t="s">
        <v>3661</v>
      </c>
      <c r="J11" s="129"/>
      <c r="K11" s="129"/>
      <c r="L11" s="315" t="s">
        <v>3747</v>
      </c>
      <c r="M11" s="403"/>
      <c r="N11" s="96"/>
      <c r="O11" s="389"/>
      <c r="P11" s="96"/>
      <c r="Q11" s="96"/>
      <c r="R11" s="96"/>
      <c r="S11" s="96"/>
      <c r="T11" s="96"/>
      <c r="U11" s="96"/>
      <c r="V11" s="96"/>
      <c r="W11" s="96"/>
      <c r="X11" s="96"/>
      <c r="AX11" s="77" t="str">
        <f>'Overview (Design)'!A10</f>
        <v>Builder Name:</v>
      </c>
      <c r="AY11" s="78" t="str">
        <f>'Overview (Design)'!G10</f>
        <v>TWG Development</v>
      </c>
      <c r="BI11" s="701"/>
    </row>
    <row r="12" spans="1:61" x14ac:dyDescent="0.2">
      <c r="B12" s="600" t="s">
        <v>2682</v>
      </c>
      <c r="C12" s="23"/>
      <c r="D12" s="23"/>
      <c r="E12" s="23"/>
      <c r="F12" s="23"/>
      <c r="G12" s="23"/>
      <c r="H12" s="691"/>
      <c r="I12" s="237" t="s">
        <v>3662</v>
      </c>
      <c r="J12" s="129"/>
      <c r="K12" s="129"/>
      <c r="L12" s="1629" t="s">
        <v>3746</v>
      </c>
      <c r="M12" s="1623">
        <v>5</v>
      </c>
      <c r="N12" s="129"/>
      <c r="O12" s="1619">
        <f>M12*S12*W12</f>
        <v>0</v>
      </c>
      <c r="P12" s="96" t="b">
        <v>1</v>
      </c>
      <c r="Q12" s="96" t="b">
        <v>1</v>
      </c>
      <c r="R12" s="96" t="b">
        <v>0</v>
      </c>
      <c r="S12" s="96" t="b">
        <v>1</v>
      </c>
      <c r="T12" s="96" t="b">
        <v>0</v>
      </c>
      <c r="U12" s="96"/>
      <c r="V12" s="96"/>
      <c r="W12" s="333"/>
      <c r="X12" s="1601"/>
      <c r="AC12" s="343"/>
      <c r="AD12" s="343"/>
      <c r="AE12" s="343"/>
      <c r="AL12" s="1352" t="str">
        <f>SUBSTITUTE(SUBSTITUTE(SUBSTITUTE("dpa"&amp;$B12&amp;$C12&amp;$D12&amp;$E12,".","_"),"(","_"),")","")</f>
        <v>dpa901_1_1</v>
      </c>
      <c r="AM12" s="1352">
        <f>M12</f>
        <v>5</v>
      </c>
      <c r="AN12" s="1352" t="str">
        <f>SUBSTITUTE(SUBSTITUTE(SUBSTITUTE("dpc"&amp;$B12&amp;$C12&amp;$D12&amp;$E12,".","_"),"(","_"),")","")</f>
        <v>dpc901_1_1</v>
      </c>
      <c r="AO12" s="1352">
        <f>O12</f>
        <v>0</v>
      </c>
      <c r="AP12" s="1352" t="str">
        <f>SUBSTITUTE(SUBSTITUTE(SUBSTITUTE("dch"&amp;$B12&amp;$C12&amp;$D12&amp;$E12,".","_"),"(","_"),")","")</f>
        <v>dch901_1_1</v>
      </c>
      <c r="AQ12" s="1352" t="str">
        <f>IF(LEN(W12)=0,"",W12)</f>
        <v/>
      </c>
      <c r="AR12" s="1352" t="str">
        <f>SUBSTITUTE(SUBSTITUTE(SUBSTITUTE("dnt"&amp;$B12&amp;$C12&amp;$D12&amp;$E12,".","_"),"(","_"),")","")</f>
        <v>dnt901_1_1</v>
      </c>
      <c r="AS12" s="1352" t="str">
        <f>IF(LEN(X12)=0,"",X12)</f>
        <v/>
      </c>
      <c r="AX12" s="904" t="str">
        <f>'Overview (Design)'!A11</f>
        <v>Physical Address of Home:</v>
      </c>
      <c r="AY12" s="78" t="str">
        <f>'Overview (Design)'!G11</f>
        <v>330 Brownlee Road SW</v>
      </c>
      <c r="BI12" s="701"/>
    </row>
    <row r="13" spans="1:61" x14ac:dyDescent="0.2">
      <c r="B13" s="600" t="s">
        <v>2682</v>
      </c>
      <c r="C13" s="23"/>
      <c r="D13" s="23"/>
      <c r="E13" s="23"/>
      <c r="F13" s="23"/>
      <c r="G13" s="23"/>
      <c r="H13" s="691"/>
      <c r="I13" s="406"/>
      <c r="J13" s="129"/>
      <c r="K13" s="129"/>
      <c r="L13" s="1629"/>
      <c r="M13" s="1623"/>
      <c r="N13" s="129"/>
      <c r="O13" s="1619"/>
      <c r="P13" s="96"/>
      <c r="Q13" s="96"/>
      <c r="R13" s="96"/>
      <c r="S13" s="96"/>
      <c r="T13" s="96"/>
      <c r="U13" s="96"/>
      <c r="V13" s="96"/>
      <c r="W13" s="96"/>
      <c r="X13" s="1601"/>
      <c r="AX13" s="904" t="str">
        <f>'Overview (Design)'!A12</f>
        <v>Community/Lot #:</v>
      </c>
      <c r="AY13" s="78">
        <f>'Overview (Design)'!G12</f>
        <v>0</v>
      </c>
      <c r="BI13" s="701"/>
    </row>
    <row r="14" spans="1:61" x14ac:dyDescent="0.2">
      <c r="B14" s="600" t="s">
        <v>2682</v>
      </c>
      <c r="C14" s="23"/>
      <c r="D14" s="23"/>
      <c r="E14" s="23"/>
      <c r="F14" s="23"/>
      <c r="G14" s="23"/>
      <c r="H14" s="691"/>
      <c r="I14" s="406"/>
      <c r="J14" s="129"/>
      <c r="K14" s="129"/>
      <c r="L14" s="1629"/>
      <c r="M14" s="1623"/>
      <c r="N14" s="129"/>
      <c r="O14" s="1619"/>
      <c r="P14" s="96"/>
      <c r="Q14" s="96"/>
      <c r="R14" s="96"/>
      <c r="S14" s="96"/>
      <c r="T14" s="96"/>
      <c r="U14" s="96"/>
      <c r="V14" s="96"/>
      <c r="W14" s="96"/>
      <c r="X14" s="1601"/>
      <c r="AX14" s="904" t="str">
        <f>'Overview (Design)'!A13</f>
        <v>City:</v>
      </c>
      <c r="AY14" s="78" t="str">
        <f>'Overview (Design)'!G13</f>
        <v>Atlanta</v>
      </c>
      <c r="BI14" s="701"/>
    </row>
    <row r="15" spans="1:61" x14ac:dyDescent="0.2">
      <c r="B15" s="600" t="s">
        <v>2682</v>
      </c>
      <c r="C15" s="23"/>
      <c r="D15" s="23"/>
      <c r="E15" s="23"/>
      <c r="F15" s="23"/>
      <c r="G15" s="23"/>
      <c r="H15" s="691"/>
      <c r="I15" s="406"/>
      <c r="J15" s="129"/>
      <c r="K15" s="129"/>
      <c r="L15" s="1629"/>
      <c r="M15" s="1623"/>
      <c r="N15" s="129"/>
      <c r="O15" s="1619"/>
      <c r="P15" s="96"/>
      <c r="Q15" s="96"/>
      <c r="R15" s="96"/>
      <c r="S15" s="96"/>
      <c r="T15" s="96"/>
      <c r="U15" s="96"/>
      <c r="V15" s="96"/>
      <c r="W15" s="96"/>
      <c r="X15" s="1601"/>
      <c r="AX15" s="904" t="str">
        <f>'Overview (Design)'!A14</f>
        <v>State:</v>
      </c>
      <c r="AY15" s="78" t="str">
        <f>'Overview (Design)'!G14</f>
        <v>Georgia</v>
      </c>
      <c r="BC15" s="78" t="str">
        <f>'Overview (Design)'!K14</f>
        <v>State</v>
      </c>
      <c r="BD15" s="78" t="str">
        <f>'Overview (Design)'!L14</f>
        <v>County</v>
      </c>
      <c r="BE15" s="78" t="str">
        <f>'Overview (Design)'!M14</f>
        <v>Radon</v>
      </c>
      <c r="BF15" s="78" t="str">
        <f>'Overview (Design)'!N14</f>
        <v>Climate</v>
      </c>
      <c r="BG15" s="78" t="str">
        <f>'Overview (Design)'!O14</f>
        <v>Moist</v>
      </c>
      <c r="BH15" s="78" t="str">
        <f>'Overview (Design)'!P14</f>
        <v>WarmHumid</v>
      </c>
      <c r="BI15" s="701" t="str">
        <f>'Overview (Design)'!Q14</f>
        <v>Tropical</v>
      </c>
    </row>
    <row r="16" spans="1:61" x14ac:dyDescent="0.2">
      <c r="B16" s="600" t="s">
        <v>2682</v>
      </c>
      <c r="C16" s="23"/>
      <c r="D16" s="23"/>
      <c r="E16" s="23"/>
      <c r="F16" s="23"/>
      <c r="G16" s="23"/>
      <c r="H16" s="691"/>
      <c r="I16" s="406"/>
      <c r="J16" s="129"/>
      <c r="K16" s="129"/>
      <c r="L16" s="1772" t="s">
        <v>2850</v>
      </c>
      <c r="M16" s="1623"/>
      <c r="N16" s="129"/>
      <c r="O16" s="1619"/>
      <c r="P16" s="96"/>
      <c r="Q16" s="96"/>
      <c r="R16" s="96"/>
      <c r="S16" s="96"/>
      <c r="T16" s="96"/>
      <c r="U16" s="96"/>
      <c r="V16" s="96"/>
      <c r="W16" s="96"/>
      <c r="X16" s="1601"/>
      <c r="AX16" s="904" t="str">
        <f>'Overview (Design)'!A15</f>
        <v>County:</v>
      </c>
      <c r="AY16" s="78" t="str">
        <f>'Overview (Design)'!G15</f>
        <v xml:space="preserve">Fulton  </v>
      </c>
      <c r="BC16" s="78" t="str">
        <f>'Overview (Design)'!K15</f>
        <v>Georgia</v>
      </c>
      <c r="BD16" s="78" t="str">
        <f>'Overview (Design)'!L15</f>
        <v xml:space="preserve">Fulton  </v>
      </c>
      <c r="BE16" s="78">
        <f>'Overview (Design)'!M15</f>
        <v>1</v>
      </c>
      <c r="BF16" s="78">
        <f>'Overview (Design)'!N15</f>
        <v>3</v>
      </c>
      <c r="BG16" s="78" t="str">
        <f>'Overview (Design)'!O15</f>
        <v>Moist</v>
      </c>
      <c r="BH16" s="78" t="str">
        <f>'Overview (Design)'!P15</f>
        <v xml:space="preserve"> </v>
      </c>
      <c r="BI16" s="701" t="str">
        <f>'Overview (Design)'!Q15</f>
        <v xml:space="preserve"> </v>
      </c>
    </row>
    <row r="17" spans="1:51" x14ac:dyDescent="0.2">
      <c r="B17" s="600" t="s">
        <v>2682</v>
      </c>
      <c r="C17" s="23"/>
      <c r="D17" s="23"/>
      <c r="E17" s="23"/>
      <c r="F17" s="23"/>
      <c r="G17" s="23"/>
      <c r="H17" s="691"/>
      <c r="I17" s="438"/>
      <c r="J17" s="213"/>
      <c r="K17" s="213"/>
      <c r="L17" s="1773"/>
      <c r="M17" s="1624"/>
      <c r="N17" s="213"/>
      <c r="O17" s="1620"/>
      <c r="P17" s="173"/>
      <c r="Q17" s="173"/>
      <c r="R17" s="173"/>
      <c r="S17" s="173"/>
      <c r="T17" s="173"/>
      <c r="U17" s="173"/>
      <c r="V17" s="173"/>
      <c r="W17" s="173"/>
      <c r="X17" s="1601"/>
      <c r="AX17" s="904" t="str">
        <f>'Overview (Design)'!A16</f>
        <v>Zip:</v>
      </c>
      <c r="AY17" s="78" t="str">
        <f>'Overview (Design)'!G16</f>
        <v>30311</v>
      </c>
    </row>
    <row r="18" spans="1:51" x14ac:dyDescent="0.2">
      <c r="B18" s="600" t="s">
        <v>2683</v>
      </c>
      <c r="C18" s="23"/>
      <c r="D18" s="23"/>
      <c r="E18" s="23"/>
      <c r="F18" s="23"/>
      <c r="G18" s="23"/>
      <c r="H18" s="691"/>
      <c r="I18" s="192" t="s">
        <v>3663</v>
      </c>
      <c r="J18" s="193"/>
      <c r="K18" s="193"/>
      <c r="L18" s="1712" t="s">
        <v>3745</v>
      </c>
      <c r="M18" s="1636">
        <v>5</v>
      </c>
      <c r="N18" s="193"/>
      <c r="O18" s="1637">
        <f>M18*S18*W18</f>
        <v>0</v>
      </c>
      <c r="P18" s="96" t="b">
        <v>1</v>
      </c>
      <c r="Q18" s="96" t="b">
        <v>0</v>
      </c>
      <c r="R18" s="195" t="b">
        <v>0</v>
      </c>
      <c r="S18" s="195" t="b">
        <v>1</v>
      </c>
      <c r="T18" s="195" t="b">
        <v>0</v>
      </c>
      <c r="U18" s="195"/>
      <c r="V18" s="195"/>
      <c r="W18" s="333"/>
      <c r="X18" s="1601"/>
      <c r="AC18" s="343"/>
      <c r="AD18" s="343"/>
      <c r="AE18" s="343"/>
      <c r="AL18" s="1352" t="str">
        <f>SUBSTITUTE(SUBSTITUTE(SUBSTITUTE("dpa"&amp;$B18&amp;$C18&amp;$D18&amp;$E18,".","_"),"(","_"),")","")</f>
        <v>dpa901_1_2</v>
      </c>
      <c r="AM18" s="1352">
        <f>M18</f>
        <v>5</v>
      </c>
      <c r="AN18" s="1352" t="str">
        <f>SUBSTITUTE(SUBSTITUTE(SUBSTITUTE("dpc"&amp;$B18&amp;$C18&amp;$D18&amp;$E18,".","_"),"(","_"),")","")</f>
        <v>dpc901_1_2</v>
      </c>
      <c r="AO18" s="1352">
        <f>O18</f>
        <v>0</v>
      </c>
      <c r="AP18" s="1352" t="str">
        <f>SUBSTITUTE(SUBSTITUTE(SUBSTITUTE("dch"&amp;$B18&amp;$C18&amp;$D18&amp;$E18,".","_"),"(","_"),")","")</f>
        <v>dch901_1_2</v>
      </c>
      <c r="AQ18" s="1352" t="str">
        <f>IF(LEN(W18)=0,"",W18)</f>
        <v/>
      </c>
      <c r="AR18" s="1352" t="str">
        <f>SUBSTITUTE(SUBSTITUTE(SUBSTITUTE("dnt"&amp;$B18&amp;$C18&amp;$D18&amp;$E18,".","_"),"(","_"),")","")</f>
        <v>dnt901_1_2</v>
      </c>
      <c r="AS18" s="1352" t="str">
        <f>IF(LEN(X18)=0,"",X18)</f>
        <v/>
      </c>
      <c r="AX18" s="904"/>
    </row>
    <row r="19" spans="1:51" x14ac:dyDescent="0.2">
      <c r="B19" s="600" t="s">
        <v>2683</v>
      </c>
      <c r="C19" s="23"/>
      <c r="D19" s="23"/>
      <c r="E19" s="23"/>
      <c r="F19" s="23"/>
      <c r="G19" s="23"/>
      <c r="H19" s="691"/>
      <c r="I19" s="406"/>
      <c r="J19" s="129"/>
      <c r="K19" s="129"/>
      <c r="L19" s="1629"/>
      <c r="M19" s="1623"/>
      <c r="N19" s="129"/>
      <c r="O19" s="1619"/>
      <c r="P19" s="96"/>
      <c r="Q19" s="96"/>
      <c r="R19" s="96"/>
      <c r="S19" s="96"/>
      <c r="T19" s="96"/>
      <c r="U19" s="96"/>
      <c r="V19" s="96"/>
      <c r="W19" s="96"/>
      <c r="X19" s="1601"/>
      <c r="AX19" s="904" t="str">
        <f>'Overview (Design)'!A18</f>
        <v>Single-Family or Multifamily:</v>
      </c>
      <c r="AY19" s="78" t="str">
        <f>'Overview (Design)'!G18</f>
        <v>Multifamily</v>
      </c>
    </row>
    <row r="20" spans="1:51" s="338" customFormat="1" x14ac:dyDescent="0.2">
      <c r="A20" s="20"/>
      <c r="B20" s="600" t="s">
        <v>2683</v>
      </c>
      <c r="C20" s="23"/>
      <c r="D20" s="23"/>
      <c r="E20" s="23"/>
      <c r="F20" s="23"/>
      <c r="G20" s="23"/>
      <c r="H20" s="691"/>
      <c r="I20" s="438"/>
      <c r="J20" s="213"/>
      <c r="K20" s="213"/>
      <c r="L20" s="402" t="s">
        <v>2936</v>
      </c>
      <c r="M20" s="390"/>
      <c r="N20" s="213"/>
      <c r="O20" s="424"/>
      <c r="P20" s="173"/>
      <c r="Q20" s="173"/>
      <c r="R20" s="173"/>
      <c r="S20" s="173"/>
      <c r="T20" s="173"/>
      <c r="U20" s="173"/>
      <c r="V20" s="173"/>
      <c r="W20" s="173"/>
      <c r="X20" s="1601"/>
      <c r="Y20" s="704"/>
      <c r="AA20" s="707"/>
      <c r="AL20" s="78"/>
      <c r="AM20" s="78"/>
      <c r="AN20" s="78"/>
      <c r="AO20" s="78"/>
      <c r="AP20" s="78"/>
      <c r="AQ20" s="78"/>
      <c r="AR20" s="78"/>
      <c r="AS20" s="78"/>
      <c r="AX20" s="904" t="str">
        <f>'Overview (Design)'!A19</f>
        <v>Number of Units:</v>
      </c>
      <c r="AY20" s="78">
        <f>'Overview (Design)'!G19</f>
        <v>48</v>
      </c>
    </row>
    <row r="21" spans="1:51" x14ac:dyDescent="0.2">
      <c r="B21" s="600" t="s">
        <v>2684</v>
      </c>
      <c r="C21" s="23"/>
      <c r="D21" s="23"/>
      <c r="E21" s="23"/>
      <c r="F21" s="23"/>
      <c r="G21" s="23"/>
      <c r="H21" s="691"/>
      <c r="I21" s="67" t="s">
        <v>3664</v>
      </c>
      <c r="J21" s="4"/>
      <c r="K21" s="4"/>
      <c r="L21" s="1631" t="s">
        <v>3744</v>
      </c>
      <c r="M21" s="374"/>
      <c r="N21" s="4"/>
      <c r="O21" s="138"/>
      <c r="AX21" s="904" t="str">
        <f>'Overview (Design)'!A23</f>
        <v>Project Name:</v>
      </c>
      <c r="AY21" s="78" t="str">
        <f>'Overview (Design)'!G23</f>
        <v>Towne West Manor</v>
      </c>
    </row>
    <row r="22" spans="1:51" x14ac:dyDescent="0.2">
      <c r="B22" s="600" t="s">
        <v>2684</v>
      </c>
      <c r="C22" s="23"/>
      <c r="D22" s="23"/>
      <c r="E22" s="23"/>
      <c r="F22" s="23"/>
      <c r="G22" s="23"/>
      <c r="H22" s="691"/>
      <c r="I22" s="161"/>
      <c r="J22" s="4"/>
      <c r="K22" s="4"/>
      <c r="L22" s="1631"/>
      <c r="M22" s="374"/>
      <c r="N22" s="4"/>
      <c r="O22" s="138"/>
      <c r="AX22" s="904"/>
    </row>
    <row r="23" spans="1:51" x14ac:dyDescent="0.2">
      <c r="B23" s="600" t="s">
        <v>2684</v>
      </c>
      <c r="C23" s="23" t="s">
        <v>254</v>
      </c>
      <c r="D23" s="23"/>
      <c r="E23" s="23"/>
      <c r="F23" s="23"/>
      <c r="G23" s="23"/>
      <c r="H23" s="691"/>
      <c r="I23" s="161"/>
      <c r="J23" s="29" t="s">
        <v>254</v>
      </c>
      <c r="K23" s="4"/>
      <c r="L23" s="158" t="s">
        <v>2685</v>
      </c>
      <c r="M23" s="374"/>
      <c r="N23" s="4"/>
      <c r="O23" s="138">
        <f ca="1">IFERROR(INDEX({3,5},MATCH(W23,INDIRECT(U23),0)),0)*S23</f>
        <v>0</v>
      </c>
      <c r="P23" s="96" t="b">
        <v>1</v>
      </c>
      <c r="Q23" s="96" t="b">
        <v>1</v>
      </c>
      <c r="R23" s="337" t="b">
        <v>0</v>
      </c>
      <c r="S23" s="337" t="b">
        <f>OR(AY36=INDEX(ddHeat1,1),AY36=INDEX(ddHeat1,2),AY37=INDEX(ddHeat2,1),AY37=INDEX(ddHeat2,2),AY38=INDEX(ddHeat3,1),AY38=INDEX(ddHeat3,2))</f>
        <v>0</v>
      </c>
      <c r="T23" s="96" t="b">
        <f>AND(NOT(S23),LEN(W23)&gt;0)</f>
        <v>0</v>
      </c>
      <c r="U23" s="96" t="str">
        <f>SUBSTITUTE(SUBSTITUTE(SUBSTITUTE("dd"&amp;B23&amp;C23&amp;D23&amp;E23&amp;F23,".","_"),"(","_"),")","")</f>
        <v>dd901_1_3_1</v>
      </c>
      <c r="W23" s="12"/>
      <c r="X23" s="1600"/>
      <c r="AC23" s="905" t="b">
        <f>OR(AD23:AE23)</f>
        <v>0</v>
      </c>
      <c r="AD23" s="905" t="b">
        <f>T23</f>
        <v>0</v>
      </c>
      <c r="AE23" s="905" t="b">
        <f>AND(R23,OR(W23="Not Met",W23=""))</f>
        <v>0</v>
      </c>
      <c r="AN23" s="1352" t="str">
        <f>SUBSTITUTE(SUBSTITUTE(SUBSTITUTE("dpc"&amp;$B23&amp;$C23&amp;$D23&amp;$E23,".","_"),"(","_"),")","")</f>
        <v>dpc901_1_3_1</v>
      </c>
      <c r="AO23" s="1352">
        <f ca="1">O23</f>
        <v>0</v>
      </c>
      <c r="AP23" s="1352" t="str">
        <f>SUBSTITUTE(SUBSTITUTE(SUBSTITUTE("dch"&amp;$B23&amp;$C23&amp;$D23&amp;$E23,".","_"),"(","_"),")","")</f>
        <v>dch901_1_3_1</v>
      </c>
      <c r="AQ23" s="1352" t="str">
        <f>IF(LEN(W23)=0,"",W23)</f>
        <v/>
      </c>
      <c r="AR23" s="1352" t="str">
        <f>SUBSTITUTE(SUBSTITUTE(SUBSTITUTE("dnt"&amp;$B23&amp;$C23&amp;$D23&amp;$E23,".","_"),"(","_"),")","")</f>
        <v>dnt901_1_3_1</v>
      </c>
      <c r="AS23" s="1352" t="str">
        <f>IF(LEN(X23)=0,"",X23)</f>
        <v/>
      </c>
      <c r="AX23" s="904" t="str">
        <f>'Overview (Design)'!A25</f>
        <v>Above grade plane finished floor area:</v>
      </c>
      <c r="AY23" s="78">
        <f>'Overview (Design)'!G25</f>
        <v>1184</v>
      </c>
    </row>
    <row r="24" spans="1:51" x14ac:dyDescent="0.2">
      <c r="B24" s="600" t="s">
        <v>2684</v>
      </c>
      <c r="C24" s="23" t="s">
        <v>254</v>
      </c>
      <c r="D24" s="79" t="s">
        <v>121</v>
      </c>
      <c r="E24" s="79"/>
      <c r="F24" s="79"/>
      <c r="G24" s="79"/>
      <c r="H24" s="694"/>
      <c r="I24" s="161"/>
      <c r="J24" s="29"/>
      <c r="K24" s="207" t="s">
        <v>121</v>
      </c>
      <c r="L24" s="929" t="s">
        <v>2686</v>
      </c>
      <c r="M24" s="937">
        <v>3</v>
      </c>
      <c r="N24" s="4"/>
      <c r="O24" s="138"/>
      <c r="X24" s="1600"/>
      <c r="AL24" s="1352" t="str">
        <f>SUBSTITUTE(SUBSTITUTE(SUBSTITUTE("dpa"&amp;$B24&amp;$C24&amp;$D24&amp;$E24,".","_"),"(","_"),")","")</f>
        <v>dpa901_1_3_1_a</v>
      </c>
      <c r="AM24" s="1352">
        <f>M24</f>
        <v>3</v>
      </c>
      <c r="AX24" s="904" t="str">
        <f>'Overview (Design)'!A26</f>
        <v>Total conditioned floor area:</v>
      </c>
      <c r="AY24" s="78">
        <f>'Overview (Design)'!G26</f>
        <v>20128</v>
      </c>
    </row>
    <row r="25" spans="1:51" x14ac:dyDescent="0.2">
      <c r="B25" s="600" t="s">
        <v>2684</v>
      </c>
      <c r="C25" s="23" t="s">
        <v>254</v>
      </c>
      <c r="D25" s="79" t="s">
        <v>122</v>
      </c>
      <c r="E25" s="79"/>
      <c r="F25" s="79"/>
      <c r="G25" s="79"/>
      <c r="H25" s="694"/>
      <c r="I25" s="161"/>
      <c r="J25" s="207"/>
      <c r="K25" s="207" t="s">
        <v>122</v>
      </c>
      <c r="L25" s="369" t="s">
        <v>2687</v>
      </c>
      <c r="M25" s="373">
        <v>5</v>
      </c>
      <c r="N25" s="4"/>
      <c r="O25" s="422"/>
      <c r="X25" s="1600"/>
      <c r="AL25" s="1352" t="str">
        <f>SUBSTITUTE(SUBSTITUTE(SUBSTITUTE("dpa"&amp;$B25&amp;$C25&amp;$D25&amp;$E25,".","_"),"(","_"),")","")</f>
        <v>dpa901_1_3_1_b</v>
      </c>
      <c r="AM25" s="1352">
        <f>M25</f>
        <v>5</v>
      </c>
      <c r="AX25" s="904" t="str">
        <f>'Overview (Design)'!A27</f>
        <v>Stories above grade:</v>
      </c>
      <c r="AY25" s="338">
        <f>'Overview (Design)'!G27</f>
        <v>2</v>
      </c>
    </row>
    <row r="26" spans="1:51" x14ac:dyDescent="0.2">
      <c r="B26" s="600" t="s">
        <v>2684</v>
      </c>
      <c r="C26" s="23" t="s">
        <v>255</v>
      </c>
      <c r="D26" s="79"/>
      <c r="E26" s="79"/>
      <c r="F26" s="79"/>
      <c r="G26" s="79"/>
      <c r="H26" s="694"/>
      <c r="I26" s="406"/>
      <c r="J26" s="180" t="s">
        <v>255</v>
      </c>
      <c r="K26" s="129"/>
      <c r="L26" s="385" t="s">
        <v>2688</v>
      </c>
      <c r="M26" s="389"/>
      <c r="N26" s="129"/>
      <c r="O26" s="423">
        <f ca="1">IFERROR(INDEX({3,5},MATCH(W26,INDIRECT(U26),0)),0)*S26</f>
        <v>0</v>
      </c>
      <c r="P26" s="96" t="b">
        <v>1</v>
      </c>
      <c r="Q26" s="96" t="b">
        <v>1</v>
      </c>
      <c r="R26" s="96" t="b">
        <v>0</v>
      </c>
      <c r="S26" s="96" t="b">
        <v>1</v>
      </c>
      <c r="T26" s="96" t="b">
        <v>0</v>
      </c>
      <c r="U26" s="96" t="str">
        <f>SUBSTITUTE(SUBSTITUTE(SUBSTITUTE("dd"&amp;B26&amp;C26&amp;D26&amp;E26&amp;F26,".","_"),"(","_"),")","")</f>
        <v>dd901_1_3_2</v>
      </c>
      <c r="V26" s="96"/>
      <c r="W26" s="110"/>
      <c r="X26" s="1601"/>
      <c r="AC26" s="905"/>
      <c r="AD26" s="905"/>
      <c r="AE26" s="905"/>
      <c r="AN26" s="1352" t="str">
        <f>SUBSTITUTE(SUBSTITUTE(SUBSTITUTE("dpc"&amp;$B26&amp;$C26&amp;$D26&amp;$E26,".","_"),"(","_"),")","")</f>
        <v>dpc901_1_3_2</v>
      </c>
      <c r="AO26" s="1352">
        <f ca="1">O26</f>
        <v>0</v>
      </c>
      <c r="AP26" s="1352" t="str">
        <f>SUBSTITUTE(SUBSTITUTE(SUBSTITUTE("dch"&amp;$B26&amp;$C26&amp;$D26&amp;$E26,".","_"),"(","_"),")","")</f>
        <v>dch901_1_3_2</v>
      </c>
      <c r="AQ26" s="1352" t="str">
        <f>IF(LEN(W26)=0,"",W26)</f>
        <v/>
      </c>
      <c r="AR26" s="1352" t="str">
        <f>SUBSTITUTE(SUBSTITUTE(SUBSTITUTE("dnt"&amp;$B26&amp;$C26&amp;$D26&amp;$E26,".","_"),"(","_"),")","")</f>
        <v>dnt901_1_3_2</v>
      </c>
      <c r="AS26" s="1352" t="str">
        <f>IF(LEN(X26)=0,"",X26)</f>
        <v/>
      </c>
      <c r="AX26" s="1167"/>
      <c r="AY26" s="338"/>
    </row>
    <row r="27" spans="1:51" x14ac:dyDescent="0.2">
      <c r="B27" s="600" t="s">
        <v>2684</v>
      </c>
      <c r="C27" s="23" t="s">
        <v>255</v>
      </c>
      <c r="D27" s="79" t="s">
        <v>121</v>
      </c>
      <c r="E27" s="79"/>
      <c r="F27" s="79"/>
      <c r="G27" s="79"/>
      <c r="H27" s="694"/>
      <c r="I27" s="406"/>
      <c r="J27" s="129"/>
      <c r="K27" s="207" t="s">
        <v>121</v>
      </c>
      <c r="L27" s="929" t="s">
        <v>2689</v>
      </c>
      <c r="M27" s="937">
        <v>3</v>
      </c>
      <c r="N27" s="129"/>
      <c r="O27" s="423"/>
      <c r="P27" s="96"/>
      <c r="Q27" s="96"/>
      <c r="R27" s="96"/>
      <c r="S27" s="96"/>
      <c r="T27" s="96"/>
      <c r="U27" s="96"/>
      <c r="V27" s="96"/>
      <c r="W27" s="96"/>
      <c r="X27" s="1601"/>
      <c r="AL27" s="1352" t="str">
        <f>SUBSTITUTE(SUBSTITUTE(SUBSTITUTE("dpa"&amp;$B27&amp;$C27&amp;$D27&amp;$E27,".","_"),"(","_"),")","")</f>
        <v>dpa901_1_3_2_a</v>
      </c>
      <c r="AM27" s="1352">
        <f>M27</f>
        <v>3</v>
      </c>
      <c r="AX27" s="904" t="str">
        <f>'Overview (Design)'!A29</f>
        <v>Year Built:</v>
      </c>
      <c r="AY27" s="808">
        <f>'Overview (Design)'!G29</f>
        <v>1969</v>
      </c>
    </row>
    <row r="28" spans="1:51" x14ac:dyDescent="0.2">
      <c r="B28" s="600" t="s">
        <v>2684</v>
      </c>
      <c r="C28" s="23" t="s">
        <v>255</v>
      </c>
      <c r="D28" s="79" t="s">
        <v>122</v>
      </c>
      <c r="E28" s="79"/>
      <c r="F28" s="79"/>
      <c r="G28" s="79"/>
      <c r="H28" s="694"/>
      <c r="I28" s="438"/>
      <c r="J28" s="213"/>
      <c r="K28" s="207" t="s">
        <v>122</v>
      </c>
      <c r="L28" s="386" t="s">
        <v>2690</v>
      </c>
      <c r="M28" s="390">
        <v>5</v>
      </c>
      <c r="N28" s="213"/>
      <c r="O28" s="424"/>
      <c r="P28" s="173"/>
      <c r="Q28" s="173"/>
      <c r="R28" s="173"/>
      <c r="S28" s="173"/>
      <c r="T28" s="173"/>
      <c r="U28" s="173"/>
      <c r="V28" s="173"/>
      <c r="W28" s="173"/>
      <c r="X28" s="1601"/>
      <c r="AL28" s="1352" t="str">
        <f>SUBSTITUTE(SUBSTITUTE(SUBSTITUTE("dpa"&amp;$B28&amp;$C28&amp;$D28&amp;$E28,".","_"),"(","_"),")","")</f>
        <v>dpa901_1_3_2_b</v>
      </c>
      <c r="AM28" s="1352">
        <f>M28</f>
        <v>5</v>
      </c>
      <c r="AX28" s="1167" t="str">
        <f>'Overview (Design)'!A30</f>
        <v>Energy Baseline Year:</v>
      </c>
      <c r="AY28" s="1168">
        <f>'Overview (Design)'!G30</f>
        <v>2020</v>
      </c>
    </row>
    <row r="29" spans="1:51" ht="15" customHeight="1" x14ac:dyDescent="0.2">
      <c r="B29" s="600" t="s">
        <v>2691</v>
      </c>
      <c r="C29" s="23"/>
      <c r="D29" s="23"/>
      <c r="E29" s="23"/>
      <c r="F29" s="23"/>
      <c r="G29" s="23"/>
      <c r="H29" s="691"/>
      <c r="I29" s="130" t="s">
        <v>3665</v>
      </c>
      <c r="J29" s="129"/>
      <c r="K29" s="129"/>
      <c r="L29" s="1686" t="s">
        <v>4865</v>
      </c>
      <c r="M29" s="1697" t="str">
        <f>IF(R29,"Mandatory","N/A")</f>
        <v>Mandatory</v>
      </c>
      <c r="N29" s="129"/>
      <c r="O29" s="423"/>
      <c r="P29" s="96" t="b">
        <v>1</v>
      </c>
      <c r="Q29" s="96" t="b">
        <v>0</v>
      </c>
      <c r="R29" s="96" t="b">
        <f>S29</f>
        <v>1</v>
      </c>
      <c r="S29" s="96" t="b">
        <v>1</v>
      </c>
      <c r="T29" s="96" t="b">
        <v>0</v>
      </c>
      <c r="U29" s="96" t="str">
        <f>SUBSTITUTE(SUBSTITUTE(SUBSTITUTE("dd"&amp;B29&amp;C29&amp;D29&amp;E29&amp;F29,".","_"),"(","_"),")","")</f>
        <v>dd901_1_4</v>
      </c>
      <c r="V29" s="96"/>
      <c r="W29" s="269" t="s">
        <v>2590</v>
      </c>
      <c r="X29" s="1599"/>
      <c r="AC29" s="343" t="b">
        <f>OR(AD29:AE29)</f>
        <v>0</v>
      </c>
      <c r="AD29" s="343" t="b">
        <f>T29</f>
        <v>0</v>
      </c>
      <c r="AE29" s="343" t="b">
        <f>AND(R29,OR(W29="Not Met",W29=""))</f>
        <v>0</v>
      </c>
      <c r="AL29" s="1352" t="str">
        <f>SUBSTITUTE(SUBSTITUTE(SUBSTITUTE("dpa"&amp;$B29&amp;$C29&amp;$D29&amp;$E29,".","_"),"(","_"),")","")</f>
        <v>dpa901_1_4</v>
      </c>
      <c r="AM29" s="1352" t="str">
        <f>M29</f>
        <v>Mandatory</v>
      </c>
      <c r="AP29" s="1352" t="str">
        <f>SUBSTITUTE(SUBSTITUTE(SUBSTITUTE("dch"&amp;$B29&amp;$C29&amp;$D29&amp;$E29,".","_"),"(","_"),")","")</f>
        <v>dch901_1_4</v>
      </c>
      <c r="AQ29" s="1352" t="str">
        <f>IF(LEN(W29)=0,"",W29)</f>
        <v>N/A</v>
      </c>
      <c r="AR29" s="1352" t="str">
        <f>SUBSTITUTE(SUBSTITUTE(SUBSTITUTE("dnt"&amp;$B29&amp;$C29&amp;$D29&amp;$E29,".","_"),"(","_"),")","")</f>
        <v>dnt901_1_4</v>
      </c>
      <c r="AS29" s="1352" t="str">
        <f>IF(LEN(X29)=0,"",X29)</f>
        <v/>
      </c>
      <c r="AX29" s="1167" t="str">
        <f>'Overview (Design)'!A31</f>
        <v>Water Baseline Year:</v>
      </c>
      <c r="AY29" s="1168">
        <f>'Overview (Design)'!G31</f>
        <v>2020</v>
      </c>
    </row>
    <row r="30" spans="1:51" x14ac:dyDescent="0.2">
      <c r="B30" s="600" t="s">
        <v>2691</v>
      </c>
      <c r="C30" s="23"/>
      <c r="D30" s="23"/>
      <c r="E30" s="23"/>
      <c r="F30" s="23"/>
      <c r="G30" s="23"/>
      <c r="H30" s="691"/>
      <c r="I30" s="406"/>
      <c r="J30" s="129"/>
      <c r="K30" s="129"/>
      <c r="L30" s="1687"/>
      <c r="M30" s="1697"/>
      <c r="N30" s="129"/>
      <c r="O30" s="423"/>
      <c r="P30" s="96"/>
      <c r="Q30" s="96"/>
      <c r="R30" s="96"/>
      <c r="S30" s="96"/>
      <c r="T30" s="96"/>
      <c r="U30" s="96"/>
      <c r="V30" s="96"/>
      <c r="W30" s="96"/>
      <c r="X30" s="1601"/>
      <c r="AX30" s="904" t="str">
        <f>'Overview (Design)'!A32</f>
        <v xml:space="preserve">Project Description: </v>
      </c>
      <c r="AY30" s="78" t="str">
        <f>'Overview (Design)'!G32</f>
        <v>n/a</v>
      </c>
    </row>
    <row r="31" spans="1:51" s="905" customFormat="1" x14ac:dyDescent="0.2">
      <c r="A31" s="20"/>
      <c r="B31" s="600" t="s">
        <v>2691</v>
      </c>
      <c r="C31" s="23"/>
      <c r="D31" s="23"/>
      <c r="E31" s="23"/>
      <c r="F31" s="23"/>
      <c r="G31" s="23"/>
      <c r="H31" s="691"/>
      <c r="I31" s="406"/>
      <c r="J31" s="129"/>
      <c r="K31" s="129"/>
      <c r="L31" s="1687"/>
      <c r="M31" s="1697"/>
      <c r="N31" s="129"/>
      <c r="O31" s="908"/>
      <c r="P31" s="991"/>
      <c r="Q31" s="991"/>
      <c r="R31" s="991"/>
      <c r="S31" s="991"/>
      <c r="T31" s="991"/>
      <c r="U31" s="991"/>
      <c r="V31" s="991"/>
      <c r="W31" s="991"/>
      <c r="X31" s="1601"/>
      <c r="AL31" s="78"/>
      <c r="AM31" s="78"/>
      <c r="AN31" s="78"/>
      <c r="AO31" s="78"/>
      <c r="AP31" s="78"/>
      <c r="AQ31" s="78"/>
      <c r="AR31" s="78"/>
      <c r="AS31" s="78"/>
      <c r="AX31" s="1167"/>
      <c r="AY31" s="1168"/>
    </row>
    <row r="32" spans="1:51" x14ac:dyDescent="0.2">
      <c r="B32" s="600" t="s">
        <v>2691</v>
      </c>
      <c r="C32" s="23"/>
      <c r="D32" s="23"/>
      <c r="E32" s="23"/>
      <c r="F32" s="23"/>
      <c r="G32" s="23"/>
      <c r="H32" s="691"/>
      <c r="I32" s="406"/>
      <c r="J32" s="129"/>
      <c r="K32" s="129"/>
      <c r="L32" s="1687"/>
      <c r="M32" s="1697"/>
      <c r="N32" s="129"/>
      <c r="O32" s="423"/>
      <c r="P32" s="96"/>
      <c r="Q32" s="96"/>
      <c r="R32" s="96"/>
      <c r="S32" s="96"/>
      <c r="T32" s="96"/>
      <c r="U32" s="96"/>
      <c r="V32" s="96"/>
      <c r="W32" s="96"/>
      <c r="X32" s="1601"/>
      <c r="AX32" s="1167" t="str">
        <f>'Overview (Design)'!A34</f>
        <v>Selected Energy Compliance Path:</v>
      </c>
      <c r="AY32" s="1168" t="str">
        <f>'Overview (Design)'!G34</f>
        <v>Performance</v>
      </c>
    </row>
    <row r="33" spans="2:51" x14ac:dyDescent="0.2">
      <c r="B33" s="600" t="s">
        <v>2691</v>
      </c>
      <c r="C33" s="23"/>
      <c r="D33" s="23"/>
      <c r="E33" s="23"/>
      <c r="F33" s="23"/>
      <c r="G33" s="23"/>
      <c r="H33" s="691"/>
      <c r="I33" s="438"/>
      <c r="J33" s="213"/>
      <c r="K33" s="213"/>
      <c r="L33" s="1688"/>
      <c r="M33" s="1698"/>
      <c r="N33" s="213"/>
      <c r="O33" s="424"/>
      <c r="P33" s="173"/>
      <c r="Q33" s="173"/>
      <c r="R33" s="173"/>
      <c r="S33" s="173"/>
      <c r="T33" s="173"/>
      <c r="U33" s="173"/>
      <c r="V33" s="173"/>
      <c r="W33" s="173"/>
      <c r="X33" s="1601"/>
      <c r="AX33" s="1167" t="str">
        <f>'Overview (Design)'!A35</f>
        <v>Selected Water Compliance Path:</v>
      </c>
      <c r="AY33" s="1168" t="str">
        <f>'Overview (Design)'!G35</f>
        <v>Prescriptive</v>
      </c>
    </row>
    <row r="34" spans="2:51" x14ac:dyDescent="0.2">
      <c r="B34" s="600" t="s">
        <v>2692</v>
      </c>
      <c r="C34" s="23"/>
      <c r="D34" s="23"/>
      <c r="E34" s="23"/>
      <c r="F34" s="23"/>
      <c r="G34" s="23"/>
      <c r="H34" s="691"/>
      <c r="I34" s="130" t="s">
        <v>3666</v>
      </c>
      <c r="J34" s="129"/>
      <c r="K34" s="129"/>
      <c r="L34" s="1629" t="s">
        <v>3743</v>
      </c>
      <c r="M34" s="1623">
        <v>7</v>
      </c>
      <c r="N34" s="129"/>
      <c r="O34" s="1619">
        <f>M34*S34*W34</f>
        <v>0</v>
      </c>
      <c r="P34" s="96" t="b">
        <v>1</v>
      </c>
      <c r="Q34" s="96" t="b">
        <v>1</v>
      </c>
      <c r="R34" s="96" t="b">
        <v>0</v>
      </c>
      <c r="S34" s="96" t="b">
        <f>NOT(W29="N/A")</f>
        <v>0</v>
      </c>
      <c r="T34" s="96" t="b">
        <f>AND(NOT(S34),W34=TRUE)</f>
        <v>0</v>
      </c>
      <c r="U34" s="96"/>
      <c r="V34" s="96"/>
      <c r="W34" s="119"/>
      <c r="X34" s="1599"/>
      <c r="AC34" s="343" t="b">
        <f>OR(AD34:AE34)</f>
        <v>0</v>
      </c>
      <c r="AD34" s="343" t="b">
        <f>T34</f>
        <v>0</v>
      </c>
      <c r="AE34" s="343" t="b">
        <f>AND(R34,NOT(W34))</f>
        <v>0</v>
      </c>
      <c r="AL34" s="1352" t="str">
        <f>SUBSTITUTE(SUBSTITUTE(SUBSTITUTE("dpa"&amp;$B34&amp;$C34&amp;$D34&amp;$E34,".","_"),"(","_"),")","")</f>
        <v>dpa901_1_5</v>
      </c>
      <c r="AM34" s="1352">
        <f>M34</f>
        <v>7</v>
      </c>
      <c r="AN34" s="1352" t="str">
        <f>SUBSTITUTE(SUBSTITUTE(SUBSTITUTE("dpc"&amp;$B34&amp;$C34&amp;$D34&amp;$E34,".","_"),"(","_"),")","")</f>
        <v>dpc901_1_5</v>
      </c>
      <c r="AO34" s="1352">
        <f>O34</f>
        <v>0</v>
      </c>
      <c r="AP34" s="1352" t="str">
        <f>SUBSTITUTE(SUBSTITUTE(SUBSTITUTE("dch"&amp;$B34&amp;$C34&amp;$D34&amp;$E34,".","_"),"(","_"),")","")</f>
        <v>dch901_1_5</v>
      </c>
      <c r="AQ34" s="1352" t="str">
        <f>IF(LEN(W34)=0,"",W34)</f>
        <v/>
      </c>
      <c r="AR34" s="1352" t="str">
        <f>SUBSTITUTE(SUBSTITUTE(SUBSTITUTE("dnt"&amp;$B34&amp;$C34&amp;$D34&amp;$E34,".","_"),"(","_"),")","")</f>
        <v>dnt901_1_5</v>
      </c>
      <c r="AS34" s="1352" t="str">
        <f>IF(LEN(X34)=0,"",X34)</f>
        <v/>
      </c>
      <c r="AX34" s="904" t="str">
        <f>'Overview (Design)'!A36</f>
        <v>Foundation Type:</v>
      </c>
      <c r="AY34" s="78" t="str">
        <f>'Overview (Design)'!G36</f>
        <v>Slab on grade</v>
      </c>
    </row>
    <row r="35" spans="2:51" x14ac:dyDescent="0.2">
      <c r="B35" s="600" t="s">
        <v>2692</v>
      </c>
      <c r="C35" s="23"/>
      <c r="D35" s="23"/>
      <c r="E35" s="23"/>
      <c r="F35" s="23"/>
      <c r="G35" s="23"/>
      <c r="H35" s="691"/>
      <c r="I35" s="406"/>
      <c r="J35" s="129"/>
      <c r="K35" s="129"/>
      <c r="L35" s="1629"/>
      <c r="M35" s="1623"/>
      <c r="N35" s="129"/>
      <c r="O35" s="1619"/>
      <c r="P35" s="96"/>
      <c r="Q35" s="96"/>
      <c r="R35" s="96"/>
      <c r="S35" s="96"/>
      <c r="T35" s="96"/>
      <c r="U35" s="96"/>
      <c r="V35" s="96"/>
      <c r="W35" s="96"/>
      <c r="X35" s="1601"/>
      <c r="AX35" s="904"/>
      <c r="AY35" s="338"/>
    </row>
    <row r="36" spans="2:51" x14ac:dyDescent="0.2">
      <c r="B36" s="600" t="s">
        <v>2692</v>
      </c>
      <c r="C36" s="23"/>
      <c r="D36" s="23"/>
      <c r="E36" s="23"/>
      <c r="F36" s="23"/>
      <c r="G36" s="23"/>
      <c r="H36" s="691"/>
      <c r="I36" s="438"/>
      <c r="J36" s="213"/>
      <c r="K36" s="213"/>
      <c r="L36" s="1696"/>
      <c r="M36" s="1624"/>
      <c r="N36" s="213"/>
      <c r="O36" s="1620"/>
      <c r="P36" s="173"/>
      <c r="Q36" s="173"/>
      <c r="R36" s="173"/>
      <c r="S36" s="173"/>
      <c r="T36" s="173"/>
      <c r="U36" s="173"/>
      <c r="V36" s="173"/>
      <c r="W36" s="173"/>
      <c r="X36" s="1601"/>
      <c r="AX36" s="904" t="str">
        <f>'Overview (Design)'!A38</f>
        <v>Type of Heating System (main system):</v>
      </c>
      <c r="AY36" s="78" t="str">
        <f>'Overview (Design)'!G38</f>
        <v>Heat Pump</v>
      </c>
    </row>
    <row r="37" spans="2:51" x14ac:dyDescent="0.2">
      <c r="B37" s="600" t="s">
        <v>2693</v>
      </c>
      <c r="C37" s="23"/>
      <c r="D37" s="23"/>
      <c r="E37" s="23"/>
      <c r="F37" s="23"/>
      <c r="G37" s="23"/>
      <c r="H37" s="691"/>
      <c r="I37" s="130" t="s">
        <v>3667</v>
      </c>
      <c r="J37" s="129"/>
      <c r="K37" s="129"/>
      <c r="L37" s="315" t="s">
        <v>3742</v>
      </c>
      <c r="M37" s="389"/>
      <c r="N37" s="129"/>
      <c r="O37" s="423">
        <f ca="1">IFERROR(INDEX({2,5},MATCH(W37,INDIRECT(U37),0)),0)*S37</f>
        <v>5</v>
      </c>
      <c r="P37" s="96" t="b">
        <v>1</v>
      </c>
      <c r="Q37" s="96" t="b">
        <v>1</v>
      </c>
      <c r="R37" s="96" t="b">
        <v>0</v>
      </c>
      <c r="S37" s="96" t="b">
        <f>OR(AY36=INDEX(ddHeat1,3),AY36=INDEX(ddHeat1,5),AY37=INDEX(ddHeat2,3),AY37=INDEX(ddHeat2,5),AY38=INDEX(ddHeat3,3),AY38=INDEX(ddHeat3,5))</f>
        <v>1</v>
      </c>
      <c r="T37" s="96" t="b">
        <f>AND(NOT(S37),LEN(W37)&gt;0)</f>
        <v>0</v>
      </c>
      <c r="U37" s="96" t="str">
        <f>SUBSTITUTE(SUBSTITUTE(SUBSTITUTE("dd"&amp;B37&amp;C37&amp;D37&amp;E37&amp;F37,".","_"),"(","_"),")","")</f>
        <v>dd901_1_6</v>
      </c>
      <c r="V37" s="96"/>
      <c r="W37" s="269" t="s">
        <v>255</v>
      </c>
      <c r="X37" s="1599"/>
      <c r="AC37" s="343" t="b">
        <f>OR(AD37:AE37)</f>
        <v>0</v>
      </c>
      <c r="AD37" s="343" t="b">
        <f>T37</f>
        <v>0</v>
      </c>
      <c r="AE37" s="343" t="b">
        <f>AND(R37,OR(W37="Not Met",W37=""))</f>
        <v>0</v>
      </c>
      <c r="AN37" s="1352" t="str">
        <f>SUBSTITUTE(SUBSTITUTE(SUBSTITUTE("dpc"&amp;$B37&amp;$C37&amp;$D37&amp;$E37,".","_"),"(","_"),")","")</f>
        <v>dpc901_1_6</v>
      </c>
      <c r="AO37" s="1352">
        <f ca="1">O37</f>
        <v>5</v>
      </c>
      <c r="AP37" s="1352" t="str">
        <f>SUBSTITUTE(SUBSTITUTE(SUBSTITUTE("dch"&amp;$B37&amp;$C37&amp;$D37&amp;$E37,".","_"),"(","_"),")","")</f>
        <v>dch901_1_6</v>
      </c>
      <c r="AQ37" s="1352" t="str">
        <f>IF(LEN(W37)=0,"",W37)</f>
        <v>(2)</v>
      </c>
      <c r="AR37" s="1352" t="str">
        <f>SUBSTITUTE(SUBSTITUTE(SUBSTITUTE("dnt"&amp;$B37&amp;$C37&amp;$D37&amp;$E37,".","_"),"(","_"),")","")</f>
        <v>dnt901_1_6</v>
      </c>
      <c r="AS37" s="1352" t="str">
        <f>IF(LEN(X37)=0,"",X37)</f>
        <v/>
      </c>
      <c r="AX37" s="904" t="str">
        <f>'Overview (Design)'!A39</f>
        <v>Type of Heating System (system 2):</v>
      </c>
      <c r="AY37" s="78">
        <f>'Overview (Design)'!G39</f>
        <v>0</v>
      </c>
    </row>
    <row r="38" spans="2:51" x14ac:dyDescent="0.2">
      <c r="B38" s="600" t="s">
        <v>2693</v>
      </c>
      <c r="C38" s="23" t="s">
        <v>254</v>
      </c>
      <c r="D38" s="23"/>
      <c r="E38" s="23"/>
      <c r="F38" s="23"/>
      <c r="G38" s="23"/>
      <c r="H38" s="691"/>
      <c r="I38" s="406"/>
      <c r="J38" s="207" t="s">
        <v>254</v>
      </c>
      <c r="K38" s="213"/>
      <c r="L38" s="369" t="s">
        <v>2694</v>
      </c>
      <c r="M38" s="373">
        <v>2</v>
      </c>
      <c r="N38" s="129"/>
      <c r="O38" s="238"/>
      <c r="P38" s="96"/>
      <c r="Q38" s="96"/>
      <c r="R38" s="96"/>
      <c r="S38" s="96"/>
      <c r="T38" s="96"/>
      <c r="U38" s="96"/>
      <c r="V38" s="96"/>
      <c r="W38" s="96"/>
      <c r="X38" s="1601"/>
      <c r="AL38" s="1352" t="str">
        <f>SUBSTITUTE(SUBSTITUTE(SUBSTITUTE("dpa"&amp;$B38&amp;$C38&amp;$D38&amp;$E38,".","_"),"(","_"),")","")</f>
        <v>dpa901_1_6_1</v>
      </c>
      <c r="AM38" s="1352">
        <f>M38</f>
        <v>2</v>
      </c>
      <c r="AX38" s="904" t="str">
        <f>'Overview (Design)'!A40</f>
        <v>Type of Heating System (system 3):</v>
      </c>
      <c r="AY38" s="78">
        <f>'Overview (Design)'!G40</f>
        <v>0</v>
      </c>
    </row>
    <row r="39" spans="2:51" ht="16" thickBot="1" x14ac:dyDescent="0.25">
      <c r="B39" s="600" t="s">
        <v>2693</v>
      </c>
      <c r="C39" s="23" t="s">
        <v>255</v>
      </c>
      <c r="D39" s="23"/>
      <c r="E39" s="23"/>
      <c r="F39" s="23"/>
      <c r="G39" s="23"/>
      <c r="H39" s="691"/>
      <c r="I39" s="407"/>
      <c r="J39" s="190" t="s">
        <v>255</v>
      </c>
      <c r="K39" s="239"/>
      <c r="L39" s="372" t="s">
        <v>2695</v>
      </c>
      <c r="M39" s="375">
        <v>5</v>
      </c>
      <c r="N39" s="239"/>
      <c r="O39" s="240"/>
      <c r="P39" s="100"/>
      <c r="Q39" s="100"/>
      <c r="R39" s="100"/>
      <c r="S39" s="100"/>
      <c r="T39" s="100"/>
      <c r="U39" s="100"/>
      <c r="V39" s="100"/>
      <c r="W39" s="100"/>
      <c r="X39" s="1602"/>
      <c r="AL39" s="1352" t="str">
        <f>SUBSTITUTE(SUBSTITUTE(SUBSTITUTE("dpa"&amp;$B39&amp;$C39&amp;$D39&amp;$E39,".","_"),"(","_"),")","")</f>
        <v>dpa901_1_6_2</v>
      </c>
      <c r="AM39" s="1352">
        <f>M39</f>
        <v>5</v>
      </c>
      <c r="AX39" s="904" t="str">
        <f>'Overview (Design)'!A41</f>
        <v>Primary Heating Fuel:</v>
      </c>
      <c r="AY39" s="78">
        <f>'Overview (Design)'!G41</f>
        <v>0</v>
      </c>
    </row>
    <row r="40" spans="2:51" ht="16" thickTop="1" x14ac:dyDescent="0.2">
      <c r="B40" s="600">
        <v>901.2</v>
      </c>
      <c r="C40" s="23"/>
      <c r="D40" s="23"/>
      <c r="E40" s="23"/>
      <c r="F40" s="23"/>
      <c r="G40" s="23"/>
      <c r="H40" s="691"/>
      <c r="I40" s="177" t="s">
        <v>3668</v>
      </c>
      <c r="J40" s="178"/>
      <c r="K40" s="178"/>
      <c r="L40" s="396" t="s">
        <v>3741</v>
      </c>
      <c r="M40" s="388"/>
      <c r="N40" s="178"/>
      <c r="O40" s="427"/>
      <c r="P40" s="106"/>
      <c r="Q40" s="106"/>
      <c r="R40" s="106"/>
      <c r="S40" s="106"/>
      <c r="T40" s="106"/>
      <c r="U40" s="106"/>
      <c r="V40" s="106"/>
      <c r="W40" s="106"/>
      <c r="X40" s="106"/>
      <c r="AX40" s="904" t="str">
        <f>'Overview (Design)'!A42</f>
        <v>Heating Ducts:</v>
      </c>
      <c r="AY40" s="338" t="str">
        <f>'Overview (Design)'!G42</f>
        <v>Ducted</v>
      </c>
    </row>
    <row r="41" spans="2:51" x14ac:dyDescent="0.2">
      <c r="B41" s="600" t="s">
        <v>2696</v>
      </c>
      <c r="C41" s="23"/>
      <c r="D41" s="23"/>
      <c r="E41" s="23"/>
      <c r="F41" s="23"/>
      <c r="G41" s="23"/>
      <c r="H41" s="691"/>
      <c r="I41" s="67" t="s">
        <v>3669</v>
      </c>
      <c r="J41" s="4"/>
      <c r="K41" s="4"/>
      <c r="L41" s="1631" t="s">
        <v>3899</v>
      </c>
      <c r="M41" s="374"/>
      <c r="N41" s="4"/>
      <c r="O41" s="138"/>
      <c r="AX41" s="904" t="str">
        <f>'Overview (Design)'!A43</f>
        <v>Type of Cooling System (main system):</v>
      </c>
      <c r="AY41" s="338" t="str">
        <f>'Overview (Design)'!G43</f>
        <v>Heat Pump</v>
      </c>
    </row>
    <row r="42" spans="2:51" x14ac:dyDescent="0.2">
      <c r="B42" s="600" t="s">
        <v>2696</v>
      </c>
      <c r="C42" s="23"/>
      <c r="D42" s="23"/>
      <c r="E42" s="23"/>
      <c r="F42" s="23"/>
      <c r="G42" s="23"/>
      <c r="H42" s="691"/>
      <c r="I42" s="161"/>
      <c r="J42" s="4"/>
      <c r="K42" s="4"/>
      <c r="L42" s="1631"/>
      <c r="M42" s="374"/>
      <c r="N42" s="4"/>
      <c r="O42" s="138"/>
      <c r="AX42" s="904" t="str">
        <f>'Overview (Design)'!A44</f>
        <v>Type of Cooling System (system 2):</v>
      </c>
      <c r="AY42" s="338">
        <f>'Overview (Design)'!G44</f>
        <v>0</v>
      </c>
    </row>
    <row r="43" spans="2:51" x14ac:dyDescent="0.2">
      <c r="B43" s="600" t="s">
        <v>2696</v>
      </c>
      <c r="C43" s="23" t="s">
        <v>254</v>
      </c>
      <c r="D43" s="23"/>
      <c r="E43" s="23"/>
      <c r="F43" s="23" t="s">
        <v>5289</v>
      </c>
      <c r="G43" s="23"/>
      <c r="H43" s="691"/>
      <c r="I43" s="161"/>
      <c r="J43" s="180" t="s">
        <v>254</v>
      </c>
      <c r="K43" s="129"/>
      <c r="L43" s="1609" t="s">
        <v>2697</v>
      </c>
      <c r="M43" s="697" t="str">
        <f>IF(R43,"Mandatory","N/A")</f>
        <v>N/A</v>
      </c>
      <c r="N43" s="129"/>
      <c r="O43" s="1619">
        <f>M44*S43*(W43="Met")</f>
        <v>0</v>
      </c>
      <c r="P43" s="96" t="b">
        <v>1</v>
      </c>
      <c r="Q43" s="96" t="b">
        <v>1</v>
      </c>
      <c r="R43" s="338" t="b">
        <f>S43</f>
        <v>0</v>
      </c>
      <c r="S43" s="337" t="b">
        <f>NOT(W55)</f>
        <v>0</v>
      </c>
      <c r="T43" s="96" t="b">
        <f>AND(NOT(S43),LEN(W43)&gt;0,W43&lt;&gt;"N/A")</f>
        <v>0</v>
      </c>
      <c r="U43" s="96" t="str">
        <f>SUBSTITUTE(SUBSTITUTE(SUBSTITUTE("dd"&amp;B43&amp;C43&amp;D43&amp;E43&amp;F43,".","_"),"(","_"),")","")</f>
        <v>dd901_2_1_1_m</v>
      </c>
      <c r="W43" s="12"/>
      <c r="X43" s="1600"/>
      <c r="AC43" s="343" t="b">
        <f>OR(AD43:AE43)</f>
        <v>0</v>
      </c>
      <c r="AD43" s="343" t="b">
        <f>T43</f>
        <v>0</v>
      </c>
      <c r="AE43" s="343" t="b">
        <f>AND(R43,OR(W43="Not Met",W43=""))</f>
        <v>0</v>
      </c>
      <c r="AL43" s="1" t="str">
        <f>SUBSTITUTE(SUBSTITUTE(SUBSTITUTE("dpa"&amp;$B43&amp;$C43&amp;$D43&amp;$E43&amp;$F43,".","_"),"(","_"),")","")</f>
        <v>dpa901_2_1_1_m</v>
      </c>
      <c r="AM43" s="1352" t="str">
        <f>M43</f>
        <v>N/A</v>
      </c>
      <c r="AN43" s="1352" t="str">
        <f>SUBSTITUTE(SUBSTITUTE(SUBSTITUTE("dpc"&amp;$B43&amp;$C43&amp;$D43&amp;$E43,".","_"),"(","_"),")","")</f>
        <v>dpc901_2_1_1</v>
      </c>
      <c r="AO43" s="1352">
        <f>O43</f>
        <v>0</v>
      </c>
      <c r="AP43" s="1352" t="str">
        <f>SUBSTITUTE(SUBSTITUTE(SUBSTITUTE("dch"&amp;$B43&amp;$C43&amp;$D43&amp;$E43,".","_"),"(","_"),")","")</f>
        <v>dch901_2_1_1</v>
      </c>
      <c r="AQ43" s="1352" t="str">
        <f>IF(LEN(W43)=0,"",W43)</f>
        <v/>
      </c>
      <c r="AR43" s="1352" t="str">
        <f>SUBSTITUTE(SUBSTITUTE(SUBSTITUTE("dnt"&amp;$B43&amp;$C43&amp;$D43&amp;$E43,".","_"),"(","_"),")","")</f>
        <v>dnt901_2_1_1</v>
      </c>
      <c r="AS43" s="1352" t="str">
        <f>IF(LEN(X43)=0,"",X43)</f>
        <v/>
      </c>
      <c r="AX43" s="904" t="str">
        <f>'Overview (Design)'!A45</f>
        <v>Type of Cooling System (system 3):</v>
      </c>
      <c r="AY43" s="338">
        <f>'Overview (Design)'!G45</f>
        <v>0</v>
      </c>
    </row>
    <row r="44" spans="2:51" x14ac:dyDescent="0.2">
      <c r="B44" s="600" t="s">
        <v>2696</v>
      </c>
      <c r="C44" s="23" t="s">
        <v>254</v>
      </c>
      <c r="D44" s="23"/>
      <c r="E44" s="23"/>
      <c r="F44" s="23"/>
      <c r="G44" s="23"/>
      <c r="H44" s="691"/>
      <c r="I44" s="161"/>
      <c r="J44" s="129"/>
      <c r="K44" s="129"/>
      <c r="L44" s="1609"/>
      <c r="M44" s="1623">
        <v>4</v>
      </c>
      <c r="N44" s="129"/>
      <c r="O44" s="1619"/>
      <c r="X44" s="1600"/>
      <c r="AL44" s="1352" t="str">
        <f>SUBSTITUTE(SUBSTITUTE(SUBSTITUTE("dpa"&amp;$B44&amp;$C44&amp;$D44&amp;$E44,".","_"),"(","_"),")","")</f>
        <v>dpa901_2_1_1</v>
      </c>
      <c r="AM44" s="1352">
        <f>M44</f>
        <v>4</v>
      </c>
      <c r="AX44" s="904" t="str">
        <f>'Overview (Design)'!A46</f>
        <v>Cooling Ducts:</v>
      </c>
      <c r="AY44" s="338" t="str">
        <f>'Overview (Design)'!G46</f>
        <v>Ducted</v>
      </c>
    </row>
    <row r="45" spans="2:51" x14ac:dyDescent="0.2">
      <c r="B45" s="600" t="s">
        <v>2696</v>
      </c>
      <c r="C45" s="23" t="s">
        <v>254</v>
      </c>
      <c r="D45" s="23"/>
      <c r="E45" s="23"/>
      <c r="F45" s="23"/>
      <c r="G45" s="23"/>
      <c r="H45" s="691"/>
      <c r="I45" s="161"/>
      <c r="J45" s="213"/>
      <c r="K45" s="213"/>
      <c r="L45" s="1612"/>
      <c r="M45" s="1624"/>
      <c r="N45" s="213"/>
      <c r="O45" s="1620"/>
      <c r="X45" s="1600"/>
      <c r="AX45" s="904"/>
      <c r="AY45" s="338"/>
    </row>
    <row r="46" spans="2:51" x14ac:dyDescent="0.2">
      <c r="B46" s="600" t="s">
        <v>2696</v>
      </c>
      <c r="C46" s="23" t="s">
        <v>255</v>
      </c>
      <c r="D46" s="23"/>
      <c r="E46" s="23"/>
      <c r="F46" s="23" t="s">
        <v>5289</v>
      </c>
      <c r="G46" s="23"/>
      <c r="H46" s="691"/>
      <c r="I46" s="161"/>
      <c r="J46" s="180" t="s">
        <v>255</v>
      </c>
      <c r="K46" s="129"/>
      <c r="L46" s="1609" t="s">
        <v>4866</v>
      </c>
      <c r="M46" s="697" t="str">
        <f>IF(R46,"Mandatory","N/A")</f>
        <v>N/A</v>
      </c>
      <c r="N46" s="129"/>
      <c r="O46" s="1619">
        <f>M47*S46*(W46="Met")</f>
        <v>0</v>
      </c>
      <c r="P46" s="96" t="b">
        <v>1</v>
      </c>
      <c r="Q46" s="96" t="b">
        <v>1</v>
      </c>
      <c r="R46" s="338" t="b">
        <f>S46</f>
        <v>0</v>
      </c>
      <c r="S46" s="340" t="b">
        <f>NOT(W55)</f>
        <v>0</v>
      </c>
      <c r="T46" s="96" t="b">
        <f>AND(NOT(S46),LEN(W46)&gt;0,W46&lt;&gt;"N/A")</f>
        <v>0</v>
      </c>
      <c r="U46" s="96" t="str">
        <f>SUBSTITUTE(SUBSTITUTE(SUBSTITUTE("dd"&amp;B46&amp;C46&amp;D46&amp;E46&amp;F46,".","_"),"(","_"),")","")</f>
        <v>dd901_2_1_2_m</v>
      </c>
      <c r="W46" s="12"/>
      <c r="X46" s="1600"/>
      <c r="AC46" s="343" t="b">
        <f>OR(AD46:AE46)</f>
        <v>0</v>
      </c>
      <c r="AD46" s="343" t="b">
        <f>T46</f>
        <v>0</v>
      </c>
      <c r="AE46" s="343" t="b">
        <f>AND(R46,OR(W46="Not Met",W46=""))</f>
        <v>0</v>
      </c>
      <c r="AL46" s="1" t="str">
        <f>SUBSTITUTE(SUBSTITUTE(SUBSTITUTE("dpa"&amp;$B46&amp;$C46&amp;$D46&amp;$E46&amp;$F46,".","_"),"(","_"),")","")</f>
        <v>dpa901_2_1_2_m</v>
      </c>
      <c r="AM46" s="1352" t="str">
        <f>M46</f>
        <v>N/A</v>
      </c>
      <c r="AN46" s="1352" t="str">
        <f>SUBSTITUTE(SUBSTITUTE(SUBSTITUTE("dpc"&amp;$B46&amp;$C46&amp;$D46&amp;$E46,".","_"),"(","_"),")","")</f>
        <v>dpc901_2_1_2</v>
      </c>
      <c r="AO46" s="1352">
        <f>O46</f>
        <v>0</v>
      </c>
      <c r="AP46" s="1352" t="str">
        <f>SUBSTITUTE(SUBSTITUTE(SUBSTITUTE("dch"&amp;$B46&amp;$C46&amp;$D46&amp;$E46,".","_"),"(","_"),")","")</f>
        <v>dch901_2_1_2</v>
      </c>
      <c r="AQ46" s="1352" t="str">
        <f>IF(LEN(W46)=0,"",W46)</f>
        <v/>
      </c>
      <c r="AR46" s="1352" t="str">
        <f>SUBSTITUTE(SUBSTITUTE(SUBSTITUTE("dnt"&amp;$B46&amp;$C46&amp;$D46&amp;$E46,".","_"),"(","_"),")","")</f>
        <v>dnt901_2_1_2</v>
      </c>
      <c r="AS46" s="1352" t="str">
        <f>IF(LEN(X46)=0,"",X46)</f>
        <v/>
      </c>
      <c r="AX46" s="904" t="str">
        <f>'Overview (Design)'!A48</f>
        <v>Maximum window and door SHGC:</v>
      </c>
      <c r="AY46" s="338">
        <f>'Overview (Design)'!G48</f>
        <v>0.22</v>
      </c>
    </row>
    <row r="47" spans="2:51" x14ac:dyDescent="0.2">
      <c r="B47" s="600" t="s">
        <v>2696</v>
      </c>
      <c r="C47" s="23" t="s">
        <v>255</v>
      </c>
      <c r="D47" s="23"/>
      <c r="E47" s="23"/>
      <c r="F47" s="23"/>
      <c r="G47" s="23"/>
      <c r="H47" s="691"/>
      <c r="I47" s="161"/>
      <c r="J47" s="207"/>
      <c r="K47" s="213"/>
      <c r="L47" s="1612"/>
      <c r="M47" s="373">
        <v>6</v>
      </c>
      <c r="N47" s="213"/>
      <c r="O47" s="1620"/>
      <c r="X47" s="1600"/>
      <c r="AL47" s="1352" t="str">
        <f>SUBSTITUTE(SUBSTITUTE(SUBSTITUTE("dpa"&amp;$B47&amp;$C47&amp;$D47&amp;$E47,".","_"),"(","_"),")","")</f>
        <v>dpa901_2_1_2</v>
      </c>
      <c r="AM47" s="1352">
        <f>M47</f>
        <v>6</v>
      </c>
      <c r="AX47" s="904" t="str">
        <f>'Overview (Design)'!A49</f>
        <v>Maximum skylight SHGC:</v>
      </c>
      <c r="AY47" s="338">
        <f>'Overview (Design)'!G49</f>
        <v>0</v>
      </c>
    </row>
    <row r="48" spans="2:51" x14ac:dyDescent="0.2">
      <c r="B48" s="600" t="s">
        <v>2696</v>
      </c>
      <c r="C48" s="23" t="s">
        <v>256</v>
      </c>
      <c r="D48" s="23"/>
      <c r="E48" s="23"/>
      <c r="F48" s="23" t="s">
        <v>5289</v>
      </c>
      <c r="G48" s="23"/>
      <c r="H48" s="691"/>
      <c r="I48" s="161"/>
      <c r="J48" s="180" t="s">
        <v>256</v>
      </c>
      <c r="K48" s="129"/>
      <c r="L48" s="1609" t="s">
        <v>2698</v>
      </c>
      <c r="M48" s="697" t="str">
        <f>IF(R48,"Mandatory","N/A")</f>
        <v>N/A</v>
      </c>
      <c r="N48" s="129"/>
      <c r="O48" s="1619">
        <f>M49*S48*(W48="Met")</f>
        <v>0</v>
      </c>
      <c r="P48" s="96" t="b">
        <v>1</v>
      </c>
      <c r="Q48" s="96" t="b">
        <v>1</v>
      </c>
      <c r="R48" s="338" t="b">
        <f>S48</f>
        <v>0</v>
      </c>
      <c r="S48" s="340" t="b">
        <f>NOT(W55)</f>
        <v>0</v>
      </c>
      <c r="T48" s="96" t="b">
        <f>AND(NOT(S48),LEN(W48)&gt;0,W48&lt;&gt;"N/A")</f>
        <v>0</v>
      </c>
      <c r="U48" s="96" t="str">
        <f>SUBSTITUTE(SUBSTITUTE(SUBSTITUTE("dd"&amp;B48&amp;C48&amp;D48&amp;E48&amp;F48,".","_"),"(","_"),")","")</f>
        <v>dd901_2_1_3_m</v>
      </c>
      <c r="W48" s="12"/>
      <c r="X48" s="1600"/>
      <c r="AC48" s="343" t="b">
        <f>OR(AD48:AE48)</f>
        <v>0</v>
      </c>
      <c r="AD48" s="343" t="b">
        <f>T48</f>
        <v>0</v>
      </c>
      <c r="AE48" s="343" t="b">
        <f>AND(R48,OR(W48="Not Met",W48=""))</f>
        <v>0</v>
      </c>
      <c r="AL48" s="1" t="str">
        <f>SUBSTITUTE(SUBSTITUTE(SUBSTITUTE("dpa"&amp;$B48&amp;$C48&amp;$D48&amp;$E48&amp;$F48,".","_"),"(","_"),")","")</f>
        <v>dpa901_2_1_3_m</v>
      </c>
      <c r="AM48" s="1352" t="str">
        <f>M48</f>
        <v>N/A</v>
      </c>
      <c r="AN48" s="1352" t="str">
        <f>SUBSTITUTE(SUBSTITUTE(SUBSTITUTE("dpc"&amp;$B48&amp;$C48&amp;$D48&amp;$E48,".","_"),"(","_"),")","")</f>
        <v>dpc901_2_1_3</v>
      </c>
      <c r="AO48" s="1352">
        <f>O48</f>
        <v>0</v>
      </c>
      <c r="AP48" s="1352" t="str">
        <f>SUBSTITUTE(SUBSTITUTE(SUBSTITUTE("dch"&amp;$B48&amp;$C48&amp;$D48&amp;$E48,".","_"),"(","_"),")","")</f>
        <v>dch901_2_1_3</v>
      </c>
      <c r="AQ48" s="1352" t="str">
        <f>IF(LEN(W48)=0,"",W48)</f>
        <v/>
      </c>
      <c r="AR48" s="1352" t="str">
        <f>SUBSTITUTE(SUBSTITUTE(SUBSTITUTE("dnt"&amp;$B48&amp;$C48&amp;$D48&amp;$E48,".","_"),"(","_"),")","")</f>
        <v>dnt901_2_1_3</v>
      </c>
      <c r="AS48" s="1352" t="str">
        <f>IF(LEN(X48)=0,"",X48)</f>
        <v/>
      </c>
      <c r="AX48" s="904" t="str">
        <f>'Overview (Design)'!A50</f>
        <v>Maximum window and door U-value:</v>
      </c>
      <c r="AY48" s="338">
        <f>'Overview (Design)'!G50</f>
        <v>0.28999999999999998</v>
      </c>
    </row>
    <row r="49" spans="2:51" x14ac:dyDescent="0.2">
      <c r="B49" s="600" t="s">
        <v>2696</v>
      </c>
      <c r="C49" s="23" t="s">
        <v>256</v>
      </c>
      <c r="D49" s="23"/>
      <c r="E49" s="23"/>
      <c r="F49" s="23"/>
      <c r="G49" s="23"/>
      <c r="H49" s="691"/>
      <c r="I49" s="161"/>
      <c r="J49" s="180"/>
      <c r="K49" s="129"/>
      <c r="L49" s="1609"/>
      <c r="M49" s="1623">
        <v>6</v>
      </c>
      <c r="N49" s="129"/>
      <c r="O49" s="1619"/>
      <c r="X49" s="1600"/>
      <c r="AL49" s="1352" t="str">
        <f>SUBSTITUTE(SUBSTITUTE(SUBSTITUTE("dpa"&amp;$B49&amp;$C49&amp;$D49&amp;$E49,".","_"),"(","_"),")","")</f>
        <v>dpa901_2_1_3</v>
      </c>
      <c r="AM49" s="1352">
        <f>M49</f>
        <v>6</v>
      </c>
      <c r="AX49" s="904" t="str">
        <f>'Overview (Design)'!A51</f>
        <v>Maximum skylight U-value:</v>
      </c>
      <c r="AY49" s="338">
        <f>'Overview (Design)'!G51</f>
        <v>0</v>
      </c>
    </row>
    <row r="50" spans="2:51" x14ac:dyDescent="0.2">
      <c r="B50" s="600" t="s">
        <v>2696</v>
      </c>
      <c r="C50" s="23" t="s">
        <v>256</v>
      </c>
      <c r="D50" s="23"/>
      <c r="E50" s="23"/>
      <c r="F50" s="23"/>
      <c r="G50" s="23"/>
      <c r="H50" s="691"/>
      <c r="I50" s="161"/>
      <c r="J50" s="207"/>
      <c r="K50" s="213"/>
      <c r="L50" s="1612"/>
      <c r="M50" s="1624"/>
      <c r="N50" s="213"/>
      <c r="O50" s="1620"/>
      <c r="X50" s="1600"/>
      <c r="AX50" s="904" t="str">
        <f>'Overview (Design)'!A52</f>
        <v>Renewable Energy:</v>
      </c>
      <c r="AY50" s="78">
        <f>'Overview (Design)'!G52</f>
        <v>0</v>
      </c>
    </row>
    <row r="51" spans="2:51" x14ac:dyDescent="0.2">
      <c r="B51" s="600" t="s">
        <v>2696</v>
      </c>
      <c r="C51" s="23" t="s">
        <v>259</v>
      </c>
      <c r="D51" s="23"/>
      <c r="E51" s="23"/>
      <c r="F51" s="23" t="s">
        <v>5289</v>
      </c>
      <c r="G51" s="23"/>
      <c r="H51" s="691"/>
      <c r="I51" s="161"/>
      <c r="J51" s="180" t="s">
        <v>259</v>
      </c>
      <c r="K51" s="129"/>
      <c r="L51" s="1657" t="s">
        <v>2699</v>
      </c>
      <c r="M51" s="697" t="str">
        <f>IF(R51,"Mandatory","N/A")</f>
        <v>N/A</v>
      </c>
      <c r="N51" s="129"/>
      <c r="O51" s="1619">
        <f>M52*S51*(W51="Met")</f>
        <v>0</v>
      </c>
      <c r="P51" s="96" t="b">
        <v>1</v>
      </c>
      <c r="Q51" s="96" t="b">
        <v>1</v>
      </c>
      <c r="R51" s="338" t="b">
        <f>S51</f>
        <v>0</v>
      </c>
      <c r="S51" s="340" t="b">
        <f>NOT(W55)</f>
        <v>0</v>
      </c>
      <c r="T51" s="96" t="b">
        <f>AND(NOT(S51),LEN(W51)&gt;0,W51&lt;&gt;"N/A")</f>
        <v>0</v>
      </c>
      <c r="U51" s="96" t="str">
        <f>SUBSTITUTE(SUBSTITUTE(SUBSTITUTE("dd"&amp;B51&amp;C51&amp;D51&amp;E51&amp;F51,".","_"),"(","_"),")","")</f>
        <v>dd901_2_1_4_m</v>
      </c>
      <c r="W51" s="12"/>
      <c r="X51" s="1600"/>
      <c r="AC51" s="343" t="b">
        <f>OR(AD51:AE51)</f>
        <v>0</v>
      </c>
      <c r="AD51" s="343" t="b">
        <f>T51</f>
        <v>0</v>
      </c>
      <c r="AE51" s="343" t="b">
        <f>AND(R51,OR(W51="Not Met",W51=""))</f>
        <v>0</v>
      </c>
      <c r="AL51" s="1" t="str">
        <f>SUBSTITUTE(SUBSTITUTE(SUBSTITUTE("dpa"&amp;$B51&amp;$C51&amp;$D51&amp;$E51&amp;$F51,".","_"),"(","_"),")","")</f>
        <v>dpa901_2_1_4_m</v>
      </c>
      <c r="AM51" s="1352" t="str">
        <f>M51</f>
        <v>N/A</v>
      </c>
      <c r="AN51" s="1352" t="str">
        <f>SUBSTITUTE(SUBSTITUTE(SUBSTITUTE("dpc"&amp;$B51&amp;$C51&amp;$D51&amp;$E51,".","_"),"(","_"),")","")</f>
        <v>dpc901_2_1_4</v>
      </c>
      <c r="AO51" s="1352">
        <f>O51</f>
        <v>0</v>
      </c>
      <c r="AP51" s="1352" t="str">
        <f>SUBSTITUTE(SUBSTITUTE(SUBSTITUTE("dch"&amp;$B51&amp;$C51&amp;$D51&amp;$E51,".","_"),"(","_"),")","")</f>
        <v>dch901_2_1_4</v>
      </c>
      <c r="AQ51" s="1352" t="str">
        <f>IF(LEN(W51)=0,"",W51)</f>
        <v/>
      </c>
      <c r="AR51" s="1352" t="str">
        <f>SUBSTITUTE(SUBSTITUTE(SUBSTITUTE("dnt"&amp;$B51&amp;$C51&amp;$D51&amp;$E51,".","_"),"(","_"),")","")</f>
        <v>dnt901_2_1_4</v>
      </c>
      <c r="AS51" s="1352" t="str">
        <f>IF(LEN(X51)=0,"",X51)</f>
        <v/>
      </c>
      <c r="AX51" s="904" t="str">
        <f>'Overview (Design)'!A53</f>
        <v>Thermal Envelope Insulation:</v>
      </c>
      <c r="AY51" s="78">
        <f>'Overview (Design)'!G53</f>
        <v>0</v>
      </c>
    </row>
    <row r="52" spans="2:51" x14ac:dyDescent="0.2">
      <c r="B52" s="600" t="s">
        <v>2696</v>
      </c>
      <c r="C52" s="23" t="s">
        <v>259</v>
      </c>
      <c r="D52" s="23"/>
      <c r="E52" s="23"/>
      <c r="F52" s="23"/>
      <c r="G52" s="23"/>
      <c r="H52" s="691"/>
      <c r="I52" s="161"/>
      <c r="J52" s="207"/>
      <c r="K52" s="213"/>
      <c r="L52" s="1650"/>
      <c r="M52" s="373">
        <v>6</v>
      </c>
      <c r="N52" s="213"/>
      <c r="O52" s="1620"/>
      <c r="X52" s="1600"/>
      <c r="AL52" s="1352" t="str">
        <f>SUBSTITUTE(SUBSTITUTE(SUBSTITUTE("dpa"&amp;$B52&amp;$C52&amp;$D52&amp;$E52,".","_"),"(","_"),")","")</f>
        <v>dpa901_2_1_4</v>
      </c>
      <c r="AM52" s="1352">
        <f>M52</f>
        <v>6</v>
      </c>
      <c r="AX52" s="904" t="str">
        <f>'Overview (Design)'!A54</f>
        <v>Attic Type:</v>
      </c>
      <c r="AY52" s="78" t="str">
        <f>'Overview (Design)'!G54</f>
        <v>Vented</v>
      </c>
    </row>
    <row r="53" spans="2:51" x14ac:dyDescent="0.2">
      <c r="B53" s="600" t="s">
        <v>2696</v>
      </c>
      <c r="C53" s="23" t="s">
        <v>263</v>
      </c>
      <c r="D53" s="23"/>
      <c r="E53" s="23"/>
      <c r="F53" s="23" t="s">
        <v>5289</v>
      </c>
      <c r="G53" s="23"/>
      <c r="H53" s="691"/>
      <c r="I53" s="406"/>
      <c r="J53" s="180" t="s">
        <v>263</v>
      </c>
      <c r="K53" s="129"/>
      <c r="L53" s="1609" t="s">
        <v>2700</v>
      </c>
      <c r="M53" s="697" t="str">
        <f>IF(R53,"Mandatory","N/A")</f>
        <v>N/A</v>
      </c>
      <c r="N53" s="129"/>
      <c r="O53" s="1619">
        <f>M54*S53*(W53="Met")</f>
        <v>0</v>
      </c>
      <c r="P53" s="96" t="b">
        <v>1</v>
      </c>
      <c r="Q53" s="96" t="b">
        <v>1</v>
      </c>
      <c r="R53" s="96" t="b">
        <f>S53</f>
        <v>0</v>
      </c>
      <c r="S53" s="96" t="b">
        <f>NOT(W55)</f>
        <v>0</v>
      </c>
      <c r="T53" s="96" t="b">
        <f>AND(NOT(S53),LEN(W53)&gt;0,W53&lt;&gt;"N/A")</f>
        <v>0</v>
      </c>
      <c r="U53" s="96" t="str">
        <f>SUBSTITUTE(SUBSTITUTE(SUBSTITUTE("dd"&amp;B53&amp;C53&amp;D53&amp;E53&amp;F53,".","_"),"(","_"),")","")</f>
        <v>dd901_2_1_5_m</v>
      </c>
      <c r="V53" s="96"/>
      <c r="W53" s="110"/>
      <c r="X53" s="1601"/>
      <c r="AC53" s="343" t="b">
        <f>OR(AD53:AE53)</f>
        <v>0</v>
      </c>
      <c r="AD53" s="343" t="b">
        <f>T53</f>
        <v>0</v>
      </c>
      <c r="AE53" s="343" t="b">
        <f>AND(R53,OR(W53="Not Met",W53=""))</f>
        <v>0</v>
      </c>
      <c r="AL53" s="1" t="str">
        <f>SUBSTITUTE(SUBSTITUTE(SUBSTITUTE("dpa"&amp;$B53&amp;$C53&amp;$D53&amp;$E53&amp;$F53,".","_"),"(","_"),")","")</f>
        <v>dpa901_2_1_5_m</v>
      </c>
      <c r="AM53" s="1352" t="str">
        <f>M53</f>
        <v>N/A</v>
      </c>
      <c r="AN53" s="1352" t="str">
        <f>SUBSTITUTE(SUBSTITUTE(SUBSTITUTE("dpc"&amp;$B53&amp;$C53&amp;$D53&amp;$E53,".","_"),"(","_"),")","")</f>
        <v>dpc901_2_1_5</v>
      </c>
      <c r="AO53" s="1352">
        <f>O53</f>
        <v>0</v>
      </c>
      <c r="AP53" s="1352" t="str">
        <f>SUBSTITUTE(SUBSTITUTE(SUBSTITUTE("dch"&amp;$B53&amp;$C53&amp;$D53&amp;$E53,".","_"),"(","_"),")","")</f>
        <v>dch901_2_1_5</v>
      </c>
      <c r="AQ53" s="1352" t="str">
        <f>IF(LEN(W53)=0,"",W53)</f>
        <v/>
      </c>
      <c r="AR53" s="1352" t="str">
        <f>SUBSTITUTE(SUBSTITUTE(SUBSTITUTE("dnt"&amp;$B53&amp;$C53&amp;$D53&amp;$E53,".","_"),"(","_"),")","")</f>
        <v>dnt901_2_1_5</v>
      </c>
      <c r="AS53" s="1352" t="str">
        <f>IF(LEN(X53)=0,"",X53)</f>
        <v/>
      </c>
      <c r="AX53" s="904" t="str">
        <f>'Overview (Design)'!A55</f>
        <v>Attached Garage:</v>
      </c>
      <c r="AY53" s="78" t="str">
        <f>'Overview (Design)'!G55</f>
        <v>No</v>
      </c>
    </row>
    <row r="54" spans="2:51" x14ac:dyDescent="0.2">
      <c r="B54" s="600" t="s">
        <v>2696</v>
      </c>
      <c r="C54" s="23" t="s">
        <v>263</v>
      </c>
      <c r="D54" s="23"/>
      <c r="E54" s="23"/>
      <c r="F54" s="23"/>
      <c r="G54" s="23"/>
      <c r="H54" s="691"/>
      <c r="I54" s="438"/>
      <c r="J54" s="207"/>
      <c r="K54" s="213"/>
      <c r="L54" s="1612"/>
      <c r="M54" s="390">
        <v>6</v>
      </c>
      <c r="N54" s="213"/>
      <c r="O54" s="1620"/>
      <c r="P54" s="173"/>
      <c r="Q54" s="173"/>
      <c r="R54" s="173"/>
      <c r="S54" s="173"/>
      <c r="T54" s="173"/>
      <c r="U54" s="173"/>
      <c r="V54" s="173"/>
      <c r="W54" s="173"/>
      <c r="X54" s="1601"/>
      <c r="AL54" s="1352" t="str">
        <f>SUBSTITUTE(SUBSTITUTE(SUBSTITUTE("dpa"&amp;$B54&amp;$C54&amp;$D54&amp;$E54,".","_"),"(","_"),")","")</f>
        <v>dpa901_2_1_5</v>
      </c>
      <c r="AM54" s="1352">
        <f>M54</f>
        <v>6</v>
      </c>
      <c r="AX54" s="904" t="str">
        <f>'Overview (Design)'!A56</f>
        <v>Recessed Lighting:</v>
      </c>
      <c r="AY54" s="78">
        <f>'Overview (Design)'!G56</f>
        <v>0</v>
      </c>
    </row>
    <row r="55" spans="2:51" ht="16" thickBot="1" x14ac:dyDescent="0.25">
      <c r="B55" s="600" t="s">
        <v>2701</v>
      </c>
      <c r="C55" s="23"/>
      <c r="D55" s="23"/>
      <c r="E55" s="23"/>
      <c r="F55" s="23"/>
      <c r="G55" s="23"/>
      <c r="H55" s="691"/>
      <c r="I55" s="189" t="s">
        <v>3670</v>
      </c>
      <c r="J55" s="239"/>
      <c r="K55" s="239"/>
      <c r="L55" s="439" t="s">
        <v>3740</v>
      </c>
      <c r="M55" s="392">
        <v>6</v>
      </c>
      <c r="N55" s="239"/>
      <c r="O55" s="425">
        <f>M55*S55*W55</f>
        <v>6</v>
      </c>
      <c r="P55" s="96" t="b">
        <v>1</v>
      </c>
      <c r="Q55" s="96" t="b">
        <v>1</v>
      </c>
      <c r="R55" s="100" t="b">
        <v>0</v>
      </c>
      <c r="S55" s="100" t="b">
        <f>(COUNTIF(W43:W53,"Met"))=0</f>
        <v>1</v>
      </c>
      <c r="T55" s="100" t="b">
        <f>AND(NOT(S55),W55=TRUE)</f>
        <v>0</v>
      </c>
      <c r="U55" s="100"/>
      <c r="V55" s="100"/>
      <c r="W55" s="440" t="b">
        <v>1</v>
      </c>
      <c r="X55" s="384"/>
      <c r="AC55" s="343" t="b">
        <f>OR(AD55:AE55)</f>
        <v>0</v>
      </c>
      <c r="AD55" s="343" t="b">
        <f>T55</f>
        <v>0</v>
      </c>
      <c r="AE55" s="343" t="b">
        <f>AND(R55,NOT(W55))</f>
        <v>0</v>
      </c>
      <c r="AL55" s="1352" t="str">
        <f>SUBSTITUTE(SUBSTITUTE(SUBSTITUTE("dpa"&amp;$B55&amp;$C55&amp;$D55&amp;$E55,".","_"),"(","_"),")","")</f>
        <v>dpa901_2_2</v>
      </c>
      <c r="AM55" s="1352">
        <f>M55</f>
        <v>6</v>
      </c>
      <c r="AN55" s="1352" t="str">
        <f>SUBSTITUTE(SUBSTITUTE(SUBSTITUTE("dpc"&amp;$B55&amp;$C55&amp;$D55&amp;$E55,".","_"),"(","_"),")","")</f>
        <v>dpc901_2_2</v>
      </c>
      <c r="AO55" s="1352">
        <f>O55</f>
        <v>6</v>
      </c>
      <c r="AP55" s="1352" t="str">
        <f>SUBSTITUTE(SUBSTITUTE(SUBSTITUTE("dch"&amp;$B55&amp;$C55&amp;$D55&amp;$E55,".","_"),"(","_"),")","")</f>
        <v>dch901_2_2</v>
      </c>
      <c r="AQ55" s="1352" t="b">
        <f>IF(LEN(W55)=0,"",W55)</f>
        <v>1</v>
      </c>
      <c r="AR55" s="1352" t="str">
        <f>SUBSTITUTE(SUBSTITUTE(SUBSTITUTE("dnt"&amp;$B55&amp;$C55&amp;$D55&amp;$E55,".","_"),"(","_"),")","")</f>
        <v>dnt901_2_2</v>
      </c>
      <c r="AS55" s="1352" t="str">
        <f>IF(LEN(X55)=0,"",X55)</f>
        <v/>
      </c>
      <c r="AX55" s="904"/>
    </row>
    <row r="56" spans="2:51" ht="16" thickTop="1" x14ac:dyDescent="0.2">
      <c r="B56" s="600">
        <v>901.3</v>
      </c>
      <c r="C56" s="23"/>
      <c r="D56" s="23"/>
      <c r="E56" s="23"/>
      <c r="F56" s="23"/>
      <c r="G56" s="23"/>
      <c r="H56" s="691"/>
      <c r="I56" s="67" t="s">
        <v>3671</v>
      </c>
      <c r="J56" s="4"/>
      <c r="K56" s="4"/>
      <c r="L56" s="162" t="s">
        <v>3739</v>
      </c>
      <c r="M56" s="374"/>
      <c r="N56" s="4"/>
      <c r="O56" s="138"/>
      <c r="AX56" s="904" t="str">
        <f>'Overview (Design)'!A58</f>
        <v>Special Design Features:</v>
      </c>
      <c r="AY56" s="78">
        <f>'Overview (Design)'!G58</f>
        <v>0</v>
      </c>
    </row>
    <row r="57" spans="2:51" x14ac:dyDescent="0.2">
      <c r="B57" s="600">
        <v>901.3</v>
      </c>
      <c r="C57" s="23" t="s">
        <v>254</v>
      </c>
      <c r="D57" s="23"/>
      <c r="E57" s="23"/>
      <c r="F57" s="23"/>
      <c r="G57" s="23"/>
      <c r="H57" s="691"/>
      <c r="I57" s="161"/>
      <c r="J57" s="29" t="s">
        <v>254</v>
      </c>
      <c r="K57" s="4"/>
      <c r="L57" s="158" t="s">
        <v>2702</v>
      </c>
      <c r="M57" s="374"/>
      <c r="N57" s="4"/>
      <c r="O57" s="138"/>
      <c r="AX57" s="904" t="str">
        <f>'Overview (Design)'!A59</f>
        <v>Passive Solar:</v>
      </c>
      <c r="AY57" s="78">
        <f>'Overview (Design)'!G59</f>
        <v>0</v>
      </c>
    </row>
    <row r="58" spans="2:51" x14ac:dyDescent="0.2">
      <c r="B58" s="600">
        <v>901.3</v>
      </c>
      <c r="C58" s="23" t="s">
        <v>254</v>
      </c>
      <c r="D58" s="79" t="s">
        <v>121</v>
      </c>
      <c r="E58" s="79"/>
      <c r="F58" s="23" t="s">
        <v>5289</v>
      </c>
      <c r="G58" s="23"/>
      <c r="H58" s="694"/>
      <c r="I58" s="161"/>
      <c r="J58" s="4"/>
      <c r="K58" s="180" t="s">
        <v>121</v>
      </c>
      <c r="L58" s="1609" t="s">
        <v>3906</v>
      </c>
      <c r="M58" s="697" t="str">
        <f>IF(R58,"Mandatory","N/A")</f>
        <v>N/A</v>
      </c>
      <c r="N58" s="129"/>
      <c r="O58" s="1619">
        <f>M59*S58*(W58="Met")</f>
        <v>0</v>
      </c>
      <c r="P58" s="96" t="b">
        <v>0</v>
      </c>
      <c r="Q58" s="96" t="b">
        <v>1</v>
      </c>
      <c r="R58" s="337" t="b">
        <f>S58</f>
        <v>0</v>
      </c>
      <c r="S58" s="337" t="b">
        <f>NOT(OR(W68,W60="N/A",AY53="No"))</f>
        <v>0</v>
      </c>
      <c r="T58" s="96" t="b">
        <f>AND(NOT(S58),LEN(W58)&gt;0)</f>
        <v>0</v>
      </c>
      <c r="U58" s="96" t="str">
        <f>SUBSTITUTE(SUBSTITUTE(SUBSTITUTE("dd"&amp;B58&amp;C58&amp;D58&amp;E58&amp;F58,".","_"),"(","_"),")","")</f>
        <v>dd901_3_1_a_m</v>
      </c>
      <c r="W58" s="12"/>
      <c r="X58" s="1600"/>
      <c r="AC58" s="343" t="b">
        <f>OR(AD58:AE58)</f>
        <v>0</v>
      </c>
      <c r="AD58" s="343" t="b">
        <f>T58</f>
        <v>0</v>
      </c>
      <c r="AE58" s="343" t="b">
        <f>AND(R58,OR(W58="Not Met",W58=""))</f>
        <v>0</v>
      </c>
      <c r="AL58" s="1" t="str">
        <f>SUBSTITUTE(SUBSTITUTE(SUBSTITUTE("dpa"&amp;$B58&amp;$C58&amp;$D58&amp;$E58&amp;$F58,".","_"),"(","_"),")","")</f>
        <v>dpa901_3_1_a_m</v>
      </c>
      <c r="AM58" s="1352" t="str">
        <f>M58</f>
        <v>N/A</v>
      </c>
      <c r="AN58" s="1352" t="str">
        <f>SUBSTITUTE(SUBSTITUTE(SUBSTITUTE("dpc"&amp;$B58&amp;$C58&amp;$D58&amp;$E58,".","_"),"(","_"),")","")</f>
        <v>dpc901_3_1_a</v>
      </c>
      <c r="AO58" s="1352">
        <f>O58</f>
        <v>0</v>
      </c>
      <c r="AP58" s="1352" t="str">
        <f>SUBSTITUTE(SUBSTITUTE(SUBSTITUTE("dch"&amp;$B58&amp;$C58&amp;$D58&amp;$E58,".","_"),"(","_"),")","")</f>
        <v>dch901_3_1_a</v>
      </c>
      <c r="AQ58" s="1352" t="str">
        <f>IF(LEN(W58)=0,"",W58)</f>
        <v/>
      </c>
      <c r="AR58" s="1352" t="str">
        <f>SUBSTITUTE(SUBSTITUTE(SUBSTITUTE("dnt"&amp;$B58&amp;$C58&amp;$D58&amp;$E58,".","_"),"(","_"),")","")</f>
        <v>dnt901_3_1_a</v>
      </c>
      <c r="AS58" s="1352" t="str">
        <f>IF(LEN(X58)=0,"",X58)</f>
        <v/>
      </c>
      <c r="AX58" s="904" t="str">
        <f>'Overview (Design)'!A60</f>
        <v>Mass Walls:</v>
      </c>
      <c r="AY58" s="78">
        <f>'Overview (Design)'!G60</f>
        <v>0</v>
      </c>
    </row>
    <row r="59" spans="2:51" x14ac:dyDescent="0.2">
      <c r="B59" s="600">
        <v>901.3</v>
      </c>
      <c r="C59" s="23" t="s">
        <v>254</v>
      </c>
      <c r="D59" s="79" t="s">
        <v>121</v>
      </c>
      <c r="E59" s="79"/>
      <c r="F59" s="79"/>
      <c r="G59" s="79"/>
      <c r="H59" s="694"/>
      <c r="I59" s="161"/>
      <c r="J59" s="4"/>
      <c r="K59" s="207"/>
      <c r="L59" s="1612"/>
      <c r="M59" s="373">
        <v>2</v>
      </c>
      <c r="N59" s="213"/>
      <c r="O59" s="1620"/>
      <c r="X59" s="1600"/>
      <c r="AL59" s="1352" t="str">
        <f>SUBSTITUTE(SUBSTITUTE(SUBSTITUTE("dpa"&amp;$B59&amp;$C59&amp;$D59&amp;$E59,".","_"),"(","_"),")","")</f>
        <v>dpa901_3_1_a</v>
      </c>
      <c r="AM59" s="1352">
        <f>M59</f>
        <v>2</v>
      </c>
      <c r="AX59" s="904" t="str">
        <f>'Overview (Design)'!A61</f>
        <v>Radiant/Hydronic:</v>
      </c>
      <c r="AY59" s="78">
        <f>'Overview (Design)'!G61</f>
        <v>0</v>
      </c>
    </row>
    <row r="60" spans="2:51" ht="15" customHeight="1" x14ac:dyDescent="0.2">
      <c r="B60" s="600">
        <v>901.3</v>
      </c>
      <c r="C60" s="23" t="s">
        <v>254</v>
      </c>
      <c r="D60" s="79" t="s">
        <v>122</v>
      </c>
      <c r="E60" s="79"/>
      <c r="F60" s="23" t="s">
        <v>5289</v>
      </c>
      <c r="G60" s="23"/>
      <c r="H60" s="694"/>
      <c r="I60" s="161"/>
      <c r="J60" s="4"/>
      <c r="K60" s="180" t="s">
        <v>122</v>
      </c>
      <c r="L60" s="1609" t="s">
        <v>3907</v>
      </c>
      <c r="M60" s="697" t="str">
        <f>IF(R60,"Mandatory","N/A")</f>
        <v>N/A</v>
      </c>
      <c r="N60" s="129"/>
      <c r="O60" s="1619">
        <f>M61*S60*(W60="Met")</f>
        <v>0</v>
      </c>
      <c r="P60" s="96" t="b">
        <v>1</v>
      </c>
      <c r="Q60" s="96" t="b">
        <v>0</v>
      </c>
      <c r="R60" s="340" t="b">
        <f>S60</f>
        <v>0</v>
      </c>
      <c r="S60" s="340" t="b">
        <f>NOT(OR(W68,W58="N/A",AY53="No"))</f>
        <v>0</v>
      </c>
      <c r="T60" s="96" t="b">
        <f>AND(NOT(S60),LEN(W60)&gt;0)</f>
        <v>0</v>
      </c>
      <c r="U60" s="96" t="str">
        <f>SUBSTITUTE(SUBSTITUTE(SUBSTITUTE("dd"&amp;B60&amp;C60&amp;D60&amp;E60&amp;F60,".","_"),"(","_"),")","")</f>
        <v>dd901_3_1_b_m</v>
      </c>
      <c r="W60" s="12"/>
      <c r="X60" s="1600"/>
      <c r="AC60" s="343" t="b">
        <f>OR(AD60:AE60)</f>
        <v>0</v>
      </c>
      <c r="AD60" s="343" t="b">
        <f>T60</f>
        <v>0</v>
      </c>
      <c r="AE60" s="343" t="b">
        <f>AND(R60,OR(W60="Not Met",W60=""))</f>
        <v>0</v>
      </c>
      <c r="AL60" s="1" t="str">
        <f>SUBSTITUTE(SUBSTITUTE(SUBSTITUTE("dpa"&amp;$B60&amp;$C60&amp;$D60&amp;$E60&amp;$F60,".","_"),"(","_"),")","")</f>
        <v>dpa901_3_1_b_m</v>
      </c>
      <c r="AM60" s="1352" t="str">
        <f>M60</f>
        <v>N/A</v>
      </c>
      <c r="AN60" s="1352" t="str">
        <f>SUBSTITUTE(SUBSTITUTE(SUBSTITUTE("dpc"&amp;$B60&amp;$C60&amp;$D60&amp;$E60,".","_"),"(","_"),")","")</f>
        <v>dpc901_3_1_b</v>
      </c>
      <c r="AO60" s="1352">
        <f>O60</f>
        <v>0</v>
      </c>
      <c r="AP60" s="1352" t="str">
        <f>SUBSTITUTE(SUBSTITUTE(SUBSTITUTE("dch"&amp;$B60&amp;$C60&amp;$D60&amp;$E60,".","_"),"(","_"),")","")</f>
        <v>dch901_3_1_b</v>
      </c>
      <c r="AQ60" s="1352" t="str">
        <f>IF(LEN(W60)=0,"",W60)</f>
        <v/>
      </c>
      <c r="AR60" s="1352" t="str">
        <f>SUBSTITUTE(SUBSTITUTE(SUBSTITUTE("dnt"&amp;$B60&amp;$C60&amp;$D60&amp;$E60,".","_"),"(","_"),")","")</f>
        <v>dnt901_3_1_b</v>
      </c>
      <c r="AS60" s="1352" t="str">
        <f>IF(LEN(X60)=0,"",X60)</f>
        <v/>
      </c>
      <c r="AX60" s="904" t="str">
        <f>'Overview (Design)'!A62</f>
        <v>Tankless Water Heater:</v>
      </c>
      <c r="AY60" s="78">
        <f>'Overview (Design)'!G62</f>
        <v>0</v>
      </c>
    </row>
    <row r="61" spans="2:51" x14ac:dyDescent="0.2">
      <c r="B61" s="600">
        <v>901.3</v>
      </c>
      <c r="C61" s="23" t="s">
        <v>254</v>
      </c>
      <c r="D61" s="79" t="s">
        <v>122</v>
      </c>
      <c r="E61" s="79"/>
      <c r="F61" s="79"/>
      <c r="G61" s="79"/>
      <c r="H61" s="694"/>
      <c r="I61" s="161"/>
      <c r="J61" s="4"/>
      <c r="K61" s="213"/>
      <c r="L61" s="1612"/>
      <c r="M61" s="373">
        <v>2</v>
      </c>
      <c r="N61" s="213"/>
      <c r="O61" s="1620"/>
      <c r="X61" s="1600"/>
      <c r="AL61" s="1352" t="str">
        <f>SUBSTITUTE(SUBSTITUTE(SUBSTITUTE("dpa"&amp;$B61&amp;$C61&amp;$D61&amp;$E61,".","_"),"(","_"),")","")</f>
        <v>dpa901_3_1_b</v>
      </c>
      <c r="AM61" s="1352">
        <f>M61</f>
        <v>2</v>
      </c>
      <c r="AX61" s="904" t="str">
        <f>'Overview (Design)'!A63</f>
        <v>Composting Toilet:</v>
      </c>
      <c r="AY61" s="78">
        <f>'Overview (Design)'!G63</f>
        <v>0</v>
      </c>
    </row>
    <row r="62" spans="2:51" ht="15" customHeight="1" x14ac:dyDescent="0.2">
      <c r="B62" s="600">
        <v>901.3</v>
      </c>
      <c r="C62" s="23" t="s">
        <v>254</v>
      </c>
      <c r="D62" s="79" t="s">
        <v>123</v>
      </c>
      <c r="E62" s="79"/>
      <c r="F62" s="79"/>
      <c r="G62" s="79"/>
      <c r="H62" s="694"/>
      <c r="I62" s="161"/>
      <c r="J62" s="129"/>
      <c r="K62" s="180" t="s">
        <v>123</v>
      </c>
      <c r="L62" s="1609" t="s">
        <v>2703</v>
      </c>
      <c r="M62" s="1623">
        <v>8</v>
      </c>
      <c r="N62" s="129"/>
      <c r="O62" s="1619">
        <f ca="1">M62*S62*W62</f>
        <v>0</v>
      </c>
      <c r="P62" s="96" t="b">
        <v>0</v>
      </c>
      <c r="Q62" s="96" t="b">
        <v>1</v>
      </c>
      <c r="R62" s="337" t="b">
        <v>0</v>
      </c>
      <c r="S62" s="340" t="b">
        <f ca="1">AND(NOT(OR(W68,AY53="No")),AY19=INDEX(INDIRECT("ddSingleOrMulti"),1))</f>
        <v>0</v>
      </c>
      <c r="T62" s="96" t="b">
        <f ca="1">AND(NOT(S62),W62=TRUE)</f>
        <v>0</v>
      </c>
      <c r="W62" s="27"/>
      <c r="X62" s="1600"/>
      <c r="AC62" s="343" t="b">
        <f ca="1">OR(AD62:AE62)</f>
        <v>0</v>
      </c>
      <c r="AD62" s="343" t="b">
        <f ca="1">T62</f>
        <v>0</v>
      </c>
      <c r="AE62" s="343" t="b">
        <f>AND(R62,NOT(W62))</f>
        <v>0</v>
      </c>
      <c r="AL62" s="1352" t="str">
        <f>SUBSTITUTE(SUBSTITUTE(SUBSTITUTE("dpa"&amp;$B62&amp;$C62&amp;$D62&amp;$E62,".","_"),"(","_"),")","")</f>
        <v>dpa901_3_1_c</v>
      </c>
      <c r="AM62" s="1352">
        <f>M62</f>
        <v>8</v>
      </c>
      <c r="AN62" s="1352" t="str">
        <f>SUBSTITUTE(SUBSTITUTE(SUBSTITUTE("dpc"&amp;$B62&amp;$C62&amp;$D62&amp;$E62,".","_"),"(","_"),")","")</f>
        <v>dpc901_3_1_c</v>
      </c>
      <c r="AO62" s="1352">
        <f ca="1">O62</f>
        <v>0</v>
      </c>
      <c r="AP62" s="1352" t="str">
        <f>SUBSTITUTE(SUBSTITUTE(SUBSTITUTE("dch"&amp;$B62&amp;$C62&amp;$D62&amp;$E62,".","_"),"(","_"),")","")</f>
        <v>dch901_3_1_c</v>
      </c>
      <c r="AQ62" s="1352" t="str">
        <f>IF(LEN(W62)=0,"",W62)</f>
        <v/>
      </c>
      <c r="AR62" s="1352" t="str">
        <f>SUBSTITUTE(SUBSTITUTE(SUBSTITUTE("dnt"&amp;$B62&amp;$C62&amp;$D62&amp;$E62,".","_"),"(","_"),")","")</f>
        <v>dnt901_3_1_c</v>
      </c>
      <c r="AS62" s="1352" t="str">
        <f>IF(LEN(X62)=0,"",X62)</f>
        <v/>
      </c>
      <c r="AX62" s="904"/>
    </row>
    <row r="63" spans="2:51" x14ac:dyDescent="0.2">
      <c r="B63" s="600">
        <v>901.3</v>
      </c>
      <c r="C63" s="23" t="s">
        <v>254</v>
      </c>
      <c r="D63" s="79" t="s">
        <v>123</v>
      </c>
      <c r="E63" s="79"/>
      <c r="F63" s="79"/>
      <c r="G63" s="79"/>
      <c r="H63" s="694"/>
      <c r="I63" s="161"/>
      <c r="J63" s="129"/>
      <c r="K63" s="129"/>
      <c r="L63" s="1609"/>
      <c r="M63" s="1623"/>
      <c r="N63" s="129"/>
      <c r="O63" s="1619"/>
      <c r="X63" s="1600"/>
      <c r="AX63" s="904" t="str">
        <f>'Overview (Design)'!A65</f>
        <v>Local Energy Code:</v>
      </c>
      <c r="AY63" s="78" t="str">
        <f>'Overview (Design)'!G65</f>
        <v>2015 IECC</v>
      </c>
    </row>
    <row r="64" spans="2:51" x14ac:dyDescent="0.2">
      <c r="B64" s="600">
        <v>901.3</v>
      </c>
      <c r="C64" s="23" t="s">
        <v>254</v>
      </c>
      <c r="D64" s="79" t="s">
        <v>123</v>
      </c>
      <c r="E64" s="79"/>
      <c r="F64" s="79"/>
      <c r="G64" s="79"/>
      <c r="H64" s="694"/>
      <c r="I64" s="161"/>
      <c r="J64" s="129"/>
      <c r="K64" s="129"/>
      <c r="L64" s="1609"/>
      <c r="M64" s="1623"/>
      <c r="N64" s="129"/>
      <c r="O64" s="1619"/>
      <c r="X64" s="1600"/>
      <c r="AX64" s="904" t="str">
        <f>'Overview (Design)'!A66</f>
        <v>Local Building Code:</v>
      </c>
      <c r="AY64" s="78" t="str">
        <f>'Overview (Design)'!G66</f>
        <v>2018 IBC</v>
      </c>
    </row>
    <row r="65" spans="1:51" ht="15" customHeight="1" x14ac:dyDescent="0.2">
      <c r="B65" s="600">
        <v>901.3</v>
      </c>
      <c r="C65" s="23" t="s">
        <v>254</v>
      </c>
      <c r="D65" s="79" t="s">
        <v>123</v>
      </c>
      <c r="E65" s="79"/>
      <c r="F65" s="79"/>
      <c r="G65" s="79"/>
      <c r="H65" s="694"/>
      <c r="I65" s="161"/>
      <c r="J65" s="129"/>
      <c r="K65" s="129"/>
      <c r="L65" s="1609"/>
      <c r="M65" s="1623"/>
      <c r="N65" s="129"/>
      <c r="O65" s="1619"/>
      <c r="X65" s="1600"/>
    </row>
    <row r="66" spans="1:51" ht="15" customHeight="1" x14ac:dyDescent="0.2">
      <c r="B66" s="600">
        <v>901.3</v>
      </c>
      <c r="C66" s="23" t="s">
        <v>254</v>
      </c>
      <c r="D66" s="79" t="s">
        <v>123</v>
      </c>
      <c r="E66" s="79"/>
      <c r="F66" s="79"/>
      <c r="G66" s="79"/>
      <c r="H66" s="694"/>
      <c r="I66" s="161"/>
      <c r="J66" s="129"/>
      <c r="K66" s="129"/>
      <c r="L66" s="1609"/>
      <c r="M66" s="1623"/>
      <c r="N66" s="129"/>
      <c r="O66" s="1619"/>
      <c r="X66" s="1600"/>
    </row>
    <row r="67" spans="1:51" ht="15" customHeight="1" x14ac:dyDescent="0.2">
      <c r="B67" s="600">
        <v>901.3</v>
      </c>
      <c r="C67" s="23" t="s">
        <v>254</v>
      </c>
      <c r="D67" s="79" t="s">
        <v>123</v>
      </c>
      <c r="E67" s="79"/>
      <c r="F67" s="79"/>
      <c r="G67" s="79"/>
      <c r="H67" s="694"/>
      <c r="I67" s="161"/>
      <c r="J67" s="213"/>
      <c r="K67" s="213"/>
      <c r="L67" s="1612"/>
      <c r="M67" s="1624"/>
      <c r="N67" s="213"/>
      <c r="O67" s="1620"/>
      <c r="X67" s="1600"/>
    </row>
    <row r="68" spans="1:51" ht="15" customHeight="1" thickBot="1" x14ac:dyDescent="0.25">
      <c r="B68" s="600">
        <v>901.3</v>
      </c>
      <c r="C68" s="23" t="s">
        <v>255</v>
      </c>
      <c r="D68" s="79"/>
      <c r="E68" s="79"/>
      <c r="F68" s="79"/>
      <c r="G68" s="79"/>
      <c r="H68" s="694"/>
      <c r="I68" s="407"/>
      <c r="J68" s="190" t="s">
        <v>255</v>
      </c>
      <c r="K68" s="239"/>
      <c r="L68" s="372" t="s">
        <v>2704</v>
      </c>
      <c r="M68" s="375">
        <v>10</v>
      </c>
      <c r="N68" s="239"/>
      <c r="O68" s="240">
        <f>M68*S68*W68</f>
        <v>10</v>
      </c>
      <c r="P68" s="96" t="b">
        <v>1</v>
      </c>
      <c r="Q68" s="96" t="b">
        <v>1</v>
      </c>
      <c r="R68" s="100" t="b">
        <v>0</v>
      </c>
      <c r="S68" s="100" t="b">
        <f>AND(NOT(W62),W58&lt;&gt;"Met",W60&lt;&gt;"Met")</f>
        <v>1</v>
      </c>
      <c r="T68" s="100" t="b">
        <f>AND(NOT(S68),W68=TRUE)</f>
        <v>0</v>
      </c>
      <c r="U68" s="100"/>
      <c r="V68" s="100"/>
      <c r="W68" s="101" t="b">
        <v>1</v>
      </c>
      <c r="X68" s="367"/>
      <c r="AC68" s="343" t="b">
        <f>OR(AD68:AE68)</f>
        <v>0</v>
      </c>
      <c r="AD68" s="343" t="b">
        <f>T68</f>
        <v>0</v>
      </c>
      <c r="AE68" s="343" t="b">
        <f>AND(R68,NOT(W68))</f>
        <v>0</v>
      </c>
      <c r="AL68" s="1352" t="str">
        <f>SUBSTITUTE(SUBSTITUTE(SUBSTITUTE("dpa"&amp;$B68&amp;$C68&amp;$D68&amp;$E68,".","_"),"(","_"),")","")</f>
        <v>dpa901_3_2</v>
      </c>
      <c r="AM68" s="1352">
        <f>M68</f>
        <v>10</v>
      </c>
      <c r="AN68" s="1352" t="str">
        <f>SUBSTITUTE(SUBSTITUTE(SUBSTITUTE("dpc"&amp;$B68&amp;$C68&amp;$D68&amp;$E68,".","_"),"(","_"),")","")</f>
        <v>dpc901_3_2</v>
      </c>
      <c r="AO68" s="1352">
        <f>O68</f>
        <v>10</v>
      </c>
      <c r="AP68" s="1352" t="str">
        <f>SUBSTITUTE(SUBSTITUTE(SUBSTITUTE("dch"&amp;$B68&amp;$C68&amp;$D68&amp;$E68,".","_"),"(","_"),")","")</f>
        <v>dch901_3_2</v>
      </c>
      <c r="AQ68" s="1352" t="b">
        <f>IF(LEN(W68)=0,"",W68)</f>
        <v>1</v>
      </c>
      <c r="AR68" s="1352" t="str">
        <f>SUBSTITUTE(SUBSTITUTE(SUBSTITUTE("dnt"&amp;$B68&amp;$C68&amp;$D68&amp;$E68,".","_"),"(","_"),")","")</f>
        <v>dnt901_3_2</v>
      </c>
      <c r="AS68" s="1352" t="str">
        <f>IF(LEN(X68)=0,"",X68)</f>
        <v/>
      </c>
    </row>
    <row r="69" spans="1:51" ht="16" thickTop="1" x14ac:dyDescent="0.2">
      <c r="B69" s="600">
        <v>901.4</v>
      </c>
      <c r="C69" s="23"/>
      <c r="D69" s="23"/>
      <c r="E69" s="23"/>
      <c r="F69" s="23"/>
      <c r="G69" s="23"/>
      <c r="H69" s="691"/>
      <c r="I69" s="67" t="s">
        <v>3672</v>
      </c>
      <c r="J69" s="4"/>
      <c r="K69" s="4"/>
      <c r="L69" s="1611" t="s">
        <v>3896</v>
      </c>
      <c r="M69" s="1628" t="s">
        <v>571</v>
      </c>
      <c r="N69" s="4"/>
      <c r="O69" s="1682">
        <f ca="1">MIN(10,(IFERROR(INDEX({2,2,3,4,4},MATCH(W78,INDIRECT(U78),0)),0)+IFERROR(INDEX({2,2,3,4,4},MATCH(W79,INDIRECT(U79),0)),0)+IFERROR(INDEX({2,2,3,4,4},MATCH(W80,INDIRECT(U80),0)),0)+IFERROR(INDEX({2,2,3,4,4},MATCH(W81,INDIRECT(U81),0)),0)))*S78</f>
        <v>0</v>
      </c>
      <c r="AL69" s="1352" t="str">
        <f>SUBSTITUTE(SUBSTITUTE(SUBSTITUTE("dpa"&amp;$B69&amp;$C69&amp;$D69&amp;$E69,".","_"),"(","_"),")","")</f>
        <v>dpa901_4</v>
      </c>
      <c r="AM69" s="1352" t="str">
        <f>M69</f>
        <v>10 Max</v>
      </c>
      <c r="AN69" s="1352" t="str">
        <f>SUBSTITUTE(SUBSTITUTE(SUBSTITUTE("dpc"&amp;$B69&amp;$C69&amp;$D69&amp;$E69,".","_"),"(","_"),")","")</f>
        <v>dpc901_4</v>
      </c>
      <c r="AO69" s="1352">
        <f ca="1">O69</f>
        <v>0</v>
      </c>
    </row>
    <row r="70" spans="1:51" ht="15" customHeight="1" x14ac:dyDescent="0.2">
      <c r="B70" s="600">
        <v>901.4</v>
      </c>
      <c r="C70" s="23"/>
      <c r="D70" s="23"/>
      <c r="E70" s="23"/>
      <c r="F70" s="23"/>
      <c r="G70" s="23"/>
      <c r="H70" s="691"/>
      <c r="I70" s="161"/>
      <c r="J70" s="4"/>
      <c r="K70" s="4"/>
      <c r="L70" s="1611"/>
      <c r="M70" s="1628"/>
      <c r="N70" s="4"/>
      <c r="O70" s="1669"/>
    </row>
    <row r="71" spans="1:51" s="782" customFormat="1" ht="15" customHeight="1" x14ac:dyDescent="0.2">
      <c r="A71" s="20"/>
      <c r="B71" s="600">
        <v>901.4</v>
      </c>
      <c r="C71" s="23"/>
      <c r="D71" s="23"/>
      <c r="E71" s="23"/>
      <c r="F71" s="23"/>
      <c r="G71" s="23"/>
      <c r="H71" s="691"/>
      <c r="I71" s="161"/>
      <c r="J71" s="4"/>
      <c r="K71" s="4"/>
      <c r="L71" s="1611"/>
      <c r="M71" s="1628"/>
      <c r="N71" s="4"/>
      <c r="O71" s="1669"/>
      <c r="AL71" s="78"/>
      <c r="AM71" s="78"/>
      <c r="AN71" s="78"/>
      <c r="AO71" s="78"/>
      <c r="AP71" s="78"/>
      <c r="AQ71" s="78"/>
      <c r="AR71" s="78"/>
      <c r="AS71" s="78"/>
      <c r="AX71" s="78"/>
      <c r="AY71" s="78"/>
    </row>
    <row r="72" spans="1:51" x14ac:dyDescent="0.2">
      <c r="B72" s="600">
        <v>901.4</v>
      </c>
      <c r="C72" s="23"/>
      <c r="D72" s="23"/>
      <c r="E72" s="23"/>
      <c r="F72" s="23"/>
      <c r="G72" s="23"/>
      <c r="H72" s="691"/>
      <c r="I72" s="161"/>
      <c r="J72" s="4"/>
      <c r="K72" s="4"/>
      <c r="L72" s="1611"/>
      <c r="M72" s="1628"/>
      <c r="N72" s="4"/>
      <c r="O72" s="1669"/>
    </row>
    <row r="73" spans="1:51" ht="15" customHeight="1" x14ac:dyDescent="0.2">
      <c r="B73" s="600">
        <v>901.4</v>
      </c>
      <c r="C73" s="23" t="s">
        <v>254</v>
      </c>
      <c r="D73" s="23"/>
      <c r="E73" s="23"/>
      <c r="F73" s="23"/>
      <c r="G73" s="23"/>
      <c r="H73" s="691"/>
      <c r="I73" s="161"/>
      <c r="J73" s="180" t="s">
        <v>254</v>
      </c>
      <c r="K73" s="129"/>
      <c r="L73" s="1609" t="s">
        <v>2705</v>
      </c>
      <c r="M73" s="1697" t="str">
        <f>IF(R73,"Mandatory","N/A")</f>
        <v>Mandatory</v>
      </c>
      <c r="N73" s="4"/>
      <c r="P73" s="96" t="b">
        <v>1</v>
      </c>
      <c r="Q73" s="96" t="b">
        <v>0</v>
      </c>
      <c r="R73" s="337" t="b">
        <f>S73</f>
        <v>1</v>
      </c>
      <c r="S73" s="337" t="b">
        <v>1</v>
      </c>
      <c r="T73" s="337" t="b">
        <v>0</v>
      </c>
      <c r="U73" s="96" t="str">
        <f>SUBSTITUTE(SUBSTITUTE(SUBSTITUTE("dd"&amp;B73&amp;C73&amp;D73&amp;E73&amp;F73,".","_"),"(","_"),")","")</f>
        <v>dd901_4_1</v>
      </c>
      <c r="W73" s="12" t="s">
        <v>2590</v>
      </c>
      <c r="X73" s="1600" t="s">
        <v>5646</v>
      </c>
      <c r="AC73" s="343" t="b">
        <f>OR(AD73:AE73)</f>
        <v>0</v>
      </c>
      <c r="AD73" s="343" t="b">
        <f>T73</f>
        <v>0</v>
      </c>
      <c r="AE73" s="343" t="b">
        <f>OR(AND(W73="N/A",LEN(X73)=0),AND(R73,OR(W73="Not Met",W73="")))</f>
        <v>0</v>
      </c>
      <c r="AL73" s="1352" t="str">
        <f>SUBSTITUTE(SUBSTITUTE(SUBSTITUTE("dpa"&amp;$B73&amp;$C73&amp;$D73&amp;$E73,".","_"),"(","_"),")","")</f>
        <v>dpa901_4_1</v>
      </c>
      <c r="AM73" s="1352" t="str">
        <f>M73</f>
        <v>Mandatory</v>
      </c>
      <c r="AP73" s="1352" t="str">
        <f>SUBSTITUTE(SUBSTITUTE(SUBSTITUTE("dch"&amp;$B73&amp;$C73&amp;$D73&amp;$E73,".","_"),"(","_"),")","")</f>
        <v>dch901_4_1</v>
      </c>
      <c r="AQ73" s="1352" t="str">
        <f>IF(LEN(W73)=0,"",W73)</f>
        <v>N/A</v>
      </c>
      <c r="AR73" s="1352" t="str">
        <f>SUBSTITUTE(SUBSTITUTE(SUBSTITUTE("dnt"&amp;$B73&amp;$C73&amp;$D73&amp;$E73,".","_"),"(","_"),")","")</f>
        <v>dnt901_4_1</v>
      </c>
      <c r="AS73" s="1352" t="str">
        <f>IF(LEN(X73)=0,"",X73)</f>
        <v>No new structural plywood</v>
      </c>
      <c r="AX73" s="782"/>
      <c r="AY73" s="782"/>
    </row>
    <row r="74" spans="1:51" x14ac:dyDescent="0.2">
      <c r="B74" s="600">
        <v>901.4</v>
      </c>
      <c r="C74" s="23" t="s">
        <v>254</v>
      </c>
      <c r="D74" s="23"/>
      <c r="E74" s="23"/>
      <c r="F74" s="23"/>
      <c r="G74" s="23"/>
      <c r="H74" s="691"/>
      <c r="I74" s="161"/>
      <c r="J74" s="129"/>
      <c r="K74" s="129"/>
      <c r="L74" s="1609"/>
      <c r="M74" s="1697"/>
      <c r="N74" s="4"/>
      <c r="O74" s="610"/>
      <c r="X74" s="1600"/>
    </row>
    <row r="75" spans="1:51" x14ac:dyDescent="0.2">
      <c r="B75" s="600">
        <v>901.4</v>
      </c>
      <c r="C75" s="23" t="s">
        <v>254</v>
      </c>
      <c r="D75" s="23"/>
      <c r="E75" s="23"/>
      <c r="F75" s="23"/>
      <c r="G75" s="23"/>
      <c r="H75" s="691"/>
      <c r="I75" s="161"/>
      <c r="J75" s="129"/>
      <c r="K75" s="129"/>
      <c r="L75" s="1609"/>
      <c r="M75" s="1697"/>
      <c r="N75" s="4"/>
      <c r="O75" s="610"/>
      <c r="X75" s="1600"/>
      <c r="Z75" s="337"/>
      <c r="AB75" s="337"/>
      <c r="AC75" s="337"/>
      <c r="AD75" s="337"/>
      <c r="AE75" s="337"/>
      <c r="AF75" s="337"/>
      <c r="AG75" s="337"/>
      <c r="AH75" s="337"/>
      <c r="AI75" s="337"/>
      <c r="AJ75" s="337"/>
      <c r="AK75" s="337"/>
    </row>
    <row r="76" spans="1:51" s="521" customFormat="1" x14ac:dyDescent="0.2">
      <c r="A76" s="20"/>
      <c r="B76" s="600">
        <v>901.4</v>
      </c>
      <c r="C76" s="23" t="s">
        <v>254</v>
      </c>
      <c r="D76" s="23"/>
      <c r="E76" s="23"/>
      <c r="F76" s="23"/>
      <c r="G76" s="23"/>
      <c r="H76" s="691"/>
      <c r="I76" s="161"/>
      <c r="J76" s="129"/>
      <c r="K76" s="129"/>
      <c r="L76" s="1609"/>
      <c r="M76" s="1697"/>
      <c r="N76" s="4"/>
      <c r="O76" s="610"/>
      <c r="X76" s="1600"/>
      <c r="Y76" s="704"/>
      <c r="AA76" s="707"/>
      <c r="AL76" s="78"/>
      <c r="AM76" s="78"/>
      <c r="AN76" s="78"/>
      <c r="AO76" s="78"/>
      <c r="AP76" s="78"/>
      <c r="AQ76" s="78"/>
      <c r="AR76" s="78"/>
      <c r="AS76" s="78"/>
      <c r="AX76" s="78"/>
      <c r="AY76" s="78"/>
    </row>
    <row r="77" spans="1:51" x14ac:dyDescent="0.2">
      <c r="B77" s="600">
        <v>901.4</v>
      </c>
      <c r="C77" s="23" t="s">
        <v>254</v>
      </c>
      <c r="D77" s="23"/>
      <c r="E77" s="23"/>
      <c r="F77" s="23"/>
      <c r="G77" s="23"/>
      <c r="H77" s="691"/>
      <c r="I77" s="161"/>
      <c r="J77" s="129"/>
      <c r="K77" s="129"/>
      <c r="L77" s="925" t="s">
        <v>3194</v>
      </c>
      <c r="M77" s="1697"/>
      <c r="N77" s="4"/>
      <c r="O77" s="610"/>
      <c r="X77" s="1600"/>
      <c r="Z77" s="337"/>
      <c r="AB77" s="337"/>
      <c r="AC77" s="337"/>
      <c r="AD77" s="337"/>
      <c r="AE77" s="337"/>
      <c r="AF77" s="337"/>
      <c r="AG77" s="337"/>
      <c r="AH77" s="337"/>
      <c r="AI77" s="337"/>
      <c r="AJ77" s="337"/>
      <c r="AK77" s="337"/>
    </row>
    <row r="78" spans="1:51" s="337" customFormat="1" x14ac:dyDescent="0.2">
      <c r="A78" s="20"/>
      <c r="B78" s="600">
        <v>901.4</v>
      </c>
      <c r="C78" s="23"/>
      <c r="D78" s="79" t="s">
        <v>121</v>
      </c>
      <c r="E78" s="79"/>
      <c r="F78" s="79"/>
      <c r="G78" s="79"/>
      <c r="H78" s="694"/>
      <c r="I78" s="406"/>
      <c r="J78" s="129"/>
      <c r="K78" s="129"/>
      <c r="L78" s="928" t="s">
        <v>2923</v>
      </c>
      <c r="M78" s="999"/>
      <c r="N78" s="129"/>
      <c r="O78" s="238"/>
      <c r="P78" s="96" t="b">
        <v>1</v>
      </c>
      <c r="Q78" s="96" t="b">
        <v>1</v>
      </c>
      <c r="R78" s="96" t="b">
        <v>0</v>
      </c>
      <c r="S78" s="96" t="b">
        <v>1</v>
      </c>
      <c r="T78" s="96" t="b">
        <v>0</v>
      </c>
      <c r="U78" s="96" t="str">
        <f>SUBSTITUTE(SUBSTITUTE(SUBSTITUTE("dd"&amp;B78&amp;C78&amp;D78&amp;E78&amp;F78,".","_"),"(","_"),")","")</f>
        <v>dd901_4_a</v>
      </c>
      <c r="V78" s="96"/>
      <c r="W78" s="110"/>
      <c r="X78" s="1601"/>
      <c r="Y78" s="704"/>
      <c r="AA78" s="707"/>
      <c r="AC78" s="343"/>
      <c r="AD78" s="343"/>
      <c r="AE78" s="343"/>
      <c r="AL78" s="78"/>
      <c r="AM78" s="78"/>
      <c r="AN78" s="78"/>
      <c r="AO78" s="78"/>
      <c r="AP78" s="1352" t="str">
        <f>SUBSTITUTE(SUBSTITUTE(SUBSTITUTE("dch"&amp;$B78&amp;$C78&amp;$D78&amp;$E78,".","_"),"(","_"),")","")</f>
        <v>dch901_4_a</v>
      </c>
      <c r="AQ78" s="1352" t="str">
        <f>IF(LEN(W78)=0,"",W78)</f>
        <v/>
      </c>
      <c r="AR78" s="1352" t="str">
        <f>SUBSTITUTE(SUBSTITUTE(SUBSTITUTE("dnt"&amp;$B78&amp;$C78&amp;$D78&amp;$E78,".","_"),"(","_"),")","")</f>
        <v>dnt901_4_a</v>
      </c>
      <c r="AS78" s="1352" t="str">
        <f>IF(LEN(X78)=0,"",X78)</f>
        <v/>
      </c>
      <c r="AX78" s="521"/>
      <c r="AY78" s="521"/>
    </row>
    <row r="79" spans="1:51" s="337" customFormat="1" x14ac:dyDescent="0.2">
      <c r="A79" s="20"/>
      <c r="B79" s="600">
        <v>901.4</v>
      </c>
      <c r="C79" s="23"/>
      <c r="D79" s="79" t="s">
        <v>122</v>
      </c>
      <c r="E79" s="79"/>
      <c r="F79" s="79"/>
      <c r="G79" s="79"/>
      <c r="H79" s="694"/>
      <c r="I79" s="406"/>
      <c r="J79" s="129"/>
      <c r="K79" s="129"/>
      <c r="L79" s="928" t="s">
        <v>2924</v>
      </c>
      <c r="M79" s="999"/>
      <c r="N79" s="129"/>
      <c r="O79" s="238"/>
      <c r="P79" s="96" t="b">
        <v>1</v>
      </c>
      <c r="Q79" s="96" t="b">
        <v>1</v>
      </c>
      <c r="R79" s="96" t="b">
        <v>0</v>
      </c>
      <c r="S79" s="96" t="b">
        <v>1</v>
      </c>
      <c r="T79" s="96" t="b">
        <v>0</v>
      </c>
      <c r="U79" s="96" t="str">
        <f>SUBSTITUTE(SUBSTITUTE(SUBSTITUTE("dd"&amp;B79&amp;C79&amp;D79&amp;E79&amp;F79,".","_"),"(","_"),")","")</f>
        <v>dd901_4_b</v>
      </c>
      <c r="V79" s="96"/>
      <c r="W79" s="110"/>
      <c r="X79" s="1601"/>
      <c r="Y79" s="704"/>
      <c r="AA79" s="707"/>
      <c r="AC79" s="343"/>
      <c r="AD79" s="343"/>
      <c r="AE79" s="343"/>
      <c r="AL79" s="78"/>
      <c r="AM79" s="78"/>
      <c r="AN79" s="78"/>
      <c r="AO79" s="78"/>
      <c r="AP79" s="1352" t="str">
        <f>SUBSTITUTE(SUBSTITUTE(SUBSTITUTE("dch"&amp;$B79&amp;$C79&amp;$D79&amp;$E79,".","_"),"(","_"),")","")</f>
        <v>dch901_4_b</v>
      </c>
      <c r="AQ79" s="1352" t="str">
        <f>IF(LEN(W79)=0,"",W79)</f>
        <v/>
      </c>
      <c r="AR79" s="78"/>
      <c r="AS79" s="78"/>
      <c r="AX79" s="78"/>
      <c r="AY79" s="78"/>
    </row>
    <row r="80" spans="1:51" s="337" customFormat="1" x14ac:dyDescent="0.2">
      <c r="A80" s="20"/>
      <c r="B80" s="600">
        <v>901.4</v>
      </c>
      <c r="C80" s="23"/>
      <c r="D80" s="79" t="s">
        <v>123</v>
      </c>
      <c r="E80" s="79"/>
      <c r="F80" s="79"/>
      <c r="G80" s="79"/>
      <c r="H80" s="694"/>
      <c r="I80" s="406"/>
      <c r="J80" s="129"/>
      <c r="K80" s="129"/>
      <c r="L80" s="928" t="s">
        <v>2925</v>
      </c>
      <c r="M80" s="999"/>
      <c r="N80" s="129"/>
      <c r="O80" s="238"/>
      <c r="P80" s="96" t="b">
        <v>1</v>
      </c>
      <c r="Q80" s="96" t="b">
        <v>1</v>
      </c>
      <c r="R80" s="96" t="b">
        <v>0</v>
      </c>
      <c r="S80" s="96" t="b">
        <v>1</v>
      </c>
      <c r="T80" s="96" t="b">
        <v>0</v>
      </c>
      <c r="U80" s="96" t="str">
        <f>SUBSTITUTE(SUBSTITUTE(SUBSTITUTE("dd"&amp;B80&amp;C80&amp;D80&amp;E80&amp;F80,".","_"),"(","_"),")","")</f>
        <v>dd901_4_c</v>
      </c>
      <c r="V80" s="96"/>
      <c r="W80" s="110"/>
      <c r="X80" s="1601"/>
      <c r="Y80" s="704"/>
      <c r="Z80" s="78"/>
      <c r="AA80" s="707"/>
      <c r="AB80" s="78"/>
      <c r="AC80" s="343"/>
      <c r="AD80" s="343"/>
      <c r="AE80" s="343"/>
      <c r="AF80" s="78"/>
      <c r="AG80" s="78"/>
      <c r="AH80" s="78"/>
      <c r="AI80" s="78"/>
      <c r="AJ80" s="78"/>
      <c r="AK80" s="78"/>
      <c r="AL80" s="78"/>
      <c r="AM80" s="78"/>
      <c r="AN80" s="78"/>
      <c r="AO80" s="78"/>
      <c r="AP80" s="1352" t="str">
        <f>SUBSTITUTE(SUBSTITUTE(SUBSTITUTE("dch"&amp;$B80&amp;$C80&amp;$D80&amp;$E80,".","_"),"(","_"),")","")</f>
        <v>dch901_4_c</v>
      </c>
      <c r="AQ80" s="1352" t="str">
        <f>IF(LEN(W80)=0,"",W80)</f>
        <v/>
      </c>
      <c r="AR80" s="78"/>
      <c r="AS80" s="78"/>
    </row>
    <row r="81" spans="1:51" s="337" customFormat="1" x14ac:dyDescent="0.2">
      <c r="A81" s="20"/>
      <c r="B81" s="600">
        <v>901.4</v>
      </c>
      <c r="C81" s="23"/>
      <c r="D81" s="79" t="s">
        <v>366</v>
      </c>
      <c r="E81" s="79"/>
      <c r="F81" s="79"/>
      <c r="G81" s="79"/>
      <c r="H81" s="694"/>
      <c r="I81" s="406"/>
      <c r="J81" s="213"/>
      <c r="K81" s="213"/>
      <c r="L81" s="929" t="s">
        <v>2926</v>
      </c>
      <c r="M81" s="1000"/>
      <c r="N81" s="129"/>
      <c r="O81" s="238"/>
      <c r="P81" s="96" t="b">
        <v>1</v>
      </c>
      <c r="Q81" s="96" t="b">
        <v>1</v>
      </c>
      <c r="R81" s="96" t="b">
        <v>0</v>
      </c>
      <c r="S81" s="96" t="b">
        <v>1</v>
      </c>
      <c r="T81" s="96" t="b">
        <v>0</v>
      </c>
      <c r="U81" s="96" t="str">
        <f>SUBSTITUTE(SUBSTITUTE(SUBSTITUTE("dd"&amp;B81&amp;C81&amp;D81&amp;E81&amp;F81,".","_"),"(","_"),")","")</f>
        <v>dd901_4_d</v>
      </c>
      <c r="V81" s="96"/>
      <c r="W81" s="110"/>
      <c r="X81" s="1601"/>
      <c r="Y81" s="704"/>
      <c r="Z81" s="78"/>
      <c r="AA81" s="707"/>
      <c r="AB81" s="78"/>
      <c r="AC81" s="343"/>
      <c r="AD81" s="343"/>
      <c r="AE81" s="343"/>
      <c r="AF81" s="78"/>
      <c r="AG81" s="78"/>
      <c r="AH81" s="78"/>
      <c r="AI81" s="78"/>
      <c r="AJ81" s="78"/>
      <c r="AK81" s="78"/>
      <c r="AL81" s="78"/>
      <c r="AM81" s="78"/>
      <c r="AN81" s="78"/>
      <c r="AO81" s="78"/>
      <c r="AP81" s="1352" t="str">
        <f>SUBSTITUTE(SUBSTITUTE(SUBSTITUTE("dch"&amp;$B81&amp;$C81&amp;$D81&amp;$E81,".","_"),"(","_"),")","")</f>
        <v>dch901_4_d</v>
      </c>
      <c r="AQ81" s="1352" t="str">
        <f>IF(LEN(W81)=0,"",W81)</f>
        <v/>
      </c>
      <c r="AR81" s="78"/>
      <c r="AS81" s="78"/>
    </row>
    <row r="82" spans="1:51" x14ac:dyDescent="0.2">
      <c r="B82" s="600">
        <v>901.4</v>
      </c>
      <c r="C82" s="23" t="s">
        <v>255</v>
      </c>
      <c r="D82" s="23"/>
      <c r="E82" s="23"/>
      <c r="F82" s="23"/>
      <c r="G82" s="23"/>
      <c r="H82" s="691"/>
      <c r="I82" s="406"/>
      <c r="J82" s="180" t="s">
        <v>255</v>
      </c>
      <c r="K82" s="129"/>
      <c r="L82" s="1609" t="s">
        <v>2706</v>
      </c>
      <c r="M82" s="1623">
        <v>2</v>
      </c>
      <c r="N82" s="129"/>
      <c r="O82" s="238"/>
      <c r="P82" s="96"/>
      <c r="Q82" s="96"/>
      <c r="R82" s="96"/>
      <c r="S82" s="96"/>
      <c r="T82" s="96"/>
      <c r="U82" s="96"/>
      <c r="V82" s="96"/>
      <c r="W82" s="96"/>
      <c r="X82" s="1601"/>
      <c r="AL82" s="1352" t="str">
        <f>SUBSTITUTE(SUBSTITUTE(SUBSTITUTE("dpa"&amp;$B82&amp;$C82&amp;$D82&amp;$E82,".","_"),"(","_"),")","")</f>
        <v>dpa901_4_2</v>
      </c>
      <c r="AM82" s="1352">
        <f>M82</f>
        <v>2</v>
      </c>
      <c r="AX82" s="337"/>
      <c r="AY82" s="337"/>
    </row>
    <row r="83" spans="1:51" x14ac:dyDescent="0.2">
      <c r="B83" s="600">
        <v>901.4</v>
      </c>
      <c r="C83" s="23" t="s">
        <v>255</v>
      </c>
      <c r="D83" s="23"/>
      <c r="E83" s="23"/>
      <c r="F83" s="23"/>
      <c r="G83" s="23"/>
      <c r="H83" s="691"/>
      <c r="I83" s="406"/>
      <c r="J83" s="213"/>
      <c r="K83" s="213"/>
      <c r="L83" s="1612"/>
      <c r="M83" s="1624"/>
      <c r="N83" s="129"/>
      <c r="O83" s="238"/>
      <c r="P83" s="96"/>
      <c r="Q83" s="96"/>
      <c r="R83" s="96"/>
      <c r="S83" s="96"/>
      <c r="T83" s="96"/>
      <c r="U83" s="96"/>
      <c r="V83" s="96"/>
      <c r="W83" s="96"/>
      <c r="X83" s="1601"/>
      <c r="AX83" s="337"/>
      <c r="AY83" s="337"/>
    </row>
    <row r="84" spans="1:51" x14ac:dyDescent="0.2">
      <c r="B84" s="600">
        <v>901.4</v>
      </c>
      <c r="C84" s="23" t="s">
        <v>256</v>
      </c>
      <c r="D84" s="23"/>
      <c r="E84" s="23"/>
      <c r="F84" s="23"/>
      <c r="G84" s="23"/>
      <c r="H84" s="691"/>
      <c r="I84" s="406"/>
      <c r="J84" s="207" t="s">
        <v>256</v>
      </c>
      <c r="K84" s="213"/>
      <c r="L84" s="369" t="s">
        <v>2707</v>
      </c>
      <c r="M84" s="373">
        <v>2</v>
      </c>
      <c r="N84" s="129"/>
      <c r="O84" s="238"/>
      <c r="P84" s="96"/>
      <c r="Q84" s="96"/>
      <c r="R84" s="96"/>
      <c r="S84" s="96"/>
      <c r="T84" s="96"/>
      <c r="U84" s="96"/>
      <c r="V84" s="96"/>
      <c r="W84" s="96"/>
      <c r="X84" s="1601"/>
      <c r="AL84" s="1352" t="str">
        <f>SUBSTITUTE(SUBSTITUTE(SUBSTITUTE("dpa"&amp;$B84&amp;$C84&amp;$D84&amp;$E84,".","_"),"(","_"),")","")</f>
        <v>dpa901_4_3</v>
      </c>
      <c r="AM84" s="1352">
        <f>M84</f>
        <v>2</v>
      </c>
    </row>
    <row r="85" spans="1:51" x14ac:dyDescent="0.2">
      <c r="B85" s="600">
        <v>901.4</v>
      </c>
      <c r="C85" s="23" t="s">
        <v>259</v>
      </c>
      <c r="D85" s="23"/>
      <c r="E85" s="23"/>
      <c r="F85" s="23"/>
      <c r="G85" s="23"/>
      <c r="H85" s="691"/>
      <c r="I85" s="406"/>
      <c r="J85" s="207" t="s">
        <v>259</v>
      </c>
      <c r="K85" s="213"/>
      <c r="L85" s="369" t="s">
        <v>2708</v>
      </c>
      <c r="M85" s="373">
        <v>3</v>
      </c>
      <c r="N85" s="129"/>
      <c r="O85" s="238"/>
      <c r="P85" s="96"/>
      <c r="Q85" s="96"/>
      <c r="R85" s="96"/>
      <c r="S85" s="96"/>
      <c r="T85" s="96"/>
      <c r="U85" s="96"/>
      <c r="V85" s="96"/>
      <c r="W85" s="96"/>
      <c r="X85" s="1601"/>
      <c r="AL85" s="1352" t="str">
        <f>SUBSTITUTE(SUBSTITUTE(SUBSTITUTE("dpa"&amp;$B85&amp;$C85&amp;$D85&amp;$E85,".","_"),"(","_"),")","")</f>
        <v>dpa901_4_4</v>
      </c>
      <c r="AM85" s="1352">
        <f>M85</f>
        <v>3</v>
      </c>
    </row>
    <row r="86" spans="1:51" x14ac:dyDescent="0.2">
      <c r="B86" s="600">
        <v>901.4</v>
      </c>
      <c r="C86" s="23" t="s">
        <v>263</v>
      </c>
      <c r="D86" s="23"/>
      <c r="E86" s="23"/>
      <c r="F86" s="23"/>
      <c r="G86" s="23"/>
      <c r="H86" s="691"/>
      <c r="I86" s="406"/>
      <c r="J86" s="180" t="s">
        <v>263</v>
      </c>
      <c r="K86" s="129"/>
      <c r="L86" s="1609" t="s">
        <v>2709</v>
      </c>
      <c r="M86" s="1623">
        <v>4</v>
      </c>
      <c r="N86" s="129"/>
      <c r="O86" s="238"/>
      <c r="P86" s="96"/>
      <c r="Q86" s="96"/>
      <c r="R86" s="96"/>
      <c r="S86" s="96"/>
      <c r="T86" s="96"/>
      <c r="U86" s="96"/>
      <c r="V86" s="96"/>
      <c r="W86" s="96"/>
      <c r="X86" s="1601"/>
      <c r="AL86" s="1352" t="str">
        <f>SUBSTITUTE(SUBSTITUTE(SUBSTITUTE("dpa"&amp;$B86&amp;$C86&amp;$D86&amp;$E86,".","_"),"(","_"),")","")</f>
        <v>dpa901_4_5</v>
      </c>
      <c r="AM86" s="1352">
        <f>M86</f>
        <v>4</v>
      </c>
    </row>
    <row r="87" spans="1:51" x14ac:dyDescent="0.2">
      <c r="B87" s="600">
        <v>901.4</v>
      </c>
      <c r="C87" s="23" t="s">
        <v>263</v>
      </c>
      <c r="D87" s="23"/>
      <c r="E87" s="23"/>
      <c r="F87" s="23"/>
      <c r="G87" s="23"/>
      <c r="H87" s="691"/>
      <c r="I87" s="406"/>
      <c r="J87" s="207"/>
      <c r="K87" s="213"/>
      <c r="L87" s="1612"/>
      <c r="M87" s="1624"/>
      <c r="N87" s="129"/>
      <c r="O87" s="238"/>
      <c r="P87" s="96"/>
      <c r="Q87" s="96"/>
      <c r="R87" s="96"/>
      <c r="S87" s="96"/>
      <c r="T87" s="96"/>
      <c r="U87" s="96"/>
      <c r="V87" s="96"/>
      <c r="W87" s="96"/>
      <c r="X87" s="1601"/>
    </row>
    <row r="88" spans="1:51" ht="16" thickBot="1" x14ac:dyDescent="0.25">
      <c r="B88" s="600">
        <v>901.4</v>
      </c>
      <c r="C88" s="23" t="s">
        <v>264</v>
      </c>
      <c r="D88" s="23"/>
      <c r="E88" s="23"/>
      <c r="F88" s="23"/>
      <c r="G88" s="23"/>
      <c r="H88" s="691"/>
      <c r="I88" s="407"/>
      <c r="J88" s="190" t="s">
        <v>264</v>
      </c>
      <c r="K88" s="239"/>
      <c r="L88" s="372" t="s">
        <v>2710</v>
      </c>
      <c r="M88" s="375">
        <v>4</v>
      </c>
      <c r="N88" s="239"/>
      <c r="O88" s="240"/>
      <c r="P88" s="100"/>
      <c r="Q88" s="100"/>
      <c r="R88" s="100"/>
      <c r="S88" s="100"/>
      <c r="T88" s="100"/>
      <c r="U88" s="100"/>
      <c r="V88" s="100"/>
      <c r="W88" s="100"/>
      <c r="X88" s="1602"/>
      <c r="AL88" s="1352" t="str">
        <f>SUBSTITUTE(SUBSTITUTE(SUBSTITUTE("dpa"&amp;$B88&amp;$C88&amp;$D88&amp;$E88,".","_"),"(","_"),")","")</f>
        <v>dpa901_4_6</v>
      </c>
      <c r="AM88" s="1352">
        <f>M88</f>
        <v>4</v>
      </c>
    </row>
    <row r="89" spans="1:51" ht="16" thickTop="1" x14ac:dyDescent="0.2">
      <c r="B89" s="600">
        <v>901.5</v>
      </c>
      <c r="C89" s="23"/>
      <c r="D89" s="23"/>
      <c r="E89" s="23"/>
      <c r="F89" s="23"/>
      <c r="G89" s="23"/>
      <c r="H89" s="691"/>
      <c r="I89" s="67" t="s">
        <v>3673</v>
      </c>
      <c r="J89" s="4"/>
      <c r="K89" s="4"/>
      <c r="L89" s="1631" t="s">
        <v>3895</v>
      </c>
      <c r="M89" s="374"/>
      <c r="N89" s="4"/>
      <c r="O89" s="138"/>
    </row>
    <row r="90" spans="1:51" x14ac:dyDescent="0.2">
      <c r="B90" s="600">
        <v>901.5</v>
      </c>
      <c r="C90" s="23"/>
      <c r="D90" s="23"/>
      <c r="E90" s="23"/>
      <c r="F90" s="23"/>
      <c r="G90" s="23"/>
      <c r="H90" s="691"/>
      <c r="I90" s="161"/>
      <c r="J90" s="4"/>
      <c r="K90" s="4"/>
      <c r="L90" s="1631"/>
      <c r="M90" s="374"/>
      <c r="N90" s="4"/>
      <c r="O90" s="138"/>
    </row>
    <row r="91" spans="1:51" x14ac:dyDescent="0.2">
      <c r="B91" s="600">
        <v>901.5</v>
      </c>
      <c r="C91" s="23"/>
      <c r="D91" s="23"/>
      <c r="E91" s="23"/>
      <c r="F91" s="23"/>
      <c r="G91" s="23"/>
      <c r="H91" s="691"/>
      <c r="I91" s="161"/>
      <c r="J91" s="4"/>
      <c r="K91" s="4"/>
      <c r="L91" s="160" t="s">
        <v>2711</v>
      </c>
      <c r="M91" s="374"/>
      <c r="N91" s="4"/>
      <c r="O91" s="138"/>
    </row>
    <row r="92" spans="1:51" x14ac:dyDescent="0.2">
      <c r="B92" s="600">
        <v>901.5</v>
      </c>
      <c r="C92" s="23" t="s">
        <v>254</v>
      </c>
      <c r="D92" s="23"/>
      <c r="E92" s="23"/>
      <c r="F92" s="23"/>
      <c r="G92" s="23"/>
      <c r="H92" s="691"/>
      <c r="I92" s="161"/>
      <c r="J92" s="180" t="s">
        <v>254</v>
      </c>
      <c r="K92" s="129"/>
      <c r="L92" s="1609" t="s">
        <v>2712</v>
      </c>
      <c r="M92" s="1623">
        <v>5</v>
      </c>
      <c r="N92" s="4"/>
      <c r="O92" s="1619">
        <f>M92*S92*W92</f>
        <v>0</v>
      </c>
      <c r="P92" s="96" t="b">
        <v>0</v>
      </c>
      <c r="Q92" s="96" t="b">
        <v>1</v>
      </c>
      <c r="R92" s="337" t="b">
        <v>0</v>
      </c>
      <c r="S92" s="337" t="b">
        <v>1</v>
      </c>
      <c r="T92" s="337" t="b">
        <v>0</v>
      </c>
      <c r="W92" s="27"/>
      <c r="X92" s="1600"/>
      <c r="AC92" s="343"/>
      <c r="AD92" s="343"/>
      <c r="AE92" s="343"/>
      <c r="AL92" s="1352" t="str">
        <f>SUBSTITUTE(SUBSTITUTE(SUBSTITUTE("dpa"&amp;$B92&amp;$C92&amp;$D92&amp;$E92,".","_"),"(","_"),")","")</f>
        <v>dpa901_5_1</v>
      </c>
      <c r="AM92" s="1352">
        <f>M92</f>
        <v>5</v>
      </c>
      <c r="AN92" s="1352" t="str">
        <f>SUBSTITUTE(SUBSTITUTE(SUBSTITUTE("dpc"&amp;$B92&amp;$C92&amp;$D92&amp;$E92,".","_"),"(","_"),")","")</f>
        <v>dpc901_5_1</v>
      </c>
      <c r="AO92" s="1352">
        <f>O92</f>
        <v>0</v>
      </c>
      <c r="AP92" s="1352" t="str">
        <f>SUBSTITUTE(SUBSTITUTE(SUBSTITUTE("dch"&amp;$B92&amp;$C92&amp;$D92&amp;$E92,".","_"),"(","_"),")","")</f>
        <v>dch901_5_1</v>
      </c>
      <c r="AQ92" s="1352" t="str">
        <f>IF(LEN(W92)=0,"",W92)</f>
        <v/>
      </c>
      <c r="AR92" s="1352" t="str">
        <f>SUBSTITUTE(SUBSTITUTE(SUBSTITUTE("dnt"&amp;$B92&amp;$C92&amp;$D92&amp;$E92,".","_"),"(","_"),")","")</f>
        <v>dnt901_5_1</v>
      </c>
      <c r="AS92" s="1352" t="str">
        <f>IF(LEN(X92)=0,"",X92)</f>
        <v/>
      </c>
    </row>
    <row r="93" spans="1:51" x14ac:dyDescent="0.2">
      <c r="B93" s="600">
        <v>901.5</v>
      </c>
      <c r="C93" s="23" t="s">
        <v>254</v>
      </c>
      <c r="D93" s="23"/>
      <c r="E93" s="23"/>
      <c r="F93" s="23"/>
      <c r="G93" s="23"/>
      <c r="H93" s="691"/>
      <c r="I93" s="161"/>
      <c r="J93" s="213"/>
      <c r="K93" s="213"/>
      <c r="L93" s="1612"/>
      <c r="M93" s="1624"/>
      <c r="N93" s="4"/>
      <c r="O93" s="1620"/>
      <c r="X93" s="1600"/>
    </row>
    <row r="94" spans="1:51" x14ac:dyDescent="0.2">
      <c r="B94" s="600">
        <v>901.5</v>
      </c>
      <c r="C94" s="23" t="s">
        <v>255</v>
      </c>
      <c r="D94" s="23"/>
      <c r="E94" s="23"/>
      <c r="F94" s="23"/>
      <c r="G94" s="23"/>
      <c r="H94" s="691"/>
      <c r="I94" s="406"/>
      <c r="J94" s="180" t="s">
        <v>255</v>
      </c>
      <c r="K94" s="129"/>
      <c r="L94" s="1609" t="s">
        <v>2713</v>
      </c>
      <c r="M94" s="1623">
        <v>3</v>
      </c>
      <c r="N94" s="129"/>
      <c r="O94" s="1619">
        <f>M94*S94*W94</f>
        <v>0</v>
      </c>
      <c r="P94" s="96" t="b">
        <v>0</v>
      </c>
      <c r="Q94" s="96" t="b">
        <v>1</v>
      </c>
      <c r="R94" s="96" t="b">
        <v>0</v>
      </c>
      <c r="S94" s="96" t="b">
        <v>1</v>
      </c>
      <c r="T94" s="96" t="b">
        <v>0</v>
      </c>
      <c r="U94" s="96"/>
      <c r="V94" s="96"/>
      <c r="W94" s="333" t="b">
        <v>0</v>
      </c>
      <c r="X94" s="1601"/>
      <c r="AC94" s="343"/>
      <c r="AD94" s="343"/>
      <c r="AE94" s="343"/>
      <c r="AL94" s="1352" t="str">
        <f>SUBSTITUTE(SUBSTITUTE(SUBSTITUTE("dpa"&amp;$B94&amp;$C94&amp;$D94&amp;$E94,".","_"),"(","_"),")","")</f>
        <v>dpa901_5_2</v>
      </c>
      <c r="AM94" s="1352">
        <f>M94</f>
        <v>3</v>
      </c>
      <c r="AN94" s="1352" t="str">
        <f>SUBSTITUTE(SUBSTITUTE(SUBSTITUTE("dpc"&amp;$B94&amp;$C94&amp;$D94&amp;$E94,".","_"),"(","_"),")","")</f>
        <v>dpc901_5_2</v>
      </c>
      <c r="AO94" s="1352">
        <f>O94</f>
        <v>0</v>
      </c>
      <c r="AP94" s="1352" t="str">
        <f>SUBSTITUTE(SUBSTITUTE(SUBSTITUTE("dch"&amp;$B94&amp;$C94&amp;$D94&amp;$E94,".","_"),"(","_"),")","")</f>
        <v>dch901_5_2</v>
      </c>
      <c r="AQ94" s="1352" t="b">
        <f>IF(LEN(W94)=0,"",W94)</f>
        <v>0</v>
      </c>
      <c r="AR94" s="1352" t="str">
        <f>SUBSTITUTE(SUBSTITUTE(SUBSTITUTE("dnt"&amp;$B94&amp;$C94&amp;$D94&amp;$E94,".","_"),"(","_"),")","")</f>
        <v>dnt901_5_2</v>
      </c>
      <c r="AS94" s="1352" t="str">
        <f>IF(LEN(X94)=0,"",X94)</f>
        <v/>
      </c>
    </row>
    <row r="95" spans="1:51" x14ac:dyDescent="0.2">
      <c r="B95" s="600">
        <v>901.5</v>
      </c>
      <c r="C95" s="23" t="s">
        <v>255</v>
      </c>
      <c r="D95" s="23"/>
      <c r="E95" s="23"/>
      <c r="F95" s="23"/>
      <c r="G95" s="23"/>
      <c r="H95" s="691"/>
      <c r="I95" s="406"/>
      <c r="J95" s="129"/>
      <c r="K95" s="129"/>
      <c r="L95" s="1609"/>
      <c r="M95" s="1623"/>
      <c r="N95" s="129"/>
      <c r="O95" s="1619"/>
      <c r="P95" s="96"/>
      <c r="Q95" s="96"/>
      <c r="R95" s="96"/>
      <c r="S95" s="96"/>
      <c r="T95" s="96"/>
      <c r="U95" s="96"/>
      <c r="V95" s="96"/>
      <c r="W95" s="96"/>
      <c r="X95" s="1601"/>
    </row>
    <row r="96" spans="1:51" ht="16" thickBot="1" x14ac:dyDescent="0.25">
      <c r="B96" s="600">
        <v>901.5</v>
      </c>
      <c r="C96" s="23"/>
      <c r="D96" s="23"/>
      <c r="E96" s="23"/>
      <c r="F96" s="23"/>
      <c r="G96" s="23"/>
      <c r="H96" s="691"/>
      <c r="I96" s="407"/>
      <c r="J96" s="239"/>
      <c r="K96" s="239"/>
      <c r="L96" s="1610"/>
      <c r="M96" s="1627"/>
      <c r="N96" s="239"/>
      <c r="O96" s="1638"/>
      <c r="P96" s="100"/>
      <c r="Q96" s="100"/>
      <c r="R96" s="100"/>
      <c r="S96" s="100"/>
      <c r="T96" s="100"/>
      <c r="U96" s="100"/>
      <c r="V96" s="100"/>
      <c r="W96" s="100"/>
      <c r="X96" s="1602"/>
    </row>
    <row r="97" spans="2:45" ht="16" thickTop="1" x14ac:dyDescent="0.2">
      <c r="B97" s="600">
        <v>901.6</v>
      </c>
      <c r="C97" s="23"/>
      <c r="D97" s="23"/>
      <c r="E97" s="23"/>
      <c r="F97" s="23"/>
      <c r="G97" s="23"/>
      <c r="H97" s="691"/>
      <c r="I97" s="177" t="s">
        <v>3674</v>
      </c>
      <c r="J97" s="178"/>
      <c r="K97" s="178"/>
      <c r="L97" s="1683" t="s">
        <v>3738</v>
      </c>
      <c r="M97" s="1701" t="str">
        <f>IF(R97,"Mandatory","N/A")</f>
        <v>Mandatory</v>
      </c>
      <c r="N97" s="178"/>
      <c r="O97" s="421"/>
      <c r="P97" s="96" t="b">
        <v>0</v>
      </c>
      <c r="Q97" s="96" t="b">
        <v>1</v>
      </c>
      <c r="R97" s="106" t="b">
        <f>S97</f>
        <v>1</v>
      </c>
      <c r="S97" s="106" t="b">
        <v>1</v>
      </c>
      <c r="T97" s="106" t="b">
        <v>0</v>
      </c>
      <c r="U97" s="106"/>
      <c r="V97" s="106"/>
      <c r="W97" s="334" t="b">
        <v>1</v>
      </c>
      <c r="X97" s="1603"/>
      <c r="AC97" s="343" t="b">
        <f>OR(AD97:AE97)</f>
        <v>0</v>
      </c>
      <c r="AD97" s="343" t="b">
        <f>T97</f>
        <v>0</v>
      </c>
      <c r="AE97" s="343" t="b">
        <f>AND(R97,NOT(W97))</f>
        <v>0</v>
      </c>
      <c r="AL97" s="1352" t="str">
        <f>SUBSTITUTE(SUBSTITUTE(SUBSTITUTE("dpa"&amp;$B97&amp;$C97&amp;$D97&amp;$E97,".","_"),"(","_"),")","")</f>
        <v>dpa901_6</v>
      </c>
      <c r="AM97" s="1352" t="str">
        <f>M97</f>
        <v>Mandatory</v>
      </c>
      <c r="AP97" s="1352" t="str">
        <f>SUBSTITUTE(SUBSTITUTE(SUBSTITUTE("dch"&amp;$B97&amp;$C97&amp;$D97&amp;$E97,".","_"),"(","_"),")","")</f>
        <v>dch901_6</v>
      </c>
      <c r="AQ97" s="1352" t="b">
        <f>IF(LEN(W97)=0,"",W97)</f>
        <v>1</v>
      </c>
      <c r="AR97" s="1352" t="str">
        <f>SUBSTITUTE(SUBSTITUTE(SUBSTITUTE("dnt"&amp;$B97&amp;$C97&amp;$D97&amp;$E97,".","_"),"(","_"),")","")</f>
        <v>dnt901_6</v>
      </c>
      <c r="AS97" s="1352" t="str">
        <f>IF(LEN(X97)=0,"",X97)</f>
        <v/>
      </c>
    </row>
    <row r="98" spans="2:45" ht="16" thickBot="1" x14ac:dyDescent="0.25">
      <c r="B98" s="600">
        <v>901.6</v>
      </c>
      <c r="C98" s="23"/>
      <c r="D98" s="23"/>
      <c r="E98" s="23"/>
      <c r="F98" s="23"/>
      <c r="G98" s="23"/>
      <c r="H98" s="691"/>
      <c r="I98" s="407"/>
      <c r="J98" s="239"/>
      <c r="K98" s="239"/>
      <c r="L98" s="1630"/>
      <c r="M98" s="1726"/>
      <c r="N98" s="239"/>
      <c r="O98" s="240"/>
      <c r="P98" s="100"/>
      <c r="Q98" s="100"/>
      <c r="R98" s="100"/>
      <c r="S98" s="100"/>
      <c r="T98" s="100"/>
      <c r="U98" s="100"/>
      <c r="V98" s="100"/>
      <c r="W98" s="100"/>
      <c r="X98" s="1602"/>
    </row>
    <row r="99" spans="2:45" ht="16" thickTop="1" x14ac:dyDescent="0.2">
      <c r="B99" s="600">
        <v>901.7</v>
      </c>
      <c r="C99" s="23"/>
      <c r="D99" s="23"/>
      <c r="E99" s="23"/>
      <c r="F99" s="23"/>
      <c r="G99" s="23"/>
      <c r="H99" s="691"/>
      <c r="I99" s="67" t="s">
        <v>3675</v>
      </c>
      <c r="J99" s="4"/>
      <c r="K99" s="4"/>
      <c r="L99" s="1631" t="s">
        <v>3737</v>
      </c>
      <c r="M99" s="1715" t="s">
        <v>2848</v>
      </c>
      <c r="N99" s="4"/>
      <c r="O99" s="1669">
        <f>MIN(8,ROUNDDOWN(W106/0.1,0)+ROUNDDOWN(W117/0.1,0)+ROUNDDOWN(W118*1.33/0.1,0))</f>
        <v>5</v>
      </c>
      <c r="AL99" s="1352" t="str">
        <f>SUBSTITUTE(SUBSTITUTE(SUBSTITUTE("dpa"&amp;$B99&amp;$C99&amp;$D99&amp;$E99,".","_"),"(","_"),")","")</f>
        <v>dpa901_7</v>
      </c>
      <c r="AM99" s="1352" t="str">
        <f>M99</f>
        <v>1
8 Max</v>
      </c>
      <c r="AN99" s="1352" t="str">
        <f>SUBSTITUTE(SUBSTITUTE(SUBSTITUTE("dpc"&amp;$B99&amp;$C99&amp;$D99&amp;$E99,".","_"),"(","_"),")","")</f>
        <v>dpc901_7</v>
      </c>
      <c r="AO99" s="1352">
        <f>O99</f>
        <v>5</v>
      </c>
    </row>
    <row r="100" spans="2:45" x14ac:dyDescent="0.2">
      <c r="B100" s="600">
        <v>901.7</v>
      </c>
      <c r="C100" s="23"/>
      <c r="D100" s="23"/>
      <c r="E100" s="23"/>
      <c r="F100" s="23"/>
      <c r="G100" s="23"/>
      <c r="H100" s="691"/>
      <c r="I100" s="161"/>
      <c r="J100" s="4"/>
      <c r="K100" s="4"/>
      <c r="L100" s="1631"/>
      <c r="M100" s="1715"/>
      <c r="N100" s="4"/>
      <c r="O100" s="1669"/>
    </row>
    <row r="101" spans="2:45" x14ac:dyDescent="0.2">
      <c r="B101" s="600">
        <v>901.7</v>
      </c>
      <c r="C101" s="23"/>
      <c r="D101" s="23"/>
      <c r="E101" s="23"/>
      <c r="F101" s="23"/>
      <c r="G101" s="23"/>
      <c r="H101" s="691"/>
      <c r="I101" s="161"/>
      <c r="J101" s="4"/>
      <c r="K101" s="4"/>
      <c r="L101" s="1631"/>
      <c r="M101" s="1715"/>
      <c r="N101" s="4"/>
      <c r="O101" s="1669"/>
    </row>
    <row r="102" spans="2:45" x14ac:dyDescent="0.2">
      <c r="B102" s="600">
        <v>901.7</v>
      </c>
      <c r="C102" s="23"/>
      <c r="D102" s="23"/>
      <c r="E102" s="23"/>
      <c r="F102" s="23"/>
      <c r="G102" s="23"/>
      <c r="H102" s="691"/>
      <c r="I102" s="161"/>
      <c r="J102" s="4"/>
      <c r="K102" s="4"/>
      <c r="L102" s="1631"/>
      <c r="M102" s="1715"/>
      <c r="N102" s="4"/>
      <c r="O102" s="1669"/>
    </row>
    <row r="103" spans="2:45" x14ac:dyDescent="0.2">
      <c r="B103" s="600">
        <v>901.7</v>
      </c>
      <c r="C103" s="23"/>
      <c r="D103" s="23"/>
      <c r="E103" s="23"/>
      <c r="F103" s="23"/>
      <c r="G103" s="23"/>
      <c r="H103" s="691"/>
      <c r="I103" s="161"/>
      <c r="J103" s="4"/>
      <c r="K103" s="4"/>
      <c r="L103" s="1631"/>
      <c r="M103" s="1715"/>
      <c r="N103" s="4"/>
      <c r="O103" s="1669"/>
    </row>
    <row r="104" spans="2:45" x14ac:dyDescent="0.2">
      <c r="B104" s="600">
        <v>901.7</v>
      </c>
      <c r="C104" s="23"/>
      <c r="D104" s="23"/>
      <c r="E104" s="23"/>
      <c r="F104" s="23"/>
      <c r="G104" s="23"/>
      <c r="H104" s="691"/>
      <c r="I104" s="161"/>
      <c r="J104" s="4"/>
      <c r="K104" s="4"/>
      <c r="L104" s="1707" t="s">
        <v>2714</v>
      </c>
      <c r="M104" s="1715"/>
      <c r="N104" s="4"/>
      <c r="O104" s="1669"/>
    </row>
    <row r="105" spans="2:45" x14ac:dyDescent="0.2">
      <c r="B105" s="600">
        <v>901.7</v>
      </c>
      <c r="C105" s="23"/>
      <c r="D105" s="23"/>
      <c r="E105" s="23"/>
      <c r="F105" s="23"/>
      <c r="G105" s="23"/>
      <c r="H105" s="691"/>
      <c r="I105" s="161"/>
      <c r="J105" s="4"/>
      <c r="K105" s="4"/>
      <c r="L105" s="1707"/>
      <c r="M105" s="1715"/>
      <c r="N105" s="4"/>
      <c r="O105" s="1669"/>
      <c r="W105" s="78" t="s">
        <v>2937</v>
      </c>
    </row>
    <row r="106" spans="2:45" x14ac:dyDescent="0.2">
      <c r="B106" s="600">
        <v>901.7</v>
      </c>
      <c r="C106" s="23" t="s">
        <v>254</v>
      </c>
      <c r="D106" s="79"/>
      <c r="E106" s="79"/>
      <c r="F106" s="79"/>
      <c r="G106" s="79"/>
      <c r="H106" s="694"/>
      <c r="I106" s="161"/>
      <c r="J106" s="29" t="s">
        <v>254</v>
      </c>
      <c r="K106" s="4"/>
      <c r="L106" s="1611" t="s">
        <v>2715</v>
      </c>
      <c r="M106" s="374"/>
      <c r="N106" s="4"/>
      <c r="O106" s="138"/>
      <c r="P106" s="96" t="b">
        <v>0</v>
      </c>
      <c r="Q106" s="96" t="b">
        <v>1</v>
      </c>
      <c r="R106" s="337" t="b">
        <v>0</v>
      </c>
      <c r="S106" s="337" t="b">
        <v>1</v>
      </c>
      <c r="T106" s="337" t="b">
        <f>SUM(W106,W117,W118)&gt;1</f>
        <v>0</v>
      </c>
      <c r="W106" s="344">
        <v>0.5</v>
      </c>
      <c r="X106" s="1600"/>
      <c r="AC106" s="343" t="b">
        <f>OR(AD106:AE106)</f>
        <v>0</v>
      </c>
      <c r="AD106" s="343" t="b">
        <f>T106</f>
        <v>0</v>
      </c>
      <c r="AE106" s="343" t="b">
        <f>AND(R106,OR(W106="Not Met",W106=""))</f>
        <v>0</v>
      </c>
      <c r="AP106" s="1352" t="str">
        <f>SUBSTITUTE(SUBSTITUTE(SUBSTITUTE("dch"&amp;$B106&amp;$C106&amp;$D106&amp;$E106,".","_"),"(","_"),")","")</f>
        <v>dch901_7_1</v>
      </c>
      <c r="AQ106" s="1352">
        <f>IF(LEN(W106)=0,"",W106)</f>
        <v>0.5</v>
      </c>
      <c r="AR106" s="1352" t="str">
        <f>SUBSTITUTE(SUBSTITUTE(SUBSTITUTE("dnt"&amp;$B106&amp;$C106&amp;$D106&amp;$E106,".","_"),"(","_"),")","")</f>
        <v>dnt901_7_1</v>
      </c>
      <c r="AS106" s="1352" t="str">
        <f>IF(LEN(X106)=0,"",X106)</f>
        <v/>
      </c>
    </row>
    <row r="107" spans="2:45" x14ac:dyDescent="0.2">
      <c r="B107" s="600">
        <v>901.7</v>
      </c>
      <c r="C107" s="23" t="s">
        <v>254</v>
      </c>
      <c r="D107" s="79"/>
      <c r="E107" s="79"/>
      <c r="F107" s="79"/>
      <c r="G107" s="79"/>
      <c r="H107" s="694"/>
      <c r="I107" s="161"/>
      <c r="J107" s="4"/>
      <c r="K107" s="4"/>
      <c r="L107" s="1611"/>
      <c r="M107" s="374"/>
      <c r="N107" s="4"/>
      <c r="O107" s="138"/>
      <c r="X107" s="1600"/>
    </row>
    <row r="108" spans="2:45" x14ac:dyDescent="0.2">
      <c r="B108" s="600">
        <v>901.7</v>
      </c>
      <c r="C108" s="23" t="s">
        <v>254</v>
      </c>
      <c r="D108" s="79"/>
      <c r="E108" s="79"/>
      <c r="F108" s="79"/>
      <c r="G108" s="79"/>
      <c r="H108" s="694"/>
      <c r="I108" s="161"/>
      <c r="J108" s="4"/>
      <c r="K108" s="4"/>
      <c r="L108" s="1611"/>
      <c r="M108" s="374"/>
      <c r="N108" s="4"/>
      <c r="O108" s="138"/>
      <c r="X108" s="1600"/>
    </row>
    <row r="109" spans="2:45" x14ac:dyDescent="0.2">
      <c r="B109" s="600">
        <v>901.7</v>
      </c>
      <c r="C109" s="23" t="s">
        <v>254</v>
      </c>
      <c r="D109" s="79"/>
      <c r="E109" s="79"/>
      <c r="F109" s="79"/>
      <c r="G109" s="79"/>
      <c r="H109" s="694"/>
      <c r="I109" s="161"/>
      <c r="J109" s="4"/>
      <c r="K109" s="4"/>
      <c r="L109" s="1611"/>
      <c r="M109" s="374"/>
      <c r="N109" s="4"/>
      <c r="O109" s="138"/>
      <c r="X109" s="1600"/>
    </row>
    <row r="110" spans="2:45" x14ac:dyDescent="0.2">
      <c r="B110" s="600">
        <v>901.7</v>
      </c>
      <c r="C110" s="23" t="s">
        <v>254</v>
      </c>
      <c r="D110" s="79" t="s">
        <v>121</v>
      </c>
      <c r="E110" s="79"/>
      <c r="F110" s="79"/>
      <c r="G110" s="79"/>
      <c r="H110" s="694"/>
      <c r="I110" s="161"/>
      <c r="J110" s="4"/>
      <c r="K110" s="29" t="s">
        <v>121</v>
      </c>
      <c r="L110" s="158" t="s">
        <v>2716</v>
      </c>
      <c r="M110" s="374"/>
      <c r="N110" s="4"/>
      <c r="O110" s="138"/>
      <c r="X110" s="1600"/>
    </row>
    <row r="111" spans="2:45" x14ac:dyDescent="0.2">
      <c r="B111" s="600">
        <v>901.7</v>
      </c>
      <c r="C111" s="23" t="s">
        <v>254</v>
      </c>
      <c r="D111" s="79" t="s">
        <v>122</v>
      </c>
      <c r="E111" s="79"/>
      <c r="F111" s="79"/>
      <c r="G111" s="79"/>
      <c r="H111" s="694"/>
      <c r="I111" s="161"/>
      <c r="J111" s="4"/>
      <c r="K111" s="29" t="s">
        <v>122</v>
      </c>
      <c r="L111" s="158" t="s">
        <v>2717</v>
      </c>
      <c r="M111" s="374"/>
      <c r="N111" s="4"/>
      <c r="O111" s="138"/>
      <c r="X111" s="1600"/>
    </row>
    <row r="112" spans="2:45" x14ac:dyDescent="0.2">
      <c r="B112" s="600">
        <v>901.7</v>
      </c>
      <c r="C112" s="23" t="s">
        <v>254</v>
      </c>
      <c r="D112" s="79" t="s">
        <v>123</v>
      </c>
      <c r="E112" s="79"/>
      <c r="F112" s="79"/>
      <c r="G112" s="79"/>
      <c r="H112" s="694"/>
      <c r="I112" s="161"/>
      <c r="J112" s="4"/>
      <c r="K112" s="29" t="s">
        <v>123</v>
      </c>
      <c r="L112" s="158" t="s">
        <v>2718</v>
      </c>
      <c r="M112" s="374"/>
      <c r="N112" s="4"/>
      <c r="O112" s="138"/>
      <c r="X112" s="1600"/>
    </row>
    <row r="113" spans="1:51" x14ac:dyDescent="0.2">
      <c r="B113" s="600">
        <v>901.7</v>
      </c>
      <c r="C113" s="23" t="s">
        <v>254</v>
      </c>
      <c r="D113" s="79" t="s">
        <v>366</v>
      </c>
      <c r="E113" s="79"/>
      <c r="F113" s="79"/>
      <c r="G113" s="79"/>
      <c r="H113" s="694"/>
      <c r="I113" s="161"/>
      <c r="J113" s="4"/>
      <c r="K113" s="29" t="s">
        <v>366</v>
      </c>
      <c r="L113" s="158" t="s">
        <v>2719</v>
      </c>
      <c r="M113" s="374"/>
      <c r="N113" s="4"/>
      <c r="O113" s="138"/>
      <c r="X113" s="1600"/>
    </row>
    <row r="114" spans="1:51" x14ac:dyDescent="0.2">
      <c r="B114" s="600">
        <v>901.7</v>
      </c>
      <c r="C114" s="23" t="s">
        <v>254</v>
      </c>
      <c r="D114" s="79" t="s">
        <v>472</v>
      </c>
      <c r="E114" s="79"/>
      <c r="F114" s="79"/>
      <c r="G114" s="79"/>
      <c r="H114" s="694"/>
      <c r="I114" s="161"/>
      <c r="J114" s="4"/>
      <c r="K114" s="29" t="s">
        <v>472</v>
      </c>
      <c r="L114" s="158" t="s">
        <v>2720</v>
      </c>
      <c r="M114" s="374"/>
      <c r="N114" s="4"/>
      <c r="O114" s="138"/>
      <c r="X114" s="1600"/>
      <c r="Z114" s="337"/>
      <c r="AB114" s="337"/>
      <c r="AC114" s="337"/>
      <c r="AD114" s="337"/>
      <c r="AE114" s="337"/>
      <c r="AF114" s="337"/>
      <c r="AG114" s="337"/>
      <c r="AH114" s="337"/>
      <c r="AI114" s="337"/>
      <c r="AJ114" s="337"/>
      <c r="AK114" s="337"/>
    </row>
    <row r="115" spans="1:51" s="782" customFormat="1" x14ac:dyDescent="0.2">
      <c r="A115" s="20"/>
      <c r="B115" s="600">
        <v>901.7</v>
      </c>
      <c r="C115" s="23" t="s">
        <v>254</v>
      </c>
      <c r="D115" s="79" t="s">
        <v>510</v>
      </c>
      <c r="E115" s="79"/>
      <c r="F115" s="79"/>
      <c r="G115" s="79"/>
      <c r="H115" s="694"/>
      <c r="I115" s="161"/>
      <c r="J115" s="129"/>
      <c r="K115" s="180" t="s">
        <v>510</v>
      </c>
      <c r="L115" s="783" t="s">
        <v>2721</v>
      </c>
      <c r="M115" s="788"/>
      <c r="N115" s="4"/>
      <c r="O115" s="786"/>
      <c r="X115" s="1600"/>
      <c r="AL115" s="78"/>
      <c r="AM115" s="78"/>
      <c r="AN115" s="78"/>
      <c r="AO115" s="78"/>
      <c r="AP115" s="78"/>
      <c r="AQ115" s="78"/>
      <c r="AR115" s="78"/>
      <c r="AS115" s="78"/>
      <c r="AX115" s="78"/>
      <c r="AY115" s="78"/>
    </row>
    <row r="116" spans="1:51" x14ac:dyDescent="0.2">
      <c r="B116" s="600">
        <v>901.7</v>
      </c>
      <c r="C116" s="23" t="s">
        <v>254</v>
      </c>
      <c r="D116" s="79" t="s">
        <v>512</v>
      </c>
      <c r="E116" s="79"/>
      <c r="F116" s="79"/>
      <c r="G116" s="79"/>
      <c r="H116" s="694"/>
      <c r="I116" s="161"/>
      <c r="J116" s="213"/>
      <c r="K116" s="207" t="s">
        <v>512</v>
      </c>
      <c r="L116" s="784" t="s">
        <v>3898</v>
      </c>
      <c r="M116" s="374"/>
      <c r="N116" s="4"/>
      <c r="O116" s="138"/>
      <c r="W116" s="78" t="s">
        <v>2938</v>
      </c>
      <c r="X116" s="1600"/>
    </row>
    <row r="117" spans="1:51" s="337" customFormat="1" x14ac:dyDescent="0.2">
      <c r="A117" s="20"/>
      <c r="B117" s="600">
        <v>901.7</v>
      </c>
      <c r="C117" s="23" t="s">
        <v>255</v>
      </c>
      <c r="D117" s="79"/>
      <c r="E117" s="79"/>
      <c r="F117" s="79"/>
      <c r="G117" s="79"/>
      <c r="H117" s="694"/>
      <c r="I117" s="406"/>
      <c r="J117" s="207" t="s">
        <v>255</v>
      </c>
      <c r="K117" s="213"/>
      <c r="L117" s="369" t="s">
        <v>3045</v>
      </c>
      <c r="M117" s="371"/>
      <c r="N117" s="129"/>
      <c r="O117" s="238"/>
      <c r="P117" s="96" t="b">
        <v>0</v>
      </c>
      <c r="Q117" s="96" t="b">
        <v>1</v>
      </c>
      <c r="R117" s="96" t="b">
        <v>0</v>
      </c>
      <c r="S117" s="96" t="b">
        <v>1</v>
      </c>
      <c r="T117" s="96" t="b">
        <f>SUM(W106,W117,W118)&gt;1</f>
        <v>0</v>
      </c>
      <c r="U117" s="96"/>
      <c r="V117" s="96"/>
      <c r="W117" s="344"/>
      <c r="X117" s="1601"/>
      <c r="Y117" s="704"/>
      <c r="Z117" s="78"/>
      <c r="AA117" s="707"/>
      <c r="AB117" s="78"/>
      <c r="AC117" s="343" t="b">
        <f>OR(AD117:AE117)</f>
        <v>0</v>
      </c>
      <c r="AD117" s="343" t="b">
        <f>T117</f>
        <v>0</v>
      </c>
      <c r="AE117" s="343" t="b">
        <f>AND(R117,OR(W117="Not Met",W117=""))</f>
        <v>0</v>
      </c>
      <c r="AF117" s="78"/>
      <c r="AG117" s="78"/>
      <c r="AH117" s="78"/>
      <c r="AI117" s="78"/>
      <c r="AJ117" s="78"/>
      <c r="AK117" s="78"/>
      <c r="AL117" s="78"/>
      <c r="AM117" s="78"/>
      <c r="AN117" s="78"/>
      <c r="AO117" s="78"/>
      <c r="AP117" s="1352" t="str">
        <f>SUBSTITUTE(SUBSTITUTE(SUBSTITUTE("dch"&amp;$B117&amp;$C117&amp;$D117&amp;$E117,".","_"),"(","_"),")","")</f>
        <v>dch901_7_2</v>
      </c>
      <c r="AQ117" s="1352" t="str">
        <f>IF(LEN(W117)=0,"",W117)</f>
        <v/>
      </c>
      <c r="AR117" s="1352" t="str">
        <f>SUBSTITUTE(SUBSTITUTE(SUBSTITUTE("dnt"&amp;$B117&amp;$C117&amp;$D117&amp;$E117,".","_"),"(","_"),")","")</f>
        <v>dnt901_7_2</v>
      </c>
      <c r="AS117" s="1352" t="str">
        <f>IF(LEN(X117)=0,"",X117)</f>
        <v/>
      </c>
      <c r="AX117" s="782"/>
      <c r="AY117" s="782"/>
    </row>
    <row r="118" spans="1:51" x14ac:dyDescent="0.2">
      <c r="B118" s="600">
        <v>901.7</v>
      </c>
      <c r="C118" s="23" t="s">
        <v>256</v>
      </c>
      <c r="D118" s="79"/>
      <c r="E118" s="79"/>
      <c r="F118" s="79"/>
      <c r="G118" s="79"/>
      <c r="H118" s="694"/>
      <c r="I118" s="406"/>
      <c r="J118" s="180" t="s">
        <v>256</v>
      </c>
      <c r="K118" s="129"/>
      <c r="L118" s="368" t="s">
        <v>2927</v>
      </c>
      <c r="M118" s="371"/>
      <c r="N118" s="129"/>
      <c r="O118" s="238"/>
      <c r="P118" s="96" t="b">
        <v>0</v>
      </c>
      <c r="Q118" s="96" t="b">
        <v>1</v>
      </c>
      <c r="R118" s="96" t="b">
        <v>0</v>
      </c>
      <c r="S118" s="96" t="b">
        <v>1</v>
      </c>
      <c r="T118" s="96" t="b">
        <f>SUM(W106,W117,W118)&gt;1</f>
        <v>0</v>
      </c>
      <c r="U118" s="96"/>
      <c r="V118" s="96"/>
      <c r="W118" s="344"/>
      <c r="X118" s="1601"/>
      <c r="AC118" s="343" t="b">
        <f>OR(AD118:AE118)</f>
        <v>0</v>
      </c>
      <c r="AD118" s="343" t="b">
        <f>T118</f>
        <v>0</v>
      </c>
      <c r="AE118" s="343" t="b">
        <f>AND(R118,OR(W118="Not Met",W118=""))</f>
        <v>0</v>
      </c>
      <c r="AP118" s="1352" t="str">
        <f>SUBSTITUTE(SUBSTITUTE(SUBSTITUTE("dch"&amp;$B118&amp;$C118&amp;$D118&amp;$E118,".","_"),"(","_"),")","")</f>
        <v>dch901_7_3</v>
      </c>
      <c r="AQ118" s="1352" t="str">
        <f>IF(LEN(W118)=0,"",W118)</f>
        <v/>
      </c>
    </row>
    <row r="119" spans="1:51" x14ac:dyDescent="0.2">
      <c r="B119" s="600">
        <v>901.7</v>
      </c>
      <c r="C119" s="23" t="s">
        <v>256</v>
      </c>
      <c r="D119" s="23"/>
      <c r="E119" s="23"/>
      <c r="F119" s="23"/>
      <c r="G119" s="23"/>
      <c r="H119" s="691"/>
      <c r="I119" s="406"/>
      <c r="J119" s="129"/>
      <c r="K119" s="129"/>
      <c r="L119" s="1705" t="s">
        <v>2722</v>
      </c>
      <c r="M119" s="371"/>
      <c r="N119" s="129"/>
      <c r="O119" s="238"/>
      <c r="P119" s="96"/>
      <c r="Q119" s="96"/>
      <c r="R119" s="96"/>
      <c r="S119" s="96"/>
      <c r="T119" s="96"/>
      <c r="U119" s="96"/>
      <c r="V119" s="96"/>
      <c r="W119" s="96"/>
      <c r="X119" s="1601"/>
      <c r="AX119" s="337"/>
      <c r="AY119" s="337"/>
    </row>
    <row r="120" spans="1:51" ht="16" thickBot="1" x14ac:dyDescent="0.25">
      <c r="B120" s="600">
        <v>901.7</v>
      </c>
      <c r="C120" s="23" t="s">
        <v>256</v>
      </c>
      <c r="D120" s="23"/>
      <c r="E120" s="23"/>
      <c r="F120" s="23"/>
      <c r="G120" s="23"/>
      <c r="H120" s="691"/>
      <c r="I120" s="407"/>
      <c r="J120" s="239"/>
      <c r="K120" s="239"/>
      <c r="L120" s="1706"/>
      <c r="M120" s="375"/>
      <c r="N120" s="239"/>
      <c r="O120" s="240"/>
      <c r="P120" s="100"/>
      <c r="Q120" s="100"/>
      <c r="R120" s="100"/>
      <c r="S120" s="100"/>
      <c r="T120" s="100"/>
      <c r="U120" s="100"/>
      <c r="V120" s="100"/>
      <c r="W120" s="100"/>
      <c r="X120" s="1602"/>
    </row>
    <row r="121" spans="1:51" ht="16" thickTop="1" x14ac:dyDescent="0.2">
      <c r="B121" s="600">
        <v>901.8</v>
      </c>
      <c r="C121" s="23"/>
      <c r="D121" s="23"/>
      <c r="E121" s="23"/>
      <c r="F121" s="23"/>
      <c r="G121" s="23"/>
      <c r="H121" s="691"/>
      <c r="I121" s="177" t="s">
        <v>3676</v>
      </c>
      <c r="J121" s="178"/>
      <c r="K121" s="178"/>
      <c r="L121" s="1683" t="s">
        <v>3894</v>
      </c>
      <c r="M121" s="1685">
        <v>4</v>
      </c>
      <c r="N121" s="178"/>
      <c r="O121" s="1682">
        <f>M121*S121*W121</f>
        <v>0</v>
      </c>
      <c r="P121" s="96" t="b">
        <v>0</v>
      </c>
      <c r="Q121" s="96" t="b">
        <v>1</v>
      </c>
      <c r="R121" s="106" t="b">
        <v>0</v>
      </c>
      <c r="S121" s="106" t="b">
        <v>1</v>
      </c>
      <c r="T121" s="106" t="b">
        <v>0</v>
      </c>
      <c r="U121" s="106"/>
      <c r="V121" s="106"/>
      <c r="W121" s="334"/>
      <c r="X121" s="1603"/>
      <c r="AC121" s="343"/>
      <c r="AD121" s="343"/>
      <c r="AE121" s="343"/>
      <c r="AL121" s="1352" t="str">
        <f>SUBSTITUTE(SUBSTITUTE(SUBSTITUTE("dpa"&amp;$B121&amp;$C121&amp;$D121&amp;$E121,".","_"),"(","_"),")","")</f>
        <v>dpa901_8</v>
      </c>
      <c r="AM121" s="1352">
        <f>M121</f>
        <v>4</v>
      </c>
      <c r="AN121" s="1352" t="str">
        <f>SUBSTITUTE(SUBSTITUTE(SUBSTITUTE("dpc"&amp;$B121&amp;$C121&amp;$D121&amp;$E121,".","_"),"(","_"),")","")</f>
        <v>dpc901_8</v>
      </c>
      <c r="AO121" s="1352">
        <f>O121</f>
        <v>0</v>
      </c>
      <c r="AP121" s="1352" t="str">
        <f>SUBSTITUTE(SUBSTITUTE(SUBSTITUTE("dch"&amp;$B121&amp;$C121&amp;$D121&amp;$E121,".","_"),"(","_"),")","")</f>
        <v>dch901_8</v>
      </c>
      <c r="AQ121" s="1352" t="str">
        <f>IF(LEN(W121)=0,"",W121)</f>
        <v/>
      </c>
      <c r="AR121" s="1352" t="str">
        <f>SUBSTITUTE(SUBSTITUTE(SUBSTITUTE("dnt"&amp;$B121&amp;$C121&amp;$D121&amp;$E121,".","_"),"(","_"),")","")</f>
        <v>dnt901_8</v>
      </c>
      <c r="AS121" s="1352" t="str">
        <f>IF(LEN(X121)=0,"",X121)</f>
        <v/>
      </c>
    </row>
    <row r="122" spans="1:51" x14ac:dyDescent="0.2">
      <c r="B122" s="600">
        <v>901.8</v>
      </c>
      <c r="C122" s="23"/>
      <c r="D122" s="23"/>
      <c r="E122" s="23"/>
      <c r="F122" s="23"/>
      <c r="G122" s="23"/>
      <c r="H122" s="691"/>
      <c r="I122" s="406"/>
      <c r="J122" s="129"/>
      <c r="K122" s="129"/>
      <c r="L122" s="1629"/>
      <c r="M122" s="1623"/>
      <c r="N122" s="129"/>
      <c r="O122" s="1619"/>
      <c r="P122" s="96"/>
      <c r="Q122" s="96"/>
      <c r="R122" s="96"/>
      <c r="S122" s="96"/>
      <c r="T122" s="96"/>
      <c r="U122" s="96"/>
      <c r="V122" s="96"/>
      <c r="W122" s="96"/>
      <c r="X122" s="1601"/>
    </row>
    <row r="123" spans="1:51" x14ac:dyDescent="0.2">
      <c r="B123" s="600">
        <v>901.8</v>
      </c>
      <c r="C123" s="23"/>
      <c r="D123" s="23"/>
      <c r="E123" s="23"/>
      <c r="F123" s="23"/>
      <c r="G123" s="23"/>
      <c r="H123" s="691"/>
      <c r="I123" s="406"/>
      <c r="J123" s="129"/>
      <c r="K123" s="129"/>
      <c r="L123" s="1629"/>
      <c r="M123" s="1623"/>
      <c r="N123" s="129"/>
      <c r="O123" s="1619"/>
      <c r="P123" s="96"/>
      <c r="Q123" s="96"/>
      <c r="R123" s="96"/>
      <c r="S123" s="96"/>
      <c r="T123" s="96"/>
      <c r="U123" s="96"/>
      <c r="V123" s="96"/>
      <c r="W123" s="96"/>
      <c r="X123" s="1601"/>
    </row>
    <row r="124" spans="1:51" x14ac:dyDescent="0.2">
      <c r="B124" s="600">
        <v>901.8</v>
      </c>
      <c r="C124" s="23"/>
      <c r="D124" s="23"/>
      <c r="E124" s="23"/>
      <c r="F124" s="23"/>
      <c r="G124" s="23"/>
      <c r="H124" s="691"/>
      <c r="I124" s="406"/>
      <c r="J124" s="129"/>
      <c r="K124" s="129"/>
      <c r="L124" s="1629"/>
      <c r="M124" s="1623"/>
      <c r="N124" s="129"/>
      <c r="O124" s="1619"/>
      <c r="P124" s="96"/>
      <c r="Q124" s="96"/>
      <c r="R124" s="96"/>
      <c r="S124" s="96"/>
      <c r="T124" s="96"/>
      <c r="U124" s="96"/>
      <c r="V124" s="96"/>
      <c r="W124" s="96"/>
      <c r="X124" s="1601"/>
    </row>
    <row r="125" spans="1:51" x14ac:dyDescent="0.2">
      <c r="B125" s="600">
        <v>901.8</v>
      </c>
      <c r="C125" s="23"/>
      <c r="D125" s="23"/>
      <c r="E125" s="23"/>
      <c r="F125" s="23"/>
      <c r="G125" s="23"/>
      <c r="H125" s="691"/>
      <c r="I125" s="406"/>
      <c r="J125" s="129"/>
      <c r="K125" s="129"/>
      <c r="L125" s="1629"/>
      <c r="M125" s="1623"/>
      <c r="N125" s="129"/>
      <c r="O125" s="1619"/>
      <c r="P125" s="96"/>
      <c r="Q125" s="96"/>
      <c r="R125" s="96"/>
      <c r="S125" s="96"/>
      <c r="T125" s="96"/>
      <c r="U125" s="96"/>
      <c r="V125" s="96"/>
      <c r="W125" s="96"/>
      <c r="X125" s="1601"/>
    </row>
    <row r="126" spans="1:51" ht="16" thickBot="1" x14ac:dyDescent="0.25">
      <c r="B126" s="600">
        <v>901.8</v>
      </c>
      <c r="C126" s="23"/>
      <c r="D126" s="23"/>
      <c r="E126" s="23"/>
      <c r="F126" s="23"/>
      <c r="G126" s="23"/>
      <c r="H126" s="691"/>
      <c r="I126" s="407"/>
      <c r="J126" s="239"/>
      <c r="K126" s="239"/>
      <c r="L126" s="1630"/>
      <c r="M126" s="1627"/>
      <c r="N126" s="239"/>
      <c r="O126" s="1638"/>
      <c r="P126" s="100"/>
      <c r="Q126" s="100"/>
      <c r="R126" s="100"/>
      <c r="S126" s="100"/>
      <c r="T126" s="100"/>
      <c r="U126" s="100"/>
      <c r="V126" s="100"/>
      <c r="W126" s="100"/>
      <c r="X126" s="1602"/>
    </row>
    <row r="127" spans="1:51" ht="16" thickTop="1" x14ac:dyDescent="0.2">
      <c r="B127" s="600">
        <v>901.9</v>
      </c>
      <c r="C127" s="23"/>
      <c r="D127" s="23"/>
      <c r="E127" s="23"/>
      <c r="F127" s="23"/>
      <c r="G127" s="23"/>
      <c r="H127" s="691"/>
      <c r="I127" s="177" t="s">
        <v>3677</v>
      </c>
      <c r="J127" s="178"/>
      <c r="K127" s="178"/>
      <c r="L127" s="1683" t="s">
        <v>3893</v>
      </c>
      <c r="M127" s="388"/>
      <c r="N127" s="178"/>
      <c r="O127" s="427"/>
      <c r="P127" s="106"/>
      <c r="Q127" s="106"/>
      <c r="R127" s="106"/>
      <c r="S127" s="106"/>
      <c r="T127" s="106"/>
      <c r="U127" s="106"/>
      <c r="V127" s="106"/>
      <c r="W127" s="106"/>
      <c r="X127" s="1600"/>
      <c r="AR127" s="1352" t="str">
        <f>SUBSTITUTE(SUBSTITUTE(SUBSTITUTE("dnt"&amp;$B127&amp;$C127&amp;$D127&amp;$E127,".","_"),"(","_"),")","")</f>
        <v>dnt901_9</v>
      </c>
      <c r="AS127" s="1352" t="str">
        <f>IF(LEN(X127)=0,"",X127)</f>
        <v/>
      </c>
    </row>
    <row r="128" spans="1:51" x14ac:dyDescent="0.2">
      <c r="B128" s="600">
        <v>901.9</v>
      </c>
      <c r="C128" s="23"/>
      <c r="D128" s="23"/>
      <c r="E128" s="23"/>
      <c r="F128" s="23"/>
      <c r="G128" s="23"/>
      <c r="H128" s="691"/>
      <c r="I128" s="406"/>
      <c r="J128" s="129"/>
      <c r="K128" s="129"/>
      <c r="L128" s="1629"/>
      <c r="M128" s="389"/>
      <c r="N128" s="129"/>
      <c r="O128" s="423"/>
      <c r="P128" s="96"/>
      <c r="Q128" s="96"/>
      <c r="R128" s="96"/>
      <c r="S128" s="96"/>
      <c r="T128" s="96"/>
      <c r="U128" s="96"/>
      <c r="V128" s="96"/>
      <c r="W128" s="96"/>
      <c r="X128" s="1600"/>
    </row>
    <row r="129" spans="1:51" s="782" customFormat="1" x14ac:dyDescent="0.2">
      <c r="A129" s="20"/>
      <c r="B129" s="600">
        <v>901.9</v>
      </c>
      <c r="C129" s="23"/>
      <c r="D129" s="23"/>
      <c r="E129" s="23"/>
      <c r="F129" s="23"/>
      <c r="G129" s="23"/>
      <c r="H129" s="691"/>
      <c r="I129" s="406"/>
      <c r="J129" s="129"/>
      <c r="K129" s="129"/>
      <c r="L129" s="1629"/>
      <c r="M129" s="787"/>
      <c r="N129" s="129"/>
      <c r="O129" s="785"/>
      <c r="P129" s="96"/>
      <c r="Q129" s="96"/>
      <c r="R129" s="96"/>
      <c r="S129" s="96"/>
      <c r="T129" s="96"/>
      <c r="U129" s="96"/>
      <c r="V129" s="96"/>
      <c r="W129" s="96"/>
      <c r="X129" s="1600"/>
      <c r="AL129" s="78"/>
      <c r="AM129" s="78"/>
      <c r="AN129" s="78"/>
      <c r="AO129" s="78"/>
      <c r="AP129" s="78"/>
      <c r="AQ129" s="78"/>
      <c r="AR129" s="78"/>
      <c r="AS129" s="78"/>
      <c r="AX129" s="78"/>
      <c r="AY129" s="78"/>
    </row>
    <row r="130" spans="1:51" x14ac:dyDescent="0.2">
      <c r="B130" s="600">
        <v>901.9</v>
      </c>
      <c r="C130" s="23"/>
      <c r="D130" s="23"/>
      <c r="E130" s="23"/>
      <c r="F130" s="23"/>
      <c r="G130" s="23"/>
      <c r="H130" s="691"/>
      <c r="I130" s="406"/>
      <c r="J130" s="129"/>
      <c r="K130" s="129"/>
      <c r="L130" s="1629"/>
      <c r="M130" s="389"/>
      <c r="N130" s="129"/>
      <c r="O130" s="423"/>
      <c r="P130" s="96"/>
      <c r="Q130" s="96"/>
      <c r="R130" s="96"/>
      <c r="S130" s="96"/>
      <c r="T130" s="96"/>
      <c r="U130" s="96"/>
      <c r="V130" s="96"/>
      <c r="W130" s="96"/>
      <c r="X130" s="1600"/>
    </row>
    <row r="131" spans="1:51" x14ac:dyDescent="0.2">
      <c r="B131" s="600" t="s">
        <v>2723</v>
      </c>
      <c r="C131" s="23"/>
      <c r="D131" s="23"/>
      <c r="E131" s="23"/>
      <c r="F131" s="23"/>
      <c r="G131" s="23"/>
      <c r="H131" s="691"/>
      <c r="I131" s="67" t="s">
        <v>3678</v>
      </c>
      <c r="J131" s="4"/>
      <c r="K131" s="4"/>
      <c r="L131" s="1631" t="s">
        <v>3736</v>
      </c>
      <c r="M131" s="1628">
        <v>5</v>
      </c>
      <c r="N131" s="4"/>
      <c r="O131" s="1669">
        <f>M131*S133*IFERROR(OR(W133,W135,W136),0)</f>
        <v>5</v>
      </c>
      <c r="AL131" s="1352" t="str">
        <f>SUBSTITUTE(SUBSTITUTE(SUBSTITUTE("dpa"&amp;$B131&amp;$C131&amp;$D131&amp;$E131,".","_"),"(","_"),")","")</f>
        <v>dpa901_9_1</v>
      </c>
      <c r="AM131" s="1352">
        <f>M131</f>
        <v>5</v>
      </c>
      <c r="AN131" s="1352" t="str">
        <f>SUBSTITUTE(SUBSTITUTE(SUBSTITUTE("dpc"&amp;$B131&amp;$C131&amp;$D131&amp;$E131,".","_"),"(","_"),")","")</f>
        <v>dpc901_9_1</v>
      </c>
      <c r="AO131" s="1352">
        <f>O131</f>
        <v>5</v>
      </c>
      <c r="AX131" s="782"/>
      <c r="AY131" s="782"/>
    </row>
    <row r="132" spans="1:51" x14ac:dyDescent="0.2">
      <c r="B132" s="600" t="s">
        <v>2723</v>
      </c>
      <c r="C132" s="23"/>
      <c r="D132" s="23"/>
      <c r="E132" s="23"/>
      <c r="F132" s="23"/>
      <c r="G132" s="23"/>
      <c r="H132" s="691"/>
      <c r="I132" s="161"/>
      <c r="J132" s="4"/>
      <c r="K132" s="4"/>
      <c r="L132" s="1631"/>
      <c r="M132" s="1628"/>
      <c r="N132" s="4"/>
      <c r="O132" s="1669"/>
    </row>
    <row r="133" spans="1:51" x14ac:dyDescent="0.2">
      <c r="B133" s="600" t="s">
        <v>2723</v>
      </c>
      <c r="C133" s="23" t="s">
        <v>254</v>
      </c>
      <c r="D133" s="23"/>
      <c r="E133" s="23"/>
      <c r="F133" s="23"/>
      <c r="G133" s="23"/>
      <c r="H133" s="691"/>
      <c r="I133" s="161"/>
      <c r="J133" s="180" t="s">
        <v>254</v>
      </c>
      <c r="K133" s="129"/>
      <c r="L133" s="1609" t="s">
        <v>2724</v>
      </c>
      <c r="M133" s="374"/>
      <c r="N133" s="4"/>
      <c r="O133" s="138"/>
      <c r="P133" s="96" t="b">
        <v>0</v>
      </c>
      <c r="Q133" s="96" t="b">
        <v>1</v>
      </c>
      <c r="R133" s="337" t="b">
        <v>0</v>
      </c>
      <c r="S133" s="337" t="b">
        <f>NOT(W143)</f>
        <v>1</v>
      </c>
      <c r="T133" s="96" t="b">
        <f>AND(NOT(S133),W133=TRUE)</f>
        <v>0</v>
      </c>
      <c r="W133" s="27"/>
      <c r="X133" s="1600"/>
      <c r="AC133" s="343" t="b">
        <f>OR(AD133:AE133)</f>
        <v>0</v>
      </c>
      <c r="AD133" s="343" t="b">
        <f>T133</f>
        <v>0</v>
      </c>
      <c r="AE133" s="343" t="b">
        <f>AND(R133,NOT(W133))</f>
        <v>0</v>
      </c>
      <c r="AP133" s="1352" t="str">
        <f>SUBSTITUTE(SUBSTITUTE(SUBSTITUTE("dch"&amp;$B133&amp;$C133&amp;$D133&amp;$E133,".","_"),"(","_"),")","")</f>
        <v>dch901_9_1_1</v>
      </c>
      <c r="AQ133" s="1352" t="str">
        <f>IF(LEN(W133)=0,"",W133)</f>
        <v/>
      </c>
      <c r="AR133" s="1352" t="str">
        <f>SUBSTITUTE(SUBSTITUTE(SUBSTITUTE("dnt"&amp;$B133&amp;$C133&amp;$D133&amp;$E133,".","_"),"(","_"),")","")</f>
        <v>dnt901_9_1_1</v>
      </c>
      <c r="AS133" s="1352" t="str">
        <f>IF(LEN(X133)=0,"",X133)</f>
        <v/>
      </c>
    </row>
    <row r="134" spans="1:51" x14ac:dyDescent="0.2">
      <c r="B134" s="600" t="s">
        <v>2723</v>
      </c>
      <c r="C134" s="23" t="s">
        <v>254</v>
      </c>
      <c r="D134" s="23"/>
      <c r="E134" s="23"/>
      <c r="F134" s="23"/>
      <c r="G134" s="23"/>
      <c r="H134" s="691"/>
      <c r="I134" s="161"/>
      <c r="J134" s="213"/>
      <c r="K134" s="213"/>
      <c r="L134" s="1612"/>
      <c r="M134" s="374"/>
      <c r="N134" s="4"/>
      <c r="O134" s="138"/>
      <c r="X134" s="1600"/>
    </row>
    <row r="135" spans="1:51" x14ac:dyDescent="0.2">
      <c r="B135" s="600" t="s">
        <v>2723</v>
      </c>
      <c r="C135" s="23" t="s">
        <v>255</v>
      </c>
      <c r="D135" s="23"/>
      <c r="E135" s="23"/>
      <c r="F135" s="23"/>
      <c r="G135" s="23"/>
      <c r="H135" s="691"/>
      <c r="I135" s="161"/>
      <c r="J135" s="207" t="s">
        <v>255</v>
      </c>
      <c r="K135" s="213"/>
      <c r="L135" s="369" t="s">
        <v>2725</v>
      </c>
      <c r="M135" s="374"/>
      <c r="N135" s="4"/>
      <c r="O135" s="138"/>
      <c r="P135" s="96" t="b">
        <v>0</v>
      </c>
      <c r="Q135" s="96" t="b">
        <v>1</v>
      </c>
      <c r="R135" s="337" t="b">
        <v>0</v>
      </c>
      <c r="S135" s="341" t="b">
        <f>NOT(W143)</f>
        <v>1</v>
      </c>
      <c r="T135" s="96" t="b">
        <f>AND(NOT(S135),W135=TRUE)</f>
        <v>0</v>
      </c>
      <c r="W135" s="27" t="b">
        <v>0</v>
      </c>
      <c r="X135" s="366"/>
      <c r="AC135" s="343" t="b">
        <f>OR(AD135:AE135)</f>
        <v>0</v>
      </c>
      <c r="AD135" s="343" t="b">
        <f>T135</f>
        <v>0</v>
      </c>
      <c r="AE135" s="343" t="b">
        <f>AND(R135,NOT(W135))</f>
        <v>0</v>
      </c>
      <c r="AP135" s="1352" t="str">
        <f>SUBSTITUTE(SUBSTITUTE(SUBSTITUTE("dch"&amp;$B135&amp;$C135&amp;$D135&amp;$E135,".","_"),"(","_"),")","")</f>
        <v>dch901_9_1_2</v>
      </c>
      <c r="AQ135" s="1352" t="b">
        <f>IF(LEN(W135)=0,"",W135)</f>
        <v>0</v>
      </c>
      <c r="AR135" s="1352" t="str">
        <f>SUBSTITUTE(SUBSTITUTE(SUBSTITUTE("dnt"&amp;$B135&amp;$C135&amp;$D135&amp;$E135,".","_"),"(","_"),")","")</f>
        <v>dnt901_9_1_2</v>
      </c>
      <c r="AS135" s="1352" t="str">
        <f>IF(LEN(X135)=0,"",X135)</f>
        <v/>
      </c>
    </row>
    <row r="136" spans="1:51" x14ac:dyDescent="0.2">
      <c r="B136" s="600" t="s">
        <v>2723</v>
      </c>
      <c r="C136" s="23" t="s">
        <v>256</v>
      </c>
      <c r="D136" s="23"/>
      <c r="E136" s="23"/>
      <c r="F136" s="23"/>
      <c r="G136" s="23"/>
      <c r="H136" s="691"/>
      <c r="I136" s="406"/>
      <c r="J136" s="180" t="s">
        <v>256</v>
      </c>
      <c r="K136" s="129"/>
      <c r="L136" s="385" t="s">
        <v>3879</v>
      </c>
      <c r="M136" s="389"/>
      <c r="N136" s="129"/>
      <c r="O136" s="423"/>
      <c r="P136" s="96" t="b">
        <v>0</v>
      </c>
      <c r="Q136" s="96" t="b">
        <v>1</v>
      </c>
      <c r="R136" s="96" t="b">
        <v>0</v>
      </c>
      <c r="S136" s="96" t="b">
        <f>NOT(W143)</f>
        <v>1</v>
      </c>
      <c r="T136" s="96" t="b">
        <f>AND(NOT(S136),W136=TRUE)</f>
        <v>0</v>
      </c>
      <c r="U136" s="96"/>
      <c r="V136" s="96"/>
      <c r="W136" s="333" t="b">
        <v>1</v>
      </c>
      <c r="X136" s="1601"/>
      <c r="AC136" s="343" t="b">
        <f>OR(AD136:AE136)</f>
        <v>0</v>
      </c>
      <c r="AD136" s="343" t="b">
        <f>T136</f>
        <v>0</v>
      </c>
      <c r="AE136" s="343" t="b">
        <f>AND(R136,NOT(W136))</f>
        <v>0</v>
      </c>
      <c r="AP136" s="1352" t="str">
        <f>SUBSTITUTE(SUBSTITUTE(SUBSTITUTE("dch"&amp;$B136&amp;$C136&amp;$D136&amp;$E136,".","_"),"(","_"),")","")</f>
        <v>dch901_9_1_3</v>
      </c>
      <c r="AQ136" s="1352" t="b">
        <f>IF(LEN(W136)=0,"",W136)</f>
        <v>1</v>
      </c>
      <c r="AR136" s="1352" t="str">
        <f>SUBSTITUTE(SUBSTITUTE(SUBSTITUTE("dnt"&amp;$B136&amp;$C136&amp;$D136&amp;$E136,".","_"),"(","_"),")","")</f>
        <v>dnt901_9_1_3</v>
      </c>
      <c r="AS136" s="1352" t="str">
        <f>IF(LEN(X136)=0,"",X136)</f>
        <v/>
      </c>
    </row>
    <row r="137" spans="1:51" x14ac:dyDescent="0.2">
      <c r="B137" s="600" t="s">
        <v>2723</v>
      </c>
      <c r="C137" s="23" t="s">
        <v>256</v>
      </c>
      <c r="H137" s="693"/>
      <c r="I137" s="173"/>
      <c r="J137" s="173"/>
      <c r="K137" s="173"/>
      <c r="L137" s="441" t="s">
        <v>3882</v>
      </c>
      <c r="M137" s="213"/>
      <c r="N137" s="213"/>
      <c r="O137" s="213"/>
      <c r="P137" s="173"/>
      <c r="Q137" s="173"/>
      <c r="R137" s="173"/>
      <c r="S137" s="173"/>
      <c r="T137" s="173"/>
      <c r="U137" s="173"/>
      <c r="V137" s="173"/>
      <c r="W137" s="173"/>
      <c r="X137" s="1601"/>
      <c r="Z137"/>
      <c r="AB137"/>
      <c r="AC137"/>
      <c r="AD137"/>
      <c r="AE137"/>
      <c r="AF137"/>
      <c r="AG137"/>
      <c r="AH137"/>
      <c r="AI137"/>
      <c r="AJ137"/>
      <c r="AK137"/>
    </row>
    <row r="138" spans="1:51" x14ac:dyDescent="0.2">
      <c r="B138" s="600" t="s">
        <v>2726</v>
      </c>
      <c r="C138" s="23"/>
      <c r="D138" s="23"/>
      <c r="E138" s="23"/>
      <c r="F138" s="23"/>
      <c r="G138" s="23"/>
      <c r="H138" s="691"/>
      <c r="I138" s="192" t="s">
        <v>3679</v>
      </c>
      <c r="J138" s="193"/>
      <c r="K138" s="193"/>
      <c r="L138" s="1712" t="s">
        <v>3735</v>
      </c>
      <c r="M138" s="1636">
        <v>1</v>
      </c>
      <c r="N138" s="193"/>
      <c r="O138" s="1637">
        <f>M138*S138*W138</f>
        <v>0</v>
      </c>
      <c r="P138" s="96" t="b">
        <v>0</v>
      </c>
      <c r="Q138" s="96" t="b">
        <v>1</v>
      </c>
      <c r="R138" s="195" t="b">
        <v>0</v>
      </c>
      <c r="S138" s="195" t="b">
        <f>IFERROR(OR(AND(W133,W135,W136),W143),FALSE)</f>
        <v>0</v>
      </c>
      <c r="T138" s="195" t="b">
        <f>AND(NOT(S138),W138=TRUE)</f>
        <v>0</v>
      </c>
      <c r="U138" s="195"/>
      <c r="V138" s="195"/>
      <c r="W138" s="333"/>
      <c r="X138" s="1601"/>
      <c r="AC138" s="343" t="b">
        <f>OR(AD138:AE138)</f>
        <v>0</v>
      </c>
      <c r="AD138" s="343" t="b">
        <f>T138</f>
        <v>0</v>
      </c>
      <c r="AE138" s="343" t="b">
        <f>AND(R138,NOT(W138))</f>
        <v>0</v>
      </c>
      <c r="AL138" s="1352" t="str">
        <f>SUBSTITUTE(SUBSTITUTE(SUBSTITUTE("dpa"&amp;$B138&amp;$C138&amp;$D138&amp;$E138,".","_"),"(","_"),")","")</f>
        <v>dpa901_9_2</v>
      </c>
      <c r="AM138" s="1352">
        <f>M138</f>
        <v>1</v>
      </c>
      <c r="AN138" s="1352" t="str">
        <f>SUBSTITUTE(SUBSTITUTE(SUBSTITUTE("dpc"&amp;$B138&amp;$C138&amp;$D138&amp;$E138,".","_"),"(","_"),")","")</f>
        <v>dpc901_9_2</v>
      </c>
      <c r="AO138" s="1352">
        <f>O138</f>
        <v>0</v>
      </c>
      <c r="AP138" s="1352" t="str">
        <f>SUBSTITUTE(SUBSTITUTE(SUBSTITUTE("dch"&amp;$B138&amp;$C138&amp;$D138&amp;$E138,".","_"),"(","_"),")","")</f>
        <v>dch901_9_2</v>
      </c>
      <c r="AQ138" s="1352" t="str">
        <f>IF(LEN(W138)=0,"",W138)</f>
        <v/>
      </c>
      <c r="AR138" s="1352" t="str">
        <f>SUBSTITUTE(SUBSTITUTE(SUBSTITUTE("dnt"&amp;$B138&amp;$C138&amp;$D138&amp;$E138,".","_"),"(","_"),")","")</f>
        <v>dnt901_9_2</v>
      </c>
      <c r="AS138" s="1352" t="str">
        <f>IF(LEN(X138)=0,"",X138)</f>
        <v/>
      </c>
    </row>
    <row r="139" spans="1:51" customFormat="1" x14ac:dyDescent="0.2">
      <c r="A139" s="20"/>
      <c r="B139" s="600" t="s">
        <v>2726</v>
      </c>
      <c r="C139" s="23"/>
      <c r="D139" s="23"/>
      <c r="E139" s="23"/>
      <c r="F139" s="23"/>
      <c r="G139" s="23"/>
      <c r="H139" s="691"/>
      <c r="I139" s="406"/>
      <c r="J139" s="129"/>
      <c r="K139" s="129"/>
      <c r="L139" s="1629"/>
      <c r="M139" s="1623"/>
      <c r="N139" s="129"/>
      <c r="O139" s="1619"/>
      <c r="P139" s="96"/>
      <c r="Q139" s="96"/>
      <c r="R139" s="96"/>
      <c r="S139" s="96"/>
      <c r="T139" s="96"/>
      <c r="U139" s="96"/>
      <c r="V139" s="96"/>
      <c r="W139" s="96"/>
      <c r="X139" s="1601"/>
      <c r="Y139" s="704"/>
      <c r="Z139" s="78"/>
      <c r="AA139" s="707"/>
      <c r="AB139" s="78"/>
      <c r="AC139" s="78"/>
      <c r="AD139" s="78"/>
      <c r="AE139" s="78"/>
      <c r="AF139" s="78"/>
      <c r="AG139" s="78"/>
      <c r="AH139" s="78"/>
      <c r="AI139" s="78"/>
      <c r="AJ139" s="78"/>
      <c r="AK139" s="78"/>
      <c r="AL139" s="78"/>
      <c r="AM139" s="78"/>
      <c r="AN139" s="78"/>
      <c r="AO139" s="78"/>
      <c r="AP139" s="78"/>
      <c r="AQ139" s="78"/>
      <c r="AR139" s="78"/>
      <c r="AS139" s="78"/>
      <c r="AX139" s="78"/>
      <c r="AY139" s="78"/>
    </row>
    <row r="140" spans="1:51" x14ac:dyDescent="0.2">
      <c r="B140" s="600" t="s">
        <v>2726</v>
      </c>
      <c r="C140" s="23"/>
      <c r="D140" s="23"/>
      <c r="E140" s="23"/>
      <c r="F140" s="23"/>
      <c r="G140" s="23"/>
      <c r="H140" s="691"/>
      <c r="I140" s="406"/>
      <c r="J140" s="129"/>
      <c r="K140" s="129"/>
      <c r="L140" s="1772" t="s">
        <v>3880</v>
      </c>
      <c r="M140" s="1623"/>
      <c r="N140" s="129"/>
      <c r="O140" s="1619"/>
      <c r="P140" s="96"/>
      <c r="Q140" s="96"/>
      <c r="R140" s="96"/>
      <c r="S140" s="96"/>
      <c r="T140" s="96"/>
      <c r="U140" s="96"/>
      <c r="V140" s="96"/>
      <c r="W140" s="96"/>
      <c r="X140" s="1601"/>
    </row>
    <row r="141" spans="1:51" x14ac:dyDescent="0.2">
      <c r="B141" s="600" t="s">
        <v>2726</v>
      </c>
      <c r="C141" s="23"/>
      <c r="D141" s="23"/>
      <c r="E141" s="23"/>
      <c r="F141" s="23"/>
      <c r="G141" s="23"/>
      <c r="H141" s="691"/>
      <c r="I141" s="406"/>
      <c r="J141" s="129"/>
      <c r="K141" s="129"/>
      <c r="L141" s="1772"/>
      <c r="M141" s="1623"/>
      <c r="N141" s="129"/>
      <c r="O141" s="1619"/>
      <c r="P141" s="96"/>
      <c r="Q141" s="96"/>
      <c r="R141" s="96"/>
      <c r="S141" s="96"/>
      <c r="T141" s="96"/>
      <c r="U141" s="96"/>
      <c r="V141" s="96"/>
      <c r="W141" s="96"/>
      <c r="X141" s="1601"/>
      <c r="AX141"/>
      <c r="AY141"/>
    </row>
    <row r="142" spans="1:51" x14ac:dyDescent="0.2">
      <c r="B142" s="600" t="s">
        <v>2726</v>
      </c>
      <c r="C142" s="23"/>
      <c r="D142" s="23"/>
      <c r="E142" s="23"/>
      <c r="F142" s="23"/>
      <c r="G142" s="23"/>
      <c r="H142" s="691"/>
      <c r="I142" s="438"/>
      <c r="J142" s="213"/>
      <c r="K142" s="213"/>
      <c r="L142" s="441" t="s">
        <v>3881</v>
      </c>
      <c r="M142" s="390"/>
      <c r="N142" s="213"/>
      <c r="O142" s="424"/>
      <c r="P142" s="173"/>
      <c r="Q142" s="173"/>
      <c r="R142" s="173"/>
      <c r="S142" s="173"/>
      <c r="T142" s="173"/>
      <c r="U142" s="173"/>
      <c r="V142" s="173"/>
      <c r="W142" s="173"/>
      <c r="X142" s="1601"/>
      <c r="Z142" s="341"/>
      <c r="AB142" s="341"/>
      <c r="AC142" s="341"/>
      <c r="AD142" s="341"/>
      <c r="AE142" s="341"/>
      <c r="AF142" s="341"/>
      <c r="AG142" s="341"/>
      <c r="AH142" s="341"/>
      <c r="AI142" s="341"/>
      <c r="AJ142" s="341"/>
      <c r="AK142" s="341"/>
    </row>
    <row r="143" spans="1:51" x14ac:dyDescent="0.2">
      <c r="B143" s="600" t="s">
        <v>2727</v>
      </c>
      <c r="C143" s="23"/>
      <c r="D143" s="23"/>
      <c r="E143" s="23"/>
      <c r="F143" s="23"/>
      <c r="G143" s="23"/>
      <c r="H143" s="691"/>
      <c r="I143" s="130" t="s">
        <v>3680</v>
      </c>
      <c r="J143" s="129"/>
      <c r="K143" s="129"/>
      <c r="L143" s="1629" t="s">
        <v>3734</v>
      </c>
      <c r="M143" s="1623">
        <v>8</v>
      </c>
      <c r="N143" s="129"/>
      <c r="O143" s="1619">
        <f>M143*S143*W143</f>
        <v>0</v>
      </c>
      <c r="P143" s="96" t="b">
        <v>0</v>
      </c>
      <c r="Q143" s="96" t="b">
        <v>1</v>
      </c>
      <c r="R143" s="96" t="b">
        <v>0</v>
      </c>
      <c r="S143" s="96" t="b">
        <f>AND(NOT(W133),NOT(W135),NOT(W136))</f>
        <v>0</v>
      </c>
      <c r="T143" s="96" t="b">
        <f>AND(NOT(S143),W143=TRUE)</f>
        <v>0</v>
      </c>
      <c r="U143" s="96"/>
      <c r="V143" s="96"/>
      <c r="W143" s="119"/>
      <c r="X143" s="1599"/>
      <c r="AC143" s="343" t="b">
        <f>OR(AD143:AE143)</f>
        <v>0</v>
      </c>
      <c r="AD143" s="343" t="b">
        <f>T143</f>
        <v>0</v>
      </c>
      <c r="AE143" s="343" t="b">
        <f>AND(R143,NOT(W143))</f>
        <v>0</v>
      </c>
      <c r="AL143" s="1352" t="str">
        <f>SUBSTITUTE(SUBSTITUTE(SUBSTITUTE("dpa"&amp;$B143&amp;$C143&amp;$D143&amp;$E143,".","_"),"(","_"),")","")</f>
        <v>dpa901_9_3</v>
      </c>
      <c r="AM143" s="1352">
        <f>M143</f>
        <v>8</v>
      </c>
      <c r="AN143" s="1352" t="str">
        <f>SUBSTITUTE(SUBSTITUTE(SUBSTITUTE("dpc"&amp;$B143&amp;$C143&amp;$D143&amp;$E143,".","_"),"(","_"),")","")</f>
        <v>dpc901_9_3</v>
      </c>
      <c r="AO143" s="1352">
        <f>O143</f>
        <v>0</v>
      </c>
      <c r="AP143" s="1352" t="str">
        <f>SUBSTITUTE(SUBSTITUTE(SUBSTITUTE("dch"&amp;$B143&amp;$C143&amp;$D143&amp;$E143,".","_"),"(","_"),")","")</f>
        <v>dch901_9_3</v>
      </c>
      <c r="AQ143" s="1352" t="str">
        <f>IF(LEN(W143)=0,"",W143)</f>
        <v/>
      </c>
      <c r="AR143" s="1352" t="str">
        <f>SUBSTITUTE(SUBSTITUTE(SUBSTITUTE("dnt"&amp;$B143&amp;$C143&amp;$D143&amp;$E143,".","_"),"(","_"),")","")</f>
        <v>dnt901_9_3</v>
      </c>
      <c r="AS143" s="1352" t="str">
        <f>IF(LEN(X143)=0,"",X143)</f>
        <v/>
      </c>
    </row>
    <row r="144" spans="1:51" s="341" customFormat="1" x14ac:dyDescent="0.2">
      <c r="A144" s="20"/>
      <c r="B144" s="600" t="s">
        <v>2727</v>
      </c>
      <c r="C144" s="23"/>
      <c r="D144" s="23"/>
      <c r="E144" s="23"/>
      <c r="F144" s="23"/>
      <c r="G144" s="23"/>
      <c r="H144" s="691"/>
      <c r="I144" s="406"/>
      <c r="J144" s="129"/>
      <c r="K144" s="129"/>
      <c r="L144" s="1629"/>
      <c r="M144" s="1623"/>
      <c r="N144" s="129"/>
      <c r="O144" s="1619"/>
      <c r="P144" s="96"/>
      <c r="Q144" s="96"/>
      <c r="R144" s="96"/>
      <c r="S144" s="96"/>
      <c r="T144" s="96"/>
      <c r="U144" s="96"/>
      <c r="V144" s="96"/>
      <c r="W144" s="96"/>
      <c r="X144" s="1601"/>
      <c r="Y144" s="704"/>
      <c r="Z144" s="78"/>
      <c r="AA144" s="707"/>
      <c r="AB144" s="78"/>
      <c r="AC144" s="78"/>
      <c r="AD144" s="78"/>
      <c r="AE144" s="78"/>
      <c r="AF144" s="78"/>
      <c r="AG144" s="78"/>
      <c r="AH144" s="78"/>
      <c r="AI144" s="78"/>
      <c r="AJ144" s="78"/>
      <c r="AK144" s="78"/>
      <c r="AL144" s="78"/>
      <c r="AM144" s="78"/>
      <c r="AN144" s="78"/>
      <c r="AO144" s="78"/>
      <c r="AP144" s="78"/>
      <c r="AQ144" s="78"/>
      <c r="AR144" s="78"/>
      <c r="AS144" s="78"/>
      <c r="AX144" s="78"/>
      <c r="AY144" s="78"/>
    </row>
    <row r="145" spans="1:51" x14ac:dyDescent="0.2">
      <c r="B145" s="600" t="s">
        <v>2727</v>
      </c>
      <c r="C145" s="23"/>
      <c r="D145" s="23"/>
      <c r="E145" s="23"/>
      <c r="F145" s="23"/>
      <c r="G145" s="23"/>
      <c r="H145" s="691"/>
      <c r="I145" s="406"/>
      <c r="J145" s="129"/>
      <c r="K145" s="129"/>
      <c r="L145" s="1629"/>
      <c r="M145" s="1623"/>
      <c r="N145" s="129"/>
      <c r="O145" s="1619"/>
      <c r="P145" s="96"/>
      <c r="Q145" s="96"/>
      <c r="R145" s="96"/>
      <c r="S145" s="96"/>
      <c r="T145" s="96"/>
      <c r="U145" s="96"/>
      <c r="V145" s="96"/>
      <c r="W145" s="96"/>
      <c r="X145" s="1601"/>
    </row>
    <row r="146" spans="1:51" x14ac:dyDescent="0.2">
      <c r="B146" s="600" t="s">
        <v>2727</v>
      </c>
      <c r="C146" s="23"/>
      <c r="D146" s="23"/>
      <c r="E146" s="23"/>
      <c r="F146" s="23"/>
      <c r="G146" s="23"/>
      <c r="H146" s="691"/>
      <c r="I146" s="406"/>
      <c r="J146" s="129"/>
      <c r="K146" s="129"/>
      <c r="L146" s="1629"/>
      <c r="M146" s="1623"/>
      <c r="N146" s="129"/>
      <c r="O146" s="1619"/>
      <c r="P146" s="96"/>
      <c r="Q146" s="96"/>
      <c r="R146" s="96"/>
      <c r="S146" s="96"/>
      <c r="T146" s="96"/>
      <c r="U146" s="96"/>
      <c r="V146" s="96"/>
      <c r="W146" s="96"/>
      <c r="X146" s="1601"/>
      <c r="AX146" s="341"/>
      <c r="AY146" s="341"/>
    </row>
    <row r="147" spans="1:51" x14ac:dyDescent="0.2">
      <c r="B147" s="600" t="s">
        <v>2727</v>
      </c>
      <c r="C147" s="23"/>
      <c r="D147" s="23"/>
      <c r="E147" s="23"/>
      <c r="F147" s="23"/>
      <c r="G147" s="23"/>
      <c r="H147" s="691"/>
      <c r="I147" s="406"/>
      <c r="J147" s="129"/>
      <c r="K147" s="129"/>
      <c r="L147" s="1629"/>
      <c r="M147" s="1623"/>
      <c r="N147" s="129"/>
      <c r="O147" s="1619"/>
      <c r="P147" s="96"/>
      <c r="Q147" s="96"/>
      <c r="R147" s="96"/>
      <c r="S147" s="96"/>
      <c r="T147" s="96"/>
      <c r="U147" s="96"/>
      <c r="V147" s="96"/>
      <c r="W147" s="96"/>
      <c r="X147" s="1601"/>
    </row>
    <row r="148" spans="1:51" x14ac:dyDescent="0.2">
      <c r="B148" s="600" t="s">
        <v>2727</v>
      </c>
      <c r="C148" s="23"/>
      <c r="D148" s="23"/>
      <c r="E148" s="23"/>
      <c r="F148" s="23"/>
      <c r="G148" s="23"/>
      <c r="H148" s="691"/>
      <c r="I148" s="406"/>
      <c r="J148" s="129"/>
      <c r="K148" s="129"/>
      <c r="L148" s="1629"/>
      <c r="M148" s="1623"/>
      <c r="N148" s="129"/>
      <c r="O148" s="1619"/>
      <c r="P148" s="96"/>
      <c r="Q148" s="96"/>
      <c r="R148" s="96"/>
      <c r="S148" s="96"/>
      <c r="T148" s="96"/>
      <c r="U148" s="96"/>
      <c r="V148" s="96"/>
      <c r="W148" s="96"/>
      <c r="X148" s="1621"/>
    </row>
    <row r="149" spans="1:51" s="789" customFormat="1" x14ac:dyDescent="0.2">
      <c r="A149" s="20"/>
      <c r="B149" s="600" t="s">
        <v>3908</v>
      </c>
      <c r="C149" s="23"/>
      <c r="D149" s="23"/>
      <c r="E149" s="23"/>
      <c r="F149" s="23"/>
      <c r="G149" s="23"/>
      <c r="H149" s="691"/>
      <c r="I149" s="192" t="s">
        <v>3909</v>
      </c>
      <c r="J149" s="193"/>
      <c r="K149" s="193"/>
      <c r="L149" s="1712" t="s">
        <v>3910</v>
      </c>
      <c r="M149" s="1732" t="str">
        <f>IF(R149,"Mandatory","N/A")</f>
        <v>Mandatory</v>
      </c>
      <c r="N149" s="193"/>
      <c r="O149" s="798"/>
      <c r="P149" s="195" t="b">
        <v>0</v>
      </c>
      <c r="Q149" s="195" t="b">
        <v>1</v>
      </c>
      <c r="R149" s="195" t="b">
        <f>S149</f>
        <v>1</v>
      </c>
      <c r="S149" s="195" t="b">
        <v>1</v>
      </c>
      <c r="T149" s="195" t="b">
        <f>AND(W149="Met",NOT(W143),NOT(W133),NOT(W135),NOT(W136))</f>
        <v>0</v>
      </c>
      <c r="U149" s="195" t="str">
        <f>SUBSTITUTE(SUBSTITUTE(SUBSTITUTE("dd"&amp;B149&amp;C149&amp;D149&amp;E149&amp;F149,".","_"),"(","_"),")","")</f>
        <v>dd901_9_4</v>
      </c>
      <c r="V149" s="195"/>
      <c r="W149" s="12" t="s">
        <v>2588</v>
      </c>
      <c r="X149" s="1601"/>
      <c r="AC149" s="779" t="b">
        <f>OR(AD149:AE149)</f>
        <v>0</v>
      </c>
      <c r="AD149" s="779" t="b">
        <f>T149</f>
        <v>0</v>
      </c>
      <c r="AE149" s="779" t="b">
        <f>AND(R149,OR(LEN(W149)=0,W149="Not Met"))</f>
        <v>0</v>
      </c>
      <c r="AL149" s="1352" t="str">
        <f>SUBSTITUTE(SUBSTITUTE(SUBSTITUTE("dpa"&amp;$B149&amp;$C149&amp;$D149&amp;$E149,".","_"),"(","_"),")","")</f>
        <v>dpa901_9_4</v>
      </c>
      <c r="AM149" s="1352" t="str">
        <f>M149</f>
        <v>Mandatory</v>
      </c>
      <c r="AN149" s="78"/>
      <c r="AO149" s="78"/>
      <c r="AP149" s="1352" t="str">
        <f>SUBSTITUTE(SUBSTITUTE(SUBSTITUTE("dch"&amp;$B149&amp;$C149&amp;$D149&amp;$E149,".","_"),"(","_"),")","")</f>
        <v>dch901_9_4</v>
      </c>
      <c r="AQ149" s="1352" t="str">
        <f>IF(LEN(W149)=0,"",W149)</f>
        <v>Met</v>
      </c>
      <c r="AR149" s="1352" t="str">
        <f>SUBSTITUTE(SUBSTITUTE(SUBSTITUTE("dnt"&amp;$B149&amp;$C149&amp;$D149&amp;$E149,".","_"),"(","_"),")","")</f>
        <v>dnt901_9_4</v>
      </c>
      <c r="AS149" s="1352" t="str">
        <f>IF(LEN(X149)=0,"",X149)</f>
        <v/>
      </c>
      <c r="AX149" s="78"/>
      <c r="AY149" s="78"/>
    </row>
    <row r="150" spans="1:51" s="794" customFormat="1" x14ac:dyDescent="0.2">
      <c r="A150" s="20"/>
      <c r="B150" s="600" t="s">
        <v>3908</v>
      </c>
      <c r="C150" s="23"/>
      <c r="D150" s="23"/>
      <c r="E150" s="23"/>
      <c r="F150" s="23"/>
      <c r="G150" s="23"/>
      <c r="H150" s="691"/>
      <c r="I150" s="130"/>
      <c r="J150" s="129"/>
      <c r="K150" s="129"/>
      <c r="L150" s="1629"/>
      <c r="M150" s="1697"/>
      <c r="N150" s="129"/>
      <c r="O150" s="795"/>
      <c r="P150" s="96"/>
      <c r="Q150" s="96"/>
      <c r="R150" s="96"/>
      <c r="S150" s="96"/>
      <c r="T150" s="96"/>
      <c r="U150" s="96"/>
      <c r="V150" s="96"/>
      <c r="W150" s="96"/>
      <c r="X150" s="1601"/>
      <c r="AL150" s="78"/>
      <c r="AM150" s="78"/>
      <c r="AN150" s="78"/>
      <c r="AO150" s="78"/>
      <c r="AP150" s="78"/>
      <c r="AQ150" s="78"/>
      <c r="AR150" s="78"/>
      <c r="AS150" s="78"/>
      <c r="AX150" s="78"/>
      <c r="AY150" s="78"/>
    </row>
    <row r="151" spans="1:51" s="789" customFormat="1" ht="16" thickBot="1" x14ac:dyDescent="0.25">
      <c r="A151" s="20"/>
      <c r="B151" s="600" t="s">
        <v>3908</v>
      </c>
      <c r="C151" s="23"/>
      <c r="D151" s="23"/>
      <c r="E151" s="23"/>
      <c r="F151" s="23"/>
      <c r="G151" s="23"/>
      <c r="H151" s="691"/>
      <c r="I151" s="407"/>
      <c r="J151" s="239"/>
      <c r="K151" s="239"/>
      <c r="L151" s="1630"/>
      <c r="M151" s="1726"/>
      <c r="N151" s="239"/>
      <c r="O151" s="799"/>
      <c r="P151" s="100"/>
      <c r="Q151" s="100"/>
      <c r="R151" s="100"/>
      <c r="S151" s="100"/>
      <c r="T151" s="100"/>
      <c r="U151" s="100"/>
      <c r="V151" s="100"/>
      <c r="W151" s="100"/>
      <c r="X151" s="1601"/>
      <c r="AL151" s="78"/>
      <c r="AM151" s="78"/>
      <c r="AN151" s="78"/>
      <c r="AO151" s="78"/>
      <c r="AP151" s="78"/>
      <c r="AQ151" s="78"/>
      <c r="AR151" s="78"/>
      <c r="AS151" s="78"/>
    </row>
    <row r="152" spans="1:51" ht="16" thickTop="1" x14ac:dyDescent="0.2">
      <c r="B152" s="675" t="s">
        <v>3196</v>
      </c>
      <c r="C152" s="23"/>
      <c r="D152" s="23"/>
      <c r="E152" s="23"/>
      <c r="F152" s="23"/>
      <c r="G152" s="23"/>
      <c r="H152" s="691"/>
      <c r="I152" s="226" t="s">
        <v>3681</v>
      </c>
      <c r="J152" s="4"/>
      <c r="K152" s="4"/>
      <c r="L152" s="1631" t="s">
        <v>3902</v>
      </c>
      <c r="M152" s="374"/>
      <c r="N152" s="4"/>
      <c r="O152" s="1669">
        <f>IF(W162=TRUE,5,IF(W161=TRUE,5,IF(W156=TRUE,8,0)))*S156</f>
        <v>0</v>
      </c>
      <c r="AN152" s="1352" t="str">
        <f>SUBSTITUTE(SUBSTITUTE(SUBSTITUTE("dpc"&amp;$B152&amp;$C152&amp;$D152&amp;$E152,".","_"),"(","_"),")","")</f>
        <v>dpc901_10</v>
      </c>
      <c r="AO152" s="1352">
        <f>O152</f>
        <v>0</v>
      </c>
      <c r="AX152" s="794"/>
      <c r="AY152" s="794"/>
    </row>
    <row r="153" spans="1:51" x14ac:dyDescent="0.2">
      <c r="B153" s="675" t="s">
        <v>3196</v>
      </c>
      <c r="C153" s="23"/>
      <c r="D153" s="23"/>
      <c r="E153" s="23"/>
      <c r="F153" s="23"/>
      <c r="G153" s="23"/>
      <c r="H153" s="691"/>
      <c r="I153" s="161"/>
      <c r="J153" s="4"/>
      <c r="K153" s="4"/>
      <c r="L153" s="1631"/>
      <c r="M153" s="374"/>
      <c r="N153" s="4"/>
      <c r="O153" s="1669"/>
      <c r="AX153" s="789"/>
      <c r="AY153" s="789"/>
    </row>
    <row r="154" spans="1:51" s="789" customFormat="1" x14ac:dyDescent="0.2">
      <c r="A154" s="20"/>
      <c r="B154" s="675" t="s">
        <v>3196</v>
      </c>
      <c r="C154" s="23"/>
      <c r="D154" s="23"/>
      <c r="E154" s="23"/>
      <c r="F154" s="23"/>
      <c r="G154" s="23"/>
      <c r="H154" s="691"/>
      <c r="I154" s="161"/>
      <c r="J154" s="4"/>
      <c r="K154" s="4"/>
      <c r="L154" s="1631"/>
      <c r="M154" s="793"/>
      <c r="N154" s="4"/>
      <c r="O154" s="1669"/>
      <c r="AL154" s="78"/>
      <c r="AM154" s="78"/>
      <c r="AN154" s="78"/>
      <c r="AO154" s="78"/>
      <c r="AP154" s="78"/>
      <c r="AQ154" s="78"/>
      <c r="AR154" s="78"/>
      <c r="AS154" s="78"/>
      <c r="AX154" s="78"/>
      <c r="AY154" s="78"/>
    </row>
    <row r="155" spans="1:51" x14ac:dyDescent="0.2">
      <c r="B155" s="675" t="s">
        <v>3196</v>
      </c>
      <c r="C155" s="23"/>
      <c r="D155" s="23"/>
      <c r="E155" s="23"/>
      <c r="F155" s="23"/>
      <c r="G155" s="23"/>
      <c r="H155" s="691"/>
      <c r="I155" s="161"/>
      <c r="J155" s="4"/>
      <c r="K155" s="4"/>
      <c r="L155" s="1631"/>
      <c r="M155" s="374"/>
      <c r="N155" s="4"/>
      <c r="O155" s="1669"/>
    </row>
    <row r="156" spans="1:51" x14ac:dyDescent="0.2">
      <c r="B156" s="675" t="s">
        <v>3196</v>
      </c>
      <c r="C156" s="23" t="s">
        <v>254</v>
      </c>
      <c r="D156" s="23"/>
      <c r="E156" s="23"/>
      <c r="F156" s="23"/>
      <c r="G156" s="23"/>
      <c r="H156" s="691"/>
      <c r="I156" s="161"/>
      <c r="J156" s="180" t="s">
        <v>254</v>
      </c>
      <c r="K156" s="129"/>
      <c r="L156" s="1609" t="s">
        <v>3903</v>
      </c>
      <c r="M156" s="1623">
        <v>8</v>
      </c>
      <c r="N156" s="4"/>
      <c r="O156" s="138"/>
      <c r="P156" s="96" t="b">
        <v>0</v>
      </c>
      <c r="Q156" s="96" t="b">
        <v>1</v>
      </c>
      <c r="R156" s="337" t="b">
        <v>0</v>
      </c>
      <c r="S156" s="337" t="b">
        <v>1</v>
      </c>
      <c r="T156" s="337" t="b">
        <v>0</v>
      </c>
      <c r="W156" s="27"/>
      <c r="X156" s="1600"/>
      <c r="AC156" s="343"/>
      <c r="AD156" s="343"/>
      <c r="AE156" s="343"/>
      <c r="AL156" s="1352" t="str">
        <f>SUBSTITUTE(SUBSTITUTE(SUBSTITUTE("dpa"&amp;$B156&amp;$C156&amp;$D156&amp;$E156,".","_"),"(","_"),")","")</f>
        <v>dpa901_10_1</v>
      </c>
      <c r="AM156" s="1352">
        <f>M156</f>
        <v>8</v>
      </c>
      <c r="AP156" s="1352" t="str">
        <f>SUBSTITUTE(SUBSTITUTE(SUBSTITUTE("dch"&amp;$B156&amp;$C156&amp;$D156&amp;$E156,".","_"),"(","_"),")","")</f>
        <v>dch901_10_1</v>
      </c>
      <c r="AQ156" s="1352" t="str">
        <f>IF(LEN(W156)=0,"",W156)</f>
        <v/>
      </c>
      <c r="AR156" s="1352" t="str">
        <f>SUBSTITUTE(SUBSTITUTE(SUBSTITUTE("dnt"&amp;$B156&amp;$C156&amp;$D156&amp;$E156,".","_"),"(","_"),")","")</f>
        <v>dnt901_10_1</v>
      </c>
      <c r="AS156" s="1352" t="str">
        <f>IF(LEN(X156)=0,"",X156)</f>
        <v/>
      </c>
      <c r="AX156" s="789"/>
      <c r="AY156" s="789"/>
    </row>
    <row r="157" spans="1:51" x14ac:dyDescent="0.2">
      <c r="B157" s="675" t="s">
        <v>3196</v>
      </c>
      <c r="C157" s="23" t="s">
        <v>254</v>
      </c>
      <c r="D157" s="23"/>
      <c r="E157" s="23"/>
      <c r="F157" s="23"/>
      <c r="G157" s="23"/>
      <c r="H157" s="691"/>
      <c r="I157" s="161"/>
      <c r="J157" s="129"/>
      <c r="K157" s="129"/>
      <c r="L157" s="1609"/>
      <c r="M157" s="1623"/>
      <c r="N157" s="4"/>
      <c r="O157" s="138"/>
      <c r="R157"/>
      <c r="S157"/>
      <c r="T157"/>
      <c r="X157" s="1600"/>
    </row>
    <row r="158" spans="1:51" x14ac:dyDescent="0.2">
      <c r="B158" s="675" t="s">
        <v>3196</v>
      </c>
      <c r="C158" s="23" t="s">
        <v>254</v>
      </c>
      <c r="D158" s="23"/>
      <c r="E158" s="23"/>
      <c r="F158" s="23"/>
      <c r="G158" s="23"/>
      <c r="H158" s="691"/>
      <c r="I158" s="161"/>
      <c r="J158" s="129"/>
      <c r="K158" s="129"/>
      <c r="L158" s="1609"/>
      <c r="M158" s="1623"/>
      <c r="N158" s="4"/>
      <c r="O158" s="138"/>
      <c r="X158" s="1600"/>
    </row>
    <row r="159" spans="1:51" x14ac:dyDescent="0.2">
      <c r="B159" s="675" t="s">
        <v>3196</v>
      </c>
      <c r="C159" s="23" t="s">
        <v>254</v>
      </c>
      <c r="D159" s="23"/>
      <c r="E159" s="23"/>
      <c r="F159" s="23"/>
      <c r="G159" s="23"/>
      <c r="H159" s="691"/>
      <c r="I159" s="161"/>
      <c r="J159" s="129"/>
      <c r="K159" s="129"/>
      <c r="L159" s="1609"/>
      <c r="M159" s="1623"/>
      <c r="N159" s="4"/>
      <c r="O159" s="138"/>
      <c r="X159" s="1600"/>
    </row>
    <row r="160" spans="1:51" x14ac:dyDescent="0.2">
      <c r="B160" s="675" t="s">
        <v>3196</v>
      </c>
      <c r="C160" s="23" t="s">
        <v>254</v>
      </c>
      <c r="D160" s="23"/>
      <c r="E160" s="23"/>
      <c r="F160" s="23"/>
      <c r="G160" s="23"/>
      <c r="H160" s="691"/>
      <c r="I160" s="161"/>
      <c r="J160" s="213"/>
      <c r="K160" s="213"/>
      <c r="L160" s="1612"/>
      <c r="M160" s="1624"/>
      <c r="N160" s="4"/>
      <c r="O160" s="138"/>
      <c r="X160" s="1600"/>
    </row>
    <row r="161" spans="1:51" x14ac:dyDescent="0.2">
      <c r="B161" s="675" t="s">
        <v>3196</v>
      </c>
      <c r="C161" s="23" t="s">
        <v>255</v>
      </c>
      <c r="D161" s="23"/>
      <c r="E161" s="23"/>
      <c r="F161" s="23"/>
      <c r="G161" s="23"/>
      <c r="H161" s="691"/>
      <c r="I161" s="161"/>
      <c r="J161" s="207" t="s">
        <v>255</v>
      </c>
      <c r="K161" s="213"/>
      <c r="L161" s="369" t="s">
        <v>2728</v>
      </c>
      <c r="M161" s="373">
        <v>5</v>
      </c>
      <c r="N161" s="4"/>
      <c r="O161" s="138"/>
      <c r="P161" s="96" t="b">
        <v>0</v>
      </c>
      <c r="Q161" s="96" t="b">
        <v>1</v>
      </c>
      <c r="R161" s="337" t="b">
        <v>0</v>
      </c>
      <c r="S161" s="337" t="b">
        <v>1</v>
      </c>
      <c r="T161" s="337" t="b">
        <v>0</v>
      </c>
      <c r="W161" s="27"/>
      <c r="X161" s="366"/>
      <c r="AC161" s="343"/>
      <c r="AD161" s="343"/>
      <c r="AE161" s="343"/>
      <c r="AL161" s="1352" t="str">
        <f>SUBSTITUTE(SUBSTITUTE(SUBSTITUTE("dpa"&amp;$B161&amp;$C161&amp;$D161&amp;$E161,".","_"),"(","_"),")","")</f>
        <v>dpa901_10_2</v>
      </c>
      <c r="AM161" s="1352">
        <f>M161</f>
        <v>5</v>
      </c>
      <c r="AP161" s="1352" t="str">
        <f>SUBSTITUTE(SUBSTITUTE(SUBSTITUTE("dch"&amp;$B161&amp;$C161&amp;$D161&amp;$E161,".","_"),"(","_"),")","")</f>
        <v>dch901_10_2</v>
      </c>
      <c r="AQ161" s="1352" t="str">
        <f>IF(LEN(W161)=0,"",W161)</f>
        <v/>
      </c>
      <c r="AR161" s="1352" t="str">
        <f>SUBSTITUTE(SUBSTITUTE(SUBSTITUTE("dnt"&amp;$B161&amp;$C161&amp;$D161&amp;$E161,".","_"),"(","_"),")","")</f>
        <v>dnt901_10_2</v>
      </c>
      <c r="AS161" s="1352" t="str">
        <f>IF(LEN(X161)=0,"",X161)</f>
        <v/>
      </c>
    </row>
    <row r="162" spans="1:51" x14ac:dyDescent="0.2">
      <c r="B162" s="675" t="s">
        <v>3196</v>
      </c>
      <c r="C162" s="23" t="s">
        <v>256</v>
      </c>
      <c r="D162" s="23"/>
      <c r="E162" s="23"/>
      <c r="F162" s="23"/>
      <c r="G162" s="23"/>
      <c r="H162" s="691"/>
      <c r="I162" s="406"/>
      <c r="J162" s="180" t="s">
        <v>256</v>
      </c>
      <c r="K162" s="129"/>
      <c r="L162" s="1609" t="s">
        <v>3875</v>
      </c>
      <c r="M162" s="1623">
        <v>5</v>
      </c>
      <c r="N162" s="129"/>
      <c r="O162" s="238"/>
      <c r="P162" s="96" t="b">
        <v>0</v>
      </c>
      <c r="Q162" s="96" t="b">
        <v>1</v>
      </c>
      <c r="R162" s="96" t="b">
        <v>0</v>
      </c>
      <c r="S162" s="96" t="b">
        <v>1</v>
      </c>
      <c r="T162" s="96" t="b">
        <v>0</v>
      </c>
      <c r="U162" s="96"/>
      <c r="V162" s="96"/>
      <c r="W162" s="333"/>
      <c r="X162" s="1601"/>
      <c r="AC162" s="343"/>
      <c r="AD162" s="343"/>
      <c r="AE162" s="343"/>
      <c r="AL162" s="1352" t="str">
        <f>SUBSTITUTE(SUBSTITUTE(SUBSTITUTE("dpa"&amp;$B162&amp;$C162&amp;$D162&amp;$E162,".","_"),"(","_"),")","")</f>
        <v>dpa901_10_3</v>
      </c>
      <c r="AM162" s="1352">
        <f>M162</f>
        <v>5</v>
      </c>
      <c r="AP162" s="1352" t="str">
        <f>SUBSTITUTE(SUBSTITUTE(SUBSTITUTE("dch"&amp;$B162&amp;$C162&amp;$D162&amp;$E162,".","_"),"(","_"),")","")</f>
        <v>dch901_10_3</v>
      </c>
      <c r="AQ162" s="1352" t="str">
        <f>IF(LEN(W162)=0,"",W162)</f>
        <v/>
      </c>
      <c r="AR162" s="1352" t="str">
        <f>SUBSTITUTE(SUBSTITUTE(SUBSTITUTE("dnt"&amp;$B162&amp;$C162&amp;$D162&amp;$E162,".","_"),"(","_"),")","")</f>
        <v>dnt901_10_3</v>
      </c>
      <c r="AS162" s="1352" t="str">
        <f>IF(LEN(X162)=0,"",X162)</f>
        <v/>
      </c>
    </row>
    <row r="163" spans="1:51" x14ac:dyDescent="0.2">
      <c r="B163" s="675" t="s">
        <v>3196</v>
      </c>
      <c r="C163" s="23" t="s">
        <v>256</v>
      </c>
      <c r="D163" s="23"/>
      <c r="E163" s="23"/>
      <c r="F163" s="23"/>
      <c r="G163" s="23"/>
      <c r="H163" s="691"/>
      <c r="I163" s="406"/>
      <c r="J163" s="129"/>
      <c r="K163" s="129"/>
      <c r="L163" s="1609"/>
      <c r="M163" s="1623"/>
      <c r="N163" s="129"/>
      <c r="O163" s="238"/>
      <c r="P163" s="96"/>
      <c r="Q163" s="96"/>
      <c r="R163" s="96"/>
      <c r="S163" s="96"/>
      <c r="T163" s="96"/>
      <c r="U163" s="96"/>
      <c r="V163" s="96"/>
      <c r="W163" s="96"/>
      <c r="X163" s="1601"/>
    </row>
    <row r="164" spans="1:51" x14ac:dyDescent="0.2">
      <c r="B164" s="675" t="s">
        <v>3196</v>
      </c>
      <c r="C164" s="23" t="s">
        <v>256</v>
      </c>
      <c r="D164" s="23"/>
      <c r="E164" s="23"/>
      <c r="F164" s="23"/>
      <c r="G164" s="23"/>
      <c r="H164" s="691"/>
      <c r="I164" s="406"/>
      <c r="J164" s="129"/>
      <c r="K164" s="129"/>
      <c r="L164" s="1609"/>
      <c r="M164" s="1623"/>
      <c r="N164" s="129"/>
      <c r="O164" s="238"/>
      <c r="P164" s="96"/>
      <c r="Q164" s="96"/>
      <c r="R164" s="96"/>
      <c r="S164" s="96"/>
      <c r="T164" s="96"/>
      <c r="U164" s="96"/>
      <c r="V164" s="96"/>
      <c r="W164" s="96"/>
      <c r="X164" s="1601"/>
    </row>
    <row r="165" spans="1:51" ht="16" thickBot="1" x14ac:dyDescent="0.25">
      <c r="B165" s="675" t="s">
        <v>3196</v>
      </c>
      <c r="C165" s="23" t="s">
        <v>256</v>
      </c>
      <c r="D165" s="23"/>
      <c r="E165" s="23"/>
      <c r="F165" s="23"/>
      <c r="G165" s="23"/>
      <c r="H165" s="691"/>
      <c r="I165" s="407"/>
      <c r="J165" s="239"/>
      <c r="K165" s="239"/>
      <c r="L165" s="408" t="s">
        <v>3878</v>
      </c>
      <c r="M165" s="375"/>
      <c r="N165" s="239"/>
      <c r="O165" s="240"/>
      <c r="P165" s="100"/>
      <c r="Q165" s="100"/>
      <c r="R165" s="100"/>
      <c r="S165" s="100"/>
      <c r="T165" s="100"/>
      <c r="U165" s="100"/>
      <c r="V165" s="100"/>
      <c r="W165" s="100"/>
      <c r="X165" s="1602"/>
      <c r="Z165" s="341"/>
      <c r="AB165" s="341"/>
      <c r="AC165" s="341"/>
      <c r="AD165" s="341"/>
      <c r="AE165" s="341"/>
      <c r="AF165" s="341"/>
      <c r="AG165" s="341"/>
      <c r="AH165" s="341"/>
      <c r="AI165" s="341"/>
      <c r="AJ165" s="341"/>
      <c r="AK165" s="341"/>
    </row>
    <row r="166" spans="1:51" ht="16" thickTop="1" x14ac:dyDescent="0.2">
      <c r="B166" s="600">
        <v>901.11</v>
      </c>
      <c r="C166" s="23"/>
      <c r="D166" s="23"/>
      <c r="E166" s="23"/>
      <c r="F166" s="23"/>
      <c r="G166" s="23"/>
      <c r="H166" s="691"/>
      <c r="I166" s="177" t="s">
        <v>3682</v>
      </c>
      <c r="J166" s="178"/>
      <c r="K166" s="178"/>
      <c r="L166" s="1683" t="s">
        <v>3897</v>
      </c>
      <c r="M166" s="1685">
        <v>4</v>
      </c>
      <c r="N166" s="178"/>
      <c r="O166" s="1682">
        <f>M166*S166*W166</f>
        <v>0</v>
      </c>
      <c r="P166" s="96" t="b">
        <v>1</v>
      </c>
      <c r="Q166" s="96" t="b">
        <v>1</v>
      </c>
      <c r="R166" s="106" t="b">
        <v>0</v>
      </c>
      <c r="S166" s="106" t="b">
        <v>1</v>
      </c>
      <c r="T166" s="106" t="b">
        <v>0</v>
      </c>
      <c r="U166" s="106"/>
      <c r="V166" s="106"/>
      <c r="W166" s="334"/>
      <c r="X166" s="1603"/>
      <c r="AC166" s="343"/>
      <c r="AD166" s="343"/>
      <c r="AE166" s="343"/>
      <c r="AL166" s="1352" t="str">
        <f>SUBSTITUTE(SUBSTITUTE(SUBSTITUTE("dpa"&amp;$B166&amp;$C166&amp;$D166&amp;$E166,".","_"),"(","_"),")","")</f>
        <v>dpa901_11</v>
      </c>
      <c r="AM166" s="1352">
        <f>M166</f>
        <v>4</v>
      </c>
      <c r="AN166" s="1352" t="str">
        <f>SUBSTITUTE(SUBSTITUTE(SUBSTITUTE("dpc"&amp;$B166&amp;$C166&amp;$D166&amp;$E166,".","_"),"(","_"),")","")</f>
        <v>dpc901_11</v>
      </c>
      <c r="AO166" s="1352">
        <f>O166</f>
        <v>0</v>
      </c>
      <c r="AP166" s="1352" t="str">
        <f>SUBSTITUTE(SUBSTITUTE(SUBSTITUTE("dch"&amp;$B166&amp;$C166&amp;$D166&amp;$E166,".","_"),"(","_"),")","")</f>
        <v>dch901_11</v>
      </c>
      <c r="AQ166" s="1352" t="str">
        <f>IF(LEN(W166)=0,"",W166)</f>
        <v/>
      </c>
      <c r="AR166" s="1352" t="str">
        <f>SUBSTITUTE(SUBSTITUTE(SUBSTITUTE("dnt"&amp;$B166&amp;$C166&amp;$D166&amp;$E166,".","_"),"(","_"),")","")</f>
        <v>dnt901_11</v>
      </c>
      <c r="AS166" s="1352" t="str">
        <f>IF(LEN(X166)=0,"",X166)</f>
        <v/>
      </c>
    </row>
    <row r="167" spans="1:51" s="341" customFormat="1" x14ac:dyDescent="0.2">
      <c r="A167" s="20"/>
      <c r="B167" s="600">
        <v>901.11</v>
      </c>
      <c r="C167" s="23"/>
      <c r="D167" s="23"/>
      <c r="E167" s="23"/>
      <c r="F167" s="23"/>
      <c r="G167" s="23"/>
      <c r="H167" s="691"/>
      <c r="I167" s="406"/>
      <c r="J167" s="129"/>
      <c r="K167" s="129"/>
      <c r="L167" s="1629"/>
      <c r="M167" s="1623"/>
      <c r="N167" s="129"/>
      <c r="O167" s="1619"/>
      <c r="P167" s="96"/>
      <c r="Q167" s="96"/>
      <c r="R167" s="96"/>
      <c r="S167" s="96"/>
      <c r="T167" s="96"/>
      <c r="U167" s="96"/>
      <c r="V167" s="96"/>
      <c r="W167" s="96"/>
      <c r="X167" s="1601"/>
      <c r="Y167" s="704"/>
      <c r="Z167" s="78"/>
      <c r="AA167" s="707"/>
      <c r="AB167" s="78"/>
      <c r="AC167" s="78"/>
      <c r="AD167" s="78"/>
      <c r="AE167" s="78"/>
      <c r="AF167" s="78"/>
      <c r="AG167" s="78"/>
      <c r="AH167" s="78"/>
      <c r="AI167" s="78"/>
      <c r="AJ167" s="78"/>
      <c r="AK167" s="78"/>
      <c r="AL167" s="78"/>
      <c r="AM167" s="78"/>
      <c r="AN167" s="78"/>
      <c r="AO167" s="78"/>
      <c r="AP167" s="78"/>
      <c r="AQ167" s="78"/>
      <c r="AR167" s="78"/>
      <c r="AS167" s="78"/>
      <c r="AX167" s="78"/>
      <c r="AY167" s="78"/>
    </row>
    <row r="168" spans="1:51" x14ac:dyDescent="0.2">
      <c r="B168" s="600">
        <v>901.11</v>
      </c>
      <c r="C168" s="23"/>
      <c r="D168" s="23"/>
      <c r="E168" s="23"/>
      <c r="F168" s="23"/>
      <c r="G168" s="23"/>
      <c r="H168" s="691"/>
      <c r="I168" s="406"/>
      <c r="J168" s="129"/>
      <c r="K168" s="129"/>
      <c r="L168" s="1629"/>
      <c r="M168" s="1623"/>
      <c r="N168" s="129"/>
      <c r="O168" s="1619"/>
      <c r="P168" s="96"/>
      <c r="Q168" s="96"/>
      <c r="R168" s="96"/>
      <c r="S168" s="96"/>
      <c r="T168" s="96"/>
      <c r="U168" s="96"/>
      <c r="V168" s="96"/>
      <c r="W168" s="96"/>
      <c r="X168" s="1601"/>
    </row>
    <row r="169" spans="1:51" x14ac:dyDescent="0.2">
      <c r="B169" s="600">
        <v>901.11</v>
      </c>
      <c r="C169" s="23"/>
      <c r="D169" s="23"/>
      <c r="E169" s="23"/>
      <c r="F169" s="23"/>
      <c r="G169" s="23"/>
      <c r="H169" s="691"/>
      <c r="I169" s="406"/>
      <c r="J169" s="129"/>
      <c r="K169" s="129"/>
      <c r="L169" s="1629"/>
      <c r="M169" s="1623"/>
      <c r="N169" s="129"/>
      <c r="O169" s="1619"/>
      <c r="P169" s="96"/>
      <c r="Q169" s="96"/>
      <c r="R169" s="96"/>
      <c r="S169" s="96"/>
      <c r="T169" s="96"/>
      <c r="U169" s="96"/>
      <c r="V169" s="96"/>
      <c r="W169" s="96"/>
      <c r="X169" s="1601"/>
      <c r="AX169" s="341"/>
      <c r="AY169" s="341"/>
    </row>
    <row r="170" spans="1:51" ht="16" thickBot="1" x14ac:dyDescent="0.25">
      <c r="B170" s="600">
        <v>901.11</v>
      </c>
      <c r="C170" s="23"/>
      <c r="D170" s="23"/>
      <c r="E170" s="23"/>
      <c r="F170" s="23"/>
      <c r="G170" s="23"/>
      <c r="H170" s="691"/>
      <c r="I170" s="407"/>
      <c r="J170" s="239"/>
      <c r="K170" s="239"/>
      <c r="L170" s="1630"/>
      <c r="M170" s="1627"/>
      <c r="N170" s="239"/>
      <c r="O170" s="1638"/>
      <c r="P170" s="100"/>
      <c r="Q170" s="100"/>
      <c r="R170" s="100"/>
      <c r="S170" s="100"/>
      <c r="T170" s="100"/>
      <c r="U170" s="100"/>
      <c r="V170" s="100"/>
      <c r="W170" s="100"/>
      <c r="X170" s="1602"/>
    </row>
    <row r="171" spans="1:51" customFormat="1" ht="16" thickTop="1" x14ac:dyDescent="0.2">
      <c r="B171" s="600">
        <v>901.12</v>
      </c>
      <c r="C171" s="1352"/>
      <c r="D171" s="1352"/>
      <c r="E171" s="1352"/>
      <c r="F171" s="1352"/>
      <c r="I171" s="177" t="s">
        <v>3683</v>
      </c>
      <c r="L171" s="1687" t="s">
        <v>4867</v>
      </c>
      <c r="M171" s="1774">
        <v>2</v>
      </c>
      <c r="O171" s="1770">
        <f ca="1">M171*S171*W171</f>
        <v>0</v>
      </c>
      <c r="P171" t="b">
        <v>0</v>
      </c>
      <c r="Q171" t="b">
        <v>1</v>
      </c>
      <c r="R171" t="b">
        <v>0</v>
      </c>
      <c r="S171" t="b">
        <f ca="1">AY19=INDEX(INDIRECT("ddSingleOrMulti"),2)</f>
        <v>1</v>
      </c>
      <c r="T171" t="b">
        <v>0</v>
      </c>
      <c r="W171" s="27"/>
      <c r="X171" s="1600"/>
      <c r="AL171" s="1352" t="str">
        <f>SUBSTITUTE(SUBSTITUTE(SUBSTITUTE("dpa"&amp;$B171&amp;$C171&amp;$D171&amp;$E171,".","_"),"(","_"),")","")</f>
        <v>dpa901_12</v>
      </c>
      <c r="AM171" s="1352">
        <f>M171</f>
        <v>2</v>
      </c>
      <c r="AN171" s="1352" t="str">
        <f>SUBSTITUTE(SUBSTITUTE(SUBSTITUTE("dpc"&amp;$B171&amp;$C171&amp;$D171&amp;$E171,".","_"),"(","_"),")","")</f>
        <v>dpc901_12</v>
      </c>
      <c r="AO171" s="1352">
        <f ca="1">O171</f>
        <v>0</v>
      </c>
      <c r="AP171" s="1352" t="str">
        <f>SUBSTITUTE(SUBSTITUTE(SUBSTITUTE("dch"&amp;$B171&amp;$C171&amp;$D171&amp;$E171,".","_"),"(","_"),")","")</f>
        <v>dch901_12</v>
      </c>
      <c r="AQ171" s="1352" t="str">
        <f>IF(LEN(W171)=0,"",W171)</f>
        <v/>
      </c>
      <c r="AR171" s="1352" t="str">
        <f>SUBSTITUTE(SUBSTITUTE(SUBSTITUTE("dnt"&amp;$B171&amp;$C171&amp;$D171&amp;$E171,".","_"),"(","_"),")","")</f>
        <v>dnt901_12</v>
      </c>
      <c r="AS171" s="1352" t="str">
        <f>IF(LEN(X171)=0,"",X171)</f>
        <v/>
      </c>
      <c r="AX171" s="78"/>
      <c r="AY171" s="78"/>
    </row>
    <row r="172" spans="1:51" customFormat="1" x14ac:dyDescent="0.2">
      <c r="B172" s="600">
        <v>901.12</v>
      </c>
      <c r="C172" s="1352"/>
      <c r="D172" s="1352"/>
      <c r="E172" s="1352"/>
      <c r="F172" s="1352"/>
      <c r="L172" s="1687"/>
      <c r="M172" s="1769"/>
      <c r="O172" s="1644"/>
      <c r="X172" s="1600"/>
      <c r="AL172" s="78"/>
      <c r="AM172" s="78"/>
      <c r="AN172" s="78"/>
      <c r="AO172" s="78"/>
      <c r="AP172" s="78"/>
      <c r="AQ172" s="78"/>
      <c r="AR172" s="78"/>
      <c r="AS172" s="78"/>
      <c r="AX172" s="78"/>
      <c r="AY172" s="78"/>
    </row>
    <row r="173" spans="1:51" customFormat="1" x14ac:dyDescent="0.2">
      <c r="B173" s="600">
        <v>901.12</v>
      </c>
      <c r="C173" s="1352"/>
      <c r="D173" s="1352"/>
      <c r="E173" s="1352"/>
      <c r="F173" s="1352"/>
      <c r="L173" s="1687"/>
      <c r="M173" s="1769"/>
      <c r="O173" s="1644"/>
      <c r="X173" s="1600"/>
      <c r="AL173" s="78"/>
      <c r="AM173" s="78"/>
      <c r="AN173" s="78"/>
      <c r="AO173" s="78"/>
      <c r="AP173" s="78"/>
      <c r="AQ173" s="78"/>
      <c r="AR173" s="78"/>
      <c r="AS173" s="78"/>
    </row>
    <row r="174" spans="1:51" customFormat="1" x14ac:dyDescent="0.2">
      <c r="B174" s="600">
        <v>901.12</v>
      </c>
      <c r="C174" s="1352"/>
      <c r="D174" s="1352"/>
      <c r="E174" s="1352"/>
      <c r="F174" s="1352"/>
      <c r="L174" s="1687"/>
      <c r="M174" s="1769"/>
      <c r="O174" s="1644"/>
      <c r="X174" s="1600"/>
      <c r="AL174" s="78"/>
      <c r="AM174" s="78"/>
      <c r="AN174" s="78"/>
      <c r="AO174" s="78"/>
      <c r="AP174" s="78"/>
      <c r="AQ174" s="78"/>
      <c r="AR174" s="78"/>
      <c r="AS174" s="78"/>
    </row>
    <row r="175" spans="1:51" customFormat="1" x14ac:dyDescent="0.2">
      <c r="B175" s="600">
        <v>901.12</v>
      </c>
      <c r="C175" s="1352"/>
      <c r="D175" s="1352"/>
      <c r="E175" s="1352"/>
      <c r="F175" s="1352"/>
      <c r="L175" s="1687"/>
      <c r="M175" s="1769"/>
      <c r="O175" s="1644"/>
      <c r="X175" s="1600"/>
      <c r="AL175" s="78"/>
      <c r="AM175" s="78"/>
      <c r="AN175" s="78"/>
      <c r="AO175" s="78"/>
      <c r="AP175" s="78"/>
      <c r="AQ175" s="78"/>
      <c r="AR175" s="78"/>
      <c r="AS175" s="78"/>
    </row>
    <row r="176" spans="1:51" customFormat="1" ht="16" thickBot="1" x14ac:dyDescent="0.25">
      <c r="B176" s="600">
        <v>901.12</v>
      </c>
      <c r="C176" s="1352"/>
      <c r="D176" s="1352"/>
      <c r="E176" s="1352"/>
      <c r="F176" s="1352"/>
      <c r="L176" s="1687"/>
      <c r="M176" s="1753"/>
      <c r="O176" s="1645"/>
      <c r="W176" s="100"/>
      <c r="X176" s="1600"/>
      <c r="AL176" s="78"/>
      <c r="AM176" s="78"/>
      <c r="AN176" s="78"/>
      <c r="AO176" s="78"/>
      <c r="AP176" s="78"/>
      <c r="AQ176" s="78"/>
      <c r="AR176" s="78"/>
      <c r="AS176" s="78"/>
    </row>
    <row r="177" spans="1:51" ht="16" thickTop="1" x14ac:dyDescent="0.2">
      <c r="B177" s="600">
        <v>901.13</v>
      </c>
      <c r="C177" s="23"/>
      <c r="D177" s="23"/>
      <c r="E177" s="23"/>
      <c r="F177" s="23"/>
      <c r="G177" s="23"/>
      <c r="H177" s="691"/>
      <c r="I177" s="177" t="s">
        <v>3684</v>
      </c>
      <c r="J177" s="178"/>
      <c r="K177" s="178"/>
      <c r="L177" s="1683" t="s">
        <v>4872</v>
      </c>
      <c r="M177" s="1701" t="str">
        <f>IF(R177,"Mandatory","N/A")</f>
        <v>Mandatory</v>
      </c>
      <c r="N177" s="178"/>
      <c r="O177" s="421"/>
      <c r="P177" s="96" t="b">
        <v>0</v>
      </c>
      <c r="Q177" s="96" t="b">
        <v>1</v>
      </c>
      <c r="R177" s="106" t="b">
        <f>S177</f>
        <v>1</v>
      </c>
      <c r="S177" s="106" t="b">
        <v>1</v>
      </c>
      <c r="T177" s="106" t="b">
        <v>0</v>
      </c>
      <c r="U177" s="106" t="str">
        <f>SUBSTITUTE(SUBSTITUTE(SUBSTITUTE("dd"&amp;B177&amp;C177&amp;D177&amp;E177&amp;F177,".","_"),"(","_"),")","")</f>
        <v>dd901_13</v>
      </c>
      <c r="V177" s="106"/>
      <c r="W177" s="269" t="s">
        <v>2588</v>
      </c>
      <c r="X177" s="1603"/>
      <c r="AC177" s="343" t="b">
        <f>OR(AD177:AE177)</f>
        <v>0</v>
      </c>
      <c r="AD177" s="343" t="b">
        <f>T177</f>
        <v>0</v>
      </c>
      <c r="AE177" s="343" t="b">
        <f>AND(R177,OR(LEN(W177)=0,W177="Not Met"))</f>
        <v>0</v>
      </c>
      <c r="AL177" s="1352" t="str">
        <f>SUBSTITUTE(SUBSTITUTE(SUBSTITUTE("dpa"&amp;$B177&amp;$C177&amp;$D177&amp;$E177,".","_"),"(","_"),")","")</f>
        <v>dpa901_13</v>
      </c>
      <c r="AM177" s="1352" t="str">
        <f>M177</f>
        <v>Mandatory</v>
      </c>
      <c r="AP177" s="1352" t="str">
        <f>SUBSTITUTE(SUBSTITUTE(SUBSTITUTE("dch"&amp;$B177&amp;$C177&amp;$D177&amp;$E177,".","_"),"(","_"),")","")</f>
        <v>dch901_13</v>
      </c>
      <c r="AQ177" s="1352" t="str">
        <f>IF(LEN(W177)=0,"",W177)</f>
        <v>Met</v>
      </c>
      <c r="AR177" s="1352" t="str">
        <f>SUBSTITUTE(SUBSTITUTE(SUBSTITUTE("dnt"&amp;$B177&amp;$C177&amp;$D177&amp;$E177,".","_"),"(","_"),")","")</f>
        <v>dnt901_13</v>
      </c>
      <c r="AS177" s="1352" t="str">
        <f>IF(LEN(X177)=0,"",X177)</f>
        <v/>
      </c>
      <c r="AX177"/>
      <c r="AY177"/>
    </row>
    <row r="178" spans="1:51" ht="16" thickBot="1" x14ac:dyDescent="0.25">
      <c r="B178" s="600">
        <v>901.13</v>
      </c>
      <c r="C178" s="23"/>
      <c r="D178" s="23"/>
      <c r="E178" s="23"/>
      <c r="F178" s="23"/>
      <c r="G178" s="23"/>
      <c r="H178" s="691"/>
      <c r="I178" s="407"/>
      <c r="J178" s="239"/>
      <c r="K178" s="239"/>
      <c r="L178" s="1630"/>
      <c r="M178" s="1726"/>
      <c r="N178" s="239"/>
      <c r="O178" s="240"/>
      <c r="P178" s="100"/>
      <c r="Q178" s="100"/>
      <c r="R178" s="100"/>
      <c r="S178" s="100"/>
      <c r="T178" s="100"/>
      <c r="U178" s="100"/>
      <c r="V178" s="100"/>
      <c r="W178" s="100"/>
      <c r="X178" s="1602"/>
      <c r="AX178"/>
      <c r="AY178"/>
    </row>
    <row r="179" spans="1:51" ht="16" thickTop="1" x14ac:dyDescent="0.2">
      <c r="B179" s="600">
        <v>901.14</v>
      </c>
      <c r="C179" s="23"/>
      <c r="D179" s="23"/>
      <c r="E179" s="23"/>
      <c r="F179" s="23"/>
      <c r="G179" s="23"/>
      <c r="H179" s="691"/>
      <c r="I179" s="67" t="s">
        <v>3685</v>
      </c>
      <c r="J179" s="178"/>
      <c r="K179" s="178"/>
      <c r="L179" s="1683" t="s">
        <v>4871</v>
      </c>
      <c r="M179" s="370"/>
      <c r="N179" s="178"/>
      <c r="O179" s="1682">
        <f ca="1">MIN(1,M181*S181*W181+M182*S182*W182)</f>
        <v>0</v>
      </c>
      <c r="P179" s="106"/>
      <c r="Q179" s="106"/>
      <c r="R179" s="106"/>
      <c r="S179" s="106"/>
      <c r="T179" s="106"/>
      <c r="U179" s="106"/>
      <c r="V179" s="106"/>
      <c r="W179" s="106"/>
      <c r="X179" s="1603"/>
      <c r="AN179" s="1352" t="str">
        <f>SUBSTITUTE(SUBSTITUTE(SUBSTITUTE("dpc"&amp;$B179&amp;$C179&amp;$D179&amp;$E179,".","_"),"(","_"),")","")</f>
        <v>dpc901_14</v>
      </c>
      <c r="AO179" s="1352">
        <f ca="1">O179</f>
        <v>0</v>
      </c>
      <c r="AR179" s="1352" t="str">
        <f>SUBSTITUTE(SUBSTITUTE(SUBSTITUTE("dnt"&amp;$B179&amp;$C179&amp;$D179&amp;$E179,".","_"),"(","_"),")","")</f>
        <v>dnt901_14</v>
      </c>
      <c r="AS179" s="1352" t="str">
        <f>IF(LEN(X179)=0,"",X179)</f>
        <v/>
      </c>
    </row>
    <row r="180" spans="1:51" ht="15" customHeight="1" x14ac:dyDescent="0.2">
      <c r="B180" s="600">
        <v>901.14</v>
      </c>
      <c r="C180" s="23"/>
      <c r="D180" s="23"/>
      <c r="E180" s="23"/>
      <c r="F180" s="23"/>
      <c r="G180" s="23"/>
      <c r="H180" s="691"/>
      <c r="I180" s="406"/>
      <c r="J180" s="129"/>
      <c r="K180" s="129"/>
      <c r="L180" s="1629"/>
      <c r="M180" s="371"/>
      <c r="N180" s="129"/>
      <c r="O180" s="1619"/>
      <c r="P180" s="96"/>
      <c r="Q180" s="96"/>
      <c r="R180" s="96"/>
      <c r="S180" s="96"/>
      <c r="T180" s="96"/>
      <c r="U180" s="96"/>
      <c r="V180" s="96"/>
      <c r="W180" s="96"/>
      <c r="X180" s="1601"/>
    </row>
    <row r="181" spans="1:51" ht="15" customHeight="1" x14ac:dyDescent="0.2">
      <c r="B181" s="600">
        <v>901.14</v>
      </c>
      <c r="C181" s="23" t="s">
        <v>254</v>
      </c>
      <c r="D181" s="23"/>
      <c r="E181" s="23"/>
      <c r="F181" s="23"/>
      <c r="G181" s="23"/>
      <c r="H181" s="691"/>
      <c r="I181" s="406"/>
      <c r="J181" s="207" t="s">
        <v>254</v>
      </c>
      <c r="K181" s="213"/>
      <c r="L181" s="369" t="s">
        <v>2729</v>
      </c>
      <c r="M181" s="373">
        <v>1</v>
      </c>
      <c r="N181" s="129"/>
      <c r="O181" s="238"/>
      <c r="P181" s="96" t="b">
        <v>0</v>
      </c>
      <c r="Q181" s="96" t="b">
        <v>1</v>
      </c>
      <c r="R181" s="96" t="b">
        <v>0</v>
      </c>
      <c r="S181" s="685" t="b">
        <f ca="1">$AY$19=INDEX(INDIRECT("ddSingleOrMulti"),2)</f>
        <v>1</v>
      </c>
      <c r="T181" s="96" t="b">
        <f ca="1">AND(NOT(S181),W181=TRUE)</f>
        <v>0</v>
      </c>
      <c r="U181" s="96"/>
      <c r="V181" s="96"/>
      <c r="W181" s="333"/>
      <c r="X181" s="1601"/>
      <c r="AC181" s="343" t="b">
        <f ca="1">OR(AD181:AE181)</f>
        <v>0</v>
      </c>
      <c r="AD181" s="343" t="b">
        <f ca="1">T181</f>
        <v>0</v>
      </c>
      <c r="AE181" s="343" t="b">
        <f>AND(R181,NOT(W181))</f>
        <v>0</v>
      </c>
      <c r="AL181" s="1352" t="str">
        <f>SUBSTITUTE(SUBSTITUTE(SUBSTITUTE("dpa"&amp;$B181&amp;$C181&amp;$D181&amp;$E181,".","_"),"(","_"),")","")</f>
        <v>dpa901_14_1</v>
      </c>
      <c r="AM181" s="1352">
        <f>M181</f>
        <v>1</v>
      </c>
      <c r="AP181" s="1352" t="str">
        <f>SUBSTITUTE(SUBSTITUTE(SUBSTITUTE("dch"&amp;$B181&amp;$C181&amp;$D181&amp;$E181,".","_"),"(","_"),")","")</f>
        <v>dch901_14_1</v>
      </c>
      <c r="AQ181" s="1352" t="str">
        <f>IF(LEN(W181)=0,"",W181)</f>
        <v/>
      </c>
    </row>
    <row r="182" spans="1:51" ht="15" customHeight="1" thickBot="1" x14ac:dyDescent="0.25">
      <c r="B182" s="600">
        <v>901.14</v>
      </c>
      <c r="C182" s="23" t="s">
        <v>255</v>
      </c>
      <c r="D182" s="23"/>
      <c r="E182" s="23"/>
      <c r="F182" s="23"/>
      <c r="G182" s="23"/>
      <c r="H182" s="691"/>
      <c r="I182" s="407"/>
      <c r="J182" s="190" t="s">
        <v>255</v>
      </c>
      <c r="K182" s="239"/>
      <c r="L182" s="372" t="s">
        <v>2730</v>
      </c>
      <c r="M182" s="375">
        <v>1</v>
      </c>
      <c r="N182" s="239"/>
      <c r="O182" s="240"/>
      <c r="P182" s="96" t="b">
        <v>0</v>
      </c>
      <c r="Q182" s="96" t="b">
        <v>1</v>
      </c>
      <c r="R182" s="100" t="b">
        <v>0</v>
      </c>
      <c r="S182" s="685" t="b">
        <f ca="1">$AY$19=INDEX(INDIRECT("ddSingleOrMulti"),2)</f>
        <v>1</v>
      </c>
      <c r="T182" s="96" t="b">
        <f ca="1">AND(NOT(S182),W182=TRUE)</f>
        <v>0</v>
      </c>
      <c r="U182" s="100"/>
      <c r="V182" s="100"/>
      <c r="W182" s="101"/>
      <c r="X182" s="1602"/>
      <c r="AC182" s="343" t="b">
        <f ca="1">OR(AD182:AE182)</f>
        <v>0</v>
      </c>
      <c r="AD182" s="343" t="b">
        <f ca="1">T182</f>
        <v>0</v>
      </c>
      <c r="AE182" s="343" t="b">
        <f>AND(R182,NOT(W182))</f>
        <v>0</v>
      </c>
      <c r="AL182" s="1352" t="str">
        <f>SUBSTITUTE(SUBSTITUTE(SUBSTITUTE("dpa"&amp;$B182&amp;$C182&amp;$D182&amp;$E182,".","_"),"(","_"),")","")</f>
        <v>dpa901_14_2</v>
      </c>
      <c r="AM182" s="1352">
        <f>M182</f>
        <v>1</v>
      </c>
      <c r="AP182" s="1352" t="str">
        <f>SUBSTITUTE(SUBSTITUTE(SUBSTITUTE("dch"&amp;$B182&amp;$C182&amp;$D182&amp;$E182,".","_"),"(","_"),")","")</f>
        <v>dch901_14_2</v>
      </c>
      <c r="AQ182" s="1352" t="str">
        <f>IF(LEN(W182)=0,"",W182)</f>
        <v/>
      </c>
    </row>
    <row r="183" spans="1:51" ht="15" customHeight="1" thickTop="1" x14ac:dyDescent="0.2">
      <c r="B183" s="600" t="s">
        <v>3901</v>
      </c>
      <c r="C183" s="23"/>
      <c r="D183" s="23"/>
      <c r="E183" s="23"/>
      <c r="F183" s="23"/>
      <c r="G183" s="23"/>
      <c r="H183" s="691"/>
      <c r="I183" s="177" t="s">
        <v>3900</v>
      </c>
      <c r="J183" s="4"/>
      <c r="K183" s="4"/>
      <c r="L183" s="1631" t="s">
        <v>4870</v>
      </c>
      <c r="M183" s="374"/>
      <c r="N183" s="4"/>
      <c r="O183" s="138"/>
    </row>
    <row r="184" spans="1:51" ht="15" customHeight="1" x14ac:dyDescent="0.2">
      <c r="B184" s="600" t="s">
        <v>3901</v>
      </c>
      <c r="C184" s="23"/>
      <c r="D184" s="23"/>
      <c r="E184" s="23"/>
      <c r="F184" s="23"/>
      <c r="G184" s="23"/>
      <c r="H184" s="691"/>
      <c r="I184" s="161"/>
      <c r="J184" s="4"/>
      <c r="K184" s="4"/>
      <c r="L184" s="1631"/>
      <c r="M184" s="374"/>
      <c r="N184" s="4"/>
      <c r="O184" s="138"/>
    </row>
    <row r="185" spans="1:51" x14ac:dyDescent="0.2">
      <c r="B185" s="600" t="s">
        <v>3901</v>
      </c>
      <c r="C185" s="23" t="s">
        <v>254</v>
      </c>
      <c r="D185" s="23"/>
      <c r="E185" s="23"/>
      <c r="F185" s="23"/>
      <c r="G185" s="23"/>
      <c r="H185" s="691"/>
      <c r="I185" s="161"/>
      <c r="J185" s="180" t="s">
        <v>254</v>
      </c>
      <c r="K185" s="129"/>
      <c r="L185" s="1609" t="s">
        <v>2731</v>
      </c>
      <c r="M185" s="1623">
        <v>1</v>
      </c>
      <c r="N185" s="4"/>
      <c r="O185" s="1619">
        <f ca="1">M185*S185*W185</f>
        <v>0</v>
      </c>
      <c r="P185" s="96" t="b">
        <v>0</v>
      </c>
      <c r="Q185" s="96" t="b">
        <v>1</v>
      </c>
      <c r="R185" s="337" t="b">
        <v>0</v>
      </c>
      <c r="S185" s="685" t="b">
        <f ca="1">$AY$19=INDEX(INDIRECT("ddSingleOrMulti"),2)</f>
        <v>1</v>
      </c>
      <c r="T185" s="96" t="b">
        <f ca="1">AND(NOT(S185),W185=TRUE)</f>
        <v>0</v>
      </c>
      <c r="W185" s="27"/>
      <c r="X185" s="1600"/>
      <c r="AC185" s="343" t="b">
        <f ca="1">OR(AD185:AE185)</f>
        <v>0</v>
      </c>
      <c r="AD185" s="343" t="b">
        <f ca="1">T185</f>
        <v>0</v>
      </c>
      <c r="AE185" s="343" t="b">
        <f>AND(R185,NOT(W185))</f>
        <v>0</v>
      </c>
      <c r="AL185" s="1352" t="str">
        <f>SUBSTITUTE(SUBSTITUTE(SUBSTITUTE("dpa"&amp;$B185&amp;$C185&amp;$D185&amp;$E185,".","_"),"(","_"),")","")</f>
        <v>dpa901_15_1</v>
      </c>
      <c r="AM185" s="1352">
        <f>M185</f>
        <v>1</v>
      </c>
      <c r="AN185" s="1352" t="str">
        <f>SUBSTITUTE(SUBSTITUTE(SUBSTITUTE("dpc"&amp;$B185&amp;$C185&amp;$D185&amp;$E185,".","_"),"(","_"),")","")</f>
        <v>dpc901_15_1</v>
      </c>
      <c r="AO185" s="1352">
        <f ca="1">O185</f>
        <v>0</v>
      </c>
      <c r="AP185" s="1352" t="str">
        <f>SUBSTITUTE(SUBSTITUTE(SUBSTITUTE("dch"&amp;$B185&amp;$C185&amp;$D185&amp;$E185,".","_"),"(","_"),")","")</f>
        <v>dch901_15_1</v>
      </c>
      <c r="AQ185" s="1352" t="str">
        <f>IF(LEN(W185)=0,"",W185)</f>
        <v/>
      </c>
      <c r="AR185" s="1352" t="str">
        <f>SUBSTITUTE(SUBSTITUTE(SUBSTITUTE("dnt"&amp;$B185&amp;$C185&amp;$D185&amp;$E185,".","_"),"(","_"),")","")</f>
        <v>dnt901_15_1</v>
      </c>
      <c r="AS185" s="1352" t="str">
        <f>IF(LEN(X185)=0,"",X185)</f>
        <v/>
      </c>
    </row>
    <row r="186" spans="1:51" x14ac:dyDescent="0.2">
      <c r="B186" s="600" t="s">
        <v>3901</v>
      </c>
      <c r="C186" s="23" t="s">
        <v>254</v>
      </c>
      <c r="D186" s="23"/>
      <c r="E186" s="23"/>
      <c r="F186" s="23"/>
      <c r="G186" s="23"/>
      <c r="H186" s="691"/>
      <c r="I186" s="161"/>
      <c r="J186" s="213"/>
      <c r="K186" s="213"/>
      <c r="L186" s="1612"/>
      <c r="M186" s="1624"/>
      <c r="N186" s="4"/>
      <c r="O186" s="1620"/>
      <c r="X186" s="1600"/>
    </row>
    <row r="187" spans="1:51" x14ac:dyDescent="0.2">
      <c r="B187" s="600" t="s">
        <v>3901</v>
      </c>
      <c r="C187" s="23" t="s">
        <v>255</v>
      </c>
      <c r="D187" s="23"/>
      <c r="E187" s="23"/>
      <c r="F187" s="23"/>
      <c r="G187" s="23"/>
      <c r="H187" s="691"/>
      <c r="I187" s="161"/>
      <c r="J187" s="29" t="s">
        <v>255</v>
      </c>
      <c r="K187" s="4"/>
      <c r="L187" s="1611" t="s">
        <v>2732</v>
      </c>
      <c r="M187" s="1628">
        <v>1</v>
      </c>
      <c r="N187" s="4"/>
      <c r="O187" s="1669">
        <f ca="1">M187*S187*W187</f>
        <v>0</v>
      </c>
      <c r="P187" s="96" t="b">
        <v>0</v>
      </c>
      <c r="Q187" s="96" t="b">
        <v>1</v>
      </c>
      <c r="R187" s="337" t="b">
        <v>0</v>
      </c>
      <c r="S187" s="685" t="b">
        <f ca="1">$AY$19=INDEX(INDIRECT("ddSingleOrMulti"),2)</f>
        <v>1</v>
      </c>
      <c r="T187" s="96" t="b">
        <f ca="1">AND(NOT(S187),W187=TRUE)</f>
        <v>0</v>
      </c>
      <c r="W187" s="27"/>
      <c r="X187" s="1600"/>
      <c r="AC187" s="343" t="b">
        <f ca="1">OR(AD187:AE187)</f>
        <v>0</v>
      </c>
      <c r="AD187" s="343" t="b">
        <f ca="1">T187</f>
        <v>0</v>
      </c>
      <c r="AE187" s="343" t="b">
        <f>AND(R187,NOT(W187))</f>
        <v>0</v>
      </c>
      <c r="AL187" s="1352" t="str">
        <f>SUBSTITUTE(SUBSTITUTE(SUBSTITUTE("dpa"&amp;$B187&amp;$C187&amp;$D187&amp;$E187,".","_"),"(","_"),")","")</f>
        <v>dpa901_15_2</v>
      </c>
      <c r="AM187" s="1352">
        <f>M187</f>
        <v>1</v>
      </c>
      <c r="AN187" s="1352" t="str">
        <f>SUBSTITUTE(SUBSTITUTE(SUBSTITUTE("dpc"&amp;$B187&amp;$C187&amp;$D187&amp;$E187,".","_"),"(","_"),")","")</f>
        <v>dpc901_15_2</v>
      </c>
      <c r="AO187" s="1352">
        <f ca="1">O187</f>
        <v>0</v>
      </c>
      <c r="AP187" s="1352" t="str">
        <f>SUBSTITUTE(SUBSTITUTE(SUBSTITUTE("dch"&amp;$B187&amp;$C187&amp;$D187&amp;$E187,".","_"),"(","_"),")","")</f>
        <v>dch901_15_2</v>
      </c>
      <c r="AQ187" s="1352" t="str">
        <f>IF(LEN(W187)=0,"",W187)</f>
        <v/>
      </c>
      <c r="AR187" s="1352" t="str">
        <f>SUBSTITUTE(SUBSTITUTE(SUBSTITUTE("dnt"&amp;$B187&amp;$C187&amp;$D187&amp;$E187,".","_"),"(","_"),")","")</f>
        <v>dnt901_15_2</v>
      </c>
      <c r="AS187" s="1352" t="str">
        <f>IF(LEN(X187)=0,"",X187)</f>
        <v/>
      </c>
    </row>
    <row r="188" spans="1:51" ht="16" thickBot="1" x14ac:dyDescent="0.25">
      <c r="B188" s="600" t="s">
        <v>3901</v>
      </c>
      <c r="C188" s="23" t="s">
        <v>255</v>
      </c>
      <c r="D188" s="23"/>
      <c r="E188" s="23"/>
      <c r="F188" s="23"/>
      <c r="G188" s="23"/>
      <c r="H188" s="691"/>
      <c r="I188" s="161"/>
      <c r="J188" s="4"/>
      <c r="K188" s="4"/>
      <c r="L188" s="1611"/>
      <c r="M188" s="1628"/>
      <c r="N188" s="4"/>
      <c r="O188" s="1669"/>
      <c r="X188" s="1600"/>
    </row>
    <row r="189" spans="1:51" s="789" customFormat="1" ht="16" thickTop="1" x14ac:dyDescent="0.2">
      <c r="A189" s="20"/>
      <c r="B189" s="600" t="s">
        <v>4873</v>
      </c>
      <c r="C189" s="23"/>
      <c r="D189" s="23"/>
      <c r="E189" s="23"/>
      <c r="F189" s="23"/>
      <c r="G189" s="23"/>
      <c r="H189" s="691"/>
      <c r="I189" s="177" t="s">
        <v>4868</v>
      </c>
      <c r="J189" s="178"/>
      <c r="K189" s="178"/>
      <c r="L189" s="1683" t="s">
        <v>4869</v>
      </c>
      <c r="M189" s="1701" t="str">
        <f>IF(R189,"Mandatory","N/A")</f>
        <v>Mandatory</v>
      </c>
      <c r="N189" s="178"/>
      <c r="O189" s="790"/>
      <c r="P189" s="804" t="b">
        <v>0</v>
      </c>
      <c r="Q189" s="804" t="b">
        <v>1</v>
      </c>
      <c r="R189" s="778" t="b">
        <f>S189</f>
        <v>1</v>
      </c>
      <c r="S189" s="778" t="b">
        <f>AY27&lt;1978</f>
        <v>1</v>
      </c>
      <c r="T189" s="778" t="b">
        <v>0</v>
      </c>
      <c r="U189" s="106"/>
      <c r="W189" s="334" t="b">
        <v>1</v>
      </c>
      <c r="X189" s="1603"/>
      <c r="AC189" s="905" t="b">
        <f>OR(AD189:AE189)</f>
        <v>0</v>
      </c>
      <c r="AD189" s="905" t="b">
        <f>T189</f>
        <v>0</v>
      </c>
      <c r="AE189" s="905" t="b">
        <f>AND(R189,NOT(W189))</f>
        <v>0</v>
      </c>
      <c r="AL189" s="1352" t="str">
        <f>SUBSTITUTE(SUBSTITUTE(SUBSTITUTE("dpa"&amp;$B189&amp;$C189&amp;$D189&amp;$E189,".","_"),"(","_"),")","")</f>
        <v>dpa901_16</v>
      </c>
      <c r="AM189" s="1352" t="str">
        <f>M189</f>
        <v>Mandatory</v>
      </c>
      <c r="AN189" s="78"/>
      <c r="AO189" s="78"/>
      <c r="AP189" s="1352" t="str">
        <f>SUBSTITUTE(SUBSTITUTE(SUBSTITUTE("dch"&amp;$B189&amp;$C189&amp;$D189&amp;$E189,".","_"),"(","_"),")","")</f>
        <v>dch901_16</v>
      </c>
      <c r="AQ189" s="1352" t="b">
        <f>IF(LEN(W189)=0,"",W189)</f>
        <v>1</v>
      </c>
      <c r="AR189" s="1352" t="str">
        <f>SUBSTITUTE(SUBSTITUTE(SUBSTITUTE("dnt"&amp;$B189&amp;$C189&amp;$D189&amp;$E189,".","_"),"(","_"),")","")</f>
        <v>dnt901_16</v>
      </c>
      <c r="AS189" s="1352" t="str">
        <f>IF(LEN(X189)=0,"",X189)</f>
        <v/>
      </c>
      <c r="AX189" s="78"/>
      <c r="AY189" s="78"/>
    </row>
    <row r="190" spans="1:51" s="789" customFormat="1" x14ac:dyDescent="0.2">
      <c r="A190" s="20"/>
      <c r="B190" s="600" t="s">
        <v>4873</v>
      </c>
      <c r="C190" s="23"/>
      <c r="D190" s="23"/>
      <c r="E190" s="23"/>
      <c r="F190" s="23"/>
      <c r="G190" s="23"/>
      <c r="H190" s="691"/>
      <c r="I190" s="406"/>
      <c r="J190" s="129"/>
      <c r="K190" s="129"/>
      <c r="L190" s="1629"/>
      <c r="M190" s="1697"/>
      <c r="N190" s="129"/>
      <c r="O190" s="908"/>
      <c r="P190" s="991"/>
      <c r="Q190" s="991"/>
      <c r="R190" s="991"/>
      <c r="S190" s="991"/>
      <c r="T190" s="991"/>
      <c r="U190" s="991"/>
      <c r="X190" s="1621"/>
      <c r="AL190" s="78"/>
      <c r="AM190" s="78"/>
      <c r="AN190" s="78"/>
      <c r="AO190" s="78"/>
      <c r="AP190" s="78"/>
      <c r="AQ190" s="78"/>
      <c r="AR190" s="78"/>
      <c r="AS190" s="78"/>
      <c r="AX190" s="78"/>
      <c r="AY190" s="78"/>
    </row>
    <row r="191" spans="1:51" ht="19" x14ac:dyDescent="0.25">
      <c r="B191" s="600">
        <v>902</v>
      </c>
      <c r="C191" s="23"/>
      <c r="D191" s="23"/>
      <c r="E191" s="23"/>
      <c r="F191" s="23"/>
      <c r="G191" s="23"/>
      <c r="H191" s="691"/>
      <c r="I191" s="1114" t="s">
        <v>3686</v>
      </c>
      <c r="J191" s="1113"/>
      <c r="K191" s="1113"/>
      <c r="L191" s="1115"/>
      <c r="M191" s="1116"/>
      <c r="N191" s="1117"/>
      <c r="O191" s="1116"/>
      <c r="P191" s="1113"/>
      <c r="Q191" s="1113"/>
      <c r="R191" s="1113"/>
      <c r="S191" s="1113"/>
      <c r="T191" s="1113"/>
      <c r="U191" s="1113"/>
      <c r="V191" s="1113"/>
      <c r="W191" s="1113"/>
      <c r="X191" s="1113"/>
      <c r="AX191" s="789"/>
      <c r="AY191" s="789"/>
    </row>
    <row r="192" spans="1:51" ht="16" thickBot="1" x14ac:dyDescent="0.25">
      <c r="B192" s="600" t="s">
        <v>3436</v>
      </c>
      <c r="C192" s="23"/>
      <c r="D192" s="23"/>
      <c r="E192" s="23"/>
      <c r="F192" s="23"/>
      <c r="G192" s="23"/>
      <c r="H192" s="691"/>
      <c r="I192" s="404" t="s">
        <v>3687</v>
      </c>
      <c r="J192" s="239"/>
      <c r="K192" s="239"/>
      <c r="L192" s="377" t="s">
        <v>3733</v>
      </c>
      <c r="M192" s="375"/>
      <c r="N192" s="239"/>
      <c r="O192" s="240"/>
      <c r="P192" s="100"/>
      <c r="Q192" s="100"/>
      <c r="R192" s="100"/>
      <c r="S192" s="100"/>
      <c r="T192" s="100"/>
      <c r="U192" s="100"/>
      <c r="V192" s="100"/>
      <c r="W192" s="100"/>
      <c r="X192" s="100"/>
      <c r="AX192" s="789"/>
      <c r="AY192" s="789"/>
    </row>
    <row r="193" spans="1:51" s="382" customFormat="1" ht="16" thickTop="1" x14ac:dyDescent="0.2">
      <c r="A193" s="20"/>
      <c r="B193" s="600">
        <v>902.1</v>
      </c>
      <c r="C193" s="23"/>
      <c r="D193" s="23"/>
      <c r="E193" s="23"/>
      <c r="F193" s="23"/>
      <c r="G193" s="23"/>
      <c r="H193" s="691"/>
      <c r="I193" s="67" t="s">
        <v>3688</v>
      </c>
      <c r="J193" s="4"/>
      <c r="K193" s="4"/>
      <c r="L193" s="394" t="s">
        <v>3732</v>
      </c>
      <c r="M193" s="387"/>
      <c r="N193" s="4"/>
      <c r="O193" s="420"/>
      <c r="Y193" s="704"/>
      <c r="AA193" s="707"/>
      <c r="AL193" s="78"/>
      <c r="AM193" s="78"/>
      <c r="AN193" s="78"/>
      <c r="AO193" s="78"/>
      <c r="AP193" s="78"/>
      <c r="AQ193" s="78"/>
      <c r="AR193" s="78"/>
      <c r="AS193" s="78"/>
      <c r="AX193" s="78"/>
      <c r="AY193" s="78"/>
    </row>
    <row r="194" spans="1:51" x14ac:dyDescent="0.2">
      <c r="B194" s="600" t="s">
        <v>5290</v>
      </c>
      <c r="C194" s="23"/>
      <c r="D194" s="23"/>
      <c r="E194" s="23"/>
      <c r="F194" s="23"/>
      <c r="G194" s="23"/>
      <c r="H194" s="691"/>
      <c r="I194" s="67" t="s">
        <v>3689</v>
      </c>
      <c r="J194" s="4"/>
      <c r="K194" s="4"/>
      <c r="L194" s="162" t="s">
        <v>3731</v>
      </c>
      <c r="M194" s="374"/>
      <c r="N194" s="4"/>
      <c r="O194" s="138"/>
    </row>
    <row r="195" spans="1:51" x14ac:dyDescent="0.2">
      <c r="B195" s="600" t="s">
        <v>5290</v>
      </c>
      <c r="C195" s="23" t="s">
        <v>254</v>
      </c>
      <c r="D195" s="23"/>
      <c r="E195" s="23"/>
      <c r="F195" s="23"/>
      <c r="G195" s="23"/>
      <c r="H195" s="691"/>
      <c r="I195" s="161"/>
      <c r="J195" s="29" t="s">
        <v>254</v>
      </c>
      <c r="K195" s="4"/>
      <c r="L195" s="1611" t="s">
        <v>2733</v>
      </c>
      <c r="M195" s="1697" t="str">
        <f>IF(R195,"Mandatory","N/A")</f>
        <v>Mandatory</v>
      </c>
      <c r="N195" s="4"/>
      <c r="O195" s="138"/>
      <c r="P195" s="96" t="b">
        <v>0</v>
      </c>
      <c r="Q195" s="96" t="b">
        <v>1</v>
      </c>
      <c r="R195" s="337" t="b">
        <f>S195</f>
        <v>1</v>
      </c>
      <c r="S195" s="337" t="b">
        <v>1</v>
      </c>
      <c r="T195" s="337" t="b">
        <v>0</v>
      </c>
      <c r="W195" s="27" t="b">
        <v>1</v>
      </c>
      <c r="X195" s="1600"/>
      <c r="AC195" s="343" t="b">
        <f>OR(AD195:AE195)</f>
        <v>0</v>
      </c>
      <c r="AD195" s="343" t="b">
        <f>T195</f>
        <v>0</v>
      </c>
      <c r="AE195" s="343" t="b">
        <f>AND(R195,NOT(W195))</f>
        <v>0</v>
      </c>
      <c r="AL195" s="1352" t="str">
        <f>SUBSTITUTE(SUBSTITUTE(SUBSTITUTE("dpa"&amp;$B195&amp;$C195&amp;$D195&amp;$E195,".","_"),"(","_"),")","")</f>
        <v>dpa902_1_1_1</v>
      </c>
      <c r="AM195" s="1352" t="str">
        <f>M195</f>
        <v>Mandatory</v>
      </c>
      <c r="AP195" s="1352" t="str">
        <f>SUBSTITUTE(SUBSTITUTE(SUBSTITUTE("dch"&amp;$B195&amp;$C195&amp;$D195&amp;$E195,".","_"),"(","_"),")","")</f>
        <v>dch902_1_1_1</v>
      </c>
      <c r="AQ195" s="1352" t="b">
        <f>IF(LEN(W195)=0,"",W195)</f>
        <v>1</v>
      </c>
      <c r="AR195" s="1352" t="str">
        <f>SUBSTITUTE(SUBSTITUTE(SUBSTITUTE("dnt"&amp;$B195&amp;$C195&amp;$D195&amp;$E195,".","_"),"(","_"),")","")</f>
        <v>dnt902_1_1_1</v>
      </c>
      <c r="AS195" s="1352" t="str">
        <f>IF(LEN(X195)=0,"",X195)</f>
        <v/>
      </c>
      <c r="AX195" s="382"/>
      <c r="AY195" s="382"/>
    </row>
    <row r="196" spans="1:51" x14ac:dyDescent="0.2">
      <c r="B196" s="600" t="s">
        <v>5290</v>
      </c>
      <c r="C196" s="23" t="s">
        <v>254</v>
      </c>
      <c r="D196" s="23"/>
      <c r="E196" s="23"/>
      <c r="F196" s="23"/>
      <c r="G196" s="23"/>
      <c r="H196" s="691"/>
      <c r="I196" s="161"/>
      <c r="J196" s="4"/>
      <c r="K196" s="4"/>
      <c r="L196" s="1611"/>
      <c r="M196" s="1697"/>
      <c r="N196" s="4"/>
      <c r="O196" s="138"/>
      <c r="X196" s="1600"/>
    </row>
    <row r="197" spans="1:51" ht="15" customHeight="1" x14ac:dyDescent="0.2">
      <c r="B197" s="600" t="s">
        <v>5290</v>
      </c>
      <c r="C197" s="23" t="s">
        <v>254</v>
      </c>
      <c r="D197" s="23" t="s">
        <v>121</v>
      </c>
      <c r="E197" s="23"/>
      <c r="F197" s="23"/>
      <c r="G197" s="23"/>
      <c r="H197" s="691"/>
      <c r="I197" s="161"/>
      <c r="J197" s="180"/>
      <c r="K197" s="180" t="s">
        <v>121</v>
      </c>
      <c r="L197" s="1609" t="s">
        <v>2928</v>
      </c>
      <c r="M197" s="1623">
        <v>1</v>
      </c>
      <c r="N197" s="4"/>
      <c r="O197" s="1619">
        <f>M197*S197*W197</f>
        <v>0</v>
      </c>
      <c r="P197" s="96" t="b">
        <v>0</v>
      </c>
      <c r="Q197" s="96" t="b">
        <v>1</v>
      </c>
      <c r="R197" s="337" t="b">
        <v>0</v>
      </c>
      <c r="S197" s="337" t="b">
        <f>W195=TRUE</f>
        <v>1</v>
      </c>
      <c r="T197" s="96" t="b">
        <f>AND(NOT(S197),W197=TRUE)</f>
        <v>0</v>
      </c>
      <c r="W197" s="27"/>
      <c r="X197" s="1600"/>
      <c r="AC197" s="343" t="b">
        <f>OR(AD197:AE197)</f>
        <v>0</v>
      </c>
      <c r="AD197" s="343" t="b">
        <f>T197</f>
        <v>0</v>
      </c>
      <c r="AE197" s="343" t="b">
        <f>AND(R197,NOT(W197))</f>
        <v>0</v>
      </c>
      <c r="AL197" s="1352" t="str">
        <f>SUBSTITUTE(SUBSTITUTE(SUBSTITUTE("dpa"&amp;$B197&amp;$C197&amp;$D197&amp;$E197,".","_"),"(","_"),")","")</f>
        <v>dpa902_1_1_1_a</v>
      </c>
      <c r="AM197" s="1352">
        <f>M197</f>
        <v>1</v>
      </c>
      <c r="AN197" s="1352" t="str">
        <f>SUBSTITUTE(SUBSTITUTE(SUBSTITUTE("dpc"&amp;$B197&amp;$C197&amp;$D197&amp;$E197,".","_"),"(","_"),")","")</f>
        <v>dpc902_1_1_1_a</v>
      </c>
      <c r="AO197" s="1352">
        <f>O197</f>
        <v>0</v>
      </c>
      <c r="AP197" s="1352" t="str">
        <f>SUBSTITUTE(SUBSTITUTE(SUBSTITUTE("dch"&amp;$B197&amp;$C197&amp;$D197&amp;$E197,".","_"),"(","_"),")","")</f>
        <v>dch902_1_1_1_a</v>
      </c>
      <c r="AQ197" s="1352" t="str">
        <f>IF(LEN(W197)=0,"",W197)</f>
        <v/>
      </c>
      <c r="AR197" s="1352" t="str">
        <f>SUBSTITUTE(SUBSTITUTE(SUBSTITUTE("dnt"&amp;$B197&amp;$C197&amp;$D197&amp;$E197,".","_"),"(","_"),")","")</f>
        <v>dnt902_1_1_1_a</v>
      </c>
      <c r="AS197" s="1352" t="str">
        <f>IF(LEN(X197)=0,"",X197)</f>
        <v/>
      </c>
    </row>
    <row r="198" spans="1:51" x14ac:dyDescent="0.2">
      <c r="B198" s="600" t="s">
        <v>5290</v>
      </c>
      <c r="C198" s="23" t="s">
        <v>254</v>
      </c>
      <c r="D198" s="23" t="s">
        <v>121</v>
      </c>
      <c r="E198" s="23"/>
      <c r="F198" s="23"/>
      <c r="G198" s="23"/>
      <c r="H198" s="691"/>
      <c r="I198" s="161"/>
      <c r="J198" s="207"/>
      <c r="K198" s="213"/>
      <c r="L198" s="1612"/>
      <c r="M198" s="1624"/>
      <c r="N198" s="4"/>
      <c r="O198" s="1620"/>
      <c r="X198" s="1600"/>
    </row>
    <row r="199" spans="1:51" x14ac:dyDescent="0.2">
      <c r="B199" s="600" t="s">
        <v>5290</v>
      </c>
      <c r="C199" s="23" t="s">
        <v>255</v>
      </c>
      <c r="D199" s="23"/>
      <c r="E199" s="23"/>
      <c r="F199" s="23"/>
      <c r="G199" s="23"/>
      <c r="H199" s="691"/>
      <c r="I199" s="161"/>
      <c r="J199" s="180" t="s">
        <v>255</v>
      </c>
      <c r="K199" s="129"/>
      <c r="L199" s="1609" t="s">
        <v>2734</v>
      </c>
      <c r="M199" s="1697" t="str">
        <f>IF(R199,"Mandatory","N/A")</f>
        <v>Mandatory</v>
      </c>
      <c r="N199" s="4"/>
      <c r="O199" s="138"/>
      <c r="P199" s="96" t="b">
        <v>0</v>
      </c>
      <c r="Q199" s="96" t="b">
        <v>1</v>
      </c>
      <c r="R199" s="337" t="b">
        <f>S199</f>
        <v>1</v>
      </c>
      <c r="S199" s="337" t="b">
        <v>1</v>
      </c>
      <c r="T199" s="337" t="b">
        <v>0</v>
      </c>
      <c r="U199" s="96" t="str">
        <f>SUBSTITUTE(SUBSTITUTE(SUBSTITUTE("dd"&amp;B199&amp;C199&amp;D199&amp;E199&amp;F199,".","_"),"(","_"),")","")</f>
        <v>dd902_1_1_2</v>
      </c>
      <c r="W199" s="12" t="s">
        <v>2588</v>
      </c>
      <c r="X199" s="1600"/>
      <c r="AC199" s="343" t="b">
        <f>OR(AD199:AE199)</f>
        <v>0</v>
      </c>
      <c r="AD199" s="343" t="b">
        <f>T199</f>
        <v>0</v>
      </c>
      <c r="AE199" s="343" t="b">
        <f>AND(R199,OR(W199="Not Met",W199=""))</f>
        <v>0</v>
      </c>
      <c r="AL199" s="1352" t="str">
        <f>SUBSTITUTE(SUBSTITUTE(SUBSTITUTE("dpa"&amp;$B199&amp;$C199&amp;$D199&amp;$E199,".","_"),"(","_"),")","")</f>
        <v>dpa902_1_1_2</v>
      </c>
      <c r="AM199" s="1352" t="str">
        <f>M199</f>
        <v>Mandatory</v>
      </c>
      <c r="AP199" s="1352" t="str">
        <f>SUBSTITUTE(SUBSTITUTE(SUBSTITUTE("dch"&amp;$B199&amp;$C199&amp;$D199&amp;$E199,".","_"),"(","_"),")","")</f>
        <v>dch902_1_1_2</v>
      </c>
      <c r="AQ199" s="1352" t="str">
        <f>IF(LEN(W199)=0,"",W199)</f>
        <v>Met</v>
      </c>
      <c r="AR199" s="1352" t="str">
        <f>SUBSTITUTE(SUBSTITUTE(SUBSTITUTE("dnt"&amp;$B199&amp;$C199&amp;$D199&amp;$E199,".","_"),"(","_"),")","")</f>
        <v>dnt902_1_1_2</v>
      </c>
      <c r="AS199" s="1352" t="str">
        <f>IF(LEN(X199)=0,"",X199)</f>
        <v/>
      </c>
    </row>
    <row r="200" spans="1:51" x14ac:dyDescent="0.2">
      <c r="B200" s="600" t="s">
        <v>5290</v>
      </c>
      <c r="C200" s="23" t="s">
        <v>255</v>
      </c>
      <c r="D200" s="23"/>
      <c r="E200" s="23"/>
      <c r="F200" s="23"/>
      <c r="G200" s="23"/>
      <c r="H200" s="691"/>
      <c r="I200" s="161"/>
      <c r="J200" s="207"/>
      <c r="K200" s="213"/>
      <c r="L200" s="1612"/>
      <c r="M200" s="1698"/>
      <c r="N200" s="4"/>
      <c r="O200" s="422"/>
      <c r="X200" s="1600"/>
    </row>
    <row r="201" spans="1:51" x14ac:dyDescent="0.2">
      <c r="B201" s="600" t="s">
        <v>5290</v>
      </c>
      <c r="C201" s="23" t="s">
        <v>256</v>
      </c>
      <c r="D201" s="23"/>
      <c r="E201" s="23"/>
      <c r="F201" s="23"/>
      <c r="G201" s="23"/>
      <c r="H201" s="691"/>
      <c r="I201" s="406"/>
      <c r="J201" s="180" t="s">
        <v>256</v>
      </c>
      <c r="K201" s="129"/>
      <c r="L201" s="1609" t="s">
        <v>2735</v>
      </c>
      <c r="M201" s="1623">
        <v>8</v>
      </c>
      <c r="N201" s="129"/>
      <c r="O201" s="1619">
        <f>M201*S201*W201</f>
        <v>0</v>
      </c>
      <c r="P201" s="96" t="b">
        <v>0</v>
      </c>
      <c r="Q201" s="96" t="b">
        <v>1</v>
      </c>
      <c r="R201" s="96" t="b">
        <v>0</v>
      </c>
      <c r="S201" s="96" t="b">
        <v>1</v>
      </c>
      <c r="T201" s="96" t="b">
        <v>0</v>
      </c>
      <c r="U201" s="96"/>
      <c r="V201" s="96"/>
      <c r="W201" s="333"/>
      <c r="X201" s="1601"/>
      <c r="AC201" s="343"/>
      <c r="AD201" s="343"/>
      <c r="AE201" s="343"/>
      <c r="AL201" s="1352" t="str">
        <f>SUBSTITUTE(SUBSTITUTE(SUBSTITUTE("dpa"&amp;$B201&amp;$C201&amp;$D201&amp;$E201,".","_"),"(","_"),")","")</f>
        <v>dpa902_1_1_3</v>
      </c>
      <c r="AM201" s="1352">
        <f>M201</f>
        <v>8</v>
      </c>
      <c r="AN201" s="1352" t="str">
        <f>SUBSTITUTE(SUBSTITUTE(SUBSTITUTE("dpc"&amp;$B201&amp;$C201&amp;$D201&amp;$E201,".","_"),"(","_"),")","")</f>
        <v>dpc902_1_1_3</v>
      </c>
      <c r="AO201" s="1352">
        <f>O201</f>
        <v>0</v>
      </c>
      <c r="AP201" s="1352" t="str">
        <f>SUBSTITUTE(SUBSTITUTE(SUBSTITUTE("dch"&amp;$B201&amp;$C201&amp;$D201&amp;$E201,".","_"),"(","_"),")","")</f>
        <v>dch902_1_1_3</v>
      </c>
      <c r="AQ201" s="1352" t="str">
        <f>IF(LEN(W201)=0,"",W201)</f>
        <v/>
      </c>
      <c r="AR201" s="1352" t="str">
        <f>SUBSTITUTE(SUBSTITUTE(SUBSTITUTE("dnt"&amp;$B201&amp;$C201&amp;$D201&amp;$E201,".","_"),"(","_"),")","")</f>
        <v>dnt902_1_1_3</v>
      </c>
      <c r="AS201" s="1352" t="str">
        <f>IF(LEN(X201)=0,"",X201)</f>
        <v/>
      </c>
    </row>
    <row r="202" spans="1:51" x14ac:dyDescent="0.2">
      <c r="B202" s="600" t="s">
        <v>5290</v>
      </c>
      <c r="C202" s="23" t="s">
        <v>256</v>
      </c>
      <c r="D202" s="23"/>
      <c r="E202" s="23"/>
      <c r="F202" s="23"/>
      <c r="G202" s="23"/>
      <c r="H202" s="691"/>
      <c r="I202" s="406"/>
      <c r="J202" s="180"/>
      <c r="K202" s="129"/>
      <c r="L202" s="1609"/>
      <c r="M202" s="1623"/>
      <c r="N202" s="129"/>
      <c r="O202" s="1619"/>
      <c r="P202" s="96"/>
      <c r="Q202" s="96"/>
      <c r="R202" s="96"/>
      <c r="S202" s="96"/>
      <c r="T202" s="96"/>
      <c r="U202" s="96"/>
      <c r="V202" s="96"/>
      <c r="W202" s="96"/>
      <c r="X202" s="1601"/>
    </row>
    <row r="203" spans="1:51" x14ac:dyDescent="0.2">
      <c r="B203" s="600" t="s">
        <v>5290</v>
      </c>
      <c r="C203" s="23" t="s">
        <v>256</v>
      </c>
      <c r="D203" s="23"/>
      <c r="E203" s="23"/>
      <c r="F203" s="23"/>
      <c r="G203" s="23"/>
      <c r="H203" s="691"/>
      <c r="I203" s="438"/>
      <c r="J203" s="213"/>
      <c r="K203" s="213"/>
      <c r="L203" s="1612"/>
      <c r="M203" s="1624"/>
      <c r="N203" s="213"/>
      <c r="O203" s="1620"/>
      <c r="P203" s="173"/>
      <c r="Q203" s="173"/>
      <c r="R203" s="173"/>
      <c r="S203" s="173"/>
      <c r="T203" s="173"/>
      <c r="U203" s="173"/>
      <c r="V203" s="173"/>
      <c r="W203" s="173"/>
      <c r="X203" s="1601"/>
    </row>
    <row r="204" spans="1:51" x14ac:dyDescent="0.2">
      <c r="B204" s="600" t="s">
        <v>2736</v>
      </c>
      <c r="C204" s="23"/>
      <c r="D204" s="23"/>
      <c r="E204" s="23"/>
      <c r="F204" s="23"/>
      <c r="G204" s="23"/>
      <c r="H204" s="691"/>
      <c r="I204" s="192" t="s">
        <v>3690</v>
      </c>
      <c r="J204" s="193"/>
      <c r="K204" s="193"/>
      <c r="L204" s="1712" t="s">
        <v>3730</v>
      </c>
      <c r="M204" s="1636" t="s">
        <v>2737</v>
      </c>
      <c r="N204" s="193"/>
      <c r="O204" s="1637">
        <f>MIN(11,IF(W205+W207=0,0,5+2*(W205+W207-1)))</f>
        <v>0</v>
      </c>
      <c r="P204" s="195"/>
      <c r="Q204" s="195"/>
      <c r="R204" s="195"/>
      <c r="S204" s="195"/>
      <c r="T204" s="195"/>
      <c r="U204" s="195"/>
      <c r="V204" s="195"/>
      <c r="W204" s="195" t="s">
        <v>2929</v>
      </c>
      <c r="X204" s="1601"/>
      <c r="AL204" s="1352" t="str">
        <f>SUBSTITUTE(SUBSTITUTE(SUBSTITUTE("dpa"&amp;$B204&amp;$C204&amp;$D204&amp;$E204,".","_"),"(","_"),")","")</f>
        <v>dpa902_1_2</v>
      </c>
      <c r="AM204" s="1352" t="str">
        <f>M204</f>
        <v>11 Max</v>
      </c>
      <c r="AN204" s="1352" t="str">
        <f>SUBSTITUTE(SUBSTITUTE(SUBSTITUTE("dpc"&amp;$B204&amp;$C204&amp;$D204&amp;$E204,".","_"),"(","_"),")","")</f>
        <v>dpc902_1_2</v>
      </c>
      <c r="AO204" s="1352">
        <f>O204</f>
        <v>0</v>
      </c>
      <c r="AR204" s="1352" t="str">
        <f>SUBSTITUTE(SUBSTITUTE(SUBSTITUTE("dnt"&amp;$B204&amp;$C204&amp;$D204&amp;$E204,".","_"),"(","_"),")","")</f>
        <v>dnt902_1_2</v>
      </c>
      <c r="AS204" s="1352" t="str">
        <f>IF(LEN(X204)=0,"",X204)</f>
        <v/>
      </c>
    </row>
    <row r="205" spans="1:51" x14ac:dyDescent="0.2">
      <c r="B205" s="600" t="s">
        <v>2736</v>
      </c>
      <c r="C205" s="23"/>
      <c r="D205" s="23"/>
      <c r="E205" s="23"/>
      <c r="F205" s="23"/>
      <c r="G205" s="23"/>
      <c r="H205" s="691"/>
      <c r="I205" s="406"/>
      <c r="J205" s="129"/>
      <c r="K205" s="129"/>
      <c r="L205" s="1629"/>
      <c r="M205" s="1623"/>
      <c r="N205" s="129"/>
      <c r="O205" s="1619"/>
      <c r="P205" s="96" t="b">
        <v>0</v>
      </c>
      <c r="Q205" s="96" t="b">
        <v>1</v>
      </c>
      <c r="R205" s="96" t="b">
        <v>0</v>
      </c>
      <c r="S205" s="96" t="b">
        <v>1</v>
      </c>
      <c r="T205" s="96" t="b">
        <v>0</v>
      </c>
      <c r="U205" s="96"/>
      <c r="V205" s="96"/>
      <c r="W205" s="409"/>
      <c r="X205" s="1601"/>
      <c r="AC205" s="343"/>
      <c r="AD205" s="343"/>
      <c r="AE205" s="343"/>
      <c r="AP205" s="1352" t="str">
        <f>SUBSTITUTE(SUBSTITUTE(SUBSTITUTE("dch"&amp;$B205&amp;$C205&amp;$D205&amp;$E205,".","_"),"(","_"),")","")</f>
        <v>dch902_1_2</v>
      </c>
      <c r="AQ205" s="1352" t="str">
        <f>IF(LEN(W205)=0,"",W205)</f>
        <v/>
      </c>
    </row>
    <row r="206" spans="1:51" ht="15" customHeight="1" x14ac:dyDescent="0.2">
      <c r="B206" s="600" t="s">
        <v>2736</v>
      </c>
      <c r="C206" s="23" t="s">
        <v>254</v>
      </c>
      <c r="D206" s="23"/>
      <c r="E206" s="23"/>
      <c r="F206" s="23"/>
      <c r="G206" s="23"/>
      <c r="H206" s="691"/>
      <c r="I206" s="406"/>
      <c r="J206" s="207" t="s">
        <v>254</v>
      </c>
      <c r="K206" s="213"/>
      <c r="L206" s="386" t="s">
        <v>2738</v>
      </c>
      <c r="M206" s="390">
        <v>5</v>
      </c>
      <c r="N206" s="129"/>
      <c r="O206" s="423"/>
      <c r="P206" s="96"/>
      <c r="Q206" s="96"/>
      <c r="R206" s="96"/>
      <c r="S206" s="96"/>
      <c r="T206" s="96"/>
      <c r="U206" s="96"/>
      <c r="V206" s="96"/>
      <c r="W206" s="96" t="s">
        <v>2930</v>
      </c>
      <c r="X206" s="1601"/>
      <c r="AL206" s="1352" t="str">
        <f>SUBSTITUTE(SUBSTITUTE(SUBSTITUTE("dpa"&amp;$B206&amp;$C206&amp;$D206&amp;$E206,".","_"),"(","_"),")","")</f>
        <v>dpa902_1_2_1</v>
      </c>
      <c r="AM206" s="1352">
        <f>M206</f>
        <v>5</v>
      </c>
    </row>
    <row r="207" spans="1:51" x14ac:dyDescent="0.2">
      <c r="B207" s="600" t="s">
        <v>2736</v>
      </c>
      <c r="C207" s="23" t="s">
        <v>255</v>
      </c>
      <c r="D207" s="23"/>
      <c r="E207" s="23"/>
      <c r="F207" s="23"/>
      <c r="G207" s="23"/>
      <c r="H207" s="691"/>
      <c r="I207" s="438"/>
      <c r="J207" s="207" t="s">
        <v>255</v>
      </c>
      <c r="K207" s="213"/>
      <c r="L207" s="386" t="s">
        <v>2739</v>
      </c>
      <c r="M207" s="390">
        <v>2</v>
      </c>
      <c r="N207" s="213"/>
      <c r="O207" s="424"/>
      <c r="P207" s="96" t="b">
        <v>0</v>
      </c>
      <c r="Q207" s="96" t="b">
        <v>1</v>
      </c>
      <c r="R207" s="173" t="b">
        <v>0</v>
      </c>
      <c r="S207" s="173" t="b">
        <v>1</v>
      </c>
      <c r="T207" s="173" t="b">
        <v>0</v>
      </c>
      <c r="U207" s="173"/>
      <c r="V207" s="173"/>
      <c r="W207" s="442"/>
      <c r="X207" s="1601"/>
      <c r="AC207" s="343"/>
      <c r="AD207" s="343"/>
      <c r="AE207" s="343"/>
      <c r="AL207" s="1352" t="str">
        <f>SUBSTITUTE(SUBSTITUTE(SUBSTITUTE("dpa"&amp;$B207&amp;$C207&amp;$D207&amp;$E207,".","_"),"(","_"),")","")</f>
        <v>dpa902_1_2_2</v>
      </c>
      <c r="AM207" s="1352">
        <f>M207</f>
        <v>2</v>
      </c>
      <c r="AP207" s="1352" t="str">
        <f>SUBSTITUTE(SUBSTITUTE(SUBSTITUTE("dch"&amp;$B207&amp;$C207&amp;$D207&amp;$E207,".","_"),"(","_"),")","")</f>
        <v>dch902_1_2_2</v>
      </c>
      <c r="AQ207" s="1352" t="str">
        <f>IF(LEN(W207)=0,"",W207)</f>
        <v/>
      </c>
    </row>
    <row r="208" spans="1:51" x14ac:dyDescent="0.2">
      <c r="B208" s="600" t="s">
        <v>2740</v>
      </c>
      <c r="C208" s="23"/>
      <c r="D208" s="23"/>
      <c r="E208" s="23"/>
      <c r="F208" s="23"/>
      <c r="G208" s="23"/>
      <c r="H208" s="691"/>
      <c r="I208" s="192" t="s">
        <v>3691</v>
      </c>
      <c r="J208" s="193"/>
      <c r="K208" s="193"/>
      <c r="L208" s="1712" t="s">
        <v>3729</v>
      </c>
      <c r="M208" s="1636">
        <v>8</v>
      </c>
      <c r="N208" s="193"/>
      <c r="O208" s="1637">
        <f>M208*S208*W208</f>
        <v>0</v>
      </c>
      <c r="P208" s="96" t="b">
        <v>0</v>
      </c>
      <c r="Q208" s="96" t="b">
        <v>1</v>
      </c>
      <c r="R208" s="195" t="b">
        <v>0</v>
      </c>
      <c r="S208" s="195" t="b">
        <v>1</v>
      </c>
      <c r="T208" s="195" t="b">
        <v>0</v>
      </c>
      <c r="U208" s="195"/>
      <c r="V208" s="195"/>
      <c r="W208" s="333"/>
      <c r="X208" s="1601"/>
      <c r="AC208" s="343"/>
      <c r="AD208" s="343"/>
      <c r="AE208" s="343"/>
      <c r="AL208" s="1352" t="str">
        <f>SUBSTITUTE(SUBSTITUTE(SUBSTITUTE("dpa"&amp;$B208&amp;$C208&amp;$D208&amp;$E208,".","_"),"(","_"),")","")</f>
        <v>dpa902_1_3</v>
      </c>
      <c r="AM208" s="1352">
        <f>M208</f>
        <v>8</v>
      </c>
      <c r="AN208" s="1352" t="str">
        <f>SUBSTITUTE(SUBSTITUTE(SUBSTITUTE("dpc"&amp;$B208&amp;$C208&amp;$D208&amp;$E208,".","_"),"(","_"),")","")</f>
        <v>dpc902_1_3</v>
      </c>
      <c r="AO208" s="1352">
        <f>O208</f>
        <v>0</v>
      </c>
      <c r="AP208" s="1352" t="str">
        <f>SUBSTITUTE(SUBSTITUTE(SUBSTITUTE("dch"&amp;$B208&amp;$C208&amp;$D208&amp;$E208,".","_"),"(","_"),")","")</f>
        <v>dch902_1_3</v>
      </c>
      <c r="AQ208" s="1352" t="str">
        <f>IF(LEN(W208)=0,"",W208)</f>
        <v/>
      </c>
      <c r="AR208" s="1352" t="str">
        <f>SUBSTITUTE(SUBSTITUTE(SUBSTITUTE("dnt"&amp;$B208&amp;$C208&amp;$D208&amp;$E208,".","_"),"(","_"),")","")</f>
        <v>dnt902_1_3</v>
      </c>
      <c r="AS208" s="1352" t="str">
        <f>IF(LEN(X208)=0,"",X208)</f>
        <v/>
      </c>
    </row>
    <row r="209" spans="2:45" x14ac:dyDescent="0.2">
      <c r="B209" s="600" t="s">
        <v>2740</v>
      </c>
      <c r="C209" s="23"/>
      <c r="D209" s="23"/>
      <c r="E209" s="23"/>
      <c r="F209" s="23"/>
      <c r="G209" s="23"/>
      <c r="H209" s="691"/>
      <c r="I209" s="406"/>
      <c r="J209" s="129"/>
      <c r="K209" s="129"/>
      <c r="L209" s="1629"/>
      <c r="M209" s="1623"/>
      <c r="N209" s="129"/>
      <c r="O209" s="1619"/>
      <c r="P209" s="96"/>
      <c r="Q209" s="96"/>
      <c r="R209" s="96"/>
      <c r="S209" s="96"/>
      <c r="T209" s="96"/>
      <c r="U209" s="96"/>
      <c r="V209" s="96"/>
      <c r="W209" s="96"/>
      <c r="X209" s="1601"/>
    </row>
    <row r="210" spans="2:45" ht="15" customHeight="1" x14ac:dyDescent="0.2">
      <c r="B210" s="600" t="s">
        <v>2740</v>
      </c>
      <c r="C210" s="23"/>
      <c r="D210" s="23" t="s">
        <v>121</v>
      </c>
      <c r="E210" s="23"/>
      <c r="F210" s="23"/>
      <c r="G210" s="23"/>
      <c r="H210" s="691"/>
      <c r="I210" s="406"/>
      <c r="J210" s="129"/>
      <c r="K210" s="180" t="s">
        <v>121</v>
      </c>
      <c r="L210" s="385" t="s">
        <v>2741</v>
      </c>
      <c r="M210" s="389"/>
      <c r="N210" s="129"/>
      <c r="O210" s="423"/>
      <c r="P210" s="96"/>
      <c r="Q210" s="96"/>
      <c r="R210" s="96"/>
      <c r="S210" s="96"/>
      <c r="T210" s="96"/>
      <c r="U210" s="96"/>
      <c r="V210" s="96"/>
      <c r="W210" s="96"/>
      <c r="X210" s="1601"/>
    </row>
    <row r="211" spans="2:45" ht="15" customHeight="1" x14ac:dyDescent="0.2">
      <c r="B211" s="600" t="s">
        <v>2740</v>
      </c>
      <c r="C211" s="23"/>
      <c r="D211" s="23" t="s">
        <v>122</v>
      </c>
      <c r="E211" s="23"/>
      <c r="F211" s="23"/>
      <c r="G211" s="23"/>
      <c r="H211" s="691"/>
      <c r="I211" s="438"/>
      <c r="J211" s="213"/>
      <c r="K211" s="207" t="s">
        <v>122</v>
      </c>
      <c r="L211" s="386" t="s">
        <v>2742</v>
      </c>
      <c r="M211" s="390"/>
      <c r="N211" s="213"/>
      <c r="O211" s="424"/>
      <c r="P211" s="173"/>
      <c r="Q211" s="173"/>
      <c r="R211" s="173"/>
      <c r="S211" s="173"/>
      <c r="T211" s="173"/>
      <c r="U211" s="173"/>
      <c r="V211" s="173"/>
      <c r="W211" s="173"/>
      <c r="X211" s="1601"/>
    </row>
    <row r="212" spans="2:45" x14ac:dyDescent="0.2">
      <c r="B212" s="600" t="s">
        <v>2743</v>
      </c>
      <c r="C212" s="23"/>
      <c r="D212" s="23"/>
      <c r="E212" s="23"/>
      <c r="F212" s="23"/>
      <c r="G212" s="23"/>
      <c r="H212" s="691"/>
      <c r="I212" s="192" t="s">
        <v>3692</v>
      </c>
      <c r="J212" s="193"/>
      <c r="K212" s="193"/>
      <c r="L212" s="443" t="s">
        <v>3728</v>
      </c>
      <c r="M212" s="391" t="s">
        <v>465</v>
      </c>
      <c r="N212" s="193"/>
      <c r="O212" s="426">
        <f>MIN(12,M213*S214*W214+M215*S216*W216)</f>
        <v>0</v>
      </c>
      <c r="P212" s="195"/>
      <c r="Q212" s="195"/>
      <c r="R212" s="195"/>
      <c r="S212" s="195"/>
      <c r="T212" s="195"/>
      <c r="U212" s="195"/>
      <c r="V212" s="195"/>
      <c r="W212" s="195"/>
      <c r="X212" s="1601"/>
      <c r="AL212" s="1352" t="str">
        <f>SUBSTITUTE(SUBSTITUTE(SUBSTITUTE("dpa"&amp;$B212&amp;$C212&amp;$D212&amp;$E212,".","_"),"(","_"),")","")</f>
        <v>dpa902_1_4</v>
      </c>
      <c r="AM212" s="1352" t="str">
        <f>M212</f>
        <v>12 Max</v>
      </c>
      <c r="AN212" s="1352" t="str">
        <f>SUBSTITUTE(SUBSTITUTE(SUBSTITUTE("dpc"&amp;$B212&amp;$C212&amp;$D212&amp;$E212,".","_"),"(","_"),")","")</f>
        <v>dpc902_1_4</v>
      </c>
      <c r="AO212" s="1352">
        <f>O212</f>
        <v>0</v>
      </c>
      <c r="AR212" s="1352" t="str">
        <f>SUBSTITUTE(SUBSTITUTE(SUBSTITUTE("dnt"&amp;$B212&amp;$C212&amp;$D212&amp;$E212,".","_"),"(","_"),")","")</f>
        <v>dnt902_1_4</v>
      </c>
      <c r="AS212" s="1352" t="str">
        <f>IF(LEN(X212)=0,"",X212)</f>
        <v/>
      </c>
    </row>
    <row r="213" spans="2:45" ht="15" customHeight="1" x14ac:dyDescent="0.2">
      <c r="B213" s="600" t="s">
        <v>2743</v>
      </c>
      <c r="C213" s="23" t="s">
        <v>254</v>
      </c>
      <c r="D213" s="23"/>
      <c r="E213" s="23"/>
      <c r="F213" s="23"/>
      <c r="G213" s="23"/>
      <c r="H213" s="691"/>
      <c r="I213" s="406"/>
      <c r="J213" s="180" t="s">
        <v>254</v>
      </c>
      <c r="K213" s="129"/>
      <c r="L213" s="385" t="s">
        <v>2931</v>
      </c>
      <c r="M213" s="1623">
        <v>2</v>
      </c>
      <c r="N213" s="129"/>
      <c r="O213" s="423"/>
      <c r="P213" s="96"/>
      <c r="Q213" s="96"/>
      <c r="R213" s="96"/>
      <c r="S213" s="96"/>
      <c r="T213" s="96"/>
      <c r="U213" s="96"/>
      <c r="V213" s="96"/>
      <c r="W213" s="96" t="s">
        <v>3028</v>
      </c>
      <c r="X213" s="1601"/>
      <c r="AL213" s="1352" t="str">
        <f>SUBSTITUTE(SUBSTITUTE(SUBSTITUTE("dpa"&amp;$B213&amp;$C213&amp;$D213&amp;$E213,".","_"),"(","_"),")","")</f>
        <v>dpa902_1_4_1</v>
      </c>
      <c r="AM213" s="1352">
        <f>M213</f>
        <v>2</v>
      </c>
    </row>
    <row r="214" spans="2:45" x14ac:dyDescent="0.2">
      <c r="B214" s="600" t="s">
        <v>2743</v>
      </c>
      <c r="C214" s="23" t="s">
        <v>254</v>
      </c>
      <c r="D214" s="23"/>
      <c r="E214" s="23"/>
      <c r="F214" s="23"/>
      <c r="G214" s="23"/>
      <c r="H214" s="691"/>
      <c r="I214" s="406"/>
      <c r="J214" s="207"/>
      <c r="K214" s="213"/>
      <c r="L214" s="395" t="s">
        <v>2744</v>
      </c>
      <c r="M214" s="1624"/>
      <c r="N214" s="129"/>
      <c r="O214" s="423"/>
      <c r="P214" s="96" t="b">
        <v>0</v>
      </c>
      <c r="Q214" s="96" t="b">
        <v>1</v>
      </c>
      <c r="R214" s="96" t="b">
        <v>0</v>
      </c>
      <c r="S214" s="96" t="b">
        <v>1</v>
      </c>
      <c r="T214" s="96" t="b">
        <v>0</v>
      </c>
      <c r="U214" s="96"/>
      <c r="V214" s="96"/>
      <c r="W214" s="410"/>
      <c r="X214" s="1601"/>
      <c r="AC214" s="343"/>
      <c r="AD214" s="343"/>
      <c r="AE214" s="343"/>
      <c r="AP214" s="1352" t="str">
        <f>SUBSTITUTE(SUBSTITUTE(SUBSTITUTE("dch"&amp;$B214&amp;$C214&amp;$D214&amp;$E214,".","_"),"(","_"),")","")</f>
        <v>dch902_1_4_1</v>
      </c>
      <c r="AQ214" s="1352" t="str">
        <f>IF(LEN(W214)=0,"",W214)</f>
        <v/>
      </c>
    </row>
    <row r="215" spans="2:45" x14ac:dyDescent="0.2">
      <c r="B215" s="600" t="s">
        <v>2743</v>
      </c>
      <c r="C215" s="23" t="s">
        <v>255</v>
      </c>
      <c r="D215" s="23"/>
      <c r="E215" s="23"/>
      <c r="F215" s="23"/>
      <c r="G215" s="23"/>
      <c r="H215" s="691"/>
      <c r="I215" s="406"/>
      <c r="J215" s="180" t="s">
        <v>255</v>
      </c>
      <c r="K215" s="129"/>
      <c r="L215" s="385" t="s">
        <v>2745</v>
      </c>
      <c r="M215" s="1623">
        <v>3</v>
      </c>
      <c r="N215" s="129"/>
      <c r="O215" s="423"/>
      <c r="P215" s="96"/>
      <c r="Q215" s="96"/>
      <c r="R215" s="96"/>
      <c r="S215" s="96"/>
      <c r="T215" s="96"/>
      <c r="U215" s="96"/>
      <c r="V215" s="96"/>
      <c r="W215" s="96"/>
      <c r="X215" s="1601"/>
      <c r="AL215" s="1352" t="str">
        <f>SUBSTITUTE(SUBSTITUTE(SUBSTITUTE("dpa"&amp;$B215&amp;$C215&amp;$D215&amp;$E215,".","_"),"(","_"),")","")</f>
        <v>dpa902_1_4_2</v>
      </c>
      <c r="AM215" s="1352">
        <f>M215</f>
        <v>3</v>
      </c>
    </row>
    <row r="216" spans="2:45" x14ac:dyDescent="0.2">
      <c r="B216" s="600" t="s">
        <v>2743</v>
      </c>
      <c r="C216" s="23" t="s">
        <v>255</v>
      </c>
      <c r="D216" s="23"/>
      <c r="E216" s="23"/>
      <c r="F216" s="23"/>
      <c r="G216" s="23"/>
      <c r="H216" s="691"/>
      <c r="I216" s="438"/>
      <c r="J216" s="213"/>
      <c r="K216" s="213"/>
      <c r="L216" s="395" t="s">
        <v>2744</v>
      </c>
      <c r="M216" s="1624"/>
      <c r="N216" s="213"/>
      <c r="O216" s="424"/>
      <c r="P216" s="96" t="b">
        <v>0</v>
      </c>
      <c r="Q216" s="96" t="b">
        <v>1</v>
      </c>
      <c r="R216" s="173" t="b">
        <v>0</v>
      </c>
      <c r="S216" s="173" t="b">
        <v>1</v>
      </c>
      <c r="T216" s="173" t="b">
        <v>0</v>
      </c>
      <c r="U216" s="173"/>
      <c r="V216" s="173"/>
      <c r="W216" s="410"/>
      <c r="X216" s="1601"/>
      <c r="AC216" s="343"/>
      <c r="AD216" s="343"/>
      <c r="AE216" s="343"/>
      <c r="AP216" s="1352" t="str">
        <f>SUBSTITUTE(SUBSTITUTE(SUBSTITUTE("dch"&amp;$B216&amp;$C216&amp;$D216&amp;$E216,".","_"),"(","_"),")","")</f>
        <v>dch902_1_4_2</v>
      </c>
      <c r="AQ216" s="1352" t="str">
        <f>IF(LEN(W216)=0,"",W216)</f>
        <v/>
      </c>
    </row>
    <row r="217" spans="2:45" x14ac:dyDescent="0.2">
      <c r="B217" s="600" t="s">
        <v>2746</v>
      </c>
      <c r="C217" s="23"/>
      <c r="D217" s="23"/>
      <c r="E217" s="23"/>
      <c r="F217" s="23"/>
      <c r="G217" s="23"/>
      <c r="H217" s="691"/>
      <c r="I217" s="67" t="s">
        <v>3693</v>
      </c>
      <c r="J217" s="4"/>
      <c r="K217" s="4"/>
      <c r="L217" s="1631" t="s">
        <v>3727</v>
      </c>
      <c r="M217" s="1628">
        <v>3</v>
      </c>
      <c r="N217" s="4"/>
      <c r="O217" s="1669">
        <f>M217*W219*W221*W223</f>
        <v>0</v>
      </c>
      <c r="AL217" s="1352" t="str">
        <f>SUBSTITUTE(SUBSTITUTE(SUBSTITUTE("dpa"&amp;$B217&amp;$C217&amp;$D217&amp;$E217,".","_"),"(","_"),")","")</f>
        <v>dpa902_1_5</v>
      </c>
      <c r="AM217" s="1352">
        <f>M217</f>
        <v>3</v>
      </c>
      <c r="AN217" s="1352" t="str">
        <f>SUBSTITUTE(SUBSTITUTE(SUBSTITUTE("dpc"&amp;$B217&amp;$C217&amp;$D217&amp;$E217,".","_"),"(","_"),")","")</f>
        <v>dpc902_1_5</v>
      </c>
      <c r="AO217" s="1352">
        <f>O217</f>
        <v>0</v>
      </c>
    </row>
    <row r="218" spans="2:45" x14ac:dyDescent="0.2">
      <c r="B218" s="600" t="s">
        <v>2746</v>
      </c>
      <c r="C218" s="23"/>
      <c r="D218" s="23"/>
      <c r="E218" s="23"/>
      <c r="F218" s="23"/>
      <c r="G218" s="23"/>
      <c r="H218" s="691"/>
      <c r="I218" s="161"/>
      <c r="J218" s="4"/>
      <c r="K218" s="4"/>
      <c r="L218" s="1631"/>
      <c r="M218" s="1628"/>
      <c r="N218" s="4"/>
      <c r="O218" s="1669"/>
    </row>
    <row r="219" spans="2:45" x14ac:dyDescent="0.2">
      <c r="B219" s="600" t="s">
        <v>2746</v>
      </c>
      <c r="C219" s="23" t="s">
        <v>254</v>
      </c>
      <c r="D219" s="23"/>
      <c r="E219" s="23"/>
      <c r="F219" s="23"/>
      <c r="G219" s="23"/>
      <c r="H219" s="691"/>
      <c r="I219" s="161"/>
      <c r="J219" s="180" t="s">
        <v>254</v>
      </c>
      <c r="K219" s="129"/>
      <c r="L219" s="1609" t="s">
        <v>4874</v>
      </c>
      <c r="M219" s="374"/>
      <c r="N219" s="4"/>
      <c r="O219" s="138"/>
      <c r="P219" s="96" t="b">
        <v>0</v>
      </c>
      <c r="Q219" s="96" t="b">
        <v>1</v>
      </c>
      <c r="R219" s="337" t="b">
        <v>0</v>
      </c>
      <c r="S219" s="337" t="b">
        <v>1</v>
      </c>
      <c r="T219" s="337" t="b">
        <v>0</v>
      </c>
      <c r="W219" s="27"/>
      <c r="X219" s="1600"/>
      <c r="AC219" s="343"/>
      <c r="AD219" s="343"/>
      <c r="AE219" s="343"/>
      <c r="AP219" s="1352" t="str">
        <f>SUBSTITUTE(SUBSTITUTE(SUBSTITUTE("dch"&amp;$B219&amp;$C219&amp;$D219&amp;$E219,".","_"),"(","_"),")","")</f>
        <v>dch902_1_5_1</v>
      </c>
      <c r="AQ219" s="1352" t="str">
        <f>IF(LEN(W219)=0,"",W219)</f>
        <v/>
      </c>
      <c r="AR219" s="1352" t="str">
        <f>SUBSTITUTE(SUBSTITUTE(SUBSTITUTE("dnt"&amp;$B219&amp;$C219&amp;$D219&amp;$E219,".","_"),"(","_"),")","")</f>
        <v>dnt902_1_5_1</v>
      </c>
      <c r="AS219" s="1352" t="str">
        <f>IF(LEN(X219)=0,"",X219)</f>
        <v/>
      </c>
    </row>
    <row r="220" spans="2:45" x14ac:dyDescent="0.2">
      <c r="B220" s="600" t="s">
        <v>2746</v>
      </c>
      <c r="C220" s="23" t="s">
        <v>254</v>
      </c>
      <c r="D220" s="23"/>
      <c r="E220" s="23"/>
      <c r="F220" s="23"/>
      <c r="G220" s="23"/>
      <c r="H220" s="691"/>
      <c r="I220" s="161"/>
      <c r="J220" s="207"/>
      <c r="K220" s="213"/>
      <c r="L220" s="1612"/>
      <c r="M220" s="374"/>
      <c r="N220" s="4"/>
      <c r="O220" s="138"/>
      <c r="X220" s="1600"/>
    </row>
    <row r="221" spans="2:45" x14ac:dyDescent="0.2">
      <c r="B221" s="600" t="s">
        <v>2746</v>
      </c>
      <c r="C221" s="23" t="s">
        <v>255</v>
      </c>
      <c r="D221" s="23"/>
      <c r="E221" s="23"/>
      <c r="F221" s="23"/>
      <c r="G221" s="23"/>
      <c r="H221" s="691"/>
      <c r="I221" s="161"/>
      <c r="J221" s="180" t="s">
        <v>255</v>
      </c>
      <c r="K221" s="129"/>
      <c r="L221" s="1609" t="s">
        <v>2747</v>
      </c>
      <c r="M221" s="374"/>
      <c r="N221" s="4"/>
      <c r="O221" s="138"/>
      <c r="P221" s="96" t="b">
        <v>0</v>
      </c>
      <c r="Q221" s="96" t="b">
        <v>1</v>
      </c>
      <c r="R221" s="337" t="b">
        <v>0</v>
      </c>
      <c r="S221" s="337" t="b">
        <v>1</v>
      </c>
      <c r="T221" s="337" t="b">
        <v>0</v>
      </c>
      <c r="W221" s="27"/>
      <c r="X221" s="1600"/>
      <c r="AC221" s="343"/>
      <c r="AD221" s="343"/>
      <c r="AE221" s="343"/>
      <c r="AP221" s="1352" t="str">
        <f>SUBSTITUTE(SUBSTITUTE(SUBSTITUTE("dch"&amp;$B221&amp;$C221&amp;$D221&amp;$E221,".","_"),"(","_"),")","")</f>
        <v>dch902_1_5_2</v>
      </c>
      <c r="AQ221" s="1352" t="str">
        <f>IF(LEN(W221)=0,"",W221)</f>
        <v/>
      </c>
      <c r="AR221" s="1352" t="str">
        <f>SUBSTITUTE(SUBSTITUTE(SUBSTITUTE("dnt"&amp;$B221&amp;$C221&amp;$D221&amp;$E221,".","_"),"(","_"),")","")</f>
        <v>dnt902_1_5_2</v>
      </c>
      <c r="AS221" s="1352" t="str">
        <f>IF(LEN(X221)=0,"",X221)</f>
        <v/>
      </c>
    </row>
    <row r="222" spans="2:45" x14ac:dyDescent="0.2">
      <c r="B222" s="600" t="s">
        <v>2746</v>
      </c>
      <c r="C222" s="23" t="s">
        <v>255</v>
      </c>
      <c r="D222" s="23"/>
      <c r="E222" s="23"/>
      <c r="F222" s="23"/>
      <c r="G222" s="23"/>
      <c r="H222" s="691"/>
      <c r="I222" s="161"/>
      <c r="J222" s="213"/>
      <c r="K222" s="213"/>
      <c r="L222" s="1612"/>
      <c r="M222" s="374"/>
      <c r="N222" s="4"/>
      <c r="O222" s="138"/>
      <c r="X222" s="1600"/>
    </row>
    <row r="223" spans="2:45" x14ac:dyDescent="0.2">
      <c r="B223" s="600" t="s">
        <v>2746</v>
      </c>
      <c r="C223" s="23" t="s">
        <v>256</v>
      </c>
      <c r="D223" s="23"/>
      <c r="E223" s="23"/>
      <c r="F223" s="23"/>
      <c r="G223" s="23"/>
      <c r="H223" s="691"/>
      <c r="I223" s="406"/>
      <c r="J223" s="180" t="s">
        <v>256</v>
      </c>
      <c r="K223" s="129"/>
      <c r="L223" s="1609" t="s">
        <v>2748</v>
      </c>
      <c r="M223" s="1186"/>
      <c r="N223" s="129"/>
      <c r="O223" s="1188"/>
      <c r="P223" s="1192" t="b">
        <v>0</v>
      </c>
      <c r="Q223" s="1192" t="b">
        <v>1</v>
      </c>
      <c r="R223" s="1192" t="b">
        <v>0</v>
      </c>
      <c r="S223" s="1192" t="b">
        <v>1</v>
      </c>
      <c r="T223" s="1192" t="b">
        <v>0</v>
      </c>
      <c r="U223" s="1192"/>
      <c r="V223" s="1192"/>
      <c r="W223" s="333"/>
      <c r="X223" s="1601"/>
      <c r="AC223" s="343"/>
      <c r="AD223" s="343"/>
      <c r="AE223" s="343"/>
      <c r="AP223" s="1352" t="str">
        <f>SUBSTITUTE(SUBSTITUTE(SUBSTITUTE("dch"&amp;$B223&amp;$C223&amp;$D223&amp;$E223,".","_"),"(","_"),")","")</f>
        <v>dch902_1_5_3</v>
      </c>
      <c r="AQ223" s="1352" t="str">
        <f>IF(LEN(W223)=0,"",W223)</f>
        <v/>
      </c>
      <c r="AR223" s="1352" t="str">
        <f>SUBSTITUTE(SUBSTITUTE(SUBSTITUTE("dnt"&amp;$B223&amp;$C223&amp;$D223&amp;$E223,".","_"),"(","_"),")","")</f>
        <v>dnt902_1_5_3</v>
      </c>
      <c r="AS223" s="1352" t="str">
        <f>IF(LEN(X223)=0,"",X223)</f>
        <v/>
      </c>
    </row>
    <row r="224" spans="2:45" x14ac:dyDescent="0.2">
      <c r="B224" s="600" t="s">
        <v>2746</v>
      </c>
      <c r="C224" s="23" t="s">
        <v>256</v>
      </c>
      <c r="D224" s="23"/>
      <c r="E224" s="23"/>
      <c r="F224" s="23"/>
      <c r="G224" s="23"/>
      <c r="H224" s="691"/>
      <c r="I224" s="406"/>
      <c r="J224" s="129"/>
      <c r="K224" s="129"/>
      <c r="L224" s="1609"/>
      <c r="M224" s="1186"/>
      <c r="N224" s="129"/>
      <c r="O224" s="1188"/>
      <c r="P224" s="1192"/>
      <c r="Q224" s="1192"/>
      <c r="R224" s="1192"/>
      <c r="S224" s="1192"/>
      <c r="T224" s="1192"/>
      <c r="U224" s="1192"/>
      <c r="V224" s="1192"/>
      <c r="W224" s="1192"/>
      <c r="X224" s="1601"/>
    </row>
    <row r="225" spans="1:51" x14ac:dyDescent="0.2">
      <c r="B225" s="600" t="s">
        <v>2746</v>
      </c>
      <c r="C225" s="23" t="s">
        <v>256</v>
      </c>
      <c r="D225" s="23"/>
      <c r="E225" s="23"/>
      <c r="F225" s="23"/>
      <c r="G225" s="23"/>
      <c r="H225" s="691"/>
      <c r="I225" s="438"/>
      <c r="J225" s="213"/>
      <c r="K225" s="213"/>
      <c r="L225" s="1612"/>
      <c r="M225" s="1187"/>
      <c r="N225" s="213"/>
      <c r="O225" s="1189"/>
      <c r="P225" s="173"/>
      <c r="Q225" s="173"/>
      <c r="R225" s="173"/>
      <c r="S225" s="173"/>
      <c r="T225" s="173"/>
      <c r="U225" s="173"/>
      <c r="V225" s="173"/>
      <c r="W225" s="173"/>
      <c r="X225" s="1601"/>
    </row>
    <row r="226" spans="1:51" s="905" customFormat="1" x14ac:dyDescent="0.2">
      <c r="A226" s="20"/>
      <c r="B226" s="600" t="s">
        <v>4877</v>
      </c>
      <c r="C226" s="23"/>
      <c r="D226" s="23"/>
      <c r="E226" s="23"/>
      <c r="F226" s="23"/>
      <c r="G226" s="23"/>
      <c r="H226" s="691"/>
      <c r="I226" s="130" t="s">
        <v>4875</v>
      </c>
      <c r="J226" s="129"/>
      <c r="K226" s="129"/>
      <c r="L226" s="1609" t="s">
        <v>4876</v>
      </c>
      <c r="M226" s="1623">
        <v>3</v>
      </c>
      <c r="N226" s="129"/>
      <c r="O226" s="1619">
        <f ca="1">M226*S226*W226</f>
        <v>0</v>
      </c>
      <c r="P226" s="991" t="b">
        <v>0</v>
      </c>
      <c r="Q226" s="991" t="b">
        <v>1</v>
      </c>
      <c r="R226" s="991" t="b">
        <v>0</v>
      </c>
      <c r="S226" s="464" t="b">
        <f ca="1">$AY$19=INDEX(INDIRECT("ddSingleOrMulti"),2)</f>
        <v>1</v>
      </c>
      <c r="T226" s="195" t="b">
        <f ca="1">AND(NOT(S226),W226=TRUE)</f>
        <v>0</v>
      </c>
      <c r="U226" s="991"/>
      <c r="V226" s="991"/>
      <c r="W226" s="119"/>
      <c r="X226" s="1599"/>
      <c r="AC226" s="1185" t="b">
        <f ca="1">OR(AD226:AE226)</f>
        <v>0</v>
      </c>
      <c r="AD226" s="1185" t="b">
        <f ca="1">T226</f>
        <v>0</v>
      </c>
      <c r="AL226" s="1352" t="str">
        <f>SUBSTITUTE(SUBSTITUTE(SUBSTITUTE("dpa"&amp;$B226&amp;$C226&amp;$D226&amp;$E226,".","_"),"(","_"),")","")</f>
        <v>dpa902_1_6</v>
      </c>
      <c r="AM226" s="1352">
        <f>M226</f>
        <v>3</v>
      </c>
      <c r="AN226" s="1352" t="str">
        <f>SUBSTITUTE(SUBSTITUTE(SUBSTITUTE("dpc"&amp;$B226&amp;$C226&amp;$D226&amp;$E226,".","_"),"(","_"),")","")</f>
        <v>dpc902_1_6</v>
      </c>
      <c r="AO226" s="1352">
        <f ca="1">O226</f>
        <v>0</v>
      </c>
      <c r="AP226" s="1352" t="str">
        <f>SUBSTITUTE(SUBSTITUTE(SUBSTITUTE("dch"&amp;$B226&amp;$C226&amp;$D226&amp;$E226,".","_"),"(","_"),")","")</f>
        <v>dch902_1_6</v>
      </c>
      <c r="AQ226" s="1352" t="str">
        <f>IF(LEN(W226)=0,"",W226)</f>
        <v/>
      </c>
      <c r="AR226" s="1352" t="str">
        <f>SUBSTITUTE(SUBSTITUTE(SUBSTITUTE("dnt"&amp;$B226&amp;$C226&amp;$D226&amp;$E226,".","_"),"(","_"),")","")</f>
        <v>dnt902_1_6</v>
      </c>
      <c r="AS226" s="1352" t="str">
        <f>IF(LEN(X226)=0,"",X226)</f>
        <v/>
      </c>
      <c r="AX226" s="78"/>
      <c r="AY226" s="78"/>
    </row>
    <row r="227" spans="1:51" s="905" customFormat="1" x14ac:dyDescent="0.2">
      <c r="A227" s="20"/>
      <c r="B227" s="600" t="s">
        <v>4877</v>
      </c>
      <c r="C227" s="23"/>
      <c r="D227" s="23"/>
      <c r="E227" s="23"/>
      <c r="F227" s="23"/>
      <c r="G227" s="23"/>
      <c r="H227" s="691"/>
      <c r="I227" s="406"/>
      <c r="J227" s="129"/>
      <c r="K227" s="129"/>
      <c r="L227" s="1609"/>
      <c r="M227" s="1623"/>
      <c r="N227" s="129"/>
      <c r="O227" s="1619"/>
      <c r="P227" s="991"/>
      <c r="Q227" s="991"/>
      <c r="R227" s="991"/>
      <c r="S227" s="991"/>
      <c r="T227" s="991"/>
      <c r="U227" s="991"/>
      <c r="V227" s="991"/>
      <c r="W227" s="991"/>
      <c r="X227" s="1600"/>
      <c r="AL227" s="78"/>
      <c r="AM227" s="78"/>
      <c r="AN227" s="78"/>
      <c r="AO227" s="78"/>
      <c r="AP227" s="78"/>
      <c r="AQ227" s="78"/>
      <c r="AR227" s="78"/>
      <c r="AS227" s="78"/>
      <c r="AX227" s="78"/>
      <c r="AY227" s="78"/>
    </row>
    <row r="228" spans="1:51" s="905" customFormat="1" ht="16" thickBot="1" x14ac:dyDescent="0.25">
      <c r="A228" s="20"/>
      <c r="B228" s="600" t="s">
        <v>4877</v>
      </c>
      <c r="C228" s="23"/>
      <c r="D228" s="23"/>
      <c r="E228" s="23"/>
      <c r="F228" s="23"/>
      <c r="G228" s="23"/>
      <c r="H228" s="691"/>
      <c r="I228" s="406"/>
      <c r="J228" s="129"/>
      <c r="K228" s="129"/>
      <c r="L228" s="1610"/>
      <c r="M228" s="1627"/>
      <c r="N228" s="129"/>
      <c r="O228" s="1638"/>
      <c r="P228" s="991"/>
      <c r="Q228" s="991"/>
      <c r="R228" s="991"/>
      <c r="S228" s="991"/>
      <c r="T228" s="991"/>
      <c r="U228" s="991"/>
      <c r="V228" s="991"/>
      <c r="W228" s="991"/>
      <c r="X228" s="1600"/>
      <c r="AL228" s="78"/>
      <c r="AM228" s="78"/>
      <c r="AN228" s="78"/>
      <c r="AO228" s="78"/>
      <c r="AP228" s="78"/>
      <c r="AQ228" s="78"/>
      <c r="AR228" s="78"/>
      <c r="AS228" s="78"/>
    </row>
    <row r="229" spans="1:51" ht="16" thickTop="1" x14ac:dyDescent="0.2">
      <c r="B229" s="600">
        <v>902.2</v>
      </c>
      <c r="C229" s="23"/>
      <c r="D229" s="23"/>
      <c r="E229" s="23"/>
      <c r="F229" s="23"/>
      <c r="G229" s="23"/>
      <c r="H229" s="691"/>
      <c r="I229" s="177" t="s">
        <v>3694</v>
      </c>
      <c r="J229" s="178"/>
      <c r="K229" s="178"/>
      <c r="L229" s="396" t="s">
        <v>3726</v>
      </c>
      <c r="M229" s="388"/>
      <c r="N229" s="178"/>
      <c r="O229" s="427"/>
      <c r="P229" s="106"/>
      <c r="Q229" s="106"/>
      <c r="R229" s="106"/>
      <c r="S229" s="106"/>
      <c r="T229" s="106"/>
      <c r="U229" s="106"/>
      <c r="V229" s="106"/>
      <c r="W229" s="106"/>
      <c r="X229" s="106"/>
      <c r="AX229" s="905"/>
      <c r="AY229" s="905"/>
    </row>
    <row r="230" spans="1:51" x14ac:dyDescent="0.2">
      <c r="B230" s="600" t="s">
        <v>2933</v>
      </c>
      <c r="C230" s="23"/>
      <c r="D230" s="23"/>
      <c r="E230" s="23"/>
      <c r="F230" s="23"/>
      <c r="G230" s="23"/>
      <c r="H230" s="691"/>
      <c r="I230" s="130" t="s">
        <v>3695</v>
      </c>
      <c r="J230" s="129"/>
      <c r="K230" s="129"/>
      <c r="L230" s="1629" t="s">
        <v>3874</v>
      </c>
      <c r="M230" s="1708" t="str">
        <f>IF(R230,"Mandatory 
(ACH50 is &lt; 5.0)","N/A")</f>
        <v>N/A</v>
      </c>
      <c r="N230" s="129"/>
      <c r="O230" s="1619">
        <f ca="1">IFERROR(INDEX({3,6,7,8,10},MATCH(W230,INDIRECT(U230),0)),0)*S230</f>
        <v>0</v>
      </c>
      <c r="P230" s="96" t="b">
        <v>0</v>
      </c>
      <c r="Q230" s="96" t="b">
        <v>1</v>
      </c>
      <c r="R230" s="96" t="b">
        <f>OR(AND(S231&gt;0,S231&lt;5),AND(S232&gt;0,S232&lt;0.28))</f>
        <v>0</v>
      </c>
      <c r="S230" s="96" t="b">
        <v>1</v>
      </c>
      <c r="T230" s="96" t="b">
        <f>AND(NOT(S230),LEN(W230)&gt;0)</f>
        <v>0</v>
      </c>
      <c r="U230" s="96" t="str">
        <f>SUBSTITUTE(SUBSTITUTE(SUBSTITUTE("dd"&amp;B230&amp;C230&amp;D230&amp;E230&amp;F230,".","_"),"(","_"),")","")</f>
        <v>dd902_2_1</v>
      </c>
      <c r="V230" s="96"/>
      <c r="W230" s="110"/>
      <c r="X230" s="1621"/>
      <c r="AC230" s="343" t="b">
        <f>OR(AD230:AE230)</f>
        <v>0</v>
      </c>
      <c r="AD230" s="343" t="b">
        <f>T230</f>
        <v>0</v>
      </c>
      <c r="AE230" s="343" t="b">
        <f>AND(R230,OR(W230="Not Met",W230=""))</f>
        <v>0</v>
      </c>
      <c r="AL230" s="1352" t="str">
        <f>SUBSTITUTE(SUBSTITUTE(SUBSTITUTE("dpa"&amp;$B230&amp;$C230&amp;$D230&amp;$E230,".","_"),"(","_"),")","")</f>
        <v>dpa902_2_1</v>
      </c>
      <c r="AM230" s="1352" t="str">
        <f>M230</f>
        <v>N/A</v>
      </c>
      <c r="AN230" s="1352" t="str">
        <f>SUBSTITUTE(SUBSTITUTE(SUBSTITUTE("dpc"&amp;$B230&amp;$C230&amp;$D230&amp;$E230,".","_"),"(","_"),")","")</f>
        <v>dpc902_2_1</v>
      </c>
      <c r="AO230" s="1352">
        <f ca="1">O230</f>
        <v>0</v>
      </c>
      <c r="AP230" s="1352" t="str">
        <f>SUBSTITUTE(SUBSTITUTE(SUBSTITUTE("dch"&amp;$B230&amp;$C230&amp;$D230&amp;$E230,".","_"),"(","_"),")","")</f>
        <v>dch902_2_1</v>
      </c>
      <c r="AQ230" s="1352" t="str">
        <f>IF(LEN(W230)=0,"",W230)</f>
        <v/>
      </c>
      <c r="AR230" s="1352" t="str">
        <f>SUBSTITUTE(SUBSTITUTE(SUBSTITUTE("dnt"&amp;$B230&amp;$C230&amp;$D230&amp;$E230,".","_"),"(","_"),")","")</f>
        <v>dnt902_2_1</v>
      </c>
      <c r="AS230" s="1352" t="str">
        <f>IF(LEN(X230)=0,"",X230)</f>
        <v/>
      </c>
      <c r="AX230" s="905"/>
      <c r="AY230" s="905"/>
    </row>
    <row r="231" spans="1:51" x14ac:dyDescent="0.2">
      <c r="B231" s="600" t="s">
        <v>2933</v>
      </c>
      <c r="C231" s="23"/>
      <c r="D231" s="23"/>
      <c r="E231" s="23"/>
      <c r="F231" s="23"/>
      <c r="G231" s="23"/>
      <c r="H231" s="691"/>
      <c r="I231" s="406"/>
      <c r="J231" s="129"/>
      <c r="K231" s="129"/>
      <c r="L231" s="1629"/>
      <c r="M231" s="1708"/>
      <c r="N231" s="129"/>
      <c r="O231" s="1619"/>
      <c r="P231" s="96"/>
      <c r="Q231" s="96"/>
      <c r="R231" s="411" t="s">
        <v>3029</v>
      </c>
      <c r="S231" s="412">
        <f>MAX('11.700'!W59,'11.700'!W576)</f>
        <v>7</v>
      </c>
      <c r="T231" s="96"/>
      <c r="U231" s="96"/>
      <c r="V231" s="96"/>
      <c r="W231" s="96"/>
      <c r="X231" s="1632"/>
    </row>
    <row r="232" spans="1:51" s="782" customFormat="1" x14ac:dyDescent="0.2">
      <c r="A232" s="20"/>
      <c r="B232" s="600" t="s">
        <v>2933</v>
      </c>
      <c r="C232" s="23"/>
      <c r="D232" s="23"/>
      <c r="E232" s="23"/>
      <c r="F232" s="23"/>
      <c r="G232" s="23"/>
      <c r="H232" s="691"/>
      <c r="I232" s="406"/>
      <c r="J232" s="129"/>
      <c r="K232" s="129"/>
      <c r="L232" s="1629"/>
      <c r="M232" s="1708"/>
      <c r="N232" s="129"/>
      <c r="O232" s="1619"/>
      <c r="P232" s="96"/>
      <c r="Q232" s="96"/>
      <c r="R232" s="1220" t="s">
        <v>5026</v>
      </c>
      <c r="S232" s="412">
        <f>MAX('11.700'!W62,'11.700'!W578)</f>
        <v>0</v>
      </c>
      <c r="T232" s="96"/>
      <c r="U232" s="96"/>
      <c r="V232" s="96"/>
      <c r="W232" s="96"/>
      <c r="X232" s="1632"/>
      <c r="AL232" s="78"/>
      <c r="AM232" s="78"/>
      <c r="AN232" s="78"/>
      <c r="AO232" s="78"/>
      <c r="AP232" s="78"/>
      <c r="AQ232" s="78"/>
      <c r="AR232" s="78"/>
      <c r="AS232" s="78"/>
      <c r="AX232" s="78"/>
      <c r="AY232" s="78"/>
    </row>
    <row r="233" spans="1:51" x14ac:dyDescent="0.2">
      <c r="B233" s="600" t="s">
        <v>2933</v>
      </c>
      <c r="C233" s="23"/>
      <c r="D233" s="23"/>
      <c r="E233" s="23"/>
      <c r="F233" s="23"/>
      <c r="G233" s="23"/>
      <c r="H233" s="691"/>
      <c r="I233" s="406"/>
      <c r="J233" s="129"/>
      <c r="K233" s="129"/>
      <c r="L233" s="1629"/>
      <c r="M233" s="1708"/>
      <c r="N233" s="129"/>
      <c r="O233" s="1619"/>
      <c r="P233" s="96"/>
      <c r="Q233" s="96"/>
      <c r="R233"/>
      <c r="S233"/>
      <c r="T233" s="96"/>
      <c r="U233" s="96"/>
      <c r="V233" s="96"/>
      <c r="W233" s="96"/>
      <c r="X233" s="1632"/>
    </row>
    <row r="234" spans="1:51" x14ac:dyDescent="0.2">
      <c r="B234" s="600" t="s">
        <v>2933</v>
      </c>
      <c r="C234" s="23" t="s">
        <v>254</v>
      </c>
      <c r="D234" s="23"/>
      <c r="E234" s="23"/>
      <c r="F234" s="23"/>
      <c r="G234" s="23"/>
      <c r="H234" s="691"/>
      <c r="I234" s="406"/>
      <c r="J234" s="180" t="s">
        <v>254</v>
      </c>
      <c r="K234" s="129"/>
      <c r="L234" s="1657" t="s">
        <v>2749</v>
      </c>
      <c r="M234" s="1623">
        <v>3</v>
      </c>
      <c r="N234" s="129"/>
      <c r="O234" s="423"/>
      <c r="P234" s="96"/>
      <c r="Q234" s="96"/>
      <c r="R234"/>
      <c r="S234"/>
      <c r="T234" s="96"/>
      <c r="U234" s="96"/>
      <c r="V234" s="96"/>
      <c r="W234" s="96"/>
      <c r="X234" s="1632"/>
      <c r="AL234" s="1352" t="str">
        <f>SUBSTITUTE(SUBSTITUTE(SUBSTITUTE("dpa"&amp;$B234&amp;$C234&amp;$D234&amp;$E234,".","_"),"(","_"),")","")</f>
        <v>dpa902_2_1_1</v>
      </c>
      <c r="AM234" s="1352">
        <f>M234</f>
        <v>3</v>
      </c>
      <c r="AX234" s="782"/>
      <c r="AY234" s="782"/>
    </row>
    <row r="235" spans="1:51" x14ac:dyDescent="0.2">
      <c r="B235" s="600" t="s">
        <v>2933</v>
      </c>
      <c r="C235" s="23" t="s">
        <v>254</v>
      </c>
      <c r="D235" s="23"/>
      <c r="E235" s="23"/>
      <c r="F235" s="23"/>
      <c r="G235" s="23"/>
      <c r="H235" s="691"/>
      <c r="I235" s="406"/>
      <c r="J235" s="207"/>
      <c r="K235" s="213"/>
      <c r="L235" s="1650"/>
      <c r="M235" s="1624"/>
      <c r="N235" s="129"/>
      <c r="O235" s="423"/>
      <c r="P235" s="96"/>
      <c r="Q235" s="96"/>
      <c r="R235" s="96"/>
      <c r="S235" s="96"/>
      <c r="T235" s="96"/>
      <c r="U235" s="96"/>
      <c r="V235" s="96"/>
      <c r="W235" s="96"/>
      <c r="X235" s="1632"/>
    </row>
    <row r="236" spans="1:51" x14ac:dyDescent="0.2">
      <c r="B236" s="600" t="s">
        <v>2933</v>
      </c>
      <c r="C236" s="23" t="s">
        <v>255</v>
      </c>
      <c r="D236" s="23"/>
      <c r="E236" s="23"/>
      <c r="F236" s="23"/>
      <c r="G236" s="23"/>
      <c r="H236" s="691"/>
      <c r="I236" s="406"/>
      <c r="J236" s="180" t="s">
        <v>255</v>
      </c>
      <c r="K236" s="129"/>
      <c r="L236" s="1609" t="s">
        <v>2750</v>
      </c>
      <c r="M236" s="1623">
        <v>6</v>
      </c>
      <c r="N236" s="129"/>
      <c r="O236" s="423"/>
      <c r="P236" s="96"/>
      <c r="Q236" s="96"/>
      <c r="R236" s="96"/>
      <c r="S236" s="96"/>
      <c r="T236" s="96"/>
      <c r="U236" s="96"/>
      <c r="V236" s="96"/>
      <c r="W236" s="96"/>
      <c r="X236" s="1632"/>
      <c r="AL236" s="1352" t="str">
        <f>SUBSTITUTE(SUBSTITUTE(SUBSTITUTE("dpa"&amp;$B236&amp;$C236&amp;$D236&amp;$E236,".","_"),"(","_"),")","")</f>
        <v>dpa902_2_1_2</v>
      </c>
      <c r="AM236" s="1352">
        <f>M236</f>
        <v>6</v>
      </c>
    </row>
    <row r="237" spans="1:51" x14ac:dyDescent="0.2">
      <c r="B237" s="600" t="s">
        <v>2933</v>
      </c>
      <c r="C237" s="23" t="s">
        <v>255</v>
      </c>
      <c r="D237" s="23"/>
      <c r="E237" s="23"/>
      <c r="F237" s="23"/>
      <c r="G237" s="23"/>
      <c r="H237" s="691"/>
      <c r="I237" s="406"/>
      <c r="J237" s="213"/>
      <c r="K237" s="213"/>
      <c r="L237" s="1612"/>
      <c r="M237" s="1624"/>
      <c r="N237" s="129"/>
      <c r="O237" s="423"/>
      <c r="P237" s="96"/>
      <c r="Q237" s="96"/>
      <c r="R237" s="96"/>
      <c r="S237" s="96"/>
      <c r="T237" s="96"/>
      <c r="U237" s="96"/>
      <c r="V237" s="96"/>
      <c r="W237" s="96"/>
      <c r="X237" s="1632"/>
    </row>
    <row r="238" spans="1:51" x14ac:dyDescent="0.2">
      <c r="B238" s="600" t="s">
        <v>2933</v>
      </c>
      <c r="C238" s="23" t="s">
        <v>256</v>
      </c>
      <c r="D238" s="23"/>
      <c r="E238" s="23"/>
      <c r="F238" s="23"/>
      <c r="G238" s="23"/>
      <c r="H238" s="691"/>
      <c r="I238" s="406"/>
      <c r="J238" s="207" t="s">
        <v>256</v>
      </c>
      <c r="K238" s="213"/>
      <c r="L238" s="386" t="s">
        <v>2751</v>
      </c>
      <c r="M238" s="390">
        <v>7</v>
      </c>
      <c r="N238" s="129"/>
      <c r="O238" s="423"/>
      <c r="P238" s="96"/>
      <c r="Q238" s="96"/>
      <c r="R238" s="96"/>
      <c r="S238" s="96"/>
      <c r="T238" s="96"/>
      <c r="U238" s="96"/>
      <c r="V238" s="96"/>
      <c r="W238" s="96"/>
      <c r="X238" s="1632"/>
      <c r="AL238" s="1352" t="str">
        <f>SUBSTITUTE(SUBSTITUTE(SUBSTITUTE("dpa"&amp;$B238&amp;$C238&amp;$D238&amp;$E238,".","_"),"(","_"),")","")</f>
        <v>dpa902_2_1_3</v>
      </c>
      <c r="AM238" s="1352">
        <f>M238</f>
        <v>7</v>
      </c>
    </row>
    <row r="239" spans="1:51" x14ac:dyDescent="0.2">
      <c r="B239" s="600" t="s">
        <v>2933</v>
      </c>
      <c r="C239" s="23" t="s">
        <v>259</v>
      </c>
      <c r="D239" s="23"/>
      <c r="E239" s="23"/>
      <c r="F239" s="23"/>
      <c r="G239" s="23"/>
      <c r="H239" s="691"/>
      <c r="I239" s="406"/>
      <c r="J239" s="207" t="s">
        <v>259</v>
      </c>
      <c r="K239" s="213"/>
      <c r="L239" s="386" t="s">
        <v>2752</v>
      </c>
      <c r="M239" s="390">
        <v>8</v>
      </c>
      <c r="N239" s="129"/>
      <c r="O239" s="908"/>
      <c r="P239" s="991"/>
      <c r="Q239" s="991"/>
      <c r="R239" s="991"/>
      <c r="S239" s="991"/>
      <c r="T239" s="991"/>
      <c r="U239" s="991"/>
      <c r="V239" s="991"/>
      <c r="W239" s="114"/>
      <c r="X239" s="1771"/>
      <c r="AL239" s="1352" t="str">
        <f t="shared" ref="AL239:AL240" si="0">SUBSTITUTE(SUBSTITUTE(SUBSTITUTE("dpa"&amp;$B239&amp;$C239&amp;$D239&amp;$E239,".","_"),"(","_"),")","")</f>
        <v>dpa902_2_1_4</v>
      </c>
      <c r="AM239" s="1352">
        <f>M239</f>
        <v>8</v>
      </c>
    </row>
    <row r="240" spans="1:51" s="905" customFormat="1" x14ac:dyDescent="0.2">
      <c r="A240" s="20"/>
      <c r="B240" s="600" t="s">
        <v>2933</v>
      </c>
      <c r="C240" s="23" t="s">
        <v>263</v>
      </c>
      <c r="D240" s="23"/>
      <c r="E240" s="23"/>
      <c r="F240" s="23"/>
      <c r="G240" s="23"/>
      <c r="H240" s="691"/>
      <c r="I240" s="406"/>
      <c r="J240" s="180" t="s">
        <v>263</v>
      </c>
      <c r="K240" s="129"/>
      <c r="L240" s="928" t="s">
        <v>4878</v>
      </c>
      <c r="M240" s="937">
        <v>10</v>
      </c>
      <c r="N240" s="129"/>
      <c r="O240" s="908"/>
      <c r="P240" s="991"/>
      <c r="Q240" s="991"/>
      <c r="R240" s="991"/>
      <c r="S240" s="991"/>
      <c r="T240" s="991"/>
      <c r="U240" s="991"/>
      <c r="V240" s="991"/>
      <c r="W240" s="173"/>
      <c r="X240" s="1599"/>
      <c r="AL240" s="1352" t="str">
        <f t="shared" si="0"/>
        <v>dpa902_2_1_5</v>
      </c>
      <c r="AM240" s="1352">
        <f>M240</f>
        <v>10</v>
      </c>
      <c r="AN240" s="78"/>
      <c r="AO240" s="78"/>
      <c r="AP240" s="78"/>
      <c r="AQ240" s="78"/>
      <c r="AR240" s="78"/>
      <c r="AS240" s="78"/>
      <c r="AX240" s="78"/>
      <c r="AY240" s="78"/>
    </row>
    <row r="241" spans="1:51" x14ac:dyDescent="0.2">
      <c r="B241" s="600" t="s">
        <v>2753</v>
      </c>
      <c r="C241" s="23"/>
      <c r="D241" s="23"/>
      <c r="E241" s="23"/>
      <c r="F241" s="23"/>
      <c r="G241" s="23"/>
      <c r="H241" s="691"/>
      <c r="I241" s="192" t="s">
        <v>3696</v>
      </c>
      <c r="J241" s="193"/>
      <c r="K241" s="193"/>
      <c r="L241" s="1712" t="s">
        <v>4879</v>
      </c>
      <c r="M241" s="1636">
        <v>4</v>
      </c>
      <c r="N241" s="193"/>
      <c r="O241" s="1637">
        <f ca="1">M241*S241*W241</f>
        <v>0</v>
      </c>
      <c r="P241" s="96" t="b">
        <v>0</v>
      </c>
      <c r="Q241" s="96" t="b">
        <v>1</v>
      </c>
      <c r="R241" s="195" t="b">
        <v>0</v>
      </c>
      <c r="S241" s="195" t="b">
        <f ca="1">O230&gt;0</f>
        <v>0</v>
      </c>
      <c r="T241" s="195" t="b">
        <f ca="1">AND(NOT(S241),W241=TRUE)</f>
        <v>0</v>
      </c>
      <c r="U241" s="195"/>
      <c r="V241" s="195"/>
      <c r="W241" s="333"/>
      <c r="X241" s="1601"/>
      <c r="AC241" s="343" t="b">
        <f ca="1">OR(AD241:AE241)</f>
        <v>0</v>
      </c>
      <c r="AD241" s="343" t="b">
        <f ca="1">T241</f>
        <v>0</v>
      </c>
      <c r="AE241" s="343" t="b">
        <f>AND(R241,NOT(W241))</f>
        <v>0</v>
      </c>
      <c r="AL241" s="1352" t="str">
        <f>SUBSTITUTE(SUBSTITUTE(SUBSTITUTE("dpa"&amp;$B241&amp;$C241&amp;$D241&amp;$E241,".","_"),"(","_"),")","")</f>
        <v>dpa902_2_2</v>
      </c>
      <c r="AM241" s="1352">
        <f>M241</f>
        <v>4</v>
      </c>
      <c r="AN241" s="1352" t="str">
        <f>SUBSTITUTE(SUBSTITUTE(SUBSTITUTE("dpc"&amp;$B241&amp;$C241&amp;$D241&amp;$E241,".","_"),"(","_"),")","")</f>
        <v>dpc902_2_2</v>
      </c>
      <c r="AO241" s="1352">
        <f ca="1">O241</f>
        <v>0</v>
      </c>
      <c r="AP241" s="1352" t="str">
        <f>SUBSTITUTE(SUBSTITUTE(SUBSTITUTE("dch"&amp;$B241&amp;$C241&amp;$D241&amp;$E241,".","_"),"(","_"),")","")</f>
        <v>dch902_2_2</v>
      </c>
      <c r="AQ241" s="1352" t="str">
        <f>IF(LEN(W241)=0,"",W241)</f>
        <v/>
      </c>
      <c r="AR241" s="1352" t="str">
        <f>SUBSTITUTE(SUBSTITUTE(SUBSTITUTE("dnt"&amp;$B241&amp;$C241&amp;$D241&amp;$E241,".","_"),"(","_"),")","")</f>
        <v>dnt902_2_2</v>
      </c>
      <c r="AS241" s="1352" t="str">
        <f>IF(LEN(X241)=0,"",X241)</f>
        <v/>
      </c>
    </row>
    <row r="242" spans="1:51" x14ac:dyDescent="0.2">
      <c r="B242" s="600" t="s">
        <v>2753</v>
      </c>
      <c r="C242" s="23"/>
      <c r="D242" s="23"/>
      <c r="E242" s="23"/>
      <c r="F242" s="23"/>
      <c r="G242" s="23"/>
      <c r="H242" s="691"/>
      <c r="I242" s="438"/>
      <c r="J242" s="213"/>
      <c r="K242" s="213"/>
      <c r="L242" s="1696"/>
      <c r="M242" s="1624"/>
      <c r="N242" s="213"/>
      <c r="O242" s="1620"/>
      <c r="P242" s="173"/>
      <c r="Q242" s="173"/>
      <c r="R242" s="173"/>
      <c r="S242" s="173"/>
      <c r="T242" s="173"/>
      <c r="U242" s="173"/>
      <c r="V242" s="173"/>
      <c r="W242" s="173"/>
      <c r="X242" s="1601"/>
      <c r="AX242" s="905"/>
      <c r="AY242" s="905"/>
    </row>
    <row r="243" spans="1:51" x14ac:dyDescent="0.2">
      <c r="B243" s="600" t="s">
        <v>2754</v>
      </c>
      <c r="C243" s="23"/>
      <c r="D243" s="23"/>
      <c r="E243" s="23"/>
      <c r="F243" s="23"/>
      <c r="G243" s="23"/>
      <c r="H243" s="691"/>
      <c r="I243" s="192" t="s">
        <v>3697</v>
      </c>
      <c r="J243" s="193"/>
      <c r="K243" s="193"/>
      <c r="L243" s="1712" t="s">
        <v>3725</v>
      </c>
      <c r="M243" s="1636">
        <v>2</v>
      </c>
      <c r="N243" s="193"/>
      <c r="O243" s="1637">
        <f>M243*S243*W243</f>
        <v>0</v>
      </c>
      <c r="P243" s="96" t="b">
        <v>0</v>
      </c>
      <c r="Q243" s="96" t="b">
        <v>1</v>
      </c>
      <c r="R243" s="195" t="b">
        <v>0</v>
      </c>
      <c r="S243" s="195" t="b">
        <f>NOT(OR(AND(AY44=INDEX(ddHDucts,2),AY40=INDEX(ddCDucts,2)),W246))</f>
        <v>1</v>
      </c>
      <c r="T243" s="195" t="b">
        <f>AND(NOT(S243),W243=TRUE)</f>
        <v>0</v>
      </c>
      <c r="U243" s="195"/>
      <c r="V243" s="195"/>
      <c r="W243" s="333"/>
      <c r="X243" s="1601"/>
      <c r="AC243" s="343" t="b">
        <f>OR(AD243:AE243)</f>
        <v>0</v>
      </c>
      <c r="AD243" s="343" t="b">
        <f>T243</f>
        <v>0</v>
      </c>
      <c r="AE243" s="343" t="b">
        <f>AND(R243,NOT(W243))</f>
        <v>0</v>
      </c>
      <c r="AL243" s="1352" t="str">
        <f>SUBSTITUTE(SUBSTITUTE(SUBSTITUTE("dpa"&amp;$B243&amp;$C243&amp;$D243&amp;$E243,".","_"),"(","_"),")","")</f>
        <v>dpa902_2_3</v>
      </c>
      <c r="AM243" s="1352">
        <f>M243</f>
        <v>2</v>
      </c>
      <c r="AN243" s="1352" t="str">
        <f>SUBSTITUTE(SUBSTITUTE(SUBSTITUTE("dpc"&amp;$B243&amp;$C243&amp;$D243&amp;$E243,".","_"),"(","_"),")","")</f>
        <v>dpc902_2_3</v>
      </c>
      <c r="AO243" s="1352">
        <f>O243</f>
        <v>0</v>
      </c>
      <c r="AP243" s="1352" t="str">
        <f>SUBSTITUTE(SUBSTITUTE(SUBSTITUTE("dch"&amp;$B243&amp;$C243&amp;$D243&amp;$E243,".","_"),"(","_"),")","")</f>
        <v>dch902_2_3</v>
      </c>
      <c r="AQ243" s="1352" t="str">
        <f>IF(LEN(W243)=0,"",W243)</f>
        <v/>
      </c>
      <c r="AR243" s="1352" t="str">
        <f>SUBSTITUTE(SUBSTITUTE(SUBSTITUTE("dnt"&amp;$B243&amp;$C243&amp;$D243&amp;$E243,".","_"),"(","_"),")","")</f>
        <v>dnt902_2_3</v>
      </c>
      <c r="AS243" s="1352" t="str">
        <f>IF(LEN(X243)=0,"",X243)</f>
        <v/>
      </c>
    </row>
    <row r="244" spans="1:51" x14ac:dyDescent="0.2">
      <c r="B244" s="600" t="s">
        <v>2754</v>
      </c>
      <c r="C244" s="23"/>
      <c r="D244" s="23"/>
      <c r="E244" s="23"/>
      <c r="F244" s="23"/>
      <c r="G244" s="23"/>
      <c r="H244" s="691"/>
      <c r="I244" s="406"/>
      <c r="J244" s="129"/>
      <c r="K244" s="129"/>
      <c r="L244" s="1629"/>
      <c r="M244" s="1623"/>
      <c r="N244" s="129"/>
      <c r="O244" s="1619"/>
      <c r="P244" s="96"/>
      <c r="Q244" s="96"/>
      <c r="R244" s="96"/>
      <c r="S244" s="96"/>
      <c r="T244" s="96"/>
      <c r="U244" s="96"/>
      <c r="V244" s="96"/>
      <c r="W244" s="96"/>
      <c r="X244" s="1601"/>
    </row>
    <row r="245" spans="1:51" x14ac:dyDescent="0.2">
      <c r="B245" s="600" t="s">
        <v>2754</v>
      </c>
      <c r="C245" s="23"/>
      <c r="D245" s="23"/>
      <c r="E245" s="23"/>
      <c r="F245" s="23"/>
      <c r="G245" s="23"/>
      <c r="H245" s="691"/>
      <c r="I245" s="438"/>
      <c r="J245" s="213"/>
      <c r="K245" s="213"/>
      <c r="L245" s="1696"/>
      <c r="M245" s="1624"/>
      <c r="N245" s="213"/>
      <c r="O245" s="1620"/>
      <c r="P245" s="173"/>
      <c r="Q245" s="173"/>
      <c r="R245" s="173"/>
      <c r="S245" s="173"/>
      <c r="T245" s="173"/>
      <c r="U245" s="173"/>
      <c r="V245" s="173"/>
      <c r="W245" s="173"/>
      <c r="X245" s="1601"/>
    </row>
    <row r="246" spans="1:51" x14ac:dyDescent="0.2">
      <c r="B246" s="600" t="s">
        <v>2755</v>
      </c>
      <c r="C246" s="23"/>
      <c r="D246" s="23"/>
      <c r="E246" s="23"/>
      <c r="F246" s="23"/>
      <c r="G246" s="23"/>
      <c r="H246" s="691"/>
      <c r="I246" s="192" t="s">
        <v>3698</v>
      </c>
      <c r="J246" s="193"/>
      <c r="K246" s="193"/>
      <c r="L246" s="1712" t="s">
        <v>3724</v>
      </c>
      <c r="M246" s="1636">
        <v>3</v>
      </c>
      <c r="N246" s="193"/>
      <c r="O246" s="1637">
        <f>M246*S246*W246</f>
        <v>0</v>
      </c>
      <c r="P246" s="195" t="b">
        <v>0</v>
      </c>
      <c r="Q246" s="195" t="b">
        <v>1</v>
      </c>
      <c r="R246" s="195" t="b">
        <v>0</v>
      </c>
      <c r="S246" s="195" t="b">
        <f>NOT(OR(AND(AY44=INDEX(ddHDucts,2),AY40=INDEX(ddCDucts,2)),W243))</f>
        <v>1</v>
      </c>
      <c r="T246" s="195" t="b">
        <f>AND(NOT(S246),W246=TRUE)</f>
        <v>0</v>
      </c>
      <c r="U246" s="195"/>
      <c r="V246" s="195"/>
      <c r="W246" s="333"/>
      <c r="X246" s="1601"/>
      <c r="AC246" s="343" t="b">
        <f>OR(AD246:AE246)</f>
        <v>0</v>
      </c>
      <c r="AD246" s="343" t="b">
        <f>T246</f>
        <v>0</v>
      </c>
      <c r="AE246" s="343" t="b">
        <f>AND(R246,NOT(W246))</f>
        <v>0</v>
      </c>
      <c r="AL246" s="1352" t="str">
        <f>SUBSTITUTE(SUBSTITUTE(SUBSTITUTE("dpa"&amp;$B246&amp;$C246&amp;$D246&amp;$E246,".","_"),"(","_"),")","")</f>
        <v>dpa902_2_4</v>
      </c>
      <c r="AM246" s="1352">
        <f>M246</f>
        <v>3</v>
      </c>
      <c r="AN246" s="1352" t="str">
        <f>SUBSTITUTE(SUBSTITUTE(SUBSTITUTE("dpc"&amp;$B246&amp;$C246&amp;$D246&amp;$E246,".","_"),"(","_"),")","")</f>
        <v>dpc902_2_4</v>
      </c>
      <c r="AO246" s="1352">
        <f>O246</f>
        <v>0</v>
      </c>
      <c r="AP246" s="1352" t="str">
        <f>SUBSTITUTE(SUBSTITUTE(SUBSTITUTE("dch"&amp;$B246&amp;$C246&amp;$D246&amp;$E246,".","_"),"(","_"),")","")</f>
        <v>dch902_2_4</v>
      </c>
      <c r="AQ246" s="1352" t="str">
        <f>IF(LEN(W246)=0,"",W246)</f>
        <v/>
      </c>
      <c r="AR246" s="1352" t="str">
        <f>SUBSTITUTE(SUBSTITUTE(SUBSTITUTE("dnt"&amp;$B246&amp;$C246&amp;$D246&amp;$E246,".","_"),"(","_"),")","")</f>
        <v>dnt902_2_4</v>
      </c>
      <c r="AS246" s="1352" t="str">
        <f>IF(LEN(X246)=0,"",X246)</f>
        <v/>
      </c>
    </row>
    <row r="247" spans="1:51" x14ac:dyDescent="0.2">
      <c r="B247" s="600" t="s">
        <v>2755</v>
      </c>
      <c r="C247" s="23"/>
      <c r="D247" s="23"/>
      <c r="E247" s="23"/>
      <c r="F247" s="23"/>
      <c r="G247" s="23"/>
      <c r="H247" s="691"/>
      <c r="I247" s="406"/>
      <c r="J247" s="129"/>
      <c r="K247" s="129"/>
      <c r="L247" s="1629"/>
      <c r="M247" s="1623"/>
      <c r="N247" s="129"/>
      <c r="O247" s="1619"/>
      <c r="P247" s="991"/>
      <c r="Q247" s="991"/>
      <c r="R247" s="991"/>
      <c r="S247" s="991"/>
      <c r="T247" s="991"/>
      <c r="U247" s="991"/>
      <c r="V247" s="991"/>
      <c r="W247" s="991"/>
      <c r="X247" s="1601"/>
    </row>
    <row r="248" spans="1:51" x14ac:dyDescent="0.2">
      <c r="B248" s="600" t="s">
        <v>2755</v>
      </c>
      <c r="C248" s="23"/>
      <c r="D248" s="23"/>
      <c r="E248" s="23"/>
      <c r="F248" s="23"/>
      <c r="G248" s="23"/>
      <c r="H248" s="691"/>
      <c r="I248" s="438"/>
      <c r="J248" s="213"/>
      <c r="K248" s="213"/>
      <c r="L248" s="1696"/>
      <c r="M248" s="1624"/>
      <c r="N248" s="213"/>
      <c r="O248" s="1620"/>
      <c r="P248" s="173"/>
      <c r="Q248" s="173"/>
      <c r="R248" s="173"/>
      <c r="S248" s="173"/>
      <c r="T248" s="173"/>
      <c r="U248" s="173"/>
      <c r="V248" s="173"/>
      <c r="W248" s="173"/>
      <c r="X248" s="1601"/>
    </row>
    <row r="249" spans="1:51" s="905" customFormat="1" x14ac:dyDescent="0.2">
      <c r="A249" s="20"/>
      <c r="B249" s="600" t="s">
        <v>4956</v>
      </c>
      <c r="C249" s="23"/>
      <c r="D249" s="23"/>
      <c r="E249" s="23"/>
      <c r="F249" s="23"/>
      <c r="G249" s="23"/>
      <c r="H249" s="691"/>
      <c r="I249" s="589" t="s">
        <v>4880</v>
      </c>
      <c r="J249" s="858"/>
      <c r="K249" s="858"/>
      <c r="L249" s="1686" t="s">
        <v>4881</v>
      </c>
      <c r="M249" s="1636">
        <v>3</v>
      </c>
      <c r="N249" s="129"/>
      <c r="O249" s="1637">
        <f>M249*S249*W249</f>
        <v>3</v>
      </c>
      <c r="P249" s="195" t="b">
        <v>0</v>
      </c>
      <c r="Q249" s="195" t="b">
        <v>1</v>
      </c>
      <c r="R249" s="195" t="b">
        <v>0</v>
      </c>
      <c r="S249" s="195" t="b">
        <v>1</v>
      </c>
      <c r="T249" s="195" t="b">
        <v>0</v>
      </c>
      <c r="U249" s="991"/>
      <c r="V249" s="991"/>
      <c r="W249" s="27" t="b">
        <v>1</v>
      </c>
      <c r="X249" s="1600"/>
      <c r="AL249" s="1352" t="str">
        <f>SUBSTITUTE(SUBSTITUTE(SUBSTITUTE("dpa"&amp;$B249&amp;$C249&amp;$D249&amp;$E249,".","_"),"(","_"),")","")</f>
        <v>dpa902_2_5</v>
      </c>
      <c r="AM249" s="1352">
        <f>M249</f>
        <v>3</v>
      </c>
      <c r="AN249" s="1352" t="str">
        <f>SUBSTITUTE(SUBSTITUTE(SUBSTITUTE("dpc"&amp;$B249&amp;$C249&amp;$D249&amp;$E249,".","_"),"(","_"),")","")</f>
        <v>dpc902_2_5</v>
      </c>
      <c r="AO249" s="1352">
        <f>O249</f>
        <v>3</v>
      </c>
      <c r="AP249" s="1352" t="str">
        <f>SUBSTITUTE(SUBSTITUTE(SUBSTITUTE("dch"&amp;$B249&amp;$C249&amp;$D249&amp;$E249,".","_"),"(","_"),")","")</f>
        <v>dch902_2_5</v>
      </c>
      <c r="AQ249" s="1352" t="b">
        <f>IF(LEN(W249)=0,"",W249)</f>
        <v>1</v>
      </c>
      <c r="AR249" s="1352" t="str">
        <f>SUBSTITUTE(SUBSTITUTE(SUBSTITUTE("dnt"&amp;$B249&amp;$C249&amp;$D249&amp;$E249,".","_"),"(","_"),")","")</f>
        <v>dnt902_2_5</v>
      </c>
      <c r="AS249" s="1352" t="str">
        <f>IF(LEN(X249)=0,"",X249)</f>
        <v/>
      </c>
      <c r="AX249" s="78"/>
      <c r="AY249" s="78"/>
    </row>
    <row r="250" spans="1:51" s="905" customFormat="1" ht="16" thickBot="1" x14ac:dyDescent="0.25">
      <c r="A250" s="20"/>
      <c r="B250" s="600" t="s">
        <v>4956</v>
      </c>
      <c r="C250" s="23"/>
      <c r="D250" s="23"/>
      <c r="E250" s="23"/>
      <c r="F250" s="23"/>
      <c r="G250" s="23"/>
      <c r="H250" s="691"/>
      <c r="I250" s="600"/>
      <c r="J250" s="858"/>
      <c r="K250" s="858"/>
      <c r="L250" s="1738"/>
      <c r="M250" s="1627"/>
      <c r="N250" s="129"/>
      <c r="O250" s="1638"/>
      <c r="P250" s="991"/>
      <c r="Q250" s="991"/>
      <c r="R250" s="991"/>
      <c r="S250" s="991"/>
      <c r="T250" s="991"/>
      <c r="U250" s="100"/>
      <c r="V250" s="991"/>
      <c r="W250" s="270"/>
      <c r="X250" s="1600"/>
      <c r="AL250" s="78"/>
      <c r="AM250" s="78"/>
      <c r="AN250" s="78"/>
      <c r="AO250" s="78"/>
      <c r="AP250" s="78"/>
      <c r="AQ250" s="78"/>
      <c r="AR250" s="78"/>
      <c r="AS250" s="78"/>
      <c r="AX250" s="78"/>
      <c r="AY250" s="78"/>
    </row>
    <row r="251" spans="1:51" ht="15.75" customHeight="1" thickTop="1" x14ac:dyDescent="0.2">
      <c r="B251" s="600">
        <v>902.3</v>
      </c>
      <c r="C251" s="23"/>
      <c r="D251" s="23"/>
      <c r="E251" s="23"/>
      <c r="F251" s="23"/>
      <c r="G251" s="23"/>
      <c r="H251" s="691"/>
      <c r="I251" s="177" t="s">
        <v>3699</v>
      </c>
      <c r="J251" s="178"/>
      <c r="K251" s="178"/>
      <c r="L251" s="1687" t="s">
        <v>5062</v>
      </c>
      <c r="M251" s="1701" t="str">
        <f>IF(R251,"Mandatory","N/A")</f>
        <v>Mandatory</v>
      </c>
      <c r="N251" s="178"/>
      <c r="O251" s="421"/>
      <c r="P251" s="106" t="b">
        <v>1</v>
      </c>
      <c r="Q251" s="106" t="b">
        <v>0</v>
      </c>
      <c r="R251" s="106" t="b">
        <v>1</v>
      </c>
      <c r="S251" s="106" t="b">
        <v>1</v>
      </c>
      <c r="T251" s="106" t="b">
        <v>0</v>
      </c>
      <c r="U251" s="991" t="str">
        <f>SUBSTITUTE(SUBSTITUTE(SUBSTITUTE("dd"&amp;B251&amp;C251&amp;D251&amp;E251&amp;F251,".","_"),"(","_"),")","")</f>
        <v>dd902_3</v>
      </c>
      <c r="V251" s="106"/>
      <c r="W251" s="269" t="s">
        <v>2590</v>
      </c>
      <c r="X251" s="1670"/>
      <c r="AC251" s="905" t="b">
        <f>OR(AD251:AE251)</f>
        <v>0</v>
      </c>
      <c r="AD251" s="905" t="b">
        <f>T251</f>
        <v>0</v>
      </c>
      <c r="AE251" s="905" t="b">
        <f>AND(R251,OR(W251="Not Met",W251=""))</f>
        <v>0</v>
      </c>
      <c r="AL251" s="1352" t="str">
        <f>SUBSTITUTE(SUBSTITUTE(SUBSTITUTE("dpa"&amp;$B251&amp;$C251&amp;$D251&amp;$E251,".","_"),"(","_"),")","")</f>
        <v>dpa902_3</v>
      </c>
      <c r="AM251" s="1352" t="str">
        <f>M251</f>
        <v>Mandatory</v>
      </c>
      <c r="AP251" s="1352" t="str">
        <f>SUBSTITUTE(SUBSTITUTE(SUBSTITUTE("dch"&amp;$B251&amp;$C251&amp;$D251&amp;$E251,".","_"),"(","_"),")","")</f>
        <v>dch902_3</v>
      </c>
      <c r="AQ251" s="1352" t="str">
        <f>IF(LEN(W251)=0,"",W251)</f>
        <v>N/A</v>
      </c>
      <c r="AR251" s="1352" t="str">
        <f>SUBSTITUTE(SUBSTITUTE(SUBSTITUTE("dnt"&amp;$B251&amp;$C251&amp;$D251&amp;$E251,".","_"),"(","_"),")","")</f>
        <v>dnt902_3</v>
      </c>
      <c r="AS251" s="1352" t="str">
        <f>IF(LEN(X251)=0,"",X251)</f>
        <v/>
      </c>
      <c r="AX251" s="905"/>
      <c r="AY251" s="905"/>
    </row>
    <row r="252" spans="1:51" s="905" customFormat="1" x14ac:dyDescent="0.2">
      <c r="A252" s="20"/>
      <c r="B252" s="600">
        <v>902.3</v>
      </c>
      <c r="C252" s="23"/>
      <c r="D252" s="23"/>
      <c r="E252" s="23"/>
      <c r="F252" s="23"/>
      <c r="G252" s="23"/>
      <c r="H252" s="691"/>
      <c r="I252" s="130"/>
      <c r="J252" s="129"/>
      <c r="K252" s="129"/>
      <c r="L252" s="1687"/>
      <c r="M252" s="1714"/>
      <c r="N252" s="129"/>
      <c r="O252" s="908"/>
      <c r="P252" s="991"/>
      <c r="Q252" s="991"/>
      <c r="R252" s="991"/>
      <c r="S252" s="991"/>
      <c r="T252" s="991"/>
      <c r="U252" s="991"/>
      <c r="V252" s="991"/>
      <c r="W252" s="991"/>
      <c r="X252" s="1632"/>
      <c r="AL252" s="78"/>
      <c r="AM252" s="78"/>
      <c r="AN252" s="78"/>
      <c r="AO252" s="78"/>
      <c r="AP252" s="78"/>
      <c r="AQ252" s="78"/>
      <c r="AR252" s="78"/>
      <c r="AS252" s="78"/>
      <c r="AX252" s="1234"/>
      <c r="AY252" s="1234"/>
    </row>
    <row r="253" spans="1:51" s="1234" customFormat="1" x14ac:dyDescent="0.2">
      <c r="A253" s="20"/>
      <c r="B253" s="600">
        <v>902.3</v>
      </c>
      <c r="C253" s="23"/>
      <c r="D253" s="23"/>
      <c r="E253" s="23"/>
      <c r="F253" s="23"/>
      <c r="G253" s="23"/>
      <c r="H253" s="691"/>
      <c r="I253" s="130"/>
      <c r="J253" s="129"/>
      <c r="K253" s="129"/>
      <c r="L253" s="1687"/>
      <c r="M253" s="1714"/>
      <c r="N253" s="129"/>
      <c r="O253" s="1235"/>
      <c r="P253" s="1240"/>
      <c r="Q253" s="1240"/>
      <c r="R253" s="1240"/>
      <c r="S253" s="1240"/>
      <c r="T253" s="1240"/>
      <c r="U253" s="1240"/>
      <c r="V253" s="1240"/>
      <c r="W253" s="1240"/>
      <c r="X253" s="1632"/>
      <c r="AL253" s="78"/>
      <c r="AM253" s="78"/>
      <c r="AN253" s="78"/>
      <c r="AO253" s="78"/>
      <c r="AP253" s="78"/>
      <c r="AQ253" s="78"/>
      <c r="AR253" s="78"/>
      <c r="AS253" s="78"/>
      <c r="AX253" s="905"/>
      <c r="AY253" s="905"/>
    </row>
    <row r="254" spans="1:51" s="789" customFormat="1" x14ac:dyDescent="0.2">
      <c r="A254" s="20"/>
      <c r="B254" s="600">
        <v>902.3</v>
      </c>
      <c r="C254" s="23"/>
      <c r="D254" s="23"/>
      <c r="E254" s="23"/>
      <c r="F254" s="23"/>
      <c r="G254" s="23"/>
      <c r="H254" s="691"/>
      <c r="I254" s="130"/>
      <c r="J254" s="129"/>
      <c r="K254" s="129"/>
      <c r="L254" s="1687"/>
      <c r="M254" s="1714"/>
      <c r="N254" s="129"/>
      <c r="O254" s="792"/>
      <c r="P254" s="96"/>
      <c r="Q254" s="96"/>
      <c r="R254" s="96"/>
      <c r="S254" s="96"/>
      <c r="T254" s="96"/>
      <c r="U254" s="96"/>
      <c r="V254" s="96"/>
      <c r="W254" s="96"/>
      <c r="X254" s="1632"/>
      <c r="AL254" s="78"/>
      <c r="AM254" s="78"/>
      <c r="AN254" s="78"/>
      <c r="AO254" s="78"/>
      <c r="AP254" s="78"/>
      <c r="AQ254" s="78"/>
      <c r="AR254" s="78"/>
      <c r="AS254" s="78"/>
      <c r="AX254" s="78"/>
      <c r="AY254" s="78"/>
    </row>
    <row r="255" spans="1:51" x14ac:dyDescent="0.2">
      <c r="B255" s="600">
        <v>902.3</v>
      </c>
      <c r="C255" s="23"/>
      <c r="D255" s="23"/>
      <c r="E255" s="23"/>
      <c r="F255" s="23"/>
      <c r="G255" s="23"/>
      <c r="H255" s="691"/>
      <c r="I255" s="406"/>
      <c r="J255" s="129"/>
      <c r="K255" s="129"/>
      <c r="L255" s="1687"/>
      <c r="M255" s="1714"/>
      <c r="N255" s="129"/>
      <c r="O255" s="238"/>
      <c r="P255" s="96"/>
      <c r="Q255" s="96"/>
      <c r="R255" s="96"/>
      <c r="S255" s="96"/>
      <c r="T255" s="96"/>
      <c r="U255" s="96"/>
      <c r="V255" s="96"/>
      <c r="W255" s="96"/>
      <c r="X255" s="1599"/>
      <c r="AX255" s="905"/>
      <c r="AY255" s="905"/>
    </row>
    <row r="256" spans="1:51" x14ac:dyDescent="0.2">
      <c r="B256" s="600">
        <v>902.3</v>
      </c>
      <c r="C256" s="23" t="s">
        <v>254</v>
      </c>
      <c r="D256" s="23"/>
      <c r="E256" s="23"/>
      <c r="F256" s="23"/>
      <c r="G256" s="23"/>
      <c r="H256" s="691"/>
      <c r="I256" s="406"/>
      <c r="J256" s="180" t="s">
        <v>254</v>
      </c>
      <c r="K256" s="129"/>
      <c r="L256" s="368" t="s">
        <v>2756</v>
      </c>
      <c r="N256" s="129"/>
      <c r="O256" s="238">
        <f ca="1">IFERROR(INDEX({0,12,12,0,0},MATCH(W251,INDIRECT(U251),0)),0)*S256</f>
        <v>0</v>
      </c>
      <c r="P256" s="96"/>
      <c r="Q256" s="96"/>
      <c r="R256" s="96" t="b">
        <f>S256</f>
        <v>1</v>
      </c>
      <c r="S256" s="96" t="b">
        <f>(BE16=1)</f>
        <v>1</v>
      </c>
      <c r="T256" s="96"/>
      <c r="U256" s="96"/>
      <c r="V256" s="96"/>
      <c r="W256"/>
      <c r="X256" s="1600"/>
      <c r="AC256" s="343"/>
      <c r="AD256" s="343"/>
      <c r="AE256" s="343"/>
      <c r="AN256" s="1352" t="str">
        <f>SUBSTITUTE(SUBSTITUTE(SUBSTITUTE("dpc"&amp;$B256&amp;$C256&amp;$D256&amp;$E256,".","_"),"(","_"),")","")</f>
        <v>dpc902_3_1</v>
      </c>
      <c r="AO256" s="1352">
        <f ca="1">O256</f>
        <v>0</v>
      </c>
      <c r="AR256" s="1352" t="str">
        <f>SUBSTITUTE(SUBSTITUTE(SUBSTITUTE("dnt"&amp;$B256&amp;$C256&amp;$D256&amp;$E256,".","_"),"(","_"),")","")</f>
        <v>dnt902_3_1</v>
      </c>
      <c r="AS256" s="1352" t="str">
        <f>IF(LEN(X256)=0,"",X256)</f>
        <v/>
      </c>
      <c r="AX256" s="905"/>
      <c r="AY256" s="905"/>
    </row>
    <row r="257" spans="2:51" x14ac:dyDescent="0.2">
      <c r="B257" s="600">
        <v>902.3</v>
      </c>
      <c r="C257" s="23" t="s">
        <v>254</v>
      </c>
      <c r="D257" s="23" t="s">
        <v>121</v>
      </c>
      <c r="E257" s="23"/>
      <c r="F257" s="23"/>
      <c r="G257" s="23"/>
      <c r="H257" s="691"/>
      <c r="I257" s="406"/>
      <c r="J257" s="129"/>
      <c r="K257" s="180" t="s">
        <v>121</v>
      </c>
      <c r="L257" s="368" t="s">
        <v>4884</v>
      </c>
      <c r="M257" s="1191" t="str">
        <f>IF(R256,"Mandatory","N/A")</f>
        <v>Mandatory</v>
      </c>
      <c r="N257" s="129"/>
      <c r="O257" s="238"/>
      <c r="P257" s="96"/>
      <c r="Q257" s="96"/>
      <c r="R257" s="96"/>
      <c r="S257" s="96"/>
      <c r="T257" s="96"/>
      <c r="U257" s="96"/>
      <c r="V257" s="96"/>
      <c r="W257" s="96"/>
      <c r="X257" s="1600"/>
      <c r="AL257" s="1352" t="str">
        <f>SUBSTITUTE(SUBSTITUTE(SUBSTITUTE("dpa"&amp;$B257&amp;$C257&amp;$D257&amp;$E257,".","_"),"(","_"),")","")</f>
        <v>dpa902_3_1_a</v>
      </c>
      <c r="AM257" s="1352" t="str">
        <f>M257</f>
        <v>Mandatory</v>
      </c>
      <c r="AX257" s="905"/>
      <c r="AY257" s="905"/>
    </row>
    <row r="258" spans="2:51" x14ac:dyDescent="0.2">
      <c r="B258" s="600">
        <v>902.3</v>
      </c>
      <c r="C258" s="23" t="s">
        <v>254</v>
      </c>
      <c r="D258" s="23" t="s">
        <v>122</v>
      </c>
      <c r="E258" s="23"/>
      <c r="F258" s="23"/>
      <c r="G258" s="23"/>
      <c r="H258" s="691"/>
      <c r="I258" s="406"/>
      <c r="J258" s="213"/>
      <c r="K258" s="207" t="s">
        <v>122</v>
      </c>
      <c r="L258" s="369" t="s">
        <v>4885</v>
      </c>
      <c r="M258" s="1187">
        <v>12</v>
      </c>
      <c r="N258" s="129"/>
      <c r="O258" s="238"/>
      <c r="P258" s="96"/>
      <c r="Q258" s="96"/>
      <c r="R258" s="96"/>
      <c r="S258" s="96"/>
      <c r="T258" s="96"/>
      <c r="U258" s="96"/>
      <c r="V258" s="96"/>
      <c r="W258" s="96"/>
      <c r="X258" s="1600"/>
      <c r="AL258" s="1352" t="str">
        <f>SUBSTITUTE(SUBSTITUTE(SUBSTITUTE("dpa"&amp;$B258&amp;$C258&amp;$D258&amp;$E258,".","_"),"(","_"),")","")</f>
        <v>dpa902_3_1_b</v>
      </c>
      <c r="AM258" s="1352">
        <f>M258</f>
        <v>12</v>
      </c>
    </row>
    <row r="259" spans="2:51" x14ac:dyDescent="0.2">
      <c r="B259" s="600">
        <v>902.3</v>
      </c>
      <c r="C259" s="23" t="s">
        <v>255</v>
      </c>
      <c r="D259" s="23"/>
      <c r="E259" s="23"/>
      <c r="F259" s="23"/>
      <c r="G259" s="23"/>
      <c r="H259" s="691"/>
      <c r="I259" s="406"/>
      <c r="J259" s="180" t="s">
        <v>255</v>
      </c>
      <c r="K259" s="129"/>
      <c r="L259" s="368" t="s">
        <v>2759</v>
      </c>
      <c r="M259" s="1190"/>
      <c r="N259" s="129"/>
      <c r="O259" s="908">
        <f ca="1">IFERROR(INDEX({6,12,12,0,0},MATCH(W251,INDIRECT(U251),0)),0)*S259</f>
        <v>0</v>
      </c>
      <c r="P259" s="96"/>
      <c r="Q259" s="96"/>
      <c r="R259" s="991" t="b">
        <v>0</v>
      </c>
      <c r="S259" s="991" t="b">
        <f>OR(BE16=2,BE16=3)</f>
        <v>0</v>
      </c>
      <c r="T259" s="991"/>
      <c r="U259" s="991"/>
      <c r="V259" s="96"/>
      <c r="W259"/>
      <c r="X259" s="1600"/>
      <c r="AC259" s="905"/>
      <c r="AD259" s="905"/>
      <c r="AE259" s="905"/>
      <c r="AN259" s="1352" t="str">
        <f>SUBSTITUTE(SUBSTITUTE(SUBSTITUTE("dpc"&amp;$B259&amp;$C259&amp;$D259&amp;$E259,".","_"),"(","_"),")","")</f>
        <v>dpc902_3_2</v>
      </c>
      <c r="AO259" s="1352">
        <f ca="1">O259</f>
        <v>0</v>
      </c>
    </row>
    <row r="260" spans="2:51" x14ac:dyDescent="0.2">
      <c r="B260" s="600">
        <v>902.3</v>
      </c>
      <c r="C260" s="23" t="s">
        <v>255</v>
      </c>
      <c r="D260" s="23" t="s">
        <v>121</v>
      </c>
      <c r="E260" s="23"/>
      <c r="F260" s="23"/>
      <c r="G260" s="23"/>
      <c r="H260" s="691"/>
      <c r="I260" s="406"/>
      <c r="J260" s="129"/>
      <c r="K260" s="180" t="s">
        <v>121</v>
      </c>
      <c r="L260" s="928" t="s">
        <v>4886</v>
      </c>
      <c r="M260" s="1190">
        <v>6</v>
      </c>
      <c r="N260" s="129"/>
      <c r="O260" s="908"/>
      <c r="U260" s="991"/>
      <c r="V260" s="991"/>
      <c r="W260" s="991"/>
      <c r="X260" s="1600"/>
      <c r="AC260" s="343"/>
      <c r="AD260" s="343"/>
      <c r="AE260" s="343"/>
      <c r="AL260" s="1352" t="str">
        <f>SUBSTITUTE(SUBSTITUTE(SUBSTITUTE("dpa"&amp;$B260&amp;$C260&amp;$D260&amp;$E260,".","_"),"(","_"),")","")</f>
        <v>dpa902_3_2_a</v>
      </c>
      <c r="AM260" s="1352">
        <f>M260</f>
        <v>6</v>
      </c>
    </row>
    <row r="261" spans="2:51" customFormat="1" x14ac:dyDescent="0.2">
      <c r="B261" s="600">
        <v>902.3</v>
      </c>
      <c r="C261" s="23" t="s">
        <v>255</v>
      </c>
      <c r="D261" s="23" t="s">
        <v>122</v>
      </c>
      <c r="E261" s="1352"/>
      <c r="F261" s="1352"/>
      <c r="K261" s="180" t="s">
        <v>122</v>
      </c>
      <c r="L261" s="928" t="s">
        <v>4885</v>
      </c>
      <c r="M261" s="1190">
        <v>12</v>
      </c>
      <c r="N261" s="905"/>
      <c r="O261" s="905"/>
      <c r="W261" s="991"/>
      <c r="X261" s="1600"/>
      <c r="AL261" s="1352" t="str">
        <f>SUBSTITUTE(SUBSTITUTE(SUBSTITUTE("dpa"&amp;$B261&amp;$C261&amp;$D261&amp;$E261,".","_"),"(","_"),")","")</f>
        <v>dpa902_3_2_b</v>
      </c>
      <c r="AM261" s="1352">
        <f>M261</f>
        <v>12</v>
      </c>
      <c r="AN261" s="78"/>
      <c r="AO261" s="78"/>
      <c r="AP261" s="78"/>
      <c r="AQ261" s="78"/>
      <c r="AR261" s="78"/>
      <c r="AS261" s="78"/>
      <c r="AX261" s="78"/>
      <c r="AY261" s="78"/>
    </row>
    <row r="262" spans="2:51" s="905" customFormat="1" x14ac:dyDescent="0.2">
      <c r="B262" s="600" t="s">
        <v>4957</v>
      </c>
      <c r="C262" s="23" t="s">
        <v>3921</v>
      </c>
      <c r="D262" s="1352"/>
      <c r="E262" s="1352"/>
      <c r="F262" s="1352"/>
      <c r="I262" s="608" t="s">
        <v>4897</v>
      </c>
      <c r="J262" s="1073"/>
      <c r="K262" s="1073"/>
      <c r="L262" s="1686" t="s">
        <v>5052</v>
      </c>
      <c r="M262" s="195"/>
      <c r="N262" s="195"/>
      <c r="O262" s="195"/>
      <c r="W262"/>
      <c r="X262" s="1621"/>
      <c r="AL262" s="78"/>
      <c r="AM262" s="78"/>
      <c r="AN262" s="78"/>
      <c r="AO262" s="78"/>
      <c r="AP262" s="78"/>
      <c r="AQ262" s="78"/>
      <c r="AR262" s="1352" t="str">
        <f>SUBSTITUTE(SUBSTITUTE(SUBSTITUTE("dnt"&amp;$B262&amp;$C262&amp;$D262&amp;$E262,".","_"),"(","_"),")","")</f>
        <v>dnt902_3_1_1</v>
      </c>
      <c r="AS262" s="1352" t="str">
        <f>IF(LEN(X262)=0,"",X262)</f>
        <v/>
      </c>
      <c r="AX262" s="78"/>
      <c r="AY262" s="78"/>
    </row>
    <row r="263" spans="2:51" s="905" customFormat="1" x14ac:dyDescent="0.2">
      <c r="B263" s="600" t="s">
        <v>4957</v>
      </c>
      <c r="C263" s="1352"/>
      <c r="D263" s="1352"/>
      <c r="E263" s="1352"/>
      <c r="F263" s="1352"/>
      <c r="I263" s="590"/>
      <c r="J263" s="1068"/>
      <c r="K263" s="1068"/>
      <c r="L263" s="1687"/>
      <c r="M263" s="991"/>
      <c r="N263" s="991"/>
      <c r="O263" s="991"/>
      <c r="W263" s="991"/>
      <c r="X263" s="1599"/>
      <c r="AL263" s="78"/>
      <c r="AM263" s="78"/>
      <c r="AN263" s="78"/>
      <c r="AO263" s="78"/>
      <c r="AP263" s="78"/>
      <c r="AQ263" s="78"/>
      <c r="AR263" s="78"/>
      <c r="AS263" s="78"/>
      <c r="AX263"/>
      <c r="AY263"/>
    </row>
    <row r="264" spans="2:51" s="905" customFormat="1" x14ac:dyDescent="0.2">
      <c r="B264" s="600" t="s">
        <v>5038</v>
      </c>
      <c r="C264" s="1352"/>
      <c r="D264" s="1352"/>
      <c r="E264" s="1352"/>
      <c r="F264" s="1352"/>
      <c r="I264" s="589" t="s">
        <v>5051</v>
      </c>
      <c r="J264" s="873"/>
      <c r="K264" s="873"/>
      <c r="L264" s="1687" t="s">
        <v>5053</v>
      </c>
      <c r="W264" s="991"/>
      <c r="X264" s="991"/>
      <c r="AL264" s="78"/>
      <c r="AM264" s="78"/>
      <c r="AN264" s="78"/>
      <c r="AO264" s="78"/>
      <c r="AP264" s="78"/>
      <c r="AQ264" s="78"/>
      <c r="AR264" s="78"/>
      <c r="AS264" s="78"/>
    </row>
    <row r="265" spans="2:51" s="905" customFormat="1" x14ac:dyDescent="0.2">
      <c r="B265" s="600" t="s">
        <v>5038</v>
      </c>
      <c r="C265" s="1352"/>
      <c r="D265" s="1352"/>
      <c r="E265" s="1352"/>
      <c r="F265" s="1352"/>
      <c r="I265" s="589"/>
      <c r="J265" s="873"/>
      <c r="K265" s="873"/>
      <c r="L265" s="1687"/>
      <c r="W265" s="991"/>
      <c r="X265" s="991"/>
      <c r="AL265" s="78"/>
      <c r="AM265" s="78"/>
      <c r="AN265" s="78"/>
      <c r="AO265" s="78"/>
      <c r="AP265" s="78"/>
      <c r="AQ265" s="78"/>
      <c r="AR265" s="78"/>
      <c r="AS265" s="78"/>
    </row>
    <row r="266" spans="2:51" s="905" customFormat="1" x14ac:dyDescent="0.2">
      <c r="B266" s="600" t="s">
        <v>5038</v>
      </c>
      <c r="C266" s="1352"/>
      <c r="D266" s="1352"/>
      <c r="E266" s="1352"/>
      <c r="F266" s="1352"/>
      <c r="I266" s="589"/>
      <c r="J266" s="873"/>
      <c r="K266" s="873"/>
      <c r="L266" s="1687"/>
      <c r="W266" s="991"/>
      <c r="X266" s="991"/>
      <c r="AL266" s="78"/>
      <c r="AM266" s="78"/>
      <c r="AN266" s="78"/>
      <c r="AO266" s="78"/>
      <c r="AP266" s="78"/>
      <c r="AQ266" s="78"/>
      <c r="AR266" s="78"/>
      <c r="AS266" s="78"/>
    </row>
    <row r="267" spans="2:51" s="905" customFormat="1" x14ac:dyDescent="0.2">
      <c r="B267" s="600" t="s">
        <v>5038</v>
      </c>
      <c r="C267" s="1352"/>
      <c r="D267" s="1352"/>
      <c r="E267" s="1352"/>
      <c r="F267" s="1352"/>
      <c r="I267" s="589"/>
      <c r="J267" s="873"/>
      <c r="K267" s="873"/>
      <c r="L267" s="1687"/>
      <c r="W267" s="991"/>
      <c r="X267" s="991"/>
      <c r="AL267" s="78"/>
      <c r="AM267" s="78"/>
      <c r="AN267" s="78"/>
      <c r="AO267" s="78"/>
      <c r="AP267" s="78"/>
      <c r="AQ267" s="78"/>
      <c r="AR267" s="78"/>
      <c r="AS267" s="78"/>
    </row>
    <row r="268" spans="2:51" s="905" customFormat="1" x14ac:dyDescent="0.2">
      <c r="B268" s="600" t="s">
        <v>5038</v>
      </c>
      <c r="C268" s="1352"/>
      <c r="D268" s="1352"/>
      <c r="E268" s="1352"/>
      <c r="F268" s="1352"/>
      <c r="I268" s="589"/>
      <c r="J268" s="873"/>
      <c r="K268" s="873"/>
      <c r="L268" s="1687"/>
      <c r="W268" s="991"/>
      <c r="X268" s="991"/>
      <c r="AL268" s="78"/>
      <c r="AM268" s="78"/>
      <c r="AN268" s="78"/>
      <c r="AO268" s="78"/>
      <c r="AP268" s="78"/>
      <c r="AQ268" s="78"/>
      <c r="AR268" s="78"/>
      <c r="AS268" s="78"/>
    </row>
    <row r="269" spans="2:51" s="905" customFormat="1" x14ac:dyDescent="0.2">
      <c r="B269" s="600" t="s">
        <v>5038</v>
      </c>
      <c r="C269" s="1352"/>
      <c r="D269" s="1352"/>
      <c r="E269" s="1352"/>
      <c r="F269" s="1352"/>
      <c r="I269" s="589"/>
      <c r="J269" s="873"/>
      <c r="K269" s="873"/>
      <c r="L269" s="1687"/>
      <c r="W269" s="991"/>
      <c r="X269" s="991"/>
      <c r="AL269" s="78"/>
      <c r="AM269" s="78"/>
      <c r="AN269" s="78"/>
      <c r="AO269" s="78"/>
      <c r="AP269" s="78"/>
      <c r="AQ269" s="78"/>
      <c r="AR269" s="78"/>
      <c r="AS269" s="78"/>
    </row>
    <row r="270" spans="2:51" s="905" customFormat="1" x14ac:dyDescent="0.2">
      <c r="B270" s="600" t="s">
        <v>5038</v>
      </c>
      <c r="C270" s="1352"/>
      <c r="D270" s="1352"/>
      <c r="E270" s="1352"/>
      <c r="F270" s="1352"/>
      <c r="I270" s="589"/>
      <c r="J270" s="873"/>
      <c r="K270" s="873"/>
      <c r="L270" s="1687"/>
      <c r="W270" s="991"/>
      <c r="X270" s="991"/>
      <c r="AL270" s="78"/>
      <c r="AM270" s="78"/>
      <c r="AN270" s="78"/>
      <c r="AO270" s="78"/>
      <c r="AP270" s="78"/>
      <c r="AQ270" s="78"/>
      <c r="AR270" s="78"/>
      <c r="AS270" s="78"/>
    </row>
    <row r="271" spans="2:51" s="905" customFormat="1" x14ac:dyDescent="0.2">
      <c r="B271" s="600" t="s">
        <v>5039</v>
      </c>
      <c r="C271" s="1352"/>
      <c r="D271" s="1352"/>
      <c r="E271" s="1352"/>
      <c r="F271" s="1352"/>
      <c r="I271" s="608" t="s">
        <v>5050</v>
      </c>
      <c r="J271" s="1073"/>
      <c r="K271" s="1073"/>
      <c r="L271" s="1686" t="s">
        <v>5054</v>
      </c>
      <c r="W271" s="991"/>
      <c r="X271" s="991"/>
      <c r="AL271" s="78"/>
      <c r="AM271" s="78"/>
      <c r="AN271" s="78"/>
      <c r="AO271" s="78"/>
      <c r="AP271" s="78"/>
      <c r="AQ271" s="78"/>
      <c r="AR271" s="78"/>
      <c r="AS271" s="78"/>
    </row>
    <row r="272" spans="2:51" s="905" customFormat="1" x14ac:dyDescent="0.2">
      <c r="B272" s="600" t="s">
        <v>5039</v>
      </c>
      <c r="C272" s="1352"/>
      <c r="D272" s="1352"/>
      <c r="E272" s="1352"/>
      <c r="F272" s="1352"/>
      <c r="I272" s="590"/>
      <c r="J272" s="1068"/>
      <c r="K272" s="1068"/>
      <c r="L272" s="1687"/>
      <c r="W272" s="991"/>
      <c r="X272" s="991"/>
      <c r="AL272" s="78"/>
      <c r="AM272" s="78"/>
      <c r="AN272" s="78"/>
      <c r="AO272" s="78"/>
      <c r="AP272" s="78"/>
      <c r="AQ272" s="78"/>
      <c r="AR272" s="78"/>
      <c r="AS272" s="78"/>
    </row>
    <row r="273" spans="2:45" s="905" customFormat="1" x14ac:dyDescent="0.2">
      <c r="B273" s="600" t="s">
        <v>5039</v>
      </c>
      <c r="C273" s="1352"/>
      <c r="D273" s="1352"/>
      <c r="E273" s="1352"/>
      <c r="F273" s="1352"/>
      <c r="I273" s="590"/>
      <c r="J273" s="1068"/>
      <c r="K273" s="1068"/>
      <c r="L273" s="1687"/>
      <c r="W273" s="991"/>
      <c r="X273" s="991"/>
      <c r="AL273" s="78"/>
      <c r="AM273" s="78"/>
      <c r="AN273" s="78"/>
      <c r="AO273" s="78"/>
      <c r="AP273" s="78"/>
      <c r="AQ273" s="78"/>
      <c r="AR273" s="78"/>
      <c r="AS273" s="78"/>
    </row>
    <row r="274" spans="2:45" s="905" customFormat="1" x14ac:dyDescent="0.2">
      <c r="B274" s="600" t="s">
        <v>5039</v>
      </c>
      <c r="C274" s="1352"/>
      <c r="D274" s="1352"/>
      <c r="E274" s="1352"/>
      <c r="F274" s="1352"/>
      <c r="I274" s="590"/>
      <c r="J274" s="1068"/>
      <c r="K274" s="1068"/>
      <c r="L274" s="1687"/>
      <c r="W274" s="991"/>
      <c r="X274" s="991"/>
      <c r="AL274" s="78"/>
      <c r="AM274" s="78"/>
      <c r="AN274" s="78"/>
      <c r="AO274" s="78"/>
      <c r="AP274" s="78"/>
      <c r="AQ274" s="78"/>
      <c r="AR274" s="78"/>
      <c r="AS274" s="78"/>
    </row>
    <row r="275" spans="2:45" s="905" customFormat="1" x14ac:dyDescent="0.2">
      <c r="B275" s="600" t="s">
        <v>5039</v>
      </c>
      <c r="C275" s="1352"/>
      <c r="D275" s="1352"/>
      <c r="E275" s="1352"/>
      <c r="F275" s="1352"/>
      <c r="I275" s="590"/>
      <c r="J275" s="1068"/>
      <c r="K275" s="1068"/>
      <c r="L275" s="1687"/>
      <c r="W275" s="991"/>
      <c r="X275" s="991"/>
      <c r="AL275" s="78"/>
      <c r="AM275" s="78"/>
      <c r="AN275" s="78"/>
      <c r="AO275" s="78"/>
      <c r="AP275" s="78"/>
      <c r="AQ275" s="78"/>
      <c r="AR275" s="78"/>
      <c r="AS275" s="78"/>
    </row>
    <row r="276" spans="2:45" s="905" customFormat="1" x14ac:dyDescent="0.2">
      <c r="B276" s="600" t="s">
        <v>5039</v>
      </c>
      <c r="C276" s="1352"/>
      <c r="D276" s="1352"/>
      <c r="E276" s="1352"/>
      <c r="F276" s="1352"/>
      <c r="I276" s="590"/>
      <c r="J276" s="1068"/>
      <c r="K276" s="1068"/>
      <c r="L276" s="1687"/>
      <c r="W276" s="991"/>
      <c r="X276" s="991"/>
      <c r="AL276" s="78"/>
      <c r="AM276" s="78"/>
      <c r="AN276" s="78"/>
      <c r="AO276" s="78"/>
      <c r="AP276" s="78"/>
      <c r="AQ276" s="78"/>
      <c r="AR276" s="78"/>
      <c r="AS276" s="78"/>
    </row>
    <row r="277" spans="2:45" s="905" customFormat="1" x14ac:dyDescent="0.2">
      <c r="B277" s="600" t="s">
        <v>5039</v>
      </c>
      <c r="C277" s="1352"/>
      <c r="D277" s="1352"/>
      <c r="E277" s="1352"/>
      <c r="F277" s="1352"/>
      <c r="I277" s="590"/>
      <c r="J277" s="1068"/>
      <c r="K277" s="1068"/>
      <c r="L277" s="1687"/>
      <c r="W277" s="991"/>
      <c r="X277" s="991"/>
      <c r="AL277" s="78"/>
      <c r="AM277" s="78"/>
      <c r="AN277" s="78"/>
      <c r="AO277" s="78"/>
      <c r="AP277" s="78"/>
      <c r="AQ277" s="78"/>
      <c r="AR277" s="78"/>
      <c r="AS277" s="78"/>
    </row>
    <row r="278" spans="2:45" s="905" customFormat="1" x14ac:dyDescent="0.2">
      <c r="B278" s="600" t="s">
        <v>5040</v>
      </c>
      <c r="C278" s="1352"/>
      <c r="D278" s="1352"/>
      <c r="E278" s="1352"/>
      <c r="F278" s="1352"/>
      <c r="I278" s="608" t="s">
        <v>5049</v>
      </c>
      <c r="J278" s="1073"/>
      <c r="K278" s="1073"/>
      <c r="L278" s="1686" t="s">
        <v>5055</v>
      </c>
      <c r="W278" s="991"/>
      <c r="X278" s="991"/>
      <c r="AL278" s="78"/>
      <c r="AM278" s="78"/>
      <c r="AN278" s="78"/>
      <c r="AO278" s="78"/>
      <c r="AP278" s="78"/>
      <c r="AQ278" s="78"/>
      <c r="AR278" s="78"/>
      <c r="AS278" s="78"/>
    </row>
    <row r="279" spans="2:45" s="905" customFormat="1" x14ac:dyDescent="0.2">
      <c r="B279" s="600" t="s">
        <v>5040</v>
      </c>
      <c r="C279" s="1352"/>
      <c r="D279" s="1352"/>
      <c r="E279" s="1352"/>
      <c r="F279" s="1352"/>
      <c r="I279" s="590"/>
      <c r="J279" s="1068"/>
      <c r="K279" s="1068"/>
      <c r="L279" s="1687"/>
      <c r="W279" s="991"/>
      <c r="X279" s="991"/>
      <c r="AL279" s="78"/>
      <c r="AM279" s="78"/>
      <c r="AN279" s="78"/>
      <c r="AO279" s="78"/>
      <c r="AP279" s="78"/>
      <c r="AQ279" s="78"/>
      <c r="AR279" s="78"/>
      <c r="AS279" s="78"/>
    </row>
    <row r="280" spans="2:45" s="905" customFormat="1" x14ac:dyDescent="0.2">
      <c r="B280" s="600" t="s">
        <v>5040</v>
      </c>
      <c r="C280" s="1352"/>
      <c r="D280" s="1352"/>
      <c r="E280" s="1352"/>
      <c r="F280" s="1352"/>
      <c r="I280" s="590"/>
      <c r="J280" s="1068"/>
      <c r="K280" s="1068"/>
      <c r="L280" s="1687"/>
      <c r="W280" s="991"/>
      <c r="X280" s="991"/>
      <c r="AL280" s="78"/>
      <c r="AM280" s="78"/>
      <c r="AN280" s="78"/>
      <c r="AO280" s="78"/>
      <c r="AP280" s="78"/>
      <c r="AQ280" s="78"/>
      <c r="AR280" s="78"/>
      <c r="AS280" s="78"/>
    </row>
    <row r="281" spans="2:45" s="905" customFormat="1" x14ac:dyDescent="0.2">
      <c r="B281" s="600" t="s">
        <v>5040</v>
      </c>
      <c r="C281" s="1352"/>
      <c r="D281" s="1352"/>
      <c r="E281" s="1352"/>
      <c r="F281" s="1352"/>
      <c r="I281" s="590"/>
      <c r="J281" s="1068"/>
      <c r="K281" s="1068"/>
      <c r="L281" s="1687"/>
      <c r="W281" s="991"/>
      <c r="X281" s="991"/>
      <c r="AL281" s="78"/>
      <c r="AM281" s="78"/>
      <c r="AN281" s="78"/>
      <c r="AO281" s="78"/>
      <c r="AP281" s="78"/>
      <c r="AQ281" s="78"/>
      <c r="AR281" s="78"/>
      <c r="AS281" s="78"/>
    </row>
    <row r="282" spans="2:45" s="905" customFormat="1" x14ac:dyDescent="0.2">
      <c r="B282" s="600" t="s">
        <v>5040</v>
      </c>
      <c r="C282" s="1352"/>
      <c r="D282" s="1352"/>
      <c r="E282" s="1352"/>
      <c r="F282" s="1352"/>
      <c r="I282" s="590"/>
      <c r="J282" s="1068"/>
      <c r="K282" s="1068"/>
      <c r="L282" s="1687"/>
      <c r="W282" s="991"/>
      <c r="X282" s="991"/>
      <c r="AL282" s="78"/>
      <c r="AM282" s="78"/>
      <c r="AN282" s="78"/>
      <c r="AO282" s="78"/>
      <c r="AP282" s="78"/>
      <c r="AQ282" s="78"/>
      <c r="AR282" s="78"/>
      <c r="AS282" s="78"/>
    </row>
    <row r="283" spans="2:45" s="905" customFormat="1" x14ac:dyDescent="0.2">
      <c r="B283" s="600" t="s">
        <v>5040</v>
      </c>
      <c r="C283" s="1352"/>
      <c r="D283" s="1352"/>
      <c r="E283" s="1352"/>
      <c r="F283" s="1352"/>
      <c r="I283" s="590"/>
      <c r="J283" s="1068"/>
      <c r="K283" s="1068"/>
      <c r="L283" s="1687"/>
      <c r="W283" s="991"/>
      <c r="X283" s="991"/>
      <c r="AL283" s="78"/>
      <c r="AM283" s="78"/>
      <c r="AN283" s="78"/>
      <c r="AO283" s="78"/>
      <c r="AP283" s="78"/>
      <c r="AQ283" s="78"/>
      <c r="AR283" s="78"/>
      <c r="AS283" s="78"/>
    </row>
    <row r="284" spans="2:45" s="905" customFormat="1" x14ac:dyDescent="0.2">
      <c r="B284" s="600" t="s">
        <v>5041</v>
      </c>
      <c r="C284" s="1352"/>
      <c r="D284" s="1352"/>
      <c r="E284" s="1352"/>
      <c r="F284" s="1352"/>
      <c r="I284" s="608" t="s">
        <v>5048</v>
      </c>
      <c r="J284" s="1073"/>
      <c r="K284" s="1073"/>
      <c r="L284" s="1686" t="s">
        <v>5056</v>
      </c>
      <c r="W284" s="991"/>
      <c r="X284" s="991"/>
      <c r="AL284" s="78"/>
      <c r="AM284" s="78"/>
      <c r="AN284" s="78"/>
      <c r="AO284" s="78"/>
      <c r="AP284" s="78"/>
      <c r="AQ284" s="78"/>
      <c r="AR284" s="78"/>
      <c r="AS284" s="78"/>
    </row>
    <row r="285" spans="2:45" s="905" customFormat="1" x14ac:dyDescent="0.2">
      <c r="B285" s="600" t="s">
        <v>5041</v>
      </c>
      <c r="C285" s="1352"/>
      <c r="D285" s="1352"/>
      <c r="E285" s="1352"/>
      <c r="F285" s="1352"/>
      <c r="I285" s="590"/>
      <c r="J285" s="1068"/>
      <c r="K285" s="1068"/>
      <c r="L285" s="1687"/>
      <c r="W285" s="991"/>
      <c r="X285" s="991"/>
      <c r="AL285" s="78"/>
      <c r="AM285" s="78"/>
      <c r="AN285" s="78"/>
      <c r="AO285" s="78"/>
      <c r="AP285" s="78"/>
      <c r="AQ285" s="78"/>
      <c r="AR285" s="78"/>
      <c r="AS285" s="78"/>
    </row>
    <row r="286" spans="2:45" s="905" customFormat="1" x14ac:dyDescent="0.2">
      <c r="B286" s="600" t="s">
        <v>5041</v>
      </c>
      <c r="C286" s="1352"/>
      <c r="D286" s="1352"/>
      <c r="E286" s="1352"/>
      <c r="F286" s="1352"/>
      <c r="I286" s="590"/>
      <c r="J286" s="1068"/>
      <c r="K286" s="1068"/>
      <c r="L286" s="1687"/>
      <c r="W286" s="991"/>
      <c r="X286" s="991"/>
      <c r="AL286" s="78"/>
      <c r="AM286" s="78"/>
      <c r="AN286" s="78"/>
      <c r="AO286" s="78"/>
      <c r="AP286" s="78"/>
      <c r="AQ286" s="78"/>
      <c r="AR286" s="78"/>
      <c r="AS286" s="78"/>
    </row>
    <row r="287" spans="2:45" s="905" customFormat="1" x14ac:dyDescent="0.2">
      <c r="B287" s="600" t="s">
        <v>5041</v>
      </c>
      <c r="C287" s="1352"/>
      <c r="D287" s="1352"/>
      <c r="E287" s="1352"/>
      <c r="F287" s="1352"/>
      <c r="I287" s="590"/>
      <c r="J287" s="1068"/>
      <c r="K287" s="1068"/>
      <c r="L287" s="1687"/>
      <c r="W287" s="991"/>
      <c r="X287" s="991"/>
      <c r="AL287" s="78"/>
      <c r="AM287" s="78"/>
      <c r="AN287" s="78"/>
      <c r="AO287" s="78"/>
      <c r="AP287" s="78"/>
      <c r="AQ287" s="78"/>
      <c r="AR287" s="78"/>
      <c r="AS287" s="78"/>
    </row>
    <row r="288" spans="2:45" s="905" customFormat="1" x14ac:dyDescent="0.2">
      <c r="B288" s="600" t="s">
        <v>5041</v>
      </c>
      <c r="C288" s="1352"/>
      <c r="D288" s="1352"/>
      <c r="E288" s="1352"/>
      <c r="F288" s="1352"/>
      <c r="I288" s="590"/>
      <c r="J288" s="1068"/>
      <c r="K288" s="1068"/>
      <c r="L288" s="1687"/>
      <c r="W288" s="991"/>
      <c r="X288" s="991"/>
      <c r="AL288" s="78"/>
      <c r="AM288" s="78"/>
      <c r="AN288" s="78"/>
      <c r="AO288" s="78"/>
      <c r="AP288" s="78"/>
      <c r="AQ288" s="78"/>
      <c r="AR288" s="78"/>
      <c r="AS288" s="78"/>
    </row>
    <row r="289" spans="2:51" s="905" customFormat="1" x14ac:dyDescent="0.2">
      <c r="B289" s="600" t="s">
        <v>5042</v>
      </c>
      <c r="C289" s="1352"/>
      <c r="D289" s="1352"/>
      <c r="E289" s="1352"/>
      <c r="F289" s="1352"/>
      <c r="I289" s="608" t="s">
        <v>5047</v>
      </c>
      <c r="J289" s="1073"/>
      <c r="K289" s="1073"/>
      <c r="L289" s="1686" t="s">
        <v>5057</v>
      </c>
      <c r="W289" s="991"/>
      <c r="X289" s="991"/>
      <c r="AL289" s="78"/>
      <c r="AM289" s="78"/>
      <c r="AN289" s="78"/>
      <c r="AO289" s="78"/>
      <c r="AP289" s="78"/>
      <c r="AQ289" s="78"/>
      <c r="AR289" s="78"/>
      <c r="AS289" s="78"/>
    </row>
    <row r="290" spans="2:51" s="905" customFormat="1" x14ac:dyDescent="0.2">
      <c r="B290" s="600" t="s">
        <v>5042</v>
      </c>
      <c r="C290" s="1352"/>
      <c r="D290" s="1352"/>
      <c r="E290" s="1352"/>
      <c r="F290" s="1352"/>
      <c r="I290" s="590"/>
      <c r="J290" s="1068"/>
      <c r="K290" s="1068"/>
      <c r="L290" s="1687"/>
      <c r="W290" s="991"/>
      <c r="X290" s="991"/>
      <c r="AL290" s="78"/>
      <c r="AM290" s="78"/>
      <c r="AN290" s="78"/>
      <c r="AO290" s="78"/>
      <c r="AP290" s="78"/>
      <c r="AQ290" s="78"/>
      <c r="AR290" s="78"/>
      <c r="AS290" s="78"/>
    </row>
    <row r="291" spans="2:51" s="905" customFormat="1" x14ac:dyDescent="0.2">
      <c r="B291" s="600" t="s">
        <v>5043</v>
      </c>
      <c r="C291" s="1352"/>
      <c r="D291" s="1352"/>
      <c r="E291" s="1352"/>
      <c r="F291" s="1352"/>
      <c r="I291" s="608" t="s">
        <v>5046</v>
      </c>
      <c r="J291" s="1073"/>
      <c r="K291" s="1073"/>
      <c r="L291" s="1686" t="s">
        <v>5058</v>
      </c>
      <c r="W291" s="991"/>
      <c r="X291" s="991"/>
      <c r="AL291" s="78"/>
      <c r="AM291" s="78"/>
      <c r="AN291" s="78"/>
      <c r="AO291" s="78"/>
      <c r="AP291" s="78"/>
      <c r="AQ291" s="78"/>
      <c r="AR291" s="78"/>
      <c r="AS291" s="78"/>
    </row>
    <row r="292" spans="2:51" s="905" customFormat="1" x14ac:dyDescent="0.2">
      <c r="B292" s="600" t="s">
        <v>5043</v>
      </c>
      <c r="C292" s="1352"/>
      <c r="D292" s="1352"/>
      <c r="E292" s="1352"/>
      <c r="F292" s="1352"/>
      <c r="I292" s="590"/>
      <c r="J292" s="1068"/>
      <c r="K292" s="1068"/>
      <c r="L292" s="1687"/>
      <c r="W292" s="991"/>
      <c r="X292" s="991"/>
      <c r="AL292" s="78"/>
      <c r="AM292" s="78"/>
      <c r="AN292" s="78"/>
      <c r="AO292" s="78"/>
      <c r="AP292" s="78"/>
      <c r="AQ292" s="78"/>
      <c r="AR292" s="78"/>
      <c r="AS292" s="78"/>
    </row>
    <row r="293" spans="2:51" s="905" customFormat="1" x14ac:dyDescent="0.2">
      <c r="B293" s="600" t="s">
        <v>5043</v>
      </c>
      <c r="C293" s="1352"/>
      <c r="D293" s="1352"/>
      <c r="E293" s="1352"/>
      <c r="F293" s="1352"/>
      <c r="I293" s="590"/>
      <c r="J293" s="1068"/>
      <c r="K293" s="1068"/>
      <c r="L293" s="1687"/>
      <c r="W293" s="991"/>
      <c r="X293" s="991"/>
      <c r="AL293" s="78"/>
      <c r="AM293" s="78"/>
      <c r="AN293" s="78"/>
      <c r="AO293" s="78"/>
      <c r="AP293" s="78"/>
      <c r="AQ293" s="78"/>
      <c r="AR293" s="78"/>
      <c r="AS293" s="78"/>
    </row>
    <row r="294" spans="2:51" s="905" customFormat="1" x14ac:dyDescent="0.2">
      <c r="B294" s="600" t="s">
        <v>5043</v>
      </c>
      <c r="C294" s="1352"/>
      <c r="D294" s="1352"/>
      <c r="E294" s="1352"/>
      <c r="F294" s="1352"/>
      <c r="I294" s="590"/>
      <c r="J294" s="1068"/>
      <c r="K294" s="1068"/>
      <c r="L294" s="1687"/>
      <c r="W294" s="991"/>
      <c r="X294" s="991"/>
      <c r="AL294" s="78"/>
      <c r="AM294" s="78"/>
      <c r="AN294" s="78"/>
      <c r="AO294" s="78"/>
      <c r="AP294" s="78"/>
      <c r="AQ294" s="78"/>
      <c r="AR294" s="78"/>
      <c r="AS294" s="78"/>
    </row>
    <row r="295" spans="2:51" s="905" customFormat="1" x14ac:dyDescent="0.2">
      <c r="B295" s="600" t="s">
        <v>5044</v>
      </c>
      <c r="C295" s="1352"/>
      <c r="D295" s="1352"/>
      <c r="E295" s="1352"/>
      <c r="F295" s="1352"/>
      <c r="I295" s="608" t="s">
        <v>5045</v>
      </c>
      <c r="J295" s="1073"/>
      <c r="K295" s="1073"/>
      <c r="L295" s="1686" t="s">
        <v>5059</v>
      </c>
      <c r="W295" s="991"/>
      <c r="X295" s="991"/>
      <c r="AL295" s="78"/>
      <c r="AM295" s="78"/>
      <c r="AN295" s="78"/>
      <c r="AO295" s="78"/>
      <c r="AP295" s="78"/>
      <c r="AQ295" s="78"/>
      <c r="AR295" s="78"/>
      <c r="AS295" s="78"/>
    </row>
    <row r="296" spans="2:51" s="905" customFormat="1" x14ac:dyDescent="0.2">
      <c r="B296" s="600" t="s">
        <v>5044</v>
      </c>
      <c r="C296" s="1352"/>
      <c r="D296" s="1352"/>
      <c r="E296" s="1352"/>
      <c r="F296" s="1352"/>
      <c r="I296" s="590"/>
      <c r="J296" s="1068"/>
      <c r="K296" s="1068"/>
      <c r="L296" s="1687"/>
      <c r="W296" s="991"/>
      <c r="X296" s="991"/>
      <c r="AL296" s="78"/>
      <c r="AM296" s="78"/>
      <c r="AN296" s="78"/>
      <c r="AO296" s="78"/>
      <c r="AP296" s="78"/>
      <c r="AQ296" s="78"/>
      <c r="AR296" s="78"/>
      <c r="AS296" s="78"/>
    </row>
    <row r="297" spans="2:51" s="905" customFormat="1" x14ac:dyDescent="0.2">
      <c r="B297" s="600" t="s">
        <v>5044</v>
      </c>
      <c r="C297" s="1352"/>
      <c r="D297" s="1352"/>
      <c r="E297" s="1352"/>
      <c r="F297" s="1352"/>
      <c r="I297" s="590"/>
      <c r="J297" s="1068"/>
      <c r="K297" s="1068"/>
      <c r="L297" s="1687"/>
      <c r="W297" s="991"/>
      <c r="X297" s="991"/>
      <c r="AL297" s="78"/>
      <c r="AM297" s="78"/>
      <c r="AN297" s="78"/>
      <c r="AO297" s="78"/>
      <c r="AP297" s="78"/>
      <c r="AQ297" s="78"/>
      <c r="AR297" s="78"/>
      <c r="AS297" s="78"/>
    </row>
    <row r="298" spans="2:51" s="905" customFormat="1" x14ac:dyDescent="0.2">
      <c r="B298" s="600" t="s">
        <v>4958</v>
      </c>
      <c r="C298" s="1352"/>
      <c r="D298" s="1352"/>
      <c r="E298" s="1352"/>
      <c r="F298" s="1352"/>
      <c r="I298" s="608" t="s">
        <v>4883</v>
      </c>
      <c r="J298" s="1073"/>
      <c r="K298" s="1073"/>
      <c r="L298" s="1686" t="s">
        <v>5060</v>
      </c>
      <c r="M298" s="195"/>
      <c r="N298" s="195"/>
      <c r="O298" s="195"/>
      <c r="P298" s="195"/>
      <c r="Q298" s="195"/>
      <c r="R298" s="195"/>
      <c r="S298" s="195"/>
      <c r="T298" s="195"/>
      <c r="U298" s="195"/>
      <c r="V298" s="195"/>
      <c r="W298" s="195"/>
      <c r="X298" s="195"/>
      <c r="AL298" s="78"/>
      <c r="AM298" s="78"/>
      <c r="AN298" s="78"/>
      <c r="AO298" s="78"/>
      <c r="AP298" s="78"/>
      <c r="AQ298" s="78"/>
      <c r="AR298" s="78"/>
      <c r="AS298" s="78"/>
    </row>
    <row r="299" spans="2:51" s="905" customFormat="1" x14ac:dyDescent="0.2">
      <c r="B299" s="600" t="s">
        <v>4958</v>
      </c>
      <c r="C299" s="1352"/>
      <c r="D299" s="1352"/>
      <c r="E299" s="1352"/>
      <c r="F299" s="1352"/>
      <c r="I299" s="590"/>
      <c r="J299" s="1068"/>
      <c r="K299" s="1068"/>
      <c r="L299" s="1687"/>
      <c r="M299" s="991"/>
      <c r="N299" s="991"/>
      <c r="O299" s="991"/>
      <c r="P299" s="991"/>
      <c r="Q299" s="991"/>
      <c r="R299" s="991"/>
      <c r="S299" s="991"/>
      <c r="T299" s="991"/>
      <c r="U299" s="991"/>
      <c r="V299" s="991"/>
      <c r="W299" s="991" t="s">
        <v>4898</v>
      </c>
      <c r="X299" s="991"/>
      <c r="AL299" s="78"/>
      <c r="AM299" s="78"/>
      <c r="AN299" s="78"/>
      <c r="AO299" s="78"/>
      <c r="AP299" s="78"/>
      <c r="AQ299" s="78"/>
      <c r="AR299" s="78"/>
      <c r="AS299" s="78"/>
    </row>
    <row r="300" spans="2:51" s="905" customFormat="1" x14ac:dyDescent="0.2">
      <c r="B300" s="600" t="s">
        <v>4958</v>
      </c>
      <c r="C300" s="1352"/>
      <c r="D300" s="1352"/>
      <c r="E300" s="1352"/>
      <c r="F300" s="1352"/>
      <c r="I300" s="590"/>
      <c r="J300" s="1068"/>
      <c r="K300" s="1068"/>
      <c r="L300" s="1687"/>
      <c r="M300" s="991"/>
      <c r="N300" s="991"/>
      <c r="O300" s="991"/>
      <c r="P300" s="991" t="b">
        <v>1</v>
      </c>
      <c r="Q300" s="991" t="b">
        <v>1</v>
      </c>
      <c r="R300" s="991" t="b">
        <v>0</v>
      </c>
      <c r="S300" s="991" t="b">
        <f ca="1">IFERROR(MATCH(W251,INDIRECT(U251),0)=4,FALSE)</f>
        <v>0</v>
      </c>
      <c r="T300" s="991" t="b">
        <v>0</v>
      </c>
      <c r="U300" s="991"/>
      <c r="V300" s="991"/>
      <c r="W300" s="333"/>
      <c r="X300" s="991"/>
      <c r="AC300" s="905" t="b">
        <f>OR(AD300:AE300)</f>
        <v>0</v>
      </c>
      <c r="AD300" s="905" t="b">
        <f>T300</f>
        <v>0</v>
      </c>
      <c r="AE300" s="905" t="b">
        <f>AND(R300,NOT(W300))</f>
        <v>0</v>
      </c>
      <c r="AL300" s="78"/>
      <c r="AM300" s="78"/>
      <c r="AN300" s="78"/>
      <c r="AO300" s="78"/>
      <c r="AP300" s="1352" t="str">
        <f>SUBSTITUTE(SUBSTITUTE(SUBSTITUTE("dch"&amp;$B300&amp;$C300&amp;$D300&amp;$E300,".","_"),"(","_"),")","")</f>
        <v>dch902_3_2</v>
      </c>
      <c r="AQ300" s="1352" t="str">
        <f>IF(LEN(W300)=0,"",W300)</f>
        <v/>
      </c>
      <c r="AR300" s="78"/>
      <c r="AS300" s="78"/>
    </row>
    <row r="301" spans="2:51" s="905" customFormat="1" x14ac:dyDescent="0.2">
      <c r="B301" s="600" t="s">
        <v>4958</v>
      </c>
      <c r="C301" s="1352"/>
      <c r="D301" s="1352"/>
      <c r="E301" s="1352"/>
      <c r="F301" s="1352"/>
      <c r="I301" s="590"/>
      <c r="J301" s="1068"/>
      <c r="K301" s="1068"/>
      <c r="L301" s="1687"/>
      <c r="M301" s="991"/>
      <c r="N301" s="991"/>
      <c r="O301" s="991"/>
      <c r="P301" s="991"/>
      <c r="Q301" s="991"/>
      <c r="R301" s="991"/>
      <c r="S301" s="991"/>
      <c r="T301" s="991"/>
      <c r="U301" s="991"/>
      <c r="V301" s="991"/>
      <c r="W301" s="991"/>
      <c r="X301" s="991"/>
      <c r="AL301" s="78"/>
      <c r="AM301" s="78"/>
      <c r="AN301" s="78"/>
      <c r="AO301" s="78"/>
      <c r="AP301" s="78"/>
      <c r="AQ301" s="78"/>
      <c r="AR301" s="78"/>
      <c r="AS301" s="78"/>
    </row>
    <row r="302" spans="2:51" s="905" customFormat="1" x14ac:dyDescent="0.2">
      <c r="B302" s="600" t="s">
        <v>4958</v>
      </c>
      <c r="C302" s="23" t="s">
        <v>254</v>
      </c>
      <c r="F302" s="1352"/>
      <c r="I302" s="589"/>
      <c r="J302" s="873" t="s">
        <v>254</v>
      </c>
      <c r="K302" s="873"/>
      <c r="L302" s="1634" t="s">
        <v>4995</v>
      </c>
      <c r="M302" s="1769">
        <v>8</v>
      </c>
      <c r="O302" s="1644">
        <f ca="1">M302*S302*W302</f>
        <v>0</v>
      </c>
      <c r="P302" s="905" t="b">
        <v>0</v>
      </c>
      <c r="Q302" s="905" t="b">
        <v>1</v>
      </c>
      <c r="R302" s="905" t="b">
        <f ca="1">AND(S302, NOT(W300=TRUE), BE16=1)</f>
        <v>0</v>
      </c>
      <c r="S302" s="905" t="b">
        <f ca="1">IFERROR(MATCH(W251,INDIRECT(U251),0)=4,FALSE)</f>
        <v>0</v>
      </c>
      <c r="T302" s="905" t="b">
        <v>0</v>
      </c>
      <c r="W302" s="27"/>
      <c r="X302" s="1600"/>
      <c r="AC302" s="905" t="b">
        <f ca="1">OR(AD302:AE302)</f>
        <v>0</v>
      </c>
      <c r="AD302" s="905" t="b">
        <f>T302</f>
        <v>0</v>
      </c>
      <c r="AE302" s="905" t="b">
        <f ca="1">AND(R302,NOT(W302))</f>
        <v>0</v>
      </c>
      <c r="AL302" s="1352" t="str">
        <f>SUBSTITUTE(SUBSTITUTE(SUBSTITUTE("dpa"&amp;$B302&amp;$C302&amp;$D302&amp;$E302,".","_"),"(","_"),")","")</f>
        <v>dpa902_3_2_1</v>
      </c>
      <c r="AM302" s="1352">
        <f>M302</f>
        <v>8</v>
      </c>
      <c r="AN302" s="1352" t="str">
        <f>SUBSTITUTE(SUBSTITUTE(SUBSTITUTE("dpc"&amp;$B302&amp;$C302&amp;$D302&amp;$E302,".","_"),"(","_"),")","")</f>
        <v>dpc902_3_2_1</v>
      </c>
      <c r="AO302" s="1352">
        <f ca="1">O302</f>
        <v>0</v>
      </c>
      <c r="AP302" s="1352" t="str">
        <f>SUBSTITUTE(SUBSTITUTE(SUBSTITUTE("dch"&amp;$B302&amp;$C302&amp;$D302&amp;$E302,".","_"),"(","_"),")","")</f>
        <v>dch902_3_2_1</v>
      </c>
      <c r="AQ302" s="1352" t="str">
        <f>IF(LEN(W302)=0,"",W302)</f>
        <v/>
      </c>
      <c r="AR302" s="1352" t="str">
        <f>SUBSTITUTE(SUBSTITUTE(SUBSTITUTE("dnt"&amp;$B302&amp;$C302&amp;$D302&amp;$E302,".","_"),"(","_"),")","")</f>
        <v>dnt902_3_2_1</v>
      </c>
      <c r="AS302" s="1352" t="str">
        <f>IF(LEN(X302)=0,"",X302)</f>
        <v/>
      </c>
      <c r="AX302" s="1168"/>
      <c r="AY302" s="1168"/>
    </row>
    <row r="303" spans="2:51" s="1168" customFormat="1" x14ac:dyDescent="0.2">
      <c r="B303" s="600" t="s">
        <v>4958</v>
      </c>
      <c r="C303" s="23" t="s">
        <v>254</v>
      </c>
      <c r="F303" s="1352"/>
      <c r="I303" s="589"/>
      <c r="J303" s="873"/>
      <c r="K303" s="873"/>
      <c r="L303" s="1634"/>
      <c r="M303" s="1769"/>
      <c r="O303" s="1644"/>
      <c r="W303"/>
      <c r="X303" s="1600"/>
      <c r="AL303" s="78"/>
      <c r="AM303" s="78"/>
      <c r="AN303" s="78"/>
      <c r="AO303" s="78"/>
      <c r="AP303" s="78"/>
      <c r="AQ303" s="78"/>
      <c r="AR303" s="78"/>
      <c r="AS303" s="78"/>
      <c r="AX303" s="905"/>
      <c r="AY303" s="905"/>
    </row>
    <row r="304" spans="2:51" s="905" customFormat="1" x14ac:dyDescent="0.2">
      <c r="B304" s="600" t="s">
        <v>4958</v>
      </c>
      <c r="C304" s="23" t="s">
        <v>254</v>
      </c>
      <c r="D304" s="905" t="s">
        <v>121</v>
      </c>
      <c r="F304" s="1352"/>
      <c r="I304" s="589"/>
      <c r="J304" s="873"/>
      <c r="K304" s="873" t="s">
        <v>121</v>
      </c>
      <c r="L304" s="917" t="s">
        <v>4887</v>
      </c>
      <c r="W304" s="991"/>
      <c r="X304" s="1600"/>
      <c r="AL304" s="78"/>
      <c r="AM304" s="78"/>
      <c r="AN304" s="78"/>
      <c r="AO304" s="78"/>
      <c r="AP304" s="78"/>
      <c r="AQ304" s="78"/>
      <c r="AR304" s="78"/>
      <c r="AS304" s="78"/>
    </row>
    <row r="305" spans="2:45" s="905" customFormat="1" x14ac:dyDescent="0.2">
      <c r="B305" s="600" t="s">
        <v>4958</v>
      </c>
      <c r="C305" s="23" t="s">
        <v>254</v>
      </c>
      <c r="D305" s="905" t="s">
        <v>122</v>
      </c>
      <c r="F305" s="1352"/>
      <c r="I305" s="589"/>
      <c r="J305" s="873"/>
      <c r="K305" s="873" t="s">
        <v>122</v>
      </c>
      <c r="L305" s="1634" t="s">
        <v>4888</v>
      </c>
      <c r="W305" s="991"/>
      <c r="X305" s="1600"/>
      <c r="AL305" s="78"/>
      <c r="AM305" s="78"/>
      <c r="AN305" s="78"/>
      <c r="AO305" s="78"/>
      <c r="AP305" s="78"/>
      <c r="AQ305" s="78"/>
      <c r="AR305" s="78"/>
      <c r="AS305" s="78"/>
    </row>
    <row r="306" spans="2:45" s="905" customFormat="1" x14ac:dyDescent="0.2">
      <c r="B306" s="600" t="s">
        <v>4958</v>
      </c>
      <c r="C306" s="23" t="s">
        <v>254</v>
      </c>
      <c r="D306" s="905" t="s">
        <v>122</v>
      </c>
      <c r="F306" s="1352"/>
      <c r="I306" s="589"/>
      <c r="J306" s="873"/>
      <c r="K306" s="873"/>
      <c r="L306" s="1634"/>
      <c r="W306" s="991"/>
      <c r="X306" s="1600"/>
      <c r="AL306" s="78"/>
      <c r="AM306" s="78"/>
      <c r="AN306" s="78"/>
      <c r="AO306" s="78"/>
      <c r="AP306" s="78"/>
      <c r="AQ306" s="78"/>
      <c r="AR306" s="78"/>
      <c r="AS306" s="78"/>
    </row>
    <row r="307" spans="2:45" s="905" customFormat="1" x14ac:dyDescent="0.2">
      <c r="B307" s="600" t="s">
        <v>4958</v>
      </c>
      <c r="C307" s="23" t="s">
        <v>254</v>
      </c>
      <c r="D307" s="905" t="s">
        <v>123</v>
      </c>
      <c r="F307" s="1352"/>
      <c r="I307" s="589"/>
      <c r="J307" s="873"/>
      <c r="K307" s="873" t="s">
        <v>123</v>
      </c>
      <c r="L307" s="1634" t="s">
        <v>4889</v>
      </c>
      <c r="W307" s="991"/>
      <c r="X307" s="1600"/>
      <c r="AL307" s="78"/>
      <c r="AM307" s="78"/>
      <c r="AN307" s="78"/>
      <c r="AO307" s="78"/>
      <c r="AP307" s="78"/>
      <c r="AQ307" s="78"/>
      <c r="AR307" s="78"/>
      <c r="AS307" s="78"/>
    </row>
    <row r="308" spans="2:45" s="905" customFormat="1" x14ac:dyDescent="0.2">
      <c r="B308" s="600" t="s">
        <v>4958</v>
      </c>
      <c r="C308" s="23" t="s">
        <v>254</v>
      </c>
      <c r="D308" s="905" t="s">
        <v>123</v>
      </c>
      <c r="F308" s="1352"/>
      <c r="I308" s="589"/>
      <c r="J308" s="873"/>
      <c r="K308" s="873"/>
      <c r="L308" s="1634"/>
      <c r="W308" s="991"/>
      <c r="X308" s="1600"/>
      <c r="AL308" s="78"/>
      <c r="AM308" s="78"/>
      <c r="AN308" s="78"/>
      <c r="AO308" s="78"/>
      <c r="AP308" s="78"/>
      <c r="AQ308" s="78"/>
      <c r="AR308" s="78"/>
      <c r="AS308" s="78"/>
    </row>
    <row r="309" spans="2:45" s="905" customFormat="1" x14ac:dyDescent="0.2">
      <c r="B309" s="600" t="s">
        <v>4958</v>
      </c>
      <c r="C309" s="23" t="s">
        <v>254</v>
      </c>
      <c r="D309" s="905" t="s">
        <v>366</v>
      </c>
      <c r="F309" s="1352"/>
      <c r="I309" s="589"/>
      <c r="J309" s="873"/>
      <c r="K309" s="873" t="s">
        <v>366</v>
      </c>
      <c r="L309" s="1634" t="s">
        <v>4890</v>
      </c>
      <c r="W309" s="991"/>
      <c r="X309" s="1600"/>
      <c r="AL309" s="78"/>
      <c r="AM309" s="78"/>
      <c r="AN309" s="78"/>
      <c r="AO309" s="78"/>
      <c r="AP309" s="78"/>
      <c r="AQ309" s="78"/>
      <c r="AR309" s="78"/>
      <c r="AS309" s="78"/>
    </row>
    <row r="310" spans="2:45" s="905" customFormat="1" x14ac:dyDescent="0.2">
      <c r="B310" s="600" t="s">
        <v>4958</v>
      </c>
      <c r="C310" s="23" t="s">
        <v>254</v>
      </c>
      <c r="D310" s="905" t="s">
        <v>366</v>
      </c>
      <c r="F310" s="1352"/>
      <c r="I310" s="589"/>
      <c r="J310" s="873"/>
      <c r="K310" s="873"/>
      <c r="L310" s="1634"/>
      <c r="W310" s="991"/>
      <c r="X310" s="1600"/>
      <c r="AL310" s="78"/>
      <c r="AM310" s="78"/>
      <c r="AN310" s="78"/>
      <c r="AO310" s="78"/>
      <c r="AP310" s="78"/>
      <c r="AQ310" s="78"/>
      <c r="AR310" s="78"/>
      <c r="AS310" s="78"/>
    </row>
    <row r="311" spans="2:45" s="905" customFormat="1" x14ac:dyDescent="0.2">
      <c r="B311" s="600" t="s">
        <v>4958</v>
      </c>
      <c r="C311" s="23" t="s">
        <v>254</v>
      </c>
      <c r="D311" s="905" t="s">
        <v>472</v>
      </c>
      <c r="F311" s="1352"/>
      <c r="I311" s="589"/>
      <c r="J311" s="873"/>
      <c r="K311" s="873" t="s">
        <v>472</v>
      </c>
      <c r="L311" s="1634" t="s">
        <v>4891</v>
      </c>
      <c r="W311" s="991"/>
      <c r="X311" s="1600"/>
      <c r="AL311" s="78"/>
      <c r="AM311" s="78"/>
      <c r="AN311" s="78"/>
      <c r="AO311" s="78"/>
      <c r="AP311" s="78"/>
      <c r="AQ311" s="78"/>
      <c r="AR311" s="78"/>
      <c r="AS311" s="78"/>
    </row>
    <row r="312" spans="2:45" s="905" customFormat="1" x14ac:dyDescent="0.2">
      <c r="B312" s="600" t="s">
        <v>4958</v>
      </c>
      <c r="C312" s="23" t="s">
        <v>254</v>
      </c>
      <c r="D312" s="905" t="s">
        <v>472</v>
      </c>
      <c r="F312" s="1352"/>
      <c r="I312" s="589"/>
      <c r="J312" s="873"/>
      <c r="K312" s="873"/>
      <c r="L312" s="1634"/>
      <c r="W312" s="991"/>
      <c r="X312" s="1600"/>
      <c r="AL312" s="78"/>
      <c r="AM312" s="78"/>
      <c r="AN312" s="78"/>
      <c r="AO312" s="78"/>
      <c r="AP312" s="78"/>
      <c r="AQ312" s="78"/>
      <c r="AR312" s="78"/>
      <c r="AS312" s="78"/>
    </row>
    <row r="313" spans="2:45" s="905" customFormat="1" x14ac:dyDescent="0.2">
      <c r="B313" s="600" t="s">
        <v>4958</v>
      </c>
      <c r="C313" s="23" t="s">
        <v>254</v>
      </c>
      <c r="D313" s="905" t="s">
        <v>472</v>
      </c>
      <c r="F313" s="1352"/>
      <c r="I313" s="589"/>
      <c r="J313" s="873"/>
      <c r="K313" s="873"/>
      <c r="L313" s="1634"/>
      <c r="W313" s="991"/>
      <c r="X313" s="1600"/>
      <c r="AL313" s="78"/>
      <c r="AM313" s="78"/>
      <c r="AN313" s="78"/>
      <c r="AO313" s="78"/>
      <c r="AP313" s="78"/>
      <c r="AQ313" s="78"/>
      <c r="AR313" s="78"/>
      <c r="AS313" s="78"/>
    </row>
    <row r="314" spans="2:45" s="905" customFormat="1" x14ac:dyDescent="0.2">
      <c r="B314" s="600" t="s">
        <v>4958</v>
      </c>
      <c r="C314" s="23" t="s">
        <v>254</v>
      </c>
      <c r="D314" s="905" t="s">
        <v>510</v>
      </c>
      <c r="F314" s="1352"/>
      <c r="I314" s="589"/>
      <c r="J314" s="873"/>
      <c r="K314" s="873" t="s">
        <v>510</v>
      </c>
      <c r="L314" s="1634" t="s">
        <v>4892</v>
      </c>
      <c r="W314" s="991"/>
      <c r="X314" s="1600"/>
      <c r="AL314" s="78"/>
      <c r="AM314" s="78"/>
      <c r="AN314" s="78"/>
      <c r="AO314" s="78"/>
      <c r="AP314" s="78"/>
      <c r="AQ314" s="78"/>
      <c r="AR314" s="78"/>
      <c r="AS314" s="78"/>
    </row>
    <row r="315" spans="2:45" s="905" customFormat="1" x14ac:dyDescent="0.2">
      <c r="B315" s="600" t="s">
        <v>4958</v>
      </c>
      <c r="C315" s="23" t="s">
        <v>254</v>
      </c>
      <c r="D315" s="905" t="s">
        <v>510</v>
      </c>
      <c r="F315" s="1352"/>
      <c r="I315" s="589"/>
      <c r="J315" s="873"/>
      <c r="K315" s="873"/>
      <c r="L315" s="1634"/>
      <c r="W315" s="991"/>
      <c r="X315" s="1600"/>
      <c r="AL315" s="78"/>
      <c r="AM315" s="78"/>
      <c r="AN315" s="78"/>
      <c r="AO315" s="78"/>
      <c r="AP315" s="78"/>
      <c r="AQ315" s="78"/>
      <c r="AR315" s="78"/>
      <c r="AS315" s="78"/>
    </row>
    <row r="316" spans="2:45" s="905" customFormat="1" x14ac:dyDescent="0.2">
      <c r="B316" s="600" t="s">
        <v>4958</v>
      </c>
      <c r="C316" s="23" t="s">
        <v>254</v>
      </c>
      <c r="D316" s="905" t="s">
        <v>512</v>
      </c>
      <c r="F316" s="1352"/>
      <c r="I316" s="589"/>
      <c r="J316" s="873"/>
      <c r="K316" s="873" t="s">
        <v>512</v>
      </c>
      <c r="L316" s="1634" t="s">
        <v>4893</v>
      </c>
      <c r="W316" s="991"/>
      <c r="X316" s="1600"/>
      <c r="AL316" s="78"/>
      <c r="AM316" s="78"/>
      <c r="AN316" s="78"/>
      <c r="AO316" s="78"/>
      <c r="AP316" s="78"/>
      <c r="AQ316" s="78"/>
      <c r="AR316" s="78"/>
      <c r="AS316" s="78"/>
    </row>
    <row r="317" spans="2:45" s="905" customFormat="1" x14ac:dyDescent="0.2">
      <c r="B317" s="600" t="s">
        <v>4958</v>
      </c>
      <c r="C317" s="23" t="s">
        <v>254</v>
      </c>
      <c r="D317" s="905" t="s">
        <v>512</v>
      </c>
      <c r="F317" s="1352"/>
      <c r="I317" s="589"/>
      <c r="J317" s="873"/>
      <c r="K317" s="873"/>
      <c r="L317" s="1634"/>
      <c r="W317" s="991"/>
      <c r="X317" s="1600"/>
      <c r="AL317" s="78"/>
      <c r="AM317" s="78"/>
      <c r="AN317" s="78"/>
      <c r="AO317" s="78"/>
      <c r="AP317" s="78"/>
      <c r="AQ317" s="78"/>
      <c r="AR317" s="78"/>
      <c r="AS317" s="78"/>
    </row>
    <row r="318" spans="2:45" s="905" customFormat="1" x14ac:dyDescent="0.2">
      <c r="B318" s="600" t="s">
        <v>4958</v>
      </c>
      <c r="C318" s="23" t="s">
        <v>254</v>
      </c>
      <c r="D318" s="905" t="s">
        <v>514</v>
      </c>
      <c r="F318" s="1352"/>
      <c r="I318" s="589"/>
      <c r="J318" s="873"/>
      <c r="K318" s="873" t="s">
        <v>514</v>
      </c>
      <c r="L318" s="1634" t="s">
        <v>4894</v>
      </c>
      <c r="W318" s="991"/>
      <c r="X318" s="1600"/>
      <c r="AL318" s="78"/>
      <c r="AM318" s="78"/>
      <c r="AN318" s="78"/>
      <c r="AO318" s="78"/>
      <c r="AP318" s="78"/>
      <c r="AQ318" s="78"/>
      <c r="AR318" s="78"/>
      <c r="AS318" s="78"/>
    </row>
    <row r="319" spans="2:45" s="905" customFormat="1" x14ac:dyDescent="0.2">
      <c r="B319" s="600" t="s">
        <v>4958</v>
      </c>
      <c r="C319" s="23" t="s">
        <v>254</v>
      </c>
      <c r="D319" s="905" t="s">
        <v>514</v>
      </c>
      <c r="F319" s="1352"/>
      <c r="I319" s="589"/>
      <c r="J319" s="873"/>
      <c r="K319" s="873"/>
      <c r="L319" s="1634"/>
      <c r="W319" s="991"/>
      <c r="X319" s="1600"/>
      <c r="AL319" s="78"/>
      <c r="AM319" s="78"/>
      <c r="AN319" s="78"/>
      <c r="AO319" s="78"/>
      <c r="AP319" s="78"/>
      <c r="AQ319" s="78"/>
      <c r="AR319" s="78"/>
      <c r="AS319" s="78"/>
    </row>
    <row r="320" spans="2:45" s="905" customFormat="1" x14ac:dyDescent="0.2">
      <c r="B320" s="600" t="s">
        <v>4958</v>
      </c>
      <c r="C320" s="23" t="s">
        <v>254</v>
      </c>
      <c r="D320" s="905" t="s">
        <v>648</v>
      </c>
      <c r="F320" s="1352"/>
      <c r="I320" s="589"/>
      <c r="J320" s="873"/>
      <c r="K320" s="873" t="s">
        <v>648</v>
      </c>
      <c r="L320" s="1634" t="s">
        <v>4895</v>
      </c>
      <c r="W320" s="991"/>
      <c r="X320" s="1600"/>
      <c r="AL320" s="78"/>
      <c r="AM320" s="78"/>
      <c r="AN320" s="78"/>
      <c r="AO320" s="78"/>
      <c r="AP320" s="78"/>
      <c r="AQ320" s="78"/>
      <c r="AR320" s="78"/>
      <c r="AS320" s="78"/>
    </row>
    <row r="321" spans="1:51" s="905" customFormat="1" x14ac:dyDescent="0.2">
      <c r="B321" s="600" t="s">
        <v>4958</v>
      </c>
      <c r="C321" s="23" t="s">
        <v>254</v>
      </c>
      <c r="D321" s="905" t="s">
        <v>648</v>
      </c>
      <c r="F321" s="1352"/>
      <c r="I321" s="589"/>
      <c r="J321" s="873"/>
      <c r="K321" s="873"/>
      <c r="L321" s="1634"/>
      <c r="W321" s="991"/>
      <c r="X321" s="1600"/>
      <c r="AL321" s="78"/>
      <c r="AM321" s="78"/>
      <c r="AN321" s="78"/>
      <c r="AO321" s="78"/>
      <c r="AP321" s="78"/>
      <c r="AQ321" s="78"/>
      <c r="AR321" s="78"/>
      <c r="AS321" s="78"/>
    </row>
    <row r="322" spans="1:51" s="905" customFormat="1" x14ac:dyDescent="0.2">
      <c r="B322" s="600" t="s">
        <v>4958</v>
      </c>
      <c r="C322" s="23" t="s">
        <v>254</v>
      </c>
      <c r="D322" s="905" t="s">
        <v>648</v>
      </c>
      <c r="F322" s="1352"/>
      <c r="I322" s="589"/>
      <c r="J322" s="873"/>
      <c r="K322" s="873"/>
      <c r="L322" s="1634"/>
      <c r="W322" s="991"/>
      <c r="X322" s="1600"/>
      <c r="AL322" s="78"/>
      <c r="AM322" s="78"/>
      <c r="AN322" s="78"/>
      <c r="AO322" s="78"/>
      <c r="AP322" s="78"/>
      <c r="AQ322" s="78"/>
      <c r="AR322" s="78"/>
      <c r="AS322" s="78"/>
    </row>
    <row r="323" spans="1:51" s="905" customFormat="1" x14ac:dyDescent="0.2">
      <c r="B323" s="600" t="s">
        <v>4958</v>
      </c>
      <c r="C323" s="23" t="s">
        <v>254</v>
      </c>
      <c r="D323" s="905" t="s">
        <v>649</v>
      </c>
      <c r="F323" s="1352"/>
      <c r="I323" s="589"/>
      <c r="J323" s="873"/>
      <c r="K323" s="873" t="s">
        <v>649</v>
      </c>
      <c r="L323" s="1634" t="s">
        <v>4896</v>
      </c>
      <c r="W323" s="991"/>
      <c r="X323" s="1600"/>
      <c r="AL323" s="78"/>
      <c r="AM323" s="78"/>
      <c r="AN323" s="78"/>
      <c r="AO323" s="78"/>
      <c r="AP323" s="78"/>
      <c r="AQ323" s="78"/>
      <c r="AR323" s="78"/>
      <c r="AS323" s="78"/>
    </row>
    <row r="324" spans="1:51" s="905" customFormat="1" x14ac:dyDescent="0.2">
      <c r="B324" s="600" t="s">
        <v>4958</v>
      </c>
      <c r="C324" s="23" t="s">
        <v>254</v>
      </c>
      <c r="D324" s="905" t="s">
        <v>649</v>
      </c>
      <c r="F324" s="1352"/>
      <c r="I324" s="589"/>
      <c r="J324" s="873"/>
      <c r="K324" s="873"/>
      <c r="L324" s="1634"/>
      <c r="W324" s="991"/>
      <c r="X324" s="1600"/>
      <c r="AL324" s="78"/>
      <c r="AM324" s="78"/>
      <c r="AN324" s="78"/>
      <c r="AO324" s="78"/>
      <c r="AP324" s="78"/>
      <c r="AQ324" s="78"/>
      <c r="AR324" s="78"/>
      <c r="AS324" s="78"/>
    </row>
    <row r="325" spans="1:51" s="905" customFormat="1" x14ac:dyDescent="0.2">
      <c r="B325" s="600" t="s">
        <v>4958</v>
      </c>
      <c r="C325" s="23" t="s">
        <v>255</v>
      </c>
      <c r="F325" s="1352"/>
      <c r="I325" s="590"/>
      <c r="J325" s="1073" t="s">
        <v>255</v>
      </c>
      <c r="K325" s="1073"/>
      <c r="L325" s="1633" t="s">
        <v>5061</v>
      </c>
      <c r="M325" s="1769">
        <v>6</v>
      </c>
      <c r="O325" s="1644">
        <f ca="1">M325*S325*W325</f>
        <v>0</v>
      </c>
      <c r="P325" s="905" t="b">
        <v>0</v>
      </c>
      <c r="Q325" s="905" t="b">
        <v>1</v>
      </c>
      <c r="R325" s="1150" t="b">
        <f ca="1">AND(S325, NOT(W300=TRUE), BE16=1)</f>
        <v>0</v>
      </c>
      <c r="S325" s="1150" t="b">
        <f ca="1">IFERROR(MATCH(W251,INDIRECT(U251),0)=4,FALSE)</f>
        <v>0</v>
      </c>
      <c r="T325" s="905" t="b">
        <v>0</v>
      </c>
      <c r="W325" s="27"/>
      <c r="X325" s="1600"/>
      <c r="AC325" s="1150" t="b">
        <f ca="1">OR(AD325:AE325)</f>
        <v>0</v>
      </c>
      <c r="AD325" s="1150" t="b">
        <f>T325</f>
        <v>0</v>
      </c>
      <c r="AE325" s="1150" t="b">
        <f ca="1">AND(R325,NOT(W325))</f>
        <v>0</v>
      </c>
      <c r="AL325" s="1352" t="str">
        <f>SUBSTITUTE(SUBSTITUTE(SUBSTITUTE("dpa"&amp;$B325&amp;$C325&amp;$D325&amp;$E325,".","_"),"(","_"),")","")</f>
        <v>dpa902_3_2_2</v>
      </c>
      <c r="AM325" s="1352">
        <f>M325</f>
        <v>6</v>
      </c>
      <c r="AN325" s="1352" t="str">
        <f>SUBSTITUTE(SUBSTITUTE(SUBSTITUTE("dpc"&amp;$B325&amp;$C325&amp;$D325&amp;$E325,".","_"),"(","_"),")","")</f>
        <v>dpc902_3_2_2</v>
      </c>
      <c r="AO325" s="1352">
        <f ca="1">O325</f>
        <v>0</v>
      </c>
      <c r="AP325" s="1352" t="str">
        <f>SUBSTITUTE(SUBSTITUTE(SUBSTITUTE("dch"&amp;$B325&amp;$C325&amp;$D325&amp;$E325,".","_"),"(","_"),")","")</f>
        <v>dch902_3_2_2</v>
      </c>
      <c r="AQ325" s="1352" t="str">
        <f>IF(LEN(W325)=0,"",W325)</f>
        <v/>
      </c>
      <c r="AR325" s="1352" t="str">
        <f>SUBSTITUTE(SUBSTITUTE(SUBSTITUTE("dnt"&amp;$B325&amp;$C325&amp;$D325&amp;$E325,".","_"),"(","_"),")","")</f>
        <v>dnt902_3_2_2</v>
      </c>
      <c r="AS325" s="1352" t="str">
        <f>IF(LEN(X325)=0,"",X325)</f>
        <v/>
      </c>
    </row>
    <row r="326" spans="1:51" s="905" customFormat="1" ht="16" thickBot="1" x14ac:dyDescent="0.25">
      <c r="A326" s="20"/>
      <c r="B326" s="600" t="s">
        <v>4958</v>
      </c>
      <c r="C326" s="23" t="s">
        <v>255</v>
      </c>
      <c r="D326" s="23"/>
      <c r="E326" s="23"/>
      <c r="F326" s="23"/>
      <c r="G326" s="23"/>
      <c r="H326" s="691"/>
      <c r="I326" s="594"/>
      <c r="J326" s="1069"/>
      <c r="K326" s="1069"/>
      <c r="L326" s="1635"/>
      <c r="M326" s="1753"/>
      <c r="N326" s="239"/>
      <c r="O326" s="1645"/>
      <c r="P326" s="100"/>
      <c r="Q326" s="100"/>
      <c r="R326" s="100"/>
      <c r="S326" s="100"/>
      <c r="T326" s="100"/>
      <c r="U326" s="100"/>
      <c r="V326" s="100"/>
      <c r="W326" s="100"/>
      <c r="X326" s="1600"/>
      <c r="AL326" s="78"/>
      <c r="AM326" s="78"/>
      <c r="AN326" s="78"/>
      <c r="AO326" s="78"/>
      <c r="AP326" s="78"/>
      <c r="AQ326" s="78"/>
      <c r="AR326" s="78"/>
      <c r="AS326" s="78"/>
    </row>
    <row r="327" spans="1:51" ht="16" thickTop="1" x14ac:dyDescent="0.2">
      <c r="B327" s="600">
        <v>902.4</v>
      </c>
      <c r="C327" s="23"/>
      <c r="D327" s="23"/>
      <c r="E327" s="23"/>
      <c r="F327" s="23"/>
      <c r="G327" s="23"/>
      <c r="H327" s="691"/>
      <c r="I327" s="67" t="s">
        <v>3700</v>
      </c>
      <c r="J327" s="4"/>
      <c r="K327" s="4"/>
      <c r="L327" s="1631" t="s">
        <v>3723</v>
      </c>
      <c r="M327" s="1628">
        <v>3</v>
      </c>
      <c r="N327" s="4"/>
      <c r="O327" s="1669">
        <f>M327*S329*IFERROR(OR(W329,W331,W334),0)</f>
        <v>0</v>
      </c>
      <c r="AL327" s="1352" t="str">
        <f>SUBSTITUTE(SUBSTITUTE(SUBSTITUTE("dpa"&amp;$B327&amp;$C327&amp;$D327&amp;$E327,".","_"),"(","_"),")","")</f>
        <v>dpa902_4</v>
      </c>
      <c r="AM327" s="1352">
        <f>M327</f>
        <v>3</v>
      </c>
      <c r="AN327" s="1352" t="str">
        <f>SUBSTITUTE(SUBSTITUTE(SUBSTITUTE("dpc"&amp;$B327&amp;$C327&amp;$D327&amp;$E327,".","_"),"(","_"),")","")</f>
        <v>dpc902_4</v>
      </c>
      <c r="AO327" s="1352">
        <f>O327</f>
        <v>0</v>
      </c>
      <c r="AX327" s="905"/>
      <c r="AY327" s="905"/>
    </row>
    <row r="328" spans="1:51" x14ac:dyDescent="0.2">
      <c r="B328" s="600">
        <v>902.4</v>
      </c>
      <c r="C328" s="23"/>
      <c r="D328" s="23"/>
      <c r="E328" s="23"/>
      <c r="F328" s="23"/>
      <c r="G328" s="23"/>
      <c r="H328" s="691"/>
      <c r="I328" s="161"/>
      <c r="J328" s="4"/>
      <c r="K328" s="4"/>
      <c r="L328" s="1631"/>
      <c r="M328" s="1628"/>
      <c r="N328" s="4"/>
      <c r="O328" s="1669"/>
      <c r="AX328" s="905"/>
      <c r="AY328" s="905"/>
    </row>
    <row r="329" spans="1:51" x14ac:dyDescent="0.2">
      <c r="B329" s="600">
        <v>902.4</v>
      </c>
      <c r="C329" s="23" t="s">
        <v>254</v>
      </c>
      <c r="D329" s="23"/>
      <c r="E329" s="23"/>
      <c r="F329" s="23"/>
      <c r="G329" s="23"/>
      <c r="H329" s="691"/>
      <c r="I329" s="161"/>
      <c r="J329" s="180" t="s">
        <v>254</v>
      </c>
      <c r="K329" s="129"/>
      <c r="L329" s="1609" t="s">
        <v>2761</v>
      </c>
      <c r="M329" s="374"/>
      <c r="N329" s="4"/>
      <c r="O329" s="138"/>
      <c r="P329" s="96" t="b">
        <v>1</v>
      </c>
      <c r="Q329" s="96" t="b">
        <v>0</v>
      </c>
      <c r="R329" s="337" t="b">
        <v>0</v>
      </c>
      <c r="S329" s="337" t="b">
        <v>1</v>
      </c>
      <c r="T329" s="337" t="b">
        <v>0</v>
      </c>
      <c r="W329" s="27"/>
      <c r="X329" s="1600"/>
      <c r="AC329" s="343"/>
      <c r="AD329" s="343"/>
      <c r="AE329" s="343"/>
      <c r="AP329" s="1352" t="str">
        <f>SUBSTITUTE(SUBSTITUTE(SUBSTITUTE("dch"&amp;$B329&amp;$C329&amp;$D329&amp;$E329,".","_"),"(","_"),")","")</f>
        <v>dch902_4_1</v>
      </c>
      <c r="AQ329" s="1352" t="str">
        <f>IF(LEN(W329)=0,"",W329)</f>
        <v/>
      </c>
      <c r="AR329" s="1352" t="str">
        <f>SUBSTITUTE(SUBSTITUTE(SUBSTITUTE("dnt"&amp;$B329&amp;$C329&amp;$D329&amp;$E329,".","_"),"(","_"),")","")</f>
        <v>dnt902_4_1</v>
      </c>
      <c r="AS329" s="1352" t="str">
        <f>IF(LEN(X329)=0,"",X329)</f>
        <v/>
      </c>
    </row>
    <row r="330" spans="1:51" x14ac:dyDescent="0.2">
      <c r="B330" s="600">
        <v>902.4</v>
      </c>
      <c r="C330" s="23" t="s">
        <v>254</v>
      </c>
      <c r="D330" s="23"/>
      <c r="E330" s="23"/>
      <c r="F330" s="23"/>
      <c r="G330" s="23"/>
      <c r="H330" s="691"/>
      <c r="I330" s="161"/>
      <c r="J330" s="207"/>
      <c r="K330" s="213"/>
      <c r="L330" s="1612"/>
      <c r="M330" s="374"/>
      <c r="N330" s="4"/>
      <c r="O330" s="138"/>
      <c r="X330" s="1600"/>
    </row>
    <row r="331" spans="1:51" x14ac:dyDescent="0.2">
      <c r="B331" s="600">
        <v>902.4</v>
      </c>
      <c r="C331" s="23" t="s">
        <v>255</v>
      </c>
      <c r="D331" s="23"/>
      <c r="E331" s="23"/>
      <c r="F331" s="23"/>
      <c r="G331" s="23"/>
      <c r="H331" s="691"/>
      <c r="I331" s="406"/>
      <c r="J331" s="180" t="s">
        <v>255</v>
      </c>
      <c r="K331" s="129"/>
      <c r="L331" s="1609" t="s">
        <v>2762</v>
      </c>
      <c r="M331" s="913"/>
      <c r="N331" s="129"/>
      <c r="O331" s="908"/>
      <c r="P331" s="991" t="b">
        <v>0</v>
      </c>
      <c r="Q331" s="991" t="b">
        <v>1</v>
      </c>
      <c r="R331" s="991" t="b">
        <v>0</v>
      </c>
      <c r="S331" s="991" t="b">
        <v>1</v>
      </c>
      <c r="T331" s="991" t="b">
        <v>0</v>
      </c>
      <c r="U331" s="991"/>
      <c r="V331" s="991"/>
      <c r="W331" s="333"/>
      <c r="X331" s="1601"/>
      <c r="AC331" s="343"/>
      <c r="AD331" s="343"/>
      <c r="AE331" s="343"/>
      <c r="AP331" s="1352" t="str">
        <f>SUBSTITUTE(SUBSTITUTE(SUBSTITUTE("dch"&amp;$B331&amp;$C331&amp;$D331&amp;$E331,".","_"),"(","_"),")","")</f>
        <v>dch902_4_2</v>
      </c>
      <c r="AQ331" s="1352" t="str">
        <f>IF(LEN(W331)=0,"",W331)</f>
        <v/>
      </c>
      <c r="AR331" s="1352" t="str">
        <f>SUBSTITUTE(SUBSTITUTE(SUBSTITUTE("dnt"&amp;$B331&amp;$C331&amp;$D331&amp;$E331,".","_"),"(","_"),")","")</f>
        <v>dnt902_4_2</v>
      </c>
      <c r="AS331" s="1352" t="str">
        <f>IF(LEN(X331)=0,"",X331)</f>
        <v/>
      </c>
    </row>
    <row r="332" spans="1:51" x14ac:dyDescent="0.2">
      <c r="B332" s="600">
        <v>902.4</v>
      </c>
      <c r="C332" s="23" t="s">
        <v>255</v>
      </c>
      <c r="D332" s="23"/>
      <c r="E332" s="23"/>
      <c r="F332" s="23"/>
      <c r="G332" s="23"/>
      <c r="H332" s="691"/>
      <c r="I332" s="406"/>
      <c r="J332" s="129"/>
      <c r="K332" s="129"/>
      <c r="L332" s="1609"/>
      <c r="M332" s="913"/>
      <c r="N332" s="129"/>
      <c r="O332" s="908"/>
      <c r="P332" s="991"/>
      <c r="Q332" s="991"/>
      <c r="R332" s="991"/>
      <c r="S332" s="991"/>
      <c r="T332" s="991"/>
      <c r="U332" s="991"/>
      <c r="V332" s="991"/>
      <c r="W332" s="991"/>
      <c r="X332" s="1601"/>
    </row>
    <row r="333" spans="1:51" x14ac:dyDescent="0.2">
      <c r="B333" s="600">
        <v>902.4</v>
      </c>
      <c r="C333" s="23" t="s">
        <v>255</v>
      </c>
      <c r="D333" s="23"/>
      <c r="E333" s="23"/>
      <c r="F333" s="23"/>
      <c r="G333" s="23"/>
      <c r="H333" s="691"/>
      <c r="I333" s="406"/>
      <c r="J333" s="213"/>
      <c r="K333" s="213"/>
      <c r="L333" s="1612"/>
      <c r="M333" s="913"/>
      <c r="N333" s="129"/>
      <c r="O333" s="908"/>
      <c r="P333" s="991"/>
      <c r="Q333" s="991"/>
      <c r="R333" s="991"/>
      <c r="S333" s="991"/>
      <c r="T333" s="991"/>
      <c r="U333" s="991"/>
      <c r="V333" s="991"/>
      <c r="W333" s="991"/>
      <c r="X333" s="1601"/>
    </row>
    <row r="334" spans="1:51" customFormat="1" x14ac:dyDescent="0.2">
      <c r="B334" s="600">
        <v>902.4</v>
      </c>
      <c r="C334" s="23" t="s">
        <v>256</v>
      </c>
      <c r="D334" s="1352"/>
      <c r="E334" s="1352"/>
      <c r="F334" s="1352"/>
      <c r="I334" s="991"/>
      <c r="J334" s="590" t="s">
        <v>256</v>
      </c>
      <c r="K334" s="1111"/>
      <c r="L334" s="1634" t="s">
        <v>4899</v>
      </c>
      <c r="M334" s="991"/>
      <c r="N334" s="991"/>
      <c r="O334" s="991"/>
      <c r="P334" s="991" t="b">
        <v>1</v>
      </c>
      <c r="Q334" s="991" t="b">
        <v>0</v>
      </c>
      <c r="R334" s="991" t="b">
        <v>0</v>
      </c>
      <c r="S334" s="464" t="b">
        <v>1</v>
      </c>
      <c r="T334" s="464" t="b">
        <v>0</v>
      </c>
      <c r="U334" s="991"/>
      <c r="V334" s="991"/>
      <c r="W334" s="27"/>
      <c r="X334" s="1601"/>
      <c r="AC334" s="905"/>
      <c r="AD334" s="905"/>
      <c r="AE334" s="905"/>
      <c r="AL334" s="78"/>
      <c r="AM334" s="78"/>
      <c r="AN334" s="78"/>
      <c r="AO334" s="78"/>
      <c r="AP334" s="1352" t="str">
        <f>SUBSTITUTE(SUBSTITUTE(SUBSTITUTE("dch"&amp;$B334&amp;$C334&amp;$D334&amp;$E334,".","_"),"(","_"),")","")</f>
        <v>dch902_4_3</v>
      </c>
      <c r="AQ334" s="1352" t="str">
        <f>IF(LEN(W334)=0,"",W334)</f>
        <v/>
      </c>
      <c r="AR334" s="1352" t="str">
        <f>SUBSTITUTE(SUBSTITUTE(SUBSTITUTE("dnt"&amp;$B334&amp;$C334&amp;$D334&amp;$E334,".","_"),"(","_"),")","")</f>
        <v>dnt902_4_3</v>
      </c>
      <c r="AS334" s="1352" t="str">
        <f>IF(LEN(X334)=0,"",X334)</f>
        <v/>
      </c>
      <c r="AX334" s="78"/>
      <c r="AY334" s="78"/>
    </row>
    <row r="335" spans="1:51" customFormat="1" x14ac:dyDescent="0.2">
      <c r="B335" s="600">
        <v>902.4</v>
      </c>
      <c r="C335" s="23" t="s">
        <v>256</v>
      </c>
      <c r="D335" s="1352"/>
      <c r="E335" s="1352"/>
      <c r="F335" s="1352"/>
      <c r="I335" s="991"/>
      <c r="J335" s="1111"/>
      <c r="K335" s="1111"/>
      <c r="L335" s="1634"/>
      <c r="M335" s="991"/>
      <c r="N335" s="991"/>
      <c r="O335" s="991"/>
      <c r="P335" s="991"/>
      <c r="Q335" s="991"/>
      <c r="R335" s="991"/>
      <c r="S335" s="991"/>
      <c r="T335" s="991"/>
      <c r="U335" s="991"/>
      <c r="V335" s="991"/>
      <c r="W335" s="991"/>
      <c r="X335" s="1601"/>
      <c r="AL335" s="78"/>
      <c r="AM335" s="78"/>
      <c r="AN335" s="78"/>
      <c r="AO335" s="78"/>
      <c r="AP335" s="78"/>
      <c r="AQ335" s="78"/>
      <c r="AR335" s="78"/>
      <c r="AS335" s="78"/>
      <c r="AX335" s="78"/>
      <c r="AY335" s="78"/>
    </row>
    <row r="336" spans="1:51" customFormat="1" ht="16" thickBot="1" x14ac:dyDescent="0.25">
      <c r="B336" s="600">
        <v>902.4</v>
      </c>
      <c r="C336" s="23" t="s">
        <v>256</v>
      </c>
      <c r="D336" s="1352"/>
      <c r="E336" s="1352"/>
      <c r="F336" s="1352"/>
      <c r="I336" s="100"/>
      <c r="J336" s="1112"/>
      <c r="K336" s="1112"/>
      <c r="L336" s="1635"/>
      <c r="M336" s="100"/>
      <c r="N336" s="100"/>
      <c r="O336" s="100"/>
      <c r="P336" s="100"/>
      <c r="Q336" s="100"/>
      <c r="R336" s="100"/>
      <c r="S336" s="100"/>
      <c r="T336" s="100"/>
      <c r="U336" s="100"/>
      <c r="V336" s="100"/>
      <c r="W336" s="100"/>
      <c r="X336" s="1602"/>
      <c r="AL336" s="78"/>
      <c r="AM336" s="78"/>
      <c r="AN336" s="78"/>
      <c r="AO336" s="78"/>
      <c r="AP336" s="78"/>
      <c r="AQ336" s="78"/>
      <c r="AR336" s="78"/>
      <c r="AS336" s="78"/>
    </row>
    <row r="337" spans="1:51" ht="16" thickTop="1" x14ac:dyDescent="0.2">
      <c r="B337" s="600">
        <v>902.5</v>
      </c>
      <c r="C337" s="23"/>
      <c r="D337" s="23"/>
      <c r="E337" s="23"/>
      <c r="F337" s="23"/>
      <c r="G337" s="23"/>
      <c r="H337" s="691"/>
      <c r="I337" s="130" t="s">
        <v>3701</v>
      </c>
      <c r="J337" s="129"/>
      <c r="K337" s="129"/>
      <c r="L337" s="1728" t="s">
        <v>3722</v>
      </c>
      <c r="M337" s="1623">
        <v>3</v>
      </c>
      <c r="N337" s="129"/>
      <c r="O337" s="1619">
        <f>M337*S337*W337</f>
        <v>0</v>
      </c>
      <c r="P337" s="96" t="b">
        <v>1</v>
      </c>
      <c r="Q337" s="96" t="b">
        <v>1</v>
      </c>
      <c r="R337" s="991" t="b">
        <v>0</v>
      </c>
      <c r="S337" s="991" t="b">
        <v>1</v>
      </c>
      <c r="T337" s="991" t="b">
        <v>0</v>
      </c>
      <c r="U337" s="991"/>
      <c r="V337" s="991"/>
      <c r="W337" s="119"/>
      <c r="X337" s="1599"/>
      <c r="AC337" s="343"/>
      <c r="AD337" s="343"/>
      <c r="AE337" s="343"/>
      <c r="AL337" s="1352" t="str">
        <f>SUBSTITUTE(SUBSTITUTE(SUBSTITUTE("dpa"&amp;$B337&amp;$C337&amp;$D337&amp;$E337,".","_"),"(","_"),")","")</f>
        <v>dpa902_5</v>
      </c>
      <c r="AM337" s="1352">
        <f>M337</f>
        <v>3</v>
      </c>
      <c r="AN337" s="1352" t="str">
        <f>SUBSTITUTE(SUBSTITUTE(SUBSTITUTE("dpc"&amp;$B337&amp;$C337&amp;$D337&amp;$E337,".","_"),"(","_"),")","")</f>
        <v>dpc902_5</v>
      </c>
      <c r="AO337" s="1352">
        <f>O337</f>
        <v>0</v>
      </c>
      <c r="AP337" s="1352" t="str">
        <f>SUBSTITUTE(SUBSTITUTE(SUBSTITUTE("dch"&amp;$B337&amp;$C337&amp;$D337&amp;$E337,".","_"),"(","_"),")","")</f>
        <v>dch902_5</v>
      </c>
      <c r="AQ337" s="1352" t="str">
        <f>IF(LEN(W337)=0,"",W337)</f>
        <v/>
      </c>
      <c r="AR337" s="1352" t="str">
        <f>SUBSTITUTE(SUBSTITUTE(SUBSTITUTE("dnt"&amp;$B337&amp;$C337&amp;$D337&amp;$E337,".","_"),"(","_"),")","")</f>
        <v>dnt902_5</v>
      </c>
      <c r="AS337" s="1352" t="str">
        <f>IF(LEN(X337)=0,"",X337)</f>
        <v/>
      </c>
      <c r="AX337"/>
      <c r="AY337"/>
    </row>
    <row r="338" spans="1:51" ht="16" thickBot="1" x14ac:dyDescent="0.25">
      <c r="B338" s="600">
        <v>902.5</v>
      </c>
      <c r="C338" s="23"/>
      <c r="D338" s="23"/>
      <c r="E338" s="23"/>
      <c r="F338" s="23"/>
      <c r="G338" s="23"/>
      <c r="H338" s="691"/>
      <c r="I338" s="189"/>
      <c r="J338" s="239"/>
      <c r="K338" s="239"/>
      <c r="L338" s="1737"/>
      <c r="M338" s="1627"/>
      <c r="N338" s="239"/>
      <c r="O338" s="1638"/>
      <c r="P338" s="100"/>
      <c r="Q338" s="100"/>
      <c r="R338" s="100"/>
      <c r="S338" s="100"/>
      <c r="T338" s="100"/>
      <c r="U338" s="100"/>
      <c r="V338" s="100"/>
      <c r="W338" s="100"/>
      <c r="X338" s="1602"/>
      <c r="AX338"/>
      <c r="AY338"/>
    </row>
    <row r="339" spans="1:51" ht="16" thickTop="1" x14ac:dyDescent="0.2">
      <c r="B339" s="600">
        <v>902.6</v>
      </c>
      <c r="C339" s="23"/>
      <c r="D339" s="23"/>
      <c r="E339" s="23"/>
      <c r="F339" s="23"/>
      <c r="G339" s="23"/>
      <c r="H339" s="691"/>
      <c r="I339" s="67" t="s">
        <v>3702</v>
      </c>
      <c r="J339" s="4"/>
      <c r="K339" s="4"/>
      <c r="L339" s="1631" t="s">
        <v>3873</v>
      </c>
      <c r="M339" s="1697" t="str">
        <f>IF(R339,"Mandatory","N/A")</f>
        <v>Mandatory</v>
      </c>
      <c r="N339" s="4"/>
      <c r="O339" s="138"/>
      <c r="P339" s="96" t="b">
        <v>1</v>
      </c>
      <c r="Q339" s="96" t="b">
        <v>0</v>
      </c>
      <c r="R339" s="337" t="b">
        <f>S339</f>
        <v>1</v>
      </c>
      <c r="S339" s="337" t="b">
        <v>1</v>
      </c>
      <c r="T339" s="337" t="b">
        <v>0</v>
      </c>
      <c r="W339" s="119" t="b">
        <v>1</v>
      </c>
      <c r="X339" s="1599"/>
      <c r="AC339" s="343" t="b">
        <f>OR(AD339:AE339)</f>
        <v>0</v>
      </c>
      <c r="AD339" s="343" t="b">
        <f>T339</f>
        <v>0</v>
      </c>
      <c r="AE339" s="343" t="b">
        <f>AND(R339,NOT(W339))</f>
        <v>0</v>
      </c>
      <c r="AL339" s="1352" t="str">
        <f>SUBSTITUTE(SUBSTITUTE(SUBSTITUTE("dpa"&amp;$B339&amp;$C339&amp;$D339&amp;$E339,".","_"),"(","_"),")","")</f>
        <v>dpa902_6</v>
      </c>
      <c r="AM339" s="1352" t="str">
        <f>M339</f>
        <v>Mandatory</v>
      </c>
      <c r="AP339" s="1352" t="str">
        <f>SUBSTITUTE(SUBSTITUTE(SUBSTITUTE("dch"&amp;$B339&amp;$C339&amp;$D339&amp;$E339,".","_"),"(","_"),")","")</f>
        <v>dch902_6</v>
      </c>
      <c r="AQ339" s="1352" t="b">
        <f>IF(LEN(W339)=0,"",W339)</f>
        <v>1</v>
      </c>
      <c r="AR339" s="1352" t="str">
        <f>SUBSTITUTE(SUBSTITUTE(SUBSTITUTE("dnt"&amp;$B339&amp;$C339&amp;$D339&amp;$E339,".","_"),"(","_"),")","")</f>
        <v>dnt902_6</v>
      </c>
      <c r="AS339" s="1352" t="str">
        <f>IF(LEN(X339)=0,"",X339)</f>
        <v/>
      </c>
    </row>
    <row r="340" spans="1:51" x14ac:dyDescent="0.2">
      <c r="B340" s="600">
        <v>902.6</v>
      </c>
      <c r="C340" s="23"/>
      <c r="D340" s="23"/>
      <c r="E340" s="23"/>
      <c r="F340" s="23"/>
      <c r="G340" s="23"/>
      <c r="H340" s="691"/>
      <c r="I340" s="161"/>
      <c r="J340" s="4"/>
      <c r="K340" s="4"/>
      <c r="L340" s="1631"/>
      <c r="M340" s="1697"/>
      <c r="N340" s="4"/>
      <c r="O340" s="138"/>
      <c r="X340" s="1600"/>
    </row>
    <row r="341" spans="1:51" ht="19" x14ac:dyDescent="0.25">
      <c r="B341" s="600">
        <v>903</v>
      </c>
      <c r="C341" s="23"/>
      <c r="D341" s="23"/>
      <c r="E341" s="23"/>
      <c r="F341" s="23"/>
      <c r="G341" s="23"/>
      <c r="H341" s="691"/>
      <c r="I341" s="14" t="s">
        <v>3703</v>
      </c>
      <c r="J341" s="25"/>
      <c r="K341" s="25"/>
      <c r="L341" s="86"/>
      <c r="M341" s="419"/>
      <c r="N341" s="428"/>
      <c r="O341" s="419"/>
      <c r="P341" s="25"/>
      <c r="Q341" s="25"/>
      <c r="R341" s="25"/>
      <c r="S341" s="25"/>
      <c r="T341" s="25"/>
      <c r="U341" s="25"/>
      <c r="V341" s="25"/>
      <c r="W341" s="25"/>
      <c r="X341" s="25"/>
    </row>
    <row r="342" spans="1:51" ht="16" thickBot="1" x14ac:dyDescent="0.25">
      <c r="B342" s="600" t="s">
        <v>3437</v>
      </c>
      <c r="C342" s="23"/>
      <c r="D342" s="23"/>
      <c r="E342" s="23"/>
      <c r="F342" s="23"/>
      <c r="G342" s="23"/>
      <c r="H342" s="691"/>
      <c r="I342" s="404" t="s">
        <v>3704</v>
      </c>
      <c r="J342" s="239"/>
      <c r="K342" s="239"/>
      <c r="L342" s="377" t="s">
        <v>3721</v>
      </c>
      <c r="M342" s="375"/>
      <c r="N342" s="239"/>
      <c r="O342" s="240"/>
      <c r="P342" s="100"/>
      <c r="Q342" s="100"/>
      <c r="R342" s="100"/>
      <c r="S342" s="100"/>
      <c r="T342" s="100"/>
      <c r="U342" s="100"/>
      <c r="V342" s="100"/>
      <c r="W342" s="100"/>
      <c r="X342" s="100"/>
    </row>
    <row r="343" spans="1:51" ht="16" thickTop="1" x14ac:dyDescent="0.2">
      <c r="B343" s="600">
        <v>903.1</v>
      </c>
      <c r="C343" s="23"/>
      <c r="D343" s="23"/>
      <c r="E343" s="23"/>
      <c r="F343" s="23"/>
      <c r="G343" s="23"/>
      <c r="H343" s="691"/>
      <c r="I343" s="405" t="s">
        <v>3705</v>
      </c>
      <c r="J343" s="178"/>
      <c r="K343" s="178"/>
      <c r="L343" s="376" t="s">
        <v>3720</v>
      </c>
      <c r="M343" s="370"/>
      <c r="N343" s="178"/>
      <c r="O343" s="421">
        <f ca="1">IFERROR(INDEX({2,5},MATCH(W343,INDIRECT(U343),0)),0)*S343</f>
        <v>0</v>
      </c>
      <c r="P343" s="96" t="b">
        <v>1</v>
      </c>
      <c r="Q343" s="96" t="b">
        <v>0</v>
      </c>
      <c r="R343" s="106" t="b">
        <v>0</v>
      </c>
      <c r="S343" s="106" t="b">
        <v>1</v>
      </c>
      <c r="T343" s="106" t="b">
        <v>0</v>
      </c>
      <c r="U343" s="106" t="str">
        <f>SUBSTITUTE(SUBSTITUTE(SUBSTITUTE("dd"&amp;B343&amp;C343&amp;D343&amp;E343&amp;F343,".","_"),"(","_"),")","")</f>
        <v>dd903_1</v>
      </c>
      <c r="V343" s="106"/>
      <c r="W343" s="188"/>
      <c r="X343" s="1603"/>
      <c r="Z343" s="155"/>
      <c r="AB343" s="155"/>
      <c r="AC343" s="343"/>
      <c r="AD343" s="343"/>
      <c r="AE343" s="343"/>
      <c r="AF343" s="155"/>
      <c r="AG343" s="155"/>
      <c r="AH343" s="155"/>
      <c r="AI343" s="155"/>
      <c r="AJ343" s="155"/>
      <c r="AK343" s="155"/>
      <c r="AN343" s="1352" t="str">
        <f>SUBSTITUTE(SUBSTITUTE(SUBSTITUTE("dpc"&amp;$B343&amp;$C343&amp;$D343&amp;$E343,".","_"),"(","_"),")","")</f>
        <v>dpc903_1</v>
      </c>
      <c r="AO343" s="1352">
        <f ca="1">O343</f>
        <v>0</v>
      </c>
      <c r="AP343" s="1352" t="str">
        <f>SUBSTITUTE(SUBSTITUTE(SUBSTITUTE("dch"&amp;$B343&amp;$C343&amp;$D343&amp;$E343,".","_"),"(","_"),")","")</f>
        <v>dch903_1</v>
      </c>
      <c r="AQ343" s="1352" t="str">
        <f>IF(LEN(W343)=0,"",W343)</f>
        <v/>
      </c>
      <c r="AR343" s="1352" t="str">
        <f>SUBSTITUTE(SUBSTITUTE(SUBSTITUTE("dnt"&amp;$B343&amp;$C343&amp;$D343&amp;$E343,".","_"),"(","_"),")","")</f>
        <v>dnt903_1</v>
      </c>
      <c r="AS343" s="1352" t="str">
        <f>IF(LEN(X343)=0,"",X343)</f>
        <v/>
      </c>
    </row>
    <row r="344" spans="1:51" x14ac:dyDescent="0.2">
      <c r="B344" s="600">
        <v>903.1</v>
      </c>
      <c r="C344" s="23" t="s">
        <v>254</v>
      </c>
      <c r="D344" s="23"/>
      <c r="E344" s="23"/>
      <c r="F344" s="23"/>
      <c r="G344" s="23"/>
      <c r="H344" s="691"/>
      <c r="I344" s="406"/>
      <c r="J344" s="180" t="s">
        <v>254</v>
      </c>
      <c r="K344" s="129"/>
      <c r="L344" s="1609" t="s">
        <v>2934</v>
      </c>
      <c r="M344" s="1623">
        <v>2</v>
      </c>
      <c r="N344" s="129"/>
      <c r="O344" s="238"/>
      <c r="P344" s="96"/>
      <c r="Q344" s="96"/>
      <c r="R344" s="96"/>
      <c r="S344" s="96"/>
      <c r="T344" s="96"/>
      <c r="U344" s="96"/>
      <c r="V344" s="96"/>
      <c r="W344" s="96"/>
      <c r="X344" s="1601"/>
      <c r="AL344" s="1352" t="str">
        <f>SUBSTITUTE(SUBSTITUTE(SUBSTITUTE("dpa"&amp;$B344&amp;$C344&amp;$D344&amp;$E344,".","_"),"(","_"),")","")</f>
        <v>dpa903_1_1</v>
      </c>
      <c r="AM344" s="1352">
        <f>M344</f>
        <v>2</v>
      </c>
    </row>
    <row r="345" spans="1:51" s="155" customFormat="1" x14ac:dyDescent="0.2">
      <c r="A345" s="20"/>
      <c r="B345" s="600">
        <v>903.1</v>
      </c>
      <c r="C345" s="23" t="s">
        <v>254</v>
      </c>
      <c r="D345" s="23"/>
      <c r="E345" s="23"/>
      <c r="F345" s="23"/>
      <c r="G345" s="23"/>
      <c r="H345" s="691"/>
      <c r="I345" s="406"/>
      <c r="J345" s="207"/>
      <c r="K345" s="213"/>
      <c r="L345" s="1696"/>
      <c r="M345" s="1624"/>
      <c r="N345" s="129"/>
      <c r="O345" s="238"/>
      <c r="P345" s="96"/>
      <c r="Q345" s="96"/>
      <c r="R345" s="96"/>
      <c r="S345" s="96"/>
      <c r="T345" s="96"/>
      <c r="U345" s="96"/>
      <c r="V345" s="96"/>
      <c r="W345" s="96"/>
      <c r="X345" s="1601"/>
      <c r="Y345" s="704"/>
      <c r="Z345" s="78"/>
      <c r="AA345" s="707"/>
      <c r="AB345" s="78"/>
      <c r="AC345" s="78"/>
      <c r="AD345" s="78"/>
      <c r="AE345" s="78"/>
      <c r="AF345" s="78"/>
      <c r="AG345" s="78"/>
      <c r="AH345" s="78"/>
      <c r="AI345" s="78"/>
      <c r="AJ345" s="78"/>
      <c r="AK345" s="78"/>
      <c r="AL345" s="78"/>
      <c r="AM345" s="78"/>
      <c r="AN345" s="78"/>
      <c r="AO345" s="78"/>
      <c r="AP345" s="78"/>
      <c r="AQ345" s="78"/>
      <c r="AR345" s="78"/>
      <c r="AS345" s="78"/>
      <c r="AX345" s="78"/>
      <c r="AY345" s="78"/>
    </row>
    <row r="346" spans="1:51" ht="16" thickBot="1" x14ac:dyDescent="0.25">
      <c r="B346" s="600">
        <v>903.1</v>
      </c>
      <c r="C346" s="23" t="s">
        <v>255</v>
      </c>
      <c r="D346" s="23"/>
      <c r="E346" s="23"/>
      <c r="F346" s="23"/>
      <c r="G346" s="23"/>
      <c r="H346" s="691"/>
      <c r="I346" s="407"/>
      <c r="J346" s="190" t="s">
        <v>255</v>
      </c>
      <c r="K346" s="239"/>
      <c r="L346" s="372" t="s">
        <v>2935</v>
      </c>
      <c r="M346" s="375">
        <v>5</v>
      </c>
      <c r="N346" s="239"/>
      <c r="O346" s="240"/>
      <c r="P346" s="100"/>
      <c r="Q346" s="100"/>
      <c r="R346" s="100"/>
      <c r="S346" s="100"/>
      <c r="T346" s="100"/>
      <c r="U346" s="100"/>
      <c r="V346" s="100"/>
      <c r="W346" s="100"/>
      <c r="X346" s="1602"/>
      <c r="AL346" s="1352" t="str">
        <f>SUBSTITUTE(SUBSTITUTE(SUBSTITUTE("dpa"&amp;$B346&amp;$C346&amp;$D346&amp;$E346,".","_"),"(","_"),")","")</f>
        <v>dpa903_1_2</v>
      </c>
      <c r="AM346" s="1352">
        <f>M346</f>
        <v>5</v>
      </c>
    </row>
    <row r="347" spans="1:51" ht="16" thickTop="1" x14ac:dyDescent="0.2">
      <c r="B347" s="600">
        <v>903.2</v>
      </c>
      <c r="C347" s="23"/>
      <c r="D347" s="23"/>
      <c r="E347" s="23"/>
      <c r="F347" s="23"/>
      <c r="G347" s="23"/>
      <c r="H347" s="691"/>
      <c r="I347" s="177" t="s">
        <v>3706</v>
      </c>
      <c r="J347" s="178"/>
      <c r="K347" s="178"/>
      <c r="L347" s="376" t="s">
        <v>3719</v>
      </c>
      <c r="M347" s="370"/>
      <c r="N347" s="178"/>
      <c r="O347" s="421">
        <f ca="1">IFERROR(INDEX({1,3},MATCH(W347,INDIRECT(U347),0)),0)*S347</f>
        <v>0</v>
      </c>
      <c r="P347" s="96" t="b">
        <v>1</v>
      </c>
      <c r="Q347" s="96" t="b">
        <v>1</v>
      </c>
      <c r="R347" s="106" t="b">
        <v>0</v>
      </c>
      <c r="S347" s="106" t="b">
        <v>1</v>
      </c>
      <c r="T347" s="106" t="b">
        <v>0</v>
      </c>
      <c r="U347" s="106" t="str">
        <f>SUBSTITUTE(SUBSTITUTE(SUBSTITUTE("dd"&amp;B347&amp;C347&amp;D347&amp;E347&amp;F347,".","_"),"(","_"),")","")</f>
        <v>dd903_2</v>
      </c>
      <c r="V347" s="106"/>
      <c r="W347" s="188"/>
      <c r="X347" s="1603"/>
      <c r="Z347" s="155"/>
      <c r="AB347" s="155"/>
      <c r="AC347" s="343"/>
      <c r="AD347" s="343"/>
      <c r="AE347" s="343"/>
      <c r="AF347" s="155"/>
      <c r="AG347" s="155"/>
      <c r="AH347" s="155"/>
      <c r="AI347" s="155"/>
      <c r="AJ347" s="155"/>
      <c r="AK347" s="155"/>
      <c r="AN347" s="1352" t="str">
        <f>SUBSTITUTE(SUBSTITUTE(SUBSTITUTE("dpc"&amp;$B347&amp;$C347&amp;$D347&amp;$E347,".","_"),"(","_"),")","")</f>
        <v>dpc903_2</v>
      </c>
      <c r="AO347" s="1352">
        <f ca="1">O347</f>
        <v>0</v>
      </c>
      <c r="AP347" s="1352" t="str">
        <f>SUBSTITUTE(SUBSTITUTE(SUBSTITUTE("dch"&amp;$B347&amp;$C347&amp;$D347&amp;$E347,".","_"),"(","_"),")","")</f>
        <v>dch903_2</v>
      </c>
      <c r="AQ347" s="1352" t="str">
        <f>IF(LEN(W347)=0,"",W347)</f>
        <v/>
      </c>
      <c r="AR347" s="1352" t="str">
        <f>SUBSTITUTE(SUBSTITUTE(SUBSTITUTE("dnt"&amp;$B347&amp;$C347&amp;$D347&amp;$E347,".","_"),"(","_"),")","")</f>
        <v>dnt903_2</v>
      </c>
      <c r="AS347" s="1352" t="str">
        <f>IF(LEN(X347)=0,"",X347)</f>
        <v/>
      </c>
      <c r="AX347" s="155"/>
      <c r="AY347" s="155"/>
    </row>
    <row r="348" spans="1:51" x14ac:dyDescent="0.2">
      <c r="B348" s="600">
        <v>903.2</v>
      </c>
      <c r="C348" s="23" t="s">
        <v>254</v>
      </c>
      <c r="D348" s="23"/>
      <c r="E348" s="23"/>
      <c r="F348" s="23"/>
      <c r="G348" s="23"/>
      <c r="H348" s="691"/>
      <c r="I348" s="406"/>
      <c r="J348" s="207" t="s">
        <v>254</v>
      </c>
      <c r="K348" s="213"/>
      <c r="L348" s="369" t="s">
        <v>2763</v>
      </c>
      <c r="M348" s="373">
        <v>1</v>
      </c>
      <c r="N348" s="129"/>
      <c r="O348" s="238"/>
      <c r="P348" s="96"/>
      <c r="Q348" s="96"/>
      <c r="R348" s="96"/>
      <c r="S348" s="96"/>
      <c r="T348" s="96"/>
      <c r="U348" s="96"/>
      <c r="V348" s="96"/>
      <c r="W348" s="96"/>
      <c r="X348" s="1601"/>
      <c r="AL348" s="1352" t="str">
        <f>SUBSTITUTE(SUBSTITUTE(SUBSTITUTE("dpa"&amp;$B348&amp;$C348&amp;$D348&amp;$E348,".","_"),"(","_"),")","")</f>
        <v>dpa903_2_1</v>
      </c>
      <c r="AM348" s="1352">
        <f>M348</f>
        <v>1</v>
      </c>
    </row>
    <row r="349" spans="1:51" s="155" customFormat="1" x14ac:dyDescent="0.2">
      <c r="A349" s="20"/>
      <c r="B349" s="600">
        <v>903.2</v>
      </c>
      <c r="C349" s="23" t="s">
        <v>255</v>
      </c>
      <c r="D349" s="23"/>
      <c r="E349" s="23"/>
      <c r="F349" s="23"/>
      <c r="G349" s="23"/>
      <c r="H349" s="691"/>
      <c r="I349" s="406"/>
      <c r="J349" s="180" t="s">
        <v>255</v>
      </c>
      <c r="K349" s="129"/>
      <c r="L349" s="1609" t="s">
        <v>2764</v>
      </c>
      <c r="M349" s="1623">
        <v>3</v>
      </c>
      <c r="N349" s="129"/>
      <c r="O349" s="238"/>
      <c r="P349" s="96"/>
      <c r="Q349" s="96"/>
      <c r="R349" s="96"/>
      <c r="S349" s="96"/>
      <c r="T349" s="96"/>
      <c r="U349" s="96"/>
      <c r="V349" s="96"/>
      <c r="W349" s="96"/>
      <c r="X349" s="1601"/>
      <c r="Y349" s="704"/>
      <c r="Z349" s="78"/>
      <c r="AA349" s="707"/>
      <c r="AB349" s="78"/>
      <c r="AC349" s="78"/>
      <c r="AD349" s="78"/>
      <c r="AE349" s="78"/>
      <c r="AF349" s="78"/>
      <c r="AG349" s="78"/>
      <c r="AH349" s="78"/>
      <c r="AI349" s="78"/>
      <c r="AJ349" s="78"/>
      <c r="AK349" s="78"/>
      <c r="AL349" s="1352" t="str">
        <f>SUBSTITUTE(SUBSTITUTE(SUBSTITUTE("dpa"&amp;$B349&amp;$C349&amp;$D349&amp;$E349,".","_"),"(","_"),")","")</f>
        <v>dpa903_2_2</v>
      </c>
      <c r="AM349" s="1352">
        <f>M349</f>
        <v>3</v>
      </c>
      <c r="AN349" s="78"/>
      <c r="AO349" s="78"/>
      <c r="AP349" s="78"/>
      <c r="AQ349" s="78"/>
      <c r="AR349" s="78"/>
      <c r="AS349" s="78"/>
      <c r="AX349" s="78"/>
      <c r="AY349" s="78"/>
    </row>
    <row r="350" spans="1:51" ht="16" thickBot="1" x14ac:dyDescent="0.25">
      <c r="B350" s="600">
        <v>903.2</v>
      </c>
      <c r="C350" s="23" t="s">
        <v>255</v>
      </c>
      <c r="D350" s="23"/>
      <c r="E350" s="23"/>
      <c r="F350" s="23"/>
      <c r="G350" s="23"/>
      <c r="H350" s="691"/>
      <c r="I350" s="407"/>
      <c r="J350" s="239"/>
      <c r="K350" s="239"/>
      <c r="L350" s="1610"/>
      <c r="M350" s="1627"/>
      <c r="N350" s="239"/>
      <c r="O350" s="240"/>
      <c r="P350" s="100"/>
      <c r="Q350" s="100"/>
      <c r="R350" s="100"/>
      <c r="S350" s="100"/>
      <c r="T350" s="100"/>
      <c r="U350" s="100"/>
      <c r="V350" s="100"/>
      <c r="W350" s="100"/>
      <c r="X350" s="1602"/>
    </row>
    <row r="351" spans="1:51" ht="16" thickTop="1" x14ac:dyDescent="0.2">
      <c r="B351" s="600">
        <v>903.3</v>
      </c>
      <c r="C351" s="23"/>
      <c r="D351" s="23"/>
      <c r="E351" s="23"/>
      <c r="F351" s="23"/>
      <c r="G351" s="23"/>
      <c r="H351" s="691"/>
      <c r="I351" s="67" t="s">
        <v>3707</v>
      </c>
      <c r="J351" s="4"/>
      <c r="K351" s="4"/>
      <c r="L351" s="1631" t="s">
        <v>3718</v>
      </c>
      <c r="M351" s="1628">
        <v>7</v>
      </c>
      <c r="N351" s="4"/>
      <c r="O351" s="1669">
        <f>M351*S353*IFERROR(OR(W353,W354),0)</f>
        <v>0</v>
      </c>
      <c r="X351" s="1599"/>
      <c r="AL351" s="1352" t="str">
        <f>SUBSTITUTE(SUBSTITUTE(SUBSTITUTE("dpa"&amp;$B351&amp;$C351&amp;$D351&amp;$E351,".","_"),"(","_"),")","")</f>
        <v>dpa903_3</v>
      </c>
      <c r="AM351" s="1352">
        <f>M351</f>
        <v>7</v>
      </c>
      <c r="AN351" s="1352" t="str">
        <f>SUBSTITUTE(SUBSTITUTE(SUBSTITUTE("dpc"&amp;$B351&amp;$C351&amp;$D351&amp;$E351,".","_"),"(","_"),")","")</f>
        <v>dpc903_3</v>
      </c>
      <c r="AO351" s="1352">
        <f>O351</f>
        <v>0</v>
      </c>
      <c r="AR351" s="1352" t="str">
        <f>SUBSTITUTE(SUBSTITUTE(SUBSTITUTE("dnt"&amp;$B351&amp;$C351&amp;$D351&amp;$E351,".","_"),"(","_"),")","")</f>
        <v>dnt903_3</v>
      </c>
      <c r="AS351" s="1352" t="str">
        <f>IF(LEN(X351)=0,"",X351)</f>
        <v/>
      </c>
      <c r="AX351" s="155"/>
      <c r="AY351" s="155"/>
    </row>
    <row r="352" spans="1:51" x14ac:dyDescent="0.2">
      <c r="B352" s="600">
        <v>903.3</v>
      </c>
      <c r="C352" s="23"/>
      <c r="D352" s="23"/>
      <c r="E352" s="23"/>
      <c r="F352" s="23"/>
      <c r="G352" s="23"/>
      <c r="H352" s="691"/>
      <c r="I352" s="161"/>
      <c r="J352" s="4"/>
      <c r="K352" s="4"/>
      <c r="L352" s="1631"/>
      <c r="M352" s="1628"/>
      <c r="N352" s="4"/>
      <c r="O352" s="1669"/>
      <c r="X352" s="1600"/>
    </row>
    <row r="353" spans="2:51" x14ac:dyDescent="0.2">
      <c r="B353" s="600">
        <v>903.3</v>
      </c>
      <c r="C353" s="23" t="s">
        <v>254</v>
      </c>
      <c r="D353" s="23"/>
      <c r="E353" s="23"/>
      <c r="F353" s="23"/>
      <c r="G353" s="23"/>
      <c r="H353" s="691"/>
      <c r="I353" s="161"/>
      <c r="J353" s="207" t="s">
        <v>254</v>
      </c>
      <c r="K353" s="173"/>
      <c r="L353" s="369" t="s">
        <v>2765</v>
      </c>
      <c r="M353" s="371"/>
      <c r="N353" s="129"/>
      <c r="O353" s="238"/>
      <c r="P353" s="96" t="b">
        <v>0</v>
      </c>
      <c r="Q353" s="96" t="b">
        <v>1</v>
      </c>
      <c r="R353" s="173" t="b">
        <v>0</v>
      </c>
      <c r="S353" s="173" t="b">
        <f>AND(BF16&lt;6,BG16="Moist")</f>
        <v>1</v>
      </c>
      <c r="T353" s="173" t="b">
        <f>AND(NOT(S353),W353=TRUE)</f>
        <v>0</v>
      </c>
      <c r="U353" s="173"/>
      <c r="V353" s="173"/>
      <c r="W353" s="333"/>
      <c r="X353" s="1600"/>
      <c r="AC353" s="343" t="b">
        <f>OR(AD353:AE353)</f>
        <v>0</v>
      </c>
      <c r="AD353" s="343" t="b">
        <f>T353</f>
        <v>0</v>
      </c>
      <c r="AE353" s="343" t="b">
        <f>AND(R353,NOT(W353))</f>
        <v>0</v>
      </c>
      <c r="AP353" s="1352" t="str">
        <f>SUBSTITUTE(SUBSTITUTE(SUBSTITUTE("dch"&amp;$B353&amp;$C353&amp;$D353&amp;$E353,".","_"),"(","_"),")","")</f>
        <v>dch903_3_1</v>
      </c>
      <c r="AQ353" s="1352" t="str">
        <f>IF(LEN(W353)=0,"",W353)</f>
        <v/>
      </c>
    </row>
    <row r="354" spans="2:51" x14ac:dyDescent="0.2">
      <c r="B354" s="600">
        <v>903.3</v>
      </c>
      <c r="C354" s="23" t="s">
        <v>255</v>
      </c>
      <c r="D354" s="23"/>
      <c r="E354" s="23"/>
      <c r="F354" s="23"/>
      <c r="G354" s="23"/>
      <c r="H354" s="691"/>
      <c r="I354" s="161"/>
      <c r="J354" s="29" t="s">
        <v>255</v>
      </c>
      <c r="L354" s="1717" t="s">
        <v>2766</v>
      </c>
      <c r="M354" s="371"/>
      <c r="N354" s="129"/>
      <c r="O354" s="238"/>
      <c r="P354" s="96" t="b">
        <v>0</v>
      </c>
      <c r="Q354" s="96" t="b">
        <v>1</v>
      </c>
      <c r="R354" s="337" t="b">
        <v>0</v>
      </c>
      <c r="S354" s="343" t="b">
        <f>AND(BF16&lt;6,BG16="Moist")</f>
        <v>1</v>
      </c>
      <c r="T354" s="96" t="b">
        <f>AND(NOT(S354),W354=TRUE)</f>
        <v>0</v>
      </c>
      <c r="W354" s="119"/>
      <c r="X354" s="1600"/>
      <c r="AC354" s="343" t="b">
        <f>OR(AD354:AE354)</f>
        <v>0</v>
      </c>
      <c r="AD354" s="343" t="b">
        <f>T354</f>
        <v>0</v>
      </c>
      <c r="AE354" s="343" t="b">
        <f>AND(R354,NOT(W354))</f>
        <v>0</v>
      </c>
      <c r="AP354" s="1352" t="str">
        <f>SUBSTITUTE(SUBSTITUTE(SUBSTITUTE("dch"&amp;$B354&amp;$C354&amp;$D354&amp;$E354,".","_"),"(","_"),")","")</f>
        <v>dch903_3_2</v>
      </c>
      <c r="AQ354" s="1352" t="str">
        <f>IF(LEN(W354)=0,"",W354)</f>
        <v/>
      </c>
    </row>
    <row r="355" spans="2:51" x14ac:dyDescent="0.2">
      <c r="B355" s="600">
        <v>903.3</v>
      </c>
      <c r="C355" s="23" t="s">
        <v>255</v>
      </c>
      <c r="D355" s="23"/>
      <c r="E355" s="23"/>
      <c r="F355" s="23"/>
      <c r="G355" s="23"/>
      <c r="H355" s="691"/>
      <c r="I355" s="161"/>
      <c r="J355" s="4"/>
      <c r="K355" s="29"/>
      <c r="L355" s="1717"/>
      <c r="M355" s="374"/>
      <c r="N355" s="4"/>
      <c r="O355" s="138"/>
      <c r="X355" s="1600"/>
    </row>
    <row r="356" spans="2:51" ht="19" x14ac:dyDescent="0.25">
      <c r="B356" s="600">
        <v>904</v>
      </c>
      <c r="C356" s="23"/>
      <c r="D356" s="23"/>
      <c r="E356" s="23"/>
      <c r="F356" s="23"/>
      <c r="G356" s="23"/>
      <c r="H356" s="691"/>
      <c r="I356" s="14" t="s">
        <v>3708</v>
      </c>
      <c r="J356" s="25"/>
      <c r="K356" s="25"/>
      <c r="L356" s="86"/>
      <c r="M356" s="419"/>
      <c r="N356" s="428"/>
      <c r="O356" s="419"/>
      <c r="P356" s="25"/>
      <c r="Q356" s="25"/>
      <c r="R356" s="25"/>
      <c r="S356" s="25"/>
      <c r="T356" s="25"/>
      <c r="U356" s="25"/>
      <c r="V356" s="25"/>
      <c r="W356" s="25"/>
      <c r="X356" s="25"/>
    </row>
    <row r="357" spans="2:51" x14ac:dyDescent="0.2">
      <c r="B357" s="600" t="s">
        <v>3438</v>
      </c>
      <c r="C357" s="23"/>
      <c r="D357" s="23"/>
      <c r="E357" s="23"/>
      <c r="F357" s="23"/>
      <c r="G357" s="23"/>
      <c r="H357" s="691"/>
      <c r="I357" s="237" t="s">
        <v>3709</v>
      </c>
      <c r="J357" s="129"/>
      <c r="K357" s="129"/>
      <c r="L357" s="1629" t="s">
        <v>3717</v>
      </c>
      <c r="M357" s="371"/>
      <c r="N357" s="129"/>
      <c r="O357" s="238"/>
      <c r="P357" s="96"/>
      <c r="Q357" s="96"/>
      <c r="R357" s="96"/>
      <c r="S357" s="96"/>
      <c r="T357" s="96"/>
      <c r="U357" s="96"/>
      <c r="V357" s="96"/>
      <c r="W357" s="96"/>
      <c r="X357" s="96"/>
    </row>
    <row r="358" spans="2:51" ht="16" thickBot="1" x14ac:dyDescent="0.25">
      <c r="B358" s="600" t="s">
        <v>3438</v>
      </c>
      <c r="C358" s="23"/>
      <c r="D358" s="23"/>
      <c r="E358" s="23"/>
      <c r="F358" s="23"/>
      <c r="G358" s="23"/>
      <c r="H358" s="691"/>
      <c r="I358" s="407"/>
      <c r="J358" s="239"/>
      <c r="K358" s="239"/>
      <c r="L358" s="1630"/>
      <c r="M358" s="375"/>
      <c r="N358" s="239"/>
      <c r="O358" s="240"/>
      <c r="P358" s="100"/>
      <c r="Q358" s="100"/>
      <c r="R358" s="100"/>
      <c r="S358" s="100"/>
      <c r="T358" s="100"/>
      <c r="U358" s="100"/>
      <c r="V358" s="100"/>
      <c r="W358" s="100"/>
      <c r="X358" s="100"/>
    </row>
    <row r="359" spans="2:51" ht="16" thickTop="1" x14ac:dyDescent="0.2">
      <c r="B359" s="600">
        <v>904.1</v>
      </c>
      <c r="C359" s="23"/>
      <c r="D359" s="23"/>
      <c r="E359" s="23"/>
      <c r="F359" s="23"/>
      <c r="G359" s="23"/>
      <c r="H359" s="691"/>
      <c r="I359" s="405" t="s">
        <v>3710</v>
      </c>
      <c r="J359" s="178"/>
      <c r="K359" s="178"/>
      <c r="L359" s="1683" t="s">
        <v>3871</v>
      </c>
      <c r="M359" s="1685">
        <v>2</v>
      </c>
      <c r="N359" s="178"/>
      <c r="O359" s="1682">
        <f>M359*S359*W359</f>
        <v>0</v>
      </c>
      <c r="P359" s="96" t="b">
        <v>1</v>
      </c>
      <c r="Q359" s="96" t="b">
        <v>0</v>
      </c>
      <c r="R359" s="106" t="b">
        <v>0</v>
      </c>
      <c r="S359" s="106" t="b">
        <f>T360</f>
        <v>0</v>
      </c>
      <c r="T359" s="106" t="b">
        <f>AND(NOT(S359),W359=TRUE)</f>
        <v>0</v>
      </c>
      <c r="U359" s="106"/>
      <c r="V359" s="106"/>
      <c r="W359" s="334"/>
      <c r="X359" s="1603"/>
      <c r="AC359" s="343" t="b">
        <f>OR(AD359:AE359)</f>
        <v>0</v>
      </c>
      <c r="AD359" s="343" t="b">
        <f>T359</f>
        <v>0</v>
      </c>
      <c r="AE359" s="343" t="b">
        <f>AND(R359,NOT(W359))</f>
        <v>0</v>
      </c>
      <c r="AL359" s="1352" t="str">
        <f>SUBSTITUTE(SUBSTITUTE(SUBSTITUTE("dpa"&amp;$B359&amp;$C359&amp;$D359&amp;$E359,".","_"),"(","_"),")","")</f>
        <v>dpa904_1</v>
      </c>
      <c r="AM359" s="1352">
        <f>M359</f>
        <v>2</v>
      </c>
      <c r="AN359" s="1352" t="str">
        <f>SUBSTITUTE(SUBSTITUTE(SUBSTITUTE("dpc"&amp;$B359&amp;$C359&amp;$D359&amp;$E359,".","_"),"(","_"),")","")</f>
        <v>dpc904_1</v>
      </c>
      <c r="AO359" s="1352">
        <f>O359</f>
        <v>0</v>
      </c>
      <c r="AP359" s="1352" t="str">
        <f>SUBSTITUTE(SUBSTITUTE(SUBSTITUTE("dch"&amp;$B359&amp;$C359&amp;$D359&amp;$E359,".","_"),"(","_"),")","")</f>
        <v>dch904_1</v>
      </c>
      <c r="AQ359" s="1352" t="str">
        <f>IF(LEN(W359)=0,"",W359)</f>
        <v/>
      </c>
      <c r="AR359" s="1352" t="str">
        <f>SUBSTITUTE(SUBSTITUTE(SUBSTITUTE("dnt"&amp;$B359&amp;$C359&amp;$D359&amp;$E359,".","_"),"(","_"),")","")</f>
        <v>dnt904_1</v>
      </c>
      <c r="AS359" s="1352" t="str">
        <f>IF(LEN(X359)=0,"",X359)</f>
        <v/>
      </c>
    </row>
    <row r="360" spans="2:51" x14ac:dyDescent="0.2">
      <c r="B360" s="600">
        <v>904.1</v>
      </c>
      <c r="C360" s="23"/>
      <c r="D360" s="23"/>
      <c r="E360" s="23"/>
      <c r="F360" s="23"/>
      <c r="G360" s="23"/>
      <c r="H360" s="691"/>
      <c r="I360" s="406"/>
      <c r="J360" s="129"/>
      <c r="K360" s="129"/>
      <c r="L360" s="1629"/>
      <c r="M360" s="1623"/>
      <c r="N360" s="129"/>
      <c r="O360" s="1619"/>
      <c r="P360" s="96"/>
      <c r="Q360" s="96"/>
      <c r="R360" s="96"/>
      <c r="S360" s="411" t="s">
        <v>3030</v>
      </c>
      <c r="T360" s="198" t="b">
        <f>'11.600'!W165=TRUE</f>
        <v>0</v>
      </c>
      <c r="U360" s="96"/>
      <c r="V360" s="96"/>
      <c r="W360" s="96"/>
      <c r="X360" s="1601"/>
    </row>
    <row r="361" spans="2:51" x14ac:dyDescent="0.2">
      <c r="B361" s="600">
        <v>904.1</v>
      </c>
      <c r="C361" s="23"/>
      <c r="D361" s="23"/>
      <c r="E361" s="23"/>
      <c r="F361" s="23"/>
      <c r="G361" s="23"/>
      <c r="H361" s="691"/>
      <c r="I361" s="406"/>
      <c r="J361" s="129"/>
      <c r="K361" s="129"/>
      <c r="L361" s="1629"/>
      <c r="M361" s="1623"/>
      <c r="N361" s="129"/>
      <c r="O361" s="1619"/>
      <c r="P361" s="96"/>
      <c r="Q361" s="96"/>
      <c r="R361" s="96"/>
      <c r="S361" s="96"/>
      <c r="T361" s="96"/>
      <c r="U361" s="96"/>
      <c r="V361" s="96"/>
      <c r="W361" s="96"/>
      <c r="X361" s="1601"/>
    </row>
    <row r="362" spans="2:51" x14ac:dyDescent="0.2">
      <c r="B362" s="600">
        <v>904.1</v>
      </c>
      <c r="C362" s="23"/>
      <c r="D362" s="23"/>
      <c r="E362" s="23"/>
      <c r="F362" s="23"/>
      <c r="G362" s="23"/>
      <c r="H362" s="691"/>
      <c r="I362" s="406"/>
      <c r="J362" s="129"/>
      <c r="K362" s="129"/>
      <c r="L362" s="1629"/>
      <c r="M362" s="1623"/>
      <c r="N362" s="129"/>
      <c r="O362" s="1619"/>
      <c r="P362" s="96"/>
      <c r="Q362" s="96"/>
      <c r="R362" s="96"/>
      <c r="S362" s="96"/>
      <c r="T362" s="96"/>
      <c r="U362" s="96"/>
      <c r="V362" s="96"/>
      <c r="W362" s="96"/>
      <c r="X362" s="1601"/>
    </row>
    <row r="363" spans="2:51" ht="16" thickBot="1" x14ac:dyDescent="0.25">
      <c r="B363" s="600">
        <v>904.1</v>
      </c>
      <c r="C363" s="23"/>
      <c r="D363" s="23"/>
      <c r="E363" s="23"/>
      <c r="F363" s="23"/>
      <c r="G363" s="23"/>
      <c r="H363" s="691"/>
      <c r="I363" s="407"/>
      <c r="J363" s="239"/>
      <c r="K363" s="239"/>
      <c r="L363" s="1630"/>
      <c r="M363" s="1627"/>
      <c r="N363" s="239"/>
      <c r="O363" s="1638"/>
      <c r="P363" s="100"/>
      <c r="Q363" s="100"/>
      <c r="R363" s="100"/>
      <c r="S363" s="100"/>
      <c r="T363" s="100"/>
      <c r="U363" s="100"/>
      <c r="V363" s="100"/>
      <c r="W363" s="100"/>
      <c r="X363" s="1602"/>
    </row>
    <row r="364" spans="2:51" ht="16" thickTop="1" x14ac:dyDescent="0.2">
      <c r="B364" s="600">
        <v>904.2</v>
      </c>
      <c r="C364" s="23"/>
      <c r="D364" s="23"/>
      <c r="E364" s="23"/>
      <c r="F364" s="23"/>
      <c r="G364" s="23"/>
      <c r="H364" s="691"/>
      <c r="I364" s="177" t="s">
        <v>3711</v>
      </c>
      <c r="J364" s="178"/>
      <c r="K364" s="178"/>
      <c r="L364" s="1683" t="s">
        <v>3872</v>
      </c>
      <c r="M364" s="1685">
        <v>3</v>
      </c>
      <c r="N364" s="178"/>
      <c r="O364" s="1682">
        <f>M364*S364*W364</f>
        <v>0</v>
      </c>
      <c r="P364" s="106" t="b">
        <v>0</v>
      </c>
      <c r="Q364" s="106" t="b">
        <v>1</v>
      </c>
      <c r="R364" s="106" t="b">
        <v>0</v>
      </c>
      <c r="S364" s="106" t="b">
        <f>T360</f>
        <v>0</v>
      </c>
      <c r="T364" s="106" t="b">
        <f>AND(NOT(S364),W364=TRUE)</f>
        <v>0</v>
      </c>
      <c r="U364" s="106"/>
      <c r="V364" s="106"/>
      <c r="W364" s="334"/>
      <c r="X364" s="1603"/>
      <c r="AC364" s="343" t="b">
        <f>OR(AD364:AE364)</f>
        <v>0</v>
      </c>
      <c r="AD364" s="343" t="b">
        <f>T364</f>
        <v>0</v>
      </c>
      <c r="AE364" s="343" t="b">
        <f>AND(R364,NOT(W364))</f>
        <v>0</v>
      </c>
      <c r="AL364" s="1352" t="str">
        <f>SUBSTITUTE(SUBSTITUTE(SUBSTITUTE("dpa"&amp;$B364&amp;$C364&amp;$D364&amp;$E364,".","_"),"(","_"),")","")</f>
        <v>dpa904_2</v>
      </c>
      <c r="AM364" s="1352">
        <f>M364</f>
        <v>3</v>
      </c>
      <c r="AN364" s="1352" t="str">
        <f>SUBSTITUTE(SUBSTITUTE(SUBSTITUTE("dpc"&amp;$B364&amp;$C364&amp;$D364&amp;$E364,".","_"),"(","_"),")","")</f>
        <v>dpc904_2</v>
      </c>
      <c r="AO364" s="1352">
        <f>O364</f>
        <v>0</v>
      </c>
      <c r="AP364" s="1352" t="str">
        <f>SUBSTITUTE(SUBSTITUTE(SUBSTITUTE("dch"&amp;$B364&amp;$C364&amp;$D364&amp;$E364,".","_"),"(","_"),")","")</f>
        <v>dch904_2</v>
      </c>
      <c r="AQ364" s="1352" t="str">
        <f>IF(LEN(W364)=0,"",W364)</f>
        <v/>
      </c>
      <c r="AR364" s="1352" t="str">
        <f>SUBSTITUTE(SUBSTITUTE(SUBSTITUTE("dnt"&amp;$B364&amp;$C364&amp;$D364&amp;$E364,".","_"),"(","_"),")","")</f>
        <v>dnt904_2</v>
      </c>
      <c r="AS364" s="1352" t="str">
        <f>IF(LEN(X364)=0,"",X364)</f>
        <v/>
      </c>
    </row>
    <row r="365" spans="2:51" x14ac:dyDescent="0.2">
      <c r="B365" s="600">
        <v>904.2</v>
      </c>
      <c r="C365" s="23"/>
      <c r="D365" s="23"/>
      <c r="E365" s="23"/>
      <c r="F365" s="23"/>
      <c r="G365" s="23"/>
      <c r="H365" s="691"/>
      <c r="I365" s="406"/>
      <c r="J365" s="129"/>
      <c r="K365" s="129"/>
      <c r="L365" s="1629"/>
      <c r="M365" s="1623"/>
      <c r="N365" s="129"/>
      <c r="O365" s="1619"/>
      <c r="P365" s="991"/>
      <c r="Q365" s="991"/>
      <c r="R365" s="991"/>
      <c r="S365" s="991"/>
      <c r="T365" s="991"/>
      <c r="U365" s="991"/>
      <c r="V365" s="991"/>
      <c r="W365" s="991"/>
      <c r="X365" s="1601"/>
    </row>
    <row r="366" spans="2:51" ht="16" thickBot="1" x14ac:dyDescent="0.25">
      <c r="B366" s="600">
        <v>904.2</v>
      </c>
      <c r="C366" s="23"/>
      <c r="D366" s="23"/>
      <c r="E366" s="23"/>
      <c r="F366" s="23"/>
      <c r="G366" s="23"/>
      <c r="H366" s="691"/>
      <c r="I366" s="407"/>
      <c r="J366" s="239"/>
      <c r="K366" s="239"/>
      <c r="L366" s="1630"/>
      <c r="M366" s="1627"/>
      <c r="N366" s="239"/>
      <c r="O366" s="1638"/>
      <c r="P366" s="100"/>
      <c r="Q366" s="100"/>
      <c r="R366" s="100"/>
      <c r="S366" s="100"/>
      <c r="T366" s="100"/>
      <c r="U366" s="100"/>
      <c r="V366" s="100"/>
      <c r="W366" s="100"/>
      <c r="X366" s="1602"/>
    </row>
    <row r="367" spans="2:51" customFormat="1" ht="16" thickTop="1" x14ac:dyDescent="0.2">
      <c r="B367" s="600" t="s">
        <v>4959</v>
      </c>
      <c r="C367" s="1352"/>
      <c r="D367" s="1352"/>
      <c r="E367" s="1352"/>
      <c r="F367" s="1352"/>
      <c r="I367" s="589" t="s">
        <v>4900</v>
      </c>
      <c r="J367" s="873"/>
      <c r="K367" s="858"/>
      <c r="L367" s="1687" t="s">
        <v>4901</v>
      </c>
      <c r="AL367" s="78"/>
      <c r="AM367" s="78"/>
      <c r="AN367" s="78"/>
      <c r="AO367" s="78"/>
      <c r="AP367" s="78"/>
      <c r="AQ367" s="78"/>
      <c r="AR367" s="78"/>
      <c r="AS367" s="78"/>
      <c r="AX367" s="78"/>
      <c r="AY367" s="78"/>
    </row>
    <row r="368" spans="2:51" customFormat="1" x14ac:dyDescent="0.2">
      <c r="B368" s="600" t="s">
        <v>4959</v>
      </c>
      <c r="C368" s="1352"/>
      <c r="D368" s="1352"/>
      <c r="E368" s="1352"/>
      <c r="F368" s="1352"/>
      <c r="I368" s="589"/>
      <c r="J368" s="873"/>
      <c r="K368" s="858"/>
      <c r="L368" s="1687"/>
      <c r="AL368" s="78"/>
      <c r="AM368" s="78"/>
      <c r="AN368" s="78"/>
      <c r="AO368" s="78"/>
      <c r="AP368" s="78"/>
      <c r="AQ368" s="78"/>
      <c r="AR368" s="78"/>
      <c r="AS368" s="78"/>
      <c r="AX368" s="78"/>
      <c r="AY368" s="78"/>
    </row>
    <row r="369" spans="2:51" customFormat="1" x14ac:dyDescent="0.2">
      <c r="B369" s="600" t="s">
        <v>4959</v>
      </c>
      <c r="C369" t="s">
        <v>254</v>
      </c>
      <c r="F369" s="1352"/>
      <c r="I369" s="589"/>
      <c r="J369" s="1068" t="s">
        <v>254</v>
      </c>
      <c r="K369" s="1111"/>
      <c r="L369" s="1634" t="s">
        <v>4902</v>
      </c>
      <c r="M369" s="1697" t="str">
        <f>IF(R369,"Mandatory","N/A")</f>
        <v>Mandatory</v>
      </c>
      <c r="N369" s="991"/>
      <c r="O369" s="991"/>
      <c r="P369" t="b">
        <v>1</v>
      </c>
      <c r="Q369" t="b">
        <v>0</v>
      </c>
      <c r="R369" t="b">
        <v>1</v>
      </c>
      <c r="S369" t="b">
        <v>1</v>
      </c>
      <c r="T369" t="b">
        <v>0</v>
      </c>
      <c r="W369" s="27" t="b">
        <v>1</v>
      </c>
      <c r="X369" s="1600"/>
      <c r="AC369" s="905" t="b">
        <f>OR(AD369:AE369)</f>
        <v>0</v>
      </c>
      <c r="AD369" s="905" t="b">
        <f>T369</f>
        <v>0</v>
      </c>
      <c r="AE369" s="905" t="b">
        <f>AND(R369,NOT(W369))</f>
        <v>0</v>
      </c>
      <c r="AL369" s="1352" t="str">
        <f>SUBSTITUTE(SUBSTITUTE(SUBSTITUTE("dpa"&amp;$B369&amp;$C369&amp;$D369&amp;$E369,".","_"),"(","_"),")","")</f>
        <v>dpa904_3_1</v>
      </c>
      <c r="AM369" s="1352" t="str">
        <f>M369</f>
        <v>Mandatory</v>
      </c>
      <c r="AN369" s="78"/>
      <c r="AO369" s="78"/>
      <c r="AP369" s="1352" t="str">
        <f>SUBSTITUTE(SUBSTITUTE(SUBSTITUTE("dch"&amp;$B369&amp;$C369&amp;$D369&amp;$E369,".","_"),"(","_"),")","")</f>
        <v>dch904_3_1</v>
      </c>
      <c r="AQ369" s="1352" t="b">
        <f>IF(LEN(W369)=0,"",W369)</f>
        <v>1</v>
      </c>
      <c r="AR369" s="1352" t="str">
        <f>SUBSTITUTE(SUBSTITUTE(SUBSTITUTE("dnt"&amp;$B369&amp;$C369&amp;$D369&amp;$E369,".","_"),"(","_"),")","")</f>
        <v>dnt904_3_1</v>
      </c>
      <c r="AS369" s="1352" t="str">
        <f>IF(LEN(X369)=0,"",X369)</f>
        <v/>
      </c>
    </row>
    <row r="370" spans="2:51" customFormat="1" x14ac:dyDescent="0.2">
      <c r="B370" s="600" t="s">
        <v>4959</v>
      </c>
      <c r="C370" s="905" t="s">
        <v>254</v>
      </c>
      <c r="F370" s="1352"/>
      <c r="I370" s="589"/>
      <c r="J370" s="1068"/>
      <c r="K370" s="1111"/>
      <c r="L370" s="1634"/>
      <c r="M370" s="1697"/>
      <c r="N370" s="991"/>
      <c r="O370" s="991"/>
      <c r="X370" s="1600"/>
      <c r="AL370" s="78"/>
      <c r="AM370" s="78"/>
      <c r="AN370" s="78"/>
      <c r="AO370" s="78"/>
      <c r="AP370" s="78"/>
      <c r="AQ370" s="78"/>
      <c r="AR370" s="78"/>
      <c r="AS370" s="78"/>
    </row>
    <row r="371" spans="2:51" customFormat="1" x14ac:dyDescent="0.2">
      <c r="B371" s="600" t="s">
        <v>4959</v>
      </c>
      <c r="C371" s="905" t="s">
        <v>254</v>
      </c>
      <c r="F371" s="1352"/>
      <c r="I371" s="589"/>
      <c r="J371" s="1068"/>
      <c r="K371" s="1111"/>
      <c r="L371" s="1634"/>
      <c r="M371" s="991"/>
      <c r="N371" s="991"/>
      <c r="O371" s="991"/>
      <c r="X371" s="1600"/>
      <c r="AL371" s="78"/>
      <c r="AM371" s="78"/>
      <c r="AN371" s="78"/>
      <c r="AO371" s="78"/>
      <c r="AP371" s="78"/>
      <c r="AQ371" s="78"/>
      <c r="AR371" s="78"/>
      <c r="AS371" s="78"/>
    </row>
    <row r="372" spans="2:51" customFormat="1" x14ac:dyDescent="0.2">
      <c r="B372" s="600" t="s">
        <v>4959</v>
      </c>
      <c r="C372" s="905" t="s">
        <v>254</v>
      </c>
      <c r="F372" s="1352"/>
      <c r="I372" s="589"/>
      <c r="J372" s="1068"/>
      <c r="K372" s="1111"/>
      <c r="L372" s="1634"/>
      <c r="M372" s="991"/>
      <c r="N372" s="991"/>
      <c r="O372" s="991"/>
      <c r="X372" s="1600"/>
      <c r="AL372" s="78"/>
      <c r="AM372" s="78"/>
      <c r="AN372" s="78"/>
      <c r="AO372" s="78"/>
      <c r="AP372" s="78"/>
      <c r="AQ372" s="78"/>
      <c r="AR372" s="78"/>
      <c r="AS372" s="78"/>
    </row>
    <row r="373" spans="2:51" customFormat="1" x14ac:dyDescent="0.2">
      <c r="B373" s="600" t="s">
        <v>4959</v>
      </c>
      <c r="C373" s="905" t="s">
        <v>254</v>
      </c>
      <c r="F373" s="1352"/>
      <c r="I373" s="589"/>
      <c r="J373" s="1068"/>
      <c r="K373" s="1111"/>
      <c r="L373" s="1634"/>
      <c r="M373" s="991"/>
      <c r="N373" s="991"/>
      <c r="O373" s="991"/>
      <c r="X373" s="1600"/>
      <c r="AL373" s="78"/>
      <c r="AM373" s="78"/>
      <c r="AN373" s="78"/>
      <c r="AO373" s="78"/>
      <c r="AP373" s="78"/>
      <c r="AQ373" s="78"/>
      <c r="AR373" s="78"/>
      <c r="AS373" s="78"/>
    </row>
    <row r="374" spans="2:51" customFormat="1" x14ac:dyDescent="0.2">
      <c r="B374" s="600" t="s">
        <v>4959</v>
      </c>
      <c r="C374" s="905" t="s">
        <v>254</v>
      </c>
      <c r="F374" s="1352"/>
      <c r="I374" s="589"/>
      <c r="J374" s="1068"/>
      <c r="K374" s="1111"/>
      <c r="L374" s="1634"/>
      <c r="M374" s="991"/>
      <c r="N374" s="991"/>
      <c r="O374" s="991"/>
      <c r="X374" s="1600"/>
      <c r="AL374" s="78"/>
      <c r="AM374" s="78"/>
      <c r="AN374" s="78"/>
      <c r="AO374" s="78"/>
      <c r="AP374" s="78"/>
      <c r="AQ374" s="78"/>
      <c r="AR374" s="78"/>
      <c r="AS374" s="78"/>
    </row>
    <row r="375" spans="2:51" customFormat="1" x14ac:dyDescent="0.2">
      <c r="B375" s="600" t="s">
        <v>4959</v>
      </c>
      <c r="C375" s="905" t="s">
        <v>254</v>
      </c>
      <c r="F375" s="1352"/>
      <c r="I375" s="589"/>
      <c r="J375" s="1072"/>
      <c r="K375" s="1118"/>
      <c r="L375" s="1639"/>
      <c r="M375" s="991"/>
      <c r="N375" s="991"/>
      <c r="O375" s="991"/>
      <c r="X375" s="1600"/>
      <c r="AL375" s="78"/>
      <c r="AM375" s="78"/>
      <c r="AN375" s="78"/>
      <c r="AO375" s="78"/>
      <c r="AP375" s="78"/>
      <c r="AQ375" s="78"/>
      <c r="AR375" s="78"/>
      <c r="AS375" s="78"/>
    </row>
    <row r="376" spans="2:51" customFormat="1" x14ac:dyDescent="0.2">
      <c r="B376" s="600" t="s">
        <v>4959</v>
      </c>
      <c r="C376" t="s">
        <v>255</v>
      </c>
      <c r="F376" s="1352"/>
      <c r="I376" s="589"/>
      <c r="J376" s="873" t="s">
        <v>255</v>
      </c>
      <c r="K376" s="858"/>
      <c r="L376" s="1634" t="s">
        <v>4903</v>
      </c>
      <c r="M376" s="1697" t="str">
        <f>IF(R376,"Mandatory","N/A")</f>
        <v>Mandatory</v>
      </c>
      <c r="P376" t="b">
        <v>1</v>
      </c>
      <c r="Q376" t="b">
        <v>0</v>
      </c>
      <c r="R376" t="b">
        <v>1</v>
      </c>
      <c r="S376" t="b">
        <v>1</v>
      </c>
      <c r="T376" t="b">
        <v>0</v>
      </c>
      <c r="W376" s="27" t="b">
        <v>1</v>
      </c>
      <c r="X376" s="1600"/>
      <c r="AC376" s="905" t="b">
        <f>OR(AD376:AE376)</f>
        <v>0</v>
      </c>
      <c r="AD376" s="905" t="b">
        <f>T376</f>
        <v>0</v>
      </c>
      <c r="AE376" s="905" t="b">
        <f>AND(R376,NOT(W376))</f>
        <v>0</v>
      </c>
      <c r="AL376" s="1352" t="str">
        <f>SUBSTITUTE(SUBSTITUTE(SUBSTITUTE("dpa"&amp;$B376&amp;$C376&amp;$D376&amp;$E376,".","_"),"(","_"),")","")</f>
        <v>dpa904_3_2</v>
      </c>
      <c r="AM376" s="1352" t="str">
        <f>M376</f>
        <v>Mandatory</v>
      </c>
      <c r="AN376" s="78"/>
      <c r="AO376" s="78"/>
      <c r="AP376" s="1352" t="str">
        <f>SUBSTITUTE(SUBSTITUTE(SUBSTITUTE("dch"&amp;$B376&amp;$C376&amp;$D376&amp;$E376,".","_"),"(","_"),")","")</f>
        <v>dch904_3_2</v>
      </c>
      <c r="AQ376" s="1352" t="b">
        <f>IF(LEN(W376)=0,"",W376)</f>
        <v>1</v>
      </c>
      <c r="AR376" s="1352" t="str">
        <f>SUBSTITUTE(SUBSTITUTE(SUBSTITUTE("dnt"&amp;$B376&amp;$C376&amp;$D376&amp;$E376,".","_"),"(","_"),")","")</f>
        <v>dnt904_3_2</v>
      </c>
      <c r="AS376" s="1352" t="str">
        <f>IF(LEN(X376)=0,"",X376)</f>
        <v/>
      </c>
    </row>
    <row r="377" spans="2:51" customFormat="1" x14ac:dyDescent="0.2">
      <c r="B377" s="600" t="s">
        <v>4959</v>
      </c>
      <c r="C377" s="905" t="s">
        <v>255</v>
      </c>
      <c r="F377" s="1352"/>
      <c r="I377" s="600"/>
      <c r="J377" s="858"/>
      <c r="K377" s="858"/>
      <c r="L377" s="1634"/>
      <c r="M377" s="1697"/>
      <c r="X377" s="1600"/>
      <c r="AL377" s="78"/>
      <c r="AM377" s="78"/>
      <c r="AN377" s="78"/>
      <c r="AO377" s="78"/>
      <c r="AP377" s="78"/>
      <c r="AQ377" s="78"/>
      <c r="AR377" s="78"/>
      <c r="AS377" s="78"/>
    </row>
    <row r="378" spans="2:51" customFormat="1" x14ac:dyDescent="0.2">
      <c r="B378" s="600" t="s">
        <v>4959</v>
      </c>
      <c r="C378" s="905" t="s">
        <v>255</v>
      </c>
      <c r="F378" s="1352"/>
      <c r="I378" s="600"/>
      <c r="J378" s="858"/>
      <c r="K378" s="858"/>
      <c r="L378" s="1634"/>
      <c r="X378" s="1600"/>
      <c r="AL378" s="78"/>
      <c r="AM378" s="78"/>
      <c r="AN378" s="78"/>
      <c r="AO378" s="78"/>
      <c r="AP378" s="78"/>
      <c r="AQ378" s="78"/>
      <c r="AR378" s="78"/>
      <c r="AS378" s="78"/>
    </row>
    <row r="379" spans="2:51" ht="19" x14ac:dyDescent="0.25">
      <c r="B379" s="600">
        <v>905</v>
      </c>
      <c r="C379" s="23"/>
      <c r="D379" s="23"/>
      <c r="E379" s="23"/>
      <c r="F379" s="23"/>
      <c r="G379" s="23"/>
      <c r="H379" s="691"/>
      <c r="I379" s="14" t="s">
        <v>3712</v>
      </c>
      <c r="J379" s="25"/>
      <c r="K379" s="25"/>
      <c r="L379" s="86"/>
      <c r="M379" s="419"/>
      <c r="N379" s="428"/>
      <c r="O379" s="419"/>
      <c r="P379" s="25"/>
      <c r="Q379" s="25"/>
      <c r="R379" s="25"/>
      <c r="S379" s="25"/>
      <c r="T379" s="25"/>
      <c r="U379" s="25"/>
      <c r="V379" s="25"/>
      <c r="W379" s="25"/>
      <c r="X379" s="25"/>
      <c r="AX379"/>
      <c r="AY379"/>
    </row>
    <row r="380" spans="2:51" x14ac:dyDescent="0.2">
      <c r="B380" s="600">
        <v>905.1</v>
      </c>
      <c r="C380" s="23"/>
      <c r="D380" s="23"/>
      <c r="E380" s="23"/>
      <c r="F380" s="23"/>
      <c r="G380" s="23"/>
      <c r="H380" s="691"/>
      <c r="I380" s="130" t="s">
        <v>3713</v>
      </c>
      <c r="J380" s="129"/>
      <c r="K380" s="129"/>
      <c r="L380" s="1629" t="s">
        <v>3716</v>
      </c>
      <c r="M380" s="1623">
        <v>2</v>
      </c>
      <c r="N380" s="129"/>
      <c r="O380" s="1619">
        <f>M380*S380*W380</f>
        <v>0</v>
      </c>
      <c r="P380" s="96" t="b">
        <v>0</v>
      </c>
      <c r="Q380" s="96" t="b">
        <v>1</v>
      </c>
      <c r="R380" s="96" t="b">
        <v>0</v>
      </c>
      <c r="S380" s="96" t="b">
        <v>1</v>
      </c>
      <c r="T380" s="96" t="b">
        <v>0</v>
      </c>
      <c r="U380" s="96"/>
      <c r="V380" s="96"/>
      <c r="W380" s="333"/>
      <c r="X380" s="1601"/>
      <c r="AC380" s="343"/>
      <c r="AD380" s="343"/>
      <c r="AE380" s="343"/>
      <c r="AL380" s="1352" t="str">
        <f>SUBSTITUTE(SUBSTITUTE(SUBSTITUTE("dpa"&amp;$B380&amp;$C380&amp;$D380&amp;$E380,".","_"),"(","_"),")","")</f>
        <v>dpa905_1</v>
      </c>
      <c r="AM380" s="1352">
        <f>M380</f>
        <v>2</v>
      </c>
      <c r="AN380" s="1352" t="str">
        <f>SUBSTITUTE(SUBSTITUTE(SUBSTITUTE("dpc"&amp;$B380&amp;$C380&amp;$D380&amp;$E380,".","_"),"(","_"),")","")</f>
        <v>dpc905_1</v>
      </c>
      <c r="AO380" s="1352">
        <f>O380</f>
        <v>0</v>
      </c>
      <c r="AP380" s="1352" t="str">
        <f>SUBSTITUTE(SUBSTITUTE(SUBSTITUTE("dch"&amp;$B380&amp;$C380&amp;$D380&amp;$E380,".","_"),"(","_"),")","")</f>
        <v>dch905_1</v>
      </c>
      <c r="AQ380" s="1352" t="str">
        <f>IF(LEN(W380)=0,"",W380)</f>
        <v/>
      </c>
      <c r="AR380" s="1352" t="str">
        <f>SUBSTITUTE(SUBSTITUTE(SUBSTITUTE("dnt"&amp;$B380&amp;$C380&amp;$D380&amp;$E380,".","_"),"(","_"),")","")</f>
        <v>dnt905_1</v>
      </c>
      <c r="AS380" s="1352" t="str">
        <f>IF(LEN(X380)=0,"",X380)</f>
        <v/>
      </c>
      <c r="AX380"/>
      <c r="AY380"/>
    </row>
    <row r="381" spans="2:51" x14ac:dyDescent="0.2">
      <c r="B381" s="600">
        <v>905.1</v>
      </c>
      <c r="C381" s="23"/>
      <c r="D381" s="23"/>
      <c r="E381" s="23"/>
      <c r="F381" s="23"/>
      <c r="G381" s="23"/>
      <c r="H381" s="691"/>
      <c r="I381" s="406"/>
      <c r="J381" s="129"/>
      <c r="K381" s="129"/>
      <c r="L381" s="1629"/>
      <c r="M381" s="1623"/>
      <c r="N381" s="129"/>
      <c r="O381" s="1619"/>
      <c r="P381" s="96"/>
      <c r="Q381" s="96"/>
      <c r="R381" s="96"/>
      <c r="S381" s="96"/>
      <c r="T381" s="96"/>
      <c r="U381" s="96"/>
      <c r="V381" s="96"/>
      <c r="W381" s="96"/>
      <c r="X381" s="1601"/>
    </row>
    <row r="382" spans="2:51" x14ac:dyDescent="0.2">
      <c r="B382" s="600">
        <v>905.1</v>
      </c>
      <c r="C382" s="23"/>
      <c r="D382" s="23"/>
      <c r="E382" s="23"/>
      <c r="F382" s="23"/>
      <c r="G382" s="23"/>
      <c r="H382" s="691"/>
      <c r="I382" s="406"/>
      <c r="J382" s="129"/>
      <c r="K382" s="129"/>
      <c r="L382" s="1629"/>
      <c r="M382" s="1623"/>
      <c r="N382" s="129"/>
      <c r="O382" s="1619"/>
      <c r="P382" s="96"/>
      <c r="Q382" s="96"/>
      <c r="R382" s="96"/>
      <c r="S382" s="96"/>
      <c r="T382" s="96"/>
      <c r="U382" s="96"/>
      <c r="V382" s="96"/>
      <c r="W382" s="96"/>
      <c r="X382" s="1601"/>
    </row>
    <row r="383" spans="2:51" x14ac:dyDescent="0.2">
      <c r="B383" s="600">
        <v>905.1</v>
      </c>
      <c r="C383" s="23"/>
      <c r="D383" s="23"/>
      <c r="E383" s="23"/>
      <c r="F383" s="23"/>
      <c r="G383" s="23"/>
      <c r="H383" s="691"/>
      <c r="I383" s="406"/>
      <c r="J383" s="129"/>
      <c r="K383" s="129"/>
      <c r="L383" s="1629"/>
      <c r="M383" s="1623"/>
      <c r="N383" s="129"/>
      <c r="O383" s="1619"/>
      <c r="P383" s="96"/>
      <c r="Q383" s="96"/>
      <c r="R383" s="96"/>
      <c r="S383" s="96"/>
      <c r="T383" s="96"/>
      <c r="U383" s="96"/>
      <c r="V383" s="96"/>
      <c r="W383" s="96"/>
      <c r="X383" s="1601"/>
    </row>
    <row r="384" spans="2:51" ht="16" thickBot="1" x14ac:dyDescent="0.25">
      <c r="B384" s="600">
        <v>905.1</v>
      </c>
      <c r="C384" s="23"/>
      <c r="D384" s="23"/>
      <c r="E384" s="23"/>
      <c r="F384" s="23"/>
      <c r="G384" s="23"/>
      <c r="H384" s="691"/>
      <c r="I384" s="407"/>
      <c r="J384" s="239"/>
      <c r="K384" s="239"/>
      <c r="L384" s="1630"/>
      <c r="M384" s="1627"/>
      <c r="N384" s="239"/>
      <c r="O384" s="1638"/>
      <c r="P384" s="100"/>
      <c r="Q384" s="100"/>
      <c r="R384" s="100"/>
      <c r="S384" s="100"/>
      <c r="T384" s="100"/>
      <c r="U384" s="100"/>
      <c r="V384" s="100"/>
      <c r="W384" s="100"/>
      <c r="X384" s="1602"/>
    </row>
    <row r="385" spans="2:51" ht="16" thickTop="1" x14ac:dyDescent="0.2">
      <c r="B385" s="600">
        <v>905.2</v>
      </c>
      <c r="C385" s="23"/>
      <c r="D385" s="23"/>
      <c r="E385" s="23"/>
      <c r="F385" s="23"/>
      <c r="G385" s="23"/>
      <c r="H385" s="691"/>
      <c r="I385" s="177" t="s">
        <v>3714</v>
      </c>
      <c r="J385" s="178"/>
      <c r="K385" s="178"/>
      <c r="L385" s="1683" t="s">
        <v>3715</v>
      </c>
      <c r="M385" s="1685">
        <v>2</v>
      </c>
      <c r="N385" s="178"/>
      <c r="O385" s="1682">
        <f>M385*S385*W385</f>
        <v>0</v>
      </c>
      <c r="P385" s="106" t="b">
        <v>0</v>
      </c>
      <c r="Q385" s="106" t="b">
        <v>1</v>
      </c>
      <c r="R385" s="106" t="b">
        <v>0</v>
      </c>
      <c r="S385" s="106" t="b">
        <v>1</v>
      </c>
      <c r="T385" s="106" t="b">
        <v>0</v>
      </c>
      <c r="U385" s="106"/>
      <c r="V385" s="106"/>
      <c r="W385" s="334"/>
      <c r="X385" s="1603"/>
      <c r="AC385" s="343"/>
      <c r="AD385" s="343"/>
      <c r="AE385" s="343"/>
      <c r="AL385" s="1352" t="str">
        <f>SUBSTITUTE(SUBSTITUTE(SUBSTITUTE("dpa"&amp;$B385&amp;$C385&amp;$D385&amp;$E385,".","_"),"(","_"),")","")</f>
        <v>dpa905_2</v>
      </c>
      <c r="AM385" s="1352">
        <f>M385</f>
        <v>2</v>
      </c>
      <c r="AN385" s="1352" t="str">
        <f>SUBSTITUTE(SUBSTITUTE(SUBSTITUTE("dpc"&amp;$B385&amp;$C385&amp;$D385&amp;$E385,".","_"),"(","_"),")","")</f>
        <v>dpc905_2</v>
      </c>
      <c r="AO385" s="1352">
        <f>O385</f>
        <v>0</v>
      </c>
      <c r="AP385" s="1352" t="str">
        <f>SUBSTITUTE(SUBSTITUTE(SUBSTITUTE("dch"&amp;$B385&amp;$C385&amp;$D385&amp;$E385,".","_"),"(","_"),")","")</f>
        <v>dch905_2</v>
      </c>
      <c r="AQ385" s="1352" t="str">
        <f>IF(LEN(W385)=0,"",W385)</f>
        <v/>
      </c>
      <c r="AR385" s="1352" t="str">
        <f>SUBSTITUTE(SUBSTITUTE(SUBSTITUTE("dnt"&amp;$B385&amp;$C385&amp;$D385&amp;$E385,".","_"),"(","_"),")","")</f>
        <v>dnt905_2</v>
      </c>
      <c r="AS385" s="1352" t="str">
        <f>IF(LEN(X385)=0,"",X385)</f>
        <v/>
      </c>
    </row>
    <row r="386" spans="2:51" ht="16" thickBot="1" x14ac:dyDescent="0.25">
      <c r="B386" s="600">
        <v>905.2</v>
      </c>
      <c r="C386" s="23"/>
      <c r="D386" s="23"/>
      <c r="E386" s="23"/>
      <c r="F386" s="23"/>
      <c r="G386" s="23"/>
      <c r="H386" s="691"/>
      <c r="I386" s="407"/>
      <c r="J386" s="239"/>
      <c r="K386" s="239"/>
      <c r="L386" s="1630"/>
      <c r="M386" s="1627"/>
      <c r="N386" s="239"/>
      <c r="O386" s="1638"/>
      <c r="P386" s="100"/>
      <c r="Q386" s="100"/>
      <c r="R386" s="100"/>
      <c r="S386" s="100"/>
      <c r="T386" s="100"/>
      <c r="U386" s="100"/>
      <c r="V386" s="100"/>
      <c r="W386" s="100"/>
      <c r="X386" s="1602"/>
    </row>
    <row r="387" spans="2:51" customFormat="1" ht="16" thickTop="1" x14ac:dyDescent="0.2">
      <c r="B387" s="600" t="s">
        <v>4918</v>
      </c>
      <c r="C387" s="23"/>
      <c r="D387" s="23"/>
      <c r="F387" s="1352"/>
      <c r="I387" s="589" t="s">
        <v>4904</v>
      </c>
      <c r="J387" s="873"/>
      <c r="K387" s="858"/>
      <c r="L387" s="946" t="s">
        <v>4905</v>
      </c>
      <c r="M387" s="911">
        <v>2</v>
      </c>
      <c r="O387" s="935">
        <f>M387*S388*AND(W388=TRUE,W389=TRUE)</f>
        <v>0</v>
      </c>
      <c r="U387" s="991"/>
      <c r="AL387" s="1352" t="str">
        <f>SUBSTITUTE(SUBSTITUTE(SUBSTITUTE("dpa"&amp;$B387&amp;$C387&amp;$D387&amp;$E387,".","_"),"(","_"),")","")</f>
        <v>dpa905_3</v>
      </c>
      <c r="AM387" s="1352">
        <f>M387</f>
        <v>2</v>
      </c>
      <c r="AN387" s="1352" t="str">
        <f>SUBSTITUTE(SUBSTITUTE(SUBSTITUTE("dpc"&amp;$B387&amp;$C387&amp;$D387&amp;$E387,".","_"),"(","_"),")","")</f>
        <v>dpc905_3</v>
      </c>
      <c r="AO387" s="1352">
        <f>O387</f>
        <v>0</v>
      </c>
      <c r="AP387" s="78"/>
      <c r="AQ387" s="78"/>
      <c r="AR387" s="78"/>
      <c r="AS387" s="78"/>
      <c r="AX387" s="78"/>
      <c r="AY387" s="78"/>
    </row>
    <row r="388" spans="2:51" customFormat="1" x14ac:dyDescent="0.2">
      <c r="B388" s="600" t="s">
        <v>4918</v>
      </c>
      <c r="C388" s="23" t="s">
        <v>254</v>
      </c>
      <c r="D388" s="23"/>
      <c r="F388" s="1352"/>
      <c r="I388" s="589"/>
      <c r="J388" s="1072" t="s">
        <v>254</v>
      </c>
      <c r="K388" s="1118"/>
      <c r="L388" s="923" t="s">
        <v>4906</v>
      </c>
      <c r="M388" s="911"/>
      <c r="O388" s="935"/>
      <c r="P388" t="b">
        <v>0</v>
      </c>
      <c r="Q388" t="b">
        <v>1</v>
      </c>
      <c r="R388" t="b">
        <v>0</v>
      </c>
      <c r="S388" t="b">
        <v>1</v>
      </c>
      <c r="T388" t="b">
        <v>0</v>
      </c>
      <c r="W388" s="27"/>
      <c r="X388" s="906"/>
      <c r="AC388" s="905"/>
      <c r="AD388" s="905"/>
      <c r="AE388" s="905"/>
      <c r="AL388" s="78"/>
      <c r="AM388" s="78"/>
      <c r="AN388" s="78"/>
      <c r="AO388" s="78"/>
      <c r="AP388" s="1352" t="str">
        <f>SUBSTITUTE(SUBSTITUTE(SUBSTITUTE("dch"&amp;$B388&amp;$C388&amp;$D388&amp;$E388,".","_"),"(","_"),")","")</f>
        <v>dch905_3_1</v>
      </c>
      <c r="AQ388" s="1352" t="str">
        <f>IF(LEN(W388)=0,"",W388)</f>
        <v/>
      </c>
      <c r="AR388" s="1352" t="str">
        <f>SUBSTITUTE(SUBSTITUTE(SUBSTITUTE("dnt"&amp;$B388&amp;$C388&amp;$D388&amp;$E388,".","_"),"(","_"),")","")</f>
        <v>dnt905_3_1</v>
      </c>
      <c r="AS388" s="1352" t="str">
        <f>IF(LEN(X388)=0,"",X388)</f>
        <v/>
      </c>
      <c r="AX388" s="78"/>
      <c r="AY388" s="78"/>
    </row>
    <row r="389" spans="2:51" customFormat="1" x14ac:dyDescent="0.2">
      <c r="B389" s="600" t="s">
        <v>4918</v>
      </c>
      <c r="C389" s="23" t="s">
        <v>255</v>
      </c>
      <c r="D389" s="23"/>
      <c r="F389" s="1352"/>
      <c r="I389" s="590"/>
      <c r="J389" s="1068" t="s">
        <v>255</v>
      </c>
      <c r="K389" s="1111"/>
      <c r="L389" s="1634" t="s">
        <v>4907</v>
      </c>
      <c r="M389" s="913"/>
      <c r="N389" s="991"/>
      <c r="O389" s="991"/>
      <c r="P389" s="991" t="b">
        <v>0</v>
      </c>
      <c r="Q389" s="991" t="b">
        <v>1</v>
      </c>
      <c r="R389" s="991" t="b">
        <v>0</v>
      </c>
      <c r="S389" s="991" t="b">
        <v>1</v>
      </c>
      <c r="T389" s="991" t="b">
        <v>0</v>
      </c>
      <c r="U389" s="991"/>
      <c r="V389" s="991"/>
      <c r="W389" s="333"/>
      <c r="X389" s="1601"/>
      <c r="AC389" s="905"/>
      <c r="AD389" s="905"/>
      <c r="AE389" s="905"/>
      <c r="AL389" s="78"/>
      <c r="AM389" s="78"/>
      <c r="AN389" s="78"/>
      <c r="AO389" s="78"/>
      <c r="AP389" s="1352" t="str">
        <f>SUBSTITUTE(SUBSTITUTE(SUBSTITUTE("dch"&amp;$B389&amp;$C389&amp;$D389&amp;$E389,".","_"),"(","_"),")","")</f>
        <v>dch905_3_2</v>
      </c>
      <c r="AQ389" s="1352" t="str">
        <f>IF(LEN(W389)=0,"",W389)</f>
        <v/>
      </c>
      <c r="AR389" s="1352" t="str">
        <f>SUBSTITUTE(SUBSTITUTE(SUBSTITUTE("dnt"&amp;$B389&amp;$C389&amp;$D389&amp;$E389,".","_"),"(","_"),")","")</f>
        <v>dnt905_3_2</v>
      </c>
      <c r="AS389" s="1352" t="str">
        <f>IF(LEN(X389)=0,"",X389)</f>
        <v/>
      </c>
    </row>
    <row r="390" spans="2:51" s="905" customFormat="1" ht="16" thickBot="1" x14ac:dyDescent="0.25">
      <c r="B390" s="600" t="s">
        <v>4918</v>
      </c>
      <c r="C390" s="23" t="s">
        <v>255</v>
      </c>
      <c r="D390" s="23"/>
      <c r="F390" s="1352"/>
      <c r="I390" s="594"/>
      <c r="J390" s="1069"/>
      <c r="K390" s="1112"/>
      <c r="L390" s="1635"/>
      <c r="M390" s="914"/>
      <c r="N390" s="100"/>
      <c r="O390" s="100"/>
      <c r="P390" s="100"/>
      <c r="Q390" s="100"/>
      <c r="R390" s="100"/>
      <c r="S390" s="100"/>
      <c r="T390" s="100"/>
      <c r="U390" s="100"/>
      <c r="V390" s="100"/>
      <c r="W390" s="100"/>
      <c r="X390" s="1602"/>
      <c r="AL390" s="78"/>
      <c r="AM390" s="78"/>
      <c r="AN390" s="78"/>
      <c r="AO390" s="78"/>
      <c r="AP390" s="78"/>
      <c r="AQ390" s="78"/>
      <c r="AR390" s="78"/>
      <c r="AS390" s="78"/>
      <c r="AX390"/>
      <c r="AY390"/>
    </row>
    <row r="391" spans="2:51" customFormat="1" ht="15" customHeight="1" thickTop="1" x14ac:dyDescent="0.2">
      <c r="B391" s="600" t="s">
        <v>4919</v>
      </c>
      <c r="C391" s="23"/>
      <c r="D391" s="23"/>
      <c r="F391" s="1352"/>
      <c r="I391" s="589" t="s">
        <v>4908</v>
      </c>
      <c r="J391" s="873"/>
      <c r="K391" s="858"/>
      <c r="L391" s="1687" t="s">
        <v>4909</v>
      </c>
      <c r="M391" s="1628" t="s">
        <v>5074</v>
      </c>
      <c r="O391" s="930">
        <f ca="1">IF(AY19=INDEX(INDIRECT("ddSingleOrMulti"),2),4,1)*S391*W391</f>
        <v>0</v>
      </c>
      <c r="P391" t="b">
        <v>0</v>
      </c>
      <c r="Q391" t="b">
        <v>1</v>
      </c>
      <c r="R391" s="905" t="b">
        <v>0</v>
      </c>
      <c r="S391" s="905" t="b">
        <v>1</v>
      </c>
      <c r="T391" s="905" t="b">
        <v>0</v>
      </c>
      <c r="W391" s="119"/>
      <c r="X391" s="1599"/>
      <c r="AC391" s="905"/>
      <c r="AD391" s="905"/>
      <c r="AE391" s="905"/>
      <c r="AL391" s="1352" t="str">
        <f>SUBSTITUTE(SUBSTITUTE(SUBSTITUTE("dpa"&amp;$B391&amp;$C391&amp;$D391&amp;$E391,".","_"),"(","_"),")","")</f>
        <v>dpa905_4</v>
      </c>
      <c r="AM391" s="1352" t="str">
        <f>M391</f>
        <v>1 SF / 4 MF</v>
      </c>
      <c r="AN391" s="1352" t="str">
        <f>SUBSTITUTE(SUBSTITUTE(SUBSTITUTE("dpc"&amp;$B391&amp;$C391&amp;$D391&amp;$E391,".","_"),"(","_"),")","")</f>
        <v>dpc905_4</v>
      </c>
      <c r="AO391" s="1352">
        <f ca="1">O391</f>
        <v>0</v>
      </c>
      <c r="AP391" s="1352" t="str">
        <f>SUBSTITUTE(SUBSTITUTE(SUBSTITUTE("dch"&amp;$B391&amp;$C391&amp;$D391&amp;$E391,".","_"),"(","_"),")","")</f>
        <v>dch905_4</v>
      </c>
      <c r="AQ391" s="1352" t="str">
        <f>IF(LEN(W391)=0,"",W391)</f>
        <v/>
      </c>
      <c r="AR391" s="1352" t="str">
        <f>SUBSTITUTE(SUBSTITUTE(SUBSTITUTE("dnt"&amp;$B391&amp;$C391&amp;$D391&amp;$E391,".","_"),"(","_"),")","")</f>
        <v>dnt905_4</v>
      </c>
      <c r="AS391" s="1352" t="str">
        <f>IF(LEN(X391)=0,"",X391)</f>
        <v/>
      </c>
    </row>
    <row r="392" spans="2:51" customFormat="1" x14ac:dyDescent="0.2">
      <c r="B392" s="600" t="s">
        <v>4919</v>
      </c>
      <c r="C392" s="23"/>
      <c r="D392" s="23"/>
      <c r="F392" s="1352"/>
      <c r="I392" s="589"/>
      <c r="J392" s="873"/>
      <c r="K392" s="858"/>
      <c r="L392" s="1687"/>
      <c r="M392" s="1628"/>
      <c r="X392" s="1600"/>
      <c r="AL392" s="78"/>
      <c r="AM392" s="78"/>
      <c r="AN392" s="78"/>
      <c r="AO392" s="78"/>
      <c r="AP392" s="78"/>
      <c r="AQ392" s="78"/>
      <c r="AR392" s="78"/>
      <c r="AS392" s="78"/>
      <c r="AX392" s="905"/>
      <c r="AY392" s="905"/>
    </row>
    <row r="393" spans="2:51" customFormat="1" x14ac:dyDescent="0.2">
      <c r="B393" s="600" t="s">
        <v>4919</v>
      </c>
      <c r="C393" s="23"/>
      <c r="D393" s="23"/>
      <c r="F393" s="1352"/>
      <c r="I393" s="589"/>
      <c r="J393" s="873"/>
      <c r="K393" s="858"/>
      <c r="L393" s="1687"/>
      <c r="M393" s="1628"/>
      <c r="X393" s="1600"/>
      <c r="AL393" s="78"/>
      <c r="AM393" s="78"/>
      <c r="AN393" s="78"/>
      <c r="AO393" s="78"/>
      <c r="AP393" s="78"/>
      <c r="AQ393" s="78"/>
      <c r="AR393" s="78"/>
      <c r="AS393" s="78"/>
    </row>
    <row r="394" spans="2:51" customFormat="1" x14ac:dyDescent="0.2">
      <c r="B394" s="600" t="s">
        <v>4919</v>
      </c>
      <c r="C394" s="23"/>
      <c r="D394" s="23"/>
      <c r="F394" s="1352"/>
      <c r="I394" s="589"/>
      <c r="J394" s="873"/>
      <c r="K394" s="858"/>
      <c r="L394" s="1245" t="s">
        <v>5075</v>
      </c>
      <c r="M394" s="911"/>
      <c r="AL394" s="78"/>
      <c r="AM394" s="78"/>
      <c r="AN394" s="78"/>
      <c r="AO394" s="78"/>
      <c r="AP394" s="78"/>
      <c r="AQ394" s="78"/>
      <c r="AR394" s="78"/>
      <c r="AS394" s="78"/>
    </row>
    <row r="395" spans="2:51" customFormat="1" ht="16" thickBot="1" x14ac:dyDescent="0.25">
      <c r="B395" s="600" t="s">
        <v>4919</v>
      </c>
      <c r="C395" s="23"/>
      <c r="D395" s="23"/>
      <c r="F395" s="1352"/>
      <c r="I395" s="594"/>
      <c r="J395" s="1069"/>
      <c r="K395" s="1112"/>
      <c r="L395" s="1246" t="s">
        <v>5076</v>
      </c>
      <c r="M395" s="914"/>
      <c r="N395" s="100"/>
      <c r="O395" s="100"/>
      <c r="P395" s="100"/>
      <c r="Q395" s="100"/>
      <c r="R395" s="100"/>
      <c r="S395" s="100"/>
      <c r="T395" s="100"/>
      <c r="U395" s="100"/>
      <c r="V395" s="100"/>
      <c r="W395" s="100"/>
      <c r="X395" s="100"/>
      <c r="AL395" s="78"/>
      <c r="AM395" s="78"/>
      <c r="AN395" s="78"/>
      <c r="AO395" s="78"/>
      <c r="AP395" s="78"/>
      <c r="AQ395" s="78"/>
      <c r="AR395" s="78"/>
      <c r="AS395" s="78"/>
    </row>
    <row r="396" spans="2:51" customFormat="1" ht="15" customHeight="1" thickTop="1" x14ac:dyDescent="0.2">
      <c r="B396" s="600" t="s">
        <v>4920</v>
      </c>
      <c r="C396" s="23"/>
      <c r="D396" s="23"/>
      <c r="F396" s="1352"/>
      <c r="I396" s="603" t="s">
        <v>4910</v>
      </c>
      <c r="J396" s="1070"/>
      <c r="K396" s="1119"/>
      <c r="L396" s="1740" t="s">
        <v>4911</v>
      </c>
      <c r="M396" s="1685">
        <v>2</v>
      </c>
      <c r="N396" s="106"/>
      <c r="O396" s="1770">
        <f>M396*S396*W396</f>
        <v>0</v>
      </c>
      <c r="P396" s="106" t="b">
        <v>0</v>
      </c>
      <c r="Q396" s="106" t="b">
        <v>1</v>
      </c>
      <c r="R396" s="106" t="b">
        <v>0</v>
      </c>
      <c r="S396" s="106" t="b">
        <v>1</v>
      </c>
      <c r="T396" s="106" t="b">
        <v>0</v>
      </c>
      <c r="U396" s="106"/>
      <c r="V396" s="106"/>
      <c r="W396" s="334"/>
      <c r="X396" s="1603"/>
      <c r="AC396" s="905"/>
      <c r="AD396" s="905"/>
      <c r="AE396" s="905"/>
      <c r="AL396" s="1352" t="str">
        <f>SUBSTITUTE(SUBSTITUTE(SUBSTITUTE("dpa"&amp;$B396&amp;$C396&amp;$D396&amp;$E396,".","_"),"(","_"),")","")</f>
        <v>dpa905_5</v>
      </c>
      <c r="AM396" s="1352">
        <f>M396</f>
        <v>2</v>
      </c>
      <c r="AN396" s="1352" t="str">
        <f>SUBSTITUTE(SUBSTITUTE(SUBSTITUTE("dpc"&amp;$B396&amp;$C396&amp;$D396&amp;$E396,".","_"),"(","_"),")","")</f>
        <v>dpc905_5</v>
      </c>
      <c r="AO396" s="1352">
        <f>O396</f>
        <v>0</v>
      </c>
      <c r="AP396" s="1352" t="str">
        <f>SUBSTITUTE(SUBSTITUTE(SUBSTITUTE("dch"&amp;$B396&amp;$C396&amp;$D396&amp;$E396,".","_"),"(","_"),")","")</f>
        <v>dch905_5</v>
      </c>
      <c r="AQ396" s="1352" t="str">
        <f>IF(LEN(W396)=0,"",W396)</f>
        <v/>
      </c>
      <c r="AR396" s="1352" t="str">
        <f>SUBSTITUTE(SUBSTITUTE(SUBSTITUTE("dnt"&amp;$B396&amp;$C396&amp;$D396&amp;$E396,".","_"),"(","_"),")","")</f>
        <v>dnt905_5</v>
      </c>
      <c r="AS396" s="1352" t="str">
        <f>IF(LEN(X396)=0,"",X396)</f>
        <v/>
      </c>
    </row>
    <row r="397" spans="2:51" customFormat="1" x14ac:dyDescent="0.2">
      <c r="B397" s="600" t="s">
        <v>4920</v>
      </c>
      <c r="C397" s="23"/>
      <c r="D397" s="23"/>
      <c r="F397" s="1352"/>
      <c r="I397" s="590"/>
      <c r="J397" s="1068"/>
      <c r="K397" s="1111"/>
      <c r="L397" s="1687"/>
      <c r="M397" s="1623"/>
      <c r="N397" s="991"/>
      <c r="O397" s="1755"/>
      <c r="P397" s="991"/>
      <c r="Q397" s="991"/>
      <c r="R397" s="991"/>
      <c r="S397" s="991"/>
      <c r="T397" s="991"/>
      <c r="U397" s="991"/>
      <c r="V397" s="991"/>
      <c r="W397" s="991"/>
      <c r="X397" s="1601"/>
      <c r="AL397" s="78"/>
      <c r="AM397" s="78"/>
      <c r="AN397" s="78"/>
      <c r="AO397" s="78"/>
      <c r="AP397" s="78"/>
      <c r="AQ397" s="78"/>
      <c r="AR397" s="78"/>
      <c r="AS397" s="78"/>
    </row>
    <row r="398" spans="2:51" customFormat="1" x14ac:dyDescent="0.2">
      <c r="B398" s="600" t="s">
        <v>4920</v>
      </c>
      <c r="C398" s="23"/>
      <c r="D398" s="23"/>
      <c r="F398" s="1352"/>
      <c r="I398" s="590"/>
      <c r="J398" s="1068"/>
      <c r="K398" s="1111"/>
      <c r="L398" s="1687"/>
      <c r="M398" s="1623"/>
      <c r="N398" s="991"/>
      <c r="O398" s="1755"/>
      <c r="P398" s="991"/>
      <c r="Q398" s="991"/>
      <c r="R398" s="991"/>
      <c r="S398" s="991"/>
      <c r="T398" s="991"/>
      <c r="U398" s="991"/>
      <c r="V398" s="991"/>
      <c r="W398" s="991"/>
      <c r="X398" s="1601"/>
      <c r="AL398" s="78"/>
      <c r="AM398" s="78"/>
      <c r="AN398" s="78"/>
      <c r="AO398" s="78"/>
      <c r="AP398" s="78"/>
      <c r="AQ398" s="78"/>
      <c r="AR398" s="78"/>
      <c r="AS398" s="78"/>
    </row>
    <row r="399" spans="2:51" customFormat="1" ht="16" thickBot="1" x14ac:dyDescent="0.25">
      <c r="B399" s="600" t="s">
        <v>4920</v>
      </c>
      <c r="C399" s="23"/>
      <c r="D399" s="23"/>
      <c r="F399" s="1352"/>
      <c r="I399" s="594"/>
      <c r="J399" s="1069"/>
      <c r="K399" s="1112"/>
      <c r="L399" s="1738"/>
      <c r="M399" s="1627"/>
      <c r="N399" s="100"/>
      <c r="O399" s="1645"/>
      <c r="P399" s="100"/>
      <c r="Q399" s="100"/>
      <c r="R399" s="100"/>
      <c r="S399" s="100"/>
      <c r="T399" s="100"/>
      <c r="U399" s="100"/>
      <c r="V399" s="100"/>
      <c r="W399" s="100"/>
      <c r="X399" s="1602"/>
      <c r="AL399" s="78"/>
      <c r="AM399" s="78"/>
      <c r="AN399" s="78"/>
      <c r="AO399" s="78"/>
      <c r="AP399" s="78"/>
      <c r="AQ399" s="78"/>
      <c r="AR399" s="78"/>
      <c r="AS399" s="78"/>
    </row>
    <row r="400" spans="2:51" customFormat="1" ht="15" customHeight="1" thickTop="1" x14ac:dyDescent="0.2">
      <c r="B400" s="600" t="s">
        <v>4921</v>
      </c>
      <c r="C400" s="23"/>
      <c r="D400" s="23"/>
      <c r="F400" s="1352"/>
      <c r="I400" s="589" t="s">
        <v>4912</v>
      </c>
      <c r="J400" s="873"/>
      <c r="K400" s="858"/>
      <c r="L400" s="1687" t="s">
        <v>4913</v>
      </c>
      <c r="M400" s="1628" t="s">
        <v>4914</v>
      </c>
      <c r="O400" s="1619">
        <f ca="1">IFERROR(INDEX({1,3,3},MATCH(W400,INDIRECT(U400),0)),0)*S400</f>
        <v>0</v>
      </c>
      <c r="P400" t="b">
        <v>1</v>
      </c>
      <c r="Q400" t="b">
        <v>0</v>
      </c>
      <c r="R400" s="905" t="b">
        <v>0</v>
      </c>
      <c r="S400" s="905" t="b">
        <v>1</v>
      </c>
      <c r="T400" s="905" t="b">
        <v>0</v>
      </c>
      <c r="U400" s="991" t="str">
        <f>SUBSTITUTE(SUBSTITUTE(SUBSTITUTE("dd"&amp;B400&amp;C400&amp;D400&amp;E400&amp;F400,".","_"),"(","_"),")","")</f>
        <v>dd905_6</v>
      </c>
      <c r="W400" s="269"/>
      <c r="X400" s="1599"/>
      <c r="AC400" s="905"/>
      <c r="AD400" s="905"/>
      <c r="AE400" s="905"/>
      <c r="AL400" s="1352" t="str">
        <f>SUBSTITUTE(SUBSTITUTE(SUBSTITUTE("dpa"&amp;$B400&amp;$C400&amp;$D400&amp;$E400,".","_"),"(","_"),")","")</f>
        <v>dpa905_6</v>
      </c>
      <c r="AM400" s="1352" t="str">
        <f>M400</f>
        <v>3 max</v>
      </c>
      <c r="AN400" s="1352" t="str">
        <f>SUBSTITUTE(SUBSTITUTE(SUBSTITUTE("dpc"&amp;$B400&amp;$C400&amp;$D400&amp;$E400,".","_"),"(","_"),")","")</f>
        <v>dpc905_6</v>
      </c>
      <c r="AO400" s="1352">
        <f ca="1">O400</f>
        <v>0</v>
      </c>
      <c r="AP400" s="1352" t="str">
        <f>SUBSTITUTE(SUBSTITUTE(SUBSTITUTE("dch"&amp;$B400&amp;$C400&amp;$D400&amp;$E400,".","_"),"(","_"),")","")</f>
        <v>dch905_6</v>
      </c>
      <c r="AQ400" s="1352" t="str">
        <f>IF(LEN(W400)=0,"",W400)</f>
        <v/>
      </c>
      <c r="AR400" s="1352" t="str">
        <f>SUBSTITUTE(SUBSTITUTE(SUBSTITUTE("dnt"&amp;$B400&amp;$C400&amp;$D400&amp;$E400,".","_"),"(","_"),")","")</f>
        <v>dnt905_6</v>
      </c>
      <c r="AS400" s="1352" t="str">
        <f>IF(LEN(X400)=0,"",X400)</f>
        <v/>
      </c>
    </row>
    <row r="401" spans="1:51" customFormat="1" x14ac:dyDescent="0.2">
      <c r="B401" s="600" t="s">
        <v>4921</v>
      </c>
      <c r="C401" s="23"/>
      <c r="D401" s="23"/>
      <c r="F401" s="1352"/>
      <c r="I401" s="589"/>
      <c r="J401" s="873"/>
      <c r="K401" s="858"/>
      <c r="L401" s="1687"/>
      <c r="M401" s="1628"/>
      <c r="O401" s="1619"/>
      <c r="X401" s="1600"/>
      <c r="AL401" s="78"/>
      <c r="AM401" s="78"/>
      <c r="AN401" s="78"/>
      <c r="AO401" s="78"/>
      <c r="AP401" s="78"/>
      <c r="AQ401" s="78"/>
      <c r="AR401" s="78"/>
      <c r="AS401" s="78"/>
    </row>
    <row r="402" spans="1:51" customFormat="1" ht="15" customHeight="1" x14ac:dyDescent="0.2">
      <c r="B402" s="600" t="s">
        <v>4921</v>
      </c>
      <c r="C402" s="23" t="s">
        <v>254</v>
      </c>
      <c r="D402" s="23"/>
      <c r="F402" s="1352"/>
      <c r="I402" s="589"/>
      <c r="J402" s="1068" t="s">
        <v>254</v>
      </c>
      <c r="K402" s="1111"/>
      <c r="L402" s="1634" t="s">
        <v>4915</v>
      </c>
      <c r="M402" s="1623">
        <v>1</v>
      </c>
      <c r="X402" s="1600"/>
      <c r="AL402" s="1352" t="str">
        <f>SUBSTITUTE(SUBSTITUTE(SUBSTITUTE("dpa"&amp;$B402&amp;$C402&amp;$D402&amp;$E402,".","_"),"(","_"),")","")</f>
        <v>dpa905_6_1</v>
      </c>
      <c r="AM402" s="1352">
        <f>M402</f>
        <v>1</v>
      </c>
      <c r="AN402" s="78"/>
      <c r="AO402" s="78"/>
      <c r="AP402" s="78"/>
      <c r="AQ402" s="78"/>
      <c r="AR402" s="78"/>
      <c r="AS402" s="78"/>
    </row>
    <row r="403" spans="1:51" customFormat="1" x14ac:dyDescent="0.2">
      <c r="B403" s="600" t="s">
        <v>4921</v>
      </c>
      <c r="C403" s="23" t="s">
        <v>254</v>
      </c>
      <c r="D403" s="23"/>
      <c r="F403" s="1352"/>
      <c r="I403" s="589"/>
      <c r="J403" s="1072"/>
      <c r="K403" s="1118"/>
      <c r="L403" s="1639"/>
      <c r="M403" s="1624"/>
      <c r="X403" s="1600"/>
      <c r="AL403" s="78"/>
      <c r="AM403" s="78"/>
      <c r="AN403" s="78"/>
      <c r="AO403" s="78"/>
      <c r="AP403" s="78"/>
      <c r="AQ403" s="78"/>
      <c r="AR403" s="78"/>
      <c r="AS403" s="78"/>
    </row>
    <row r="404" spans="1:51" customFormat="1" ht="15" customHeight="1" x14ac:dyDescent="0.2">
      <c r="B404" s="600" t="s">
        <v>4921</v>
      </c>
      <c r="C404" s="23" t="s">
        <v>255</v>
      </c>
      <c r="D404" s="23"/>
      <c r="F404" s="1352"/>
      <c r="I404" s="589"/>
      <c r="J404" s="1073" t="s">
        <v>255</v>
      </c>
      <c r="K404" s="1120"/>
      <c r="L404" s="1633" t="s">
        <v>4916</v>
      </c>
      <c r="M404" s="1636">
        <v>3</v>
      </c>
      <c r="X404" s="1600"/>
      <c r="AL404" s="1352" t="str">
        <f>SUBSTITUTE(SUBSTITUTE(SUBSTITUTE("dpa"&amp;$B404&amp;$C404&amp;$D404&amp;$E404,".","_"),"(","_"),")","")</f>
        <v>dpa905_6_2</v>
      </c>
      <c r="AM404" s="1352">
        <f>M404</f>
        <v>3</v>
      </c>
      <c r="AN404" s="78"/>
      <c r="AO404" s="78"/>
      <c r="AP404" s="78"/>
      <c r="AQ404" s="78"/>
      <c r="AR404" s="78"/>
      <c r="AS404" s="78"/>
    </row>
    <row r="405" spans="1:51" customFormat="1" x14ac:dyDescent="0.2">
      <c r="B405" s="600" t="s">
        <v>4921</v>
      </c>
      <c r="C405" s="23" t="s">
        <v>255</v>
      </c>
      <c r="D405" s="23"/>
      <c r="F405" s="1352"/>
      <c r="I405" s="589"/>
      <c r="J405" s="1068"/>
      <c r="K405" s="1111"/>
      <c r="L405" s="1634"/>
      <c r="M405" s="1623"/>
      <c r="X405" s="1600"/>
      <c r="AL405" s="78"/>
      <c r="AM405" s="78"/>
      <c r="AN405" s="78"/>
      <c r="AO405" s="78"/>
      <c r="AP405" s="78"/>
      <c r="AQ405" s="78"/>
      <c r="AR405" s="78"/>
      <c r="AS405" s="78"/>
    </row>
    <row r="406" spans="1:51" customFormat="1" x14ac:dyDescent="0.2">
      <c r="B406" s="600" t="s">
        <v>4921</v>
      </c>
      <c r="C406" s="23" t="s">
        <v>255</v>
      </c>
      <c r="D406" s="23"/>
      <c r="F406" s="1352"/>
      <c r="I406" s="589"/>
      <c r="J406" s="1072"/>
      <c r="K406" s="1118"/>
      <c r="L406" s="1639"/>
      <c r="M406" s="1624"/>
      <c r="X406" s="1600"/>
      <c r="AL406" s="78"/>
      <c r="AM406" s="78"/>
      <c r="AN406" s="78"/>
      <c r="AO406" s="78"/>
      <c r="AP406" s="78"/>
      <c r="AQ406" s="78"/>
      <c r="AR406" s="78"/>
      <c r="AS406" s="78"/>
    </row>
    <row r="407" spans="1:51" customFormat="1" ht="15" customHeight="1" x14ac:dyDescent="0.2">
      <c r="B407" s="600" t="s">
        <v>4921</v>
      </c>
      <c r="C407" s="23" t="s">
        <v>256</v>
      </c>
      <c r="D407" s="23"/>
      <c r="F407" s="1352"/>
      <c r="I407" s="589"/>
      <c r="J407" s="873" t="s">
        <v>256</v>
      </c>
      <c r="K407" s="858"/>
      <c r="L407" s="1634" t="s">
        <v>4917</v>
      </c>
      <c r="M407" s="1628">
        <v>3</v>
      </c>
      <c r="X407" s="1600"/>
      <c r="AL407" s="1352" t="str">
        <f>SUBSTITUTE(SUBSTITUTE(SUBSTITUTE("dpa"&amp;$B407&amp;$C407&amp;$D407&amp;$E407,".","_"),"(","_"),")","")</f>
        <v>dpa905_6_3</v>
      </c>
      <c r="AM407" s="1352">
        <f>M407</f>
        <v>3</v>
      </c>
      <c r="AN407" s="78"/>
      <c r="AO407" s="78"/>
      <c r="AP407" s="78"/>
      <c r="AQ407" s="78"/>
      <c r="AR407" s="78"/>
      <c r="AS407" s="78"/>
    </row>
    <row r="408" spans="1:51" customFormat="1" ht="16" thickBot="1" x14ac:dyDescent="0.25">
      <c r="B408" s="600" t="s">
        <v>4921</v>
      </c>
      <c r="C408" s="23" t="s">
        <v>256</v>
      </c>
      <c r="F408" s="1352"/>
      <c r="I408" s="600"/>
      <c r="J408" s="858"/>
      <c r="K408" s="858"/>
      <c r="L408" s="1634"/>
      <c r="M408" s="1627"/>
      <c r="X408" s="1600"/>
      <c r="AL408" s="78"/>
      <c r="AM408" s="78"/>
      <c r="AN408" s="78"/>
      <c r="AO408" s="78"/>
      <c r="AP408" s="78"/>
      <c r="AQ408" s="78"/>
      <c r="AR408" s="78"/>
      <c r="AS408" s="78"/>
    </row>
    <row r="409" spans="1:51" s="365" customFormat="1" ht="17" thickTop="1" thickBot="1" x14ac:dyDescent="0.25">
      <c r="A409" s="20"/>
      <c r="B409" s="20"/>
      <c r="C409" s="20"/>
      <c r="D409" s="20"/>
      <c r="E409" s="20"/>
      <c r="F409" s="20"/>
      <c r="G409" s="20"/>
      <c r="H409" s="20"/>
      <c r="I409" s="201" t="s">
        <v>3031</v>
      </c>
      <c r="J409" s="202"/>
      <c r="K409" s="202"/>
      <c r="L409" s="202"/>
      <c r="M409" s="203"/>
      <c r="N409" s="202"/>
      <c r="O409" s="204"/>
      <c r="P409" s="202"/>
      <c r="Q409" s="202"/>
      <c r="R409" s="202"/>
      <c r="S409" s="202"/>
      <c r="T409" s="202"/>
      <c r="U409" s="202"/>
      <c r="V409" s="202"/>
      <c r="W409" s="202"/>
      <c r="X409" s="278" t="s">
        <v>3032</v>
      </c>
      <c r="Y409" s="704"/>
      <c r="AA409" s="707"/>
      <c r="AL409" s="78"/>
      <c r="AM409" s="78"/>
      <c r="AN409" s="78"/>
      <c r="AO409" s="78"/>
      <c r="AP409" s="78"/>
      <c r="AQ409" s="78"/>
      <c r="AR409" s="78"/>
      <c r="AS409" s="78"/>
      <c r="AX409"/>
      <c r="AY409"/>
    </row>
    <row r="410" spans="1:51" ht="16" thickTop="1" x14ac:dyDescent="0.2">
      <c r="AX410"/>
      <c r="AY410"/>
    </row>
    <row r="411" spans="1:51" x14ac:dyDescent="0.2">
      <c r="AX411" s="365"/>
      <c r="AY411" s="365"/>
    </row>
  </sheetData>
  <sheetProtection algorithmName="SHA-512" hashValue="swD7bUTACqwrjpvDxDZ5WJ4UBrZOBoneGAHFRGav0YqOpLx1TaIN13kaz+4LJxJYlQLEmqlIGpy0i3GE0HwXgA==" saltValue="6bkokaTWnrjJl/crCMo+Og==" spinCount="100000" sheet="1" objects="1" scenarios="1" selectLockedCells="1"/>
  <mergeCells count="321">
    <mergeCell ref="O138:O141"/>
    <mergeCell ref="O364:O366"/>
    <mergeCell ref="O380:O384"/>
    <mergeCell ref="O204:O205"/>
    <mergeCell ref="O230:O233"/>
    <mergeCell ref="O241:O242"/>
    <mergeCell ref="O243:O245"/>
    <mergeCell ref="O246:O248"/>
    <mergeCell ref="O327:O328"/>
    <mergeCell ref="O337:O338"/>
    <mergeCell ref="O351:O352"/>
    <mergeCell ref="O359:O363"/>
    <mergeCell ref="O217:O218"/>
    <mergeCell ref="O152:O155"/>
    <mergeCell ref="O143:O148"/>
    <mergeCell ref="O166:O170"/>
    <mergeCell ref="O179:O180"/>
    <mergeCell ref="O185:O186"/>
    <mergeCell ref="O187:O188"/>
    <mergeCell ref="O197:O198"/>
    <mergeCell ref="O201:O203"/>
    <mergeCell ref="O208:O209"/>
    <mergeCell ref="O171:O176"/>
    <mergeCell ref="L92:L93"/>
    <mergeCell ref="L94:L96"/>
    <mergeCell ref="L185:L186"/>
    <mergeCell ref="L197:L198"/>
    <mergeCell ref="L189:L190"/>
    <mergeCell ref="M156:M160"/>
    <mergeCell ref="M92:M93"/>
    <mergeCell ref="M94:M96"/>
    <mergeCell ref="M97:M98"/>
    <mergeCell ref="M99:M105"/>
    <mergeCell ref="M162:M164"/>
    <mergeCell ref="M121:M126"/>
    <mergeCell ref="M131:M132"/>
    <mergeCell ref="M138:M141"/>
    <mergeCell ref="M143:M148"/>
    <mergeCell ref="M149:M151"/>
    <mergeCell ref="L149:L151"/>
    <mergeCell ref="M171:M176"/>
    <mergeCell ref="L97:L98"/>
    <mergeCell ref="L99:L103"/>
    <mergeCell ref="L104:L105"/>
    <mergeCell ref="L119:L120"/>
    <mergeCell ref="L106:L109"/>
    <mergeCell ref="M166:M170"/>
    <mergeCell ref="L199:L200"/>
    <mergeCell ref="L171:L176"/>
    <mergeCell ref="L121:L126"/>
    <mergeCell ref="L127:L130"/>
    <mergeCell ref="L140:L141"/>
    <mergeCell ref="L143:L148"/>
    <mergeCell ref="L152:L155"/>
    <mergeCell ref="L131:L132"/>
    <mergeCell ref="L133:L134"/>
    <mergeCell ref="L138:L139"/>
    <mergeCell ref="M185:M186"/>
    <mergeCell ref="M187:M188"/>
    <mergeCell ref="M195:M196"/>
    <mergeCell ref="M199:M200"/>
    <mergeCell ref="M177:M178"/>
    <mergeCell ref="M197:M198"/>
    <mergeCell ref="M217:M218"/>
    <mergeCell ref="M234:M235"/>
    <mergeCell ref="M201:M203"/>
    <mergeCell ref="M204:M205"/>
    <mergeCell ref="M208:M209"/>
    <mergeCell ref="M213:M214"/>
    <mergeCell ref="M215:M216"/>
    <mergeCell ref="M189:M190"/>
    <mergeCell ref="L223:L225"/>
    <mergeCell ref="L230:L233"/>
    <mergeCell ref="L271:L277"/>
    <mergeCell ref="L278:L283"/>
    <mergeCell ref="L284:L288"/>
    <mergeCell ref="L289:L290"/>
    <mergeCell ref="L291:L294"/>
    <mergeCell ref="L295:L297"/>
    <mergeCell ref="L298:L301"/>
    <mergeCell ref="L226:L228"/>
    <mergeCell ref="L264:L270"/>
    <mergeCell ref="L201:L203"/>
    <mergeCell ref="L166:L170"/>
    <mergeCell ref="L177:L178"/>
    <mergeCell ref="L156:L160"/>
    <mergeCell ref="L331:L333"/>
    <mergeCell ref="L339:L340"/>
    <mergeCell ref="L344:L345"/>
    <mergeCell ref="L349:L350"/>
    <mergeCell ref="L243:L245"/>
    <mergeCell ref="L246:L248"/>
    <mergeCell ref="L251:L255"/>
    <mergeCell ref="L327:L328"/>
    <mergeCell ref="L236:L237"/>
    <mergeCell ref="L241:L242"/>
    <mergeCell ref="L204:L205"/>
    <mergeCell ref="L208:L209"/>
    <mergeCell ref="L217:L218"/>
    <mergeCell ref="L219:L220"/>
    <mergeCell ref="L221:L222"/>
    <mergeCell ref="L187:L188"/>
    <mergeCell ref="L195:L196"/>
    <mergeCell ref="L179:L180"/>
    <mergeCell ref="L183:L184"/>
    <mergeCell ref="L162:L164"/>
    <mergeCell ref="L48:L50"/>
    <mergeCell ref="L53:L54"/>
    <mergeCell ref="L51:L52"/>
    <mergeCell ref="L18:L19"/>
    <mergeCell ref="L21:L22"/>
    <mergeCell ref="L29:L33"/>
    <mergeCell ref="L82:L83"/>
    <mergeCell ref="L86:L87"/>
    <mergeCell ref="L89:L90"/>
    <mergeCell ref="L34:L36"/>
    <mergeCell ref="L58:L59"/>
    <mergeCell ref="L60:L61"/>
    <mergeCell ref="L62:L67"/>
    <mergeCell ref="L69:L72"/>
    <mergeCell ref="L73:L76"/>
    <mergeCell ref="L12:L15"/>
    <mergeCell ref="L16:L17"/>
    <mergeCell ref="U6:U7"/>
    <mergeCell ref="V6:V7"/>
    <mergeCell ref="W6:W7"/>
    <mergeCell ref="L41:L42"/>
    <mergeCell ref="L43:L45"/>
    <mergeCell ref="L46:L47"/>
    <mergeCell ref="X4:X5"/>
    <mergeCell ref="Q6:Q7"/>
    <mergeCell ref="X6:X7"/>
    <mergeCell ref="R6:R7"/>
    <mergeCell ref="S6:S7"/>
    <mergeCell ref="T6:T7"/>
    <mergeCell ref="M12:M17"/>
    <mergeCell ref="I4:L4"/>
    <mergeCell ref="I5:L5"/>
    <mergeCell ref="O12:O17"/>
    <mergeCell ref="M18:M19"/>
    <mergeCell ref="M29:M33"/>
    <mergeCell ref="M34:M36"/>
    <mergeCell ref="O18:O19"/>
    <mergeCell ref="O34:O36"/>
    <mergeCell ref="M44:M45"/>
    <mergeCell ref="I1:L1"/>
    <mergeCell ref="M1:W5"/>
    <mergeCell ref="I2:L2"/>
    <mergeCell ref="I3:L3"/>
    <mergeCell ref="I6:K7"/>
    <mergeCell ref="L6:L7"/>
    <mergeCell ref="M6:M7"/>
    <mergeCell ref="N6:N7"/>
    <mergeCell ref="P6:P7"/>
    <mergeCell ref="M49:M50"/>
    <mergeCell ref="O43:O45"/>
    <mergeCell ref="O46:O47"/>
    <mergeCell ref="O48:O50"/>
    <mergeCell ref="O51:O52"/>
    <mergeCell ref="O53:O54"/>
    <mergeCell ref="O99:O105"/>
    <mergeCell ref="O121:O126"/>
    <mergeCell ref="O131:O132"/>
    <mergeCell ref="O58:O59"/>
    <mergeCell ref="O60:O61"/>
    <mergeCell ref="O62:O67"/>
    <mergeCell ref="O92:O93"/>
    <mergeCell ref="O94:O96"/>
    <mergeCell ref="M62:M67"/>
    <mergeCell ref="M69:M72"/>
    <mergeCell ref="M73:M77"/>
    <mergeCell ref="M82:M83"/>
    <mergeCell ref="M86:M87"/>
    <mergeCell ref="O69:O72"/>
    <mergeCell ref="X12:X17"/>
    <mergeCell ref="X18:X20"/>
    <mergeCell ref="X23:X25"/>
    <mergeCell ref="X26:X28"/>
    <mergeCell ref="X29:X33"/>
    <mergeCell ref="X34:X36"/>
    <mergeCell ref="X37:X39"/>
    <mergeCell ref="X43:X45"/>
    <mergeCell ref="X46:X47"/>
    <mergeCell ref="X48:X50"/>
    <mergeCell ref="X51:X52"/>
    <mergeCell ref="X53:X54"/>
    <mergeCell ref="X58:X59"/>
    <mergeCell ref="X60:X61"/>
    <mergeCell ref="X62:X67"/>
    <mergeCell ref="X73:X77"/>
    <mergeCell ref="X78:X88"/>
    <mergeCell ref="X92:X93"/>
    <mergeCell ref="X94:X96"/>
    <mergeCell ref="X97:X98"/>
    <mergeCell ref="X106:X116"/>
    <mergeCell ref="X117:X120"/>
    <mergeCell ref="X121:X126"/>
    <mergeCell ref="X127:X130"/>
    <mergeCell ref="X133:X134"/>
    <mergeCell ref="X136:X137"/>
    <mergeCell ref="X138:X142"/>
    <mergeCell ref="X143:X148"/>
    <mergeCell ref="X156:X160"/>
    <mergeCell ref="X162:X165"/>
    <mergeCell ref="X166:X170"/>
    <mergeCell ref="X177:X178"/>
    <mergeCell ref="X179:X182"/>
    <mergeCell ref="X185:X186"/>
    <mergeCell ref="X187:X188"/>
    <mergeCell ref="X195:X196"/>
    <mergeCell ref="X189:X190"/>
    <mergeCell ref="X149:X151"/>
    <mergeCell ref="X171:X176"/>
    <mergeCell ref="H1:H7"/>
    <mergeCell ref="X343:X346"/>
    <mergeCell ref="X347:X350"/>
    <mergeCell ref="X359:X363"/>
    <mergeCell ref="X364:X366"/>
    <mergeCell ref="X380:X384"/>
    <mergeCell ref="X385:X386"/>
    <mergeCell ref="X351:X355"/>
    <mergeCell ref="X241:X242"/>
    <mergeCell ref="X243:X245"/>
    <mergeCell ref="X246:X248"/>
    <mergeCell ref="X329:X330"/>
    <mergeCell ref="X331:X333"/>
    <mergeCell ref="X337:X338"/>
    <mergeCell ref="X339:X340"/>
    <mergeCell ref="X197:X198"/>
    <mergeCell ref="X199:X200"/>
    <mergeCell ref="X201:X203"/>
    <mergeCell ref="X204:X207"/>
    <mergeCell ref="X208:X211"/>
    <mergeCell ref="X212:X216"/>
    <mergeCell ref="X219:X220"/>
    <mergeCell ref="X221:X222"/>
    <mergeCell ref="X223:X225"/>
    <mergeCell ref="X226:X228"/>
    <mergeCell ref="M226:M228"/>
    <mergeCell ref="O226:O228"/>
    <mergeCell ref="X230:X240"/>
    <mergeCell ref="L249:L250"/>
    <mergeCell ref="M249:M250"/>
    <mergeCell ref="O249:O250"/>
    <mergeCell ref="L262:L263"/>
    <mergeCell ref="M230:M233"/>
    <mergeCell ref="M243:M245"/>
    <mergeCell ref="M246:M248"/>
    <mergeCell ref="X251:X255"/>
    <mergeCell ref="X256:X261"/>
    <mergeCell ref="X249:X250"/>
    <mergeCell ref="L234:L235"/>
    <mergeCell ref="M236:M237"/>
    <mergeCell ref="M241:M242"/>
    <mergeCell ref="X302:X324"/>
    <mergeCell ref="X325:X326"/>
    <mergeCell ref="X262:X263"/>
    <mergeCell ref="M251:M255"/>
    <mergeCell ref="M325:M326"/>
    <mergeCell ref="O325:O326"/>
    <mergeCell ref="L334:L336"/>
    <mergeCell ref="X334:X336"/>
    <mergeCell ref="L367:L368"/>
    <mergeCell ref="L351:L352"/>
    <mergeCell ref="L337:L338"/>
    <mergeCell ref="L329:L330"/>
    <mergeCell ref="L305:L306"/>
    <mergeCell ref="L307:L308"/>
    <mergeCell ref="L309:L310"/>
    <mergeCell ref="L311:L313"/>
    <mergeCell ref="L314:L315"/>
    <mergeCell ref="L316:L317"/>
    <mergeCell ref="L318:L319"/>
    <mergeCell ref="L320:L322"/>
    <mergeCell ref="L323:L324"/>
    <mergeCell ref="L325:L326"/>
    <mergeCell ref="M327:M328"/>
    <mergeCell ref="M337:M338"/>
    <mergeCell ref="X369:X375"/>
    <mergeCell ref="X376:X378"/>
    <mergeCell ref="L391:L393"/>
    <mergeCell ref="M369:M370"/>
    <mergeCell ref="M376:M377"/>
    <mergeCell ref="L354:L355"/>
    <mergeCell ref="L357:L358"/>
    <mergeCell ref="L359:L363"/>
    <mergeCell ref="L380:L384"/>
    <mergeCell ref="L385:L386"/>
    <mergeCell ref="L364:L366"/>
    <mergeCell ref="M359:M363"/>
    <mergeCell ref="M364:M366"/>
    <mergeCell ref="O385:O386"/>
    <mergeCell ref="M385:M386"/>
    <mergeCell ref="M380:M384"/>
    <mergeCell ref="L369:L375"/>
    <mergeCell ref="L376:L378"/>
    <mergeCell ref="X389:X390"/>
    <mergeCell ref="X391:X393"/>
    <mergeCell ref="X396:X399"/>
    <mergeCell ref="X400:X408"/>
    <mergeCell ref="O400:O401"/>
    <mergeCell ref="M400:M401"/>
    <mergeCell ref="M402:M403"/>
    <mergeCell ref="M404:M406"/>
    <mergeCell ref="M407:M408"/>
    <mergeCell ref="M391:M393"/>
    <mergeCell ref="M396:M399"/>
    <mergeCell ref="O396:O399"/>
    <mergeCell ref="L302:L303"/>
    <mergeCell ref="M302:M303"/>
    <mergeCell ref="O302:O303"/>
    <mergeCell ref="L396:L399"/>
    <mergeCell ref="L400:L401"/>
    <mergeCell ref="L402:L403"/>
    <mergeCell ref="L404:L406"/>
    <mergeCell ref="L407:L408"/>
    <mergeCell ref="L389:L390"/>
    <mergeCell ref="M339:M340"/>
    <mergeCell ref="M351:M352"/>
    <mergeCell ref="M344:M345"/>
    <mergeCell ref="M349:M350"/>
  </mergeCells>
  <conditionalFormatting sqref="X2">
    <cfRule type="expression" dxfId="3967" priority="400">
      <formula>$AG$3</formula>
    </cfRule>
  </conditionalFormatting>
  <conditionalFormatting sqref="X3">
    <cfRule type="expression" dxfId="3966" priority="401">
      <formula>$AI$3</formula>
    </cfRule>
  </conditionalFormatting>
  <conditionalFormatting sqref="W12">
    <cfRule type="expression" dxfId="3965" priority="387">
      <formula>OR($T$12 = TRUE, AND($W$12 = TRUE, $S$12 = FALSE))</formula>
    </cfRule>
    <cfRule type="expression" dxfId="3964" priority="388">
      <formula>$S$12 = FALSE</formula>
    </cfRule>
    <cfRule type="expression" dxfId="3963" priority="389">
      <formula>AND(IF($R$12,$W$12,TRUE),LEN(TRIM($W$12))&gt;0)</formula>
    </cfRule>
    <cfRule type="expression" dxfId="3962" priority="390">
      <formula>AND($R$12,$S$12)</formula>
    </cfRule>
  </conditionalFormatting>
  <conditionalFormatting sqref="W18">
    <cfRule type="expression" dxfId="3961" priority="383">
      <formula>OR($T$18 = TRUE, AND($W$18 = TRUE, $S$18 = FALSE))</formula>
    </cfRule>
    <cfRule type="expression" dxfId="3960" priority="384">
      <formula>$S$18 = FALSE</formula>
    </cfRule>
    <cfRule type="expression" dxfId="3959" priority="385">
      <formula>AND(IF($R$18,$W$18,TRUE),LEN(TRIM($W$18))&gt;0)</formula>
    </cfRule>
    <cfRule type="expression" dxfId="3958" priority="386">
      <formula>AND($R$18,$S$18)</formula>
    </cfRule>
  </conditionalFormatting>
  <conditionalFormatting sqref="W23">
    <cfRule type="expression" dxfId="3957" priority="379">
      <formula>OR($T$23 = TRUE, AND(LEN(TRIM($W$23))&gt;0, $S$23 = FALSE))</formula>
    </cfRule>
    <cfRule type="expression" dxfId="3956" priority="380">
      <formula>$S$23 = FALSE</formula>
    </cfRule>
    <cfRule type="expression" dxfId="3955" priority="381">
      <formula>AND($W$23&lt;&gt;"Not Met",LEN(TRIM($W$23))&gt;0)</formula>
    </cfRule>
    <cfRule type="expression" dxfId="3954" priority="382">
      <formula>AND($R$23,$S$23)</formula>
    </cfRule>
  </conditionalFormatting>
  <conditionalFormatting sqref="W26">
    <cfRule type="expression" dxfId="3953" priority="375">
      <formula>OR($T$26 = TRUE, AND(LEN(TRIM($W$26))&gt;0, $S$26 = FALSE))</formula>
    </cfRule>
    <cfRule type="expression" dxfId="3952" priority="376">
      <formula>$S$26 = FALSE</formula>
    </cfRule>
    <cfRule type="expression" dxfId="3951" priority="377">
      <formula>AND($W$26&lt;&gt;"Not Met",LEN(TRIM($W$26))&gt;0)</formula>
    </cfRule>
    <cfRule type="expression" dxfId="3950" priority="378">
      <formula>AND($R$26,$S$26)</formula>
    </cfRule>
  </conditionalFormatting>
  <conditionalFormatting sqref="W29">
    <cfRule type="expression" dxfId="3949" priority="371">
      <formula>OR($T$29 = TRUE, AND(LEN(TRIM($W$29))&gt;0, $S$29 = FALSE))</formula>
    </cfRule>
    <cfRule type="expression" dxfId="3948" priority="372">
      <formula>$S$29 = FALSE</formula>
    </cfRule>
    <cfRule type="expression" dxfId="3947" priority="373">
      <formula>AND($W$29&lt;&gt;"Not Met",LEN(TRIM($W$29))&gt;0)</formula>
    </cfRule>
    <cfRule type="expression" dxfId="3946" priority="374">
      <formula>AND($R$29,$S$29)</formula>
    </cfRule>
  </conditionalFormatting>
  <conditionalFormatting sqref="W34">
    <cfRule type="expression" dxfId="3945" priority="367">
      <formula>OR($T$34 = TRUE, AND($W$34 = TRUE, $S$34 = FALSE))</formula>
    </cfRule>
    <cfRule type="expression" dxfId="3944" priority="368">
      <formula>$S$34 = FALSE</formula>
    </cfRule>
    <cfRule type="expression" dxfId="3943" priority="369">
      <formula>AND(IF($R$34,$W$34,TRUE),LEN(TRIM($W$34))&gt;0)</formula>
    </cfRule>
    <cfRule type="expression" dxfId="3942" priority="370">
      <formula>AND($R$34,$S$34)</formula>
    </cfRule>
  </conditionalFormatting>
  <conditionalFormatting sqref="W37">
    <cfRule type="expression" dxfId="3941" priority="363">
      <formula>OR($T$37 = TRUE, AND(LEN(TRIM($W$37))&gt;0, $S$37 = FALSE))</formula>
    </cfRule>
    <cfRule type="expression" dxfId="3940" priority="364">
      <formula>$S$37 = FALSE</formula>
    </cfRule>
    <cfRule type="expression" dxfId="3939" priority="365">
      <formula>AND($W$37&lt;&gt;"Not Met",LEN(TRIM($W$37))&gt;0)</formula>
    </cfRule>
    <cfRule type="expression" dxfId="3938" priority="366">
      <formula>AND($R$37,$S$37)</formula>
    </cfRule>
  </conditionalFormatting>
  <conditionalFormatting sqref="W43">
    <cfRule type="expression" dxfId="3937" priority="359">
      <formula>OR($T$43 = TRUE, AND(LEN(TRIM($W$43))&gt;0, $S$43 = FALSE,$W$43&lt;&gt;"N/A"))</formula>
    </cfRule>
    <cfRule type="expression" dxfId="3936" priority="360">
      <formula>$S$43 = FALSE</formula>
    </cfRule>
    <cfRule type="expression" dxfId="3935" priority="361">
      <formula>AND($W$43&lt;&gt;"Not Met",LEN(TRIM($W$43))&gt;0)</formula>
    </cfRule>
    <cfRule type="expression" dxfId="3934" priority="362">
      <formula>AND($R$43,$S$43)</formula>
    </cfRule>
  </conditionalFormatting>
  <conditionalFormatting sqref="W46">
    <cfRule type="expression" dxfId="3933" priority="355">
      <formula>OR($T$46 = TRUE, AND(LEN(TRIM($W$46))&gt;0, $S$46 = FALSE,$W$46&lt;&gt;"N/A"))</formula>
    </cfRule>
    <cfRule type="expression" dxfId="3932" priority="356">
      <formula>$S$46 = FALSE</formula>
    </cfRule>
    <cfRule type="expression" dxfId="3931" priority="357">
      <formula>AND($W$46&lt;&gt;"Not Met",LEN(TRIM($W$46))&gt;0)</formula>
    </cfRule>
    <cfRule type="expression" dxfId="3930" priority="358">
      <formula>AND($R$46,$S$46)</formula>
    </cfRule>
  </conditionalFormatting>
  <conditionalFormatting sqref="W48">
    <cfRule type="expression" dxfId="3929" priority="351">
      <formula>OR($T$48 = TRUE, AND(LEN(TRIM($W$48))&gt;0, $S$48 = FALSE,$W$48&lt;&gt;"N/A"))</formula>
    </cfRule>
    <cfRule type="expression" dxfId="3928" priority="352">
      <formula>$S$48 = FALSE</formula>
    </cfRule>
    <cfRule type="expression" dxfId="3927" priority="353">
      <formula>AND($W$48&lt;&gt;"Not Met",LEN(TRIM($W$48))&gt;0)</formula>
    </cfRule>
    <cfRule type="expression" dxfId="3926" priority="354">
      <formula>AND($R$48,$S$48)</formula>
    </cfRule>
  </conditionalFormatting>
  <conditionalFormatting sqref="W51">
    <cfRule type="expression" dxfId="3925" priority="347">
      <formula>OR($T$51 = TRUE, AND(LEN(TRIM($W$51))&gt;0, $S$51 = FALSE,$W$51&lt;&gt;"N/A"))</formula>
    </cfRule>
    <cfRule type="expression" dxfId="3924" priority="348">
      <formula>$S$51 = FALSE</formula>
    </cfRule>
    <cfRule type="expression" dxfId="3923" priority="349">
      <formula>AND($W$51&lt;&gt;"Not Met",LEN(TRIM($W$51))&gt;0)</formula>
    </cfRule>
    <cfRule type="expression" dxfId="3922" priority="350">
      <formula>AND($R$51,$S$51)</formula>
    </cfRule>
  </conditionalFormatting>
  <conditionalFormatting sqref="W53">
    <cfRule type="expression" dxfId="3921" priority="343">
      <formula>OR($T$53 = TRUE, AND(LEN(TRIM($W$53))&gt;0, $S$53 = FALSE,$W$53&lt;&gt;"N/A"))</formula>
    </cfRule>
    <cfRule type="expression" dxfId="3920" priority="344">
      <formula>$S$53 = FALSE</formula>
    </cfRule>
    <cfRule type="expression" dxfId="3919" priority="345">
      <formula>AND($W$53&lt;&gt;"Not Met",LEN(TRIM($W$53))&gt;0)</formula>
    </cfRule>
    <cfRule type="expression" dxfId="3918" priority="346">
      <formula>AND($R$53,$S$53)</formula>
    </cfRule>
  </conditionalFormatting>
  <conditionalFormatting sqref="W55">
    <cfRule type="expression" dxfId="3917" priority="339">
      <formula>OR($T$55 = TRUE, AND($W$55 = TRUE, $S$55 = FALSE))</formula>
    </cfRule>
    <cfRule type="expression" dxfId="3916" priority="340">
      <formula>$S$55 = FALSE</formula>
    </cfRule>
    <cfRule type="expression" dxfId="3915" priority="341">
      <formula>AND(IF($R$55,$W$55,TRUE),LEN(TRIM($W$55))&gt;0)</formula>
    </cfRule>
    <cfRule type="expression" dxfId="3914" priority="342">
      <formula>AND($R$55,$S$55)</formula>
    </cfRule>
  </conditionalFormatting>
  <conditionalFormatting sqref="W68">
    <cfRule type="expression" dxfId="3913" priority="335">
      <formula>OR($T$68 = TRUE, AND($W$68 = TRUE, $S$68 = FALSE))</formula>
    </cfRule>
    <cfRule type="expression" dxfId="3912" priority="336">
      <formula>$S$68 = FALSE</formula>
    </cfRule>
    <cfRule type="expression" dxfId="3911" priority="337">
      <formula>AND(IF($R$68,$W$68,TRUE),LEN(TRIM($W$68))&gt;0)</formula>
    </cfRule>
    <cfRule type="expression" dxfId="3910" priority="338">
      <formula>AND($R$68,$S$68)</formula>
    </cfRule>
  </conditionalFormatting>
  <conditionalFormatting sqref="W58">
    <cfRule type="expression" dxfId="3909" priority="331">
      <formula>OR($T$58 = TRUE, AND(LEN(TRIM($W$58))&gt;0, $S$58 = FALSE))</formula>
    </cfRule>
    <cfRule type="expression" dxfId="3908" priority="332">
      <formula>$S$58 = FALSE</formula>
    </cfRule>
    <cfRule type="expression" dxfId="3907" priority="333">
      <formula>AND($W$58&lt;&gt;"Not Met",LEN(TRIM($W$58))&gt;0)</formula>
    </cfRule>
    <cfRule type="expression" dxfId="3906" priority="334">
      <formula>AND($R$58,$S$58)</formula>
    </cfRule>
  </conditionalFormatting>
  <conditionalFormatting sqref="W60">
    <cfRule type="expression" dxfId="3905" priority="327">
      <formula>OR($T$60 = TRUE, AND(LEN(TRIM($W$60))&gt;0, $S$60 = FALSE))</formula>
    </cfRule>
    <cfRule type="expression" dxfId="3904" priority="328">
      <formula>$S$60 = FALSE</formula>
    </cfRule>
    <cfRule type="expression" dxfId="3903" priority="329">
      <formula>AND($W$60&lt;&gt;"Not Met",LEN(TRIM($W$60))&gt;0)</formula>
    </cfRule>
    <cfRule type="expression" dxfId="3902" priority="330">
      <formula>AND($R$60,$S$60)</formula>
    </cfRule>
  </conditionalFormatting>
  <conditionalFormatting sqref="W62">
    <cfRule type="expression" dxfId="3901" priority="326">
      <formula>AND($R$62,$S$62)</formula>
    </cfRule>
  </conditionalFormatting>
  <conditionalFormatting sqref="W62">
    <cfRule type="expression" dxfId="3900" priority="325">
      <formula>AND(IF($R$62,$W$62,TRUE),LEN(TRIM($W$62))&gt;0)</formula>
    </cfRule>
  </conditionalFormatting>
  <conditionalFormatting sqref="W62">
    <cfRule type="expression" dxfId="3899" priority="324">
      <formula>$S$62 = FALSE</formula>
    </cfRule>
  </conditionalFormatting>
  <conditionalFormatting sqref="W62">
    <cfRule type="expression" dxfId="3898" priority="323">
      <formula>OR($T$62 = TRUE, AND($W$62 = TRUE, $S$62 = FALSE))</formula>
    </cfRule>
  </conditionalFormatting>
  <conditionalFormatting sqref="W73">
    <cfRule type="expression" dxfId="3897" priority="322">
      <formula>AND($R$73,$S$73)</formula>
    </cfRule>
  </conditionalFormatting>
  <conditionalFormatting sqref="W73">
    <cfRule type="expression" dxfId="3896" priority="321">
      <formula>AND($W$73&lt;&gt;"Not Met",LEN(TRIM($W$73))&gt;0)</formula>
    </cfRule>
  </conditionalFormatting>
  <conditionalFormatting sqref="W73">
    <cfRule type="expression" dxfId="3895" priority="320">
      <formula>$S$73 = FALSE</formula>
    </cfRule>
  </conditionalFormatting>
  <conditionalFormatting sqref="W73">
    <cfRule type="expression" dxfId="3894" priority="319">
      <formula>OR($T$73 = TRUE, AND(LEN(TRIM($W$73))&gt;0, $S$73 = FALSE))</formula>
    </cfRule>
  </conditionalFormatting>
  <conditionalFormatting sqref="W78">
    <cfRule type="expression" dxfId="3893" priority="318">
      <formula>AND($R$78,$S$78)</formula>
    </cfRule>
  </conditionalFormatting>
  <conditionalFormatting sqref="W78">
    <cfRule type="expression" dxfId="3892" priority="317">
      <formula>AND($W$78&lt;&gt;"Not Met",LEN(TRIM($W$78))&gt;0)</formula>
    </cfRule>
  </conditionalFormatting>
  <conditionalFormatting sqref="W78">
    <cfRule type="expression" dxfId="3891" priority="316">
      <formula>$S$78 = FALSE</formula>
    </cfRule>
  </conditionalFormatting>
  <conditionalFormatting sqref="W78">
    <cfRule type="expression" dxfId="3890" priority="315">
      <formula>OR($T$78 = TRUE, AND(LEN(TRIM($W$78))&gt;0, $S$78 = FALSE))</formula>
    </cfRule>
  </conditionalFormatting>
  <conditionalFormatting sqref="W79">
    <cfRule type="expression" dxfId="3889" priority="314">
      <formula>AND($R$79,$S$79)</formula>
    </cfRule>
  </conditionalFormatting>
  <conditionalFormatting sqref="W79">
    <cfRule type="expression" dxfId="3888" priority="313">
      <formula>AND($W$79&lt;&gt;"Not Met",LEN(TRIM($W$79))&gt;0)</formula>
    </cfRule>
  </conditionalFormatting>
  <conditionalFormatting sqref="W79">
    <cfRule type="expression" dxfId="3887" priority="312">
      <formula>$S$79 = FALSE</formula>
    </cfRule>
  </conditionalFormatting>
  <conditionalFormatting sqref="W79">
    <cfRule type="expression" dxfId="3886" priority="311">
      <formula>OR($T$79 = TRUE, AND(LEN(TRIM($W$79))&gt;0, $S$79 = FALSE))</formula>
    </cfRule>
  </conditionalFormatting>
  <conditionalFormatting sqref="W80">
    <cfRule type="expression" dxfId="3885" priority="310">
      <formula>AND($R$80,$S$80)</formula>
    </cfRule>
  </conditionalFormatting>
  <conditionalFormatting sqref="W80">
    <cfRule type="expression" dxfId="3884" priority="309">
      <formula>AND($W$80&lt;&gt;"Not Met",LEN(TRIM($W$80))&gt;0)</formula>
    </cfRule>
  </conditionalFormatting>
  <conditionalFormatting sqref="W80">
    <cfRule type="expression" dxfId="3883" priority="308">
      <formula>$S$80 = FALSE</formula>
    </cfRule>
  </conditionalFormatting>
  <conditionalFormatting sqref="W80">
    <cfRule type="expression" dxfId="3882" priority="307">
      <formula>OR($T$80 = TRUE, AND(LEN(TRIM($W$80))&gt;0, $S$80 = FALSE))</formula>
    </cfRule>
  </conditionalFormatting>
  <conditionalFormatting sqref="W81">
    <cfRule type="expression" dxfId="3881" priority="306">
      <formula>AND($R$81,$S$81)</formula>
    </cfRule>
  </conditionalFormatting>
  <conditionalFormatting sqref="W81">
    <cfRule type="expression" dxfId="3880" priority="305">
      <formula>AND($W$81&lt;&gt;"Not Met",LEN(TRIM($W$81))&gt;0)</formula>
    </cfRule>
  </conditionalFormatting>
  <conditionalFormatting sqref="W81">
    <cfRule type="expression" dxfId="3879" priority="304">
      <formula>$S$81 = FALSE</formula>
    </cfRule>
  </conditionalFormatting>
  <conditionalFormatting sqref="W81">
    <cfRule type="expression" dxfId="3878" priority="303">
      <formula>OR($T$81 = TRUE, AND(LEN(TRIM($W$81))&gt;0, $S$81 = FALSE))</formula>
    </cfRule>
  </conditionalFormatting>
  <conditionalFormatting sqref="W92">
    <cfRule type="expression" dxfId="3877" priority="302">
      <formula>AND($R$92,$S$92)</formula>
    </cfRule>
  </conditionalFormatting>
  <conditionalFormatting sqref="W92">
    <cfRule type="expression" dxfId="3876" priority="301">
      <formula>AND(IF($R$92,$W$92,TRUE),LEN(TRIM($W$92))&gt;0)</formula>
    </cfRule>
  </conditionalFormatting>
  <conditionalFormatting sqref="W92">
    <cfRule type="expression" dxfId="3875" priority="300">
      <formula>$S$92 = FALSE</formula>
    </cfRule>
  </conditionalFormatting>
  <conditionalFormatting sqref="W92">
    <cfRule type="expression" dxfId="3874" priority="299">
      <formula>OR($T$92 = TRUE, AND($W$92 = TRUE, $S$92 = FALSE))</formula>
    </cfRule>
  </conditionalFormatting>
  <conditionalFormatting sqref="W94">
    <cfRule type="expression" dxfId="3873" priority="298">
      <formula>AND($R$94,$S$94)</formula>
    </cfRule>
  </conditionalFormatting>
  <conditionalFormatting sqref="W94">
    <cfRule type="expression" dxfId="3872" priority="297">
      <formula>AND(IF($R$94,$W$94,TRUE),LEN(TRIM($W$94))&gt;0)</formula>
    </cfRule>
  </conditionalFormatting>
  <conditionalFormatting sqref="W94">
    <cfRule type="expression" dxfId="3871" priority="296">
      <formula>$S$94 = FALSE</formula>
    </cfRule>
  </conditionalFormatting>
  <conditionalFormatting sqref="W94">
    <cfRule type="expression" dxfId="3870" priority="295">
      <formula>OR($T$94 = TRUE, AND($W$94 = TRUE, $S$94 = FALSE))</formula>
    </cfRule>
  </conditionalFormatting>
  <conditionalFormatting sqref="W97">
    <cfRule type="expression" dxfId="3869" priority="294">
      <formula>AND($R$97,$S$97)</formula>
    </cfRule>
  </conditionalFormatting>
  <conditionalFormatting sqref="W97">
    <cfRule type="expression" dxfId="3868" priority="293">
      <formula>AND(IF($R$97,$W$97,TRUE),LEN(TRIM($W$97))&gt;0)</formula>
    </cfRule>
  </conditionalFormatting>
  <conditionalFormatting sqref="W97">
    <cfRule type="expression" dxfId="3867" priority="292">
      <formula>$S$97 = FALSE</formula>
    </cfRule>
  </conditionalFormatting>
  <conditionalFormatting sqref="W97">
    <cfRule type="expression" dxfId="3866" priority="291">
      <formula>OR($T$97 = TRUE, AND($W$97 = TRUE, $S$97 = FALSE))</formula>
    </cfRule>
  </conditionalFormatting>
  <conditionalFormatting sqref="W121">
    <cfRule type="expression" dxfId="3865" priority="290">
      <formula>AND($R$121,$S$121)</formula>
    </cfRule>
  </conditionalFormatting>
  <conditionalFormatting sqref="W121">
    <cfRule type="expression" dxfId="3864" priority="289">
      <formula>AND(IF($R$121,$W$121,TRUE),LEN(TRIM($W$121))&gt;0)</formula>
    </cfRule>
  </conditionalFormatting>
  <conditionalFormatting sqref="W121">
    <cfRule type="expression" dxfId="3863" priority="288">
      <formula>$S$121 = FALSE</formula>
    </cfRule>
  </conditionalFormatting>
  <conditionalFormatting sqref="W121">
    <cfRule type="expression" dxfId="3862" priority="287">
      <formula>OR($T$121 = TRUE, AND($W$121 = TRUE, $S$121 = FALSE))</formula>
    </cfRule>
  </conditionalFormatting>
  <conditionalFormatting sqref="W133">
    <cfRule type="expression" dxfId="3861" priority="286">
      <formula>AND($R$133,$S$133)</formula>
    </cfRule>
  </conditionalFormatting>
  <conditionalFormatting sqref="W133">
    <cfRule type="expression" dxfId="3860" priority="285">
      <formula>AND(IF($R$133,$W$133,TRUE),LEN(TRIM($W$133))&gt;0)</formula>
    </cfRule>
  </conditionalFormatting>
  <conditionalFormatting sqref="W133">
    <cfRule type="expression" dxfId="3859" priority="284">
      <formula>$S$133 = FALSE</formula>
    </cfRule>
  </conditionalFormatting>
  <conditionalFormatting sqref="W133">
    <cfRule type="expression" dxfId="3858" priority="283">
      <formula>OR($T$133 = TRUE, AND($W$133 = TRUE, $S$133 = FALSE))</formula>
    </cfRule>
  </conditionalFormatting>
  <conditionalFormatting sqref="W135">
    <cfRule type="expression" dxfId="3857" priority="282">
      <formula>AND($R$135,$S$135)</formula>
    </cfRule>
  </conditionalFormatting>
  <conditionalFormatting sqref="W135">
    <cfRule type="expression" dxfId="3856" priority="281">
      <formula>AND(IF($R$135,$W$135,TRUE),LEN(TRIM($W$135))&gt;0)</formula>
    </cfRule>
  </conditionalFormatting>
  <conditionalFormatting sqref="W135">
    <cfRule type="expression" dxfId="3855" priority="280">
      <formula>$S$135 = FALSE</formula>
    </cfRule>
  </conditionalFormatting>
  <conditionalFormatting sqref="W135">
    <cfRule type="expression" dxfId="3854" priority="279">
      <formula>OR($T$135 = TRUE, AND($W$135 = TRUE, $S$135 = FALSE))</formula>
    </cfRule>
  </conditionalFormatting>
  <conditionalFormatting sqref="W136">
    <cfRule type="expression" dxfId="3853" priority="278">
      <formula>AND($R$136,$S$136)</formula>
    </cfRule>
  </conditionalFormatting>
  <conditionalFormatting sqref="W136">
    <cfRule type="expression" dxfId="3852" priority="277">
      <formula>AND(IF($R$136,$W$136,TRUE),LEN(TRIM($W$136))&gt;0)</formula>
    </cfRule>
  </conditionalFormatting>
  <conditionalFormatting sqref="W136">
    <cfRule type="expression" dxfId="3851" priority="276">
      <formula>$S$136 = FALSE</formula>
    </cfRule>
  </conditionalFormatting>
  <conditionalFormatting sqref="W136">
    <cfRule type="expression" dxfId="3850" priority="275">
      <formula>OR($T$136 = TRUE, AND($W$136 = TRUE, $S$136 = FALSE))</formula>
    </cfRule>
  </conditionalFormatting>
  <conditionalFormatting sqref="W143">
    <cfRule type="expression" dxfId="3849" priority="274">
      <formula>AND($R$143,$S$143)</formula>
    </cfRule>
  </conditionalFormatting>
  <conditionalFormatting sqref="W143">
    <cfRule type="expression" dxfId="3848" priority="273">
      <formula>AND(IF($R$143,$W$143,TRUE),LEN(TRIM($W$143))&gt;0)</formula>
    </cfRule>
  </conditionalFormatting>
  <conditionalFormatting sqref="W143">
    <cfRule type="expression" dxfId="3847" priority="272">
      <formula>$S$143 = FALSE</formula>
    </cfRule>
  </conditionalFormatting>
  <conditionalFormatting sqref="W143">
    <cfRule type="expression" dxfId="3846" priority="271">
      <formula>OR($T$143 = TRUE, AND($W$143 = TRUE, $S$143 = FALSE))</formula>
    </cfRule>
  </conditionalFormatting>
  <conditionalFormatting sqref="W156">
    <cfRule type="expression" dxfId="3845" priority="270">
      <formula>AND($R$156,$S$156)</formula>
    </cfRule>
  </conditionalFormatting>
  <conditionalFormatting sqref="W156">
    <cfRule type="expression" dxfId="3844" priority="269">
      <formula>AND(IF($R$156,$W$156,TRUE),LEN(TRIM($W$156))&gt;0)</formula>
    </cfRule>
  </conditionalFormatting>
  <conditionalFormatting sqref="W156">
    <cfRule type="expression" dxfId="3843" priority="268">
      <formula>$S$156 = FALSE</formula>
    </cfRule>
  </conditionalFormatting>
  <conditionalFormatting sqref="W156">
    <cfRule type="expression" dxfId="3842" priority="267">
      <formula>OR($T$156 = TRUE, AND($W$156 = TRUE, $S$156 = FALSE))</formula>
    </cfRule>
  </conditionalFormatting>
  <conditionalFormatting sqref="W161">
    <cfRule type="expression" dxfId="3841" priority="266">
      <formula>AND($R$161,$S$161)</formula>
    </cfRule>
  </conditionalFormatting>
  <conditionalFormatting sqref="W161">
    <cfRule type="expression" dxfId="3840" priority="265">
      <formula>AND(IF($R$161,$W$161,TRUE),LEN(TRIM($W$161))&gt;0)</formula>
    </cfRule>
  </conditionalFormatting>
  <conditionalFormatting sqref="W161">
    <cfRule type="expression" dxfId="3839" priority="264">
      <formula>$S$161 = FALSE</formula>
    </cfRule>
  </conditionalFormatting>
  <conditionalFormatting sqref="W161">
    <cfRule type="expression" dxfId="3838" priority="263">
      <formula>OR($T$161 = TRUE, AND($W$161 = TRUE, $S$161 = FALSE))</formula>
    </cfRule>
  </conditionalFormatting>
  <conditionalFormatting sqref="W162">
    <cfRule type="expression" dxfId="3837" priority="262">
      <formula>AND($R$162,$S$162)</formula>
    </cfRule>
  </conditionalFormatting>
  <conditionalFormatting sqref="W162">
    <cfRule type="expression" dxfId="3836" priority="261">
      <formula>AND(IF($R$162,$W$162,TRUE),LEN(TRIM($W$162))&gt;0)</formula>
    </cfRule>
  </conditionalFormatting>
  <conditionalFormatting sqref="W162">
    <cfRule type="expression" dxfId="3835" priority="260">
      <formula>$S$162 = FALSE</formula>
    </cfRule>
  </conditionalFormatting>
  <conditionalFormatting sqref="W162">
    <cfRule type="expression" dxfId="3834" priority="259">
      <formula>OR($T$162 = TRUE, AND($W$162 = TRUE, $S$162 = FALSE))</formula>
    </cfRule>
  </conditionalFormatting>
  <conditionalFormatting sqref="W166">
    <cfRule type="expression" dxfId="3833" priority="258">
      <formula>AND($R$166,$S$166)</formula>
    </cfRule>
  </conditionalFormatting>
  <conditionalFormatting sqref="W166">
    <cfRule type="expression" dxfId="3832" priority="257">
      <formula>AND(IF($R$166,$W$166,TRUE),LEN(TRIM($W$166))&gt;0)</formula>
    </cfRule>
  </conditionalFormatting>
  <conditionalFormatting sqref="W166">
    <cfRule type="expression" dxfId="3831" priority="256">
      <formula>$S$166 = FALSE</formula>
    </cfRule>
  </conditionalFormatting>
  <conditionalFormatting sqref="W166">
    <cfRule type="expression" dxfId="3830" priority="255">
      <formula>OR($T$166 = TRUE, AND($W$166 = TRUE, $S$166 = FALSE))</formula>
    </cfRule>
  </conditionalFormatting>
  <conditionalFormatting sqref="W181">
    <cfRule type="expression" dxfId="3829" priority="250">
      <formula>AND($R$181,$S$181)</formula>
    </cfRule>
  </conditionalFormatting>
  <conditionalFormatting sqref="W181">
    <cfRule type="expression" dxfId="3828" priority="249">
      <formula>AND(IF($R$181,$W$181,TRUE),LEN(TRIM($W$181))&gt;0)</formula>
    </cfRule>
  </conditionalFormatting>
  <conditionalFormatting sqref="W181">
    <cfRule type="expression" dxfId="3827" priority="248">
      <formula>$S$181 = FALSE</formula>
    </cfRule>
  </conditionalFormatting>
  <conditionalFormatting sqref="W181">
    <cfRule type="expression" dxfId="3826" priority="247">
      <formula>OR($T$181 = TRUE, AND($W$181 = TRUE, $S$181 = FALSE))</formula>
    </cfRule>
  </conditionalFormatting>
  <conditionalFormatting sqref="W182">
    <cfRule type="expression" dxfId="3825" priority="246">
      <formula>AND($R$182,$S$182)</formula>
    </cfRule>
  </conditionalFormatting>
  <conditionalFormatting sqref="W182">
    <cfRule type="expression" dxfId="3824" priority="245">
      <formula>AND(IF($R$182,$W$182,TRUE),LEN(TRIM($W$182))&gt;0)</formula>
    </cfRule>
  </conditionalFormatting>
  <conditionalFormatting sqref="W182">
    <cfRule type="expression" dxfId="3823" priority="244">
      <formula>$S$182 = FALSE</formula>
    </cfRule>
  </conditionalFormatting>
  <conditionalFormatting sqref="W182">
    <cfRule type="expression" dxfId="3822" priority="243">
      <formula>OR($T$182 = TRUE, AND($W$182 = TRUE, $S$182 = FALSE))</formula>
    </cfRule>
  </conditionalFormatting>
  <conditionalFormatting sqref="W185">
    <cfRule type="expression" dxfId="3821" priority="242">
      <formula>AND($R$185,$S$185)</formula>
    </cfRule>
  </conditionalFormatting>
  <conditionalFormatting sqref="W185">
    <cfRule type="expression" dxfId="3820" priority="241">
      <formula>AND(IF($R$185,$W$185,TRUE),LEN(TRIM($W$185))&gt;0)</formula>
    </cfRule>
  </conditionalFormatting>
  <conditionalFormatting sqref="W185">
    <cfRule type="expression" dxfId="3819" priority="240">
      <formula>$S$185 = FALSE</formula>
    </cfRule>
  </conditionalFormatting>
  <conditionalFormatting sqref="W185">
    <cfRule type="expression" dxfId="3818" priority="239">
      <formula>OR($T$185 = TRUE, AND($W$185 = TRUE, $S$185 = FALSE))</formula>
    </cfRule>
  </conditionalFormatting>
  <conditionalFormatting sqref="W187">
    <cfRule type="expression" dxfId="3817" priority="238">
      <formula>AND($R$187,$S$187)</formula>
    </cfRule>
  </conditionalFormatting>
  <conditionalFormatting sqref="W187">
    <cfRule type="expression" dxfId="3816" priority="237">
      <formula>AND(IF($R$187,$W$187,TRUE),LEN(TRIM($W$187))&gt;0)</formula>
    </cfRule>
  </conditionalFormatting>
  <conditionalFormatting sqref="W187">
    <cfRule type="expression" dxfId="3815" priority="236">
      <formula>$S$187 = FALSE</formula>
    </cfRule>
  </conditionalFormatting>
  <conditionalFormatting sqref="W187">
    <cfRule type="expression" dxfId="3814" priority="235">
      <formula>OR($T$187 = TRUE, AND($W$187 = TRUE, $S$187 = FALSE))</formula>
    </cfRule>
  </conditionalFormatting>
  <conditionalFormatting sqref="W195">
    <cfRule type="expression" dxfId="3813" priority="234">
      <formula>AND($R$195,$S$195)</formula>
    </cfRule>
  </conditionalFormatting>
  <conditionalFormatting sqref="W195">
    <cfRule type="expression" dxfId="3812" priority="233">
      <formula>AND(IF($R$195,$W$195,TRUE),LEN(TRIM($W$195))&gt;0)</formula>
    </cfRule>
  </conditionalFormatting>
  <conditionalFormatting sqref="W195">
    <cfRule type="expression" dxfId="3811" priority="232">
      <formula>$S$195 = FALSE</formula>
    </cfRule>
  </conditionalFormatting>
  <conditionalFormatting sqref="W195">
    <cfRule type="expression" dxfId="3810" priority="231">
      <formula>OR($T$195 = TRUE, AND($W$195 = TRUE, $S$195 = FALSE))</formula>
    </cfRule>
  </conditionalFormatting>
  <conditionalFormatting sqref="W197">
    <cfRule type="expression" dxfId="3809" priority="230">
      <formula>AND($R$197,$S$197)</formula>
    </cfRule>
  </conditionalFormatting>
  <conditionalFormatting sqref="W197">
    <cfRule type="expression" dxfId="3808" priority="229">
      <formula>AND(IF($R$197,$W$197,TRUE),LEN(TRIM($W$197))&gt;0)</formula>
    </cfRule>
  </conditionalFormatting>
  <conditionalFormatting sqref="W197">
    <cfRule type="expression" dxfId="3807" priority="228">
      <formula>$S$197 = FALSE</formula>
    </cfRule>
  </conditionalFormatting>
  <conditionalFormatting sqref="W197">
    <cfRule type="expression" dxfId="3806" priority="227">
      <formula>OR($T$197 = TRUE, AND($W$197 = TRUE, $S$197 = FALSE))</formula>
    </cfRule>
  </conditionalFormatting>
  <conditionalFormatting sqref="W199">
    <cfRule type="expression" dxfId="3805" priority="226">
      <formula>AND($R$199,$S$199)</formula>
    </cfRule>
  </conditionalFormatting>
  <conditionalFormatting sqref="W199">
    <cfRule type="expression" dxfId="3804" priority="225">
      <formula>AND($W$199&lt;&gt;"Not Met",LEN(TRIM($W$199))&gt;0)</formula>
    </cfRule>
  </conditionalFormatting>
  <conditionalFormatting sqref="W199">
    <cfRule type="expression" dxfId="3803" priority="224">
      <formula>$S$199 = FALSE</formula>
    </cfRule>
  </conditionalFormatting>
  <conditionalFormatting sqref="W199">
    <cfRule type="expression" dxfId="3802" priority="223">
      <formula>OR($T$199 = TRUE, AND(LEN(TRIM($W$199))&gt;0, $S$199 = FALSE))</formula>
    </cfRule>
  </conditionalFormatting>
  <conditionalFormatting sqref="W201">
    <cfRule type="expression" dxfId="3801" priority="222">
      <formula>AND($R$201,$S$201)</formula>
    </cfRule>
  </conditionalFormatting>
  <conditionalFormatting sqref="W201">
    <cfRule type="expression" dxfId="3800" priority="221">
      <formula>AND(IF($R$201,$W$201,TRUE),LEN(TRIM($W$201))&gt;0)</formula>
    </cfRule>
  </conditionalFormatting>
  <conditionalFormatting sqref="W201">
    <cfRule type="expression" dxfId="3799" priority="220">
      <formula>$S$201 = FALSE</formula>
    </cfRule>
  </conditionalFormatting>
  <conditionalFormatting sqref="W201">
    <cfRule type="expression" dxfId="3798" priority="219">
      <formula>OR($T$201 = TRUE, AND($W$201 = TRUE, $S$201 = FALSE))</formula>
    </cfRule>
  </conditionalFormatting>
  <conditionalFormatting sqref="W208">
    <cfRule type="expression" dxfId="3797" priority="218">
      <formula>AND($R$208,$S$208)</formula>
    </cfRule>
  </conditionalFormatting>
  <conditionalFormatting sqref="W208">
    <cfRule type="expression" dxfId="3796" priority="217">
      <formula>AND(IF($R$208,$W$208,TRUE),LEN(TRIM($W$208))&gt;0)</formula>
    </cfRule>
  </conditionalFormatting>
  <conditionalFormatting sqref="W208">
    <cfRule type="expression" dxfId="3795" priority="216">
      <formula>$S$208 = FALSE</formula>
    </cfRule>
  </conditionalFormatting>
  <conditionalFormatting sqref="W208">
    <cfRule type="expression" dxfId="3794" priority="215">
      <formula>OR($T$208 = TRUE, AND($W$208 = TRUE, $S$208 = FALSE))</formula>
    </cfRule>
  </conditionalFormatting>
  <conditionalFormatting sqref="W219">
    <cfRule type="expression" dxfId="3793" priority="214">
      <formula>AND($R$219,$S$219)</formula>
    </cfRule>
  </conditionalFormatting>
  <conditionalFormatting sqref="W219">
    <cfRule type="expression" dxfId="3792" priority="213">
      <formula>AND(IF($R$219,$W$219,TRUE),LEN(TRIM($W$219))&gt;0)</formula>
    </cfRule>
  </conditionalFormatting>
  <conditionalFormatting sqref="W219">
    <cfRule type="expression" dxfId="3791" priority="212">
      <formula>$S$219 = FALSE</formula>
    </cfRule>
  </conditionalFormatting>
  <conditionalFormatting sqref="W219">
    <cfRule type="expression" dxfId="3790" priority="211">
      <formula>OR($T$219 = TRUE, AND($W$219 = TRUE, $S$219 = FALSE))</formula>
    </cfRule>
  </conditionalFormatting>
  <conditionalFormatting sqref="W221">
    <cfRule type="expression" dxfId="3789" priority="210">
      <formula>AND($R$221,$S$221)</formula>
    </cfRule>
  </conditionalFormatting>
  <conditionalFormatting sqref="W221">
    <cfRule type="expression" dxfId="3788" priority="209">
      <formula>AND(IF($R$221,$W$221,TRUE),LEN(TRIM($W$221))&gt;0)</formula>
    </cfRule>
  </conditionalFormatting>
  <conditionalFormatting sqref="W221">
    <cfRule type="expression" dxfId="3787" priority="208">
      <formula>$S$221 = FALSE</formula>
    </cfRule>
  </conditionalFormatting>
  <conditionalFormatting sqref="W221">
    <cfRule type="expression" dxfId="3786" priority="207">
      <formula>OR($T$221 = TRUE, AND($W$221 = TRUE, $S$221 = FALSE))</formula>
    </cfRule>
  </conditionalFormatting>
  <conditionalFormatting sqref="W223">
    <cfRule type="expression" dxfId="3785" priority="206">
      <formula>AND($R$223,$S$223)</formula>
    </cfRule>
  </conditionalFormatting>
  <conditionalFormatting sqref="W223">
    <cfRule type="expression" dxfId="3784" priority="205">
      <formula>AND(IF($R$223,$W$223,TRUE),LEN(TRIM($W$223))&gt;0)</formula>
    </cfRule>
  </conditionalFormatting>
  <conditionalFormatting sqref="W223">
    <cfRule type="expression" dxfId="3783" priority="204">
      <formula>$S$223 = FALSE</formula>
    </cfRule>
  </conditionalFormatting>
  <conditionalFormatting sqref="W223">
    <cfRule type="expression" dxfId="3782" priority="203">
      <formula>OR($T$223 = TRUE, AND($W$223 = TRUE, $S$223 = FALSE))</formula>
    </cfRule>
  </conditionalFormatting>
  <conditionalFormatting sqref="W230">
    <cfRule type="expression" dxfId="3781" priority="202">
      <formula>AND($R$230)</formula>
    </cfRule>
  </conditionalFormatting>
  <conditionalFormatting sqref="W230">
    <cfRule type="expression" dxfId="3780" priority="201">
      <formula>AND($W$230&lt;&gt;"Not Met",LEN(TRIM($W$230))&gt;0)</formula>
    </cfRule>
  </conditionalFormatting>
  <conditionalFormatting sqref="W230">
    <cfRule type="expression" dxfId="3779" priority="200">
      <formula>$S$230 = FALSE</formula>
    </cfRule>
  </conditionalFormatting>
  <conditionalFormatting sqref="W230">
    <cfRule type="expression" dxfId="3778" priority="199">
      <formula>OR($T$230 = TRUE, AND(LEN(TRIM($W$230))&gt;0, $S$230 = FALSE))</formula>
    </cfRule>
  </conditionalFormatting>
  <conditionalFormatting sqref="W241">
    <cfRule type="expression" dxfId="3777" priority="198">
      <formula>AND($R$241,$S$241)</formula>
    </cfRule>
  </conditionalFormatting>
  <conditionalFormatting sqref="W241">
    <cfRule type="expression" dxfId="3776" priority="197">
      <formula>AND(IF($R$241,$W$241,TRUE),LEN(TRIM($W$241))&gt;0)</formula>
    </cfRule>
  </conditionalFormatting>
  <conditionalFormatting sqref="W241">
    <cfRule type="expression" dxfId="3775" priority="196">
      <formula>$S$241 = FALSE</formula>
    </cfRule>
  </conditionalFormatting>
  <conditionalFormatting sqref="W241">
    <cfRule type="expression" dxfId="3774" priority="195">
      <formula>OR($T$241 = TRUE, AND($W$241 = TRUE, $S$241 = FALSE))</formula>
    </cfRule>
  </conditionalFormatting>
  <conditionalFormatting sqref="W243">
    <cfRule type="expression" dxfId="3773" priority="194">
      <formula>AND($R$243,$S$243)</formula>
    </cfRule>
  </conditionalFormatting>
  <conditionalFormatting sqref="W243">
    <cfRule type="expression" dxfId="3772" priority="193">
      <formula>AND(IF($R$243,$W$243,TRUE),LEN(TRIM($W$243))&gt;0)</formula>
    </cfRule>
  </conditionalFormatting>
  <conditionalFormatting sqref="W243">
    <cfRule type="expression" dxfId="3771" priority="192">
      <formula>$S$243 = FALSE</formula>
    </cfRule>
  </conditionalFormatting>
  <conditionalFormatting sqref="W243">
    <cfRule type="expression" dxfId="3770" priority="191">
      <formula>OR($T$243 = TRUE, AND($W$243 = TRUE, $S$243 = FALSE))</formula>
    </cfRule>
  </conditionalFormatting>
  <conditionalFormatting sqref="W246">
    <cfRule type="expression" dxfId="3769" priority="190">
      <formula>AND($R$246,$S$246)</formula>
    </cfRule>
  </conditionalFormatting>
  <conditionalFormatting sqref="W246">
    <cfRule type="expression" dxfId="3768" priority="189">
      <formula>AND(IF($R$246,$W$246,TRUE),LEN(TRIM($W$246))&gt;0)</formula>
    </cfRule>
  </conditionalFormatting>
  <conditionalFormatting sqref="W246">
    <cfRule type="expression" dxfId="3767" priority="188">
      <formula>$S$246 = FALSE</formula>
    </cfRule>
  </conditionalFormatting>
  <conditionalFormatting sqref="W246">
    <cfRule type="expression" dxfId="3766" priority="187">
      <formula>OR($T$246 = TRUE, AND($W$246 = TRUE, $S$246 = FALSE))</formula>
    </cfRule>
  </conditionalFormatting>
  <conditionalFormatting sqref="W329">
    <cfRule type="expression" dxfId="3765" priority="178">
      <formula>AND($R$329,$S$329)</formula>
    </cfRule>
  </conditionalFormatting>
  <conditionalFormatting sqref="W329">
    <cfRule type="expression" dxfId="3764" priority="177">
      <formula>AND(IF($R$329,$W$329,TRUE),LEN(TRIM($W$329))&gt;0)</formula>
    </cfRule>
  </conditionalFormatting>
  <conditionalFormatting sqref="W329">
    <cfRule type="expression" dxfId="3763" priority="176">
      <formula>$S$329 = FALSE</formula>
    </cfRule>
  </conditionalFormatting>
  <conditionalFormatting sqref="W329">
    <cfRule type="expression" dxfId="3762" priority="175">
      <formula>OR($T$329 = TRUE, AND($W$329 = TRUE, $S$329 = FALSE))</formula>
    </cfRule>
  </conditionalFormatting>
  <conditionalFormatting sqref="W331">
    <cfRule type="expression" dxfId="3761" priority="174">
      <formula>AND($R$331,$S$331)</formula>
    </cfRule>
  </conditionalFormatting>
  <conditionalFormatting sqref="W331">
    <cfRule type="expression" dxfId="3760" priority="173">
      <formula>AND(IF($R$331,$W$331,TRUE),LEN(TRIM($W$331))&gt;0)</formula>
    </cfRule>
  </conditionalFormatting>
  <conditionalFormatting sqref="W331">
    <cfRule type="expression" dxfId="3759" priority="172">
      <formula>$S$331 = FALSE</formula>
    </cfRule>
  </conditionalFormatting>
  <conditionalFormatting sqref="W331">
    <cfRule type="expression" dxfId="3758" priority="171">
      <formula>OR($T$331 = TRUE, AND($W$331 = TRUE, $S$331 = FALSE))</formula>
    </cfRule>
  </conditionalFormatting>
  <conditionalFormatting sqref="W337">
    <cfRule type="expression" dxfId="3757" priority="170">
      <formula>AND($R$337,$S$337)</formula>
    </cfRule>
  </conditionalFormatting>
  <conditionalFormatting sqref="W337">
    <cfRule type="expression" dxfId="3756" priority="169">
      <formula>AND(IF($R$337,$W$337,TRUE),LEN(TRIM($W$337))&gt;0)</formula>
    </cfRule>
  </conditionalFormatting>
  <conditionalFormatting sqref="W337">
    <cfRule type="expression" dxfId="3755" priority="168">
      <formula>$S$337 = FALSE</formula>
    </cfRule>
  </conditionalFormatting>
  <conditionalFormatting sqref="W337">
    <cfRule type="expression" dxfId="3754" priority="167">
      <formula>OR($T$337 = TRUE, AND($W$337 = TRUE, $S$337 = FALSE))</formula>
    </cfRule>
  </conditionalFormatting>
  <conditionalFormatting sqref="W339">
    <cfRule type="expression" dxfId="3753" priority="166">
      <formula>AND($R$339,$S$339)</formula>
    </cfRule>
  </conditionalFormatting>
  <conditionalFormatting sqref="W339">
    <cfRule type="expression" dxfId="3752" priority="165">
      <formula>AND(IF($R$339,$W$339,TRUE),LEN(TRIM($W$339))&gt;0)</formula>
    </cfRule>
  </conditionalFormatting>
  <conditionalFormatting sqref="W339">
    <cfRule type="expression" dxfId="3751" priority="164">
      <formula>$S$339 = FALSE</formula>
    </cfRule>
  </conditionalFormatting>
  <conditionalFormatting sqref="W339">
    <cfRule type="expression" dxfId="3750" priority="163">
      <formula>OR($T$339 = TRUE, AND($W$339 = TRUE, $S$339 = FALSE))</formula>
    </cfRule>
  </conditionalFormatting>
  <conditionalFormatting sqref="W343">
    <cfRule type="expression" dxfId="3749" priority="162">
      <formula>AND($R$343,$S$343)</formula>
    </cfRule>
  </conditionalFormatting>
  <conditionalFormatting sqref="W343">
    <cfRule type="expression" dxfId="3748" priority="161">
      <formula>AND($W$343&lt;&gt;"Not Met",LEN(TRIM($W$343))&gt;0)</formula>
    </cfRule>
  </conditionalFormatting>
  <conditionalFormatting sqref="W343">
    <cfRule type="expression" dxfId="3747" priority="160">
      <formula>$S$343 = FALSE</formula>
    </cfRule>
  </conditionalFormatting>
  <conditionalFormatting sqref="W343">
    <cfRule type="expression" dxfId="3746" priority="159">
      <formula>OR($T$343 = TRUE, AND(LEN(TRIM($W$343))&gt;0, $S$343 = FALSE))</formula>
    </cfRule>
  </conditionalFormatting>
  <conditionalFormatting sqref="W347">
    <cfRule type="expression" dxfId="3745" priority="158">
      <formula>AND($R$347,$S$347)</formula>
    </cfRule>
  </conditionalFormatting>
  <conditionalFormatting sqref="W347">
    <cfRule type="expression" dxfId="3744" priority="157">
      <formula>AND($W$347&lt;&gt;"Not Met",LEN(TRIM($W$347))&gt;0)</formula>
    </cfRule>
  </conditionalFormatting>
  <conditionalFormatting sqref="W347">
    <cfRule type="expression" dxfId="3743" priority="156">
      <formula>$S$347 = FALSE</formula>
    </cfRule>
  </conditionalFormatting>
  <conditionalFormatting sqref="W347">
    <cfRule type="expression" dxfId="3742" priority="155">
      <formula>OR($T$347 = TRUE, AND(LEN(TRIM($W$347))&gt;0, $S$347 = FALSE))</formula>
    </cfRule>
  </conditionalFormatting>
  <conditionalFormatting sqref="W353">
    <cfRule type="expression" dxfId="3741" priority="154">
      <formula>AND($R$353,$S$353)</formula>
    </cfRule>
  </conditionalFormatting>
  <conditionalFormatting sqref="W353">
    <cfRule type="expression" dxfId="3740" priority="153">
      <formula>AND(IF($R$353,$W$353,TRUE),LEN(TRIM($W$353))&gt;0)</formula>
    </cfRule>
  </conditionalFormatting>
  <conditionalFormatting sqref="W353">
    <cfRule type="expression" dxfId="3739" priority="152">
      <formula>$S$353 = FALSE</formula>
    </cfRule>
  </conditionalFormatting>
  <conditionalFormatting sqref="W353">
    <cfRule type="expression" dxfId="3738" priority="151">
      <formula>OR($T$353 = TRUE, AND($W$353 = TRUE, $S$353 = FALSE))</formula>
    </cfRule>
  </conditionalFormatting>
  <conditionalFormatting sqref="W354">
    <cfRule type="expression" dxfId="3737" priority="150">
      <formula>AND($R$354,$S$354)</formula>
    </cfRule>
  </conditionalFormatting>
  <conditionalFormatting sqref="W354">
    <cfRule type="expression" dxfId="3736" priority="149">
      <formula>AND(IF($R$354,$W$354,TRUE),LEN(TRIM($W$354))&gt;0)</formula>
    </cfRule>
  </conditionalFormatting>
  <conditionalFormatting sqref="W354">
    <cfRule type="expression" dxfId="3735" priority="148">
      <formula>$S$354 = FALSE</formula>
    </cfRule>
  </conditionalFormatting>
  <conditionalFormatting sqref="W354">
    <cfRule type="expression" dxfId="3734" priority="147">
      <formula>OR($T$354 = TRUE, AND($W$354 = TRUE, $S$354 = FALSE))</formula>
    </cfRule>
  </conditionalFormatting>
  <conditionalFormatting sqref="W359">
    <cfRule type="expression" dxfId="3733" priority="146">
      <formula>AND($R$359,$S$359)</formula>
    </cfRule>
  </conditionalFormatting>
  <conditionalFormatting sqref="W359">
    <cfRule type="expression" dxfId="3732" priority="145">
      <formula>AND(IF($R$359,$W$359,TRUE),LEN(TRIM($W$359))&gt;0)</formula>
    </cfRule>
  </conditionalFormatting>
  <conditionalFormatting sqref="W359">
    <cfRule type="expression" dxfId="3731" priority="144">
      <formula>$S$359 = FALSE</formula>
    </cfRule>
  </conditionalFormatting>
  <conditionalFormatting sqref="W359">
    <cfRule type="expression" dxfId="3730" priority="143">
      <formula>OR($T$359 = TRUE, AND($W$359 = TRUE, $S$359 = FALSE))</formula>
    </cfRule>
  </conditionalFormatting>
  <conditionalFormatting sqref="W364">
    <cfRule type="expression" dxfId="3729" priority="142">
      <formula>AND($R$364,$S$364)</formula>
    </cfRule>
  </conditionalFormatting>
  <conditionalFormatting sqref="W364">
    <cfRule type="expression" dxfId="3728" priority="141">
      <formula>AND(IF($R$364,$W$364,TRUE),LEN(TRIM($W$364))&gt;0)</formula>
    </cfRule>
  </conditionalFormatting>
  <conditionalFormatting sqref="W364">
    <cfRule type="expression" dxfId="3727" priority="140">
      <formula>$S$364 = FALSE</formula>
    </cfRule>
  </conditionalFormatting>
  <conditionalFormatting sqref="W364">
    <cfRule type="expression" dxfId="3726" priority="139">
      <formula>OR($T$364 = TRUE, AND($W$364 = TRUE, $S$364 = FALSE))</formula>
    </cfRule>
  </conditionalFormatting>
  <conditionalFormatting sqref="W380">
    <cfRule type="expression" dxfId="3725" priority="138">
      <formula>AND($R$380,$S$380)</formula>
    </cfRule>
  </conditionalFormatting>
  <conditionalFormatting sqref="W380">
    <cfRule type="expression" dxfId="3724" priority="137">
      <formula>AND(IF($R$380,$W$380,TRUE),LEN(TRIM($W$380))&gt;0)</formula>
    </cfRule>
  </conditionalFormatting>
  <conditionalFormatting sqref="W380">
    <cfRule type="expression" dxfId="3723" priority="136">
      <formula>$S$380 = FALSE</formula>
    </cfRule>
  </conditionalFormatting>
  <conditionalFormatting sqref="W380">
    <cfRule type="expression" dxfId="3722" priority="135">
      <formula>OR($T$380 = TRUE, AND($W$380 = TRUE, $S$380 = FALSE))</formula>
    </cfRule>
  </conditionalFormatting>
  <conditionalFormatting sqref="W385">
    <cfRule type="expression" dxfId="3721" priority="134">
      <formula>AND($R$385,$S$385)</formula>
    </cfRule>
  </conditionalFormatting>
  <conditionalFormatting sqref="W385">
    <cfRule type="expression" dxfId="3720" priority="133">
      <formula>AND(IF($R$385,$W$385,TRUE),LEN(TRIM($W$385))&gt;0)</formula>
    </cfRule>
  </conditionalFormatting>
  <conditionalFormatting sqref="W385">
    <cfRule type="expression" dxfId="3719" priority="132">
      <formula>$S$385 = FALSE</formula>
    </cfRule>
  </conditionalFormatting>
  <conditionalFormatting sqref="W385">
    <cfRule type="expression" dxfId="3718" priority="131">
      <formula>OR($T$385 = TRUE, AND($W$385 = TRUE, $S$385 = FALSE))</formula>
    </cfRule>
  </conditionalFormatting>
  <conditionalFormatting sqref="W106">
    <cfRule type="expression" dxfId="3717" priority="127">
      <formula>OR(T106 = TRUE, AND(LEN(TRIM(W106))&gt;0, S106 = FALSE))</formula>
    </cfRule>
    <cfRule type="notContainsBlanks" dxfId="3716" priority="130">
      <formula>LEN(TRIM(W106))&gt;0</formula>
    </cfRule>
  </conditionalFormatting>
  <conditionalFormatting sqref="W117">
    <cfRule type="expression" dxfId="3715" priority="125">
      <formula>OR(T117 = TRUE, AND(LEN(TRIM(W117))&gt;0, S117 = FALSE))</formula>
    </cfRule>
    <cfRule type="notContainsBlanks" dxfId="3714" priority="126">
      <formula>LEN(TRIM(W117))&gt;0</formula>
    </cfRule>
  </conditionalFormatting>
  <conditionalFormatting sqref="W118">
    <cfRule type="expression" dxfId="3713" priority="123">
      <formula>OR(T118 = TRUE, AND(LEN(TRIM(W118))&gt;0, S118 = FALSE))</formula>
    </cfRule>
    <cfRule type="notContainsBlanks" dxfId="3712" priority="124">
      <formula>LEN(TRIM(W118))&gt;0</formula>
    </cfRule>
  </conditionalFormatting>
  <conditionalFormatting sqref="W138">
    <cfRule type="expression" dxfId="3711" priority="122">
      <formula>AND($R$138,$S$138)</formula>
    </cfRule>
  </conditionalFormatting>
  <conditionalFormatting sqref="W138">
    <cfRule type="expression" dxfId="3710" priority="121">
      <formula>AND(IF($R$138,$W$138,TRUE),LEN(TRIM($W$138))&gt;0)</formula>
    </cfRule>
  </conditionalFormatting>
  <conditionalFormatting sqref="W138">
    <cfRule type="expression" dxfId="3709" priority="120">
      <formula>$S$138 = FALSE</formula>
    </cfRule>
  </conditionalFormatting>
  <conditionalFormatting sqref="W138">
    <cfRule type="expression" dxfId="3708" priority="119">
      <formula>OR($T$138 = TRUE, AND($W$138 = TRUE, $S$138 = FALSE))</formula>
    </cfRule>
  </conditionalFormatting>
  <conditionalFormatting sqref="W205">
    <cfRule type="expression" dxfId="3707" priority="118">
      <formula>AND(R205,S205)</formula>
    </cfRule>
  </conditionalFormatting>
  <conditionalFormatting sqref="W205">
    <cfRule type="expression" dxfId="3706" priority="117">
      <formula>AND(IF(R205,W205,TRUE),LEN(TRIM(W205))&gt;0)</formula>
    </cfRule>
  </conditionalFormatting>
  <conditionalFormatting sqref="W205">
    <cfRule type="expression" dxfId="3705" priority="116">
      <formula>S205 = FALSE</formula>
    </cfRule>
  </conditionalFormatting>
  <conditionalFormatting sqref="W205">
    <cfRule type="expression" dxfId="3704" priority="115">
      <formula>OR(T205 = TRUE, AND(W205 = TRUE, S205 = FALSE))</formula>
    </cfRule>
  </conditionalFormatting>
  <conditionalFormatting sqref="W207">
    <cfRule type="expression" dxfId="3703" priority="114">
      <formula>AND(R207,S207)</formula>
    </cfRule>
  </conditionalFormatting>
  <conditionalFormatting sqref="W207">
    <cfRule type="expression" dxfId="3702" priority="113">
      <formula>AND(IF(R207,W207,TRUE),LEN(TRIM(W207))&gt;0)</formula>
    </cfRule>
  </conditionalFormatting>
  <conditionalFormatting sqref="W207">
    <cfRule type="expression" dxfId="3701" priority="112">
      <formula>S207 = FALSE</formula>
    </cfRule>
  </conditionalFormatting>
  <conditionalFormatting sqref="W207">
    <cfRule type="expression" dxfId="3700" priority="111">
      <formula>OR(T207 = TRUE, AND(W207 = TRUE, S207 = FALSE))</formula>
    </cfRule>
  </conditionalFormatting>
  <conditionalFormatting sqref="W214">
    <cfRule type="expression" dxfId="3699" priority="110">
      <formula>AND(R214,S214)</formula>
    </cfRule>
  </conditionalFormatting>
  <conditionalFormatting sqref="W214">
    <cfRule type="expression" dxfId="3698" priority="109">
      <formula>AND(IF(R214,W214,TRUE),LEN(TRIM(W214))&gt;0)</formula>
    </cfRule>
  </conditionalFormatting>
  <conditionalFormatting sqref="W214">
    <cfRule type="expression" dxfId="3697" priority="108">
      <formula>S214 = FALSE</formula>
    </cfRule>
  </conditionalFormatting>
  <conditionalFormatting sqref="W214">
    <cfRule type="expression" dxfId="3696" priority="107">
      <formula>OR(T214 = TRUE, AND(W214 = TRUE, S214 = FALSE))</formula>
    </cfRule>
  </conditionalFormatting>
  <conditionalFormatting sqref="W216">
    <cfRule type="expression" dxfId="3695" priority="106">
      <formula>AND(R216,S216)</formula>
    </cfRule>
  </conditionalFormatting>
  <conditionalFormatting sqref="W216">
    <cfRule type="expression" dxfId="3694" priority="105">
      <formula>AND(IF(R216,W216,TRUE),LEN(TRIM(W216))&gt;0)</formula>
    </cfRule>
  </conditionalFormatting>
  <conditionalFormatting sqref="W216">
    <cfRule type="expression" dxfId="3693" priority="104">
      <formula>S216 = FALSE</formula>
    </cfRule>
  </conditionalFormatting>
  <conditionalFormatting sqref="W216">
    <cfRule type="expression" dxfId="3692" priority="103">
      <formula>OR(T216 = TRUE, AND(W216 = TRUE, S216 = FALSE))</formula>
    </cfRule>
  </conditionalFormatting>
  <conditionalFormatting sqref="X73:X77">
    <cfRule type="expression" dxfId="3691" priority="102">
      <formula>W73="N/A"</formula>
    </cfRule>
  </conditionalFormatting>
  <conditionalFormatting sqref="W177">
    <cfRule type="expression" dxfId="3690" priority="97">
      <formula>AND($R$177,$S$177)</formula>
    </cfRule>
  </conditionalFormatting>
  <conditionalFormatting sqref="W177">
    <cfRule type="expression" dxfId="3689" priority="96">
      <formula>AND($W$177&lt;&gt;"Not Met",LEN(TRIM($W$177))&gt;0)</formula>
    </cfRule>
  </conditionalFormatting>
  <conditionalFormatting sqref="W177">
    <cfRule type="expression" dxfId="3688" priority="95">
      <formula>$S$177 = FALSE</formula>
    </cfRule>
  </conditionalFormatting>
  <conditionalFormatting sqref="W177">
    <cfRule type="expression" dxfId="3687" priority="94">
      <formula>OR($T$177 = TRUE, AND(LEN(TRIM($W$177))&gt;0, $S$177 = FALSE))</formula>
    </cfRule>
  </conditionalFormatting>
  <conditionalFormatting sqref="X1">
    <cfRule type="expression" dxfId="3686" priority="89">
      <formula>startError</formula>
    </cfRule>
  </conditionalFormatting>
  <conditionalFormatting sqref="I1">
    <cfRule type="expression" dxfId="3685" priority="85">
      <formula>$AG$1="Gold"</formula>
    </cfRule>
    <cfRule type="expression" dxfId="3684" priority="86">
      <formula>$AG$1="Silver"</formula>
    </cfRule>
    <cfRule type="expression" dxfId="3683" priority="87">
      <formula>$AG$1="Bronze"</formula>
    </cfRule>
    <cfRule type="expression" dxfId="3682" priority="88">
      <formula>$AG$1="Emerald"</formula>
    </cfRule>
  </conditionalFormatting>
  <conditionalFormatting sqref="W149">
    <cfRule type="expression" dxfId="3681" priority="80">
      <formula>AND($R$149,$S$149)</formula>
    </cfRule>
  </conditionalFormatting>
  <conditionalFormatting sqref="W149">
    <cfRule type="expression" dxfId="3680" priority="79">
      <formula>AND($W$149&lt;&gt;"Not Met",LEN(TRIM($W$149))&gt;0)</formula>
    </cfRule>
  </conditionalFormatting>
  <conditionalFormatting sqref="W149">
    <cfRule type="expression" dxfId="3679" priority="78">
      <formula>$S$149 = FALSE</formula>
    </cfRule>
  </conditionalFormatting>
  <conditionalFormatting sqref="W149">
    <cfRule type="expression" dxfId="3678" priority="77">
      <formula>OR($T$149 = TRUE, AND(LEN(TRIM($W$149))&gt;0, $S$149 = FALSE))</formula>
    </cfRule>
  </conditionalFormatting>
  <conditionalFormatting sqref="W189">
    <cfRule type="expression" dxfId="3677" priority="76">
      <formula>AND($R$189,$S$189)</formula>
    </cfRule>
  </conditionalFormatting>
  <conditionalFormatting sqref="W189">
    <cfRule type="expression" dxfId="3676" priority="75">
      <formula>AND(IF($R$189,$W$189,TRUE),LEN(TRIM($W$189))&gt;0)</formula>
    </cfRule>
  </conditionalFormatting>
  <conditionalFormatting sqref="W189">
    <cfRule type="expression" dxfId="3675" priority="74">
      <formula>$S$189 = FALSE</formula>
    </cfRule>
  </conditionalFormatting>
  <conditionalFormatting sqref="W189">
    <cfRule type="expression" dxfId="3674" priority="73">
      <formula>OR($T$189 = TRUE, AND($W$189 = TRUE, $S$189 = FALSE))</formula>
    </cfRule>
  </conditionalFormatting>
  <conditionalFormatting sqref="W226">
    <cfRule type="expression" dxfId="3673" priority="72">
      <formula>AND($R$226,$S$226)</formula>
    </cfRule>
  </conditionalFormatting>
  <conditionalFormatting sqref="W226">
    <cfRule type="expression" dxfId="3672" priority="71">
      <formula>AND(IF($R$226,$W$226,TRUE),LEN(TRIM($W$226))&gt;0)</formula>
    </cfRule>
  </conditionalFormatting>
  <conditionalFormatting sqref="W226">
    <cfRule type="expression" dxfId="3671" priority="70">
      <formula>$S$226 = FALSE</formula>
    </cfRule>
  </conditionalFormatting>
  <conditionalFormatting sqref="W226">
    <cfRule type="expression" dxfId="3670" priority="69">
      <formula>OR($T$226 = TRUE, AND($W$226 = TRUE, $S$226 = FALSE))</formula>
    </cfRule>
  </conditionalFormatting>
  <conditionalFormatting sqref="W249">
    <cfRule type="expression" dxfId="3669" priority="68">
      <formula>AND($R$249,$S$249)</formula>
    </cfRule>
  </conditionalFormatting>
  <conditionalFormatting sqref="W249">
    <cfRule type="expression" dxfId="3668" priority="67">
      <formula>AND(IF($R$249,$W$249,TRUE),LEN(TRIM($W$249))&gt;0)</formula>
    </cfRule>
  </conditionalFormatting>
  <conditionalFormatting sqref="W249">
    <cfRule type="expression" dxfId="3667" priority="66">
      <formula>$S$249 = FALSE</formula>
    </cfRule>
  </conditionalFormatting>
  <conditionalFormatting sqref="W249">
    <cfRule type="expression" dxfId="3666" priority="65">
      <formula>OR($T$249 = TRUE, AND($W$249 = TRUE, $S$249 = FALSE))</formula>
    </cfRule>
  </conditionalFormatting>
  <conditionalFormatting sqref="W251">
    <cfRule type="expression" dxfId="3665" priority="64">
      <formula>AND($R$251,$S$251)</formula>
    </cfRule>
  </conditionalFormatting>
  <conditionalFormatting sqref="W251">
    <cfRule type="expression" dxfId="3664" priority="63">
      <formula>AND($W$251&lt;&gt;"Not Met",LEN(TRIM($W$251))&gt;0)</formula>
    </cfRule>
  </conditionalFormatting>
  <conditionalFormatting sqref="W251">
    <cfRule type="expression" dxfId="3663" priority="62">
      <formula>$S$251 = FALSE</formula>
    </cfRule>
  </conditionalFormatting>
  <conditionalFormatting sqref="W251">
    <cfRule type="expression" dxfId="3662" priority="61">
      <formula>OR($T$251 = TRUE, AND(LEN(TRIM($W$251))&gt;0, $S$251 = FALSE))</formula>
    </cfRule>
  </conditionalFormatting>
  <conditionalFormatting sqref="W300">
    <cfRule type="expression" dxfId="3661" priority="56">
      <formula>AND($R$300,$S$300)</formula>
    </cfRule>
  </conditionalFormatting>
  <conditionalFormatting sqref="W300">
    <cfRule type="expression" dxfId="3660" priority="55">
      <formula>AND(IF($R$300,$W$300,TRUE),LEN(TRIM($W$300))&gt;0)</formula>
    </cfRule>
  </conditionalFormatting>
  <conditionalFormatting sqref="W300">
    <cfRule type="expression" dxfId="3659" priority="54">
      <formula>$S$300 = FALSE</formula>
    </cfRule>
  </conditionalFormatting>
  <conditionalFormatting sqref="W300">
    <cfRule type="expression" dxfId="3658" priority="53">
      <formula>OR($T$300 = TRUE, AND($W$300 = TRUE, $S$300 = FALSE))</formula>
    </cfRule>
  </conditionalFormatting>
  <conditionalFormatting sqref="W302">
    <cfRule type="expression" dxfId="3657" priority="52">
      <formula>AND($R$302,$S$302)</formula>
    </cfRule>
  </conditionalFormatting>
  <conditionalFormatting sqref="W302">
    <cfRule type="expression" dxfId="3656" priority="51">
      <formula>AND(IF($R$302,$W$302,TRUE),LEN(TRIM($W$302))&gt;0)</formula>
    </cfRule>
  </conditionalFormatting>
  <conditionalFormatting sqref="W302">
    <cfRule type="expression" dxfId="3655" priority="50">
      <formula>$S$302 = FALSE</formula>
    </cfRule>
  </conditionalFormatting>
  <conditionalFormatting sqref="W302">
    <cfRule type="expression" dxfId="3654" priority="49">
      <formula>OR($T$302 = TRUE, AND($W$302 = TRUE, $S$302 = FALSE))</formula>
    </cfRule>
  </conditionalFormatting>
  <conditionalFormatting sqref="W325">
    <cfRule type="expression" dxfId="3653" priority="48">
      <formula>AND($R$325,$S$325)</formula>
    </cfRule>
  </conditionalFormatting>
  <conditionalFormatting sqref="W325">
    <cfRule type="expression" dxfId="3652" priority="47">
      <formula>AND(IF($R$325,$W$325,TRUE),LEN(TRIM($W$325))&gt;0)</formula>
    </cfRule>
  </conditionalFormatting>
  <conditionalFormatting sqref="W325">
    <cfRule type="expression" dxfId="3651" priority="46">
      <formula>$S$325 = FALSE</formula>
    </cfRule>
  </conditionalFormatting>
  <conditionalFormatting sqref="W325">
    <cfRule type="expression" dxfId="3650" priority="45">
      <formula>OR($T$325 = TRUE, AND($W$325 = TRUE, $S$325 = FALSE))</formula>
    </cfRule>
  </conditionalFormatting>
  <conditionalFormatting sqref="W334">
    <cfRule type="expression" dxfId="3649" priority="44">
      <formula>AND($R$334,$S$334)</formula>
    </cfRule>
  </conditionalFormatting>
  <conditionalFormatting sqref="W334">
    <cfRule type="expression" dxfId="3648" priority="43">
      <formula>AND(IF($R$334,$W$334,TRUE),LEN(TRIM($W$334))&gt;0)</formula>
    </cfRule>
  </conditionalFormatting>
  <conditionalFormatting sqref="W334">
    <cfRule type="expression" dxfId="3647" priority="42">
      <formula>$S$334 = FALSE</formula>
    </cfRule>
  </conditionalFormatting>
  <conditionalFormatting sqref="W334">
    <cfRule type="expression" dxfId="3646" priority="41">
      <formula>OR($T$334 = TRUE, AND($W$334 = TRUE, $S$334 = FALSE))</formula>
    </cfRule>
  </conditionalFormatting>
  <conditionalFormatting sqref="W369">
    <cfRule type="expression" dxfId="3645" priority="40">
      <formula>AND($R$369,$S$369)</formula>
    </cfRule>
  </conditionalFormatting>
  <conditionalFormatting sqref="W369">
    <cfRule type="expression" dxfId="3644" priority="39">
      <formula>AND(IF($R$369,$W$369,TRUE),LEN(TRIM($W$369))&gt;0)</formula>
    </cfRule>
  </conditionalFormatting>
  <conditionalFormatting sqref="W369">
    <cfRule type="expression" dxfId="3643" priority="38">
      <formula>$S$369 = FALSE</formula>
    </cfRule>
  </conditionalFormatting>
  <conditionalFormatting sqref="W369">
    <cfRule type="expression" dxfId="3642" priority="37">
      <formula>OR($T$369 = TRUE, AND($W$369 = TRUE, $S$369 = FALSE))</formula>
    </cfRule>
  </conditionalFormatting>
  <conditionalFormatting sqref="W376">
    <cfRule type="expression" dxfId="3641" priority="36">
      <formula>AND($R$376,$S$376)</formula>
    </cfRule>
  </conditionalFormatting>
  <conditionalFormatting sqref="W376">
    <cfRule type="expression" dxfId="3640" priority="35">
      <formula>AND(IF($R$376,$W$376,TRUE),LEN(TRIM($W$376))&gt;0)</formula>
    </cfRule>
  </conditionalFormatting>
  <conditionalFormatting sqref="W376">
    <cfRule type="expression" dxfId="3639" priority="34">
      <formula>$S$376 = FALSE</formula>
    </cfRule>
  </conditionalFormatting>
  <conditionalFormatting sqref="W376">
    <cfRule type="expression" dxfId="3638" priority="33">
      <formula>OR($T$376 = TRUE, AND($W$376 = TRUE, $S$376 = FALSE))</formula>
    </cfRule>
  </conditionalFormatting>
  <conditionalFormatting sqref="W388">
    <cfRule type="expression" dxfId="3637" priority="32">
      <formula>AND($R$388,$S$388)</formula>
    </cfRule>
  </conditionalFormatting>
  <conditionalFormatting sqref="W388">
    <cfRule type="expression" dxfId="3636" priority="31">
      <formula>AND(IF($R$388,$W$388,TRUE),LEN(TRIM($W$388))&gt;0)</formula>
    </cfRule>
  </conditionalFormatting>
  <conditionalFormatting sqref="W388">
    <cfRule type="expression" dxfId="3635" priority="30">
      <formula>$S$388 = FALSE</formula>
    </cfRule>
  </conditionalFormatting>
  <conditionalFormatting sqref="W388">
    <cfRule type="expression" dxfId="3634" priority="29">
      <formula>OR($T$388 = TRUE, AND($W$388 = TRUE, $S$388 = FALSE))</formula>
    </cfRule>
  </conditionalFormatting>
  <conditionalFormatting sqref="W389">
    <cfRule type="expression" dxfId="3633" priority="28">
      <formula>AND($R$389,$S$389)</formula>
    </cfRule>
  </conditionalFormatting>
  <conditionalFormatting sqref="W389">
    <cfRule type="expression" dxfId="3632" priority="27">
      <formula>AND(IF($R$389,$W$389,TRUE),LEN(TRIM($W$389))&gt;0)</formula>
    </cfRule>
  </conditionalFormatting>
  <conditionalFormatting sqref="W389">
    <cfRule type="expression" dxfId="3631" priority="26">
      <formula>$S$389 = FALSE</formula>
    </cfRule>
  </conditionalFormatting>
  <conditionalFormatting sqref="W389">
    <cfRule type="expression" dxfId="3630" priority="25">
      <formula>OR($T$389 = TRUE, AND($W$389 = TRUE, $S$389 = FALSE))</formula>
    </cfRule>
  </conditionalFormatting>
  <conditionalFormatting sqref="W391">
    <cfRule type="expression" dxfId="3629" priority="24">
      <formula>AND($R$391,$S$391)</formula>
    </cfRule>
  </conditionalFormatting>
  <conditionalFormatting sqref="W391">
    <cfRule type="expression" dxfId="3628" priority="23">
      <formula>AND(IF($R$391,$W$391,TRUE),LEN(TRIM($W$391))&gt;0)</formula>
    </cfRule>
  </conditionalFormatting>
  <conditionalFormatting sqref="W391">
    <cfRule type="expression" dxfId="3627" priority="22">
      <formula>$S$391 = FALSE</formula>
    </cfRule>
  </conditionalFormatting>
  <conditionalFormatting sqref="W391">
    <cfRule type="expression" dxfId="3626" priority="21">
      <formula>OR($T$391 = TRUE, AND($W$391 = TRUE, $S$391 = FALSE))</formula>
    </cfRule>
  </conditionalFormatting>
  <conditionalFormatting sqref="W396">
    <cfRule type="expression" dxfId="3625" priority="20">
      <formula>AND($R$396,$S$396)</formula>
    </cfRule>
  </conditionalFormatting>
  <conditionalFormatting sqref="W396">
    <cfRule type="expression" dxfId="3624" priority="19">
      <formula>AND(IF($R$396,$W$396,TRUE),LEN(TRIM($W$396))&gt;0)</formula>
    </cfRule>
  </conditionalFormatting>
  <conditionalFormatting sqref="W396">
    <cfRule type="expression" dxfId="3623" priority="18">
      <formula>$S$396 = FALSE</formula>
    </cfRule>
  </conditionalFormatting>
  <conditionalFormatting sqref="W396">
    <cfRule type="expression" dxfId="3622" priority="17">
      <formula>OR($T$396 = TRUE, AND($W$396 = TRUE, $S$396 = FALSE))</formula>
    </cfRule>
  </conditionalFormatting>
  <conditionalFormatting sqref="W400">
    <cfRule type="expression" dxfId="3621" priority="16">
      <formula>AND($R$400,$S$400)</formula>
    </cfRule>
  </conditionalFormatting>
  <conditionalFormatting sqref="W400">
    <cfRule type="expression" dxfId="3620" priority="15">
      <formula>AND($W$400&lt;&gt;"Not Met",LEN(TRIM($W$400))&gt;0)</formula>
    </cfRule>
  </conditionalFormatting>
  <conditionalFormatting sqref="W400">
    <cfRule type="expression" dxfId="3619" priority="14">
      <formula>$S$400 = FALSE</formula>
    </cfRule>
  </conditionalFormatting>
  <conditionalFormatting sqref="W400">
    <cfRule type="expression" dxfId="3618" priority="13">
      <formula>OR($T$400 = TRUE, AND(LEN(TRIM($W$400))&gt;0, $S$400 = FALSE))</formula>
    </cfRule>
  </conditionalFormatting>
  <conditionalFormatting sqref="W171">
    <cfRule type="expression" dxfId="3617" priority="4">
      <formula>AND($R$171,$S$171)</formula>
    </cfRule>
  </conditionalFormatting>
  <conditionalFormatting sqref="W171">
    <cfRule type="expression" dxfId="3616" priority="3">
      <formula>AND(IF($R$171,$W$171,TRUE),LEN(TRIM($W$171))&gt;0)</formula>
    </cfRule>
  </conditionalFormatting>
  <conditionalFormatting sqref="W171">
    <cfRule type="expression" dxfId="3615" priority="2">
      <formula>$S$171 = FALSE</formula>
    </cfRule>
  </conditionalFormatting>
  <conditionalFormatting sqref="W171">
    <cfRule type="expression" dxfId="3614" priority="1">
      <formula>OR($T$171 = TRUE, AND($W$171 = TRUE, $S$171 = FALSE))</formula>
    </cfRule>
  </conditionalFormatting>
  <dataValidations count="29">
    <dataValidation type="list" allowBlank="1" showDropDown="1" showInputMessage="1" showErrorMessage="1" error="Use Checkbox" prompt="Use Checkbox" sqref="W12 W18 W34 W55 W385 W380 W364 W359 W353:W354 W339 W337 W331 W329 W249 W246 W243 W241 W223 W221 W219 W208 W201 W197 W195 W187 W185 W181:W182 W138 W166 W161:W162 W156 W143 W68 W133 W121 W97 W94 W92 W62 W135:W136 W189 W226 W302 W325 W171 W300 W334 W376 W369 W396 W391 W388:W389" xr:uid="{00000000-0002-0000-0700-000000000000}">
      <formula1>TorF</formula1>
    </dataValidation>
    <dataValidation type="list" allowBlank="1" showInputMessage="1" showErrorMessage="1" error="Please use the dropdown." sqref="W23" xr:uid="{00000000-0002-0000-0700-000001000000}">
      <formula1>INDIRECT($U$23)</formula1>
    </dataValidation>
    <dataValidation type="list" allowBlank="1" showInputMessage="1" showErrorMessage="1" error="Please use the dropdown." sqref="W26" xr:uid="{00000000-0002-0000-0700-000002000000}">
      <formula1>INDIRECT($U$26)</formula1>
    </dataValidation>
    <dataValidation type="list" allowBlank="1" showInputMessage="1" showErrorMessage="1" error="Please use the dropdown." sqref="W29" xr:uid="{00000000-0002-0000-0700-000003000000}">
      <formula1>INDIRECT($U$29)</formula1>
    </dataValidation>
    <dataValidation type="list" allowBlank="1" showInputMessage="1" showErrorMessage="1" error="Please use the dropdown." sqref="W37" xr:uid="{00000000-0002-0000-0700-000004000000}">
      <formula1>INDIRECT($U$37)</formula1>
    </dataValidation>
    <dataValidation type="list" allowBlank="1" showInputMessage="1" showErrorMessage="1" error="Please use the dropdown." sqref="W43" xr:uid="{00000000-0002-0000-0700-000005000000}">
      <formula1>INDIRECT($U$43)</formula1>
    </dataValidation>
    <dataValidation type="list" allowBlank="1" showInputMessage="1" showErrorMessage="1" error="Please use the dropdown." sqref="W46" xr:uid="{00000000-0002-0000-0700-000006000000}">
      <formula1>INDIRECT($U$46)</formula1>
    </dataValidation>
    <dataValidation type="list" allowBlank="1" showInputMessage="1" showErrorMessage="1" error="Please use the dropdown." sqref="W48" xr:uid="{00000000-0002-0000-0700-000007000000}">
      <formula1>INDIRECT($U$48)</formula1>
    </dataValidation>
    <dataValidation type="list" allowBlank="1" showInputMessage="1" showErrorMessage="1" error="Please use the dropdown." sqref="W51" xr:uid="{00000000-0002-0000-0700-000008000000}">
      <formula1>INDIRECT($U$51)</formula1>
    </dataValidation>
    <dataValidation type="list" allowBlank="1" showInputMessage="1" showErrorMessage="1" error="Please use the dropdown." sqref="W53" xr:uid="{00000000-0002-0000-0700-000009000000}">
      <formula1>INDIRECT($U$53)</formula1>
    </dataValidation>
    <dataValidation type="list" allowBlank="1" showInputMessage="1" showErrorMessage="1" error="Please use the dropdown." sqref="W58" xr:uid="{00000000-0002-0000-0700-00000A000000}">
      <formula1>INDIRECT($U$58)</formula1>
    </dataValidation>
    <dataValidation type="list" allowBlank="1" showInputMessage="1" showErrorMessage="1" error="Please use the dropdown." sqref="W60" xr:uid="{00000000-0002-0000-0700-00000B000000}">
      <formula1>INDIRECT($U$60)</formula1>
    </dataValidation>
    <dataValidation type="list" allowBlank="1" showInputMessage="1" showErrorMessage="1" error="Please use the dropdown." sqref="W73" xr:uid="{00000000-0002-0000-0700-00000C000000}">
      <formula1>INDIRECT($U$73)</formula1>
    </dataValidation>
    <dataValidation type="list" allowBlank="1" showInputMessage="1" showErrorMessage="1" error="Please use the dropdown." sqref="W78" xr:uid="{00000000-0002-0000-0700-00000D000000}">
      <formula1>INDIRECT($U$78)</formula1>
    </dataValidation>
    <dataValidation type="list" allowBlank="1" showInputMessage="1" showErrorMessage="1" error="Please use the dropdown." sqref="W79" xr:uid="{00000000-0002-0000-0700-00000E000000}">
      <formula1>INDIRECT($U$79)</formula1>
    </dataValidation>
    <dataValidation type="list" allowBlank="1" showInputMessage="1" showErrorMessage="1" error="Please use the dropdown." sqref="W80" xr:uid="{00000000-0002-0000-0700-00000F000000}">
      <formula1>INDIRECT($U$80)</formula1>
    </dataValidation>
    <dataValidation type="list" allowBlank="1" showInputMessage="1" showErrorMessage="1" error="Please use the dropdown." sqref="W81" xr:uid="{00000000-0002-0000-0700-000010000000}">
      <formula1>INDIRECT($U$81)</formula1>
    </dataValidation>
    <dataValidation type="list" allowBlank="1" showInputMessage="1" showErrorMessage="1" error="Please use the dropdown." sqref="W199" xr:uid="{00000000-0002-0000-0700-000011000000}">
      <formula1>INDIRECT($U$199)</formula1>
    </dataValidation>
    <dataValidation type="list" allowBlank="1" showInputMessage="1" showErrorMessage="1" error="Please use the dropdown." sqref="W230" xr:uid="{00000000-0002-0000-0700-000012000000}">
      <formula1>INDIRECT($U$230)</formula1>
    </dataValidation>
    <dataValidation type="list" allowBlank="1" showInputMessage="1" showErrorMessage="1" error="Please use the dropdown." sqref="W343" xr:uid="{00000000-0002-0000-0700-000014000000}">
      <formula1>INDIRECT($U$343)</formula1>
    </dataValidation>
    <dataValidation type="list" allowBlank="1" showInputMessage="1" showErrorMessage="1" error="Please use the dropdown." sqref="W347" xr:uid="{00000000-0002-0000-0700-000015000000}">
      <formula1>INDIRECT($U$347)</formula1>
    </dataValidation>
    <dataValidation type="decimal" allowBlank="1" showDropDown="1" showInputMessage="1" showErrorMessage="1" error="Enter Percentage" prompt="Enter Percentage" sqref="W106 W117:W118" xr:uid="{00000000-0002-0000-0700-000016000000}">
      <formula1>0</formula1>
      <formula2>1</formula2>
    </dataValidation>
    <dataValidation type="whole" allowBlank="1" showDropDown="1" showInputMessage="1" showErrorMessage="1" error="Enter a whole number" prompt="Enter number of timers" sqref="W205" xr:uid="{00000000-0002-0000-0700-000017000000}">
      <formula1>0</formula1>
      <formula2>10</formula2>
    </dataValidation>
    <dataValidation type="whole" allowBlank="1" showDropDown="1" showInputMessage="1" showErrorMessage="1" error="Enter a whole number" prompt="Enter number of humidistats" sqref="W207" xr:uid="{00000000-0002-0000-0700-000018000000}">
      <formula1>0</formula1>
      <formula2>10</formula2>
    </dataValidation>
    <dataValidation type="list" allowBlank="1" showInputMessage="1" showErrorMessage="1" error="Please use the dropdown." sqref="W177" xr:uid="{00000000-0002-0000-0700-000019000000}">
      <formula1>INDIRECT($U$177)</formula1>
    </dataValidation>
    <dataValidation type="whole" allowBlank="1" showDropDown="1" showInputMessage="1" showErrorMessage="1" error="Enter a whole number" prompt="Enter number of fans" sqref="W214 W216" xr:uid="{00000000-0002-0000-0700-00001A000000}">
      <formula1>0</formula1>
      <formula2>10</formula2>
    </dataValidation>
    <dataValidation type="list" allowBlank="1" showInputMessage="1" showErrorMessage="1" error="Please use the dropdown." sqref="W149" xr:uid="{00000000-0002-0000-0700-00001B000000}">
      <formula1>INDIRECT($U$149)</formula1>
    </dataValidation>
    <dataValidation type="list" allowBlank="1" showInputMessage="1" showErrorMessage="1" error="Please use the dropdown." sqref="W251" xr:uid="{306A6B1C-1B02-4B21-B4B6-005E1C747E5A}">
      <formula1>INDIRECT($U$251)</formula1>
    </dataValidation>
    <dataValidation type="list" allowBlank="1" showInputMessage="1" showErrorMessage="1" error="Please use the dropdown." sqref="W400" xr:uid="{F15B73E2-04B6-4B50-A99F-947868D48BA4}">
      <formula1>INDIRECT($U$400)</formula1>
    </dataValidation>
  </dataValidations>
  <hyperlinks>
    <hyperlink ref="L137" location="'Table 11.901.9.1'!A1" display="See Table 11.901.9.1" xr:uid="{00000000-0004-0000-0700-000000000000}"/>
    <hyperlink ref="L142" location="'Table 11.901.9.2'!A1" display="See Table 11.901.9.2" xr:uid="{00000000-0004-0000-0700-000001000000}"/>
    <hyperlink ref="L165" location="'Table 11.901.10(3)'!A1" display="See Table 11.901.10(3)" xr:uid="{00000000-0004-0000-0700-000002000000}"/>
    <hyperlink ref="X409" location="'Ch10'!A1" display="CLICK TO PROCEED TO CHAPTER 10 &gt;&gt;" xr:uid="{00000000-0004-0000-0700-000003000000}"/>
  </hyperlinks>
  <pageMargins left="0.7" right="0.7" top="0.75" bottom="0.75" header="0.3" footer="0.3"/>
  <pageSetup scale="61" fitToHeight="0" orientation="landscape" r:id="rId1"/>
  <rowBreaks count="6" manualBreakCount="6">
    <brk id="55" max="16383" man="1"/>
    <brk id="98" max="16383" man="1"/>
    <brk id="151" max="16383" man="1"/>
    <brk id="190" max="16383" man="1"/>
    <brk id="228" max="16383" man="1"/>
    <brk id="340" max="16383" man="1"/>
  </rowBreaks>
  <drawing r:id="rId2"/>
  <legacyDrawing r:id="rId3"/>
  <mc:AlternateContent xmlns:mc="http://schemas.openxmlformats.org/markup-compatibility/2006">
    <mc:Choice Requires="x14">
      <controls>
        <mc:AlternateContent xmlns:mc="http://schemas.openxmlformats.org/markup-compatibility/2006">
          <mc:Choice Requires="x14">
            <control shapeId="7170" r:id="rId4" name="Check Box 2">
              <controlPr locked="0" defaultSize="0" autoFill="0" autoLine="0" autoPict="0">
                <anchor moveWithCells="1">
                  <from>
                    <xdr:col>22</xdr:col>
                    <xdr:colOff>0</xdr:colOff>
                    <xdr:row>11</xdr:row>
                    <xdr:rowOff>0</xdr:rowOff>
                  </from>
                  <to>
                    <xdr:col>22</xdr:col>
                    <xdr:colOff>177800</xdr:colOff>
                    <xdr:row>11</xdr:row>
                    <xdr:rowOff>177800</xdr:rowOff>
                  </to>
                </anchor>
              </controlPr>
            </control>
          </mc:Choice>
        </mc:AlternateContent>
        <mc:AlternateContent xmlns:mc="http://schemas.openxmlformats.org/markup-compatibility/2006">
          <mc:Choice Requires="x14">
            <control shapeId="7172" r:id="rId5" name="Check Box 4">
              <controlPr locked="0" defaultSize="0" autoFill="0" autoLine="0" autoPict="0">
                <anchor moveWithCells="1">
                  <from>
                    <xdr:col>22</xdr:col>
                    <xdr:colOff>0</xdr:colOff>
                    <xdr:row>17</xdr:row>
                    <xdr:rowOff>0</xdr:rowOff>
                  </from>
                  <to>
                    <xdr:col>22</xdr:col>
                    <xdr:colOff>177800</xdr:colOff>
                    <xdr:row>17</xdr:row>
                    <xdr:rowOff>177800</xdr:rowOff>
                  </to>
                </anchor>
              </controlPr>
            </control>
          </mc:Choice>
        </mc:AlternateContent>
        <mc:AlternateContent xmlns:mc="http://schemas.openxmlformats.org/markup-compatibility/2006">
          <mc:Choice Requires="x14">
            <control shapeId="7174" r:id="rId6" name="Check Box 6">
              <controlPr locked="0" defaultSize="0" autoFill="0" autoLine="0" autoPict="0">
                <anchor moveWithCells="1">
                  <from>
                    <xdr:col>22</xdr:col>
                    <xdr:colOff>0</xdr:colOff>
                    <xdr:row>33</xdr:row>
                    <xdr:rowOff>0</xdr:rowOff>
                  </from>
                  <to>
                    <xdr:col>22</xdr:col>
                    <xdr:colOff>177800</xdr:colOff>
                    <xdr:row>33</xdr:row>
                    <xdr:rowOff>177800</xdr:rowOff>
                  </to>
                </anchor>
              </controlPr>
            </control>
          </mc:Choice>
        </mc:AlternateContent>
        <mc:AlternateContent xmlns:mc="http://schemas.openxmlformats.org/markup-compatibility/2006">
          <mc:Choice Requires="x14">
            <control shapeId="7177" r:id="rId7" name="Check Box 9">
              <controlPr locked="0" defaultSize="0" autoFill="0" autoLine="0" autoPict="0">
                <anchor moveWithCells="1">
                  <from>
                    <xdr:col>22</xdr:col>
                    <xdr:colOff>0</xdr:colOff>
                    <xdr:row>54</xdr:row>
                    <xdr:rowOff>0</xdr:rowOff>
                  </from>
                  <to>
                    <xdr:col>22</xdr:col>
                    <xdr:colOff>177800</xdr:colOff>
                    <xdr:row>54</xdr:row>
                    <xdr:rowOff>177800</xdr:rowOff>
                  </to>
                </anchor>
              </controlPr>
            </control>
          </mc:Choice>
        </mc:AlternateContent>
        <mc:AlternateContent xmlns:mc="http://schemas.openxmlformats.org/markup-compatibility/2006">
          <mc:Choice Requires="x14">
            <control shapeId="7182" r:id="rId8" name="Check Box 14">
              <controlPr locked="0" defaultSize="0" autoFill="0" autoLine="0" autoPict="0">
                <anchor moveWithCells="1">
                  <from>
                    <xdr:col>22</xdr:col>
                    <xdr:colOff>0</xdr:colOff>
                    <xdr:row>67</xdr:row>
                    <xdr:rowOff>0</xdr:rowOff>
                  </from>
                  <to>
                    <xdr:col>22</xdr:col>
                    <xdr:colOff>177800</xdr:colOff>
                    <xdr:row>67</xdr:row>
                    <xdr:rowOff>177800</xdr:rowOff>
                  </to>
                </anchor>
              </controlPr>
            </control>
          </mc:Choice>
        </mc:AlternateContent>
        <mc:AlternateContent xmlns:mc="http://schemas.openxmlformats.org/markup-compatibility/2006">
          <mc:Choice Requires="x14">
            <control shapeId="7184" r:id="rId9" name="Check Box 16">
              <controlPr locked="0" defaultSize="0" autoFill="0" autoLine="0" autoPict="0">
                <anchor moveWithCells="1">
                  <from>
                    <xdr:col>22</xdr:col>
                    <xdr:colOff>0</xdr:colOff>
                    <xdr:row>61</xdr:row>
                    <xdr:rowOff>0</xdr:rowOff>
                  </from>
                  <to>
                    <xdr:col>22</xdr:col>
                    <xdr:colOff>177800</xdr:colOff>
                    <xdr:row>61</xdr:row>
                    <xdr:rowOff>177800</xdr:rowOff>
                  </to>
                </anchor>
              </controlPr>
            </control>
          </mc:Choice>
        </mc:AlternateContent>
        <mc:AlternateContent xmlns:mc="http://schemas.openxmlformats.org/markup-compatibility/2006">
          <mc:Choice Requires="x14">
            <control shapeId="7187" r:id="rId10" name="Check Box 19">
              <controlPr locked="0" defaultSize="0" autoFill="0" autoLine="0" autoPict="0">
                <anchor moveWithCells="1">
                  <from>
                    <xdr:col>22</xdr:col>
                    <xdr:colOff>0</xdr:colOff>
                    <xdr:row>91</xdr:row>
                    <xdr:rowOff>0</xdr:rowOff>
                  </from>
                  <to>
                    <xdr:col>22</xdr:col>
                    <xdr:colOff>177800</xdr:colOff>
                    <xdr:row>91</xdr:row>
                    <xdr:rowOff>177800</xdr:rowOff>
                  </to>
                </anchor>
              </controlPr>
            </control>
          </mc:Choice>
        </mc:AlternateContent>
        <mc:AlternateContent xmlns:mc="http://schemas.openxmlformats.org/markup-compatibility/2006">
          <mc:Choice Requires="x14">
            <control shapeId="7188" r:id="rId11" name="Check Box 20">
              <controlPr locked="0" defaultSize="0" autoFill="0" autoLine="0" autoPict="0">
                <anchor moveWithCells="1">
                  <from>
                    <xdr:col>22</xdr:col>
                    <xdr:colOff>0</xdr:colOff>
                    <xdr:row>93</xdr:row>
                    <xdr:rowOff>0</xdr:rowOff>
                  </from>
                  <to>
                    <xdr:col>22</xdr:col>
                    <xdr:colOff>177800</xdr:colOff>
                    <xdr:row>93</xdr:row>
                    <xdr:rowOff>177800</xdr:rowOff>
                  </to>
                </anchor>
              </controlPr>
            </control>
          </mc:Choice>
        </mc:AlternateContent>
        <mc:AlternateContent xmlns:mc="http://schemas.openxmlformats.org/markup-compatibility/2006">
          <mc:Choice Requires="x14">
            <control shapeId="7189" r:id="rId12" name="Check Box 21">
              <controlPr locked="0" defaultSize="0" autoFill="0" autoLine="0" autoPict="0">
                <anchor moveWithCells="1">
                  <from>
                    <xdr:col>22</xdr:col>
                    <xdr:colOff>0</xdr:colOff>
                    <xdr:row>96</xdr:row>
                    <xdr:rowOff>0</xdr:rowOff>
                  </from>
                  <to>
                    <xdr:col>22</xdr:col>
                    <xdr:colOff>177800</xdr:colOff>
                    <xdr:row>96</xdr:row>
                    <xdr:rowOff>177800</xdr:rowOff>
                  </to>
                </anchor>
              </controlPr>
            </control>
          </mc:Choice>
        </mc:AlternateContent>
        <mc:AlternateContent xmlns:mc="http://schemas.openxmlformats.org/markup-compatibility/2006">
          <mc:Choice Requires="x14">
            <control shapeId="7191" r:id="rId13" name="Check Box 23">
              <controlPr locked="0" defaultSize="0" autoFill="0" autoLine="0" autoPict="0">
                <anchor moveWithCells="1">
                  <from>
                    <xdr:col>22</xdr:col>
                    <xdr:colOff>0</xdr:colOff>
                    <xdr:row>120</xdr:row>
                    <xdr:rowOff>0</xdr:rowOff>
                  </from>
                  <to>
                    <xdr:col>22</xdr:col>
                    <xdr:colOff>177800</xdr:colOff>
                    <xdr:row>120</xdr:row>
                    <xdr:rowOff>177800</xdr:rowOff>
                  </to>
                </anchor>
              </controlPr>
            </control>
          </mc:Choice>
        </mc:AlternateContent>
        <mc:AlternateContent xmlns:mc="http://schemas.openxmlformats.org/markup-compatibility/2006">
          <mc:Choice Requires="x14">
            <control shapeId="7192" r:id="rId14" name="Check Box 24">
              <controlPr locked="0" defaultSize="0" autoFill="0" autoLine="0" autoPict="0">
                <anchor moveWithCells="1">
                  <from>
                    <xdr:col>22</xdr:col>
                    <xdr:colOff>0</xdr:colOff>
                    <xdr:row>132</xdr:row>
                    <xdr:rowOff>0</xdr:rowOff>
                  </from>
                  <to>
                    <xdr:col>22</xdr:col>
                    <xdr:colOff>177800</xdr:colOff>
                    <xdr:row>132</xdr:row>
                    <xdr:rowOff>177800</xdr:rowOff>
                  </to>
                </anchor>
              </controlPr>
            </control>
          </mc:Choice>
        </mc:AlternateContent>
        <mc:AlternateContent xmlns:mc="http://schemas.openxmlformats.org/markup-compatibility/2006">
          <mc:Choice Requires="x14">
            <control shapeId="7193" r:id="rId15" name="Check Box 25">
              <controlPr locked="0" defaultSize="0" autoFill="0" autoLine="0" autoPict="0">
                <anchor moveWithCells="1">
                  <from>
                    <xdr:col>22</xdr:col>
                    <xdr:colOff>0</xdr:colOff>
                    <xdr:row>134</xdr:row>
                    <xdr:rowOff>0</xdr:rowOff>
                  </from>
                  <to>
                    <xdr:col>22</xdr:col>
                    <xdr:colOff>177800</xdr:colOff>
                    <xdr:row>134</xdr:row>
                    <xdr:rowOff>177800</xdr:rowOff>
                  </to>
                </anchor>
              </controlPr>
            </control>
          </mc:Choice>
        </mc:AlternateContent>
        <mc:AlternateContent xmlns:mc="http://schemas.openxmlformats.org/markup-compatibility/2006">
          <mc:Choice Requires="x14">
            <control shapeId="7194" r:id="rId16" name="Check Box 26">
              <controlPr locked="0" defaultSize="0" autoFill="0" autoLine="0" autoPict="0">
                <anchor moveWithCells="1">
                  <from>
                    <xdr:col>22</xdr:col>
                    <xdr:colOff>0</xdr:colOff>
                    <xdr:row>135</xdr:row>
                    <xdr:rowOff>0</xdr:rowOff>
                  </from>
                  <to>
                    <xdr:col>22</xdr:col>
                    <xdr:colOff>177800</xdr:colOff>
                    <xdr:row>135</xdr:row>
                    <xdr:rowOff>177800</xdr:rowOff>
                  </to>
                </anchor>
              </controlPr>
            </control>
          </mc:Choice>
        </mc:AlternateContent>
        <mc:AlternateContent xmlns:mc="http://schemas.openxmlformats.org/markup-compatibility/2006">
          <mc:Choice Requires="x14">
            <control shapeId="7195" r:id="rId17" name="Check Box 27">
              <controlPr locked="0" defaultSize="0" autoFill="0" autoLine="0" autoPict="0">
                <anchor moveWithCells="1">
                  <from>
                    <xdr:col>22</xdr:col>
                    <xdr:colOff>0</xdr:colOff>
                    <xdr:row>142</xdr:row>
                    <xdr:rowOff>0</xdr:rowOff>
                  </from>
                  <to>
                    <xdr:col>22</xdr:col>
                    <xdr:colOff>177800</xdr:colOff>
                    <xdr:row>142</xdr:row>
                    <xdr:rowOff>177800</xdr:rowOff>
                  </to>
                </anchor>
              </controlPr>
            </control>
          </mc:Choice>
        </mc:AlternateContent>
        <mc:AlternateContent xmlns:mc="http://schemas.openxmlformats.org/markup-compatibility/2006">
          <mc:Choice Requires="x14">
            <control shapeId="7196" r:id="rId18" name="Check Box 28">
              <controlPr locked="0" defaultSize="0" autoFill="0" autoLine="0" autoPict="0">
                <anchor moveWithCells="1">
                  <from>
                    <xdr:col>22</xdr:col>
                    <xdr:colOff>0</xdr:colOff>
                    <xdr:row>155</xdr:row>
                    <xdr:rowOff>0</xdr:rowOff>
                  </from>
                  <to>
                    <xdr:col>22</xdr:col>
                    <xdr:colOff>177800</xdr:colOff>
                    <xdr:row>155</xdr:row>
                    <xdr:rowOff>177800</xdr:rowOff>
                  </to>
                </anchor>
              </controlPr>
            </control>
          </mc:Choice>
        </mc:AlternateContent>
        <mc:AlternateContent xmlns:mc="http://schemas.openxmlformats.org/markup-compatibility/2006">
          <mc:Choice Requires="x14">
            <control shapeId="7197" r:id="rId19" name="Check Box 29">
              <controlPr locked="0" defaultSize="0" autoFill="0" autoLine="0" autoPict="0">
                <anchor moveWithCells="1">
                  <from>
                    <xdr:col>22</xdr:col>
                    <xdr:colOff>0</xdr:colOff>
                    <xdr:row>160</xdr:row>
                    <xdr:rowOff>0</xdr:rowOff>
                  </from>
                  <to>
                    <xdr:col>22</xdr:col>
                    <xdr:colOff>177800</xdr:colOff>
                    <xdr:row>160</xdr:row>
                    <xdr:rowOff>177800</xdr:rowOff>
                  </to>
                </anchor>
              </controlPr>
            </control>
          </mc:Choice>
        </mc:AlternateContent>
        <mc:AlternateContent xmlns:mc="http://schemas.openxmlformats.org/markup-compatibility/2006">
          <mc:Choice Requires="x14">
            <control shapeId="7198" r:id="rId20" name="Check Box 30">
              <controlPr locked="0" defaultSize="0" autoFill="0" autoLine="0" autoPict="0">
                <anchor moveWithCells="1">
                  <from>
                    <xdr:col>22</xdr:col>
                    <xdr:colOff>0</xdr:colOff>
                    <xdr:row>161</xdr:row>
                    <xdr:rowOff>0</xdr:rowOff>
                  </from>
                  <to>
                    <xdr:col>22</xdr:col>
                    <xdr:colOff>177800</xdr:colOff>
                    <xdr:row>161</xdr:row>
                    <xdr:rowOff>177800</xdr:rowOff>
                  </to>
                </anchor>
              </controlPr>
            </control>
          </mc:Choice>
        </mc:AlternateContent>
        <mc:AlternateContent xmlns:mc="http://schemas.openxmlformats.org/markup-compatibility/2006">
          <mc:Choice Requires="x14">
            <control shapeId="7199" r:id="rId21" name="Check Box 31">
              <controlPr locked="0" defaultSize="0" autoFill="0" autoLine="0" autoPict="0">
                <anchor moveWithCells="1">
                  <from>
                    <xdr:col>22</xdr:col>
                    <xdr:colOff>0</xdr:colOff>
                    <xdr:row>165</xdr:row>
                    <xdr:rowOff>0</xdr:rowOff>
                  </from>
                  <to>
                    <xdr:col>22</xdr:col>
                    <xdr:colOff>177800</xdr:colOff>
                    <xdr:row>165</xdr:row>
                    <xdr:rowOff>177800</xdr:rowOff>
                  </to>
                </anchor>
              </controlPr>
            </control>
          </mc:Choice>
        </mc:AlternateContent>
        <mc:AlternateContent xmlns:mc="http://schemas.openxmlformats.org/markup-compatibility/2006">
          <mc:Choice Requires="x14">
            <control shapeId="7201" r:id="rId22" name="Check Box 33">
              <controlPr locked="0" defaultSize="0" autoFill="0" autoLine="0" autoPict="0">
                <anchor moveWithCells="1">
                  <from>
                    <xdr:col>22</xdr:col>
                    <xdr:colOff>0</xdr:colOff>
                    <xdr:row>180</xdr:row>
                    <xdr:rowOff>0</xdr:rowOff>
                  </from>
                  <to>
                    <xdr:col>22</xdr:col>
                    <xdr:colOff>177800</xdr:colOff>
                    <xdr:row>180</xdr:row>
                    <xdr:rowOff>177800</xdr:rowOff>
                  </to>
                </anchor>
              </controlPr>
            </control>
          </mc:Choice>
        </mc:AlternateContent>
        <mc:AlternateContent xmlns:mc="http://schemas.openxmlformats.org/markup-compatibility/2006">
          <mc:Choice Requires="x14">
            <control shapeId="7202" r:id="rId23" name="Check Box 34">
              <controlPr locked="0" defaultSize="0" autoFill="0" autoLine="0" autoPict="0">
                <anchor moveWithCells="1">
                  <from>
                    <xdr:col>22</xdr:col>
                    <xdr:colOff>0</xdr:colOff>
                    <xdr:row>181</xdr:row>
                    <xdr:rowOff>0</xdr:rowOff>
                  </from>
                  <to>
                    <xdr:col>22</xdr:col>
                    <xdr:colOff>177800</xdr:colOff>
                    <xdr:row>181</xdr:row>
                    <xdr:rowOff>177800</xdr:rowOff>
                  </to>
                </anchor>
              </controlPr>
            </control>
          </mc:Choice>
        </mc:AlternateContent>
        <mc:AlternateContent xmlns:mc="http://schemas.openxmlformats.org/markup-compatibility/2006">
          <mc:Choice Requires="x14">
            <control shapeId="7203" r:id="rId24" name="Check Box 35">
              <controlPr locked="0" defaultSize="0" autoFill="0" autoLine="0" autoPict="0">
                <anchor moveWithCells="1">
                  <from>
                    <xdr:col>22</xdr:col>
                    <xdr:colOff>0</xdr:colOff>
                    <xdr:row>184</xdr:row>
                    <xdr:rowOff>0</xdr:rowOff>
                  </from>
                  <to>
                    <xdr:col>22</xdr:col>
                    <xdr:colOff>177800</xdr:colOff>
                    <xdr:row>184</xdr:row>
                    <xdr:rowOff>177800</xdr:rowOff>
                  </to>
                </anchor>
              </controlPr>
            </control>
          </mc:Choice>
        </mc:AlternateContent>
        <mc:AlternateContent xmlns:mc="http://schemas.openxmlformats.org/markup-compatibility/2006">
          <mc:Choice Requires="x14">
            <control shapeId="7204" r:id="rId25" name="Check Box 36">
              <controlPr locked="0" defaultSize="0" autoFill="0" autoLine="0" autoPict="0">
                <anchor moveWithCells="1">
                  <from>
                    <xdr:col>22</xdr:col>
                    <xdr:colOff>0</xdr:colOff>
                    <xdr:row>186</xdr:row>
                    <xdr:rowOff>0</xdr:rowOff>
                  </from>
                  <to>
                    <xdr:col>22</xdr:col>
                    <xdr:colOff>177800</xdr:colOff>
                    <xdr:row>186</xdr:row>
                    <xdr:rowOff>177800</xdr:rowOff>
                  </to>
                </anchor>
              </controlPr>
            </control>
          </mc:Choice>
        </mc:AlternateContent>
        <mc:AlternateContent xmlns:mc="http://schemas.openxmlformats.org/markup-compatibility/2006">
          <mc:Choice Requires="x14">
            <control shapeId="7205" r:id="rId26" name="Check Box 37">
              <controlPr locked="0" defaultSize="0" autoFill="0" autoLine="0" autoPict="0">
                <anchor moveWithCells="1">
                  <from>
                    <xdr:col>22</xdr:col>
                    <xdr:colOff>0</xdr:colOff>
                    <xdr:row>194</xdr:row>
                    <xdr:rowOff>0</xdr:rowOff>
                  </from>
                  <to>
                    <xdr:col>22</xdr:col>
                    <xdr:colOff>177800</xdr:colOff>
                    <xdr:row>194</xdr:row>
                    <xdr:rowOff>177800</xdr:rowOff>
                  </to>
                </anchor>
              </controlPr>
            </control>
          </mc:Choice>
        </mc:AlternateContent>
        <mc:AlternateContent xmlns:mc="http://schemas.openxmlformats.org/markup-compatibility/2006">
          <mc:Choice Requires="x14">
            <control shapeId="7206" r:id="rId27" name="Check Box 38">
              <controlPr locked="0" defaultSize="0" autoFill="0" autoLine="0" autoPict="0">
                <anchor moveWithCells="1">
                  <from>
                    <xdr:col>22</xdr:col>
                    <xdr:colOff>0</xdr:colOff>
                    <xdr:row>196</xdr:row>
                    <xdr:rowOff>0</xdr:rowOff>
                  </from>
                  <to>
                    <xdr:col>22</xdr:col>
                    <xdr:colOff>177800</xdr:colOff>
                    <xdr:row>196</xdr:row>
                    <xdr:rowOff>177800</xdr:rowOff>
                  </to>
                </anchor>
              </controlPr>
            </control>
          </mc:Choice>
        </mc:AlternateContent>
        <mc:AlternateContent xmlns:mc="http://schemas.openxmlformats.org/markup-compatibility/2006">
          <mc:Choice Requires="x14">
            <control shapeId="7207" r:id="rId28" name="Check Box 39">
              <controlPr locked="0" defaultSize="0" autoFill="0" autoLine="0" autoPict="0">
                <anchor moveWithCells="1">
                  <from>
                    <xdr:col>22</xdr:col>
                    <xdr:colOff>0</xdr:colOff>
                    <xdr:row>200</xdr:row>
                    <xdr:rowOff>0</xdr:rowOff>
                  </from>
                  <to>
                    <xdr:col>22</xdr:col>
                    <xdr:colOff>177800</xdr:colOff>
                    <xdr:row>200</xdr:row>
                    <xdr:rowOff>177800</xdr:rowOff>
                  </to>
                </anchor>
              </controlPr>
            </control>
          </mc:Choice>
        </mc:AlternateContent>
        <mc:AlternateContent xmlns:mc="http://schemas.openxmlformats.org/markup-compatibility/2006">
          <mc:Choice Requires="x14">
            <control shapeId="7208" r:id="rId29" name="Check Box 40">
              <controlPr locked="0" defaultSize="0" autoFill="0" autoLine="0" autoPict="0">
                <anchor moveWithCells="1">
                  <from>
                    <xdr:col>22</xdr:col>
                    <xdr:colOff>0</xdr:colOff>
                    <xdr:row>207</xdr:row>
                    <xdr:rowOff>0</xdr:rowOff>
                  </from>
                  <to>
                    <xdr:col>22</xdr:col>
                    <xdr:colOff>177800</xdr:colOff>
                    <xdr:row>207</xdr:row>
                    <xdr:rowOff>177800</xdr:rowOff>
                  </to>
                </anchor>
              </controlPr>
            </control>
          </mc:Choice>
        </mc:AlternateContent>
        <mc:AlternateContent xmlns:mc="http://schemas.openxmlformats.org/markup-compatibility/2006">
          <mc:Choice Requires="x14">
            <control shapeId="7209" r:id="rId30" name="Check Box 41">
              <controlPr locked="0" defaultSize="0" autoFill="0" autoLine="0" autoPict="0">
                <anchor moveWithCells="1">
                  <from>
                    <xdr:col>22</xdr:col>
                    <xdr:colOff>0</xdr:colOff>
                    <xdr:row>218</xdr:row>
                    <xdr:rowOff>0</xdr:rowOff>
                  </from>
                  <to>
                    <xdr:col>22</xdr:col>
                    <xdr:colOff>177800</xdr:colOff>
                    <xdr:row>218</xdr:row>
                    <xdr:rowOff>177800</xdr:rowOff>
                  </to>
                </anchor>
              </controlPr>
            </control>
          </mc:Choice>
        </mc:AlternateContent>
        <mc:AlternateContent xmlns:mc="http://schemas.openxmlformats.org/markup-compatibility/2006">
          <mc:Choice Requires="x14">
            <control shapeId="7210" r:id="rId31" name="Check Box 42">
              <controlPr locked="0" defaultSize="0" autoFill="0" autoLine="0" autoPict="0">
                <anchor moveWithCells="1">
                  <from>
                    <xdr:col>22</xdr:col>
                    <xdr:colOff>0</xdr:colOff>
                    <xdr:row>220</xdr:row>
                    <xdr:rowOff>0</xdr:rowOff>
                  </from>
                  <to>
                    <xdr:col>22</xdr:col>
                    <xdr:colOff>177800</xdr:colOff>
                    <xdr:row>220</xdr:row>
                    <xdr:rowOff>177800</xdr:rowOff>
                  </to>
                </anchor>
              </controlPr>
            </control>
          </mc:Choice>
        </mc:AlternateContent>
        <mc:AlternateContent xmlns:mc="http://schemas.openxmlformats.org/markup-compatibility/2006">
          <mc:Choice Requires="x14">
            <control shapeId="7211" r:id="rId32" name="Check Box 43">
              <controlPr locked="0" defaultSize="0" autoFill="0" autoLine="0" autoPict="0">
                <anchor moveWithCells="1">
                  <from>
                    <xdr:col>22</xdr:col>
                    <xdr:colOff>0</xdr:colOff>
                    <xdr:row>222</xdr:row>
                    <xdr:rowOff>0</xdr:rowOff>
                  </from>
                  <to>
                    <xdr:col>22</xdr:col>
                    <xdr:colOff>177800</xdr:colOff>
                    <xdr:row>222</xdr:row>
                    <xdr:rowOff>177800</xdr:rowOff>
                  </to>
                </anchor>
              </controlPr>
            </control>
          </mc:Choice>
        </mc:AlternateContent>
        <mc:AlternateContent xmlns:mc="http://schemas.openxmlformats.org/markup-compatibility/2006">
          <mc:Choice Requires="x14">
            <control shapeId="7212" r:id="rId33" name="Check Box 44">
              <controlPr locked="0" defaultSize="0" autoFill="0" autoLine="0" autoPict="0">
                <anchor moveWithCells="1">
                  <from>
                    <xdr:col>22</xdr:col>
                    <xdr:colOff>0</xdr:colOff>
                    <xdr:row>240</xdr:row>
                    <xdr:rowOff>0</xdr:rowOff>
                  </from>
                  <to>
                    <xdr:col>22</xdr:col>
                    <xdr:colOff>177800</xdr:colOff>
                    <xdr:row>240</xdr:row>
                    <xdr:rowOff>177800</xdr:rowOff>
                  </to>
                </anchor>
              </controlPr>
            </control>
          </mc:Choice>
        </mc:AlternateContent>
        <mc:AlternateContent xmlns:mc="http://schemas.openxmlformats.org/markup-compatibility/2006">
          <mc:Choice Requires="x14">
            <control shapeId="7213" r:id="rId34" name="Check Box 45">
              <controlPr locked="0" defaultSize="0" autoFill="0" autoLine="0" autoPict="0">
                <anchor moveWithCells="1">
                  <from>
                    <xdr:col>22</xdr:col>
                    <xdr:colOff>0</xdr:colOff>
                    <xdr:row>242</xdr:row>
                    <xdr:rowOff>0</xdr:rowOff>
                  </from>
                  <to>
                    <xdr:col>22</xdr:col>
                    <xdr:colOff>177800</xdr:colOff>
                    <xdr:row>242</xdr:row>
                    <xdr:rowOff>177800</xdr:rowOff>
                  </to>
                </anchor>
              </controlPr>
            </control>
          </mc:Choice>
        </mc:AlternateContent>
        <mc:AlternateContent xmlns:mc="http://schemas.openxmlformats.org/markup-compatibility/2006">
          <mc:Choice Requires="x14">
            <control shapeId="7214" r:id="rId35" name="Check Box 46">
              <controlPr locked="0" defaultSize="0" autoFill="0" autoLine="0" autoPict="0">
                <anchor moveWithCells="1">
                  <from>
                    <xdr:col>22</xdr:col>
                    <xdr:colOff>0</xdr:colOff>
                    <xdr:row>245</xdr:row>
                    <xdr:rowOff>0</xdr:rowOff>
                  </from>
                  <to>
                    <xdr:col>22</xdr:col>
                    <xdr:colOff>177800</xdr:colOff>
                    <xdr:row>245</xdr:row>
                    <xdr:rowOff>177800</xdr:rowOff>
                  </to>
                </anchor>
              </controlPr>
            </control>
          </mc:Choice>
        </mc:AlternateContent>
        <mc:AlternateContent xmlns:mc="http://schemas.openxmlformats.org/markup-compatibility/2006">
          <mc:Choice Requires="x14">
            <control shapeId="7216" r:id="rId36" name="Check Box 48">
              <controlPr locked="0" defaultSize="0" autoFill="0" autoLine="0" autoPict="0">
                <anchor moveWithCells="1">
                  <from>
                    <xdr:col>22</xdr:col>
                    <xdr:colOff>0</xdr:colOff>
                    <xdr:row>328</xdr:row>
                    <xdr:rowOff>0</xdr:rowOff>
                  </from>
                  <to>
                    <xdr:col>22</xdr:col>
                    <xdr:colOff>177800</xdr:colOff>
                    <xdr:row>328</xdr:row>
                    <xdr:rowOff>177800</xdr:rowOff>
                  </to>
                </anchor>
              </controlPr>
            </control>
          </mc:Choice>
        </mc:AlternateContent>
        <mc:AlternateContent xmlns:mc="http://schemas.openxmlformats.org/markup-compatibility/2006">
          <mc:Choice Requires="x14">
            <control shapeId="7217" r:id="rId37" name="Check Box 49">
              <controlPr locked="0" defaultSize="0" autoFill="0" autoLine="0" autoPict="0">
                <anchor moveWithCells="1">
                  <from>
                    <xdr:col>22</xdr:col>
                    <xdr:colOff>0</xdr:colOff>
                    <xdr:row>330</xdr:row>
                    <xdr:rowOff>0</xdr:rowOff>
                  </from>
                  <to>
                    <xdr:col>22</xdr:col>
                    <xdr:colOff>177800</xdr:colOff>
                    <xdr:row>330</xdr:row>
                    <xdr:rowOff>177800</xdr:rowOff>
                  </to>
                </anchor>
              </controlPr>
            </control>
          </mc:Choice>
        </mc:AlternateContent>
        <mc:AlternateContent xmlns:mc="http://schemas.openxmlformats.org/markup-compatibility/2006">
          <mc:Choice Requires="x14">
            <control shapeId="7218" r:id="rId38" name="Check Box 50">
              <controlPr locked="0" defaultSize="0" autoFill="0" autoLine="0" autoPict="0">
                <anchor moveWithCells="1">
                  <from>
                    <xdr:col>22</xdr:col>
                    <xdr:colOff>0</xdr:colOff>
                    <xdr:row>336</xdr:row>
                    <xdr:rowOff>0</xdr:rowOff>
                  </from>
                  <to>
                    <xdr:col>22</xdr:col>
                    <xdr:colOff>177800</xdr:colOff>
                    <xdr:row>336</xdr:row>
                    <xdr:rowOff>177800</xdr:rowOff>
                  </to>
                </anchor>
              </controlPr>
            </control>
          </mc:Choice>
        </mc:AlternateContent>
        <mc:AlternateContent xmlns:mc="http://schemas.openxmlformats.org/markup-compatibility/2006">
          <mc:Choice Requires="x14">
            <control shapeId="7219" r:id="rId39" name="Check Box 51">
              <controlPr locked="0" defaultSize="0" autoFill="0" autoLine="0" autoPict="0">
                <anchor moveWithCells="1">
                  <from>
                    <xdr:col>22</xdr:col>
                    <xdr:colOff>0</xdr:colOff>
                    <xdr:row>338</xdr:row>
                    <xdr:rowOff>0</xdr:rowOff>
                  </from>
                  <to>
                    <xdr:col>22</xdr:col>
                    <xdr:colOff>177800</xdr:colOff>
                    <xdr:row>338</xdr:row>
                    <xdr:rowOff>177800</xdr:rowOff>
                  </to>
                </anchor>
              </controlPr>
            </control>
          </mc:Choice>
        </mc:AlternateContent>
        <mc:AlternateContent xmlns:mc="http://schemas.openxmlformats.org/markup-compatibility/2006">
          <mc:Choice Requires="x14">
            <control shapeId="7221" r:id="rId40" name="Check Box 53">
              <controlPr locked="0" defaultSize="0" autoFill="0" autoLine="0" autoPict="0">
                <anchor moveWithCells="1">
                  <from>
                    <xdr:col>22</xdr:col>
                    <xdr:colOff>0</xdr:colOff>
                    <xdr:row>352</xdr:row>
                    <xdr:rowOff>0</xdr:rowOff>
                  </from>
                  <to>
                    <xdr:col>22</xdr:col>
                    <xdr:colOff>177800</xdr:colOff>
                    <xdr:row>352</xdr:row>
                    <xdr:rowOff>177800</xdr:rowOff>
                  </to>
                </anchor>
              </controlPr>
            </control>
          </mc:Choice>
        </mc:AlternateContent>
        <mc:AlternateContent xmlns:mc="http://schemas.openxmlformats.org/markup-compatibility/2006">
          <mc:Choice Requires="x14">
            <control shapeId="7222" r:id="rId41" name="Check Box 54">
              <controlPr locked="0" defaultSize="0" autoFill="0" autoLine="0" autoPict="0">
                <anchor moveWithCells="1">
                  <from>
                    <xdr:col>22</xdr:col>
                    <xdr:colOff>0</xdr:colOff>
                    <xdr:row>353</xdr:row>
                    <xdr:rowOff>0</xdr:rowOff>
                  </from>
                  <to>
                    <xdr:col>22</xdr:col>
                    <xdr:colOff>177800</xdr:colOff>
                    <xdr:row>353</xdr:row>
                    <xdr:rowOff>177800</xdr:rowOff>
                  </to>
                </anchor>
              </controlPr>
            </control>
          </mc:Choice>
        </mc:AlternateContent>
        <mc:AlternateContent xmlns:mc="http://schemas.openxmlformats.org/markup-compatibility/2006">
          <mc:Choice Requires="x14">
            <control shapeId="7223" r:id="rId42" name="Check Box 55">
              <controlPr locked="0" defaultSize="0" autoFill="0" autoLine="0" autoPict="0">
                <anchor moveWithCells="1">
                  <from>
                    <xdr:col>22</xdr:col>
                    <xdr:colOff>0</xdr:colOff>
                    <xdr:row>358</xdr:row>
                    <xdr:rowOff>0</xdr:rowOff>
                  </from>
                  <to>
                    <xdr:col>22</xdr:col>
                    <xdr:colOff>177800</xdr:colOff>
                    <xdr:row>358</xdr:row>
                    <xdr:rowOff>177800</xdr:rowOff>
                  </to>
                </anchor>
              </controlPr>
            </control>
          </mc:Choice>
        </mc:AlternateContent>
        <mc:AlternateContent xmlns:mc="http://schemas.openxmlformats.org/markup-compatibility/2006">
          <mc:Choice Requires="x14">
            <control shapeId="7224" r:id="rId43" name="Check Box 56">
              <controlPr locked="0" defaultSize="0" autoFill="0" autoLine="0" autoPict="0">
                <anchor moveWithCells="1">
                  <from>
                    <xdr:col>22</xdr:col>
                    <xdr:colOff>0</xdr:colOff>
                    <xdr:row>363</xdr:row>
                    <xdr:rowOff>0</xdr:rowOff>
                  </from>
                  <to>
                    <xdr:col>22</xdr:col>
                    <xdr:colOff>177800</xdr:colOff>
                    <xdr:row>363</xdr:row>
                    <xdr:rowOff>177800</xdr:rowOff>
                  </to>
                </anchor>
              </controlPr>
            </control>
          </mc:Choice>
        </mc:AlternateContent>
        <mc:AlternateContent xmlns:mc="http://schemas.openxmlformats.org/markup-compatibility/2006">
          <mc:Choice Requires="x14">
            <control shapeId="7225" r:id="rId44" name="Check Box 57">
              <controlPr locked="0" defaultSize="0" autoFill="0" autoLine="0" autoPict="0">
                <anchor moveWithCells="1">
                  <from>
                    <xdr:col>22</xdr:col>
                    <xdr:colOff>0</xdr:colOff>
                    <xdr:row>379</xdr:row>
                    <xdr:rowOff>0</xdr:rowOff>
                  </from>
                  <to>
                    <xdr:col>22</xdr:col>
                    <xdr:colOff>177800</xdr:colOff>
                    <xdr:row>379</xdr:row>
                    <xdr:rowOff>177800</xdr:rowOff>
                  </to>
                </anchor>
              </controlPr>
            </control>
          </mc:Choice>
        </mc:AlternateContent>
        <mc:AlternateContent xmlns:mc="http://schemas.openxmlformats.org/markup-compatibility/2006">
          <mc:Choice Requires="x14">
            <control shapeId="7226" r:id="rId45" name="Check Box 58">
              <controlPr locked="0" defaultSize="0" autoFill="0" autoLine="0" autoPict="0">
                <anchor moveWithCells="1">
                  <from>
                    <xdr:col>22</xdr:col>
                    <xdr:colOff>0</xdr:colOff>
                    <xdr:row>384</xdr:row>
                    <xdr:rowOff>0</xdr:rowOff>
                  </from>
                  <to>
                    <xdr:col>22</xdr:col>
                    <xdr:colOff>177800</xdr:colOff>
                    <xdr:row>384</xdr:row>
                    <xdr:rowOff>177800</xdr:rowOff>
                  </to>
                </anchor>
              </controlPr>
            </control>
          </mc:Choice>
        </mc:AlternateContent>
        <mc:AlternateContent xmlns:mc="http://schemas.openxmlformats.org/markup-compatibility/2006">
          <mc:Choice Requires="x14">
            <control shapeId="7230" r:id="rId46" name="Check Box 62">
              <controlPr locked="0" defaultSize="0" autoFill="0" autoLine="0" autoPict="0">
                <anchor moveWithCells="1">
                  <from>
                    <xdr:col>22</xdr:col>
                    <xdr:colOff>0</xdr:colOff>
                    <xdr:row>137</xdr:row>
                    <xdr:rowOff>0</xdr:rowOff>
                  </from>
                  <to>
                    <xdr:col>22</xdr:col>
                    <xdr:colOff>177800</xdr:colOff>
                    <xdr:row>137</xdr:row>
                    <xdr:rowOff>177800</xdr:rowOff>
                  </to>
                </anchor>
              </controlPr>
            </control>
          </mc:Choice>
        </mc:AlternateContent>
        <mc:AlternateContent xmlns:mc="http://schemas.openxmlformats.org/markup-compatibility/2006">
          <mc:Choice Requires="x14">
            <control shapeId="7232" r:id="rId47" name="Check Box 64">
              <controlPr locked="0" defaultSize="0" autoFill="0" autoLine="0" autoPict="0">
                <anchor moveWithCells="1">
                  <from>
                    <xdr:col>22</xdr:col>
                    <xdr:colOff>0</xdr:colOff>
                    <xdr:row>188</xdr:row>
                    <xdr:rowOff>0</xdr:rowOff>
                  </from>
                  <to>
                    <xdr:col>22</xdr:col>
                    <xdr:colOff>177800</xdr:colOff>
                    <xdr:row>188</xdr:row>
                    <xdr:rowOff>177800</xdr:rowOff>
                  </to>
                </anchor>
              </controlPr>
            </control>
          </mc:Choice>
        </mc:AlternateContent>
        <mc:AlternateContent xmlns:mc="http://schemas.openxmlformats.org/markup-compatibility/2006">
          <mc:Choice Requires="x14">
            <control shapeId="7234" r:id="rId48" name="Check Box 66">
              <controlPr locked="0" defaultSize="0" autoFill="0" autoLine="0" autoPict="0">
                <anchor moveWithCells="1">
                  <from>
                    <xdr:col>22</xdr:col>
                    <xdr:colOff>0</xdr:colOff>
                    <xdr:row>225</xdr:row>
                    <xdr:rowOff>0</xdr:rowOff>
                  </from>
                  <to>
                    <xdr:col>22</xdr:col>
                    <xdr:colOff>177800</xdr:colOff>
                    <xdr:row>225</xdr:row>
                    <xdr:rowOff>177800</xdr:rowOff>
                  </to>
                </anchor>
              </controlPr>
            </control>
          </mc:Choice>
        </mc:AlternateContent>
        <mc:AlternateContent xmlns:mc="http://schemas.openxmlformats.org/markup-compatibility/2006">
          <mc:Choice Requires="x14">
            <control shapeId="7236" r:id="rId49" name="Check Box 68">
              <controlPr locked="0" defaultSize="0" autoFill="0" autoLine="0" autoPict="0">
                <anchor moveWithCells="1">
                  <from>
                    <xdr:col>22</xdr:col>
                    <xdr:colOff>0</xdr:colOff>
                    <xdr:row>248</xdr:row>
                    <xdr:rowOff>0</xdr:rowOff>
                  </from>
                  <to>
                    <xdr:col>22</xdr:col>
                    <xdr:colOff>177800</xdr:colOff>
                    <xdr:row>248</xdr:row>
                    <xdr:rowOff>177800</xdr:rowOff>
                  </to>
                </anchor>
              </controlPr>
            </control>
          </mc:Choice>
        </mc:AlternateContent>
        <mc:AlternateContent xmlns:mc="http://schemas.openxmlformats.org/markup-compatibility/2006">
          <mc:Choice Requires="x14">
            <control shapeId="7241" r:id="rId50" name="Check Box 73">
              <controlPr locked="0" defaultSize="0" autoFill="0" autoLine="0" autoPict="0">
                <anchor moveWithCells="1">
                  <from>
                    <xdr:col>22</xdr:col>
                    <xdr:colOff>0</xdr:colOff>
                    <xdr:row>299</xdr:row>
                    <xdr:rowOff>0</xdr:rowOff>
                  </from>
                  <to>
                    <xdr:col>22</xdr:col>
                    <xdr:colOff>177800</xdr:colOff>
                    <xdr:row>299</xdr:row>
                    <xdr:rowOff>177800</xdr:rowOff>
                  </to>
                </anchor>
              </controlPr>
            </control>
          </mc:Choice>
        </mc:AlternateContent>
        <mc:AlternateContent xmlns:mc="http://schemas.openxmlformats.org/markup-compatibility/2006">
          <mc:Choice Requires="x14">
            <control shapeId="7242" r:id="rId51" name="Check Box 74">
              <controlPr locked="0" defaultSize="0" autoFill="0" autoLine="0" autoPict="0">
                <anchor moveWithCells="1">
                  <from>
                    <xdr:col>22</xdr:col>
                    <xdr:colOff>0</xdr:colOff>
                    <xdr:row>301</xdr:row>
                    <xdr:rowOff>0</xdr:rowOff>
                  </from>
                  <to>
                    <xdr:col>22</xdr:col>
                    <xdr:colOff>177800</xdr:colOff>
                    <xdr:row>301</xdr:row>
                    <xdr:rowOff>177800</xdr:rowOff>
                  </to>
                </anchor>
              </controlPr>
            </control>
          </mc:Choice>
        </mc:AlternateContent>
        <mc:AlternateContent xmlns:mc="http://schemas.openxmlformats.org/markup-compatibility/2006">
          <mc:Choice Requires="x14">
            <control shapeId="7243" r:id="rId52" name="Check Box 75">
              <controlPr locked="0" defaultSize="0" autoFill="0" autoLine="0" autoPict="0">
                <anchor moveWithCells="1">
                  <from>
                    <xdr:col>22</xdr:col>
                    <xdr:colOff>0</xdr:colOff>
                    <xdr:row>324</xdr:row>
                    <xdr:rowOff>0</xdr:rowOff>
                  </from>
                  <to>
                    <xdr:col>22</xdr:col>
                    <xdr:colOff>177800</xdr:colOff>
                    <xdr:row>324</xdr:row>
                    <xdr:rowOff>177800</xdr:rowOff>
                  </to>
                </anchor>
              </controlPr>
            </control>
          </mc:Choice>
        </mc:AlternateContent>
        <mc:AlternateContent xmlns:mc="http://schemas.openxmlformats.org/markup-compatibility/2006">
          <mc:Choice Requires="x14">
            <control shapeId="7245" r:id="rId53" name="Check Box 77">
              <controlPr locked="0" defaultSize="0" autoFill="0" autoLine="0" autoPict="0">
                <anchor moveWithCells="1">
                  <from>
                    <xdr:col>22</xdr:col>
                    <xdr:colOff>0</xdr:colOff>
                    <xdr:row>333</xdr:row>
                    <xdr:rowOff>0</xdr:rowOff>
                  </from>
                  <to>
                    <xdr:col>22</xdr:col>
                    <xdr:colOff>177800</xdr:colOff>
                    <xdr:row>333</xdr:row>
                    <xdr:rowOff>177800</xdr:rowOff>
                  </to>
                </anchor>
              </controlPr>
            </control>
          </mc:Choice>
        </mc:AlternateContent>
        <mc:AlternateContent xmlns:mc="http://schemas.openxmlformats.org/markup-compatibility/2006">
          <mc:Choice Requires="x14">
            <control shapeId="7246" r:id="rId54" name="Check Box 78">
              <controlPr locked="0" defaultSize="0" autoFill="0" autoLine="0" autoPict="0">
                <anchor moveWithCells="1">
                  <from>
                    <xdr:col>22</xdr:col>
                    <xdr:colOff>0</xdr:colOff>
                    <xdr:row>368</xdr:row>
                    <xdr:rowOff>0</xdr:rowOff>
                  </from>
                  <to>
                    <xdr:col>22</xdr:col>
                    <xdr:colOff>177800</xdr:colOff>
                    <xdr:row>368</xdr:row>
                    <xdr:rowOff>177800</xdr:rowOff>
                  </to>
                </anchor>
              </controlPr>
            </control>
          </mc:Choice>
        </mc:AlternateContent>
        <mc:AlternateContent xmlns:mc="http://schemas.openxmlformats.org/markup-compatibility/2006">
          <mc:Choice Requires="x14">
            <control shapeId="7247" r:id="rId55" name="Check Box 79">
              <controlPr locked="0" defaultSize="0" autoFill="0" autoLine="0" autoPict="0">
                <anchor moveWithCells="1">
                  <from>
                    <xdr:col>22</xdr:col>
                    <xdr:colOff>0</xdr:colOff>
                    <xdr:row>375</xdr:row>
                    <xdr:rowOff>0</xdr:rowOff>
                  </from>
                  <to>
                    <xdr:col>22</xdr:col>
                    <xdr:colOff>177800</xdr:colOff>
                    <xdr:row>375</xdr:row>
                    <xdr:rowOff>177800</xdr:rowOff>
                  </to>
                </anchor>
              </controlPr>
            </control>
          </mc:Choice>
        </mc:AlternateContent>
        <mc:AlternateContent xmlns:mc="http://schemas.openxmlformats.org/markup-compatibility/2006">
          <mc:Choice Requires="x14">
            <control shapeId="7249" r:id="rId56" name="Check Box 81">
              <controlPr locked="0" defaultSize="0" autoFill="0" autoLine="0" autoPict="0">
                <anchor moveWithCells="1">
                  <from>
                    <xdr:col>22</xdr:col>
                    <xdr:colOff>0</xdr:colOff>
                    <xdr:row>387</xdr:row>
                    <xdr:rowOff>0</xdr:rowOff>
                  </from>
                  <to>
                    <xdr:col>22</xdr:col>
                    <xdr:colOff>177800</xdr:colOff>
                    <xdr:row>387</xdr:row>
                    <xdr:rowOff>177800</xdr:rowOff>
                  </to>
                </anchor>
              </controlPr>
            </control>
          </mc:Choice>
        </mc:AlternateContent>
        <mc:AlternateContent xmlns:mc="http://schemas.openxmlformats.org/markup-compatibility/2006">
          <mc:Choice Requires="x14">
            <control shapeId="7250" r:id="rId57" name="Check Box 82">
              <controlPr locked="0" defaultSize="0" autoFill="0" autoLine="0" autoPict="0">
                <anchor moveWithCells="1">
                  <from>
                    <xdr:col>22</xdr:col>
                    <xdr:colOff>0</xdr:colOff>
                    <xdr:row>388</xdr:row>
                    <xdr:rowOff>0</xdr:rowOff>
                  </from>
                  <to>
                    <xdr:col>22</xdr:col>
                    <xdr:colOff>177800</xdr:colOff>
                    <xdr:row>388</xdr:row>
                    <xdr:rowOff>177800</xdr:rowOff>
                  </to>
                </anchor>
              </controlPr>
            </control>
          </mc:Choice>
        </mc:AlternateContent>
        <mc:AlternateContent xmlns:mc="http://schemas.openxmlformats.org/markup-compatibility/2006">
          <mc:Choice Requires="x14">
            <control shapeId="7251" r:id="rId58" name="Check Box 83">
              <controlPr locked="0" defaultSize="0" autoFill="0" autoLine="0" autoPict="0">
                <anchor moveWithCells="1">
                  <from>
                    <xdr:col>22</xdr:col>
                    <xdr:colOff>0</xdr:colOff>
                    <xdr:row>390</xdr:row>
                    <xdr:rowOff>0</xdr:rowOff>
                  </from>
                  <to>
                    <xdr:col>22</xdr:col>
                    <xdr:colOff>177800</xdr:colOff>
                    <xdr:row>390</xdr:row>
                    <xdr:rowOff>177800</xdr:rowOff>
                  </to>
                </anchor>
              </controlPr>
            </control>
          </mc:Choice>
        </mc:AlternateContent>
        <mc:AlternateContent xmlns:mc="http://schemas.openxmlformats.org/markup-compatibility/2006">
          <mc:Choice Requires="x14">
            <control shapeId="7252" r:id="rId59" name="Check Box 84">
              <controlPr locked="0" defaultSize="0" autoFill="0" autoLine="0" autoPict="0">
                <anchor moveWithCells="1">
                  <from>
                    <xdr:col>22</xdr:col>
                    <xdr:colOff>0</xdr:colOff>
                    <xdr:row>395</xdr:row>
                    <xdr:rowOff>0</xdr:rowOff>
                  </from>
                  <to>
                    <xdr:col>22</xdr:col>
                    <xdr:colOff>177800</xdr:colOff>
                    <xdr:row>395</xdr:row>
                    <xdr:rowOff>177800</xdr:rowOff>
                  </to>
                </anchor>
              </controlPr>
            </control>
          </mc:Choice>
        </mc:AlternateContent>
        <mc:AlternateContent xmlns:mc="http://schemas.openxmlformats.org/markup-compatibility/2006">
          <mc:Choice Requires="x14">
            <control shapeId="7258" r:id="rId60" name="Check Box 90">
              <controlPr locked="0" defaultSize="0" autoFill="0" autoLine="0" autoPict="0">
                <anchor moveWithCells="1">
                  <from>
                    <xdr:col>22</xdr:col>
                    <xdr:colOff>0</xdr:colOff>
                    <xdr:row>170</xdr:row>
                    <xdr:rowOff>0</xdr:rowOff>
                  </from>
                  <to>
                    <xdr:col>22</xdr:col>
                    <xdr:colOff>177800</xdr:colOff>
                    <xdr:row>170</xdr:row>
                    <xdr:rowOff>177800</xdr:rowOff>
                  </to>
                </anchor>
              </controlPr>
            </control>
          </mc:Choice>
        </mc:AlternateContent>
      </controls>
    </mc:Choice>
  </mc:AlternateContent>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10">
    <pageSetUpPr fitToPage="1"/>
  </sheetPr>
  <dimension ref="A1:BI223"/>
  <sheetViews>
    <sheetView showGridLines="0" topLeftCell="H1" zoomScaleNormal="100" zoomScaleSheetLayoutView="80" workbookViewId="0">
      <pane ySplit="7" topLeftCell="A9" activePane="bottomLeft" state="frozen"/>
      <selection activeCell="G45" sqref="G45:H45"/>
      <selection pane="bottomLeft" activeCell="W152" sqref="W152"/>
    </sheetView>
  </sheetViews>
  <sheetFormatPr baseColWidth="10" defaultColWidth="9.1640625" defaultRowHeight="15" x14ac:dyDescent="0.2"/>
  <cols>
    <col min="1" max="1" width="9.1640625" style="20" hidden="1" customWidth="1"/>
    <col min="2" max="2" width="7.33203125" style="20" hidden="1" customWidth="1"/>
    <col min="3" max="7" width="3.83203125" style="20" hidden="1" customWidth="1"/>
    <col min="8" max="8" width="3.83203125" style="20" customWidth="1"/>
    <col min="9" max="9" width="10.5" style="78" customWidth="1"/>
    <col min="10" max="11" width="3.83203125" style="78" customWidth="1"/>
    <col min="12" max="12" width="71.6640625" style="78" customWidth="1"/>
    <col min="13" max="13" width="13.5" style="70" customWidth="1"/>
    <col min="14" max="14" width="7.6640625" style="78" hidden="1" customWidth="1"/>
    <col min="15" max="15" width="7.6640625" style="78" customWidth="1"/>
    <col min="16" max="21" width="8.83203125" style="78" hidden="1" customWidth="1"/>
    <col min="22" max="22" width="3" style="78" hidden="1" customWidth="1"/>
    <col min="23" max="23" width="21.5" style="78" customWidth="1"/>
    <col min="24" max="24" width="69" style="78" customWidth="1"/>
    <col min="25" max="25" width="34.83203125" style="704" hidden="1" customWidth="1"/>
    <col min="26" max="26" width="34.83203125" style="78" hidden="1" customWidth="1"/>
    <col min="27" max="27" width="9.1640625" style="707" hidden="1" customWidth="1"/>
    <col min="28" max="37" width="9.1640625" style="78" hidden="1" customWidth="1"/>
    <col min="38" max="38" width="12.6640625" style="78" hidden="1" customWidth="1"/>
    <col min="39" max="39" width="2.1640625" style="78" hidden="1" customWidth="1"/>
    <col min="40" max="40" width="12.5" style="78" hidden="1" customWidth="1"/>
    <col min="41" max="41" width="2.1640625" style="78" hidden="1" customWidth="1"/>
    <col min="42" max="42" width="13.6640625" style="78" hidden="1" customWidth="1"/>
    <col min="43" max="43" width="2.1640625" style="78" hidden="1" customWidth="1"/>
    <col min="44" max="44" width="13.5" style="78" hidden="1" customWidth="1"/>
    <col min="45" max="45" width="2.1640625" style="78" hidden="1" customWidth="1"/>
    <col min="46" max="61" width="9.1640625" style="78" hidden="1" customWidth="1"/>
    <col min="62" max="16384" width="9.1640625" style="78"/>
  </cols>
  <sheetData>
    <row r="1" spans="1:61" x14ac:dyDescent="0.2">
      <c r="H1" s="1674" t="s">
        <v>3446</v>
      </c>
      <c r="I1" s="1651" t="str">
        <f ca="1">IF(OR(AG3,AI3),"Errors on page, no Level reached","Total Chapter Points: "&amp;AG2)</f>
        <v>Total Chapter Points: 23</v>
      </c>
      <c r="J1" s="1651"/>
      <c r="K1" s="1651"/>
      <c r="L1" s="1651"/>
      <c r="M1" s="1675"/>
      <c r="N1" s="1675"/>
      <c r="O1" s="1675"/>
      <c r="P1" s="1675"/>
      <c r="Q1" s="1675"/>
      <c r="R1" s="1675"/>
      <c r="S1" s="1675"/>
      <c r="T1" s="1675"/>
      <c r="U1" s="1675"/>
      <c r="V1" s="1675"/>
      <c r="W1" s="1675"/>
      <c r="X1" s="520" t="s">
        <v>3423</v>
      </c>
      <c r="AF1" s="77" t="s">
        <v>621</v>
      </c>
      <c r="AG1" s="327">
        <f ca="1">IF(OR(AG3,AI3),"None",Ch10Level)</f>
        <v>0</v>
      </c>
    </row>
    <row r="2" spans="1:61" x14ac:dyDescent="0.2">
      <c r="H2" s="1674"/>
      <c r="I2" s="1652" t="str">
        <f ca="1">IF(OR(AG3,AI3),"Errors on page, no Level reached","Total Project Points: "&amp;Dpoints)</f>
        <v>Total Project Points: 116</v>
      </c>
      <c r="J2" s="1652"/>
      <c r="K2" s="1652"/>
      <c r="L2" s="1652"/>
      <c r="M2" s="1675"/>
      <c r="N2" s="1675"/>
      <c r="O2" s="1675"/>
      <c r="P2" s="1675"/>
      <c r="Q2" s="1675"/>
      <c r="R2" s="1675"/>
      <c r="S2" s="1675"/>
      <c r="T2" s="1675"/>
      <c r="U2" s="1675"/>
      <c r="V2" s="1675"/>
      <c r="W2" s="1675"/>
      <c r="X2" s="520" t="s">
        <v>2890</v>
      </c>
      <c r="AF2" s="77" t="s">
        <v>622</v>
      </c>
      <c r="AG2" s="78">
        <f ca="1">INDIRECT(AF2)</f>
        <v>23</v>
      </c>
      <c r="AH2" s="78" t="s">
        <v>624</v>
      </c>
      <c r="AI2" s="78" t="e">
        <f ca="1">INDIRECT(AH2)</f>
        <v>#REF!</v>
      </c>
    </row>
    <row r="3" spans="1:61" x14ac:dyDescent="0.2">
      <c r="H3" s="1674"/>
      <c r="I3" s="1652" t="str">
        <f ca="1">IF(OR(AG3,AI3),"Errors on page, no Level reached","Total Project Level: "&amp;Dlevel)</f>
        <v>Total Project Level: Bronze</v>
      </c>
      <c r="J3" s="1652"/>
      <c r="K3" s="1652"/>
      <c r="L3" s="1652"/>
      <c r="M3" s="1675"/>
      <c r="N3" s="1675"/>
      <c r="O3" s="1675"/>
      <c r="P3" s="1675"/>
      <c r="Q3" s="1675"/>
      <c r="R3" s="1675"/>
      <c r="S3" s="1675"/>
      <c r="T3" s="1675"/>
      <c r="U3" s="1675"/>
      <c r="V3" s="1675"/>
      <c r="W3" s="1675"/>
      <c r="X3" s="520" t="s">
        <v>2889</v>
      </c>
      <c r="AF3" s="77" t="s">
        <v>623</v>
      </c>
      <c r="AG3" s="78" t="b">
        <f ca="1">OR(AE:AE)</f>
        <v>0</v>
      </c>
      <c r="AH3" s="77" t="s">
        <v>625</v>
      </c>
      <c r="AI3" s="78" t="b">
        <f>OR(AD:AD)</f>
        <v>0</v>
      </c>
    </row>
    <row r="4" spans="1:61" x14ac:dyDescent="0.2">
      <c r="H4" s="1674"/>
      <c r="I4" s="1658" t="str">
        <f ca="1">IF(OR(AG3,AI3),"Errors on page, no Level reached","Points Needed to Earn Next Level: "&amp;DNext)</f>
        <v>Points Needed to Earn Next Level: 9</v>
      </c>
      <c r="J4" s="1659"/>
      <c r="K4" s="1659"/>
      <c r="L4" s="1660"/>
      <c r="M4" s="1675"/>
      <c r="N4" s="1675"/>
      <c r="O4" s="1675"/>
      <c r="P4" s="1675"/>
      <c r="Q4" s="1675"/>
      <c r="R4" s="1675"/>
      <c r="S4" s="1675"/>
      <c r="T4" s="1675"/>
      <c r="U4" s="1675"/>
      <c r="V4" s="1675"/>
      <c r="W4" s="1675"/>
      <c r="X4" s="1543" t="s">
        <v>5034</v>
      </c>
      <c r="AF4" s="77"/>
      <c r="AH4" s="77"/>
    </row>
    <row r="5" spans="1:61" x14ac:dyDescent="0.2">
      <c r="H5" s="1674"/>
      <c r="I5" s="1661" t="str">
        <f>"Revision Date:  "&amp;TEXT('Info &amp; Intro'!E7,"m/d/yyyy")</f>
        <v>Revision Date:  5/10/2020</v>
      </c>
      <c r="J5" s="1662"/>
      <c r="K5" s="1662"/>
      <c r="L5" s="1663"/>
      <c r="M5" s="1675"/>
      <c r="N5" s="1675"/>
      <c r="O5" s="1675"/>
      <c r="P5" s="1675"/>
      <c r="Q5" s="1675"/>
      <c r="R5" s="1675"/>
      <c r="S5" s="1675"/>
      <c r="T5" s="1675"/>
      <c r="U5" s="1675"/>
      <c r="V5" s="1675"/>
      <c r="W5" s="1675"/>
      <c r="X5" s="1543"/>
      <c r="AF5" s="77"/>
      <c r="AH5" s="77"/>
    </row>
    <row r="6" spans="1:61" x14ac:dyDescent="0.2">
      <c r="H6" s="1674"/>
      <c r="I6" s="1666" t="s">
        <v>247</v>
      </c>
      <c r="J6" s="1667"/>
      <c r="K6" s="1668"/>
      <c r="L6" s="1664" t="s">
        <v>685</v>
      </c>
      <c r="M6" s="1664" t="s">
        <v>248</v>
      </c>
      <c r="N6" s="1664"/>
      <c r="O6" s="36" t="s">
        <v>298</v>
      </c>
      <c r="P6" s="1664" t="s">
        <v>3456</v>
      </c>
      <c r="Q6" s="1664" t="s">
        <v>290</v>
      </c>
      <c r="R6" s="1664" t="s">
        <v>249</v>
      </c>
      <c r="S6" s="1664" t="s">
        <v>250</v>
      </c>
      <c r="T6" s="1664" t="s">
        <v>0</v>
      </c>
      <c r="U6" s="1664" t="s">
        <v>3457</v>
      </c>
      <c r="V6" s="1664"/>
      <c r="W6" s="1664" t="s">
        <v>251</v>
      </c>
      <c r="X6" s="1653" t="s">
        <v>1</v>
      </c>
      <c r="AC6" s="76" t="s">
        <v>288</v>
      </c>
      <c r="AD6" s="76" t="s">
        <v>0</v>
      </c>
      <c r="AE6" s="76" t="s">
        <v>287</v>
      </c>
    </row>
    <row r="7" spans="1:61" x14ac:dyDescent="0.2">
      <c r="H7" s="1674"/>
      <c r="I7" s="1666"/>
      <c r="J7" s="1667"/>
      <c r="K7" s="1668"/>
      <c r="L7" s="1665"/>
      <c r="M7" s="1665"/>
      <c r="N7" s="1665"/>
      <c r="O7" s="36" t="s">
        <v>299</v>
      </c>
      <c r="P7" s="1665"/>
      <c r="Q7" s="1665"/>
      <c r="R7" s="1665"/>
      <c r="S7" s="1665"/>
      <c r="T7" s="1665"/>
      <c r="U7" s="1665"/>
      <c r="V7" s="1665"/>
      <c r="W7" s="1665"/>
      <c r="X7" s="1654"/>
      <c r="AC7" s="76" t="s">
        <v>288</v>
      </c>
      <c r="AD7" s="76" t="s">
        <v>0</v>
      </c>
      <c r="AE7" s="76" t="s">
        <v>287</v>
      </c>
    </row>
    <row r="8" spans="1:61" s="685" customFormat="1" hidden="1" x14ac:dyDescent="0.2">
      <c r="A8" s="20"/>
      <c r="B8" s="20"/>
      <c r="C8" s="20"/>
      <c r="D8" s="20"/>
      <c r="E8" s="20"/>
      <c r="F8" s="20"/>
      <c r="G8" s="20"/>
      <c r="H8" s="20"/>
      <c r="I8" s="687"/>
      <c r="J8" s="687"/>
      <c r="K8" s="687"/>
      <c r="L8" s="686"/>
      <c r="M8" s="686"/>
      <c r="N8" s="686"/>
      <c r="O8" s="36"/>
      <c r="P8" s="686"/>
      <c r="Q8" s="686"/>
      <c r="R8" s="686"/>
      <c r="S8" s="686"/>
      <c r="T8" s="686"/>
      <c r="U8" s="686"/>
      <c r="V8" s="686"/>
      <c r="W8" s="686"/>
      <c r="X8" s="687"/>
      <c r="Y8" s="704"/>
      <c r="AA8" s="707"/>
      <c r="AC8" s="684"/>
      <c r="AD8" s="684"/>
      <c r="AE8" s="684"/>
    </row>
    <row r="9" spans="1:61" ht="19" x14ac:dyDescent="0.25">
      <c r="A9" s="20" t="s">
        <v>246</v>
      </c>
      <c r="B9" s="20" t="s">
        <v>246</v>
      </c>
      <c r="C9" s="20" t="s">
        <v>246</v>
      </c>
      <c r="D9" s="20" t="s">
        <v>246</v>
      </c>
      <c r="E9" s="20" t="s">
        <v>246</v>
      </c>
      <c r="F9" s="20" t="s">
        <v>246</v>
      </c>
      <c r="G9" s="20" t="s">
        <v>246</v>
      </c>
      <c r="H9" s="693"/>
      <c r="I9" s="24" t="s">
        <v>3749</v>
      </c>
      <c r="J9" s="24"/>
      <c r="K9" s="24"/>
      <c r="L9" s="25"/>
      <c r="M9" s="26"/>
      <c r="N9" s="78" t="s">
        <v>246</v>
      </c>
      <c r="O9" s="26"/>
      <c r="P9" s="78" t="s">
        <v>246</v>
      </c>
      <c r="Q9" s="78" t="s">
        <v>246</v>
      </c>
      <c r="R9" s="78" t="s">
        <v>246</v>
      </c>
      <c r="S9" s="78" t="s">
        <v>246</v>
      </c>
      <c r="T9" s="78" t="s">
        <v>246</v>
      </c>
      <c r="U9" s="78" t="s">
        <v>246</v>
      </c>
      <c r="V9" s="78" t="s">
        <v>246</v>
      </c>
      <c r="W9" s="25"/>
      <c r="X9" s="25"/>
      <c r="Y9" s="703" t="s">
        <v>246</v>
      </c>
      <c r="Z9" s="75" t="s">
        <v>246</v>
      </c>
      <c r="AA9" s="705" t="s">
        <v>246</v>
      </c>
      <c r="AB9" s="699" t="s">
        <v>246</v>
      </c>
      <c r="AC9" s="75" t="s">
        <v>246</v>
      </c>
      <c r="AD9" s="75" t="s">
        <v>246</v>
      </c>
      <c r="AE9" s="75" t="s">
        <v>246</v>
      </c>
      <c r="AF9" s="75" t="s">
        <v>246</v>
      </c>
      <c r="AG9" s="75" t="s">
        <v>246</v>
      </c>
      <c r="AH9" s="75" t="s">
        <v>246</v>
      </c>
      <c r="AI9" s="75" t="s">
        <v>246</v>
      </c>
      <c r="AJ9" s="75" t="s">
        <v>246</v>
      </c>
      <c r="AK9" s="75" t="s">
        <v>246</v>
      </c>
      <c r="AL9" s="1351" t="s">
        <v>246</v>
      </c>
      <c r="AM9" s="75" t="s">
        <v>246</v>
      </c>
      <c r="AN9" s="1351" t="s">
        <v>246</v>
      </c>
      <c r="AO9" s="75" t="s">
        <v>246</v>
      </c>
      <c r="AP9" s="75" t="s">
        <v>246</v>
      </c>
      <c r="AQ9" s="75" t="s">
        <v>246</v>
      </c>
      <c r="AR9" s="75" t="s">
        <v>246</v>
      </c>
      <c r="AS9" s="75" t="s">
        <v>246</v>
      </c>
      <c r="AT9" s="75" t="s">
        <v>246</v>
      </c>
      <c r="AU9" s="75" t="s">
        <v>246</v>
      </c>
      <c r="AV9" s="75" t="s">
        <v>246</v>
      </c>
      <c r="AW9" s="75" t="s">
        <v>246</v>
      </c>
      <c r="AX9" s="75" t="s">
        <v>246</v>
      </c>
      <c r="AY9" s="75" t="s">
        <v>246</v>
      </c>
      <c r="AZ9" s="75" t="s">
        <v>246</v>
      </c>
      <c r="BA9" s="75" t="s">
        <v>246</v>
      </c>
      <c r="BB9" s="75" t="s">
        <v>246</v>
      </c>
      <c r="BC9" s="75" t="s">
        <v>246</v>
      </c>
      <c r="BD9" s="75" t="s">
        <v>246</v>
      </c>
      <c r="BE9" s="75" t="s">
        <v>246</v>
      </c>
      <c r="BF9" s="75" t="s">
        <v>246</v>
      </c>
      <c r="BG9" s="75" t="s">
        <v>246</v>
      </c>
      <c r="BH9" s="75" t="s">
        <v>246</v>
      </c>
      <c r="BI9" s="699" t="s">
        <v>246</v>
      </c>
    </row>
    <row r="10" spans="1:61" x14ac:dyDescent="0.2">
      <c r="B10" s="600" t="s">
        <v>3434</v>
      </c>
      <c r="C10" s="23"/>
      <c r="D10" s="23"/>
      <c r="E10" s="23"/>
      <c r="F10" s="23"/>
      <c r="G10" s="23"/>
      <c r="H10" s="691"/>
      <c r="I10" s="595" t="s">
        <v>3750</v>
      </c>
      <c r="J10" s="609"/>
      <c r="K10" s="609"/>
      <c r="L10" s="1629" t="s">
        <v>3767</v>
      </c>
      <c r="M10" s="238"/>
      <c r="N10" s="96"/>
      <c r="O10" s="96"/>
      <c r="P10" s="96"/>
      <c r="Q10" s="96"/>
      <c r="R10" s="96"/>
      <c r="S10" s="96"/>
      <c r="T10" s="96"/>
      <c r="U10" s="96"/>
      <c r="V10" s="96"/>
      <c r="W10" s="96"/>
      <c r="X10" s="96"/>
      <c r="BI10" s="701"/>
    </row>
    <row r="11" spans="1:61" ht="16" thickBot="1" x14ac:dyDescent="0.25">
      <c r="B11" s="600" t="s">
        <v>3434</v>
      </c>
      <c r="C11" s="23"/>
      <c r="D11" s="23"/>
      <c r="E11" s="23"/>
      <c r="F11" s="23"/>
      <c r="G11" s="23"/>
      <c r="H11" s="691"/>
      <c r="I11" s="596"/>
      <c r="J11" s="596"/>
      <c r="K11" s="596"/>
      <c r="L11" s="1630"/>
      <c r="M11" s="240"/>
      <c r="N11" s="100"/>
      <c r="O11" s="100"/>
      <c r="P11" s="100"/>
      <c r="Q11" s="100"/>
      <c r="R11" s="100"/>
      <c r="S11" s="100"/>
      <c r="T11" s="100"/>
      <c r="U11" s="100"/>
      <c r="V11" s="100"/>
      <c r="W11" s="100"/>
      <c r="X11" s="100"/>
      <c r="AX11" s="77" t="str">
        <f>'Overview (Design)'!A10</f>
        <v>Builder Name:</v>
      </c>
      <c r="AY11" s="78" t="str">
        <f>'Overview (Design)'!G10</f>
        <v>TWG Development</v>
      </c>
      <c r="BI11" s="701"/>
    </row>
    <row r="12" spans="1:61" ht="16" thickTop="1" x14ac:dyDescent="0.2">
      <c r="B12" s="600">
        <v>1001.1</v>
      </c>
      <c r="C12" s="23"/>
      <c r="D12" s="23"/>
      <c r="E12" s="23"/>
      <c r="F12" s="23"/>
      <c r="G12" s="23"/>
      <c r="H12" s="691"/>
      <c r="I12" s="136" t="s">
        <v>3751</v>
      </c>
      <c r="J12" s="588"/>
      <c r="K12" s="588"/>
      <c r="L12" s="1631" t="s">
        <v>3766</v>
      </c>
      <c r="M12" s="1722" t="s">
        <v>2848</v>
      </c>
      <c r="N12" s="4"/>
      <c r="O12" s="1669">
        <f>MIN(IF(AND(COUNTIF(W15:W17,TRUE)=3,S15),ROUNDDOWN(COUNTIF(W21:W61,TRUE)/2,0),0),8)</f>
        <v>0</v>
      </c>
      <c r="AL12" s="1352" t="str">
        <f>SUBSTITUTE(SUBSTITUTE(SUBSTITUTE("dpa"&amp;$B12&amp;$C12&amp;$D12&amp;$E12,".","_"),"(","_"),")","")</f>
        <v>dpa1001_1</v>
      </c>
      <c r="AM12" s="1352" t="str">
        <f>M12</f>
        <v>1
8 Max</v>
      </c>
      <c r="AN12" s="1352" t="str">
        <f>SUBSTITUTE(SUBSTITUTE(SUBSTITUTE("dpc"&amp;$B12&amp;$C12&amp;$D12&amp;$E12,".","_"),"(","_"),")","")</f>
        <v>dpc1001_1</v>
      </c>
      <c r="AO12" s="1352">
        <f>O12</f>
        <v>0</v>
      </c>
      <c r="AX12" s="77" t="str">
        <f>'Overview (Design)'!A11</f>
        <v>Physical Address of Home:</v>
      </c>
      <c r="AY12" s="78" t="str">
        <f>'Overview (Design)'!G11</f>
        <v>330 Brownlee Road SW</v>
      </c>
      <c r="BI12" s="701"/>
    </row>
    <row r="13" spans="1:61" x14ac:dyDescent="0.2">
      <c r="B13" s="600">
        <v>1001.1</v>
      </c>
      <c r="C13" s="23"/>
      <c r="D13" s="23"/>
      <c r="E13" s="23"/>
      <c r="F13" s="23"/>
      <c r="G13" s="23"/>
      <c r="H13" s="691"/>
      <c r="I13" s="588"/>
      <c r="J13" s="588"/>
      <c r="K13" s="588"/>
      <c r="L13" s="1631"/>
      <c r="M13" s="1722"/>
      <c r="N13" s="4"/>
      <c r="O13" s="1669"/>
      <c r="AX13" s="77" t="str">
        <f>'Overview (Design)'!A12</f>
        <v>Community/Lot #:</v>
      </c>
      <c r="AY13" s="78">
        <f>'Overview (Design)'!G12</f>
        <v>0</v>
      </c>
      <c r="BI13" s="701"/>
    </row>
    <row r="14" spans="1:61" x14ac:dyDescent="0.2">
      <c r="B14" s="600">
        <v>1001.1</v>
      </c>
      <c r="C14" s="23"/>
      <c r="D14" s="23"/>
      <c r="E14" s="23"/>
      <c r="F14" s="23"/>
      <c r="G14" s="23"/>
      <c r="H14" s="691"/>
      <c r="I14" s="588"/>
      <c r="J14" s="588"/>
      <c r="K14" s="588"/>
      <c r="L14" s="227" t="s">
        <v>2846</v>
      </c>
      <c r="M14" s="1722"/>
      <c r="N14" s="4"/>
      <c r="O14" s="1669"/>
      <c r="AX14" s="77" t="str">
        <f>'Overview (Design)'!A13</f>
        <v>City:</v>
      </c>
      <c r="AY14" s="78" t="str">
        <f>'Overview (Design)'!G13</f>
        <v>Atlanta</v>
      </c>
      <c r="BI14" s="701"/>
    </row>
    <row r="15" spans="1:61" x14ac:dyDescent="0.2">
      <c r="B15" s="600">
        <v>1001.1</v>
      </c>
      <c r="C15" s="23" t="s">
        <v>254</v>
      </c>
      <c r="D15" s="23"/>
      <c r="E15" s="23"/>
      <c r="F15" s="691"/>
      <c r="G15" s="23"/>
      <c r="H15" s="691"/>
      <c r="I15" s="588"/>
      <c r="J15" s="606" t="s">
        <v>254</v>
      </c>
      <c r="K15" s="208"/>
      <c r="L15" s="680" t="s">
        <v>2767</v>
      </c>
      <c r="M15" s="696" t="str">
        <f t="shared" ref="M15:M20" si="0">IF(R15,"Mandatory","N/A")</f>
        <v>N/A</v>
      </c>
      <c r="N15" s="4"/>
      <c r="O15" s="138"/>
      <c r="P15" s="78" t="b">
        <v>0</v>
      </c>
      <c r="Q15" s="78" t="b">
        <v>1</v>
      </c>
      <c r="R15" s="165" t="b">
        <f>S15</f>
        <v>0</v>
      </c>
      <c r="S15" s="165" t="b">
        <f>IF(AY19=INDEX(ddSingleOrMulti,1),TRUE,FALSE)</f>
        <v>0</v>
      </c>
      <c r="T15" s="96" t="b">
        <f>AND(NOT(S15),W15=TRUE)</f>
        <v>0</v>
      </c>
      <c r="W15" s="27"/>
      <c r="X15" s="166"/>
      <c r="AC15" s="165" t="b">
        <f>OR(AD15:AE15)</f>
        <v>0</v>
      </c>
      <c r="AD15" s="165" t="b">
        <f>T15</f>
        <v>0</v>
      </c>
      <c r="AE15" s="165" t="b">
        <f>AND(R15,NOT(W15=TRUE))</f>
        <v>0</v>
      </c>
      <c r="AL15" s="1352" t="str">
        <f>SUBSTITUTE(SUBSTITUTE(SUBSTITUTE("dpa"&amp;$B15&amp;$C15&amp;$D15&amp;$E15,".","_"),"(","_"),")","")</f>
        <v>dpa1001_1_1</v>
      </c>
      <c r="AM15" s="1352" t="str">
        <f>M15</f>
        <v>N/A</v>
      </c>
      <c r="AP15" s="1352" t="str">
        <f>SUBSTITUTE(SUBSTITUTE(SUBSTITUTE("dch"&amp;$B15&amp;$C15&amp;$D15&amp;$E15,".","_"),"(","_"),")","")</f>
        <v>dch1001_1_1</v>
      </c>
      <c r="AQ15" s="1352" t="str">
        <f>IF(LEN(W15)=0,"",W15)</f>
        <v/>
      </c>
      <c r="AR15" s="1352" t="str">
        <f>SUBSTITUTE(SUBSTITUTE(SUBSTITUTE("dnt"&amp;$B15&amp;$C15&amp;$D15&amp;$E15,".","_"),"(","_"),")","")</f>
        <v>dnt1001_1_1</v>
      </c>
      <c r="AS15" s="1352" t="str">
        <f>IF(LEN(X15)=0,"",X15)</f>
        <v/>
      </c>
      <c r="AX15" s="77" t="str">
        <f>'Overview (Design)'!A14</f>
        <v>State:</v>
      </c>
      <c r="AY15" s="78" t="str">
        <f>'Overview (Design)'!G14</f>
        <v>Georgia</v>
      </c>
      <c r="BC15" s="78" t="str">
        <f>'Overview (Design)'!K14</f>
        <v>State</v>
      </c>
      <c r="BD15" s="78" t="str">
        <f>'Overview (Design)'!L14</f>
        <v>County</v>
      </c>
      <c r="BE15" s="78" t="str">
        <f>'Overview (Design)'!M14</f>
        <v>Radon</v>
      </c>
      <c r="BF15" s="78" t="str">
        <f>'Overview (Design)'!N14</f>
        <v>Climate</v>
      </c>
      <c r="BG15" s="78" t="str">
        <f>'Overview (Design)'!O14</f>
        <v>Moist</v>
      </c>
      <c r="BH15" s="78" t="str">
        <f>'Overview (Design)'!P14</f>
        <v>WarmHumid</v>
      </c>
      <c r="BI15" s="701" t="str">
        <f>'Overview (Design)'!Q14</f>
        <v>Tropical</v>
      </c>
    </row>
    <row r="16" spans="1:61" x14ac:dyDescent="0.2">
      <c r="B16" s="600">
        <v>1001.1</v>
      </c>
      <c r="C16" s="23" t="s">
        <v>255</v>
      </c>
      <c r="D16" s="23"/>
      <c r="E16" s="23"/>
      <c r="F16" s="691"/>
      <c r="G16" s="23"/>
      <c r="H16" s="691"/>
      <c r="I16" s="588"/>
      <c r="J16" s="607" t="s">
        <v>255</v>
      </c>
      <c r="K16" s="211"/>
      <c r="L16" s="311" t="s">
        <v>2768</v>
      </c>
      <c r="M16" s="697" t="str">
        <f t="shared" si="0"/>
        <v>N/A</v>
      </c>
      <c r="N16" s="4"/>
      <c r="O16" s="138"/>
      <c r="P16" s="522" t="b">
        <v>0</v>
      </c>
      <c r="Q16" s="522" t="b">
        <v>1</v>
      </c>
      <c r="R16" s="165" t="b">
        <f>S16</f>
        <v>0</v>
      </c>
      <c r="S16" s="165" t="b">
        <f>IF(AY19=INDEX(ddSingleOrMulti,1),TRUE,FALSE)</f>
        <v>0</v>
      </c>
      <c r="T16" s="96" t="b">
        <f>AND(NOT(S16),W16=TRUE)</f>
        <v>0</v>
      </c>
      <c r="W16" s="27"/>
      <c r="X16" s="166"/>
      <c r="AC16" s="165" t="b">
        <f>OR(AD16:AE16)</f>
        <v>0</v>
      </c>
      <c r="AD16" s="165" t="b">
        <f>T16</f>
        <v>0</v>
      </c>
      <c r="AE16" s="165" t="b">
        <f>AND(R16,NOT(W16=TRUE))</f>
        <v>0</v>
      </c>
      <c r="AL16" s="1352" t="str">
        <f>SUBSTITUTE(SUBSTITUTE(SUBSTITUTE("dpa"&amp;$B16&amp;$C16&amp;$D16&amp;$E16,".","_"),"(","_"),")","")</f>
        <v>dpa1001_1_2</v>
      </c>
      <c r="AM16" s="1352" t="str">
        <f>M16</f>
        <v>N/A</v>
      </c>
      <c r="AP16" s="1352" t="str">
        <f>SUBSTITUTE(SUBSTITUTE(SUBSTITUTE("dch"&amp;$B16&amp;$C16&amp;$D16&amp;$E16,".","_"),"(","_"),")","")</f>
        <v>dch1001_1_2</v>
      </c>
      <c r="AQ16" s="1352" t="str">
        <f>IF(LEN(W16)=0,"",W16)</f>
        <v/>
      </c>
      <c r="AR16" s="1352" t="str">
        <f>SUBSTITUTE(SUBSTITUTE(SUBSTITUTE("dnt"&amp;$B16&amp;$C16&amp;$D16&amp;$E16,".","_"),"(","_"),")","")</f>
        <v>dnt1001_1_2</v>
      </c>
      <c r="AS16" s="1352" t="str">
        <f>IF(LEN(X16)=0,"",X16)</f>
        <v/>
      </c>
      <c r="AX16" s="77" t="str">
        <f>'Overview (Design)'!A15</f>
        <v>County:</v>
      </c>
      <c r="AY16" s="78" t="str">
        <f>'Overview (Design)'!G15</f>
        <v xml:space="preserve">Fulton  </v>
      </c>
      <c r="BC16" s="78" t="str">
        <f>'Overview (Design)'!K15</f>
        <v>Georgia</v>
      </c>
      <c r="BD16" s="78" t="str">
        <f>'Overview (Design)'!L15</f>
        <v xml:space="preserve">Fulton  </v>
      </c>
      <c r="BE16" s="78">
        <f>'Overview (Design)'!M15</f>
        <v>1</v>
      </c>
      <c r="BF16" s="78">
        <f>'Overview (Design)'!N15</f>
        <v>3</v>
      </c>
      <c r="BG16" s="78" t="str">
        <f>'Overview (Design)'!O15</f>
        <v>Moist</v>
      </c>
      <c r="BH16" s="78" t="str">
        <f>'Overview (Design)'!P15</f>
        <v xml:space="preserve"> </v>
      </c>
      <c r="BI16" s="701" t="str">
        <f>'Overview (Design)'!Q15</f>
        <v xml:space="preserve"> </v>
      </c>
    </row>
    <row r="17" spans="1:52" x14ac:dyDescent="0.2">
      <c r="B17" s="600">
        <v>1001.1</v>
      </c>
      <c r="C17" s="23" t="s">
        <v>256</v>
      </c>
      <c r="D17" s="23"/>
      <c r="E17" s="23"/>
      <c r="F17" s="691"/>
      <c r="G17" s="23"/>
      <c r="H17" s="691"/>
      <c r="I17" s="588"/>
      <c r="J17" s="608" t="s">
        <v>256</v>
      </c>
      <c r="K17" s="1404"/>
      <c r="L17" s="1613" t="s">
        <v>3911</v>
      </c>
      <c r="M17" s="1732" t="str">
        <f t="shared" si="0"/>
        <v>N/A</v>
      </c>
      <c r="N17" s="4"/>
      <c r="O17" s="138"/>
      <c r="P17" s="522" t="b">
        <v>0</v>
      </c>
      <c r="Q17" s="522" t="b">
        <v>1</v>
      </c>
      <c r="R17" s="165" t="b">
        <f>S17</f>
        <v>0</v>
      </c>
      <c r="S17" s="165" t="b">
        <f>IF(AY19=INDEX(ddSingleOrMulti,1),TRUE,FALSE)</f>
        <v>0</v>
      </c>
      <c r="T17" s="96" t="b">
        <f>AND(NOT(S17),W17=TRUE)</f>
        <v>0</v>
      </c>
      <c r="W17" s="27"/>
      <c r="X17" s="1621"/>
      <c r="AC17" s="165" t="b">
        <f>OR(AD17:AE17)</f>
        <v>0</v>
      </c>
      <c r="AD17" s="165" t="b">
        <f>T17</f>
        <v>0</v>
      </c>
      <c r="AE17" s="165" t="b">
        <f>AND(R17,NOT(W17=TRUE))</f>
        <v>0</v>
      </c>
      <c r="AL17" s="1352" t="str">
        <f>SUBSTITUTE(SUBSTITUTE(SUBSTITUTE("dpa"&amp;$B17&amp;$C17&amp;$D17&amp;$E17,".","_"),"(","_"),")","")</f>
        <v>dpa1001_1_3</v>
      </c>
      <c r="AM17" s="1352" t="str">
        <f>M17</f>
        <v>N/A</v>
      </c>
      <c r="AP17" s="1352" t="str">
        <f>SUBSTITUTE(SUBSTITUTE(SUBSTITUTE("dch"&amp;$B17&amp;$C17&amp;$D17&amp;$E17,".","_"),"(","_"),")","")</f>
        <v>dch1001_1_3</v>
      </c>
      <c r="AQ17" s="1352" t="str">
        <f>IF(LEN(W17)=0,"",W17)</f>
        <v/>
      </c>
      <c r="AR17" s="1352" t="str">
        <f>SUBSTITUTE(SUBSTITUTE(SUBSTITUTE("dnt"&amp;$B17&amp;$C17&amp;$D17&amp;$E17,".","_"),"(","_"),")","")</f>
        <v>dnt1001_1_3</v>
      </c>
      <c r="AS17" s="1352" t="str">
        <f>IF(LEN(X17)=0,"",X17)</f>
        <v/>
      </c>
      <c r="AX17" s="77" t="str">
        <f>'Overview (Design)'!A16</f>
        <v>Zip:</v>
      </c>
      <c r="AY17" s="78" t="str">
        <f>'Overview (Design)'!G16</f>
        <v>30311</v>
      </c>
    </row>
    <row r="18" spans="1:52" x14ac:dyDescent="0.2">
      <c r="B18" s="600">
        <v>1001.1</v>
      </c>
      <c r="C18" s="23" t="s">
        <v>256</v>
      </c>
      <c r="D18" s="23"/>
      <c r="E18" s="23"/>
      <c r="F18" s="691"/>
      <c r="G18" s="23"/>
      <c r="H18" s="691"/>
      <c r="I18" s="588"/>
      <c r="J18" s="590"/>
      <c r="K18" s="609"/>
      <c r="L18" s="1609"/>
      <c r="M18" s="1697" t="str">
        <f t="shared" si="0"/>
        <v>N/A</v>
      </c>
      <c r="N18" s="4"/>
      <c r="O18" s="138"/>
      <c r="X18" s="1632"/>
      <c r="AL18" s="1352"/>
      <c r="AM18" s="1352"/>
      <c r="AX18" s="77"/>
    </row>
    <row r="19" spans="1:52" x14ac:dyDescent="0.2">
      <c r="B19" s="600">
        <v>1001.1</v>
      </c>
      <c r="C19" s="23" t="s">
        <v>256</v>
      </c>
      <c r="D19" s="23"/>
      <c r="E19" s="23"/>
      <c r="F19" s="691"/>
      <c r="G19" s="23"/>
      <c r="H19" s="691"/>
      <c r="I19" s="588"/>
      <c r="J19" s="590"/>
      <c r="K19" s="609"/>
      <c r="L19" s="1609"/>
      <c r="M19" s="1697" t="str">
        <f t="shared" si="0"/>
        <v>N/A</v>
      </c>
      <c r="N19" s="4"/>
      <c r="O19" s="138"/>
      <c r="X19" s="1632"/>
      <c r="AL19" s="1352"/>
      <c r="AM19" s="1352"/>
      <c r="AX19" s="77" t="str">
        <f>'Overview (Design)'!A18</f>
        <v>Single-Family or Multifamily:</v>
      </c>
      <c r="AY19" s="78" t="str">
        <f>'Overview (Design)'!G18</f>
        <v>Multifamily</v>
      </c>
    </row>
    <row r="20" spans="1:52" x14ac:dyDescent="0.2">
      <c r="B20" s="600">
        <v>1001.1</v>
      </c>
      <c r="C20" s="23" t="s">
        <v>256</v>
      </c>
      <c r="D20" s="23"/>
      <c r="E20" s="23"/>
      <c r="F20" s="691"/>
      <c r="G20" s="23"/>
      <c r="H20" s="691"/>
      <c r="I20" s="588"/>
      <c r="J20" s="606"/>
      <c r="K20" s="208"/>
      <c r="L20" s="1612"/>
      <c r="M20" s="1698" t="str">
        <f t="shared" si="0"/>
        <v>N/A</v>
      </c>
      <c r="N20" s="4"/>
      <c r="O20" s="138"/>
      <c r="X20" s="1599"/>
      <c r="AL20" s="1352"/>
      <c r="AM20" s="1352"/>
      <c r="AX20" s="77" t="str">
        <f>'Overview (Design)'!A19</f>
        <v>Number of Units:</v>
      </c>
      <c r="AY20" s="78">
        <f>'Overview (Design)'!G19</f>
        <v>48</v>
      </c>
    </row>
    <row r="21" spans="1:52" x14ac:dyDescent="0.2">
      <c r="B21" s="600">
        <v>1001.1</v>
      </c>
      <c r="C21" s="23" t="s">
        <v>259</v>
      </c>
      <c r="D21" s="23"/>
      <c r="E21" s="23"/>
      <c r="F21" s="691"/>
      <c r="G21" s="23"/>
      <c r="H21" s="691"/>
      <c r="I21" s="588"/>
      <c r="J21" s="607" t="s">
        <v>259</v>
      </c>
      <c r="K21" s="211"/>
      <c r="L21" s="311" t="s">
        <v>2769</v>
      </c>
      <c r="M21" s="138"/>
      <c r="N21" s="4"/>
      <c r="O21" s="138"/>
      <c r="P21" s="522" t="b">
        <v>0</v>
      </c>
      <c r="Q21" s="522" t="b">
        <v>1</v>
      </c>
      <c r="R21" s="165" t="b">
        <v>0</v>
      </c>
      <c r="S21" s="165" t="b">
        <f>IF(AY19=INDEX(ddSingleOrMulti,1),TRUE,FALSE)</f>
        <v>0</v>
      </c>
      <c r="T21" s="96" t="b">
        <f>AND(NOT(S21),W21=TRUE)</f>
        <v>0</v>
      </c>
      <c r="W21" s="27"/>
      <c r="X21" s="166"/>
      <c r="AC21" s="165" t="b">
        <f>OR(AD21:AE21)</f>
        <v>0</v>
      </c>
      <c r="AD21" s="165" t="b">
        <f>T21</f>
        <v>0</v>
      </c>
      <c r="AP21" s="1352" t="str">
        <f>SUBSTITUTE(SUBSTITUTE(SUBSTITUTE("dch"&amp;$B21&amp;$C21&amp;$D21&amp;$E21,".","_"),"(","_"),")","")</f>
        <v>dch1001_1_4</v>
      </c>
      <c r="AQ21" s="1352" t="str">
        <f>IF(LEN(W21)=0,"",W21)</f>
        <v/>
      </c>
      <c r="AR21" s="1352" t="str">
        <f>SUBSTITUTE(SUBSTITUTE(SUBSTITUTE("dnt"&amp;$B21&amp;$C21&amp;$D21&amp;$E21,".","_"),"(","_"),")","")</f>
        <v>dnt1001_1_4</v>
      </c>
      <c r="AS21" s="1352" t="str">
        <f>IF(LEN(X21)=0,"",X21)</f>
        <v/>
      </c>
      <c r="AX21" s="77" t="str">
        <f>'Overview (Design)'!A23</f>
        <v>Project Name:</v>
      </c>
      <c r="AY21" s="78" t="str">
        <f>'Overview (Design)'!G23</f>
        <v>Towne West Manor</v>
      </c>
    </row>
    <row r="22" spans="1:52" x14ac:dyDescent="0.2">
      <c r="B22" s="600">
        <v>1001.1</v>
      </c>
      <c r="C22" s="23" t="s">
        <v>263</v>
      </c>
      <c r="D22" s="23"/>
      <c r="E22" s="23"/>
      <c r="F22" s="691"/>
      <c r="G22" s="23"/>
      <c r="H22" s="691"/>
      <c r="I22" s="588"/>
      <c r="J22" s="607" t="s">
        <v>263</v>
      </c>
      <c r="K22" s="211"/>
      <c r="L22" s="311" t="s">
        <v>2770</v>
      </c>
      <c r="M22" s="138"/>
      <c r="N22" s="4"/>
      <c r="O22" s="138"/>
      <c r="P22" s="522" t="b">
        <v>0</v>
      </c>
      <c r="Q22" s="522" t="b">
        <v>1</v>
      </c>
      <c r="R22" s="165" t="b">
        <v>0</v>
      </c>
      <c r="S22" s="165" t="b">
        <f>IF(AY19=INDEX(ddSingleOrMulti,1),TRUE,FALSE)</f>
        <v>0</v>
      </c>
      <c r="T22" s="96" t="b">
        <f>AND(NOT(S22),W22=TRUE)</f>
        <v>0</v>
      </c>
      <c r="W22" s="27"/>
      <c r="X22" s="166"/>
      <c r="AC22" s="165" t="b">
        <f>OR(AD22:AE22)</f>
        <v>0</v>
      </c>
      <c r="AD22" s="165" t="b">
        <f>T22</f>
        <v>0</v>
      </c>
      <c r="AP22" s="1352" t="str">
        <f>SUBSTITUTE(SUBSTITUTE(SUBSTITUTE("dch"&amp;$B22&amp;$C22&amp;$D22&amp;$E22,".","_"),"(","_"),")","")</f>
        <v>dch1001_1_5</v>
      </c>
      <c r="AQ22" s="1352" t="str">
        <f>IF(LEN(W22)=0,"",W22)</f>
        <v/>
      </c>
      <c r="AR22" s="1352" t="str">
        <f>SUBSTITUTE(SUBSTITUTE(SUBSTITUTE("dnt"&amp;$B22&amp;$C22&amp;$D22&amp;$E22,".","_"),"(","_"),")","")</f>
        <v>dnt1001_1_5</v>
      </c>
      <c r="AS22" s="1352" t="str">
        <f>IF(LEN(X22)=0,"",X22)</f>
        <v/>
      </c>
    </row>
    <row r="23" spans="1:52" x14ac:dyDescent="0.2">
      <c r="B23" s="600">
        <v>1001.1</v>
      </c>
      <c r="C23" s="23" t="s">
        <v>264</v>
      </c>
      <c r="D23" s="23"/>
      <c r="E23" s="23"/>
      <c r="F23" s="691"/>
      <c r="G23" s="23"/>
      <c r="H23" s="691"/>
      <c r="I23" s="588"/>
      <c r="J23" s="608" t="s">
        <v>264</v>
      </c>
      <c r="K23" s="1404"/>
      <c r="L23" s="1613" t="s">
        <v>2771</v>
      </c>
      <c r="M23" s="138"/>
      <c r="N23" s="4"/>
      <c r="O23" s="138"/>
      <c r="P23" s="522" t="b">
        <v>0</v>
      </c>
      <c r="Q23" s="522" t="b">
        <v>1</v>
      </c>
      <c r="R23" s="165" t="b">
        <v>0</v>
      </c>
      <c r="S23" s="165" t="b">
        <f>IF(AY19=INDEX(ddSingleOrMulti,1),TRUE,FALSE)</f>
        <v>0</v>
      </c>
      <c r="T23" s="96" t="b">
        <f>AND(NOT(S23),W23=TRUE)</f>
        <v>0</v>
      </c>
      <c r="W23" s="27"/>
      <c r="X23" s="1600"/>
      <c r="AC23" s="165" t="b">
        <f>OR(AD23:AE23)</f>
        <v>0</v>
      </c>
      <c r="AD23" s="165" t="b">
        <f>T23</f>
        <v>0</v>
      </c>
      <c r="AP23" s="1352" t="str">
        <f>SUBSTITUTE(SUBSTITUTE(SUBSTITUTE("dch"&amp;$B23&amp;$C23&amp;$D23&amp;$E23,".","_"),"(","_"),")","")</f>
        <v>dch1001_1_6</v>
      </c>
      <c r="AQ23" s="1352" t="str">
        <f>IF(LEN(W23)=0,"",W23)</f>
        <v/>
      </c>
      <c r="AR23" s="1352" t="str">
        <f>SUBSTITUTE(SUBSTITUTE(SUBSTITUTE("dnt"&amp;$B23&amp;$C23&amp;$D23&amp;$E23,".","_"),"(","_"),")","")</f>
        <v>dnt1001_1_6</v>
      </c>
      <c r="AS23" s="1352" t="str">
        <f>IF(LEN(X23)=0,"",X23)</f>
        <v/>
      </c>
      <c r="AX23" s="77" t="str">
        <f>'Overview (Design)'!A25</f>
        <v>Above grade plane finished floor area:</v>
      </c>
      <c r="AY23" s="78">
        <f>'Overview (Design)'!G25</f>
        <v>1184</v>
      </c>
    </row>
    <row r="24" spans="1:52" x14ac:dyDescent="0.2">
      <c r="B24" s="600">
        <v>1001.1</v>
      </c>
      <c r="C24" s="23" t="s">
        <v>264</v>
      </c>
      <c r="D24" s="23"/>
      <c r="E24" s="23"/>
      <c r="F24" s="691"/>
      <c r="G24" s="23"/>
      <c r="H24" s="691"/>
      <c r="I24" s="588"/>
      <c r="J24" s="606"/>
      <c r="K24" s="208"/>
      <c r="L24" s="1612"/>
      <c r="M24" s="138"/>
      <c r="N24" s="4"/>
      <c r="O24" s="138"/>
      <c r="X24" s="1600"/>
      <c r="AX24" s="77" t="str">
        <f>'Overview (Design)'!A26</f>
        <v>Total conditioned floor area:</v>
      </c>
      <c r="AY24" s="78">
        <f>'Overview (Design)'!G26</f>
        <v>20128</v>
      </c>
    </row>
    <row r="25" spans="1:52" x14ac:dyDescent="0.2">
      <c r="B25" s="600">
        <v>1001.1</v>
      </c>
      <c r="C25" s="23" t="s">
        <v>356</v>
      </c>
      <c r="D25" s="23"/>
      <c r="E25" s="23"/>
      <c r="F25" s="691"/>
      <c r="G25" s="23"/>
      <c r="H25" s="691"/>
      <c r="I25" s="588"/>
      <c r="J25" s="608" t="s">
        <v>356</v>
      </c>
      <c r="K25" s="1404"/>
      <c r="L25" s="1613" t="s">
        <v>2772</v>
      </c>
      <c r="M25" s="138"/>
      <c r="N25" s="4"/>
      <c r="O25" s="138"/>
      <c r="P25" s="522" t="b">
        <v>0</v>
      </c>
      <c r="Q25" s="522" t="b">
        <v>1</v>
      </c>
      <c r="R25" s="165" t="b">
        <v>0</v>
      </c>
      <c r="S25" s="165" t="b">
        <f>IF(AY19=INDEX(ddSingleOrMulti,1),TRUE,FALSE)</f>
        <v>0</v>
      </c>
      <c r="T25" s="96" t="b">
        <f>AND(NOT(S25),W25=TRUE)</f>
        <v>0</v>
      </c>
      <c r="W25" s="27"/>
      <c r="X25" s="1600"/>
      <c r="AC25" s="165" t="b">
        <f>OR(AD25:AE25)</f>
        <v>0</v>
      </c>
      <c r="AD25" s="165" t="b">
        <f>T25</f>
        <v>0</v>
      </c>
      <c r="AP25" s="1352" t="str">
        <f>SUBSTITUTE(SUBSTITUTE(SUBSTITUTE("dch"&amp;$B25&amp;$C25&amp;$D25&amp;$E25,".","_"),"(","_"),")","")</f>
        <v>dch1001_1_7</v>
      </c>
      <c r="AQ25" s="1352" t="str">
        <f>IF(LEN(W25)=0,"",W25)</f>
        <v/>
      </c>
      <c r="AR25" s="1352" t="str">
        <f>SUBSTITUTE(SUBSTITUTE(SUBSTITUTE("dnt"&amp;$B25&amp;$C25&amp;$D25&amp;$E25,".","_"),"(","_"),")","")</f>
        <v>dnt1001_1_7</v>
      </c>
      <c r="AS25" s="1352" t="str">
        <f>IF(LEN(X25)=0,"",X25)</f>
        <v/>
      </c>
      <c r="AX25" s="381" t="str">
        <f>'Overview (Design)'!A27</f>
        <v>Stories above grade:</v>
      </c>
      <c r="AY25" s="382">
        <f>'Overview (Design)'!G27</f>
        <v>2</v>
      </c>
    </row>
    <row r="26" spans="1:52" x14ac:dyDescent="0.2">
      <c r="B26" s="600">
        <v>1001.1</v>
      </c>
      <c r="C26" s="23" t="s">
        <v>356</v>
      </c>
      <c r="D26" s="23"/>
      <c r="E26" s="23"/>
      <c r="F26" s="691"/>
      <c r="G26" s="23"/>
      <c r="H26" s="691"/>
      <c r="I26" s="588"/>
      <c r="J26" s="606"/>
      <c r="K26" s="208"/>
      <c r="L26" s="1612"/>
      <c r="M26" s="138"/>
      <c r="N26" s="4"/>
      <c r="O26" s="138"/>
      <c r="X26" s="1600"/>
    </row>
    <row r="27" spans="1:52" x14ac:dyDescent="0.2">
      <c r="B27" s="600">
        <v>1001.1</v>
      </c>
      <c r="C27" s="23" t="s">
        <v>389</v>
      </c>
      <c r="D27" s="23"/>
      <c r="E27" s="23"/>
      <c r="F27" s="691"/>
      <c r="G27" s="23"/>
      <c r="H27" s="691"/>
      <c r="I27" s="588"/>
      <c r="J27" s="607" t="s">
        <v>389</v>
      </c>
      <c r="K27" s="211"/>
      <c r="L27" s="311" t="s">
        <v>2773</v>
      </c>
      <c r="M27" s="138"/>
      <c r="N27" s="4"/>
      <c r="O27" s="138"/>
      <c r="P27" s="522" t="b">
        <v>0</v>
      </c>
      <c r="Q27" s="522" t="b">
        <v>1</v>
      </c>
      <c r="R27" s="165" t="b">
        <v>0</v>
      </c>
      <c r="S27" s="165" t="b">
        <f>IF(AY19=INDEX(ddSingleOrMulti,1),TRUE,FALSE)</f>
        <v>0</v>
      </c>
      <c r="T27" s="96" t="b">
        <f>AND(NOT(S27),W27=TRUE)</f>
        <v>0</v>
      </c>
      <c r="W27" s="27"/>
      <c r="X27" s="166"/>
      <c r="AC27" s="165" t="b">
        <f>OR(AD27:AE27)</f>
        <v>0</v>
      </c>
      <c r="AD27" s="165" t="b">
        <f>T27</f>
        <v>0</v>
      </c>
      <c r="AP27" s="1352" t="str">
        <f>SUBSTITUTE(SUBSTITUTE(SUBSTITUTE("dch"&amp;$B27&amp;$C27&amp;$D27&amp;$E27,".","_"),"(","_"),")","")</f>
        <v>dch1001_1_8</v>
      </c>
      <c r="AQ27" s="1352" t="str">
        <f>IF(LEN(W27)=0,"",W27)</f>
        <v/>
      </c>
      <c r="AR27" s="1352" t="str">
        <f>SUBSTITUTE(SUBSTITUTE(SUBSTITUTE("dnt"&amp;$B27&amp;$C27&amp;$D27&amp;$E27,".","_"),"(","_"),")","")</f>
        <v>dnt1001_1_8</v>
      </c>
      <c r="AS27" s="1352" t="str">
        <f>IF(LEN(X27)=0,"",X27)</f>
        <v/>
      </c>
      <c r="AX27" s="807" t="str">
        <f>'Overview (Design)'!A29</f>
        <v>Year Built:</v>
      </c>
      <c r="AY27" s="808">
        <f>'Overview (Design)'!G29</f>
        <v>1969</v>
      </c>
    </row>
    <row r="28" spans="1:52" ht="15" customHeight="1" x14ac:dyDescent="0.2">
      <c r="B28" s="600">
        <v>1001.1</v>
      </c>
      <c r="C28" s="23" t="s">
        <v>391</v>
      </c>
      <c r="D28" s="23"/>
      <c r="E28" s="23"/>
      <c r="F28" s="691"/>
      <c r="G28" s="23"/>
      <c r="H28" s="691"/>
      <c r="I28" s="588"/>
      <c r="J28" s="589" t="s">
        <v>391</v>
      </c>
      <c r="K28" s="588"/>
      <c r="L28" s="1649" t="s">
        <v>2774</v>
      </c>
      <c r="M28" s="1708" t="str">
        <f ca="1">IF(R28,"Mandatory per 902.2.1","N/A")</f>
        <v>N/A</v>
      </c>
      <c r="N28" s="4"/>
      <c r="O28" s="138"/>
      <c r="P28" s="522" t="b">
        <v>0</v>
      </c>
      <c r="Q28" s="522" t="b">
        <v>1</v>
      </c>
      <c r="R28" s="1" t="b">
        <f ca="1">AND(S28,OR('11.900'!O230&gt;0,'11.900'!R230))</f>
        <v>0</v>
      </c>
      <c r="S28" s="165" t="b">
        <f>IF(AY19=INDEX(ddSingleOrMulti,1),TRUE,FALSE)</f>
        <v>0</v>
      </c>
      <c r="T28" s="96" t="b">
        <f>AND(NOT(S28),W28=TRUE)</f>
        <v>0</v>
      </c>
      <c r="W28" s="27"/>
      <c r="X28" s="1621"/>
      <c r="AC28" s="165" t="b">
        <f ca="1">OR(AD28:AE28)</f>
        <v>0</v>
      </c>
      <c r="AD28" s="165" t="b">
        <f>T28</f>
        <v>0</v>
      </c>
      <c r="AE28" s="677" t="b">
        <f ca="1">AND(R28,NOT(W28=TRUE))</f>
        <v>0</v>
      </c>
      <c r="AL28" s="1352" t="str">
        <f>SUBSTITUTE(SUBSTITUTE(SUBSTITUTE("dpa"&amp;$B28&amp;$C28&amp;$D28&amp;$E28,".","_"),"(","_"),")","")</f>
        <v>dpa1001_1_9</v>
      </c>
      <c r="AM28" s="1352" t="str">
        <f ca="1">M28</f>
        <v>N/A</v>
      </c>
      <c r="AP28" s="1352" t="str">
        <f>SUBSTITUTE(SUBSTITUTE(SUBSTITUTE("dch"&amp;$B28&amp;$C28&amp;$D28&amp;$E28,".","_"),"(","_"),")","")</f>
        <v>dch1001_1_9</v>
      </c>
      <c r="AQ28" s="1352" t="str">
        <f>IF(LEN(W28)=0,"",W28)</f>
        <v/>
      </c>
      <c r="AR28" s="1352" t="str">
        <f>SUBSTITUTE(SUBSTITUTE(SUBSTITUTE("dnt"&amp;$B28&amp;$C28&amp;$D28&amp;$E28,".","_"),"(","_"),")","")</f>
        <v>dnt1001_1_9</v>
      </c>
      <c r="AS28" s="1352" t="str">
        <f>IF(LEN(X28)=0,"",X28)</f>
        <v/>
      </c>
      <c r="AX28" s="1167" t="str">
        <f>'Overview (Design)'!A30</f>
        <v>Energy Baseline Year:</v>
      </c>
      <c r="AY28" s="1168">
        <f>'Overview (Design)'!G30</f>
        <v>2020</v>
      </c>
    </row>
    <row r="29" spans="1:52" s="677" customFormat="1" ht="15" customHeight="1" x14ac:dyDescent="0.2">
      <c r="A29" s="20"/>
      <c r="B29" s="600">
        <v>1001.1</v>
      </c>
      <c r="C29" s="23" t="s">
        <v>391</v>
      </c>
      <c r="D29" s="23"/>
      <c r="E29" s="23"/>
      <c r="F29" s="691"/>
      <c r="G29" s="23"/>
      <c r="H29" s="691"/>
      <c r="I29" s="588"/>
      <c r="J29" s="589"/>
      <c r="K29" s="588"/>
      <c r="L29" s="1650"/>
      <c r="M29" s="1708"/>
      <c r="N29" s="4"/>
      <c r="O29" s="678"/>
      <c r="R29"/>
      <c r="T29" s="96"/>
      <c r="W29"/>
      <c r="X29" s="1599"/>
      <c r="Y29" s="704"/>
      <c r="AA29" s="707"/>
      <c r="AL29" s="78"/>
      <c r="AM29" s="78"/>
      <c r="AN29" s="78"/>
      <c r="AO29" s="78"/>
      <c r="AP29" s="78"/>
      <c r="AQ29" s="78"/>
      <c r="AR29" s="78"/>
      <c r="AS29" s="78"/>
      <c r="AX29" s="1167" t="str">
        <f>'Overview (Design)'!A31</f>
        <v>Water Baseline Year:</v>
      </c>
      <c r="AY29" s="1168">
        <f>'Overview (Design)'!G31</f>
        <v>2020</v>
      </c>
    </row>
    <row r="30" spans="1:52" ht="15" customHeight="1" x14ac:dyDescent="0.2">
      <c r="B30" s="600">
        <v>1001.1</v>
      </c>
      <c r="C30" s="23" t="s">
        <v>392</v>
      </c>
      <c r="D30" s="23"/>
      <c r="E30" s="23"/>
      <c r="F30" s="691"/>
      <c r="G30" s="23"/>
      <c r="H30" s="691"/>
      <c r="I30" s="588"/>
      <c r="J30" s="607" t="s">
        <v>392</v>
      </c>
      <c r="K30" s="211"/>
      <c r="L30" s="311" t="s">
        <v>2775</v>
      </c>
      <c r="M30" s="138"/>
      <c r="N30" s="4"/>
      <c r="O30" s="138"/>
      <c r="P30" s="522" t="b">
        <v>0</v>
      </c>
      <c r="Q30" s="522" t="b">
        <v>1</v>
      </c>
      <c r="R30" s="165" t="b">
        <v>0</v>
      </c>
      <c r="S30" s="165" t="b">
        <f>IF(AY19=INDEX(ddSingleOrMulti,1),TRUE,FALSE)</f>
        <v>0</v>
      </c>
      <c r="T30" s="96" t="b">
        <f>AND(NOT(S30),W30=TRUE)</f>
        <v>0</v>
      </c>
      <c r="W30" s="27"/>
      <c r="X30" s="166"/>
      <c r="AC30" s="165" t="b">
        <f>OR(AD30:AE30)</f>
        <v>0</v>
      </c>
      <c r="AD30" s="165" t="b">
        <f>T30</f>
        <v>0</v>
      </c>
      <c r="AP30" s="1352" t="str">
        <f>SUBSTITUTE(SUBSTITUTE(SUBSTITUTE("dch"&amp;$B30&amp;$C30&amp;$D30&amp;$E30,".","_"),"(","_"),")","")</f>
        <v>dch1001_1_10</v>
      </c>
      <c r="AQ30" s="1352" t="str">
        <f>IF(LEN(W30)=0,"",W30)</f>
        <v/>
      </c>
      <c r="AR30" s="1352" t="str">
        <f>SUBSTITUTE(SUBSTITUTE(SUBSTITUTE("dnt"&amp;$B30&amp;$C30&amp;$D30&amp;$E30,".","_"),"(","_"),")","")</f>
        <v>dnt1001_1_10</v>
      </c>
      <c r="AS30" s="1352" t="str">
        <f>IF(LEN(X30)=0,"",X30)</f>
        <v/>
      </c>
      <c r="AX30" s="77" t="str">
        <f>'Overview (Design)'!A32</f>
        <v xml:space="preserve">Project Description: </v>
      </c>
      <c r="AY30" s="78" t="str">
        <f>'Overview (Design)'!G32</f>
        <v>n/a</v>
      </c>
    </row>
    <row r="31" spans="1:52" ht="15" customHeight="1" x14ac:dyDescent="0.2">
      <c r="B31" s="600">
        <v>1001.1</v>
      </c>
      <c r="C31" s="23" t="s">
        <v>394</v>
      </c>
      <c r="D31" s="23"/>
      <c r="E31" s="23"/>
      <c r="F31" s="691"/>
      <c r="G31" s="23"/>
      <c r="H31" s="691"/>
      <c r="I31" s="588"/>
      <c r="J31" s="589" t="s">
        <v>394</v>
      </c>
      <c r="K31" s="588"/>
      <c r="L31" s="682" t="s">
        <v>2776</v>
      </c>
      <c r="M31" s="138"/>
      <c r="N31" s="4"/>
      <c r="O31" s="138"/>
      <c r="P31" s="522" t="b">
        <v>0</v>
      </c>
      <c r="Q31" s="522" t="b">
        <v>1</v>
      </c>
      <c r="R31" s="165" t="b">
        <v>0</v>
      </c>
      <c r="S31" s="165" t="b">
        <f>IF(AY19=INDEX(ddSingleOrMulti,1),TRUE,FALSE)</f>
        <v>0</v>
      </c>
      <c r="T31" s="96" t="b">
        <f>AND(NOT(S31),W31=TRUE)</f>
        <v>0</v>
      </c>
      <c r="W31" s="27"/>
      <c r="X31" s="166"/>
      <c r="AC31" s="165" t="b">
        <f>OR(AD31:AE31)</f>
        <v>0</v>
      </c>
      <c r="AD31" s="165" t="b">
        <f>T31</f>
        <v>0</v>
      </c>
      <c r="AP31" s="1352" t="str">
        <f>SUBSTITUTE(SUBSTITUTE(SUBSTITUTE("dch"&amp;$B31&amp;$C31&amp;$D31&amp;$E31,".","_"),"(","_"),")","")</f>
        <v>dch1001_1_11</v>
      </c>
      <c r="AQ31" s="1352" t="str">
        <f>IF(LEN(W31)=0,"",W31)</f>
        <v/>
      </c>
      <c r="AR31" s="1352" t="str">
        <f>SUBSTITUTE(SUBSTITUTE(SUBSTITUTE("dnt"&amp;$B31&amp;$C31&amp;$D31&amp;$E31,".","_"),"(","_"),")","")</f>
        <v>dnt1001_1_11</v>
      </c>
      <c r="AS31" s="1352" t="str">
        <f>IF(LEN(X31)=0,"",X31)</f>
        <v/>
      </c>
      <c r="AX31" s="1167"/>
      <c r="AY31" s="1168"/>
      <c r="AZ31" s="1168"/>
    </row>
    <row r="32" spans="1:52" ht="15" customHeight="1" x14ac:dyDescent="0.2">
      <c r="B32" s="600">
        <v>1001.1</v>
      </c>
      <c r="C32" s="23" t="s">
        <v>396</v>
      </c>
      <c r="D32" s="23"/>
      <c r="E32" s="23"/>
      <c r="F32" s="691"/>
      <c r="G32" s="23"/>
      <c r="H32" s="691"/>
      <c r="I32" s="588"/>
      <c r="J32" s="608" t="s">
        <v>396</v>
      </c>
      <c r="K32" s="1404"/>
      <c r="L32" s="1613" t="s">
        <v>2777</v>
      </c>
      <c r="M32" s="138"/>
      <c r="N32" s="4"/>
      <c r="O32" s="138"/>
      <c r="P32" s="522" t="b">
        <v>0</v>
      </c>
      <c r="Q32" s="522" t="b">
        <v>1</v>
      </c>
      <c r="R32" s="165" t="b">
        <v>0</v>
      </c>
      <c r="S32" s="165" t="b">
        <f>IF(AY19=INDEX(ddSingleOrMulti,1),TRUE,FALSE)</f>
        <v>0</v>
      </c>
      <c r="T32" s="96" t="b">
        <f>AND(NOT(S32),W32=TRUE)</f>
        <v>0</v>
      </c>
      <c r="W32" s="27"/>
      <c r="X32" s="1600"/>
      <c r="AC32" s="165" t="b">
        <f>OR(AD32:AE32)</f>
        <v>0</v>
      </c>
      <c r="AD32" s="165" t="b">
        <f>T32</f>
        <v>0</v>
      </c>
      <c r="AP32" s="1352" t="str">
        <f>SUBSTITUTE(SUBSTITUTE(SUBSTITUTE("dch"&amp;$B32&amp;$C32&amp;$D32&amp;$E32,".","_"),"(","_"),")","")</f>
        <v>dch1001_1_12</v>
      </c>
      <c r="AQ32" s="1352" t="str">
        <f>IF(LEN(W32)=0,"",W32)</f>
        <v/>
      </c>
      <c r="AR32" s="1352" t="str">
        <f>SUBSTITUTE(SUBSTITUTE(SUBSTITUTE("dnt"&amp;$B32&amp;$C32&amp;$D32&amp;$E32,".","_"),"(","_"),")","")</f>
        <v>dnt1001_1_12</v>
      </c>
      <c r="AS32" s="1352" t="str">
        <f>IF(LEN(X32)=0,"",X32)</f>
        <v/>
      </c>
      <c r="AX32" s="1167" t="str">
        <f>'Overview (Design)'!A34</f>
        <v>Selected Energy Compliance Path:</v>
      </c>
      <c r="AY32" s="1168" t="str">
        <f>'Overview (Design)'!G34</f>
        <v>Performance</v>
      </c>
      <c r="AZ32" s="1168"/>
    </row>
    <row r="33" spans="2:52" x14ac:dyDescent="0.2">
      <c r="B33" s="600">
        <v>1001.1</v>
      </c>
      <c r="C33" s="23" t="s">
        <v>396</v>
      </c>
      <c r="D33" s="23"/>
      <c r="E33" s="23"/>
      <c r="F33" s="691"/>
      <c r="G33" s="23"/>
      <c r="H33" s="691"/>
      <c r="I33" s="588"/>
      <c r="J33" s="609"/>
      <c r="K33" s="609"/>
      <c r="L33" s="1609"/>
      <c r="M33" s="138"/>
      <c r="N33" s="4"/>
      <c r="O33" s="138"/>
      <c r="X33" s="1600"/>
      <c r="AX33" s="1167" t="str">
        <f>'Overview (Design)'!A35</f>
        <v>Selected Water Compliance Path:</v>
      </c>
      <c r="AY33" s="1168" t="str">
        <f>'Overview (Design)'!G35</f>
        <v>Prescriptive</v>
      </c>
      <c r="AZ33" s="1168"/>
    </row>
    <row r="34" spans="2:52" x14ac:dyDescent="0.2">
      <c r="B34" s="600">
        <v>1001.1</v>
      </c>
      <c r="C34" s="23" t="s">
        <v>396</v>
      </c>
      <c r="D34" s="23" t="s">
        <v>121</v>
      </c>
      <c r="E34" s="23"/>
      <c r="F34" s="691"/>
      <c r="G34" s="23"/>
      <c r="H34" s="691"/>
      <c r="I34" s="588"/>
      <c r="J34" s="609"/>
      <c r="K34" s="590" t="s">
        <v>121</v>
      </c>
      <c r="L34" s="679" t="s">
        <v>2778</v>
      </c>
      <c r="M34" s="138"/>
      <c r="N34" s="4"/>
      <c r="O34" s="138"/>
      <c r="X34" s="1600"/>
      <c r="AX34" s="77" t="str">
        <f>'Overview (Design)'!A36</f>
        <v>Foundation Type:</v>
      </c>
      <c r="AY34" s="78" t="str">
        <f>'Overview (Design)'!G36</f>
        <v>Slab on grade</v>
      </c>
    </row>
    <row r="35" spans="2:52" x14ac:dyDescent="0.2">
      <c r="B35" s="600">
        <v>1001.1</v>
      </c>
      <c r="C35" s="23" t="s">
        <v>396</v>
      </c>
      <c r="D35" s="23" t="s">
        <v>122</v>
      </c>
      <c r="E35" s="23"/>
      <c r="F35" s="691"/>
      <c r="G35" s="23"/>
      <c r="H35" s="691"/>
      <c r="I35" s="588"/>
      <c r="J35" s="609"/>
      <c r="K35" s="590" t="s">
        <v>122</v>
      </c>
      <c r="L35" s="679" t="s">
        <v>2779</v>
      </c>
      <c r="M35" s="138"/>
      <c r="N35" s="4"/>
      <c r="O35" s="138"/>
      <c r="X35" s="1600"/>
      <c r="AX35" s="381"/>
      <c r="AY35" s="382"/>
    </row>
    <row r="36" spans="2:52" x14ac:dyDescent="0.2">
      <c r="B36" s="600">
        <v>1001.1</v>
      </c>
      <c r="C36" s="23" t="s">
        <v>396</v>
      </c>
      <c r="D36" s="23" t="s">
        <v>123</v>
      </c>
      <c r="E36" s="23"/>
      <c r="F36" s="691"/>
      <c r="G36" s="23"/>
      <c r="H36" s="691"/>
      <c r="I36" s="588"/>
      <c r="J36" s="609"/>
      <c r="K36" s="590" t="s">
        <v>123</v>
      </c>
      <c r="L36" s="1609" t="s">
        <v>2780</v>
      </c>
      <c r="M36" s="138"/>
      <c r="N36" s="4"/>
      <c r="O36" s="138"/>
      <c r="X36" s="1600"/>
      <c r="AX36" s="77" t="str">
        <f>'Overview (Design)'!A38</f>
        <v>Type of Heating System (main system):</v>
      </c>
      <c r="AY36" s="78" t="str">
        <f>'Overview (Design)'!G38</f>
        <v>Heat Pump</v>
      </c>
    </row>
    <row r="37" spans="2:52" x14ac:dyDescent="0.2">
      <c r="B37" s="600">
        <v>1001.1</v>
      </c>
      <c r="C37" s="23" t="s">
        <v>396</v>
      </c>
      <c r="D37" s="23" t="s">
        <v>123</v>
      </c>
      <c r="E37" s="23"/>
      <c r="F37" s="691"/>
      <c r="G37" s="23"/>
      <c r="H37" s="691"/>
      <c r="I37" s="588"/>
      <c r="J37" s="208"/>
      <c r="K37" s="208"/>
      <c r="L37" s="1612"/>
      <c r="M37" s="138"/>
      <c r="N37" s="4"/>
      <c r="O37" s="138"/>
      <c r="X37" s="1600"/>
      <c r="AX37" s="77" t="str">
        <f>'Overview (Design)'!A39</f>
        <v>Type of Heating System (system 2):</v>
      </c>
      <c r="AY37" s="78">
        <f>'Overview (Design)'!G39</f>
        <v>0</v>
      </c>
    </row>
    <row r="38" spans="2:52" x14ac:dyDescent="0.2">
      <c r="B38" s="600">
        <v>1001.1</v>
      </c>
      <c r="C38" s="23" t="s">
        <v>2781</v>
      </c>
      <c r="D38" s="23"/>
      <c r="E38" s="23"/>
      <c r="F38" s="691"/>
      <c r="G38" s="23"/>
      <c r="H38" s="691"/>
      <c r="I38" s="588"/>
      <c r="J38" s="608" t="s">
        <v>2781</v>
      </c>
      <c r="K38" s="1404"/>
      <c r="L38" s="1613" t="s">
        <v>2782</v>
      </c>
      <c r="M38" s="138"/>
      <c r="N38" s="4"/>
      <c r="O38" s="138"/>
      <c r="P38" s="522" t="b">
        <v>0</v>
      </c>
      <c r="Q38" s="522" t="b">
        <v>1</v>
      </c>
      <c r="R38" s="165" t="b">
        <v>0</v>
      </c>
      <c r="S38" s="165" t="b">
        <f>IF(AY19=INDEX(ddSingleOrMulti,1),TRUE,FALSE)</f>
        <v>0</v>
      </c>
      <c r="T38" s="96" t="b">
        <f>AND(NOT(S38),W38=TRUE)</f>
        <v>0</v>
      </c>
      <c r="W38" s="27"/>
      <c r="X38" s="1600"/>
      <c r="AC38" s="165" t="b">
        <f>OR(AD38:AE38)</f>
        <v>0</v>
      </c>
      <c r="AD38" s="165" t="b">
        <f>T38</f>
        <v>0</v>
      </c>
      <c r="AP38" s="1352" t="str">
        <f>SUBSTITUTE(SUBSTITUTE(SUBSTITUTE("dch"&amp;$B38&amp;$C38&amp;$D38&amp;$E38,".","_"),"(","_"),")","")</f>
        <v>dch1001_1_13</v>
      </c>
      <c r="AQ38" s="1352" t="str">
        <f>IF(LEN(W38)=0,"",W38)</f>
        <v/>
      </c>
      <c r="AR38" s="1352" t="str">
        <f>SUBSTITUTE(SUBSTITUTE(SUBSTITUTE("dnt"&amp;$B38&amp;$C38&amp;$D38&amp;$E38,".","_"),"(","_"),")","")</f>
        <v>dnt1001_1_13</v>
      </c>
      <c r="AS38" s="1352" t="str">
        <f>IF(LEN(X38)=0,"",X38)</f>
        <v/>
      </c>
      <c r="AX38" s="77" t="str">
        <f>'Overview (Design)'!A40</f>
        <v>Type of Heating System (system 3):</v>
      </c>
      <c r="AY38" s="78">
        <f>'Overview (Design)'!G40</f>
        <v>0</v>
      </c>
    </row>
    <row r="39" spans="2:52" x14ac:dyDescent="0.2">
      <c r="B39" s="600">
        <v>1001.1</v>
      </c>
      <c r="C39" s="23" t="s">
        <v>2781</v>
      </c>
      <c r="D39" s="23"/>
      <c r="E39" s="23"/>
      <c r="F39" s="691"/>
      <c r="G39" s="23"/>
      <c r="H39" s="691"/>
      <c r="I39" s="588"/>
      <c r="J39" s="609"/>
      <c r="K39" s="609"/>
      <c r="L39" s="1609"/>
      <c r="M39" s="138"/>
      <c r="N39" s="4"/>
      <c r="O39" s="138"/>
      <c r="X39" s="1600"/>
      <c r="AX39" s="77" t="str">
        <f>'Overview (Design)'!A41</f>
        <v>Primary Heating Fuel:</v>
      </c>
      <c r="AY39" s="78">
        <f>'Overview (Design)'!G41</f>
        <v>0</v>
      </c>
    </row>
    <row r="40" spans="2:52" x14ac:dyDescent="0.2">
      <c r="B40" s="600">
        <v>1001.1</v>
      </c>
      <c r="C40" s="23" t="s">
        <v>2781</v>
      </c>
      <c r="D40" s="23"/>
      <c r="E40" s="23"/>
      <c r="F40" s="691"/>
      <c r="G40" s="23"/>
      <c r="H40" s="691"/>
      <c r="I40" s="588"/>
      <c r="J40" s="609"/>
      <c r="K40" s="609"/>
      <c r="L40" s="1609"/>
      <c r="M40" s="138"/>
      <c r="N40" s="4"/>
      <c r="O40" s="138"/>
      <c r="X40" s="1600"/>
      <c r="AX40" s="381" t="str">
        <f>'Overview (Design)'!A42</f>
        <v>Heating Ducts:</v>
      </c>
      <c r="AY40" s="382" t="str">
        <f>'Overview (Design)'!G42</f>
        <v>Ducted</v>
      </c>
    </row>
    <row r="41" spans="2:52" x14ac:dyDescent="0.2">
      <c r="B41" s="600">
        <v>1001.1</v>
      </c>
      <c r="C41" s="23" t="s">
        <v>2781</v>
      </c>
      <c r="D41" s="23"/>
      <c r="E41" s="23"/>
      <c r="F41" s="691"/>
      <c r="G41" s="23"/>
      <c r="H41" s="691"/>
      <c r="I41" s="588"/>
      <c r="J41" s="208"/>
      <c r="K41" s="208"/>
      <c r="L41" s="1612"/>
      <c r="M41" s="138"/>
      <c r="N41" s="4"/>
      <c r="O41" s="138"/>
      <c r="X41" s="1600"/>
      <c r="AX41" s="381" t="str">
        <f>'Overview (Design)'!A43</f>
        <v>Type of Cooling System (main system):</v>
      </c>
      <c r="AY41" s="382" t="str">
        <f>'Overview (Design)'!G43</f>
        <v>Heat Pump</v>
      </c>
    </row>
    <row r="42" spans="2:52" x14ac:dyDescent="0.2">
      <c r="B42" s="600">
        <v>1001.1</v>
      </c>
      <c r="C42" s="23" t="s">
        <v>2783</v>
      </c>
      <c r="D42" s="23"/>
      <c r="E42" s="23"/>
      <c r="F42" s="691"/>
      <c r="G42" s="23"/>
      <c r="H42" s="691"/>
      <c r="I42" s="588"/>
      <c r="J42" s="608" t="s">
        <v>2783</v>
      </c>
      <c r="K42" s="1404"/>
      <c r="L42" s="1613" t="s">
        <v>2784</v>
      </c>
      <c r="M42" s="138"/>
      <c r="N42" s="4"/>
      <c r="O42" s="138"/>
      <c r="P42" s="522" t="b">
        <v>0</v>
      </c>
      <c r="Q42" s="522" t="b">
        <v>1</v>
      </c>
      <c r="R42" s="165" t="b">
        <v>0</v>
      </c>
      <c r="S42" s="165" t="b">
        <f>IF(AY19=INDEX(ddSingleOrMulti,1),TRUE,FALSE)</f>
        <v>0</v>
      </c>
      <c r="T42" s="96" t="b">
        <f>AND(NOT(S42),W42=TRUE)</f>
        <v>0</v>
      </c>
      <c r="W42" s="27"/>
      <c r="X42" s="1600"/>
      <c r="AC42" s="165" t="b">
        <f>OR(AD42:AE42)</f>
        <v>0</v>
      </c>
      <c r="AD42" s="165" t="b">
        <f>T42</f>
        <v>0</v>
      </c>
      <c r="AP42" s="1352" t="str">
        <f>SUBSTITUTE(SUBSTITUTE(SUBSTITUTE("dch"&amp;$B42&amp;$C42&amp;$D42&amp;$E42,".","_"),"(","_"),")","")</f>
        <v>dch1001_1_14</v>
      </c>
      <c r="AQ42" s="1352" t="str">
        <f>IF(LEN(W42)=0,"",W42)</f>
        <v/>
      </c>
      <c r="AR42" s="1352" t="str">
        <f>SUBSTITUTE(SUBSTITUTE(SUBSTITUTE("dnt"&amp;$B42&amp;$C42&amp;$D42&amp;$E42,".","_"),"(","_"),")","")</f>
        <v>dnt1001_1_14</v>
      </c>
      <c r="AS42" s="1352" t="str">
        <f>IF(LEN(X42)=0,"",X42)</f>
        <v/>
      </c>
      <c r="AX42" s="381" t="str">
        <f>'Overview (Design)'!A44</f>
        <v>Type of Cooling System (system 2):</v>
      </c>
      <c r="AY42" s="382">
        <f>'Overview (Design)'!G44</f>
        <v>0</v>
      </c>
    </row>
    <row r="43" spans="2:52" x14ac:dyDescent="0.2">
      <c r="B43" s="600">
        <v>1001.1</v>
      </c>
      <c r="C43" s="23" t="s">
        <v>2783</v>
      </c>
      <c r="D43" s="23"/>
      <c r="E43" s="23"/>
      <c r="F43" s="691"/>
      <c r="G43" s="23"/>
      <c r="H43" s="691"/>
      <c r="I43" s="588"/>
      <c r="J43" s="208"/>
      <c r="K43" s="208"/>
      <c r="L43" s="1612"/>
      <c r="M43" s="138"/>
      <c r="N43" s="4"/>
      <c r="O43" s="138"/>
      <c r="X43" s="1600"/>
      <c r="AX43" s="381" t="str">
        <f>'Overview (Design)'!A45</f>
        <v>Type of Cooling System (system 3):</v>
      </c>
      <c r="AY43" s="382">
        <f>'Overview (Design)'!G45</f>
        <v>0</v>
      </c>
    </row>
    <row r="44" spans="2:52" x14ac:dyDescent="0.2">
      <c r="B44" s="600">
        <v>1001.1</v>
      </c>
      <c r="C44" s="23" t="s">
        <v>2785</v>
      </c>
      <c r="D44" s="23"/>
      <c r="E44" s="23"/>
      <c r="F44" s="691"/>
      <c r="G44" s="23"/>
      <c r="H44" s="691"/>
      <c r="I44" s="588"/>
      <c r="J44" s="608" t="s">
        <v>2785</v>
      </c>
      <c r="K44" s="1404"/>
      <c r="L44" s="1613" t="s">
        <v>2786</v>
      </c>
      <c r="M44" s="138"/>
      <c r="N44" s="4"/>
      <c r="O44" s="138"/>
      <c r="P44" s="522" t="b">
        <v>0</v>
      </c>
      <c r="Q44" s="522" t="b">
        <v>1</v>
      </c>
      <c r="R44" s="165" t="b">
        <v>0</v>
      </c>
      <c r="S44" s="165" t="b">
        <f>IF(AY19=INDEX(ddSingleOrMulti,1),TRUE,FALSE)</f>
        <v>0</v>
      </c>
      <c r="T44" s="96" t="b">
        <f>AND(NOT(S44),W44=TRUE)</f>
        <v>0</v>
      </c>
      <c r="W44" s="27"/>
      <c r="X44" s="1600"/>
      <c r="AC44" s="165" t="b">
        <f>OR(AD44:AE44)</f>
        <v>0</v>
      </c>
      <c r="AD44" s="165" t="b">
        <f>T44</f>
        <v>0</v>
      </c>
      <c r="AP44" s="1352" t="str">
        <f>SUBSTITUTE(SUBSTITUTE(SUBSTITUTE("dch"&amp;$B44&amp;$C44&amp;$D44&amp;$E44,".","_"),"(","_"),")","")</f>
        <v>dch1001_1_15</v>
      </c>
      <c r="AQ44" s="1352" t="str">
        <f>IF(LEN(W44)=0,"",W44)</f>
        <v/>
      </c>
      <c r="AR44" s="1352" t="str">
        <f>SUBSTITUTE(SUBSTITUTE(SUBSTITUTE("dnt"&amp;$B44&amp;$C44&amp;$D44&amp;$E44,".","_"),"(","_"),")","")</f>
        <v>dnt1001_1_15</v>
      </c>
      <c r="AS44" s="1352" t="str">
        <f>IF(LEN(X44)=0,"",X44)</f>
        <v/>
      </c>
      <c r="AX44" s="381" t="str">
        <f>'Overview (Design)'!A46</f>
        <v>Cooling Ducts:</v>
      </c>
      <c r="AY44" s="382" t="str">
        <f>'Overview (Design)'!G46</f>
        <v>Ducted</v>
      </c>
    </row>
    <row r="45" spans="2:52" x14ac:dyDescent="0.2">
      <c r="B45" s="600">
        <v>1001.1</v>
      </c>
      <c r="C45" s="23" t="s">
        <v>2785</v>
      </c>
      <c r="D45" s="23"/>
      <c r="E45" s="23"/>
      <c r="F45" s="691"/>
      <c r="G45" s="23"/>
      <c r="H45" s="691"/>
      <c r="I45" s="588"/>
      <c r="J45" s="208"/>
      <c r="K45" s="208"/>
      <c r="L45" s="1612"/>
      <c r="M45" s="138"/>
      <c r="N45" s="4"/>
      <c r="O45" s="138"/>
      <c r="X45" s="1600"/>
      <c r="AX45" s="381"/>
      <c r="AY45" s="382"/>
    </row>
    <row r="46" spans="2:52" x14ac:dyDescent="0.2">
      <c r="B46" s="600">
        <v>1001.1</v>
      </c>
      <c r="C46" s="23" t="s">
        <v>2787</v>
      </c>
      <c r="D46" s="23"/>
      <c r="E46" s="23"/>
      <c r="F46" s="691"/>
      <c r="G46" s="23"/>
      <c r="H46" s="691"/>
      <c r="I46" s="588"/>
      <c r="J46" s="607" t="s">
        <v>2787</v>
      </c>
      <c r="K46" s="211"/>
      <c r="L46" s="311" t="s">
        <v>2788</v>
      </c>
      <c r="M46" s="138"/>
      <c r="N46" s="4"/>
      <c r="O46" s="138"/>
      <c r="P46" s="522" t="b">
        <v>0</v>
      </c>
      <c r="Q46" s="522" t="b">
        <v>1</v>
      </c>
      <c r="R46" s="165" t="b">
        <v>0</v>
      </c>
      <c r="S46" s="165" t="b">
        <f>IF(AY19=INDEX(ddSingleOrMulti,1),TRUE,FALSE)</f>
        <v>0</v>
      </c>
      <c r="T46" s="96" t="b">
        <f>AND(NOT(S46),W46=TRUE)</f>
        <v>0</v>
      </c>
      <c r="W46" s="27"/>
      <c r="X46" s="166"/>
      <c r="AC46" s="165" t="b">
        <f>OR(AD46:AE46)</f>
        <v>0</v>
      </c>
      <c r="AD46" s="165" t="b">
        <f>T46</f>
        <v>0</v>
      </c>
      <c r="AP46" s="1352" t="str">
        <f>SUBSTITUTE(SUBSTITUTE(SUBSTITUTE("dch"&amp;$B46&amp;$C46&amp;$D46&amp;$E46,".","_"),"(","_"),")","")</f>
        <v>dch1001_1_16</v>
      </c>
      <c r="AQ46" s="1352" t="str">
        <f>IF(LEN(W46)=0,"",W46)</f>
        <v/>
      </c>
      <c r="AR46" s="1352" t="str">
        <f>SUBSTITUTE(SUBSTITUTE(SUBSTITUTE("dnt"&amp;$B46&amp;$C46&amp;$D46&amp;$E46,".","_"),"(","_"),")","")</f>
        <v>dnt1001_1_16</v>
      </c>
      <c r="AS46" s="1352" t="str">
        <f>IF(LEN(X46)=0,"",X46)</f>
        <v/>
      </c>
      <c r="AX46" s="381" t="str">
        <f>'Overview (Design)'!A48</f>
        <v>Maximum window and door SHGC:</v>
      </c>
      <c r="AY46" s="382">
        <f>'Overview (Design)'!G48</f>
        <v>0.22</v>
      </c>
    </row>
    <row r="47" spans="2:52" x14ac:dyDescent="0.2">
      <c r="B47" s="600">
        <v>1001.1</v>
      </c>
      <c r="C47" s="23" t="s">
        <v>2789</v>
      </c>
      <c r="D47" s="23"/>
      <c r="E47" s="23"/>
      <c r="F47" s="691"/>
      <c r="G47" s="23"/>
      <c r="H47" s="691"/>
      <c r="I47" s="588"/>
      <c r="J47" s="608" t="s">
        <v>2789</v>
      </c>
      <c r="K47" s="1404"/>
      <c r="L47" s="1649" t="s">
        <v>2790</v>
      </c>
      <c r="M47" s="138"/>
      <c r="N47" s="4"/>
      <c r="O47" s="138"/>
      <c r="P47" s="522" t="b">
        <v>0</v>
      </c>
      <c r="Q47" s="522" t="b">
        <v>1</v>
      </c>
      <c r="R47" s="165" t="b">
        <v>0</v>
      </c>
      <c r="S47" s="165" t="b">
        <f>IF(AY19=INDEX(ddSingleOrMulti,1),TRUE,FALSE)</f>
        <v>0</v>
      </c>
      <c r="T47" s="96" t="b">
        <f>AND(NOT(S47),W47=TRUE)</f>
        <v>0</v>
      </c>
      <c r="W47" s="27"/>
      <c r="X47" s="1600"/>
      <c r="AC47" s="165" t="b">
        <f>OR(AD47:AE47)</f>
        <v>0</v>
      </c>
      <c r="AD47" s="165" t="b">
        <f>T47</f>
        <v>0</v>
      </c>
      <c r="AP47" s="1352" t="str">
        <f>SUBSTITUTE(SUBSTITUTE(SUBSTITUTE("dch"&amp;$B47&amp;$C47&amp;$D47&amp;$E47,".","_"),"(","_"),")","")</f>
        <v>dch1001_1_17</v>
      </c>
      <c r="AQ47" s="1352" t="str">
        <f>IF(LEN(W47)=0,"",W47)</f>
        <v/>
      </c>
      <c r="AR47" s="1352" t="str">
        <f>SUBSTITUTE(SUBSTITUTE(SUBSTITUTE("dnt"&amp;$B47&amp;$C47&amp;$D47&amp;$E47,".","_"),"(","_"),")","")</f>
        <v>dnt1001_1_17</v>
      </c>
      <c r="AS47" s="1352" t="str">
        <f>IF(LEN(X47)=0,"",X47)</f>
        <v/>
      </c>
      <c r="AX47" s="381" t="str">
        <f>'Overview (Design)'!A49</f>
        <v>Maximum skylight SHGC:</v>
      </c>
      <c r="AY47" s="382">
        <f>'Overview (Design)'!G49</f>
        <v>0</v>
      </c>
    </row>
    <row r="48" spans="2:52" x14ac:dyDescent="0.2">
      <c r="B48" s="600">
        <v>1001.1</v>
      </c>
      <c r="C48" s="23" t="s">
        <v>2789</v>
      </c>
      <c r="D48" s="23"/>
      <c r="E48" s="23"/>
      <c r="F48" s="691"/>
      <c r="G48" s="23"/>
      <c r="H48" s="691"/>
      <c r="I48" s="588"/>
      <c r="J48" s="606"/>
      <c r="K48" s="208"/>
      <c r="L48" s="1650"/>
      <c r="M48" s="138"/>
      <c r="N48" s="4"/>
      <c r="O48" s="138"/>
      <c r="X48" s="1600"/>
      <c r="AX48" s="381" t="str">
        <f>'Overview (Design)'!A50</f>
        <v>Maximum window and door U-value:</v>
      </c>
      <c r="AY48" s="382">
        <f>'Overview (Design)'!G50</f>
        <v>0.28999999999999998</v>
      </c>
    </row>
    <row r="49" spans="1:51" x14ac:dyDescent="0.2">
      <c r="B49" s="600">
        <v>1001.1</v>
      </c>
      <c r="C49" s="23" t="s">
        <v>2791</v>
      </c>
      <c r="D49" s="23"/>
      <c r="E49" s="23"/>
      <c r="F49" s="691"/>
      <c r="G49" s="23"/>
      <c r="H49" s="691"/>
      <c r="I49" s="588"/>
      <c r="J49" s="608" t="s">
        <v>2791</v>
      </c>
      <c r="K49" s="1404"/>
      <c r="L49" s="1613" t="s">
        <v>2792</v>
      </c>
      <c r="M49" s="138"/>
      <c r="N49" s="4"/>
      <c r="O49" s="138"/>
      <c r="P49" s="522" t="b">
        <v>0</v>
      </c>
      <c r="Q49" s="522" t="b">
        <v>1</v>
      </c>
      <c r="R49" s="165" t="b">
        <v>0</v>
      </c>
      <c r="S49" s="165" t="b">
        <f>IF(AY19=INDEX(ddSingleOrMulti,1),TRUE,FALSE)</f>
        <v>0</v>
      </c>
      <c r="T49" s="96" t="b">
        <f>AND(NOT(S49),W49=TRUE)</f>
        <v>0</v>
      </c>
      <c r="W49" s="27"/>
      <c r="X49" s="1600"/>
      <c r="AC49" s="165" t="b">
        <f>OR(AD49:AE49)</f>
        <v>0</v>
      </c>
      <c r="AD49" s="165" t="b">
        <f>T49</f>
        <v>0</v>
      </c>
      <c r="AP49" s="1352" t="str">
        <f>SUBSTITUTE(SUBSTITUTE(SUBSTITUTE("dch"&amp;$B49&amp;$C49&amp;$D49&amp;$E49,".","_"),"(","_"),")","")</f>
        <v>dch1001_1_18</v>
      </c>
      <c r="AQ49" s="1352" t="str">
        <f>IF(LEN(W49)=0,"",W49)</f>
        <v/>
      </c>
      <c r="AR49" s="1352" t="str">
        <f>SUBSTITUTE(SUBSTITUTE(SUBSTITUTE("dnt"&amp;$B49&amp;$C49&amp;$D49&amp;$E49,".","_"),"(","_"),")","")</f>
        <v>dnt1001_1_18</v>
      </c>
      <c r="AS49" s="1352" t="str">
        <f>IF(LEN(X49)=0,"",X49)</f>
        <v/>
      </c>
      <c r="AX49" s="381" t="str">
        <f>'Overview (Design)'!A51</f>
        <v>Maximum skylight U-value:</v>
      </c>
      <c r="AY49" s="382">
        <f>'Overview (Design)'!G51</f>
        <v>0</v>
      </c>
    </row>
    <row r="50" spans="1:51" x14ac:dyDescent="0.2">
      <c r="B50" s="600">
        <v>1001.1</v>
      </c>
      <c r="C50" s="23" t="s">
        <v>2791</v>
      </c>
      <c r="D50" s="23"/>
      <c r="E50" s="23"/>
      <c r="F50" s="691"/>
      <c r="G50" s="23"/>
      <c r="H50" s="691"/>
      <c r="I50" s="588"/>
      <c r="J50" s="208"/>
      <c r="K50" s="208"/>
      <c r="L50" s="1612"/>
      <c r="M50" s="138"/>
      <c r="N50" s="4"/>
      <c r="O50" s="138"/>
      <c r="X50" s="1600"/>
      <c r="AX50" s="77" t="str">
        <f>'Overview (Design)'!A52</f>
        <v>Renewable Energy:</v>
      </c>
      <c r="AY50" s="78">
        <f>'Overview (Design)'!G52</f>
        <v>0</v>
      </c>
    </row>
    <row r="51" spans="1:51" x14ac:dyDescent="0.2">
      <c r="B51" s="600">
        <v>1001.1</v>
      </c>
      <c r="C51" s="23" t="s">
        <v>2793</v>
      </c>
      <c r="D51" s="23"/>
      <c r="E51" s="23"/>
      <c r="F51" s="691"/>
      <c r="G51" s="23"/>
      <c r="H51" s="691"/>
      <c r="I51" s="588"/>
      <c r="J51" s="607" t="s">
        <v>2793</v>
      </c>
      <c r="K51" s="211"/>
      <c r="L51" s="311" t="s">
        <v>2794</v>
      </c>
      <c r="M51" s="138"/>
      <c r="N51" s="4"/>
      <c r="O51" s="138"/>
      <c r="P51" s="522" t="b">
        <v>0</v>
      </c>
      <c r="Q51" s="522" t="b">
        <v>1</v>
      </c>
      <c r="R51" s="165" t="b">
        <v>0</v>
      </c>
      <c r="S51" s="165" t="b">
        <f>IF(AY19=INDEX(ddSingleOrMulti,1),TRUE,FALSE)</f>
        <v>0</v>
      </c>
      <c r="T51" s="96" t="b">
        <f>AND(NOT(S51),W51=TRUE)</f>
        <v>0</v>
      </c>
      <c r="W51" s="27"/>
      <c r="X51" s="166"/>
      <c r="AC51" s="165" t="b">
        <f>OR(AD51:AE51)</f>
        <v>0</v>
      </c>
      <c r="AD51" s="165" t="b">
        <f>T51</f>
        <v>0</v>
      </c>
      <c r="AP51" s="1352" t="str">
        <f>SUBSTITUTE(SUBSTITUTE(SUBSTITUTE("dch"&amp;$B51&amp;$C51&amp;$D51&amp;$E51,".","_"),"(","_"),")","")</f>
        <v>dch1001_1_19</v>
      </c>
      <c r="AQ51" s="1352" t="str">
        <f>IF(LEN(W51)=0,"",W51)</f>
        <v/>
      </c>
      <c r="AR51" s="1352" t="str">
        <f>SUBSTITUTE(SUBSTITUTE(SUBSTITUTE("dnt"&amp;$B51&amp;$C51&amp;$D51&amp;$E51,".","_"),"(","_"),")","")</f>
        <v>dnt1001_1_19</v>
      </c>
      <c r="AS51" s="1352" t="str">
        <f>IF(LEN(X51)=0,"",X51)</f>
        <v/>
      </c>
      <c r="AX51" s="77" t="str">
        <f>'Overview (Design)'!A53</f>
        <v>Thermal Envelope Insulation:</v>
      </c>
      <c r="AY51" s="78">
        <f>'Overview (Design)'!G53</f>
        <v>0</v>
      </c>
    </row>
    <row r="52" spans="1:51" x14ac:dyDescent="0.2">
      <c r="B52" s="600">
        <v>1001.1</v>
      </c>
      <c r="C52" s="23" t="s">
        <v>2795</v>
      </c>
      <c r="D52" s="23"/>
      <c r="E52" s="23"/>
      <c r="F52" s="691"/>
      <c r="G52" s="23"/>
      <c r="H52" s="691"/>
      <c r="I52" s="588"/>
      <c r="J52" s="608" t="s">
        <v>2795</v>
      </c>
      <c r="K52" s="1404"/>
      <c r="L52" s="1613" t="s">
        <v>2796</v>
      </c>
      <c r="M52" s="138"/>
      <c r="N52" s="4"/>
      <c r="O52" s="138"/>
      <c r="P52" s="522" t="b">
        <v>0</v>
      </c>
      <c r="Q52" s="522" t="b">
        <v>1</v>
      </c>
      <c r="R52" s="165" t="b">
        <v>0</v>
      </c>
      <c r="S52" s="165" t="b">
        <f>IF(AY19=INDEX(ddSingleOrMulti,1),TRUE,FALSE)</f>
        <v>0</v>
      </c>
      <c r="T52" s="96" t="b">
        <f>AND(NOT(S52),W52=TRUE)</f>
        <v>0</v>
      </c>
      <c r="W52" s="27"/>
      <c r="X52" s="1600"/>
      <c r="AC52" s="165" t="b">
        <f>OR(AD52:AE52)</f>
        <v>0</v>
      </c>
      <c r="AD52" s="165" t="b">
        <f>T52</f>
        <v>0</v>
      </c>
      <c r="AP52" s="1352" t="str">
        <f>SUBSTITUTE(SUBSTITUTE(SUBSTITUTE("dch"&amp;$B52&amp;$C52&amp;$D52&amp;$E52,".","_"),"(","_"),")","")</f>
        <v>dch1001_1_20</v>
      </c>
      <c r="AQ52" s="1352" t="str">
        <f>IF(LEN(W52)=0,"",W52)</f>
        <v/>
      </c>
      <c r="AR52" s="1352" t="str">
        <f>SUBSTITUTE(SUBSTITUTE(SUBSTITUTE("dnt"&amp;$B52&amp;$C52&amp;$D52&amp;$E52,".","_"),"(","_"),")","")</f>
        <v>dnt1001_1_20</v>
      </c>
      <c r="AS52" s="1352" t="str">
        <f>IF(LEN(X52)=0,"",X52)</f>
        <v/>
      </c>
      <c r="AX52" s="77" t="str">
        <f>'Overview (Design)'!A54</f>
        <v>Attic Type:</v>
      </c>
      <c r="AY52" s="78" t="str">
        <f>'Overview (Design)'!G54</f>
        <v>Vented</v>
      </c>
    </row>
    <row r="53" spans="1:51" x14ac:dyDescent="0.2">
      <c r="B53" s="600">
        <v>1001.1</v>
      </c>
      <c r="C53" s="23" t="s">
        <v>2795</v>
      </c>
      <c r="D53" s="23"/>
      <c r="E53" s="23"/>
      <c r="F53" s="691"/>
      <c r="G53" s="23"/>
      <c r="H53" s="691"/>
      <c r="I53" s="588"/>
      <c r="J53" s="208"/>
      <c r="K53" s="208"/>
      <c r="L53" s="1612"/>
      <c r="M53" s="138"/>
      <c r="N53" s="4"/>
      <c r="O53" s="138"/>
      <c r="X53" s="1600"/>
      <c r="AX53" s="77" t="str">
        <f>'Overview (Design)'!A55</f>
        <v>Attached Garage:</v>
      </c>
      <c r="AY53" s="78" t="str">
        <f>'Overview (Design)'!G55</f>
        <v>No</v>
      </c>
    </row>
    <row r="54" spans="1:51" x14ac:dyDescent="0.2">
      <c r="B54" s="600">
        <v>1001.1</v>
      </c>
      <c r="C54" s="23" t="s">
        <v>2797</v>
      </c>
      <c r="D54" s="23"/>
      <c r="E54" s="23"/>
      <c r="F54" s="691"/>
      <c r="G54" s="23"/>
      <c r="H54" s="691"/>
      <c r="I54" s="588"/>
      <c r="J54" s="608" t="s">
        <v>2797</v>
      </c>
      <c r="K54" s="1404"/>
      <c r="L54" s="1613" t="s">
        <v>2798</v>
      </c>
      <c r="M54" s="138"/>
      <c r="N54" s="4"/>
      <c r="O54" s="138"/>
      <c r="P54" s="522" t="b">
        <v>0</v>
      </c>
      <c r="Q54" s="522" t="b">
        <v>1</v>
      </c>
      <c r="R54" s="165" t="b">
        <v>0</v>
      </c>
      <c r="S54" s="165" t="b">
        <f>IF(AY19=INDEX(ddSingleOrMulti,1),TRUE,FALSE)</f>
        <v>0</v>
      </c>
      <c r="T54" s="96" t="b">
        <f>AND(NOT(S54),W54=TRUE)</f>
        <v>0</v>
      </c>
      <c r="W54" s="27"/>
      <c r="X54" s="1600"/>
      <c r="AC54" s="165" t="b">
        <f>OR(AD54:AE54)</f>
        <v>0</v>
      </c>
      <c r="AD54" s="165" t="b">
        <f>T54</f>
        <v>0</v>
      </c>
      <c r="AP54" s="1352" t="str">
        <f>SUBSTITUTE(SUBSTITUTE(SUBSTITUTE("dch"&amp;$B54&amp;$C54&amp;$D54&amp;$E54,".","_"),"(","_"),")","")</f>
        <v>dch1001_1_21</v>
      </c>
      <c r="AQ54" s="1352" t="str">
        <f>IF(LEN(W54)=0,"",W54)</f>
        <v/>
      </c>
      <c r="AR54" s="1352" t="str">
        <f>SUBSTITUTE(SUBSTITUTE(SUBSTITUTE("dnt"&amp;$B54&amp;$C54&amp;$D54&amp;$E54,".","_"),"(","_"),")","")</f>
        <v>dnt1001_1_21</v>
      </c>
      <c r="AS54" s="1352" t="str">
        <f>IF(LEN(X54)=0,"",X54)</f>
        <v/>
      </c>
      <c r="AX54" s="77" t="str">
        <f>'Overview (Design)'!A56</f>
        <v>Recessed Lighting:</v>
      </c>
      <c r="AY54" s="78">
        <f>'Overview (Design)'!G56</f>
        <v>0</v>
      </c>
    </row>
    <row r="55" spans="1:51" x14ac:dyDescent="0.2">
      <c r="B55" s="600">
        <v>1001.1</v>
      </c>
      <c r="C55" s="23" t="s">
        <v>2797</v>
      </c>
      <c r="D55" s="23"/>
      <c r="E55" s="23"/>
      <c r="F55" s="691"/>
      <c r="G55" s="23"/>
      <c r="H55" s="691"/>
      <c r="I55" s="588"/>
      <c r="J55" s="208"/>
      <c r="K55" s="208"/>
      <c r="L55" s="1612"/>
      <c r="M55" s="138"/>
      <c r="N55" s="4"/>
      <c r="O55" s="138"/>
      <c r="X55" s="1600"/>
      <c r="AX55" s="77"/>
    </row>
    <row r="56" spans="1:51" x14ac:dyDescent="0.2">
      <c r="B56" s="600">
        <v>1001.1</v>
      </c>
      <c r="C56" s="23" t="s">
        <v>2799</v>
      </c>
      <c r="D56" s="23"/>
      <c r="E56" s="23"/>
      <c r="F56" s="691"/>
      <c r="G56" s="23"/>
      <c r="H56" s="691"/>
      <c r="I56" s="588"/>
      <c r="J56" s="608" t="s">
        <v>2799</v>
      </c>
      <c r="K56" s="1404"/>
      <c r="L56" s="1613" t="s">
        <v>2800</v>
      </c>
      <c r="M56" s="138"/>
      <c r="N56" s="4"/>
      <c r="O56" s="138"/>
      <c r="P56" s="522" t="b">
        <v>0</v>
      </c>
      <c r="Q56" s="522" t="b">
        <v>1</v>
      </c>
      <c r="R56" s="165" t="b">
        <v>0</v>
      </c>
      <c r="S56" s="165" t="b">
        <f>IF(AY19=INDEX(ddSingleOrMulti,1),TRUE,FALSE)</f>
        <v>0</v>
      </c>
      <c r="T56" s="96" t="b">
        <f>AND(NOT(S56),W56=TRUE)</f>
        <v>0</v>
      </c>
      <c r="W56" s="27"/>
      <c r="X56" s="1600"/>
      <c r="AC56" s="165" t="b">
        <f>OR(AD56:AE56)</f>
        <v>0</v>
      </c>
      <c r="AD56" s="165" t="b">
        <f>T56</f>
        <v>0</v>
      </c>
      <c r="AP56" s="1352" t="str">
        <f>SUBSTITUTE(SUBSTITUTE(SUBSTITUTE("dch"&amp;$B56&amp;$C56&amp;$D56&amp;$E56,".","_"),"(","_"),")","")</f>
        <v>dch1001_1_22</v>
      </c>
      <c r="AQ56" s="1352" t="str">
        <f>IF(LEN(W56)=0,"",W56)</f>
        <v/>
      </c>
      <c r="AR56" s="1352" t="str">
        <f>SUBSTITUTE(SUBSTITUTE(SUBSTITUTE("dnt"&amp;$B56&amp;$C56&amp;$D56&amp;$E56,".","_"),"(","_"),")","")</f>
        <v>dnt1001_1_22</v>
      </c>
      <c r="AS56" s="1352" t="str">
        <f>IF(LEN(X56)=0,"",X56)</f>
        <v/>
      </c>
      <c r="AX56" s="77" t="str">
        <f>'Overview (Design)'!A58</f>
        <v>Special Design Features:</v>
      </c>
      <c r="AY56" s="78">
        <f>'Overview (Design)'!G58</f>
        <v>0</v>
      </c>
    </row>
    <row r="57" spans="1:51" x14ac:dyDescent="0.2">
      <c r="B57" s="600">
        <v>1001.1</v>
      </c>
      <c r="C57" s="23" t="s">
        <v>2799</v>
      </c>
      <c r="D57" s="23"/>
      <c r="E57" s="23"/>
      <c r="F57" s="691"/>
      <c r="G57" s="23"/>
      <c r="H57" s="691"/>
      <c r="I57" s="588"/>
      <c r="J57" s="208"/>
      <c r="K57" s="208"/>
      <c r="L57" s="1612"/>
      <c r="M57" s="138"/>
      <c r="N57" s="4"/>
      <c r="O57" s="138"/>
      <c r="X57" s="1600"/>
      <c r="AX57" s="77" t="str">
        <f>'Overview (Design)'!A59</f>
        <v>Passive Solar:</v>
      </c>
      <c r="AY57" s="78">
        <f>'Overview (Design)'!G59</f>
        <v>0</v>
      </c>
    </row>
    <row r="58" spans="1:51" s="789" customFormat="1" x14ac:dyDescent="0.2">
      <c r="A58" s="20"/>
      <c r="B58" s="600">
        <v>1001.1</v>
      </c>
      <c r="C58" s="23" t="s">
        <v>2801</v>
      </c>
      <c r="D58" s="23"/>
      <c r="E58" s="23"/>
      <c r="F58" s="691"/>
      <c r="G58" s="23"/>
      <c r="H58" s="691"/>
      <c r="I58" s="588"/>
      <c r="J58" s="608" t="s">
        <v>2801</v>
      </c>
      <c r="K58" s="1404"/>
      <c r="L58" s="1613" t="s">
        <v>3905</v>
      </c>
      <c r="M58" s="791"/>
      <c r="N58" s="4"/>
      <c r="O58" s="791"/>
      <c r="P58" s="789" t="b">
        <v>0</v>
      </c>
      <c r="Q58" s="789" t="b">
        <v>1</v>
      </c>
      <c r="R58" s="789" t="b">
        <v>0</v>
      </c>
      <c r="S58" s="1" t="b">
        <f>IF(AND(AY19=INDEX(ddSingleOrMulti,1),AY27&lt;1978),TRUE,FALSE)</f>
        <v>0</v>
      </c>
      <c r="T58" s="96" t="b">
        <f>AND(NOT(S58),W58=TRUE)</f>
        <v>0</v>
      </c>
      <c r="W58" s="27"/>
      <c r="X58" s="1600"/>
      <c r="AC58" s="779" t="b">
        <f>OR(AD58:AE58)</f>
        <v>0</v>
      </c>
      <c r="AD58" s="779" t="b">
        <f>T58</f>
        <v>0</v>
      </c>
      <c r="AL58" s="78"/>
      <c r="AM58" s="78"/>
      <c r="AN58" s="78"/>
      <c r="AO58" s="78"/>
      <c r="AP58" s="1352" t="str">
        <f>SUBSTITUTE(SUBSTITUTE(SUBSTITUTE("dch"&amp;$B58&amp;$C58&amp;$D58&amp;$E58,".","_"),"(","_"),")","")</f>
        <v>dch1001_1_23</v>
      </c>
      <c r="AQ58" s="1352" t="str">
        <f>IF(LEN(W58)=0,"",W58)</f>
        <v/>
      </c>
      <c r="AR58" s="1352" t="str">
        <f>SUBSTITUTE(SUBSTITUTE(SUBSTITUTE("dnt"&amp;$B58&amp;$C58&amp;$D58&amp;$E58,".","_"),"(","_"),")","")</f>
        <v>dnt1001_1_23</v>
      </c>
      <c r="AS58" s="1352" t="str">
        <f>IF(LEN(X58)=0,"",X58)</f>
        <v/>
      </c>
      <c r="AX58" s="77" t="str">
        <f>'Overview (Design)'!A60</f>
        <v>Mass Walls:</v>
      </c>
      <c r="AY58" s="78">
        <f>'Overview (Design)'!G60</f>
        <v>0</v>
      </c>
    </row>
    <row r="59" spans="1:51" s="789" customFormat="1" x14ac:dyDescent="0.2">
      <c r="A59" s="20"/>
      <c r="B59" s="600">
        <v>1001.1</v>
      </c>
      <c r="C59" s="23" t="s">
        <v>2801</v>
      </c>
      <c r="D59" s="23"/>
      <c r="E59" s="23"/>
      <c r="F59" s="691"/>
      <c r="G59" s="23"/>
      <c r="H59" s="691"/>
      <c r="I59" s="588"/>
      <c r="J59" s="208"/>
      <c r="K59" s="208"/>
      <c r="L59" s="1612"/>
      <c r="M59" s="791"/>
      <c r="N59" s="4"/>
      <c r="O59" s="791"/>
      <c r="X59" s="1600"/>
      <c r="AL59" s="78"/>
      <c r="AM59" s="78"/>
      <c r="AN59" s="78"/>
      <c r="AO59" s="78"/>
      <c r="AP59" s="78"/>
      <c r="AQ59" s="78"/>
      <c r="AR59" s="78"/>
      <c r="AS59" s="78"/>
      <c r="AX59" s="77" t="str">
        <f>'Overview (Design)'!A61</f>
        <v>Radiant/Hydronic:</v>
      </c>
      <c r="AY59" s="78">
        <f>'Overview (Design)'!G61</f>
        <v>0</v>
      </c>
    </row>
    <row r="60" spans="1:51" s="726" customFormat="1" x14ac:dyDescent="0.2">
      <c r="A60" s="20"/>
      <c r="B60" s="600">
        <v>1001.1</v>
      </c>
      <c r="C60" s="23" t="s">
        <v>2803</v>
      </c>
      <c r="D60" s="23"/>
      <c r="E60" s="23"/>
      <c r="F60" s="691"/>
      <c r="G60" s="23"/>
      <c r="H60" s="691"/>
      <c r="I60" s="588"/>
      <c r="J60" s="607" t="s">
        <v>2803</v>
      </c>
      <c r="K60" s="211"/>
      <c r="L60" s="311" t="s">
        <v>2802</v>
      </c>
      <c r="M60" s="729"/>
      <c r="N60" s="4"/>
      <c r="O60" s="729"/>
      <c r="P60" s="726" t="b">
        <v>0</v>
      </c>
      <c r="Q60" s="726" t="b">
        <v>1</v>
      </c>
      <c r="R60" s="726" t="b">
        <v>0</v>
      </c>
      <c r="S60" s="726" t="b">
        <f>IF(AY19=INDEX(ddSingleOrMulti,1),TRUE,FALSE)</f>
        <v>0</v>
      </c>
      <c r="T60" s="96" t="b">
        <f>AND(NOT(S60),W60=TRUE)</f>
        <v>0</v>
      </c>
      <c r="W60" s="27"/>
      <c r="X60" s="728"/>
      <c r="AC60" s="726" t="b">
        <f>OR(AD60:AE60)</f>
        <v>0</v>
      </c>
      <c r="AD60" s="726" t="b">
        <f>T60</f>
        <v>0</v>
      </c>
      <c r="AL60" s="78"/>
      <c r="AM60" s="78"/>
      <c r="AN60" s="78"/>
      <c r="AO60" s="78"/>
      <c r="AP60" s="1352" t="str">
        <f>SUBSTITUTE(SUBSTITUTE(SUBSTITUTE("dch"&amp;$B60&amp;$C60&amp;$D60&amp;$E60,".","_"),"(","_"),")","")</f>
        <v>dch1001_1_24</v>
      </c>
      <c r="AQ60" s="1352" t="str">
        <f>IF(LEN(W60)=0,"",W60)</f>
        <v/>
      </c>
      <c r="AR60" s="1352" t="str">
        <f>SUBSTITUTE(SUBSTITUTE(SUBSTITUTE("dnt"&amp;$B60&amp;$C60&amp;$D60&amp;$E60,".","_"),"(","_"),")","")</f>
        <v>dnt1001_1_24</v>
      </c>
      <c r="AS60" s="1352" t="str">
        <f>IF(LEN(X60)=0,"",X60)</f>
        <v/>
      </c>
      <c r="AX60" s="77" t="str">
        <f>'Overview (Design)'!A62</f>
        <v>Tankless Water Heater:</v>
      </c>
      <c r="AY60" s="78">
        <f>'Overview (Design)'!G62</f>
        <v>0</v>
      </c>
    </row>
    <row r="61" spans="1:51" s="726" customFormat="1" ht="16" thickBot="1" x14ac:dyDescent="0.25">
      <c r="A61" s="20"/>
      <c r="B61" s="600">
        <v>1001.1</v>
      </c>
      <c r="C61" s="23" t="s">
        <v>3904</v>
      </c>
      <c r="D61" s="23"/>
      <c r="E61" s="23"/>
      <c r="F61" s="691"/>
      <c r="G61" s="23"/>
      <c r="H61" s="691"/>
      <c r="I61" s="596"/>
      <c r="J61" s="594" t="s">
        <v>3904</v>
      </c>
      <c r="K61" s="596"/>
      <c r="L61" s="731" t="s">
        <v>2804</v>
      </c>
      <c r="M61" s="730"/>
      <c r="N61" s="239"/>
      <c r="O61" s="730"/>
      <c r="P61" s="726" t="b">
        <v>0</v>
      </c>
      <c r="Q61" s="726" t="b">
        <v>1</v>
      </c>
      <c r="R61" s="100" t="b">
        <v>0</v>
      </c>
      <c r="S61" s="100" t="b">
        <f>IF(AY19=INDEX(ddSingleOrMulti,1),TRUE,FALSE)</f>
        <v>0</v>
      </c>
      <c r="T61" s="100" t="b">
        <f>AND(NOT(S61),W61=TRUE)</f>
        <v>0</v>
      </c>
      <c r="U61" s="100"/>
      <c r="V61" s="100"/>
      <c r="W61" s="184"/>
      <c r="X61" s="727"/>
      <c r="AC61" s="726" t="b">
        <f>OR(AD61:AE61)</f>
        <v>0</v>
      </c>
      <c r="AD61" s="726" t="b">
        <f>T61</f>
        <v>0</v>
      </c>
      <c r="AL61" s="78"/>
      <c r="AM61" s="78"/>
      <c r="AN61" s="78"/>
      <c r="AO61" s="78"/>
      <c r="AP61" s="1352" t="str">
        <f>SUBSTITUTE(SUBSTITUTE(SUBSTITUTE("dch"&amp;$B61&amp;$C61&amp;$D61&amp;$E61,".","_"),"(","_"),")","")</f>
        <v>dch1001_1_25</v>
      </c>
      <c r="AQ61" s="1352" t="str">
        <f>IF(LEN(W61)=0,"",W61)</f>
        <v/>
      </c>
      <c r="AR61" s="1352" t="str">
        <f>SUBSTITUTE(SUBSTITUTE(SUBSTITUTE("dnt"&amp;$B61&amp;$C61&amp;$D61&amp;$E61,".","_"),"(","_"),")","")</f>
        <v>dnt1001_1_25</v>
      </c>
      <c r="AS61" s="1352" t="str">
        <f>IF(LEN(X61)=0,"",X61)</f>
        <v/>
      </c>
      <c r="AX61" s="77" t="str">
        <f>'Overview (Design)'!A63</f>
        <v>Composting Toilet:</v>
      </c>
      <c r="AY61" s="78">
        <f>'Overview (Design)'!G63</f>
        <v>0</v>
      </c>
    </row>
    <row r="62" spans="1:51" ht="16" thickTop="1" x14ac:dyDescent="0.2">
      <c r="B62" s="600">
        <v>1001.2</v>
      </c>
      <c r="C62" s="23"/>
      <c r="D62" s="23"/>
      <c r="E62" s="23"/>
      <c r="F62" s="23" t="s">
        <v>5289</v>
      </c>
      <c r="G62" s="23"/>
      <c r="H62" s="691"/>
      <c r="I62" s="136" t="s">
        <v>3752</v>
      </c>
      <c r="J62" s="588"/>
      <c r="K62" s="588"/>
      <c r="L62" s="1631" t="s">
        <v>3765</v>
      </c>
      <c r="M62" s="1701" t="str">
        <f>IF(R62,"Mandatory","N/A")</f>
        <v>N/A</v>
      </c>
      <c r="N62" s="4"/>
      <c r="O62" s="1682">
        <f>M64*W62*S62</f>
        <v>0</v>
      </c>
      <c r="P62" s="522" t="b">
        <v>0</v>
      </c>
      <c r="Q62" s="522" t="b">
        <v>1</v>
      </c>
      <c r="R62" s="165" t="b">
        <f>S62</f>
        <v>0</v>
      </c>
      <c r="S62" s="165" t="b">
        <f>IF(AY19=INDEX(ddSingleOrMulti,1),TRUE,FALSE)</f>
        <v>0</v>
      </c>
      <c r="T62" s="96" t="b">
        <f>AND(NOT(S62),W62=TRUE)</f>
        <v>0</v>
      </c>
      <c r="W62" s="334"/>
      <c r="X62" s="1599"/>
      <c r="AC62" s="165" t="b">
        <f>OR(AD62:AE62)</f>
        <v>0</v>
      </c>
      <c r="AD62" s="165" t="b">
        <f>T62</f>
        <v>0</v>
      </c>
      <c r="AE62" s="165" t="b">
        <f>AND(R62,NOT(W62=TRUE))</f>
        <v>0</v>
      </c>
      <c r="AL62" s="1" t="str">
        <f>SUBSTITUTE(SUBSTITUTE(SUBSTITUTE("dpa"&amp;$B62&amp;$C62&amp;$D62&amp;$E62&amp;$F62,".","_"),"(","_"),")","")</f>
        <v>dpa1001_2_m</v>
      </c>
      <c r="AM62" s="1352" t="str">
        <f>M62</f>
        <v>N/A</v>
      </c>
      <c r="AN62" s="1352" t="str">
        <f>SUBSTITUTE(SUBSTITUTE(SUBSTITUTE("dpc"&amp;$B62&amp;$C62&amp;$D62&amp;$E62,".","_"),"(","_"),")","")</f>
        <v>dpc1001_2</v>
      </c>
      <c r="AO62" s="1352">
        <f>O62</f>
        <v>0</v>
      </c>
      <c r="AP62" s="1352" t="str">
        <f>SUBSTITUTE(SUBSTITUTE(SUBSTITUTE("dch"&amp;$B62&amp;$C62&amp;$D62&amp;$E62,".","_"),"(","_"),")","")</f>
        <v>dch1001_2</v>
      </c>
      <c r="AQ62" s="1352" t="str">
        <f>IF(LEN(W62)=0,"",W62)</f>
        <v/>
      </c>
      <c r="AR62" s="1352" t="str">
        <f>SUBSTITUTE(SUBSTITUTE(SUBSTITUTE("dnt"&amp;$B62&amp;$C62&amp;$D62&amp;$E62,".","_"),"(","_"),")","")</f>
        <v>dnt1001_2</v>
      </c>
      <c r="AS62" s="1352" t="str">
        <f>IF(LEN(X62)=0,"",X62)</f>
        <v/>
      </c>
      <c r="AX62" s="77"/>
    </row>
    <row r="63" spans="1:51" x14ac:dyDescent="0.2">
      <c r="B63" s="600">
        <v>1001.2</v>
      </c>
      <c r="C63" s="23"/>
      <c r="D63" s="23"/>
      <c r="E63" s="23"/>
      <c r="F63" s="23"/>
      <c r="G63" s="23"/>
      <c r="H63" s="691"/>
      <c r="I63" s="588"/>
      <c r="J63" s="588"/>
      <c r="K63" s="588"/>
      <c r="L63" s="1631"/>
      <c r="M63" s="1714"/>
      <c r="N63" s="4"/>
      <c r="O63" s="1669"/>
      <c r="X63" s="1600"/>
      <c r="AX63" s="77" t="str">
        <f>'Overview (Design)'!A65</f>
        <v>Local Energy Code:</v>
      </c>
      <c r="AY63" s="78" t="str">
        <f>'Overview (Design)'!G65</f>
        <v>2015 IECC</v>
      </c>
    </row>
    <row r="64" spans="1:51" x14ac:dyDescent="0.2">
      <c r="B64" s="600">
        <v>1001.2</v>
      </c>
      <c r="C64" s="23"/>
      <c r="D64" s="23"/>
      <c r="E64" s="23"/>
      <c r="F64" s="23"/>
      <c r="G64" s="23"/>
      <c r="H64" s="691"/>
      <c r="I64" s="588"/>
      <c r="J64" s="588"/>
      <c r="K64" s="588"/>
      <c r="L64" s="1631"/>
      <c r="M64" s="1644">
        <v>8</v>
      </c>
      <c r="N64" s="4"/>
      <c r="O64" s="1669"/>
      <c r="X64" s="1600"/>
      <c r="AL64" s="1352" t="str">
        <f>SUBSTITUTE(SUBSTITUTE(SUBSTITUTE("dpa"&amp;$B64&amp;$C64&amp;$D64&amp;$E64,".","_"),"(","_"),")","")</f>
        <v>dpa1001_2</v>
      </c>
      <c r="AM64" s="1352">
        <f>M64</f>
        <v>8</v>
      </c>
      <c r="AX64" s="77" t="str">
        <f>'Overview (Design)'!A66</f>
        <v>Local Building Code:</v>
      </c>
      <c r="AY64" s="78" t="str">
        <f>'Overview (Design)'!G66</f>
        <v>2018 IBC</v>
      </c>
    </row>
    <row r="65" spans="1:51" x14ac:dyDescent="0.2">
      <c r="B65" s="600">
        <v>1001.2</v>
      </c>
      <c r="C65" s="23"/>
      <c r="D65" s="23"/>
      <c r="E65" s="23"/>
      <c r="F65" s="23"/>
      <c r="G65" s="23"/>
      <c r="H65" s="691"/>
      <c r="I65" s="588"/>
      <c r="J65" s="588"/>
      <c r="K65" s="588"/>
      <c r="L65" s="1631"/>
      <c r="M65" s="1644"/>
      <c r="N65" s="4"/>
      <c r="O65" s="1669"/>
      <c r="X65" s="1600"/>
    </row>
    <row r="66" spans="1:51" x14ac:dyDescent="0.2">
      <c r="B66" s="600">
        <v>1001.2</v>
      </c>
      <c r="C66" s="23" t="s">
        <v>254</v>
      </c>
      <c r="D66" s="23"/>
      <c r="E66" s="23"/>
      <c r="F66" s="23"/>
      <c r="G66" s="23"/>
      <c r="H66" s="691"/>
      <c r="I66" s="588"/>
      <c r="J66" s="590" t="s">
        <v>254</v>
      </c>
      <c r="K66" s="609"/>
      <c r="L66" s="244" t="s">
        <v>2805</v>
      </c>
      <c r="M66" s="138"/>
      <c r="N66" s="4"/>
      <c r="O66" s="138"/>
      <c r="X66" s="1600"/>
    </row>
    <row r="67" spans="1:51" x14ac:dyDescent="0.2">
      <c r="B67" s="600">
        <v>1001.2</v>
      </c>
      <c r="C67" s="23" t="s">
        <v>255</v>
      </c>
      <c r="D67" s="23"/>
      <c r="E67" s="23"/>
      <c r="F67" s="23"/>
      <c r="G67" s="23"/>
      <c r="H67" s="691"/>
      <c r="I67" s="588"/>
      <c r="J67" s="590" t="s">
        <v>255</v>
      </c>
      <c r="K67" s="609"/>
      <c r="L67" s="244" t="s">
        <v>2806</v>
      </c>
      <c r="M67" s="138"/>
      <c r="N67" s="4"/>
      <c r="O67" s="138"/>
      <c r="X67" s="1600"/>
    </row>
    <row r="68" spans="1:51" x14ac:dyDescent="0.2">
      <c r="B68" s="600">
        <v>1001.2</v>
      </c>
      <c r="C68" s="23" t="s">
        <v>256</v>
      </c>
      <c r="D68" s="23"/>
      <c r="E68" s="23"/>
      <c r="F68" s="23"/>
      <c r="G68" s="23"/>
      <c r="H68" s="691"/>
      <c r="I68" s="588"/>
      <c r="J68" s="590" t="s">
        <v>256</v>
      </c>
      <c r="K68" s="609"/>
      <c r="L68" s="244" t="s">
        <v>2807</v>
      </c>
      <c r="M68" s="138"/>
      <c r="N68" s="4"/>
      <c r="O68" s="138"/>
      <c r="X68" s="1600"/>
    </row>
    <row r="69" spans="1:51" x14ac:dyDescent="0.2">
      <c r="B69" s="600">
        <v>1001.2</v>
      </c>
      <c r="C69" s="23" t="s">
        <v>259</v>
      </c>
      <c r="D69" s="23"/>
      <c r="E69" s="23"/>
      <c r="F69" s="23"/>
      <c r="G69" s="23"/>
      <c r="H69" s="691"/>
      <c r="I69" s="588"/>
      <c r="J69" s="590" t="s">
        <v>259</v>
      </c>
      <c r="K69" s="609"/>
      <c r="L69" s="244" t="s">
        <v>2808</v>
      </c>
      <c r="M69" s="138"/>
      <c r="N69" s="4"/>
      <c r="O69" s="138"/>
      <c r="X69" s="1600"/>
    </row>
    <row r="70" spans="1:51" x14ac:dyDescent="0.2">
      <c r="B70" s="600">
        <v>1001.2</v>
      </c>
      <c r="C70" s="23" t="s">
        <v>263</v>
      </c>
      <c r="D70" s="23"/>
      <c r="E70" s="23"/>
      <c r="F70" s="23"/>
      <c r="G70" s="23"/>
      <c r="H70" s="691"/>
      <c r="I70" s="588"/>
      <c r="J70" s="590" t="s">
        <v>263</v>
      </c>
      <c r="K70" s="609"/>
      <c r="L70" s="244" t="s">
        <v>2809</v>
      </c>
      <c r="M70" s="138"/>
      <c r="N70" s="4"/>
      <c r="O70" s="138"/>
      <c r="X70" s="1600"/>
    </row>
    <row r="71" spans="1:51" x14ac:dyDescent="0.2">
      <c r="B71" s="600">
        <v>1001.2</v>
      </c>
      <c r="C71" s="23" t="s">
        <v>264</v>
      </c>
      <c r="D71" s="23"/>
      <c r="E71" s="23"/>
      <c r="F71" s="23"/>
      <c r="G71" s="23"/>
      <c r="H71" s="691"/>
      <c r="I71" s="588"/>
      <c r="J71" s="590" t="s">
        <v>264</v>
      </c>
      <c r="K71" s="609"/>
      <c r="L71" s="244" t="s">
        <v>2810</v>
      </c>
      <c r="M71" s="138"/>
      <c r="N71" s="4"/>
      <c r="O71" s="138"/>
      <c r="X71" s="1600"/>
    </row>
    <row r="72" spans="1:51" s="905" customFormat="1" x14ac:dyDescent="0.2">
      <c r="A72" s="20"/>
      <c r="B72" s="600">
        <v>1001.2</v>
      </c>
      <c r="C72" s="23" t="s">
        <v>356</v>
      </c>
      <c r="D72" s="23"/>
      <c r="E72" s="23"/>
      <c r="F72" s="23"/>
      <c r="G72" s="23"/>
      <c r="H72" s="691"/>
      <c r="I72" s="588"/>
      <c r="J72" s="589" t="s">
        <v>356</v>
      </c>
      <c r="K72" s="588"/>
      <c r="L72" s="964" t="s">
        <v>2811</v>
      </c>
      <c r="M72" s="935"/>
      <c r="N72" s="4"/>
      <c r="O72" s="935"/>
      <c r="X72" s="1600"/>
      <c r="AL72" s="78"/>
      <c r="AM72" s="78"/>
      <c r="AN72" s="78"/>
      <c r="AO72" s="78"/>
      <c r="AP72" s="78"/>
      <c r="AQ72" s="78"/>
      <c r="AR72" s="78"/>
      <c r="AS72" s="78"/>
      <c r="AX72" s="78"/>
      <c r="AY72" s="78"/>
    </row>
    <row r="73" spans="1:51" x14ac:dyDescent="0.2">
      <c r="B73" s="600">
        <v>1001.2</v>
      </c>
      <c r="C73" s="23" t="s">
        <v>389</v>
      </c>
      <c r="D73" s="23"/>
      <c r="E73" s="23"/>
      <c r="F73" s="23"/>
      <c r="G73" s="23"/>
      <c r="H73" s="691"/>
      <c r="I73" s="588"/>
      <c r="J73" s="589" t="s">
        <v>389</v>
      </c>
      <c r="K73" s="588"/>
      <c r="L73" s="228" t="s">
        <v>4922</v>
      </c>
      <c r="M73" s="138"/>
      <c r="N73" s="4"/>
      <c r="O73" s="138"/>
      <c r="X73" s="1600"/>
    </row>
    <row r="74" spans="1:51" ht="19" x14ac:dyDescent="0.25">
      <c r="B74" s="600">
        <v>1002</v>
      </c>
      <c r="C74" s="23"/>
      <c r="D74" s="23"/>
      <c r="E74" s="23"/>
      <c r="F74" s="23"/>
      <c r="G74" s="23"/>
      <c r="H74" s="691"/>
      <c r="I74" s="72" t="s">
        <v>3753</v>
      </c>
      <c r="J74" s="72"/>
      <c r="K74" s="72"/>
      <c r="L74" s="232"/>
      <c r="M74" s="419"/>
      <c r="N74" s="428"/>
      <c r="O74" s="419"/>
      <c r="P74" s="25"/>
      <c r="Q74" s="25"/>
      <c r="R74" s="25"/>
      <c r="S74" s="25"/>
      <c r="T74" s="25"/>
      <c r="U74" s="25"/>
      <c r="V74" s="25"/>
      <c r="W74" s="25"/>
      <c r="X74" s="25"/>
      <c r="AX74" s="905"/>
      <c r="AY74" s="905"/>
    </row>
    <row r="75" spans="1:51" x14ac:dyDescent="0.2">
      <c r="B75" s="600" t="s">
        <v>3435</v>
      </c>
      <c r="C75" s="23"/>
      <c r="D75" s="23"/>
      <c r="E75" s="23"/>
      <c r="F75" s="23"/>
      <c r="G75" s="23"/>
      <c r="H75" s="691"/>
      <c r="I75" s="595" t="s">
        <v>3754</v>
      </c>
      <c r="J75" s="609"/>
      <c r="K75" s="609"/>
      <c r="L75" s="1629" t="s">
        <v>3764</v>
      </c>
      <c r="M75" s="238"/>
      <c r="N75" s="129"/>
      <c r="O75" s="238"/>
      <c r="P75" s="96"/>
      <c r="Q75" s="96"/>
      <c r="R75" s="96"/>
      <c r="S75" s="96"/>
      <c r="T75" s="96"/>
      <c r="U75" s="96"/>
      <c r="V75" s="96"/>
      <c r="W75" s="96"/>
      <c r="X75" s="96"/>
    </row>
    <row r="76" spans="1:51" x14ac:dyDescent="0.2">
      <c r="B76" s="600" t="s">
        <v>3435</v>
      </c>
      <c r="C76" s="23"/>
      <c r="D76" s="23"/>
      <c r="E76" s="23"/>
      <c r="F76" s="23"/>
      <c r="G76" s="23"/>
      <c r="H76" s="691"/>
      <c r="I76" s="609"/>
      <c r="J76" s="609"/>
      <c r="K76" s="609"/>
      <c r="L76" s="1629"/>
      <c r="M76" s="238"/>
      <c r="N76" s="129"/>
      <c r="O76" s="238"/>
      <c r="P76" s="96"/>
      <c r="Q76" s="96"/>
      <c r="R76" s="96"/>
      <c r="S76" s="96"/>
      <c r="T76" s="96"/>
      <c r="U76" s="96"/>
      <c r="V76" s="96"/>
      <c r="W76" s="96"/>
      <c r="X76" s="96"/>
    </row>
    <row r="77" spans="1:51" x14ac:dyDescent="0.2">
      <c r="B77" s="600" t="s">
        <v>3435</v>
      </c>
      <c r="C77" s="23"/>
      <c r="D77" s="23"/>
      <c r="E77" s="23"/>
      <c r="F77" s="23"/>
      <c r="G77" s="23"/>
      <c r="H77" s="691"/>
      <c r="I77" s="609"/>
      <c r="J77" s="609"/>
      <c r="K77" s="609"/>
      <c r="L77" s="1629"/>
      <c r="M77" s="238"/>
      <c r="N77" s="129"/>
      <c r="O77" s="238"/>
      <c r="P77" s="96"/>
      <c r="Q77" s="96"/>
      <c r="R77" s="96"/>
      <c r="S77" s="96"/>
      <c r="T77" s="96"/>
      <c r="U77" s="96"/>
      <c r="V77" s="96"/>
      <c r="W77" s="96"/>
      <c r="X77" s="96"/>
    </row>
    <row r="78" spans="1:51" x14ac:dyDescent="0.2">
      <c r="B78" s="600" t="s">
        <v>3435</v>
      </c>
      <c r="C78" s="23"/>
      <c r="D78" s="23"/>
      <c r="E78" s="23"/>
      <c r="F78" s="23"/>
      <c r="G78" s="23"/>
      <c r="H78" s="691"/>
      <c r="I78" s="609"/>
      <c r="J78" s="609"/>
      <c r="K78" s="609"/>
      <c r="L78" s="1629"/>
      <c r="M78" s="238"/>
      <c r="N78" s="129"/>
      <c r="O78" s="238"/>
      <c r="P78" s="96"/>
      <c r="Q78" s="96"/>
      <c r="R78" s="96"/>
      <c r="S78" s="96"/>
      <c r="T78" s="96"/>
      <c r="U78" s="96"/>
      <c r="V78" s="96"/>
      <c r="W78" s="96"/>
      <c r="X78" s="96"/>
    </row>
    <row r="79" spans="1:51" x14ac:dyDescent="0.2">
      <c r="B79" s="600" t="s">
        <v>3435</v>
      </c>
      <c r="C79" s="23"/>
      <c r="D79" s="23"/>
      <c r="E79" s="23"/>
      <c r="F79" s="23"/>
      <c r="G79" s="23"/>
      <c r="H79" s="691"/>
      <c r="I79" s="609"/>
      <c r="J79" s="609"/>
      <c r="K79" s="609"/>
      <c r="L79" s="1629"/>
      <c r="M79" s="238"/>
      <c r="N79" s="129"/>
      <c r="O79" s="238"/>
      <c r="P79" s="96"/>
      <c r="Q79" s="96"/>
      <c r="R79" s="96"/>
      <c r="S79" s="96"/>
      <c r="T79" s="96"/>
      <c r="U79" s="96"/>
      <c r="V79" s="96"/>
      <c r="W79" s="96"/>
      <c r="X79" s="96"/>
    </row>
    <row r="80" spans="1:51" ht="16" thickBot="1" x14ac:dyDescent="0.25">
      <c r="B80" s="600" t="s">
        <v>3435</v>
      </c>
      <c r="C80" s="23"/>
      <c r="D80" s="23"/>
      <c r="E80" s="23"/>
      <c r="F80" s="23"/>
      <c r="G80" s="23"/>
      <c r="H80" s="691"/>
      <c r="I80" s="596"/>
      <c r="J80" s="596"/>
      <c r="K80" s="596"/>
      <c r="L80" s="1630"/>
      <c r="M80" s="240"/>
      <c r="N80" s="239"/>
      <c r="O80" s="240"/>
      <c r="P80" s="100"/>
      <c r="Q80" s="100"/>
      <c r="R80" s="100"/>
      <c r="S80" s="100"/>
      <c r="T80" s="100"/>
      <c r="U80" s="100"/>
      <c r="V80" s="100"/>
      <c r="W80" s="100"/>
      <c r="X80" s="100"/>
    </row>
    <row r="81" spans="2:45" ht="16" thickTop="1" x14ac:dyDescent="0.2">
      <c r="B81" s="600">
        <v>1002.1</v>
      </c>
      <c r="C81" s="23"/>
      <c r="D81" s="23"/>
      <c r="E81" s="23"/>
      <c r="F81" s="23"/>
      <c r="G81" s="23"/>
      <c r="H81" s="691"/>
      <c r="I81" s="136" t="s">
        <v>3755</v>
      </c>
      <c r="J81" s="588"/>
      <c r="K81" s="588"/>
      <c r="L81" s="1631" t="s">
        <v>3870</v>
      </c>
      <c r="M81" s="1628">
        <v>1</v>
      </c>
      <c r="N81" s="4"/>
      <c r="O81" s="1778">
        <f>IF(AND(COUNTIF(W84:W90,TRUE)=3,COUNTIF(W92:W97,TRUE)&gt;1,S84),ROUNDDOWN(COUNTIF(W92:W97,TRUE)/2,0),0)</f>
        <v>1</v>
      </c>
      <c r="AL81" s="1352" t="str">
        <f>SUBSTITUTE(SUBSTITUTE(SUBSTITUTE("dpa"&amp;$B81&amp;$C81&amp;$D81&amp;$E81,".","_"),"(","_"),")","")</f>
        <v>dpa1002_1</v>
      </c>
      <c r="AM81" s="1352">
        <f>M81</f>
        <v>1</v>
      </c>
      <c r="AN81" s="1352" t="str">
        <f>SUBSTITUTE(SUBSTITUTE(SUBSTITUTE("dpc"&amp;$B81&amp;$C81&amp;$D81&amp;$E81,".","_"),"(","_"),")","")</f>
        <v>dpc1002_1</v>
      </c>
      <c r="AO81" s="1352">
        <f>O81</f>
        <v>1</v>
      </c>
    </row>
    <row r="82" spans="2:45" x14ac:dyDescent="0.2">
      <c r="B82" s="600">
        <v>1002.1</v>
      </c>
      <c r="C82" s="23"/>
      <c r="D82" s="23"/>
      <c r="E82" s="23"/>
      <c r="F82" s="23"/>
      <c r="G82" s="23"/>
      <c r="H82" s="691"/>
      <c r="I82" s="588"/>
      <c r="J82" s="588"/>
      <c r="K82" s="588"/>
      <c r="L82" s="1631"/>
      <c r="M82" s="1628"/>
      <c r="N82" s="4"/>
      <c r="O82" s="1778"/>
    </row>
    <row r="83" spans="2:45" x14ac:dyDescent="0.2">
      <c r="B83" s="600">
        <v>1002.1</v>
      </c>
      <c r="C83" s="23"/>
      <c r="D83" s="23"/>
      <c r="E83" s="23"/>
      <c r="F83" s="23"/>
      <c r="G83" s="23"/>
      <c r="H83" s="691"/>
      <c r="I83" s="588"/>
      <c r="J83" s="588"/>
      <c r="K83" s="588"/>
      <c r="L83" s="229" t="s">
        <v>2847</v>
      </c>
      <c r="M83" s="1628"/>
      <c r="N83" s="4"/>
      <c r="O83" s="1778"/>
    </row>
    <row r="84" spans="2:45" x14ac:dyDescent="0.2">
      <c r="B84" s="600">
        <v>1002.1</v>
      </c>
      <c r="C84" s="23" t="s">
        <v>254</v>
      </c>
      <c r="D84" s="23"/>
      <c r="E84" s="23"/>
      <c r="F84" s="23"/>
      <c r="G84" s="23"/>
      <c r="H84" s="691"/>
      <c r="I84" s="588"/>
      <c r="J84" s="589" t="s">
        <v>254</v>
      </c>
      <c r="K84" s="588"/>
      <c r="L84" s="1611" t="s">
        <v>2812</v>
      </c>
      <c r="M84" s="1714" t="str">
        <f t="shared" ref="M84:M91" si="1">IF(R84,"Mandatory","N/A")</f>
        <v>Mandatory</v>
      </c>
      <c r="N84" s="4"/>
      <c r="O84" s="138"/>
      <c r="P84" s="522" t="b">
        <v>0</v>
      </c>
      <c r="Q84" s="522" t="b">
        <v>1</v>
      </c>
      <c r="R84" s="165" t="b">
        <f>S84</f>
        <v>1</v>
      </c>
      <c r="S84" s="165" t="b">
        <f>IF(AY19=INDEX(ddSingleOrMulti,2),TRUE,FALSE)</f>
        <v>1</v>
      </c>
      <c r="T84" s="96" t="b">
        <f>AND(NOT(S84),W84=TRUE)</f>
        <v>0</v>
      </c>
      <c r="W84" s="27" t="b">
        <v>1</v>
      </c>
      <c r="X84" s="1600"/>
      <c r="AC84" s="165" t="b">
        <f>OR(AD84:AE84)</f>
        <v>0</v>
      </c>
      <c r="AD84" s="165" t="b">
        <f>T84</f>
        <v>0</v>
      </c>
      <c r="AE84" s="165" t="b">
        <f>AND(R84,O81&lt;1)</f>
        <v>0</v>
      </c>
      <c r="AL84" s="1352" t="str">
        <f>SUBSTITUTE(SUBSTITUTE(SUBSTITUTE("dpa"&amp;$B84&amp;$C84&amp;$D84&amp;$E84,".","_"),"(","_"),")","")</f>
        <v>dpa1002_1_1</v>
      </c>
      <c r="AM84" s="1352" t="str">
        <f t="shared" ref="AM84:AM90" si="2">M84</f>
        <v>Mandatory</v>
      </c>
      <c r="AP84" s="1352" t="str">
        <f>SUBSTITUTE(SUBSTITUTE(SUBSTITUTE("dch"&amp;$B84&amp;$C84&amp;$D84&amp;$E84,".","_"),"(","_"),")","")</f>
        <v>dch1002_1_1</v>
      </c>
      <c r="AQ84" s="1352" t="b">
        <f>IF(LEN(W84)=0,"",W84)</f>
        <v>1</v>
      </c>
      <c r="AR84" s="1352" t="str">
        <f>SUBSTITUTE(SUBSTITUTE(SUBSTITUTE("dnt"&amp;$B84&amp;$C84&amp;$D84&amp;$E84,".","_"),"(","_"),")","")</f>
        <v>dnt1002_1_1</v>
      </c>
      <c r="AS84" s="1352" t="str">
        <f>IF(LEN(X84)=0,"",X84)</f>
        <v/>
      </c>
    </row>
    <row r="85" spans="2:45" x14ac:dyDescent="0.2">
      <c r="B85" s="600">
        <v>1002.1</v>
      </c>
      <c r="C85" s="23" t="s">
        <v>254</v>
      </c>
      <c r="D85" s="23"/>
      <c r="E85" s="23"/>
      <c r="F85" s="23"/>
      <c r="G85" s="23"/>
      <c r="H85" s="691"/>
      <c r="I85" s="588"/>
      <c r="J85" s="589"/>
      <c r="K85" s="588"/>
      <c r="L85" s="1611"/>
      <c r="M85" s="1714" t="str">
        <f t="shared" si="1"/>
        <v>N/A</v>
      </c>
      <c r="N85" s="4"/>
      <c r="O85" s="138"/>
      <c r="X85" s="1600"/>
      <c r="AL85" s="1352"/>
      <c r="AM85" s="1352"/>
    </row>
    <row r="86" spans="2:45" x14ac:dyDescent="0.2">
      <c r="B86" s="600">
        <v>1002.1</v>
      </c>
      <c r="C86" s="23" t="s">
        <v>254</v>
      </c>
      <c r="D86" s="23"/>
      <c r="E86" s="23"/>
      <c r="F86" s="23"/>
      <c r="G86" s="23"/>
      <c r="H86" s="691"/>
      <c r="I86" s="588"/>
      <c r="J86" s="589"/>
      <c r="K86" s="588"/>
      <c r="L86" s="1611"/>
      <c r="M86" s="1714" t="str">
        <f t="shared" si="1"/>
        <v>N/A</v>
      </c>
      <c r="N86" s="4"/>
      <c r="O86" s="138"/>
      <c r="X86" s="1600"/>
      <c r="AL86" s="1352"/>
      <c r="AM86" s="1352"/>
    </row>
    <row r="87" spans="2:45" x14ac:dyDescent="0.2">
      <c r="B87" s="600">
        <v>1002.1</v>
      </c>
      <c r="C87" s="23" t="s">
        <v>255</v>
      </c>
      <c r="D87" s="23"/>
      <c r="E87" s="23"/>
      <c r="F87" s="23"/>
      <c r="G87" s="23"/>
      <c r="H87" s="691"/>
      <c r="I87" s="588"/>
      <c r="J87" s="608" t="s">
        <v>255</v>
      </c>
      <c r="K87" s="1404"/>
      <c r="L87" s="1613" t="s">
        <v>2813</v>
      </c>
      <c r="M87" s="1732" t="str">
        <f t="shared" si="1"/>
        <v>Mandatory</v>
      </c>
      <c r="N87" s="4"/>
      <c r="O87" s="138"/>
      <c r="P87" s="522" t="b">
        <v>0</v>
      </c>
      <c r="Q87" s="522" t="b">
        <v>1</v>
      </c>
      <c r="R87" s="165" t="b">
        <f>S87</f>
        <v>1</v>
      </c>
      <c r="S87" s="165" t="b">
        <f>IF(AY19=INDEX(ddSingleOrMulti,2),TRUE,FALSE)</f>
        <v>1</v>
      </c>
      <c r="T87" s="96" t="b">
        <f>AND(NOT(S87),W87=TRUE)</f>
        <v>0</v>
      </c>
      <c r="W87" s="27" t="b">
        <v>1</v>
      </c>
      <c r="X87" s="1600"/>
      <c r="AC87" s="165" t="b">
        <f>OR(AD87:AE87)</f>
        <v>0</v>
      </c>
      <c r="AD87" s="165" t="b">
        <f>T87</f>
        <v>0</v>
      </c>
      <c r="AE87" s="165" t="b">
        <f>AND(R87,NOT(W87=TRUE))</f>
        <v>0</v>
      </c>
      <c r="AL87" s="1352" t="str">
        <f>SUBSTITUTE(SUBSTITUTE(SUBSTITUTE("dpa"&amp;$B87&amp;$C87&amp;$D87&amp;$E87,".","_"),"(","_"),")","")</f>
        <v>dpa1002_1_2</v>
      </c>
      <c r="AM87" s="1352" t="str">
        <f t="shared" si="2"/>
        <v>Mandatory</v>
      </c>
      <c r="AP87" s="1352" t="str">
        <f>SUBSTITUTE(SUBSTITUTE(SUBSTITUTE("dch"&amp;$B87&amp;$C87&amp;$D87&amp;$E87,".","_"),"(","_"),")","")</f>
        <v>dch1002_1_2</v>
      </c>
      <c r="AQ87" s="1352" t="b">
        <f>IF(LEN(W87)=0,"",W87)</f>
        <v>1</v>
      </c>
      <c r="AR87" s="1352" t="str">
        <f>SUBSTITUTE(SUBSTITUTE(SUBSTITUTE("dnt"&amp;$B87&amp;$C87&amp;$D87&amp;$E87,".","_"),"(","_"),")","")</f>
        <v>dnt1002_1_2</v>
      </c>
      <c r="AS87" s="1352" t="str">
        <f>IF(LEN(X87)=0,"",X87)</f>
        <v/>
      </c>
    </row>
    <row r="88" spans="2:45" x14ac:dyDescent="0.2">
      <c r="B88" s="600">
        <v>1002.1</v>
      </c>
      <c r="C88" s="23" t="s">
        <v>255</v>
      </c>
      <c r="D88" s="23"/>
      <c r="E88" s="23"/>
      <c r="F88" s="23"/>
      <c r="G88" s="23"/>
      <c r="H88" s="691"/>
      <c r="I88" s="588"/>
      <c r="J88" s="590"/>
      <c r="K88" s="609"/>
      <c r="L88" s="1609"/>
      <c r="M88" s="1697" t="str">
        <f t="shared" si="1"/>
        <v>N/A</v>
      </c>
      <c r="N88" s="4"/>
      <c r="O88" s="138"/>
      <c r="X88" s="1600"/>
      <c r="AL88" s="1352"/>
      <c r="AM88" s="1352"/>
    </row>
    <row r="89" spans="2:45" x14ac:dyDescent="0.2">
      <c r="B89" s="600">
        <v>1002.1</v>
      </c>
      <c r="C89" s="23" t="s">
        <v>255</v>
      </c>
      <c r="D89" s="23"/>
      <c r="E89" s="23"/>
      <c r="F89" s="23"/>
      <c r="G89" s="23"/>
      <c r="H89" s="691"/>
      <c r="I89" s="588"/>
      <c r="J89" s="606"/>
      <c r="K89" s="208"/>
      <c r="L89" s="1612"/>
      <c r="M89" s="1698" t="str">
        <f t="shared" si="1"/>
        <v>N/A</v>
      </c>
      <c r="N89" s="4"/>
      <c r="O89" s="138"/>
      <c r="X89" s="1600"/>
      <c r="AL89" s="1352"/>
      <c r="AM89" s="1352"/>
    </row>
    <row r="90" spans="2:45" x14ac:dyDescent="0.2">
      <c r="B90" s="600">
        <v>1002.1</v>
      </c>
      <c r="C90" s="23" t="s">
        <v>256</v>
      </c>
      <c r="D90" s="23"/>
      <c r="E90" s="23"/>
      <c r="F90" s="23"/>
      <c r="G90" s="23"/>
      <c r="H90" s="691"/>
      <c r="I90" s="588"/>
      <c r="J90" s="589" t="s">
        <v>256</v>
      </c>
      <c r="K90" s="588"/>
      <c r="L90" s="1611" t="s">
        <v>2814</v>
      </c>
      <c r="M90" s="1714" t="str">
        <f t="shared" si="1"/>
        <v>Mandatory</v>
      </c>
      <c r="N90" s="4"/>
      <c r="O90" s="138"/>
      <c r="P90" s="522" t="b">
        <v>0</v>
      </c>
      <c r="Q90" s="522" t="b">
        <v>1</v>
      </c>
      <c r="R90" s="165" t="b">
        <f>S90</f>
        <v>1</v>
      </c>
      <c r="S90" s="165" t="b">
        <f>IF(AY19=INDEX(ddSingleOrMulti,2),TRUE,FALSE)</f>
        <v>1</v>
      </c>
      <c r="T90" s="96" t="b">
        <f>AND(NOT(S90),W90=TRUE)</f>
        <v>0</v>
      </c>
      <c r="W90" s="27" t="b">
        <v>1</v>
      </c>
      <c r="X90" s="1600"/>
      <c r="AC90" s="165" t="b">
        <f>OR(AD90:AE90)</f>
        <v>0</v>
      </c>
      <c r="AD90" s="165" t="b">
        <f>T90</f>
        <v>0</v>
      </c>
      <c r="AE90" s="165" t="b">
        <f>AND(R90,NOT(W90=TRUE))</f>
        <v>0</v>
      </c>
      <c r="AL90" s="1352" t="str">
        <f>SUBSTITUTE(SUBSTITUTE(SUBSTITUTE("dpa"&amp;$B90&amp;$C90&amp;$D90&amp;$E90,".","_"),"(","_"),")","")</f>
        <v>dpa1002_1_3</v>
      </c>
      <c r="AM90" s="1352" t="str">
        <f t="shared" si="2"/>
        <v>Mandatory</v>
      </c>
      <c r="AP90" s="1352" t="str">
        <f>SUBSTITUTE(SUBSTITUTE(SUBSTITUTE("dch"&amp;$B90&amp;$C90&amp;$D90&amp;$E90,".","_"),"(","_"),")","")</f>
        <v>dch1002_1_3</v>
      </c>
      <c r="AQ90" s="1352" t="b">
        <f>IF(LEN(W90)=0,"",W90)</f>
        <v>1</v>
      </c>
      <c r="AR90" s="1352" t="str">
        <f>SUBSTITUTE(SUBSTITUTE(SUBSTITUTE("dnt"&amp;$B90&amp;$C90&amp;$D90&amp;$E90,".","_"),"(","_"),")","")</f>
        <v>dnt1002_1_3</v>
      </c>
      <c r="AS90" s="1352" t="str">
        <f>IF(LEN(X90)=0,"",X90)</f>
        <v/>
      </c>
    </row>
    <row r="91" spans="2:45" x14ac:dyDescent="0.2">
      <c r="B91" s="600">
        <v>1002.1</v>
      </c>
      <c r="C91" s="23" t="s">
        <v>256</v>
      </c>
      <c r="D91" s="23"/>
      <c r="E91" s="23"/>
      <c r="F91" s="23"/>
      <c r="G91" s="23"/>
      <c r="H91" s="691"/>
      <c r="I91" s="588"/>
      <c r="J91" s="589"/>
      <c r="K91" s="588"/>
      <c r="L91" s="1611"/>
      <c r="M91" s="1714" t="str">
        <f t="shared" si="1"/>
        <v>N/A</v>
      </c>
      <c r="N91" s="4"/>
      <c r="O91" s="138"/>
      <c r="X91" s="1600"/>
      <c r="AL91" s="1352"/>
      <c r="AM91" s="1352"/>
    </row>
    <row r="92" spans="2:45" x14ac:dyDescent="0.2">
      <c r="B92" s="600">
        <v>1002.1</v>
      </c>
      <c r="C92" s="23" t="s">
        <v>259</v>
      </c>
      <c r="D92" s="23"/>
      <c r="E92" s="23"/>
      <c r="F92" s="23"/>
      <c r="G92" s="23"/>
      <c r="H92" s="691"/>
      <c r="I92" s="588"/>
      <c r="J92" s="607" t="s">
        <v>259</v>
      </c>
      <c r="K92" s="211"/>
      <c r="L92" s="243" t="s">
        <v>2815</v>
      </c>
      <c r="M92" s="245"/>
      <c r="N92" s="4"/>
      <c r="O92" s="138"/>
      <c r="P92" s="522" t="b">
        <v>0</v>
      </c>
      <c r="Q92" s="522" t="b">
        <v>1</v>
      </c>
      <c r="R92" s="165" t="b">
        <v>0</v>
      </c>
      <c r="S92" s="165" t="b">
        <f>IF(AY19=INDEX(ddSingleOrMulti,2),TRUE,FALSE)</f>
        <v>1</v>
      </c>
      <c r="T92" s="96" t="b">
        <f>AND(NOT(S92),W92=TRUE)</f>
        <v>0</v>
      </c>
      <c r="W92" s="27"/>
      <c r="X92" s="166"/>
      <c r="AC92" s="165" t="b">
        <f>OR(AD92:AE92)</f>
        <v>0</v>
      </c>
      <c r="AD92" s="165" t="b">
        <f>T92</f>
        <v>0</v>
      </c>
      <c r="AP92" s="1352" t="str">
        <f>SUBSTITUTE(SUBSTITUTE(SUBSTITUTE("dch"&amp;$B92&amp;$C92&amp;$D92&amp;$E92,".","_"),"(","_"),")","")</f>
        <v>dch1002_1_4</v>
      </c>
      <c r="AQ92" s="1352" t="str">
        <f>IF(LEN(W92)=0,"",W92)</f>
        <v/>
      </c>
      <c r="AR92" s="1352" t="str">
        <f>SUBSTITUTE(SUBSTITUTE(SUBSTITUTE("dnt"&amp;$B92&amp;$C92&amp;$D92&amp;$E92,".","_"),"(","_"),")","")</f>
        <v>dnt1002_1_4</v>
      </c>
      <c r="AS92" s="1352" t="str">
        <f>IF(LEN(X92)=0,"",X92)</f>
        <v/>
      </c>
    </row>
    <row r="93" spans="2:45" x14ac:dyDescent="0.2">
      <c r="B93" s="600">
        <v>1002.1</v>
      </c>
      <c r="C93" s="23" t="s">
        <v>263</v>
      </c>
      <c r="D93" s="23"/>
      <c r="E93" s="23"/>
      <c r="F93" s="23"/>
      <c r="G93" s="23"/>
      <c r="H93" s="691"/>
      <c r="I93" s="588"/>
      <c r="J93" s="589" t="s">
        <v>263</v>
      </c>
      <c r="K93" s="588"/>
      <c r="L93" s="1611" t="s">
        <v>2816</v>
      </c>
      <c r="M93" s="238"/>
      <c r="N93" s="4"/>
      <c r="O93" s="138"/>
      <c r="P93" s="522" t="b">
        <v>0</v>
      </c>
      <c r="Q93" s="522" t="b">
        <v>1</v>
      </c>
      <c r="R93" s="165" t="b">
        <v>0</v>
      </c>
      <c r="S93" s="165" t="b">
        <f>IF(AY19=INDEX(ddSingleOrMulti,2),TRUE,FALSE)</f>
        <v>1</v>
      </c>
      <c r="T93" s="96" t="b">
        <f>AND(NOT(S93),W93=TRUE)</f>
        <v>0</v>
      </c>
      <c r="W93" s="27"/>
      <c r="X93" s="1600"/>
      <c r="AC93" s="165" t="b">
        <f>OR(AD93:AE93)</f>
        <v>0</v>
      </c>
      <c r="AD93" s="165" t="b">
        <f>T93</f>
        <v>0</v>
      </c>
      <c r="AP93" s="1352" t="str">
        <f>SUBSTITUTE(SUBSTITUTE(SUBSTITUTE("dch"&amp;$B93&amp;$C93&amp;$D93&amp;$E93,".","_"),"(","_"),")","")</f>
        <v>dch1002_1_5</v>
      </c>
      <c r="AQ93" s="1352" t="str">
        <f>IF(LEN(W93)=0,"",W93)</f>
        <v/>
      </c>
      <c r="AR93" s="1352" t="str">
        <f>SUBSTITUTE(SUBSTITUTE(SUBSTITUTE("dnt"&amp;$B93&amp;$C93&amp;$D93&amp;$E93,".","_"),"(","_"),")","")</f>
        <v>dnt1002_1_5</v>
      </c>
      <c r="AS93" s="1352" t="str">
        <f>IF(LEN(X93)=0,"",X93)</f>
        <v/>
      </c>
    </row>
    <row r="94" spans="2:45" x14ac:dyDescent="0.2">
      <c r="B94" s="600">
        <v>1002.1</v>
      </c>
      <c r="C94" s="23" t="s">
        <v>263</v>
      </c>
      <c r="D94" s="23"/>
      <c r="E94" s="23"/>
      <c r="F94" s="23"/>
      <c r="G94" s="23"/>
      <c r="H94" s="691"/>
      <c r="I94" s="588"/>
      <c r="J94" s="589"/>
      <c r="K94" s="588"/>
      <c r="L94" s="1611"/>
      <c r="M94" s="238"/>
      <c r="N94" s="4"/>
      <c r="O94" s="138"/>
      <c r="X94" s="1600"/>
    </row>
    <row r="95" spans="2:45" ht="15" customHeight="1" x14ac:dyDescent="0.2">
      <c r="B95" s="600">
        <v>1002.1</v>
      </c>
      <c r="C95" s="23" t="s">
        <v>264</v>
      </c>
      <c r="D95" s="23"/>
      <c r="E95" s="23"/>
      <c r="F95" s="23"/>
      <c r="G95" s="23"/>
      <c r="H95" s="691"/>
      <c r="I95" s="588"/>
      <c r="J95" s="607" t="s">
        <v>264</v>
      </c>
      <c r="K95" s="211"/>
      <c r="L95" s="243" t="s">
        <v>2776</v>
      </c>
      <c r="M95" s="238"/>
      <c r="N95" s="4"/>
      <c r="O95" s="138"/>
      <c r="P95" s="522" t="b">
        <v>0</v>
      </c>
      <c r="Q95" s="522" t="b">
        <v>1</v>
      </c>
      <c r="R95" s="165" t="b">
        <v>0</v>
      </c>
      <c r="S95" s="165" t="b">
        <f>IF(AY19=INDEX(ddSingleOrMulti,2),TRUE,FALSE)</f>
        <v>1</v>
      </c>
      <c r="T95" s="96" t="b">
        <f>AND(NOT(S95),W95=TRUE)</f>
        <v>0</v>
      </c>
      <c r="W95" s="27" t="b">
        <v>1</v>
      </c>
      <c r="X95" s="166"/>
      <c r="AC95" s="165" t="b">
        <f>OR(AD95:AE95)</f>
        <v>0</v>
      </c>
      <c r="AD95" s="165" t="b">
        <f>T95</f>
        <v>0</v>
      </c>
      <c r="AP95" s="1352" t="str">
        <f>SUBSTITUTE(SUBSTITUTE(SUBSTITUTE("dch"&amp;$B95&amp;$C95&amp;$D95&amp;$E95,".","_"),"(","_"),")","")</f>
        <v>dch1002_1_6</v>
      </c>
      <c r="AQ95" s="1352" t="b">
        <f>IF(LEN(W95)=0,"",W95)</f>
        <v>1</v>
      </c>
      <c r="AR95" s="1352" t="str">
        <f>SUBSTITUTE(SUBSTITUTE(SUBSTITUTE("dnt"&amp;$B95&amp;$C95&amp;$D95&amp;$E95,".","_"),"(","_"),")","")</f>
        <v>dnt1002_1_6</v>
      </c>
      <c r="AS95" s="1352" t="str">
        <f>IF(LEN(X95)=0,"",X95)</f>
        <v/>
      </c>
    </row>
    <row r="96" spans="2:45" x14ac:dyDescent="0.2">
      <c r="B96" s="600">
        <v>1002.1</v>
      </c>
      <c r="C96" s="23" t="s">
        <v>356</v>
      </c>
      <c r="D96" s="23"/>
      <c r="E96" s="23"/>
      <c r="F96" s="23"/>
      <c r="G96" s="23"/>
      <c r="H96" s="691"/>
      <c r="I96" s="588"/>
      <c r="J96" s="607" t="s">
        <v>356</v>
      </c>
      <c r="K96" s="211"/>
      <c r="L96" s="243" t="s">
        <v>2817</v>
      </c>
      <c r="M96" s="238"/>
      <c r="N96" s="4"/>
      <c r="O96" s="138"/>
      <c r="P96" s="522" t="b">
        <v>0</v>
      </c>
      <c r="Q96" s="522" t="b">
        <v>1</v>
      </c>
      <c r="R96" s="165" t="b">
        <v>0</v>
      </c>
      <c r="S96" s="165" t="b">
        <f>IF(AY19=INDEX(ddSingleOrMulti,2),TRUE,FALSE)</f>
        <v>1</v>
      </c>
      <c r="T96" s="96" t="b">
        <f>AND(NOT(S96),W96=TRUE)</f>
        <v>0</v>
      </c>
      <c r="W96" s="27" t="b">
        <v>1</v>
      </c>
      <c r="X96" s="166"/>
      <c r="AC96" s="165" t="b">
        <f>OR(AD96:AE96)</f>
        <v>0</v>
      </c>
      <c r="AD96" s="165" t="b">
        <f>T96</f>
        <v>0</v>
      </c>
      <c r="AP96" s="1352" t="str">
        <f>SUBSTITUTE(SUBSTITUTE(SUBSTITUTE("dch"&amp;$B96&amp;$C96&amp;$D96&amp;$E96,".","_"),"(","_"),")","")</f>
        <v>dch1002_1_7</v>
      </c>
      <c r="AQ96" s="1352" t="b">
        <f>IF(LEN(W96)=0,"",W96)</f>
        <v>1</v>
      </c>
      <c r="AR96" s="1352" t="str">
        <f>SUBSTITUTE(SUBSTITUTE(SUBSTITUTE("dnt"&amp;$B96&amp;$C96&amp;$D96&amp;$E96,".","_"),"(","_"),")","")</f>
        <v>dnt1002_1_7</v>
      </c>
      <c r="AS96" s="1352" t="str">
        <f>IF(LEN(X96)=0,"",X96)</f>
        <v/>
      </c>
    </row>
    <row r="97" spans="2:45" ht="15" customHeight="1" x14ac:dyDescent="0.2">
      <c r="B97" s="600">
        <v>1002.1</v>
      </c>
      <c r="C97" s="23" t="s">
        <v>389</v>
      </c>
      <c r="D97" s="23"/>
      <c r="E97" s="23"/>
      <c r="F97" s="23"/>
      <c r="G97" s="23"/>
      <c r="H97" s="691"/>
      <c r="I97" s="609"/>
      <c r="J97" s="590" t="s">
        <v>389</v>
      </c>
      <c r="K97" s="609"/>
      <c r="L97" s="1609" t="s">
        <v>2818</v>
      </c>
      <c r="M97" s="238"/>
      <c r="N97" s="129"/>
      <c r="O97" s="238"/>
      <c r="P97" s="522" t="b">
        <v>0</v>
      </c>
      <c r="Q97" s="522" t="b">
        <v>1</v>
      </c>
      <c r="R97" s="96" t="b">
        <v>0</v>
      </c>
      <c r="S97" s="96" t="b">
        <f>IF(AY19=INDEX(ddSingleOrMulti,2),TRUE,FALSE)</f>
        <v>1</v>
      </c>
      <c r="T97" s="96" t="b">
        <f>AND(NOT(S97),W97=TRUE)</f>
        <v>0</v>
      </c>
      <c r="U97" s="96"/>
      <c r="V97" s="96"/>
      <c r="W97" s="27"/>
      <c r="X97" s="1601"/>
      <c r="AC97" s="165" t="b">
        <f>OR(AD97:AE97)</f>
        <v>0</v>
      </c>
      <c r="AD97" s="165" t="b">
        <f>T97</f>
        <v>0</v>
      </c>
      <c r="AP97" s="1352" t="str">
        <f>SUBSTITUTE(SUBSTITUTE(SUBSTITUTE("dch"&amp;$B97&amp;$C97&amp;$D97&amp;$E97,".","_"),"(","_"),")","")</f>
        <v>dch1002_1_8</v>
      </c>
      <c r="AQ97" s="1352" t="str">
        <f>IF(LEN(W97)=0,"",W97)</f>
        <v/>
      </c>
      <c r="AR97" s="1352" t="str">
        <f>SUBSTITUTE(SUBSTITUTE(SUBSTITUTE("dnt"&amp;$B97&amp;$C97&amp;$D97&amp;$E97,".","_"),"(","_"),")","")</f>
        <v>dnt1002_1_8</v>
      </c>
      <c r="AS97" s="1352" t="str">
        <f>IF(LEN(X97)=0,"",X97)</f>
        <v/>
      </c>
    </row>
    <row r="98" spans="2:45" ht="15" customHeight="1" thickBot="1" x14ac:dyDescent="0.25">
      <c r="B98" s="600">
        <v>1002.1</v>
      </c>
      <c r="C98" s="23" t="s">
        <v>389</v>
      </c>
      <c r="D98" s="23"/>
      <c r="E98" s="23"/>
      <c r="F98" s="23"/>
      <c r="G98" s="23"/>
      <c r="H98" s="691"/>
      <c r="I98" s="596"/>
      <c r="J98" s="596"/>
      <c r="K98" s="596"/>
      <c r="L98" s="1610"/>
      <c r="M98" s="240"/>
      <c r="N98" s="239"/>
      <c r="O98" s="240"/>
      <c r="P98" s="100"/>
      <c r="Q98" s="100"/>
      <c r="R98" s="100"/>
      <c r="S98" s="100"/>
      <c r="T98" s="100"/>
      <c r="U98" s="100"/>
      <c r="V98" s="100"/>
      <c r="W98" s="100"/>
      <c r="X98" s="1602"/>
    </row>
    <row r="99" spans="2:45" ht="16" thickTop="1" x14ac:dyDescent="0.2">
      <c r="B99" s="600">
        <v>1002.2</v>
      </c>
      <c r="C99" s="23"/>
      <c r="D99" s="23"/>
      <c r="E99" s="23"/>
      <c r="F99" s="23"/>
      <c r="G99" s="23"/>
      <c r="H99" s="691"/>
      <c r="I99" s="136" t="s">
        <v>3756</v>
      </c>
      <c r="J99" s="588"/>
      <c r="K99" s="588"/>
      <c r="L99" s="1631" t="s">
        <v>3869</v>
      </c>
      <c r="M99" s="1628">
        <v>1</v>
      </c>
      <c r="N99" s="4"/>
      <c r="O99" s="1778">
        <f>IF(AND(COUNTIF(W103:W105,TRUE)=2,COUNTIF(W108:W124,TRUE)&gt;2,S103),ROUNDDOWN(COUNTIF(W108:W124,TRUE)/2,0),0)</f>
        <v>4</v>
      </c>
      <c r="X99" s="165"/>
      <c r="AL99" s="1352" t="str">
        <f>SUBSTITUTE(SUBSTITUTE(SUBSTITUTE("dpa"&amp;$B99&amp;$C99&amp;$D99&amp;$E99,".","_"),"(","_"),")","")</f>
        <v>dpa1002_2</v>
      </c>
      <c r="AM99" s="1352">
        <f t="shared" ref="AM99" si="3">M99</f>
        <v>1</v>
      </c>
      <c r="AN99" s="1352" t="str">
        <f>SUBSTITUTE(SUBSTITUTE(SUBSTITUTE("dpc"&amp;$B99&amp;$C99&amp;$D99&amp;$E99,".","_"),"(","_"),")","")</f>
        <v>dpc1002_2</v>
      </c>
      <c r="AO99" s="1352">
        <f>O99</f>
        <v>4</v>
      </c>
    </row>
    <row r="100" spans="2:45" x14ac:dyDescent="0.2">
      <c r="B100" s="600">
        <v>1002.2</v>
      </c>
      <c r="C100" s="23"/>
      <c r="D100" s="23"/>
      <c r="E100" s="23"/>
      <c r="F100" s="23"/>
      <c r="G100" s="23"/>
      <c r="H100" s="691"/>
      <c r="I100" s="588"/>
      <c r="J100" s="588"/>
      <c r="K100" s="588"/>
      <c r="L100" s="1631"/>
      <c r="M100" s="1628"/>
      <c r="N100" s="4"/>
      <c r="O100" s="1778"/>
      <c r="X100" s="165"/>
    </row>
    <row r="101" spans="2:45" x14ac:dyDescent="0.2">
      <c r="B101" s="600">
        <v>1002.2</v>
      </c>
      <c r="C101" s="23"/>
      <c r="D101" s="23"/>
      <c r="E101" s="23"/>
      <c r="F101" s="23"/>
      <c r="G101" s="23"/>
      <c r="H101" s="691"/>
      <c r="I101" s="588"/>
      <c r="J101" s="588"/>
      <c r="K101" s="588"/>
      <c r="L101" s="1631"/>
      <c r="M101" s="1628"/>
      <c r="N101" s="4"/>
      <c r="O101" s="1778"/>
      <c r="X101" s="165"/>
    </row>
    <row r="102" spans="2:45" x14ac:dyDescent="0.2">
      <c r="B102" s="600">
        <v>1002.2</v>
      </c>
      <c r="C102" s="23"/>
      <c r="D102" s="23"/>
      <c r="E102" s="23"/>
      <c r="F102" s="23"/>
      <c r="G102" s="23"/>
      <c r="H102" s="691"/>
      <c r="I102" s="588"/>
      <c r="J102" s="588"/>
      <c r="K102" s="588"/>
      <c r="L102" s="230" t="s">
        <v>2847</v>
      </c>
      <c r="M102" s="1628"/>
      <c r="N102" s="4"/>
      <c r="O102" s="1778"/>
      <c r="X102" s="165"/>
    </row>
    <row r="103" spans="2:45" x14ac:dyDescent="0.2">
      <c r="B103" s="600">
        <v>1002.2</v>
      </c>
      <c r="C103" s="23" t="s">
        <v>254</v>
      </c>
      <c r="D103" s="23"/>
      <c r="E103" s="23"/>
      <c r="F103" s="23"/>
      <c r="G103" s="23"/>
      <c r="H103" s="691"/>
      <c r="I103" s="588"/>
      <c r="J103" s="590" t="s">
        <v>254</v>
      </c>
      <c r="K103" s="609"/>
      <c r="L103" s="1609" t="s">
        <v>2819</v>
      </c>
      <c r="M103" s="1697" t="str">
        <f>IF(R103,"Mandatory","N/A")</f>
        <v>Mandatory</v>
      </c>
      <c r="N103" s="4"/>
      <c r="O103" s="138"/>
      <c r="P103" s="522" t="b">
        <v>0</v>
      </c>
      <c r="Q103" s="522" t="b">
        <v>1</v>
      </c>
      <c r="R103" s="165" t="b">
        <f>S103</f>
        <v>1</v>
      </c>
      <c r="S103" s="165" t="b">
        <f>IF(AY19=INDEX(ddSingleOrMulti,2),TRUE,FALSE)</f>
        <v>1</v>
      </c>
      <c r="T103" s="96" t="b">
        <f>AND(NOT(S103),W103=TRUE)</f>
        <v>0</v>
      </c>
      <c r="W103" s="27" t="b">
        <v>1</v>
      </c>
      <c r="X103" s="1600"/>
      <c r="AC103" s="165" t="b">
        <f>OR(AD103:AE103)</f>
        <v>0</v>
      </c>
      <c r="AD103" s="165" t="b">
        <f>T103</f>
        <v>0</v>
      </c>
      <c r="AE103" s="677" t="b">
        <f>AND(R103,NOT(W103=TRUE))</f>
        <v>0</v>
      </c>
      <c r="AL103" s="1352" t="str">
        <f>SUBSTITUTE(SUBSTITUTE(SUBSTITUTE("dpa"&amp;$B103&amp;$C103&amp;$D103&amp;$E103,".","_"),"(","_"),")","")</f>
        <v>dpa1002_2_1</v>
      </c>
      <c r="AM103" s="1352" t="str">
        <f t="shared" ref="AM103" si="4">M103</f>
        <v>Mandatory</v>
      </c>
      <c r="AP103" s="1352" t="str">
        <f>SUBSTITUTE(SUBSTITUTE(SUBSTITUTE("dch"&amp;$B103&amp;$C103&amp;$D103&amp;$E103,".","_"),"(","_"),")","")</f>
        <v>dch1002_2_1</v>
      </c>
      <c r="AQ103" s="1352" t="b">
        <f>IF(LEN(W103)=0,"",W103)</f>
        <v>1</v>
      </c>
      <c r="AR103" s="1352" t="str">
        <f>SUBSTITUTE(SUBSTITUTE(SUBSTITUTE("dnt"&amp;$B103&amp;$C103&amp;$D103&amp;$E103,".","_"),"(","_"),")","")</f>
        <v>dnt1002_2_1</v>
      </c>
      <c r="AS103" s="1352" t="str">
        <f>IF(LEN(X103)=0,"",X103)</f>
        <v/>
      </c>
    </row>
    <row r="104" spans="2:45" x14ac:dyDescent="0.2">
      <c r="B104" s="600">
        <v>1002.2</v>
      </c>
      <c r="C104" s="23" t="s">
        <v>254</v>
      </c>
      <c r="D104" s="23"/>
      <c r="E104" s="23"/>
      <c r="F104" s="23"/>
      <c r="G104" s="23"/>
      <c r="H104" s="691"/>
      <c r="I104" s="588"/>
      <c r="J104" s="606"/>
      <c r="K104" s="208"/>
      <c r="L104" s="1612"/>
      <c r="M104" s="1698" t="str">
        <f>IF(R104,"Mandatory","N/A")</f>
        <v>N/A</v>
      </c>
      <c r="N104" s="4"/>
      <c r="O104" s="138"/>
      <c r="X104" s="1600"/>
    </row>
    <row r="105" spans="2:45" x14ac:dyDescent="0.2">
      <c r="B105" s="600">
        <v>1002.2</v>
      </c>
      <c r="C105" s="23" t="s">
        <v>255</v>
      </c>
      <c r="D105" s="23"/>
      <c r="E105" s="23"/>
      <c r="F105" s="23"/>
      <c r="G105" s="23"/>
      <c r="H105" s="691"/>
      <c r="I105" s="588"/>
      <c r="J105" s="608" t="s">
        <v>255</v>
      </c>
      <c r="K105" s="1404"/>
      <c r="L105" s="1613" t="s">
        <v>2820</v>
      </c>
      <c r="M105" s="1732" t="str">
        <f>IF(R105,"Mandatory","N/A")</f>
        <v>Mandatory</v>
      </c>
      <c r="N105" s="4"/>
      <c r="O105" s="138"/>
      <c r="P105" s="522" t="b">
        <v>0</v>
      </c>
      <c r="Q105" s="522" t="b">
        <v>1</v>
      </c>
      <c r="R105" s="165" t="b">
        <f>S105</f>
        <v>1</v>
      </c>
      <c r="S105" s="165" t="b">
        <f>IF(AY19=INDEX(ddSingleOrMulti,2),TRUE,FALSE)</f>
        <v>1</v>
      </c>
      <c r="T105" s="96" t="b">
        <f>AND(NOT(S105),W105=TRUE)</f>
        <v>0</v>
      </c>
      <c r="W105" s="27" t="b">
        <v>1</v>
      </c>
      <c r="X105" s="1600"/>
      <c r="AC105" s="165" t="b">
        <f>OR(AD105:AE105)</f>
        <v>0</v>
      </c>
      <c r="AD105" s="165" t="b">
        <f>T105</f>
        <v>0</v>
      </c>
      <c r="AE105" s="165" t="b">
        <f>AND(R105,NOT(W105=TRUE))</f>
        <v>0</v>
      </c>
      <c r="AL105" s="1352" t="str">
        <f>SUBSTITUTE(SUBSTITUTE(SUBSTITUTE("dpa"&amp;$B105&amp;$C105&amp;$D105&amp;$E105,".","_"),"(","_"),")","")</f>
        <v>dpa1002_2_2</v>
      </c>
      <c r="AM105" s="1352" t="str">
        <f t="shared" ref="AM105" si="5">M105</f>
        <v>Mandatory</v>
      </c>
      <c r="AP105" s="1352" t="str">
        <f>SUBSTITUTE(SUBSTITUTE(SUBSTITUTE("dch"&amp;$B105&amp;$C105&amp;$D105&amp;$E105,".","_"),"(","_"),")","")</f>
        <v>dch1002_2_2</v>
      </c>
      <c r="AQ105" s="1352" t="b">
        <f>IF(LEN(W105)=0,"",W105)</f>
        <v>1</v>
      </c>
      <c r="AR105" s="1352" t="str">
        <f>SUBSTITUTE(SUBSTITUTE(SUBSTITUTE("dnt"&amp;$B105&amp;$C105&amp;$D105&amp;$E105,".","_"),"(","_"),")","")</f>
        <v>dnt1002_2_2</v>
      </c>
      <c r="AS105" s="1352" t="str">
        <f>IF(LEN(X105)=0,"",X105)</f>
        <v/>
      </c>
    </row>
    <row r="106" spans="2:45" x14ac:dyDescent="0.2">
      <c r="B106" s="600">
        <v>1002.2</v>
      </c>
      <c r="C106" s="23" t="s">
        <v>255</v>
      </c>
      <c r="D106" s="23"/>
      <c r="E106" s="23"/>
      <c r="F106" s="23"/>
      <c r="G106" s="23"/>
      <c r="H106" s="691"/>
      <c r="I106" s="588"/>
      <c r="J106" s="590"/>
      <c r="K106" s="609"/>
      <c r="L106" s="1609"/>
      <c r="M106" s="1697" t="str">
        <f>IF(R106,"Mandatory","N/A")</f>
        <v>N/A</v>
      </c>
      <c r="N106" s="4"/>
      <c r="O106" s="138"/>
      <c r="X106" s="1600"/>
    </row>
    <row r="107" spans="2:45" x14ac:dyDescent="0.2">
      <c r="B107" s="600">
        <v>1002.2</v>
      </c>
      <c r="C107" s="23" t="s">
        <v>255</v>
      </c>
      <c r="D107" s="23"/>
      <c r="E107" s="23"/>
      <c r="F107" s="23"/>
      <c r="G107" s="23"/>
      <c r="H107" s="691"/>
      <c r="I107" s="588"/>
      <c r="J107" s="606"/>
      <c r="K107" s="208"/>
      <c r="L107" s="1612"/>
      <c r="M107" s="1698" t="str">
        <f>IF(R107,"Mandatory","N/A")</f>
        <v>N/A</v>
      </c>
      <c r="N107" s="4"/>
      <c r="O107" s="138"/>
      <c r="X107" s="1600"/>
    </row>
    <row r="108" spans="2:45" x14ac:dyDescent="0.2">
      <c r="B108" s="600">
        <v>1002.2</v>
      </c>
      <c r="C108" s="23" t="s">
        <v>256</v>
      </c>
      <c r="D108" s="23"/>
      <c r="E108" s="23"/>
      <c r="F108" s="23"/>
      <c r="G108" s="23"/>
      <c r="H108" s="691"/>
      <c r="I108" s="588"/>
      <c r="J108" s="608" t="s">
        <v>256</v>
      </c>
      <c r="K108" s="1404"/>
      <c r="L108" s="1613" t="s">
        <v>2792</v>
      </c>
      <c r="M108" s="138"/>
      <c r="N108" s="4"/>
      <c r="O108" s="138"/>
      <c r="P108" s="522" t="b">
        <v>0</v>
      </c>
      <c r="Q108" s="522" t="b">
        <v>1</v>
      </c>
      <c r="R108" s="165" t="b">
        <v>0</v>
      </c>
      <c r="S108" s="165" t="b">
        <f>IF(AY19=INDEX(ddSingleOrMulti,2),TRUE,FALSE)</f>
        <v>1</v>
      </c>
      <c r="T108" s="96" t="b">
        <f>AND(NOT(S108),W108=TRUE)</f>
        <v>0</v>
      </c>
      <c r="W108" s="27" t="b">
        <v>1</v>
      </c>
      <c r="X108" s="1600"/>
      <c r="AC108" s="165" t="b">
        <f>OR(AD108:AE108)</f>
        <v>0</v>
      </c>
      <c r="AD108" s="165" t="b">
        <f>T108</f>
        <v>0</v>
      </c>
      <c r="AP108" s="1352" t="str">
        <f>SUBSTITUTE(SUBSTITUTE(SUBSTITUTE("dch"&amp;$B108&amp;$C108&amp;$D108&amp;$E108,".","_"),"(","_"),")","")</f>
        <v>dch1002_2_3</v>
      </c>
      <c r="AQ108" s="1352" t="b">
        <f>IF(LEN(W108)=0,"",W108)</f>
        <v>1</v>
      </c>
      <c r="AR108" s="1352" t="str">
        <f>SUBSTITUTE(SUBSTITUTE(SUBSTITUTE("dnt"&amp;$B108&amp;$C108&amp;$D108&amp;$E108,".","_"),"(","_"),")","")</f>
        <v>dnt1002_2_3</v>
      </c>
      <c r="AS108" s="1352" t="str">
        <f>IF(LEN(X108)=0,"",X108)</f>
        <v/>
      </c>
    </row>
    <row r="109" spans="2:45" x14ac:dyDescent="0.2">
      <c r="B109" s="600">
        <v>1002.2</v>
      </c>
      <c r="C109" s="23" t="s">
        <v>256</v>
      </c>
      <c r="D109" s="23"/>
      <c r="E109" s="23"/>
      <c r="F109" s="23"/>
      <c r="G109" s="23"/>
      <c r="H109" s="691"/>
      <c r="I109" s="588"/>
      <c r="J109" s="208"/>
      <c r="K109" s="208"/>
      <c r="L109" s="1612"/>
      <c r="M109" s="138"/>
      <c r="N109" s="4"/>
      <c r="O109" s="138"/>
      <c r="X109" s="1600"/>
    </row>
    <row r="110" spans="2:45" x14ac:dyDescent="0.2">
      <c r="B110" s="600">
        <v>1002.2</v>
      </c>
      <c r="C110" s="23" t="s">
        <v>259</v>
      </c>
      <c r="D110" s="23"/>
      <c r="E110" s="23"/>
      <c r="F110" s="23"/>
      <c r="G110" s="23"/>
      <c r="H110" s="691"/>
      <c r="I110" s="588"/>
      <c r="J110" s="589" t="s">
        <v>259</v>
      </c>
      <c r="K110" s="588"/>
      <c r="L110" s="1611" t="s">
        <v>2821</v>
      </c>
      <c r="M110" s="138"/>
      <c r="N110" s="4"/>
      <c r="O110" s="138"/>
      <c r="P110" s="522" t="b">
        <v>0</v>
      </c>
      <c r="Q110" s="522" t="b">
        <v>1</v>
      </c>
      <c r="R110" s="165" t="b">
        <v>0</v>
      </c>
      <c r="S110" s="165" t="b">
        <f>IF(AY19=INDEX(ddSingleOrMulti,2),TRUE,FALSE)</f>
        <v>1</v>
      </c>
      <c r="T110" s="96" t="b">
        <f>AND(NOT(S110),W110=TRUE)</f>
        <v>0</v>
      </c>
      <c r="W110" s="27" t="b">
        <v>1</v>
      </c>
      <c r="X110" s="1600"/>
      <c r="AC110" s="165" t="b">
        <f>OR(AD110:AE110)</f>
        <v>0</v>
      </c>
      <c r="AD110" s="165" t="b">
        <f>T110</f>
        <v>0</v>
      </c>
      <c r="AP110" s="1352" t="str">
        <f>SUBSTITUTE(SUBSTITUTE(SUBSTITUTE("dch"&amp;$B110&amp;$C110&amp;$D110&amp;$E110,".","_"),"(","_"),")","")</f>
        <v>dch1002_2_4</v>
      </c>
      <c r="AQ110" s="1352" t="b">
        <f>IF(LEN(W110)=0,"",W110)</f>
        <v>1</v>
      </c>
      <c r="AR110" s="1352" t="str">
        <f>SUBSTITUTE(SUBSTITUTE(SUBSTITUTE("dnt"&amp;$B110&amp;$C110&amp;$D110&amp;$E110,".","_"),"(","_"),")","")</f>
        <v>dnt1002_2_4</v>
      </c>
      <c r="AS110" s="1352" t="str">
        <f>IF(LEN(X110)=0,"",X110)</f>
        <v/>
      </c>
    </row>
    <row r="111" spans="2:45" x14ac:dyDescent="0.2">
      <c r="B111" s="600">
        <v>1002.2</v>
      </c>
      <c r="C111" s="23" t="s">
        <v>259</v>
      </c>
      <c r="D111" s="23"/>
      <c r="E111" s="23"/>
      <c r="F111" s="23"/>
      <c r="G111" s="23"/>
      <c r="H111" s="691"/>
      <c r="I111" s="588"/>
      <c r="J111" s="588"/>
      <c r="K111" s="588"/>
      <c r="L111" s="1611"/>
      <c r="M111" s="138"/>
      <c r="N111" s="4"/>
      <c r="O111" s="138"/>
      <c r="X111" s="1600"/>
    </row>
    <row r="112" spans="2:45" x14ac:dyDescent="0.2">
      <c r="B112" s="600">
        <v>1002.2</v>
      </c>
      <c r="C112" s="23" t="s">
        <v>259</v>
      </c>
      <c r="D112" s="23"/>
      <c r="E112" s="23"/>
      <c r="F112" s="23"/>
      <c r="G112" s="23"/>
      <c r="H112" s="691"/>
      <c r="I112" s="588"/>
      <c r="J112" s="588"/>
      <c r="K112" s="588"/>
      <c r="L112" s="1611"/>
      <c r="M112" s="138"/>
      <c r="N112" s="4"/>
      <c r="O112" s="138"/>
      <c r="X112" s="1600"/>
    </row>
    <row r="113" spans="2:45" x14ac:dyDescent="0.2">
      <c r="B113" s="600">
        <v>1002.2</v>
      </c>
      <c r="C113" s="23" t="s">
        <v>263</v>
      </c>
      <c r="D113" s="23"/>
      <c r="E113" s="23"/>
      <c r="F113" s="23"/>
      <c r="G113" s="23"/>
      <c r="H113" s="691"/>
      <c r="I113" s="588"/>
      <c r="J113" s="608" t="s">
        <v>263</v>
      </c>
      <c r="K113" s="1404"/>
      <c r="L113" s="1613" t="s">
        <v>2822</v>
      </c>
      <c r="M113" s="138"/>
      <c r="N113" s="4"/>
      <c r="O113" s="138"/>
      <c r="P113" s="522" t="b">
        <v>0</v>
      </c>
      <c r="Q113" s="522" t="b">
        <v>1</v>
      </c>
      <c r="R113" s="165" t="b">
        <v>0</v>
      </c>
      <c r="S113" s="165" t="b">
        <f>IF(AY19=INDEX(ddSingleOrMulti,2),TRUE,FALSE)</f>
        <v>1</v>
      </c>
      <c r="T113" s="96" t="b">
        <f>AND(NOT(S113),W113=TRUE)</f>
        <v>0</v>
      </c>
      <c r="W113" s="27" t="b">
        <v>1</v>
      </c>
      <c r="X113" s="1600"/>
      <c r="AC113" s="165" t="b">
        <f>OR(AD113:AE113)</f>
        <v>0</v>
      </c>
      <c r="AD113" s="165" t="b">
        <f>T113</f>
        <v>0</v>
      </c>
      <c r="AP113" s="1352" t="str">
        <f>SUBSTITUTE(SUBSTITUTE(SUBSTITUTE("dch"&amp;$B113&amp;$C113&amp;$D113&amp;$E113,".","_"),"(","_"),")","")</f>
        <v>dch1002_2_5</v>
      </c>
      <c r="AQ113" s="1352" t="b">
        <f>IF(LEN(W113)=0,"",W113)</f>
        <v>1</v>
      </c>
      <c r="AR113" s="1352" t="str">
        <f>SUBSTITUTE(SUBSTITUTE(SUBSTITUTE("dnt"&amp;$B113&amp;$C113&amp;$D113&amp;$E113,".","_"),"(","_"),")","")</f>
        <v>dnt1002_2_5</v>
      </c>
      <c r="AS113" s="1352" t="str">
        <f>IF(LEN(X113)=0,"",X113)</f>
        <v/>
      </c>
    </row>
    <row r="114" spans="2:45" x14ac:dyDescent="0.2">
      <c r="B114" s="600">
        <v>1002.2</v>
      </c>
      <c r="C114" s="23" t="s">
        <v>263</v>
      </c>
      <c r="D114" s="23"/>
      <c r="E114" s="23"/>
      <c r="F114" s="23"/>
      <c r="G114" s="23"/>
      <c r="H114" s="691"/>
      <c r="I114" s="588"/>
      <c r="J114" s="606"/>
      <c r="K114" s="208"/>
      <c r="L114" s="1612"/>
      <c r="M114" s="138"/>
      <c r="N114" s="4"/>
      <c r="O114" s="138"/>
      <c r="X114" s="1600"/>
    </row>
    <row r="115" spans="2:45" x14ac:dyDescent="0.2">
      <c r="B115" s="600">
        <v>1002.2</v>
      </c>
      <c r="C115" s="23" t="s">
        <v>264</v>
      </c>
      <c r="D115" s="23"/>
      <c r="E115" s="23"/>
      <c r="F115" s="23"/>
      <c r="G115" s="23"/>
      <c r="H115" s="691"/>
      <c r="I115" s="588"/>
      <c r="J115" s="589" t="s">
        <v>264</v>
      </c>
      <c r="K115" s="588"/>
      <c r="L115" s="682" t="s">
        <v>2775</v>
      </c>
      <c r="M115" s="138"/>
      <c r="N115" s="4"/>
      <c r="O115" s="138"/>
      <c r="P115" s="522" t="b">
        <v>0</v>
      </c>
      <c r="Q115" s="522" t="b">
        <v>1</v>
      </c>
      <c r="R115" s="165" t="b">
        <v>0</v>
      </c>
      <c r="S115" s="165" t="b">
        <f>IF(AY19=INDEX(ddSingleOrMulti,2),TRUE,FALSE)</f>
        <v>1</v>
      </c>
      <c r="T115" s="96" t="b">
        <f>AND(NOT(S115),W115=TRUE)</f>
        <v>0</v>
      </c>
      <c r="W115" s="27" t="b">
        <v>1</v>
      </c>
      <c r="X115" s="166"/>
      <c r="AC115" s="165" t="b">
        <f>OR(AD115:AE115)</f>
        <v>0</v>
      </c>
      <c r="AD115" s="165" t="b">
        <f>T115</f>
        <v>0</v>
      </c>
      <c r="AP115" s="1352" t="str">
        <f>SUBSTITUTE(SUBSTITUTE(SUBSTITUTE("dch"&amp;$B115&amp;$C115&amp;$D115&amp;$E115,".","_"),"(","_"),")","")</f>
        <v>dch1002_2_6</v>
      </c>
      <c r="AQ115" s="1352" t="b">
        <f>IF(LEN(W115)=0,"",W115)</f>
        <v>1</v>
      </c>
      <c r="AR115" s="1352" t="str">
        <f>SUBSTITUTE(SUBSTITUTE(SUBSTITUTE("dnt"&amp;$B115&amp;$C115&amp;$D115&amp;$E115,".","_"),"(","_"),")","")</f>
        <v>dnt1002_2_6</v>
      </c>
      <c r="AS115" s="1352" t="str">
        <f>IF(LEN(X115)=0,"",X115)</f>
        <v/>
      </c>
    </row>
    <row r="116" spans="2:45" x14ac:dyDescent="0.2">
      <c r="B116" s="600">
        <v>1002.2</v>
      </c>
      <c r="C116" s="23" t="s">
        <v>356</v>
      </c>
      <c r="D116" s="23"/>
      <c r="E116" s="23"/>
      <c r="F116" s="23"/>
      <c r="G116" s="23"/>
      <c r="H116" s="691"/>
      <c r="I116" s="588"/>
      <c r="J116" s="608" t="s">
        <v>356</v>
      </c>
      <c r="K116" s="1404"/>
      <c r="L116" s="1613" t="s">
        <v>2823</v>
      </c>
      <c r="M116" s="138"/>
      <c r="N116" s="4"/>
      <c r="O116" s="138"/>
      <c r="P116" s="522" t="b">
        <v>0</v>
      </c>
      <c r="Q116" s="522" t="b">
        <v>1</v>
      </c>
      <c r="R116" s="165" t="b">
        <v>0</v>
      </c>
      <c r="S116" s="165" t="b">
        <f>IF(AY19=INDEX(ddSingleOrMulti,2),TRUE,FALSE)</f>
        <v>1</v>
      </c>
      <c r="T116" s="96" t="b">
        <f>AND(NOT(S116),W116=TRUE)</f>
        <v>0</v>
      </c>
      <c r="W116" s="27" t="b">
        <v>1</v>
      </c>
      <c r="X116" s="1600"/>
      <c r="AC116" s="165" t="b">
        <f>OR(AD116:AE116)</f>
        <v>0</v>
      </c>
      <c r="AD116" s="165" t="b">
        <f>T116</f>
        <v>0</v>
      </c>
      <c r="AP116" s="1352" t="str">
        <f>SUBSTITUTE(SUBSTITUTE(SUBSTITUTE("dch"&amp;$B116&amp;$C116&amp;$D116&amp;$E116,".","_"),"(","_"),")","")</f>
        <v>dch1002_2_7</v>
      </c>
      <c r="AQ116" s="1352" t="b">
        <f>IF(LEN(W116)=0,"",W116)</f>
        <v>1</v>
      </c>
      <c r="AR116" s="1352" t="str">
        <f>SUBSTITUTE(SUBSTITUTE(SUBSTITUTE("dnt"&amp;$B116&amp;$C116&amp;$D116&amp;$E116,".","_"),"(","_"),")","")</f>
        <v>dnt1002_2_7</v>
      </c>
      <c r="AS116" s="1352" t="str">
        <f>IF(LEN(X116)=0,"",X116)</f>
        <v/>
      </c>
    </row>
    <row r="117" spans="2:45" x14ac:dyDescent="0.2">
      <c r="B117" s="600">
        <v>1002.2</v>
      </c>
      <c r="C117" s="23" t="s">
        <v>356</v>
      </c>
      <c r="D117" s="23"/>
      <c r="E117" s="23"/>
      <c r="F117" s="23"/>
      <c r="G117" s="23"/>
      <c r="H117" s="691"/>
      <c r="I117" s="588"/>
      <c r="J117" s="208"/>
      <c r="K117" s="208"/>
      <c r="L117" s="1612"/>
      <c r="M117" s="138"/>
      <c r="N117" s="4"/>
      <c r="O117" s="138"/>
      <c r="X117" s="1600"/>
    </row>
    <row r="118" spans="2:45" x14ac:dyDescent="0.2">
      <c r="B118" s="600">
        <v>1002.2</v>
      </c>
      <c r="C118" s="23" t="s">
        <v>389</v>
      </c>
      <c r="D118" s="23"/>
      <c r="E118" s="23"/>
      <c r="F118" s="23"/>
      <c r="G118" s="23"/>
      <c r="H118" s="691"/>
      <c r="I118" s="588"/>
      <c r="J118" s="589" t="s">
        <v>389</v>
      </c>
      <c r="K118" s="588"/>
      <c r="L118" s="1717" t="s">
        <v>2790</v>
      </c>
      <c r="M118" s="138"/>
      <c r="N118" s="4"/>
      <c r="O118" s="138"/>
      <c r="P118" s="522" t="b">
        <v>0</v>
      </c>
      <c r="Q118" s="522" t="b">
        <v>1</v>
      </c>
      <c r="R118" s="165" t="b">
        <v>0</v>
      </c>
      <c r="S118" s="165" t="b">
        <f>IF(AY19=INDEX(ddSingleOrMulti,2),TRUE,FALSE)</f>
        <v>1</v>
      </c>
      <c r="T118" s="96" t="b">
        <f>AND(NOT(S118),W118=TRUE)</f>
        <v>0</v>
      </c>
      <c r="W118" s="27" t="b">
        <v>1</v>
      </c>
      <c r="X118" s="1600"/>
      <c r="AC118" s="165" t="b">
        <f>OR(AD118:AE118)</f>
        <v>0</v>
      </c>
      <c r="AD118" s="165" t="b">
        <f>T118</f>
        <v>0</v>
      </c>
      <c r="AP118" s="1352" t="str">
        <f>SUBSTITUTE(SUBSTITUTE(SUBSTITUTE("dch"&amp;$B118&amp;$C118&amp;$D118&amp;$E118,".","_"),"(","_"),")","")</f>
        <v>dch1002_2_8</v>
      </c>
      <c r="AQ118" s="1352" t="b">
        <f>IF(LEN(W118)=0,"",W118)</f>
        <v>1</v>
      </c>
      <c r="AR118" s="1352" t="str">
        <f>SUBSTITUTE(SUBSTITUTE(SUBSTITUTE("dnt"&amp;$B118&amp;$C118&amp;$D118&amp;$E118,".","_"),"(","_"),")","")</f>
        <v>dnt1002_2_8</v>
      </c>
      <c r="AS118" s="1352" t="str">
        <f>IF(LEN(X118)=0,"",X118)</f>
        <v/>
      </c>
    </row>
    <row r="119" spans="2:45" x14ac:dyDescent="0.2">
      <c r="B119" s="600">
        <v>1002.2</v>
      </c>
      <c r="C119" s="23" t="s">
        <v>389</v>
      </c>
      <c r="D119" s="23"/>
      <c r="E119" s="23"/>
      <c r="F119" s="23"/>
      <c r="G119" s="23"/>
      <c r="H119" s="691"/>
      <c r="I119" s="588"/>
      <c r="J119" s="589"/>
      <c r="K119" s="588"/>
      <c r="L119" s="1717"/>
      <c r="M119" s="138"/>
      <c r="N119" s="4"/>
      <c r="O119" s="138"/>
      <c r="X119" s="1600"/>
    </row>
    <row r="120" spans="2:45" x14ac:dyDescent="0.2">
      <c r="B120" s="600">
        <v>1002.2</v>
      </c>
      <c r="C120" s="23" t="s">
        <v>391</v>
      </c>
      <c r="D120" s="23"/>
      <c r="E120" s="23"/>
      <c r="F120" s="23"/>
      <c r="G120" s="23"/>
      <c r="H120" s="691"/>
      <c r="I120" s="588"/>
      <c r="J120" s="608" t="s">
        <v>391</v>
      </c>
      <c r="K120" s="1404"/>
      <c r="L120" s="681" t="s">
        <v>2824</v>
      </c>
      <c r="M120" s="138"/>
      <c r="N120" s="4"/>
      <c r="O120" s="138"/>
      <c r="P120" s="522" t="b">
        <v>0</v>
      </c>
      <c r="Q120" s="522" t="b">
        <v>1</v>
      </c>
      <c r="R120" s="165" t="b">
        <v>0</v>
      </c>
      <c r="S120" s="165" t="b">
        <f>IF(AY19=INDEX(ddSingleOrMulti,2),TRUE,FALSE)</f>
        <v>1</v>
      </c>
      <c r="T120" s="96" t="b">
        <f>AND(NOT(S120),W120=TRUE)</f>
        <v>0</v>
      </c>
      <c r="W120" s="27" t="b">
        <v>1</v>
      </c>
      <c r="X120" s="166"/>
      <c r="AC120" s="165" t="b">
        <f>OR(AD120:AE120)</f>
        <v>0</v>
      </c>
      <c r="AD120" s="165" t="b">
        <f>T120</f>
        <v>0</v>
      </c>
      <c r="AP120" s="1352" t="str">
        <f>SUBSTITUTE(SUBSTITUTE(SUBSTITUTE("dch"&amp;$B120&amp;$C120&amp;$D120&amp;$E120,".","_"),"(","_"),")","")</f>
        <v>dch1002_2_9</v>
      </c>
      <c r="AQ120" s="1352" t="b">
        <f>IF(LEN(W120)=0,"",W120)</f>
        <v>1</v>
      </c>
      <c r="AR120" s="1352" t="str">
        <f>SUBSTITUTE(SUBSTITUTE(SUBSTITUTE("dnt"&amp;$B120&amp;$C120&amp;$D120&amp;$E120,".","_"),"(","_"),")","")</f>
        <v>dnt1002_2_9</v>
      </c>
      <c r="AS120" s="1352" t="str">
        <f>IF(LEN(X120)=0,"",X120)</f>
        <v/>
      </c>
    </row>
    <row r="121" spans="2:45" x14ac:dyDescent="0.2">
      <c r="B121" s="600">
        <v>1002.2</v>
      </c>
      <c r="C121" s="23" t="s">
        <v>392</v>
      </c>
      <c r="D121" s="23"/>
      <c r="E121" s="23"/>
      <c r="F121" s="23"/>
      <c r="G121" s="23"/>
      <c r="H121" s="691"/>
      <c r="I121" s="588"/>
      <c r="J121" s="608" t="s">
        <v>392</v>
      </c>
      <c r="K121" s="1404"/>
      <c r="L121" s="1613" t="s">
        <v>2825</v>
      </c>
      <c r="M121" s="138"/>
      <c r="N121" s="4"/>
      <c r="O121" s="138"/>
      <c r="P121" s="522" t="b">
        <v>0</v>
      </c>
      <c r="Q121" s="522" t="b">
        <v>1</v>
      </c>
      <c r="R121" s="165" t="b">
        <v>0</v>
      </c>
      <c r="S121" s="165" t="b">
        <f>IF(AY19=INDEX(ddSingleOrMulti,2),TRUE,FALSE)</f>
        <v>1</v>
      </c>
      <c r="T121" s="96" t="b">
        <f>AND(NOT(S121),W121=TRUE)</f>
        <v>0</v>
      </c>
      <c r="W121" s="27" t="b">
        <v>1</v>
      </c>
      <c r="X121" s="1600"/>
      <c r="AC121" s="165" t="b">
        <f>OR(AD121:AE121)</f>
        <v>0</v>
      </c>
      <c r="AD121" s="165" t="b">
        <f>T121</f>
        <v>0</v>
      </c>
      <c r="AP121" s="1352" t="str">
        <f>SUBSTITUTE(SUBSTITUTE(SUBSTITUTE("dch"&amp;$B121&amp;$C121&amp;$D121&amp;$E121,".","_"),"(","_"),")","")</f>
        <v>dch1002_2_10</v>
      </c>
      <c r="AQ121" s="1352" t="b">
        <f>IF(LEN(W121)=0,"",W121)</f>
        <v>1</v>
      </c>
      <c r="AR121" s="1352" t="str">
        <f>SUBSTITUTE(SUBSTITUTE(SUBSTITUTE("dnt"&amp;$B121&amp;$C121&amp;$D121&amp;$E121,".","_"),"(","_"),")","")</f>
        <v>dnt1002_2_10</v>
      </c>
      <c r="AS121" s="1352" t="str">
        <f>IF(LEN(X121)=0,"",X121)</f>
        <v/>
      </c>
    </row>
    <row r="122" spans="2:45" x14ac:dyDescent="0.2">
      <c r="B122" s="600">
        <v>1002.2</v>
      </c>
      <c r="C122" s="23" t="s">
        <v>392</v>
      </c>
      <c r="D122" s="23"/>
      <c r="E122" s="23"/>
      <c r="F122" s="23"/>
      <c r="G122" s="23"/>
      <c r="H122" s="691"/>
      <c r="I122" s="588"/>
      <c r="J122" s="590"/>
      <c r="K122" s="609"/>
      <c r="L122" s="1609"/>
      <c r="M122" s="138"/>
      <c r="N122" s="4"/>
      <c r="O122" s="138"/>
      <c r="X122" s="1600"/>
    </row>
    <row r="123" spans="2:45" x14ac:dyDescent="0.2">
      <c r="B123" s="600">
        <v>1002.2</v>
      </c>
      <c r="C123" s="23" t="s">
        <v>392</v>
      </c>
      <c r="D123" s="23"/>
      <c r="E123" s="23"/>
      <c r="F123" s="23"/>
      <c r="G123" s="23"/>
      <c r="H123" s="691"/>
      <c r="I123" s="588"/>
      <c r="J123" s="606"/>
      <c r="K123" s="208"/>
      <c r="L123" s="1612"/>
      <c r="M123" s="909"/>
      <c r="N123" s="4"/>
      <c r="O123" s="138"/>
      <c r="X123" s="1600"/>
    </row>
    <row r="124" spans="2:45" x14ac:dyDescent="0.2">
      <c r="B124" s="600">
        <v>1002.2</v>
      </c>
      <c r="C124" s="23" t="s">
        <v>394</v>
      </c>
      <c r="D124" s="23"/>
      <c r="E124" s="23"/>
      <c r="F124" s="23"/>
      <c r="G124" s="23"/>
      <c r="H124" s="691"/>
      <c r="I124" s="609"/>
      <c r="J124" s="590" t="s">
        <v>394</v>
      </c>
      <c r="K124" s="609"/>
      <c r="L124" s="1657" t="s">
        <v>2826</v>
      </c>
      <c r="M124" s="1708" t="str">
        <f ca="1">IF(R124,"Mandatory per 902.2.1","N/A")</f>
        <v>N/A</v>
      </c>
      <c r="N124" s="129"/>
      <c r="O124" s="238"/>
      <c r="P124" s="522" t="b">
        <v>0</v>
      </c>
      <c r="Q124" s="522" t="b">
        <v>1</v>
      </c>
      <c r="R124" s="198" t="b">
        <f ca="1">AND(S124,OR('11.900'!O230&gt;0,'11.900'!R230))</f>
        <v>0</v>
      </c>
      <c r="S124" s="96" t="b">
        <f>IF(AY19=INDEX(ddSingleOrMulti,2),TRUE,FALSE)</f>
        <v>1</v>
      </c>
      <c r="T124" s="96" t="b">
        <f>AND(NOT(S124),W124=TRUE)</f>
        <v>0</v>
      </c>
      <c r="U124" s="96"/>
      <c r="V124" s="96"/>
      <c r="W124" s="27"/>
      <c r="X124" s="1601"/>
      <c r="AC124" s="165" t="b">
        <f ca="1">OR(AD124:AE124)</f>
        <v>0</v>
      </c>
      <c r="AD124" s="165" t="b">
        <f>T124</f>
        <v>0</v>
      </c>
      <c r="AE124" s="677" t="b">
        <f ca="1">AND(R124,NOT(W124=TRUE))</f>
        <v>0</v>
      </c>
      <c r="AL124" s="1352" t="str">
        <f>SUBSTITUTE(SUBSTITUTE(SUBSTITUTE("dpa"&amp;$B124&amp;$C124&amp;$D124&amp;$E124,".","_"),"(","_"),")","")</f>
        <v>dpa1002_2_11</v>
      </c>
      <c r="AM124" s="1352" t="str">
        <f t="shared" ref="AM124" ca="1" si="6">M124</f>
        <v>N/A</v>
      </c>
      <c r="AP124" s="1352" t="str">
        <f>SUBSTITUTE(SUBSTITUTE(SUBSTITUTE("dch"&amp;$B124&amp;$C124&amp;$D124&amp;$E124,".","_"),"(","_"),")","")</f>
        <v>dch1002_2_11</v>
      </c>
      <c r="AQ124" s="1352" t="str">
        <f>IF(LEN(W124)=0,"",W124)</f>
        <v/>
      </c>
      <c r="AR124" s="1352" t="str">
        <f>SUBSTITUTE(SUBSTITUTE(SUBSTITUTE("dnt"&amp;$B124&amp;$C124&amp;$D124&amp;$E124,".","_"),"(","_"),")","")</f>
        <v>dnt1002_2_11</v>
      </c>
      <c r="AS124" s="1352" t="str">
        <f>IF(LEN(X124)=0,"",X124)</f>
        <v/>
      </c>
    </row>
    <row r="125" spans="2:45" ht="16" thickBot="1" x14ac:dyDescent="0.25">
      <c r="B125" s="600">
        <v>1002.2</v>
      </c>
      <c r="C125" s="23" t="s">
        <v>394</v>
      </c>
      <c r="D125" s="23"/>
      <c r="E125" s="23"/>
      <c r="F125" s="23"/>
      <c r="G125" s="23"/>
      <c r="H125" s="691"/>
      <c r="I125" s="596"/>
      <c r="J125" s="594"/>
      <c r="K125" s="596"/>
      <c r="L125" s="1713"/>
      <c r="M125" s="1742"/>
      <c r="N125" s="239"/>
      <c r="O125" s="240"/>
      <c r="P125" s="100"/>
      <c r="Q125" s="100"/>
      <c r="R125" s="100"/>
      <c r="S125" s="100"/>
      <c r="T125" s="100"/>
      <c r="U125" s="100"/>
      <c r="V125" s="100"/>
      <c r="W125" s="100"/>
      <c r="X125" s="1602"/>
    </row>
    <row r="126" spans="2:45" ht="16" thickTop="1" x14ac:dyDescent="0.2">
      <c r="B126" s="600">
        <v>1002.3</v>
      </c>
      <c r="C126" s="23"/>
      <c r="D126" s="23"/>
      <c r="E126" s="23"/>
      <c r="F126" s="23"/>
      <c r="G126" s="23"/>
      <c r="H126" s="691"/>
      <c r="I126" s="136" t="s">
        <v>3757</v>
      </c>
      <c r="J126" s="588"/>
      <c r="K126" s="588"/>
      <c r="L126" s="1631" t="s">
        <v>3868</v>
      </c>
      <c r="M126" s="1628">
        <v>1</v>
      </c>
      <c r="N126" s="4"/>
      <c r="O126" s="1778">
        <f>IF(AND(W130=TRUE,COUNTIF(W132:W151,TRUE)&gt;3,S130),ROUNDDOWN(COUNTIF(W132:W151,TRUE)/2,0),0)</f>
        <v>4</v>
      </c>
      <c r="AL126" s="1352" t="str">
        <f>SUBSTITUTE(SUBSTITUTE(SUBSTITUTE("dpa"&amp;$B126&amp;$C126&amp;$D126&amp;$E126,".","_"),"(","_"),")","")</f>
        <v>dpa1002_3</v>
      </c>
      <c r="AM126" s="1352">
        <f t="shared" ref="AM126" si="7">M126</f>
        <v>1</v>
      </c>
      <c r="AN126" s="1352" t="str">
        <f>SUBSTITUTE(SUBSTITUTE(SUBSTITUTE("dpc"&amp;$B126&amp;$C126&amp;$D126&amp;$E126,".","_"),"(","_"),")","")</f>
        <v>dpc1002_3</v>
      </c>
      <c r="AO126" s="1352">
        <f>O126</f>
        <v>4</v>
      </c>
    </row>
    <row r="127" spans="2:45" x14ac:dyDescent="0.2">
      <c r="B127" s="600">
        <v>1002.3</v>
      </c>
      <c r="C127" s="23"/>
      <c r="D127" s="23"/>
      <c r="E127" s="23"/>
      <c r="F127" s="23"/>
      <c r="G127" s="23"/>
      <c r="H127" s="691"/>
      <c r="I127" s="588"/>
      <c r="J127" s="588"/>
      <c r="K127" s="588"/>
      <c r="L127" s="1631"/>
      <c r="M127" s="1628"/>
      <c r="N127" s="4"/>
      <c r="O127" s="1778"/>
    </row>
    <row r="128" spans="2:45" x14ac:dyDescent="0.2">
      <c r="B128" s="600">
        <v>1002.3</v>
      </c>
      <c r="C128" s="23"/>
      <c r="D128" s="23"/>
      <c r="E128" s="23"/>
      <c r="F128" s="23"/>
      <c r="G128" s="23"/>
      <c r="H128" s="691"/>
      <c r="I128" s="588"/>
      <c r="J128" s="588"/>
      <c r="K128" s="588"/>
      <c r="L128" s="1631"/>
      <c r="M128" s="1628"/>
      <c r="N128" s="4"/>
      <c r="O128" s="1778"/>
    </row>
    <row r="129" spans="2:45" x14ac:dyDescent="0.2">
      <c r="B129" s="600">
        <v>1002.3</v>
      </c>
      <c r="C129" s="23"/>
      <c r="D129" s="23"/>
      <c r="E129" s="23"/>
      <c r="F129" s="23"/>
      <c r="G129" s="23"/>
      <c r="H129" s="691"/>
      <c r="I129" s="588"/>
      <c r="J129" s="588"/>
      <c r="K129" s="588"/>
      <c r="L129" s="230" t="s">
        <v>2847</v>
      </c>
      <c r="M129" s="1628"/>
      <c r="N129" s="4"/>
      <c r="O129" s="1778"/>
    </row>
    <row r="130" spans="2:45" x14ac:dyDescent="0.2">
      <c r="B130" s="600">
        <v>1002.3</v>
      </c>
      <c r="C130" s="23" t="s">
        <v>254</v>
      </c>
      <c r="D130" s="23"/>
      <c r="E130" s="23"/>
      <c r="F130" s="23"/>
      <c r="G130" s="23"/>
      <c r="H130" s="691"/>
      <c r="I130" s="588"/>
      <c r="J130" s="590" t="s">
        <v>254</v>
      </c>
      <c r="K130" s="609"/>
      <c r="L130" s="1609" t="s">
        <v>2827</v>
      </c>
      <c r="M130" s="1697" t="str">
        <f>IF(R130,"Mandatory","N/A")</f>
        <v>Mandatory</v>
      </c>
      <c r="N130" s="4"/>
      <c r="O130" s="138"/>
      <c r="P130" s="522" t="b">
        <v>0</v>
      </c>
      <c r="Q130" s="522" t="b">
        <v>1</v>
      </c>
      <c r="R130" s="165" t="b">
        <f>S130</f>
        <v>1</v>
      </c>
      <c r="S130" s="165" t="b">
        <f>IF(AY19=INDEX(ddSingleOrMulti,2),TRUE,FALSE)</f>
        <v>1</v>
      </c>
      <c r="T130" s="96" t="b">
        <f>AND(NOT(S130),W130=TRUE)</f>
        <v>0</v>
      </c>
      <c r="W130" s="27" t="b">
        <v>1</v>
      </c>
      <c r="X130" s="1600"/>
      <c r="AC130" s="165" t="b">
        <f>OR(AD130:AE130)</f>
        <v>0</v>
      </c>
      <c r="AD130" s="165" t="b">
        <f>T130</f>
        <v>0</v>
      </c>
      <c r="AE130" s="165" t="b">
        <f>AND(R130,O126&lt;1)</f>
        <v>0</v>
      </c>
      <c r="AL130" s="1352" t="str">
        <f>SUBSTITUTE(SUBSTITUTE(SUBSTITUTE("dpa"&amp;$B130&amp;$C130&amp;$D130&amp;$E130,".","_"),"(","_"),")","")</f>
        <v>dpa1002_3_1</v>
      </c>
      <c r="AM130" s="1352" t="str">
        <f t="shared" ref="AM130" si="8">M130</f>
        <v>Mandatory</v>
      </c>
      <c r="AP130" s="1352" t="str">
        <f>SUBSTITUTE(SUBSTITUTE(SUBSTITUTE("dch"&amp;$B130&amp;$C130&amp;$D130&amp;$E130,".","_"),"(","_"),")","")</f>
        <v>dch1002_3_1</v>
      </c>
      <c r="AQ130" s="1352" t="b">
        <f>IF(LEN(W130)=0,"",W130)</f>
        <v>1</v>
      </c>
      <c r="AR130" s="1352" t="str">
        <f>SUBSTITUTE(SUBSTITUTE(SUBSTITUTE("dnt"&amp;$B130&amp;$C130&amp;$D130&amp;$E130,".","_"),"(","_"),")","")</f>
        <v>dnt1002_3_1</v>
      </c>
      <c r="AS130" s="1352" t="str">
        <f>IF(LEN(X130)=0,"",X130)</f>
        <v/>
      </c>
    </row>
    <row r="131" spans="2:45" x14ac:dyDescent="0.2">
      <c r="B131" s="600">
        <v>1002.3</v>
      </c>
      <c r="C131" s="23" t="s">
        <v>254</v>
      </c>
      <c r="D131" s="23"/>
      <c r="E131" s="23"/>
      <c r="F131" s="23"/>
      <c r="G131" s="23"/>
      <c r="H131" s="691"/>
      <c r="I131" s="588"/>
      <c r="J131" s="606"/>
      <c r="K131" s="208"/>
      <c r="L131" s="1612"/>
      <c r="M131" s="1698" t="str">
        <f>IF(R131,"Mandatory","N/A")</f>
        <v>N/A</v>
      </c>
      <c r="N131" s="4"/>
      <c r="O131" s="138"/>
      <c r="X131" s="1600"/>
    </row>
    <row r="132" spans="2:45" x14ac:dyDescent="0.2">
      <c r="B132" s="600">
        <v>1002.3</v>
      </c>
      <c r="C132" s="23" t="s">
        <v>255</v>
      </c>
      <c r="D132" s="23"/>
      <c r="E132" s="23"/>
      <c r="F132" s="23"/>
      <c r="G132" s="23"/>
      <c r="H132" s="691"/>
      <c r="I132" s="588"/>
      <c r="J132" s="608" t="s">
        <v>255</v>
      </c>
      <c r="K132" s="1404"/>
      <c r="L132" s="1613" t="s">
        <v>2782</v>
      </c>
      <c r="M132" s="138"/>
      <c r="N132" s="4"/>
      <c r="O132" s="138"/>
      <c r="P132" s="522" t="b">
        <v>0</v>
      </c>
      <c r="Q132" s="522" t="b">
        <v>1</v>
      </c>
      <c r="R132" s="165" t="b">
        <v>0</v>
      </c>
      <c r="S132" s="165" t="b">
        <f>IF(AY19=INDEX(ddSingleOrMulti,2),TRUE,FALSE)</f>
        <v>1</v>
      </c>
      <c r="T132" s="96" t="b">
        <f>AND(NOT(S132),W132=TRUE)</f>
        <v>0</v>
      </c>
      <c r="W132" s="27" t="b">
        <v>1</v>
      </c>
      <c r="X132" s="1600"/>
      <c r="AC132" s="165" t="b">
        <f>OR(AD132:AE132)</f>
        <v>0</v>
      </c>
      <c r="AD132" s="165" t="b">
        <f>T132</f>
        <v>0</v>
      </c>
      <c r="AP132" s="1352" t="str">
        <f>SUBSTITUTE(SUBSTITUTE(SUBSTITUTE("dch"&amp;$B132&amp;$C132&amp;$D132&amp;$E132,".","_"),"(","_"),")","")</f>
        <v>dch1002_3_2</v>
      </c>
      <c r="AQ132" s="1352" t="b">
        <f>IF(LEN(W132)=0,"",W132)</f>
        <v>1</v>
      </c>
      <c r="AR132" s="1352" t="str">
        <f>SUBSTITUTE(SUBSTITUTE(SUBSTITUTE("dnt"&amp;$B132&amp;$C132&amp;$D132&amp;$E132,".","_"),"(","_"),")","")</f>
        <v>dnt1002_3_2</v>
      </c>
      <c r="AS132" s="1352" t="str">
        <f>IF(LEN(X132)=0,"",X132)</f>
        <v/>
      </c>
    </row>
    <row r="133" spans="2:45" x14ac:dyDescent="0.2">
      <c r="B133" s="600">
        <v>1002.3</v>
      </c>
      <c r="C133" s="23" t="s">
        <v>255</v>
      </c>
      <c r="D133" s="23"/>
      <c r="E133" s="23"/>
      <c r="F133" s="23"/>
      <c r="G133" s="23"/>
      <c r="H133" s="691"/>
      <c r="I133" s="588"/>
      <c r="J133" s="609"/>
      <c r="K133" s="609"/>
      <c r="L133" s="1609"/>
      <c r="M133" s="138"/>
      <c r="N133" s="4"/>
      <c r="O133" s="138"/>
      <c r="X133" s="1600"/>
    </row>
    <row r="134" spans="2:45" x14ac:dyDescent="0.2">
      <c r="B134" s="600">
        <v>1002.3</v>
      </c>
      <c r="C134" s="23" t="s">
        <v>255</v>
      </c>
      <c r="D134" s="23"/>
      <c r="E134" s="23"/>
      <c r="F134" s="23"/>
      <c r="G134" s="23"/>
      <c r="H134" s="691"/>
      <c r="I134" s="588"/>
      <c r="J134" s="609"/>
      <c r="K134" s="609"/>
      <c r="L134" s="1609"/>
      <c r="M134" s="138"/>
      <c r="N134" s="4"/>
      <c r="O134" s="138"/>
      <c r="X134" s="1600"/>
    </row>
    <row r="135" spans="2:45" x14ac:dyDescent="0.2">
      <c r="B135" s="600">
        <v>1002.3</v>
      </c>
      <c r="C135" s="23" t="s">
        <v>255</v>
      </c>
      <c r="D135" s="23"/>
      <c r="E135" s="23"/>
      <c r="F135" s="23"/>
      <c r="G135" s="23"/>
      <c r="H135" s="691"/>
      <c r="I135" s="588"/>
      <c r="J135" s="208"/>
      <c r="K135" s="208"/>
      <c r="L135" s="1612"/>
      <c r="M135" s="138"/>
      <c r="N135" s="4"/>
      <c r="O135" s="138"/>
      <c r="X135" s="1600"/>
    </row>
    <row r="136" spans="2:45" x14ac:dyDescent="0.2">
      <c r="B136" s="600">
        <v>1002.3</v>
      </c>
      <c r="C136" s="23" t="s">
        <v>256</v>
      </c>
      <c r="D136" s="23"/>
      <c r="E136" s="23"/>
      <c r="F136" s="23"/>
      <c r="G136" s="23"/>
      <c r="H136" s="691"/>
      <c r="I136" s="588"/>
      <c r="J136" s="608" t="s">
        <v>256</v>
      </c>
      <c r="K136" s="1404"/>
      <c r="L136" s="246" t="s">
        <v>2828</v>
      </c>
      <c r="M136" s="138"/>
      <c r="N136" s="4"/>
      <c r="O136" s="138"/>
      <c r="P136" s="522" t="b">
        <v>0</v>
      </c>
      <c r="Q136" s="522" t="b">
        <v>1</v>
      </c>
      <c r="R136" s="165" t="b">
        <v>0</v>
      </c>
      <c r="S136" s="165" t="b">
        <f>IF(AY19=INDEX(ddSingleOrMulti,2),TRUE,FALSE)</f>
        <v>1</v>
      </c>
      <c r="T136" s="96" t="b">
        <f>AND(NOT(S136),W136=TRUE)</f>
        <v>0</v>
      </c>
      <c r="W136" s="27" t="b">
        <v>1</v>
      </c>
      <c r="X136" s="1600"/>
      <c r="AC136" s="165" t="b">
        <f>OR(AD136:AE136)</f>
        <v>0</v>
      </c>
      <c r="AD136" s="165" t="b">
        <f>T136</f>
        <v>0</v>
      </c>
      <c r="AP136" s="1352" t="str">
        <f>SUBSTITUTE(SUBSTITUTE(SUBSTITUTE("dch"&amp;$B136&amp;$C136&amp;$D136&amp;$E136,".","_"),"(","_"),")","")</f>
        <v>dch1002_3_3</v>
      </c>
      <c r="AQ136" s="1352" t="b">
        <f>IF(LEN(W136)=0,"",W136)</f>
        <v>1</v>
      </c>
      <c r="AR136" s="1352" t="str">
        <f>SUBSTITUTE(SUBSTITUTE(SUBSTITUTE("dnt"&amp;$B136&amp;$C136&amp;$D136&amp;$E136,".","_"),"(","_"),")","")</f>
        <v>dnt1002_3_3</v>
      </c>
      <c r="AS136" s="1352" t="str">
        <f>IF(LEN(X136)=0,"",X136)</f>
        <v/>
      </c>
    </row>
    <row r="137" spans="2:45" x14ac:dyDescent="0.2">
      <c r="B137" s="600">
        <v>1002.3</v>
      </c>
      <c r="C137" s="23" t="s">
        <v>256</v>
      </c>
      <c r="D137" s="23" t="s">
        <v>121</v>
      </c>
      <c r="E137" s="23"/>
      <c r="F137" s="23"/>
      <c r="G137" s="23"/>
      <c r="H137" s="691"/>
      <c r="I137" s="588"/>
      <c r="J137" s="609"/>
      <c r="K137" s="590" t="s">
        <v>121</v>
      </c>
      <c r="L137" s="244" t="s">
        <v>2829</v>
      </c>
      <c r="M137" s="138"/>
      <c r="N137" s="4"/>
      <c r="O137" s="138"/>
      <c r="X137" s="1600"/>
    </row>
    <row r="138" spans="2:45" x14ac:dyDescent="0.2">
      <c r="B138" s="600">
        <v>1002.3</v>
      </c>
      <c r="C138" s="23" t="s">
        <v>256</v>
      </c>
      <c r="D138" s="23" t="s">
        <v>122</v>
      </c>
      <c r="E138" s="23"/>
      <c r="F138" s="23"/>
      <c r="G138" s="23"/>
      <c r="H138" s="691"/>
      <c r="I138" s="588"/>
      <c r="J138" s="609"/>
      <c r="K138" s="590" t="s">
        <v>122</v>
      </c>
      <c r="L138" s="244" t="s">
        <v>2830</v>
      </c>
      <c r="M138" s="138"/>
      <c r="N138" s="4"/>
      <c r="O138" s="138"/>
      <c r="X138" s="1600"/>
    </row>
    <row r="139" spans="2:45" x14ac:dyDescent="0.2">
      <c r="B139" s="600">
        <v>1002.3</v>
      </c>
      <c r="C139" s="23" t="s">
        <v>256</v>
      </c>
      <c r="D139" s="23" t="s">
        <v>123</v>
      </c>
      <c r="E139" s="23"/>
      <c r="F139" s="23"/>
      <c r="G139" s="23"/>
      <c r="H139" s="691"/>
      <c r="I139" s="588"/>
      <c r="J139" s="609"/>
      <c r="K139" s="590" t="s">
        <v>123</v>
      </c>
      <c r="L139" s="244" t="s">
        <v>2831</v>
      </c>
      <c r="M139" s="138"/>
      <c r="N139" s="4"/>
      <c r="O139" s="138"/>
      <c r="X139" s="1600"/>
    </row>
    <row r="140" spans="2:45" x14ac:dyDescent="0.2">
      <c r="B140" s="600">
        <v>1002.3</v>
      </c>
      <c r="C140" s="23" t="s">
        <v>256</v>
      </c>
      <c r="D140" s="23" t="s">
        <v>366</v>
      </c>
      <c r="E140" s="23"/>
      <c r="F140" s="23"/>
      <c r="G140" s="23"/>
      <c r="H140" s="691"/>
      <c r="I140" s="588"/>
      <c r="J140" s="609"/>
      <c r="K140" s="590" t="s">
        <v>366</v>
      </c>
      <c r="L140" s="244" t="s">
        <v>2832</v>
      </c>
      <c r="M140" s="138"/>
      <c r="N140" s="4"/>
      <c r="O140" s="138"/>
      <c r="X140" s="1600"/>
    </row>
    <row r="141" spans="2:45" x14ac:dyDescent="0.2">
      <c r="B141" s="600">
        <v>1002.3</v>
      </c>
      <c r="C141" s="23" t="s">
        <v>256</v>
      </c>
      <c r="D141" s="23" t="s">
        <v>472</v>
      </c>
      <c r="E141" s="23"/>
      <c r="F141" s="23"/>
      <c r="G141" s="23"/>
      <c r="H141" s="691"/>
      <c r="I141" s="588"/>
      <c r="J141" s="609"/>
      <c r="K141" s="590" t="s">
        <v>472</v>
      </c>
      <c r="L141" s="244" t="s">
        <v>2833</v>
      </c>
      <c r="M141" s="138"/>
      <c r="N141" s="4"/>
      <c r="O141" s="138"/>
      <c r="X141" s="1600"/>
    </row>
    <row r="142" spans="2:45" x14ac:dyDescent="0.2">
      <c r="B142" s="600">
        <v>1002.3</v>
      </c>
      <c r="C142" s="23" t="s">
        <v>256</v>
      </c>
      <c r="D142" s="23" t="s">
        <v>510</v>
      </c>
      <c r="E142" s="23"/>
      <c r="F142" s="23"/>
      <c r="G142" s="23"/>
      <c r="H142" s="691"/>
      <c r="I142" s="588"/>
      <c r="J142" s="208"/>
      <c r="K142" s="606" t="s">
        <v>510</v>
      </c>
      <c r="L142" s="241" t="s">
        <v>2834</v>
      </c>
      <c r="M142" s="138"/>
      <c r="N142" s="4"/>
      <c r="O142" s="138"/>
      <c r="X142" s="1600"/>
    </row>
    <row r="143" spans="2:45" x14ac:dyDescent="0.2">
      <c r="B143" s="600">
        <v>1002.3</v>
      </c>
      <c r="C143" s="23" t="s">
        <v>259</v>
      </c>
      <c r="D143" s="23"/>
      <c r="E143" s="23"/>
      <c r="F143" s="23"/>
      <c r="G143" s="23"/>
      <c r="H143" s="691"/>
      <c r="I143" s="588"/>
      <c r="J143" s="589" t="s">
        <v>259</v>
      </c>
      <c r="K143" s="588"/>
      <c r="L143" s="1611" t="s">
        <v>2786</v>
      </c>
      <c r="M143" s="138"/>
      <c r="N143" s="4"/>
      <c r="O143" s="138"/>
      <c r="P143" s="522" t="b">
        <v>0</v>
      </c>
      <c r="Q143" s="522" t="b">
        <v>1</v>
      </c>
      <c r="R143" s="165" t="b">
        <v>0</v>
      </c>
      <c r="S143" s="165" t="b">
        <f>IF(AY19=INDEX(ddSingleOrMulti,2),TRUE,FALSE)</f>
        <v>1</v>
      </c>
      <c r="T143" s="96" t="b">
        <f>AND(NOT(S143),W143=TRUE)</f>
        <v>0</v>
      </c>
      <c r="W143" s="27" t="b">
        <v>1</v>
      </c>
      <c r="X143" s="1600"/>
      <c r="AC143" s="165" t="b">
        <f>OR(AD143:AE143)</f>
        <v>0</v>
      </c>
      <c r="AD143" s="165" t="b">
        <f>T143</f>
        <v>0</v>
      </c>
      <c r="AP143" s="1352" t="str">
        <f>SUBSTITUTE(SUBSTITUTE(SUBSTITUTE("dch"&amp;$B143&amp;$C143&amp;$D143&amp;$E143,".","_"),"(","_"),")","")</f>
        <v>dch1002_3_4</v>
      </c>
      <c r="AQ143" s="1352" t="b">
        <f>IF(LEN(W143)=0,"",W143)</f>
        <v>1</v>
      </c>
      <c r="AR143" s="1352" t="str">
        <f>SUBSTITUTE(SUBSTITUTE(SUBSTITUTE("dnt"&amp;$B143&amp;$C143&amp;$D143&amp;$E143,".","_"),"(","_"),")","")</f>
        <v>dnt1002_3_4</v>
      </c>
      <c r="AS143" s="1352" t="str">
        <f>IF(LEN(X143)=0,"",X143)</f>
        <v/>
      </c>
    </row>
    <row r="144" spans="2:45" x14ac:dyDescent="0.2">
      <c r="B144" s="600">
        <v>1002.3</v>
      </c>
      <c r="C144" s="23" t="s">
        <v>259</v>
      </c>
      <c r="D144" s="23"/>
      <c r="E144" s="23"/>
      <c r="F144" s="23"/>
      <c r="G144" s="23"/>
      <c r="H144" s="691"/>
      <c r="I144" s="588"/>
      <c r="J144" s="588"/>
      <c r="K144" s="588"/>
      <c r="L144" s="1611"/>
      <c r="M144" s="138"/>
      <c r="N144" s="4"/>
      <c r="O144" s="138"/>
      <c r="X144" s="1600"/>
    </row>
    <row r="145" spans="2:51" x14ac:dyDescent="0.2">
      <c r="B145" s="600">
        <v>1002.3</v>
      </c>
      <c r="C145" s="23" t="s">
        <v>263</v>
      </c>
      <c r="D145" s="23"/>
      <c r="E145" s="23"/>
      <c r="F145" s="23"/>
      <c r="G145" s="23"/>
      <c r="H145" s="691"/>
      <c r="I145" s="588"/>
      <c r="J145" s="607" t="s">
        <v>263</v>
      </c>
      <c r="K145" s="211"/>
      <c r="L145" s="243" t="s">
        <v>2788</v>
      </c>
      <c r="M145" s="138"/>
      <c r="N145" s="4"/>
      <c r="O145" s="138"/>
      <c r="P145" s="522" t="b">
        <v>0</v>
      </c>
      <c r="Q145" s="522" t="b">
        <v>1</v>
      </c>
      <c r="R145" s="165" t="b">
        <v>0</v>
      </c>
      <c r="S145" s="165" t="b">
        <f>IF(AY19=INDEX(ddSingleOrMulti,2),TRUE,FALSE)</f>
        <v>1</v>
      </c>
      <c r="T145" s="96" t="b">
        <f>AND(NOT(S145),W145=TRUE)</f>
        <v>0</v>
      </c>
      <c r="W145" s="27" t="b">
        <v>1</v>
      </c>
      <c r="X145" s="166"/>
      <c r="AC145" s="165" t="b">
        <f>OR(AD145:AE145)</f>
        <v>0</v>
      </c>
      <c r="AD145" s="165" t="b">
        <f>T145</f>
        <v>0</v>
      </c>
      <c r="AP145" s="1352" t="str">
        <f t="shared" ref="AP145:AP146" si="9">SUBSTITUTE(SUBSTITUTE(SUBSTITUTE("dch"&amp;$B145&amp;$C145&amp;$D145&amp;$E145,".","_"),"(","_"),")","")</f>
        <v>dch1002_3_5</v>
      </c>
      <c r="AQ145" s="1352" t="b">
        <f>IF(LEN(W145)=0,"",W145)</f>
        <v>1</v>
      </c>
      <c r="AR145" s="1352" t="str">
        <f>SUBSTITUTE(SUBSTITUTE(SUBSTITUTE("dnt"&amp;$B145&amp;$C145&amp;$D145&amp;$E145,".","_"),"(","_"),")","")</f>
        <v>dnt1002_3_5</v>
      </c>
      <c r="AS145" s="1352" t="str">
        <f>IF(LEN(X145)=0,"",X145)</f>
        <v/>
      </c>
    </row>
    <row r="146" spans="2:51" x14ac:dyDescent="0.2">
      <c r="B146" s="600">
        <v>1002.3</v>
      </c>
      <c r="C146" s="23" t="s">
        <v>264</v>
      </c>
      <c r="D146" s="23"/>
      <c r="E146" s="23"/>
      <c r="F146" s="23"/>
      <c r="G146" s="23"/>
      <c r="H146" s="691"/>
      <c r="I146" s="588"/>
      <c r="J146" s="589" t="s">
        <v>264</v>
      </c>
      <c r="K146" s="588"/>
      <c r="L146" s="1611" t="s">
        <v>2835</v>
      </c>
      <c r="M146" s="138"/>
      <c r="N146" s="4"/>
      <c r="O146" s="138"/>
      <c r="P146" s="522" t="b">
        <v>0</v>
      </c>
      <c r="Q146" s="522" t="b">
        <v>1</v>
      </c>
      <c r="R146" s="165" t="b">
        <v>0</v>
      </c>
      <c r="S146" s="165" t="b">
        <f>IF(AY19=INDEX(ddSingleOrMulti,2),TRUE,FALSE)</f>
        <v>1</v>
      </c>
      <c r="T146" s="96" t="b">
        <f>AND(NOT(S146),W146=TRUE)</f>
        <v>0</v>
      </c>
      <c r="W146" s="27" t="b">
        <v>1</v>
      </c>
      <c r="X146" s="1600"/>
      <c r="AC146" s="165" t="b">
        <f>OR(AD146:AE146)</f>
        <v>0</v>
      </c>
      <c r="AD146" s="165" t="b">
        <f>T146</f>
        <v>0</v>
      </c>
      <c r="AP146" s="1352" t="str">
        <f t="shared" si="9"/>
        <v>dch1002_3_6</v>
      </c>
      <c r="AQ146" s="1352" t="b">
        <f>IF(LEN(W146)=0,"",W146)</f>
        <v>1</v>
      </c>
      <c r="AR146" s="1352" t="str">
        <f>SUBSTITUTE(SUBSTITUTE(SUBSTITUTE("dnt"&amp;$B146&amp;$C146&amp;$D146&amp;$E146,".","_"),"(","_"),")","")</f>
        <v>dnt1002_3_6</v>
      </c>
      <c r="AS146" s="1352" t="str">
        <f>IF(LEN(X146)=0,"",X146)</f>
        <v/>
      </c>
    </row>
    <row r="147" spans="2:51" x14ac:dyDescent="0.2">
      <c r="B147" s="600">
        <v>1002.3</v>
      </c>
      <c r="C147" s="23" t="s">
        <v>264</v>
      </c>
      <c r="D147" s="23"/>
      <c r="E147" s="23"/>
      <c r="F147" s="23"/>
      <c r="G147" s="23"/>
      <c r="H147" s="691"/>
      <c r="I147" s="588"/>
      <c r="J147" s="589"/>
      <c r="K147" s="588"/>
      <c r="L147" s="1611"/>
      <c r="M147" s="138"/>
      <c r="N147" s="4"/>
      <c r="O147" s="138"/>
      <c r="X147" s="1600"/>
    </row>
    <row r="148" spans="2:51" x14ac:dyDescent="0.2">
      <c r="B148" s="600">
        <v>1002.3</v>
      </c>
      <c r="C148" s="23" t="s">
        <v>356</v>
      </c>
      <c r="D148" s="23"/>
      <c r="E148" s="23"/>
      <c r="F148" s="23"/>
      <c r="G148" s="23"/>
      <c r="H148" s="691"/>
      <c r="I148" s="588"/>
      <c r="J148" s="607" t="s">
        <v>356</v>
      </c>
      <c r="K148" s="211"/>
      <c r="L148" s="243" t="s">
        <v>2794</v>
      </c>
      <c r="M148" s="138"/>
      <c r="N148" s="4"/>
      <c r="O148" s="138"/>
      <c r="P148" s="522" t="b">
        <v>0</v>
      </c>
      <c r="Q148" s="522" t="b">
        <v>1</v>
      </c>
      <c r="R148" s="165" t="b">
        <v>0</v>
      </c>
      <c r="S148" s="165" t="b">
        <f>IF(AY19=INDEX(ddSingleOrMulti,2),TRUE,FALSE)</f>
        <v>1</v>
      </c>
      <c r="T148" s="96" t="b">
        <f>AND(NOT(S148),W148=TRUE)</f>
        <v>0</v>
      </c>
      <c r="W148" s="27" t="b">
        <v>1</v>
      </c>
      <c r="X148" s="166"/>
      <c r="AC148" s="165" t="b">
        <f>OR(AD148:AE148)</f>
        <v>0</v>
      </c>
      <c r="AD148" s="165" t="b">
        <f>T148</f>
        <v>0</v>
      </c>
      <c r="AP148" s="1352" t="str">
        <f t="shared" ref="AP148:AP152" si="10">SUBSTITUTE(SUBSTITUTE(SUBSTITUTE("dch"&amp;$B148&amp;$C148&amp;$D148&amp;$E148,".","_"),"(","_"),")","")</f>
        <v>dch1002_3_7</v>
      </c>
      <c r="AQ148" s="1352" t="b">
        <f>IF(LEN(W148)=0,"",W148)</f>
        <v>1</v>
      </c>
      <c r="AR148" s="1352" t="str">
        <f>SUBSTITUTE(SUBSTITUTE(SUBSTITUTE("dnt"&amp;$B148&amp;$C148&amp;$D148&amp;$E148,".","_"),"(","_"),")","")</f>
        <v>dnt1002_3_7</v>
      </c>
      <c r="AS148" s="1352" t="str">
        <f>IF(LEN(X148)=0,"",X148)</f>
        <v/>
      </c>
    </row>
    <row r="149" spans="2:51" x14ac:dyDescent="0.2">
      <c r="B149" s="600">
        <v>1002.3</v>
      </c>
      <c r="C149" s="23" t="s">
        <v>389</v>
      </c>
      <c r="D149" s="23"/>
      <c r="E149" s="23"/>
      <c r="F149" s="23"/>
      <c r="G149" s="23"/>
      <c r="H149" s="691"/>
      <c r="I149" s="588"/>
      <c r="J149" s="589" t="s">
        <v>389</v>
      </c>
      <c r="K149" s="588"/>
      <c r="L149" s="228" t="s">
        <v>2836</v>
      </c>
      <c r="M149" s="138"/>
      <c r="N149" s="4"/>
      <c r="O149" s="138"/>
      <c r="P149" s="522" t="b">
        <v>0</v>
      </c>
      <c r="Q149" s="522" t="b">
        <v>1</v>
      </c>
      <c r="R149" s="165" t="b">
        <v>0</v>
      </c>
      <c r="S149" s="165" t="b">
        <f>IF(AY19=INDEX(ddSingleOrMulti,2),TRUE,FALSE)</f>
        <v>1</v>
      </c>
      <c r="T149" s="96" t="b">
        <f>AND(NOT(S149),W149=TRUE)</f>
        <v>0</v>
      </c>
      <c r="W149" s="27" t="b">
        <v>1</v>
      </c>
      <c r="X149" s="166"/>
      <c r="AC149" s="165" t="b">
        <f>OR(AD149:AE149)</f>
        <v>0</v>
      </c>
      <c r="AD149" s="165" t="b">
        <f>T149</f>
        <v>0</v>
      </c>
      <c r="AP149" s="1352" t="str">
        <f t="shared" si="10"/>
        <v>dch1002_3_8</v>
      </c>
      <c r="AQ149" s="1352" t="b">
        <f>IF(LEN(W149)=0,"",W149)</f>
        <v>1</v>
      </c>
      <c r="AR149" s="1352" t="str">
        <f t="shared" ref="AR149:AR152" si="11">SUBSTITUTE(SUBSTITUTE(SUBSTITUTE("dnt"&amp;$B149&amp;$C149&amp;$D149&amp;$E149,".","_"),"(","_"),")","")</f>
        <v>dnt1002_3_8</v>
      </c>
      <c r="AS149" s="1352" t="str">
        <f>IF(LEN(X149)=0,"",X149)</f>
        <v/>
      </c>
    </row>
    <row r="150" spans="2:51" x14ac:dyDescent="0.2">
      <c r="B150" s="600">
        <v>1002.3</v>
      </c>
      <c r="C150" s="23" t="s">
        <v>391</v>
      </c>
      <c r="D150" s="23"/>
      <c r="E150" s="23"/>
      <c r="F150" s="23"/>
      <c r="G150" s="23"/>
      <c r="H150" s="691"/>
      <c r="I150" s="588"/>
      <c r="J150" s="607" t="s">
        <v>391</v>
      </c>
      <c r="K150" s="211"/>
      <c r="L150" s="243" t="s">
        <v>2837</v>
      </c>
      <c r="M150" s="138"/>
      <c r="N150" s="4"/>
      <c r="O150" s="138"/>
      <c r="P150" s="522" t="b">
        <v>0</v>
      </c>
      <c r="Q150" s="522" t="b">
        <v>1</v>
      </c>
      <c r="R150" s="165" t="b">
        <v>0</v>
      </c>
      <c r="S150" s="165" t="b">
        <f>IF(AY19=INDEX(ddSingleOrMulti,2),TRUE,FALSE)</f>
        <v>1</v>
      </c>
      <c r="T150" s="96" t="b">
        <f>AND(NOT(S150),W150=TRUE)</f>
        <v>0</v>
      </c>
      <c r="W150" s="27" t="b">
        <v>1</v>
      </c>
      <c r="X150" s="166"/>
      <c r="AC150" s="165" t="b">
        <f>OR(AD150:AE150)</f>
        <v>0</v>
      </c>
      <c r="AD150" s="165" t="b">
        <f>T150</f>
        <v>0</v>
      </c>
      <c r="AP150" s="1352" t="str">
        <f t="shared" si="10"/>
        <v>dch1002_3_9</v>
      </c>
      <c r="AQ150" s="1352" t="b">
        <f>IF(LEN(W150)=0,"",W150)</f>
        <v>1</v>
      </c>
      <c r="AR150" s="1352" t="str">
        <f t="shared" si="11"/>
        <v>dnt1002_3_9</v>
      </c>
      <c r="AS150" s="1352" t="str">
        <f>IF(LEN(X150)=0,"",X150)</f>
        <v/>
      </c>
    </row>
    <row r="151" spans="2:51" x14ac:dyDescent="0.2">
      <c r="B151" s="600">
        <v>1002.3</v>
      </c>
      <c r="C151" s="23" t="s">
        <v>392</v>
      </c>
      <c r="D151" s="23"/>
      <c r="E151" s="23"/>
      <c r="F151" s="23"/>
      <c r="G151" s="23"/>
      <c r="H151" s="691"/>
      <c r="I151" s="609"/>
      <c r="J151" s="590" t="s">
        <v>392</v>
      </c>
      <c r="K151" s="609"/>
      <c r="L151" s="962" t="s">
        <v>2838</v>
      </c>
      <c r="M151" s="908"/>
      <c r="N151" s="129"/>
      <c r="O151" s="908"/>
      <c r="P151" s="522" t="b">
        <v>0</v>
      </c>
      <c r="Q151" s="522" t="b">
        <v>1</v>
      </c>
      <c r="R151" s="991" t="b">
        <v>0</v>
      </c>
      <c r="S151" s="991" t="b">
        <f>IF(AY19=INDEX(ddSingleOrMulti,2),TRUE,FALSE)</f>
        <v>1</v>
      </c>
      <c r="T151" s="991" t="b">
        <f>AND(NOT(S151),W151=TRUE)</f>
        <v>0</v>
      </c>
      <c r="U151" s="991"/>
      <c r="V151" s="991"/>
      <c r="W151" s="184" t="b">
        <v>1</v>
      </c>
      <c r="X151" s="910"/>
      <c r="AC151" s="165" t="b">
        <f>OR(AD151:AE151)</f>
        <v>0</v>
      </c>
      <c r="AD151" s="165" t="b">
        <f>T151</f>
        <v>0</v>
      </c>
      <c r="AP151" s="1352" t="str">
        <f t="shared" si="10"/>
        <v>dch1002_3_10</v>
      </c>
      <c r="AQ151" s="1352" t="b">
        <f>IF(LEN(W151)=0,"",W151)</f>
        <v>1</v>
      </c>
      <c r="AR151" s="1352" t="str">
        <f t="shared" si="11"/>
        <v>dnt1002_3_10</v>
      </c>
      <c r="AS151" s="1352" t="str">
        <f>IF(LEN(X151)=0,"",X151)</f>
        <v/>
      </c>
    </row>
    <row r="152" spans="2:51" customFormat="1" x14ac:dyDescent="0.2">
      <c r="B152" s="600">
        <v>1002.3</v>
      </c>
      <c r="C152" s="23" t="s">
        <v>394</v>
      </c>
      <c r="D152" s="1352"/>
      <c r="E152" s="1352"/>
      <c r="F152" s="1352"/>
      <c r="I152" s="3"/>
      <c r="J152" s="608" t="s">
        <v>394</v>
      </c>
      <c r="K152" s="1405"/>
      <c r="L152" s="1633" t="s">
        <v>4923</v>
      </c>
      <c r="M152" s="991"/>
      <c r="N152" s="991"/>
      <c r="O152" s="991"/>
      <c r="P152" s="905" t="b">
        <v>0</v>
      </c>
      <c r="Q152" s="905" t="b">
        <v>1</v>
      </c>
      <c r="R152" s="991" t="b">
        <v>0</v>
      </c>
      <c r="S152" s="991" t="b">
        <f>IF(AY19=INDEX(ddSingleOrMulti,2),TRUE,FALSE)</f>
        <v>1</v>
      </c>
      <c r="T152" s="991" t="b">
        <f>AND(NOT(S152),W152=TRUE)</f>
        <v>0</v>
      </c>
      <c r="U152" s="991"/>
      <c r="V152" s="991"/>
      <c r="W152" s="27"/>
      <c r="X152" s="1601"/>
      <c r="AC152" s="905" t="b">
        <f>OR(AD152:AE152)</f>
        <v>0</v>
      </c>
      <c r="AD152" s="905" t="b">
        <f>T152</f>
        <v>0</v>
      </c>
      <c r="AL152" s="78"/>
      <c r="AM152" s="78"/>
      <c r="AN152" s="78"/>
      <c r="AO152" s="78"/>
      <c r="AP152" s="1352" t="str">
        <f t="shared" si="10"/>
        <v>dch1002_3_11</v>
      </c>
      <c r="AQ152" s="1352" t="str">
        <f>IF(LEN(W152)=0,"",W152)</f>
        <v/>
      </c>
      <c r="AR152" s="1352" t="str">
        <f t="shared" si="11"/>
        <v>dnt1002_3_11</v>
      </c>
      <c r="AS152" s="1352" t="str">
        <f>IF(LEN(X152)=0,"",X152)</f>
        <v/>
      </c>
      <c r="AX152" s="78"/>
      <c r="AY152" s="78"/>
    </row>
    <row r="153" spans="2:51" customFormat="1" ht="16" thickBot="1" x14ac:dyDescent="0.25">
      <c r="B153" s="600">
        <v>1002.3</v>
      </c>
      <c r="C153" s="23" t="s">
        <v>394</v>
      </c>
      <c r="D153" s="1352"/>
      <c r="E153" s="1352"/>
      <c r="F153" s="1352"/>
      <c r="I153" s="604"/>
      <c r="J153" s="602"/>
      <c r="K153" s="602"/>
      <c r="L153" s="1635"/>
      <c r="M153" s="100"/>
      <c r="N153" s="100"/>
      <c r="O153" s="100"/>
      <c r="P153" s="100"/>
      <c r="Q153" s="100"/>
      <c r="R153" s="100"/>
      <c r="S153" s="100"/>
      <c r="T153" s="100"/>
      <c r="U153" s="100"/>
      <c r="V153" s="100"/>
      <c r="W153" s="100"/>
      <c r="X153" s="1602"/>
      <c r="AL153" s="78"/>
      <c r="AM153" s="78"/>
      <c r="AN153" s="78"/>
      <c r="AO153" s="78"/>
      <c r="AP153" s="78"/>
      <c r="AQ153" s="78"/>
      <c r="AR153" s="78"/>
      <c r="AS153" s="78"/>
      <c r="AX153" s="78"/>
      <c r="AY153" s="78"/>
    </row>
    <row r="154" spans="2:51" ht="16" thickTop="1" x14ac:dyDescent="0.2">
      <c r="B154" s="600">
        <v>1002.4</v>
      </c>
      <c r="C154" s="23"/>
      <c r="D154" s="23"/>
      <c r="E154" s="23"/>
      <c r="F154" s="23" t="s">
        <v>5289</v>
      </c>
      <c r="G154" s="23"/>
      <c r="H154" s="691"/>
      <c r="I154" s="107" t="s">
        <v>3758</v>
      </c>
      <c r="J154" s="1406"/>
      <c r="K154" s="1406"/>
      <c r="L154" s="1683" t="s">
        <v>3867</v>
      </c>
      <c r="M154" s="1701" t="str">
        <f>IF(R154,"Mandatory","N/A")</f>
        <v>Mandatory</v>
      </c>
      <c r="N154" s="178"/>
      <c r="O154" s="1682">
        <f>M156*S154*W154</f>
        <v>8</v>
      </c>
      <c r="P154" s="106" t="b">
        <v>0</v>
      </c>
      <c r="Q154" s="106" t="b">
        <v>1</v>
      </c>
      <c r="R154" s="106" t="b">
        <f>S154</f>
        <v>1</v>
      </c>
      <c r="S154" s="106" t="b">
        <f>IF(AY19=INDEX(ddSingleOrMulti,2),TRUE,FALSE)</f>
        <v>1</v>
      </c>
      <c r="T154" s="106" t="b">
        <f>AND(NOT(S154),W154=TRUE)</f>
        <v>0</v>
      </c>
      <c r="U154" s="106"/>
      <c r="V154" s="106"/>
      <c r="W154" s="334" t="b">
        <v>1</v>
      </c>
      <c r="X154" s="1603"/>
      <c r="AC154" s="165" t="b">
        <f>OR(AD154:AE154)</f>
        <v>0</v>
      </c>
      <c r="AD154" s="165" t="b">
        <f>T154</f>
        <v>0</v>
      </c>
      <c r="AE154" s="165" t="b">
        <f>AND(R154,NOT(W154=TRUE))</f>
        <v>0</v>
      </c>
      <c r="AL154" s="1" t="str">
        <f>SUBSTITUTE(SUBSTITUTE(SUBSTITUTE("dpa"&amp;$B154&amp;$C154&amp;$D154&amp;$E154&amp;$F154,".","_"),"(","_"),")","")</f>
        <v>dpa1002_4_m</v>
      </c>
      <c r="AM154" s="1352" t="str">
        <f t="shared" ref="AM154" si="12">M154</f>
        <v>Mandatory</v>
      </c>
      <c r="AN154" s="1352" t="str">
        <f>SUBSTITUTE(SUBSTITUTE(SUBSTITUTE("dpc"&amp;$B154&amp;$C154&amp;$D154&amp;$E154,".","_"),"(","_"),")","")</f>
        <v>dpc1002_4</v>
      </c>
      <c r="AO154" s="1352">
        <f>O154</f>
        <v>8</v>
      </c>
      <c r="AP154" s="1352" t="str">
        <f>SUBSTITUTE(SUBSTITUTE(SUBSTITUTE("dch"&amp;$B154&amp;$C154&amp;$D154&amp;$E154,".","_"),"(","_"),")","")</f>
        <v>dch1002_4</v>
      </c>
      <c r="AQ154" s="1352" t="b">
        <f>IF(LEN(W154)=0,"",W154)</f>
        <v>1</v>
      </c>
      <c r="AR154" s="1352" t="str">
        <f>SUBSTITUTE(SUBSTITUTE(SUBSTITUTE("dnt"&amp;$B154&amp;$C154&amp;$D154&amp;$E154,".","_"),"(","_"),")","")</f>
        <v>dnt1002_4</v>
      </c>
      <c r="AS154" s="1352" t="str">
        <f>IF(LEN(X154)=0,"",X154)</f>
        <v/>
      </c>
      <c r="AX154"/>
      <c r="AY154"/>
    </row>
    <row r="155" spans="2:51" x14ac:dyDescent="0.2">
      <c r="B155" s="600">
        <v>1002.4</v>
      </c>
      <c r="C155" s="23"/>
      <c r="D155" s="23"/>
      <c r="E155" s="23"/>
      <c r="F155" s="691"/>
      <c r="G155" s="23"/>
      <c r="H155" s="691"/>
      <c r="I155" s="609"/>
      <c r="J155" s="609"/>
      <c r="K155" s="609"/>
      <c r="L155" s="1629"/>
      <c r="M155" s="1697"/>
      <c r="N155" s="129"/>
      <c r="O155" s="1619"/>
      <c r="P155" s="991"/>
      <c r="Q155" s="991"/>
      <c r="R155" s="991"/>
      <c r="S155" s="991"/>
      <c r="T155" s="991"/>
      <c r="U155" s="991"/>
      <c r="V155" s="991"/>
      <c r="W155" s="991"/>
      <c r="X155" s="1601"/>
      <c r="AX155"/>
      <c r="AY155"/>
    </row>
    <row r="156" spans="2:51" x14ac:dyDescent="0.2">
      <c r="B156" s="600">
        <v>1002.4</v>
      </c>
      <c r="C156" s="23"/>
      <c r="D156" s="23"/>
      <c r="E156" s="23"/>
      <c r="F156" s="691"/>
      <c r="G156" s="23"/>
      <c r="H156" s="691"/>
      <c r="I156" s="609"/>
      <c r="J156" s="609"/>
      <c r="K156" s="609"/>
      <c r="L156" s="1629"/>
      <c r="M156" s="1752">
        <v>8</v>
      </c>
      <c r="N156" s="129"/>
      <c r="O156" s="1619"/>
      <c r="P156" s="991"/>
      <c r="Q156" s="991"/>
      <c r="R156" s="991"/>
      <c r="S156" s="991"/>
      <c r="T156" s="991"/>
      <c r="U156" s="991"/>
      <c r="V156" s="991"/>
      <c r="W156" s="991"/>
      <c r="X156" s="1601"/>
      <c r="AL156" s="1352" t="str">
        <f>SUBSTITUTE(SUBSTITUTE(SUBSTITUTE("dpa"&amp;$B156&amp;$C156&amp;$D156&amp;$E156,".","_"),"(","_"),")","")</f>
        <v>dpa1002_4</v>
      </c>
      <c r="AM156" s="1352">
        <f t="shared" ref="AM156" si="13">M156</f>
        <v>8</v>
      </c>
    </row>
    <row r="157" spans="2:51" x14ac:dyDescent="0.2">
      <c r="B157" s="600">
        <v>1002.4</v>
      </c>
      <c r="C157" s="23"/>
      <c r="D157" s="23"/>
      <c r="E157" s="23"/>
      <c r="F157" s="691"/>
      <c r="G157" s="23"/>
      <c r="H157" s="691"/>
      <c r="I157" s="609"/>
      <c r="J157" s="609"/>
      <c r="K157" s="609"/>
      <c r="L157" s="1629"/>
      <c r="M157" s="1752"/>
      <c r="N157" s="129"/>
      <c r="O157" s="1619"/>
      <c r="P157" s="991"/>
      <c r="Q157" s="991"/>
      <c r="R157" s="991"/>
      <c r="S157" s="991"/>
      <c r="T157" s="991"/>
      <c r="U157" s="991"/>
      <c r="V157" s="991"/>
      <c r="W157" s="991"/>
      <c r="X157" s="1601"/>
    </row>
    <row r="158" spans="2:51" x14ac:dyDescent="0.2">
      <c r="B158" s="600">
        <v>1002.4</v>
      </c>
      <c r="C158" s="23"/>
      <c r="D158" s="23"/>
      <c r="E158" s="23"/>
      <c r="F158" s="691"/>
      <c r="G158" s="23"/>
      <c r="H158" s="691"/>
      <c r="I158" s="609"/>
      <c r="J158" s="609"/>
      <c r="K158" s="609"/>
      <c r="L158" s="1629"/>
      <c r="M158" s="1752"/>
      <c r="N158" s="129"/>
      <c r="O158" s="908"/>
      <c r="P158" s="991"/>
      <c r="Q158" s="991"/>
      <c r="R158" s="991"/>
      <c r="S158" s="991"/>
      <c r="T158" s="991"/>
      <c r="U158" s="991"/>
      <c r="V158" s="991"/>
      <c r="W158" s="991"/>
      <c r="X158" s="1601"/>
    </row>
    <row r="159" spans="2:51" x14ac:dyDescent="0.2">
      <c r="B159" s="600">
        <v>1002.4</v>
      </c>
      <c r="C159" s="23" t="s">
        <v>254</v>
      </c>
      <c r="D159" s="23"/>
      <c r="E159" s="23"/>
      <c r="F159" s="691"/>
      <c r="G159" s="23"/>
      <c r="H159" s="691"/>
      <c r="I159" s="609"/>
      <c r="J159" s="590" t="s">
        <v>254</v>
      </c>
      <c r="K159" s="609"/>
      <c r="L159" s="962" t="s">
        <v>2829</v>
      </c>
      <c r="M159" s="908"/>
      <c r="N159" s="129"/>
      <c r="O159" s="908"/>
      <c r="P159" s="991"/>
      <c r="Q159" s="991"/>
      <c r="R159" s="991"/>
      <c r="S159" s="991"/>
      <c r="T159" s="991"/>
      <c r="U159" s="991"/>
      <c r="V159" s="991"/>
      <c r="W159" s="991"/>
      <c r="X159" s="1601"/>
    </row>
    <row r="160" spans="2:51" x14ac:dyDescent="0.2">
      <c r="B160" s="600">
        <v>1002.4</v>
      </c>
      <c r="C160" s="23" t="s">
        <v>255</v>
      </c>
      <c r="D160" s="23"/>
      <c r="E160" s="23"/>
      <c r="F160" s="691"/>
      <c r="G160" s="23"/>
      <c r="H160" s="691"/>
      <c r="I160" s="609"/>
      <c r="J160" s="590" t="s">
        <v>255</v>
      </c>
      <c r="K160" s="609"/>
      <c r="L160" s="962" t="s">
        <v>2830</v>
      </c>
      <c r="M160" s="908"/>
      <c r="N160" s="129"/>
      <c r="O160" s="908"/>
      <c r="P160" s="991"/>
      <c r="Q160" s="991"/>
      <c r="R160" s="991"/>
      <c r="S160" s="991"/>
      <c r="T160" s="991"/>
      <c r="U160" s="991"/>
      <c r="V160" s="991"/>
      <c r="W160" s="991"/>
      <c r="X160" s="1601"/>
    </row>
    <row r="161" spans="1:51" x14ac:dyDescent="0.2">
      <c r="B161" s="600">
        <v>1002.4</v>
      </c>
      <c r="C161" s="23" t="s">
        <v>256</v>
      </c>
      <c r="D161" s="23"/>
      <c r="E161" s="23"/>
      <c r="F161" s="691"/>
      <c r="G161" s="23"/>
      <c r="H161" s="691"/>
      <c r="I161" s="609"/>
      <c r="J161" s="590" t="s">
        <v>256</v>
      </c>
      <c r="K161" s="609"/>
      <c r="L161" s="962" t="s">
        <v>2831</v>
      </c>
      <c r="M161" s="908"/>
      <c r="N161" s="129"/>
      <c r="O161" s="908"/>
      <c r="P161" s="991"/>
      <c r="Q161" s="991"/>
      <c r="R161" s="991"/>
      <c r="S161" s="991"/>
      <c r="T161" s="991"/>
      <c r="U161" s="991"/>
      <c r="V161" s="991"/>
      <c r="W161" s="991"/>
      <c r="X161" s="1601"/>
    </row>
    <row r="162" spans="1:51" x14ac:dyDescent="0.2">
      <c r="B162" s="600">
        <v>1002.4</v>
      </c>
      <c r="C162" s="23" t="s">
        <v>259</v>
      </c>
      <c r="D162" s="23"/>
      <c r="E162" s="23"/>
      <c r="F162" s="691"/>
      <c r="G162" s="23"/>
      <c r="H162" s="691"/>
      <c r="I162" s="609"/>
      <c r="J162" s="590" t="s">
        <v>259</v>
      </c>
      <c r="K162" s="609"/>
      <c r="L162" s="962" t="s">
        <v>2839</v>
      </c>
      <c r="M162" s="908"/>
      <c r="N162" s="129"/>
      <c r="O162" s="908"/>
      <c r="P162" s="991"/>
      <c r="Q162" s="991"/>
      <c r="R162" s="991"/>
      <c r="S162" s="991"/>
      <c r="T162" s="991"/>
      <c r="U162" s="991"/>
      <c r="V162" s="991"/>
      <c r="W162" s="991"/>
      <c r="X162" s="1601"/>
    </row>
    <row r="163" spans="1:51" x14ac:dyDescent="0.2">
      <c r="B163" s="600">
        <v>1002.4</v>
      </c>
      <c r="C163" s="23" t="s">
        <v>263</v>
      </c>
      <c r="D163" s="23"/>
      <c r="E163" s="23"/>
      <c r="F163" s="691"/>
      <c r="G163" s="23"/>
      <c r="H163" s="691"/>
      <c r="I163" s="609"/>
      <c r="J163" s="590" t="s">
        <v>263</v>
      </c>
      <c r="K163" s="609"/>
      <c r="L163" s="962" t="s">
        <v>2840</v>
      </c>
      <c r="M163" s="908"/>
      <c r="N163" s="129"/>
      <c r="O163" s="908"/>
      <c r="P163" s="991"/>
      <c r="Q163" s="991"/>
      <c r="R163" s="991"/>
      <c r="S163" s="991"/>
      <c r="T163" s="991"/>
      <c r="U163" s="991"/>
      <c r="V163" s="991"/>
      <c r="W163" s="991"/>
      <c r="X163" s="1601"/>
    </row>
    <row r="164" spans="1:51" x14ac:dyDescent="0.2">
      <c r="B164" s="600">
        <v>1002.4</v>
      </c>
      <c r="C164" s="23" t="s">
        <v>264</v>
      </c>
      <c r="D164" s="23"/>
      <c r="E164" s="23"/>
      <c r="F164" s="691"/>
      <c r="G164" s="23"/>
      <c r="H164" s="691"/>
      <c r="I164" s="609"/>
      <c r="J164" s="590" t="s">
        <v>264</v>
      </c>
      <c r="K164" s="609"/>
      <c r="L164" s="962" t="s">
        <v>2834</v>
      </c>
      <c r="M164" s="908"/>
      <c r="N164" s="129"/>
      <c r="O164" s="908"/>
      <c r="P164" s="991"/>
      <c r="Q164" s="991"/>
      <c r="R164" s="991"/>
      <c r="S164" s="991"/>
      <c r="T164" s="991"/>
      <c r="U164" s="991"/>
      <c r="V164" s="991"/>
      <c r="W164" s="991"/>
      <c r="X164" s="1601"/>
    </row>
    <row r="165" spans="1:51" s="905" customFormat="1" x14ac:dyDescent="0.2">
      <c r="A165" s="20"/>
      <c r="B165" s="600">
        <v>1002.4</v>
      </c>
      <c r="C165" s="23" t="s">
        <v>356</v>
      </c>
      <c r="D165" s="23"/>
      <c r="E165" s="23"/>
      <c r="F165" s="691"/>
      <c r="G165" s="23"/>
      <c r="H165" s="691"/>
      <c r="I165" s="609"/>
      <c r="J165" s="590" t="s">
        <v>356</v>
      </c>
      <c r="K165" s="609"/>
      <c r="L165" s="962" t="s">
        <v>2841</v>
      </c>
      <c r="M165" s="908"/>
      <c r="N165" s="129"/>
      <c r="O165" s="908"/>
      <c r="P165" s="991"/>
      <c r="Q165" s="991"/>
      <c r="R165" s="991"/>
      <c r="S165" s="991"/>
      <c r="T165" s="991"/>
      <c r="U165" s="991"/>
      <c r="V165" s="991"/>
      <c r="W165" s="991"/>
      <c r="X165" s="1601"/>
      <c r="AL165" s="78"/>
      <c r="AM165" s="78"/>
      <c r="AN165" s="78"/>
      <c r="AO165" s="78"/>
      <c r="AP165" s="78"/>
      <c r="AQ165" s="78"/>
      <c r="AR165" s="78"/>
      <c r="AS165" s="78"/>
      <c r="AX165" s="78"/>
      <c r="AY165" s="78"/>
    </row>
    <row r="166" spans="1:51" ht="16" thickBot="1" x14ac:dyDescent="0.25">
      <c r="B166" s="600">
        <v>1002.4</v>
      </c>
      <c r="C166" s="23" t="s">
        <v>389</v>
      </c>
      <c r="D166" s="23"/>
      <c r="E166" s="23"/>
      <c r="F166" s="691"/>
      <c r="G166" s="23"/>
      <c r="H166" s="691"/>
      <c r="I166" s="596"/>
      <c r="J166" s="594" t="s">
        <v>389</v>
      </c>
      <c r="K166" s="596"/>
      <c r="L166" s="963" t="s">
        <v>4924</v>
      </c>
      <c r="M166" s="922"/>
      <c r="N166" s="239"/>
      <c r="O166" s="922"/>
      <c r="P166" s="100"/>
      <c r="Q166" s="100"/>
      <c r="R166" s="100"/>
      <c r="S166" s="100"/>
      <c r="T166" s="100"/>
      <c r="U166" s="100"/>
      <c r="V166" s="100"/>
      <c r="W166" s="100"/>
      <c r="X166" s="1602"/>
    </row>
    <row r="167" spans="1:51" s="905" customFormat="1" ht="16" thickTop="1" x14ac:dyDescent="0.2">
      <c r="A167" s="20"/>
      <c r="B167" s="600" t="s">
        <v>4944</v>
      </c>
      <c r="C167" s="23"/>
      <c r="D167" s="23"/>
      <c r="E167" s="23"/>
      <c r="F167" s="691"/>
      <c r="G167" s="23"/>
      <c r="H167" s="691"/>
      <c r="I167" s="589" t="s">
        <v>4925</v>
      </c>
      <c r="J167" s="589"/>
      <c r="K167" s="589"/>
      <c r="L167" s="1687" t="s">
        <v>4926</v>
      </c>
      <c r="M167" s="1628" t="s">
        <v>4946</v>
      </c>
      <c r="N167" s="4"/>
      <c r="O167" s="1669">
        <f>ROUNDDOWN(COUNTIF(W169:W178,TRUE)/2,0)</f>
        <v>4</v>
      </c>
      <c r="X167"/>
      <c r="AL167" s="1352" t="str">
        <f>SUBSTITUTE(SUBSTITUTE(SUBSTITUTE("dpa"&amp;$B167&amp;$C167&amp;$D167&amp;$E167,".","_"),"(","_"),")","")</f>
        <v>dpa1002_5</v>
      </c>
      <c r="AM167" s="1352" t="str">
        <f t="shared" ref="AM167" si="14">M167</f>
        <v>1 per 2 items</v>
      </c>
      <c r="AN167" s="1352" t="str">
        <f>SUBSTITUTE(SUBSTITUTE(SUBSTITUTE("dpc"&amp;$B167&amp;$C167&amp;$D167&amp;$E167,".","_"),"(","_"),")","")</f>
        <v>dpc1002_5</v>
      </c>
      <c r="AO167" s="1352">
        <f>O167</f>
        <v>4</v>
      </c>
      <c r="AP167" s="78"/>
      <c r="AQ167" s="78"/>
      <c r="AR167" s="78"/>
      <c r="AS167" s="78"/>
    </row>
    <row r="168" spans="1:51" s="905" customFormat="1" x14ac:dyDescent="0.2">
      <c r="A168" s="20"/>
      <c r="B168" s="600" t="s">
        <v>4944</v>
      </c>
      <c r="C168" s="23"/>
      <c r="D168" s="23"/>
      <c r="E168" s="23"/>
      <c r="F168" s="691"/>
      <c r="G168" s="23"/>
      <c r="H168" s="691"/>
      <c r="I168" s="589"/>
      <c r="J168" s="589"/>
      <c r="K168" s="589"/>
      <c r="L168" s="1687"/>
      <c r="M168" s="1628"/>
      <c r="N168" s="4"/>
      <c r="O168" s="1669"/>
      <c r="X168"/>
      <c r="AL168" s="78"/>
      <c r="AM168" s="78"/>
      <c r="AN168" s="78"/>
      <c r="AO168" s="78"/>
      <c r="AP168" s="78"/>
      <c r="AQ168" s="78"/>
      <c r="AR168" s="78"/>
      <c r="AS168" s="78"/>
      <c r="AX168" s="78"/>
      <c r="AY168" s="78"/>
    </row>
    <row r="169" spans="1:51" s="905" customFormat="1" x14ac:dyDescent="0.2">
      <c r="A169" s="20"/>
      <c r="B169" s="600" t="s">
        <v>4944</v>
      </c>
      <c r="C169" s="600" t="s">
        <v>254</v>
      </c>
      <c r="D169" s="23"/>
      <c r="E169" s="23"/>
      <c r="F169" s="691"/>
      <c r="G169" s="23"/>
      <c r="H169" s="691"/>
      <c r="I169" s="589"/>
      <c r="J169" s="606" t="s">
        <v>254</v>
      </c>
      <c r="K169" s="606"/>
      <c r="L169" s="1361" t="s">
        <v>4927</v>
      </c>
      <c r="M169" s="1373" t="str">
        <f>IF(R169,"Mandatory","N/A")</f>
        <v>Mandatory</v>
      </c>
      <c r="N169" s="4"/>
      <c r="O169" s="935"/>
      <c r="P169" s="905" t="b">
        <v>0</v>
      </c>
      <c r="Q169" s="905" t="b">
        <v>1</v>
      </c>
      <c r="R169" s="905" t="b">
        <f>S169</f>
        <v>1</v>
      </c>
      <c r="S169" s="905" t="b">
        <f>IF(AY19=INDEX(ddSingleOrMulti,2),TRUE,FALSE)</f>
        <v>1</v>
      </c>
      <c r="T169" s="991" t="b">
        <f>AND(NOT(S169),W169=TRUE)</f>
        <v>0</v>
      </c>
      <c r="W169" s="27" t="b">
        <v>1</v>
      </c>
      <c r="X169" s="906"/>
      <c r="AC169" s="905" t="b">
        <f>OR(AD169:AE169)</f>
        <v>0</v>
      </c>
      <c r="AD169" s="905" t="b">
        <f>T169</f>
        <v>0</v>
      </c>
      <c r="AE169" s="905" t="b">
        <f>AND(R169,NOT(W169=TRUE))</f>
        <v>0</v>
      </c>
      <c r="AL169" s="1352" t="str">
        <f>SUBSTITUTE(SUBSTITUTE(SUBSTITUTE("dpa"&amp;$B169&amp;$C169&amp;$D169&amp;$E169,".","_"),"(","_"),")","")</f>
        <v>dpa1002_5_1</v>
      </c>
      <c r="AM169" s="1352" t="str">
        <f t="shared" ref="AM169:AM171" si="15">M169</f>
        <v>Mandatory</v>
      </c>
      <c r="AN169" s="78"/>
      <c r="AO169" s="78"/>
      <c r="AP169" s="1352" t="str">
        <f t="shared" ref="AP169:AP171" si="16">SUBSTITUTE(SUBSTITUTE(SUBSTITUTE("dch"&amp;$B169&amp;$C169&amp;$D169&amp;$E169,".","_"),"(","_"),")","")</f>
        <v>dch1002_5_1</v>
      </c>
      <c r="AQ169" s="1352" t="b">
        <f>IF(LEN(W169)=0,"",W169)</f>
        <v>1</v>
      </c>
      <c r="AR169" s="1352" t="str">
        <f>SUBSTITUTE(SUBSTITUTE(SUBSTITUTE("dnt"&amp;$B169&amp;$C169&amp;$D169&amp;$E169,".","_"),"(","_"),")","")</f>
        <v>dnt1002_5_1</v>
      </c>
      <c r="AS169" s="1352" t="str">
        <f>IF(LEN(X169)=0,"",X169)</f>
        <v/>
      </c>
    </row>
    <row r="170" spans="1:51" s="905" customFormat="1" x14ac:dyDescent="0.2">
      <c r="A170" s="20"/>
      <c r="B170" s="600" t="s">
        <v>4944</v>
      </c>
      <c r="C170" s="600" t="s">
        <v>255</v>
      </c>
      <c r="D170" s="23"/>
      <c r="E170" s="23"/>
      <c r="F170" s="691"/>
      <c r="G170" s="23"/>
      <c r="H170" s="691"/>
      <c r="I170" s="589"/>
      <c r="J170" s="606" t="s">
        <v>255</v>
      </c>
      <c r="K170" s="606"/>
      <c r="L170" s="1361" t="s">
        <v>4928</v>
      </c>
      <c r="M170" s="1373" t="str">
        <f>IF(R170,"Mandatory","N/A")</f>
        <v>Mandatory</v>
      </c>
      <c r="N170" s="4"/>
      <c r="O170" s="935"/>
      <c r="P170" s="905" t="b">
        <v>0</v>
      </c>
      <c r="Q170" s="905" t="b">
        <v>1</v>
      </c>
      <c r="R170" s="905" t="b">
        <f>S170</f>
        <v>1</v>
      </c>
      <c r="S170" s="905" t="b">
        <f>IF(AY19=INDEX(ddSingleOrMulti,2),TRUE,FALSE)</f>
        <v>1</v>
      </c>
      <c r="T170" s="991" t="b">
        <f>AND(NOT(S170),W170=TRUE)</f>
        <v>0</v>
      </c>
      <c r="W170" s="27" t="b">
        <v>1</v>
      </c>
      <c r="X170" s="906"/>
      <c r="AC170" s="905" t="b">
        <f>OR(AD170:AE170)</f>
        <v>0</v>
      </c>
      <c r="AD170" s="905" t="b">
        <f>T170</f>
        <v>0</v>
      </c>
      <c r="AE170" s="905" t="b">
        <f>AND(R170,NOT(W170=TRUE))</f>
        <v>0</v>
      </c>
      <c r="AL170" s="1352" t="str">
        <f>SUBSTITUTE(SUBSTITUTE(SUBSTITUTE("dpa"&amp;$B170&amp;$C170&amp;$D170&amp;$E170,".","_"),"(","_"),")","")</f>
        <v>dpa1002_5_2</v>
      </c>
      <c r="AM170" s="1352" t="str">
        <f t="shared" si="15"/>
        <v>Mandatory</v>
      </c>
      <c r="AN170" s="78"/>
      <c r="AO170" s="78"/>
      <c r="AP170" s="1352" t="str">
        <f t="shared" si="16"/>
        <v>dch1002_5_2</v>
      </c>
      <c r="AQ170" s="1352" t="b">
        <f>IF(LEN(W170)=0,"",W170)</f>
        <v>1</v>
      </c>
      <c r="AR170" s="1352" t="str">
        <f>SUBSTITUTE(SUBSTITUTE(SUBSTITUTE("dnt"&amp;$B170&amp;$C170&amp;$D170&amp;$E170,".","_"),"(","_"),")","")</f>
        <v>dnt1002_5_2</v>
      </c>
      <c r="AS170" s="1352" t="str">
        <f>IF(LEN(X170)=0,"",X170)</f>
        <v/>
      </c>
    </row>
    <row r="171" spans="1:51" s="905" customFormat="1" x14ac:dyDescent="0.2">
      <c r="A171" s="20"/>
      <c r="B171" s="600" t="s">
        <v>4944</v>
      </c>
      <c r="C171" s="600" t="s">
        <v>256</v>
      </c>
      <c r="D171" s="23"/>
      <c r="E171" s="23"/>
      <c r="F171" s="691"/>
      <c r="G171" s="23"/>
      <c r="H171" s="691"/>
      <c r="I171" s="589"/>
      <c r="J171" s="590" t="s">
        <v>256</v>
      </c>
      <c r="K171" s="590"/>
      <c r="L171" s="1634" t="s">
        <v>4929</v>
      </c>
      <c r="M171" s="948" t="str">
        <f>IF(R171,"Mandatory","N/A")</f>
        <v>Mandatory</v>
      </c>
      <c r="N171" s="4"/>
      <c r="O171" s="935"/>
      <c r="P171" s="905" t="b">
        <v>0</v>
      </c>
      <c r="Q171" s="905" t="b">
        <v>1</v>
      </c>
      <c r="R171" s="905" t="b">
        <f>S171</f>
        <v>1</v>
      </c>
      <c r="S171" s="905" t="b">
        <f>IF(AY19=INDEX(ddSingleOrMulti,2),TRUE,FALSE)</f>
        <v>1</v>
      </c>
      <c r="T171" s="991" t="b">
        <f>AND(NOT(S171),W171=TRUE)</f>
        <v>0</v>
      </c>
      <c r="W171" s="27" t="b">
        <v>1</v>
      </c>
      <c r="X171" s="1600"/>
      <c r="AC171" s="905" t="b">
        <f>OR(AD171:AE171)</f>
        <v>0</v>
      </c>
      <c r="AD171" s="905" t="b">
        <f>T171</f>
        <v>0</v>
      </c>
      <c r="AE171" s="905" t="b">
        <f>AND(R171,NOT(W171=TRUE))</f>
        <v>0</v>
      </c>
      <c r="AL171" s="1352" t="str">
        <f>SUBSTITUTE(SUBSTITUTE(SUBSTITUTE("dpa"&amp;$B171&amp;$C171&amp;$D171&amp;$E171,".","_"),"(","_"),")","")</f>
        <v>dpa1002_5_3</v>
      </c>
      <c r="AM171" s="1352" t="str">
        <f t="shared" si="15"/>
        <v>Mandatory</v>
      </c>
      <c r="AN171" s="78"/>
      <c r="AO171" s="78"/>
      <c r="AP171" s="1352" t="str">
        <f t="shared" si="16"/>
        <v>dch1002_5_3</v>
      </c>
      <c r="AQ171" s="1352" t="b">
        <f>IF(LEN(W171)=0,"",W171)</f>
        <v>1</v>
      </c>
      <c r="AR171" s="1352" t="str">
        <f>SUBSTITUTE(SUBSTITUTE(SUBSTITUTE("dnt"&amp;$B171&amp;$C171&amp;$D171&amp;$E171,".","_"),"(","_"),")","")</f>
        <v>dnt1002_5_3</v>
      </c>
      <c r="AS171" s="1352" t="str">
        <f>IF(LEN(X171)=0,"",X171)</f>
        <v/>
      </c>
    </row>
    <row r="172" spans="1:51" s="905" customFormat="1" x14ac:dyDescent="0.2">
      <c r="A172" s="20"/>
      <c r="B172" s="600" t="s">
        <v>4944</v>
      </c>
      <c r="C172" s="600" t="s">
        <v>256</v>
      </c>
      <c r="D172" s="23"/>
      <c r="E172" s="23"/>
      <c r="F172" s="691"/>
      <c r="G172" s="23"/>
      <c r="H172" s="691"/>
      <c r="I172" s="589"/>
      <c r="J172" s="606"/>
      <c r="K172" s="606"/>
      <c r="L172" s="1639"/>
      <c r="M172" s="935"/>
      <c r="N172" s="4"/>
      <c r="O172" s="935"/>
      <c r="X172" s="1600"/>
      <c r="AL172" s="78"/>
      <c r="AM172" s="78"/>
      <c r="AN172" s="78"/>
      <c r="AO172" s="78"/>
      <c r="AP172" s="78"/>
      <c r="AQ172" s="78"/>
      <c r="AR172" s="78"/>
      <c r="AS172" s="78"/>
    </row>
    <row r="173" spans="1:51" s="905" customFormat="1" x14ac:dyDescent="0.2">
      <c r="A173" s="20"/>
      <c r="B173" s="600" t="s">
        <v>4944</v>
      </c>
      <c r="C173" s="600" t="s">
        <v>259</v>
      </c>
      <c r="D173" s="23"/>
      <c r="E173" s="23"/>
      <c r="F173" s="691"/>
      <c r="G173" s="23"/>
      <c r="H173" s="691"/>
      <c r="I173" s="589"/>
      <c r="J173" s="606" t="s">
        <v>259</v>
      </c>
      <c r="K173" s="606"/>
      <c r="L173" s="1361" t="s">
        <v>4930</v>
      </c>
      <c r="M173" s="935"/>
      <c r="N173" s="4"/>
      <c r="O173" s="935"/>
      <c r="P173" s="905" t="b">
        <v>0</v>
      </c>
      <c r="Q173" s="905" t="b">
        <v>1</v>
      </c>
      <c r="R173" s="905" t="b">
        <v>0</v>
      </c>
      <c r="S173" s="905" t="b">
        <f>IF(AY19=INDEX(ddSingleOrMulti,2),TRUE,FALSE)</f>
        <v>1</v>
      </c>
      <c r="T173" s="991" t="b">
        <f t="shared" ref="T173:T178" si="17">AND(NOT(S173),W173=TRUE)</f>
        <v>0</v>
      </c>
      <c r="W173" s="27" t="b">
        <v>1</v>
      </c>
      <c r="X173" s="906"/>
      <c r="AC173" s="905" t="b">
        <f t="shared" ref="AC173:AC178" si="18">OR(AD173:AE173)</f>
        <v>0</v>
      </c>
      <c r="AD173" s="905" t="b">
        <f t="shared" ref="AD173:AD178" si="19">T173</f>
        <v>0</v>
      </c>
      <c r="AE173" s="905" t="b">
        <f t="shared" ref="AE173:AE178" si="20">AND(R173,NOT(W173=TRUE))</f>
        <v>0</v>
      </c>
      <c r="AL173" s="78"/>
      <c r="AM173" s="78"/>
      <c r="AN173" s="78"/>
      <c r="AO173" s="78"/>
      <c r="AP173" s="1352" t="str">
        <f t="shared" ref="AP173:AP178" si="21">SUBSTITUTE(SUBSTITUTE(SUBSTITUTE("dch"&amp;$B173&amp;$C173&amp;$D173&amp;$E173,".","_"),"(","_"),")","")</f>
        <v>dch1002_5_4</v>
      </c>
      <c r="AQ173" s="1352" t="b">
        <f t="shared" ref="AQ173:AQ178" si="22">IF(LEN(W173)=0,"",W173)</f>
        <v>1</v>
      </c>
      <c r="AR173" s="1352" t="str">
        <f t="shared" ref="AR173:AR178" si="23">SUBSTITUTE(SUBSTITUTE(SUBSTITUTE("dnt"&amp;$B173&amp;$C173&amp;$D173&amp;$E173,".","_"),"(","_"),")","")</f>
        <v>dnt1002_5_4</v>
      </c>
      <c r="AS173" s="1352" t="str">
        <f t="shared" ref="AS173:AS178" si="24">IF(LEN(X173)=0,"",X173)</f>
        <v/>
      </c>
    </row>
    <row r="174" spans="1:51" s="905" customFormat="1" x14ac:dyDescent="0.2">
      <c r="A174" s="20"/>
      <c r="B174" s="600" t="s">
        <v>4944</v>
      </c>
      <c r="C174" s="600" t="s">
        <v>263</v>
      </c>
      <c r="D174" s="23"/>
      <c r="E174" s="23"/>
      <c r="F174" s="691"/>
      <c r="G174" s="23"/>
      <c r="H174" s="691"/>
      <c r="I174" s="589"/>
      <c r="J174" s="606" t="s">
        <v>263</v>
      </c>
      <c r="K174" s="606"/>
      <c r="L174" s="1361" t="s">
        <v>4931</v>
      </c>
      <c r="M174" s="935"/>
      <c r="N174" s="4"/>
      <c r="O174" s="935"/>
      <c r="P174" s="905" t="b">
        <v>0</v>
      </c>
      <c r="Q174" s="905" t="b">
        <v>1</v>
      </c>
      <c r="R174" s="905" t="b">
        <v>0</v>
      </c>
      <c r="S174" s="905" t="b">
        <f>IF(AY19=INDEX(ddSingleOrMulti,2),TRUE,FALSE)</f>
        <v>1</v>
      </c>
      <c r="T174" s="991" t="b">
        <f t="shared" si="17"/>
        <v>0</v>
      </c>
      <c r="W174" s="27" t="b">
        <v>1</v>
      </c>
      <c r="X174" s="906"/>
      <c r="AC174" s="905" t="b">
        <f t="shared" si="18"/>
        <v>0</v>
      </c>
      <c r="AD174" s="905" t="b">
        <f t="shared" si="19"/>
        <v>0</v>
      </c>
      <c r="AE174" s="905" t="b">
        <f t="shared" si="20"/>
        <v>0</v>
      </c>
      <c r="AL174" s="78"/>
      <c r="AM174" s="78"/>
      <c r="AN174" s="78"/>
      <c r="AO174" s="78"/>
      <c r="AP174" s="1352" t="str">
        <f t="shared" si="21"/>
        <v>dch1002_5_5</v>
      </c>
      <c r="AQ174" s="1352" t="b">
        <f t="shared" si="22"/>
        <v>1</v>
      </c>
      <c r="AR174" s="1352" t="str">
        <f t="shared" si="23"/>
        <v>dnt1002_5_5</v>
      </c>
      <c r="AS174" s="1352" t="str">
        <f t="shared" si="24"/>
        <v/>
      </c>
    </row>
    <row r="175" spans="1:51" s="905" customFormat="1" x14ac:dyDescent="0.2">
      <c r="A175" s="20"/>
      <c r="B175" s="600" t="s">
        <v>4944</v>
      </c>
      <c r="C175" s="600" t="s">
        <v>264</v>
      </c>
      <c r="D175" s="23"/>
      <c r="E175" s="23"/>
      <c r="F175" s="691"/>
      <c r="G175" s="23"/>
      <c r="H175" s="691"/>
      <c r="I175" s="589"/>
      <c r="J175" s="606" t="s">
        <v>264</v>
      </c>
      <c r="K175" s="606"/>
      <c r="L175" s="1361" t="s">
        <v>4932</v>
      </c>
      <c r="M175" s="935"/>
      <c r="N175" s="4"/>
      <c r="O175" s="935"/>
      <c r="P175" s="905" t="b">
        <v>0</v>
      </c>
      <c r="Q175" s="905" t="b">
        <v>1</v>
      </c>
      <c r="R175" s="905" t="b">
        <v>0</v>
      </c>
      <c r="S175" s="905" t="b">
        <f>IF(AY19=INDEX(ddSingleOrMulti,2),TRUE,FALSE)</f>
        <v>1</v>
      </c>
      <c r="T175" s="991" t="b">
        <f t="shared" si="17"/>
        <v>0</v>
      </c>
      <c r="W175" s="27" t="b">
        <v>1</v>
      </c>
      <c r="X175" s="906"/>
      <c r="AC175" s="905" t="b">
        <f t="shared" si="18"/>
        <v>0</v>
      </c>
      <c r="AD175" s="905" t="b">
        <f t="shared" si="19"/>
        <v>0</v>
      </c>
      <c r="AE175" s="905" t="b">
        <f t="shared" si="20"/>
        <v>0</v>
      </c>
      <c r="AL175" s="78"/>
      <c r="AM175" s="78"/>
      <c r="AN175" s="78"/>
      <c r="AO175" s="78"/>
      <c r="AP175" s="1352" t="str">
        <f t="shared" si="21"/>
        <v>dch1002_5_6</v>
      </c>
      <c r="AQ175" s="1352" t="b">
        <f t="shared" si="22"/>
        <v>1</v>
      </c>
      <c r="AR175" s="1352" t="str">
        <f t="shared" si="23"/>
        <v>dnt1002_5_6</v>
      </c>
      <c r="AS175" s="1352" t="str">
        <f t="shared" si="24"/>
        <v/>
      </c>
    </row>
    <row r="176" spans="1:51" s="905" customFormat="1" x14ac:dyDescent="0.2">
      <c r="A176" s="20"/>
      <c r="B176" s="600" t="s">
        <v>4944</v>
      </c>
      <c r="C176" s="600" t="s">
        <v>356</v>
      </c>
      <c r="D176" s="23"/>
      <c r="E176" s="23"/>
      <c r="F176" s="691"/>
      <c r="G176" s="23"/>
      <c r="H176" s="691"/>
      <c r="I176" s="589"/>
      <c r="J176" s="606" t="s">
        <v>356</v>
      </c>
      <c r="K176" s="606"/>
      <c r="L176" s="1361" t="s">
        <v>4933</v>
      </c>
      <c r="M176" s="935"/>
      <c r="N176" s="4"/>
      <c r="O176" s="935"/>
      <c r="P176" s="905" t="b">
        <v>0</v>
      </c>
      <c r="Q176" s="905" t="b">
        <v>1</v>
      </c>
      <c r="R176" s="905" t="b">
        <v>0</v>
      </c>
      <c r="S176" s="905" t="b">
        <f>IF(AY19=INDEX(ddSingleOrMulti,2),TRUE,FALSE)</f>
        <v>1</v>
      </c>
      <c r="T176" s="991" t="b">
        <f t="shared" si="17"/>
        <v>0</v>
      </c>
      <c r="W176" s="27" t="b">
        <v>1</v>
      </c>
      <c r="X176" s="906"/>
      <c r="AC176" s="905" t="b">
        <f t="shared" si="18"/>
        <v>0</v>
      </c>
      <c r="AD176" s="905" t="b">
        <f t="shared" si="19"/>
        <v>0</v>
      </c>
      <c r="AE176" s="905" t="b">
        <f t="shared" si="20"/>
        <v>0</v>
      </c>
      <c r="AL176" s="78"/>
      <c r="AM176" s="78"/>
      <c r="AN176" s="78"/>
      <c r="AO176" s="78"/>
      <c r="AP176" s="1352" t="str">
        <f t="shared" si="21"/>
        <v>dch1002_5_7</v>
      </c>
      <c r="AQ176" s="1352" t="b">
        <f t="shared" si="22"/>
        <v>1</v>
      </c>
      <c r="AR176" s="1352" t="str">
        <f t="shared" si="23"/>
        <v>dnt1002_5_7</v>
      </c>
      <c r="AS176" s="1352" t="str">
        <f t="shared" si="24"/>
        <v/>
      </c>
    </row>
    <row r="177" spans="1:51" s="905" customFormat="1" x14ac:dyDescent="0.2">
      <c r="A177" s="20"/>
      <c r="B177" s="600" t="s">
        <v>4944</v>
      </c>
      <c r="C177" s="600" t="s">
        <v>389</v>
      </c>
      <c r="D177" s="23"/>
      <c r="E177" s="23"/>
      <c r="F177" s="691"/>
      <c r="G177" s="23"/>
      <c r="H177" s="691"/>
      <c r="I177" s="589"/>
      <c r="J177" s="606" t="s">
        <v>389</v>
      </c>
      <c r="K177" s="606"/>
      <c r="L177" s="1361" t="s">
        <v>4934</v>
      </c>
      <c r="M177" s="935"/>
      <c r="N177" s="4"/>
      <c r="O177" s="935"/>
      <c r="P177" s="905" t="b">
        <v>0</v>
      </c>
      <c r="Q177" s="905" t="b">
        <v>1</v>
      </c>
      <c r="R177" s="905" t="b">
        <v>0</v>
      </c>
      <c r="S177" s="905" t="b">
        <f>IF(AY19=INDEX(ddSingleOrMulti,2),TRUE,FALSE)</f>
        <v>1</v>
      </c>
      <c r="T177" s="991" t="b">
        <f t="shared" si="17"/>
        <v>0</v>
      </c>
      <c r="W177" s="27" t="b">
        <v>1</v>
      </c>
      <c r="X177" s="906"/>
      <c r="AC177" s="905" t="b">
        <f t="shared" si="18"/>
        <v>0</v>
      </c>
      <c r="AD177" s="905" t="b">
        <f t="shared" si="19"/>
        <v>0</v>
      </c>
      <c r="AE177" s="905" t="b">
        <f t="shared" si="20"/>
        <v>0</v>
      </c>
      <c r="AL177" s="78"/>
      <c r="AM177" s="78"/>
      <c r="AN177" s="78"/>
      <c r="AO177" s="78"/>
      <c r="AP177" s="1352" t="str">
        <f t="shared" si="21"/>
        <v>dch1002_5_8</v>
      </c>
      <c r="AQ177" s="1352" t="b">
        <f t="shared" si="22"/>
        <v>1</v>
      </c>
      <c r="AR177" s="1352" t="str">
        <f t="shared" si="23"/>
        <v>dnt1002_5_8</v>
      </c>
      <c r="AS177" s="1352" t="str">
        <f t="shared" si="24"/>
        <v/>
      </c>
    </row>
    <row r="178" spans="1:51" s="905" customFormat="1" ht="16" thickBot="1" x14ac:dyDescent="0.25">
      <c r="A178" s="20"/>
      <c r="B178" s="600" t="s">
        <v>4944</v>
      </c>
      <c r="C178" s="600" t="s">
        <v>391</v>
      </c>
      <c r="D178" s="23"/>
      <c r="E178" s="23"/>
      <c r="F178" s="691"/>
      <c r="G178" s="23"/>
      <c r="H178" s="691"/>
      <c r="I178" s="594"/>
      <c r="J178" s="594" t="s">
        <v>391</v>
      </c>
      <c r="K178" s="594"/>
      <c r="L178" s="920" t="s">
        <v>4935</v>
      </c>
      <c r="M178" s="922"/>
      <c r="N178" s="239"/>
      <c r="O178" s="922"/>
      <c r="P178" s="100" t="b">
        <v>0</v>
      </c>
      <c r="Q178" s="100" t="b">
        <v>1</v>
      </c>
      <c r="R178" s="100" t="b">
        <v>0</v>
      </c>
      <c r="S178" s="100" t="b">
        <f>IF(AY19=INDEX(ddSingleOrMulti,2),TRUE,FALSE)</f>
        <v>1</v>
      </c>
      <c r="T178" s="100" t="b">
        <f t="shared" si="17"/>
        <v>0</v>
      </c>
      <c r="U178" s="100"/>
      <c r="V178" s="100"/>
      <c r="W178" s="101" t="b">
        <v>1</v>
      </c>
      <c r="X178" s="938"/>
      <c r="AC178" s="905" t="b">
        <f t="shared" si="18"/>
        <v>0</v>
      </c>
      <c r="AD178" s="905" t="b">
        <f t="shared" si="19"/>
        <v>0</v>
      </c>
      <c r="AE178" s="905" t="b">
        <f t="shared" si="20"/>
        <v>0</v>
      </c>
      <c r="AL178" s="78"/>
      <c r="AM178" s="78"/>
      <c r="AN178" s="78"/>
      <c r="AO178" s="78"/>
      <c r="AP178" s="1352" t="str">
        <f t="shared" si="21"/>
        <v>dch1002_5_9</v>
      </c>
      <c r="AQ178" s="1352" t="b">
        <f t="shared" si="22"/>
        <v>1</v>
      </c>
      <c r="AR178" s="1352" t="str">
        <f t="shared" si="23"/>
        <v>dnt1002_5_9</v>
      </c>
      <c r="AS178" s="1352" t="str">
        <f t="shared" si="24"/>
        <v/>
      </c>
    </row>
    <row r="179" spans="1:51" s="905" customFormat="1" ht="16" thickTop="1" x14ac:dyDescent="0.2">
      <c r="A179" s="20"/>
      <c r="B179" s="600" t="s">
        <v>4945</v>
      </c>
      <c r="C179" s="600"/>
      <c r="D179" s="23"/>
      <c r="E179" s="23"/>
      <c r="F179" s="691"/>
      <c r="G179" s="23"/>
      <c r="H179" s="691"/>
      <c r="I179" s="589" t="s">
        <v>4936</v>
      </c>
      <c r="J179" s="589"/>
      <c r="K179" s="589"/>
      <c r="L179" s="1687" t="s">
        <v>4937</v>
      </c>
      <c r="M179" s="1628" t="s">
        <v>4946</v>
      </c>
      <c r="N179" s="4"/>
      <c r="O179" s="1669">
        <f>ROUNDDOWN(COUNTIF(W183:W189,TRUE)/2,0)</f>
        <v>0</v>
      </c>
      <c r="X179"/>
      <c r="AL179" s="1352" t="str">
        <f>SUBSTITUTE(SUBSTITUTE(SUBSTITUTE("dpa"&amp;$B179&amp;$C179&amp;$D179&amp;$E179,".","_"),"(","_"),")","")</f>
        <v>dpa1002_6</v>
      </c>
      <c r="AM179" s="1352" t="str">
        <f t="shared" ref="AM179" si="25">M179</f>
        <v>1 per 2 items</v>
      </c>
      <c r="AN179" s="1352" t="str">
        <f>SUBSTITUTE(SUBSTITUTE(SUBSTITUTE("dpc"&amp;$B179&amp;$C179&amp;$D179&amp;$E179,".","_"),"(","_"),")","")</f>
        <v>dpc1002_6</v>
      </c>
      <c r="AO179" s="1352">
        <f>O179</f>
        <v>0</v>
      </c>
      <c r="AP179" s="78"/>
      <c r="AQ179" s="78"/>
      <c r="AR179" s="78"/>
      <c r="AS179" s="78"/>
    </row>
    <row r="180" spans="1:51" s="905" customFormat="1" x14ac:dyDescent="0.2">
      <c r="A180" s="20"/>
      <c r="B180" s="600" t="s">
        <v>4945</v>
      </c>
      <c r="C180" s="600"/>
      <c r="D180" s="23"/>
      <c r="E180" s="23"/>
      <c r="F180" s="691"/>
      <c r="G180" s="23"/>
      <c r="H180" s="691"/>
      <c r="I180" s="589"/>
      <c r="J180" s="589"/>
      <c r="K180" s="589"/>
      <c r="L180" s="1687"/>
      <c r="M180" s="1628"/>
      <c r="N180" s="4"/>
      <c r="O180" s="1669"/>
      <c r="X180"/>
      <c r="AL180" s="78"/>
      <c r="AM180" s="78"/>
      <c r="AN180" s="78"/>
      <c r="AO180" s="78"/>
      <c r="AP180" s="78"/>
      <c r="AQ180" s="78"/>
      <c r="AR180" s="78"/>
      <c r="AS180" s="78"/>
    </row>
    <row r="181" spans="1:51" s="905" customFormat="1" x14ac:dyDescent="0.2">
      <c r="A181" s="20"/>
      <c r="B181" s="600" t="s">
        <v>4945</v>
      </c>
      <c r="C181" s="600"/>
      <c r="D181" s="23"/>
      <c r="E181" s="23"/>
      <c r="F181" s="691"/>
      <c r="G181" s="23"/>
      <c r="H181" s="691"/>
      <c r="I181" s="589"/>
      <c r="J181" s="589"/>
      <c r="K181" s="589"/>
      <c r="L181" s="1687"/>
      <c r="M181" s="1628"/>
      <c r="N181" s="4"/>
      <c r="O181" s="1669"/>
      <c r="X181"/>
      <c r="AL181" s="78"/>
      <c r="AM181" s="78"/>
      <c r="AN181" s="78"/>
      <c r="AO181" s="78"/>
      <c r="AP181" s="78"/>
      <c r="AQ181" s="78"/>
      <c r="AR181" s="78"/>
      <c r="AS181" s="78"/>
    </row>
    <row r="182" spans="1:51" s="905" customFormat="1" x14ac:dyDescent="0.2">
      <c r="A182" s="20"/>
      <c r="B182" s="600" t="s">
        <v>4945</v>
      </c>
      <c r="C182" s="600"/>
      <c r="D182" s="23"/>
      <c r="E182" s="23"/>
      <c r="F182" s="691"/>
      <c r="G182" s="23"/>
      <c r="H182" s="691"/>
      <c r="I182" s="589"/>
      <c r="J182" s="589"/>
      <c r="K182" s="589"/>
      <c r="L182" s="1687"/>
      <c r="M182" s="1628"/>
      <c r="N182" s="4"/>
      <c r="O182" s="1669"/>
      <c r="X182"/>
      <c r="AL182" s="78"/>
      <c r="AM182" s="78"/>
      <c r="AN182" s="78"/>
      <c r="AO182" s="78"/>
      <c r="AP182" s="78"/>
      <c r="AQ182" s="78"/>
      <c r="AR182" s="78"/>
      <c r="AS182" s="78"/>
    </row>
    <row r="183" spans="1:51" s="905" customFormat="1" x14ac:dyDescent="0.2">
      <c r="A183" s="20"/>
      <c r="B183" s="600" t="s">
        <v>4945</v>
      </c>
      <c r="C183" s="600" t="s">
        <v>254</v>
      </c>
      <c r="D183" s="23"/>
      <c r="E183" s="23"/>
      <c r="F183" s="691"/>
      <c r="G183" s="23"/>
      <c r="H183" s="691"/>
      <c r="I183" s="589"/>
      <c r="J183" s="606" t="s">
        <v>254</v>
      </c>
      <c r="K183" s="606"/>
      <c r="L183" s="1361" t="s">
        <v>4938</v>
      </c>
      <c r="M183" s="1356"/>
      <c r="N183" s="129"/>
      <c r="O183" s="1356"/>
      <c r="P183" s="905" t="b">
        <v>0</v>
      </c>
      <c r="Q183" s="905" t="b">
        <v>1</v>
      </c>
      <c r="R183" s="905" t="b">
        <v>0</v>
      </c>
      <c r="S183" s="905" t="b">
        <f>IF(AY19=INDEX(ddSingleOrMulti,2),TRUE,FALSE)</f>
        <v>1</v>
      </c>
      <c r="T183" s="991" t="b">
        <f t="shared" ref="T183:T189" si="26">AND(NOT(S183),W183=TRUE)</f>
        <v>0</v>
      </c>
      <c r="W183" s="27"/>
      <c r="X183" s="906"/>
      <c r="AC183" s="905" t="b">
        <f t="shared" ref="AC183:AC189" si="27">OR(AD183:AE183)</f>
        <v>0</v>
      </c>
      <c r="AD183" s="905" t="b">
        <f t="shared" ref="AD183:AD189" si="28">T183</f>
        <v>0</v>
      </c>
      <c r="AE183" s="905" t="b">
        <f t="shared" ref="AE183:AE189" si="29">AND(R183,NOT(W183=TRUE))</f>
        <v>0</v>
      </c>
      <c r="AL183" s="78"/>
      <c r="AM183" s="78"/>
      <c r="AN183" s="78"/>
      <c r="AO183" s="78"/>
      <c r="AP183" s="1352" t="str">
        <f t="shared" ref="AP183:AP189" si="30">SUBSTITUTE(SUBSTITUTE(SUBSTITUTE("dch"&amp;$B183&amp;$C183&amp;$D183&amp;$E183,".","_"),"(","_"),")","")</f>
        <v>dch1002_6_1</v>
      </c>
      <c r="AQ183" s="1352" t="str">
        <f t="shared" ref="AQ183:AQ189" si="31">IF(LEN(W183)=0,"",W183)</f>
        <v/>
      </c>
      <c r="AR183" s="1352" t="str">
        <f t="shared" ref="AR183:AR189" si="32">SUBSTITUTE(SUBSTITUTE(SUBSTITUTE("dnt"&amp;$B183&amp;$C183&amp;$D183&amp;$E183,".","_"),"(","_"),")","")</f>
        <v>dnt1002_6_1</v>
      </c>
      <c r="AS183" s="1352" t="str">
        <f t="shared" ref="AS183:AS189" si="33">IF(LEN(X183)=0,"",X183)</f>
        <v/>
      </c>
    </row>
    <row r="184" spans="1:51" s="905" customFormat="1" x14ac:dyDescent="0.2">
      <c r="A184" s="20"/>
      <c r="B184" s="600" t="s">
        <v>4945</v>
      </c>
      <c r="C184" s="600" t="s">
        <v>255</v>
      </c>
      <c r="D184" s="23"/>
      <c r="E184" s="23"/>
      <c r="F184" s="691"/>
      <c r="G184" s="23"/>
      <c r="H184" s="691"/>
      <c r="I184" s="589"/>
      <c r="J184" s="606" t="s">
        <v>255</v>
      </c>
      <c r="K184" s="606"/>
      <c r="L184" s="1361" t="s">
        <v>4939</v>
      </c>
      <c r="M184" s="1356"/>
      <c r="N184" s="129"/>
      <c r="O184" s="1356"/>
      <c r="P184" s="905" t="b">
        <v>0</v>
      </c>
      <c r="Q184" s="905" t="b">
        <v>1</v>
      </c>
      <c r="R184" s="905" t="b">
        <v>0</v>
      </c>
      <c r="S184" s="905" t="b">
        <f>IF(AY19=INDEX(ddSingleOrMulti,2),TRUE,FALSE)</f>
        <v>1</v>
      </c>
      <c r="T184" s="991" t="b">
        <f t="shared" si="26"/>
        <v>0</v>
      </c>
      <c r="W184" s="27"/>
      <c r="X184" s="906"/>
      <c r="AC184" s="905" t="b">
        <f t="shared" si="27"/>
        <v>0</v>
      </c>
      <c r="AD184" s="905" t="b">
        <f t="shared" si="28"/>
        <v>0</v>
      </c>
      <c r="AE184" s="905" t="b">
        <f t="shared" si="29"/>
        <v>0</v>
      </c>
      <c r="AL184" s="78"/>
      <c r="AM184" s="78"/>
      <c r="AN184" s="78"/>
      <c r="AO184" s="78"/>
      <c r="AP184" s="1352" t="str">
        <f t="shared" si="30"/>
        <v>dch1002_6_2</v>
      </c>
      <c r="AQ184" s="1352" t="str">
        <f t="shared" si="31"/>
        <v/>
      </c>
      <c r="AR184" s="1352" t="str">
        <f t="shared" si="32"/>
        <v>dnt1002_6_2</v>
      </c>
      <c r="AS184" s="1352" t="str">
        <f t="shared" si="33"/>
        <v/>
      </c>
    </row>
    <row r="185" spans="1:51" s="905" customFormat="1" x14ac:dyDescent="0.2">
      <c r="A185" s="20"/>
      <c r="B185" s="600" t="s">
        <v>4945</v>
      </c>
      <c r="C185" s="600" t="s">
        <v>256</v>
      </c>
      <c r="D185" s="23"/>
      <c r="E185" s="23"/>
      <c r="F185" s="691"/>
      <c r="G185" s="23"/>
      <c r="H185" s="691"/>
      <c r="I185" s="589"/>
      <c r="J185" s="606" t="s">
        <v>256</v>
      </c>
      <c r="K185" s="606"/>
      <c r="L185" s="1361" t="s">
        <v>4940</v>
      </c>
      <c r="M185" s="1356"/>
      <c r="N185" s="129"/>
      <c r="O185" s="1356"/>
      <c r="P185" s="905" t="b">
        <v>0</v>
      </c>
      <c r="Q185" s="905" t="b">
        <v>1</v>
      </c>
      <c r="R185" s="905" t="b">
        <v>0</v>
      </c>
      <c r="S185" s="905" t="b">
        <f>IF(AY19=INDEX(ddSingleOrMulti,2),TRUE,FALSE)</f>
        <v>1</v>
      </c>
      <c r="T185" s="991" t="b">
        <f t="shared" si="26"/>
        <v>0</v>
      </c>
      <c r="W185" s="27"/>
      <c r="X185" s="906"/>
      <c r="AC185" s="905" t="b">
        <f t="shared" si="27"/>
        <v>0</v>
      </c>
      <c r="AD185" s="905" t="b">
        <f t="shared" si="28"/>
        <v>0</v>
      </c>
      <c r="AE185" s="905" t="b">
        <f t="shared" si="29"/>
        <v>0</v>
      </c>
      <c r="AL185" s="78"/>
      <c r="AM185" s="78"/>
      <c r="AN185" s="78"/>
      <c r="AO185" s="78"/>
      <c r="AP185" s="1352" t="str">
        <f t="shared" si="30"/>
        <v>dch1002_6_3</v>
      </c>
      <c r="AQ185" s="1352" t="str">
        <f t="shared" si="31"/>
        <v/>
      </c>
      <c r="AR185" s="1352" t="str">
        <f t="shared" si="32"/>
        <v>dnt1002_6_3</v>
      </c>
      <c r="AS185" s="1352" t="str">
        <f t="shared" si="33"/>
        <v/>
      </c>
    </row>
    <row r="186" spans="1:51" s="905" customFormat="1" x14ac:dyDescent="0.2">
      <c r="A186" s="20"/>
      <c r="B186" s="600" t="s">
        <v>4945</v>
      </c>
      <c r="C186" s="600" t="s">
        <v>259</v>
      </c>
      <c r="D186" s="23"/>
      <c r="E186" s="23"/>
      <c r="F186" s="691"/>
      <c r="G186" s="23"/>
      <c r="H186" s="691"/>
      <c r="I186" s="589"/>
      <c r="J186" s="606" t="s">
        <v>259</v>
      </c>
      <c r="K186" s="606"/>
      <c r="L186" s="1361" t="s">
        <v>4941</v>
      </c>
      <c r="M186" s="1356"/>
      <c r="N186" s="129"/>
      <c r="O186" s="1356"/>
      <c r="P186" s="905" t="b">
        <v>0</v>
      </c>
      <c r="Q186" s="905" t="b">
        <v>1</v>
      </c>
      <c r="R186" s="905" t="b">
        <v>0</v>
      </c>
      <c r="S186" s="905" t="b">
        <f>IF(AY19=INDEX(ddSingleOrMulti,2),TRUE,FALSE)</f>
        <v>1</v>
      </c>
      <c r="T186" s="991" t="b">
        <f t="shared" si="26"/>
        <v>0</v>
      </c>
      <c r="W186" s="27"/>
      <c r="X186" s="906"/>
      <c r="AC186" s="905" t="b">
        <f t="shared" si="27"/>
        <v>0</v>
      </c>
      <c r="AD186" s="905" t="b">
        <f t="shared" si="28"/>
        <v>0</v>
      </c>
      <c r="AE186" s="905" t="b">
        <f t="shared" si="29"/>
        <v>0</v>
      </c>
      <c r="AL186" s="78"/>
      <c r="AM186" s="78"/>
      <c r="AN186" s="78"/>
      <c r="AO186" s="78"/>
      <c r="AP186" s="1352" t="str">
        <f t="shared" si="30"/>
        <v>dch1002_6_4</v>
      </c>
      <c r="AQ186" s="1352" t="str">
        <f t="shared" si="31"/>
        <v/>
      </c>
      <c r="AR186" s="1352" t="str">
        <f t="shared" si="32"/>
        <v>dnt1002_6_4</v>
      </c>
      <c r="AS186" s="1352" t="str">
        <f t="shared" si="33"/>
        <v/>
      </c>
    </row>
    <row r="187" spans="1:51" s="905" customFormat="1" x14ac:dyDescent="0.2">
      <c r="A187" s="20"/>
      <c r="B187" s="600" t="s">
        <v>4945</v>
      </c>
      <c r="C187" s="600" t="s">
        <v>263</v>
      </c>
      <c r="D187" s="23"/>
      <c r="E187" s="23"/>
      <c r="F187" s="691"/>
      <c r="G187" s="23"/>
      <c r="H187" s="691"/>
      <c r="I187" s="589"/>
      <c r="J187" s="606" t="s">
        <v>263</v>
      </c>
      <c r="K187" s="606"/>
      <c r="L187" s="1361" t="s">
        <v>4942</v>
      </c>
      <c r="M187" s="1356"/>
      <c r="N187" s="129"/>
      <c r="O187" s="1356"/>
      <c r="P187" s="905" t="b">
        <v>0</v>
      </c>
      <c r="Q187" s="905" t="b">
        <v>1</v>
      </c>
      <c r="R187" s="905" t="b">
        <v>0</v>
      </c>
      <c r="S187" s="905" t="b">
        <f>IF(AY19=INDEX(ddSingleOrMulti,2),TRUE,FALSE)</f>
        <v>1</v>
      </c>
      <c r="T187" s="991" t="b">
        <f t="shared" si="26"/>
        <v>0</v>
      </c>
      <c r="W187" s="27"/>
      <c r="X187" s="906"/>
      <c r="AC187" s="905" t="b">
        <f t="shared" si="27"/>
        <v>0</v>
      </c>
      <c r="AD187" s="905" t="b">
        <f t="shared" si="28"/>
        <v>0</v>
      </c>
      <c r="AE187" s="905" t="b">
        <f t="shared" si="29"/>
        <v>0</v>
      </c>
      <c r="AL187" s="78"/>
      <c r="AM187" s="78"/>
      <c r="AN187" s="78"/>
      <c r="AO187" s="78"/>
      <c r="AP187" s="1352" t="str">
        <f t="shared" si="30"/>
        <v>dch1002_6_5</v>
      </c>
      <c r="AQ187" s="1352" t="str">
        <f t="shared" si="31"/>
        <v/>
      </c>
      <c r="AR187" s="1352" t="str">
        <f t="shared" si="32"/>
        <v>dnt1002_6_5</v>
      </c>
      <c r="AS187" s="1352" t="str">
        <f t="shared" si="33"/>
        <v/>
      </c>
    </row>
    <row r="188" spans="1:51" s="905" customFormat="1" x14ac:dyDescent="0.2">
      <c r="A188" s="20"/>
      <c r="B188" s="600" t="s">
        <v>4945</v>
      </c>
      <c r="C188" s="600" t="s">
        <v>264</v>
      </c>
      <c r="D188" s="23"/>
      <c r="E188" s="23"/>
      <c r="F188" s="691"/>
      <c r="G188" s="23"/>
      <c r="H188" s="691"/>
      <c r="I188" s="589"/>
      <c r="J188" s="606" t="s">
        <v>264</v>
      </c>
      <c r="K188" s="606"/>
      <c r="L188" s="1361" t="s">
        <v>2829</v>
      </c>
      <c r="M188" s="1356"/>
      <c r="N188" s="129"/>
      <c r="O188" s="1356"/>
      <c r="P188" s="905" t="b">
        <v>0</v>
      </c>
      <c r="Q188" s="905" t="b">
        <v>1</v>
      </c>
      <c r="R188" s="905" t="b">
        <v>0</v>
      </c>
      <c r="S188" s="905" t="b">
        <f>IF(AY19=INDEX(ddSingleOrMulti,2),TRUE,FALSE)</f>
        <v>1</v>
      </c>
      <c r="T188" s="991" t="b">
        <f t="shared" si="26"/>
        <v>0</v>
      </c>
      <c r="W188" s="27"/>
      <c r="X188" s="906"/>
      <c r="AC188" s="905" t="b">
        <f t="shared" si="27"/>
        <v>0</v>
      </c>
      <c r="AD188" s="905" t="b">
        <f t="shared" si="28"/>
        <v>0</v>
      </c>
      <c r="AE188" s="905" t="b">
        <f t="shared" si="29"/>
        <v>0</v>
      </c>
      <c r="AL188" s="78"/>
      <c r="AM188" s="78"/>
      <c r="AN188" s="78"/>
      <c r="AO188" s="78"/>
      <c r="AP188" s="1352" t="str">
        <f t="shared" si="30"/>
        <v>dch1002_6_6</v>
      </c>
      <c r="AQ188" s="1352" t="str">
        <f t="shared" si="31"/>
        <v/>
      </c>
      <c r="AR188" s="1352" t="str">
        <f t="shared" si="32"/>
        <v>dnt1002_6_6</v>
      </c>
      <c r="AS188" s="1352" t="str">
        <f t="shared" si="33"/>
        <v/>
      </c>
    </row>
    <row r="189" spans="1:51" customFormat="1" x14ac:dyDescent="0.2">
      <c r="B189" s="600" t="s">
        <v>4945</v>
      </c>
      <c r="C189" s="600" t="s">
        <v>356</v>
      </c>
      <c r="D189" s="1352"/>
      <c r="E189" s="1352"/>
      <c r="F189" s="1352"/>
      <c r="I189" s="589"/>
      <c r="J189" s="589" t="s">
        <v>356</v>
      </c>
      <c r="K189" s="589"/>
      <c r="L189" s="917" t="s">
        <v>4943</v>
      </c>
      <c r="M189" s="1391"/>
      <c r="N189" s="1391"/>
      <c r="O189" s="1391"/>
      <c r="P189" s="905" t="b">
        <v>0</v>
      </c>
      <c r="Q189" s="905" t="b">
        <v>1</v>
      </c>
      <c r="R189" s="905" t="b">
        <v>0</v>
      </c>
      <c r="S189" s="905" t="b">
        <f>IF(AY19=INDEX(ddSingleOrMulti,2),TRUE,FALSE)</f>
        <v>1</v>
      </c>
      <c r="T189" s="991" t="b">
        <f t="shared" si="26"/>
        <v>0</v>
      </c>
      <c r="W189" s="27"/>
      <c r="X189" s="906"/>
      <c r="AC189" s="905" t="b">
        <f t="shared" si="27"/>
        <v>0</v>
      </c>
      <c r="AD189" s="905" t="b">
        <f t="shared" si="28"/>
        <v>0</v>
      </c>
      <c r="AE189" s="905" t="b">
        <f t="shared" si="29"/>
        <v>0</v>
      </c>
      <c r="AL189" s="78"/>
      <c r="AM189" s="78"/>
      <c r="AN189" s="78"/>
      <c r="AO189" s="78"/>
      <c r="AP189" s="1352" t="str">
        <f t="shared" si="30"/>
        <v>dch1002_6_7</v>
      </c>
      <c r="AQ189" s="1352" t="str">
        <f t="shared" si="31"/>
        <v/>
      </c>
      <c r="AR189" s="1352" t="str">
        <f t="shared" si="32"/>
        <v>dnt1002_6_7</v>
      </c>
      <c r="AS189" s="1352" t="str">
        <f t="shared" si="33"/>
        <v/>
      </c>
      <c r="AX189" s="905"/>
      <c r="AY189" s="905"/>
    </row>
    <row r="190" spans="1:51" ht="19" x14ac:dyDescent="0.25">
      <c r="B190" s="600">
        <v>1003</v>
      </c>
      <c r="C190" s="23"/>
      <c r="D190" s="23"/>
      <c r="E190" s="23"/>
      <c r="F190" s="691"/>
      <c r="G190" s="23"/>
      <c r="H190" s="691"/>
      <c r="I190" s="72" t="s">
        <v>3759</v>
      </c>
      <c r="J190" s="72"/>
      <c r="K190" s="72"/>
      <c r="L190" s="232"/>
      <c r="M190" s="419"/>
      <c r="N190" s="428"/>
      <c r="O190" s="419"/>
      <c r="P190" s="25"/>
      <c r="Q190" s="25"/>
      <c r="R190" s="25"/>
      <c r="S190" s="25"/>
      <c r="T190" s="25"/>
      <c r="U190" s="25"/>
      <c r="V190" s="25"/>
      <c r="W190" s="25"/>
      <c r="X190" s="25"/>
      <c r="AX190" s="905"/>
      <c r="AY190" s="905"/>
    </row>
    <row r="191" spans="1:51" x14ac:dyDescent="0.2">
      <c r="B191" s="600" t="s">
        <v>3214</v>
      </c>
      <c r="C191" s="23"/>
      <c r="D191" s="23"/>
      <c r="E191" s="23"/>
      <c r="F191" s="691"/>
      <c r="G191" s="23"/>
      <c r="H191" s="691"/>
      <c r="I191" s="590" t="s">
        <v>3760</v>
      </c>
      <c r="J191" s="609"/>
      <c r="K191" s="609"/>
      <c r="L191" s="1629" t="s">
        <v>3763</v>
      </c>
      <c r="M191" s="908"/>
      <c r="N191" s="129"/>
      <c r="O191" s="908"/>
      <c r="P191" s="991"/>
      <c r="Q191" s="991"/>
      <c r="R191" s="991"/>
      <c r="S191" s="991"/>
      <c r="T191" s="991"/>
      <c r="U191" s="991"/>
      <c r="V191" s="991"/>
      <c r="W191" s="991"/>
      <c r="X191" s="991"/>
      <c r="AX191"/>
      <c r="AY191"/>
    </row>
    <row r="192" spans="1:51" x14ac:dyDescent="0.2">
      <c r="B192" s="600" t="s">
        <v>3214</v>
      </c>
      <c r="C192" s="23"/>
      <c r="D192" s="23"/>
      <c r="E192" s="23"/>
      <c r="F192" s="691"/>
      <c r="G192" s="23"/>
      <c r="H192" s="691"/>
      <c r="I192" s="102"/>
      <c r="J192" s="609"/>
      <c r="K192" s="609"/>
      <c r="L192" s="1629"/>
      <c r="M192" s="908"/>
      <c r="N192" s="129"/>
      <c r="O192" s="908"/>
      <c r="P192" s="991"/>
      <c r="Q192" s="991"/>
      <c r="R192" s="991"/>
      <c r="S192" s="991"/>
      <c r="T192" s="991"/>
      <c r="U192" s="991"/>
      <c r="V192" s="991"/>
      <c r="W192" s="991"/>
      <c r="X192" s="991"/>
    </row>
    <row r="193" spans="1:51" ht="16" thickBot="1" x14ac:dyDescent="0.25">
      <c r="B193" s="600" t="s">
        <v>3214</v>
      </c>
      <c r="C193" s="23"/>
      <c r="D193" s="23"/>
      <c r="E193" s="23"/>
      <c r="F193" s="691"/>
      <c r="G193" s="23"/>
      <c r="H193" s="691"/>
      <c r="I193" s="592"/>
      <c r="J193" s="596"/>
      <c r="K193" s="596"/>
      <c r="L193" s="1630"/>
      <c r="M193" s="922"/>
      <c r="N193" s="239"/>
      <c r="O193" s="922"/>
      <c r="P193" s="100"/>
      <c r="Q193" s="100"/>
      <c r="R193" s="100"/>
      <c r="S193" s="100"/>
      <c r="T193" s="100"/>
      <c r="U193" s="100"/>
      <c r="V193" s="100"/>
      <c r="W193" s="100"/>
      <c r="X193" s="100"/>
    </row>
    <row r="194" spans="1:51" ht="16" thickTop="1" x14ac:dyDescent="0.2">
      <c r="B194" s="600">
        <v>1003.1</v>
      </c>
      <c r="C194" s="23"/>
      <c r="D194" s="23"/>
      <c r="E194" s="23"/>
      <c r="F194" s="691"/>
      <c r="G194" s="23"/>
      <c r="H194" s="691"/>
      <c r="I194" s="136" t="s">
        <v>3761</v>
      </c>
      <c r="J194" s="588"/>
      <c r="K194" s="588"/>
      <c r="L194" s="231" t="s">
        <v>3762</v>
      </c>
      <c r="M194" s="374" t="s">
        <v>2842</v>
      </c>
      <c r="N194" s="4"/>
      <c r="O194" s="138">
        <f>MIN(2,COUNTIF(W195:W200,TRUE))</f>
        <v>0</v>
      </c>
      <c r="AL194" s="1352" t="str">
        <f>SUBSTITUTE(SUBSTITUTE(SUBSTITUTE("dpa"&amp;$B194&amp;$C194&amp;$D194&amp;$E194,".","_"),"(","_"),")","")</f>
        <v>dpa1003_1</v>
      </c>
      <c r="AM194" s="1352" t="str">
        <f t="shared" ref="AM194:AM195" si="34">M194</f>
        <v>2 Max</v>
      </c>
      <c r="AN194" s="1352" t="str">
        <f>SUBSTITUTE(SUBSTITUTE(SUBSTITUTE("dpc"&amp;$B194&amp;$C194&amp;$D194&amp;$E194,".","_"),"(","_"),")","")</f>
        <v>dpc1003_1</v>
      </c>
      <c r="AO194" s="1352">
        <f>O194</f>
        <v>0</v>
      </c>
    </row>
    <row r="195" spans="1:51" x14ac:dyDescent="0.2">
      <c r="B195" s="600">
        <v>1003.1</v>
      </c>
      <c r="C195" s="23" t="s">
        <v>254</v>
      </c>
      <c r="D195" s="23"/>
      <c r="E195" s="23"/>
      <c r="F195" s="691"/>
      <c r="G195" s="23"/>
      <c r="H195" s="691"/>
      <c r="I195" s="136"/>
      <c r="J195" s="590" t="s">
        <v>254</v>
      </c>
      <c r="K195" s="609"/>
      <c r="L195" s="1629" t="s">
        <v>2843</v>
      </c>
      <c r="M195" s="1623">
        <v>1</v>
      </c>
      <c r="N195" s="4"/>
      <c r="O195" s="138"/>
      <c r="P195" s="78" t="b">
        <v>1</v>
      </c>
      <c r="Q195" s="522" t="b">
        <v>0</v>
      </c>
      <c r="R195" s="165" t="b">
        <v>0</v>
      </c>
      <c r="S195" s="165" t="b">
        <v>1</v>
      </c>
      <c r="T195" s="165" t="b">
        <v>0</v>
      </c>
      <c r="W195" s="27"/>
      <c r="X195" s="1600"/>
      <c r="AC195" s="905" t="b">
        <f>OR(AD195:AE195)</f>
        <v>0</v>
      </c>
      <c r="AD195" s="905" t="b">
        <f>T195</f>
        <v>0</v>
      </c>
      <c r="AE195" s="905" t="b">
        <f>AND(R195,NOT(W195=TRUE))</f>
        <v>0</v>
      </c>
      <c r="AL195" s="1352" t="str">
        <f>SUBSTITUTE(SUBSTITUTE(SUBSTITUTE("dpa"&amp;$B195&amp;$C195&amp;$D195&amp;$E195,".","_"),"(","_"),")","")</f>
        <v>dpa1003_1_1</v>
      </c>
      <c r="AM195" s="1352">
        <f t="shared" si="34"/>
        <v>1</v>
      </c>
      <c r="AP195" s="1352" t="str">
        <f>SUBSTITUTE(SUBSTITUTE(SUBSTITUTE("dch"&amp;$B195&amp;$C195&amp;$D195&amp;$E195,".","_"),"(","_"),")","")</f>
        <v>dch1003_1_1</v>
      </c>
      <c r="AQ195" s="1352" t="str">
        <f>IF(LEN(W195)=0,"",W195)</f>
        <v/>
      </c>
      <c r="AR195" s="1352" t="str">
        <f>SUBSTITUTE(SUBSTITUTE(SUBSTITUTE("dnt"&amp;$B195&amp;$C195&amp;$D195&amp;$E195,".","_"),"(","_"),")","")</f>
        <v>dnt1003_1_1</v>
      </c>
      <c r="AS195" s="1352" t="str">
        <f>IF(LEN(X195)=0,"",X195)</f>
        <v/>
      </c>
    </row>
    <row r="196" spans="1:51" x14ac:dyDescent="0.2">
      <c r="B196" s="600">
        <v>1003.1</v>
      </c>
      <c r="C196" s="23" t="s">
        <v>254</v>
      </c>
      <c r="D196" s="23"/>
      <c r="E196" s="23"/>
      <c r="F196" s="691"/>
      <c r="G196" s="23"/>
      <c r="H196" s="691"/>
      <c r="I196" s="136"/>
      <c r="J196" s="606"/>
      <c r="K196" s="208"/>
      <c r="L196" s="1696"/>
      <c r="M196" s="1624"/>
      <c r="N196" s="4"/>
      <c r="O196" s="138"/>
      <c r="X196" s="1600"/>
    </row>
    <row r="197" spans="1:51" x14ac:dyDescent="0.2">
      <c r="B197" s="600">
        <v>1003.1</v>
      </c>
      <c r="C197" s="23" t="s">
        <v>255</v>
      </c>
      <c r="D197" s="23"/>
      <c r="E197" s="23"/>
      <c r="F197" s="691"/>
      <c r="G197" s="23"/>
      <c r="H197" s="691"/>
      <c r="I197" s="136"/>
      <c r="J197" s="608" t="s">
        <v>255</v>
      </c>
      <c r="K197" s="1404"/>
      <c r="L197" s="1712" t="s">
        <v>2844</v>
      </c>
      <c r="M197" s="1636">
        <v>1</v>
      </c>
      <c r="N197" s="4"/>
      <c r="O197" s="138"/>
      <c r="P197" s="522" t="b">
        <v>0</v>
      </c>
      <c r="Q197" s="522" t="b">
        <v>1</v>
      </c>
      <c r="R197" s="165" t="b">
        <v>0</v>
      </c>
      <c r="S197" s="165" t="b">
        <v>1</v>
      </c>
      <c r="T197" s="165" t="b">
        <v>0</v>
      </c>
      <c r="W197" s="27"/>
      <c r="X197" s="1600"/>
      <c r="AC197" s="905" t="b">
        <f>OR(AD197:AE197)</f>
        <v>0</v>
      </c>
      <c r="AD197" s="905" t="b">
        <f>T197</f>
        <v>0</v>
      </c>
      <c r="AE197" s="905" t="b">
        <f>AND(R197,NOT(W197=TRUE))</f>
        <v>0</v>
      </c>
      <c r="AL197" s="1352" t="str">
        <f>SUBSTITUTE(SUBSTITUTE(SUBSTITUTE("dpa"&amp;$B197&amp;$C197&amp;$D197&amp;$E197,".","_"),"(","_"),")","")</f>
        <v>dpa1003_1_2</v>
      </c>
      <c r="AM197" s="1352">
        <f t="shared" ref="AM197" si="35">M197</f>
        <v>1</v>
      </c>
      <c r="AP197" s="1352" t="str">
        <f>SUBSTITUTE(SUBSTITUTE(SUBSTITUTE("dch"&amp;$B197&amp;$C197&amp;$D197&amp;$E197,".","_"),"(","_"),")","")</f>
        <v>dch1003_1_2</v>
      </c>
      <c r="AQ197" s="1352" t="str">
        <f>IF(LEN(W197)=0,"",W197)</f>
        <v/>
      </c>
      <c r="AR197" s="1352" t="str">
        <f>SUBSTITUTE(SUBSTITUTE(SUBSTITUTE("dnt"&amp;$B197&amp;$C197&amp;$D197&amp;$E197,".","_"),"(","_"),")","")</f>
        <v>dnt1003_1_2</v>
      </c>
      <c r="AS197" s="1352" t="str">
        <f>IF(LEN(X197)=0,"",X197)</f>
        <v/>
      </c>
    </row>
    <row r="198" spans="1:51" x14ac:dyDescent="0.2">
      <c r="B198" s="600">
        <v>1003.1</v>
      </c>
      <c r="C198" s="23" t="s">
        <v>255</v>
      </c>
      <c r="D198" s="23"/>
      <c r="E198" s="23"/>
      <c r="F198" s="691"/>
      <c r="G198" s="23"/>
      <c r="H198" s="691"/>
      <c r="I198" s="136"/>
      <c r="J198" s="590"/>
      <c r="K198" s="609"/>
      <c r="L198" s="1629"/>
      <c r="M198" s="1623"/>
      <c r="N198" s="4"/>
      <c r="O198" s="138"/>
      <c r="X198" s="1600"/>
    </row>
    <row r="199" spans="1:51" x14ac:dyDescent="0.2">
      <c r="B199" s="600">
        <v>1003.1</v>
      </c>
      <c r="C199" s="23" t="s">
        <v>255</v>
      </c>
      <c r="D199" s="23"/>
      <c r="E199" s="23"/>
      <c r="F199" s="691"/>
      <c r="G199" s="23"/>
      <c r="H199" s="691"/>
      <c r="I199" s="136"/>
      <c r="J199" s="606"/>
      <c r="K199" s="208"/>
      <c r="L199" s="1696"/>
      <c r="M199" s="1624"/>
      <c r="N199" s="4"/>
      <c r="O199" s="138"/>
      <c r="X199" s="1600"/>
    </row>
    <row r="200" spans="1:51" x14ac:dyDescent="0.2">
      <c r="B200" s="600">
        <v>1003.1</v>
      </c>
      <c r="C200" s="23" t="s">
        <v>256</v>
      </c>
      <c r="D200" s="23"/>
      <c r="E200" s="23"/>
      <c r="F200" s="691"/>
      <c r="G200" s="23"/>
      <c r="H200" s="691"/>
      <c r="I200" s="136"/>
      <c r="J200" s="589" t="s">
        <v>256</v>
      </c>
      <c r="K200" s="588"/>
      <c r="L200" s="1631" t="s">
        <v>2845</v>
      </c>
      <c r="M200" s="1628">
        <v>1</v>
      </c>
      <c r="N200" s="4"/>
      <c r="O200" s="138"/>
      <c r="P200" s="522" t="b">
        <v>1</v>
      </c>
      <c r="Q200" s="522" t="b">
        <v>0</v>
      </c>
      <c r="R200" s="165" t="b">
        <v>0</v>
      </c>
      <c r="S200" s="165" t="b">
        <v>1</v>
      </c>
      <c r="T200" s="165" t="b">
        <v>0</v>
      </c>
      <c r="W200" s="27"/>
      <c r="X200" s="1600"/>
      <c r="AC200" s="905" t="b">
        <f>OR(AD200:AE200)</f>
        <v>0</v>
      </c>
      <c r="AD200" s="905" t="b">
        <f>T200</f>
        <v>0</v>
      </c>
      <c r="AE200" s="905" t="b">
        <f>AND(R200,NOT(W200=TRUE))</f>
        <v>0</v>
      </c>
      <c r="AL200" s="1352" t="str">
        <f>SUBSTITUTE(SUBSTITUTE(SUBSTITUTE("dpa"&amp;$B200&amp;$C200&amp;$D200&amp;$E200,".","_"),"(","_"),")","")</f>
        <v>dpa1003_1_3</v>
      </c>
      <c r="AM200" s="1352">
        <f t="shared" ref="AM200" si="36">M200</f>
        <v>1</v>
      </c>
      <c r="AP200" s="1352" t="str">
        <f>SUBSTITUTE(SUBSTITUTE(SUBSTITUTE("dch"&amp;$B200&amp;$C200&amp;$D200&amp;$E200,".","_"),"(","_"),")","")</f>
        <v>dch1003_1_3</v>
      </c>
      <c r="AQ200" s="1352" t="str">
        <f>IF(LEN(W200)=0,"",W200)</f>
        <v/>
      </c>
      <c r="AR200" s="1352" t="str">
        <f>SUBSTITUTE(SUBSTITUTE(SUBSTITUTE("dnt"&amp;$B200&amp;$C200&amp;$D200&amp;$E200,".","_"),"(","_"),")","")</f>
        <v>dnt1003_1_3</v>
      </c>
      <c r="AS200" s="1352" t="str">
        <f>IF(LEN(X200)=0,"",X200)</f>
        <v/>
      </c>
    </row>
    <row r="201" spans="1:51" x14ac:dyDescent="0.2">
      <c r="B201" s="600">
        <v>1003.1</v>
      </c>
      <c r="C201" s="23" t="s">
        <v>256</v>
      </c>
      <c r="D201" s="23"/>
      <c r="E201" s="23"/>
      <c r="F201" s="691"/>
      <c r="G201" s="23"/>
      <c r="H201" s="691"/>
      <c r="I201" s="136"/>
      <c r="J201" s="588"/>
      <c r="K201" s="588"/>
      <c r="L201" s="1631"/>
      <c r="M201" s="1628"/>
      <c r="N201" s="4"/>
      <c r="O201" s="138"/>
      <c r="X201" s="1600"/>
    </row>
    <row r="202" spans="1:51" x14ac:dyDescent="0.2">
      <c r="B202" s="600">
        <v>1003.1</v>
      </c>
      <c r="C202" s="23" t="s">
        <v>256</v>
      </c>
      <c r="D202" s="23"/>
      <c r="E202" s="23"/>
      <c r="F202" s="691"/>
      <c r="G202" s="23"/>
      <c r="H202" s="691"/>
      <c r="I202" s="136"/>
      <c r="J202" s="588"/>
      <c r="K202" s="588"/>
      <c r="L202" s="1631"/>
      <c r="M202" s="1628"/>
      <c r="N202" s="4"/>
      <c r="O202" s="138"/>
      <c r="X202" s="1600"/>
    </row>
    <row r="203" spans="1:51" s="905" customFormat="1" ht="19" x14ac:dyDescent="0.25">
      <c r="A203" s="20"/>
      <c r="B203" s="600" t="s">
        <v>4960</v>
      </c>
      <c r="C203" s="23"/>
      <c r="D203" s="23"/>
      <c r="E203" s="23"/>
      <c r="F203" s="691"/>
      <c r="G203" s="23"/>
      <c r="H203" s="691"/>
      <c r="I203" s="72" t="s">
        <v>4952</v>
      </c>
      <c r="J203" s="72"/>
      <c r="K203" s="72"/>
      <c r="L203" s="232"/>
      <c r="M203" s="419"/>
      <c r="N203" s="428"/>
      <c r="O203" s="419"/>
      <c r="P203" s="25"/>
      <c r="Q203" s="25"/>
      <c r="R203" s="25"/>
      <c r="S203" s="25"/>
      <c r="T203" s="25"/>
      <c r="U203" s="25"/>
      <c r="V203" s="25"/>
      <c r="W203" s="25"/>
      <c r="X203" s="25"/>
      <c r="AL203" s="78"/>
      <c r="AM203" s="78"/>
      <c r="AN203" s="78"/>
      <c r="AO203" s="78"/>
      <c r="AP203" s="78"/>
      <c r="AQ203" s="78"/>
      <c r="AR203" s="78"/>
      <c r="AS203" s="78"/>
      <c r="AX203" s="78"/>
      <c r="AY203" s="78"/>
    </row>
    <row r="204" spans="1:51" customFormat="1" x14ac:dyDescent="0.2">
      <c r="B204" s="600">
        <v>1005.1</v>
      </c>
      <c r="C204" s="1352"/>
      <c r="D204" s="1352"/>
      <c r="E204" s="1352"/>
      <c r="F204" s="1352"/>
      <c r="I204" s="589" t="s">
        <v>4947</v>
      </c>
      <c r="J204" s="589"/>
      <c r="K204" s="600"/>
      <c r="L204" s="946" t="s">
        <v>4948</v>
      </c>
      <c r="AL204" s="78"/>
      <c r="AM204" s="78"/>
      <c r="AN204" s="78"/>
      <c r="AO204" s="78"/>
      <c r="AP204" s="78"/>
      <c r="AQ204" s="78"/>
      <c r="AR204" s="78"/>
      <c r="AS204" s="78"/>
      <c r="AX204" s="78"/>
      <c r="AY204" s="78"/>
    </row>
    <row r="205" spans="1:51" customFormat="1" x14ac:dyDescent="0.2">
      <c r="B205" s="600">
        <v>1005.1</v>
      </c>
      <c r="C205" s="905" t="s">
        <v>254</v>
      </c>
      <c r="I205" s="589"/>
      <c r="J205" s="590" t="s">
        <v>254</v>
      </c>
      <c r="K205" s="601"/>
      <c r="L205" s="1634" t="s">
        <v>4949</v>
      </c>
      <c r="M205" s="1752">
        <v>2</v>
      </c>
      <c r="N205" s="1391"/>
      <c r="O205" s="1755">
        <f>M205*S205*W205</f>
        <v>0</v>
      </c>
      <c r="P205" s="905" t="b">
        <v>0</v>
      </c>
      <c r="Q205" s="905" t="b">
        <v>1</v>
      </c>
      <c r="R205" s="905" t="b">
        <v>0</v>
      </c>
      <c r="S205" s="905" t="b">
        <v>1</v>
      </c>
      <c r="T205" s="905" t="b">
        <v>0</v>
      </c>
      <c r="W205" s="27"/>
      <c r="X205" s="1600"/>
      <c r="AC205" s="905" t="b">
        <f>OR(AD205:AE205)</f>
        <v>0</v>
      </c>
      <c r="AD205" s="905" t="b">
        <f>T205</f>
        <v>0</v>
      </c>
      <c r="AE205" s="905" t="b">
        <f>AND(R205,NOT(W205=TRUE))</f>
        <v>0</v>
      </c>
      <c r="AL205" s="1352" t="str">
        <f>SUBSTITUTE(SUBSTITUTE(SUBSTITUTE("dpa"&amp;$B205&amp;$C205&amp;$D205&amp;$E205,".","_"),"(","_"),")","")</f>
        <v>dpa1005_1_1</v>
      </c>
      <c r="AM205" s="1352">
        <f t="shared" ref="AM205" si="37">M205</f>
        <v>2</v>
      </c>
      <c r="AN205" s="1352" t="str">
        <f>SUBSTITUTE(SUBSTITUTE(SUBSTITUTE("dpc"&amp;$B205&amp;$C205&amp;$D205&amp;$E205,".","_"),"(","_"),")","")</f>
        <v>dpc1005_1_1</v>
      </c>
      <c r="AO205" s="1352">
        <f>O205</f>
        <v>0</v>
      </c>
      <c r="AP205" s="1352" t="str">
        <f>SUBSTITUTE(SUBSTITUTE(SUBSTITUTE("dch"&amp;$B205&amp;$C205&amp;$D205&amp;$E205,".","_"),"(","_"),")","")</f>
        <v>dch1005_1_1</v>
      </c>
      <c r="AQ205" s="1352" t="str">
        <f>IF(LEN(W205)=0,"",W205)</f>
        <v/>
      </c>
      <c r="AR205" s="1352" t="str">
        <f>SUBSTITUTE(SUBSTITUTE(SUBSTITUTE("dnt"&amp;$B205&amp;$C205&amp;$D205&amp;$E205,".","_"),"(","_"),")","")</f>
        <v>dnt1005_1_1</v>
      </c>
      <c r="AS205" s="1352" t="str">
        <f>IF(LEN(X205)=0,"",X205)</f>
        <v/>
      </c>
      <c r="AX205" s="905"/>
      <c r="AY205" s="905"/>
    </row>
    <row r="206" spans="1:51" customFormat="1" x14ac:dyDescent="0.2">
      <c r="B206" s="600">
        <v>1005.1</v>
      </c>
      <c r="C206" s="905" t="s">
        <v>254</v>
      </c>
      <c r="I206" s="589"/>
      <c r="J206" s="590"/>
      <c r="K206" s="601"/>
      <c r="L206" s="1634"/>
      <c r="M206" s="1752"/>
      <c r="N206" s="1391"/>
      <c r="O206" s="1755"/>
      <c r="X206" s="1600"/>
      <c r="AL206" s="78"/>
      <c r="AM206" s="78"/>
      <c r="AN206" s="78"/>
      <c r="AO206" s="78"/>
      <c r="AP206" s="78"/>
      <c r="AQ206" s="78"/>
      <c r="AR206" s="78"/>
      <c r="AS206" s="78"/>
    </row>
    <row r="207" spans="1:51" customFormat="1" x14ac:dyDescent="0.2">
      <c r="B207" s="600">
        <v>1005.1</v>
      </c>
      <c r="C207" s="905" t="s">
        <v>254</v>
      </c>
      <c r="I207" s="589"/>
      <c r="J207" s="606"/>
      <c r="K207" s="1407"/>
      <c r="L207" s="1639"/>
      <c r="M207" s="1754"/>
      <c r="N207" s="173"/>
      <c r="O207" s="1756"/>
      <c r="X207" s="1600"/>
      <c r="AL207" s="78"/>
      <c r="AM207" s="78"/>
      <c r="AN207" s="78"/>
      <c r="AO207" s="78"/>
      <c r="AP207" s="78"/>
      <c r="AQ207" s="78"/>
      <c r="AR207" s="78"/>
      <c r="AS207" s="78"/>
    </row>
    <row r="208" spans="1:51" customFormat="1" x14ac:dyDescent="0.2">
      <c r="B208" s="600">
        <v>1005.1</v>
      </c>
      <c r="C208" s="905" t="s">
        <v>255</v>
      </c>
      <c r="I208" s="589"/>
      <c r="J208" s="608" t="s">
        <v>255</v>
      </c>
      <c r="K208" s="1405"/>
      <c r="L208" s="1633" t="s">
        <v>4950</v>
      </c>
      <c r="M208" s="1757">
        <v>2</v>
      </c>
      <c r="N208" s="1408"/>
      <c r="O208" s="1777">
        <f>M208*S208*W208</f>
        <v>0</v>
      </c>
      <c r="P208" s="905" t="b">
        <v>0</v>
      </c>
      <c r="Q208" s="905" t="b">
        <v>1</v>
      </c>
      <c r="R208" s="905" t="b">
        <v>0</v>
      </c>
      <c r="S208" s="905" t="b">
        <v>1</v>
      </c>
      <c r="T208" s="905" t="b">
        <v>0</v>
      </c>
      <c r="W208" s="27"/>
      <c r="X208" s="1600"/>
      <c r="AC208" s="905" t="b">
        <f>OR(AD208:AE208)</f>
        <v>0</v>
      </c>
      <c r="AD208" s="905" t="b">
        <f>T208</f>
        <v>0</v>
      </c>
      <c r="AE208" s="905" t="b">
        <f>AND(R208,NOT(W208=TRUE))</f>
        <v>0</v>
      </c>
      <c r="AL208" s="1352" t="str">
        <f>SUBSTITUTE(SUBSTITUTE(SUBSTITUTE("dpa"&amp;$B208&amp;$C208&amp;$D208&amp;$E208,".","_"),"(","_"),")","")</f>
        <v>dpa1005_1_2</v>
      </c>
      <c r="AM208" s="1352">
        <f t="shared" ref="AM208" si="38">M208</f>
        <v>2</v>
      </c>
      <c r="AN208" s="1352" t="str">
        <f>SUBSTITUTE(SUBSTITUTE(SUBSTITUTE("dpc"&amp;$B208&amp;$C208&amp;$D208&amp;$E208,".","_"),"(","_"),")","")</f>
        <v>dpc1005_1_2</v>
      </c>
      <c r="AO208" s="1352">
        <f>O208</f>
        <v>0</v>
      </c>
      <c r="AP208" s="1352" t="str">
        <f>SUBSTITUTE(SUBSTITUTE(SUBSTITUTE("dch"&amp;$B208&amp;$C208&amp;$D208&amp;$E208,".","_"),"(","_"),")","")</f>
        <v>dch1005_1_2</v>
      </c>
      <c r="AQ208" s="1352" t="str">
        <f>IF(LEN(W208)=0,"",W208)</f>
        <v/>
      </c>
      <c r="AR208" s="1352" t="str">
        <f>SUBSTITUTE(SUBSTITUTE(SUBSTITUTE("dnt"&amp;$B208&amp;$C208&amp;$D208&amp;$E208,".","_"),"(","_"),")","")</f>
        <v>dnt1005_1_2</v>
      </c>
      <c r="AS208" s="1352" t="str">
        <f>IF(LEN(X208)=0,"",X208)</f>
        <v/>
      </c>
    </row>
    <row r="209" spans="2:51" customFormat="1" x14ac:dyDescent="0.2">
      <c r="B209" s="600">
        <v>1005.1</v>
      </c>
      <c r="C209" s="905" t="s">
        <v>255</v>
      </c>
      <c r="I209" s="589"/>
      <c r="J209" s="590"/>
      <c r="K209" s="601"/>
      <c r="L209" s="1634"/>
      <c r="M209" s="1752"/>
      <c r="N209" s="1409"/>
      <c r="O209" s="1625"/>
      <c r="X209" s="1600"/>
      <c r="AL209" s="78"/>
      <c r="AM209" s="78"/>
      <c r="AN209" s="78"/>
      <c r="AO209" s="78"/>
      <c r="AP209" s="78"/>
      <c r="AQ209" s="78"/>
      <c r="AR209" s="78"/>
      <c r="AS209" s="78"/>
    </row>
    <row r="210" spans="2:51" customFormat="1" x14ac:dyDescent="0.2">
      <c r="B210" s="600">
        <v>1005.1</v>
      </c>
      <c r="C210" s="905" t="s">
        <v>255</v>
      </c>
      <c r="I210" s="589"/>
      <c r="J210" s="590"/>
      <c r="K210" s="601"/>
      <c r="L210" s="1634"/>
      <c r="M210" s="1752"/>
      <c r="N210" s="1409"/>
      <c r="O210" s="1625"/>
      <c r="X210" s="1600"/>
      <c r="AL210" s="78"/>
      <c r="AM210" s="78"/>
      <c r="AN210" s="78"/>
      <c r="AO210" s="78"/>
      <c r="AP210" s="78"/>
      <c r="AQ210" s="78"/>
      <c r="AR210" s="78"/>
      <c r="AS210" s="78"/>
    </row>
    <row r="211" spans="2:51" customFormat="1" x14ac:dyDescent="0.2">
      <c r="B211" s="600">
        <v>1005.1</v>
      </c>
      <c r="C211" s="905" t="s">
        <v>255</v>
      </c>
      <c r="I211" s="589"/>
      <c r="J211" s="606"/>
      <c r="K211" s="1407"/>
      <c r="L211" s="1639"/>
      <c r="M211" s="1754"/>
      <c r="N211" s="1410"/>
      <c r="O211" s="1626"/>
      <c r="X211" s="1600"/>
      <c r="AL211" s="78"/>
      <c r="AM211" s="78"/>
      <c r="AN211" s="78"/>
      <c r="AO211" s="78"/>
      <c r="AP211" s="78"/>
      <c r="AQ211" s="78"/>
      <c r="AR211" s="78"/>
      <c r="AS211" s="78"/>
    </row>
    <row r="212" spans="2:51" customFormat="1" x14ac:dyDescent="0.2">
      <c r="B212" s="600">
        <v>1005.1</v>
      </c>
      <c r="C212" s="905" t="s">
        <v>256</v>
      </c>
      <c r="I212" s="589"/>
      <c r="J212" s="589" t="s">
        <v>256</v>
      </c>
      <c r="K212" s="600"/>
      <c r="L212" s="1634" t="s">
        <v>4951</v>
      </c>
      <c r="M212" s="1769">
        <v>2</v>
      </c>
      <c r="O212" s="1644">
        <f>M212*S212</f>
        <v>2</v>
      </c>
      <c r="P212" s="905" t="b">
        <v>0</v>
      </c>
      <c r="Q212" s="905" t="b">
        <v>1</v>
      </c>
      <c r="R212" s="905" t="b">
        <v>0</v>
      </c>
      <c r="S212" s="905" t="b">
        <v>1</v>
      </c>
      <c r="T212" s="905" t="b">
        <v>0</v>
      </c>
      <c r="W212" s="1775" t="s">
        <v>4953</v>
      </c>
      <c r="AL212" s="1352" t="str">
        <f>SUBSTITUTE(SUBSTITUTE(SUBSTITUTE("dpa"&amp;$B212&amp;$C212&amp;$D212&amp;$E212,".","_"),"(","_"),")","")</f>
        <v>dpa1005_1_3</v>
      </c>
      <c r="AM212" s="1352">
        <f t="shared" ref="AM212" si="39">M212</f>
        <v>2</v>
      </c>
      <c r="AN212" s="1352" t="str">
        <f>SUBSTITUTE(SUBSTITUTE(SUBSTITUTE("dpc"&amp;$B212&amp;$C212&amp;$D212&amp;$E212,".","_"),"(","_"),")","")</f>
        <v>dpc1005_1_3</v>
      </c>
      <c r="AO212" s="1352">
        <f>O212</f>
        <v>2</v>
      </c>
      <c r="AP212" s="78"/>
      <c r="AQ212" s="78"/>
      <c r="AR212" s="78"/>
      <c r="AS212" s="78"/>
    </row>
    <row r="213" spans="2:51" customFormat="1" x14ac:dyDescent="0.2">
      <c r="B213" s="600">
        <v>1005.1</v>
      </c>
      <c r="C213" s="905" t="s">
        <v>256</v>
      </c>
      <c r="I213" s="600"/>
      <c r="J213" s="600"/>
      <c r="K213" s="600"/>
      <c r="L213" s="1634"/>
      <c r="M213" s="1769"/>
      <c r="O213" s="1644"/>
      <c r="W213" s="1775"/>
      <c r="AL213" s="78"/>
      <c r="AM213" s="78"/>
      <c r="AN213" s="78"/>
      <c r="AO213" s="78"/>
      <c r="AP213" s="78"/>
      <c r="AQ213" s="78"/>
      <c r="AR213" s="78"/>
      <c r="AS213" s="78"/>
    </row>
    <row r="214" spans="2:51" s="905" customFormat="1" x14ac:dyDescent="0.2">
      <c r="B214" s="600">
        <v>1005.1</v>
      </c>
      <c r="C214" s="905" t="s">
        <v>256</v>
      </c>
      <c r="I214" s="600"/>
      <c r="J214" s="600"/>
      <c r="K214" s="600"/>
      <c r="L214" s="1634"/>
      <c r="M214" s="1769"/>
      <c r="O214" s="1644"/>
      <c r="W214" s="1775"/>
      <c r="AL214" s="78"/>
      <c r="AM214" s="78"/>
      <c r="AN214" s="78"/>
      <c r="AO214" s="78"/>
      <c r="AP214" s="78"/>
      <c r="AQ214" s="78"/>
      <c r="AR214" s="78"/>
      <c r="AS214" s="78"/>
      <c r="AX214"/>
      <c r="AY214"/>
    </row>
    <row r="215" spans="2:51" s="905" customFormat="1" x14ac:dyDescent="0.2">
      <c r="B215" s="600">
        <v>1005.1</v>
      </c>
      <c r="C215" s="905" t="s">
        <v>256</v>
      </c>
      <c r="I215" s="600"/>
      <c r="J215" s="858"/>
      <c r="K215" s="858"/>
      <c r="L215" s="1634"/>
      <c r="M215" s="1769"/>
      <c r="O215" s="1644"/>
      <c r="W215" s="1775"/>
      <c r="AL215" s="78"/>
      <c r="AM215" s="78"/>
      <c r="AN215" s="78"/>
      <c r="AO215" s="78"/>
      <c r="AP215" s="78"/>
      <c r="AQ215" s="78"/>
      <c r="AR215" s="78"/>
      <c r="AS215" s="78"/>
      <c r="AX215"/>
      <c r="AY215"/>
    </row>
    <row r="216" spans="2:51" s="905" customFormat="1" x14ac:dyDescent="0.2">
      <c r="B216" s="600">
        <v>1005.1</v>
      </c>
      <c r="C216" s="905" t="s">
        <v>256</v>
      </c>
      <c r="I216" s="600"/>
      <c r="J216" s="858"/>
      <c r="K216" s="858"/>
      <c r="L216" s="1634"/>
      <c r="M216" s="1769"/>
      <c r="O216" s="1644"/>
      <c r="W216" s="1775"/>
      <c r="AL216" s="78"/>
      <c r="AM216" s="78"/>
      <c r="AN216" s="78"/>
      <c r="AO216" s="78"/>
      <c r="AP216" s="78"/>
      <c r="AQ216" s="78"/>
      <c r="AR216" s="78"/>
      <c r="AS216" s="78"/>
    </row>
    <row r="217" spans="2:51" s="905" customFormat="1" x14ac:dyDescent="0.2">
      <c r="B217" s="600">
        <v>1005.1</v>
      </c>
      <c r="C217" s="905" t="s">
        <v>256</v>
      </c>
      <c r="I217" s="600"/>
      <c r="J217" s="858"/>
      <c r="K217" s="858"/>
      <c r="L217" s="1634"/>
      <c r="M217" s="1769"/>
      <c r="O217" s="1644"/>
      <c r="W217" s="1775"/>
      <c r="AL217" s="78"/>
      <c r="AM217" s="78"/>
      <c r="AN217" s="78"/>
      <c r="AO217" s="78"/>
      <c r="AP217" s="78"/>
      <c r="AQ217" s="78"/>
      <c r="AR217" s="78"/>
      <c r="AS217" s="78"/>
    </row>
    <row r="218" spans="2:51" s="905" customFormat="1" x14ac:dyDescent="0.2">
      <c r="B218" s="600">
        <v>1005.1</v>
      </c>
      <c r="C218" s="905" t="s">
        <v>256</v>
      </c>
      <c r="I218" s="600"/>
      <c r="J218" s="858"/>
      <c r="K218" s="858"/>
      <c r="L218" s="1634"/>
      <c r="M218" s="1769"/>
      <c r="O218" s="1644"/>
      <c r="W218" s="1775"/>
      <c r="AL218" s="78"/>
      <c r="AM218" s="78"/>
      <c r="AN218" s="78"/>
      <c r="AO218" s="78"/>
      <c r="AP218" s="78"/>
      <c r="AQ218" s="78"/>
      <c r="AR218" s="78"/>
      <c r="AS218" s="78"/>
    </row>
    <row r="219" spans="2:51" s="905" customFormat="1" x14ac:dyDescent="0.2">
      <c r="B219" s="600">
        <v>1005.1</v>
      </c>
      <c r="C219" s="905" t="s">
        <v>256</v>
      </c>
      <c r="I219" s="600"/>
      <c r="J219" s="858"/>
      <c r="K219" s="858"/>
      <c r="L219" s="1634"/>
      <c r="M219" s="1769"/>
      <c r="O219" s="1644"/>
      <c r="W219" s="1775"/>
      <c r="AL219" s="78"/>
      <c r="AM219" s="78"/>
      <c r="AN219" s="78"/>
      <c r="AO219" s="78"/>
      <c r="AP219" s="78"/>
      <c r="AQ219" s="78"/>
      <c r="AR219" s="78"/>
      <c r="AS219" s="78"/>
    </row>
    <row r="220" spans="2:51" s="905" customFormat="1" x14ac:dyDescent="0.2">
      <c r="B220" s="600">
        <v>1005.1</v>
      </c>
      <c r="C220" s="905" t="s">
        <v>256</v>
      </c>
      <c r="I220" s="600"/>
      <c r="J220" s="858"/>
      <c r="K220" s="858"/>
      <c r="L220" s="1634"/>
      <c r="M220" s="1769"/>
      <c r="O220" s="1644"/>
      <c r="W220" s="1775"/>
      <c r="AL220" s="78"/>
      <c r="AM220" s="78"/>
      <c r="AN220" s="78"/>
      <c r="AO220" s="78"/>
      <c r="AP220" s="78"/>
      <c r="AQ220" s="78"/>
      <c r="AR220" s="78"/>
      <c r="AS220" s="78"/>
    </row>
    <row r="221" spans="2:51" customFormat="1" ht="16" thickBot="1" x14ac:dyDescent="0.25">
      <c r="B221" s="600">
        <v>1005.1</v>
      </c>
      <c r="C221" s="905" t="s">
        <v>256</v>
      </c>
      <c r="I221" s="600"/>
      <c r="J221" s="858"/>
      <c r="K221" s="858"/>
      <c r="L221" s="1634"/>
      <c r="M221" s="1753"/>
      <c r="O221" s="1645"/>
      <c r="W221" s="1776"/>
      <c r="AL221" s="78"/>
      <c r="AM221" s="78"/>
      <c r="AN221" s="78"/>
      <c r="AO221" s="78"/>
      <c r="AP221" s="78"/>
      <c r="AQ221" s="78"/>
      <c r="AR221" s="78"/>
      <c r="AS221" s="78"/>
      <c r="AX221" s="905"/>
      <c r="AY221" s="905"/>
    </row>
    <row r="222" spans="2:51" ht="17" thickTop="1" thickBot="1" x14ac:dyDescent="0.25">
      <c r="H222" s="693"/>
      <c r="I222" s="201" t="s">
        <v>2849</v>
      </c>
      <c r="J222" s="202"/>
      <c r="K222" s="202"/>
      <c r="L222" s="202"/>
      <c r="M222" s="203"/>
      <c r="N222" s="202"/>
      <c r="O222" s="204"/>
      <c r="P222" s="202"/>
      <c r="Q222" s="202"/>
      <c r="R222" s="202"/>
      <c r="S222" s="202"/>
      <c r="T222" s="202"/>
      <c r="U222" s="202"/>
      <c r="V222" s="202"/>
      <c r="W222" s="202"/>
      <c r="X222" s="205"/>
      <c r="AX222" s="905"/>
      <c r="AY222" s="905"/>
    </row>
    <row r="223" spans="2:51" ht="16" thickTop="1" x14ac:dyDescent="0.2">
      <c r="AX223"/>
      <c r="AY223"/>
    </row>
  </sheetData>
  <sheetProtection algorithmName="SHA-512" hashValue="FBScYDmb96eJRHPONpMgS/02Ng0U+BgafFwGoPoF3LyegY6CfAgO4znKrRUPlGvxRak9115q//ANBKB2Wq9Ang==" saltValue="thgSxhPNdGLjd6nbimo6gw==" spinCount="100000" sheet="1" objects="1" scenarios="1" selectLockedCells="1"/>
  <mergeCells count="152">
    <mergeCell ref="L93:L94"/>
    <mergeCell ref="M90:M91"/>
    <mergeCell ref="L200:L202"/>
    <mergeCell ref="L126:L128"/>
    <mergeCell ref="L130:L131"/>
    <mergeCell ref="L132:L135"/>
    <mergeCell ref="L103:L104"/>
    <mergeCell ref="L105:L107"/>
    <mergeCell ref="L143:L144"/>
    <mergeCell ref="L146:L147"/>
    <mergeCell ref="L108:L109"/>
    <mergeCell ref="L110:L112"/>
    <mergeCell ref="L113:L114"/>
    <mergeCell ref="L116:L117"/>
    <mergeCell ref="L121:L123"/>
    <mergeCell ref="L191:L193"/>
    <mergeCell ref="L195:L196"/>
    <mergeCell ref="L197:L199"/>
    <mergeCell ref="L152:L153"/>
    <mergeCell ref="I1:L1"/>
    <mergeCell ref="M1:W5"/>
    <mergeCell ref="I2:L2"/>
    <mergeCell ref="I3:L3"/>
    <mergeCell ref="V6:V7"/>
    <mergeCell ref="W6:W7"/>
    <mergeCell ref="M84:M86"/>
    <mergeCell ref="M87:M89"/>
    <mergeCell ref="M81:M83"/>
    <mergeCell ref="L10:L11"/>
    <mergeCell ref="L12:L13"/>
    <mergeCell ref="L23:L24"/>
    <mergeCell ref="L25:L26"/>
    <mergeCell ref="M17:M20"/>
    <mergeCell ref="M12:M14"/>
    <mergeCell ref="L42:L43"/>
    <mergeCell ref="L17:L20"/>
    <mergeCell ref="L47:L48"/>
    <mergeCell ref="L62:L65"/>
    <mergeCell ref="L75:L80"/>
    <mergeCell ref="L81:L82"/>
    <mergeCell ref="L84:L86"/>
    <mergeCell ref="L87:L89"/>
    <mergeCell ref="Q6:Q7"/>
    <mergeCell ref="L32:L33"/>
    <mergeCell ref="L36:L37"/>
    <mergeCell ref="L38:L41"/>
    <mergeCell ref="X90:X91"/>
    <mergeCell ref="X93:X94"/>
    <mergeCell ref="L44:L45"/>
    <mergeCell ref="L49:L50"/>
    <mergeCell ref="L52:L53"/>
    <mergeCell ref="L54:L55"/>
    <mergeCell ref="L56:L57"/>
    <mergeCell ref="X54:X55"/>
    <mergeCell ref="X56:X57"/>
    <mergeCell ref="X62:X73"/>
    <mergeCell ref="X42:X43"/>
    <mergeCell ref="X44:X45"/>
    <mergeCell ref="X47:X48"/>
    <mergeCell ref="X49:X50"/>
    <mergeCell ref="X52:X53"/>
    <mergeCell ref="L58:L59"/>
    <mergeCell ref="X58:X59"/>
    <mergeCell ref="O62:O65"/>
    <mergeCell ref="M62:M63"/>
    <mergeCell ref="M64:M65"/>
    <mergeCell ref="L90:L91"/>
    <mergeCell ref="X6:X7"/>
    <mergeCell ref="R6:R7"/>
    <mergeCell ref="S6:S7"/>
    <mergeCell ref="T6:T7"/>
    <mergeCell ref="U6:U7"/>
    <mergeCell ref="I4:L4"/>
    <mergeCell ref="I5:L5"/>
    <mergeCell ref="I6:K7"/>
    <mergeCell ref="L6:L7"/>
    <mergeCell ref="M6:M7"/>
    <mergeCell ref="N6:N7"/>
    <mergeCell ref="P6:P7"/>
    <mergeCell ref="X4:X5"/>
    <mergeCell ref="X23:X24"/>
    <mergeCell ref="X25:X26"/>
    <mergeCell ref="X32:X37"/>
    <mergeCell ref="X38:X41"/>
    <mergeCell ref="L97:L98"/>
    <mergeCell ref="L99:L101"/>
    <mergeCell ref="X195:X196"/>
    <mergeCell ref="X197:X199"/>
    <mergeCell ref="X121:X123"/>
    <mergeCell ref="X124:X125"/>
    <mergeCell ref="X130:X131"/>
    <mergeCell ref="X132:X135"/>
    <mergeCell ref="X136:X142"/>
    <mergeCell ref="X108:X109"/>
    <mergeCell ref="X110:X112"/>
    <mergeCell ref="X113:X114"/>
    <mergeCell ref="X116:X117"/>
    <mergeCell ref="X118:X119"/>
    <mergeCell ref="X103:X104"/>
    <mergeCell ref="X105:X107"/>
    <mergeCell ref="L124:L125"/>
    <mergeCell ref="L118:L119"/>
    <mergeCell ref="L154:L158"/>
    <mergeCell ref="X28:X29"/>
    <mergeCell ref="H1:H7"/>
    <mergeCell ref="L28:L29"/>
    <mergeCell ref="M28:M29"/>
    <mergeCell ref="O126:O129"/>
    <mergeCell ref="M99:M102"/>
    <mergeCell ref="O99:O102"/>
    <mergeCell ref="X200:X202"/>
    <mergeCell ref="X97:X98"/>
    <mergeCell ref="M200:M202"/>
    <mergeCell ref="M197:M199"/>
    <mergeCell ref="M195:M196"/>
    <mergeCell ref="M103:M104"/>
    <mergeCell ref="M105:M107"/>
    <mergeCell ref="M130:M131"/>
    <mergeCell ref="M126:M129"/>
    <mergeCell ref="M124:M125"/>
    <mergeCell ref="X84:X86"/>
    <mergeCell ref="X87:X89"/>
    <mergeCell ref="O12:O14"/>
    <mergeCell ref="O81:O83"/>
    <mergeCell ref="X143:X144"/>
    <mergeCell ref="X146:X147"/>
    <mergeCell ref="X154:X166"/>
    <mergeCell ref="X17:X20"/>
    <mergeCell ref="X152:X153"/>
    <mergeCell ref="M154:M155"/>
    <mergeCell ref="M156:M158"/>
    <mergeCell ref="O154:O157"/>
    <mergeCell ref="L167:L168"/>
    <mergeCell ref="L171:L172"/>
    <mergeCell ref="L179:L182"/>
    <mergeCell ref="M167:M168"/>
    <mergeCell ref="M179:M182"/>
    <mergeCell ref="X171:X172"/>
    <mergeCell ref="O167:O168"/>
    <mergeCell ref="O179:O182"/>
    <mergeCell ref="L205:L207"/>
    <mergeCell ref="L208:L211"/>
    <mergeCell ref="L212:L221"/>
    <mergeCell ref="M205:M207"/>
    <mergeCell ref="M208:M211"/>
    <mergeCell ref="M212:M221"/>
    <mergeCell ref="O212:O221"/>
    <mergeCell ref="W212:W221"/>
    <mergeCell ref="X205:X207"/>
    <mergeCell ref="X208:X211"/>
    <mergeCell ref="O205:O207"/>
    <mergeCell ref="O208:O211"/>
  </mergeCells>
  <conditionalFormatting sqref="X2">
    <cfRule type="expression" dxfId="3613" priority="834">
      <formula>$AG$3</formula>
    </cfRule>
  </conditionalFormatting>
  <conditionalFormatting sqref="X3">
    <cfRule type="expression" dxfId="3612" priority="835">
      <formula>$AI$3</formula>
    </cfRule>
  </conditionalFormatting>
  <conditionalFormatting sqref="O126:O129">
    <cfRule type="cellIs" dxfId="3611" priority="588" operator="greaterThan">
      <formula>0</formula>
    </cfRule>
  </conditionalFormatting>
  <conditionalFormatting sqref="O99:O102">
    <cfRule type="cellIs" dxfId="3610" priority="587" operator="greaterThan">
      <formula>0</formula>
    </cfRule>
  </conditionalFormatting>
  <conditionalFormatting sqref="O81:O83">
    <cfRule type="cellIs" dxfId="3609" priority="586" operator="greaterThan">
      <formula>0</formula>
    </cfRule>
  </conditionalFormatting>
  <conditionalFormatting sqref="W15">
    <cfRule type="expression" dxfId="3608" priority="338">
      <formula>OR($T$15 = TRUE, AND($W$15 = TRUE, $S$15 = FALSE))</formula>
    </cfRule>
    <cfRule type="expression" dxfId="3607" priority="339">
      <formula>$S$15 = FALSE</formula>
    </cfRule>
    <cfRule type="expression" dxfId="3606" priority="340">
      <formula>AND(IF($R$15,$W$15,TRUE),LEN(TRIM($W$15))&gt;0)</formula>
    </cfRule>
    <cfRule type="expression" dxfId="3605" priority="341">
      <formula>AND($R$15,$S$15)</formula>
    </cfRule>
  </conditionalFormatting>
  <conditionalFormatting sqref="W16">
    <cfRule type="expression" dxfId="3604" priority="334">
      <formula>OR($T$16 = TRUE, AND($W$16 = TRUE, $S$16 = FALSE))</formula>
    </cfRule>
    <cfRule type="expression" dxfId="3603" priority="335">
      <formula>$S$16 = FALSE</formula>
    </cfRule>
    <cfRule type="expression" dxfId="3602" priority="336">
      <formula>AND(IF($R$16,$W$16,TRUE),LEN(TRIM($W$16))&gt;0)</formula>
    </cfRule>
    <cfRule type="expression" dxfId="3601" priority="337">
      <formula>AND($R$16,$S$16)</formula>
    </cfRule>
  </conditionalFormatting>
  <conditionalFormatting sqref="W17">
    <cfRule type="expression" dxfId="3600" priority="330">
      <formula>OR($T$17 = TRUE, AND($W$17 = TRUE, $S$17 = FALSE))</formula>
    </cfRule>
    <cfRule type="expression" dxfId="3599" priority="331">
      <formula>$S$17 = FALSE</formula>
    </cfRule>
    <cfRule type="expression" dxfId="3598" priority="332">
      <formula>AND(IF($R$17,$W$17,TRUE),LEN(TRIM($W$17))&gt;0)</formula>
    </cfRule>
    <cfRule type="expression" dxfId="3597" priority="333">
      <formula>AND($R$17,$S$17)</formula>
    </cfRule>
  </conditionalFormatting>
  <conditionalFormatting sqref="W21">
    <cfRule type="expression" dxfId="3596" priority="329">
      <formula>AND($R$21,$S$21)</formula>
    </cfRule>
  </conditionalFormatting>
  <conditionalFormatting sqref="W21">
    <cfRule type="expression" dxfId="3595" priority="328">
      <formula>AND(IF($R$21,$W$21,TRUE),LEN(TRIM($W$21))&gt;0)</formula>
    </cfRule>
  </conditionalFormatting>
  <conditionalFormatting sqref="W21">
    <cfRule type="expression" dxfId="3594" priority="327">
      <formula>$S$21 = FALSE</formula>
    </cfRule>
  </conditionalFormatting>
  <conditionalFormatting sqref="W21">
    <cfRule type="expression" dxfId="3593" priority="326">
      <formula>OR($T$21 = TRUE, AND($W$21 = TRUE, $S$21 = FALSE))</formula>
    </cfRule>
  </conditionalFormatting>
  <conditionalFormatting sqref="W22">
    <cfRule type="expression" dxfId="3592" priority="325">
      <formula>AND($R$22,$S$22)</formula>
    </cfRule>
  </conditionalFormatting>
  <conditionalFormatting sqref="W22">
    <cfRule type="expression" dxfId="3591" priority="324">
      <formula>AND(IF($R$22,$W$22,TRUE),LEN(TRIM($W$22))&gt;0)</formula>
    </cfRule>
  </conditionalFormatting>
  <conditionalFormatting sqref="W22">
    <cfRule type="expression" dxfId="3590" priority="323">
      <formula>$S$22 = FALSE</formula>
    </cfRule>
  </conditionalFormatting>
  <conditionalFormatting sqref="W22">
    <cfRule type="expression" dxfId="3589" priority="322">
      <formula>OR($T$22 = TRUE, AND($W$22 = TRUE, $S$22 = FALSE))</formula>
    </cfRule>
  </conditionalFormatting>
  <conditionalFormatting sqref="W23">
    <cfRule type="expression" dxfId="3588" priority="321">
      <formula>AND($R$23,$S$23)</formula>
    </cfRule>
  </conditionalFormatting>
  <conditionalFormatting sqref="W23">
    <cfRule type="expression" dxfId="3587" priority="320">
      <formula>AND(IF($R$23,$W$23,TRUE),LEN(TRIM($W$23))&gt;0)</formula>
    </cfRule>
  </conditionalFormatting>
  <conditionalFormatting sqref="W23">
    <cfRule type="expression" dxfId="3586" priority="319">
      <formula>$S$23 = FALSE</formula>
    </cfRule>
  </conditionalFormatting>
  <conditionalFormatting sqref="W23">
    <cfRule type="expression" dxfId="3585" priority="318">
      <formula>OR($T$23 = TRUE, AND($W$23 = TRUE, $S$23 = FALSE))</formula>
    </cfRule>
  </conditionalFormatting>
  <conditionalFormatting sqref="W25">
    <cfRule type="expression" dxfId="3584" priority="317">
      <formula>AND($R$25,$S$25)</formula>
    </cfRule>
  </conditionalFormatting>
  <conditionalFormatting sqref="W25">
    <cfRule type="expression" dxfId="3583" priority="316">
      <formula>AND(IF($R$25,$W$25,TRUE),LEN(TRIM($W$25))&gt;0)</formula>
    </cfRule>
  </conditionalFormatting>
  <conditionalFormatting sqref="W25">
    <cfRule type="expression" dxfId="3582" priority="315">
      <formula>$S$25 = FALSE</formula>
    </cfRule>
  </conditionalFormatting>
  <conditionalFormatting sqref="W25">
    <cfRule type="expression" dxfId="3581" priority="314">
      <formula>OR($T$25 = TRUE, AND($W$25 = TRUE, $S$25 = FALSE))</formula>
    </cfRule>
  </conditionalFormatting>
  <conditionalFormatting sqref="W27">
    <cfRule type="expression" dxfId="3580" priority="313">
      <formula>AND($R$27,$S$27)</formula>
    </cfRule>
  </conditionalFormatting>
  <conditionalFormatting sqref="W27">
    <cfRule type="expression" dxfId="3579" priority="312">
      <formula>AND(IF($R$27,$W$27,TRUE),LEN(TRIM($W$27))&gt;0)</formula>
    </cfRule>
  </conditionalFormatting>
  <conditionalFormatting sqref="W27">
    <cfRule type="expression" dxfId="3578" priority="311">
      <formula>$S$27 = FALSE</formula>
    </cfRule>
  </conditionalFormatting>
  <conditionalFormatting sqref="W27">
    <cfRule type="expression" dxfId="3577" priority="310">
      <formula>OR($T$27 = TRUE, AND($W$27 = TRUE, $S$27 = FALSE))</formula>
    </cfRule>
  </conditionalFormatting>
  <conditionalFormatting sqref="W28">
    <cfRule type="expression" dxfId="3576" priority="309">
      <formula>AND($R$28,$S$28)</formula>
    </cfRule>
  </conditionalFormatting>
  <conditionalFormatting sqref="W28">
    <cfRule type="expression" dxfId="3575" priority="308">
      <formula>AND(IF($R$28,$W$28,TRUE),LEN(TRIM($W$28))&gt;0)</formula>
    </cfRule>
  </conditionalFormatting>
  <conditionalFormatting sqref="W28">
    <cfRule type="expression" dxfId="3574" priority="307">
      <formula>$S$28 = FALSE</formula>
    </cfRule>
  </conditionalFormatting>
  <conditionalFormatting sqref="W28">
    <cfRule type="expression" dxfId="3573" priority="306">
      <formula>OR($T$28 = TRUE, AND($W$28 = TRUE, $S$28 = FALSE))</formula>
    </cfRule>
  </conditionalFormatting>
  <conditionalFormatting sqref="W30">
    <cfRule type="expression" dxfId="3572" priority="305">
      <formula>AND($R$30,$S$30)</formula>
    </cfRule>
  </conditionalFormatting>
  <conditionalFormatting sqref="W30">
    <cfRule type="expression" dxfId="3571" priority="304">
      <formula>AND(IF($R$30,$W$30,TRUE),LEN(TRIM($W$30))&gt;0)</formula>
    </cfRule>
  </conditionalFormatting>
  <conditionalFormatting sqref="W30">
    <cfRule type="expression" dxfId="3570" priority="303">
      <formula>$S$30 = FALSE</formula>
    </cfRule>
  </conditionalFormatting>
  <conditionalFormatting sqref="W30">
    <cfRule type="expression" dxfId="3569" priority="302">
      <formula>OR($T$30 = TRUE, AND($W$30 = TRUE, $S$30 = FALSE))</formula>
    </cfRule>
  </conditionalFormatting>
  <conditionalFormatting sqref="W31">
    <cfRule type="expression" dxfId="3568" priority="301">
      <formula>AND($R$31,$S$31)</formula>
    </cfRule>
  </conditionalFormatting>
  <conditionalFormatting sqref="W31">
    <cfRule type="expression" dxfId="3567" priority="300">
      <formula>AND(IF($R$31,$W$31,TRUE),LEN(TRIM($W$31))&gt;0)</formula>
    </cfRule>
  </conditionalFormatting>
  <conditionalFormatting sqref="W31">
    <cfRule type="expression" dxfId="3566" priority="299">
      <formula>$S$31 = FALSE</formula>
    </cfRule>
  </conditionalFormatting>
  <conditionalFormatting sqref="W31">
    <cfRule type="expression" dxfId="3565" priority="298">
      <formula>OR($T$31 = TRUE, AND($W$31 = TRUE, $S$31 = FALSE))</formula>
    </cfRule>
  </conditionalFormatting>
  <conditionalFormatting sqref="W32">
    <cfRule type="expression" dxfId="3564" priority="297">
      <formula>AND($R$32,$S$32)</formula>
    </cfRule>
  </conditionalFormatting>
  <conditionalFormatting sqref="W32">
    <cfRule type="expression" dxfId="3563" priority="296">
      <formula>AND(IF($R$32,$W$32,TRUE),LEN(TRIM($W$32))&gt;0)</formula>
    </cfRule>
  </conditionalFormatting>
  <conditionalFormatting sqref="W32">
    <cfRule type="expression" dxfId="3562" priority="295">
      <formula>$S$32 = FALSE</formula>
    </cfRule>
  </conditionalFormatting>
  <conditionalFormatting sqref="W32">
    <cfRule type="expression" dxfId="3561" priority="294">
      <formula>OR($T$32 = TRUE, AND($W$32 = TRUE, $S$32 = FALSE))</formula>
    </cfRule>
  </conditionalFormatting>
  <conditionalFormatting sqref="W38">
    <cfRule type="expression" dxfId="3560" priority="293">
      <formula>AND($R$38,$S$38)</formula>
    </cfRule>
  </conditionalFormatting>
  <conditionalFormatting sqref="W38">
    <cfRule type="expression" dxfId="3559" priority="292">
      <formula>AND(IF($R$38,$W$38,TRUE),LEN(TRIM($W$38))&gt;0)</formula>
    </cfRule>
  </conditionalFormatting>
  <conditionalFormatting sqref="W38">
    <cfRule type="expression" dxfId="3558" priority="291">
      <formula>$S$38 = FALSE</formula>
    </cfRule>
  </conditionalFormatting>
  <conditionalFormatting sqref="W38">
    <cfRule type="expression" dxfId="3557" priority="290">
      <formula>OR($T$38 = TRUE, AND($W$38 = TRUE, $S$38 = FALSE))</formula>
    </cfRule>
  </conditionalFormatting>
  <conditionalFormatting sqref="W42">
    <cfRule type="expression" dxfId="3556" priority="289">
      <formula>AND($R$42,$S$42)</formula>
    </cfRule>
  </conditionalFormatting>
  <conditionalFormatting sqref="W42">
    <cfRule type="expression" dxfId="3555" priority="288">
      <formula>AND(IF($R$42,$W$42,TRUE),LEN(TRIM($W$42))&gt;0)</formula>
    </cfRule>
  </conditionalFormatting>
  <conditionalFormatting sqref="W42">
    <cfRule type="expression" dxfId="3554" priority="287">
      <formula>$S$42 = FALSE</formula>
    </cfRule>
  </conditionalFormatting>
  <conditionalFormatting sqref="W42">
    <cfRule type="expression" dxfId="3553" priority="286">
      <formula>OR($T$42 = TRUE, AND($W$42 = TRUE, $S$42 = FALSE))</formula>
    </cfRule>
  </conditionalFormatting>
  <conditionalFormatting sqref="W44">
    <cfRule type="expression" dxfId="3552" priority="285">
      <formula>AND($R$44,$S$44)</formula>
    </cfRule>
  </conditionalFormatting>
  <conditionalFormatting sqref="W44">
    <cfRule type="expression" dxfId="3551" priority="284">
      <formula>AND(IF($R$44,$W$44,TRUE),LEN(TRIM($W$44))&gt;0)</formula>
    </cfRule>
  </conditionalFormatting>
  <conditionalFormatting sqref="W44">
    <cfRule type="expression" dxfId="3550" priority="283">
      <formula>$S$44 = FALSE</formula>
    </cfRule>
  </conditionalFormatting>
  <conditionalFormatting sqref="W44">
    <cfRule type="expression" dxfId="3549" priority="282">
      <formula>OR($T$44 = TRUE, AND($W$44 = TRUE, $S$44 = FALSE))</formula>
    </cfRule>
  </conditionalFormatting>
  <conditionalFormatting sqref="W46">
    <cfRule type="expression" dxfId="3548" priority="281">
      <formula>AND($R$46,$S$46)</formula>
    </cfRule>
  </conditionalFormatting>
  <conditionalFormatting sqref="W46">
    <cfRule type="expression" dxfId="3547" priority="280">
      <formula>AND(IF($R$46,$W$46,TRUE),LEN(TRIM($W$46))&gt;0)</formula>
    </cfRule>
  </conditionalFormatting>
  <conditionalFormatting sqref="W46">
    <cfRule type="expression" dxfId="3546" priority="279">
      <formula>$S$46 = FALSE</formula>
    </cfRule>
  </conditionalFormatting>
  <conditionalFormatting sqref="W46">
    <cfRule type="expression" dxfId="3545" priority="278">
      <formula>OR($T$46 = TRUE, AND($W$46 = TRUE, $S$46 = FALSE))</formula>
    </cfRule>
  </conditionalFormatting>
  <conditionalFormatting sqref="W47">
    <cfRule type="expression" dxfId="3544" priority="277">
      <formula>AND($R$47,$S$47)</formula>
    </cfRule>
  </conditionalFormatting>
  <conditionalFormatting sqref="W47">
    <cfRule type="expression" dxfId="3543" priority="276">
      <formula>AND(IF($R$47,$W$47,TRUE),LEN(TRIM($W$47))&gt;0)</formula>
    </cfRule>
  </conditionalFormatting>
  <conditionalFormatting sqref="W47">
    <cfRule type="expression" dxfId="3542" priority="275">
      <formula>$S$47 = FALSE</formula>
    </cfRule>
  </conditionalFormatting>
  <conditionalFormatting sqref="W47">
    <cfRule type="expression" dxfId="3541" priority="274">
      <formula>OR($T$47 = TRUE, AND($W$47 = TRUE, $S$47 = FALSE))</formula>
    </cfRule>
  </conditionalFormatting>
  <conditionalFormatting sqref="W49">
    <cfRule type="expression" dxfId="3540" priority="273">
      <formula>AND($R$49,$S$49)</formula>
    </cfRule>
  </conditionalFormatting>
  <conditionalFormatting sqref="W49">
    <cfRule type="expression" dxfId="3539" priority="272">
      <formula>AND(IF($R$49,$W$49,TRUE),LEN(TRIM($W$49))&gt;0)</formula>
    </cfRule>
  </conditionalFormatting>
  <conditionalFormatting sqref="W49">
    <cfRule type="expression" dxfId="3538" priority="271">
      <formula>$S$49 = FALSE</formula>
    </cfRule>
  </conditionalFormatting>
  <conditionalFormatting sqref="W49">
    <cfRule type="expression" dxfId="3537" priority="270">
      <formula>OR($T$49 = TRUE, AND($W$49 = TRUE, $S$49 = FALSE))</formula>
    </cfRule>
  </conditionalFormatting>
  <conditionalFormatting sqref="W51">
    <cfRule type="expression" dxfId="3536" priority="269">
      <formula>AND($R$51,$S$51)</formula>
    </cfRule>
  </conditionalFormatting>
  <conditionalFormatting sqref="W51">
    <cfRule type="expression" dxfId="3535" priority="268">
      <formula>AND(IF($R$51,$W$51,TRUE),LEN(TRIM($W$51))&gt;0)</formula>
    </cfRule>
  </conditionalFormatting>
  <conditionalFormatting sqref="W51">
    <cfRule type="expression" dxfId="3534" priority="267">
      <formula>$S$51 = FALSE</formula>
    </cfRule>
  </conditionalFormatting>
  <conditionalFormatting sqref="W51">
    <cfRule type="expression" dxfId="3533" priority="266">
      <formula>OR($T$51 = TRUE, AND($W$51 = TRUE, $S$51 = FALSE))</formula>
    </cfRule>
  </conditionalFormatting>
  <conditionalFormatting sqref="W52">
    <cfRule type="expression" dxfId="3532" priority="265">
      <formula>AND($R$52,$S$52)</formula>
    </cfRule>
  </conditionalFormatting>
  <conditionalFormatting sqref="W52">
    <cfRule type="expression" dxfId="3531" priority="264">
      <formula>AND(IF($R$52,$W$52,TRUE),LEN(TRIM($W$52))&gt;0)</formula>
    </cfRule>
  </conditionalFormatting>
  <conditionalFormatting sqref="W52">
    <cfRule type="expression" dxfId="3530" priority="263">
      <formula>$S$52 = FALSE</formula>
    </cfRule>
  </conditionalFormatting>
  <conditionalFormatting sqref="W52">
    <cfRule type="expression" dxfId="3529" priority="262">
      <formula>OR($T$52 = TRUE, AND($W$52 = TRUE, $S$52 = FALSE))</formula>
    </cfRule>
  </conditionalFormatting>
  <conditionalFormatting sqref="W54">
    <cfRule type="expression" dxfId="3528" priority="261">
      <formula>AND($R$54,$S$54)</formula>
    </cfRule>
  </conditionalFormatting>
  <conditionalFormatting sqref="W54">
    <cfRule type="expression" dxfId="3527" priority="260">
      <formula>AND(IF($R$54,$W$54,TRUE),LEN(TRIM($W$54))&gt;0)</formula>
    </cfRule>
  </conditionalFormatting>
  <conditionalFormatting sqref="W54">
    <cfRule type="expression" dxfId="3526" priority="259">
      <formula>$S$54 = FALSE</formula>
    </cfRule>
  </conditionalFormatting>
  <conditionalFormatting sqref="W54">
    <cfRule type="expression" dxfId="3525" priority="258">
      <formula>OR($T$54 = TRUE, AND($W$54 = TRUE, $S$54 = FALSE))</formula>
    </cfRule>
  </conditionalFormatting>
  <conditionalFormatting sqref="W56">
    <cfRule type="expression" dxfId="3524" priority="257">
      <formula>AND($R$56,$S$56)</formula>
    </cfRule>
  </conditionalFormatting>
  <conditionalFormatting sqref="W56">
    <cfRule type="expression" dxfId="3523" priority="256">
      <formula>AND(IF($R$56,$W$56,TRUE),LEN(TRIM($W$56))&gt;0)</formula>
    </cfRule>
  </conditionalFormatting>
  <conditionalFormatting sqref="W56">
    <cfRule type="expression" dxfId="3522" priority="255">
      <formula>$S$56 = FALSE</formula>
    </cfRule>
  </conditionalFormatting>
  <conditionalFormatting sqref="W56">
    <cfRule type="expression" dxfId="3521" priority="254">
      <formula>OR($T$56 = TRUE, AND($W$56 = TRUE, $S$56 = FALSE))</formula>
    </cfRule>
  </conditionalFormatting>
  <conditionalFormatting sqref="W62">
    <cfRule type="expression" dxfId="3520" priority="245">
      <formula>AND($R$62,$S$62)</formula>
    </cfRule>
  </conditionalFormatting>
  <conditionalFormatting sqref="W62">
    <cfRule type="expression" dxfId="3519" priority="244">
      <formula>AND(IF($R$62,$W$62,TRUE),LEN(TRIM($W$62))&gt;0)</formula>
    </cfRule>
  </conditionalFormatting>
  <conditionalFormatting sqref="W62">
    <cfRule type="expression" dxfId="3518" priority="243">
      <formula>$S$62 = FALSE</formula>
    </cfRule>
  </conditionalFormatting>
  <conditionalFormatting sqref="W62">
    <cfRule type="expression" dxfId="3517" priority="242">
      <formula>OR($T$62 = TRUE, AND($W$62 = TRUE, $S$62 = FALSE))</formula>
    </cfRule>
  </conditionalFormatting>
  <conditionalFormatting sqref="W84">
    <cfRule type="expression" dxfId="3516" priority="241">
      <formula>AND($R$84,$S$84)</formula>
    </cfRule>
  </conditionalFormatting>
  <conditionalFormatting sqref="W84">
    <cfRule type="expression" dxfId="3515" priority="240">
      <formula>AND(IF($R$84,$W$84,TRUE),LEN(TRIM($W$84))&gt;0)</formula>
    </cfRule>
  </conditionalFormatting>
  <conditionalFormatting sqref="W84">
    <cfRule type="expression" dxfId="3514" priority="239">
      <formula>$S$84 = FALSE</formula>
    </cfRule>
  </conditionalFormatting>
  <conditionalFormatting sqref="W84">
    <cfRule type="expression" dxfId="3513" priority="238">
      <formula>OR($T$84 = TRUE, AND($W$84 = TRUE, $S$84 = FALSE))</formula>
    </cfRule>
  </conditionalFormatting>
  <conditionalFormatting sqref="W87">
    <cfRule type="expression" dxfId="3512" priority="237">
      <formula>AND($R$87,$S$87)</formula>
    </cfRule>
  </conditionalFormatting>
  <conditionalFormatting sqref="W87">
    <cfRule type="expression" dxfId="3511" priority="236">
      <formula>AND(IF($R$87,$W$87,TRUE),LEN(TRIM($W$87))&gt;0)</formula>
    </cfRule>
  </conditionalFormatting>
  <conditionalFormatting sqref="W87">
    <cfRule type="expression" dxfId="3510" priority="235">
      <formula>$S$87 = FALSE</formula>
    </cfRule>
  </conditionalFormatting>
  <conditionalFormatting sqref="W87">
    <cfRule type="expression" dxfId="3509" priority="234">
      <formula>OR($T$87 = TRUE, AND($W$87 = TRUE, $S$87 = FALSE))</formula>
    </cfRule>
  </conditionalFormatting>
  <conditionalFormatting sqref="W90">
    <cfRule type="expression" dxfId="3508" priority="233">
      <formula>AND($R$90,$S$90)</formula>
    </cfRule>
  </conditionalFormatting>
  <conditionalFormatting sqref="W90">
    <cfRule type="expression" dxfId="3507" priority="232">
      <formula>AND(IF($R$90,$W$90,TRUE),LEN(TRIM($W$90))&gt;0)</formula>
    </cfRule>
  </conditionalFormatting>
  <conditionalFormatting sqref="W90">
    <cfRule type="expression" dxfId="3506" priority="231">
      <formula>$S$90 = FALSE</formula>
    </cfRule>
  </conditionalFormatting>
  <conditionalFormatting sqref="W90">
    <cfRule type="expression" dxfId="3505" priority="230">
      <formula>OR($T$90 = TRUE, AND($W$90 = TRUE, $S$90 = FALSE))</formula>
    </cfRule>
  </conditionalFormatting>
  <conditionalFormatting sqref="W92">
    <cfRule type="expression" dxfId="3504" priority="229">
      <formula>AND($R$92,$S$92)</formula>
    </cfRule>
  </conditionalFormatting>
  <conditionalFormatting sqref="W92">
    <cfRule type="expression" dxfId="3503" priority="228">
      <formula>AND(IF($R$92,$W$92,TRUE),LEN(TRIM($W$92))&gt;0)</formula>
    </cfRule>
  </conditionalFormatting>
  <conditionalFormatting sqref="W92">
    <cfRule type="expression" dxfId="3502" priority="227">
      <formula>$S$92 = FALSE</formula>
    </cfRule>
  </conditionalFormatting>
  <conditionalFormatting sqref="W92">
    <cfRule type="expression" dxfId="3501" priority="226">
      <formula>OR($T$92 = TRUE, AND($W$92 = TRUE, $S$92 = FALSE))</formula>
    </cfRule>
  </conditionalFormatting>
  <conditionalFormatting sqref="W93">
    <cfRule type="expression" dxfId="3500" priority="225">
      <formula>AND($R$93,$S$93)</formula>
    </cfRule>
  </conditionalFormatting>
  <conditionalFormatting sqref="W93">
    <cfRule type="expression" dxfId="3499" priority="224">
      <formula>AND(IF($R$93,$W$93,TRUE),LEN(TRIM($W$93))&gt;0)</formula>
    </cfRule>
  </conditionalFormatting>
  <conditionalFormatting sqref="W93">
    <cfRule type="expression" dxfId="3498" priority="223">
      <formula>$S$93 = FALSE</formula>
    </cfRule>
  </conditionalFormatting>
  <conditionalFormatting sqref="W93">
    <cfRule type="expression" dxfId="3497" priority="222">
      <formula>OR($T$93 = TRUE, AND($W$93 = TRUE, $S$93 = FALSE))</formula>
    </cfRule>
  </conditionalFormatting>
  <conditionalFormatting sqref="W95">
    <cfRule type="expression" dxfId="3496" priority="221">
      <formula>AND($R$95,$S$95)</formula>
    </cfRule>
  </conditionalFormatting>
  <conditionalFormatting sqref="W95">
    <cfRule type="expression" dxfId="3495" priority="220">
      <formula>AND(IF($R$95,$W$95,TRUE),LEN(TRIM($W$95))&gt;0)</formula>
    </cfRule>
  </conditionalFormatting>
  <conditionalFormatting sqref="W95">
    <cfRule type="expression" dxfId="3494" priority="219">
      <formula>$S$95 = FALSE</formula>
    </cfRule>
  </conditionalFormatting>
  <conditionalFormatting sqref="W95">
    <cfRule type="expression" dxfId="3493" priority="218">
      <formula>OR($T$95 = TRUE, AND($W$95 = TRUE, $S$95 = FALSE))</formula>
    </cfRule>
  </conditionalFormatting>
  <conditionalFormatting sqref="W96">
    <cfRule type="expression" dxfId="3492" priority="217">
      <formula>AND($R$96,$S$96)</formula>
    </cfRule>
  </conditionalFormatting>
  <conditionalFormatting sqref="W96">
    <cfRule type="expression" dxfId="3491" priority="216">
      <formula>AND(IF($R$96,$W$96,TRUE),LEN(TRIM($W$96))&gt;0)</formula>
    </cfRule>
  </conditionalFormatting>
  <conditionalFormatting sqref="W96">
    <cfRule type="expression" dxfId="3490" priority="215">
      <formula>$S$96 = FALSE</formula>
    </cfRule>
  </conditionalFormatting>
  <conditionalFormatting sqref="W96">
    <cfRule type="expression" dxfId="3489" priority="214">
      <formula>OR($T$96 = TRUE, AND($W$96 = TRUE, $S$96 = FALSE))</formula>
    </cfRule>
  </conditionalFormatting>
  <conditionalFormatting sqref="W97">
    <cfRule type="expression" dxfId="3488" priority="213">
      <formula>AND($R$97,$S$97)</formula>
    </cfRule>
  </conditionalFormatting>
  <conditionalFormatting sqref="W97">
    <cfRule type="expression" dxfId="3487" priority="212">
      <formula>AND(IF($R$97,$W$97,TRUE),LEN(TRIM($W$97))&gt;0)</formula>
    </cfRule>
  </conditionalFormatting>
  <conditionalFormatting sqref="W97">
    <cfRule type="expression" dxfId="3486" priority="211">
      <formula>$S$97 = FALSE</formula>
    </cfRule>
  </conditionalFormatting>
  <conditionalFormatting sqref="W97">
    <cfRule type="expression" dxfId="3485" priority="210">
      <formula>OR($T$97 = TRUE, AND($W$97 = TRUE, $S$97 = FALSE))</formula>
    </cfRule>
  </conditionalFormatting>
  <conditionalFormatting sqref="W103">
    <cfRule type="expression" dxfId="3484" priority="209">
      <formula>AND($R$103,$S$103)</formula>
    </cfRule>
  </conditionalFormatting>
  <conditionalFormatting sqref="W103">
    <cfRule type="expression" dxfId="3483" priority="208">
      <formula>AND(IF($R$103,$W$103,TRUE),LEN(TRIM($W$103))&gt;0)</formula>
    </cfRule>
  </conditionalFormatting>
  <conditionalFormatting sqref="W103">
    <cfRule type="expression" dxfId="3482" priority="207">
      <formula>$S$103 = FALSE</formula>
    </cfRule>
  </conditionalFormatting>
  <conditionalFormatting sqref="W103">
    <cfRule type="expression" dxfId="3481" priority="206">
      <formula>OR($T$103 = TRUE, AND($W$103 = TRUE, $S$103 = FALSE))</formula>
    </cfRule>
  </conditionalFormatting>
  <conditionalFormatting sqref="W105">
    <cfRule type="expression" dxfId="3480" priority="205">
      <formula>AND($R$105,$S$105)</formula>
    </cfRule>
  </conditionalFormatting>
  <conditionalFormatting sqref="W105">
    <cfRule type="expression" dxfId="3479" priority="204">
      <formula>AND(IF($R$105,$W$105,TRUE),LEN(TRIM($W$105))&gt;0)</formula>
    </cfRule>
  </conditionalFormatting>
  <conditionalFormatting sqref="W105">
    <cfRule type="expression" dxfId="3478" priority="203">
      <formula>$S$105 = FALSE</formula>
    </cfRule>
  </conditionalFormatting>
  <conditionalFormatting sqref="W105">
    <cfRule type="expression" dxfId="3477" priority="202">
      <formula>OR($T$105 = TRUE, AND($W$105 = TRUE, $S$105 = FALSE))</formula>
    </cfRule>
  </conditionalFormatting>
  <conditionalFormatting sqref="W108">
    <cfRule type="expression" dxfId="3476" priority="201">
      <formula>AND($R$108,$S$108)</formula>
    </cfRule>
  </conditionalFormatting>
  <conditionalFormatting sqref="W108">
    <cfRule type="expression" dxfId="3475" priority="200">
      <formula>AND(IF($R$108,$W$108,TRUE),LEN(TRIM($W$108))&gt;0)</formula>
    </cfRule>
  </conditionalFormatting>
  <conditionalFormatting sqref="W108">
    <cfRule type="expression" dxfId="3474" priority="199">
      <formula>$S$108 = FALSE</formula>
    </cfRule>
  </conditionalFormatting>
  <conditionalFormatting sqref="W108">
    <cfRule type="expression" dxfId="3473" priority="198">
      <formula>OR($T$108 = TRUE, AND($W$108 = TRUE, $S$108 = FALSE))</formula>
    </cfRule>
  </conditionalFormatting>
  <conditionalFormatting sqref="W110">
    <cfRule type="expression" dxfId="3472" priority="197">
      <formula>AND($R$110,$S$110)</formula>
    </cfRule>
  </conditionalFormatting>
  <conditionalFormatting sqref="W110">
    <cfRule type="expression" dxfId="3471" priority="196">
      <formula>AND(IF($R$110,$W$110,TRUE),LEN(TRIM($W$110))&gt;0)</formula>
    </cfRule>
  </conditionalFormatting>
  <conditionalFormatting sqref="W110">
    <cfRule type="expression" dxfId="3470" priority="195">
      <formula>$S$110 = FALSE</formula>
    </cfRule>
  </conditionalFormatting>
  <conditionalFormatting sqref="W110">
    <cfRule type="expression" dxfId="3469" priority="194">
      <formula>OR($T$110 = TRUE, AND($W$110 = TRUE, $S$110 = FALSE))</formula>
    </cfRule>
  </conditionalFormatting>
  <conditionalFormatting sqref="W113">
    <cfRule type="expression" dxfId="3468" priority="193">
      <formula>AND($R$113,$S$113)</formula>
    </cfRule>
  </conditionalFormatting>
  <conditionalFormatting sqref="W113">
    <cfRule type="expression" dxfId="3467" priority="192">
      <formula>AND(IF($R$113,$W$113,TRUE),LEN(TRIM($W$113))&gt;0)</formula>
    </cfRule>
  </conditionalFormatting>
  <conditionalFormatting sqref="W113">
    <cfRule type="expression" dxfId="3466" priority="191">
      <formula>$S$113 = FALSE</formula>
    </cfRule>
  </conditionalFormatting>
  <conditionalFormatting sqref="W113">
    <cfRule type="expression" dxfId="3465" priority="190">
      <formula>OR($T$113 = TRUE, AND($W$113 = TRUE, $S$113 = FALSE))</formula>
    </cfRule>
  </conditionalFormatting>
  <conditionalFormatting sqref="W115">
    <cfRule type="expression" dxfId="3464" priority="189">
      <formula>AND($R$115,$S$115)</formula>
    </cfRule>
  </conditionalFormatting>
  <conditionalFormatting sqref="W115">
    <cfRule type="expression" dxfId="3463" priority="188">
      <formula>AND(IF($R$115,$W$115,TRUE),LEN(TRIM($W$115))&gt;0)</formula>
    </cfRule>
  </conditionalFormatting>
  <conditionalFormatting sqref="W115">
    <cfRule type="expression" dxfId="3462" priority="187">
      <formula>$S$115 = FALSE</formula>
    </cfRule>
  </conditionalFormatting>
  <conditionalFormatting sqref="W115">
    <cfRule type="expression" dxfId="3461" priority="186">
      <formula>OR($T$115 = TRUE, AND($W$115 = TRUE, $S$115 = FALSE))</formula>
    </cfRule>
  </conditionalFormatting>
  <conditionalFormatting sqref="W116">
    <cfRule type="expression" dxfId="3460" priority="185">
      <formula>AND($R$116,$S$116)</formula>
    </cfRule>
  </conditionalFormatting>
  <conditionalFormatting sqref="W116">
    <cfRule type="expression" dxfId="3459" priority="184">
      <formula>AND(IF($R$116,$W$116,TRUE),LEN(TRIM($W$116))&gt;0)</formula>
    </cfRule>
  </conditionalFormatting>
  <conditionalFormatting sqref="W116">
    <cfRule type="expression" dxfId="3458" priority="183">
      <formula>$S$116 = FALSE</formula>
    </cfRule>
  </conditionalFormatting>
  <conditionalFormatting sqref="W116">
    <cfRule type="expression" dxfId="3457" priority="182">
      <formula>OR($T$116 = TRUE, AND($W$116 = TRUE, $S$116 = FALSE))</formula>
    </cfRule>
  </conditionalFormatting>
  <conditionalFormatting sqref="W118">
    <cfRule type="expression" dxfId="3456" priority="181">
      <formula>AND($R$118,$S$118)</formula>
    </cfRule>
  </conditionalFormatting>
  <conditionalFormatting sqref="W118">
    <cfRule type="expression" dxfId="3455" priority="180">
      <formula>AND(IF($R$118,$W$118,TRUE),LEN(TRIM($W$118))&gt;0)</formula>
    </cfRule>
  </conditionalFormatting>
  <conditionalFormatting sqref="W118">
    <cfRule type="expression" dxfId="3454" priority="179">
      <formula>$S$118 = FALSE</formula>
    </cfRule>
  </conditionalFormatting>
  <conditionalFormatting sqref="W118">
    <cfRule type="expression" dxfId="3453" priority="178">
      <formula>OR($T$118 = TRUE, AND($W$118 = TRUE, $S$118 = FALSE))</formula>
    </cfRule>
  </conditionalFormatting>
  <conditionalFormatting sqref="W120">
    <cfRule type="expression" dxfId="3452" priority="177">
      <formula>AND($R$120,$S$120)</formula>
    </cfRule>
  </conditionalFormatting>
  <conditionalFormatting sqref="W120">
    <cfRule type="expression" dxfId="3451" priority="176">
      <formula>AND(IF($R$120,$W$120,TRUE),LEN(TRIM($W$120))&gt;0)</formula>
    </cfRule>
  </conditionalFormatting>
  <conditionalFormatting sqref="W120">
    <cfRule type="expression" dxfId="3450" priority="175">
      <formula>$S$120 = FALSE</formula>
    </cfRule>
  </conditionalFormatting>
  <conditionalFormatting sqref="W120">
    <cfRule type="expression" dxfId="3449" priority="174">
      <formula>OR($T$120 = TRUE, AND($W$120 = TRUE, $S$120 = FALSE))</formula>
    </cfRule>
  </conditionalFormatting>
  <conditionalFormatting sqref="W121">
    <cfRule type="expression" dxfId="3448" priority="173">
      <formula>AND($R$121,$S$121)</formula>
    </cfRule>
  </conditionalFormatting>
  <conditionalFormatting sqref="W121">
    <cfRule type="expression" dxfId="3447" priority="172">
      <formula>AND(IF($R$121,$W$121,TRUE),LEN(TRIM($W$121))&gt;0)</formula>
    </cfRule>
  </conditionalFormatting>
  <conditionalFormatting sqref="W121">
    <cfRule type="expression" dxfId="3446" priority="171">
      <formula>$S$121 = FALSE</formula>
    </cfRule>
  </conditionalFormatting>
  <conditionalFormatting sqref="W121">
    <cfRule type="expression" dxfId="3445" priority="170">
      <formula>OR($T$121 = TRUE, AND($W$121 = TRUE, $S$121 = FALSE))</formula>
    </cfRule>
  </conditionalFormatting>
  <conditionalFormatting sqref="W124">
    <cfRule type="expression" dxfId="3444" priority="169">
      <formula>AND($R$124,$S$124)</formula>
    </cfRule>
  </conditionalFormatting>
  <conditionalFormatting sqref="W124">
    <cfRule type="expression" dxfId="3443" priority="168">
      <formula>AND(IF($R$124,$W$124,TRUE),LEN(TRIM($W$124))&gt;0)</formula>
    </cfRule>
  </conditionalFormatting>
  <conditionalFormatting sqref="W124">
    <cfRule type="expression" dxfId="3442" priority="167">
      <formula>$S$124 = FALSE</formula>
    </cfRule>
  </conditionalFormatting>
  <conditionalFormatting sqref="W124">
    <cfRule type="expression" dxfId="3441" priority="166">
      <formula>OR($T$124 = TRUE, AND($W$124 = TRUE, $S$124 = FALSE))</formula>
    </cfRule>
  </conditionalFormatting>
  <conditionalFormatting sqref="W130">
    <cfRule type="expression" dxfId="3440" priority="165">
      <formula>AND($R$130,$S$130)</formula>
    </cfRule>
  </conditionalFormatting>
  <conditionalFormatting sqref="W130">
    <cfRule type="expression" dxfId="3439" priority="164">
      <formula>AND(IF($R$130,$W$130,TRUE),LEN(TRIM($W$130))&gt;0)</formula>
    </cfRule>
  </conditionalFormatting>
  <conditionalFormatting sqref="W130">
    <cfRule type="expression" dxfId="3438" priority="163">
      <formula>$S$130 = FALSE</formula>
    </cfRule>
  </conditionalFormatting>
  <conditionalFormatting sqref="W130">
    <cfRule type="expression" dxfId="3437" priority="162">
      <formula>OR($T$130 = TRUE, AND($W$130 = TRUE, $S$130 = FALSE))</formula>
    </cfRule>
  </conditionalFormatting>
  <conditionalFormatting sqref="W132">
    <cfRule type="expression" dxfId="3436" priority="161">
      <formula>AND($R$132,$S$132)</formula>
    </cfRule>
  </conditionalFormatting>
  <conditionalFormatting sqref="W132">
    <cfRule type="expression" dxfId="3435" priority="160">
      <formula>AND(IF($R$132,$W$132,TRUE),LEN(TRIM($W$132))&gt;0)</formula>
    </cfRule>
  </conditionalFormatting>
  <conditionalFormatting sqref="W132">
    <cfRule type="expression" dxfId="3434" priority="159">
      <formula>$S$132 = FALSE</formula>
    </cfRule>
  </conditionalFormatting>
  <conditionalFormatting sqref="W132">
    <cfRule type="expression" dxfId="3433" priority="158">
      <formula>OR($T$132 = TRUE, AND($W$132 = TRUE, $S$132 = FALSE))</formula>
    </cfRule>
  </conditionalFormatting>
  <conditionalFormatting sqref="W136">
    <cfRule type="expression" dxfId="3432" priority="157">
      <formula>AND($R$136,$S$136)</formula>
    </cfRule>
  </conditionalFormatting>
  <conditionalFormatting sqref="W136">
    <cfRule type="expression" dxfId="3431" priority="156">
      <formula>AND(IF($R$136,$W$136,TRUE),LEN(TRIM($W$136))&gt;0)</formula>
    </cfRule>
  </conditionalFormatting>
  <conditionalFormatting sqref="W136">
    <cfRule type="expression" dxfId="3430" priority="155">
      <formula>$S$136 = FALSE</formula>
    </cfRule>
  </conditionalFormatting>
  <conditionalFormatting sqref="W136">
    <cfRule type="expression" dxfId="3429" priority="154">
      <formula>OR($T$136 = TRUE, AND($W$136 = TRUE, $S$136 = FALSE))</formula>
    </cfRule>
  </conditionalFormatting>
  <conditionalFormatting sqref="W143">
    <cfRule type="expression" dxfId="3428" priority="153">
      <formula>AND($R$143,$S$143)</formula>
    </cfRule>
  </conditionalFormatting>
  <conditionalFormatting sqref="W143">
    <cfRule type="expression" dxfId="3427" priority="152">
      <formula>AND(IF($R$143,$W$143,TRUE),LEN(TRIM($W$143))&gt;0)</formula>
    </cfRule>
  </conditionalFormatting>
  <conditionalFormatting sqref="W143">
    <cfRule type="expression" dxfId="3426" priority="151">
      <formula>$S$143 = FALSE</formula>
    </cfRule>
  </conditionalFormatting>
  <conditionalFormatting sqref="W143">
    <cfRule type="expression" dxfId="3425" priority="150">
      <formula>OR($T$143 = TRUE, AND($W$143 = TRUE, $S$143 = FALSE))</formula>
    </cfRule>
  </conditionalFormatting>
  <conditionalFormatting sqref="W145">
    <cfRule type="expression" dxfId="3424" priority="149">
      <formula>AND($R$145,$S$145)</formula>
    </cfRule>
  </conditionalFormatting>
  <conditionalFormatting sqref="W145">
    <cfRule type="expression" dxfId="3423" priority="148">
      <formula>AND(IF($R$145,$W$145,TRUE),LEN(TRIM($W$145))&gt;0)</formula>
    </cfRule>
  </conditionalFormatting>
  <conditionalFormatting sqref="W145">
    <cfRule type="expression" dxfId="3422" priority="147">
      <formula>$S$145 = FALSE</formula>
    </cfRule>
  </conditionalFormatting>
  <conditionalFormatting sqref="W145">
    <cfRule type="expression" dxfId="3421" priority="146">
      <formula>OR($T$145 = TRUE, AND($W$145 = TRUE, $S$145 = FALSE))</formula>
    </cfRule>
  </conditionalFormatting>
  <conditionalFormatting sqref="W146">
    <cfRule type="expression" dxfId="3420" priority="145">
      <formula>AND($R$146,$S$146)</formula>
    </cfRule>
  </conditionalFormatting>
  <conditionalFormatting sqref="W146">
    <cfRule type="expression" dxfId="3419" priority="144">
      <formula>AND(IF($R$146,$W$146,TRUE),LEN(TRIM($W$146))&gt;0)</formula>
    </cfRule>
  </conditionalFormatting>
  <conditionalFormatting sqref="W146">
    <cfRule type="expression" dxfId="3418" priority="143">
      <formula>$S$146 = FALSE</formula>
    </cfRule>
  </conditionalFormatting>
  <conditionalFormatting sqref="W146">
    <cfRule type="expression" dxfId="3417" priority="142">
      <formula>OR($T$146 = TRUE, AND($W$146 = TRUE, $S$146 = FALSE))</formula>
    </cfRule>
  </conditionalFormatting>
  <conditionalFormatting sqref="W148">
    <cfRule type="expression" dxfId="3416" priority="141">
      <formula>AND($R$148,$S$148)</formula>
    </cfRule>
  </conditionalFormatting>
  <conditionalFormatting sqref="W148">
    <cfRule type="expression" dxfId="3415" priority="140">
      <formula>AND(IF($R$148,$W$148,TRUE),LEN(TRIM($W$148))&gt;0)</formula>
    </cfRule>
  </conditionalFormatting>
  <conditionalFormatting sqref="W148">
    <cfRule type="expression" dxfId="3414" priority="139">
      <formula>$S$148 = FALSE</formula>
    </cfRule>
  </conditionalFormatting>
  <conditionalFormatting sqref="W148">
    <cfRule type="expression" dxfId="3413" priority="138">
      <formula>OR($T$148 = TRUE, AND($W$148 = TRUE, $S$148 = FALSE))</formula>
    </cfRule>
  </conditionalFormatting>
  <conditionalFormatting sqref="W149">
    <cfRule type="expression" dxfId="3412" priority="137">
      <formula>AND($R$149,$S$149)</formula>
    </cfRule>
  </conditionalFormatting>
  <conditionalFormatting sqref="W149">
    <cfRule type="expression" dxfId="3411" priority="136">
      <formula>AND(IF($R$149,$W$149,TRUE),LEN(TRIM($W$149))&gt;0)</formula>
    </cfRule>
  </conditionalFormatting>
  <conditionalFormatting sqref="W149">
    <cfRule type="expression" dxfId="3410" priority="135">
      <formula>$S$149 = FALSE</formula>
    </cfRule>
  </conditionalFormatting>
  <conditionalFormatting sqref="W149">
    <cfRule type="expression" dxfId="3409" priority="134">
      <formula>OR($T$149 = TRUE, AND($W$149 = TRUE, $S$149 = FALSE))</formula>
    </cfRule>
  </conditionalFormatting>
  <conditionalFormatting sqref="W150">
    <cfRule type="expression" dxfId="3408" priority="133">
      <formula>AND($R$150,$S$150)</formula>
    </cfRule>
  </conditionalFormatting>
  <conditionalFormatting sqref="W150">
    <cfRule type="expression" dxfId="3407" priority="132">
      <formula>AND(IF($R$150,$W$150,TRUE),LEN(TRIM($W$150))&gt;0)</formula>
    </cfRule>
  </conditionalFormatting>
  <conditionalFormatting sqref="W150">
    <cfRule type="expression" dxfId="3406" priority="131">
      <formula>$S$150 = FALSE</formula>
    </cfRule>
  </conditionalFormatting>
  <conditionalFormatting sqref="W150">
    <cfRule type="expression" dxfId="3405" priority="130">
      <formula>OR($T$150 = TRUE, AND($W$150 = TRUE, $S$150 = FALSE))</formula>
    </cfRule>
  </conditionalFormatting>
  <conditionalFormatting sqref="W151">
    <cfRule type="expression" dxfId="3404" priority="129">
      <formula>AND($R$151,$S$151)</formula>
    </cfRule>
  </conditionalFormatting>
  <conditionalFormatting sqref="W151">
    <cfRule type="expression" dxfId="3403" priority="128">
      <formula>AND(IF($R$151,$W$151,TRUE),LEN(TRIM($W$151))&gt;0)</formula>
    </cfRule>
  </conditionalFormatting>
  <conditionalFormatting sqref="W151">
    <cfRule type="expression" dxfId="3402" priority="127">
      <formula>$S$151 = FALSE</formula>
    </cfRule>
  </conditionalFormatting>
  <conditionalFormatting sqref="W151">
    <cfRule type="expression" dxfId="3401" priority="126">
      <formula>OR($T$151 = TRUE, AND($W$151 = TRUE, $S$151 = FALSE))</formula>
    </cfRule>
  </conditionalFormatting>
  <conditionalFormatting sqref="W154">
    <cfRule type="expression" dxfId="3400" priority="125">
      <formula>AND($R$154,$S$154)</formula>
    </cfRule>
  </conditionalFormatting>
  <conditionalFormatting sqref="W154">
    <cfRule type="expression" dxfId="3399" priority="124">
      <formula>AND(IF($R$154,$W$154,TRUE),LEN(TRIM($W$154))&gt;0)</formula>
    </cfRule>
  </conditionalFormatting>
  <conditionalFormatting sqref="W154">
    <cfRule type="expression" dxfId="3398" priority="123">
      <formula>$S$154 = FALSE</formula>
    </cfRule>
  </conditionalFormatting>
  <conditionalFormatting sqref="W154">
    <cfRule type="expression" dxfId="3397" priority="122">
      <formula>OR($T$154 = TRUE, AND($W$154 = TRUE, $S$154 = FALSE))</formula>
    </cfRule>
  </conditionalFormatting>
  <conditionalFormatting sqref="W195">
    <cfRule type="expression" dxfId="3396" priority="118">
      <formula>OR($T$195 = TRUE, AND($W$195 = TRUE, $S$195 = FALSE))</formula>
    </cfRule>
    <cfRule type="expression" dxfId="3395" priority="119">
      <formula>$S$195 = FALSE</formula>
    </cfRule>
    <cfRule type="expression" dxfId="3394" priority="120">
      <formula>AND(IF($R$195,$W$195,TRUE),LEN(TRIM($W$195))&gt;0)</formula>
    </cfRule>
    <cfRule type="expression" dxfId="3393" priority="121">
      <formula>AND($R$195,$S$195)</formula>
    </cfRule>
  </conditionalFormatting>
  <conditionalFormatting sqref="W197">
    <cfRule type="expression" dxfId="3392" priority="114">
      <formula>OR($T$197 = TRUE, AND($W$197 = TRUE, $S$197 = FALSE))</formula>
    </cfRule>
    <cfRule type="expression" dxfId="3391" priority="115">
      <formula>$S$197 = FALSE</formula>
    </cfRule>
    <cfRule type="expression" dxfId="3390" priority="116">
      <formula>AND(IF($R$197,$W$197,TRUE),LEN(TRIM($W$197))&gt;0)</formula>
    </cfRule>
    <cfRule type="expression" dxfId="3389" priority="117">
      <formula>AND($R$197,$S$197)</formula>
    </cfRule>
  </conditionalFormatting>
  <conditionalFormatting sqref="W200">
    <cfRule type="expression" dxfId="3388" priority="110">
      <formula>OR($T$200 = TRUE, AND($W$200 = TRUE, $S$200 = FALSE))</formula>
    </cfRule>
    <cfRule type="expression" dxfId="3387" priority="111">
      <formula>$S$200 = FALSE</formula>
    </cfRule>
    <cfRule type="expression" dxfId="3386" priority="112">
      <formula>AND(IF($R$200,$W$200,TRUE),LEN(TRIM($W$200))&gt;0)</formula>
    </cfRule>
    <cfRule type="expression" dxfId="3385" priority="113">
      <formula>AND($R$200,$S$200)</formula>
    </cfRule>
  </conditionalFormatting>
  <conditionalFormatting sqref="X1">
    <cfRule type="expression" dxfId="3384" priority="97">
      <formula>startError</formula>
    </cfRule>
  </conditionalFormatting>
  <conditionalFormatting sqref="W61">
    <cfRule type="expression" dxfId="3383" priority="89">
      <formula>OR($T$61 = TRUE, AND($W$61 = TRUE, $S$61 = FALSE))</formula>
    </cfRule>
  </conditionalFormatting>
  <conditionalFormatting sqref="W60">
    <cfRule type="expression" dxfId="3382" priority="96">
      <formula>AND($R$60,$S$60)</formula>
    </cfRule>
  </conditionalFormatting>
  <conditionalFormatting sqref="W60">
    <cfRule type="expression" dxfId="3381" priority="95">
      <formula>AND(IF($R$60,$W$60,TRUE),LEN(TRIM($W$60))&gt;0)</formula>
    </cfRule>
  </conditionalFormatting>
  <conditionalFormatting sqref="W60">
    <cfRule type="expression" dxfId="3380" priority="94">
      <formula>$S$60 = FALSE</formula>
    </cfRule>
  </conditionalFormatting>
  <conditionalFormatting sqref="W60">
    <cfRule type="expression" dxfId="3379" priority="93">
      <formula>OR($T$60 = TRUE, AND($W$60 = TRUE, $S$60 = FALSE))</formula>
    </cfRule>
  </conditionalFormatting>
  <conditionalFormatting sqref="W61">
    <cfRule type="expression" dxfId="3378" priority="92">
      <formula>AND($R$61,$S$61)</formula>
    </cfRule>
  </conditionalFormatting>
  <conditionalFormatting sqref="W61">
    <cfRule type="expression" dxfId="3377" priority="91">
      <formula>AND(IF($R$61,$W$61,TRUE),LEN(TRIM($W$61))&gt;0)</formula>
    </cfRule>
  </conditionalFormatting>
  <conditionalFormatting sqref="W61">
    <cfRule type="expression" dxfId="3376" priority="90">
      <formula>$S$61 = FALSE</formula>
    </cfRule>
  </conditionalFormatting>
  <conditionalFormatting sqref="I1">
    <cfRule type="expression" dxfId="3375" priority="85">
      <formula>$AG$1="Gold"</formula>
    </cfRule>
    <cfRule type="expression" dxfId="3374" priority="86">
      <formula>$AG$1="Silver"</formula>
    </cfRule>
    <cfRule type="expression" dxfId="3373" priority="87">
      <formula>$AG$1="Bronze"</formula>
    </cfRule>
    <cfRule type="expression" dxfId="3372" priority="88">
      <formula>$AG$1="Emerald"</formula>
    </cfRule>
  </conditionalFormatting>
  <conditionalFormatting sqref="W58">
    <cfRule type="expression" dxfId="3371" priority="84">
      <formula>AND($R$58,$S$58)</formula>
    </cfRule>
  </conditionalFormatting>
  <conditionalFormatting sqref="W58">
    <cfRule type="expression" dxfId="3370" priority="83">
      <formula>AND(IF($R$58,$W$58,TRUE),LEN(TRIM($W$58))&gt;0)</formula>
    </cfRule>
  </conditionalFormatting>
  <conditionalFormatting sqref="W58">
    <cfRule type="expression" dxfId="3369" priority="82">
      <formula>$S$58 = FALSE</formula>
    </cfRule>
  </conditionalFormatting>
  <conditionalFormatting sqref="W58">
    <cfRule type="expression" dxfId="3368" priority="81">
      <formula>OR($T$58 = TRUE, AND($W$58 = TRUE, $S$58 = FALSE))</formula>
    </cfRule>
  </conditionalFormatting>
  <conditionalFormatting sqref="W152">
    <cfRule type="expression" dxfId="3367" priority="80">
      <formula>AND($R$152,$S$152)</formula>
    </cfRule>
  </conditionalFormatting>
  <conditionalFormatting sqref="W152">
    <cfRule type="expression" dxfId="3366" priority="79">
      <formula>AND(IF($R$152,$W$152,TRUE),LEN(TRIM($W$152))&gt;0)</formula>
    </cfRule>
  </conditionalFormatting>
  <conditionalFormatting sqref="W152">
    <cfRule type="expression" dxfId="3365" priority="78">
      <formula>$S$152 = FALSE</formula>
    </cfRule>
  </conditionalFormatting>
  <conditionalFormatting sqref="W152">
    <cfRule type="expression" dxfId="3364" priority="77">
      <formula>OR($T$152 = TRUE, AND($W$152 = TRUE, $S$152 = FALSE))</formula>
    </cfRule>
  </conditionalFormatting>
  <conditionalFormatting sqref="W169">
    <cfRule type="expression" dxfId="3363" priority="76">
      <formula>AND($R$169,$S$169)</formula>
    </cfRule>
  </conditionalFormatting>
  <conditionalFormatting sqref="W169">
    <cfRule type="expression" dxfId="3362" priority="75">
      <formula>AND(IF($R$169,$W$169,TRUE),LEN(TRIM($W$169))&gt;0)</formula>
    </cfRule>
  </conditionalFormatting>
  <conditionalFormatting sqref="W169">
    <cfRule type="expression" dxfId="3361" priority="74">
      <formula>$S$169 = FALSE</formula>
    </cfRule>
  </conditionalFormatting>
  <conditionalFormatting sqref="W169">
    <cfRule type="expression" dxfId="3360" priority="73">
      <formula>OR($T$169 = TRUE, AND($W$169 = TRUE, $S$169 = FALSE))</formula>
    </cfRule>
  </conditionalFormatting>
  <conditionalFormatting sqref="W170">
    <cfRule type="expression" dxfId="3359" priority="72">
      <formula>AND($R$170,$S$170)</formula>
    </cfRule>
  </conditionalFormatting>
  <conditionalFormatting sqref="W170">
    <cfRule type="expression" dxfId="3358" priority="71">
      <formula>AND(IF($R$170,$W$170,TRUE),LEN(TRIM($W$170))&gt;0)</formula>
    </cfRule>
  </conditionalFormatting>
  <conditionalFormatting sqref="W170">
    <cfRule type="expression" dxfId="3357" priority="70">
      <formula>$S$170 = FALSE</formula>
    </cfRule>
  </conditionalFormatting>
  <conditionalFormatting sqref="W170">
    <cfRule type="expression" dxfId="3356" priority="69">
      <formula>OR($T$170 = TRUE, AND($W$170 = TRUE, $S$170 = FALSE))</formula>
    </cfRule>
  </conditionalFormatting>
  <conditionalFormatting sqref="W171">
    <cfRule type="expression" dxfId="3355" priority="68">
      <formula>AND($R$171,$S$171)</formula>
    </cfRule>
  </conditionalFormatting>
  <conditionalFormatting sqref="W171">
    <cfRule type="expression" dxfId="3354" priority="67">
      <formula>AND(IF($R$171,$W$171,TRUE),LEN(TRIM($W$171))&gt;0)</formula>
    </cfRule>
  </conditionalFormatting>
  <conditionalFormatting sqref="W171">
    <cfRule type="expression" dxfId="3353" priority="66">
      <formula>$S$171 = FALSE</formula>
    </cfRule>
  </conditionalFormatting>
  <conditionalFormatting sqref="W171">
    <cfRule type="expression" dxfId="3352" priority="65">
      <formula>OR($T$171 = TRUE, AND($W$171 = TRUE, $S$171 = FALSE))</formula>
    </cfRule>
  </conditionalFormatting>
  <conditionalFormatting sqref="W173">
    <cfRule type="expression" dxfId="3351" priority="64">
      <formula>AND($R$173,$S$173)</formula>
    </cfRule>
  </conditionalFormatting>
  <conditionalFormatting sqref="W173">
    <cfRule type="expression" dxfId="3350" priority="63">
      <formula>AND(IF($R$173,$W$173,TRUE),LEN(TRIM($W$173))&gt;0)</formula>
    </cfRule>
  </conditionalFormatting>
  <conditionalFormatting sqref="W173">
    <cfRule type="expression" dxfId="3349" priority="62">
      <formula>$S$173 = FALSE</formula>
    </cfRule>
  </conditionalFormatting>
  <conditionalFormatting sqref="W173">
    <cfRule type="expression" dxfId="3348" priority="61">
      <formula>OR($T$173 = TRUE, AND($W$173 = TRUE, $S$173 = FALSE))</formula>
    </cfRule>
  </conditionalFormatting>
  <conditionalFormatting sqref="W174">
    <cfRule type="expression" dxfId="3347" priority="60">
      <formula>AND($R$174,$S$174)</formula>
    </cfRule>
  </conditionalFormatting>
  <conditionalFormatting sqref="W174">
    <cfRule type="expression" dxfId="3346" priority="59">
      <formula>AND(IF($R$174,$W$174,TRUE),LEN(TRIM($W$174))&gt;0)</formula>
    </cfRule>
  </conditionalFormatting>
  <conditionalFormatting sqref="W174">
    <cfRule type="expression" dxfId="3345" priority="58">
      <formula>$S$174 = FALSE</formula>
    </cfRule>
  </conditionalFormatting>
  <conditionalFormatting sqref="W174">
    <cfRule type="expression" dxfId="3344" priority="57">
      <formula>OR($T$174 = TRUE, AND($W$174 = TRUE, $S$174 = FALSE))</formula>
    </cfRule>
  </conditionalFormatting>
  <conditionalFormatting sqref="W175">
    <cfRule type="expression" dxfId="3343" priority="56">
      <formula>AND($R$175,$S$175)</formula>
    </cfRule>
  </conditionalFormatting>
  <conditionalFormatting sqref="W175">
    <cfRule type="expression" dxfId="3342" priority="55">
      <formula>AND(IF($R$175,$W$175,TRUE),LEN(TRIM($W$175))&gt;0)</formula>
    </cfRule>
  </conditionalFormatting>
  <conditionalFormatting sqref="W175">
    <cfRule type="expression" dxfId="3341" priority="54">
      <formula>$S$175 = FALSE</formula>
    </cfRule>
  </conditionalFormatting>
  <conditionalFormatting sqref="W175">
    <cfRule type="expression" dxfId="3340" priority="53">
      <formula>OR($T$175 = TRUE, AND($W$175 = TRUE, $S$175 = FALSE))</formula>
    </cfRule>
  </conditionalFormatting>
  <conditionalFormatting sqref="W176">
    <cfRule type="expression" dxfId="3339" priority="52">
      <formula>AND($R$176,$S$176)</formula>
    </cfRule>
  </conditionalFormatting>
  <conditionalFormatting sqref="W176">
    <cfRule type="expression" dxfId="3338" priority="51">
      <formula>AND(IF($R$176,$W$176,TRUE),LEN(TRIM($W$176))&gt;0)</formula>
    </cfRule>
  </conditionalFormatting>
  <conditionalFormatting sqref="W176">
    <cfRule type="expression" dxfId="3337" priority="50">
      <formula>$S$176 = FALSE</formula>
    </cfRule>
  </conditionalFormatting>
  <conditionalFormatting sqref="W176">
    <cfRule type="expression" dxfId="3336" priority="49">
      <formula>OR($T$176 = TRUE, AND($W$176 = TRUE, $S$176 = FALSE))</formula>
    </cfRule>
  </conditionalFormatting>
  <conditionalFormatting sqref="W177">
    <cfRule type="expression" dxfId="3335" priority="48">
      <formula>AND($R$177,$S$177)</formula>
    </cfRule>
  </conditionalFormatting>
  <conditionalFormatting sqref="W177">
    <cfRule type="expression" dxfId="3334" priority="47">
      <formula>AND(IF($R$177,$W$177,TRUE),LEN(TRIM($W$177))&gt;0)</formula>
    </cfRule>
  </conditionalFormatting>
  <conditionalFormatting sqref="W177">
    <cfRule type="expression" dxfId="3333" priority="46">
      <formula>$S$177 = FALSE</formula>
    </cfRule>
  </conditionalFormatting>
  <conditionalFormatting sqref="W177">
    <cfRule type="expression" dxfId="3332" priority="45">
      <formula>OR($T$177 = TRUE, AND($W$177 = TRUE, $S$177 = FALSE))</formula>
    </cfRule>
  </conditionalFormatting>
  <conditionalFormatting sqref="W178">
    <cfRule type="expression" dxfId="3331" priority="44">
      <formula>AND($R$178,$S$178)</formula>
    </cfRule>
  </conditionalFormatting>
  <conditionalFormatting sqref="W178">
    <cfRule type="expression" dxfId="3330" priority="43">
      <formula>AND(IF($R$178,$W$178,TRUE),LEN(TRIM($W$178))&gt;0)</formula>
    </cfRule>
  </conditionalFormatting>
  <conditionalFormatting sqref="W178">
    <cfRule type="expression" dxfId="3329" priority="42">
      <formula>$S$178 = FALSE</formula>
    </cfRule>
  </conditionalFormatting>
  <conditionalFormatting sqref="W178">
    <cfRule type="expression" dxfId="3328" priority="41">
      <formula>OR($T$178 = TRUE, AND($W$178 = TRUE, $S$178 = FALSE))</formula>
    </cfRule>
  </conditionalFormatting>
  <conditionalFormatting sqref="W183">
    <cfRule type="expression" dxfId="3327" priority="40">
      <formula>AND($R$183,$S$183)</formula>
    </cfRule>
  </conditionalFormatting>
  <conditionalFormatting sqref="W183">
    <cfRule type="expression" dxfId="3326" priority="39">
      <formula>AND(IF($R$183,$W$183,TRUE),LEN(TRIM($W$183))&gt;0)</formula>
    </cfRule>
  </conditionalFormatting>
  <conditionalFormatting sqref="W183">
    <cfRule type="expression" dxfId="3325" priority="38">
      <formula>$S$183 = FALSE</formula>
    </cfRule>
  </conditionalFormatting>
  <conditionalFormatting sqref="W183">
    <cfRule type="expression" dxfId="3324" priority="37">
      <formula>OR($T$183 = TRUE, AND($W$183 = TRUE, $S$183 = FALSE))</formula>
    </cfRule>
  </conditionalFormatting>
  <conditionalFormatting sqref="W184">
    <cfRule type="expression" dxfId="3323" priority="36">
      <formula>AND($R$184,$S$184)</formula>
    </cfRule>
  </conditionalFormatting>
  <conditionalFormatting sqref="W184">
    <cfRule type="expression" dxfId="3322" priority="35">
      <formula>AND(IF($R$184,$W$184,TRUE),LEN(TRIM($W$184))&gt;0)</formula>
    </cfRule>
  </conditionalFormatting>
  <conditionalFormatting sqref="W184">
    <cfRule type="expression" dxfId="3321" priority="34">
      <formula>$S$184 = FALSE</formula>
    </cfRule>
  </conditionalFormatting>
  <conditionalFormatting sqref="W184">
    <cfRule type="expression" dxfId="3320" priority="33">
      <formula>OR($T$184 = TRUE, AND($W$184 = TRUE, $S$184 = FALSE))</formula>
    </cfRule>
  </conditionalFormatting>
  <conditionalFormatting sqref="W185">
    <cfRule type="expression" dxfId="3319" priority="32">
      <formula>AND($R$185,$S$185)</formula>
    </cfRule>
  </conditionalFormatting>
  <conditionalFormatting sqref="W185">
    <cfRule type="expression" dxfId="3318" priority="31">
      <formula>AND(IF($R$185,$W$185,TRUE),LEN(TRIM($W$185))&gt;0)</formula>
    </cfRule>
  </conditionalFormatting>
  <conditionalFormatting sqref="W185">
    <cfRule type="expression" dxfId="3317" priority="30">
      <formula>$S$185 = FALSE</formula>
    </cfRule>
  </conditionalFormatting>
  <conditionalFormatting sqref="W185">
    <cfRule type="expression" dxfId="3316" priority="29">
      <formula>OR($T$185 = TRUE, AND($W$185 = TRUE, $S$185 = FALSE))</formula>
    </cfRule>
  </conditionalFormatting>
  <conditionalFormatting sqref="W186">
    <cfRule type="expression" dxfId="3315" priority="28">
      <formula>AND($R$186,$S$186)</formula>
    </cfRule>
  </conditionalFormatting>
  <conditionalFormatting sqref="W186">
    <cfRule type="expression" dxfId="3314" priority="27">
      <formula>AND(IF($R$186,$W$186,TRUE),LEN(TRIM($W$186))&gt;0)</formula>
    </cfRule>
  </conditionalFormatting>
  <conditionalFormatting sqref="W186">
    <cfRule type="expression" dxfId="3313" priority="26">
      <formula>$S$186 = FALSE</formula>
    </cfRule>
  </conditionalFormatting>
  <conditionalFormatting sqref="W186">
    <cfRule type="expression" dxfId="3312" priority="25">
      <formula>OR($T$186 = TRUE, AND($W$186 = TRUE, $S$186 = FALSE))</formula>
    </cfRule>
  </conditionalFormatting>
  <conditionalFormatting sqref="W187">
    <cfRule type="expression" dxfId="3311" priority="24">
      <formula>AND($R$187,$S$187)</formula>
    </cfRule>
  </conditionalFormatting>
  <conditionalFormatting sqref="W187">
    <cfRule type="expression" dxfId="3310" priority="23">
      <formula>AND(IF($R$187,$W$187,TRUE),LEN(TRIM($W$187))&gt;0)</formula>
    </cfRule>
  </conditionalFormatting>
  <conditionalFormatting sqref="W187">
    <cfRule type="expression" dxfId="3309" priority="22">
      <formula>$S$187 = FALSE</formula>
    </cfRule>
  </conditionalFormatting>
  <conditionalFormatting sqref="W187">
    <cfRule type="expression" dxfId="3308" priority="21">
      <formula>OR($T$187 = TRUE, AND($W$187 = TRUE, $S$187 = FALSE))</formula>
    </cfRule>
  </conditionalFormatting>
  <conditionalFormatting sqref="W188">
    <cfRule type="expression" dxfId="3307" priority="20">
      <formula>AND($R$188,$S$188)</formula>
    </cfRule>
  </conditionalFormatting>
  <conditionalFormatting sqref="W188">
    <cfRule type="expression" dxfId="3306" priority="19">
      <formula>AND(IF($R$188,$W$188,TRUE),LEN(TRIM($W$188))&gt;0)</formula>
    </cfRule>
  </conditionalFormatting>
  <conditionalFormatting sqref="W188">
    <cfRule type="expression" dxfId="3305" priority="18">
      <formula>$S$188 = FALSE</formula>
    </cfRule>
  </conditionalFormatting>
  <conditionalFormatting sqref="W188">
    <cfRule type="expression" dxfId="3304" priority="17">
      <formula>OR($T$188 = TRUE, AND($W$188 = TRUE, $S$188 = FALSE))</formula>
    </cfRule>
  </conditionalFormatting>
  <conditionalFormatting sqref="W189">
    <cfRule type="expression" dxfId="3303" priority="16">
      <formula>AND($R$189,$S$189)</formula>
    </cfRule>
  </conditionalFormatting>
  <conditionalFormatting sqref="W189">
    <cfRule type="expression" dxfId="3302" priority="15">
      <formula>AND(IF($R$189,$W$189,TRUE),LEN(TRIM($W$189))&gt;0)</formula>
    </cfRule>
  </conditionalFormatting>
  <conditionalFormatting sqref="W189">
    <cfRule type="expression" dxfId="3301" priority="14">
      <formula>$S$189 = FALSE</formula>
    </cfRule>
  </conditionalFormatting>
  <conditionalFormatting sqref="W189">
    <cfRule type="expression" dxfId="3300" priority="13">
      <formula>OR($T$189 = TRUE, AND($W$189 = TRUE, $S$189 = FALSE))</formula>
    </cfRule>
  </conditionalFormatting>
  <conditionalFormatting sqref="W208">
    <cfRule type="expression" dxfId="3299" priority="8">
      <formula>AND($R$208,$S$208)</formula>
    </cfRule>
  </conditionalFormatting>
  <conditionalFormatting sqref="W208">
    <cfRule type="expression" dxfId="3298" priority="7">
      <formula>AND(IF($R$208,$W$208,TRUE),LEN(TRIM($W$208))&gt;0)</formula>
    </cfRule>
  </conditionalFormatting>
  <conditionalFormatting sqref="W208">
    <cfRule type="expression" dxfId="3297" priority="6">
      <formula>$S$208 = FALSE</formula>
    </cfRule>
  </conditionalFormatting>
  <conditionalFormatting sqref="W208">
    <cfRule type="expression" dxfId="3296" priority="5">
      <formula>OR($T$208 = TRUE, AND($W$208 = TRUE, $S$208 = FALSE))</formula>
    </cfRule>
  </conditionalFormatting>
  <conditionalFormatting sqref="W205">
    <cfRule type="expression" dxfId="3295" priority="4">
      <formula>AND($R$205,$S$205)</formula>
    </cfRule>
  </conditionalFormatting>
  <conditionalFormatting sqref="W205">
    <cfRule type="expression" dxfId="3294" priority="3">
      <formula>AND(IF($R$205,$W$205,TRUE),LEN(TRIM($W$205))&gt;0)</formula>
    </cfRule>
  </conditionalFormatting>
  <conditionalFormatting sqref="W205">
    <cfRule type="expression" dxfId="3293" priority="2">
      <formula>$S$205 = FALSE</formula>
    </cfRule>
  </conditionalFormatting>
  <conditionalFormatting sqref="W205">
    <cfRule type="expression" dxfId="3292" priority="1">
      <formula>OR($T$205 = TRUE, AND($W$205 = TRUE, $S$205 = FALSE))</formula>
    </cfRule>
  </conditionalFormatting>
  <dataValidations count="1">
    <dataValidation type="list" allowBlank="1" showDropDown="1" showInputMessage="1" showErrorMessage="1" error="Use Checkbox" prompt="Use Checkbox" sqref="W200 W197 W195 W58 W145:W146 W143 W136 W132 W130 W124 W120:W121 W118 W115:W116 W113 W110 W108 W105 W103 W95:W97 W92:W93 W90 W87 W84 W56 W54 W51:W52 W49 W46:W47 W44 W42 W38 W15:W17 W25 W21:W23 W27:W28 W30:W32 W60:W62 W154 W148:W152 W183:W189 W173:W178 W169:W171 W205 W208" xr:uid="{00000000-0002-0000-0800-000000000000}">
      <formula1>TorF</formula1>
    </dataValidation>
  </dataValidations>
  <pageMargins left="0.7" right="0.7" top="0.75" bottom="0.75" header="0.3" footer="0.3"/>
  <pageSetup scale="61" fitToHeight="0" orientation="landscape" r:id="rId1"/>
  <rowBreaks count="3" manualBreakCount="3">
    <brk id="63" max="16383" man="1"/>
    <brk id="100" max="16383" man="1"/>
    <brk id="155" max="16383" man="1"/>
  </rowBreaks>
  <drawing r:id="rId2"/>
  <legacyDrawing r:id="rId3"/>
  <mc:AlternateContent xmlns:mc="http://schemas.openxmlformats.org/markup-compatibility/2006">
    <mc:Choice Requires="x14">
      <controls>
        <mc:AlternateContent xmlns:mc="http://schemas.openxmlformats.org/markup-compatibility/2006">
          <mc:Choice Requires="x14">
            <control shapeId="8316" r:id="rId4" name="Check Box 124">
              <controlPr locked="0" defaultSize="0" autoFill="0" autoLine="0" autoPict="0">
                <anchor moveWithCells="1" sizeWithCells="1">
                  <from>
                    <xdr:col>22</xdr:col>
                    <xdr:colOff>0</xdr:colOff>
                    <xdr:row>14</xdr:row>
                    <xdr:rowOff>0</xdr:rowOff>
                  </from>
                  <to>
                    <xdr:col>22</xdr:col>
                    <xdr:colOff>177800</xdr:colOff>
                    <xdr:row>14</xdr:row>
                    <xdr:rowOff>177800</xdr:rowOff>
                  </to>
                </anchor>
              </controlPr>
            </control>
          </mc:Choice>
        </mc:AlternateContent>
        <mc:AlternateContent xmlns:mc="http://schemas.openxmlformats.org/markup-compatibility/2006">
          <mc:Choice Requires="x14">
            <control shapeId="8317" r:id="rId5" name="Check Box 125">
              <controlPr locked="0" defaultSize="0" autoFill="0" autoLine="0" autoPict="0">
                <anchor moveWithCells="1" sizeWithCells="1">
                  <from>
                    <xdr:col>22</xdr:col>
                    <xdr:colOff>0</xdr:colOff>
                    <xdr:row>15</xdr:row>
                    <xdr:rowOff>0</xdr:rowOff>
                  </from>
                  <to>
                    <xdr:col>22</xdr:col>
                    <xdr:colOff>177800</xdr:colOff>
                    <xdr:row>15</xdr:row>
                    <xdr:rowOff>177800</xdr:rowOff>
                  </to>
                </anchor>
              </controlPr>
            </control>
          </mc:Choice>
        </mc:AlternateContent>
        <mc:AlternateContent xmlns:mc="http://schemas.openxmlformats.org/markup-compatibility/2006">
          <mc:Choice Requires="x14">
            <control shapeId="8318" r:id="rId6" name="Check Box 126">
              <controlPr locked="0" defaultSize="0" autoFill="0" autoLine="0" autoPict="0">
                <anchor moveWithCells="1" sizeWithCells="1">
                  <from>
                    <xdr:col>22</xdr:col>
                    <xdr:colOff>0</xdr:colOff>
                    <xdr:row>16</xdr:row>
                    <xdr:rowOff>0</xdr:rowOff>
                  </from>
                  <to>
                    <xdr:col>22</xdr:col>
                    <xdr:colOff>177800</xdr:colOff>
                    <xdr:row>16</xdr:row>
                    <xdr:rowOff>177800</xdr:rowOff>
                  </to>
                </anchor>
              </controlPr>
            </control>
          </mc:Choice>
        </mc:AlternateContent>
        <mc:AlternateContent xmlns:mc="http://schemas.openxmlformats.org/markup-compatibility/2006">
          <mc:Choice Requires="x14">
            <control shapeId="8319" r:id="rId7" name="Check Box 127">
              <controlPr locked="0" defaultSize="0" autoFill="0" autoLine="0" autoPict="0">
                <anchor moveWithCells="1" sizeWithCells="1">
                  <from>
                    <xdr:col>22</xdr:col>
                    <xdr:colOff>0</xdr:colOff>
                    <xdr:row>20</xdr:row>
                    <xdr:rowOff>0</xdr:rowOff>
                  </from>
                  <to>
                    <xdr:col>22</xdr:col>
                    <xdr:colOff>177800</xdr:colOff>
                    <xdr:row>20</xdr:row>
                    <xdr:rowOff>177800</xdr:rowOff>
                  </to>
                </anchor>
              </controlPr>
            </control>
          </mc:Choice>
        </mc:AlternateContent>
        <mc:AlternateContent xmlns:mc="http://schemas.openxmlformats.org/markup-compatibility/2006">
          <mc:Choice Requires="x14">
            <control shapeId="8320" r:id="rId8" name="Check Box 128">
              <controlPr locked="0" defaultSize="0" autoFill="0" autoLine="0" autoPict="0">
                <anchor moveWithCells="1" sizeWithCells="1">
                  <from>
                    <xdr:col>22</xdr:col>
                    <xdr:colOff>0</xdr:colOff>
                    <xdr:row>21</xdr:row>
                    <xdr:rowOff>0</xdr:rowOff>
                  </from>
                  <to>
                    <xdr:col>22</xdr:col>
                    <xdr:colOff>177800</xdr:colOff>
                    <xdr:row>21</xdr:row>
                    <xdr:rowOff>177800</xdr:rowOff>
                  </to>
                </anchor>
              </controlPr>
            </control>
          </mc:Choice>
        </mc:AlternateContent>
        <mc:AlternateContent xmlns:mc="http://schemas.openxmlformats.org/markup-compatibility/2006">
          <mc:Choice Requires="x14">
            <control shapeId="8321" r:id="rId9" name="Check Box 129">
              <controlPr locked="0" defaultSize="0" autoFill="0" autoLine="0" autoPict="0">
                <anchor moveWithCells="1" sizeWithCells="1">
                  <from>
                    <xdr:col>22</xdr:col>
                    <xdr:colOff>0</xdr:colOff>
                    <xdr:row>22</xdr:row>
                    <xdr:rowOff>0</xdr:rowOff>
                  </from>
                  <to>
                    <xdr:col>22</xdr:col>
                    <xdr:colOff>177800</xdr:colOff>
                    <xdr:row>22</xdr:row>
                    <xdr:rowOff>177800</xdr:rowOff>
                  </to>
                </anchor>
              </controlPr>
            </control>
          </mc:Choice>
        </mc:AlternateContent>
        <mc:AlternateContent xmlns:mc="http://schemas.openxmlformats.org/markup-compatibility/2006">
          <mc:Choice Requires="x14">
            <control shapeId="8322" r:id="rId10" name="Check Box 130">
              <controlPr locked="0" defaultSize="0" autoFill="0" autoLine="0" autoPict="0">
                <anchor moveWithCells="1" sizeWithCells="1">
                  <from>
                    <xdr:col>22</xdr:col>
                    <xdr:colOff>0</xdr:colOff>
                    <xdr:row>24</xdr:row>
                    <xdr:rowOff>0</xdr:rowOff>
                  </from>
                  <to>
                    <xdr:col>22</xdr:col>
                    <xdr:colOff>177800</xdr:colOff>
                    <xdr:row>24</xdr:row>
                    <xdr:rowOff>177800</xdr:rowOff>
                  </to>
                </anchor>
              </controlPr>
            </control>
          </mc:Choice>
        </mc:AlternateContent>
        <mc:AlternateContent xmlns:mc="http://schemas.openxmlformats.org/markup-compatibility/2006">
          <mc:Choice Requires="x14">
            <control shapeId="8323" r:id="rId11" name="Check Box 131">
              <controlPr locked="0" defaultSize="0" autoFill="0" autoLine="0" autoPict="0">
                <anchor moveWithCells="1" sizeWithCells="1">
                  <from>
                    <xdr:col>22</xdr:col>
                    <xdr:colOff>0</xdr:colOff>
                    <xdr:row>26</xdr:row>
                    <xdr:rowOff>0</xdr:rowOff>
                  </from>
                  <to>
                    <xdr:col>22</xdr:col>
                    <xdr:colOff>177800</xdr:colOff>
                    <xdr:row>26</xdr:row>
                    <xdr:rowOff>177800</xdr:rowOff>
                  </to>
                </anchor>
              </controlPr>
            </control>
          </mc:Choice>
        </mc:AlternateContent>
        <mc:AlternateContent xmlns:mc="http://schemas.openxmlformats.org/markup-compatibility/2006">
          <mc:Choice Requires="x14">
            <control shapeId="8324" r:id="rId12" name="Check Box 132">
              <controlPr locked="0" defaultSize="0" autoFill="0" autoLine="0" autoPict="0">
                <anchor moveWithCells="1" sizeWithCells="1">
                  <from>
                    <xdr:col>22</xdr:col>
                    <xdr:colOff>0</xdr:colOff>
                    <xdr:row>27</xdr:row>
                    <xdr:rowOff>0</xdr:rowOff>
                  </from>
                  <to>
                    <xdr:col>22</xdr:col>
                    <xdr:colOff>177800</xdr:colOff>
                    <xdr:row>27</xdr:row>
                    <xdr:rowOff>177800</xdr:rowOff>
                  </to>
                </anchor>
              </controlPr>
            </control>
          </mc:Choice>
        </mc:AlternateContent>
        <mc:AlternateContent xmlns:mc="http://schemas.openxmlformats.org/markup-compatibility/2006">
          <mc:Choice Requires="x14">
            <control shapeId="8325" r:id="rId13" name="Check Box 133">
              <controlPr locked="0" defaultSize="0" autoFill="0" autoLine="0" autoPict="0">
                <anchor moveWithCells="1" sizeWithCells="1">
                  <from>
                    <xdr:col>22</xdr:col>
                    <xdr:colOff>0</xdr:colOff>
                    <xdr:row>29</xdr:row>
                    <xdr:rowOff>0</xdr:rowOff>
                  </from>
                  <to>
                    <xdr:col>22</xdr:col>
                    <xdr:colOff>177800</xdr:colOff>
                    <xdr:row>29</xdr:row>
                    <xdr:rowOff>177800</xdr:rowOff>
                  </to>
                </anchor>
              </controlPr>
            </control>
          </mc:Choice>
        </mc:AlternateContent>
        <mc:AlternateContent xmlns:mc="http://schemas.openxmlformats.org/markup-compatibility/2006">
          <mc:Choice Requires="x14">
            <control shapeId="8326" r:id="rId14" name="Check Box 134">
              <controlPr locked="0" defaultSize="0" autoFill="0" autoLine="0" autoPict="0">
                <anchor moveWithCells="1" sizeWithCells="1">
                  <from>
                    <xdr:col>22</xdr:col>
                    <xdr:colOff>0</xdr:colOff>
                    <xdr:row>30</xdr:row>
                    <xdr:rowOff>0</xdr:rowOff>
                  </from>
                  <to>
                    <xdr:col>22</xdr:col>
                    <xdr:colOff>177800</xdr:colOff>
                    <xdr:row>30</xdr:row>
                    <xdr:rowOff>177800</xdr:rowOff>
                  </to>
                </anchor>
              </controlPr>
            </control>
          </mc:Choice>
        </mc:AlternateContent>
        <mc:AlternateContent xmlns:mc="http://schemas.openxmlformats.org/markup-compatibility/2006">
          <mc:Choice Requires="x14">
            <control shapeId="8327" r:id="rId15" name="Check Box 135">
              <controlPr locked="0" defaultSize="0" autoFill="0" autoLine="0" autoPict="0">
                <anchor moveWithCells="1" sizeWithCells="1">
                  <from>
                    <xdr:col>22</xdr:col>
                    <xdr:colOff>0</xdr:colOff>
                    <xdr:row>31</xdr:row>
                    <xdr:rowOff>0</xdr:rowOff>
                  </from>
                  <to>
                    <xdr:col>22</xdr:col>
                    <xdr:colOff>177800</xdr:colOff>
                    <xdr:row>31</xdr:row>
                    <xdr:rowOff>177800</xdr:rowOff>
                  </to>
                </anchor>
              </controlPr>
            </control>
          </mc:Choice>
        </mc:AlternateContent>
        <mc:AlternateContent xmlns:mc="http://schemas.openxmlformats.org/markup-compatibility/2006">
          <mc:Choice Requires="x14">
            <control shapeId="8328" r:id="rId16" name="Check Box 136">
              <controlPr locked="0" defaultSize="0" autoFill="0" autoLine="0" autoPict="0">
                <anchor moveWithCells="1" sizeWithCells="1">
                  <from>
                    <xdr:col>22</xdr:col>
                    <xdr:colOff>0</xdr:colOff>
                    <xdr:row>37</xdr:row>
                    <xdr:rowOff>0</xdr:rowOff>
                  </from>
                  <to>
                    <xdr:col>22</xdr:col>
                    <xdr:colOff>177800</xdr:colOff>
                    <xdr:row>37</xdr:row>
                    <xdr:rowOff>177800</xdr:rowOff>
                  </to>
                </anchor>
              </controlPr>
            </control>
          </mc:Choice>
        </mc:AlternateContent>
        <mc:AlternateContent xmlns:mc="http://schemas.openxmlformats.org/markup-compatibility/2006">
          <mc:Choice Requires="x14">
            <control shapeId="8329" r:id="rId17" name="Check Box 137">
              <controlPr locked="0" defaultSize="0" autoFill="0" autoLine="0" autoPict="0">
                <anchor moveWithCells="1" sizeWithCells="1">
                  <from>
                    <xdr:col>22</xdr:col>
                    <xdr:colOff>0</xdr:colOff>
                    <xdr:row>41</xdr:row>
                    <xdr:rowOff>0</xdr:rowOff>
                  </from>
                  <to>
                    <xdr:col>22</xdr:col>
                    <xdr:colOff>177800</xdr:colOff>
                    <xdr:row>41</xdr:row>
                    <xdr:rowOff>177800</xdr:rowOff>
                  </to>
                </anchor>
              </controlPr>
            </control>
          </mc:Choice>
        </mc:AlternateContent>
        <mc:AlternateContent xmlns:mc="http://schemas.openxmlformats.org/markup-compatibility/2006">
          <mc:Choice Requires="x14">
            <control shapeId="8330" r:id="rId18" name="Check Box 138">
              <controlPr locked="0" defaultSize="0" autoFill="0" autoLine="0" autoPict="0">
                <anchor moveWithCells="1" sizeWithCells="1">
                  <from>
                    <xdr:col>22</xdr:col>
                    <xdr:colOff>0</xdr:colOff>
                    <xdr:row>43</xdr:row>
                    <xdr:rowOff>0</xdr:rowOff>
                  </from>
                  <to>
                    <xdr:col>22</xdr:col>
                    <xdr:colOff>177800</xdr:colOff>
                    <xdr:row>43</xdr:row>
                    <xdr:rowOff>177800</xdr:rowOff>
                  </to>
                </anchor>
              </controlPr>
            </control>
          </mc:Choice>
        </mc:AlternateContent>
        <mc:AlternateContent xmlns:mc="http://schemas.openxmlformats.org/markup-compatibility/2006">
          <mc:Choice Requires="x14">
            <control shapeId="8331" r:id="rId19" name="Check Box 139">
              <controlPr locked="0" defaultSize="0" autoFill="0" autoLine="0" autoPict="0">
                <anchor moveWithCells="1" sizeWithCells="1">
                  <from>
                    <xdr:col>22</xdr:col>
                    <xdr:colOff>0</xdr:colOff>
                    <xdr:row>45</xdr:row>
                    <xdr:rowOff>0</xdr:rowOff>
                  </from>
                  <to>
                    <xdr:col>22</xdr:col>
                    <xdr:colOff>177800</xdr:colOff>
                    <xdr:row>45</xdr:row>
                    <xdr:rowOff>177800</xdr:rowOff>
                  </to>
                </anchor>
              </controlPr>
            </control>
          </mc:Choice>
        </mc:AlternateContent>
        <mc:AlternateContent xmlns:mc="http://schemas.openxmlformats.org/markup-compatibility/2006">
          <mc:Choice Requires="x14">
            <control shapeId="8332" r:id="rId20" name="Check Box 140">
              <controlPr locked="0" defaultSize="0" autoFill="0" autoLine="0" autoPict="0">
                <anchor moveWithCells="1" sizeWithCells="1">
                  <from>
                    <xdr:col>22</xdr:col>
                    <xdr:colOff>0</xdr:colOff>
                    <xdr:row>46</xdr:row>
                    <xdr:rowOff>0</xdr:rowOff>
                  </from>
                  <to>
                    <xdr:col>22</xdr:col>
                    <xdr:colOff>177800</xdr:colOff>
                    <xdr:row>46</xdr:row>
                    <xdr:rowOff>177800</xdr:rowOff>
                  </to>
                </anchor>
              </controlPr>
            </control>
          </mc:Choice>
        </mc:AlternateContent>
        <mc:AlternateContent xmlns:mc="http://schemas.openxmlformats.org/markup-compatibility/2006">
          <mc:Choice Requires="x14">
            <control shapeId="8333" r:id="rId21" name="Check Box 141">
              <controlPr locked="0" defaultSize="0" autoFill="0" autoLine="0" autoPict="0">
                <anchor moveWithCells="1" sizeWithCells="1">
                  <from>
                    <xdr:col>22</xdr:col>
                    <xdr:colOff>0</xdr:colOff>
                    <xdr:row>48</xdr:row>
                    <xdr:rowOff>0</xdr:rowOff>
                  </from>
                  <to>
                    <xdr:col>22</xdr:col>
                    <xdr:colOff>177800</xdr:colOff>
                    <xdr:row>48</xdr:row>
                    <xdr:rowOff>177800</xdr:rowOff>
                  </to>
                </anchor>
              </controlPr>
            </control>
          </mc:Choice>
        </mc:AlternateContent>
        <mc:AlternateContent xmlns:mc="http://schemas.openxmlformats.org/markup-compatibility/2006">
          <mc:Choice Requires="x14">
            <control shapeId="8334" r:id="rId22" name="Check Box 142">
              <controlPr locked="0" defaultSize="0" autoFill="0" autoLine="0" autoPict="0">
                <anchor moveWithCells="1" sizeWithCells="1">
                  <from>
                    <xdr:col>22</xdr:col>
                    <xdr:colOff>0</xdr:colOff>
                    <xdr:row>50</xdr:row>
                    <xdr:rowOff>0</xdr:rowOff>
                  </from>
                  <to>
                    <xdr:col>22</xdr:col>
                    <xdr:colOff>177800</xdr:colOff>
                    <xdr:row>50</xdr:row>
                    <xdr:rowOff>177800</xdr:rowOff>
                  </to>
                </anchor>
              </controlPr>
            </control>
          </mc:Choice>
        </mc:AlternateContent>
        <mc:AlternateContent xmlns:mc="http://schemas.openxmlformats.org/markup-compatibility/2006">
          <mc:Choice Requires="x14">
            <control shapeId="8335" r:id="rId23" name="Check Box 143">
              <controlPr locked="0" defaultSize="0" autoFill="0" autoLine="0" autoPict="0">
                <anchor moveWithCells="1" sizeWithCells="1">
                  <from>
                    <xdr:col>22</xdr:col>
                    <xdr:colOff>0</xdr:colOff>
                    <xdr:row>51</xdr:row>
                    <xdr:rowOff>0</xdr:rowOff>
                  </from>
                  <to>
                    <xdr:col>22</xdr:col>
                    <xdr:colOff>177800</xdr:colOff>
                    <xdr:row>51</xdr:row>
                    <xdr:rowOff>177800</xdr:rowOff>
                  </to>
                </anchor>
              </controlPr>
            </control>
          </mc:Choice>
        </mc:AlternateContent>
        <mc:AlternateContent xmlns:mc="http://schemas.openxmlformats.org/markup-compatibility/2006">
          <mc:Choice Requires="x14">
            <control shapeId="8336" r:id="rId24" name="Check Box 144">
              <controlPr locked="0" defaultSize="0" autoFill="0" autoLine="0" autoPict="0">
                <anchor moveWithCells="1" sizeWithCells="1">
                  <from>
                    <xdr:col>22</xdr:col>
                    <xdr:colOff>0</xdr:colOff>
                    <xdr:row>53</xdr:row>
                    <xdr:rowOff>0</xdr:rowOff>
                  </from>
                  <to>
                    <xdr:col>22</xdr:col>
                    <xdr:colOff>177800</xdr:colOff>
                    <xdr:row>53</xdr:row>
                    <xdr:rowOff>177800</xdr:rowOff>
                  </to>
                </anchor>
              </controlPr>
            </control>
          </mc:Choice>
        </mc:AlternateContent>
        <mc:AlternateContent xmlns:mc="http://schemas.openxmlformats.org/markup-compatibility/2006">
          <mc:Choice Requires="x14">
            <control shapeId="8337" r:id="rId25" name="Check Box 145">
              <controlPr locked="0" defaultSize="0" autoFill="0" autoLine="0" autoPict="0">
                <anchor moveWithCells="1" sizeWithCells="1">
                  <from>
                    <xdr:col>22</xdr:col>
                    <xdr:colOff>0</xdr:colOff>
                    <xdr:row>55</xdr:row>
                    <xdr:rowOff>0</xdr:rowOff>
                  </from>
                  <to>
                    <xdr:col>22</xdr:col>
                    <xdr:colOff>177800</xdr:colOff>
                    <xdr:row>55</xdr:row>
                    <xdr:rowOff>177800</xdr:rowOff>
                  </to>
                </anchor>
              </controlPr>
            </control>
          </mc:Choice>
        </mc:AlternateContent>
        <mc:AlternateContent xmlns:mc="http://schemas.openxmlformats.org/markup-compatibility/2006">
          <mc:Choice Requires="x14">
            <control shapeId="8340" r:id="rId26" name="Check Box 148">
              <controlPr locked="0" defaultSize="0" autoFill="0" autoLine="0" autoPict="0">
                <anchor moveWithCells="1" sizeWithCells="1">
                  <from>
                    <xdr:col>22</xdr:col>
                    <xdr:colOff>0</xdr:colOff>
                    <xdr:row>61</xdr:row>
                    <xdr:rowOff>0</xdr:rowOff>
                  </from>
                  <to>
                    <xdr:col>22</xdr:col>
                    <xdr:colOff>177800</xdr:colOff>
                    <xdr:row>61</xdr:row>
                    <xdr:rowOff>177800</xdr:rowOff>
                  </to>
                </anchor>
              </controlPr>
            </control>
          </mc:Choice>
        </mc:AlternateContent>
        <mc:AlternateContent xmlns:mc="http://schemas.openxmlformats.org/markup-compatibility/2006">
          <mc:Choice Requires="x14">
            <control shapeId="8341" r:id="rId27" name="Check Box 149">
              <controlPr locked="0" defaultSize="0" autoFill="0" autoLine="0" autoPict="0">
                <anchor moveWithCells="1" sizeWithCells="1">
                  <from>
                    <xdr:col>22</xdr:col>
                    <xdr:colOff>0</xdr:colOff>
                    <xdr:row>83</xdr:row>
                    <xdr:rowOff>0</xdr:rowOff>
                  </from>
                  <to>
                    <xdr:col>22</xdr:col>
                    <xdr:colOff>177800</xdr:colOff>
                    <xdr:row>83</xdr:row>
                    <xdr:rowOff>177800</xdr:rowOff>
                  </to>
                </anchor>
              </controlPr>
            </control>
          </mc:Choice>
        </mc:AlternateContent>
        <mc:AlternateContent xmlns:mc="http://schemas.openxmlformats.org/markup-compatibility/2006">
          <mc:Choice Requires="x14">
            <control shapeId="8342" r:id="rId28" name="Check Box 150">
              <controlPr locked="0" defaultSize="0" autoFill="0" autoLine="0" autoPict="0">
                <anchor moveWithCells="1" sizeWithCells="1">
                  <from>
                    <xdr:col>22</xdr:col>
                    <xdr:colOff>0</xdr:colOff>
                    <xdr:row>86</xdr:row>
                    <xdr:rowOff>0</xdr:rowOff>
                  </from>
                  <to>
                    <xdr:col>22</xdr:col>
                    <xdr:colOff>177800</xdr:colOff>
                    <xdr:row>86</xdr:row>
                    <xdr:rowOff>177800</xdr:rowOff>
                  </to>
                </anchor>
              </controlPr>
            </control>
          </mc:Choice>
        </mc:AlternateContent>
        <mc:AlternateContent xmlns:mc="http://schemas.openxmlformats.org/markup-compatibility/2006">
          <mc:Choice Requires="x14">
            <control shapeId="8343" r:id="rId29" name="Check Box 151">
              <controlPr locked="0" defaultSize="0" autoFill="0" autoLine="0" autoPict="0">
                <anchor moveWithCells="1" sizeWithCells="1">
                  <from>
                    <xdr:col>22</xdr:col>
                    <xdr:colOff>0</xdr:colOff>
                    <xdr:row>89</xdr:row>
                    <xdr:rowOff>0</xdr:rowOff>
                  </from>
                  <to>
                    <xdr:col>22</xdr:col>
                    <xdr:colOff>177800</xdr:colOff>
                    <xdr:row>89</xdr:row>
                    <xdr:rowOff>177800</xdr:rowOff>
                  </to>
                </anchor>
              </controlPr>
            </control>
          </mc:Choice>
        </mc:AlternateContent>
        <mc:AlternateContent xmlns:mc="http://schemas.openxmlformats.org/markup-compatibility/2006">
          <mc:Choice Requires="x14">
            <control shapeId="8344" r:id="rId30" name="Check Box 152">
              <controlPr locked="0" defaultSize="0" autoFill="0" autoLine="0" autoPict="0">
                <anchor moveWithCells="1" sizeWithCells="1">
                  <from>
                    <xdr:col>22</xdr:col>
                    <xdr:colOff>0</xdr:colOff>
                    <xdr:row>91</xdr:row>
                    <xdr:rowOff>0</xdr:rowOff>
                  </from>
                  <to>
                    <xdr:col>22</xdr:col>
                    <xdr:colOff>177800</xdr:colOff>
                    <xdr:row>91</xdr:row>
                    <xdr:rowOff>177800</xdr:rowOff>
                  </to>
                </anchor>
              </controlPr>
            </control>
          </mc:Choice>
        </mc:AlternateContent>
        <mc:AlternateContent xmlns:mc="http://schemas.openxmlformats.org/markup-compatibility/2006">
          <mc:Choice Requires="x14">
            <control shapeId="8345" r:id="rId31" name="Check Box 153">
              <controlPr locked="0" defaultSize="0" autoFill="0" autoLine="0" autoPict="0">
                <anchor moveWithCells="1" sizeWithCells="1">
                  <from>
                    <xdr:col>22</xdr:col>
                    <xdr:colOff>0</xdr:colOff>
                    <xdr:row>92</xdr:row>
                    <xdr:rowOff>0</xdr:rowOff>
                  </from>
                  <to>
                    <xdr:col>22</xdr:col>
                    <xdr:colOff>177800</xdr:colOff>
                    <xdr:row>92</xdr:row>
                    <xdr:rowOff>177800</xdr:rowOff>
                  </to>
                </anchor>
              </controlPr>
            </control>
          </mc:Choice>
        </mc:AlternateContent>
        <mc:AlternateContent xmlns:mc="http://schemas.openxmlformats.org/markup-compatibility/2006">
          <mc:Choice Requires="x14">
            <control shapeId="8346" r:id="rId32" name="Check Box 154">
              <controlPr locked="0" defaultSize="0" autoFill="0" autoLine="0" autoPict="0">
                <anchor moveWithCells="1" sizeWithCells="1">
                  <from>
                    <xdr:col>22</xdr:col>
                    <xdr:colOff>0</xdr:colOff>
                    <xdr:row>94</xdr:row>
                    <xdr:rowOff>0</xdr:rowOff>
                  </from>
                  <to>
                    <xdr:col>22</xdr:col>
                    <xdr:colOff>177800</xdr:colOff>
                    <xdr:row>94</xdr:row>
                    <xdr:rowOff>177800</xdr:rowOff>
                  </to>
                </anchor>
              </controlPr>
            </control>
          </mc:Choice>
        </mc:AlternateContent>
        <mc:AlternateContent xmlns:mc="http://schemas.openxmlformats.org/markup-compatibility/2006">
          <mc:Choice Requires="x14">
            <control shapeId="8347" r:id="rId33" name="Check Box 155">
              <controlPr locked="0" defaultSize="0" autoFill="0" autoLine="0" autoPict="0">
                <anchor moveWithCells="1" sizeWithCells="1">
                  <from>
                    <xdr:col>22</xdr:col>
                    <xdr:colOff>0</xdr:colOff>
                    <xdr:row>95</xdr:row>
                    <xdr:rowOff>0</xdr:rowOff>
                  </from>
                  <to>
                    <xdr:col>22</xdr:col>
                    <xdr:colOff>177800</xdr:colOff>
                    <xdr:row>95</xdr:row>
                    <xdr:rowOff>177800</xdr:rowOff>
                  </to>
                </anchor>
              </controlPr>
            </control>
          </mc:Choice>
        </mc:AlternateContent>
        <mc:AlternateContent xmlns:mc="http://schemas.openxmlformats.org/markup-compatibility/2006">
          <mc:Choice Requires="x14">
            <control shapeId="8348" r:id="rId34" name="Check Box 156">
              <controlPr locked="0" defaultSize="0" autoFill="0" autoLine="0" autoPict="0">
                <anchor moveWithCells="1" sizeWithCells="1">
                  <from>
                    <xdr:col>22</xdr:col>
                    <xdr:colOff>0</xdr:colOff>
                    <xdr:row>96</xdr:row>
                    <xdr:rowOff>0</xdr:rowOff>
                  </from>
                  <to>
                    <xdr:col>22</xdr:col>
                    <xdr:colOff>177800</xdr:colOff>
                    <xdr:row>96</xdr:row>
                    <xdr:rowOff>177800</xdr:rowOff>
                  </to>
                </anchor>
              </controlPr>
            </control>
          </mc:Choice>
        </mc:AlternateContent>
        <mc:AlternateContent xmlns:mc="http://schemas.openxmlformats.org/markup-compatibility/2006">
          <mc:Choice Requires="x14">
            <control shapeId="8349" r:id="rId35" name="Check Box 157">
              <controlPr locked="0" defaultSize="0" autoFill="0" autoLine="0" autoPict="0">
                <anchor moveWithCells="1" sizeWithCells="1">
                  <from>
                    <xdr:col>22</xdr:col>
                    <xdr:colOff>0</xdr:colOff>
                    <xdr:row>102</xdr:row>
                    <xdr:rowOff>0</xdr:rowOff>
                  </from>
                  <to>
                    <xdr:col>22</xdr:col>
                    <xdr:colOff>177800</xdr:colOff>
                    <xdr:row>102</xdr:row>
                    <xdr:rowOff>177800</xdr:rowOff>
                  </to>
                </anchor>
              </controlPr>
            </control>
          </mc:Choice>
        </mc:AlternateContent>
        <mc:AlternateContent xmlns:mc="http://schemas.openxmlformats.org/markup-compatibility/2006">
          <mc:Choice Requires="x14">
            <control shapeId="8350" r:id="rId36" name="Check Box 158">
              <controlPr locked="0" defaultSize="0" autoFill="0" autoLine="0" autoPict="0">
                <anchor moveWithCells="1" sizeWithCells="1">
                  <from>
                    <xdr:col>22</xdr:col>
                    <xdr:colOff>0</xdr:colOff>
                    <xdr:row>104</xdr:row>
                    <xdr:rowOff>0</xdr:rowOff>
                  </from>
                  <to>
                    <xdr:col>22</xdr:col>
                    <xdr:colOff>177800</xdr:colOff>
                    <xdr:row>104</xdr:row>
                    <xdr:rowOff>177800</xdr:rowOff>
                  </to>
                </anchor>
              </controlPr>
            </control>
          </mc:Choice>
        </mc:AlternateContent>
        <mc:AlternateContent xmlns:mc="http://schemas.openxmlformats.org/markup-compatibility/2006">
          <mc:Choice Requires="x14">
            <control shapeId="8351" r:id="rId37" name="Check Box 159">
              <controlPr locked="0" defaultSize="0" autoFill="0" autoLine="0" autoPict="0">
                <anchor moveWithCells="1" sizeWithCells="1">
                  <from>
                    <xdr:col>22</xdr:col>
                    <xdr:colOff>0</xdr:colOff>
                    <xdr:row>107</xdr:row>
                    <xdr:rowOff>0</xdr:rowOff>
                  </from>
                  <to>
                    <xdr:col>22</xdr:col>
                    <xdr:colOff>177800</xdr:colOff>
                    <xdr:row>107</xdr:row>
                    <xdr:rowOff>177800</xdr:rowOff>
                  </to>
                </anchor>
              </controlPr>
            </control>
          </mc:Choice>
        </mc:AlternateContent>
        <mc:AlternateContent xmlns:mc="http://schemas.openxmlformats.org/markup-compatibility/2006">
          <mc:Choice Requires="x14">
            <control shapeId="8352" r:id="rId38" name="Check Box 160">
              <controlPr locked="0" defaultSize="0" autoFill="0" autoLine="0" autoPict="0">
                <anchor moveWithCells="1" sizeWithCells="1">
                  <from>
                    <xdr:col>22</xdr:col>
                    <xdr:colOff>0</xdr:colOff>
                    <xdr:row>109</xdr:row>
                    <xdr:rowOff>0</xdr:rowOff>
                  </from>
                  <to>
                    <xdr:col>22</xdr:col>
                    <xdr:colOff>177800</xdr:colOff>
                    <xdr:row>109</xdr:row>
                    <xdr:rowOff>177800</xdr:rowOff>
                  </to>
                </anchor>
              </controlPr>
            </control>
          </mc:Choice>
        </mc:AlternateContent>
        <mc:AlternateContent xmlns:mc="http://schemas.openxmlformats.org/markup-compatibility/2006">
          <mc:Choice Requires="x14">
            <control shapeId="8353" r:id="rId39" name="Check Box 161">
              <controlPr locked="0" defaultSize="0" autoFill="0" autoLine="0" autoPict="0">
                <anchor moveWithCells="1" sizeWithCells="1">
                  <from>
                    <xdr:col>22</xdr:col>
                    <xdr:colOff>0</xdr:colOff>
                    <xdr:row>112</xdr:row>
                    <xdr:rowOff>0</xdr:rowOff>
                  </from>
                  <to>
                    <xdr:col>22</xdr:col>
                    <xdr:colOff>177800</xdr:colOff>
                    <xdr:row>112</xdr:row>
                    <xdr:rowOff>177800</xdr:rowOff>
                  </to>
                </anchor>
              </controlPr>
            </control>
          </mc:Choice>
        </mc:AlternateContent>
        <mc:AlternateContent xmlns:mc="http://schemas.openxmlformats.org/markup-compatibility/2006">
          <mc:Choice Requires="x14">
            <control shapeId="8354" r:id="rId40" name="Check Box 162">
              <controlPr locked="0" defaultSize="0" autoFill="0" autoLine="0" autoPict="0">
                <anchor moveWithCells="1" sizeWithCells="1">
                  <from>
                    <xdr:col>22</xdr:col>
                    <xdr:colOff>0</xdr:colOff>
                    <xdr:row>114</xdr:row>
                    <xdr:rowOff>0</xdr:rowOff>
                  </from>
                  <to>
                    <xdr:col>22</xdr:col>
                    <xdr:colOff>177800</xdr:colOff>
                    <xdr:row>114</xdr:row>
                    <xdr:rowOff>177800</xdr:rowOff>
                  </to>
                </anchor>
              </controlPr>
            </control>
          </mc:Choice>
        </mc:AlternateContent>
        <mc:AlternateContent xmlns:mc="http://schemas.openxmlformats.org/markup-compatibility/2006">
          <mc:Choice Requires="x14">
            <control shapeId="8355" r:id="rId41" name="Check Box 163">
              <controlPr locked="0" defaultSize="0" autoFill="0" autoLine="0" autoPict="0">
                <anchor moveWithCells="1" sizeWithCells="1">
                  <from>
                    <xdr:col>22</xdr:col>
                    <xdr:colOff>0</xdr:colOff>
                    <xdr:row>115</xdr:row>
                    <xdr:rowOff>0</xdr:rowOff>
                  </from>
                  <to>
                    <xdr:col>22</xdr:col>
                    <xdr:colOff>177800</xdr:colOff>
                    <xdr:row>115</xdr:row>
                    <xdr:rowOff>177800</xdr:rowOff>
                  </to>
                </anchor>
              </controlPr>
            </control>
          </mc:Choice>
        </mc:AlternateContent>
        <mc:AlternateContent xmlns:mc="http://schemas.openxmlformats.org/markup-compatibility/2006">
          <mc:Choice Requires="x14">
            <control shapeId="8356" r:id="rId42" name="Check Box 164">
              <controlPr locked="0" defaultSize="0" autoFill="0" autoLine="0" autoPict="0">
                <anchor moveWithCells="1" sizeWithCells="1">
                  <from>
                    <xdr:col>22</xdr:col>
                    <xdr:colOff>0</xdr:colOff>
                    <xdr:row>117</xdr:row>
                    <xdr:rowOff>0</xdr:rowOff>
                  </from>
                  <to>
                    <xdr:col>22</xdr:col>
                    <xdr:colOff>177800</xdr:colOff>
                    <xdr:row>117</xdr:row>
                    <xdr:rowOff>177800</xdr:rowOff>
                  </to>
                </anchor>
              </controlPr>
            </control>
          </mc:Choice>
        </mc:AlternateContent>
        <mc:AlternateContent xmlns:mc="http://schemas.openxmlformats.org/markup-compatibility/2006">
          <mc:Choice Requires="x14">
            <control shapeId="8357" r:id="rId43" name="Check Box 165">
              <controlPr locked="0" defaultSize="0" autoFill="0" autoLine="0" autoPict="0">
                <anchor moveWithCells="1" sizeWithCells="1">
                  <from>
                    <xdr:col>22</xdr:col>
                    <xdr:colOff>0</xdr:colOff>
                    <xdr:row>119</xdr:row>
                    <xdr:rowOff>0</xdr:rowOff>
                  </from>
                  <to>
                    <xdr:col>22</xdr:col>
                    <xdr:colOff>177800</xdr:colOff>
                    <xdr:row>119</xdr:row>
                    <xdr:rowOff>177800</xdr:rowOff>
                  </to>
                </anchor>
              </controlPr>
            </control>
          </mc:Choice>
        </mc:AlternateContent>
        <mc:AlternateContent xmlns:mc="http://schemas.openxmlformats.org/markup-compatibility/2006">
          <mc:Choice Requires="x14">
            <control shapeId="8358" r:id="rId44" name="Check Box 166">
              <controlPr locked="0" defaultSize="0" autoFill="0" autoLine="0" autoPict="0">
                <anchor moveWithCells="1" sizeWithCells="1">
                  <from>
                    <xdr:col>22</xdr:col>
                    <xdr:colOff>0</xdr:colOff>
                    <xdr:row>120</xdr:row>
                    <xdr:rowOff>0</xdr:rowOff>
                  </from>
                  <to>
                    <xdr:col>22</xdr:col>
                    <xdr:colOff>177800</xdr:colOff>
                    <xdr:row>120</xdr:row>
                    <xdr:rowOff>177800</xdr:rowOff>
                  </to>
                </anchor>
              </controlPr>
            </control>
          </mc:Choice>
        </mc:AlternateContent>
        <mc:AlternateContent xmlns:mc="http://schemas.openxmlformats.org/markup-compatibility/2006">
          <mc:Choice Requires="x14">
            <control shapeId="8359" r:id="rId45" name="Check Box 167">
              <controlPr locked="0" defaultSize="0" autoFill="0" autoLine="0" autoPict="0">
                <anchor moveWithCells="1" sizeWithCells="1">
                  <from>
                    <xdr:col>22</xdr:col>
                    <xdr:colOff>0</xdr:colOff>
                    <xdr:row>123</xdr:row>
                    <xdr:rowOff>0</xdr:rowOff>
                  </from>
                  <to>
                    <xdr:col>22</xdr:col>
                    <xdr:colOff>177800</xdr:colOff>
                    <xdr:row>123</xdr:row>
                    <xdr:rowOff>177800</xdr:rowOff>
                  </to>
                </anchor>
              </controlPr>
            </control>
          </mc:Choice>
        </mc:AlternateContent>
        <mc:AlternateContent xmlns:mc="http://schemas.openxmlformats.org/markup-compatibility/2006">
          <mc:Choice Requires="x14">
            <control shapeId="8360" r:id="rId46" name="Check Box 168">
              <controlPr locked="0" defaultSize="0" autoFill="0" autoLine="0" autoPict="0">
                <anchor moveWithCells="1" sizeWithCells="1">
                  <from>
                    <xdr:col>22</xdr:col>
                    <xdr:colOff>0</xdr:colOff>
                    <xdr:row>129</xdr:row>
                    <xdr:rowOff>0</xdr:rowOff>
                  </from>
                  <to>
                    <xdr:col>22</xdr:col>
                    <xdr:colOff>177800</xdr:colOff>
                    <xdr:row>129</xdr:row>
                    <xdr:rowOff>177800</xdr:rowOff>
                  </to>
                </anchor>
              </controlPr>
            </control>
          </mc:Choice>
        </mc:AlternateContent>
        <mc:AlternateContent xmlns:mc="http://schemas.openxmlformats.org/markup-compatibility/2006">
          <mc:Choice Requires="x14">
            <control shapeId="8361" r:id="rId47" name="Check Box 169">
              <controlPr locked="0" defaultSize="0" autoFill="0" autoLine="0" autoPict="0">
                <anchor moveWithCells="1" sizeWithCells="1">
                  <from>
                    <xdr:col>22</xdr:col>
                    <xdr:colOff>0</xdr:colOff>
                    <xdr:row>131</xdr:row>
                    <xdr:rowOff>0</xdr:rowOff>
                  </from>
                  <to>
                    <xdr:col>22</xdr:col>
                    <xdr:colOff>177800</xdr:colOff>
                    <xdr:row>131</xdr:row>
                    <xdr:rowOff>177800</xdr:rowOff>
                  </to>
                </anchor>
              </controlPr>
            </control>
          </mc:Choice>
        </mc:AlternateContent>
        <mc:AlternateContent xmlns:mc="http://schemas.openxmlformats.org/markup-compatibility/2006">
          <mc:Choice Requires="x14">
            <control shapeId="8362" r:id="rId48" name="Check Box 170">
              <controlPr locked="0" defaultSize="0" autoFill="0" autoLine="0" autoPict="0">
                <anchor moveWithCells="1" sizeWithCells="1">
                  <from>
                    <xdr:col>22</xdr:col>
                    <xdr:colOff>0</xdr:colOff>
                    <xdr:row>135</xdr:row>
                    <xdr:rowOff>0</xdr:rowOff>
                  </from>
                  <to>
                    <xdr:col>22</xdr:col>
                    <xdr:colOff>177800</xdr:colOff>
                    <xdr:row>135</xdr:row>
                    <xdr:rowOff>177800</xdr:rowOff>
                  </to>
                </anchor>
              </controlPr>
            </control>
          </mc:Choice>
        </mc:AlternateContent>
        <mc:AlternateContent xmlns:mc="http://schemas.openxmlformats.org/markup-compatibility/2006">
          <mc:Choice Requires="x14">
            <control shapeId="8363" r:id="rId49" name="Check Box 171">
              <controlPr locked="0" defaultSize="0" autoFill="0" autoLine="0" autoPict="0">
                <anchor moveWithCells="1" sizeWithCells="1">
                  <from>
                    <xdr:col>22</xdr:col>
                    <xdr:colOff>0</xdr:colOff>
                    <xdr:row>142</xdr:row>
                    <xdr:rowOff>0</xdr:rowOff>
                  </from>
                  <to>
                    <xdr:col>22</xdr:col>
                    <xdr:colOff>177800</xdr:colOff>
                    <xdr:row>142</xdr:row>
                    <xdr:rowOff>177800</xdr:rowOff>
                  </to>
                </anchor>
              </controlPr>
            </control>
          </mc:Choice>
        </mc:AlternateContent>
        <mc:AlternateContent xmlns:mc="http://schemas.openxmlformats.org/markup-compatibility/2006">
          <mc:Choice Requires="x14">
            <control shapeId="8364" r:id="rId50" name="Check Box 172">
              <controlPr locked="0" defaultSize="0" autoFill="0" autoLine="0" autoPict="0">
                <anchor moveWithCells="1" sizeWithCells="1">
                  <from>
                    <xdr:col>22</xdr:col>
                    <xdr:colOff>0</xdr:colOff>
                    <xdr:row>144</xdr:row>
                    <xdr:rowOff>0</xdr:rowOff>
                  </from>
                  <to>
                    <xdr:col>22</xdr:col>
                    <xdr:colOff>177800</xdr:colOff>
                    <xdr:row>144</xdr:row>
                    <xdr:rowOff>177800</xdr:rowOff>
                  </to>
                </anchor>
              </controlPr>
            </control>
          </mc:Choice>
        </mc:AlternateContent>
        <mc:AlternateContent xmlns:mc="http://schemas.openxmlformats.org/markup-compatibility/2006">
          <mc:Choice Requires="x14">
            <control shapeId="8365" r:id="rId51" name="Check Box 173">
              <controlPr locked="0" defaultSize="0" autoFill="0" autoLine="0" autoPict="0">
                <anchor moveWithCells="1" sizeWithCells="1">
                  <from>
                    <xdr:col>22</xdr:col>
                    <xdr:colOff>0</xdr:colOff>
                    <xdr:row>145</xdr:row>
                    <xdr:rowOff>0</xdr:rowOff>
                  </from>
                  <to>
                    <xdr:col>22</xdr:col>
                    <xdr:colOff>177800</xdr:colOff>
                    <xdr:row>145</xdr:row>
                    <xdr:rowOff>177800</xdr:rowOff>
                  </to>
                </anchor>
              </controlPr>
            </control>
          </mc:Choice>
        </mc:AlternateContent>
        <mc:AlternateContent xmlns:mc="http://schemas.openxmlformats.org/markup-compatibility/2006">
          <mc:Choice Requires="x14">
            <control shapeId="8366" r:id="rId52" name="Check Box 174">
              <controlPr locked="0" defaultSize="0" autoFill="0" autoLine="0" autoPict="0">
                <anchor moveWithCells="1" sizeWithCells="1">
                  <from>
                    <xdr:col>22</xdr:col>
                    <xdr:colOff>0</xdr:colOff>
                    <xdr:row>147</xdr:row>
                    <xdr:rowOff>0</xdr:rowOff>
                  </from>
                  <to>
                    <xdr:col>22</xdr:col>
                    <xdr:colOff>177800</xdr:colOff>
                    <xdr:row>147</xdr:row>
                    <xdr:rowOff>177800</xdr:rowOff>
                  </to>
                </anchor>
              </controlPr>
            </control>
          </mc:Choice>
        </mc:AlternateContent>
        <mc:AlternateContent xmlns:mc="http://schemas.openxmlformats.org/markup-compatibility/2006">
          <mc:Choice Requires="x14">
            <control shapeId="8367" r:id="rId53" name="Check Box 175">
              <controlPr locked="0" defaultSize="0" autoFill="0" autoLine="0" autoPict="0">
                <anchor moveWithCells="1" sizeWithCells="1">
                  <from>
                    <xdr:col>22</xdr:col>
                    <xdr:colOff>0</xdr:colOff>
                    <xdr:row>148</xdr:row>
                    <xdr:rowOff>0</xdr:rowOff>
                  </from>
                  <to>
                    <xdr:col>22</xdr:col>
                    <xdr:colOff>177800</xdr:colOff>
                    <xdr:row>148</xdr:row>
                    <xdr:rowOff>177800</xdr:rowOff>
                  </to>
                </anchor>
              </controlPr>
            </control>
          </mc:Choice>
        </mc:AlternateContent>
        <mc:AlternateContent xmlns:mc="http://schemas.openxmlformats.org/markup-compatibility/2006">
          <mc:Choice Requires="x14">
            <control shapeId="8368" r:id="rId54" name="Check Box 176">
              <controlPr locked="0" defaultSize="0" autoFill="0" autoLine="0" autoPict="0">
                <anchor moveWithCells="1" sizeWithCells="1">
                  <from>
                    <xdr:col>22</xdr:col>
                    <xdr:colOff>0</xdr:colOff>
                    <xdr:row>149</xdr:row>
                    <xdr:rowOff>0</xdr:rowOff>
                  </from>
                  <to>
                    <xdr:col>22</xdr:col>
                    <xdr:colOff>177800</xdr:colOff>
                    <xdr:row>149</xdr:row>
                    <xdr:rowOff>177800</xdr:rowOff>
                  </to>
                </anchor>
              </controlPr>
            </control>
          </mc:Choice>
        </mc:AlternateContent>
        <mc:AlternateContent xmlns:mc="http://schemas.openxmlformats.org/markup-compatibility/2006">
          <mc:Choice Requires="x14">
            <control shapeId="8369" r:id="rId55" name="Check Box 177">
              <controlPr locked="0" defaultSize="0" autoFill="0" autoLine="0" autoPict="0">
                <anchor moveWithCells="1" sizeWithCells="1">
                  <from>
                    <xdr:col>22</xdr:col>
                    <xdr:colOff>0</xdr:colOff>
                    <xdr:row>150</xdr:row>
                    <xdr:rowOff>0</xdr:rowOff>
                  </from>
                  <to>
                    <xdr:col>22</xdr:col>
                    <xdr:colOff>177800</xdr:colOff>
                    <xdr:row>150</xdr:row>
                    <xdr:rowOff>177800</xdr:rowOff>
                  </to>
                </anchor>
              </controlPr>
            </control>
          </mc:Choice>
        </mc:AlternateContent>
        <mc:AlternateContent xmlns:mc="http://schemas.openxmlformats.org/markup-compatibility/2006">
          <mc:Choice Requires="x14">
            <control shapeId="8370" r:id="rId56" name="Check Box 178">
              <controlPr locked="0" defaultSize="0" autoFill="0" autoLine="0" autoPict="0">
                <anchor moveWithCells="1" sizeWithCells="1">
                  <from>
                    <xdr:col>22</xdr:col>
                    <xdr:colOff>0</xdr:colOff>
                    <xdr:row>153</xdr:row>
                    <xdr:rowOff>0</xdr:rowOff>
                  </from>
                  <to>
                    <xdr:col>22</xdr:col>
                    <xdr:colOff>177800</xdr:colOff>
                    <xdr:row>153</xdr:row>
                    <xdr:rowOff>177800</xdr:rowOff>
                  </to>
                </anchor>
              </controlPr>
            </control>
          </mc:Choice>
        </mc:AlternateContent>
        <mc:AlternateContent xmlns:mc="http://schemas.openxmlformats.org/markup-compatibility/2006">
          <mc:Choice Requires="x14">
            <control shapeId="8371" r:id="rId57" name="Check Box 179">
              <controlPr locked="0" defaultSize="0" autoFill="0" autoLine="0" autoPict="0">
                <anchor moveWithCells="1" sizeWithCells="1">
                  <from>
                    <xdr:col>22</xdr:col>
                    <xdr:colOff>0</xdr:colOff>
                    <xdr:row>194</xdr:row>
                    <xdr:rowOff>0</xdr:rowOff>
                  </from>
                  <to>
                    <xdr:col>22</xdr:col>
                    <xdr:colOff>177800</xdr:colOff>
                    <xdr:row>194</xdr:row>
                    <xdr:rowOff>177800</xdr:rowOff>
                  </to>
                </anchor>
              </controlPr>
            </control>
          </mc:Choice>
        </mc:AlternateContent>
        <mc:AlternateContent xmlns:mc="http://schemas.openxmlformats.org/markup-compatibility/2006">
          <mc:Choice Requires="x14">
            <control shapeId="8372" r:id="rId58" name="Check Box 180">
              <controlPr locked="0" defaultSize="0" autoFill="0" autoLine="0" autoPict="0">
                <anchor moveWithCells="1" sizeWithCells="1">
                  <from>
                    <xdr:col>22</xdr:col>
                    <xdr:colOff>0</xdr:colOff>
                    <xdr:row>196</xdr:row>
                    <xdr:rowOff>0</xdr:rowOff>
                  </from>
                  <to>
                    <xdr:col>22</xdr:col>
                    <xdr:colOff>177800</xdr:colOff>
                    <xdr:row>196</xdr:row>
                    <xdr:rowOff>177800</xdr:rowOff>
                  </to>
                </anchor>
              </controlPr>
            </control>
          </mc:Choice>
        </mc:AlternateContent>
        <mc:AlternateContent xmlns:mc="http://schemas.openxmlformats.org/markup-compatibility/2006">
          <mc:Choice Requires="x14">
            <control shapeId="8373" r:id="rId59" name="Check Box 181">
              <controlPr locked="0" defaultSize="0" autoFill="0" autoLine="0" autoPict="0">
                <anchor moveWithCells="1" sizeWithCells="1">
                  <from>
                    <xdr:col>22</xdr:col>
                    <xdr:colOff>0</xdr:colOff>
                    <xdr:row>199</xdr:row>
                    <xdr:rowOff>0</xdr:rowOff>
                  </from>
                  <to>
                    <xdr:col>22</xdr:col>
                    <xdr:colOff>177800</xdr:colOff>
                    <xdr:row>199</xdr:row>
                    <xdr:rowOff>177800</xdr:rowOff>
                  </to>
                </anchor>
              </controlPr>
            </control>
          </mc:Choice>
        </mc:AlternateContent>
        <mc:AlternateContent xmlns:mc="http://schemas.openxmlformats.org/markup-compatibility/2006">
          <mc:Choice Requires="x14">
            <control shapeId="8376" r:id="rId60" name="Check Box 184">
              <controlPr locked="0" defaultSize="0" autoFill="0" autoLine="0" autoPict="0">
                <anchor moveWithCells="1" sizeWithCells="1">
                  <from>
                    <xdr:col>22</xdr:col>
                    <xdr:colOff>0</xdr:colOff>
                    <xdr:row>59</xdr:row>
                    <xdr:rowOff>0</xdr:rowOff>
                  </from>
                  <to>
                    <xdr:col>22</xdr:col>
                    <xdr:colOff>177800</xdr:colOff>
                    <xdr:row>59</xdr:row>
                    <xdr:rowOff>177800</xdr:rowOff>
                  </to>
                </anchor>
              </controlPr>
            </control>
          </mc:Choice>
        </mc:AlternateContent>
        <mc:AlternateContent xmlns:mc="http://schemas.openxmlformats.org/markup-compatibility/2006">
          <mc:Choice Requires="x14">
            <control shapeId="8377" r:id="rId61" name="Check Box 185">
              <controlPr locked="0" defaultSize="0" autoFill="0" autoLine="0" autoPict="0">
                <anchor moveWithCells="1" sizeWithCells="1">
                  <from>
                    <xdr:col>22</xdr:col>
                    <xdr:colOff>0</xdr:colOff>
                    <xdr:row>60</xdr:row>
                    <xdr:rowOff>0</xdr:rowOff>
                  </from>
                  <to>
                    <xdr:col>22</xdr:col>
                    <xdr:colOff>177800</xdr:colOff>
                    <xdr:row>60</xdr:row>
                    <xdr:rowOff>177800</xdr:rowOff>
                  </to>
                </anchor>
              </controlPr>
            </control>
          </mc:Choice>
        </mc:AlternateContent>
        <mc:AlternateContent xmlns:mc="http://schemas.openxmlformats.org/markup-compatibility/2006">
          <mc:Choice Requires="x14">
            <control shapeId="8379" r:id="rId62" name="Check Box 187">
              <controlPr locked="0" defaultSize="0" autoFill="0" autoLine="0" autoPict="0">
                <anchor moveWithCells="1">
                  <from>
                    <xdr:col>22</xdr:col>
                    <xdr:colOff>0</xdr:colOff>
                    <xdr:row>57</xdr:row>
                    <xdr:rowOff>0</xdr:rowOff>
                  </from>
                  <to>
                    <xdr:col>22</xdr:col>
                    <xdr:colOff>177800</xdr:colOff>
                    <xdr:row>57</xdr:row>
                    <xdr:rowOff>177800</xdr:rowOff>
                  </to>
                </anchor>
              </controlPr>
            </control>
          </mc:Choice>
        </mc:AlternateContent>
        <mc:AlternateContent xmlns:mc="http://schemas.openxmlformats.org/markup-compatibility/2006">
          <mc:Choice Requires="x14">
            <control shapeId="8381" r:id="rId63" name="Check Box 189">
              <controlPr locked="0" defaultSize="0" autoFill="0" autoLine="0" autoPict="0">
                <anchor moveWithCells="1">
                  <from>
                    <xdr:col>22</xdr:col>
                    <xdr:colOff>0</xdr:colOff>
                    <xdr:row>151</xdr:row>
                    <xdr:rowOff>0</xdr:rowOff>
                  </from>
                  <to>
                    <xdr:col>22</xdr:col>
                    <xdr:colOff>177800</xdr:colOff>
                    <xdr:row>151</xdr:row>
                    <xdr:rowOff>177800</xdr:rowOff>
                  </to>
                </anchor>
              </controlPr>
            </control>
          </mc:Choice>
        </mc:AlternateContent>
        <mc:AlternateContent xmlns:mc="http://schemas.openxmlformats.org/markup-compatibility/2006">
          <mc:Choice Requires="x14">
            <control shapeId="8383" r:id="rId64" name="Check Box 191">
              <controlPr locked="0" defaultSize="0" autoFill="0" autoLine="0" autoPict="0">
                <anchor moveWithCells="1">
                  <from>
                    <xdr:col>22</xdr:col>
                    <xdr:colOff>0</xdr:colOff>
                    <xdr:row>168</xdr:row>
                    <xdr:rowOff>0</xdr:rowOff>
                  </from>
                  <to>
                    <xdr:col>22</xdr:col>
                    <xdr:colOff>177800</xdr:colOff>
                    <xdr:row>168</xdr:row>
                    <xdr:rowOff>177800</xdr:rowOff>
                  </to>
                </anchor>
              </controlPr>
            </control>
          </mc:Choice>
        </mc:AlternateContent>
        <mc:AlternateContent xmlns:mc="http://schemas.openxmlformats.org/markup-compatibility/2006">
          <mc:Choice Requires="x14">
            <control shapeId="8384" r:id="rId65" name="Check Box 192">
              <controlPr locked="0" defaultSize="0" autoFill="0" autoLine="0" autoPict="0">
                <anchor moveWithCells="1">
                  <from>
                    <xdr:col>22</xdr:col>
                    <xdr:colOff>0</xdr:colOff>
                    <xdr:row>169</xdr:row>
                    <xdr:rowOff>0</xdr:rowOff>
                  </from>
                  <to>
                    <xdr:col>22</xdr:col>
                    <xdr:colOff>177800</xdr:colOff>
                    <xdr:row>169</xdr:row>
                    <xdr:rowOff>177800</xdr:rowOff>
                  </to>
                </anchor>
              </controlPr>
            </control>
          </mc:Choice>
        </mc:AlternateContent>
        <mc:AlternateContent xmlns:mc="http://schemas.openxmlformats.org/markup-compatibility/2006">
          <mc:Choice Requires="x14">
            <control shapeId="8385" r:id="rId66" name="Check Box 193">
              <controlPr locked="0" defaultSize="0" autoFill="0" autoLine="0" autoPict="0">
                <anchor moveWithCells="1">
                  <from>
                    <xdr:col>22</xdr:col>
                    <xdr:colOff>0</xdr:colOff>
                    <xdr:row>170</xdr:row>
                    <xdr:rowOff>0</xdr:rowOff>
                  </from>
                  <to>
                    <xdr:col>22</xdr:col>
                    <xdr:colOff>177800</xdr:colOff>
                    <xdr:row>170</xdr:row>
                    <xdr:rowOff>177800</xdr:rowOff>
                  </to>
                </anchor>
              </controlPr>
            </control>
          </mc:Choice>
        </mc:AlternateContent>
        <mc:AlternateContent xmlns:mc="http://schemas.openxmlformats.org/markup-compatibility/2006">
          <mc:Choice Requires="x14">
            <control shapeId="8386" r:id="rId67" name="Check Box 194">
              <controlPr locked="0" defaultSize="0" autoFill="0" autoLine="0" autoPict="0">
                <anchor moveWithCells="1">
                  <from>
                    <xdr:col>22</xdr:col>
                    <xdr:colOff>0</xdr:colOff>
                    <xdr:row>172</xdr:row>
                    <xdr:rowOff>0</xdr:rowOff>
                  </from>
                  <to>
                    <xdr:col>22</xdr:col>
                    <xdr:colOff>177800</xdr:colOff>
                    <xdr:row>172</xdr:row>
                    <xdr:rowOff>177800</xdr:rowOff>
                  </to>
                </anchor>
              </controlPr>
            </control>
          </mc:Choice>
        </mc:AlternateContent>
        <mc:AlternateContent xmlns:mc="http://schemas.openxmlformats.org/markup-compatibility/2006">
          <mc:Choice Requires="x14">
            <control shapeId="8387" r:id="rId68" name="Check Box 195">
              <controlPr locked="0" defaultSize="0" autoFill="0" autoLine="0" autoPict="0">
                <anchor moveWithCells="1">
                  <from>
                    <xdr:col>22</xdr:col>
                    <xdr:colOff>0</xdr:colOff>
                    <xdr:row>173</xdr:row>
                    <xdr:rowOff>0</xdr:rowOff>
                  </from>
                  <to>
                    <xdr:col>22</xdr:col>
                    <xdr:colOff>177800</xdr:colOff>
                    <xdr:row>173</xdr:row>
                    <xdr:rowOff>177800</xdr:rowOff>
                  </to>
                </anchor>
              </controlPr>
            </control>
          </mc:Choice>
        </mc:AlternateContent>
        <mc:AlternateContent xmlns:mc="http://schemas.openxmlformats.org/markup-compatibility/2006">
          <mc:Choice Requires="x14">
            <control shapeId="8388" r:id="rId69" name="Check Box 196">
              <controlPr locked="0" defaultSize="0" autoFill="0" autoLine="0" autoPict="0">
                <anchor moveWithCells="1">
                  <from>
                    <xdr:col>22</xdr:col>
                    <xdr:colOff>0</xdr:colOff>
                    <xdr:row>174</xdr:row>
                    <xdr:rowOff>0</xdr:rowOff>
                  </from>
                  <to>
                    <xdr:col>22</xdr:col>
                    <xdr:colOff>177800</xdr:colOff>
                    <xdr:row>174</xdr:row>
                    <xdr:rowOff>177800</xdr:rowOff>
                  </to>
                </anchor>
              </controlPr>
            </control>
          </mc:Choice>
        </mc:AlternateContent>
        <mc:AlternateContent xmlns:mc="http://schemas.openxmlformats.org/markup-compatibility/2006">
          <mc:Choice Requires="x14">
            <control shapeId="8389" r:id="rId70" name="Check Box 197">
              <controlPr locked="0" defaultSize="0" autoFill="0" autoLine="0" autoPict="0">
                <anchor moveWithCells="1">
                  <from>
                    <xdr:col>22</xdr:col>
                    <xdr:colOff>0</xdr:colOff>
                    <xdr:row>175</xdr:row>
                    <xdr:rowOff>0</xdr:rowOff>
                  </from>
                  <to>
                    <xdr:col>22</xdr:col>
                    <xdr:colOff>177800</xdr:colOff>
                    <xdr:row>175</xdr:row>
                    <xdr:rowOff>177800</xdr:rowOff>
                  </to>
                </anchor>
              </controlPr>
            </control>
          </mc:Choice>
        </mc:AlternateContent>
        <mc:AlternateContent xmlns:mc="http://schemas.openxmlformats.org/markup-compatibility/2006">
          <mc:Choice Requires="x14">
            <control shapeId="8390" r:id="rId71" name="Check Box 198">
              <controlPr locked="0" defaultSize="0" autoFill="0" autoLine="0" autoPict="0">
                <anchor moveWithCells="1">
                  <from>
                    <xdr:col>22</xdr:col>
                    <xdr:colOff>0</xdr:colOff>
                    <xdr:row>176</xdr:row>
                    <xdr:rowOff>0</xdr:rowOff>
                  </from>
                  <to>
                    <xdr:col>22</xdr:col>
                    <xdr:colOff>177800</xdr:colOff>
                    <xdr:row>176</xdr:row>
                    <xdr:rowOff>177800</xdr:rowOff>
                  </to>
                </anchor>
              </controlPr>
            </control>
          </mc:Choice>
        </mc:AlternateContent>
        <mc:AlternateContent xmlns:mc="http://schemas.openxmlformats.org/markup-compatibility/2006">
          <mc:Choice Requires="x14">
            <control shapeId="8391" r:id="rId72" name="Check Box 199">
              <controlPr locked="0" defaultSize="0" autoFill="0" autoLine="0" autoPict="0">
                <anchor moveWithCells="1">
                  <from>
                    <xdr:col>22</xdr:col>
                    <xdr:colOff>0</xdr:colOff>
                    <xdr:row>177</xdr:row>
                    <xdr:rowOff>0</xdr:rowOff>
                  </from>
                  <to>
                    <xdr:col>22</xdr:col>
                    <xdr:colOff>177800</xdr:colOff>
                    <xdr:row>177</xdr:row>
                    <xdr:rowOff>177800</xdr:rowOff>
                  </to>
                </anchor>
              </controlPr>
            </control>
          </mc:Choice>
        </mc:AlternateContent>
        <mc:AlternateContent xmlns:mc="http://schemas.openxmlformats.org/markup-compatibility/2006">
          <mc:Choice Requires="x14">
            <control shapeId="8392" r:id="rId73" name="Check Box 200">
              <controlPr locked="0" defaultSize="0" autoFill="0" autoLine="0" autoPict="0">
                <anchor moveWithCells="1">
                  <from>
                    <xdr:col>22</xdr:col>
                    <xdr:colOff>0</xdr:colOff>
                    <xdr:row>182</xdr:row>
                    <xdr:rowOff>0</xdr:rowOff>
                  </from>
                  <to>
                    <xdr:col>22</xdr:col>
                    <xdr:colOff>177800</xdr:colOff>
                    <xdr:row>182</xdr:row>
                    <xdr:rowOff>177800</xdr:rowOff>
                  </to>
                </anchor>
              </controlPr>
            </control>
          </mc:Choice>
        </mc:AlternateContent>
        <mc:AlternateContent xmlns:mc="http://schemas.openxmlformats.org/markup-compatibility/2006">
          <mc:Choice Requires="x14">
            <control shapeId="8393" r:id="rId74" name="Check Box 201">
              <controlPr locked="0" defaultSize="0" autoFill="0" autoLine="0" autoPict="0">
                <anchor moveWithCells="1">
                  <from>
                    <xdr:col>22</xdr:col>
                    <xdr:colOff>0</xdr:colOff>
                    <xdr:row>183</xdr:row>
                    <xdr:rowOff>0</xdr:rowOff>
                  </from>
                  <to>
                    <xdr:col>22</xdr:col>
                    <xdr:colOff>177800</xdr:colOff>
                    <xdr:row>183</xdr:row>
                    <xdr:rowOff>177800</xdr:rowOff>
                  </to>
                </anchor>
              </controlPr>
            </control>
          </mc:Choice>
        </mc:AlternateContent>
        <mc:AlternateContent xmlns:mc="http://schemas.openxmlformats.org/markup-compatibility/2006">
          <mc:Choice Requires="x14">
            <control shapeId="8394" r:id="rId75" name="Check Box 202">
              <controlPr locked="0" defaultSize="0" autoFill="0" autoLine="0" autoPict="0">
                <anchor moveWithCells="1">
                  <from>
                    <xdr:col>22</xdr:col>
                    <xdr:colOff>0</xdr:colOff>
                    <xdr:row>184</xdr:row>
                    <xdr:rowOff>0</xdr:rowOff>
                  </from>
                  <to>
                    <xdr:col>22</xdr:col>
                    <xdr:colOff>177800</xdr:colOff>
                    <xdr:row>184</xdr:row>
                    <xdr:rowOff>177800</xdr:rowOff>
                  </to>
                </anchor>
              </controlPr>
            </control>
          </mc:Choice>
        </mc:AlternateContent>
        <mc:AlternateContent xmlns:mc="http://schemas.openxmlformats.org/markup-compatibility/2006">
          <mc:Choice Requires="x14">
            <control shapeId="8395" r:id="rId76" name="Check Box 203">
              <controlPr locked="0" defaultSize="0" autoFill="0" autoLine="0" autoPict="0">
                <anchor moveWithCells="1">
                  <from>
                    <xdr:col>22</xdr:col>
                    <xdr:colOff>0</xdr:colOff>
                    <xdr:row>185</xdr:row>
                    <xdr:rowOff>0</xdr:rowOff>
                  </from>
                  <to>
                    <xdr:col>22</xdr:col>
                    <xdr:colOff>177800</xdr:colOff>
                    <xdr:row>185</xdr:row>
                    <xdr:rowOff>177800</xdr:rowOff>
                  </to>
                </anchor>
              </controlPr>
            </control>
          </mc:Choice>
        </mc:AlternateContent>
        <mc:AlternateContent xmlns:mc="http://schemas.openxmlformats.org/markup-compatibility/2006">
          <mc:Choice Requires="x14">
            <control shapeId="8396" r:id="rId77" name="Check Box 204">
              <controlPr locked="0" defaultSize="0" autoFill="0" autoLine="0" autoPict="0">
                <anchor moveWithCells="1">
                  <from>
                    <xdr:col>22</xdr:col>
                    <xdr:colOff>0</xdr:colOff>
                    <xdr:row>186</xdr:row>
                    <xdr:rowOff>0</xdr:rowOff>
                  </from>
                  <to>
                    <xdr:col>22</xdr:col>
                    <xdr:colOff>177800</xdr:colOff>
                    <xdr:row>186</xdr:row>
                    <xdr:rowOff>177800</xdr:rowOff>
                  </to>
                </anchor>
              </controlPr>
            </control>
          </mc:Choice>
        </mc:AlternateContent>
        <mc:AlternateContent xmlns:mc="http://schemas.openxmlformats.org/markup-compatibility/2006">
          <mc:Choice Requires="x14">
            <control shapeId="8397" r:id="rId78" name="Check Box 205">
              <controlPr locked="0" defaultSize="0" autoFill="0" autoLine="0" autoPict="0">
                <anchor moveWithCells="1">
                  <from>
                    <xdr:col>22</xdr:col>
                    <xdr:colOff>0</xdr:colOff>
                    <xdr:row>187</xdr:row>
                    <xdr:rowOff>0</xdr:rowOff>
                  </from>
                  <to>
                    <xdr:col>22</xdr:col>
                    <xdr:colOff>177800</xdr:colOff>
                    <xdr:row>187</xdr:row>
                    <xdr:rowOff>177800</xdr:rowOff>
                  </to>
                </anchor>
              </controlPr>
            </control>
          </mc:Choice>
        </mc:AlternateContent>
        <mc:AlternateContent xmlns:mc="http://schemas.openxmlformats.org/markup-compatibility/2006">
          <mc:Choice Requires="x14">
            <control shapeId="8398" r:id="rId79" name="Check Box 206">
              <controlPr locked="0" defaultSize="0" autoFill="0" autoLine="0" autoPict="0">
                <anchor moveWithCells="1">
                  <from>
                    <xdr:col>22</xdr:col>
                    <xdr:colOff>0</xdr:colOff>
                    <xdr:row>188</xdr:row>
                    <xdr:rowOff>0</xdr:rowOff>
                  </from>
                  <to>
                    <xdr:col>22</xdr:col>
                    <xdr:colOff>177800</xdr:colOff>
                    <xdr:row>188</xdr:row>
                    <xdr:rowOff>177800</xdr:rowOff>
                  </to>
                </anchor>
              </controlPr>
            </control>
          </mc:Choice>
        </mc:AlternateContent>
        <mc:AlternateContent xmlns:mc="http://schemas.openxmlformats.org/markup-compatibility/2006">
          <mc:Choice Requires="x14">
            <control shapeId="8401" r:id="rId80" name="Check Box 209">
              <controlPr locked="0" defaultSize="0" autoFill="0" autoLine="0" autoPict="0">
                <anchor moveWithCells="1">
                  <from>
                    <xdr:col>22</xdr:col>
                    <xdr:colOff>0</xdr:colOff>
                    <xdr:row>207</xdr:row>
                    <xdr:rowOff>0</xdr:rowOff>
                  </from>
                  <to>
                    <xdr:col>22</xdr:col>
                    <xdr:colOff>177800</xdr:colOff>
                    <xdr:row>207</xdr:row>
                    <xdr:rowOff>177800</xdr:rowOff>
                  </to>
                </anchor>
              </controlPr>
            </control>
          </mc:Choice>
        </mc:AlternateContent>
        <mc:AlternateContent xmlns:mc="http://schemas.openxmlformats.org/markup-compatibility/2006">
          <mc:Choice Requires="x14">
            <control shapeId="8402" r:id="rId81" name="Check Box 210">
              <controlPr locked="0" defaultSize="0" autoFill="0" autoLine="0" autoPict="0">
                <anchor moveWithCells="1">
                  <from>
                    <xdr:col>22</xdr:col>
                    <xdr:colOff>0</xdr:colOff>
                    <xdr:row>204</xdr:row>
                    <xdr:rowOff>0</xdr:rowOff>
                  </from>
                  <to>
                    <xdr:col>22</xdr:col>
                    <xdr:colOff>177800</xdr:colOff>
                    <xdr:row>204</xdr:row>
                    <xdr:rowOff>177800</xdr:rowOff>
                  </to>
                </anchor>
              </controlPr>
            </control>
          </mc:Choice>
        </mc:AlternateContent>
      </controls>
    </mc:Choice>
  </mc:AlternateConten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Sheet26">
    <pageSetUpPr fitToPage="1"/>
  </sheetPr>
  <dimension ref="A1:J3115"/>
  <sheetViews>
    <sheetView showGridLines="0" zoomScaleNormal="100" workbookViewId="0">
      <pane ySplit="6" topLeftCell="A7" activePane="bottomLeft" state="frozen"/>
      <selection activeCell="G45" sqref="G45:H45"/>
      <selection pane="bottomLeft" sqref="A1:A1048576"/>
    </sheetView>
  </sheetViews>
  <sheetFormatPr baseColWidth="10" defaultColWidth="8.83203125" defaultRowHeight="15" x14ac:dyDescent="0.2"/>
  <cols>
    <col min="1" max="1" width="3.6640625" style="467" bestFit="1" customWidth="1"/>
    <col min="2" max="2" width="3.6640625" customWidth="1"/>
    <col min="3" max="3" width="3.6640625" style="689" customWidth="1"/>
    <col min="4" max="4" width="10.5" style="1322" customWidth="1"/>
    <col min="5" max="6" width="3.83203125" style="1322" customWidth="1"/>
    <col min="7" max="7" width="71.6640625" customWidth="1"/>
    <col min="8" max="8" width="19.1640625" style="88" hidden="1" customWidth="1"/>
    <col min="9" max="9" width="3" style="88" hidden="1" customWidth="1"/>
    <col min="10" max="10" width="73.5" style="4" customWidth="1"/>
  </cols>
  <sheetData>
    <row r="1" spans="1:10" ht="15" customHeight="1" x14ac:dyDescent="0.2">
      <c r="A1" s="1788" t="s">
        <v>2916</v>
      </c>
      <c r="B1" s="1790" t="s">
        <v>3446</v>
      </c>
      <c r="C1" s="1790" t="s">
        <v>3447</v>
      </c>
      <c r="D1" s="1576"/>
      <c r="E1" s="1576"/>
      <c r="F1" s="1576"/>
      <c r="G1" s="1576"/>
      <c r="J1" s="1792" t="s">
        <v>5109</v>
      </c>
    </row>
    <row r="2" spans="1:10" x14ac:dyDescent="0.2">
      <c r="A2" s="1788"/>
      <c r="B2" s="1790"/>
      <c r="C2" s="1790"/>
      <c r="D2" s="1576"/>
      <c r="E2" s="1576"/>
      <c r="F2" s="1576"/>
      <c r="G2" s="1576"/>
      <c r="J2" s="1792"/>
    </row>
    <row r="3" spans="1:10" x14ac:dyDescent="0.2">
      <c r="A3" s="1788"/>
      <c r="B3" s="1790"/>
      <c r="C3" s="1790"/>
      <c r="D3" s="1576"/>
      <c r="E3" s="1576"/>
      <c r="F3" s="1576"/>
      <c r="G3" s="1576"/>
      <c r="J3" s="1792"/>
    </row>
    <row r="4" spans="1:10" s="329" customFormat="1" x14ac:dyDescent="0.2">
      <c r="A4" s="1788"/>
      <c r="B4" s="1790"/>
      <c r="C4" s="1790"/>
      <c r="D4" s="1576"/>
      <c r="E4" s="1576"/>
      <c r="F4" s="1576"/>
      <c r="G4" s="1576"/>
      <c r="H4" s="88"/>
      <c r="I4" s="88"/>
      <c r="J4" s="1792"/>
    </row>
    <row r="5" spans="1:10" s="329" customFormat="1" x14ac:dyDescent="0.2">
      <c r="A5" s="1788"/>
      <c r="B5" s="1790"/>
      <c r="C5" s="1790"/>
      <c r="D5" s="1576"/>
      <c r="E5" s="1576"/>
      <c r="F5" s="1576"/>
      <c r="G5" s="1576"/>
      <c r="H5" s="88"/>
      <c r="I5" s="88"/>
      <c r="J5" s="1792"/>
    </row>
    <row r="6" spans="1:10" ht="21" x14ac:dyDescent="0.25">
      <c r="A6" s="1502" t="s">
        <v>3420</v>
      </c>
      <c r="G6" s="462" t="s">
        <v>2917</v>
      </c>
      <c r="J6" s="1792"/>
    </row>
    <row r="7" spans="1:10" ht="19" x14ac:dyDescent="0.25">
      <c r="A7" s="467" t="s">
        <v>3200</v>
      </c>
      <c r="B7" s="1324" t="str">
        <f>IF(LEN('11.500'!H9)=0,"",'11.500'!H9)</f>
        <v/>
      </c>
      <c r="C7" s="1280" t="str">
        <f>IF(LEN(B7)=0,IF(A7="P","P",""),B7)</f>
        <v>P</v>
      </c>
      <c r="D7" s="90" t="s">
        <v>3479</v>
      </c>
      <c r="E7" s="90"/>
      <c r="F7" s="90"/>
      <c r="G7" s="25"/>
      <c r="H7" s="994"/>
      <c r="I7" s="25"/>
      <c r="J7" s="25"/>
    </row>
    <row r="8" spans="1:10" x14ac:dyDescent="0.2">
      <c r="B8" s="1324" t="str">
        <f>IF(LEN('11.500'!H10)=0,"",'11.500'!H10)</f>
        <v/>
      </c>
      <c r="C8" s="1280" t="str">
        <f t="shared" ref="C8:C71" si="0">IF(LEN(B8)=0,IF(A8="P","P",""),B8)</f>
        <v/>
      </c>
      <c r="D8" s="89" t="s">
        <v>3480</v>
      </c>
      <c r="E8" s="89"/>
      <c r="F8" s="89"/>
      <c r="G8" s="1631" t="s">
        <v>3768</v>
      </c>
      <c r="H8" s="1326"/>
      <c r="J8" s="1312"/>
    </row>
    <row r="9" spans="1:10" x14ac:dyDescent="0.2">
      <c r="B9" s="1324" t="str">
        <f>IF(LEN('11.500'!H11)=0,"",'11.500'!H11)</f>
        <v/>
      </c>
      <c r="C9" s="1280" t="str">
        <f t="shared" si="0"/>
        <v/>
      </c>
      <c r="D9" s="89"/>
      <c r="E9" s="89"/>
      <c r="F9" s="89"/>
      <c r="G9" s="1631"/>
      <c r="H9" s="1326"/>
      <c r="J9" s="1312"/>
    </row>
    <row r="10" spans="1:10" x14ac:dyDescent="0.2">
      <c r="B10" s="1324" t="str">
        <f>IF(LEN('11.500'!H12)=0,"",'11.500'!H12)</f>
        <v/>
      </c>
      <c r="C10" s="1280" t="str">
        <f t="shared" si="0"/>
        <v/>
      </c>
      <c r="D10" s="89"/>
      <c r="E10" s="89"/>
      <c r="F10" s="89"/>
      <c r="G10" s="1631"/>
      <c r="H10" s="1326"/>
      <c r="J10" s="1312"/>
    </row>
    <row r="11" spans="1:10" ht="19" x14ac:dyDescent="0.25">
      <c r="A11" s="467" t="s">
        <v>3200</v>
      </c>
      <c r="B11" s="1324" t="str">
        <f>IF(LEN('11.500'!H13)=0,"",'11.500'!H13)</f>
        <v/>
      </c>
      <c r="C11" s="1280" t="str">
        <f t="shared" si="0"/>
        <v>P</v>
      </c>
      <c r="D11" s="90" t="s">
        <v>3481</v>
      </c>
      <c r="E11" s="90"/>
      <c r="F11" s="90"/>
      <c r="G11" s="84"/>
      <c r="H11" s="994"/>
      <c r="I11" s="25"/>
      <c r="J11" s="25"/>
    </row>
    <row r="12" spans="1:10" x14ac:dyDescent="0.2">
      <c r="A12" s="1503" t="str">
        <f ca="1">IF(COUNTIF(A14:A46,"P")&gt;0,"P","")</f>
        <v>P</v>
      </c>
      <c r="B12" s="1324" t="str">
        <f>IF(LEN('11.500'!H14)=0,"",'11.500'!H14)</f>
        <v/>
      </c>
      <c r="C12" s="1280" t="str">
        <f t="shared" ca="1" si="0"/>
        <v>P</v>
      </c>
      <c r="D12" s="89" t="s">
        <v>3482</v>
      </c>
      <c r="E12" s="89"/>
      <c r="F12" s="89"/>
      <c r="G12" s="1631" t="s">
        <v>3507</v>
      </c>
      <c r="H12" s="1326"/>
      <c r="J12" s="1312"/>
    </row>
    <row r="13" spans="1:10" x14ac:dyDescent="0.2">
      <c r="A13" s="467" t="str">
        <f ca="1">A12</f>
        <v>P</v>
      </c>
      <c r="B13" s="1324" t="str">
        <f>IF(LEN('11.500'!H15)=0,"",'11.500'!H15)</f>
        <v/>
      </c>
      <c r="C13" s="1280" t="str">
        <f t="shared" ca="1" si="0"/>
        <v>P</v>
      </c>
      <c r="D13" s="89"/>
      <c r="E13" s="89"/>
      <c r="F13" s="89"/>
      <c r="G13" s="1631"/>
      <c r="H13" s="1326"/>
      <c r="J13" s="1312"/>
    </row>
    <row r="14" spans="1:10" x14ac:dyDescent="0.2">
      <c r="A14" s="467" t="str">
        <f>IF(I14&gt;0,"P","")</f>
        <v/>
      </c>
      <c r="B14" s="1324" t="str">
        <f>IF(LEN('11.500'!H16)=0,"",'11.500'!H16)</f>
        <v/>
      </c>
      <c r="C14" s="1280" t="str">
        <f t="shared" si="0"/>
        <v/>
      </c>
      <c r="D14" s="89"/>
      <c r="E14" s="93" t="s">
        <v>254</v>
      </c>
      <c r="F14" s="93"/>
      <c r="G14" s="1657" t="s">
        <v>3769</v>
      </c>
      <c r="H14" s="1341" t="str">
        <f>IF(LEN('11.500'!W16)=0,"",'11.500'!W16)</f>
        <v/>
      </c>
      <c r="I14" s="88">
        <f>'11.500'!O16</f>
        <v>0</v>
      </c>
      <c r="J14" s="1779" t="s">
        <v>5110</v>
      </c>
    </row>
    <row r="15" spans="1:10" x14ac:dyDescent="0.2">
      <c r="A15" s="467" t="str">
        <f>A14</f>
        <v/>
      </c>
      <c r="B15" s="1324" t="str">
        <f>IF(LEN('11.500'!H17)=0,"",'11.500'!H17)</f>
        <v/>
      </c>
      <c r="C15" s="1280" t="str">
        <f t="shared" si="0"/>
        <v/>
      </c>
      <c r="D15" s="89"/>
      <c r="E15" s="169"/>
      <c r="F15" s="169"/>
      <c r="G15" s="1650"/>
      <c r="H15" s="1326"/>
      <c r="J15" s="1779"/>
    </row>
    <row r="16" spans="1:10" x14ac:dyDescent="0.2">
      <c r="A16" s="467" t="str">
        <f>IF(I16&gt;0,"P","")</f>
        <v>P</v>
      </c>
      <c r="B16" s="1324" t="str">
        <f>IF(LEN('11.500'!H18)=0,"",'11.500'!H18)</f>
        <v/>
      </c>
      <c r="C16" s="1280" t="str">
        <f t="shared" si="0"/>
        <v>P</v>
      </c>
      <c r="D16" s="89"/>
      <c r="E16" s="93" t="s">
        <v>255</v>
      </c>
      <c r="F16" s="93"/>
      <c r="G16" s="1613" t="s">
        <v>3770</v>
      </c>
      <c r="H16" s="1341" t="b">
        <f>IF(LEN('11.500'!W18)=0,"",'11.500'!W18)</f>
        <v>1</v>
      </c>
      <c r="I16" s="88">
        <f>'11.500'!O18</f>
        <v>3</v>
      </c>
      <c r="J16" s="1779" t="s">
        <v>5111</v>
      </c>
    </row>
    <row r="17" spans="1:10" x14ac:dyDescent="0.2">
      <c r="A17" s="467" t="str">
        <f>A16</f>
        <v>P</v>
      </c>
      <c r="B17" s="1324" t="str">
        <f>IF(LEN('11.500'!H19)=0,"",'11.500'!H19)</f>
        <v/>
      </c>
      <c r="C17" s="1280" t="str">
        <f t="shared" si="0"/>
        <v>P</v>
      </c>
      <c r="D17" s="89"/>
      <c r="E17" s="169"/>
      <c r="F17" s="169"/>
      <c r="G17" s="1612"/>
      <c r="H17" s="1326"/>
      <c r="J17" s="1779"/>
    </row>
    <row r="18" spans="1:10" x14ac:dyDescent="0.2">
      <c r="A18" s="467" t="str">
        <f>IF(I18&gt;0,"P","")</f>
        <v/>
      </c>
      <c r="B18" s="1324" t="str">
        <f>IF(LEN('11.500'!H20)=0,"",'11.500'!H20)</f>
        <v/>
      </c>
      <c r="C18" s="1280" t="str">
        <f t="shared" si="0"/>
        <v/>
      </c>
      <c r="D18" s="89"/>
      <c r="E18" s="93" t="s">
        <v>256</v>
      </c>
      <c r="F18" s="93"/>
      <c r="G18" s="1613" t="s">
        <v>3771</v>
      </c>
      <c r="H18" s="1341" t="str">
        <f>IF(LEN('11.500'!W20)=0,"",'11.500'!W20)</f>
        <v/>
      </c>
      <c r="I18" s="88">
        <f>'11.500'!O20</f>
        <v>0</v>
      </c>
      <c r="J18" s="1779" t="s">
        <v>5112</v>
      </c>
    </row>
    <row r="19" spans="1:10" x14ac:dyDescent="0.2">
      <c r="A19" s="467" t="str">
        <f>A18</f>
        <v/>
      </c>
      <c r="B19" s="1324" t="str">
        <f>IF(LEN('11.500'!H21)=0,"",'11.500'!H21)</f>
        <v/>
      </c>
      <c r="C19" s="1280" t="str">
        <f t="shared" si="0"/>
        <v/>
      </c>
      <c r="D19" s="89"/>
      <c r="E19" s="93"/>
      <c r="F19" s="93"/>
      <c r="G19" s="1609"/>
      <c r="H19" s="1326"/>
      <c r="J19" s="1779"/>
    </row>
    <row r="20" spans="1:10" x14ac:dyDescent="0.2">
      <c r="A20" s="467" t="str">
        <f>A19</f>
        <v/>
      </c>
      <c r="B20" s="1324" t="str">
        <f>IF(LEN('11.500'!H22)=0,"",'11.500'!H22)</f>
        <v/>
      </c>
      <c r="C20" s="1280" t="str">
        <f t="shared" si="0"/>
        <v/>
      </c>
      <c r="D20" s="89"/>
      <c r="E20" s="93"/>
      <c r="F20" s="93"/>
      <c r="G20" s="1609"/>
      <c r="H20" s="1326"/>
      <c r="J20" s="1312"/>
    </row>
    <row r="21" spans="1:10" x14ac:dyDescent="0.2">
      <c r="A21" s="467" t="str">
        <f>A20</f>
        <v/>
      </c>
      <c r="B21" s="1324" t="str">
        <f>IF(LEN('11.500'!H23)=0,"",'11.500'!H23)</f>
        <v/>
      </c>
      <c r="C21" s="1280" t="str">
        <f t="shared" si="0"/>
        <v/>
      </c>
      <c r="D21" s="89"/>
      <c r="E21" s="93"/>
      <c r="F21" s="93"/>
      <c r="G21" s="1609"/>
      <c r="H21" s="1326"/>
      <c r="J21" s="1312"/>
    </row>
    <row r="22" spans="1:10" x14ac:dyDescent="0.2">
      <c r="B22" s="1324" t="str">
        <f>IF(LEN('11.500'!H24)=0,"",'11.500'!H24)</f>
        <v/>
      </c>
      <c r="C22" s="1280" t="str">
        <f t="shared" si="0"/>
        <v/>
      </c>
      <c r="D22" s="89"/>
      <c r="E22" s="93"/>
      <c r="F22" s="93"/>
      <c r="G22" s="97" t="s">
        <v>260</v>
      </c>
      <c r="H22" s="1326"/>
      <c r="J22" s="1312"/>
    </row>
    <row r="23" spans="1:10" x14ac:dyDescent="0.2">
      <c r="B23" s="1324" t="str">
        <f>IF(LEN('11.500'!H25)=0,"",'11.500'!H25)</f>
        <v/>
      </c>
      <c r="C23" s="1280" t="str">
        <f t="shared" si="0"/>
        <v/>
      </c>
      <c r="D23" s="89"/>
      <c r="E23" s="93"/>
      <c r="F23" s="93"/>
      <c r="G23" s="97" t="s">
        <v>261</v>
      </c>
      <c r="H23" s="1326"/>
      <c r="J23" s="1312"/>
    </row>
    <row r="24" spans="1:10" x14ac:dyDescent="0.2">
      <c r="B24" s="1324" t="str">
        <f>IF(LEN('11.500'!H26)=0,"",'11.500'!H26)</f>
        <v/>
      </c>
      <c r="C24" s="1280" t="str">
        <f t="shared" si="0"/>
        <v/>
      </c>
      <c r="D24" s="89"/>
      <c r="E24" s="93"/>
      <c r="F24" s="93"/>
      <c r="G24" s="97" t="s">
        <v>262</v>
      </c>
      <c r="H24" s="1326"/>
      <c r="J24" s="1312"/>
    </row>
    <row r="25" spans="1:10" x14ac:dyDescent="0.2">
      <c r="B25" s="1324" t="str">
        <f>IF(LEN('11.500'!H27)=0,"",'11.500'!H27)</f>
        <v/>
      </c>
      <c r="C25" s="1280" t="str">
        <f t="shared" si="0"/>
        <v/>
      </c>
      <c r="D25" s="89"/>
      <c r="E25" s="93"/>
      <c r="F25" s="93"/>
      <c r="G25" s="97" t="s">
        <v>3772</v>
      </c>
      <c r="H25" s="1326"/>
      <c r="J25" s="1312"/>
    </row>
    <row r="26" spans="1:10" x14ac:dyDescent="0.2">
      <c r="B26" s="1324" t="str">
        <f>IF(LEN('11.500'!H28)=0,"",'11.500'!H28)</f>
        <v/>
      </c>
      <c r="C26" s="1280" t="str">
        <f t="shared" si="0"/>
        <v/>
      </c>
      <c r="D26" s="89"/>
      <c r="E26" s="93"/>
      <c r="F26" s="93"/>
      <c r="G26" s="1337" t="s">
        <v>269</v>
      </c>
      <c r="H26" s="1326"/>
      <c r="J26" s="1312"/>
    </row>
    <row r="27" spans="1:10" x14ac:dyDescent="0.2">
      <c r="B27" s="1324" t="str">
        <f>IF(LEN('11.500'!H29)=0,"",'11.500'!H29)</f>
        <v/>
      </c>
      <c r="C27" s="1280" t="str">
        <f t="shared" si="0"/>
        <v/>
      </c>
      <c r="D27" s="88"/>
      <c r="E27" s="93"/>
      <c r="F27" s="93"/>
      <c r="G27" s="1325" t="s">
        <v>101</v>
      </c>
      <c r="H27" s="1326"/>
      <c r="J27" s="1312"/>
    </row>
    <row r="28" spans="1:10" x14ac:dyDescent="0.2">
      <c r="A28" s="467" t="str">
        <f ca="1">IF(I28&gt;0,"P","")</f>
        <v/>
      </c>
      <c r="B28" s="1324" t="str">
        <f>IF(LEN('11.500'!H30)=0,"",'11.500'!H30)</f>
        <v/>
      </c>
      <c r="C28" s="1280" t="str">
        <f t="shared" ca="1" si="0"/>
        <v/>
      </c>
      <c r="D28" s="88"/>
      <c r="E28" s="93"/>
      <c r="F28" s="93"/>
      <c r="G28" s="1634" t="s">
        <v>3929</v>
      </c>
      <c r="H28" s="1341" t="str">
        <f>IF(LEN('11.500'!W30)=0,"",'11.500'!W30)</f>
        <v/>
      </c>
      <c r="I28" s="88">
        <f ca="1">'11.500'!O30</f>
        <v>0</v>
      </c>
      <c r="J28" s="1779" t="s">
        <v>5113</v>
      </c>
    </row>
    <row r="29" spans="1:10" x14ac:dyDescent="0.2">
      <c r="A29" s="467" t="str">
        <f ca="1">A28</f>
        <v/>
      </c>
      <c r="B29" s="1324" t="str">
        <f>IF(LEN('11.500'!H31)=0,"",'11.500'!H31)</f>
        <v/>
      </c>
      <c r="C29" s="1280" t="str">
        <f t="shared" ca="1" si="0"/>
        <v/>
      </c>
      <c r="D29" s="88"/>
      <c r="E29" s="93"/>
      <c r="F29" s="93"/>
      <c r="G29" s="1634"/>
      <c r="H29" s="1326"/>
      <c r="J29" s="1797"/>
    </row>
    <row r="30" spans="1:10" x14ac:dyDescent="0.2">
      <c r="A30" s="467" t="str">
        <f ca="1">A29</f>
        <v/>
      </c>
      <c r="B30" s="1324" t="str">
        <f>IF(LEN('11.500'!H32)=0,"",'11.500'!H32)</f>
        <v/>
      </c>
      <c r="C30" s="1280" t="str">
        <f t="shared" ca="1" si="0"/>
        <v/>
      </c>
      <c r="D30" s="88"/>
      <c r="E30" s="93"/>
      <c r="F30" s="93"/>
      <c r="G30" s="1634"/>
      <c r="H30" s="1326"/>
      <c r="J30" s="1797"/>
    </row>
    <row r="31" spans="1:10" x14ac:dyDescent="0.2">
      <c r="A31" s="467" t="str">
        <f ca="1">A30</f>
        <v/>
      </c>
      <c r="B31" s="1324" t="str">
        <f>IF(LEN('11.500'!H33)=0,"",'11.500'!H33)</f>
        <v/>
      </c>
      <c r="C31" s="1280" t="str">
        <f t="shared" ca="1" si="0"/>
        <v/>
      </c>
      <c r="D31" s="88"/>
      <c r="E31" s="93"/>
      <c r="F31" s="89" t="s">
        <v>121</v>
      </c>
      <c r="G31" s="1325" t="s">
        <v>3930</v>
      </c>
      <c r="H31" s="1326"/>
      <c r="J31" s="1797"/>
    </row>
    <row r="32" spans="1:10" x14ac:dyDescent="0.2">
      <c r="A32" s="467" t="str">
        <f ca="1">A31</f>
        <v/>
      </c>
      <c r="B32" s="1324" t="str">
        <f>IF(LEN('11.500'!H34)=0,"",'11.500'!H34)</f>
        <v/>
      </c>
      <c r="C32" s="1280" t="str">
        <f t="shared" ca="1" si="0"/>
        <v/>
      </c>
      <c r="D32" s="88"/>
      <c r="E32" s="169"/>
      <c r="F32" s="169" t="s">
        <v>122</v>
      </c>
      <c r="G32" s="170" t="s">
        <v>265</v>
      </c>
      <c r="H32" s="1326"/>
      <c r="J32" s="1797"/>
    </row>
    <row r="33" spans="1:10" x14ac:dyDescent="0.2">
      <c r="A33" s="467" t="str">
        <f>IF(I33&gt;0,"P","")</f>
        <v/>
      </c>
      <c r="B33" s="1324" t="str">
        <f>IF(LEN('11.500'!H35)=0,"",'11.500'!H35)</f>
        <v/>
      </c>
      <c r="C33" s="1280" t="str">
        <f t="shared" si="0"/>
        <v/>
      </c>
      <c r="D33" s="89"/>
      <c r="E33" s="93" t="s">
        <v>259</v>
      </c>
      <c r="F33" s="93"/>
      <c r="G33" s="1609" t="s">
        <v>3773</v>
      </c>
      <c r="H33" s="1341" t="str">
        <f>IF(LEN('11.500'!W35)=0,"",'11.500'!W35)</f>
        <v/>
      </c>
      <c r="I33" s="88">
        <f>'11.500'!O35</f>
        <v>0</v>
      </c>
      <c r="J33" s="1779" t="s">
        <v>3104</v>
      </c>
    </row>
    <row r="34" spans="1:10" x14ac:dyDescent="0.2">
      <c r="A34" s="467" t="str">
        <f>A33</f>
        <v/>
      </c>
      <c r="B34" s="1324" t="str">
        <f>IF(LEN('11.500'!H36)=0,"",'11.500'!H36)</f>
        <v/>
      </c>
      <c r="C34" s="1280" t="str">
        <f t="shared" si="0"/>
        <v/>
      </c>
      <c r="D34" s="89"/>
      <c r="E34" s="93"/>
      <c r="F34" s="93"/>
      <c r="G34" s="1609"/>
      <c r="H34" s="1326"/>
      <c r="J34" s="1779"/>
    </row>
    <row r="35" spans="1:10" x14ac:dyDescent="0.2">
      <c r="A35" s="467" t="str">
        <f>A34</f>
        <v/>
      </c>
      <c r="B35" s="1324" t="str">
        <f>IF(LEN('11.500'!H37)=0,"",'11.500'!H37)</f>
        <v/>
      </c>
      <c r="C35" s="1280" t="str">
        <f t="shared" si="0"/>
        <v/>
      </c>
      <c r="D35" s="89"/>
      <c r="E35" s="169"/>
      <c r="F35" s="169"/>
      <c r="G35" s="1612"/>
      <c r="H35" s="1326"/>
      <c r="J35" s="1779"/>
    </row>
    <row r="36" spans="1:10" x14ac:dyDescent="0.2">
      <c r="A36" s="467" t="str">
        <f ca="1">IF(I36&gt;0,"P","")</f>
        <v/>
      </c>
      <c r="B36" s="1324" t="str">
        <f>IF(LEN('11.500'!H38)=0,"",'11.500'!H38)</f>
        <v/>
      </c>
      <c r="C36" s="1280" t="str">
        <f t="shared" ca="1" si="0"/>
        <v/>
      </c>
      <c r="D36" s="89"/>
      <c r="E36" s="89" t="s">
        <v>263</v>
      </c>
      <c r="F36" s="89"/>
      <c r="G36" s="1613" t="s">
        <v>3774</v>
      </c>
      <c r="H36" s="1341" t="str">
        <f>IF(LEN('11.500'!W38)=0,"",'11.500'!W38)</f>
        <v/>
      </c>
      <c r="I36" s="88">
        <f ca="1">'11.500'!O38</f>
        <v>0</v>
      </c>
      <c r="J36" s="1779" t="s">
        <v>5114</v>
      </c>
    </row>
    <row r="37" spans="1:10" x14ac:dyDescent="0.2">
      <c r="A37" s="467" t="str">
        <f ca="1">A36</f>
        <v/>
      </c>
      <c r="B37" s="1324" t="str">
        <f>IF(LEN('11.500'!H39)=0,"",'11.500'!H39)</f>
        <v/>
      </c>
      <c r="C37" s="1280" t="str">
        <f t="shared" ca="1" si="0"/>
        <v/>
      </c>
      <c r="D37" s="89"/>
      <c r="E37" s="89"/>
      <c r="F37" s="89"/>
      <c r="G37" s="1611"/>
      <c r="H37" s="1326"/>
      <c r="J37" s="1779"/>
    </row>
    <row r="38" spans="1:10" x14ac:dyDescent="0.2">
      <c r="B38" s="1324" t="str">
        <f>IF(LEN('11.500'!H40)=0,"",'11.500'!H40)</f>
        <v/>
      </c>
      <c r="C38" s="1280" t="str">
        <f t="shared" si="0"/>
        <v/>
      </c>
      <c r="D38" s="89"/>
      <c r="E38" s="89"/>
      <c r="F38" s="89" t="s">
        <v>121</v>
      </c>
      <c r="G38" s="85" t="s">
        <v>265</v>
      </c>
      <c r="H38" s="1326"/>
      <c r="J38" s="1312"/>
    </row>
    <row r="39" spans="1:10" x14ac:dyDescent="0.2">
      <c r="B39" s="1324" t="str">
        <f>IF(LEN('11.500'!H41)=0,"",'11.500'!H41)</f>
        <v/>
      </c>
      <c r="C39" s="1280" t="str">
        <f t="shared" si="0"/>
        <v/>
      </c>
      <c r="D39" s="89"/>
      <c r="E39" s="89"/>
      <c r="F39" s="89" t="s">
        <v>122</v>
      </c>
      <c r="G39" s="85" t="s">
        <v>266</v>
      </c>
      <c r="H39" s="1326"/>
      <c r="J39" s="1312"/>
    </row>
    <row r="40" spans="1:10" x14ac:dyDescent="0.2">
      <c r="B40" s="1324" t="str">
        <f>IF(LEN('11.500'!H42)=0,"",'11.500'!H42)</f>
        <v/>
      </c>
      <c r="C40" s="1280" t="str">
        <f t="shared" si="0"/>
        <v/>
      </c>
      <c r="D40" s="89"/>
      <c r="E40" s="89"/>
      <c r="F40" s="91" t="s">
        <v>123</v>
      </c>
      <c r="G40" s="85" t="s">
        <v>267</v>
      </c>
      <c r="H40" s="1326"/>
      <c r="J40" s="1312"/>
    </row>
    <row r="41" spans="1:10" x14ac:dyDescent="0.2">
      <c r="A41" s="467" t="str">
        <f>IF(AND(LEN(H41)&gt;0,NOT(H41=FALSE),NOT(H41="N/A")),"P","")</f>
        <v/>
      </c>
      <c r="B41" s="1324" t="str">
        <f>IF(LEN('11.500'!H43)=0,"",'11.500'!H43)</f>
        <v/>
      </c>
      <c r="C41" s="1280" t="str">
        <f t="shared" si="0"/>
        <v/>
      </c>
      <c r="D41" s="88"/>
      <c r="E41" s="89"/>
      <c r="F41" s="91" t="s">
        <v>366</v>
      </c>
      <c r="G41" s="1634" t="s">
        <v>3932</v>
      </c>
      <c r="H41" s="1341" t="str">
        <f>IF(LEN('11.500'!W43)=0,"",'11.500'!W43)</f>
        <v/>
      </c>
      <c r="J41" s="1312"/>
    </row>
    <row r="42" spans="1:10" x14ac:dyDescent="0.2">
      <c r="A42" s="467" t="str">
        <f>A41</f>
        <v/>
      </c>
      <c r="B42" s="1324" t="str">
        <f>IF(LEN('11.500'!H44)=0,"",'11.500'!H44)</f>
        <v/>
      </c>
      <c r="C42" s="1280" t="str">
        <f t="shared" si="0"/>
        <v/>
      </c>
      <c r="D42" s="88"/>
      <c r="E42" s="89"/>
      <c r="F42" s="91"/>
      <c r="G42" s="1639"/>
      <c r="H42" s="1326"/>
      <c r="J42" s="1312"/>
    </row>
    <row r="43" spans="1:10" ht="38.25" customHeight="1" x14ac:dyDescent="0.2">
      <c r="A43" s="467" t="str">
        <f>IF(I43&gt;0,"P","")</f>
        <v/>
      </c>
      <c r="B43" s="1324" t="str">
        <f>IF(LEN('11.500'!H45)=0,"",'11.500'!H45)</f>
        <v/>
      </c>
      <c r="C43" s="1280" t="str">
        <f t="shared" si="0"/>
        <v/>
      </c>
      <c r="D43" s="88"/>
      <c r="E43" s="860" t="s">
        <v>264</v>
      </c>
      <c r="F43" s="217"/>
      <c r="G43" s="1633" t="s">
        <v>3933</v>
      </c>
      <c r="H43" s="1341" t="str">
        <f>IF(LEN('11.500'!W45)=0,"",'11.500'!W45)</f>
        <v/>
      </c>
      <c r="I43" s="88">
        <f>'11.500'!O45</f>
        <v>0</v>
      </c>
      <c r="J43" s="1779" t="s">
        <v>5115</v>
      </c>
    </row>
    <row r="44" spans="1:10" x14ac:dyDescent="0.2">
      <c r="A44" s="467" t="str">
        <f>A43</f>
        <v/>
      </c>
      <c r="B44" s="1324" t="str">
        <f>IF(LEN('11.500'!H46)=0,"",'11.500'!H46)</f>
        <v/>
      </c>
      <c r="C44" s="1280" t="str">
        <f t="shared" si="0"/>
        <v/>
      </c>
      <c r="D44" s="88"/>
      <c r="E44" s="93"/>
      <c r="F44" s="111"/>
      <c r="G44" s="1634"/>
      <c r="H44" s="1326"/>
      <c r="J44" s="1779"/>
    </row>
    <row r="45" spans="1:10" x14ac:dyDescent="0.2">
      <c r="B45" s="1324" t="str">
        <f>IF(LEN('11.500'!H47)=0,"",'11.500'!H47)</f>
        <v/>
      </c>
      <c r="C45" s="1280" t="str">
        <f t="shared" si="0"/>
        <v/>
      </c>
      <c r="D45" s="88"/>
      <c r="E45" s="93"/>
      <c r="F45" s="111"/>
      <c r="G45" s="1338" t="s">
        <v>3935</v>
      </c>
      <c r="H45" s="1326"/>
      <c r="J45" s="1312"/>
    </row>
    <row r="46" spans="1:10" x14ac:dyDescent="0.2">
      <c r="A46" s="467" t="str">
        <f>IF(I46&gt;0,"P","")</f>
        <v/>
      </c>
      <c r="B46" s="1324" t="str">
        <f>IF(LEN('11.500'!H48)=0,"",'11.500'!H48)</f>
        <v/>
      </c>
      <c r="C46" s="1280" t="str">
        <f t="shared" si="0"/>
        <v/>
      </c>
      <c r="D46" s="88"/>
      <c r="E46" s="860" t="s">
        <v>356</v>
      </c>
      <c r="F46" s="1335"/>
      <c r="G46" s="1633" t="s">
        <v>3934</v>
      </c>
      <c r="H46" s="1341" t="str">
        <f>IF(LEN('11.500'!W48)=0,"",'11.500'!W48)</f>
        <v/>
      </c>
      <c r="I46" s="88">
        <f>'11.500'!O48</f>
        <v>0</v>
      </c>
      <c r="J46" s="1779" t="s">
        <v>5116</v>
      </c>
    </row>
    <row r="47" spans="1:10" x14ac:dyDescent="0.2">
      <c r="A47" s="467" t="str">
        <f>A46</f>
        <v/>
      </c>
      <c r="B47" s="1324" t="str">
        <f>IF(LEN('11.500'!H49)=0,"",'11.500'!H49)</f>
        <v/>
      </c>
      <c r="C47" s="1280" t="str">
        <f t="shared" si="0"/>
        <v/>
      </c>
      <c r="D47" s="88"/>
      <c r="E47" s="93"/>
      <c r="F47" s="866"/>
      <c r="G47" s="1634"/>
      <c r="H47" s="1326"/>
      <c r="J47" s="1779"/>
    </row>
    <row r="48" spans="1:10" x14ac:dyDescent="0.2">
      <c r="B48" s="1324" t="str">
        <f>IF(LEN('11.500'!H50)=0,"",'11.500'!H50)</f>
        <v/>
      </c>
      <c r="C48" s="1280" t="str">
        <f t="shared" si="0"/>
        <v/>
      </c>
      <c r="D48" s="88"/>
      <c r="E48" s="93"/>
      <c r="F48" s="866"/>
      <c r="G48" s="1337" t="s">
        <v>3936</v>
      </c>
      <c r="H48" s="1326"/>
      <c r="J48" s="1312"/>
    </row>
    <row r="49" spans="1:10" ht="19" x14ac:dyDescent="0.25">
      <c r="A49" s="467" t="s">
        <v>3200</v>
      </c>
      <c r="B49" s="1324" t="str">
        <f>IF(LEN('11.500'!H51)=0,"",'11.500'!H51)</f>
        <v/>
      </c>
      <c r="C49" s="1280" t="str">
        <f t="shared" si="0"/>
        <v>P</v>
      </c>
      <c r="D49" s="72" t="s">
        <v>3483</v>
      </c>
      <c r="E49" s="72"/>
      <c r="F49" s="72"/>
      <c r="G49" s="72"/>
      <c r="H49" s="994"/>
      <c r="I49" s="25"/>
      <c r="J49" s="25"/>
    </row>
    <row r="50" spans="1:10" x14ac:dyDescent="0.2">
      <c r="A50" s="467" t="str">
        <f>IF(I50&gt;0,"P","")</f>
        <v/>
      </c>
      <c r="B50" s="1324" t="str">
        <f>IF(LEN('11.500'!H52)=0,"",'11.500'!H52)</f>
        <v/>
      </c>
      <c r="C50" s="1280" t="str">
        <f t="shared" si="0"/>
        <v/>
      </c>
      <c r="D50" s="136" t="s">
        <v>3484</v>
      </c>
      <c r="E50" s="92"/>
      <c r="F50" s="92"/>
      <c r="G50" s="1631" t="s">
        <v>3508</v>
      </c>
      <c r="H50" s="1341" t="str">
        <f>IF(LEN('11.500'!W52)=0,"",'11.500'!W52)</f>
        <v/>
      </c>
      <c r="I50" s="88">
        <f>'11.500'!O52</f>
        <v>0</v>
      </c>
      <c r="J50" s="1779" t="s">
        <v>5117</v>
      </c>
    </row>
    <row r="51" spans="1:10" x14ac:dyDescent="0.2">
      <c r="A51" s="467" t="str">
        <f>A50</f>
        <v/>
      </c>
      <c r="B51" s="1324" t="str">
        <f>IF(LEN('11.500'!H53)=0,"",'11.500'!H53)</f>
        <v/>
      </c>
      <c r="C51" s="1280" t="str">
        <f t="shared" si="0"/>
        <v/>
      </c>
      <c r="D51" s="92"/>
      <c r="E51" s="92"/>
      <c r="F51" s="92"/>
      <c r="G51" s="1631"/>
      <c r="H51" s="1326"/>
      <c r="J51" s="1779"/>
    </row>
    <row r="52" spans="1:10" x14ac:dyDescent="0.2">
      <c r="A52" s="467" t="str">
        <f>A51</f>
        <v/>
      </c>
      <c r="B52" s="1324" t="str">
        <f>IF(LEN('11.500'!H54)=0,"",'11.500'!H54)</f>
        <v/>
      </c>
      <c r="C52" s="1280" t="str">
        <f t="shared" si="0"/>
        <v/>
      </c>
      <c r="D52" s="92"/>
      <c r="E52" s="92"/>
      <c r="F52" s="92"/>
      <c r="G52" s="1631"/>
      <c r="H52" s="1326"/>
      <c r="J52" s="1779"/>
    </row>
    <row r="53" spans="1:10" x14ac:dyDescent="0.2">
      <c r="A53" s="467" t="str">
        <f>A52</f>
        <v/>
      </c>
      <c r="B53" s="1324" t="str">
        <f>IF(LEN('11.500'!H55)=0,"",'11.500'!H55)</f>
        <v/>
      </c>
      <c r="C53" s="1280" t="str">
        <f t="shared" si="0"/>
        <v/>
      </c>
      <c r="D53" s="92"/>
      <c r="E53" s="92"/>
      <c r="F53" s="92"/>
      <c r="G53" s="1631"/>
      <c r="H53" s="1326"/>
      <c r="J53" s="1779"/>
    </row>
    <row r="54" spans="1:10" ht="19" x14ac:dyDescent="0.25">
      <c r="A54" s="467" t="s">
        <v>3200</v>
      </c>
      <c r="B54" s="1324" t="str">
        <f>IF(LEN('11.500'!H56)=0,"",'11.500'!H56)</f>
        <v/>
      </c>
      <c r="C54" s="1280" t="str">
        <f t="shared" si="0"/>
        <v>P</v>
      </c>
      <c r="D54" s="72" t="s">
        <v>3485</v>
      </c>
      <c r="E54" s="90"/>
      <c r="F54" s="90"/>
      <c r="G54" s="86"/>
      <c r="H54" s="994"/>
      <c r="I54" s="25"/>
      <c r="J54" s="25"/>
    </row>
    <row r="55" spans="1:10" x14ac:dyDescent="0.2">
      <c r="B55" s="1324" t="str">
        <f>IF(LEN('11.500'!H57)=0,"",'11.500'!H57)</f>
        <v/>
      </c>
      <c r="C55" s="1280" t="str">
        <f t="shared" si="0"/>
        <v/>
      </c>
      <c r="D55" s="590" t="s">
        <v>3486</v>
      </c>
      <c r="E55" s="103"/>
      <c r="F55" s="103"/>
      <c r="G55" s="1629" t="s">
        <v>3509</v>
      </c>
      <c r="H55" s="1326"/>
      <c r="J55" s="1312"/>
    </row>
    <row r="56" spans="1:10" x14ac:dyDescent="0.2">
      <c r="B56" s="1324" t="str">
        <f>IF(LEN('11.500'!H58)=0,"",'11.500'!H58)</f>
        <v/>
      </c>
      <c r="C56" s="1280" t="str">
        <f t="shared" si="0"/>
        <v/>
      </c>
      <c r="D56" s="103"/>
      <c r="E56" s="103"/>
      <c r="F56" s="103"/>
      <c r="G56" s="1629"/>
      <c r="H56" s="1326"/>
      <c r="J56" s="1312"/>
    </row>
    <row r="57" spans="1:10" x14ac:dyDescent="0.2">
      <c r="B57" s="1324" t="str">
        <f>IF(LEN('11.500'!H59)=0,"",'11.500'!H59)</f>
        <v/>
      </c>
      <c r="C57" s="1280" t="str">
        <f t="shared" si="0"/>
        <v/>
      </c>
      <c r="D57" s="103"/>
      <c r="E57" s="103"/>
      <c r="F57" s="103"/>
      <c r="G57" s="1629"/>
      <c r="H57" s="1326"/>
      <c r="J57" s="1312"/>
    </row>
    <row r="58" spans="1:10" x14ac:dyDescent="0.2">
      <c r="B58" s="1324" t="str">
        <f>IF(LEN('11.500'!H60)=0,"",'11.500'!H60)</f>
        <v/>
      </c>
      <c r="C58" s="1280" t="str">
        <f t="shared" si="0"/>
        <v/>
      </c>
      <c r="D58" s="103"/>
      <c r="E58" s="103"/>
      <c r="F58" s="103"/>
      <c r="G58" s="1629"/>
      <c r="H58" s="1326"/>
      <c r="J58" s="1312"/>
    </row>
    <row r="59" spans="1:10" ht="16" thickBot="1" x14ac:dyDescent="0.25">
      <c r="B59" s="1324" t="str">
        <f>IF(LEN('11.500'!H61)=0,"",'11.500'!H61)</f>
        <v/>
      </c>
      <c r="C59" s="1280" t="str">
        <f t="shared" si="0"/>
        <v/>
      </c>
      <c r="D59" s="104"/>
      <c r="E59" s="104"/>
      <c r="F59" s="104"/>
      <c r="G59" s="105" t="s">
        <v>348</v>
      </c>
      <c r="H59" s="1326"/>
      <c r="J59" s="1312"/>
    </row>
    <row r="60" spans="1:10" ht="16" thickTop="1" x14ac:dyDescent="0.2">
      <c r="A60" s="1503" t="str">
        <f>IF(COUNTIF(A62:A74,"P")&gt;0,"P","")</f>
        <v/>
      </c>
      <c r="B60" s="1324" t="str">
        <f>IF(LEN('11.500'!H62)=0,"",'11.500'!H62)</f>
        <v/>
      </c>
      <c r="C60" s="1280" t="str">
        <f t="shared" si="0"/>
        <v/>
      </c>
      <c r="D60" s="1288" t="s">
        <v>3487</v>
      </c>
      <c r="E60" s="1288"/>
      <c r="F60" s="1288"/>
      <c r="G60" s="1646" t="s">
        <v>3510</v>
      </c>
      <c r="H60" s="1326"/>
      <c r="J60" s="1779" t="s">
        <v>3105</v>
      </c>
    </row>
    <row r="61" spans="1:10" x14ac:dyDescent="0.2">
      <c r="A61" s="467" t="str">
        <f>A60</f>
        <v/>
      </c>
      <c r="B61" s="1324" t="str">
        <f>IF(LEN('11.500'!H63)=0,"",'11.500'!H63)</f>
        <v/>
      </c>
      <c r="C61" s="1280" t="str">
        <f t="shared" si="0"/>
        <v/>
      </c>
      <c r="D61" s="1289"/>
      <c r="E61" s="1289"/>
      <c r="F61" s="1289"/>
      <c r="G61" s="1647"/>
      <c r="H61" s="1326"/>
      <c r="J61" s="1779"/>
    </row>
    <row r="62" spans="1:10" x14ac:dyDescent="0.2">
      <c r="A62" s="467" t="str">
        <f>IF(I62&gt;0,"P","")</f>
        <v/>
      </c>
      <c r="B62" s="1324" t="str">
        <f>IF(LEN('11.500'!H64)=0,"",'11.500'!H64)</f>
        <v/>
      </c>
      <c r="C62" s="1280" t="str">
        <f t="shared" si="0"/>
        <v/>
      </c>
      <c r="D62" s="103"/>
      <c r="E62" s="169" t="s">
        <v>254</v>
      </c>
      <c r="F62" s="172"/>
      <c r="G62" s="170" t="s">
        <v>350</v>
      </c>
      <c r="H62" s="1341" t="str">
        <f>IF(LEN('11.500'!W64)=0,"",'11.500'!W64)</f>
        <v/>
      </c>
      <c r="I62" s="88">
        <f>'11.500'!O64</f>
        <v>0</v>
      </c>
      <c r="J62" s="1312" t="s">
        <v>5118</v>
      </c>
    </row>
    <row r="63" spans="1:10" ht="26.25" customHeight="1" x14ac:dyDescent="0.2">
      <c r="A63" s="467" t="str">
        <f>IF(I63&gt;0,"P","")</f>
        <v/>
      </c>
      <c r="B63" s="1324" t="str">
        <f>IF(LEN('11.500'!H65)=0,"",'11.500'!H65)</f>
        <v/>
      </c>
      <c r="C63" s="1280" t="str">
        <f t="shared" si="0"/>
        <v/>
      </c>
      <c r="D63" s="103"/>
      <c r="E63" s="93" t="s">
        <v>255</v>
      </c>
      <c r="F63" s="103"/>
      <c r="G63" s="1613" t="s">
        <v>351</v>
      </c>
      <c r="H63" s="1341" t="str">
        <f>IF(LEN('11.500'!W65)=0,"",'11.500'!W65)</f>
        <v/>
      </c>
      <c r="I63" s="88">
        <f>'11.500'!O65</f>
        <v>0</v>
      </c>
      <c r="J63" s="1779" t="s">
        <v>5119</v>
      </c>
    </row>
    <row r="64" spans="1:10" x14ac:dyDescent="0.2">
      <c r="A64" s="467" t="str">
        <f>A63</f>
        <v/>
      </c>
      <c r="B64" s="1324" t="str">
        <f>IF(LEN('11.500'!H66)=0,"",'11.500'!H66)</f>
        <v/>
      </c>
      <c r="C64" s="1280" t="str">
        <f t="shared" si="0"/>
        <v/>
      </c>
      <c r="D64" s="103"/>
      <c r="E64" s="169"/>
      <c r="F64" s="172"/>
      <c r="G64" s="1612"/>
      <c r="H64" s="1326"/>
      <c r="J64" s="1779"/>
    </row>
    <row r="65" spans="1:10" x14ac:dyDescent="0.2">
      <c r="A65" s="467" t="str">
        <f>IF(I65&gt;0,"P","")</f>
        <v/>
      </c>
      <c r="B65" s="1324" t="str">
        <f>IF(LEN('11.500'!H67)=0,"",'11.500'!H67)</f>
        <v/>
      </c>
      <c r="C65" s="1280" t="str">
        <f t="shared" si="0"/>
        <v/>
      </c>
      <c r="D65" s="103"/>
      <c r="E65" s="93" t="s">
        <v>256</v>
      </c>
      <c r="F65" s="103"/>
      <c r="G65" s="1613" t="s">
        <v>352</v>
      </c>
      <c r="H65" s="1341" t="str">
        <f>IF(LEN('11.500'!W67)=0,"",'11.500'!W67)</f>
        <v/>
      </c>
      <c r="I65" s="88">
        <f>'11.500'!O67</f>
        <v>0</v>
      </c>
      <c r="J65" s="1779" t="s">
        <v>3106</v>
      </c>
    </row>
    <row r="66" spans="1:10" x14ac:dyDescent="0.2">
      <c r="A66" s="467" t="str">
        <f>A65</f>
        <v/>
      </c>
      <c r="B66" s="1324" t="str">
        <f>IF(LEN('11.500'!H68)=0,"",'11.500'!H68)</f>
        <v/>
      </c>
      <c r="C66" s="1280" t="str">
        <f t="shared" si="0"/>
        <v/>
      </c>
      <c r="D66" s="103"/>
      <c r="E66" s="169"/>
      <c r="F66" s="172"/>
      <c r="G66" s="1612"/>
      <c r="H66" s="1326"/>
      <c r="J66" s="1779"/>
    </row>
    <row r="67" spans="1:10" x14ac:dyDescent="0.2">
      <c r="A67" s="467" t="str">
        <f>IF(I67&gt;0,"P","")</f>
        <v/>
      </c>
      <c r="B67" s="1324" t="str">
        <f>IF(LEN('11.500'!H69)=0,"",'11.500'!H69)</f>
        <v/>
      </c>
      <c r="C67" s="1280" t="str">
        <f t="shared" si="0"/>
        <v/>
      </c>
      <c r="D67" s="103"/>
      <c r="E67" s="860" t="s">
        <v>259</v>
      </c>
      <c r="F67" s="865"/>
      <c r="G67" s="1649" t="s">
        <v>353</v>
      </c>
      <c r="H67" s="1341" t="str">
        <f>IF(LEN('11.500'!W69)=0,"",'11.500'!W69)</f>
        <v/>
      </c>
      <c r="I67" s="88">
        <f>'11.500'!O69</f>
        <v>0</v>
      </c>
      <c r="J67" s="1779" t="s">
        <v>5120</v>
      </c>
    </row>
    <row r="68" spans="1:10" s="1280" customFormat="1" x14ac:dyDescent="0.2">
      <c r="A68" s="467" t="str">
        <f>A67</f>
        <v/>
      </c>
      <c r="B68" s="1324" t="str">
        <f>IF(LEN('11.500'!H70)=0,"",'11.500'!H70)</f>
        <v/>
      </c>
      <c r="C68" s="1280" t="str">
        <f t="shared" si="0"/>
        <v/>
      </c>
      <c r="D68" s="103"/>
      <c r="E68" s="169"/>
      <c r="F68" s="172"/>
      <c r="G68" s="1650"/>
      <c r="H68" s="1326"/>
      <c r="I68" s="88"/>
      <c r="J68" s="1779"/>
    </row>
    <row r="69" spans="1:10" x14ac:dyDescent="0.2">
      <c r="A69" s="467" t="str">
        <f>IF(I69&gt;0,"P","")</f>
        <v/>
      </c>
      <c r="B69" s="1324" t="str">
        <f>IF(LEN('11.500'!H71)=0,"",'11.500'!H71)</f>
        <v/>
      </c>
      <c r="C69" s="1280" t="str">
        <f t="shared" si="0"/>
        <v/>
      </c>
      <c r="D69" s="103"/>
      <c r="E69" s="169" t="s">
        <v>263</v>
      </c>
      <c r="F69" s="172"/>
      <c r="G69" s="170" t="s">
        <v>354</v>
      </c>
      <c r="H69" s="1341" t="str">
        <f>IF(LEN('11.500'!W71)=0,"",'11.500'!W71)</f>
        <v/>
      </c>
      <c r="I69" s="88">
        <f>'11.500'!O71</f>
        <v>0</v>
      </c>
      <c r="J69" s="1312" t="s">
        <v>3107</v>
      </c>
    </row>
    <row r="70" spans="1:10" x14ac:dyDescent="0.2">
      <c r="A70" s="467" t="str">
        <f>IF(I70&gt;0,"P","")</f>
        <v/>
      </c>
      <c r="B70" s="1324" t="str">
        <f>IF(LEN('11.500'!H72)=0,"",'11.500'!H72)</f>
        <v/>
      </c>
      <c r="C70" s="1280" t="str">
        <f t="shared" si="0"/>
        <v/>
      </c>
      <c r="D70" s="103"/>
      <c r="E70" s="93" t="s">
        <v>264</v>
      </c>
      <c r="F70" s="103"/>
      <c r="G70" s="1613" t="s">
        <v>355</v>
      </c>
      <c r="H70" s="1341" t="str">
        <f>IF(LEN('11.500'!W72)=0,"",'11.500'!W72)</f>
        <v/>
      </c>
      <c r="I70" s="88">
        <f>'11.500'!O72</f>
        <v>0</v>
      </c>
      <c r="J70" s="1779" t="s">
        <v>3108</v>
      </c>
    </row>
    <row r="71" spans="1:10" x14ac:dyDescent="0.2">
      <c r="A71" s="467" t="str">
        <f>A70</f>
        <v/>
      </c>
      <c r="B71" s="1324" t="str">
        <f>IF(LEN('11.500'!H73)=0,"",'11.500'!H73)</f>
        <v/>
      </c>
      <c r="C71" s="1280" t="str">
        <f t="shared" si="0"/>
        <v/>
      </c>
      <c r="D71" s="103"/>
      <c r="E71" s="169"/>
      <c r="F71" s="172"/>
      <c r="G71" s="1612"/>
      <c r="H71" s="1326"/>
      <c r="J71" s="1779"/>
    </row>
    <row r="72" spans="1:10" x14ac:dyDescent="0.2">
      <c r="A72" s="467" t="str">
        <f>IF(I72&gt;0,"P","")</f>
        <v/>
      </c>
      <c r="B72" s="1324" t="str">
        <f>IF(LEN('11.500'!H74)=0,"",'11.500'!H74)</f>
        <v/>
      </c>
      <c r="C72" s="1280" t="str">
        <f t="shared" ref="C72:C135" si="1">IF(LEN(B72)=0,IF(A72="P","P",""),B72)</f>
        <v/>
      </c>
      <c r="D72" s="103"/>
      <c r="E72" s="93" t="s">
        <v>356</v>
      </c>
      <c r="F72" s="103"/>
      <c r="G72" s="1613" t="s">
        <v>3775</v>
      </c>
      <c r="H72" s="1341" t="str">
        <f>IF(LEN('11.500'!W74)=0,"",'11.500'!W74)</f>
        <v/>
      </c>
      <c r="I72" s="88">
        <f>'11.500'!O74</f>
        <v>0</v>
      </c>
      <c r="J72" s="1779" t="s">
        <v>3109</v>
      </c>
    </row>
    <row r="73" spans="1:10" x14ac:dyDescent="0.2">
      <c r="A73" s="467" t="str">
        <f>A72</f>
        <v/>
      </c>
      <c r="B73" s="1324" t="str">
        <f>IF(LEN('11.500'!H75)=0,"",'11.500'!H75)</f>
        <v/>
      </c>
      <c r="C73" s="1280" t="str">
        <f t="shared" si="1"/>
        <v/>
      </c>
      <c r="D73" s="103"/>
      <c r="E73" s="93"/>
      <c r="F73" s="103"/>
      <c r="G73" s="1609"/>
      <c r="H73" s="1326"/>
      <c r="J73" s="1779"/>
    </row>
    <row r="74" spans="1:10" x14ac:dyDescent="0.2">
      <c r="A74" s="467" t="str">
        <f>IF(I74&gt;0,"P","")</f>
        <v/>
      </c>
      <c r="B74" s="1324" t="str">
        <f>IF(LEN('11.500'!H76)=0,"",'11.500'!H76)</f>
        <v/>
      </c>
      <c r="C74" s="1280" t="str">
        <f t="shared" si="1"/>
        <v/>
      </c>
      <c r="D74" s="103"/>
      <c r="E74" s="860" t="s">
        <v>389</v>
      </c>
      <c r="F74" s="865"/>
      <c r="G74" s="1633" t="s">
        <v>3938</v>
      </c>
      <c r="H74" s="1341" t="str">
        <f>IF(LEN('11.500'!W76)=0,"",'11.500'!W76)</f>
        <v/>
      </c>
      <c r="I74" s="88">
        <f>'11.500'!O76</f>
        <v>0</v>
      </c>
      <c r="J74" s="1312" t="s">
        <v>5121</v>
      </c>
    </row>
    <row r="75" spans="1:10" x14ac:dyDescent="0.2">
      <c r="A75" s="467" t="str">
        <f>A74</f>
        <v/>
      </c>
      <c r="B75" s="1324" t="str">
        <f>IF(LEN('11.500'!H77)=0,"",'11.500'!H77)</f>
        <v/>
      </c>
      <c r="C75" s="1280" t="str">
        <f t="shared" si="1"/>
        <v/>
      </c>
      <c r="D75" s="103"/>
      <c r="E75" s="93"/>
      <c r="F75" s="103"/>
      <c r="G75" s="1634"/>
      <c r="H75" s="1326"/>
      <c r="J75" s="1312"/>
    </row>
    <row r="76" spans="1:10" x14ac:dyDescent="0.2">
      <c r="A76" s="467" t="str">
        <f>A75</f>
        <v/>
      </c>
      <c r="B76" s="1324" t="str">
        <f>IF(LEN('11.500'!H78)=0,"",'11.500'!H78)</f>
        <v/>
      </c>
      <c r="C76" s="1280" t="str">
        <f t="shared" si="1"/>
        <v/>
      </c>
      <c r="D76" s="103"/>
      <c r="E76" s="93"/>
      <c r="F76" s="103"/>
      <c r="G76" s="1634"/>
      <c r="H76" s="1326"/>
      <c r="J76" s="1312"/>
    </row>
    <row r="77" spans="1:10" x14ac:dyDescent="0.2">
      <c r="A77" s="467" t="str">
        <f>A76</f>
        <v/>
      </c>
      <c r="B77" s="1324" t="str">
        <f>IF(LEN('11.500'!H79)=0,"",'11.500'!H79)</f>
        <v/>
      </c>
      <c r="C77" s="1280" t="str">
        <f t="shared" si="1"/>
        <v/>
      </c>
      <c r="D77" s="103"/>
      <c r="E77" s="93"/>
      <c r="F77" s="103"/>
      <c r="G77" s="1634"/>
      <c r="H77" s="1326"/>
      <c r="J77" s="1312"/>
    </row>
    <row r="78" spans="1:10" ht="16" thickBot="1" x14ac:dyDescent="0.25">
      <c r="A78" s="467" t="str">
        <f>A77</f>
        <v/>
      </c>
      <c r="B78" s="1324" t="str">
        <f>IF(LEN('11.500'!H80)=0,"",'11.500'!H80)</f>
        <v/>
      </c>
      <c r="C78" s="1280" t="str">
        <f t="shared" si="1"/>
        <v/>
      </c>
      <c r="D78" s="103"/>
      <c r="E78" s="98"/>
      <c r="F78" s="104"/>
      <c r="G78" s="1635"/>
      <c r="H78" s="1326"/>
      <c r="J78" s="1312"/>
    </row>
    <row r="79" spans="1:10" ht="16" thickTop="1" x14ac:dyDescent="0.2">
      <c r="A79" s="1503" t="str">
        <f ca="1">IF(COUNTIF(A81:A91,"P")&gt;0,"P","")</f>
        <v/>
      </c>
      <c r="B79" s="1324" t="str">
        <f>IF(LEN('11.500'!H81)=0,"",'11.500'!H81)</f>
        <v/>
      </c>
      <c r="C79" s="1280" t="str">
        <f t="shared" ca="1" si="1"/>
        <v/>
      </c>
      <c r="D79" s="107" t="s">
        <v>3488</v>
      </c>
      <c r="E79" s="108"/>
      <c r="F79" s="108"/>
      <c r="G79" s="125" t="s">
        <v>3511</v>
      </c>
      <c r="H79" s="1326"/>
      <c r="J79" s="1312"/>
    </row>
    <row r="80" spans="1:10" x14ac:dyDescent="0.2">
      <c r="B80" s="1324" t="str">
        <f>IF(LEN('11.500'!H82)=0,"",'11.500'!H82)</f>
        <v/>
      </c>
      <c r="C80" s="1280" t="str">
        <f t="shared" si="1"/>
        <v/>
      </c>
      <c r="D80" s="102"/>
      <c r="E80" s="103"/>
      <c r="F80" s="103"/>
      <c r="G80" s="1337" t="s">
        <v>2851</v>
      </c>
      <c r="H80" s="1341" t="str">
        <f>IF(LEN('11.500'!W82)=0,"",'11.500'!W82)</f>
        <v/>
      </c>
      <c r="J80" s="1312"/>
    </row>
    <row r="81" spans="1:10" x14ac:dyDescent="0.2">
      <c r="A81" s="467" t="str">
        <f>IF(I81&gt;0,"P","")</f>
        <v/>
      </c>
      <c r="B81" s="1324" t="str">
        <f>IF(LEN('11.500'!H83)=0,"",'11.500'!H83)</f>
        <v/>
      </c>
      <c r="C81" s="1280" t="str">
        <f t="shared" si="1"/>
        <v/>
      </c>
      <c r="D81" s="103"/>
      <c r="E81" s="169" t="s">
        <v>254</v>
      </c>
      <c r="F81" s="172"/>
      <c r="G81" s="170" t="s">
        <v>3776</v>
      </c>
      <c r="H81" s="1341" t="str">
        <f>IF(LEN('11.500'!W83)=0,"",'11.500'!W83)</f>
        <v/>
      </c>
      <c r="I81" s="88">
        <f>'11.500'!O83</f>
        <v>0</v>
      </c>
      <c r="J81" s="1312" t="s">
        <v>3120</v>
      </c>
    </row>
    <row r="82" spans="1:10" x14ac:dyDescent="0.2">
      <c r="A82" s="467" t="str">
        <f>IF(I82&gt;0,"P","")</f>
        <v/>
      </c>
      <c r="B82" s="1324" t="str">
        <f>IF(LEN('11.500'!H84)=0,"",'11.500'!H84)</f>
        <v/>
      </c>
      <c r="C82" s="1280" t="str">
        <f t="shared" si="1"/>
        <v/>
      </c>
      <c r="D82" s="103"/>
      <c r="E82" s="93" t="s">
        <v>255</v>
      </c>
      <c r="F82" s="103"/>
      <c r="G82" s="1613" t="s">
        <v>3777</v>
      </c>
      <c r="H82" s="1341" t="str">
        <f>IF(LEN('11.500'!W84)=0,"",'11.500'!W84)</f>
        <v/>
      </c>
      <c r="I82" s="88">
        <f>'11.500'!O84</f>
        <v>0</v>
      </c>
      <c r="J82" s="1779" t="s">
        <v>5122</v>
      </c>
    </row>
    <row r="83" spans="1:10" x14ac:dyDescent="0.2">
      <c r="A83" s="467" t="str">
        <f>A82</f>
        <v/>
      </c>
      <c r="B83" s="1324" t="str">
        <f>IF(LEN('11.500'!H85)=0,"",'11.500'!H85)</f>
        <v/>
      </c>
      <c r="C83" s="1280" t="str">
        <f t="shared" si="1"/>
        <v/>
      </c>
      <c r="D83" s="103"/>
      <c r="E83" s="172"/>
      <c r="F83" s="172"/>
      <c r="G83" s="1612"/>
      <c r="H83" s="1326"/>
      <c r="J83" s="1784"/>
    </row>
    <row r="84" spans="1:10" x14ac:dyDescent="0.2">
      <c r="A84" s="467" t="str">
        <f ca="1">IF(I84&gt;0,"P","")</f>
        <v/>
      </c>
      <c r="B84" s="1324" t="str">
        <f>IF(LEN('11.500'!H86)=0,"",'11.500'!H86)</f>
        <v/>
      </c>
      <c r="C84" s="1280" t="str">
        <f t="shared" ca="1" si="1"/>
        <v/>
      </c>
      <c r="D84" s="103"/>
      <c r="E84" s="93" t="s">
        <v>256</v>
      </c>
      <c r="F84" s="103"/>
      <c r="G84" s="1613" t="s">
        <v>3778</v>
      </c>
      <c r="H84" s="1341" t="str">
        <f>IF(LEN('11.500'!W86)=0,"",'11.500'!W86)</f>
        <v/>
      </c>
      <c r="I84" s="88">
        <f ca="1">'11.500'!O86</f>
        <v>0</v>
      </c>
      <c r="J84" s="1779" t="s">
        <v>3110</v>
      </c>
    </row>
    <row r="85" spans="1:10" x14ac:dyDescent="0.2">
      <c r="A85" s="467" t="str">
        <f ca="1">A84</f>
        <v/>
      </c>
      <c r="B85" s="1324" t="str">
        <f>IF(LEN('11.500'!H87)=0,"",'11.500'!H87)</f>
        <v/>
      </c>
      <c r="C85" s="1280" t="str">
        <f t="shared" ca="1" si="1"/>
        <v/>
      </c>
      <c r="D85" s="103"/>
      <c r="E85" s="103"/>
      <c r="F85" s="103"/>
      <c r="G85" s="1609"/>
      <c r="H85" s="1326"/>
      <c r="J85" s="1779"/>
    </row>
    <row r="86" spans="1:10" x14ac:dyDescent="0.2">
      <c r="B86" s="1324" t="str">
        <f>IF(LEN('11.500'!H88)=0,"",'11.500'!H88)</f>
        <v/>
      </c>
      <c r="C86" s="1280" t="str">
        <f t="shared" si="1"/>
        <v/>
      </c>
      <c r="D86" s="103"/>
      <c r="E86" s="103"/>
      <c r="F86" s="93" t="s">
        <v>121</v>
      </c>
      <c r="G86" s="97" t="s">
        <v>629</v>
      </c>
      <c r="H86" s="1326"/>
      <c r="J86" s="1312"/>
    </row>
    <row r="87" spans="1:10" x14ac:dyDescent="0.2">
      <c r="B87" s="1324" t="str">
        <f>IF(LEN('11.500'!H89)=0,"",'11.500'!H89)</f>
        <v/>
      </c>
      <c r="C87" s="1280" t="str">
        <f t="shared" si="1"/>
        <v/>
      </c>
      <c r="D87" s="103"/>
      <c r="E87" s="103"/>
      <c r="F87" s="93" t="s">
        <v>122</v>
      </c>
      <c r="G87" s="97" t="s">
        <v>358</v>
      </c>
      <c r="H87" s="1326"/>
      <c r="J87" s="1312"/>
    </row>
    <row r="88" spans="1:10" x14ac:dyDescent="0.2">
      <c r="B88" s="1324" t="str">
        <f>IF(LEN('11.500'!H90)=0,"",'11.500'!H90)</f>
        <v/>
      </c>
      <c r="C88" s="1280" t="str">
        <f t="shared" si="1"/>
        <v/>
      </c>
      <c r="D88" s="103"/>
      <c r="E88" s="172"/>
      <c r="F88" s="174" t="s">
        <v>123</v>
      </c>
      <c r="G88" s="170" t="s">
        <v>359</v>
      </c>
      <c r="H88" s="1326"/>
      <c r="J88" s="1312"/>
    </row>
    <row r="89" spans="1:10" x14ac:dyDescent="0.2">
      <c r="A89" s="467" t="str">
        <f>IF(I89&gt;0,"P","")</f>
        <v/>
      </c>
      <c r="B89" s="1324" t="str">
        <f>IF(LEN('11.500'!H91)=0,"",'11.500'!H91)</f>
        <v/>
      </c>
      <c r="C89" s="1280" t="str">
        <f t="shared" si="1"/>
        <v/>
      </c>
      <c r="D89" s="103"/>
      <c r="E89" s="93" t="s">
        <v>259</v>
      </c>
      <c r="F89" s="103"/>
      <c r="G89" s="1613" t="s">
        <v>360</v>
      </c>
      <c r="H89" s="1341" t="str">
        <f>IF(LEN('11.500'!W91)=0,"",'11.500'!W91)</f>
        <v/>
      </c>
      <c r="I89" s="88">
        <f>'11.500'!O91</f>
        <v>0</v>
      </c>
      <c r="J89" s="1779" t="s">
        <v>5123</v>
      </c>
    </row>
    <row r="90" spans="1:10" x14ac:dyDescent="0.2">
      <c r="A90" s="467" t="str">
        <f>A89</f>
        <v/>
      </c>
      <c r="B90" s="1324" t="str">
        <f>IF(LEN('11.500'!H92)=0,"",'11.500'!H92)</f>
        <v/>
      </c>
      <c r="C90" s="1280" t="str">
        <f t="shared" si="1"/>
        <v/>
      </c>
      <c r="D90" s="103"/>
      <c r="E90" s="172"/>
      <c r="F90" s="172"/>
      <c r="G90" s="1612"/>
      <c r="H90" s="1326"/>
      <c r="J90" s="1779"/>
    </row>
    <row r="91" spans="1:10" ht="16" thickBot="1" x14ac:dyDescent="0.25">
      <c r="A91" s="467" t="str">
        <f>IF(I91&gt;0,"P","")</f>
        <v/>
      </c>
      <c r="B91" s="1324" t="str">
        <f>IF(LEN('11.500'!H93)=0,"",'11.500'!H93)</f>
        <v/>
      </c>
      <c r="C91" s="1280" t="str">
        <f t="shared" si="1"/>
        <v/>
      </c>
      <c r="D91" s="104"/>
      <c r="E91" s="98" t="s">
        <v>263</v>
      </c>
      <c r="F91" s="104"/>
      <c r="G91" s="99" t="s">
        <v>361</v>
      </c>
      <c r="H91" s="1341" t="str">
        <f>IF(LEN('11.500'!W93)=0,"",'11.500'!W93)</f>
        <v/>
      </c>
      <c r="I91" s="88">
        <f>'11.500'!O93</f>
        <v>0</v>
      </c>
      <c r="J91" s="1312" t="s">
        <v>3120</v>
      </c>
    </row>
    <row r="92" spans="1:10" ht="16" thickTop="1" x14ac:dyDescent="0.2">
      <c r="A92" s="1503" t="str">
        <f>IF(COUNTIF(A95:A103,"P")&gt;0,"P","")</f>
        <v/>
      </c>
      <c r="B92" s="1324" t="str">
        <f>IF(LEN('11.500'!H94)=0,"",'11.500'!H94)</f>
        <v/>
      </c>
      <c r="C92" s="1280" t="str">
        <f t="shared" si="1"/>
        <v/>
      </c>
      <c r="D92" s="107" t="s">
        <v>3489</v>
      </c>
      <c r="E92" s="108"/>
      <c r="F92" s="108"/>
      <c r="G92" s="1683" t="s">
        <v>3779</v>
      </c>
      <c r="H92" s="1326"/>
      <c r="J92" s="1312"/>
    </row>
    <row r="93" spans="1:10" x14ac:dyDescent="0.2">
      <c r="A93" s="467" t="str">
        <f>A92</f>
        <v/>
      </c>
      <c r="B93" s="1324" t="str">
        <f>IF(LEN('11.500'!H95)=0,"",'11.500'!H95)</f>
        <v/>
      </c>
      <c r="C93" s="1280" t="str">
        <f t="shared" si="1"/>
        <v/>
      </c>
      <c r="D93" s="103"/>
      <c r="E93" s="103"/>
      <c r="F93" s="103"/>
      <c r="G93" s="1786"/>
      <c r="H93" s="1326"/>
      <c r="J93" s="1312"/>
    </row>
    <row r="94" spans="1:10" x14ac:dyDescent="0.2">
      <c r="B94" s="1324" t="str">
        <f>IF(LEN('11.500'!H96)=0,"",'11.500'!H96)</f>
        <v/>
      </c>
      <c r="C94" s="1280" t="str">
        <f t="shared" si="1"/>
        <v/>
      </c>
      <c r="D94" s="103"/>
      <c r="E94" s="103"/>
      <c r="F94" s="103"/>
      <c r="G94" s="1337" t="s">
        <v>3780</v>
      </c>
      <c r="H94" s="1326"/>
      <c r="J94" s="1312"/>
    </row>
    <row r="95" spans="1:10" ht="49.5" customHeight="1" x14ac:dyDescent="0.2">
      <c r="A95" s="467" t="str">
        <f>IF(I95&gt;0,"P","")</f>
        <v/>
      </c>
      <c r="B95" s="1324" t="str">
        <f>IF(LEN('11.500'!H97)=0,"",'11.500'!H97)</f>
        <v/>
      </c>
      <c r="C95" s="1280" t="str">
        <f t="shared" si="1"/>
        <v/>
      </c>
      <c r="D95" s="103"/>
      <c r="E95" s="93" t="s">
        <v>254</v>
      </c>
      <c r="F95" s="103"/>
      <c r="G95" s="1789" t="s">
        <v>3781</v>
      </c>
      <c r="H95" s="1341" t="str">
        <f>IF(LEN('11.500'!W97)=0,"",'11.500'!W97)</f>
        <v/>
      </c>
      <c r="I95" s="88">
        <f>'11.500'!O97</f>
        <v>0</v>
      </c>
      <c r="J95" s="1779" t="s">
        <v>5124</v>
      </c>
    </row>
    <row r="96" spans="1:10" x14ac:dyDescent="0.2">
      <c r="A96" s="467" t="str">
        <f>A95</f>
        <v/>
      </c>
      <c r="B96" s="1324" t="str">
        <f>IF(LEN('11.500'!H98)=0,"",'11.500'!H98)</f>
        <v/>
      </c>
      <c r="C96" s="1280" t="str">
        <f t="shared" si="1"/>
        <v/>
      </c>
      <c r="D96" s="103"/>
      <c r="E96" s="169"/>
      <c r="F96" s="172"/>
      <c r="G96" s="1612"/>
      <c r="H96" s="1326"/>
      <c r="J96" s="1779"/>
    </row>
    <row r="97" spans="1:10" x14ac:dyDescent="0.2">
      <c r="A97" s="467" t="str">
        <f>IF(I97&gt;0,"P","")</f>
        <v/>
      </c>
      <c r="B97" s="1324" t="str">
        <f>IF(LEN('11.500'!H99)=0,"",'11.500'!H99)</f>
        <v/>
      </c>
      <c r="C97" s="1280" t="str">
        <f t="shared" si="1"/>
        <v/>
      </c>
      <c r="D97" s="103"/>
      <c r="E97" s="93" t="s">
        <v>255</v>
      </c>
      <c r="F97" s="103"/>
      <c r="G97" s="1286" t="s">
        <v>3782</v>
      </c>
      <c r="H97" s="1326"/>
      <c r="I97" s="88">
        <f>'11.500'!O99</f>
        <v>0</v>
      </c>
      <c r="J97" s="1312" t="s">
        <v>5125</v>
      </c>
    </row>
    <row r="98" spans="1:10" x14ac:dyDescent="0.2">
      <c r="A98" s="467" t="str">
        <f>IF(AND(LEN(H98)&gt;0,NOT(H98=FALSE),NOT(H98="N/A")),"P","")</f>
        <v/>
      </c>
      <c r="B98" s="1324" t="str">
        <f>IF(LEN('11.500'!H100)=0,"",'11.500'!H100)</f>
        <v/>
      </c>
      <c r="C98" s="1280" t="str">
        <f t="shared" si="1"/>
        <v/>
      </c>
      <c r="D98" s="103"/>
      <c r="E98" s="103"/>
      <c r="F98" s="93" t="s">
        <v>121</v>
      </c>
      <c r="G98" s="97" t="s">
        <v>363</v>
      </c>
      <c r="H98" s="1341" t="str">
        <f>IF(LEN('11.500'!W100)=0,"",'11.500'!W100)</f>
        <v/>
      </c>
      <c r="J98" s="1312"/>
    </row>
    <row r="99" spans="1:10" x14ac:dyDescent="0.2">
      <c r="A99" s="467" t="str">
        <f>IF(AND(LEN(H99)&gt;0,NOT(H99=FALSE),NOT(H99="N/A")),"P","")</f>
        <v/>
      </c>
      <c r="B99" s="1324" t="str">
        <f>IF(LEN('11.500'!H101)=0,"",'11.500'!H101)</f>
        <v/>
      </c>
      <c r="C99" s="1280" t="str">
        <f t="shared" si="1"/>
        <v/>
      </c>
      <c r="D99" s="103"/>
      <c r="E99" s="103"/>
      <c r="F99" s="93" t="s">
        <v>122</v>
      </c>
      <c r="G99" s="1609" t="s">
        <v>364</v>
      </c>
      <c r="H99" s="1341" t="str">
        <f>IF(LEN('11.500'!W101)=0,"",'11.500'!W101)</f>
        <v/>
      </c>
      <c r="J99" s="1312"/>
    </row>
    <row r="100" spans="1:10" x14ac:dyDescent="0.2">
      <c r="A100" s="467" t="str">
        <f>A99</f>
        <v/>
      </c>
      <c r="B100" s="1324" t="str">
        <f>IF(LEN('11.500'!H102)=0,"",'11.500'!H102)</f>
        <v/>
      </c>
      <c r="C100" s="1280" t="str">
        <f t="shared" si="1"/>
        <v/>
      </c>
      <c r="D100" s="103"/>
      <c r="E100" s="103"/>
      <c r="F100" s="103"/>
      <c r="G100" s="1609"/>
      <c r="H100" s="1326"/>
      <c r="J100" s="1312"/>
    </row>
    <row r="101" spans="1:10" x14ac:dyDescent="0.2">
      <c r="A101" s="467" t="str">
        <f>IF(AND(LEN(H101)&gt;0,NOT(H101=FALSE),NOT(H101="N/A")),"P","")</f>
        <v/>
      </c>
      <c r="B101" s="1324" t="str">
        <f>IF(LEN('11.500'!H103)=0,"",'11.500'!H103)</f>
        <v/>
      </c>
      <c r="C101" s="1280" t="str">
        <f t="shared" si="1"/>
        <v/>
      </c>
      <c r="D101" s="103"/>
      <c r="E101" s="103"/>
      <c r="F101" s="111" t="s">
        <v>123</v>
      </c>
      <c r="G101" s="97" t="s">
        <v>365</v>
      </c>
      <c r="H101" s="1341" t="str">
        <f>IF(LEN('11.500'!W103)=0,"",'11.500'!W103)</f>
        <v/>
      </c>
      <c r="J101" s="1312"/>
    </row>
    <row r="102" spans="1:10" x14ac:dyDescent="0.2">
      <c r="A102" s="467" t="str">
        <f>IF(AND(LEN(H102)&gt;0,NOT(H102=FALSE),NOT(H102="N/A")),"P","")</f>
        <v/>
      </c>
      <c r="B102" s="1324" t="str">
        <f>IF(LEN('11.500'!H104)=0,"",'11.500'!H104)</f>
        <v/>
      </c>
      <c r="C102" s="1280" t="str">
        <f t="shared" si="1"/>
        <v/>
      </c>
      <c r="D102" s="103"/>
      <c r="E102" s="172"/>
      <c r="F102" s="174" t="s">
        <v>366</v>
      </c>
      <c r="G102" s="170" t="s">
        <v>367</v>
      </c>
      <c r="H102" s="1341" t="str">
        <f>IF(LEN('11.500'!W104)=0,"",'11.500'!W104)</f>
        <v/>
      </c>
      <c r="J102" s="1312"/>
    </row>
    <row r="103" spans="1:10" ht="16" thickBot="1" x14ac:dyDescent="0.25">
      <c r="A103" s="467" t="str">
        <f>IF(I103&gt;0,"P","")</f>
        <v/>
      </c>
      <c r="B103" s="1324" t="str">
        <f>IF(LEN('11.500'!H105)=0,"",'11.500'!H105)</f>
        <v/>
      </c>
      <c r="C103" s="1280" t="str">
        <f t="shared" si="1"/>
        <v/>
      </c>
      <c r="D103" s="104"/>
      <c r="E103" s="98" t="s">
        <v>256</v>
      </c>
      <c r="F103" s="104"/>
      <c r="G103" s="99" t="s">
        <v>3783</v>
      </c>
      <c r="H103" s="1341" t="str">
        <f>IF(LEN('11.500'!W105)=0,"",'11.500'!W105)</f>
        <v/>
      </c>
      <c r="I103" s="88">
        <f>'11.500'!O105</f>
        <v>0</v>
      </c>
      <c r="J103" s="1312" t="s">
        <v>3111</v>
      </c>
    </row>
    <row r="104" spans="1:10" ht="16" thickTop="1" x14ac:dyDescent="0.2">
      <c r="A104" s="1503" t="str">
        <f ca="1">IF(COUNTIF(A111:A128,"P")&gt;0,"P","")</f>
        <v/>
      </c>
      <c r="B104" s="1324" t="str">
        <f>IF(LEN('11.500'!H106)=0,"",'11.500'!H106)</f>
        <v/>
      </c>
      <c r="C104" s="1280" t="str">
        <f t="shared" ca="1" si="1"/>
        <v/>
      </c>
      <c r="D104" s="136" t="s">
        <v>3490</v>
      </c>
      <c r="E104" s="92"/>
      <c r="F104" s="92"/>
      <c r="G104" s="1683" t="s">
        <v>3512</v>
      </c>
      <c r="H104" s="1326"/>
      <c r="J104" s="1798" t="s">
        <v>5126</v>
      </c>
    </row>
    <row r="105" spans="1:10" x14ac:dyDescent="0.2">
      <c r="A105" s="467" t="str">
        <f ca="1">A104</f>
        <v/>
      </c>
      <c r="B105" s="1324" t="str">
        <f>IF(LEN('11.500'!H107)=0,"",'11.500'!H107)</f>
        <v/>
      </c>
      <c r="C105" s="1280" t="str">
        <f t="shared" ca="1" si="1"/>
        <v/>
      </c>
      <c r="D105" s="92"/>
      <c r="E105" s="92"/>
      <c r="F105" s="92"/>
      <c r="G105" s="1629"/>
      <c r="H105" s="1326"/>
      <c r="J105" s="1798"/>
    </row>
    <row r="106" spans="1:10" x14ac:dyDescent="0.2">
      <c r="A106" s="467" t="str">
        <f ca="1">A105</f>
        <v/>
      </c>
      <c r="B106" s="1324" t="str">
        <f>IF(LEN('11.500'!H108)=0,"",'11.500'!H108)</f>
        <v/>
      </c>
      <c r="C106" s="1280" t="str">
        <f t="shared" ca="1" si="1"/>
        <v/>
      </c>
      <c r="D106" s="92"/>
      <c r="E106" s="92"/>
      <c r="F106" s="92"/>
      <c r="G106" s="1629"/>
      <c r="H106" s="1326"/>
      <c r="J106" s="1798"/>
    </row>
    <row r="107" spans="1:10" x14ac:dyDescent="0.2">
      <c r="A107" s="467" t="str">
        <f ca="1">A106</f>
        <v/>
      </c>
      <c r="B107" s="1324" t="str">
        <f>IF(LEN('11.500'!H109)=0,"",'11.500'!H109)</f>
        <v/>
      </c>
      <c r="C107" s="1280" t="str">
        <f t="shared" ca="1" si="1"/>
        <v/>
      </c>
      <c r="D107" s="92"/>
      <c r="E107" s="92"/>
      <c r="F107" s="92"/>
      <c r="G107" s="1786"/>
      <c r="H107" s="1326"/>
      <c r="J107" s="1798"/>
    </row>
    <row r="108" spans="1:10" x14ac:dyDescent="0.2">
      <c r="B108" s="1324" t="str">
        <f>IF(LEN('11.500'!H110)=0,"",'11.500'!H110)</f>
        <v/>
      </c>
      <c r="C108" s="1280" t="str">
        <f t="shared" si="1"/>
        <v/>
      </c>
      <c r="D108" s="92"/>
      <c r="E108" s="92"/>
      <c r="F108" s="92"/>
      <c r="G108" s="1785" t="s">
        <v>2538</v>
      </c>
      <c r="H108" s="1326"/>
      <c r="J108" s="1312"/>
    </row>
    <row r="109" spans="1:10" x14ac:dyDescent="0.2">
      <c r="B109" s="1324" t="str">
        <f>IF(LEN('11.500'!H111)=0,"",'11.500'!H111)</f>
        <v/>
      </c>
      <c r="C109" s="1280" t="str">
        <f t="shared" si="1"/>
        <v/>
      </c>
      <c r="D109" s="92"/>
      <c r="E109" s="92"/>
      <c r="F109" s="92"/>
      <c r="G109" s="1791"/>
      <c r="H109" s="1326"/>
      <c r="J109" s="1312"/>
    </row>
    <row r="110" spans="1:10" x14ac:dyDescent="0.2">
      <c r="B110" s="1324" t="str">
        <f>IF(LEN('11.500'!H112)=0,"",'11.500'!H112)</f>
        <v/>
      </c>
      <c r="C110" s="1280" t="str">
        <f t="shared" si="1"/>
        <v/>
      </c>
      <c r="D110" s="92"/>
      <c r="E110" s="92"/>
      <c r="F110" s="92"/>
      <c r="G110" s="1787"/>
      <c r="H110" s="1326"/>
      <c r="J110" s="1312"/>
    </row>
    <row r="111" spans="1:10" x14ac:dyDescent="0.2">
      <c r="A111" s="467" t="str">
        <f>IF(I111&gt;0,"P","")</f>
        <v/>
      </c>
      <c r="B111" s="1324" t="str">
        <f>IF(LEN('11.500'!H113)=0,"",'11.500'!H113)</f>
        <v/>
      </c>
      <c r="C111" s="1280" t="str">
        <f t="shared" si="1"/>
        <v/>
      </c>
      <c r="D111" s="92"/>
      <c r="E111" s="93" t="s">
        <v>254</v>
      </c>
      <c r="F111" s="103"/>
      <c r="G111" s="1789" t="s">
        <v>369</v>
      </c>
      <c r="H111" s="1341" t="str">
        <f>IF(LEN('11.500'!W113)=0,"",'11.500'!W113)</f>
        <v/>
      </c>
      <c r="I111" s="88">
        <f>'11.500'!O113</f>
        <v>0</v>
      </c>
      <c r="J111" s="1799" t="s">
        <v>3201</v>
      </c>
    </row>
    <row r="112" spans="1:10" x14ac:dyDescent="0.2">
      <c r="A112" s="467" t="str">
        <f>A111</f>
        <v/>
      </c>
      <c r="B112" s="1324" t="str">
        <f>IF(LEN('11.500'!H114)=0,"",'11.500'!H114)</f>
        <v/>
      </c>
      <c r="C112" s="1280" t="str">
        <f t="shared" si="1"/>
        <v/>
      </c>
      <c r="D112" s="92"/>
      <c r="E112" s="93"/>
      <c r="F112" s="103"/>
      <c r="G112" s="1609"/>
      <c r="H112" s="1326"/>
      <c r="J112" s="1799"/>
    </row>
    <row r="113" spans="1:10" x14ac:dyDescent="0.2">
      <c r="A113" s="467" t="str">
        <f>A112</f>
        <v/>
      </c>
      <c r="B113" s="1324" t="str">
        <f>IF(LEN('11.500'!H115)=0,"",'11.500'!H115)</f>
        <v/>
      </c>
      <c r="C113" s="1280" t="str">
        <f t="shared" si="1"/>
        <v/>
      </c>
      <c r="D113" s="92"/>
      <c r="E113" s="172"/>
      <c r="F113" s="172"/>
      <c r="G113" s="1612"/>
      <c r="H113" s="1326"/>
      <c r="J113" s="1799"/>
    </row>
    <row r="114" spans="1:10" x14ac:dyDescent="0.2">
      <c r="A114" s="467" t="str">
        <f ca="1">IF(I114&gt;0,"P","")</f>
        <v/>
      </c>
      <c r="B114" s="1324" t="str">
        <f>IF(LEN('11.500'!H116)=0,"",'11.500'!H116)</f>
        <v/>
      </c>
      <c r="C114" s="1280" t="str">
        <f t="shared" ca="1" si="1"/>
        <v/>
      </c>
      <c r="D114" s="92"/>
      <c r="E114" s="89" t="s">
        <v>255</v>
      </c>
      <c r="F114" s="92"/>
      <c r="G114" s="1613" t="s">
        <v>370</v>
      </c>
      <c r="H114" s="1341" t="str">
        <f>IF(LEN('11.500'!W116)=0,"",'11.500'!W116)</f>
        <v/>
      </c>
      <c r="I114" s="88">
        <f ca="1">'11.500'!O116</f>
        <v>0</v>
      </c>
      <c r="J114" s="1799" t="s">
        <v>5127</v>
      </c>
    </row>
    <row r="115" spans="1:10" x14ac:dyDescent="0.2">
      <c r="A115" s="467" t="str">
        <f ca="1">A114</f>
        <v/>
      </c>
      <c r="B115" s="1324" t="str">
        <f>IF(LEN('11.500'!H117)=0,"",'11.500'!H117)</f>
        <v/>
      </c>
      <c r="C115" s="1280" t="str">
        <f t="shared" ca="1" si="1"/>
        <v/>
      </c>
      <c r="D115" s="92"/>
      <c r="E115" s="92"/>
      <c r="F115" s="92"/>
      <c r="G115" s="1611"/>
      <c r="H115" s="1326"/>
      <c r="J115" s="1799"/>
    </row>
    <row r="116" spans="1:10" x14ac:dyDescent="0.2">
      <c r="A116" s="467" t="str">
        <f ca="1">A115</f>
        <v/>
      </c>
      <c r="B116" s="1324" t="str">
        <f>IF(LEN('11.500'!H118)=0,"",'11.500'!H118)</f>
        <v/>
      </c>
      <c r="C116" s="1280" t="str">
        <f t="shared" ca="1" si="1"/>
        <v/>
      </c>
      <c r="D116" s="92"/>
      <c r="E116" s="92"/>
      <c r="F116" s="92"/>
      <c r="G116" s="1611"/>
      <c r="H116" s="1326"/>
      <c r="J116" s="1799"/>
    </row>
    <row r="117" spans="1:10" x14ac:dyDescent="0.2">
      <c r="A117" s="467" t="str">
        <f ca="1">A116</f>
        <v/>
      </c>
      <c r="B117" s="1324" t="str">
        <f>IF(LEN('11.500'!H119)=0,"",'11.500'!H119)</f>
        <v/>
      </c>
      <c r="C117" s="1280" t="str">
        <f t="shared" ca="1" si="1"/>
        <v/>
      </c>
      <c r="D117" s="92"/>
      <c r="E117" s="92"/>
      <c r="F117" s="92"/>
      <c r="G117" s="1611"/>
      <c r="H117" s="1326"/>
      <c r="J117" s="1799"/>
    </row>
    <row r="118" spans="1:10" x14ac:dyDescent="0.2">
      <c r="B118" s="1324" t="str">
        <f>IF(LEN('11.500'!H120)=0,"",'11.500'!H120)</f>
        <v/>
      </c>
      <c r="C118" s="1280" t="str">
        <f t="shared" si="1"/>
        <v/>
      </c>
      <c r="D118" s="92"/>
      <c r="E118" s="92"/>
      <c r="F118" s="89" t="s">
        <v>121</v>
      </c>
      <c r="G118" s="85" t="s">
        <v>371</v>
      </c>
      <c r="H118" s="1326"/>
      <c r="J118" s="1312"/>
    </row>
    <row r="119" spans="1:10" x14ac:dyDescent="0.2">
      <c r="B119" s="1324" t="str">
        <f>IF(LEN('11.500'!H121)=0,"",'11.500'!H121)</f>
        <v/>
      </c>
      <c r="C119" s="1280" t="str">
        <f t="shared" si="1"/>
        <v/>
      </c>
      <c r="D119" s="92"/>
      <c r="E119" s="92"/>
      <c r="F119" s="89" t="s">
        <v>122</v>
      </c>
      <c r="G119" s="85" t="s">
        <v>372</v>
      </c>
      <c r="H119" s="1326"/>
      <c r="J119" s="1312"/>
    </row>
    <row r="120" spans="1:10" x14ac:dyDescent="0.2">
      <c r="B120" s="1324" t="str">
        <f>IF(LEN('11.500'!H122)=0,"",'11.500'!H122)</f>
        <v/>
      </c>
      <c r="C120" s="1280" t="str">
        <f t="shared" si="1"/>
        <v/>
      </c>
      <c r="D120" s="92"/>
      <c r="E120" s="172"/>
      <c r="F120" s="174" t="s">
        <v>123</v>
      </c>
      <c r="G120" s="170" t="s">
        <v>373</v>
      </c>
      <c r="H120" s="1326"/>
      <c r="J120" s="1312"/>
    </row>
    <row r="121" spans="1:10" x14ac:dyDescent="0.2">
      <c r="A121" s="467" t="str">
        <f ca="1">IF(I121&gt;0,"P","")</f>
        <v/>
      </c>
      <c r="B121" s="1324" t="str">
        <f>IF(LEN('11.500'!H123)=0,"",'11.500'!H123)</f>
        <v/>
      </c>
      <c r="C121" s="1280" t="str">
        <f t="shared" ca="1" si="1"/>
        <v/>
      </c>
      <c r="D121" s="103"/>
      <c r="E121" s="93" t="s">
        <v>256</v>
      </c>
      <c r="F121" s="111"/>
      <c r="G121" s="1613" t="s">
        <v>374</v>
      </c>
      <c r="H121" s="1341" t="str">
        <f>IF(LEN('11.500'!W123)=0,"",'11.500'!W123)</f>
        <v/>
      </c>
      <c r="I121" s="88">
        <f ca="1">'11.500'!O123</f>
        <v>0</v>
      </c>
      <c r="J121" s="1799" t="s">
        <v>3112</v>
      </c>
    </row>
    <row r="122" spans="1:10" x14ac:dyDescent="0.2">
      <c r="A122" s="467" t="str">
        <f ca="1">A121</f>
        <v/>
      </c>
      <c r="B122" s="1324" t="str">
        <f>IF(LEN('11.500'!H124)=0,"",'11.500'!H124)</f>
        <v/>
      </c>
      <c r="C122" s="1280" t="str">
        <f t="shared" ca="1" si="1"/>
        <v/>
      </c>
      <c r="D122" s="103"/>
      <c r="E122" s="103"/>
      <c r="F122" s="103"/>
      <c r="G122" s="1609"/>
      <c r="H122" s="1326"/>
      <c r="J122" s="1799"/>
    </row>
    <row r="123" spans="1:10" x14ac:dyDescent="0.2">
      <c r="B123" s="1324" t="str">
        <f>IF(LEN('11.500'!H125)=0,"",'11.500'!H125)</f>
        <v/>
      </c>
      <c r="C123" s="1280" t="str">
        <f t="shared" si="1"/>
        <v/>
      </c>
      <c r="D123" s="103"/>
      <c r="E123" s="103"/>
      <c r="F123" s="93" t="s">
        <v>121</v>
      </c>
      <c r="G123" s="1290" t="s">
        <v>3939</v>
      </c>
      <c r="H123" s="1326"/>
      <c r="J123" s="1312"/>
    </row>
    <row r="124" spans="1:10" x14ac:dyDescent="0.2">
      <c r="B124" s="1324" t="str">
        <f>IF(LEN('11.500'!H126)=0,"",'11.500'!H126)</f>
        <v/>
      </c>
      <c r="C124" s="1280" t="str">
        <f t="shared" si="1"/>
        <v/>
      </c>
      <c r="D124" s="103"/>
      <c r="E124" s="103"/>
      <c r="F124" s="93" t="s">
        <v>122</v>
      </c>
      <c r="G124" s="1290" t="s">
        <v>3940</v>
      </c>
      <c r="H124" s="1326"/>
      <c r="J124" s="1312"/>
    </row>
    <row r="125" spans="1:10" x14ac:dyDescent="0.2">
      <c r="B125" s="1324" t="str">
        <f>IF(LEN('11.500'!H127)=0,"",'11.500'!H127)</f>
        <v/>
      </c>
      <c r="C125" s="1280" t="str">
        <f t="shared" si="1"/>
        <v/>
      </c>
      <c r="D125" s="103"/>
      <c r="E125" s="103"/>
      <c r="F125" s="111" t="s">
        <v>123</v>
      </c>
      <c r="G125" s="1290" t="s">
        <v>3941</v>
      </c>
      <c r="H125" s="1326"/>
      <c r="J125" s="1312"/>
    </row>
    <row r="126" spans="1:10" x14ac:dyDescent="0.2">
      <c r="B126" s="1324" t="str">
        <f>IF(LEN('11.500'!H128)=0,"",'11.500'!H128)</f>
        <v/>
      </c>
      <c r="C126" s="1280" t="str">
        <f t="shared" si="1"/>
        <v/>
      </c>
      <c r="D126" s="103"/>
      <c r="E126" s="103"/>
      <c r="F126" s="111"/>
      <c r="G126" s="1634" t="s">
        <v>3943</v>
      </c>
      <c r="H126" s="1341" t="str">
        <f>IF(LEN('11.500'!W128)=0,"",'11.500'!W128)</f>
        <v/>
      </c>
      <c r="I126" s="88">
        <f ca="1">'11.500'!O128</f>
        <v>0</v>
      </c>
      <c r="J126" s="1312"/>
    </row>
    <row r="127" spans="1:10" x14ac:dyDescent="0.2">
      <c r="B127" s="1324" t="str">
        <f>IF(LEN('11.500'!H129)=0,"",'11.500'!H129)</f>
        <v/>
      </c>
      <c r="C127" s="1280" t="str">
        <f t="shared" si="1"/>
        <v/>
      </c>
      <c r="D127" s="103"/>
      <c r="E127" s="172"/>
      <c r="F127" s="174"/>
      <c r="G127" s="1639"/>
      <c r="H127" s="1326"/>
      <c r="J127" s="1312"/>
    </row>
    <row r="128" spans="1:10" x14ac:dyDescent="0.2">
      <c r="A128" s="467" t="str">
        <f>IF(I128&gt;0,"P","")</f>
        <v/>
      </c>
      <c r="B128" s="1324" t="str">
        <f>IF(LEN('11.500'!H130)=0,"",'11.500'!H130)</f>
        <v/>
      </c>
      <c r="C128" s="1280" t="str">
        <f t="shared" si="1"/>
        <v/>
      </c>
      <c r="D128" s="103"/>
      <c r="E128" s="93" t="s">
        <v>259</v>
      </c>
      <c r="F128" s="111"/>
      <c r="G128" s="1609" t="s">
        <v>3942</v>
      </c>
      <c r="H128" s="1341" t="str">
        <f>IF(LEN('11.500'!W130)=0,"",'11.500'!W130)</f>
        <v/>
      </c>
      <c r="I128" s="88">
        <f>'11.500'!O130</f>
        <v>0</v>
      </c>
      <c r="J128" s="1312" t="s">
        <v>3120</v>
      </c>
    </row>
    <row r="129" spans="1:10" x14ac:dyDescent="0.2">
      <c r="A129" s="467" t="str">
        <f>A128</f>
        <v/>
      </c>
      <c r="B129" s="1324" t="str">
        <f>IF(LEN('11.500'!H131)=0,"",'11.500'!H131)</f>
        <v/>
      </c>
      <c r="C129" s="1280" t="str">
        <f t="shared" si="1"/>
        <v/>
      </c>
      <c r="D129" s="103"/>
      <c r="E129" s="103"/>
      <c r="F129" s="103"/>
      <c r="G129" s="1609"/>
      <c r="H129" s="1326"/>
      <c r="J129" s="1312"/>
    </row>
    <row r="130" spans="1:10" ht="16" thickBot="1" x14ac:dyDescent="0.25">
      <c r="A130" s="467" t="str">
        <f>A129</f>
        <v/>
      </c>
      <c r="B130" s="1324" t="str">
        <f>IF(LEN('11.500'!H132)=0,"",'11.500'!H132)</f>
        <v/>
      </c>
      <c r="C130" s="1280" t="str">
        <f t="shared" si="1"/>
        <v/>
      </c>
      <c r="D130" s="104"/>
      <c r="E130" s="104"/>
      <c r="F130" s="112"/>
      <c r="G130" s="1610"/>
      <c r="H130" s="1326"/>
      <c r="J130" s="1312"/>
    </row>
    <row r="131" spans="1:10" ht="16" thickTop="1" x14ac:dyDescent="0.2">
      <c r="A131" s="1503" t="str">
        <f ca="1">IF(COUNTIF(A135:A170,"P")&gt;0,"P","")</f>
        <v/>
      </c>
      <c r="B131" s="1324" t="str">
        <f>IF(LEN('11.500'!H133)=0,"",'11.500'!H133)</f>
        <v/>
      </c>
      <c r="C131" s="1280" t="str">
        <f t="shared" ca="1" si="1"/>
        <v/>
      </c>
      <c r="D131" s="136" t="s">
        <v>3491</v>
      </c>
      <c r="E131" s="92"/>
      <c r="F131" s="92"/>
      <c r="G131" s="1631" t="s">
        <v>3513</v>
      </c>
      <c r="H131" s="1326"/>
      <c r="J131" s="1779" t="s">
        <v>5128</v>
      </c>
    </row>
    <row r="132" spans="1:10" x14ac:dyDescent="0.2">
      <c r="A132" s="467" t="str">
        <f ca="1">A131</f>
        <v/>
      </c>
      <c r="B132" s="1324" t="str">
        <f>IF(LEN('11.500'!H134)=0,"",'11.500'!H134)</f>
        <v/>
      </c>
      <c r="C132" s="1280" t="str">
        <f t="shared" ca="1" si="1"/>
        <v/>
      </c>
      <c r="D132" s="92"/>
      <c r="E132" s="92"/>
      <c r="F132" s="92"/>
      <c r="G132" s="1786"/>
      <c r="H132" s="1326"/>
      <c r="J132" s="1779"/>
    </row>
    <row r="133" spans="1:10" x14ac:dyDescent="0.2">
      <c r="B133" s="1324" t="str">
        <f>IF(LEN('11.500'!H135)=0,"",'11.500'!H135)</f>
        <v/>
      </c>
      <c r="C133" s="1280" t="str">
        <f t="shared" si="1"/>
        <v/>
      </c>
      <c r="D133" s="92"/>
      <c r="E133" s="92"/>
      <c r="F133" s="92"/>
      <c r="G133" s="1785" t="s">
        <v>376</v>
      </c>
      <c r="H133" s="1341" t="str">
        <f>IF(LEN('11.500'!W135)=0,"",'11.500'!W135)</f>
        <v/>
      </c>
      <c r="J133" s="1312"/>
    </row>
    <row r="134" spans="1:10" x14ac:dyDescent="0.2">
      <c r="B134" s="1324" t="str">
        <f>IF(LEN('11.500'!H136)=0,"",'11.500'!H136)</f>
        <v/>
      </c>
      <c r="C134" s="1280" t="str">
        <f t="shared" si="1"/>
        <v/>
      </c>
      <c r="D134" s="92"/>
      <c r="E134" s="92"/>
      <c r="F134" s="92"/>
      <c r="G134" s="1787"/>
      <c r="H134" s="1326"/>
      <c r="J134" s="1312"/>
    </row>
    <row r="135" spans="1:10" x14ac:dyDescent="0.2">
      <c r="A135" s="467" t="str">
        <f ca="1">IF(I135&gt;0,"P","")</f>
        <v/>
      </c>
      <c r="B135" s="1324" t="str">
        <f>IF(LEN('11.500'!H137)=0,"",'11.500'!H137)</f>
        <v/>
      </c>
      <c r="C135" s="1280" t="str">
        <f t="shared" ca="1" si="1"/>
        <v/>
      </c>
      <c r="D135" s="92"/>
      <c r="E135" s="89" t="s">
        <v>254</v>
      </c>
      <c r="F135" s="92"/>
      <c r="G135" s="1789" t="s">
        <v>377</v>
      </c>
      <c r="H135" s="1341" t="str">
        <f>IF(LEN('11.500'!W137)=0,"",'11.500'!W137)</f>
        <v/>
      </c>
      <c r="I135" s="88">
        <f ca="1">'11.500'!O137</f>
        <v>0</v>
      </c>
      <c r="J135" s="1779" t="s">
        <v>3113</v>
      </c>
    </row>
    <row r="136" spans="1:10" x14ac:dyDescent="0.2">
      <c r="A136" s="467" t="str">
        <f ca="1">A135</f>
        <v/>
      </c>
      <c r="B136" s="1324" t="str">
        <f>IF(LEN('11.500'!H138)=0,"",'11.500'!H138)</f>
        <v/>
      </c>
      <c r="C136" s="1280" t="str">
        <f t="shared" ref="C136:C199" ca="1" si="2">IF(LEN(B136)=0,IF(A136="P","P",""),B136)</f>
        <v/>
      </c>
      <c r="D136" s="92"/>
      <c r="E136" s="89"/>
      <c r="F136" s="92"/>
      <c r="G136" s="1611"/>
      <c r="H136" s="1326"/>
      <c r="J136" s="1779"/>
    </row>
    <row r="137" spans="1:10" x14ac:dyDescent="0.2">
      <c r="B137" s="1324" t="str">
        <f>IF(LEN('11.500'!H139)=0,"",'11.500'!H139)</f>
        <v/>
      </c>
      <c r="C137" s="1280" t="str">
        <f t="shared" si="2"/>
        <v/>
      </c>
      <c r="D137" s="92"/>
      <c r="E137" s="92"/>
      <c r="F137" s="89" t="s">
        <v>121</v>
      </c>
      <c r="G137" s="85" t="s">
        <v>378</v>
      </c>
      <c r="H137" s="1326"/>
      <c r="J137" s="1312"/>
    </row>
    <row r="138" spans="1:10" x14ac:dyDescent="0.2">
      <c r="B138" s="1324" t="str">
        <f>IF(LEN('11.500'!H140)=0,"",'11.500'!H140)</f>
        <v/>
      </c>
      <c r="C138" s="1280" t="str">
        <f t="shared" si="2"/>
        <v/>
      </c>
      <c r="D138" s="92"/>
      <c r="E138" s="92"/>
      <c r="F138" s="89" t="s">
        <v>122</v>
      </c>
      <c r="G138" s="85" t="s">
        <v>379</v>
      </c>
      <c r="H138" s="1326"/>
      <c r="J138" s="1312"/>
    </row>
    <row r="139" spans="1:10" x14ac:dyDescent="0.2">
      <c r="B139" s="1324" t="str">
        <f>IF(LEN('11.500'!H141)=0,"",'11.500'!H141)</f>
        <v/>
      </c>
      <c r="C139" s="1280" t="str">
        <f t="shared" si="2"/>
        <v/>
      </c>
      <c r="D139" s="92"/>
      <c r="E139" s="92"/>
      <c r="F139" s="91" t="s">
        <v>123</v>
      </c>
      <c r="G139" s="85" t="s">
        <v>380</v>
      </c>
      <c r="H139" s="1326"/>
      <c r="J139" s="1312"/>
    </row>
    <row r="140" spans="1:10" x14ac:dyDescent="0.2">
      <c r="B140" s="1324" t="str">
        <f>IF(LEN('11.500'!H142)=0,"",'11.500'!H142)</f>
        <v/>
      </c>
      <c r="C140" s="1280" t="str">
        <f t="shared" si="2"/>
        <v/>
      </c>
      <c r="D140" s="92"/>
      <c r="E140" s="172"/>
      <c r="F140" s="174" t="s">
        <v>366</v>
      </c>
      <c r="G140" s="170" t="s">
        <v>381</v>
      </c>
      <c r="H140" s="1326"/>
      <c r="J140" s="1312"/>
    </row>
    <row r="141" spans="1:10" x14ac:dyDescent="0.2">
      <c r="A141" s="467" t="str">
        <f ca="1">IF(I141&gt;0,"P","")</f>
        <v/>
      </c>
      <c r="B141" s="1324" t="str">
        <f>IF(LEN('11.500'!H143)=0,"",'11.500'!H143)</f>
        <v/>
      </c>
      <c r="C141" s="1280" t="str">
        <f t="shared" ca="1" si="2"/>
        <v/>
      </c>
      <c r="D141" s="92"/>
      <c r="E141" s="93" t="s">
        <v>255</v>
      </c>
      <c r="F141" s="103"/>
      <c r="G141" s="1613" t="s">
        <v>382</v>
      </c>
      <c r="H141" s="1341" t="str">
        <f>IF(LEN('11.500'!W143)=0,"",'11.500'!W143)</f>
        <v/>
      </c>
      <c r="I141" s="88">
        <f ca="1">'11.500'!O143</f>
        <v>0</v>
      </c>
      <c r="J141" s="1779" t="s">
        <v>3114</v>
      </c>
    </row>
    <row r="142" spans="1:10" x14ac:dyDescent="0.2">
      <c r="A142" s="467" t="str">
        <f ca="1">A141</f>
        <v/>
      </c>
      <c r="B142" s="1324" t="str">
        <f>IF(LEN('11.500'!H144)=0,"",'11.500'!H144)</f>
        <v/>
      </c>
      <c r="C142" s="1280" t="str">
        <f t="shared" ca="1" si="2"/>
        <v/>
      </c>
      <c r="D142" s="92"/>
      <c r="E142" s="172"/>
      <c r="F142" s="172"/>
      <c r="G142" s="1612"/>
      <c r="H142" s="1326"/>
      <c r="J142" s="1779"/>
    </row>
    <row r="143" spans="1:10" x14ac:dyDescent="0.2">
      <c r="A143" s="467" t="str">
        <f ca="1">IF(I143&gt;0,"P","")</f>
        <v/>
      </c>
      <c r="B143" s="1324" t="str">
        <f>IF(LEN('11.500'!H145)=0,"",'11.500'!H145)</f>
        <v/>
      </c>
      <c r="C143" s="1280" t="str">
        <f t="shared" ca="1" si="2"/>
        <v/>
      </c>
      <c r="D143" s="92"/>
      <c r="E143" s="93" t="s">
        <v>256</v>
      </c>
      <c r="F143" s="103"/>
      <c r="G143" s="1613" t="s">
        <v>3944</v>
      </c>
      <c r="H143" s="1341" t="str">
        <f>IF(LEN('11.500'!W145)=0,"",'11.500'!W145)</f>
        <v/>
      </c>
      <c r="I143" s="88">
        <f ca="1">'11.500'!O145</f>
        <v>0</v>
      </c>
      <c r="J143" s="1779" t="s">
        <v>3115</v>
      </c>
    </row>
    <row r="144" spans="1:10" x14ac:dyDescent="0.2">
      <c r="A144" s="467" t="str">
        <f ca="1">A143</f>
        <v/>
      </c>
      <c r="B144" s="1324" t="str">
        <f>IF(LEN('11.500'!H146)=0,"",'11.500'!H146)</f>
        <v/>
      </c>
      <c r="C144" s="1280" t="str">
        <f t="shared" ca="1" si="2"/>
        <v/>
      </c>
      <c r="D144" s="92"/>
      <c r="E144" s="93"/>
      <c r="F144" s="103"/>
      <c r="G144" s="1609"/>
      <c r="H144" s="1326"/>
      <c r="J144" s="1779"/>
    </row>
    <row r="145" spans="1:10" x14ac:dyDescent="0.2">
      <c r="A145" s="467" t="str">
        <f ca="1">A144</f>
        <v/>
      </c>
      <c r="B145" s="1324" t="str">
        <f>IF(LEN('11.500'!H147)=0,"",'11.500'!H147)</f>
        <v/>
      </c>
      <c r="C145" s="1280" t="str">
        <f t="shared" ca="1" si="2"/>
        <v/>
      </c>
      <c r="D145" s="92"/>
      <c r="E145" s="172"/>
      <c r="F145" s="172"/>
      <c r="G145" s="1612"/>
      <c r="H145" s="1326"/>
      <c r="J145" s="1312"/>
    </row>
    <row r="146" spans="1:10" ht="63" customHeight="1" x14ac:dyDescent="0.2">
      <c r="A146" s="467" t="str">
        <f ca="1">IF(I146&gt;0,"P","")</f>
        <v/>
      </c>
      <c r="B146" s="1324" t="str">
        <f>IF(LEN('11.500'!H148)=0,"",'11.500'!H148)</f>
        <v/>
      </c>
      <c r="C146" s="1280" t="str">
        <f t="shared" ca="1" si="2"/>
        <v/>
      </c>
      <c r="D146" s="92"/>
      <c r="E146" s="93" t="s">
        <v>259</v>
      </c>
      <c r="F146" s="103"/>
      <c r="G146" s="1613" t="s">
        <v>3945</v>
      </c>
      <c r="H146" s="1341" t="str">
        <f>IF(LEN('11.500'!W148)=0,"",'11.500'!W148)</f>
        <v/>
      </c>
      <c r="I146" s="88">
        <f ca="1">'11.500'!O148</f>
        <v>0</v>
      </c>
      <c r="J146" s="1779" t="s">
        <v>5129</v>
      </c>
    </row>
    <row r="147" spans="1:10" x14ac:dyDescent="0.2">
      <c r="A147" s="467" t="str">
        <f ca="1">A146</f>
        <v/>
      </c>
      <c r="B147" s="1324" t="str">
        <f>IF(LEN('11.500'!H149)=0,"",'11.500'!H149)</f>
        <v/>
      </c>
      <c r="C147" s="1280" t="str">
        <f t="shared" ca="1" si="2"/>
        <v/>
      </c>
      <c r="D147" s="92"/>
      <c r="E147" s="172"/>
      <c r="F147" s="172"/>
      <c r="G147" s="1612"/>
      <c r="H147" s="1326"/>
      <c r="J147" s="1779"/>
    </row>
    <row r="148" spans="1:10" x14ac:dyDescent="0.2">
      <c r="A148" s="467" t="str">
        <f ca="1">IF(I148&gt;0,"P","")</f>
        <v/>
      </c>
      <c r="B148" s="1324" t="str">
        <f>IF(LEN('11.500'!H150)=0,"",'11.500'!H150)</f>
        <v/>
      </c>
      <c r="C148" s="1280" t="str">
        <f t="shared" ca="1" si="2"/>
        <v/>
      </c>
      <c r="D148" s="88"/>
      <c r="E148" s="860" t="s">
        <v>263</v>
      </c>
      <c r="F148" s="865"/>
      <c r="G148" s="1649" t="s">
        <v>3946</v>
      </c>
      <c r="H148" s="1341" t="str">
        <f>IF(LEN('11.500'!W150)=0,"",'11.500'!W150)</f>
        <v/>
      </c>
      <c r="I148" s="88">
        <f ca="1">'11.500'!O150</f>
        <v>0</v>
      </c>
      <c r="J148" s="1779" t="s">
        <v>5130</v>
      </c>
    </row>
    <row r="149" spans="1:10" x14ac:dyDescent="0.2">
      <c r="A149" s="467" t="str">
        <f ca="1">A148</f>
        <v/>
      </c>
      <c r="B149" s="1324" t="str">
        <f>IF(LEN('11.500'!H151)=0,"",'11.500'!H151)</f>
        <v/>
      </c>
      <c r="C149" s="1280" t="str">
        <f t="shared" ca="1" si="2"/>
        <v/>
      </c>
      <c r="D149" s="88"/>
      <c r="E149" s="172"/>
      <c r="F149" s="172"/>
      <c r="G149" s="1650"/>
      <c r="H149" s="1326"/>
      <c r="J149" s="1779"/>
    </row>
    <row r="150" spans="1:10" x14ac:dyDescent="0.2">
      <c r="A150" s="467" t="str">
        <f ca="1">IF(I150&gt;0,"P","")</f>
        <v/>
      </c>
      <c r="B150" s="1324" t="str">
        <f>IF(LEN('11.500'!H152)=0,"",'11.500'!H152)</f>
        <v/>
      </c>
      <c r="C150" s="1280" t="str">
        <f t="shared" ca="1" si="2"/>
        <v/>
      </c>
      <c r="D150" s="92"/>
      <c r="E150" s="89" t="s">
        <v>264</v>
      </c>
      <c r="F150" s="92"/>
      <c r="G150" s="85" t="s">
        <v>3784</v>
      </c>
      <c r="H150" s="1341" t="str">
        <f>IF(LEN('11.500'!W152)=0,"",'11.500'!W152)</f>
        <v/>
      </c>
      <c r="I150" s="88">
        <f ca="1">'11.500'!O152</f>
        <v>0</v>
      </c>
      <c r="J150" s="1312" t="s">
        <v>5131</v>
      </c>
    </row>
    <row r="151" spans="1:10" x14ac:dyDescent="0.2">
      <c r="B151" s="1324" t="str">
        <f>IF(LEN('11.500'!H153)=0,"",'11.500'!H153)</f>
        <v/>
      </c>
      <c r="C151" s="1280" t="str">
        <f t="shared" si="2"/>
        <v/>
      </c>
      <c r="D151" s="92"/>
      <c r="E151" s="92"/>
      <c r="F151" s="89" t="s">
        <v>121</v>
      </c>
      <c r="G151" s="85" t="s">
        <v>383</v>
      </c>
      <c r="H151" s="1326"/>
      <c r="J151" s="1312"/>
    </row>
    <row r="152" spans="1:10" x14ac:dyDescent="0.2">
      <c r="B152" s="1324" t="str">
        <f>IF(LEN('11.500'!H154)=0,"",'11.500'!H154)</f>
        <v/>
      </c>
      <c r="C152" s="1280" t="str">
        <f t="shared" si="2"/>
        <v/>
      </c>
      <c r="D152" s="92"/>
      <c r="E152" s="92"/>
      <c r="F152" s="89" t="s">
        <v>122</v>
      </c>
      <c r="G152" s="85" t="s">
        <v>384</v>
      </c>
      <c r="H152" s="1326"/>
      <c r="J152" s="1312"/>
    </row>
    <row r="153" spans="1:10" x14ac:dyDescent="0.2">
      <c r="B153" s="1324" t="str">
        <f>IF(LEN('11.500'!H155)=0,"",'11.500'!H155)</f>
        <v/>
      </c>
      <c r="C153" s="1280" t="str">
        <f t="shared" si="2"/>
        <v/>
      </c>
      <c r="D153" s="92"/>
      <c r="E153" s="92"/>
      <c r="F153" s="91" t="s">
        <v>123</v>
      </c>
      <c r="G153" s="85" t="s">
        <v>385</v>
      </c>
      <c r="H153" s="1326"/>
      <c r="J153" s="1312"/>
    </row>
    <row r="154" spans="1:10" x14ac:dyDescent="0.2">
      <c r="B154" s="1324" t="str">
        <f>IF(LEN('11.500'!H156)=0,"",'11.500'!H156)</f>
        <v/>
      </c>
      <c r="C154" s="1280" t="str">
        <f t="shared" si="2"/>
        <v/>
      </c>
      <c r="D154" s="92"/>
      <c r="E154" s="172"/>
      <c r="F154" s="174" t="s">
        <v>366</v>
      </c>
      <c r="G154" s="170" t="s">
        <v>386</v>
      </c>
      <c r="H154" s="1326"/>
      <c r="J154" s="1312"/>
    </row>
    <row r="155" spans="1:10" x14ac:dyDescent="0.2">
      <c r="A155" s="467" t="str">
        <f ca="1">IF(I155&gt;0,"P","")</f>
        <v/>
      </c>
      <c r="B155" s="1324" t="str">
        <f>IF(LEN('11.500'!H157)=0,"",'11.500'!H157)</f>
        <v/>
      </c>
      <c r="C155" s="1280" t="str">
        <f t="shared" ca="1" si="2"/>
        <v/>
      </c>
      <c r="D155" s="92"/>
      <c r="E155" s="169" t="s">
        <v>356</v>
      </c>
      <c r="F155" s="172"/>
      <c r="G155" s="170" t="s">
        <v>387</v>
      </c>
      <c r="H155" s="1341" t="str">
        <f>IF(LEN('11.500'!W157)=0,"",'11.500'!W157)</f>
        <v/>
      </c>
      <c r="I155" s="88">
        <f ca="1">'11.500'!O157</f>
        <v>0</v>
      </c>
      <c r="J155" s="1312" t="s">
        <v>5132</v>
      </c>
    </row>
    <row r="156" spans="1:10" x14ac:dyDescent="0.2">
      <c r="A156" s="467" t="str">
        <f ca="1">IF(I156&gt;0,"P","")</f>
        <v/>
      </c>
      <c r="B156" s="1324" t="str">
        <f>IF(LEN('11.500'!H158)=0,"",'11.500'!H158)</f>
        <v/>
      </c>
      <c r="C156" s="1280" t="str">
        <f t="shared" ca="1" si="2"/>
        <v/>
      </c>
      <c r="D156" s="92"/>
      <c r="E156" s="93" t="s">
        <v>389</v>
      </c>
      <c r="F156" s="103"/>
      <c r="G156" s="1613" t="s">
        <v>388</v>
      </c>
      <c r="H156" s="1341" t="str">
        <f>IF(LEN('11.500'!W158)=0,"",'11.500'!W158)</f>
        <v/>
      </c>
      <c r="I156" s="88">
        <f ca="1">'11.500'!O158</f>
        <v>0</v>
      </c>
      <c r="J156" s="1779" t="s">
        <v>3117</v>
      </c>
    </row>
    <row r="157" spans="1:10" x14ac:dyDescent="0.2">
      <c r="A157" s="467" t="str">
        <f t="shared" ref="A157:A160" ca="1" si="3">A156</f>
        <v/>
      </c>
      <c r="B157" s="1324" t="str">
        <f>IF(LEN('11.500'!H159)=0,"",'11.500'!H159)</f>
        <v/>
      </c>
      <c r="C157" s="1280" t="str">
        <f t="shared" ca="1" si="2"/>
        <v/>
      </c>
      <c r="D157" s="92"/>
      <c r="E157" s="103"/>
      <c r="F157" s="103"/>
      <c r="G157" s="1609"/>
      <c r="H157" s="1326"/>
      <c r="J157" s="1779"/>
    </row>
    <row r="158" spans="1:10" x14ac:dyDescent="0.2">
      <c r="A158" s="467" t="str">
        <f t="shared" ca="1" si="3"/>
        <v/>
      </c>
      <c r="B158" s="1324" t="str">
        <f>IF(LEN('11.500'!H160)=0,"",'11.500'!H160)</f>
        <v/>
      </c>
      <c r="C158" s="1280" t="str">
        <f t="shared" ca="1" si="2"/>
        <v/>
      </c>
      <c r="D158" s="92"/>
      <c r="E158" s="103"/>
      <c r="F158" s="103"/>
      <c r="G158" s="1609"/>
      <c r="H158" s="1326"/>
      <c r="J158" s="1779"/>
    </row>
    <row r="159" spans="1:10" x14ac:dyDescent="0.2">
      <c r="A159" s="467" t="str">
        <f t="shared" ca="1" si="3"/>
        <v/>
      </c>
      <c r="B159" s="1324" t="str">
        <f>IF(LEN('11.500'!H161)=0,"",'11.500'!H161)</f>
        <v/>
      </c>
      <c r="C159" s="1280" t="str">
        <f t="shared" ca="1" si="2"/>
        <v/>
      </c>
      <c r="D159" s="92"/>
      <c r="E159" s="103"/>
      <c r="F159" s="103"/>
      <c r="G159" s="1609"/>
      <c r="H159" s="1326"/>
      <c r="J159" s="1779"/>
    </row>
    <row r="160" spans="1:10" x14ac:dyDescent="0.2">
      <c r="A160" s="467" t="str">
        <f t="shared" ca="1" si="3"/>
        <v/>
      </c>
      <c r="B160" s="1324" t="str">
        <f>IF(LEN('11.500'!H162)=0,"",'11.500'!H162)</f>
        <v/>
      </c>
      <c r="C160" s="1280" t="str">
        <f t="shared" ca="1" si="2"/>
        <v/>
      </c>
      <c r="D160" s="92"/>
      <c r="E160" s="172"/>
      <c r="F160" s="172"/>
      <c r="G160" s="1612"/>
      <c r="H160" s="1326"/>
      <c r="J160" s="1779"/>
    </row>
    <row r="161" spans="1:10" x14ac:dyDescent="0.2">
      <c r="A161" s="467" t="str">
        <f ca="1">IF(I161&gt;0,"P","")</f>
        <v/>
      </c>
      <c r="B161" s="1324" t="str">
        <f>IF(LEN('11.500'!H163)=0,"",'11.500'!H163)</f>
        <v/>
      </c>
      <c r="C161" s="1280" t="str">
        <f t="shared" ca="1" si="2"/>
        <v/>
      </c>
      <c r="D161" s="92"/>
      <c r="E161" s="93" t="s">
        <v>391</v>
      </c>
      <c r="F161" s="103"/>
      <c r="G161" s="1613" t="s">
        <v>390</v>
      </c>
      <c r="H161" s="1341" t="str">
        <f>IF(LEN('11.500'!W163)=0,"",'11.500'!W163)</f>
        <v/>
      </c>
      <c r="I161" s="88">
        <f ca="1">'11.500'!O163</f>
        <v>0</v>
      </c>
      <c r="J161" s="1779" t="s">
        <v>5133</v>
      </c>
    </row>
    <row r="162" spans="1:10" x14ac:dyDescent="0.2">
      <c r="A162" s="467" t="str">
        <f ca="1">A161</f>
        <v/>
      </c>
      <c r="B162" s="1324" t="str">
        <f>IF(LEN('11.500'!H164)=0,"",'11.500'!H164)</f>
        <v/>
      </c>
      <c r="C162" s="1280" t="str">
        <f t="shared" ca="1" si="2"/>
        <v/>
      </c>
      <c r="D162" s="92"/>
      <c r="E162" s="172"/>
      <c r="F162" s="172"/>
      <c r="G162" s="1612"/>
      <c r="H162" s="1326"/>
      <c r="J162" s="1779"/>
    </row>
    <row r="163" spans="1:10" x14ac:dyDescent="0.2">
      <c r="A163" s="467" t="str">
        <f>IF(I163&gt;0,"P","")</f>
        <v/>
      </c>
      <c r="B163" s="1324" t="str">
        <f>IF(LEN('11.500'!H165)=0,"",'11.500'!H165)</f>
        <v/>
      </c>
      <c r="C163" s="1280" t="str">
        <f t="shared" si="2"/>
        <v/>
      </c>
      <c r="D163" s="92"/>
      <c r="E163" s="93" t="s">
        <v>392</v>
      </c>
      <c r="F163" s="103"/>
      <c r="G163" s="1613" t="s">
        <v>3785</v>
      </c>
      <c r="H163" s="1341" t="str">
        <f>IF(LEN('11.500'!W165)=0,"",'11.500'!W165)</f>
        <v/>
      </c>
      <c r="I163" s="88">
        <f>'11.500'!O165</f>
        <v>0</v>
      </c>
      <c r="J163" s="1779" t="s">
        <v>3118</v>
      </c>
    </row>
    <row r="164" spans="1:10" x14ac:dyDescent="0.2">
      <c r="A164" s="467" t="str">
        <f>A163</f>
        <v/>
      </c>
      <c r="B164" s="1324" t="str">
        <f>IF(LEN('11.500'!H166)=0,"",'11.500'!H166)</f>
        <v/>
      </c>
      <c r="C164" s="1280" t="str">
        <f t="shared" si="2"/>
        <v/>
      </c>
      <c r="D164" s="92"/>
      <c r="E164" s="103"/>
      <c r="F164" s="103"/>
      <c r="G164" s="1609"/>
      <c r="H164" s="1326"/>
      <c r="J164" s="1779"/>
    </row>
    <row r="165" spans="1:10" x14ac:dyDescent="0.2">
      <c r="A165" s="467" t="str">
        <f>A164</f>
        <v/>
      </c>
      <c r="B165" s="1324" t="str">
        <f>IF(LEN('11.500'!H167)=0,"",'11.500'!H167)</f>
        <v/>
      </c>
      <c r="C165" s="1280" t="str">
        <f t="shared" si="2"/>
        <v/>
      </c>
      <c r="D165" s="92"/>
      <c r="E165" s="172"/>
      <c r="F165" s="172"/>
      <c r="G165" s="1612"/>
      <c r="H165" s="1326"/>
      <c r="J165" s="1779"/>
    </row>
    <row r="166" spans="1:10" x14ac:dyDescent="0.2">
      <c r="A166" s="467" t="str">
        <f>IF(I166&gt;0,"P","")</f>
        <v/>
      </c>
      <c r="B166" s="1324" t="str">
        <f>IF(LEN('11.500'!H168)=0,"",'11.500'!H168)</f>
        <v/>
      </c>
      <c r="C166" s="1280" t="str">
        <f t="shared" si="2"/>
        <v/>
      </c>
      <c r="D166" s="92"/>
      <c r="E166" s="93" t="s">
        <v>394</v>
      </c>
      <c r="F166" s="103"/>
      <c r="G166" s="1613" t="s">
        <v>393</v>
      </c>
      <c r="H166" s="1341" t="str">
        <f>IF(LEN('11.500'!W168)=0,"",'11.500'!W168)</f>
        <v/>
      </c>
      <c r="I166" s="88">
        <f>'11.500'!O168</f>
        <v>0</v>
      </c>
      <c r="J166" s="1779" t="s">
        <v>5134</v>
      </c>
    </row>
    <row r="167" spans="1:10" x14ac:dyDescent="0.2">
      <c r="A167" s="467" t="str">
        <f>A166</f>
        <v/>
      </c>
      <c r="B167" s="1324" t="str">
        <f>IF(LEN('11.500'!H169)=0,"",'11.500'!H169)</f>
        <v/>
      </c>
      <c r="C167" s="1280" t="str">
        <f t="shared" si="2"/>
        <v/>
      </c>
      <c r="D167" s="92"/>
      <c r="E167" s="172"/>
      <c r="F167" s="172"/>
      <c r="G167" s="1612"/>
      <c r="H167" s="1326"/>
      <c r="J167" s="1784"/>
    </row>
    <row r="168" spans="1:10" x14ac:dyDescent="0.2">
      <c r="A168" s="467" t="str">
        <f>IF(I168&gt;0,"P","")</f>
        <v/>
      </c>
      <c r="B168" s="1324" t="str">
        <f>IF(LEN('11.500'!H170)=0,"",'11.500'!H170)</f>
        <v/>
      </c>
      <c r="C168" s="1280" t="str">
        <f t="shared" si="2"/>
        <v/>
      </c>
      <c r="D168" s="92"/>
      <c r="E168" s="93" t="s">
        <v>396</v>
      </c>
      <c r="F168" s="103"/>
      <c r="G168" s="1613" t="s">
        <v>395</v>
      </c>
      <c r="H168" s="1341" t="str">
        <f>IF(LEN('11.500'!W170)=0,"",'11.500'!W170)</f>
        <v/>
      </c>
      <c r="I168" s="88">
        <f>'11.500'!O170</f>
        <v>0</v>
      </c>
      <c r="J168" s="1779" t="s">
        <v>3116</v>
      </c>
    </row>
    <row r="169" spans="1:10" x14ac:dyDescent="0.2">
      <c r="A169" s="467" t="str">
        <f>A168</f>
        <v/>
      </c>
      <c r="B169" s="1324" t="str">
        <f>IF(LEN('11.500'!H171)=0,"",'11.500'!H171)</f>
        <v/>
      </c>
      <c r="C169" s="1280" t="str">
        <f t="shared" si="2"/>
        <v/>
      </c>
      <c r="D169" s="92"/>
      <c r="E169" s="172"/>
      <c r="F169" s="172"/>
      <c r="G169" s="1612"/>
      <c r="H169" s="1326"/>
      <c r="J169" s="1779"/>
    </row>
    <row r="170" spans="1:10" x14ac:dyDescent="0.2">
      <c r="A170" s="467" t="str">
        <f>IF(I170&gt;0,"P","")</f>
        <v/>
      </c>
      <c r="B170" s="1324" t="str">
        <f>IF(LEN('11.500'!H172)=0,"",'11.500'!H172)</f>
        <v/>
      </c>
      <c r="C170" s="1280" t="str">
        <f t="shared" si="2"/>
        <v/>
      </c>
      <c r="D170" s="103"/>
      <c r="E170" s="93" t="s">
        <v>2781</v>
      </c>
      <c r="F170" s="103"/>
      <c r="G170" s="1613" t="s">
        <v>397</v>
      </c>
      <c r="H170" s="1341" t="str">
        <f>IF(LEN('11.500'!W172)=0,"",'11.500'!W172)</f>
        <v/>
      </c>
      <c r="I170" s="88">
        <f>'11.500'!O172</f>
        <v>0</v>
      </c>
      <c r="J170" s="1779" t="s">
        <v>3116</v>
      </c>
    </row>
    <row r="171" spans="1:10" ht="16" thickBot="1" x14ac:dyDescent="0.25">
      <c r="A171" s="467" t="str">
        <f>A170</f>
        <v/>
      </c>
      <c r="B171" s="1324" t="str">
        <f>IF(LEN('11.500'!H173)=0,"",'11.500'!H173)</f>
        <v/>
      </c>
      <c r="C171" s="1280" t="str">
        <f t="shared" si="2"/>
        <v/>
      </c>
      <c r="D171" s="104"/>
      <c r="E171" s="104"/>
      <c r="F171" s="104"/>
      <c r="G171" s="1610"/>
      <c r="H171" s="1326"/>
      <c r="J171" s="1779"/>
    </row>
    <row r="172" spans="1:10" ht="51" customHeight="1" thickTop="1" x14ac:dyDescent="0.2">
      <c r="A172" s="467" t="str">
        <f>IF(I172&gt;0,"P","")</f>
        <v/>
      </c>
      <c r="B172" s="1324" t="str">
        <f>IF(LEN('11.500'!H174)=0,"",'11.500'!H174)</f>
        <v/>
      </c>
      <c r="C172" s="1280" t="str">
        <f t="shared" si="2"/>
        <v/>
      </c>
      <c r="D172" s="136" t="s">
        <v>3492</v>
      </c>
      <c r="E172" s="92"/>
      <c r="F172" s="92"/>
      <c r="G172" s="1683" t="s">
        <v>3514</v>
      </c>
      <c r="H172" s="1326"/>
      <c r="I172" s="88">
        <f>'11.500'!O174</f>
        <v>0</v>
      </c>
      <c r="J172" s="1779" t="s">
        <v>3119</v>
      </c>
    </row>
    <row r="173" spans="1:10" x14ac:dyDescent="0.2">
      <c r="A173" s="467" t="str">
        <f>A172</f>
        <v/>
      </c>
      <c r="B173" s="1324" t="str">
        <f>IF(LEN('11.500'!H175)=0,"",'11.500'!H175)</f>
        <v/>
      </c>
      <c r="C173" s="1280" t="str">
        <f t="shared" si="2"/>
        <v/>
      </c>
      <c r="D173" s="92"/>
      <c r="E173" s="92"/>
      <c r="F173" s="92"/>
      <c r="G173" s="1631"/>
      <c r="H173" s="1326"/>
      <c r="J173" s="1779"/>
    </row>
    <row r="174" spans="1:10" x14ac:dyDescent="0.2">
      <c r="A174" s="467" t="str">
        <f>IF(AND(LEN(H174)&gt;0,NOT(H174=FALSE),NOT(H174="N/A")),"P","")</f>
        <v/>
      </c>
      <c r="B174" s="1324" t="str">
        <f>IF(LEN('11.500'!H176)=0,"",'11.500'!H176)</f>
        <v/>
      </c>
      <c r="C174" s="1280" t="str">
        <f t="shared" si="2"/>
        <v/>
      </c>
      <c r="D174" s="92"/>
      <c r="E174" s="169" t="s">
        <v>254</v>
      </c>
      <c r="F174" s="172"/>
      <c r="G174" s="170" t="s">
        <v>399</v>
      </c>
      <c r="H174" s="1341" t="str">
        <f>IF(LEN('11.500'!W176)=0,"",'11.500'!W176)</f>
        <v/>
      </c>
      <c r="J174" s="1312"/>
    </row>
    <row r="175" spans="1:10" x14ac:dyDescent="0.2">
      <c r="A175" s="467" t="str">
        <f>IF(AND(LEN(H175)&gt;0,NOT(H175=FALSE),NOT(H175="N/A")),"P","")</f>
        <v/>
      </c>
      <c r="B175" s="1324" t="str">
        <f>IF(LEN('11.500'!H177)=0,"",'11.500'!H177)</f>
        <v/>
      </c>
      <c r="C175" s="1280" t="str">
        <f t="shared" si="2"/>
        <v/>
      </c>
      <c r="D175" s="92"/>
      <c r="E175" s="169" t="s">
        <v>255</v>
      </c>
      <c r="F175" s="172"/>
      <c r="G175" s="170" t="s">
        <v>400</v>
      </c>
      <c r="H175" s="1341" t="str">
        <f>IF(LEN('11.500'!W177)=0,"",'11.500'!W177)</f>
        <v/>
      </c>
      <c r="J175" s="1312"/>
    </row>
    <row r="176" spans="1:10" x14ac:dyDescent="0.2">
      <c r="A176" s="467" t="str">
        <f>IF(AND(LEN(H176)&gt;0,NOT(H176=FALSE),NOT(H176="N/A")),"P","")</f>
        <v/>
      </c>
      <c r="B176" s="1324" t="str">
        <f>IF(LEN('11.500'!H178)=0,"",'11.500'!H178)</f>
        <v/>
      </c>
      <c r="C176" s="1280" t="str">
        <f t="shared" si="2"/>
        <v/>
      </c>
      <c r="D176" s="92"/>
      <c r="E176" s="93" t="s">
        <v>256</v>
      </c>
      <c r="F176" s="103"/>
      <c r="G176" s="1613" t="s">
        <v>401</v>
      </c>
      <c r="H176" s="1341" t="str">
        <f>IF(LEN('11.500'!W178)=0,"",'11.500'!W178)</f>
        <v/>
      </c>
      <c r="J176" s="1312"/>
    </row>
    <row r="177" spans="1:10" x14ac:dyDescent="0.2">
      <c r="A177" s="467" t="str">
        <f>A176</f>
        <v/>
      </c>
      <c r="B177" s="1324" t="str">
        <f>IF(LEN('11.500'!H179)=0,"",'11.500'!H179)</f>
        <v/>
      </c>
      <c r="C177" s="1280" t="str">
        <f t="shared" si="2"/>
        <v/>
      </c>
      <c r="D177" s="92"/>
      <c r="E177" s="172"/>
      <c r="F177" s="172"/>
      <c r="G177" s="1612"/>
      <c r="H177" s="1326"/>
      <c r="J177" s="1312"/>
    </row>
    <row r="178" spans="1:10" ht="16" thickBot="1" x14ac:dyDescent="0.25">
      <c r="A178" s="467" t="str">
        <f>IF(AND(LEN(H178)&gt;0,NOT(H178=FALSE),NOT(H178="N/A")),"P","")</f>
        <v/>
      </c>
      <c r="B178" s="1324" t="str">
        <f>IF(LEN('11.500'!H180)=0,"",'11.500'!H180)</f>
        <v/>
      </c>
      <c r="C178" s="1280" t="str">
        <f t="shared" si="2"/>
        <v/>
      </c>
      <c r="D178" s="104"/>
      <c r="E178" s="98" t="s">
        <v>259</v>
      </c>
      <c r="F178" s="104"/>
      <c r="G178" s="99" t="s">
        <v>402</v>
      </c>
      <c r="H178" s="1341" t="str">
        <f>IF(LEN('11.500'!W180)=0,"",'11.500'!W180)</f>
        <v/>
      </c>
      <c r="J178" s="1312"/>
    </row>
    <row r="179" spans="1:10" ht="16" thickTop="1" x14ac:dyDescent="0.2">
      <c r="A179" s="1503" t="str">
        <f>IF(COUNTIF(A181:A183,"P")&gt;0,"P","")</f>
        <v>P</v>
      </c>
      <c r="B179" s="1324" t="str">
        <f>IF(LEN('11.500'!H181)=0,"",'11.500'!H181)</f>
        <v/>
      </c>
      <c r="C179" s="1280" t="str">
        <f t="shared" si="2"/>
        <v>P</v>
      </c>
      <c r="D179" s="136" t="s">
        <v>3493</v>
      </c>
      <c r="E179" s="92"/>
      <c r="F179" s="92"/>
      <c r="G179" s="1683" t="s">
        <v>3515</v>
      </c>
      <c r="H179" s="1326"/>
      <c r="J179" s="1312"/>
    </row>
    <row r="180" spans="1:10" x14ac:dyDescent="0.2">
      <c r="A180" s="467" t="str">
        <f>A179</f>
        <v>P</v>
      </c>
      <c r="B180" s="1324" t="str">
        <f>IF(LEN('11.500'!H182)=0,"",'11.500'!H182)</f>
        <v/>
      </c>
      <c r="C180" s="1280" t="str">
        <f t="shared" si="2"/>
        <v>P</v>
      </c>
      <c r="D180" s="92"/>
      <c r="E180" s="92"/>
      <c r="F180" s="92"/>
      <c r="G180" s="1631"/>
      <c r="H180" s="1326"/>
      <c r="J180" s="1312"/>
    </row>
    <row r="181" spans="1:10" x14ac:dyDescent="0.2">
      <c r="A181" s="467" t="str">
        <f>IF(I181&gt;0,"P","")</f>
        <v>P</v>
      </c>
      <c r="B181" s="1324" t="str">
        <f>IF(LEN('11.500'!H183)=0,"",'11.500'!H183)</f>
        <v/>
      </c>
      <c r="C181" s="1280" t="str">
        <f t="shared" si="2"/>
        <v>P</v>
      </c>
      <c r="D181" s="92"/>
      <c r="E181" s="93" t="s">
        <v>254</v>
      </c>
      <c r="F181" s="103"/>
      <c r="G181" s="1609" t="s">
        <v>3786</v>
      </c>
      <c r="H181" s="1341" t="b">
        <f>IF(LEN('11.500'!W183)=0,"",'11.500'!W183)</f>
        <v>1</v>
      </c>
      <c r="I181" s="88">
        <f>'11.500'!O183</f>
        <v>4</v>
      </c>
      <c r="J181" s="1779" t="s">
        <v>5135</v>
      </c>
    </row>
    <row r="182" spans="1:10" x14ac:dyDescent="0.2">
      <c r="A182" s="467" t="str">
        <f>A181</f>
        <v>P</v>
      </c>
      <c r="B182" s="1324" t="str">
        <f>IF(LEN('11.500'!H184)=0,"",'11.500'!H184)</f>
        <v/>
      </c>
      <c r="C182" s="1280" t="str">
        <f t="shared" si="2"/>
        <v>P</v>
      </c>
      <c r="D182" s="92"/>
      <c r="E182" s="169"/>
      <c r="F182" s="172"/>
      <c r="G182" s="1612"/>
      <c r="H182" s="1326"/>
      <c r="J182" s="1779"/>
    </row>
    <row r="183" spans="1:10" x14ac:dyDescent="0.2">
      <c r="A183" s="467" t="str">
        <f>IF(I183&gt;0,"P","")</f>
        <v/>
      </c>
      <c r="B183" s="1324" t="str">
        <f>IF(LEN('11.500'!H185)=0,"",'11.500'!H185)</f>
        <v/>
      </c>
      <c r="C183" s="1280" t="str">
        <f t="shared" si="2"/>
        <v/>
      </c>
      <c r="D183" s="103"/>
      <c r="E183" s="93" t="s">
        <v>255</v>
      </c>
      <c r="F183" s="103"/>
      <c r="G183" s="1613" t="s">
        <v>3787</v>
      </c>
      <c r="H183" s="1341" t="str">
        <f>IF(LEN('11.500'!W185)=0,"",'11.500'!W185)</f>
        <v/>
      </c>
      <c r="I183" s="88">
        <f>'11.500'!O185</f>
        <v>0</v>
      </c>
      <c r="J183" s="1779" t="s">
        <v>5136</v>
      </c>
    </row>
    <row r="184" spans="1:10" ht="16" thickBot="1" x14ac:dyDescent="0.25">
      <c r="A184" s="467" t="str">
        <f>A183</f>
        <v/>
      </c>
      <c r="B184" s="1324" t="str">
        <f>IF(LEN('11.500'!H186)=0,"",'11.500'!H186)</f>
        <v/>
      </c>
      <c r="C184" s="1280" t="str">
        <f t="shared" si="2"/>
        <v/>
      </c>
      <c r="D184" s="104"/>
      <c r="E184" s="104"/>
      <c r="F184" s="104"/>
      <c r="G184" s="1610"/>
      <c r="H184" s="1326"/>
      <c r="J184" s="1779"/>
    </row>
    <row r="185" spans="1:10" ht="20" thickTop="1" x14ac:dyDescent="0.25">
      <c r="A185" s="467" t="s">
        <v>3200</v>
      </c>
      <c r="B185" s="1324" t="str">
        <f>IF(LEN('11.500'!H187)=0,"",'11.500'!H187)</f>
        <v/>
      </c>
      <c r="C185" s="1280" t="str">
        <f t="shared" si="2"/>
        <v>P</v>
      </c>
      <c r="D185" s="90" t="s">
        <v>3494</v>
      </c>
      <c r="E185" s="90"/>
      <c r="F185" s="90"/>
      <c r="G185" s="86"/>
      <c r="H185" s="994"/>
      <c r="I185" s="25"/>
      <c r="J185" s="25"/>
    </row>
    <row r="186" spans="1:10" x14ac:dyDescent="0.2">
      <c r="B186" s="1324" t="str">
        <f>IF(LEN('11.500'!H188)=0,"",'11.500'!H188)</f>
        <v/>
      </c>
      <c r="C186" s="1280" t="str">
        <f t="shared" si="2"/>
        <v/>
      </c>
      <c r="D186" s="93" t="s">
        <v>3495</v>
      </c>
      <c r="E186" s="103"/>
      <c r="F186" s="103"/>
      <c r="G186" s="1629" t="s">
        <v>3788</v>
      </c>
      <c r="H186" s="1326"/>
      <c r="J186" s="1312"/>
    </row>
    <row r="187" spans="1:10" ht="16" thickBot="1" x14ac:dyDescent="0.25">
      <c r="B187" s="1324" t="str">
        <f>IF(LEN('11.500'!H189)=0,"",'11.500'!H189)</f>
        <v/>
      </c>
      <c r="C187" s="1280" t="str">
        <f t="shared" si="2"/>
        <v/>
      </c>
      <c r="D187" s="104"/>
      <c r="E187" s="104"/>
      <c r="F187" s="104"/>
      <c r="G187" s="1630"/>
      <c r="H187" s="1326"/>
      <c r="J187" s="1312"/>
    </row>
    <row r="188" spans="1:10" ht="16" thickTop="1" x14ac:dyDescent="0.2">
      <c r="A188" s="467" t="str">
        <f>IF(I188&gt;0,"P","")</f>
        <v/>
      </c>
      <c r="B188" s="1324" t="str">
        <f>IF(LEN('11.500'!H190)=0,"",'11.500'!H190)</f>
        <v/>
      </c>
      <c r="C188" s="1280" t="str">
        <f t="shared" si="2"/>
        <v/>
      </c>
      <c r="D188" s="115" t="s">
        <v>3496</v>
      </c>
      <c r="E188" s="108"/>
      <c r="F188" s="108"/>
      <c r="G188" s="1683" t="s">
        <v>3789</v>
      </c>
      <c r="H188" s="1341" t="str">
        <f>IF(LEN('11.500'!W190)=0,"",'11.500'!W190)</f>
        <v/>
      </c>
      <c r="I188" s="88">
        <f>'11.500'!O190</f>
        <v>0</v>
      </c>
      <c r="J188" s="1779" t="s">
        <v>5137</v>
      </c>
    </row>
    <row r="189" spans="1:10" x14ac:dyDescent="0.2">
      <c r="A189" s="467" t="str">
        <f>A188</f>
        <v/>
      </c>
      <c r="B189" s="1324" t="str">
        <f>IF(LEN('11.500'!H191)=0,"",'11.500'!H191)</f>
        <v/>
      </c>
      <c r="C189" s="1280" t="str">
        <f t="shared" si="2"/>
        <v/>
      </c>
      <c r="D189" s="103"/>
      <c r="E189" s="103"/>
      <c r="F189" s="103"/>
      <c r="G189" s="1629"/>
      <c r="H189" s="1326"/>
      <c r="J189" s="1779"/>
    </row>
    <row r="190" spans="1:10" x14ac:dyDescent="0.2">
      <c r="A190" s="467" t="str">
        <f>A189</f>
        <v/>
      </c>
      <c r="B190" s="1324" t="str">
        <f>IF(LEN('11.500'!H192)=0,"",'11.500'!H192)</f>
        <v/>
      </c>
      <c r="C190" s="1280" t="str">
        <f t="shared" si="2"/>
        <v/>
      </c>
      <c r="D190" s="103"/>
      <c r="E190" s="103"/>
      <c r="F190" s="103"/>
      <c r="G190" s="1629"/>
      <c r="H190" s="1326"/>
      <c r="J190" s="1779"/>
    </row>
    <row r="191" spans="1:10" x14ac:dyDescent="0.2">
      <c r="A191" s="467" t="str">
        <f>A190</f>
        <v/>
      </c>
      <c r="B191" s="1324" t="str">
        <f>IF(LEN('11.500'!H193)=0,"",'11.500'!H193)</f>
        <v/>
      </c>
      <c r="C191" s="1280" t="str">
        <f t="shared" si="2"/>
        <v/>
      </c>
      <c r="D191" s="103"/>
      <c r="E191" s="103"/>
      <c r="F191" s="103"/>
      <c r="G191" s="1786"/>
      <c r="H191" s="1326"/>
      <c r="J191" s="1779"/>
    </row>
    <row r="192" spans="1:10" ht="16" thickBot="1" x14ac:dyDescent="0.25">
      <c r="B192" s="1324" t="str">
        <f>IF(LEN('11.500'!H194)=0,"",'11.500'!H194)</f>
        <v/>
      </c>
      <c r="C192" s="1280" t="str">
        <f t="shared" si="2"/>
        <v/>
      </c>
      <c r="D192" s="104"/>
      <c r="E192" s="104"/>
      <c r="F192" s="104"/>
      <c r="G192" s="1339" t="s">
        <v>3790</v>
      </c>
      <c r="H192" s="1326"/>
      <c r="J192" s="1312"/>
    </row>
    <row r="193" spans="1:10" ht="16" thickTop="1" x14ac:dyDescent="0.2">
      <c r="A193" s="1503" t="str">
        <f>IF(COUNTIF(A195:A198,"P")&gt;0,"P","")</f>
        <v/>
      </c>
      <c r="B193" s="1324" t="str">
        <f>IF(LEN('11.500'!H195)=0,"",'11.500'!H195)</f>
        <v/>
      </c>
      <c r="C193" s="1280" t="str">
        <f t="shared" si="2"/>
        <v/>
      </c>
      <c r="D193" s="89" t="s">
        <v>3497</v>
      </c>
      <c r="E193" s="92"/>
      <c r="F193" s="92"/>
      <c r="G193" s="1683" t="s">
        <v>3516</v>
      </c>
      <c r="H193" s="1326"/>
      <c r="J193" s="1312"/>
    </row>
    <row r="194" spans="1:10" x14ac:dyDescent="0.2">
      <c r="A194" s="467" t="str">
        <f>A193</f>
        <v/>
      </c>
      <c r="B194" s="1324" t="str">
        <f>IF(LEN('11.500'!H196)=0,"",'11.500'!H196)</f>
        <v/>
      </c>
      <c r="C194" s="1280" t="str">
        <f t="shared" si="2"/>
        <v/>
      </c>
      <c r="D194" s="92"/>
      <c r="E194" s="92"/>
      <c r="F194" s="92"/>
      <c r="G194" s="1631"/>
      <c r="H194" s="1326"/>
      <c r="J194" s="1312"/>
    </row>
    <row r="195" spans="1:10" x14ac:dyDescent="0.2">
      <c r="A195" s="467" t="str">
        <f>IF(I195&gt;0,"P","")</f>
        <v/>
      </c>
      <c r="B195" s="1324" t="str">
        <f>IF(LEN('11.500'!H197)=0,"",'11.500'!H197)</f>
        <v/>
      </c>
      <c r="C195" s="1280" t="str">
        <f t="shared" si="2"/>
        <v/>
      </c>
      <c r="D195" s="92"/>
      <c r="E195" s="169" t="s">
        <v>254</v>
      </c>
      <c r="F195" s="172"/>
      <c r="G195" s="170" t="s">
        <v>407</v>
      </c>
      <c r="H195" s="1341" t="str">
        <f>IF(LEN('11.500'!W197)=0,"",'11.500'!W197)</f>
        <v/>
      </c>
      <c r="I195" s="88">
        <f>'11.500'!O197</f>
        <v>0</v>
      </c>
      <c r="J195" s="1312" t="s">
        <v>5138</v>
      </c>
    </row>
    <row r="196" spans="1:10" x14ac:dyDescent="0.2">
      <c r="A196" s="467" t="str">
        <f>IF(I196&gt;0,"P","")</f>
        <v/>
      </c>
      <c r="B196" s="1324" t="str">
        <f>IF(LEN('11.500'!H198)=0,"",'11.500'!H198)</f>
        <v/>
      </c>
      <c r="C196" s="1280" t="str">
        <f t="shared" si="2"/>
        <v/>
      </c>
      <c r="D196" s="92"/>
      <c r="E196" s="93" t="s">
        <v>255</v>
      </c>
      <c r="F196" s="103"/>
      <c r="G196" s="1613" t="s">
        <v>408</v>
      </c>
      <c r="H196" s="1341" t="str">
        <f>IF(LEN('11.500'!W198)=0,"",'11.500'!W198)</f>
        <v/>
      </c>
      <c r="I196" s="88">
        <f>'11.500'!O198</f>
        <v>0</v>
      </c>
      <c r="J196" s="1779" t="s">
        <v>5139</v>
      </c>
    </row>
    <row r="197" spans="1:10" x14ac:dyDescent="0.2">
      <c r="A197" s="467" t="str">
        <f>A196</f>
        <v/>
      </c>
      <c r="B197" s="1324" t="str">
        <f>IF(LEN('11.500'!H199)=0,"",'11.500'!H199)</f>
        <v/>
      </c>
      <c r="C197" s="1280" t="str">
        <f t="shared" si="2"/>
        <v/>
      </c>
      <c r="D197" s="92"/>
      <c r="E197" s="169"/>
      <c r="F197" s="172"/>
      <c r="G197" s="1612"/>
      <c r="H197" s="1326"/>
      <c r="J197" s="1779"/>
    </row>
    <row r="198" spans="1:10" x14ac:dyDescent="0.2">
      <c r="A198" s="467" t="str">
        <f>IF(I198&gt;0,"P","")</f>
        <v/>
      </c>
      <c r="B198" s="1324" t="str">
        <f>IF(LEN('11.500'!H200)=0,"",'11.500'!H200)</f>
        <v/>
      </c>
      <c r="C198" s="1280" t="str">
        <f t="shared" si="2"/>
        <v/>
      </c>
      <c r="D198" s="103"/>
      <c r="E198" s="93" t="s">
        <v>256</v>
      </c>
      <c r="F198" s="103"/>
      <c r="G198" s="1613" t="s">
        <v>409</v>
      </c>
      <c r="H198" s="1341" t="str">
        <f>IF(LEN('11.500'!W200)=0,"",'11.500'!W200)</f>
        <v/>
      </c>
      <c r="I198" s="88">
        <f>'11.500'!O200</f>
        <v>0</v>
      </c>
      <c r="J198" s="1779" t="s">
        <v>5140</v>
      </c>
    </row>
    <row r="199" spans="1:10" ht="16" thickBot="1" x14ac:dyDescent="0.25">
      <c r="A199" s="467" t="str">
        <f>A198</f>
        <v/>
      </c>
      <c r="B199" s="1324" t="str">
        <f>IF(LEN('11.500'!H201)=0,"",'11.500'!H201)</f>
        <v/>
      </c>
      <c r="C199" s="1280" t="str">
        <f t="shared" si="2"/>
        <v/>
      </c>
      <c r="D199" s="104"/>
      <c r="E199" s="104"/>
      <c r="F199" s="104"/>
      <c r="G199" s="1610"/>
      <c r="H199" s="1326"/>
      <c r="J199" s="1779"/>
    </row>
    <row r="200" spans="1:10" ht="16" thickTop="1" x14ac:dyDescent="0.2">
      <c r="A200" s="1503" t="str">
        <f>IF(COUNTIF(A203:A218,"P")&gt;0,"P","")</f>
        <v/>
      </c>
      <c r="B200" s="1324" t="str">
        <f>IF(LEN('11.500'!H202)=0,"",'11.500'!H202)</f>
        <v/>
      </c>
      <c r="C200" s="1280" t="str">
        <f t="shared" ref="C200:C263" si="4">IF(LEN(B200)=0,IF(A200="P","P",""),B200)</f>
        <v/>
      </c>
      <c r="D200" s="89" t="s">
        <v>3498</v>
      </c>
      <c r="E200" s="92"/>
      <c r="F200" s="92"/>
      <c r="G200" s="1683" t="s">
        <v>3791</v>
      </c>
      <c r="H200" s="1326"/>
      <c r="J200" s="1312"/>
    </row>
    <row r="201" spans="1:10" x14ac:dyDescent="0.2">
      <c r="A201" s="467" t="str">
        <f>A200</f>
        <v/>
      </c>
      <c r="B201" s="1324" t="str">
        <f>IF(LEN('11.500'!H203)=0,"",'11.500'!H203)</f>
        <v/>
      </c>
      <c r="C201" s="1280" t="str">
        <f t="shared" si="4"/>
        <v/>
      </c>
      <c r="D201" s="92"/>
      <c r="E201" s="92"/>
      <c r="F201" s="92"/>
      <c r="G201" s="1631"/>
      <c r="H201" s="1326"/>
      <c r="J201" s="1312"/>
    </row>
    <row r="202" spans="1:10" x14ac:dyDescent="0.2">
      <c r="A202" s="467" t="str">
        <f>A201</f>
        <v/>
      </c>
      <c r="B202" s="1324" t="str">
        <f>IF(LEN('11.500'!H204)=0,"",'11.500'!H204)</f>
        <v/>
      </c>
      <c r="C202" s="1280" t="str">
        <f t="shared" si="4"/>
        <v/>
      </c>
      <c r="D202" s="92"/>
      <c r="E202" s="92"/>
      <c r="F202" s="92"/>
      <c r="G202" s="1631"/>
      <c r="H202" s="1326"/>
      <c r="J202" s="1312"/>
    </row>
    <row r="203" spans="1:10" x14ac:dyDescent="0.2">
      <c r="A203" s="467" t="str">
        <f>IF(I203&gt;0,"P","")</f>
        <v/>
      </c>
      <c r="B203" s="1324" t="str">
        <f>IF(LEN('11.500'!H205)=0,"",'11.500'!H205)</f>
        <v/>
      </c>
      <c r="C203" s="1280" t="str">
        <f t="shared" si="4"/>
        <v/>
      </c>
      <c r="D203" s="92"/>
      <c r="E203" s="93" t="s">
        <v>254</v>
      </c>
      <c r="F203" s="103"/>
      <c r="G203" s="1609" t="s">
        <v>411</v>
      </c>
      <c r="H203" s="1341" t="str">
        <f>IF(LEN('11.500'!W205)=0,"",'11.500'!W205)</f>
        <v/>
      </c>
      <c r="I203" s="88">
        <f>'11.500'!O205</f>
        <v>0</v>
      </c>
      <c r="J203" s="1779" t="s">
        <v>5141</v>
      </c>
    </row>
    <row r="204" spans="1:10" x14ac:dyDescent="0.2">
      <c r="A204" s="467" t="str">
        <f>A203</f>
        <v/>
      </c>
      <c r="B204" s="1324" t="str">
        <f>IF(LEN('11.500'!H206)=0,"",'11.500'!H206)</f>
        <v/>
      </c>
      <c r="C204" s="1280" t="str">
        <f t="shared" si="4"/>
        <v/>
      </c>
      <c r="D204" s="92"/>
      <c r="E204" s="169"/>
      <c r="F204" s="172"/>
      <c r="G204" s="1612"/>
      <c r="H204" s="1326"/>
      <c r="J204" s="1779"/>
    </row>
    <row r="205" spans="1:10" x14ac:dyDescent="0.2">
      <c r="A205" s="467" t="str">
        <f>IF(I205&gt;0,"P","")</f>
        <v/>
      </c>
      <c r="B205" s="1324" t="str">
        <f>IF(LEN('11.500'!H207)=0,"",'11.500'!H207)</f>
        <v/>
      </c>
      <c r="C205" s="1280" t="str">
        <f t="shared" si="4"/>
        <v/>
      </c>
      <c r="D205" s="92"/>
      <c r="E205" s="169" t="s">
        <v>255</v>
      </c>
      <c r="F205" s="172"/>
      <c r="G205" s="170" t="s">
        <v>412</v>
      </c>
      <c r="H205" s="1341" t="str">
        <f>IF(LEN('11.500'!W207)=0,"",'11.500'!W207)</f>
        <v/>
      </c>
      <c r="I205" s="88">
        <f>'11.500'!O207</f>
        <v>0</v>
      </c>
      <c r="J205" s="1312" t="s">
        <v>5142</v>
      </c>
    </row>
    <row r="206" spans="1:10" x14ac:dyDescent="0.2">
      <c r="A206" s="467" t="str">
        <f>IF(I206&gt;0,"P","")</f>
        <v/>
      </c>
      <c r="B206" s="1324" t="str">
        <f>IF(LEN('11.500'!H208)=0,"",'11.500'!H208)</f>
        <v/>
      </c>
      <c r="C206" s="1280" t="str">
        <f t="shared" si="4"/>
        <v/>
      </c>
      <c r="D206" s="92"/>
      <c r="E206" s="93" t="s">
        <v>256</v>
      </c>
      <c r="F206" s="103"/>
      <c r="G206" s="1613" t="s">
        <v>413</v>
      </c>
      <c r="H206" s="1341" t="str">
        <f>IF(LEN('11.500'!W208)=0,"",'11.500'!W208)</f>
        <v/>
      </c>
      <c r="I206" s="88">
        <f>'11.500'!O208</f>
        <v>0</v>
      </c>
      <c r="J206" s="1779" t="s">
        <v>3120</v>
      </c>
    </row>
    <row r="207" spans="1:10" x14ac:dyDescent="0.2">
      <c r="A207" s="467" t="str">
        <f>A206</f>
        <v/>
      </c>
      <c r="B207" s="1324" t="str">
        <f>IF(LEN('11.500'!H209)=0,"",'11.500'!H209)</f>
        <v/>
      </c>
      <c r="C207" s="1280" t="str">
        <f t="shared" si="4"/>
        <v/>
      </c>
      <c r="D207" s="92"/>
      <c r="E207" s="172"/>
      <c r="F207" s="172"/>
      <c r="G207" s="1612"/>
      <c r="H207" s="1326"/>
      <c r="J207" s="1779"/>
    </row>
    <row r="208" spans="1:10" x14ac:dyDescent="0.2">
      <c r="A208" s="467" t="str">
        <f>IF(I208&gt;0,"P","")</f>
        <v/>
      </c>
      <c r="B208" s="1324" t="str">
        <f>IF(LEN('11.500'!H210)=0,"",'11.500'!H210)</f>
        <v/>
      </c>
      <c r="C208" s="1280" t="str">
        <f t="shared" si="4"/>
        <v/>
      </c>
      <c r="D208" s="92"/>
      <c r="E208" s="93" t="s">
        <v>259</v>
      </c>
      <c r="F208" s="103"/>
      <c r="G208" s="1613" t="s">
        <v>414</v>
      </c>
      <c r="H208" s="1341" t="str">
        <f>IF(LEN('11.500'!W210)=0,"",'11.500'!W210)</f>
        <v/>
      </c>
      <c r="I208" s="88">
        <f>'11.500'!O210</f>
        <v>0</v>
      </c>
      <c r="J208" s="1779" t="s">
        <v>3120</v>
      </c>
    </row>
    <row r="209" spans="1:10" x14ac:dyDescent="0.2">
      <c r="A209" s="467" t="str">
        <f>A208</f>
        <v/>
      </c>
      <c r="B209" s="1324" t="str">
        <f>IF(LEN('11.500'!H211)=0,"",'11.500'!H211)</f>
        <v/>
      </c>
      <c r="C209" s="1280" t="str">
        <f t="shared" si="4"/>
        <v/>
      </c>
      <c r="D209" s="92"/>
      <c r="E209" s="172"/>
      <c r="F209" s="172"/>
      <c r="G209" s="1612"/>
      <c r="H209" s="1326"/>
      <c r="J209" s="1779"/>
    </row>
    <row r="210" spans="1:10" x14ac:dyDescent="0.2">
      <c r="A210" s="467" t="str">
        <f>IF(I210&gt;0,"P","")</f>
        <v/>
      </c>
      <c r="B210" s="1324" t="str">
        <f>IF(LEN('11.500'!H212)=0,"",'11.500'!H212)</f>
        <v/>
      </c>
      <c r="C210" s="1280" t="str">
        <f t="shared" si="4"/>
        <v/>
      </c>
      <c r="D210" s="92"/>
      <c r="E210" s="93" t="s">
        <v>263</v>
      </c>
      <c r="F210" s="103"/>
      <c r="G210" s="1613" t="s">
        <v>415</v>
      </c>
      <c r="H210" s="1341" t="str">
        <f>IF(LEN('11.500'!W212)=0,"",'11.500'!W212)</f>
        <v/>
      </c>
      <c r="I210" s="88">
        <f>'11.500'!O212</f>
        <v>0</v>
      </c>
      <c r="J210" s="1779" t="s">
        <v>3120</v>
      </c>
    </row>
    <row r="211" spans="1:10" x14ac:dyDescent="0.2">
      <c r="A211" s="467" t="str">
        <f>A210</f>
        <v/>
      </c>
      <c r="B211" s="1324" t="str">
        <f>IF(LEN('11.500'!H213)=0,"",'11.500'!H213)</f>
        <v/>
      </c>
      <c r="C211" s="1280" t="str">
        <f t="shared" si="4"/>
        <v/>
      </c>
      <c r="D211" s="92"/>
      <c r="E211" s="103"/>
      <c r="F211" s="103"/>
      <c r="G211" s="1609"/>
      <c r="H211" s="1326"/>
      <c r="J211" s="1779"/>
    </row>
    <row r="212" spans="1:10" x14ac:dyDescent="0.2">
      <c r="A212" s="467" t="str">
        <f>A211</f>
        <v/>
      </c>
      <c r="B212" s="1324" t="str">
        <f>IF(LEN('11.500'!H214)=0,"",'11.500'!H214)</f>
        <v/>
      </c>
      <c r="C212" s="1280" t="str">
        <f t="shared" si="4"/>
        <v/>
      </c>
      <c r="D212" s="92"/>
      <c r="E212" s="103"/>
      <c r="F212" s="103"/>
      <c r="G212" s="1609"/>
      <c r="H212" s="1326"/>
      <c r="J212" s="1779"/>
    </row>
    <row r="213" spans="1:10" x14ac:dyDescent="0.2">
      <c r="A213" s="467" t="str">
        <f>A212</f>
        <v/>
      </c>
      <c r="B213" s="1324" t="str">
        <f>IF(LEN('11.500'!H215)=0,"",'11.500'!H215)</f>
        <v/>
      </c>
      <c r="C213" s="1280" t="str">
        <f t="shared" si="4"/>
        <v/>
      </c>
      <c r="D213" s="92"/>
      <c r="E213" s="172"/>
      <c r="F213" s="172"/>
      <c r="G213" s="1612"/>
      <c r="H213" s="1326"/>
      <c r="J213" s="1779"/>
    </row>
    <row r="214" spans="1:10" x14ac:dyDescent="0.2">
      <c r="A214" s="467" t="str">
        <f>IF(I214&gt;0,"P","")</f>
        <v/>
      </c>
      <c r="B214" s="1324" t="str">
        <f>IF(LEN('11.500'!H216)=0,"",'11.500'!H216)</f>
        <v/>
      </c>
      <c r="C214" s="1280" t="str">
        <f t="shared" si="4"/>
        <v/>
      </c>
      <c r="D214" s="92"/>
      <c r="E214" s="93" t="s">
        <v>264</v>
      </c>
      <c r="F214" s="103"/>
      <c r="G214" s="1613" t="s">
        <v>3792</v>
      </c>
      <c r="H214" s="1341" t="str">
        <f>IF(LEN('11.500'!W216)=0,"",'11.500'!W216)</f>
        <v/>
      </c>
      <c r="I214" s="88">
        <f>'11.500'!O216</f>
        <v>0</v>
      </c>
      <c r="J214" s="1779" t="s">
        <v>5143</v>
      </c>
    </row>
    <row r="215" spans="1:10" x14ac:dyDescent="0.2">
      <c r="A215" s="467" t="str">
        <f>A214</f>
        <v/>
      </c>
      <c r="B215" s="1324" t="str">
        <f>IF(LEN('11.500'!H217)=0,"",'11.500'!H217)</f>
        <v/>
      </c>
      <c r="C215" s="1280" t="str">
        <f t="shared" si="4"/>
        <v/>
      </c>
      <c r="D215" s="92"/>
      <c r="E215" s="103"/>
      <c r="F215" s="103"/>
      <c r="G215" s="1609"/>
      <c r="H215" s="1326"/>
      <c r="J215" s="1779"/>
    </row>
    <row r="216" spans="1:10" x14ac:dyDescent="0.2">
      <c r="A216" s="467" t="str">
        <f>A215</f>
        <v/>
      </c>
      <c r="B216" s="1324" t="str">
        <f>IF(LEN('11.500'!H218)=0,"",'11.500'!H218)</f>
        <v/>
      </c>
      <c r="C216" s="1280" t="str">
        <f t="shared" si="4"/>
        <v/>
      </c>
      <c r="D216" s="92"/>
      <c r="E216" s="172"/>
      <c r="F216" s="172"/>
      <c r="G216" s="1612"/>
      <c r="H216" s="1326"/>
      <c r="J216" s="1779"/>
    </row>
    <row r="217" spans="1:10" x14ac:dyDescent="0.2">
      <c r="A217" s="467" t="str">
        <f>IF(I217&gt;0,"P","")</f>
        <v/>
      </c>
      <c r="B217" s="1324" t="str">
        <f>IF(LEN('11.500'!H219)=0,"",'11.500'!H219)</f>
        <v/>
      </c>
      <c r="C217" s="1280" t="str">
        <f t="shared" si="4"/>
        <v/>
      </c>
      <c r="D217" s="92"/>
      <c r="E217" s="169" t="s">
        <v>356</v>
      </c>
      <c r="F217" s="172"/>
      <c r="G217" s="170" t="s">
        <v>416</v>
      </c>
      <c r="H217" s="1341" t="str">
        <f>IF(LEN('11.500'!W219)=0,"",'11.500'!W219)</f>
        <v/>
      </c>
      <c r="I217" s="88">
        <f>'11.500'!O219</f>
        <v>0</v>
      </c>
      <c r="J217" s="1312" t="s">
        <v>5144</v>
      </c>
    </row>
    <row r="218" spans="1:10" x14ac:dyDescent="0.2">
      <c r="A218" s="467" t="str">
        <f>IF(I218&gt;0,"P","")</f>
        <v/>
      </c>
      <c r="B218" s="1324" t="str">
        <f>IF(LEN('11.500'!H220)=0,"",'11.500'!H220)</f>
        <v/>
      </c>
      <c r="C218" s="1280" t="str">
        <f t="shared" si="4"/>
        <v/>
      </c>
      <c r="D218" s="92"/>
      <c r="E218" s="93" t="s">
        <v>389</v>
      </c>
      <c r="F218" s="103"/>
      <c r="G218" s="1281" t="s">
        <v>3793</v>
      </c>
      <c r="H218" s="1326"/>
      <c r="I218" s="88">
        <f>'11.500'!O220</f>
        <v>0</v>
      </c>
      <c r="J218" s="1779" t="s">
        <v>5145</v>
      </c>
    </row>
    <row r="219" spans="1:10" x14ac:dyDescent="0.2">
      <c r="A219" s="467" t="str">
        <f t="shared" ref="A219:A224" si="5">IF(AND(LEN(H219)&gt;0,NOT(H219=FALSE),NOT(H219="N/A")),"P","")</f>
        <v/>
      </c>
      <c r="B219" s="1324" t="str">
        <f>IF(LEN('11.500'!H221)=0,"",'11.500'!H221)</f>
        <v/>
      </c>
      <c r="C219" s="1280" t="str">
        <f t="shared" si="4"/>
        <v/>
      </c>
      <c r="D219" s="92"/>
      <c r="E219" s="103"/>
      <c r="F219" s="103"/>
      <c r="G219" s="1281" t="s">
        <v>2551</v>
      </c>
      <c r="H219" s="1341" t="str">
        <f>IF(LEN('11.500'!W221)=0,"",'11.500'!W221)</f>
        <v/>
      </c>
      <c r="J219" s="1779"/>
    </row>
    <row r="220" spans="1:10" x14ac:dyDescent="0.2">
      <c r="A220" s="467" t="str">
        <f t="shared" si="5"/>
        <v/>
      </c>
      <c r="B220" s="1324" t="str">
        <f>IF(LEN('11.500'!H222)=0,"",'11.500'!H222)</f>
        <v/>
      </c>
      <c r="C220" s="1280" t="str">
        <f t="shared" si="4"/>
        <v/>
      </c>
      <c r="D220" s="92"/>
      <c r="E220" s="103"/>
      <c r="F220" s="103"/>
      <c r="G220" s="1281" t="s">
        <v>2550</v>
      </c>
      <c r="H220" s="1341" t="str">
        <f>IF(LEN('11.500'!W222)=0,"",'11.500'!W222)</f>
        <v/>
      </c>
      <c r="J220" s="1779"/>
    </row>
    <row r="221" spans="1:10" x14ac:dyDescent="0.2">
      <c r="A221" s="467" t="str">
        <f t="shared" si="5"/>
        <v/>
      </c>
      <c r="B221" s="1324" t="str">
        <f>IF(LEN('11.500'!H223)=0,"",'11.500'!H223)</f>
        <v/>
      </c>
      <c r="C221" s="1280" t="str">
        <f t="shared" si="4"/>
        <v/>
      </c>
      <c r="D221" s="92"/>
      <c r="E221" s="103"/>
      <c r="F221" s="103"/>
      <c r="G221" s="1281" t="s">
        <v>2549</v>
      </c>
      <c r="H221" s="1341" t="str">
        <f>IF(LEN('11.500'!W223)=0,"",'11.500'!W223)</f>
        <v/>
      </c>
      <c r="J221" s="1779"/>
    </row>
    <row r="222" spans="1:10" x14ac:dyDescent="0.2">
      <c r="A222" s="467" t="str">
        <f t="shared" si="5"/>
        <v/>
      </c>
      <c r="B222" s="1324" t="str">
        <f>IF(LEN('11.500'!H224)=0,"",'11.500'!H224)</f>
        <v/>
      </c>
      <c r="C222" s="1280" t="str">
        <f t="shared" si="4"/>
        <v/>
      </c>
      <c r="D222" s="92"/>
      <c r="E222" s="103"/>
      <c r="F222" s="103"/>
      <c r="G222" s="1281" t="s">
        <v>2548</v>
      </c>
      <c r="H222" s="1341" t="str">
        <f>IF(LEN('11.500'!W224)=0,"",'11.500'!W224)</f>
        <v/>
      </c>
      <c r="J222" s="1779"/>
    </row>
    <row r="223" spans="1:10" x14ac:dyDescent="0.2">
      <c r="A223" s="467" t="str">
        <f t="shared" si="5"/>
        <v/>
      </c>
      <c r="B223" s="1324" t="str">
        <f>IF(LEN('11.500'!H225)=0,"",'11.500'!H225)</f>
        <v/>
      </c>
      <c r="C223" s="1280" t="str">
        <f t="shared" si="4"/>
        <v/>
      </c>
      <c r="D223" s="92"/>
      <c r="E223" s="103"/>
      <c r="F223" s="103"/>
      <c r="G223" s="1281" t="s">
        <v>2547</v>
      </c>
      <c r="H223" s="1341" t="str">
        <f>IF(LEN('11.500'!W225)=0,"",'11.500'!W225)</f>
        <v/>
      </c>
      <c r="J223" s="1779"/>
    </row>
    <row r="224" spans="1:10" x14ac:dyDescent="0.2">
      <c r="A224" s="467" t="str">
        <f t="shared" si="5"/>
        <v/>
      </c>
      <c r="B224" s="1324" t="str">
        <f>IF(LEN('11.500'!H226)=0,"",'11.500'!H226)</f>
        <v/>
      </c>
      <c r="C224" s="1280" t="str">
        <f t="shared" si="4"/>
        <v/>
      </c>
      <c r="D224" s="92"/>
      <c r="E224" s="103"/>
      <c r="F224" s="103"/>
      <c r="G224" s="1281" t="s">
        <v>2546</v>
      </c>
      <c r="H224" s="1341" t="str">
        <f>IF(LEN('11.500'!W226)=0,"",'11.500'!W226)</f>
        <v/>
      </c>
      <c r="J224" s="1779"/>
    </row>
    <row r="225" spans="1:10" x14ac:dyDescent="0.2">
      <c r="B225" s="1324" t="str">
        <f>IF(LEN('11.500'!H227)=0,"",'11.500'!H227)</f>
        <v/>
      </c>
      <c r="C225" s="1280" t="str">
        <f t="shared" si="4"/>
        <v/>
      </c>
      <c r="D225" s="92"/>
      <c r="E225" s="172"/>
      <c r="F225" s="172"/>
      <c r="G225" s="1340" t="s">
        <v>2545</v>
      </c>
      <c r="H225" s="1326"/>
      <c r="J225" s="1312"/>
    </row>
    <row r="226" spans="1:10" ht="19" x14ac:dyDescent="0.25">
      <c r="A226" s="467" t="s">
        <v>3200</v>
      </c>
      <c r="B226" s="1324" t="str">
        <f>IF(LEN('11.500'!H228)=0,"",'11.500'!H228)</f>
        <v/>
      </c>
      <c r="C226" s="1280" t="str">
        <f t="shared" si="4"/>
        <v>P</v>
      </c>
      <c r="D226" s="72" t="s">
        <v>3499</v>
      </c>
      <c r="E226" s="72"/>
      <c r="F226" s="72"/>
      <c r="G226" s="86"/>
      <c r="H226" s="994"/>
      <c r="I226" s="25"/>
      <c r="J226" s="25"/>
    </row>
    <row r="227" spans="1:10" x14ac:dyDescent="0.2">
      <c r="B227" s="1324" t="str">
        <f>IF(LEN('11.500'!H229)=0,"",'11.500'!H229)</f>
        <v/>
      </c>
      <c r="C227" s="1280" t="str">
        <f t="shared" si="4"/>
        <v/>
      </c>
      <c r="D227" s="93" t="s">
        <v>3500</v>
      </c>
      <c r="E227" s="103"/>
      <c r="F227" s="103"/>
      <c r="G227" s="1629" t="s">
        <v>3794</v>
      </c>
      <c r="H227" s="1326"/>
      <c r="J227" s="1312"/>
    </row>
    <row r="228" spans="1:10" x14ac:dyDescent="0.2">
      <c r="B228" s="1324" t="str">
        <f>IF(LEN('11.500'!H230)=0,"",'11.500'!H230)</f>
        <v/>
      </c>
      <c r="C228" s="1280" t="str">
        <f t="shared" si="4"/>
        <v/>
      </c>
      <c r="D228" s="103"/>
      <c r="E228" s="103"/>
      <c r="F228" s="103"/>
      <c r="G228" s="1629"/>
      <c r="H228" s="1326"/>
      <c r="J228" s="1312"/>
    </row>
    <row r="229" spans="1:10" ht="16" thickBot="1" x14ac:dyDescent="0.25">
      <c r="B229" s="1324" t="str">
        <f>IF(LEN('11.500'!H231)=0,"",'11.500'!H231)</f>
        <v/>
      </c>
      <c r="C229" s="1280" t="str">
        <f t="shared" si="4"/>
        <v/>
      </c>
      <c r="D229" s="104"/>
      <c r="E229" s="104"/>
      <c r="F229" s="104"/>
      <c r="G229" s="1630"/>
      <c r="H229" s="1326"/>
      <c r="J229" s="1312"/>
    </row>
    <row r="230" spans="1:10" ht="16" thickTop="1" x14ac:dyDescent="0.2">
      <c r="A230" s="1503" t="str">
        <f ca="1">IF(COUNTIF(A232:A235,"P")&gt;0,"P","")</f>
        <v/>
      </c>
      <c r="B230" s="1324" t="str">
        <f>IF(LEN('11.500'!H232)=0,"",'11.500'!H232)</f>
        <v/>
      </c>
      <c r="C230" s="1280" t="str">
        <f t="shared" ca="1" si="4"/>
        <v/>
      </c>
      <c r="D230" s="89" t="s">
        <v>3501</v>
      </c>
      <c r="E230" s="92"/>
      <c r="F230" s="92"/>
      <c r="G230" s="1683" t="s">
        <v>3517</v>
      </c>
      <c r="H230" s="1326"/>
      <c r="J230" s="1312"/>
    </row>
    <row r="231" spans="1:10" x14ac:dyDescent="0.2">
      <c r="A231" s="467" t="str">
        <f ca="1">A230</f>
        <v/>
      </c>
      <c r="B231" s="1324" t="str">
        <f>IF(LEN('11.500'!H233)=0,"",'11.500'!H233)</f>
        <v/>
      </c>
      <c r="C231" s="1280" t="str">
        <f t="shared" ca="1" si="4"/>
        <v/>
      </c>
      <c r="D231" s="92"/>
      <c r="E231" s="92"/>
      <c r="F231" s="92"/>
      <c r="G231" s="1631"/>
      <c r="H231" s="1326"/>
      <c r="J231" s="1312"/>
    </row>
    <row r="232" spans="1:10" x14ac:dyDescent="0.2">
      <c r="A232" s="467" t="str">
        <f>IF(I232&gt;0,"P","")</f>
        <v/>
      </c>
      <c r="B232" s="1324" t="str">
        <f>IF(LEN('11.500'!H234)=0,"",'11.500'!H234)</f>
        <v/>
      </c>
      <c r="C232" s="1280" t="str">
        <f t="shared" si="4"/>
        <v/>
      </c>
      <c r="D232" s="92"/>
      <c r="E232" s="93" t="s">
        <v>254</v>
      </c>
      <c r="F232" s="103"/>
      <c r="G232" s="1609" t="s">
        <v>419</v>
      </c>
      <c r="H232" s="1341" t="str">
        <f>IF(LEN('11.500'!W234)=0,"",'11.500'!W234)</f>
        <v/>
      </c>
      <c r="I232" s="88">
        <f>'11.500'!O234</f>
        <v>0</v>
      </c>
      <c r="J232" s="1779" t="s">
        <v>5142</v>
      </c>
    </row>
    <row r="233" spans="1:10" x14ac:dyDescent="0.2">
      <c r="A233" s="467" t="str">
        <f>A232</f>
        <v/>
      </c>
      <c r="B233" s="1324" t="str">
        <f>IF(LEN('11.500'!H235)=0,"",'11.500'!H235)</f>
        <v/>
      </c>
      <c r="C233" s="1280" t="str">
        <f t="shared" si="4"/>
        <v/>
      </c>
      <c r="D233" s="92"/>
      <c r="E233" s="169"/>
      <c r="F233" s="172"/>
      <c r="G233" s="1612"/>
      <c r="H233" s="1326"/>
      <c r="J233" s="1779"/>
    </row>
    <row r="234" spans="1:10" x14ac:dyDescent="0.2">
      <c r="A234" s="467" t="str">
        <f ca="1">IF(I234&gt;0,"P","")</f>
        <v/>
      </c>
      <c r="B234" s="1324" t="str">
        <f>IF(LEN('11.500'!H236)=0,"",'11.500'!H236)</f>
        <v/>
      </c>
      <c r="C234" s="1280" t="str">
        <f t="shared" ca="1" si="4"/>
        <v/>
      </c>
      <c r="D234" s="92"/>
      <c r="E234" s="169" t="s">
        <v>255</v>
      </c>
      <c r="F234" s="172"/>
      <c r="G234" s="170" t="s">
        <v>420</v>
      </c>
      <c r="H234" s="1341" t="str">
        <f>IF(LEN('11.500'!W236)=0,"",'11.500'!W236)</f>
        <v/>
      </c>
      <c r="I234" s="88">
        <f ca="1">'11.500'!O236</f>
        <v>0</v>
      </c>
      <c r="J234" s="1312" t="s">
        <v>5146</v>
      </c>
    </row>
    <row r="235" spans="1:10" x14ac:dyDescent="0.2">
      <c r="A235" s="467" t="str">
        <f ca="1">IF(I235&gt;0,"P","")</f>
        <v/>
      </c>
      <c r="B235" s="1324" t="str">
        <f>IF(LEN('11.500'!H237)=0,"",'11.500'!H237)</f>
        <v/>
      </c>
      <c r="C235" s="1280" t="str">
        <f t="shared" ca="1" si="4"/>
        <v/>
      </c>
      <c r="D235" s="92"/>
      <c r="E235" s="89" t="s">
        <v>256</v>
      </c>
      <c r="F235" s="92"/>
      <c r="G235" s="85" t="s">
        <v>421</v>
      </c>
      <c r="H235" s="1341" t="str">
        <f>IF(LEN('11.500'!W237)=0,"",'11.500'!W237)</f>
        <v/>
      </c>
      <c r="I235" s="88">
        <f ca="1">'11.500'!O237</f>
        <v>0</v>
      </c>
      <c r="J235" s="1312" t="s">
        <v>3120</v>
      </c>
    </row>
    <row r="236" spans="1:10" x14ac:dyDescent="0.2">
      <c r="B236" s="1324" t="str">
        <f>IF(LEN('11.500'!H238)=0,"",'11.500'!H238)</f>
        <v/>
      </c>
      <c r="C236" s="1280" t="str">
        <f t="shared" si="4"/>
        <v/>
      </c>
      <c r="D236" s="88"/>
      <c r="E236" s="92"/>
      <c r="F236" s="89" t="s">
        <v>121</v>
      </c>
      <c r="G236" s="85" t="s">
        <v>422</v>
      </c>
      <c r="H236" s="1326"/>
      <c r="J236" s="1312"/>
    </row>
    <row r="237" spans="1:10" x14ac:dyDescent="0.2">
      <c r="B237" s="1324" t="str">
        <f>IF(LEN('11.500'!H239)=0,"",'11.500'!H239)</f>
        <v/>
      </c>
      <c r="C237" s="1280" t="str">
        <f t="shared" si="4"/>
        <v/>
      </c>
      <c r="D237" s="88"/>
      <c r="E237" s="92"/>
      <c r="F237" s="89" t="s">
        <v>122</v>
      </c>
      <c r="G237" s="85" t="s">
        <v>423</v>
      </c>
      <c r="H237" s="1326"/>
      <c r="J237" s="1312"/>
    </row>
    <row r="238" spans="1:10" x14ac:dyDescent="0.2">
      <c r="B238" s="1324" t="str">
        <f>IF(LEN('11.500'!H240)=0,"",'11.500'!H240)</f>
        <v/>
      </c>
      <c r="C238" s="1280" t="str">
        <f t="shared" si="4"/>
        <v/>
      </c>
      <c r="D238" s="1140"/>
      <c r="E238" s="172"/>
      <c r="F238" s="174" t="s">
        <v>123</v>
      </c>
      <c r="G238" s="170" t="s">
        <v>359</v>
      </c>
      <c r="H238" s="1326"/>
      <c r="J238" s="1312"/>
    </row>
    <row r="239" spans="1:10" x14ac:dyDescent="0.2">
      <c r="A239" s="467" t="str">
        <f>IF(I239&gt;0,"P","")</f>
        <v/>
      </c>
      <c r="B239" s="1324" t="str">
        <f>IF(LEN('11.500'!H241)=0,"",'11.500'!H241)</f>
        <v/>
      </c>
      <c r="C239" s="1280" t="str">
        <f t="shared" si="4"/>
        <v/>
      </c>
      <c r="D239" s="89" t="s">
        <v>3502</v>
      </c>
      <c r="E239" s="92"/>
      <c r="F239" s="92"/>
      <c r="G239" s="87" t="s">
        <v>3795</v>
      </c>
      <c r="H239" s="1326"/>
      <c r="I239" s="1397">
        <f>SUM(I240:I250)</f>
        <v>0</v>
      </c>
      <c r="J239" s="1312"/>
    </row>
    <row r="240" spans="1:10" ht="15" customHeight="1" x14ac:dyDescent="0.2">
      <c r="A240" s="467" t="str">
        <f>IF(I240&gt;0,"P","")</f>
        <v/>
      </c>
      <c r="B240" s="1324" t="str">
        <f>IF(LEN('11.500'!H242)=0,"",'11.500'!H242)</f>
        <v/>
      </c>
      <c r="C240" s="1280" t="str">
        <f t="shared" si="4"/>
        <v/>
      </c>
      <c r="D240" s="92"/>
      <c r="E240" s="89" t="s">
        <v>254</v>
      </c>
      <c r="F240" s="92"/>
      <c r="G240" s="1611" t="s">
        <v>425</v>
      </c>
      <c r="H240" s="1326"/>
      <c r="I240" s="88">
        <f>'11.500'!O242</f>
        <v>0</v>
      </c>
      <c r="J240" s="1802" t="s">
        <v>5147</v>
      </c>
    </row>
    <row r="241" spans="1:10" x14ac:dyDescent="0.2">
      <c r="A241" s="467" t="str">
        <f>A240</f>
        <v/>
      </c>
      <c r="B241" s="1324" t="str">
        <f>IF(LEN('11.500'!H243)=0,"",'11.500'!H243)</f>
        <v/>
      </c>
      <c r="C241" s="1280" t="str">
        <f t="shared" si="4"/>
        <v/>
      </c>
      <c r="D241" s="92"/>
      <c r="E241" s="92"/>
      <c r="F241" s="92"/>
      <c r="G241" s="1611"/>
      <c r="H241" s="1326"/>
      <c r="J241" s="1803"/>
    </row>
    <row r="242" spans="1:10" x14ac:dyDescent="0.2">
      <c r="B242" s="1324" t="str">
        <f>IF(LEN('11.500'!H244)=0,"",'11.500'!H244)</f>
        <v/>
      </c>
      <c r="C242" s="1280" t="str">
        <f t="shared" si="4"/>
        <v/>
      </c>
      <c r="D242" s="88"/>
      <c r="E242" s="92"/>
      <c r="F242" s="89" t="s">
        <v>121</v>
      </c>
      <c r="G242" s="1611" t="s">
        <v>426</v>
      </c>
      <c r="H242" s="1341" t="str">
        <f>IF(LEN('11.500'!W244)=0,"",'11.500'!W244)</f>
        <v/>
      </c>
      <c r="J242" s="1336"/>
    </row>
    <row r="243" spans="1:10" x14ac:dyDescent="0.2">
      <c r="B243" s="1324" t="str">
        <f>IF(LEN('11.500'!H245)=0,"",'11.500'!H245)</f>
        <v/>
      </c>
      <c r="C243" s="1280" t="str">
        <f t="shared" si="4"/>
        <v/>
      </c>
      <c r="D243" s="88"/>
      <c r="E243" s="92"/>
      <c r="F243" s="92"/>
      <c r="G243" s="1611"/>
      <c r="H243" s="1326"/>
      <c r="J243" s="1336"/>
    </row>
    <row r="244" spans="1:10" x14ac:dyDescent="0.2">
      <c r="B244" s="1324" t="str">
        <f>IF(LEN('11.500'!H246)=0,"",'11.500'!H246)</f>
        <v/>
      </c>
      <c r="C244" s="1280" t="str">
        <f t="shared" si="4"/>
        <v/>
      </c>
      <c r="D244" s="88"/>
      <c r="E244" s="92"/>
      <c r="F244" s="92"/>
      <c r="G244" s="1611"/>
      <c r="H244" s="1326"/>
      <c r="J244" s="1312"/>
    </row>
    <row r="245" spans="1:10" x14ac:dyDescent="0.2">
      <c r="B245" s="1324" t="str">
        <f>IF(LEN('11.500'!H247)=0,"",'11.500'!H247)</f>
        <v/>
      </c>
      <c r="C245" s="1280" t="str">
        <f t="shared" si="4"/>
        <v/>
      </c>
      <c r="D245" s="88"/>
      <c r="E245" s="92"/>
      <c r="F245" s="89" t="s">
        <v>122</v>
      </c>
      <c r="G245" s="1611" t="s">
        <v>427</v>
      </c>
      <c r="H245" s="1341" t="str">
        <f>IF(LEN('11.500'!W247)=0,"",'11.500'!W247)</f>
        <v/>
      </c>
      <c r="J245" s="1312"/>
    </row>
    <row r="246" spans="1:10" x14ac:dyDescent="0.2">
      <c r="B246" s="1324" t="str">
        <f>IF(LEN('11.500'!H248)=0,"",'11.500'!H248)</f>
        <v/>
      </c>
      <c r="C246" s="1280" t="str">
        <f t="shared" si="4"/>
        <v/>
      </c>
      <c r="D246" s="88"/>
      <c r="E246" s="92"/>
      <c r="F246" s="92"/>
      <c r="G246" s="1611"/>
      <c r="H246" s="1326"/>
      <c r="J246" s="1312"/>
    </row>
    <row r="247" spans="1:10" x14ac:dyDescent="0.2">
      <c r="B247" s="1324" t="str">
        <f>IF(LEN('11.500'!H249)=0,"",'11.500'!H249)</f>
        <v/>
      </c>
      <c r="C247" s="1280" t="str">
        <f t="shared" si="4"/>
        <v/>
      </c>
      <c r="D247" s="88"/>
      <c r="E247" s="92"/>
      <c r="F247" s="92"/>
      <c r="G247" s="1611"/>
      <c r="H247" s="1326"/>
      <c r="J247" s="1312"/>
    </row>
    <row r="248" spans="1:10" x14ac:dyDescent="0.2">
      <c r="B248" s="1324" t="str">
        <f>IF(LEN('11.500'!H250)=0,"",'11.500'!H250)</f>
        <v/>
      </c>
      <c r="C248" s="1280" t="str">
        <f t="shared" si="4"/>
        <v/>
      </c>
      <c r="D248" s="88"/>
      <c r="E248" s="92"/>
      <c r="F248" s="92"/>
      <c r="G248" s="1611"/>
      <c r="H248" s="1326"/>
      <c r="J248" s="1312"/>
    </row>
    <row r="249" spans="1:10" x14ac:dyDescent="0.2">
      <c r="B249" s="1324" t="str">
        <f>IF(LEN('11.500'!H251)=0,"",'11.500'!H251)</f>
        <v/>
      </c>
      <c r="C249" s="1280" t="str">
        <f t="shared" si="4"/>
        <v/>
      </c>
      <c r="D249" s="88"/>
      <c r="E249" s="172"/>
      <c r="F249" s="174" t="s">
        <v>123</v>
      </c>
      <c r="G249" s="170" t="s">
        <v>428</v>
      </c>
      <c r="H249" s="1341" t="str">
        <f>IF(LEN('11.500'!W251)=0,"",'11.500'!W251)</f>
        <v/>
      </c>
      <c r="J249" s="1312"/>
    </row>
    <row r="250" spans="1:10" x14ac:dyDescent="0.2">
      <c r="A250" s="467" t="str">
        <f>IF(I250&gt;0,"P","")</f>
        <v/>
      </c>
      <c r="B250" s="1324" t="str">
        <f>IF(LEN('11.500'!H252)=0,"",'11.500'!H252)</f>
        <v/>
      </c>
      <c r="C250" s="1280" t="str">
        <f t="shared" si="4"/>
        <v/>
      </c>
      <c r="D250" s="103"/>
      <c r="E250" s="93" t="s">
        <v>255</v>
      </c>
      <c r="F250" s="103"/>
      <c r="G250" s="1613" t="s">
        <v>429</v>
      </c>
      <c r="H250" s="1341" t="str">
        <f>IF(LEN('11.500'!W252)=0,"",'11.500'!W252)</f>
        <v/>
      </c>
      <c r="I250" s="88">
        <f>'11.500'!O252</f>
        <v>0</v>
      </c>
      <c r="J250" s="1779" t="s">
        <v>5148</v>
      </c>
    </row>
    <row r="251" spans="1:10" x14ac:dyDescent="0.2">
      <c r="A251" s="467" t="str">
        <f>A250</f>
        <v/>
      </c>
      <c r="B251" s="1324" t="str">
        <f>IF(LEN('11.500'!H253)=0,"",'11.500'!H253)</f>
        <v/>
      </c>
      <c r="C251" s="1280" t="str">
        <f t="shared" si="4"/>
        <v/>
      </c>
      <c r="D251" s="103"/>
      <c r="E251" s="103"/>
      <c r="F251" s="103"/>
      <c r="G251" s="1609"/>
      <c r="H251" s="1326"/>
      <c r="J251" s="1779"/>
    </row>
    <row r="252" spans="1:10" ht="16" thickBot="1" x14ac:dyDescent="0.25">
      <c r="A252" s="467" t="str">
        <f>A251</f>
        <v/>
      </c>
      <c r="B252" s="1324" t="str">
        <f>IF(LEN('11.500'!H254)=0,"",'11.500'!H254)</f>
        <v/>
      </c>
      <c r="C252" s="1280" t="str">
        <f t="shared" si="4"/>
        <v/>
      </c>
      <c r="D252" s="104"/>
      <c r="E252" s="104"/>
      <c r="F252" s="104"/>
      <c r="G252" s="1610"/>
      <c r="H252" s="1326"/>
      <c r="J252" s="1779"/>
    </row>
    <row r="253" spans="1:10" ht="16" thickTop="1" x14ac:dyDescent="0.2">
      <c r="A253" s="467" t="str">
        <f ca="1">IF(I253&gt;0,"P","")</f>
        <v>P</v>
      </c>
      <c r="B253" s="1324" t="str">
        <f>IF(LEN('11.500'!H255)=0,"",'11.500'!H255)</f>
        <v/>
      </c>
      <c r="C253" s="1280" t="str">
        <f t="shared" ca="1" si="4"/>
        <v>P</v>
      </c>
      <c r="D253" s="89" t="s">
        <v>3503</v>
      </c>
      <c r="E253" s="92"/>
      <c r="F253" s="92"/>
      <c r="G253" s="87" t="s">
        <v>3518</v>
      </c>
      <c r="H253" s="1341" t="str">
        <f>IF(LEN('11.500'!W255)=0,"",'11.500'!W255)</f>
        <v>(4)</v>
      </c>
      <c r="I253" s="88">
        <f ca="1">'11.500'!O255</f>
        <v>7</v>
      </c>
      <c r="J253" s="1312" t="s">
        <v>3121</v>
      </c>
    </row>
    <row r="254" spans="1:10" ht="16" x14ac:dyDescent="0.2">
      <c r="B254" s="1324" t="str">
        <f>IF(LEN('11.500'!H256)=0,"",'11.500'!H256)</f>
        <v/>
      </c>
      <c r="C254" s="1280" t="str">
        <f t="shared" si="4"/>
        <v/>
      </c>
      <c r="D254" s="92"/>
      <c r="E254" s="169" t="s">
        <v>254</v>
      </c>
      <c r="F254" s="172"/>
      <c r="G254" s="170" t="s">
        <v>431</v>
      </c>
      <c r="H254" s="1326"/>
      <c r="J254" s="1312"/>
    </row>
    <row r="255" spans="1:10" ht="16" x14ac:dyDescent="0.2">
      <c r="B255" s="1324" t="str">
        <f>IF(LEN('11.500'!H257)=0,"",'11.500'!H257)</f>
        <v/>
      </c>
      <c r="C255" s="1280" t="str">
        <f t="shared" si="4"/>
        <v/>
      </c>
      <c r="D255" s="92"/>
      <c r="E255" s="169" t="s">
        <v>255</v>
      </c>
      <c r="F255" s="172"/>
      <c r="G255" s="170" t="s">
        <v>432</v>
      </c>
      <c r="H255" s="1326"/>
      <c r="J255" s="1312"/>
    </row>
    <row r="256" spans="1:10" ht="16" x14ac:dyDescent="0.2">
      <c r="B256" s="1324" t="str">
        <f>IF(LEN('11.500'!H258)=0,"",'11.500'!H258)</f>
        <v/>
      </c>
      <c r="C256" s="1280" t="str">
        <f t="shared" si="4"/>
        <v/>
      </c>
      <c r="D256" s="92"/>
      <c r="E256" s="169" t="s">
        <v>256</v>
      </c>
      <c r="F256" s="172"/>
      <c r="G256" s="170" t="s">
        <v>433</v>
      </c>
      <c r="H256" s="1326"/>
      <c r="J256" s="1312"/>
    </row>
    <row r="257" spans="1:10" ht="16" x14ac:dyDescent="0.2">
      <c r="B257" s="1324" t="str">
        <f>IF(LEN('11.500'!H259)=0,"",'11.500'!H259)</f>
        <v/>
      </c>
      <c r="C257" s="1280" t="str">
        <f t="shared" si="4"/>
        <v/>
      </c>
      <c r="D257" s="92"/>
      <c r="E257" s="169" t="s">
        <v>259</v>
      </c>
      <c r="F257" s="172"/>
      <c r="G257" s="170" t="s">
        <v>434</v>
      </c>
      <c r="H257" s="1326"/>
      <c r="J257" s="1312"/>
    </row>
    <row r="258" spans="1:10" ht="17" thickBot="1" x14ac:dyDescent="0.25">
      <c r="B258" s="1324" t="str">
        <f>IF(LEN('11.500'!H260)=0,"",'11.500'!H260)</f>
        <v/>
      </c>
      <c r="C258" s="1280" t="str">
        <f t="shared" si="4"/>
        <v/>
      </c>
      <c r="D258" s="104"/>
      <c r="E258" s="98" t="s">
        <v>263</v>
      </c>
      <c r="F258" s="104"/>
      <c r="G258" s="99" t="s">
        <v>435</v>
      </c>
      <c r="H258" s="1326"/>
      <c r="J258" s="1312"/>
    </row>
    <row r="259" spans="1:10" ht="16" thickTop="1" x14ac:dyDescent="0.2">
      <c r="A259" s="1503" t="str">
        <f>IF(COUNTIF(A260,"P")&gt;0,"P","")</f>
        <v/>
      </c>
      <c r="B259" s="1324" t="str">
        <f>IF(LEN('11.500'!H261)=0,"",'11.500'!H261)</f>
        <v/>
      </c>
      <c r="C259" s="1280" t="str">
        <f t="shared" si="4"/>
        <v/>
      </c>
      <c r="D259" s="87" t="s">
        <v>3504</v>
      </c>
      <c r="E259" s="87"/>
      <c r="F259" s="87"/>
      <c r="G259" s="136" t="s">
        <v>3957</v>
      </c>
      <c r="H259" s="1326"/>
      <c r="J259" s="1312"/>
    </row>
    <row r="260" spans="1:10" ht="16" thickBot="1" x14ac:dyDescent="0.25">
      <c r="A260" s="467" t="str">
        <f>IF(I260&gt;0,"P","")</f>
        <v/>
      </c>
      <c r="B260" s="1324" t="str">
        <f>IF(LEN('11.500'!H262)=0,"",'11.500'!H262)</f>
        <v/>
      </c>
      <c r="C260" s="1280" t="str">
        <f t="shared" si="4"/>
        <v/>
      </c>
      <c r="D260" s="105"/>
      <c r="E260" s="105" t="s">
        <v>254</v>
      </c>
      <c r="F260" s="105"/>
      <c r="G260" s="596" t="s">
        <v>3958</v>
      </c>
      <c r="H260" s="1341" t="str">
        <f>IF(LEN('11.500'!W262)=0,"",'11.500'!W262)</f>
        <v/>
      </c>
      <c r="I260" s="88">
        <f>'11.500'!O262</f>
        <v>0</v>
      </c>
      <c r="J260" s="1312" t="s">
        <v>5142</v>
      </c>
    </row>
    <row r="261" spans="1:10" ht="16" thickTop="1" x14ac:dyDescent="0.2">
      <c r="A261" s="467" t="str">
        <f ca="1">IF(I261&gt;0,"P","")</f>
        <v/>
      </c>
      <c r="B261" s="1324" t="str">
        <f>IF(LEN('11.500'!H263)=0,"",'11.500'!H263)</f>
        <v/>
      </c>
      <c r="C261" s="1280" t="str">
        <f t="shared" ca="1" si="4"/>
        <v/>
      </c>
      <c r="D261" s="87" t="s">
        <v>3505</v>
      </c>
      <c r="E261" s="87"/>
      <c r="F261" s="87"/>
      <c r="G261" s="1611" t="s">
        <v>3969</v>
      </c>
      <c r="H261" s="1326"/>
      <c r="I261" s="1397">
        <f ca="1">SUM(I263:I265)</f>
        <v>0</v>
      </c>
      <c r="J261" s="1779" t="s">
        <v>5149</v>
      </c>
    </row>
    <row r="262" spans="1:10" x14ac:dyDescent="0.2">
      <c r="A262" s="467" t="str">
        <f ca="1">A261</f>
        <v/>
      </c>
      <c r="B262" s="1324" t="str">
        <f>IF(LEN('11.500'!H264)=0,"",'11.500'!H264)</f>
        <v/>
      </c>
      <c r="C262" s="1280" t="str">
        <f t="shared" ca="1" si="4"/>
        <v/>
      </c>
      <c r="D262" s="87"/>
      <c r="E262" s="87"/>
      <c r="F262" s="87"/>
      <c r="G262" s="1611"/>
      <c r="H262" s="1326"/>
      <c r="J262" s="1779"/>
    </row>
    <row r="263" spans="1:10" x14ac:dyDescent="0.2">
      <c r="B263" s="1324" t="str">
        <f>IF(LEN('11.500'!H265)=0,"",'11.500'!H265)</f>
        <v/>
      </c>
      <c r="C263" s="1280" t="str">
        <f t="shared" si="4"/>
        <v/>
      </c>
      <c r="D263" s="87"/>
      <c r="E263" s="87"/>
      <c r="F263" s="187" t="s">
        <v>121</v>
      </c>
      <c r="G263" s="1609" t="s">
        <v>3959</v>
      </c>
      <c r="H263" s="1341" t="str">
        <f>IF(LEN('11.500'!W265)=0,"",'11.500'!W265)</f>
        <v/>
      </c>
      <c r="I263" s="88">
        <f ca="1">'11.500'!O265</f>
        <v>0</v>
      </c>
      <c r="J263" s="1327"/>
    </row>
    <row r="264" spans="1:10" x14ac:dyDescent="0.2">
      <c r="B264" s="1324" t="str">
        <f>IF(LEN('11.500'!H266)=0,"",'11.500'!H266)</f>
        <v/>
      </c>
      <c r="C264" s="1280" t="str">
        <f t="shared" ref="C264:C327" si="6">IF(LEN(B264)=0,IF(A264="P","P",""),B264)</f>
        <v/>
      </c>
      <c r="D264" s="87"/>
      <c r="E264" s="87"/>
      <c r="F264" s="221"/>
      <c r="G264" s="1612"/>
      <c r="H264" s="1326"/>
      <c r="J264" s="1327"/>
    </row>
    <row r="265" spans="1:10" x14ac:dyDescent="0.2">
      <c r="B265" s="1324" t="str">
        <f>IF(LEN('11.500'!H267)=0,"",'11.500'!H267)</f>
        <v/>
      </c>
      <c r="C265" s="1280" t="str">
        <f t="shared" si="6"/>
        <v/>
      </c>
      <c r="D265" s="87"/>
      <c r="E265" s="87"/>
      <c r="F265" s="218" t="s">
        <v>122</v>
      </c>
      <c r="G265" s="1613" t="s">
        <v>3960</v>
      </c>
      <c r="H265" s="1341" t="str">
        <f>IF(LEN('11.500'!W267)=0,"",'11.500'!W267)</f>
        <v/>
      </c>
      <c r="I265" s="88">
        <f ca="1">'11.500'!O267</f>
        <v>0</v>
      </c>
      <c r="J265" s="1327"/>
    </row>
    <row r="266" spans="1:10" x14ac:dyDescent="0.2">
      <c r="B266" s="1324" t="str">
        <f>IF(LEN('11.500'!H268)=0,"",'11.500'!H268)</f>
        <v/>
      </c>
      <c r="C266" s="1280" t="str">
        <f t="shared" si="6"/>
        <v/>
      </c>
      <c r="D266" s="87"/>
      <c r="E266" s="87"/>
      <c r="F266" s="187"/>
      <c r="G266" s="1609"/>
      <c r="H266" s="1326"/>
      <c r="J266" s="1312"/>
    </row>
    <row r="267" spans="1:10" x14ac:dyDescent="0.2">
      <c r="B267" s="1324" t="str">
        <f>IF(LEN('11.500'!H269)=0,"",'11.500'!H269)</f>
        <v/>
      </c>
      <c r="C267" s="1280" t="str">
        <f t="shared" si="6"/>
        <v/>
      </c>
      <c r="D267" s="87"/>
      <c r="E267" s="87"/>
      <c r="F267" s="221"/>
      <c r="G267" s="1612"/>
      <c r="H267" s="1326"/>
      <c r="J267" s="1312"/>
    </row>
    <row r="268" spans="1:10" x14ac:dyDescent="0.2">
      <c r="B268" s="1324" t="str">
        <f>IF(LEN('11.500'!H270)=0,"",'11.500'!H270)</f>
        <v/>
      </c>
      <c r="C268" s="1280" t="str">
        <f t="shared" si="6"/>
        <v/>
      </c>
      <c r="D268" s="187"/>
      <c r="E268" s="187"/>
      <c r="F268" s="223" t="s">
        <v>123</v>
      </c>
      <c r="G268" s="211" t="s">
        <v>3961</v>
      </c>
      <c r="H268" s="1341" t="str">
        <f>IF(LEN('11.500'!W270)=0,"",'11.500'!W270)</f>
        <v/>
      </c>
      <c r="I268" s="88">
        <f ca="1">'11.500'!O270</f>
        <v>0</v>
      </c>
      <c r="J268" s="1312"/>
    </row>
    <row r="269" spans="1:10" ht="16" thickBot="1" x14ac:dyDescent="0.25">
      <c r="B269" s="1324" t="str">
        <f>IF(LEN('11.500'!H271)=0,"",'11.500'!H271)</f>
        <v/>
      </c>
      <c r="C269" s="1280" t="str">
        <f t="shared" si="6"/>
        <v/>
      </c>
      <c r="D269" s="105"/>
      <c r="E269" s="105"/>
      <c r="F269" s="105" t="s">
        <v>366</v>
      </c>
      <c r="G269" s="596" t="s">
        <v>3962</v>
      </c>
      <c r="H269" s="1341" t="str">
        <f>IF(LEN('11.500'!W271)=0,"",'11.500'!W271)</f>
        <v/>
      </c>
      <c r="I269" s="88">
        <f ca="1">'11.500'!O271</f>
        <v>0</v>
      </c>
      <c r="J269" s="1312"/>
    </row>
    <row r="270" spans="1:10" ht="16" thickTop="1" x14ac:dyDescent="0.2">
      <c r="A270" s="1503" t="str">
        <f>IF(COUNTIF(A271,"P")&gt;0,"P","")</f>
        <v/>
      </c>
      <c r="B270" s="1324" t="str">
        <f>IF(LEN('11.500'!H272)=0,"",'11.500'!H272)</f>
        <v/>
      </c>
      <c r="C270" s="1280" t="str">
        <f t="shared" si="6"/>
        <v/>
      </c>
      <c r="D270" s="125" t="s">
        <v>3506</v>
      </c>
      <c r="E270" s="125"/>
      <c r="F270" s="125"/>
      <c r="G270" s="1608" t="s">
        <v>3975</v>
      </c>
      <c r="H270" s="1326"/>
      <c r="I270"/>
      <c r="J270" s="1312" t="s">
        <v>5150</v>
      </c>
    </row>
    <row r="271" spans="1:10" x14ac:dyDescent="0.2">
      <c r="A271" s="467" t="str">
        <f>IF(I271&gt;0,"P","")</f>
        <v/>
      </c>
      <c r="B271" s="1324" t="str">
        <f>IF(LEN('11.500'!H273)=0,"",'11.500'!H273)</f>
        <v/>
      </c>
      <c r="C271" s="1280" t="str">
        <f t="shared" si="6"/>
        <v/>
      </c>
      <c r="D271" s="187"/>
      <c r="E271" s="187"/>
      <c r="F271" s="187"/>
      <c r="G271" s="1609"/>
      <c r="H271" s="1341" t="str">
        <f>IF(LEN('11.500'!W273)=0,"",'11.500'!W273)</f>
        <v/>
      </c>
      <c r="I271" s="88">
        <f>'11.500'!O273</f>
        <v>0</v>
      </c>
      <c r="J271" s="1312"/>
    </row>
    <row r="272" spans="1:10" x14ac:dyDescent="0.2">
      <c r="A272" s="467" t="str">
        <f>A271</f>
        <v/>
      </c>
      <c r="B272" s="1324" t="str">
        <f>IF(LEN('11.500'!H274)=0,"",'11.500'!H274)</f>
        <v/>
      </c>
      <c r="C272" s="1280" t="str">
        <f t="shared" si="6"/>
        <v/>
      </c>
      <c r="D272" s="187"/>
      <c r="E272" s="187"/>
      <c r="F272" s="187"/>
      <c r="G272" s="1609"/>
      <c r="H272" s="1326"/>
      <c r="J272" s="1312"/>
    </row>
    <row r="273" spans="1:10" x14ac:dyDescent="0.2">
      <c r="A273" s="467" t="str">
        <f>A272</f>
        <v/>
      </c>
      <c r="B273" s="1324" t="str">
        <f>IF(LEN('11.500'!H275)=0,"",'11.500'!H275)</f>
        <v/>
      </c>
      <c r="C273" s="1280" t="str">
        <f t="shared" si="6"/>
        <v/>
      </c>
      <c r="D273" s="187"/>
      <c r="E273" s="187"/>
      <c r="F273" s="187"/>
      <c r="G273" s="1609"/>
      <c r="H273" s="1326"/>
      <c r="J273" s="1312"/>
    </row>
    <row r="274" spans="1:10" x14ac:dyDescent="0.2">
      <c r="B274" s="1324" t="str">
        <f>IF(LEN('11.500'!H276)=0,"",'11.500'!H276)</f>
        <v/>
      </c>
      <c r="C274" s="1280" t="str">
        <f t="shared" si="6"/>
        <v/>
      </c>
      <c r="D274" s="187"/>
      <c r="E274" s="187"/>
      <c r="F274" s="187"/>
      <c r="G274" s="1609" t="s">
        <v>3976</v>
      </c>
      <c r="H274" s="1326"/>
      <c r="J274" s="1312"/>
    </row>
    <row r="275" spans="1:10" x14ac:dyDescent="0.2">
      <c r="B275" s="1324" t="str">
        <f>IF(LEN('11.500'!H277)=0,"",'11.500'!H277)</f>
        <v/>
      </c>
      <c r="C275" s="1280" t="str">
        <f t="shared" si="6"/>
        <v/>
      </c>
      <c r="D275" s="187"/>
      <c r="E275" s="187"/>
      <c r="F275" s="187"/>
      <c r="G275" s="1609"/>
      <c r="H275" s="1326"/>
      <c r="J275" s="1312"/>
    </row>
    <row r="276" spans="1:10" x14ac:dyDescent="0.2">
      <c r="B276" s="1324" t="str">
        <f>IF(LEN('11.500'!H278)=0,"",'11.500'!H278)</f>
        <v/>
      </c>
      <c r="C276" s="1280" t="str">
        <f t="shared" si="6"/>
        <v/>
      </c>
      <c r="D276" s="187"/>
      <c r="E276" s="187"/>
      <c r="F276" s="187"/>
      <c r="G276" s="1609"/>
      <c r="H276" s="1326"/>
      <c r="J276" s="1312"/>
    </row>
    <row r="277" spans="1:10" x14ac:dyDescent="0.2">
      <c r="B277" s="1324" t="str">
        <f>IF(LEN('11.500'!H279)=0,"",'11.500'!H279)</f>
        <v/>
      </c>
      <c r="C277" s="1280" t="str">
        <f t="shared" si="6"/>
        <v/>
      </c>
      <c r="D277" s="187"/>
      <c r="E277" s="187"/>
      <c r="F277" s="187"/>
      <c r="G277" s="1609"/>
      <c r="H277" s="1326"/>
      <c r="J277" s="1312"/>
    </row>
    <row r="278" spans="1:10" x14ac:dyDescent="0.2">
      <c r="B278" s="1324" t="str">
        <f>IF(LEN('11.500'!H280)=0,"",'11.500'!H280)</f>
        <v/>
      </c>
      <c r="C278" s="1280" t="str">
        <f t="shared" si="6"/>
        <v/>
      </c>
      <c r="D278" s="187"/>
      <c r="E278" s="187"/>
      <c r="F278" s="187"/>
      <c r="G278" s="1609"/>
      <c r="H278" s="1326"/>
      <c r="J278" s="1312"/>
    </row>
    <row r="279" spans="1:10" x14ac:dyDescent="0.2">
      <c r="B279" s="1324" t="str">
        <f>IF(LEN('11.500'!H281)=0,"",'11.500'!H281)</f>
        <v/>
      </c>
      <c r="C279" s="1280" t="str">
        <f t="shared" si="6"/>
        <v/>
      </c>
      <c r="D279" s="187"/>
      <c r="E279" s="187"/>
      <c r="F279" s="187"/>
      <c r="G279" s="1609"/>
      <c r="H279" s="1326"/>
      <c r="J279" s="1312"/>
    </row>
    <row r="280" spans="1:10" ht="16" thickBot="1" x14ac:dyDescent="0.25">
      <c r="B280" s="1324" t="str">
        <f>IF(LEN('11.500'!H282)=0,"",'11.500'!H282)</f>
        <v/>
      </c>
      <c r="C280" s="1280" t="str">
        <f t="shared" si="6"/>
        <v/>
      </c>
      <c r="D280" s="105"/>
      <c r="E280" s="105"/>
      <c r="F280" s="105"/>
      <c r="G280" s="1610"/>
      <c r="H280" s="1326"/>
      <c r="J280" s="1312"/>
    </row>
    <row r="281" spans="1:10" ht="16" thickTop="1" x14ac:dyDescent="0.2">
      <c r="A281" s="467" t="str">
        <f ca="1">IF(I281&gt;0,"P","")</f>
        <v/>
      </c>
      <c r="B281" s="1324" t="str">
        <f>IF(LEN('11.500'!H283)=0,"",'11.500'!H283)</f>
        <v/>
      </c>
      <c r="C281" s="1280" t="str">
        <f t="shared" ca="1" si="6"/>
        <v/>
      </c>
      <c r="D281" s="125" t="s">
        <v>3947</v>
      </c>
      <c r="E281" s="125"/>
      <c r="F281" s="125"/>
      <c r="G281" s="1608" t="s">
        <v>3970</v>
      </c>
      <c r="H281" s="1341" t="str">
        <f>IF(LEN('11.500'!W283)=0,"",'11.500'!W283)</f>
        <v/>
      </c>
      <c r="I281" s="88">
        <f ca="1">'11.500'!O283</f>
        <v>0</v>
      </c>
      <c r="J281" s="1312" t="s">
        <v>5150</v>
      </c>
    </row>
    <row r="282" spans="1:10" x14ac:dyDescent="0.2">
      <c r="A282" s="467" t="str">
        <f ca="1">A281</f>
        <v/>
      </c>
      <c r="B282" s="1324" t="str">
        <f>IF(LEN('11.500'!H284)=0,"",'11.500'!H284)</f>
        <v/>
      </c>
      <c r="C282" s="1280" t="str">
        <f t="shared" ca="1" si="6"/>
        <v/>
      </c>
      <c r="D282" s="187"/>
      <c r="E282" s="187"/>
      <c r="F282" s="187"/>
      <c r="G282" s="1609"/>
      <c r="H282" s="1326"/>
      <c r="J282" s="1312"/>
    </row>
    <row r="283" spans="1:10" x14ac:dyDescent="0.2">
      <c r="A283" s="467" t="str">
        <f ca="1">A282</f>
        <v/>
      </c>
      <c r="B283" s="1324" t="str">
        <f>IF(LEN('11.500'!H285)=0,"",'11.500'!H285)</f>
        <v/>
      </c>
      <c r="C283" s="1280" t="str">
        <f t="shared" ca="1" si="6"/>
        <v/>
      </c>
      <c r="D283" s="187"/>
      <c r="E283" s="187"/>
      <c r="F283" s="187"/>
      <c r="G283" s="1609"/>
      <c r="H283" s="1326"/>
      <c r="J283" s="1312"/>
    </row>
    <row r="284" spans="1:10" ht="16" thickBot="1" x14ac:dyDescent="0.25">
      <c r="A284" s="467" t="str">
        <f ca="1">A283</f>
        <v/>
      </c>
      <c r="B284" s="1324" t="str">
        <f>IF(LEN('11.500'!H286)=0,"",'11.500'!H286)</f>
        <v/>
      </c>
      <c r="C284" s="1280" t="str">
        <f t="shared" ca="1" si="6"/>
        <v/>
      </c>
      <c r="D284" s="105"/>
      <c r="E284" s="105"/>
      <c r="F284" s="105"/>
      <c r="G284" s="1610"/>
      <c r="H284" s="1326"/>
      <c r="J284" s="1312"/>
    </row>
    <row r="285" spans="1:10" ht="17" thickTop="1" thickBot="1" x14ac:dyDescent="0.25">
      <c r="A285" s="467" t="str">
        <f>IF(I285&gt;0,"P","")</f>
        <v/>
      </c>
      <c r="B285" s="1324" t="str">
        <f>IF(LEN('11.500'!H287)=0,"",'11.500'!H287)</f>
        <v/>
      </c>
      <c r="C285" s="1280" t="str">
        <f t="shared" si="6"/>
        <v/>
      </c>
      <c r="D285" s="117" t="s">
        <v>3948</v>
      </c>
      <c r="E285" s="117"/>
      <c r="F285" s="117"/>
      <c r="G285" s="1088" t="s">
        <v>3971</v>
      </c>
      <c r="H285" s="1341" t="str">
        <f>IF(LEN('11.500'!W287)=0,"",'11.500'!W287)</f>
        <v/>
      </c>
      <c r="I285" s="88">
        <f>'11.500'!O287</f>
        <v>0</v>
      </c>
      <c r="J285" s="1312" t="s">
        <v>5151</v>
      </c>
    </row>
    <row r="286" spans="1:10" ht="16" thickTop="1" x14ac:dyDescent="0.2">
      <c r="A286" s="467" t="str">
        <f ca="1">IF(I286&gt;0,"P","")</f>
        <v/>
      </c>
      <c r="B286" s="1324" t="str">
        <f>IF(LEN('11.500'!H288)=0,"",'11.500'!H288)</f>
        <v/>
      </c>
      <c r="C286" s="1280" t="str">
        <f t="shared" ca="1" si="6"/>
        <v/>
      </c>
      <c r="D286" s="87" t="s">
        <v>3949</v>
      </c>
      <c r="E286" s="87"/>
      <c r="F286" s="87"/>
      <c r="G286" s="1611" t="s">
        <v>3972</v>
      </c>
      <c r="H286" s="1326"/>
      <c r="I286" s="1397">
        <f ca="1">SUM(I288:I292)</f>
        <v>0</v>
      </c>
      <c r="J286" s="1312" t="s">
        <v>5152</v>
      </c>
    </row>
    <row r="287" spans="1:10" x14ac:dyDescent="0.2">
      <c r="A287" s="467" t="str">
        <f ca="1">A286</f>
        <v/>
      </c>
      <c r="B287" s="1324" t="str">
        <f>IF(LEN('11.500'!H289)=0,"",'11.500'!H289)</f>
        <v/>
      </c>
      <c r="C287" s="1280" t="str">
        <f t="shared" ca="1" si="6"/>
        <v/>
      </c>
      <c r="D287" s="87"/>
      <c r="E287" s="87"/>
      <c r="F287" s="87"/>
      <c r="G287" s="1611"/>
      <c r="H287" s="1326"/>
      <c r="J287" s="1312"/>
    </row>
    <row r="288" spans="1:10" x14ac:dyDescent="0.2">
      <c r="B288" s="1324" t="str">
        <f>IF(LEN('11.500'!H290)=0,"",'11.500'!H290)</f>
        <v/>
      </c>
      <c r="C288" s="1280" t="str">
        <f t="shared" si="6"/>
        <v/>
      </c>
      <c r="D288" s="87"/>
      <c r="E288" s="87"/>
      <c r="F288" s="187" t="s">
        <v>121</v>
      </c>
      <c r="G288" s="1609" t="s">
        <v>3963</v>
      </c>
      <c r="H288" s="1341" t="str">
        <f>IF(LEN('11.500'!W290)=0,"",'11.500'!W290)</f>
        <v/>
      </c>
      <c r="I288" s="88">
        <f ca="1">'11.500'!O290</f>
        <v>0</v>
      </c>
      <c r="J288" s="1312"/>
    </row>
    <row r="289" spans="1:10" x14ac:dyDescent="0.2">
      <c r="B289" s="1324" t="str">
        <f>IF(LEN('11.500'!H291)=0,"",'11.500'!H291)</f>
        <v/>
      </c>
      <c r="C289" s="1280" t="str">
        <f t="shared" si="6"/>
        <v/>
      </c>
      <c r="D289" s="87"/>
      <c r="E289" s="87"/>
      <c r="F289" s="187"/>
      <c r="G289" s="1609"/>
      <c r="H289" s="1326"/>
      <c r="J289" s="1312"/>
    </row>
    <row r="290" spans="1:10" x14ac:dyDescent="0.2">
      <c r="B290" s="1324" t="str">
        <f>IF(LEN('11.500'!H292)=0,"",'11.500'!H292)</f>
        <v/>
      </c>
      <c r="C290" s="1280" t="str">
        <f t="shared" si="6"/>
        <v/>
      </c>
      <c r="D290" s="87"/>
      <c r="E290" s="87"/>
      <c r="F290" s="221"/>
      <c r="G290" s="1612"/>
      <c r="H290" s="1326"/>
      <c r="J290" s="1312"/>
    </row>
    <row r="291" spans="1:10" x14ac:dyDescent="0.2">
      <c r="B291" s="1324" t="str">
        <f>IF(LEN('11.500'!H293)=0,"",'11.500'!H293)</f>
        <v/>
      </c>
      <c r="C291" s="1280" t="str">
        <f t="shared" si="6"/>
        <v/>
      </c>
      <c r="D291" s="87"/>
      <c r="E291" s="87"/>
      <c r="F291" s="223" t="s">
        <v>122</v>
      </c>
      <c r="G291" s="211" t="s">
        <v>3964</v>
      </c>
      <c r="H291" s="1341" t="str">
        <f>IF(LEN('11.500'!W293)=0,"",'11.500'!W293)</f>
        <v/>
      </c>
      <c r="I291" s="88">
        <f ca="1">'11.500'!O293</f>
        <v>0</v>
      </c>
      <c r="J291" s="1312"/>
    </row>
    <row r="292" spans="1:10" x14ac:dyDescent="0.2">
      <c r="B292" s="1324" t="str">
        <f>IF(LEN('11.500'!H294)=0,"",'11.500'!H294)</f>
        <v/>
      </c>
      <c r="C292" s="1280" t="str">
        <f t="shared" si="6"/>
        <v/>
      </c>
      <c r="D292" s="187"/>
      <c r="E292" s="187"/>
      <c r="F292" s="187" t="s">
        <v>123</v>
      </c>
      <c r="G292" s="1609" t="s">
        <v>3965</v>
      </c>
      <c r="H292" s="1341" t="str">
        <f>IF(LEN('11.500'!W294)=0,"",'11.500'!W294)</f>
        <v/>
      </c>
      <c r="I292" s="88">
        <f ca="1">'11.500'!O294</f>
        <v>0</v>
      </c>
      <c r="J292" s="1312"/>
    </row>
    <row r="293" spans="1:10" ht="16" thickBot="1" x14ac:dyDescent="0.25">
      <c r="B293" s="1324" t="str">
        <f>IF(LEN('11.500'!H295)=0,"",'11.500'!H295)</f>
        <v/>
      </c>
      <c r="C293" s="1280" t="str">
        <f t="shared" si="6"/>
        <v/>
      </c>
      <c r="D293" s="105"/>
      <c r="E293" s="105"/>
      <c r="F293" s="105"/>
      <c r="G293" s="1610"/>
      <c r="H293" s="1326"/>
      <c r="J293" s="1312"/>
    </row>
    <row r="294" spans="1:10" ht="16" thickTop="1" x14ac:dyDescent="0.2">
      <c r="A294" s="467" t="str">
        <f ca="1">IF(I294&gt;0,"P","")</f>
        <v/>
      </c>
      <c r="B294" s="1324" t="str">
        <f>IF(LEN('11.500'!H296)=0,"",'11.500'!H296)</f>
        <v/>
      </c>
      <c r="C294" s="1280" t="str">
        <f t="shared" ca="1" si="6"/>
        <v/>
      </c>
      <c r="D294" s="87" t="s">
        <v>3950</v>
      </c>
      <c r="E294" s="87"/>
      <c r="F294" s="87"/>
      <c r="G294" s="1611" t="s">
        <v>3974</v>
      </c>
      <c r="H294" s="1326"/>
      <c r="I294" s="1397">
        <f ca="1">SUM(I297:I301)</f>
        <v>0</v>
      </c>
      <c r="J294" s="1312" t="s">
        <v>3122</v>
      </c>
    </row>
    <row r="295" spans="1:10" x14ac:dyDescent="0.2">
      <c r="A295" s="467" t="str">
        <f ca="1">A294</f>
        <v/>
      </c>
      <c r="B295" s="1324" t="str">
        <f>IF(LEN('11.500'!H297)=0,"",'11.500'!H297)</f>
        <v/>
      </c>
      <c r="C295" s="1280" t="str">
        <f t="shared" ca="1" si="6"/>
        <v/>
      </c>
      <c r="D295" s="87"/>
      <c r="E295" s="87"/>
      <c r="F295" s="87"/>
      <c r="G295" s="1611"/>
      <c r="H295" s="1326"/>
      <c r="J295" s="1312"/>
    </row>
    <row r="296" spans="1:10" x14ac:dyDescent="0.2">
      <c r="A296" s="467" t="str">
        <f ca="1">A295</f>
        <v/>
      </c>
      <c r="B296" s="1324" t="str">
        <f>IF(LEN('11.500'!H298)=0,"",'11.500'!H298)</f>
        <v/>
      </c>
      <c r="C296" s="1280" t="str">
        <f t="shared" ca="1" si="6"/>
        <v/>
      </c>
      <c r="D296" s="87"/>
      <c r="E296" s="87"/>
      <c r="F296" s="87"/>
      <c r="G296" s="1611"/>
      <c r="H296" s="1326"/>
      <c r="J296" s="1312"/>
    </row>
    <row r="297" spans="1:10" x14ac:dyDescent="0.2">
      <c r="B297" s="1324" t="str">
        <f>IF(LEN('11.500'!H299)=0,"",'11.500'!H299)</f>
        <v/>
      </c>
      <c r="C297" s="1280" t="str">
        <f t="shared" si="6"/>
        <v/>
      </c>
      <c r="D297" s="87"/>
      <c r="E297" s="87"/>
      <c r="F297" s="187" t="s">
        <v>121</v>
      </c>
      <c r="G297" s="1609" t="s">
        <v>3966</v>
      </c>
      <c r="H297" s="1341" t="str">
        <f>IF(LEN('11.500'!W299)=0,"",'11.500'!W299)</f>
        <v/>
      </c>
      <c r="I297" s="88">
        <f ca="1">'11.500'!O299</f>
        <v>0</v>
      </c>
      <c r="J297" s="1312"/>
    </row>
    <row r="298" spans="1:10" x14ac:dyDescent="0.2">
      <c r="B298" s="1324" t="str">
        <f>IF(LEN('11.500'!H300)=0,"",'11.500'!H300)</f>
        <v/>
      </c>
      <c r="C298" s="1280" t="str">
        <f t="shared" si="6"/>
        <v/>
      </c>
      <c r="D298" s="87"/>
      <c r="E298" s="87"/>
      <c r="F298" s="221"/>
      <c r="G298" s="1612"/>
      <c r="H298" s="1326"/>
      <c r="J298" s="1312"/>
    </row>
    <row r="299" spans="1:10" x14ac:dyDescent="0.2">
      <c r="B299" s="1324" t="str">
        <f>IF(LEN('11.500'!H301)=0,"",'11.500'!H301)</f>
        <v/>
      </c>
      <c r="C299" s="1280" t="str">
        <f t="shared" si="6"/>
        <v/>
      </c>
      <c r="D299" s="87"/>
      <c r="E299" s="87"/>
      <c r="F299" s="218" t="s">
        <v>122</v>
      </c>
      <c r="G299" s="1613" t="s">
        <v>3967</v>
      </c>
      <c r="H299" s="1341" t="str">
        <f>IF(LEN('11.500'!W301)=0,"",'11.500'!W301)</f>
        <v/>
      </c>
      <c r="I299" s="88">
        <f ca="1">'11.500'!O301</f>
        <v>0</v>
      </c>
      <c r="J299" s="1312"/>
    </row>
    <row r="300" spans="1:10" x14ac:dyDescent="0.2">
      <c r="B300" s="1324" t="str">
        <f>IF(LEN('11.500'!H302)=0,"",'11.500'!H302)</f>
        <v/>
      </c>
      <c r="C300" s="1280" t="str">
        <f t="shared" si="6"/>
        <v/>
      </c>
      <c r="D300" s="87"/>
      <c r="E300" s="87"/>
      <c r="F300" s="221"/>
      <c r="G300" s="1612"/>
      <c r="H300" s="1326"/>
      <c r="J300" s="1312"/>
    </row>
    <row r="301" spans="1:10" x14ac:dyDescent="0.2">
      <c r="B301" s="1324" t="str">
        <f>IF(LEN('11.500'!H303)=0,"",'11.500'!H303)</f>
        <v/>
      </c>
      <c r="C301" s="1280" t="str">
        <f t="shared" si="6"/>
        <v/>
      </c>
      <c r="D301" s="187"/>
      <c r="E301" s="187"/>
      <c r="F301" s="187" t="s">
        <v>123</v>
      </c>
      <c r="G301" s="1609" t="s">
        <v>3968</v>
      </c>
      <c r="H301" s="1341" t="str">
        <f>IF(LEN('11.500'!W303)=0,"",'11.500'!W303)</f>
        <v/>
      </c>
      <c r="I301" s="88">
        <f ca="1">'11.500'!O303</f>
        <v>0</v>
      </c>
      <c r="J301" s="1312"/>
    </row>
    <row r="302" spans="1:10" ht="16" thickBot="1" x14ac:dyDescent="0.25">
      <c r="B302" s="1324" t="str">
        <f>IF(LEN('11.500'!H304)=0,"",'11.500'!H304)</f>
        <v/>
      </c>
      <c r="C302" s="1280" t="str">
        <f t="shared" si="6"/>
        <v/>
      </c>
      <c r="D302" s="105"/>
      <c r="E302" s="105"/>
      <c r="F302" s="105"/>
      <c r="G302" s="1610"/>
      <c r="H302" s="1326"/>
      <c r="J302" s="1312"/>
    </row>
    <row r="303" spans="1:10" ht="16" thickTop="1" x14ac:dyDescent="0.2">
      <c r="A303" s="467" t="str">
        <f>IF(I303&gt;0,"P","")</f>
        <v/>
      </c>
      <c r="B303" s="1324" t="str">
        <f>IF(LEN('11.500'!H305)=0,"",'11.500'!H305)</f>
        <v/>
      </c>
      <c r="C303" s="1280" t="str">
        <f t="shared" si="6"/>
        <v/>
      </c>
      <c r="D303" s="87" t="s">
        <v>3951</v>
      </c>
      <c r="E303" s="87"/>
      <c r="F303" s="87"/>
      <c r="G303" s="1611" t="s">
        <v>3973</v>
      </c>
      <c r="H303" s="1341" t="str">
        <f>IF(LEN('11.500'!W305)=0,"",'11.500'!W305)</f>
        <v/>
      </c>
      <c r="I303" s="88">
        <f>'11.500'!O305</f>
        <v>0</v>
      </c>
      <c r="J303" s="1312" t="s">
        <v>5153</v>
      </c>
    </row>
    <row r="304" spans="1:10" x14ac:dyDescent="0.2">
      <c r="A304" s="467" t="str">
        <f>A303</f>
        <v/>
      </c>
      <c r="B304" s="1324" t="str">
        <f>IF(LEN('11.500'!H306)=0,"",'11.500'!H306)</f>
        <v/>
      </c>
      <c r="C304" s="1280" t="str">
        <f t="shared" si="6"/>
        <v/>
      </c>
      <c r="D304" s="87"/>
      <c r="E304" s="87"/>
      <c r="F304" s="87"/>
      <c r="G304" s="1611"/>
      <c r="J304" s="1312"/>
    </row>
    <row r="305" spans="1:10" x14ac:dyDescent="0.2">
      <c r="A305" s="467" t="str">
        <f>A304</f>
        <v/>
      </c>
      <c r="B305" s="1324" t="str">
        <f>IF(LEN('11.500'!H307)=0,"",'11.500'!H307)</f>
        <v/>
      </c>
      <c r="C305" s="1280" t="str">
        <f t="shared" si="6"/>
        <v/>
      </c>
      <c r="D305" s="87"/>
      <c r="E305" s="87"/>
      <c r="F305" s="87"/>
      <c r="G305" s="1611"/>
      <c r="J305" s="1312"/>
    </row>
    <row r="306" spans="1:10" ht="19" x14ac:dyDescent="0.25">
      <c r="A306" s="467" t="s">
        <v>3200</v>
      </c>
      <c r="B306" s="1324" t="str">
        <f>IF(LEN('11.600'!H9)=0,"",'11.600'!H9)</f>
        <v/>
      </c>
      <c r="C306" s="1280" t="str">
        <f t="shared" si="6"/>
        <v>P</v>
      </c>
      <c r="D306" s="90" t="s">
        <v>3519</v>
      </c>
      <c r="E306" s="90"/>
      <c r="F306" s="90"/>
      <c r="G306" s="25"/>
      <c r="H306" s="994"/>
      <c r="I306" s="25"/>
      <c r="J306" s="25"/>
    </row>
    <row r="307" spans="1:10" x14ac:dyDescent="0.2">
      <c r="B307" s="1324" t="str">
        <f>IF(LEN('11.600'!H10)=0,"",'11.600'!H10)</f>
        <v/>
      </c>
      <c r="C307" s="1280" t="str">
        <f t="shared" si="6"/>
        <v/>
      </c>
      <c r="D307" s="589" t="s">
        <v>3520</v>
      </c>
      <c r="E307" s="89"/>
      <c r="F307" s="89"/>
      <c r="G307" s="1631" t="s">
        <v>3636</v>
      </c>
      <c r="H307" s="1326"/>
      <c r="J307" s="1312"/>
    </row>
    <row r="308" spans="1:10" x14ac:dyDescent="0.2">
      <c r="B308" s="1324" t="str">
        <f>IF(LEN('11.600'!H11)=0,"",'11.600'!H11)</f>
        <v/>
      </c>
      <c r="C308" s="1280" t="str">
        <f t="shared" si="6"/>
        <v/>
      </c>
      <c r="D308" s="136"/>
      <c r="E308" s="85"/>
      <c r="F308" s="85"/>
      <c r="G308" s="1631"/>
      <c r="H308" s="1326"/>
      <c r="J308" s="1312"/>
    </row>
    <row r="309" spans="1:10" x14ac:dyDescent="0.2">
      <c r="B309" s="1324" t="str">
        <f>IF(LEN('11.600'!H12)=0,"",'11.600'!H12)</f>
        <v/>
      </c>
      <c r="C309" s="1280" t="str">
        <f t="shared" si="6"/>
        <v/>
      </c>
      <c r="D309" s="136"/>
      <c r="E309" s="85"/>
      <c r="F309" s="85"/>
      <c r="G309" s="1631"/>
      <c r="H309" s="1326"/>
      <c r="J309" s="1312"/>
    </row>
    <row r="310" spans="1:10" ht="16" thickBot="1" x14ac:dyDescent="0.25">
      <c r="B310" s="1324" t="str">
        <f>IF(LEN('11.600'!H13)=0,"",'11.600'!H13)</f>
        <v/>
      </c>
      <c r="C310" s="1280" t="str">
        <f t="shared" si="6"/>
        <v/>
      </c>
      <c r="D310" s="136"/>
      <c r="E310" s="85"/>
      <c r="F310" s="85"/>
      <c r="G310" s="1631"/>
      <c r="H310" s="1326"/>
      <c r="J310" s="1312"/>
    </row>
    <row r="311" spans="1:10" ht="16" thickTop="1" x14ac:dyDescent="0.2">
      <c r="A311" s="467" t="str">
        <f>IF(I311&gt;0,"P","")</f>
        <v>P</v>
      </c>
      <c r="B311" s="1324" t="str">
        <f>IF(LEN('11.600'!H14)=0,"",'11.600'!H14)</f>
        <v/>
      </c>
      <c r="C311" s="1280" t="str">
        <f t="shared" si="6"/>
        <v>P</v>
      </c>
      <c r="D311" s="107" t="s">
        <v>3521</v>
      </c>
      <c r="E311" s="179"/>
      <c r="F311" s="179"/>
      <c r="G311" s="1683" t="s">
        <v>3980</v>
      </c>
      <c r="H311" s="1326"/>
      <c r="I311" s="88">
        <f>'11.600'!O14</f>
        <v>9</v>
      </c>
      <c r="J311" s="1779" t="s">
        <v>5154</v>
      </c>
    </row>
    <row r="312" spans="1:10" x14ac:dyDescent="0.2">
      <c r="A312" s="467" t="str">
        <f>A311</f>
        <v>P</v>
      </c>
      <c r="B312" s="1324" t="str">
        <f>IF(LEN('11.600'!H15)=0,"",'11.600'!H15)</f>
        <v/>
      </c>
      <c r="C312" s="1280" t="str">
        <f t="shared" si="6"/>
        <v>P</v>
      </c>
      <c r="D312" s="102"/>
      <c r="E312" s="97"/>
      <c r="F312" s="97"/>
      <c r="G312" s="1629"/>
      <c r="H312" s="1326"/>
      <c r="J312" s="1779"/>
    </row>
    <row r="313" spans="1:10" x14ac:dyDescent="0.2">
      <c r="A313" s="467" t="str">
        <f>A312</f>
        <v>P</v>
      </c>
      <c r="B313" s="1324" t="str">
        <f>IF(LEN('11.600'!H16)=0,"",'11.600'!H16)</f>
        <v/>
      </c>
      <c r="C313" s="1280" t="str">
        <f t="shared" si="6"/>
        <v>P</v>
      </c>
      <c r="D313" s="102"/>
      <c r="E313" s="97"/>
      <c r="F313" s="97"/>
      <c r="G313" s="1629"/>
      <c r="H313" s="1326"/>
      <c r="J313" s="1779"/>
    </row>
    <row r="314" spans="1:10" x14ac:dyDescent="0.2">
      <c r="A314" s="467" t="str">
        <f>A313</f>
        <v>P</v>
      </c>
      <c r="B314" s="1324" t="str">
        <f>IF(LEN('11.600'!H17)=0,"",'11.600'!H17)</f>
        <v/>
      </c>
      <c r="C314" s="1280" t="str">
        <f t="shared" si="6"/>
        <v>P</v>
      </c>
      <c r="D314" s="102"/>
      <c r="E314" s="97"/>
      <c r="F314" s="97"/>
      <c r="G314" s="1629"/>
      <c r="H314" s="1326"/>
      <c r="J314" s="1779"/>
    </row>
    <row r="315" spans="1:10" ht="16" x14ac:dyDescent="0.2">
      <c r="B315" s="1324" t="str">
        <f>IF(LEN('11.600'!H18)=0,"",'11.600'!H18)</f>
        <v/>
      </c>
      <c r="C315" s="1280" t="str">
        <f t="shared" si="6"/>
        <v/>
      </c>
      <c r="D315" s="102"/>
      <c r="E315" s="169" t="s">
        <v>254</v>
      </c>
      <c r="F315" s="170"/>
      <c r="G315" s="208" t="s">
        <v>443</v>
      </c>
      <c r="H315" s="1326"/>
      <c r="J315" s="1312"/>
    </row>
    <row r="316" spans="1:10" ht="16" x14ac:dyDescent="0.2">
      <c r="B316" s="1324" t="str">
        <f>IF(LEN('11.600'!H19)=0,"",'11.600'!H19)</f>
        <v/>
      </c>
      <c r="C316" s="1280" t="str">
        <f t="shared" si="6"/>
        <v/>
      </c>
      <c r="D316" s="102"/>
      <c r="E316" s="216" t="s">
        <v>255</v>
      </c>
      <c r="F316" s="210"/>
      <c r="G316" s="211" t="s">
        <v>444</v>
      </c>
      <c r="H316" s="1326"/>
      <c r="J316" s="1312"/>
    </row>
    <row r="317" spans="1:10" ht="16" x14ac:dyDescent="0.2">
      <c r="B317" s="1324" t="str">
        <f>IF(LEN('11.600'!H20)=0,"",'11.600'!H20)</f>
        <v/>
      </c>
      <c r="C317" s="1280" t="str">
        <f t="shared" si="6"/>
        <v/>
      </c>
      <c r="D317" s="102"/>
      <c r="E317" s="216" t="s">
        <v>256</v>
      </c>
      <c r="F317" s="210"/>
      <c r="G317" s="211" t="s">
        <v>445</v>
      </c>
      <c r="H317" s="1326"/>
      <c r="J317" s="1312"/>
    </row>
    <row r="318" spans="1:10" ht="16" x14ac:dyDescent="0.2">
      <c r="B318" s="1324" t="str">
        <f>IF(LEN('11.600'!H21)=0,"",'11.600'!H21)</f>
        <v/>
      </c>
      <c r="C318" s="1280" t="str">
        <f t="shared" si="6"/>
        <v/>
      </c>
      <c r="D318" s="102"/>
      <c r="E318" s="216" t="s">
        <v>259</v>
      </c>
      <c r="F318" s="210"/>
      <c r="G318" s="211" t="s">
        <v>446</v>
      </c>
      <c r="H318" s="1326"/>
      <c r="J318" s="1312"/>
    </row>
    <row r="319" spans="1:10" ht="16" x14ac:dyDescent="0.2">
      <c r="B319" s="1324" t="str">
        <f>IF(LEN('11.600'!H22)=0,"",'11.600'!H22)</f>
        <v/>
      </c>
      <c r="C319" s="1280" t="str">
        <f t="shared" si="6"/>
        <v/>
      </c>
      <c r="D319" s="102"/>
      <c r="E319" s="216" t="s">
        <v>263</v>
      </c>
      <c r="F319" s="210"/>
      <c r="G319" s="211" t="s">
        <v>447</v>
      </c>
      <c r="H319" s="1326"/>
      <c r="J319" s="1312"/>
    </row>
    <row r="320" spans="1:10" ht="16" x14ac:dyDescent="0.2">
      <c r="B320" s="1324" t="str">
        <f>IF(LEN('11.600'!H23)=0,"",'11.600'!H23)</f>
        <v/>
      </c>
      <c r="C320" s="1280" t="str">
        <f t="shared" si="6"/>
        <v/>
      </c>
      <c r="D320" s="102"/>
      <c r="E320" s="93" t="s">
        <v>264</v>
      </c>
      <c r="F320" s="97"/>
      <c r="G320" s="609" t="s">
        <v>448</v>
      </c>
      <c r="H320" s="1326"/>
      <c r="J320" s="1312"/>
    </row>
    <row r="321" spans="1:10" x14ac:dyDescent="0.2">
      <c r="B321" s="1324" t="str">
        <f>IF(LEN('11.600'!H24)=0,"",'11.600'!H24)</f>
        <v/>
      </c>
      <c r="C321" s="1280" t="str">
        <f t="shared" si="6"/>
        <v/>
      </c>
      <c r="D321" s="102"/>
      <c r="E321" s="97"/>
      <c r="F321" s="97"/>
      <c r="G321" s="1629" t="s">
        <v>3796</v>
      </c>
      <c r="H321" s="1326"/>
      <c r="J321" s="1312"/>
    </row>
    <row r="322" spans="1:10" x14ac:dyDescent="0.2">
      <c r="B322" s="1324" t="str">
        <f>IF(LEN('11.600'!H25)=0,"",'11.600'!H25)</f>
        <v/>
      </c>
      <c r="C322" s="1280" t="str">
        <f t="shared" si="6"/>
        <v/>
      </c>
      <c r="D322" s="102"/>
      <c r="E322" s="97"/>
      <c r="F322" s="97"/>
      <c r="G322" s="1629"/>
      <c r="H322" s="1326"/>
      <c r="J322" s="1312"/>
    </row>
    <row r="323" spans="1:10" x14ac:dyDescent="0.2">
      <c r="B323" s="1324" t="str">
        <f>IF(LEN('11.600'!H26)=0,"",'11.600'!H26)</f>
        <v/>
      </c>
      <c r="C323" s="1280" t="str">
        <f t="shared" si="6"/>
        <v/>
      </c>
      <c r="D323" s="102"/>
      <c r="E323" s="97"/>
      <c r="F323" s="88"/>
      <c r="G323" s="1782" t="s">
        <v>3044</v>
      </c>
      <c r="H323" s="1326"/>
      <c r="J323" s="1312"/>
    </row>
    <row r="324" spans="1:10" ht="16" thickBot="1" x14ac:dyDescent="0.25">
      <c r="B324" s="1324" t="str">
        <f>IF(LEN('11.600'!H27)=0,"",'11.600'!H27)</f>
        <v/>
      </c>
      <c r="C324" s="1280" t="str">
        <f t="shared" si="6"/>
        <v/>
      </c>
      <c r="D324" s="102"/>
      <c r="E324" s="97"/>
      <c r="F324" s="459"/>
      <c r="G324" s="1782"/>
      <c r="H324" s="1326"/>
      <c r="J324" s="1312"/>
    </row>
    <row r="325" spans="1:10" ht="16" thickTop="1" x14ac:dyDescent="0.2">
      <c r="A325" s="467" t="str">
        <f>IF(I325&gt;0,"P","")</f>
        <v/>
      </c>
      <c r="B325" s="1324" t="str">
        <f>IF(LEN('11.600'!H28)=0,"",'11.600'!H28)</f>
        <v/>
      </c>
      <c r="C325" s="1280" t="str">
        <f t="shared" si="6"/>
        <v/>
      </c>
      <c r="D325" s="107" t="s">
        <v>3522</v>
      </c>
      <c r="E325" s="179"/>
      <c r="F325" s="179"/>
      <c r="G325" s="1683" t="s">
        <v>3842</v>
      </c>
      <c r="H325" s="1326"/>
      <c r="I325" s="1397">
        <f>SUM(I329:I335)</f>
        <v>0</v>
      </c>
      <c r="J325" s="1312"/>
    </row>
    <row r="326" spans="1:10" x14ac:dyDescent="0.2">
      <c r="A326" s="467" t="str">
        <f>A325</f>
        <v/>
      </c>
      <c r="B326" s="1324" t="str">
        <f>IF(LEN('11.600'!H29)=0,"",'11.600'!H29)</f>
        <v/>
      </c>
      <c r="C326" s="1280" t="str">
        <f t="shared" si="6"/>
        <v/>
      </c>
      <c r="D326" s="102"/>
      <c r="E326" s="97"/>
      <c r="F326" s="97"/>
      <c r="G326" s="1629"/>
      <c r="H326" s="1326"/>
      <c r="J326" s="1312"/>
    </row>
    <row r="327" spans="1:10" x14ac:dyDescent="0.2">
      <c r="B327" s="1324" t="str">
        <f>IF(LEN('11.600'!H30)=0,"",'11.600'!H30)</f>
        <v/>
      </c>
      <c r="C327" s="1280" t="str">
        <f t="shared" si="6"/>
        <v/>
      </c>
      <c r="D327" s="102"/>
      <c r="E327" s="97"/>
      <c r="F327" s="97"/>
      <c r="G327" s="1705" t="s">
        <v>3814</v>
      </c>
      <c r="H327" s="1326"/>
      <c r="J327" s="1312"/>
    </row>
    <row r="328" spans="1:10" x14ac:dyDescent="0.2">
      <c r="B328" s="1324" t="str">
        <f>IF(LEN('11.600'!H31)=0,"",'11.600'!H31)</f>
        <v/>
      </c>
      <c r="C328" s="1280" t="str">
        <f t="shared" ref="C328:C391" si="7">IF(LEN(B328)=0,IF(A328="P","P",""),B328)</f>
        <v/>
      </c>
      <c r="D328" s="102"/>
      <c r="E328" s="97"/>
      <c r="F328" s="97"/>
      <c r="G328" s="1705"/>
      <c r="H328" s="1326"/>
      <c r="J328" s="1312"/>
    </row>
    <row r="329" spans="1:10" x14ac:dyDescent="0.2">
      <c r="A329" s="467" t="str">
        <f>IF(I329&gt;0,"P","")</f>
        <v/>
      </c>
      <c r="B329" s="1324" t="str">
        <f>IF(LEN('11.600'!H32)=0,"",'11.600'!H32)</f>
        <v/>
      </c>
      <c r="C329" s="1280" t="str">
        <f t="shared" si="7"/>
        <v/>
      </c>
      <c r="D329" s="136"/>
      <c r="E329" s="93" t="s">
        <v>254</v>
      </c>
      <c r="F329" s="97"/>
      <c r="G329" s="1609" t="s">
        <v>450</v>
      </c>
      <c r="H329" s="1341" t="str">
        <f>IF(LEN('11.600'!W32)=0,"",'11.600'!W32)</f>
        <v/>
      </c>
      <c r="I329" s="88">
        <f>'11.600'!O32</f>
        <v>0</v>
      </c>
      <c r="J329" s="1779" t="s">
        <v>3123</v>
      </c>
    </row>
    <row r="330" spans="1:10" x14ac:dyDescent="0.2">
      <c r="A330" s="467" t="str">
        <f>A329</f>
        <v/>
      </c>
      <c r="B330" s="1324" t="str">
        <f>IF(LEN('11.600'!H33)=0,"",'11.600'!H33)</f>
        <v/>
      </c>
      <c r="C330" s="1280" t="str">
        <f t="shared" si="7"/>
        <v/>
      </c>
      <c r="D330" s="136"/>
      <c r="E330" s="97"/>
      <c r="F330" s="97"/>
      <c r="G330" s="1609"/>
      <c r="H330" s="1326"/>
      <c r="J330" s="1779"/>
    </row>
    <row r="331" spans="1:10" x14ac:dyDescent="0.2">
      <c r="A331" s="467" t="str">
        <f>A330</f>
        <v/>
      </c>
      <c r="B331" s="1324" t="str">
        <f>IF(LEN('11.600'!H34)=0,"",'11.600'!H34)</f>
        <v/>
      </c>
      <c r="C331" s="1280" t="str">
        <f t="shared" si="7"/>
        <v/>
      </c>
      <c r="D331" s="136"/>
      <c r="E331" s="170"/>
      <c r="F331" s="170"/>
      <c r="G331" s="1612"/>
      <c r="H331" s="1326"/>
      <c r="J331" s="1779"/>
    </row>
    <row r="332" spans="1:10" x14ac:dyDescent="0.2">
      <c r="A332" s="467" t="str">
        <f>IF(I332&gt;0,"P","")</f>
        <v/>
      </c>
      <c r="B332" s="1324" t="str">
        <f>IF(LEN('11.600'!H35)=0,"",'11.600'!H35)</f>
        <v/>
      </c>
      <c r="C332" s="1280" t="str">
        <f t="shared" si="7"/>
        <v/>
      </c>
      <c r="D332" s="136"/>
      <c r="E332" s="93" t="s">
        <v>255</v>
      </c>
      <c r="F332" s="97"/>
      <c r="G332" s="1609" t="s">
        <v>451</v>
      </c>
      <c r="H332" s="1341" t="str">
        <f>IF(LEN('11.600'!W35)=0,"",'11.600'!W35)</f>
        <v/>
      </c>
      <c r="I332" s="88">
        <f>'11.600'!O35</f>
        <v>0</v>
      </c>
      <c r="J332" s="1779" t="s">
        <v>3124</v>
      </c>
    </row>
    <row r="333" spans="1:10" x14ac:dyDescent="0.2">
      <c r="A333" s="467" t="str">
        <f>A332</f>
        <v/>
      </c>
      <c r="B333" s="1324" t="str">
        <f>IF(LEN('11.600'!H36)=0,"",'11.600'!H36)</f>
        <v/>
      </c>
      <c r="C333" s="1280" t="str">
        <f t="shared" si="7"/>
        <v/>
      </c>
      <c r="D333" s="136"/>
      <c r="E333" s="97"/>
      <c r="F333" s="97"/>
      <c r="G333" s="1609"/>
      <c r="H333" s="1326"/>
      <c r="J333" s="1779"/>
    </row>
    <row r="334" spans="1:10" x14ac:dyDescent="0.2">
      <c r="A334" s="467" t="str">
        <f>A333</f>
        <v/>
      </c>
      <c r="B334" s="1324" t="str">
        <f>IF(LEN('11.600'!H37)=0,"",'11.600'!H37)</f>
        <v/>
      </c>
      <c r="C334" s="1280" t="str">
        <f t="shared" si="7"/>
        <v/>
      </c>
      <c r="D334" s="136"/>
      <c r="E334" s="170"/>
      <c r="F334" s="170"/>
      <c r="G334" s="1612"/>
      <c r="H334" s="1326"/>
      <c r="J334" s="1779"/>
    </row>
    <row r="335" spans="1:10" ht="31" thickBot="1" x14ac:dyDescent="0.25">
      <c r="A335" s="467" t="str">
        <f>IF(I335&gt;0,"P","")</f>
        <v/>
      </c>
      <c r="B335" s="1324" t="str">
        <f>IF(LEN('11.600'!H38)=0,"",'11.600'!H38)</f>
        <v/>
      </c>
      <c r="C335" s="1280" t="str">
        <f t="shared" si="7"/>
        <v/>
      </c>
      <c r="D335" s="136"/>
      <c r="E335" s="89" t="s">
        <v>256</v>
      </c>
      <c r="F335" s="85"/>
      <c r="G335" s="85" t="s">
        <v>452</v>
      </c>
      <c r="H335" s="1341" t="str">
        <f>IF(LEN('11.600'!W38)=0,"",'11.600'!W38)</f>
        <v/>
      </c>
      <c r="I335" s="88">
        <f>'11.600'!O38</f>
        <v>0</v>
      </c>
      <c r="J335" s="1312" t="s">
        <v>3125</v>
      </c>
    </row>
    <row r="336" spans="1:10" ht="16" thickTop="1" x14ac:dyDescent="0.2">
      <c r="A336" s="467" t="str">
        <f>IF(I336&gt;0,"P","")</f>
        <v/>
      </c>
      <c r="B336" s="1324" t="str">
        <f>IF(LEN('11.600'!H39)=0,"",'11.600'!H39)</f>
        <v/>
      </c>
      <c r="C336" s="1280" t="str">
        <f t="shared" si="7"/>
        <v/>
      </c>
      <c r="D336" s="107" t="s">
        <v>3523</v>
      </c>
      <c r="E336" s="179"/>
      <c r="F336" s="179"/>
      <c r="G336" s="1683" t="s">
        <v>3798</v>
      </c>
      <c r="H336" s="1326"/>
      <c r="I336" s="1397">
        <f>SUM(I341:I345)</f>
        <v>0</v>
      </c>
      <c r="J336" s="1779" t="s">
        <v>3126</v>
      </c>
    </row>
    <row r="337" spans="1:10" x14ac:dyDescent="0.2">
      <c r="A337" s="467" t="str">
        <f>A336</f>
        <v/>
      </c>
      <c r="B337" s="1324" t="str">
        <f>IF(LEN('11.600'!H40)=0,"",'11.600'!H40)</f>
        <v/>
      </c>
      <c r="C337" s="1280" t="str">
        <f t="shared" si="7"/>
        <v/>
      </c>
      <c r="D337" s="102"/>
      <c r="E337" s="97"/>
      <c r="F337" s="97"/>
      <c r="G337" s="1629"/>
      <c r="H337" s="1326"/>
      <c r="J337" s="1779"/>
    </row>
    <row r="338" spans="1:10" x14ac:dyDescent="0.2">
      <c r="A338" s="467" t="str">
        <f>A337</f>
        <v/>
      </c>
      <c r="B338" s="1324" t="str">
        <f>IF(LEN('11.600'!H41)=0,"",'11.600'!H41)</f>
        <v/>
      </c>
      <c r="C338" s="1280" t="str">
        <f t="shared" si="7"/>
        <v/>
      </c>
      <c r="D338" s="102"/>
      <c r="E338" s="97"/>
      <c r="F338" s="97"/>
      <c r="G338" s="1629"/>
      <c r="H338" s="1326"/>
      <c r="J338" s="1779"/>
    </row>
    <row r="339" spans="1:10" x14ac:dyDescent="0.2">
      <c r="B339" s="1324" t="str">
        <f>IF(LEN('11.600'!H42)=0,"",'11.600'!H42)</f>
        <v/>
      </c>
      <c r="C339" s="1280" t="str">
        <f t="shared" si="7"/>
        <v/>
      </c>
      <c r="D339" s="102"/>
      <c r="E339" s="97"/>
      <c r="F339" s="97"/>
      <c r="G339" s="1705" t="s">
        <v>3815</v>
      </c>
      <c r="H339" s="1326"/>
      <c r="J339" s="1312"/>
    </row>
    <row r="340" spans="1:10" x14ac:dyDescent="0.2">
      <c r="B340" s="1324" t="str">
        <f>IF(LEN('11.600'!H43)=0,"",'11.600'!H43)</f>
        <v/>
      </c>
      <c r="C340" s="1280" t="str">
        <f t="shared" si="7"/>
        <v/>
      </c>
      <c r="D340" s="102"/>
      <c r="E340" s="97"/>
      <c r="F340" s="97"/>
      <c r="G340" s="1705"/>
      <c r="H340" s="1326"/>
      <c r="J340" s="1312"/>
    </row>
    <row r="341" spans="1:10" x14ac:dyDescent="0.2">
      <c r="B341" s="1324" t="str">
        <f>IF(LEN('11.600'!H44)=0,"",'11.600'!H44)</f>
        <v/>
      </c>
      <c r="C341" s="1280" t="str">
        <f t="shared" si="7"/>
        <v/>
      </c>
      <c r="D341" s="136"/>
      <c r="E341" s="169" t="s">
        <v>254</v>
      </c>
      <c r="F341" s="170"/>
      <c r="G341" s="170" t="s">
        <v>453</v>
      </c>
      <c r="H341" s="1341" t="str">
        <f>IF(LEN('11.600'!W44)=0,"",'11.600'!W44)</f>
        <v/>
      </c>
      <c r="I341" s="88">
        <f>'11.600'!O44</f>
        <v>0</v>
      </c>
      <c r="J341" s="1312"/>
    </row>
    <row r="342" spans="1:10" x14ac:dyDescent="0.2">
      <c r="B342" s="1324" t="str">
        <f>IF(LEN('11.600'!H45)=0,"",'11.600'!H45)</f>
        <v/>
      </c>
      <c r="C342" s="1280" t="str">
        <f t="shared" si="7"/>
        <v/>
      </c>
      <c r="D342" s="136"/>
      <c r="E342" s="216" t="s">
        <v>255</v>
      </c>
      <c r="F342" s="210"/>
      <c r="G342" s="210" t="s">
        <v>454</v>
      </c>
      <c r="H342" s="1341" t="str">
        <f>IF(LEN('11.600'!W45)=0,"",'11.600'!W45)</f>
        <v/>
      </c>
      <c r="I342" s="88">
        <f>'11.600'!O45</f>
        <v>0</v>
      </c>
      <c r="J342" s="1312"/>
    </row>
    <row r="343" spans="1:10" x14ac:dyDescent="0.2">
      <c r="B343" s="1324" t="str">
        <f>IF(LEN('11.600'!H46)=0,"",'11.600'!H46)</f>
        <v/>
      </c>
      <c r="C343" s="1280" t="str">
        <f t="shared" si="7"/>
        <v/>
      </c>
      <c r="D343" s="136"/>
      <c r="E343" s="216" t="s">
        <v>256</v>
      </c>
      <c r="F343" s="210"/>
      <c r="G343" s="210" t="s">
        <v>455</v>
      </c>
      <c r="H343" s="1341" t="str">
        <f>IF(LEN('11.600'!W46)=0,"",'11.600'!W46)</f>
        <v/>
      </c>
      <c r="I343" s="88">
        <f>'11.600'!O46</f>
        <v>0</v>
      </c>
      <c r="J343" s="1312"/>
    </row>
    <row r="344" spans="1:10" x14ac:dyDescent="0.2">
      <c r="B344" s="1324" t="str">
        <f>IF(LEN('11.600'!H47)=0,"",'11.600'!H47)</f>
        <v/>
      </c>
      <c r="C344" s="1280" t="str">
        <f t="shared" si="7"/>
        <v/>
      </c>
      <c r="D344" s="136"/>
      <c r="E344" s="216" t="s">
        <v>259</v>
      </c>
      <c r="F344" s="210"/>
      <c r="G344" s="210" t="s">
        <v>456</v>
      </c>
      <c r="H344" s="1341" t="str">
        <f>IF(LEN('11.600'!W47)=0,"",'11.600'!W47)</f>
        <v/>
      </c>
      <c r="I344" s="88">
        <f>'11.600'!O47</f>
        <v>0</v>
      </c>
      <c r="J344" s="1312"/>
    </row>
    <row r="345" spans="1:10" ht="16" thickBot="1" x14ac:dyDescent="0.25">
      <c r="B345" s="1324" t="str">
        <f>IF(LEN('11.600'!H48)=0,"",'11.600'!H48)</f>
        <v/>
      </c>
      <c r="C345" s="1280" t="str">
        <f t="shared" si="7"/>
        <v/>
      </c>
      <c r="D345" s="136"/>
      <c r="E345" s="89" t="s">
        <v>263</v>
      </c>
      <c r="F345" s="85"/>
      <c r="G345" s="85" t="s">
        <v>457</v>
      </c>
      <c r="H345" s="1341" t="str">
        <f>IF(LEN('11.600'!W48)=0,"",'11.600'!W48)</f>
        <v/>
      </c>
      <c r="I345" s="88">
        <f>'11.600'!O48</f>
        <v>0</v>
      </c>
      <c r="J345" s="1312"/>
    </row>
    <row r="346" spans="1:10" ht="16" thickTop="1" x14ac:dyDescent="0.2">
      <c r="A346" s="467" t="str">
        <f>IF(I346&gt;0,"P","")</f>
        <v/>
      </c>
      <c r="B346" s="1324" t="str">
        <f>IF(LEN('11.600'!H49)=0,"",'11.600'!H49)</f>
        <v/>
      </c>
      <c r="C346" s="1280" t="str">
        <f t="shared" si="7"/>
        <v/>
      </c>
      <c r="D346" s="107" t="s">
        <v>3524</v>
      </c>
      <c r="E346" s="179"/>
      <c r="F346" s="179"/>
      <c r="G346" s="1683" t="s">
        <v>3799</v>
      </c>
      <c r="H346" s="1341" t="str">
        <f>IF(LEN('11.600'!W49)=0,"",'11.600'!W49)</f>
        <v/>
      </c>
      <c r="I346" s="88">
        <f>'11.600'!O49</f>
        <v>0</v>
      </c>
      <c r="J346" s="1779" t="s">
        <v>5155</v>
      </c>
    </row>
    <row r="347" spans="1:10" x14ac:dyDescent="0.2">
      <c r="A347" s="467" t="str">
        <f>A346</f>
        <v/>
      </c>
      <c r="B347" s="1324" t="str">
        <f>IF(LEN('11.600'!H50)=0,"",'11.600'!H50)</f>
        <v/>
      </c>
      <c r="C347" s="1280" t="str">
        <f t="shared" si="7"/>
        <v/>
      </c>
      <c r="D347" s="102"/>
      <c r="E347" s="97"/>
      <c r="F347" s="97"/>
      <c r="G347" s="1629"/>
      <c r="H347" s="1326"/>
      <c r="J347" s="1784"/>
    </row>
    <row r="348" spans="1:10" ht="16" thickBot="1" x14ac:dyDescent="0.25">
      <c r="A348" s="467" t="str">
        <f>A347</f>
        <v/>
      </c>
      <c r="B348" s="1324" t="str">
        <f>IF(LEN('11.600'!H51)=0,"",'11.600'!H51)</f>
        <v/>
      </c>
      <c r="C348" s="1280" t="str">
        <f t="shared" si="7"/>
        <v/>
      </c>
      <c r="D348" s="102"/>
      <c r="E348" s="97"/>
      <c r="F348" s="97"/>
      <c r="G348" s="1629"/>
      <c r="H348" s="1326"/>
      <c r="J348" s="1784"/>
    </row>
    <row r="349" spans="1:10" ht="16" thickTop="1" x14ac:dyDescent="0.2">
      <c r="A349" s="1503" t="str">
        <f>IF(COUNTIF(A354:A357,"P")&gt;0,"P","")</f>
        <v/>
      </c>
      <c r="B349" s="1324" t="str">
        <f>IF(LEN('11.600'!H52)=0,"",'11.600'!H52)</f>
        <v/>
      </c>
      <c r="C349" s="1280" t="str">
        <f t="shared" si="7"/>
        <v/>
      </c>
      <c r="D349" s="107" t="s">
        <v>3525</v>
      </c>
      <c r="E349" s="179"/>
      <c r="F349" s="179"/>
      <c r="G349" s="1683" t="s">
        <v>3635</v>
      </c>
      <c r="H349" s="1326"/>
      <c r="I349"/>
      <c r="J349" s="1312"/>
    </row>
    <row r="350" spans="1:10" x14ac:dyDescent="0.2">
      <c r="A350" s="467" t="str">
        <f>A349</f>
        <v/>
      </c>
      <c r="B350" s="1324" t="str">
        <f>IF(LEN('11.600'!H53)=0,"",'11.600'!H53)</f>
        <v/>
      </c>
      <c r="C350" s="1280" t="str">
        <f t="shared" si="7"/>
        <v/>
      </c>
      <c r="D350" s="102"/>
      <c r="E350" s="97"/>
      <c r="F350" s="97"/>
      <c r="G350" s="1629"/>
      <c r="H350" s="1326"/>
      <c r="J350" s="1312"/>
    </row>
    <row r="351" spans="1:10" x14ac:dyDescent="0.2">
      <c r="A351" s="467" t="str">
        <f>A350</f>
        <v/>
      </c>
      <c r="B351" s="1324" t="str">
        <f>IF(LEN('11.600'!H54)=0,"",'11.600'!H54)</f>
        <v/>
      </c>
      <c r="C351" s="1280" t="str">
        <f t="shared" si="7"/>
        <v/>
      </c>
      <c r="D351" s="102"/>
      <c r="E351" s="97"/>
      <c r="F351" s="97"/>
      <c r="G351" s="1629"/>
      <c r="H351" s="1326"/>
      <c r="J351" s="1312"/>
    </row>
    <row r="352" spans="1:10" x14ac:dyDescent="0.2">
      <c r="B352" s="1324" t="str">
        <f>IF(LEN('11.600'!H55)=0,"",'11.600'!H55)</f>
        <v/>
      </c>
      <c r="C352" s="1280" t="str">
        <f t="shared" si="7"/>
        <v/>
      </c>
      <c r="D352" s="102"/>
      <c r="E352" s="97"/>
      <c r="F352" s="97"/>
      <c r="G352" s="1705" t="s">
        <v>3816</v>
      </c>
      <c r="H352" s="1326"/>
      <c r="J352" s="1312"/>
    </row>
    <row r="353" spans="1:10" x14ac:dyDescent="0.2">
      <c r="B353" s="1324" t="str">
        <f>IF(LEN('11.600'!H56)=0,"",'11.600'!H56)</f>
        <v/>
      </c>
      <c r="C353" s="1280" t="str">
        <f t="shared" si="7"/>
        <v/>
      </c>
      <c r="D353" s="102"/>
      <c r="E353" s="97"/>
      <c r="F353" s="97"/>
      <c r="G353" s="1705"/>
      <c r="H353" s="1326"/>
      <c r="J353" s="1312"/>
    </row>
    <row r="354" spans="1:10" x14ac:dyDescent="0.2">
      <c r="A354" s="467" t="str">
        <f>IF(I354&gt;0,"P","")</f>
        <v/>
      </c>
      <c r="B354" s="1324" t="str">
        <f>IF(LEN('11.600'!H57)=0,"",'11.600'!H57)</f>
        <v/>
      </c>
      <c r="C354" s="1280" t="str">
        <f t="shared" si="7"/>
        <v/>
      </c>
      <c r="D354" s="136"/>
      <c r="E354" s="169" t="s">
        <v>254</v>
      </c>
      <c r="F354" s="170"/>
      <c r="G354" s="170" t="s">
        <v>459</v>
      </c>
      <c r="H354" s="1341" t="str">
        <f>IF(LEN('11.600'!W57)=0,"",'11.600'!W57)</f>
        <v/>
      </c>
      <c r="I354" s="88">
        <f>'11.600'!O57</f>
        <v>0</v>
      </c>
      <c r="J354" s="1327" t="s">
        <v>3120</v>
      </c>
    </row>
    <row r="355" spans="1:10" x14ac:dyDescent="0.2">
      <c r="A355" s="467" t="str">
        <f>IF(I355&gt;0,"P","")</f>
        <v/>
      </c>
      <c r="B355" s="1324" t="str">
        <f>IF(LEN('11.600'!H58)=0,"",'11.600'!H58)</f>
        <v/>
      </c>
      <c r="C355" s="1280" t="str">
        <f t="shared" si="7"/>
        <v/>
      </c>
      <c r="D355" s="136"/>
      <c r="E355" s="216" t="s">
        <v>255</v>
      </c>
      <c r="F355" s="210"/>
      <c r="G355" s="210" t="s">
        <v>460</v>
      </c>
      <c r="H355" s="1341" t="str">
        <f>IF(LEN('11.600'!W58)=0,"",'11.600'!W58)</f>
        <v/>
      </c>
      <c r="I355" s="88">
        <f>'11.600'!O58</f>
        <v>0</v>
      </c>
      <c r="J355" s="1327" t="s">
        <v>3120</v>
      </c>
    </row>
    <row r="356" spans="1:10" x14ac:dyDescent="0.2">
      <c r="A356" s="467" t="str">
        <f>IF(I356&gt;0,"P","")</f>
        <v/>
      </c>
      <c r="B356" s="1324" t="str">
        <f>IF(LEN('11.600'!H59)=0,"",'11.600'!H59)</f>
        <v/>
      </c>
      <c r="C356" s="1280" t="str">
        <f t="shared" si="7"/>
        <v/>
      </c>
      <c r="D356" s="136"/>
      <c r="E356" s="216" t="s">
        <v>256</v>
      </c>
      <c r="F356" s="210"/>
      <c r="G356" s="210" t="s">
        <v>461</v>
      </c>
      <c r="H356" s="1341" t="str">
        <f>IF(LEN('11.600'!W59)=0,"",'11.600'!W59)</f>
        <v/>
      </c>
      <c r="I356" s="88">
        <f>'11.600'!O59</f>
        <v>0</v>
      </c>
      <c r="J356" s="1327" t="s">
        <v>3120</v>
      </c>
    </row>
    <row r="357" spans="1:10" ht="16" thickBot="1" x14ac:dyDescent="0.25">
      <c r="A357" s="467" t="str">
        <f>IF(I357&gt;0,"P","")</f>
        <v/>
      </c>
      <c r="B357" s="1324" t="str">
        <f>IF(LEN('11.600'!H60)=0,"",'11.600'!H60)</f>
        <v/>
      </c>
      <c r="C357" s="1280" t="str">
        <f t="shared" si="7"/>
        <v/>
      </c>
      <c r="D357" s="136"/>
      <c r="E357" s="216" t="s">
        <v>259</v>
      </c>
      <c r="F357" s="210"/>
      <c r="G357" s="210" t="s">
        <v>3800</v>
      </c>
      <c r="H357" s="1341" t="str">
        <f>IF(LEN('11.600'!W60)=0,"",'11.600'!W60)</f>
        <v/>
      </c>
      <c r="I357" s="88">
        <f>'11.600'!O60</f>
        <v>0</v>
      </c>
      <c r="J357" s="1312" t="s">
        <v>3127</v>
      </c>
    </row>
    <row r="358" spans="1:10" ht="16" thickTop="1" x14ac:dyDescent="0.2">
      <c r="A358" s="467" t="str">
        <f ca="1">IF(I358&gt;0,"P","")</f>
        <v>P</v>
      </c>
      <c r="B358" s="1324" t="str">
        <f>IF(LEN('11.600'!H61)=0,"",'11.600'!H61)</f>
        <v/>
      </c>
      <c r="C358" s="1280" t="str">
        <f t="shared" ca="1" si="7"/>
        <v>P</v>
      </c>
      <c r="D358" s="107" t="s">
        <v>3526</v>
      </c>
      <c r="E358" s="179"/>
      <c r="F358" s="179"/>
      <c r="G358" s="1683" t="s">
        <v>3634</v>
      </c>
      <c r="H358" s="1326"/>
      <c r="I358" s="88">
        <f ca="1">'11.600'!O61</f>
        <v>4</v>
      </c>
      <c r="J358" s="1779" t="s">
        <v>3120</v>
      </c>
    </row>
    <row r="359" spans="1:10" x14ac:dyDescent="0.2">
      <c r="A359" s="467" t="str">
        <f ca="1">A358</f>
        <v>P</v>
      </c>
      <c r="B359" s="1324" t="str">
        <f>IF(LEN('11.600'!H62)=0,"",'11.600'!H62)</f>
        <v/>
      </c>
      <c r="C359" s="1280" t="str">
        <f t="shared" ca="1" si="7"/>
        <v>P</v>
      </c>
      <c r="D359" s="102"/>
      <c r="E359" s="97"/>
      <c r="F359" s="97"/>
      <c r="G359" s="1629"/>
      <c r="H359" s="1326"/>
      <c r="J359" s="1779"/>
    </row>
    <row r="360" spans="1:10" x14ac:dyDescent="0.2">
      <c r="A360" s="467" t="str">
        <f ca="1">A359</f>
        <v>P</v>
      </c>
      <c r="B360" s="1324" t="str">
        <f>IF(LEN('11.600'!H63)=0,"",'11.600'!H63)</f>
        <v/>
      </c>
      <c r="C360" s="1280" t="str">
        <f t="shared" ca="1" si="7"/>
        <v>P</v>
      </c>
      <c r="D360" s="102"/>
      <c r="E360" s="97"/>
      <c r="F360" s="97"/>
      <c r="G360" s="1629"/>
      <c r="H360" s="1326"/>
      <c r="J360" s="1779"/>
    </row>
    <row r="361" spans="1:10" x14ac:dyDescent="0.2">
      <c r="B361" s="1324" t="str">
        <f>IF(LEN('11.600'!H64)=0,"",'11.600'!H64)</f>
        <v/>
      </c>
      <c r="C361" s="1280" t="str">
        <f t="shared" si="7"/>
        <v/>
      </c>
      <c r="D361" s="102"/>
      <c r="E361" s="169" t="s">
        <v>254</v>
      </c>
      <c r="F361" s="170"/>
      <c r="G361" s="170" t="s">
        <v>463</v>
      </c>
      <c r="H361" s="1326"/>
      <c r="J361" s="1312"/>
    </row>
    <row r="362" spans="1:10" ht="16" thickBot="1" x14ac:dyDescent="0.25">
      <c r="B362" s="1324" t="str">
        <f>IF(LEN('11.600'!H65)=0,"",'11.600'!H65)</f>
        <v/>
      </c>
      <c r="C362" s="1280" t="str">
        <f t="shared" si="7"/>
        <v/>
      </c>
      <c r="D362" s="102"/>
      <c r="E362" s="93" t="s">
        <v>255</v>
      </c>
      <c r="F362" s="97"/>
      <c r="G362" s="97" t="s">
        <v>464</v>
      </c>
      <c r="H362" s="1326"/>
      <c r="J362" s="1312"/>
    </row>
    <row r="363" spans="1:10" ht="16" thickTop="1" x14ac:dyDescent="0.2">
      <c r="A363" s="467" t="str">
        <f ca="1">IF(I363&gt;0,"P","")</f>
        <v>P</v>
      </c>
      <c r="B363" s="1324" t="str">
        <f>IF(LEN('11.600'!H66)=0,"",'11.600'!H66)</f>
        <v/>
      </c>
      <c r="C363" s="1280" t="str">
        <f t="shared" ca="1" si="7"/>
        <v>P</v>
      </c>
      <c r="D363" s="107" t="s">
        <v>3527</v>
      </c>
      <c r="E363" s="179"/>
      <c r="F363" s="179"/>
      <c r="G363" s="1683" t="s">
        <v>3633</v>
      </c>
      <c r="H363" s="1326"/>
      <c r="I363" s="88">
        <f ca="1">'11.600'!O66</f>
        <v>7</v>
      </c>
      <c r="J363" s="1800" t="s">
        <v>3128</v>
      </c>
    </row>
    <row r="364" spans="1:10" x14ac:dyDescent="0.2">
      <c r="A364" s="467" t="str">
        <f ca="1">A363</f>
        <v>P</v>
      </c>
      <c r="B364" s="1324" t="str">
        <f>IF(LEN('11.600'!H67)=0,"",'11.600'!H67)</f>
        <v/>
      </c>
      <c r="C364" s="1280" t="str">
        <f t="shared" ca="1" si="7"/>
        <v>P</v>
      </c>
      <c r="D364" s="102"/>
      <c r="E364" s="97"/>
      <c r="F364" s="97"/>
      <c r="G364" s="1629"/>
      <c r="H364" s="1326"/>
      <c r="J364" s="1800"/>
    </row>
    <row r="365" spans="1:10" x14ac:dyDescent="0.2">
      <c r="B365" s="1324" t="str">
        <f>IF(LEN('11.600'!H68)=0,"",'11.600'!H68)</f>
        <v/>
      </c>
      <c r="C365" s="1280" t="str">
        <f t="shared" si="7"/>
        <v/>
      </c>
      <c r="D365" s="102"/>
      <c r="E365" s="97"/>
      <c r="F365" s="97"/>
      <c r="G365" s="185" t="s">
        <v>473</v>
      </c>
      <c r="H365" s="1326"/>
      <c r="J365" s="1312"/>
    </row>
    <row r="366" spans="1:10" x14ac:dyDescent="0.2">
      <c r="B366" s="1324" t="str">
        <f>IF(LEN('11.600'!H69)=0,"",'11.600'!H69)</f>
        <v/>
      </c>
      <c r="C366" s="1280" t="str">
        <f t="shared" si="7"/>
        <v/>
      </c>
      <c r="D366" s="102"/>
      <c r="E366" s="97"/>
      <c r="F366" s="169" t="s">
        <v>121</v>
      </c>
      <c r="G366" s="170" t="s">
        <v>466</v>
      </c>
      <c r="H366" s="1341" t="str">
        <f>IF(LEN('11.600'!W69)=0,"",'11.600'!W69)</f>
        <v/>
      </c>
      <c r="J366" s="1312"/>
    </row>
    <row r="367" spans="1:10" x14ac:dyDescent="0.2">
      <c r="B367" s="1324" t="str">
        <f>IF(LEN('11.600'!H70)=0,"",'11.600'!H70)</f>
        <v/>
      </c>
      <c r="C367" s="1280" t="str">
        <f t="shared" si="7"/>
        <v/>
      </c>
      <c r="D367" s="102"/>
      <c r="E367" s="97"/>
      <c r="F367" s="216" t="s">
        <v>122</v>
      </c>
      <c r="G367" s="210" t="s">
        <v>467</v>
      </c>
      <c r="H367" s="1341" t="str">
        <f>IF(LEN('11.600'!W70)=0,"",'11.600'!W70)</f>
        <v/>
      </c>
      <c r="J367" s="1312"/>
    </row>
    <row r="368" spans="1:10" x14ac:dyDescent="0.2">
      <c r="B368" s="1324" t="str">
        <f>IF(LEN('11.600'!H71)=0,"",'11.600'!H71)</f>
        <v/>
      </c>
      <c r="C368" s="1280" t="str">
        <f t="shared" si="7"/>
        <v/>
      </c>
      <c r="D368" s="102"/>
      <c r="E368" s="97"/>
      <c r="F368" s="217" t="s">
        <v>123</v>
      </c>
      <c r="G368" s="1720" t="s">
        <v>468</v>
      </c>
      <c r="H368" s="1341" t="str">
        <f>IF(LEN('11.600'!W71)=0,"",'11.600'!W71)</f>
        <v>90% or more</v>
      </c>
      <c r="J368" s="1312"/>
    </row>
    <row r="369" spans="1:10" x14ac:dyDescent="0.2">
      <c r="B369" s="1324" t="str">
        <f>IF(LEN('11.600'!H72)=0,"",'11.600'!H72)</f>
        <v/>
      </c>
      <c r="C369" s="1280" t="str">
        <f t="shared" si="7"/>
        <v/>
      </c>
      <c r="D369" s="102"/>
      <c r="E369" s="97"/>
      <c r="F369" s="97"/>
      <c r="G369" s="1721"/>
      <c r="H369" s="1326"/>
      <c r="J369" s="1312"/>
    </row>
    <row r="370" spans="1:10" x14ac:dyDescent="0.2">
      <c r="B370" s="1324" t="str">
        <f>IF(LEN('11.600'!H73)=0,"",'11.600'!H73)</f>
        <v/>
      </c>
      <c r="C370" s="1280" t="str">
        <f t="shared" si="7"/>
        <v/>
      </c>
      <c r="D370" s="102"/>
      <c r="E370" s="97"/>
      <c r="F370" s="97"/>
      <c r="G370" s="186" t="s">
        <v>469</v>
      </c>
      <c r="H370" s="1326"/>
      <c r="J370" s="1312"/>
    </row>
    <row r="371" spans="1:10" x14ac:dyDescent="0.2">
      <c r="B371" s="1324" t="str">
        <f>IF(LEN('11.600'!H74)=0,"",'11.600'!H74)</f>
        <v/>
      </c>
      <c r="C371" s="1280" t="str">
        <f t="shared" si="7"/>
        <v/>
      </c>
      <c r="D371" s="102"/>
      <c r="E371" s="97"/>
      <c r="F371" s="170"/>
      <c r="G371" s="1283" t="s">
        <v>470</v>
      </c>
      <c r="H371" s="1326"/>
      <c r="J371" s="1312"/>
    </row>
    <row r="372" spans="1:10" x14ac:dyDescent="0.2">
      <c r="B372" s="1324" t="str">
        <f>IF(LEN('11.600'!H75)=0,"",'11.600'!H75)</f>
        <v/>
      </c>
      <c r="C372" s="1280" t="str">
        <f t="shared" si="7"/>
        <v/>
      </c>
      <c r="D372" s="102"/>
      <c r="E372" s="97"/>
      <c r="F372" s="218" t="s">
        <v>366</v>
      </c>
      <c r="G372" s="1613" t="s">
        <v>471</v>
      </c>
      <c r="H372" s="1341" t="str">
        <f>IF(LEN('11.600'!W75)=0,"",'11.600'!W75)</f>
        <v/>
      </c>
      <c r="J372" s="1312"/>
    </row>
    <row r="373" spans="1:10" x14ac:dyDescent="0.2">
      <c r="B373" s="1324" t="str">
        <f>IF(LEN('11.600'!H76)=0,"",'11.600'!H76)</f>
        <v/>
      </c>
      <c r="C373" s="1280" t="str">
        <f t="shared" si="7"/>
        <v/>
      </c>
      <c r="D373" s="102"/>
      <c r="E373" s="97"/>
      <c r="F373" s="170"/>
      <c r="G373" s="1612"/>
      <c r="H373" s="1326"/>
      <c r="J373" s="1312"/>
    </row>
    <row r="374" spans="1:10" x14ac:dyDescent="0.2">
      <c r="B374" s="1324" t="str">
        <f>IF(LEN('11.600'!H77)=0,"",'11.600'!H77)</f>
        <v/>
      </c>
      <c r="C374" s="1280" t="str">
        <f t="shared" si="7"/>
        <v/>
      </c>
      <c r="D374" s="102"/>
      <c r="E374" s="97"/>
      <c r="F374" s="218" t="s">
        <v>472</v>
      </c>
      <c r="G374" s="1613" t="s">
        <v>3801</v>
      </c>
      <c r="H374" s="1341" t="str">
        <f>IF(LEN('11.600'!W77)=0,"",'11.600'!W77)</f>
        <v>50% to less than 90%</v>
      </c>
      <c r="J374" s="1312"/>
    </row>
    <row r="375" spans="1:10" x14ac:dyDescent="0.2">
      <c r="B375" s="1324" t="str">
        <f>IF(LEN('11.600'!H78)=0,"",'11.600'!H78)</f>
        <v/>
      </c>
      <c r="C375" s="1280" t="str">
        <f t="shared" si="7"/>
        <v/>
      </c>
      <c r="D375" s="102"/>
      <c r="E375" s="97"/>
      <c r="F375" s="170"/>
      <c r="G375" s="1612"/>
      <c r="H375" s="1326"/>
      <c r="J375" s="1312"/>
    </row>
    <row r="376" spans="1:10" x14ac:dyDescent="0.2">
      <c r="B376" s="1324" t="str">
        <f>IF(LEN('11.600'!H79)=0,"",'11.600'!H79)</f>
        <v/>
      </c>
      <c r="C376" s="1280" t="str">
        <f t="shared" si="7"/>
        <v/>
      </c>
      <c r="D376" s="102"/>
      <c r="E376" s="93" t="s">
        <v>254</v>
      </c>
      <c r="F376" s="97"/>
      <c r="G376" s="1649" t="s">
        <v>3802</v>
      </c>
      <c r="H376" s="1326"/>
      <c r="J376" s="1312"/>
    </row>
    <row r="377" spans="1:10" x14ac:dyDescent="0.2">
      <c r="B377" s="1324" t="str">
        <f>IF(LEN('11.600'!H80)=0,"",'11.600'!H80)</f>
        <v/>
      </c>
      <c r="C377" s="1280" t="str">
        <f t="shared" si="7"/>
        <v/>
      </c>
      <c r="D377" s="102"/>
      <c r="E377" s="169"/>
      <c r="F377" s="97"/>
      <c r="G377" s="1650"/>
      <c r="H377" s="1326"/>
      <c r="J377" s="1312"/>
    </row>
    <row r="378" spans="1:10" x14ac:dyDescent="0.2">
      <c r="B378" s="1324" t="str">
        <f>IF(LEN('11.600'!H81)=0,"",'11.600'!H81)</f>
        <v/>
      </c>
      <c r="C378" s="1280" t="str">
        <f t="shared" si="7"/>
        <v/>
      </c>
      <c r="D378" s="102"/>
      <c r="E378" s="93" t="s">
        <v>255</v>
      </c>
      <c r="F378" s="1335"/>
      <c r="G378" s="1649" t="s">
        <v>3803</v>
      </c>
      <c r="H378" s="1326"/>
      <c r="J378" s="1312"/>
    </row>
    <row r="379" spans="1:10" x14ac:dyDescent="0.2">
      <c r="B379" s="1324" t="str">
        <f>IF(LEN('11.600'!H82)=0,"",'11.600'!H82)</f>
        <v/>
      </c>
      <c r="C379" s="1280" t="str">
        <f t="shared" si="7"/>
        <v/>
      </c>
      <c r="D379" s="102"/>
      <c r="E379" s="1140"/>
      <c r="F379" s="170"/>
      <c r="G379" s="1650"/>
      <c r="H379" s="1326"/>
      <c r="J379" s="1312"/>
    </row>
    <row r="380" spans="1:10" x14ac:dyDescent="0.2">
      <c r="B380" s="1324" t="str">
        <f>IF(LEN('11.600'!H83)=0,"",'11.600'!H83)</f>
        <v/>
      </c>
      <c r="C380" s="1280" t="str">
        <f t="shared" si="7"/>
        <v/>
      </c>
      <c r="D380" s="102"/>
      <c r="E380" s="93" t="s">
        <v>256</v>
      </c>
      <c r="F380" s="97"/>
      <c r="G380" s="1657" t="s">
        <v>3804</v>
      </c>
      <c r="H380" s="1326"/>
      <c r="J380" s="1312"/>
    </row>
    <row r="381" spans="1:10" ht="16" thickBot="1" x14ac:dyDescent="0.25">
      <c r="B381" s="1324" t="str">
        <f>IF(LEN('11.600'!H84)=0,"",'11.600'!H84)</f>
        <v/>
      </c>
      <c r="C381" s="1280" t="str">
        <f t="shared" si="7"/>
        <v/>
      </c>
      <c r="D381" s="102"/>
      <c r="E381" s="93"/>
      <c r="F381" s="97"/>
      <c r="G381" s="1713"/>
      <c r="H381" s="1326"/>
      <c r="J381" s="1312"/>
    </row>
    <row r="382" spans="1:10" ht="16" thickTop="1" x14ac:dyDescent="0.2">
      <c r="A382" s="467" t="str">
        <f>IF(I382&gt;0,"P","")</f>
        <v/>
      </c>
      <c r="B382" s="1324" t="str">
        <f>IF(LEN('11.600'!H85)=0,"",'11.600'!H85)</f>
        <v/>
      </c>
      <c r="C382" s="1280" t="str">
        <f t="shared" si="7"/>
        <v/>
      </c>
      <c r="D382" s="107" t="s">
        <v>3528</v>
      </c>
      <c r="E382" s="179"/>
      <c r="F382" s="179"/>
      <c r="G382" s="1683" t="s">
        <v>3805</v>
      </c>
      <c r="H382" s="1341" t="str">
        <f>IF(LEN('11.600'!W85)=0,"",'11.600'!W85)</f>
        <v/>
      </c>
      <c r="I382" s="88">
        <f>'11.600'!O85</f>
        <v>0</v>
      </c>
      <c r="J382" s="1779" t="s">
        <v>3129</v>
      </c>
    </row>
    <row r="383" spans="1:10" x14ac:dyDescent="0.2">
      <c r="A383" s="467" t="str">
        <f>A382</f>
        <v/>
      </c>
      <c r="B383" s="1324" t="str">
        <f>IF(LEN('11.600'!H86)=0,"",'11.600'!H86)</f>
        <v/>
      </c>
      <c r="C383" s="1280" t="str">
        <f t="shared" si="7"/>
        <v/>
      </c>
      <c r="D383" s="102"/>
      <c r="E383" s="97"/>
      <c r="F383" s="97"/>
      <c r="G383" s="1629"/>
      <c r="H383" s="1326"/>
      <c r="J383" s="1779"/>
    </row>
    <row r="384" spans="1:10" x14ac:dyDescent="0.2">
      <c r="A384" s="467" t="str">
        <f>A383</f>
        <v/>
      </c>
      <c r="B384" s="1324" t="str">
        <f>IF(LEN('11.600'!H87)=0,"",'11.600'!H87)</f>
        <v/>
      </c>
      <c r="C384" s="1280" t="str">
        <f t="shared" si="7"/>
        <v/>
      </c>
      <c r="D384" s="102"/>
      <c r="E384" s="97"/>
      <c r="F384" s="97"/>
      <c r="G384" s="1629"/>
      <c r="H384" s="1326"/>
      <c r="J384" s="1779"/>
    </row>
    <row r="385" spans="1:10" x14ac:dyDescent="0.2">
      <c r="A385" s="467" t="str">
        <f>A384</f>
        <v/>
      </c>
      <c r="B385" s="1324" t="str">
        <f>IF(LEN('11.600'!H88)=0,"",'11.600'!H88)</f>
        <v/>
      </c>
      <c r="C385" s="1280" t="str">
        <f t="shared" si="7"/>
        <v/>
      </c>
      <c r="D385" s="102"/>
      <c r="E385" s="97"/>
      <c r="F385" s="97"/>
      <c r="G385" s="1629"/>
      <c r="H385" s="1326"/>
      <c r="J385" s="1779"/>
    </row>
    <row r="386" spans="1:10" x14ac:dyDescent="0.2">
      <c r="A386" s="467" t="str">
        <f>A385</f>
        <v/>
      </c>
      <c r="B386" s="1324" t="str">
        <f>IF(LEN('11.600'!H89)=0,"",'11.600'!H89)</f>
        <v/>
      </c>
      <c r="C386" s="1280" t="str">
        <f t="shared" si="7"/>
        <v/>
      </c>
      <c r="D386" s="102"/>
      <c r="E386" s="97"/>
      <c r="F386" s="97"/>
      <c r="G386" s="1629"/>
      <c r="H386" s="1326"/>
      <c r="J386" s="1779"/>
    </row>
    <row r="387" spans="1:10" x14ac:dyDescent="0.2">
      <c r="B387" s="1324" t="str">
        <f>IF(LEN('11.600'!H90)=0,"",'11.600'!H90)</f>
        <v/>
      </c>
      <c r="C387" s="1280" t="str">
        <f t="shared" si="7"/>
        <v/>
      </c>
      <c r="D387" s="102"/>
      <c r="E387" s="97"/>
      <c r="F387" s="97"/>
      <c r="G387" s="1780" t="s">
        <v>676</v>
      </c>
      <c r="H387" s="1326"/>
      <c r="J387" s="1312"/>
    </row>
    <row r="388" spans="1:10" x14ac:dyDescent="0.2">
      <c r="B388" s="1324" t="str">
        <f>IF(LEN('11.600'!H91)=0,"",'11.600'!H91)</f>
        <v/>
      </c>
      <c r="C388" s="1280" t="str">
        <f t="shared" si="7"/>
        <v/>
      </c>
      <c r="D388" s="102"/>
      <c r="E388" s="97"/>
      <c r="F388" s="97"/>
      <c r="G388" s="1780"/>
      <c r="H388" s="1326"/>
      <c r="J388" s="1312"/>
    </row>
    <row r="389" spans="1:10" x14ac:dyDescent="0.2">
      <c r="B389" s="1324" t="str">
        <f>IF(LEN('11.600'!H92)=0,"",'11.600'!H92)</f>
        <v/>
      </c>
      <c r="C389" s="1280" t="str">
        <f t="shared" si="7"/>
        <v/>
      </c>
      <c r="D389" s="102"/>
      <c r="E389" s="97"/>
      <c r="F389" s="97"/>
      <c r="G389" s="1781"/>
      <c r="H389" s="1326"/>
      <c r="J389" s="1312"/>
    </row>
    <row r="390" spans="1:10" ht="19" x14ac:dyDescent="0.25">
      <c r="A390" s="467" t="s">
        <v>3200</v>
      </c>
      <c r="B390" s="1324" t="str">
        <f>IF(LEN('11.600'!H93)=0,"",'11.600'!H93)</f>
        <v/>
      </c>
      <c r="C390" s="1280" t="str">
        <f t="shared" si="7"/>
        <v>P</v>
      </c>
      <c r="D390" s="72" t="s">
        <v>3529</v>
      </c>
      <c r="E390" s="72"/>
      <c r="F390" s="72"/>
      <c r="G390" s="81"/>
      <c r="H390" s="994"/>
      <c r="I390" s="25"/>
      <c r="J390" s="25"/>
    </row>
    <row r="391" spans="1:10" x14ac:dyDescent="0.2">
      <c r="B391" s="1324" t="str">
        <f>IF(LEN('11.600'!H94)=0,"",'11.600'!H94)</f>
        <v/>
      </c>
      <c r="C391" s="1280" t="str">
        <f t="shared" si="7"/>
        <v/>
      </c>
      <c r="D391" s="589" t="s">
        <v>3530</v>
      </c>
      <c r="E391" s="85"/>
      <c r="F391" s="85"/>
      <c r="G391" s="1631" t="s">
        <v>3632</v>
      </c>
      <c r="H391" s="1326"/>
      <c r="J391" s="1312"/>
    </row>
    <row r="392" spans="1:10" ht="16" thickBot="1" x14ac:dyDescent="0.25">
      <c r="B392" s="1324" t="str">
        <f>IF(LEN('11.600'!H95)=0,"",'11.600'!H95)</f>
        <v/>
      </c>
      <c r="C392" s="1280" t="str">
        <f t="shared" ref="C392:C455" si="8">IF(LEN(B392)=0,IF(A392="P","P",""),B392)</f>
        <v/>
      </c>
      <c r="D392" s="136"/>
      <c r="E392" s="85"/>
      <c r="F392" s="85"/>
      <c r="G392" s="1631"/>
      <c r="H392" s="1326"/>
      <c r="J392" s="1312"/>
    </row>
    <row r="393" spans="1:10" ht="17" thickTop="1" thickBot="1" x14ac:dyDescent="0.25">
      <c r="A393" s="1503" t="str">
        <f ca="1">IF(COUNTIF(A394:A541,"P")&gt;0,"P","")</f>
        <v>P</v>
      </c>
      <c r="B393" s="1324" t="str">
        <f>IF(LEN('11.600'!H96)=0,"",'11.600'!H96)</f>
        <v/>
      </c>
      <c r="C393" s="1280" t="str">
        <f t="shared" ca="1" si="8"/>
        <v>P</v>
      </c>
      <c r="D393" s="107" t="s">
        <v>3531</v>
      </c>
      <c r="E393" s="179"/>
      <c r="F393" s="179"/>
      <c r="G393" s="125" t="s">
        <v>3631</v>
      </c>
      <c r="H393" s="1326"/>
      <c r="J393" s="1312"/>
    </row>
    <row r="394" spans="1:10" ht="16" thickTop="1" x14ac:dyDescent="0.2">
      <c r="A394" s="1503" t="str">
        <f>IF(COUNTIF(A395:A399,"P")&gt;0,"P","")</f>
        <v/>
      </c>
      <c r="B394" s="1324" t="str">
        <f>IF(LEN('11.600'!H97)=0,"",'11.600'!H97)</f>
        <v/>
      </c>
      <c r="C394" s="1280" t="str">
        <f t="shared" si="8"/>
        <v/>
      </c>
      <c r="D394" s="107" t="s">
        <v>3532</v>
      </c>
      <c r="E394" s="179"/>
      <c r="F394" s="179"/>
      <c r="G394" s="125" t="s">
        <v>3630</v>
      </c>
      <c r="H394" s="1326"/>
      <c r="J394" s="1312"/>
    </row>
    <row r="395" spans="1:10" x14ac:dyDescent="0.2">
      <c r="A395" s="467" t="str">
        <f>IF(AND(LEN(H395)&gt;0,NOT(H395=FALSE),NOT(H395="N/A")),"P","")</f>
        <v/>
      </c>
      <c r="B395" s="1324" t="str">
        <f>IF(LEN('11.600'!H98)=0,"",'11.600'!H98)</f>
        <v/>
      </c>
      <c r="C395" s="1280" t="str">
        <f t="shared" si="8"/>
        <v/>
      </c>
      <c r="D395" s="102" t="s">
        <v>3533</v>
      </c>
      <c r="E395" s="97"/>
      <c r="F395" s="97"/>
      <c r="G395" s="1629" t="s">
        <v>3629</v>
      </c>
      <c r="H395" s="1341" t="str">
        <f>IF(LEN('11.600'!W98)=0,"",'11.600'!W98)</f>
        <v>N/A</v>
      </c>
      <c r="J395" s="1779" t="s">
        <v>3130</v>
      </c>
    </row>
    <row r="396" spans="1:10" x14ac:dyDescent="0.2">
      <c r="A396" s="467" t="str">
        <f>A395</f>
        <v/>
      </c>
      <c r="B396" s="1324" t="str">
        <f>IF(LEN('11.600'!H99)=0,"",'11.600'!H99)</f>
        <v/>
      </c>
      <c r="C396" s="1280" t="str">
        <f t="shared" si="8"/>
        <v/>
      </c>
      <c r="D396" s="102"/>
      <c r="E396" s="97"/>
      <c r="F396" s="97"/>
      <c r="G396" s="1629"/>
      <c r="H396" s="1326"/>
      <c r="J396" s="1779"/>
    </row>
    <row r="397" spans="1:10" x14ac:dyDescent="0.2">
      <c r="A397" s="467" t="str">
        <f>A396</f>
        <v/>
      </c>
      <c r="B397" s="1324" t="str">
        <f>IF(LEN('11.600'!H100)=0,"",'11.600'!H100)</f>
        <v/>
      </c>
      <c r="C397" s="1280" t="str">
        <f t="shared" si="8"/>
        <v/>
      </c>
      <c r="D397" s="102"/>
      <c r="E397" s="97"/>
      <c r="F397" s="97"/>
      <c r="G397" s="1629"/>
      <c r="H397" s="1326"/>
      <c r="J397" s="1779"/>
    </row>
    <row r="398" spans="1:10" x14ac:dyDescent="0.2">
      <c r="B398" s="1324" t="str">
        <f>IF(LEN('11.600'!H101)=0,"",'11.600'!H101)</f>
        <v/>
      </c>
      <c r="C398" s="1280" t="str">
        <f t="shared" si="8"/>
        <v/>
      </c>
      <c r="D398" s="591"/>
      <c r="E398" s="170"/>
      <c r="F398" s="170"/>
      <c r="G398" s="1298" t="s">
        <v>3817</v>
      </c>
      <c r="H398" s="1326"/>
      <c r="J398" s="1312"/>
    </row>
    <row r="399" spans="1:10" x14ac:dyDescent="0.2">
      <c r="A399" s="467" t="str">
        <f>IF(I399&gt;0,"P","")</f>
        <v/>
      </c>
      <c r="B399" s="1324" t="str">
        <f>IF(LEN('11.600'!H102)=0,"",'11.600'!H102)</f>
        <v/>
      </c>
      <c r="C399" s="1280" t="str">
        <f t="shared" si="8"/>
        <v/>
      </c>
      <c r="D399" s="136" t="s">
        <v>3534</v>
      </c>
      <c r="E399" s="85"/>
      <c r="F399" s="85"/>
      <c r="G399" s="1631" t="s">
        <v>3806</v>
      </c>
      <c r="H399" s="1341" t="str">
        <f>IF(LEN('11.600'!W102)=0,"",'11.600'!W102)</f>
        <v/>
      </c>
      <c r="I399" s="88">
        <f>'11.600'!O102</f>
        <v>0</v>
      </c>
      <c r="J399" s="1779" t="s">
        <v>3131</v>
      </c>
    </row>
    <row r="400" spans="1:10" x14ac:dyDescent="0.2">
      <c r="A400" s="467" t="str">
        <f>A399</f>
        <v/>
      </c>
      <c r="B400" s="1324" t="str">
        <f>IF(LEN('11.600'!H103)=0,"",'11.600'!H103)</f>
        <v/>
      </c>
      <c r="C400" s="1280" t="str">
        <f t="shared" si="8"/>
        <v/>
      </c>
      <c r="D400" s="136"/>
      <c r="E400" s="85"/>
      <c r="F400" s="85"/>
      <c r="G400" s="1631"/>
      <c r="H400" s="1326"/>
      <c r="J400" s="1779"/>
    </row>
    <row r="401" spans="1:10" ht="16" thickBot="1" x14ac:dyDescent="0.25">
      <c r="A401" s="467" t="str">
        <f>A400</f>
        <v/>
      </c>
      <c r="B401" s="1324" t="str">
        <f>IF(LEN('11.600'!H104)=0,"",'11.600'!H104)</f>
        <v/>
      </c>
      <c r="C401" s="1280" t="str">
        <f t="shared" si="8"/>
        <v/>
      </c>
      <c r="D401" s="136"/>
      <c r="E401" s="85"/>
      <c r="F401" s="85"/>
      <c r="G401" s="1631"/>
      <c r="H401" s="1326"/>
      <c r="J401" s="1779"/>
    </row>
    <row r="402" spans="1:10" ht="16" thickTop="1" x14ac:dyDescent="0.2">
      <c r="A402" s="467" t="str">
        <f>IF(I402&gt;0,"P","")</f>
        <v/>
      </c>
      <c r="B402" s="1324" t="str">
        <f>IF(LEN('11.600'!H105)=0,"",'11.600'!H105)</f>
        <v/>
      </c>
      <c r="C402" s="1280" t="str">
        <f t="shared" si="8"/>
        <v/>
      </c>
      <c r="D402" s="107" t="s">
        <v>3535</v>
      </c>
      <c r="E402" s="179"/>
      <c r="F402" s="179"/>
      <c r="G402" s="1683" t="s">
        <v>3807</v>
      </c>
      <c r="H402" s="1326"/>
      <c r="I402" s="88">
        <f>'11.600'!O105</f>
        <v>0</v>
      </c>
      <c r="J402" s="1779" t="s">
        <v>3132</v>
      </c>
    </row>
    <row r="403" spans="1:10" x14ac:dyDescent="0.2">
      <c r="A403" s="467" t="str">
        <f>A402</f>
        <v/>
      </c>
      <c r="B403" s="1324" t="str">
        <f>IF(LEN('11.600'!H106)=0,"",'11.600'!H106)</f>
        <v/>
      </c>
      <c r="C403" s="1280" t="str">
        <f t="shared" si="8"/>
        <v/>
      </c>
      <c r="D403" s="102"/>
      <c r="E403" s="97"/>
      <c r="F403" s="97"/>
      <c r="G403" s="1629"/>
      <c r="H403" s="1326"/>
      <c r="J403" s="1779"/>
    </row>
    <row r="404" spans="1:10" x14ac:dyDescent="0.2">
      <c r="A404" s="467" t="str">
        <f>A403</f>
        <v/>
      </c>
      <c r="B404" s="1324" t="str">
        <f>IF(LEN('11.600'!H107)=0,"",'11.600'!H107)</f>
        <v/>
      </c>
      <c r="C404" s="1280" t="str">
        <f t="shared" si="8"/>
        <v/>
      </c>
      <c r="D404" s="102"/>
      <c r="E404" s="97"/>
      <c r="F404" s="97"/>
      <c r="G404" s="1629"/>
      <c r="H404" s="1326"/>
      <c r="J404" s="1779"/>
    </row>
    <row r="405" spans="1:10" x14ac:dyDescent="0.2">
      <c r="B405" s="1324" t="str">
        <f>IF(LEN('11.600'!H108)=0,"",'11.600'!H108)</f>
        <v/>
      </c>
      <c r="C405" s="1280" t="str">
        <f t="shared" si="8"/>
        <v/>
      </c>
      <c r="D405" s="102"/>
      <c r="E405" s="169" t="s">
        <v>254</v>
      </c>
      <c r="F405" s="170"/>
      <c r="G405" s="170" t="s">
        <v>478</v>
      </c>
      <c r="H405" s="1341" t="str">
        <f>IF(LEN('11.600'!W108)=0,"",'11.600'!W108)</f>
        <v/>
      </c>
      <c r="J405" s="1312"/>
    </row>
    <row r="406" spans="1:10" ht="16" thickBot="1" x14ac:dyDescent="0.25">
      <c r="B406" s="1324" t="str">
        <f>IF(LEN('11.600'!H109)=0,"",'11.600'!H109)</f>
        <v/>
      </c>
      <c r="C406" s="1280" t="str">
        <f t="shared" si="8"/>
        <v/>
      </c>
      <c r="D406" s="592"/>
      <c r="E406" s="98" t="s">
        <v>255</v>
      </c>
      <c r="F406" s="99"/>
      <c r="G406" s="99" t="s">
        <v>479</v>
      </c>
      <c r="H406" s="1341" t="str">
        <f>IF(LEN('11.600'!W109)=0,"",'11.600'!W109)</f>
        <v/>
      </c>
      <c r="J406" s="1312"/>
    </row>
    <row r="407" spans="1:10" ht="16" thickTop="1" x14ac:dyDescent="0.2">
      <c r="A407" s="1503" t="str">
        <f>IF(COUNTIF(A408:A411,"P")&gt;0,"P","")</f>
        <v/>
      </c>
      <c r="B407" s="1324" t="str">
        <f>IF(LEN('11.600'!H110)=0,"",'11.600'!H110)</f>
        <v/>
      </c>
      <c r="C407" s="1280" t="str">
        <f t="shared" si="8"/>
        <v/>
      </c>
      <c r="D407" s="107" t="s">
        <v>3536</v>
      </c>
      <c r="E407" s="179"/>
      <c r="F407" s="179"/>
      <c r="G407" s="125" t="s">
        <v>3628</v>
      </c>
      <c r="H407" s="1326"/>
      <c r="J407" s="1312"/>
    </row>
    <row r="408" spans="1:10" x14ac:dyDescent="0.2">
      <c r="A408" s="467" t="str">
        <f>IF(AND(LEN(H408)&gt;0,NOT(H408=FALSE),NOT(H408="N/A")),"P","")</f>
        <v/>
      </c>
      <c r="B408" s="1324" t="str">
        <f>IF(LEN('11.600'!H111)=0,"",'11.600'!H111)</f>
        <v/>
      </c>
      <c r="C408" s="1280" t="str">
        <f t="shared" si="8"/>
        <v/>
      </c>
      <c r="D408" s="102" t="s">
        <v>3537</v>
      </c>
      <c r="E408" s="97"/>
      <c r="F408" s="97"/>
      <c r="G408" s="1629" t="s">
        <v>3627</v>
      </c>
      <c r="H408" s="1341" t="str">
        <f>IF(LEN('11.600'!W111)=0,"",'11.600'!W111)</f>
        <v/>
      </c>
      <c r="J408" s="1779" t="s">
        <v>5156</v>
      </c>
    </row>
    <row r="409" spans="1:10" x14ac:dyDescent="0.2">
      <c r="A409" s="467" t="str">
        <f>A408</f>
        <v/>
      </c>
      <c r="B409" s="1324" t="str">
        <f>IF(LEN('11.600'!H112)=0,"",'11.600'!H112)</f>
        <v/>
      </c>
      <c r="C409" s="1280" t="str">
        <f t="shared" si="8"/>
        <v/>
      </c>
      <c r="D409" s="102"/>
      <c r="E409" s="97"/>
      <c r="F409" s="97"/>
      <c r="G409" s="1629"/>
      <c r="H409" s="1326"/>
      <c r="J409" s="1784"/>
    </row>
    <row r="410" spans="1:10" x14ac:dyDescent="0.2">
      <c r="B410" s="1324" t="str">
        <f>IF(LEN('11.600'!H113)=0,"",'11.600'!H113)</f>
        <v/>
      </c>
      <c r="C410" s="1280" t="str">
        <f t="shared" si="8"/>
        <v/>
      </c>
      <c r="D410" s="591"/>
      <c r="E410" s="170"/>
      <c r="F410" s="170"/>
      <c r="G410" s="1298" t="s">
        <v>3818</v>
      </c>
      <c r="H410" s="1326"/>
      <c r="J410" s="1312"/>
    </row>
    <row r="411" spans="1:10" x14ac:dyDescent="0.2">
      <c r="A411" s="467" t="str">
        <f>IF(I411&gt;0,"P","")</f>
        <v/>
      </c>
      <c r="B411" s="1324" t="str">
        <f>IF(LEN('11.600'!H114)=0,"",'11.600'!H114)</f>
        <v/>
      </c>
      <c r="C411" s="1280" t="str">
        <f t="shared" si="8"/>
        <v/>
      </c>
      <c r="D411" s="136" t="s">
        <v>3538</v>
      </c>
      <c r="E411" s="85"/>
      <c r="F411" s="85"/>
      <c r="G411" s="1631" t="s">
        <v>3808</v>
      </c>
      <c r="H411" s="1341" t="str">
        <f>IF(LEN('11.600'!W114)=0,"",'11.600'!W114)</f>
        <v/>
      </c>
      <c r="I411" s="88">
        <f>'11.600'!O114</f>
        <v>0</v>
      </c>
      <c r="J411" s="1779" t="s">
        <v>3133</v>
      </c>
    </row>
    <row r="412" spans="1:10" x14ac:dyDescent="0.2">
      <c r="A412" s="467" t="str">
        <f>A411</f>
        <v/>
      </c>
      <c r="B412" s="1324" t="str">
        <f>IF(LEN('11.600'!H115)=0,"",'11.600'!H115)</f>
        <v/>
      </c>
      <c r="C412" s="1280" t="str">
        <f t="shared" si="8"/>
        <v/>
      </c>
      <c r="D412" s="136"/>
      <c r="E412" s="85"/>
      <c r="F412" s="85"/>
      <c r="G412" s="1631"/>
      <c r="H412" s="1326"/>
      <c r="J412" s="1779"/>
    </row>
    <row r="413" spans="1:10" ht="16" thickBot="1" x14ac:dyDescent="0.25">
      <c r="A413" s="467" t="str">
        <f>A412</f>
        <v/>
      </c>
      <c r="B413" s="1324" t="str">
        <f>IF(LEN('11.600'!H116)=0,"",'11.600'!H116)</f>
        <v/>
      </c>
      <c r="C413" s="1280" t="str">
        <f t="shared" si="8"/>
        <v/>
      </c>
      <c r="D413" s="136"/>
      <c r="E413" s="85"/>
      <c r="F413" s="85"/>
      <c r="G413" s="1631"/>
      <c r="H413" s="1326"/>
      <c r="J413" s="1779"/>
    </row>
    <row r="414" spans="1:10" ht="16" thickTop="1" x14ac:dyDescent="0.2">
      <c r="A414" s="1503" t="str">
        <f>IF(COUNTIF(A415,"P")&gt;0,"P","")</f>
        <v/>
      </c>
      <c r="B414" s="1324" t="str">
        <f>IF(LEN('11.600'!H117)=0,"",'11.600'!H117)</f>
        <v/>
      </c>
      <c r="C414" s="1280" t="str">
        <f t="shared" si="8"/>
        <v/>
      </c>
      <c r="D414" s="107" t="s">
        <v>3539</v>
      </c>
      <c r="E414" s="179"/>
      <c r="F414" s="179"/>
      <c r="G414" s="125" t="s">
        <v>3626</v>
      </c>
      <c r="H414" s="1326"/>
      <c r="J414" s="1312"/>
    </row>
    <row r="415" spans="1:10" x14ac:dyDescent="0.2">
      <c r="A415" s="467" t="str">
        <f>IF(OR(LEN(H419)&gt;0,LEN(H421)&gt;0),"P","")</f>
        <v/>
      </c>
      <c r="B415" s="1324" t="str">
        <f>IF(LEN('11.600'!H118)=0,"",'11.600'!H118)</f>
        <v/>
      </c>
      <c r="C415" s="1280" t="str">
        <f t="shared" si="8"/>
        <v/>
      </c>
      <c r="D415" s="136" t="s">
        <v>3540</v>
      </c>
      <c r="E415" s="85"/>
      <c r="F415" s="85"/>
      <c r="G415" s="1631" t="s">
        <v>3809</v>
      </c>
      <c r="H415" s="1326"/>
      <c r="I415"/>
      <c r="J415" s="1327" t="s">
        <v>3120</v>
      </c>
    </row>
    <row r="416" spans="1:10" x14ac:dyDescent="0.2">
      <c r="A416" s="467" t="str">
        <f>A415</f>
        <v/>
      </c>
      <c r="B416" s="1324" t="str">
        <f>IF(LEN('11.600'!H119)=0,"",'11.600'!H119)</f>
        <v/>
      </c>
      <c r="C416" s="1280" t="str">
        <f t="shared" si="8"/>
        <v/>
      </c>
      <c r="D416" s="136"/>
      <c r="E416" s="85"/>
      <c r="F416" s="85"/>
      <c r="G416" s="1631"/>
      <c r="H416" s="1326"/>
      <c r="J416" s="1327"/>
    </row>
    <row r="417" spans="1:10" x14ac:dyDescent="0.2">
      <c r="A417" s="467" t="str">
        <f>A416</f>
        <v/>
      </c>
      <c r="B417" s="1324" t="str">
        <f>IF(LEN('11.600'!H120)=0,"",'11.600'!H120)</f>
        <v/>
      </c>
      <c r="C417" s="1280" t="str">
        <f t="shared" si="8"/>
        <v/>
      </c>
      <c r="D417" s="136"/>
      <c r="E417" s="85"/>
      <c r="F417" s="85"/>
      <c r="G417" s="1631"/>
      <c r="H417" s="1326"/>
      <c r="J417" s="1327"/>
    </row>
    <row r="418" spans="1:10" x14ac:dyDescent="0.2">
      <c r="A418" s="467" t="str">
        <f>A417</f>
        <v/>
      </c>
      <c r="B418" s="1324" t="str">
        <f>IF(LEN('11.600'!H121)=0,"",'11.600'!H121)</f>
        <v/>
      </c>
      <c r="C418" s="1280" t="str">
        <f t="shared" si="8"/>
        <v/>
      </c>
      <c r="D418" s="136"/>
      <c r="E418" s="85"/>
      <c r="F418" s="85"/>
      <c r="G418" s="1631"/>
      <c r="H418" s="1326"/>
      <c r="J418" s="1327"/>
    </row>
    <row r="419" spans="1:10" x14ac:dyDescent="0.2">
      <c r="B419" s="1324" t="str">
        <f>IF(LEN('11.600'!H122)=0,"",'11.600'!H122)</f>
        <v/>
      </c>
      <c r="C419" s="1280" t="str">
        <f t="shared" si="8"/>
        <v/>
      </c>
      <c r="D419" s="136"/>
      <c r="E419" s="93" t="s">
        <v>254</v>
      </c>
      <c r="F419" s="97"/>
      <c r="G419" s="1609" t="s">
        <v>485</v>
      </c>
      <c r="H419" s="1341" t="str">
        <f>IF(LEN('11.600'!W122)=0,"",'11.600'!W122)</f>
        <v/>
      </c>
      <c r="I419" s="88">
        <f>'11.600'!O122</f>
        <v>0</v>
      </c>
      <c r="J419" s="1312"/>
    </row>
    <row r="420" spans="1:10" x14ac:dyDescent="0.2">
      <c r="B420" s="1324" t="str">
        <f>IF(LEN('11.600'!H123)=0,"",'11.600'!H123)</f>
        <v/>
      </c>
      <c r="C420" s="1280" t="str">
        <f t="shared" si="8"/>
        <v/>
      </c>
      <c r="D420" s="136"/>
      <c r="E420" s="170"/>
      <c r="F420" s="170"/>
      <c r="G420" s="1612"/>
      <c r="H420" s="1326"/>
      <c r="J420" s="1312"/>
    </row>
    <row r="421" spans="1:10" x14ac:dyDescent="0.2">
      <c r="B421" s="1324" t="str">
        <f>IF(LEN('11.600'!H124)=0,"",'11.600'!H124)</f>
        <v/>
      </c>
      <c r="C421" s="1280" t="str">
        <f t="shared" si="8"/>
        <v/>
      </c>
      <c r="D421" s="102"/>
      <c r="E421" s="93" t="s">
        <v>255</v>
      </c>
      <c r="F421" s="97"/>
      <c r="G421" s="97" t="s">
        <v>486</v>
      </c>
      <c r="H421" s="1341" t="str">
        <f>IF(LEN('11.600'!W124)=0,"",'11.600'!W124)</f>
        <v/>
      </c>
      <c r="J421" s="1312"/>
    </row>
    <row r="422" spans="1:10" x14ac:dyDescent="0.2">
      <c r="B422" s="1324" t="str">
        <f>IF(LEN('11.600'!H125)=0,"",'11.600'!H125)</f>
        <v/>
      </c>
      <c r="C422" s="1280" t="str">
        <f t="shared" si="8"/>
        <v/>
      </c>
      <c r="D422" s="591"/>
      <c r="E422" s="169"/>
      <c r="F422" s="170"/>
      <c r="G422" s="1298" t="s">
        <v>3819</v>
      </c>
      <c r="H422" s="1326"/>
      <c r="J422" s="1312"/>
    </row>
    <row r="423" spans="1:10" x14ac:dyDescent="0.2">
      <c r="A423" s="1503" t="str">
        <f>IF(COUNTIF(A428:A430,"P")&gt;0,"P","")</f>
        <v/>
      </c>
      <c r="B423" s="1324" t="str">
        <f>IF(LEN('11.600'!H126)=0,"",'11.600'!H126)</f>
        <v/>
      </c>
      <c r="C423" s="1280" t="str">
        <f t="shared" si="8"/>
        <v/>
      </c>
      <c r="D423" s="136" t="s">
        <v>3541</v>
      </c>
      <c r="E423" s="85"/>
      <c r="F423" s="85"/>
      <c r="G423" s="1631" t="s">
        <v>3810</v>
      </c>
      <c r="H423" s="1326"/>
      <c r="J423" s="1312"/>
    </row>
    <row r="424" spans="1:10" x14ac:dyDescent="0.2">
      <c r="A424" s="467" t="str">
        <f>A423</f>
        <v/>
      </c>
      <c r="B424" s="1324" t="str">
        <f>IF(LEN('11.600'!H127)=0,"",'11.600'!H127)</f>
        <v/>
      </c>
      <c r="C424" s="1280" t="str">
        <f t="shared" si="8"/>
        <v/>
      </c>
      <c r="D424" s="136"/>
      <c r="E424" s="85"/>
      <c r="F424" s="85"/>
      <c r="G424" s="1631"/>
      <c r="H424" s="1326"/>
      <c r="J424" s="1312"/>
    </row>
    <row r="425" spans="1:10" x14ac:dyDescent="0.2">
      <c r="A425" s="467" t="str">
        <f>A424</f>
        <v/>
      </c>
      <c r="B425" s="1324" t="str">
        <f>IF(LEN('11.600'!H128)=0,"",'11.600'!H128)</f>
        <v/>
      </c>
      <c r="C425" s="1280" t="str">
        <f t="shared" si="8"/>
        <v/>
      </c>
      <c r="D425" s="136"/>
      <c r="E425" s="85"/>
      <c r="F425" s="85"/>
      <c r="G425" s="1631"/>
      <c r="H425" s="1326"/>
      <c r="J425" s="1312"/>
    </row>
    <row r="426" spans="1:10" x14ac:dyDescent="0.2">
      <c r="A426" s="467" t="str">
        <f>A425</f>
        <v/>
      </c>
      <c r="B426" s="1324" t="str">
        <f>IF(LEN('11.600'!H129)=0,"",'11.600'!H129)</f>
        <v/>
      </c>
      <c r="C426" s="1280" t="str">
        <f t="shared" si="8"/>
        <v/>
      </c>
      <c r="D426" s="136"/>
      <c r="E426" s="85"/>
      <c r="F426" s="85"/>
      <c r="G426" s="1631"/>
      <c r="H426" s="1326"/>
      <c r="J426" s="1312"/>
    </row>
    <row r="427" spans="1:10" x14ac:dyDescent="0.2">
      <c r="A427" s="467" t="str">
        <f>A426</f>
        <v/>
      </c>
      <c r="B427" s="1324" t="str">
        <f>IF(LEN('11.600'!H130)=0,"",'11.600'!H130)</f>
        <v/>
      </c>
      <c r="C427" s="1280" t="str">
        <f t="shared" si="8"/>
        <v/>
      </c>
      <c r="D427" s="136"/>
      <c r="E427" s="85"/>
      <c r="F427" s="85"/>
      <c r="G427" s="1631"/>
      <c r="H427" s="1326"/>
      <c r="J427" s="1312"/>
    </row>
    <row r="428" spans="1:10" x14ac:dyDescent="0.2">
      <c r="A428" s="467" t="str">
        <f>IF(I428&gt;0,"P","")</f>
        <v/>
      </c>
      <c r="B428" s="1324" t="str">
        <f>IF(LEN('11.600'!H131)=0,"",'11.600'!H131)</f>
        <v/>
      </c>
      <c r="C428" s="1280" t="str">
        <f t="shared" si="8"/>
        <v/>
      </c>
      <c r="D428" s="136"/>
      <c r="E428" s="93" t="s">
        <v>254</v>
      </c>
      <c r="F428" s="97"/>
      <c r="G428" s="1609" t="s">
        <v>2591</v>
      </c>
      <c r="H428" s="1341" t="str">
        <f>IF(LEN('11.600'!W131)=0,"",'11.600'!W131)</f>
        <v/>
      </c>
      <c r="I428" s="88">
        <f>'11.600'!O131</f>
        <v>0</v>
      </c>
      <c r="J428" s="1779" t="s">
        <v>3131</v>
      </c>
    </row>
    <row r="429" spans="1:10" x14ac:dyDescent="0.2">
      <c r="A429" s="467" t="str">
        <f>A428</f>
        <v/>
      </c>
      <c r="B429" s="1324" t="str">
        <f>IF(LEN('11.600'!H132)=0,"",'11.600'!H132)</f>
        <v/>
      </c>
      <c r="C429" s="1280" t="str">
        <f t="shared" si="8"/>
        <v/>
      </c>
      <c r="D429" s="136"/>
      <c r="E429" s="170"/>
      <c r="F429" s="170"/>
      <c r="G429" s="1612"/>
      <c r="H429" s="1326"/>
      <c r="J429" s="1779"/>
    </row>
    <row r="430" spans="1:10" x14ac:dyDescent="0.2">
      <c r="A430" s="467" t="str">
        <f>IF(AND(LEN(H430)&gt;0,NOT(H430=FALSE),NOT(H430="N/A")),"P","")</f>
        <v/>
      </c>
      <c r="B430" s="1324" t="str">
        <f>IF(LEN('11.600'!H133)=0,"",'11.600'!H133)</f>
        <v/>
      </c>
      <c r="C430" s="1280" t="str">
        <f t="shared" si="8"/>
        <v/>
      </c>
      <c r="D430" s="136"/>
      <c r="E430" s="89" t="s">
        <v>255</v>
      </c>
      <c r="F430" s="85"/>
      <c r="G430" s="1611" t="s">
        <v>2592</v>
      </c>
      <c r="H430" s="1341" t="str">
        <f>IF(LEN('11.600'!W133)=0,"",'11.600'!W133)</f>
        <v/>
      </c>
      <c r="J430" s="1779" t="s">
        <v>3120</v>
      </c>
    </row>
    <row r="431" spans="1:10" x14ac:dyDescent="0.2">
      <c r="A431" s="467" t="str">
        <f>A430</f>
        <v/>
      </c>
      <c r="B431" s="1324" t="str">
        <f>IF(LEN('11.600'!H134)=0,"",'11.600'!H134)</f>
        <v/>
      </c>
      <c r="C431" s="1280" t="str">
        <f t="shared" si="8"/>
        <v/>
      </c>
      <c r="D431" s="136"/>
      <c r="E431" s="85"/>
      <c r="F431" s="85"/>
      <c r="G431" s="1611"/>
      <c r="H431" s="1326"/>
      <c r="J431" s="1779"/>
    </row>
    <row r="432" spans="1:10" x14ac:dyDescent="0.2">
      <c r="B432" s="1324" t="str">
        <f>IF(LEN('11.600'!H135)=0,"",'11.600'!H135)</f>
        <v/>
      </c>
      <c r="C432" s="1280" t="str">
        <f t="shared" si="8"/>
        <v/>
      </c>
      <c r="D432" s="136"/>
      <c r="E432" s="85"/>
      <c r="F432" s="85"/>
      <c r="G432" s="1707" t="s">
        <v>3820</v>
      </c>
      <c r="H432" s="1326"/>
      <c r="J432" s="1312"/>
    </row>
    <row r="433" spans="1:10" ht="16" thickBot="1" x14ac:dyDescent="0.25">
      <c r="B433" s="1324" t="str">
        <f>IF(LEN('11.600'!H136)=0,"",'11.600'!H136)</f>
        <v/>
      </c>
      <c r="C433" s="1280" t="str">
        <f t="shared" si="8"/>
        <v/>
      </c>
      <c r="D433" s="136"/>
      <c r="E433" s="85"/>
      <c r="F433" s="85"/>
      <c r="G433" s="1706"/>
      <c r="H433" s="1326"/>
      <c r="J433" s="1312"/>
    </row>
    <row r="434" spans="1:10" ht="16" thickTop="1" x14ac:dyDescent="0.2">
      <c r="A434" s="467" t="str">
        <f ca="1">IF(I434&gt;0,"P","")</f>
        <v/>
      </c>
      <c r="B434" s="1324" t="str">
        <f>IF(LEN('11.600'!H137)=0,"",'11.600'!H137)</f>
        <v/>
      </c>
      <c r="C434" s="1280" t="str">
        <f t="shared" ca="1" si="8"/>
        <v/>
      </c>
      <c r="D434" s="107" t="s">
        <v>3542</v>
      </c>
      <c r="E434" s="179"/>
      <c r="F434" s="179"/>
      <c r="G434" s="107" t="s">
        <v>3625</v>
      </c>
      <c r="H434" s="1326"/>
      <c r="I434" s="1397">
        <f ca="1">SUM(I436:I438)</f>
        <v>0</v>
      </c>
      <c r="J434" s="1312" t="s">
        <v>3120</v>
      </c>
    </row>
    <row r="435" spans="1:10" x14ac:dyDescent="0.2">
      <c r="B435" s="1324" t="str">
        <f>IF(LEN('11.600'!H138)=0,"",'11.600'!H138)</f>
        <v/>
      </c>
      <c r="C435" s="1280" t="str">
        <f t="shared" si="8"/>
        <v/>
      </c>
      <c r="D435" s="136"/>
      <c r="E435" s="85"/>
      <c r="F435" s="85"/>
      <c r="G435" s="1323" t="s">
        <v>2583</v>
      </c>
      <c r="H435" s="1341" t="str">
        <f>IF(LEN('11.600'!W138)=0,"",'11.600'!W138)</f>
        <v/>
      </c>
      <c r="J435" s="1312"/>
    </row>
    <row r="436" spans="1:10" x14ac:dyDescent="0.2">
      <c r="B436" s="1324" t="str">
        <f>IF(LEN('11.600'!H139)=0,"",'11.600'!H139)</f>
        <v/>
      </c>
      <c r="C436" s="1280" t="str">
        <f t="shared" si="8"/>
        <v/>
      </c>
      <c r="D436" s="136"/>
      <c r="E436" s="93" t="s">
        <v>254</v>
      </c>
      <c r="F436" s="97"/>
      <c r="G436" s="1609" t="s">
        <v>489</v>
      </c>
      <c r="H436" s="1341" t="str">
        <f>IF(LEN('11.600'!W139)=0,"",'11.600'!W139)</f>
        <v/>
      </c>
      <c r="I436" s="88">
        <f ca="1">'11.600'!O139</f>
        <v>0</v>
      </c>
      <c r="J436" s="1312"/>
    </row>
    <row r="437" spans="1:10" x14ac:dyDescent="0.2">
      <c r="B437" s="1324" t="str">
        <f>IF(LEN('11.600'!H140)=0,"",'11.600'!H140)</f>
        <v/>
      </c>
      <c r="C437" s="1280" t="str">
        <f t="shared" si="8"/>
        <v/>
      </c>
      <c r="D437" s="136"/>
      <c r="E437" s="170"/>
      <c r="F437" s="170"/>
      <c r="G437" s="1612"/>
      <c r="H437" s="1326"/>
      <c r="J437" s="1312"/>
    </row>
    <row r="438" spans="1:10" x14ac:dyDescent="0.2">
      <c r="B438" s="1324" t="str">
        <f>IF(LEN('11.600'!H141)=0,"",'11.600'!H141)</f>
        <v/>
      </c>
      <c r="C438" s="1280" t="str">
        <f t="shared" si="8"/>
        <v/>
      </c>
      <c r="D438" s="136"/>
      <c r="E438" s="89" t="s">
        <v>255</v>
      </c>
      <c r="F438" s="85"/>
      <c r="G438" s="1611" t="s">
        <v>490</v>
      </c>
      <c r="H438" s="1341" t="str">
        <f>IF(LEN('11.600'!W141)=0,"",'11.600'!W141)</f>
        <v/>
      </c>
      <c r="I438" s="88">
        <f ca="1">'11.600'!O141</f>
        <v>0</v>
      </c>
      <c r="J438" s="1312"/>
    </row>
    <row r="439" spans="1:10" x14ac:dyDescent="0.2">
      <c r="B439" s="1324" t="str">
        <f>IF(LEN('11.600'!H142)=0,"",'11.600'!H142)</f>
        <v/>
      </c>
      <c r="C439" s="1280" t="str">
        <f t="shared" si="8"/>
        <v/>
      </c>
      <c r="D439" s="136"/>
      <c r="E439" s="85"/>
      <c r="F439" s="85"/>
      <c r="G439" s="1611"/>
      <c r="H439" s="1326"/>
      <c r="J439" s="1312"/>
    </row>
    <row r="440" spans="1:10" ht="16" thickBot="1" x14ac:dyDescent="0.25">
      <c r="B440" s="1324" t="str">
        <f>IF(LEN('11.600'!H143)=0,"",'11.600'!H143)</f>
        <v/>
      </c>
      <c r="C440" s="1280" t="str">
        <f t="shared" si="8"/>
        <v/>
      </c>
      <c r="D440" s="136"/>
      <c r="E440" s="85"/>
      <c r="F440" s="85"/>
      <c r="G440" s="1611"/>
      <c r="H440" s="1326"/>
      <c r="J440" s="1312"/>
    </row>
    <row r="441" spans="1:10" ht="16" thickTop="1" x14ac:dyDescent="0.2">
      <c r="A441" s="467" t="str">
        <f ca="1">IF(I441&gt;0,"P","")</f>
        <v/>
      </c>
      <c r="B441" s="1324" t="str">
        <f>IF(LEN('11.600'!H144)=0,"",'11.600'!H144)</f>
        <v/>
      </c>
      <c r="C441" s="1280" t="str">
        <f t="shared" ca="1" si="8"/>
        <v/>
      </c>
      <c r="D441" s="107" t="s">
        <v>3543</v>
      </c>
      <c r="E441" s="179"/>
      <c r="F441" s="179"/>
      <c r="G441" s="1683" t="s">
        <v>3624</v>
      </c>
      <c r="H441" s="1326"/>
      <c r="I441" s="1397">
        <f ca="1">SUM(I444:I452)</f>
        <v>0</v>
      </c>
      <c r="J441" s="1779" t="s">
        <v>3120</v>
      </c>
    </row>
    <row r="442" spans="1:10" x14ac:dyDescent="0.2">
      <c r="A442" s="467" t="str">
        <f ca="1">A441</f>
        <v/>
      </c>
      <c r="B442" s="1324" t="str">
        <f>IF(LEN('11.600'!H145)=0,"",'11.600'!H145)</f>
        <v/>
      </c>
      <c r="C442" s="1280" t="str">
        <f t="shared" ca="1" si="8"/>
        <v/>
      </c>
      <c r="D442" s="102"/>
      <c r="E442" s="97"/>
      <c r="F442" s="97"/>
      <c r="G442" s="1629"/>
      <c r="H442" s="1326"/>
      <c r="J442" s="1779"/>
    </row>
    <row r="443" spans="1:10" x14ac:dyDescent="0.2">
      <c r="B443" s="1324" t="str">
        <f>IF(LEN('11.600'!H146)=0,"",'11.600'!H146)</f>
        <v/>
      </c>
      <c r="C443" s="1280" t="str">
        <f t="shared" si="8"/>
        <v/>
      </c>
      <c r="D443" s="136"/>
      <c r="E443" s="85"/>
      <c r="F443" s="85"/>
      <c r="G443" s="1323" t="s">
        <v>2583</v>
      </c>
      <c r="H443" s="1326"/>
      <c r="J443" s="1312"/>
    </row>
    <row r="444" spans="1:10" x14ac:dyDescent="0.2">
      <c r="B444" s="1324" t="str">
        <f>IF(LEN('11.600'!H147)=0,"",'11.600'!H147)</f>
        <v/>
      </c>
      <c r="C444" s="1280" t="str">
        <f t="shared" si="8"/>
        <v/>
      </c>
      <c r="D444" s="136"/>
      <c r="E444" s="93" t="s">
        <v>254</v>
      </c>
      <c r="F444" s="97"/>
      <c r="G444" s="1609" t="s">
        <v>492</v>
      </c>
      <c r="H444" s="1341" t="str">
        <f>IF(LEN('11.600'!W147)=0,"",'11.600'!W147)</f>
        <v/>
      </c>
      <c r="I444" s="88">
        <f ca="1">'11.600'!O147</f>
        <v>0</v>
      </c>
      <c r="J444" s="1312"/>
    </row>
    <row r="445" spans="1:10" x14ac:dyDescent="0.2">
      <c r="B445" s="1324" t="str">
        <f>IF(LEN('11.600'!H148)=0,"",'11.600'!H148)</f>
        <v/>
      </c>
      <c r="C445" s="1280" t="str">
        <f t="shared" si="8"/>
        <v/>
      </c>
      <c r="D445" s="136"/>
      <c r="E445" s="97"/>
      <c r="F445" s="97"/>
      <c r="G445" s="1609"/>
      <c r="H445" s="1326"/>
      <c r="J445" s="1312"/>
    </row>
    <row r="446" spans="1:10" x14ac:dyDescent="0.2">
      <c r="B446" s="1324" t="str">
        <f>IF(LEN('11.600'!H149)=0,"",'11.600'!H149)</f>
        <v/>
      </c>
      <c r="C446" s="1280" t="str">
        <f t="shared" si="8"/>
        <v/>
      </c>
      <c r="D446" s="136"/>
      <c r="E446" s="97"/>
      <c r="F446" s="97"/>
      <c r="G446" s="1609"/>
      <c r="H446" s="1326"/>
      <c r="J446" s="1312"/>
    </row>
    <row r="447" spans="1:10" x14ac:dyDescent="0.2">
      <c r="B447" s="1324" t="str">
        <f>IF(LEN('11.600'!H150)=0,"",'11.600'!H150)</f>
        <v/>
      </c>
      <c r="C447" s="1280" t="str">
        <f t="shared" si="8"/>
        <v/>
      </c>
      <c r="D447" s="136"/>
      <c r="E447" s="170"/>
      <c r="F447" s="170"/>
      <c r="G447" s="1612"/>
      <c r="H447" s="1326"/>
      <c r="J447" s="1312"/>
    </row>
    <row r="448" spans="1:10" x14ac:dyDescent="0.2">
      <c r="B448" s="1324" t="str">
        <f>IF(LEN('11.600'!H151)=0,"",'11.600'!H151)</f>
        <v/>
      </c>
      <c r="C448" s="1280" t="str">
        <f t="shared" si="8"/>
        <v/>
      </c>
      <c r="D448" s="136"/>
      <c r="E448" s="860" t="s">
        <v>255</v>
      </c>
      <c r="F448" s="194"/>
      <c r="G448" s="1613" t="s">
        <v>493</v>
      </c>
      <c r="H448" s="1341" t="str">
        <f>IF(LEN('11.600'!W151)=0,"",'11.600'!W151)</f>
        <v/>
      </c>
      <c r="I448" s="88">
        <f ca="1">'11.600'!O151</f>
        <v>0</v>
      </c>
      <c r="J448" s="1312"/>
    </row>
    <row r="449" spans="1:10" x14ac:dyDescent="0.2">
      <c r="B449" s="1324" t="str">
        <f>IF(LEN('11.600'!H152)=0,"",'11.600'!H152)</f>
        <v/>
      </c>
      <c r="C449" s="1280" t="str">
        <f t="shared" si="8"/>
        <v/>
      </c>
      <c r="D449" s="136"/>
      <c r="E449" s="97"/>
      <c r="F449" s="97"/>
      <c r="G449" s="1609"/>
      <c r="H449" s="1326"/>
      <c r="J449" s="1312"/>
    </row>
    <row r="450" spans="1:10" x14ac:dyDescent="0.2">
      <c r="B450" s="1324" t="str">
        <f>IF(LEN('11.600'!H153)=0,"",'11.600'!H153)</f>
        <v/>
      </c>
      <c r="C450" s="1280" t="str">
        <f t="shared" si="8"/>
        <v/>
      </c>
      <c r="D450" s="136"/>
      <c r="E450" s="97"/>
      <c r="F450" s="97"/>
      <c r="G450" s="1609"/>
      <c r="H450" s="1326"/>
      <c r="J450" s="1312"/>
    </row>
    <row r="451" spans="1:10" x14ac:dyDescent="0.2">
      <c r="B451" s="1324" t="str">
        <f>IF(LEN('11.600'!H154)=0,"",'11.600'!H154)</f>
        <v/>
      </c>
      <c r="C451" s="1280" t="str">
        <f t="shared" si="8"/>
        <v/>
      </c>
      <c r="D451" s="136"/>
      <c r="E451" s="170"/>
      <c r="F451" s="170"/>
      <c r="G451" s="1612"/>
      <c r="H451" s="1326"/>
      <c r="J451" s="1312"/>
    </row>
    <row r="452" spans="1:10" x14ac:dyDescent="0.2">
      <c r="B452" s="1324" t="str">
        <f>IF(LEN('11.600'!H155)=0,"",'11.600'!H155)</f>
        <v/>
      </c>
      <c r="C452" s="1280" t="str">
        <f t="shared" si="8"/>
        <v/>
      </c>
      <c r="D452" s="136"/>
      <c r="E452" s="89" t="s">
        <v>256</v>
      </c>
      <c r="F452" s="85"/>
      <c r="G452" s="1611" t="s">
        <v>494</v>
      </c>
      <c r="H452" s="1341" t="str">
        <f>IF(LEN('11.600'!W155)=0,"",'11.600'!W155)</f>
        <v/>
      </c>
      <c r="I452" s="88">
        <f ca="1">'11.600'!O155</f>
        <v>0</v>
      </c>
      <c r="J452" s="1312"/>
    </row>
    <row r="453" spans="1:10" x14ac:dyDescent="0.2">
      <c r="B453" s="1324" t="str">
        <f>IF(LEN('11.600'!H156)=0,"",'11.600'!H156)</f>
        <v/>
      </c>
      <c r="C453" s="1280" t="str">
        <f t="shared" si="8"/>
        <v/>
      </c>
      <c r="D453" s="136"/>
      <c r="E453" s="85"/>
      <c r="F453" s="85"/>
      <c r="G453" s="1611"/>
      <c r="H453" s="1326"/>
      <c r="J453" s="1312"/>
    </row>
    <row r="454" spans="1:10" ht="16" thickBot="1" x14ac:dyDescent="0.25">
      <c r="B454" s="1324" t="str">
        <f>IF(LEN('11.600'!H157)=0,"",'11.600'!H157)</f>
        <v/>
      </c>
      <c r="C454" s="1280" t="str">
        <f t="shared" si="8"/>
        <v/>
      </c>
      <c r="D454" s="136"/>
      <c r="E454" s="85"/>
      <c r="F454" s="85"/>
      <c r="G454" s="1611"/>
      <c r="H454" s="1326"/>
      <c r="J454" s="1312"/>
    </row>
    <row r="455" spans="1:10" ht="16" thickTop="1" x14ac:dyDescent="0.2">
      <c r="A455" s="1503" t="str">
        <f>IF(COUNTIF(A456:A466,"P")&gt;0,"P","")</f>
        <v>P</v>
      </c>
      <c r="B455" s="1324" t="str">
        <f>IF(LEN('11.600'!H158)=0,"",'11.600'!H158)</f>
        <v/>
      </c>
      <c r="C455" s="1280" t="str">
        <f t="shared" si="8"/>
        <v>P</v>
      </c>
      <c r="D455" s="107" t="s">
        <v>3544</v>
      </c>
      <c r="E455" s="179"/>
      <c r="F455" s="179"/>
      <c r="G455" s="125" t="s">
        <v>3623</v>
      </c>
      <c r="H455" s="1326"/>
      <c r="J455" s="1312"/>
    </row>
    <row r="456" spans="1:10" x14ac:dyDescent="0.2">
      <c r="A456" s="467" t="str">
        <f>IF(I456&gt;0,"P","")</f>
        <v>P</v>
      </c>
      <c r="B456" s="1324" t="str">
        <f>IF(LEN('11.600'!H159)=0,"",'11.600'!H159)</f>
        <v/>
      </c>
      <c r="C456" s="1280" t="str">
        <f t="shared" ref="C456:C519" si="9">IF(LEN(B456)=0,IF(A456="P","P",""),B456)</f>
        <v>P</v>
      </c>
      <c r="D456" s="136" t="s">
        <v>3545</v>
      </c>
      <c r="E456" s="85"/>
      <c r="F456" s="85"/>
      <c r="G456" s="87" t="s">
        <v>3622</v>
      </c>
      <c r="H456" s="1326"/>
      <c r="I456" s="1397">
        <f>SUM(I457:I462)</f>
        <v>2</v>
      </c>
      <c r="J456" s="1312"/>
    </row>
    <row r="457" spans="1:10" x14ac:dyDescent="0.2">
      <c r="A457" s="467" t="str">
        <f>IF(I457&gt;0,"P","")</f>
        <v>P</v>
      </c>
      <c r="B457" s="1324" t="str">
        <f>IF(LEN('11.600'!H160)=0,"",'11.600'!H160)</f>
        <v/>
      </c>
      <c r="C457" s="1280" t="str">
        <f t="shared" si="9"/>
        <v>P</v>
      </c>
      <c r="D457" s="136"/>
      <c r="E457" s="93" t="s">
        <v>254</v>
      </c>
      <c r="F457" s="97"/>
      <c r="G457" s="1609" t="s">
        <v>497</v>
      </c>
      <c r="H457" s="1341" t="b">
        <f>IF(LEN('11.600'!W160)=0,"",'11.600'!W160)</f>
        <v>1</v>
      </c>
      <c r="I457" s="88">
        <f>'11.600'!O160</f>
        <v>2</v>
      </c>
      <c r="J457" s="1779" t="s">
        <v>3120</v>
      </c>
    </row>
    <row r="458" spans="1:10" x14ac:dyDescent="0.2">
      <c r="A458" s="467" t="str">
        <f>A457</f>
        <v>P</v>
      </c>
      <c r="B458" s="1324" t="str">
        <f>IF(LEN('11.600'!H161)=0,"",'11.600'!H161)</f>
        <v/>
      </c>
      <c r="C458" s="1280" t="str">
        <f t="shared" si="9"/>
        <v>P</v>
      </c>
      <c r="D458" s="136"/>
      <c r="E458" s="170"/>
      <c r="F458" s="170"/>
      <c r="G458" s="1612"/>
      <c r="H458" s="1326"/>
      <c r="J458" s="1779"/>
    </row>
    <row r="459" spans="1:10" x14ac:dyDescent="0.2">
      <c r="A459" s="467" t="str">
        <f>IF(I459&gt;0,"P","")</f>
        <v/>
      </c>
      <c r="B459" s="1324" t="str">
        <f>IF(LEN('11.600'!H162)=0,"",'11.600'!H162)</f>
        <v/>
      </c>
      <c r="C459" s="1280" t="str">
        <f t="shared" si="9"/>
        <v/>
      </c>
      <c r="D459" s="136"/>
      <c r="E459" s="93" t="s">
        <v>255</v>
      </c>
      <c r="F459" s="97"/>
      <c r="G459" s="1609" t="s">
        <v>498</v>
      </c>
      <c r="H459" s="1341" t="str">
        <f>IF(LEN('11.600'!W162)=0,"",'11.600'!W162)</f>
        <v>N/A</v>
      </c>
      <c r="I459" s="88">
        <f>'11.600'!O162</f>
        <v>0</v>
      </c>
      <c r="J459" s="1779" t="s">
        <v>3134</v>
      </c>
    </row>
    <row r="460" spans="1:10" x14ac:dyDescent="0.2">
      <c r="A460" s="467" t="str">
        <f>A459</f>
        <v/>
      </c>
      <c r="B460" s="1324" t="str">
        <f>IF(LEN('11.600'!H163)=0,"",'11.600'!H163)</f>
        <v/>
      </c>
      <c r="C460" s="1280" t="str">
        <f t="shared" si="9"/>
        <v/>
      </c>
      <c r="D460" s="136"/>
      <c r="E460" s="97"/>
      <c r="F460" s="97"/>
      <c r="G460" s="1609"/>
      <c r="H460" s="1326"/>
      <c r="J460" s="1779"/>
    </row>
    <row r="461" spans="1:10" x14ac:dyDescent="0.2">
      <c r="B461" s="1324" t="str">
        <f>IF(LEN('11.600'!H164)=0,"",'11.600'!H164)</f>
        <v/>
      </c>
      <c r="C461" s="1280" t="str">
        <f t="shared" si="9"/>
        <v/>
      </c>
      <c r="D461" s="136"/>
      <c r="E461" s="170"/>
      <c r="F461" s="170"/>
      <c r="G461" s="1342" t="s">
        <v>678</v>
      </c>
      <c r="H461" s="1326"/>
      <c r="J461" s="1312"/>
    </row>
    <row r="462" spans="1:10" x14ac:dyDescent="0.2">
      <c r="A462" s="467" t="str">
        <f>IF(I462&gt;0,"P","")</f>
        <v/>
      </c>
      <c r="B462" s="1324" t="str">
        <f>IF(LEN('11.600'!H165)=0,"",'11.600'!H165)</f>
        <v/>
      </c>
      <c r="C462" s="1280" t="str">
        <f t="shared" si="9"/>
        <v/>
      </c>
      <c r="D462" s="102"/>
      <c r="E462" s="93" t="s">
        <v>256</v>
      </c>
      <c r="F462" s="97"/>
      <c r="G462" s="1609" t="s">
        <v>499</v>
      </c>
      <c r="H462" s="1341" t="str">
        <f>IF(LEN('11.600'!W165)=0,"",'11.600'!W165)</f>
        <v/>
      </c>
      <c r="I462" s="88">
        <f>'11.600'!O165</f>
        <v>0</v>
      </c>
      <c r="J462" s="1779" t="s">
        <v>3177</v>
      </c>
    </row>
    <row r="463" spans="1:10" x14ac:dyDescent="0.2">
      <c r="A463" s="467" t="str">
        <f>A462</f>
        <v/>
      </c>
      <c r="B463" s="1324" t="str">
        <f>IF(LEN('11.600'!H166)=0,"",'11.600'!H166)</f>
        <v/>
      </c>
      <c r="C463" s="1280" t="str">
        <f t="shared" si="9"/>
        <v/>
      </c>
      <c r="D463" s="591"/>
      <c r="E463" s="170"/>
      <c r="F463" s="170"/>
      <c r="G463" s="1612"/>
      <c r="H463" s="1326"/>
      <c r="J463" s="1779"/>
    </row>
    <row r="464" spans="1:10" x14ac:dyDescent="0.2">
      <c r="A464" s="467" t="str">
        <f>IF(I464&gt;0,"P","")</f>
        <v/>
      </c>
      <c r="B464" s="1324" t="str">
        <f>IF(LEN('11.600'!H167)=0,"",'11.600'!H167)</f>
        <v/>
      </c>
      <c r="C464" s="1280" t="str">
        <f t="shared" si="9"/>
        <v/>
      </c>
      <c r="D464" s="593" t="s">
        <v>3546</v>
      </c>
      <c r="E464" s="194"/>
      <c r="F464" s="194"/>
      <c r="G464" s="1712" t="s">
        <v>3621</v>
      </c>
      <c r="H464" s="1341" t="str">
        <f>IF(LEN('11.600'!W167)=0,"",'11.600'!W167)</f>
        <v/>
      </c>
      <c r="I464" s="88">
        <f>'11.600'!O167</f>
        <v>0</v>
      </c>
      <c r="J464" s="1779" t="s">
        <v>3175</v>
      </c>
    </row>
    <row r="465" spans="1:10" x14ac:dyDescent="0.2">
      <c r="A465" s="467" t="str">
        <f>A464</f>
        <v/>
      </c>
      <c r="B465" s="1324" t="str">
        <f>IF(LEN('11.600'!H168)=0,"",'11.600'!H168)</f>
        <v/>
      </c>
      <c r="C465" s="1280" t="str">
        <f t="shared" si="9"/>
        <v/>
      </c>
      <c r="D465" s="591"/>
      <c r="E465" s="170"/>
      <c r="F465" s="170"/>
      <c r="G465" s="1696"/>
      <c r="H465" s="1326"/>
      <c r="J465" s="1779"/>
    </row>
    <row r="466" spans="1:10" x14ac:dyDescent="0.2">
      <c r="A466" s="467" t="str">
        <f>IF(I466&gt;0,"P","")</f>
        <v/>
      </c>
      <c r="B466" s="1324" t="str">
        <f>IF(LEN('11.600'!H169)=0,"",'11.600'!H169)</f>
        <v/>
      </c>
      <c r="C466" s="1280" t="str">
        <f t="shared" si="9"/>
        <v/>
      </c>
      <c r="D466" s="136" t="s">
        <v>3547</v>
      </c>
      <c r="E466" s="85"/>
      <c r="F466" s="85"/>
      <c r="G466" s="1631" t="s">
        <v>3620</v>
      </c>
      <c r="H466" s="1341" t="str">
        <f>IF(LEN('11.600'!W169)=0,"",'11.600'!W169)</f>
        <v/>
      </c>
      <c r="I466" s="88">
        <f>'11.600'!O169</f>
        <v>0</v>
      </c>
      <c r="J466" s="1779" t="s">
        <v>5157</v>
      </c>
    </row>
    <row r="467" spans="1:10" x14ac:dyDescent="0.2">
      <c r="A467" s="467" t="str">
        <f>A466</f>
        <v/>
      </c>
      <c r="B467" s="1324" t="str">
        <f>IF(LEN('11.600'!H170)=0,"",'11.600'!H170)</f>
        <v/>
      </c>
      <c r="C467" s="1280" t="str">
        <f t="shared" si="9"/>
        <v/>
      </c>
      <c r="D467" s="136"/>
      <c r="E467" s="85"/>
      <c r="F467" s="85"/>
      <c r="G467" s="1631"/>
      <c r="H467" s="1326"/>
      <c r="J467" s="1784"/>
    </row>
    <row r="468" spans="1:10" x14ac:dyDescent="0.2">
      <c r="A468" s="467" t="str">
        <f>A467</f>
        <v/>
      </c>
      <c r="B468" s="1324" t="str">
        <f>IF(LEN('11.600'!H171)=0,"",'11.600'!H171)</f>
        <v/>
      </c>
      <c r="C468" s="1280" t="str">
        <f t="shared" si="9"/>
        <v/>
      </c>
      <c r="D468" s="136"/>
      <c r="E468" s="85"/>
      <c r="F468" s="85"/>
      <c r="G468" s="1631"/>
      <c r="H468" s="1326"/>
      <c r="J468" s="1784"/>
    </row>
    <row r="469" spans="1:10" ht="16" thickBot="1" x14ac:dyDescent="0.25">
      <c r="A469" s="467" t="str">
        <f>A468</f>
        <v/>
      </c>
      <c r="B469" s="1324" t="str">
        <f>IF(LEN('11.600'!H172)=0,"",'11.600'!H172)</f>
        <v/>
      </c>
      <c r="C469" s="1280" t="str">
        <f t="shared" si="9"/>
        <v/>
      </c>
      <c r="D469" s="136"/>
      <c r="E469" s="85"/>
      <c r="F469" s="85"/>
      <c r="G469" s="1631"/>
      <c r="H469" s="1326"/>
      <c r="J469" s="1784"/>
    </row>
    <row r="470" spans="1:10" ht="16" thickTop="1" x14ac:dyDescent="0.2">
      <c r="A470" s="467" t="str">
        <f>IF(AND(LEN(H470)&gt;0,NOT(H470=FALSE),NOT(H470="N/A")),"P","")</f>
        <v/>
      </c>
      <c r="B470" s="1324" t="str">
        <f>IF(LEN('11.600'!H173)=0,"",'11.600'!H173)</f>
        <v/>
      </c>
      <c r="C470" s="1280" t="str">
        <f t="shared" si="9"/>
        <v/>
      </c>
      <c r="D470" s="107" t="s">
        <v>3548</v>
      </c>
      <c r="E470" s="179"/>
      <c r="F470" s="179"/>
      <c r="G470" s="1683" t="s">
        <v>3811</v>
      </c>
      <c r="H470" s="1341" t="str">
        <f>IF(LEN('11.600'!W173)=0,"",'11.600'!W173)</f>
        <v>N/A</v>
      </c>
      <c r="J470" s="1779" t="s">
        <v>5158</v>
      </c>
    </row>
    <row r="471" spans="1:10" x14ac:dyDescent="0.2">
      <c r="A471" s="467" t="str">
        <f>A470</f>
        <v/>
      </c>
      <c r="B471" s="1324" t="str">
        <f>IF(LEN('11.600'!H174)=0,"",'11.600'!H174)</f>
        <v/>
      </c>
      <c r="C471" s="1280" t="str">
        <f t="shared" si="9"/>
        <v/>
      </c>
      <c r="D471" s="102"/>
      <c r="E471" s="97"/>
      <c r="F471" s="97"/>
      <c r="G471" s="1629"/>
      <c r="H471" s="1326"/>
      <c r="J471" s="1779"/>
    </row>
    <row r="472" spans="1:10" x14ac:dyDescent="0.2">
      <c r="A472" s="467" t="str">
        <f>A471</f>
        <v/>
      </c>
      <c r="B472" s="1324" t="str">
        <f>IF(LEN('11.600'!H175)=0,"",'11.600'!H175)</f>
        <v/>
      </c>
      <c r="C472" s="1280" t="str">
        <f t="shared" si="9"/>
        <v/>
      </c>
      <c r="D472" s="102"/>
      <c r="E472" s="97"/>
      <c r="F472" s="97"/>
      <c r="G472" s="1629"/>
      <c r="H472" s="1326"/>
      <c r="J472" s="1779"/>
    </row>
    <row r="473" spans="1:10" ht="16" thickBot="1" x14ac:dyDescent="0.25">
      <c r="B473" s="1324" t="str">
        <f>IF(LEN('11.600'!H176)=0,"",'11.600'!H176)</f>
        <v/>
      </c>
      <c r="C473" s="1280" t="str">
        <f t="shared" si="9"/>
        <v/>
      </c>
      <c r="D473" s="102"/>
      <c r="E473" s="97"/>
      <c r="F473" s="97"/>
      <c r="G473" s="1343" t="s">
        <v>678</v>
      </c>
      <c r="H473" s="1326"/>
      <c r="J473" s="1312"/>
    </row>
    <row r="474" spans="1:10" ht="16" thickTop="1" x14ac:dyDescent="0.2">
      <c r="A474" s="1503" t="str">
        <f>IF(COUNTIF(A482,"P")&gt;0,"P","")</f>
        <v>P</v>
      </c>
      <c r="B474" s="1324" t="str">
        <f>IF(LEN('11.600'!H177)=0,"",'11.600'!H177)</f>
        <v/>
      </c>
      <c r="C474" s="1280" t="str">
        <f t="shared" si="9"/>
        <v>P</v>
      </c>
      <c r="D474" s="107" t="s">
        <v>3549</v>
      </c>
      <c r="E474" s="179"/>
      <c r="F474" s="179"/>
      <c r="G474" s="1683" t="s">
        <v>3619</v>
      </c>
      <c r="H474" s="1326"/>
      <c r="J474" s="1779" t="s">
        <v>5159</v>
      </c>
    </row>
    <row r="475" spans="1:10" x14ac:dyDescent="0.2">
      <c r="A475" s="467" t="str">
        <f t="shared" ref="A475:A478" si="10">A474</f>
        <v>P</v>
      </c>
      <c r="B475" s="1324" t="str">
        <f>IF(LEN('11.600'!H178)=0,"",'11.600'!H178)</f>
        <v/>
      </c>
      <c r="C475" s="1280" t="str">
        <f t="shared" si="9"/>
        <v>P</v>
      </c>
      <c r="D475" s="102"/>
      <c r="E475" s="97"/>
      <c r="F475" s="97"/>
      <c r="G475" s="1629"/>
      <c r="H475" s="1326"/>
      <c r="J475" s="1779"/>
    </row>
    <row r="476" spans="1:10" x14ac:dyDescent="0.2">
      <c r="A476" s="467" t="str">
        <f t="shared" si="10"/>
        <v>P</v>
      </c>
      <c r="B476" s="1324" t="str">
        <f>IF(LEN('11.600'!H179)=0,"",'11.600'!H179)</f>
        <v/>
      </c>
      <c r="C476" s="1280" t="str">
        <f t="shared" si="9"/>
        <v>P</v>
      </c>
      <c r="D476" s="102"/>
      <c r="E476" s="97"/>
      <c r="F476" s="97"/>
      <c r="G476" s="1629"/>
      <c r="H476" s="1326"/>
      <c r="J476" s="1779"/>
    </row>
    <row r="477" spans="1:10" x14ac:dyDescent="0.2">
      <c r="A477" s="467" t="str">
        <f t="shared" si="10"/>
        <v>P</v>
      </c>
      <c r="B477" s="1324" t="str">
        <f>IF(LEN('11.600'!H180)=0,"",'11.600'!H180)</f>
        <v/>
      </c>
      <c r="C477" s="1280" t="str">
        <f t="shared" si="9"/>
        <v>P</v>
      </c>
      <c r="D477" s="102"/>
      <c r="E477" s="97"/>
      <c r="F477" s="97"/>
      <c r="G477" s="1629"/>
      <c r="H477" s="1326"/>
      <c r="J477" s="1779"/>
    </row>
    <row r="478" spans="1:10" x14ac:dyDescent="0.2">
      <c r="A478" s="467" t="str">
        <f t="shared" si="10"/>
        <v>P</v>
      </c>
      <c r="B478" s="1324" t="str">
        <f>IF(LEN('11.600'!H181)=0,"",'11.600'!H181)</f>
        <v/>
      </c>
      <c r="C478" s="1280" t="str">
        <f t="shared" si="9"/>
        <v>P</v>
      </c>
      <c r="D478" s="102"/>
      <c r="E478" s="97"/>
      <c r="F478" s="97"/>
      <c r="G478" s="1629"/>
      <c r="H478" s="1326"/>
      <c r="J478" s="1779"/>
    </row>
    <row r="479" spans="1:10" x14ac:dyDescent="0.2">
      <c r="A479" s="467" t="str">
        <f>A478</f>
        <v>P</v>
      </c>
      <c r="B479" s="1324" t="str">
        <f>IF(LEN('11.600'!H182)=0,"",'11.600'!H182)</f>
        <v/>
      </c>
      <c r="C479" s="1280" t="str">
        <f t="shared" si="9"/>
        <v>P</v>
      </c>
      <c r="D479" s="102"/>
      <c r="E479" s="97"/>
      <c r="F479" s="97"/>
      <c r="G479" s="1705" t="s">
        <v>3821</v>
      </c>
      <c r="H479" s="1326"/>
      <c r="J479" s="1312"/>
    </row>
    <row r="480" spans="1:10" x14ac:dyDescent="0.2">
      <c r="A480" s="467" t="str">
        <f>A479</f>
        <v>P</v>
      </c>
      <c r="B480" s="1324" t="str">
        <f>IF(LEN('11.600'!H183)=0,"",'11.600'!H183)</f>
        <v/>
      </c>
      <c r="C480" s="1280" t="str">
        <f t="shared" si="9"/>
        <v>P</v>
      </c>
      <c r="D480" s="102"/>
      <c r="E480" s="97"/>
      <c r="F480" s="97"/>
      <c r="G480" s="1705"/>
      <c r="H480" s="1326"/>
      <c r="J480" s="1312"/>
    </row>
    <row r="481" spans="1:10" x14ac:dyDescent="0.2">
      <c r="A481" s="467" t="str">
        <f t="shared" ref="A481" si="11">A480</f>
        <v>P</v>
      </c>
      <c r="B481" s="1324" t="str">
        <f>IF(LEN('11.600'!H184)=0,"",'11.600'!H184)</f>
        <v/>
      </c>
      <c r="C481" s="1280" t="str">
        <f t="shared" si="9"/>
        <v>P</v>
      </c>
      <c r="D481" s="102"/>
      <c r="E481" s="97"/>
      <c r="F481" s="97"/>
      <c r="G481" s="1705"/>
      <c r="H481" s="1326"/>
      <c r="J481" s="1312"/>
    </row>
    <row r="482" spans="1:10" x14ac:dyDescent="0.2">
      <c r="A482" s="467" t="str">
        <f>IF(AND(LEN(H482)&gt;0,NOT(H482=FALSE)),"P","")</f>
        <v>P</v>
      </c>
      <c r="B482" s="1324" t="str">
        <f>IF(LEN('11.600'!H185)=0,"",'11.600'!H185)</f>
        <v/>
      </c>
      <c r="C482" s="1280" t="str">
        <f t="shared" si="9"/>
        <v>P</v>
      </c>
      <c r="D482" s="136"/>
      <c r="E482" s="93" t="s">
        <v>254</v>
      </c>
      <c r="F482" s="97"/>
      <c r="G482" s="97" t="s">
        <v>504</v>
      </c>
      <c r="H482" s="1341" t="str">
        <f>IF(LEN('11.600'!W185)=0,"",'11.600'!W185)</f>
        <v>Met</v>
      </c>
      <c r="J482" s="1312"/>
    </row>
    <row r="483" spans="1:10" x14ac:dyDescent="0.2">
      <c r="A483" s="467" t="str">
        <f>A482</f>
        <v>P</v>
      </c>
      <c r="B483" s="1324" t="str">
        <f>IF(LEN('11.600'!H186)=0,"",'11.600'!H186)</f>
        <v/>
      </c>
      <c r="C483" s="1280" t="str">
        <f t="shared" si="9"/>
        <v>P</v>
      </c>
      <c r="D483" s="136"/>
      <c r="E483" s="97"/>
      <c r="F483" s="93" t="s">
        <v>121</v>
      </c>
      <c r="G483" s="97" t="s">
        <v>505</v>
      </c>
      <c r="H483" s="1326"/>
      <c r="J483" s="1312"/>
    </row>
    <row r="484" spans="1:10" x14ac:dyDescent="0.2">
      <c r="A484" s="467" t="str">
        <f t="shared" ref="A484:A491" si="12">A483</f>
        <v>P</v>
      </c>
      <c r="B484" s="1324" t="str">
        <f>IF(LEN('11.600'!H187)=0,"",'11.600'!H187)</f>
        <v/>
      </c>
      <c r="C484" s="1280" t="str">
        <f t="shared" si="9"/>
        <v>P</v>
      </c>
      <c r="D484" s="136"/>
      <c r="E484" s="97"/>
      <c r="F484" s="93" t="s">
        <v>122</v>
      </c>
      <c r="G484" s="97" t="s">
        <v>506</v>
      </c>
      <c r="H484" s="1326"/>
      <c r="J484" s="1312"/>
    </row>
    <row r="485" spans="1:10" x14ac:dyDescent="0.2">
      <c r="A485" s="467" t="str">
        <f t="shared" si="12"/>
        <v>P</v>
      </c>
      <c r="B485" s="1324" t="str">
        <f>IF(LEN('11.600'!H188)=0,"",'11.600'!H188)</f>
        <v/>
      </c>
      <c r="C485" s="1280" t="str">
        <f t="shared" si="9"/>
        <v>P</v>
      </c>
      <c r="D485" s="136"/>
      <c r="E485" s="97"/>
      <c r="F485" s="111" t="s">
        <v>123</v>
      </c>
      <c r="G485" s="97" t="s">
        <v>507</v>
      </c>
      <c r="H485" s="1326"/>
      <c r="J485" s="1312"/>
    </row>
    <row r="486" spans="1:10" x14ac:dyDescent="0.2">
      <c r="A486" s="467" t="str">
        <f t="shared" si="12"/>
        <v>P</v>
      </c>
      <c r="B486" s="1324" t="str">
        <f>IF(LEN('11.600'!H189)=0,"",'11.600'!H189)</f>
        <v/>
      </c>
      <c r="C486" s="1280" t="str">
        <f t="shared" si="9"/>
        <v>P</v>
      </c>
      <c r="D486" s="136"/>
      <c r="E486" s="97"/>
      <c r="F486" s="187" t="s">
        <v>366</v>
      </c>
      <c r="G486" s="1609" t="s">
        <v>508</v>
      </c>
      <c r="H486" s="1326"/>
      <c r="J486" s="1312"/>
    </row>
    <row r="487" spans="1:10" x14ac:dyDescent="0.2">
      <c r="A487" s="467" t="str">
        <f t="shared" si="12"/>
        <v>P</v>
      </c>
      <c r="B487" s="1324" t="str">
        <f>IF(LEN('11.600'!H190)=0,"",'11.600'!H190)</f>
        <v/>
      </c>
      <c r="C487" s="1280" t="str">
        <f t="shared" si="9"/>
        <v>P</v>
      </c>
      <c r="D487" s="136"/>
      <c r="E487" s="97"/>
      <c r="F487" s="97"/>
      <c r="G487" s="1609"/>
      <c r="H487" s="1326"/>
      <c r="J487" s="1312"/>
    </row>
    <row r="488" spans="1:10" x14ac:dyDescent="0.2">
      <c r="A488" s="467" t="str">
        <f t="shared" si="12"/>
        <v>P</v>
      </c>
      <c r="B488" s="1324" t="str">
        <f>IF(LEN('11.600'!H191)=0,"",'11.600'!H191)</f>
        <v/>
      </c>
      <c r="C488" s="1280" t="str">
        <f t="shared" si="9"/>
        <v>P</v>
      </c>
      <c r="D488" s="136"/>
      <c r="E488" s="97"/>
      <c r="F488" s="187" t="s">
        <v>472</v>
      </c>
      <c r="G488" s="97" t="s">
        <v>509</v>
      </c>
      <c r="H488" s="1326"/>
      <c r="J488" s="1312"/>
    </row>
    <row r="489" spans="1:10" x14ac:dyDescent="0.2">
      <c r="A489" s="467" t="str">
        <f t="shared" si="12"/>
        <v>P</v>
      </c>
      <c r="B489" s="1324" t="str">
        <f>IF(LEN('11.600'!H192)=0,"",'11.600'!H192)</f>
        <v/>
      </c>
      <c r="C489" s="1280" t="str">
        <f t="shared" si="9"/>
        <v>P</v>
      </c>
      <c r="D489" s="136"/>
      <c r="E489" s="97"/>
      <c r="F489" s="111" t="s">
        <v>510</v>
      </c>
      <c r="G489" s="97" t="s">
        <v>511</v>
      </c>
      <c r="H489" s="1326"/>
      <c r="J489" s="1312"/>
    </row>
    <row r="490" spans="1:10" x14ac:dyDescent="0.2">
      <c r="A490" s="467" t="str">
        <f t="shared" si="12"/>
        <v>P</v>
      </c>
      <c r="B490" s="1324" t="str">
        <f>IF(LEN('11.600'!H193)=0,"",'11.600'!H193)</f>
        <v/>
      </c>
      <c r="C490" s="1280" t="str">
        <f t="shared" si="9"/>
        <v>P</v>
      </c>
      <c r="D490" s="136"/>
      <c r="E490" s="97"/>
      <c r="F490" s="187" t="s">
        <v>512</v>
      </c>
      <c r="G490" s="97" t="s">
        <v>513</v>
      </c>
      <c r="H490" s="1326"/>
      <c r="J490" s="1312"/>
    </row>
    <row r="491" spans="1:10" x14ac:dyDescent="0.2">
      <c r="A491" s="467" t="str">
        <f t="shared" si="12"/>
        <v>P</v>
      </c>
      <c r="B491" s="1324" t="str">
        <f>IF(LEN('11.600'!H194)=0,"",'11.600'!H194)</f>
        <v/>
      </c>
      <c r="C491" s="1280" t="str">
        <f t="shared" si="9"/>
        <v>P</v>
      </c>
      <c r="D491" s="136"/>
      <c r="E491" s="97"/>
      <c r="F491" s="187" t="s">
        <v>514</v>
      </c>
      <c r="G491" s="97" t="s">
        <v>515</v>
      </c>
      <c r="H491" s="1326"/>
      <c r="J491" s="1312"/>
    </row>
    <row r="492" spans="1:10" x14ac:dyDescent="0.2">
      <c r="B492" s="1324" t="str">
        <f>IF(LEN('11.600'!H195)=0,"",'11.600'!H195)</f>
        <v/>
      </c>
      <c r="C492" s="1280" t="str">
        <f t="shared" si="9"/>
        <v/>
      </c>
      <c r="D492" s="136"/>
      <c r="E492" s="97"/>
      <c r="F492" s="187"/>
      <c r="G492" s="1705" t="s">
        <v>3822</v>
      </c>
      <c r="H492" s="1326"/>
      <c r="J492" s="1312"/>
    </row>
    <row r="493" spans="1:10" x14ac:dyDescent="0.2">
      <c r="B493" s="1324" t="str">
        <f>IF(LEN('11.600'!H196)=0,"",'11.600'!H196)</f>
        <v/>
      </c>
      <c r="C493" s="1280" t="str">
        <f t="shared" si="9"/>
        <v/>
      </c>
      <c r="D493" s="136"/>
      <c r="E493" s="170"/>
      <c r="F493" s="221"/>
      <c r="G493" s="1710"/>
      <c r="H493" s="1326"/>
      <c r="J493" s="1312"/>
    </row>
    <row r="494" spans="1:10" x14ac:dyDescent="0.2">
      <c r="B494" s="1324" t="str">
        <f>IF(LEN('11.600'!H197)=0,"",'11.600'!H197)</f>
        <v/>
      </c>
      <c r="C494" s="1280" t="str">
        <f t="shared" si="9"/>
        <v/>
      </c>
      <c r="D494" s="136"/>
      <c r="E494" s="93" t="s">
        <v>255</v>
      </c>
      <c r="F494" s="97"/>
      <c r="G494" s="1609" t="s">
        <v>516</v>
      </c>
      <c r="H494" s="1341" t="str">
        <f>IF(LEN('11.600'!W197)=0,"",'11.600'!W197)</f>
        <v/>
      </c>
      <c r="I494" s="88">
        <f>'11.600'!O197</f>
        <v>0</v>
      </c>
      <c r="J494" s="1312"/>
    </row>
    <row r="495" spans="1:10" x14ac:dyDescent="0.2">
      <c r="B495" s="1324" t="str">
        <f>IF(LEN('11.600'!H198)=0,"",'11.600'!H198)</f>
        <v/>
      </c>
      <c r="C495" s="1280" t="str">
        <f t="shared" si="9"/>
        <v/>
      </c>
      <c r="D495" s="136"/>
      <c r="E495" s="97"/>
      <c r="F495" s="97"/>
      <c r="G495" s="1609"/>
      <c r="H495" s="1326"/>
      <c r="J495" s="1312"/>
    </row>
    <row r="496" spans="1:10" x14ac:dyDescent="0.2">
      <c r="B496" s="1324" t="str">
        <f>IF(LEN('11.600'!H199)=0,"",'11.600'!H199)</f>
        <v/>
      </c>
      <c r="C496" s="1280" t="str">
        <f t="shared" si="9"/>
        <v/>
      </c>
      <c r="D496" s="136"/>
      <c r="E496" s="170"/>
      <c r="F496" s="170"/>
      <c r="G496" s="1612"/>
      <c r="H496" s="1326"/>
      <c r="J496" s="1312"/>
    </row>
    <row r="497" spans="1:10" x14ac:dyDescent="0.2">
      <c r="B497" s="1324" t="str">
        <f>IF(LEN('11.600'!H200)=0,"",'11.600'!H200)</f>
        <v/>
      </c>
      <c r="C497" s="1280" t="str">
        <f t="shared" si="9"/>
        <v/>
      </c>
      <c r="D497" s="136"/>
      <c r="E497" s="216" t="s">
        <v>256</v>
      </c>
      <c r="F497" s="210"/>
      <c r="G497" s="210" t="s">
        <v>517</v>
      </c>
      <c r="H497" s="1341" t="str">
        <f>IF(LEN('11.600'!W200)=0,"",'11.600'!W200)</f>
        <v/>
      </c>
      <c r="I497" s="88">
        <f>'11.600'!O200</f>
        <v>0</v>
      </c>
      <c r="J497" s="1312"/>
    </row>
    <row r="498" spans="1:10" x14ac:dyDescent="0.2">
      <c r="B498" s="1324" t="str">
        <f>IF(LEN('11.600'!H201)=0,"",'11.600'!H201)</f>
        <v/>
      </c>
      <c r="C498" s="1280" t="str">
        <f t="shared" si="9"/>
        <v/>
      </c>
      <c r="D498" s="136"/>
      <c r="E498" s="860" t="s">
        <v>259</v>
      </c>
      <c r="F498" s="194"/>
      <c r="G498" s="1613" t="s">
        <v>518</v>
      </c>
      <c r="H498" s="1341" t="str">
        <f>IF(LEN('11.600'!W201)=0,"",'11.600'!W201)</f>
        <v/>
      </c>
      <c r="I498" s="88">
        <f>'11.600'!O201</f>
        <v>0</v>
      </c>
      <c r="J498" s="1312"/>
    </row>
    <row r="499" spans="1:10" x14ac:dyDescent="0.2">
      <c r="B499" s="1324" t="str">
        <f>IF(LEN('11.600'!H202)=0,"",'11.600'!H202)</f>
        <v/>
      </c>
      <c r="C499" s="1280" t="str">
        <f t="shared" si="9"/>
        <v/>
      </c>
      <c r="D499" s="136"/>
      <c r="E499" s="97"/>
      <c r="F499" s="97"/>
      <c r="G499" s="1609"/>
      <c r="H499" s="1326"/>
      <c r="J499" s="1312"/>
    </row>
    <row r="500" spans="1:10" x14ac:dyDescent="0.2">
      <c r="B500" s="1324" t="str">
        <f>IF(LEN('11.600'!H203)=0,"",'11.600'!H203)</f>
        <v/>
      </c>
      <c r="C500" s="1280" t="str">
        <f t="shared" si="9"/>
        <v/>
      </c>
      <c r="D500" s="136"/>
      <c r="E500" s="97"/>
      <c r="F500" s="97"/>
      <c r="G500" s="1609"/>
      <c r="H500" s="1326"/>
      <c r="J500" s="1312"/>
    </row>
    <row r="501" spans="1:10" x14ac:dyDescent="0.2">
      <c r="B501" s="1324" t="str">
        <f>IF(LEN('11.600'!H204)=0,"",'11.600'!H204)</f>
        <v/>
      </c>
      <c r="C501" s="1280" t="str">
        <f t="shared" si="9"/>
        <v/>
      </c>
      <c r="D501" s="136"/>
      <c r="E501" s="170"/>
      <c r="F501" s="170"/>
      <c r="G501" s="1612"/>
      <c r="H501" s="1326"/>
      <c r="J501" s="1312"/>
    </row>
    <row r="502" spans="1:10" x14ac:dyDescent="0.2">
      <c r="B502" s="1324" t="str">
        <f>IF(LEN('11.600'!H205)=0,"",'11.600'!H205)</f>
        <v/>
      </c>
      <c r="C502" s="1280" t="str">
        <f t="shared" si="9"/>
        <v/>
      </c>
      <c r="D502" s="136"/>
      <c r="E502" s="89" t="s">
        <v>263</v>
      </c>
      <c r="F502" s="85"/>
      <c r="G502" s="85" t="s">
        <v>519</v>
      </c>
      <c r="H502" s="1341" t="str">
        <f>IF(LEN('11.600'!W205)=0,"",'11.600'!W205)</f>
        <v/>
      </c>
      <c r="I502" s="88">
        <f ca="1">'11.600'!O205</f>
        <v>0</v>
      </c>
      <c r="J502" s="1312"/>
    </row>
    <row r="503" spans="1:10" x14ac:dyDescent="0.2">
      <c r="B503" s="1324" t="str">
        <f>IF(LEN('11.600'!H206)=0,"",'11.600'!H206)</f>
        <v/>
      </c>
      <c r="C503" s="1280" t="str">
        <f t="shared" si="9"/>
        <v/>
      </c>
      <c r="D503" s="136"/>
      <c r="E503" s="85"/>
      <c r="F503" s="93" t="s">
        <v>121</v>
      </c>
      <c r="G503" s="1609" t="s">
        <v>520</v>
      </c>
      <c r="H503" s="1326"/>
      <c r="J503" s="1312"/>
    </row>
    <row r="504" spans="1:10" x14ac:dyDescent="0.2">
      <c r="B504" s="1324" t="str">
        <f>IF(LEN('11.600'!H207)=0,"",'11.600'!H207)</f>
        <v/>
      </c>
      <c r="C504" s="1280" t="str">
        <f t="shared" si="9"/>
        <v/>
      </c>
      <c r="D504" s="136"/>
      <c r="E504" s="85"/>
      <c r="F504" s="93"/>
      <c r="G504" s="1609"/>
      <c r="H504" s="1326"/>
      <c r="J504" s="1312"/>
    </row>
    <row r="505" spans="1:10" x14ac:dyDescent="0.2">
      <c r="B505" s="1324" t="str">
        <f>IF(LEN('11.600'!H208)=0,"",'11.600'!H208)</f>
        <v/>
      </c>
      <c r="C505" s="1280" t="str">
        <f t="shared" si="9"/>
        <v/>
      </c>
      <c r="D505" s="136"/>
      <c r="E505" s="85"/>
      <c r="F505" s="169"/>
      <c r="G505" s="1612"/>
      <c r="H505" s="1326"/>
      <c r="J505" s="1312"/>
    </row>
    <row r="506" spans="1:10" x14ac:dyDescent="0.2">
      <c r="B506" s="1324" t="str">
        <f>IF(LEN('11.600'!H209)=0,"",'11.600'!H209)</f>
        <v/>
      </c>
      <c r="C506" s="1280" t="str">
        <f t="shared" si="9"/>
        <v/>
      </c>
      <c r="D506" s="136"/>
      <c r="E506" s="97"/>
      <c r="F506" s="93" t="s">
        <v>122</v>
      </c>
      <c r="G506" s="1609" t="s">
        <v>521</v>
      </c>
      <c r="H506" s="1326"/>
      <c r="J506" s="1312"/>
    </row>
    <row r="507" spans="1:10" x14ac:dyDescent="0.2">
      <c r="B507" s="1324" t="str">
        <f>IF(LEN('11.600'!H210)=0,"",'11.600'!H210)</f>
        <v/>
      </c>
      <c r="C507" s="1280" t="str">
        <f t="shared" si="9"/>
        <v/>
      </c>
      <c r="D507" s="136"/>
      <c r="E507" s="170"/>
      <c r="F507" s="170"/>
      <c r="G507" s="1612"/>
      <c r="H507" s="1326"/>
      <c r="J507" s="1312"/>
    </row>
    <row r="508" spans="1:10" x14ac:dyDescent="0.2">
      <c r="B508" s="1324" t="str">
        <f>IF(LEN('11.600'!H211)=0,"",'11.600'!H211)</f>
        <v/>
      </c>
      <c r="C508" s="1280" t="str">
        <f t="shared" si="9"/>
        <v/>
      </c>
      <c r="D508" s="136"/>
      <c r="E508" s="860" t="s">
        <v>264</v>
      </c>
      <c r="F508" s="194"/>
      <c r="G508" s="1613" t="s">
        <v>522</v>
      </c>
      <c r="H508" s="1341" t="str">
        <f>IF(LEN('11.600'!W211)=0,"",'11.600'!W211)</f>
        <v/>
      </c>
      <c r="I508" s="88">
        <f>'11.600'!O211</f>
        <v>0</v>
      </c>
      <c r="J508" s="1312"/>
    </row>
    <row r="509" spans="1:10" x14ac:dyDescent="0.2">
      <c r="B509" s="1324" t="str">
        <f>IF(LEN('11.600'!H212)=0,"",'11.600'!H212)</f>
        <v/>
      </c>
      <c r="C509" s="1280" t="str">
        <f t="shared" si="9"/>
        <v/>
      </c>
      <c r="D509" s="136"/>
      <c r="E509" s="170"/>
      <c r="F509" s="170"/>
      <c r="G509" s="1612"/>
      <c r="H509" s="1326"/>
      <c r="J509" s="1312"/>
    </row>
    <row r="510" spans="1:10" ht="16" thickBot="1" x14ac:dyDescent="0.25">
      <c r="B510" s="1324" t="str">
        <f>IF(LEN('11.600'!H213)=0,"",'11.600'!H213)</f>
        <v/>
      </c>
      <c r="C510" s="1280" t="str">
        <f t="shared" si="9"/>
        <v/>
      </c>
      <c r="D510" s="136"/>
      <c r="E510" s="89" t="s">
        <v>356</v>
      </c>
      <c r="F510" s="85"/>
      <c r="G510" s="85" t="s">
        <v>523</v>
      </c>
      <c r="H510" s="1341" t="str">
        <f>IF(LEN('11.600'!W213)=0,"",'11.600'!W213)</f>
        <v/>
      </c>
      <c r="I510" s="88">
        <f>'11.600'!O213</f>
        <v>0</v>
      </c>
      <c r="J510" s="1312"/>
    </row>
    <row r="511" spans="1:10" ht="16" thickTop="1" x14ac:dyDescent="0.2">
      <c r="A511" s="467" t="str">
        <f ca="1">IF(I511&gt;0,"P","")</f>
        <v>P</v>
      </c>
      <c r="B511" s="1324" t="str">
        <f>IF(LEN('11.600'!H214)=0,"",'11.600'!H214)</f>
        <v/>
      </c>
      <c r="C511" s="1280" t="str">
        <f t="shared" ca="1" si="9"/>
        <v>P</v>
      </c>
      <c r="D511" s="107" t="s">
        <v>3550</v>
      </c>
      <c r="E511" s="179"/>
      <c r="F511" s="179"/>
      <c r="G511" s="1683" t="s">
        <v>3618</v>
      </c>
      <c r="H511" s="1326"/>
      <c r="I511" s="88">
        <f ca="1">'11.600'!O214</f>
        <v>2</v>
      </c>
      <c r="J511" s="1779" t="s">
        <v>3135</v>
      </c>
    </row>
    <row r="512" spans="1:10" x14ac:dyDescent="0.2">
      <c r="A512" s="467" t="str">
        <f ca="1">A511</f>
        <v>P</v>
      </c>
      <c r="B512" s="1324" t="str">
        <f>IF(LEN('11.600'!H215)=0,"",'11.600'!H215)</f>
        <v/>
      </c>
      <c r="C512" s="1280" t="str">
        <f t="shared" ca="1" si="9"/>
        <v>P</v>
      </c>
      <c r="D512" s="102"/>
      <c r="E512" s="97"/>
      <c r="F512" s="97"/>
      <c r="G512" s="1629"/>
      <c r="H512" s="1341" t="str">
        <f>IF(LEN('11.600'!W215)=0,"",'11.600'!W215)</f>
        <v>1 exterior door</v>
      </c>
      <c r="J512" s="1779"/>
    </row>
    <row r="513" spans="1:10" x14ac:dyDescent="0.2">
      <c r="A513" s="467" t="str">
        <f ca="1">A512</f>
        <v>P</v>
      </c>
      <c r="B513" s="1324" t="str">
        <f>IF(LEN('11.600'!H216)=0,"",'11.600'!H216)</f>
        <v/>
      </c>
      <c r="C513" s="1280" t="str">
        <f t="shared" ca="1" si="9"/>
        <v>P</v>
      </c>
      <c r="D513" s="102"/>
      <c r="E513" s="97"/>
      <c r="F513" s="97"/>
      <c r="G513" s="1629"/>
      <c r="H513" s="1326"/>
      <c r="J513" s="1779"/>
    </row>
    <row r="514" spans="1:10" x14ac:dyDescent="0.2">
      <c r="A514" s="467" t="str">
        <f ca="1">A513</f>
        <v>P</v>
      </c>
      <c r="B514" s="1324" t="str">
        <f>IF(LEN('11.600'!H217)=0,"",'11.600'!H217)</f>
        <v/>
      </c>
      <c r="C514" s="1280" t="str">
        <f t="shared" ca="1" si="9"/>
        <v>P</v>
      </c>
      <c r="D514" s="102"/>
      <c r="E514" s="97"/>
      <c r="F514" s="97"/>
      <c r="G514" s="1629"/>
      <c r="H514" s="1326"/>
      <c r="J514" s="1779"/>
    </row>
    <row r="515" spans="1:10" x14ac:dyDescent="0.2">
      <c r="A515" s="467" t="str">
        <f ca="1">A514</f>
        <v>P</v>
      </c>
      <c r="B515" s="1324" t="str">
        <f>IF(LEN('11.600'!H218)=0,"",'11.600'!H218)</f>
        <v/>
      </c>
      <c r="C515" s="1280" t="str">
        <f t="shared" ca="1" si="9"/>
        <v>P</v>
      </c>
      <c r="D515" s="102"/>
      <c r="E515" s="97"/>
      <c r="F515" s="97"/>
      <c r="G515" s="1629"/>
      <c r="H515" s="1326"/>
      <c r="J515" s="1779"/>
    </row>
    <row r="516" spans="1:10" x14ac:dyDescent="0.2">
      <c r="A516" s="467" t="str">
        <f ca="1">A515</f>
        <v>P</v>
      </c>
      <c r="B516" s="1324" t="str">
        <f>IF(LEN('11.600'!H219)=0,"",'11.600'!H219)</f>
        <v/>
      </c>
      <c r="C516" s="1280" t="str">
        <f t="shared" ca="1" si="9"/>
        <v>P</v>
      </c>
      <c r="D516" s="102"/>
      <c r="E516" s="97"/>
      <c r="F516" s="97"/>
      <c r="G516" s="1629"/>
      <c r="H516" s="1326"/>
      <c r="J516" s="1779"/>
    </row>
    <row r="517" spans="1:10" x14ac:dyDescent="0.2">
      <c r="B517" s="1324" t="str">
        <f>IF(LEN('11.600'!H220)=0,"",'11.600'!H220)</f>
        <v/>
      </c>
      <c r="C517" s="1280" t="str">
        <f t="shared" si="9"/>
        <v/>
      </c>
      <c r="D517" s="102"/>
      <c r="E517" s="97"/>
      <c r="F517" s="97"/>
      <c r="G517" s="1344" t="str">
        <f>"This Project's Climate Zone: "&amp;BA314</f>
        <v xml:space="preserve">This Project's Climate Zone: </v>
      </c>
      <c r="H517" s="1326"/>
      <c r="J517" s="1312"/>
    </row>
    <row r="518" spans="1:10" x14ac:dyDescent="0.2">
      <c r="B518" s="1324" t="str">
        <f>IF(LEN('11.600'!H221)=0,"",'11.600'!H221)</f>
        <v/>
      </c>
      <c r="C518" s="1280" t="str">
        <f t="shared" si="9"/>
        <v/>
      </c>
      <c r="D518" s="102"/>
      <c r="E518" s="97"/>
      <c r="F518" s="93" t="s">
        <v>121</v>
      </c>
      <c r="G518" s="97" t="s">
        <v>525</v>
      </c>
      <c r="H518" s="1326"/>
      <c r="J518" s="1312"/>
    </row>
    <row r="519" spans="1:10" x14ac:dyDescent="0.2">
      <c r="B519" s="1324" t="str">
        <f>IF(LEN('11.600'!H222)=0,"",'11.600'!H222)</f>
        <v/>
      </c>
      <c r="C519" s="1280" t="str">
        <f t="shared" si="9"/>
        <v/>
      </c>
      <c r="D519" s="102"/>
      <c r="E519" s="97"/>
      <c r="F519" s="93" t="s">
        <v>122</v>
      </c>
      <c r="G519" s="97" t="s">
        <v>526</v>
      </c>
      <c r="H519" s="1326"/>
      <c r="J519" s="1312"/>
    </row>
    <row r="520" spans="1:10" x14ac:dyDescent="0.2">
      <c r="B520" s="1324" t="str">
        <f>IF(LEN('11.600'!H223)=0,"",'11.600'!H223)</f>
        <v/>
      </c>
      <c r="C520" s="1280" t="str">
        <f t="shared" ref="C520:C583" si="13">IF(LEN(B520)=0,IF(A520="P","P",""),B520)</f>
        <v/>
      </c>
      <c r="D520" s="102"/>
      <c r="E520" s="97"/>
      <c r="F520" s="111" t="s">
        <v>123</v>
      </c>
      <c r="G520" s="97" t="s">
        <v>527</v>
      </c>
      <c r="H520" s="1326"/>
      <c r="J520" s="1312"/>
    </row>
    <row r="521" spans="1:10" x14ac:dyDescent="0.2">
      <c r="B521" s="1324" t="str">
        <f>IF(LEN('11.600'!H224)=0,"",'11.600'!H224)</f>
        <v/>
      </c>
      <c r="C521" s="1280" t="str">
        <f t="shared" si="13"/>
        <v/>
      </c>
      <c r="D521" s="102"/>
      <c r="E521" s="97"/>
      <c r="F521" s="187" t="s">
        <v>366</v>
      </c>
      <c r="G521" s="97" t="s">
        <v>528</v>
      </c>
      <c r="H521" s="1326"/>
      <c r="J521" s="1312"/>
    </row>
    <row r="522" spans="1:10" x14ac:dyDescent="0.2">
      <c r="B522" s="1324" t="str">
        <f>IF(LEN('11.600'!H225)=0,"",'11.600'!H225)</f>
        <v/>
      </c>
      <c r="C522" s="1280" t="str">
        <f t="shared" si="13"/>
        <v/>
      </c>
      <c r="D522" s="102"/>
      <c r="E522" s="97"/>
      <c r="F522" s="187"/>
      <c r="G522" s="1780" t="s">
        <v>2600</v>
      </c>
      <c r="H522" s="1326"/>
      <c r="J522" s="1312"/>
    </row>
    <row r="523" spans="1:10" ht="16" thickBot="1" x14ac:dyDescent="0.25">
      <c r="B523" s="1324" t="str">
        <f>IF(LEN('11.600'!H226)=0,"",'11.600'!H226)</f>
        <v/>
      </c>
      <c r="C523" s="1280" t="str">
        <f t="shared" si="13"/>
        <v/>
      </c>
      <c r="D523" s="102"/>
      <c r="E523" s="97"/>
      <c r="F523" s="187"/>
      <c r="G523" s="1781"/>
      <c r="H523" s="1326"/>
      <c r="J523" s="1312"/>
    </row>
    <row r="524" spans="1:10" ht="16" thickTop="1" x14ac:dyDescent="0.2">
      <c r="A524" s="467" t="str">
        <f>IF(AND(LEN(H524)&gt;0,NOT(H524=FALSE),NOT(H524="N/A")),"P","")</f>
        <v>P</v>
      </c>
      <c r="B524" s="1324" t="str">
        <f>IF(LEN('11.600'!H227)=0,"",'11.600'!H227)</f>
        <v/>
      </c>
      <c r="C524" s="1280" t="str">
        <f t="shared" si="13"/>
        <v>P</v>
      </c>
      <c r="D524" s="107" t="s">
        <v>3551</v>
      </c>
      <c r="E524" s="179"/>
      <c r="F524" s="179"/>
      <c r="G524" s="1683" t="s">
        <v>3617</v>
      </c>
      <c r="H524" s="1341" t="str">
        <f>IF(LEN('11.600'!W227)=0,"",'11.600'!W227)</f>
        <v>Met</v>
      </c>
      <c r="J524" s="1779" t="s">
        <v>5160</v>
      </c>
    </row>
    <row r="525" spans="1:10" x14ac:dyDescent="0.2">
      <c r="A525" s="467" t="str">
        <f>A524</f>
        <v>P</v>
      </c>
      <c r="B525" s="1324" t="str">
        <f>IF(LEN('11.600'!H228)=0,"",'11.600'!H228)</f>
        <v/>
      </c>
      <c r="C525" s="1280" t="str">
        <f t="shared" si="13"/>
        <v>P</v>
      </c>
      <c r="D525" s="102"/>
      <c r="E525" s="97"/>
      <c r="F525" s="97"/>
      <c r="G525" s="1629"/>
      <c r="H525" s="1326"/>
      <c r="J525" s="1784"/>
    </row>
    <row r="526" spans="1:10" x14ac:dyDescent="0.2">
      <c r="B526" s="1324" t="str">
        <f>IF(LEN('11.600'!H229)=0,"",'11.600'!H229)</f>
        <v/>
      </c>
      <c r="C526" s="1280" t="str">
        <f t="shared" si="13"/>
        <v/>
      </c>
      <c r="D526" s="102"/>
      <c r="E526" s="97"/>
      <c r="F526" s="97"/>
      <c r="G526" s="1705" t="s">
        <v>3823</v>
      </c>
      <c r="H526" s="1326"/>
      <c r="J526" s="1312"/>
    </row>
    <row r="527" spans="1:10" ht="16" thickBot="1" x14ac:dyDescent="0.25">
      <c r="B527" s="1324" t="str">
        <f>IF(LEN('11.600'!H230)=0,"",'11.600'!H230)</f>
        <v/>
      </c>
      <c r="C527" s="1280" t="str">
        <f t="shared" si="13"/>
        <v/>
      </c>
      <c r="D527" s="102"/>
      <c r="E527" s="97"/>
      <c r="F527" s="97"/>
      <c r="G527" s="1706"/>
      <c r="H527" s="1326"/>
      <c r="J527" s="1312"/>
    </row>
    <row r="528" spans="1:10" ht="16" thickTop="1" x14ac:dyDescent="0.2">
      <c r="A528" s="467" t="str">
        <f ca="1">IF(I528&gt;0,"P","")</f>
        <v>P</v>
      </c>
      <c r="B528" s="1324" t="str">
        <f>IF(LEN('11.600'!H231)=0,"",'11.600'!H231)</f>
        <v/>
      </c>
      <c r="C528" s="1280" t="str">
        <f t="shared" ca="1" si="13"/>
        <v>P</v>
      </c>
      <c r="D528" s="107" t="s">
        <v>3552</v>
      </c>
      <c r="E528" s="179"/>
      <c r="F528" s="179"/>
      <c r="G528" s="1683" t="s">
        <v>3616</v>
      </c>
      <c r="H528" s="1341" t="b">
        <f>IF(LEN('11.600'!W231)=0,"",'11.600'!W231)</f>
        <v>1</v>
      </c>
      <c r="I528" s="88">
        <f ca="1">'11.600'!O231</f>
        <v>4</v>
      </c>
      <c r="J528" s="1779" t="s">
        <v>3120</v>
      </c>
    </row>
    <row r="529" spans="1:10" x14ac:dyDescent="0.2">
      <c r="A529" s="467" t="str">
        <f ca="1">A528</f>
        <v>P</v>
      </c>
      <c r="B529" s="1324" t="str">
        <f>IF(LEN('11.600'!H232)=0,"",'11.600'!H232)</f>
        <v/>
      </c>
      <c r="C529" s="1280" t="str">
        <f t="shared" ca="1" si="13"/>
        <v>P</v>
      </c>
      <c r="D529" s="102"/>
      <c r="E529" s="97"/>
      <c r="F529" s="97"/>
      <c r="G529" s="1629"/>
      <c r="H529" s="1326"/>
      <c r="J529" s="1779"/>
    </row>
    <row r="530" spans="1:10" ht="16" thickBot="1" x14ac:dyDescent="0.25">
      <c r="B530" s="1324" t="str">
        <f>IF(LEN('11.600'!H233)=0,"",'11.600'!H233)</f>
        <v/>
      </c>
      <c r="C530" s="1280" t="str">
        <f t="shared" si="13"/>
        <v/>
      </c>
      <c r="D530" s="102"/>
      <c r="E530" s="97"/>
      <c r="F530" s="97"/>
      <c r="G530" s="1345" t="s">
        <v>2585</v>
      </c>
      <c r="H530" s="1326"/>
      <c r="J530" s="1312"/>
    </row>
    <row r="531" spans="1:10" ht="16" thickTop="1" x14ac:dyDescent="0.2">
      <c r="A531" s="467" t="str">
        <f>IF(AND(LEN(H531)&gt;0,NOT(H531=FALSE),NOT(H531="N/A")),"P","")</f>
        <v/>
      </c>
      <c r="B531" s="1324" t="str">
        <f>IF(LEN('11.600'!H234)=0,"",'11.600'!H234)</f>
        <v/>
      </c>
      <c r="C531" s="1280" t="str">
        <f t="shared" si="13"/>
        <v/>
      </c>
      <c r="D531" s="107" t="s">
        <v>3553</v>
      </c>
      <c r="E531" s="179"/>
      <c r="F531" s="179"/>
      <c r="G531" s="1683" t="s">
        <v>3615</v>
      </c>
      <c r="H531" s="1341" t="str">
        <f>IF(LEN('11.600'!W234)=0,"",'11.600'!W234)</f>
        <v>N/A</v>
      </c>
      <c r="J531" s="1779" t="s">
        <v>5161</v>
      </c>
    </row>
    <row r="532" spans="1:10" x14ac:dyDescent="0.2">
      <c r="A532" s="467" t="str">
        <f>A531</f>
        <v/>
      </c>
      <c r="B532" s="1324" t="str">
        <f>IF(LEN('11.600'!H235)=0,"",'11.600'!H235)</f>
        <v/>
      </c>
      <c r="C532" s="1280" t="str">
        <f t="shared" si="13"/>
        <v/>
      </c>
      <c r="D532" s="102"/>
      <c r="E532" s="97"/>
      <c r="F532" s="97"/>
      <c r="G532" s="1629"/>
      <c r="H532" s="1326"/>
      <c r="J532" s="1784"/>
    </row>
    <row r="533" spans="1:10" x14ac:dyDescent="0.2">
      <c r="A533" s="467" t="str">
        <f>A532</f>
        <v/>
      </c>
      <c r="B533" s="1324" t="str">
        <f>IF(LEN('11.600'!H236)=0,"",'11.600'!H236)</f>
        <v/>
      </c>
      <c r="C533" s="1280" t="str">
        <f t="shared" si="13"/>
        <v/>
      </c>
      <c r="D533" s="102"/>
      <c r="E533" s="97"/>
      <c r="F533" s="97"/>
      <c r="G533" s="1629"/>
      <c r="H533" s="1326"/>
      <c r="J533" s="1784"/>
    </row>
    <row r="534" spans="1:10" ht="16" thickBot="1" x14ac:dyDescent="0.25">
      <c r="A534" s="467" t="str">
        <f>A533</f>
        <v/>
      </c>
      <c r="B534" s="1324" t="str">
        <f>IF(LEN('11.600'!H237)=0,"",'11.600'!H237)</f>
        <v/>
      </c>
      <c r="C534" s="1280" t="str">
        <f t="shared" si="13"/>
        <v/>
      </c>
      <c r="D534" s="102"/>
      <c r="E534" s="97"/>
      <c r="F534" s="97"/>
      <c r="G534" s="1629"/>
      <c r="H534" s="1326"/>
      <c r="J534" s="1784"/>
    </row>
    <row r="535" spans="1:10" ht="16" thickTop="1" x14ac:dyDescent="0.2">
      <c r="A535" s="467" t="str">
        <f>IF(I535&gt;0,"P","")</f>
        <v>P</v>
      </c>
      <c r="B535" s="1324" t="str">
        <f>IF(LEN('11.600'!H238)=0,"",'11.600'!H238)</f>
        <v/>
      </c>
      <c r="C535" s="1280" t="str">
        <f t="shared" si="13"/>
        <v>P</v>
      </c>
      <c r="D535" s="107" t="s">
        <v>3554</v>
      </c>
      <c r="E535" s="179"/>
      <c r="F535" s="179"/>
      <c r="G535" s="1683" t="s">
        <v>3614</v>
      </c>
      <c r="H535" s="1326"/>
      <c r="I535" s="1397">
        <f>SUM(I537:I540)</f>
        <v>5</v>
      </c>
      <c r="J535" s="1779" t="s">
        <v>3120</v>
      </c>
    </row>
    <row r="536" spans="1:10" x14ac:dyDescent="0.2">
      <c r="A536" s="467" t="str">
        <f>A535</f>
        <v>P</v>
      </c>
      <c r="B536" s="1324" t="str">
        <f>IF(LEN('11.600'!H239)=0,"",'11.600'!H239)</f>
        <v/>
      </c>
      <c r="C536" s="1280" t="str">
        <f t="shared" si="13"/>
        <v>P</v>
      </c>
      <c r="D536" s="102"/>
      <c r="E536" s="97"/>
      <c r="F536" s="97"/>
      <c r="G536" s="1629"/>
      <c r="H536" s="1326"/>
      <c r="J536" s="1784"/>
    </row>
    <row r="537" spans="1:10" x14ac:dyDescent="0.2">
      <c r="B537" s="1324" t="str">
        <f>IF(LEN('11.600'!H240)=0,"",'11.600'!H240)</f>
        <v/>
      </c>
      <c r="C537" s="1280" t="str">
        <f t="shared" si="13"/>
        <v/>
      </c>
      <c r="D537" s="136"/>
      <c r="E537" s="93" t="s">
        <v>254</v>
      </c>
      <c r="F537" s="97"/>
      <c r="G537" s="1609" t="s">
        <v>533</v>
      </c>
      <c r="H537" s="1341" t="str">
        <f>IF(LEN('11.600'!W240)=0,"",'11.600'!W240)</f>
        <v>Met</v>
      </c>
      <c r="I537" s="88">
        <f>'11.600'!O240</f>
        <v>1</v>
      </c>
      <c r="J537" s="1312"/>
    </row>
    <row r="538" spans="1:10" x14ac:dyDescent="0.2">
      <c r="B538" s="1324" t="str">
        <f>IF(LEN('11.600'!H241)=0,"",'11.600'!H241)</f>
        <v/>
      </c>
      <c r="C538" s="1280" t="str">
        <f t="shared" si="13"/>
        <v/>
      </c>
      <c r="D538" s="136"/>
      <c r="E538" s="170"/>
      <c r="F538" s="170"/>
      <c r="G538" s="1612"/>
      <c r="H538" s="1326"/>
      <c r="J538" s="1312"/>
    </row>
    <row r="539" spans="1:10" x14ac:dyDescent="0.2">
      <c r="B539" s="1324" t="str">
        <f>IF(LEN('11.600'!H242)=0,"",'11.600'!H242)</f>
        <v/>
      </c>
      <c r="C539" s="1280" t="str">
        <f t="shared" si="13"/>
        <v/>
      </c>
      <c r="D539" s="136"/>
      <c r="E539" s="216" t="s">
        <v>255</v>
      </c>
      <c r="F539" s="210"/>
      <c r="G539" s="210" t="s">
        <v>534</v>
      </c>
      <c r="H539" s="1341" t="b">
        <f>IF(LEN('11.600'!W242)=0,"",'11.600'!W242)</f>
        <v>1</v>
      </c>
      <c r="I539" s="88">
        <f>'11.600'!O242</f>
        <v>2</v>
      </c>
      <c r="J539" s="1312"/>
    </row>
    <row r="540" spans="1:10" ht="16" thickBot="1" x14ac:dyDescent="0.25">
      <c r="B540" s="1324" t="str">
        <f>IF(LEN('11.600'!H243)=0,"",'11.600'!H243)</f>
        <v/>
      </c>
      <c r="C540" s="1280" t="str">
        <f t="shared" si="13"/>
        <v/>
      </c>
      <c r="D540" s="136"/>
      <c r="E540" s="89" t="s">
        <v>256</v>
      </c>
      <c r="F540" s="85"/>
      <c r="G540" s="85" t="s">
        <v>535</v>
      </c>
      <c r="H540" s="1341" t="b">
        <f>IF(LEN('11.600'!W243)=0,"",'11.600'!W243)</f>
        <v>1</v>
      </c>
      <c r="I540" s="88">
        <f>'11.600'!O243</f>
        <v>2</v>
      </c>
      <c r="J540" s="1312"/>
    </row>
    <row r="541" spans="1:10" ht="16" thickTop="1" x14ac:dyDescent="0.2">
      <c r="A541" s="467" t="str">
        <f>IF(I541&gt;0,"P","")</f>
        <v/>
      </c>
      <c r="B541" s="1324" t="str">
        <f>IF(LEN('11.600'!H244)=0,"",'11.600'!H244)</f>
        <v/>
      </c>
      <c r="C541" s="1280" t="str">
        <f t="shared" si="13"/>
        <v/>
      </c>
      <c r="D541" s="107" t="s">
        <v>3982</v>
      </c>
      <c r="E541" s="179"/>
      <c r="F541" s="179"/>
      <c r="G541" s="1683" t="s">
        <v>3983</v>
      </c>
      <c r="H541" s="1341" t="b">
        <f>IF(LEN('11.600'!W244)=0,"",'11.600'!W244)</f>
        <v>0</v>
      </c>
      <c r="I541" s="88">
        <f>'11.600'!O244</f>
        <v>0</v>
      </c>
      <c r="J541" s="1314" t="s">
        <v>5162</v>
      </c>
    </row>
    <row r="542" spans="1:10" x14ac:dyDescent="0.2">
      <c r="A542" s="467" t="str">
        <f>A541</f>
        <v/>
      </c>
      <c r="B542" s="1324" t="str">
        <f>IF(LEN('11.600'!H245)=0,"",'11.600'!H245)</f>
        <v/>
      </c>
      <c r="C542" s="1280" t="str">
        <f t="shared" si="13"/>
        <v/>
      </c>
      <c r="D542" s="102"/>
      <c r="E542" s="97"/>
      <c r="F542" s="97"/>
      <c r="G542" s="1629"/>
      <c r="H542" s="1326"/>
      <c r="J542" s="1312"/>
    </row>
    <row r="543" spans="1:10" ht="16" thickBot="1" x14ac:dyDescent="0.25">
      <c r="B543" s="1324" t="str">
        <f>IF(LEN('11.600'!H246)=0,"",'11.600'!H246)</f>
        <v/>
      </c>
      <c r="C543" s="1280" t="str">
        <f t="shared" si="13"/>
        <v/>
      </c>
      <c r="D543" s="102"/>
      <c r="E543" s="97"/>
      <c r="F543" s="97"/>
      <c r="G543" s="1343" t="s">
        <v>3984</v>
      </c>
      <c r="H543" s="1326"/>
      <c r="J543" s="1312"/>
    </row>
    <row r="544" spans="1:10" ht="16" thickTop="1" x14ac:dyDescent="0.2">
      <c r="A544" s="467" t="str">
        <f>IF(I544&gt;0,"P","")</f>
        <v/>
      </c>
      <c r="B544" s="1324" t="str">
        <f>IF(LEN('11.600'!H247)=0,"",'11.600'!H247)</f>
        <v/>
      </c>
      <c r="C544" s="1280" t="str">
        <f t="shared" si="13"/>
        <v/>
      </c>
      <c r="D544" s="107" t="s">
        <v>3555</v>
      </c>
      <c r="E544" s="179"/>
      <c r="F544" s="179"/>
      <c r="G544" s="1683" t="s">
        <v>3613</v>
      </c>
      <c r="H544" s="1326"/>
      <c r="I544" s="88">
        <f>'11.600'!O247</f>
        <v>0</v>
      </c>
      <c r="J544" s="1312" t="s">
        <v>5163</v>
      </c>
    </row>
    <row r="545" spans="1:10" x14ac:dyDescent="0.2">
      <c r="A545" s="467" t="str">
        <f>A544</f>
        <v/>
      </c>
      <c r="B545" s="1324" t="str">
        <f>IF(LEN('11.600'!H248)=0,"",'11.600'!H248)</f>
        <v/>
      </c>
      <c r="C545" s="1280" t="str">
        <f t="shared" si="13"/>
        <v/>
      </c>
      <c r="D545" s="102"/>
      <c r="E545" s="97"/>
      <c r="F545" s="97"/>
      <c r="G545" s="1629"/>
      <c r="H545" s="1326"/>
      <c r="J545" s="1312"/>
    </row>
    <row r="546" spans="1:10" x14ac:dyDescent="0.2">
      <c r="A546" s="467" t="str">
        <f>A545</f>
        <v/>
      </c>
      <c r="B546" s="1324" t="str">
        <f>IF(LEN('11.600'!H249)=0,"",'11.600'!H249)</f>
        <v/>
      </c>
      <c r="C546" s="1280" t="str">
        <f t="shared" si="13"/>
        <v/>
      </c>
      <c r="D546" s="102"/>
      <c r="E546" s="97"/>
      <c r="F546" s="97"/>
      <c r="G546" s="1629"/>
      <c r="H546" s="1326"/>
      <c r="J546" s="1312"/>
    </row>
    <row r="547" spans="1:10" x14ac:dyDescent="0.2">
      <c r="A547" s="467" t="str">
        <f>A546</f>
        <v/>
      </c>
      <c r="B547" s="1324" t="str">
        <f>IF(LEN('11.600'!H250)=0,"",'11.600'!H250)</f>
        <v/>
      </c>
      <c r="C547" s="1280" t="str">
        <f t="shared" si="13"/>
        <v/>
      </c>
      <c r="D547" s="102"/>
      <c r="E547" s="97"/>
      <c r="F547" s="97"/>
      <c r="G547" s="1629"/>
      <c r="H547" s="1326"/>
      <c r="J547" s="1312"/>
    </row>
    <row r="548" spans="1:10" x14ac:dyDescent="0.2">
      <c r="B548" s="1324" t="str">
        <f>IF(LEN('11.600'!H251)=0,"",'11.600'!H251)</f>
        <v/>
      </c>
      <c r="C548" s="1280" t="str">
        <f t="shared" si="13"/>
        <v/>
      </c>
      <c r="D548" s="136"/>
      <c r="E548" s="93" t="s">
        <v>254</v>
      </c>
      <c r="F548" s="97"/>
      <c r="G548" s="1657" t="s">
        <v>536</v>
      </c>
      <c r="H548" s="1341" t="str">
        <f>IF(LEN('11.600'!W251)=0,"",'11.600'!W251)</f>
        <v/>
      </c>
      <c r="J548" s="1312"/>
    </row>
    <row r="549" spans="1:10" x14ac:dyDescent="0.2">
      <c r="B549" s="1324" t="str">
        <f>IF(LEN('11.600'!H252)=0,"",'11.600'!H252)</f>
        <v/>
      </c>
      <c r="C549" s="1280" t="str">
        <f t="shared" si="13"/>
        <v/>
      </c>
      <c r="D549" s="136"/>
      <c r="E549" s="169"/>
      <c r="F549" s="170"/>
      <c r="G549" s="1650"/>
      <c r="H549" s="1326"/>
      <c r="J549" s="1312"/>
    </row>
    <row r="550" spans="1:10" x14ac:dyDescent="0.2">
      <c r="B550" s="1324" t="str">
        <f>IF(LEN('11.600'!H253)=0,"",'11.600'!H253)</f>
        <v/>
      </c>
      <c r="C550" s="1280" t="str">
        <f t="shared" si="13"/>
        <v/>
      </c>
      <c r="D550" s="136"/>
      <c r="E550" s="216" t="s">
        <v>255</v>
      </c>
      <c r="F550" s="210"/>
      <c r="G550" s="210" t="s">
        <v>537</v>
      </c>
      <c r="H550" s="1341" t="str">
        <f>IF(LEN('11.600'!W253)=0,"",'11.600'!W253)</f>
        <v/>
      </c>
      <c r="J550" s="1312"/>
    </row>
    <row r="551" spans="1:10" x14ac:dyDescent="0.2">
      <c r="B551" s="1324" t="str">
        <f>IF(LEN('11.600'!H254)=0,"",'11.600'!H254)</f>
        <v/>
      </c>
      <c r="C551" s="1280" t="str">
        <f t="shared" si="13"/>
        <v/>
      </c>
      <c r="D551" s="136"/>
      <c r="E551" s="89" t="s">
        <v>256</v>
      </c>
      <c r="F551" s="85"/>
      <c r="G551" s="1611" t="s">
        <v>538</v>
      </c>
      <c r="H551" s="1341" t="str">
        <f>IF(LEN('11.600'!W254)=0,"",'11.600'!W254)</f>
        <v/>
      </c>
      <c r="J551" s="1312"/>
    </row>
    <row r="552" spans="1:10" x14ac:dyDescent="0.2">
      <c r="B552" s="1324" t="str">
        <f>IF(LEN('11.600'!H255)=0,"",'11.600'!H255)</f>
        <v/>
      </c>
      <c r="C552" s="1280" t="str">
        <f t="shared" si="13"/>
        <v/>
      </c>
      <c r="D552" s="136"/>
      <c r="E552" s="85"/>
      <c r="F552" s="85"/>
      <c r="G552" s="1611"/>
      <c r="H552" s="1326"/>
      <c r="J552" s="1312"/>
    </row>
    <row r="553" spans="1:10" ht="16" thickBot="1" x14ac:dyDescent="0.25">
      <c r="B553" s="1324" t="str">
        <f>IF(LEN('11.600'!H256)=0,"",'11.600'!H256)</f>
        <v/>
      </c>
      <c r="C553" s="1280" t="str">
        <f t="shared" si="13"/>
        <v/>
      </c>
      <c r="D553" s="136"/>
      <c r="E553" s="85"/>
      <c r="F553" s="85"/>
      <c r="G553" s="1611"/>
      <c r="H553" s="1326"/>
      <c r="J553" s="1312"/>
    </row>
    <row r="554" spans="1:10" ht="16" thickTop="1" x14ac:dyDescent="0.2">
      <c r="A554" s="467" t="str">
        <f>IF(I554&gt;0,"P","")</f>
        <v/>
      </c>
      <c r="B554" s="1324" t="str">
        <f>IF(LEN('11.600'!H257)=0,"",'11.600'!H257)</f>
        <v/>
      </c>
      <c r="C554" s="1280" t="str">
        <f t="shared" si="13"/>
        <v/>
      </c>
      <c r="D554" s="107" t="s">
        <v>3556</v>
      </c>
      <c r="E554" s="179"/>
      <c r="F554" s="179"/>
      <c r="G554" s="1683" t="s">
        <v>3612</v>
      </c>
      <c r="H554" s="1341" t="str">
        <f>IF(LEN('11.600'!W257)=0,"",'11.600'!W257)</f>
        <v/>
      </c>
      <c r="I554" s="88">
        <f>'11.600'!O257</f>
        <v>0</v>
      </c>
      <c r="J554" s="1779" t="s">
        <v>3120</v>
      </c>
    </row>
    <row r="555" spans="1:10" x14ac:dyDescent="0.2">
      <c r="A555" s="467" t="str">
        <f>A554</f>
        <v/>
      </c>
      <c r="B555" s="1324" t="str">
        <f>IF(LEN('11.600'!H258)=0,"",'11.600'!H258)</f>
        <v/>
      </c>
      <c r="C555" s="1280" t="str">
        <f t="shared" si="13"/>
        <v/>
      </c>
      <c r="D555" s="102"/>
      <c r="E555" s="97"/>
      <c r="F555" s="97"/>
      <c r="G555" s="1629"/>
      <c r="H555" s="1326"/>
      <c r="J555" s="1784"/>
    </row>
    <row r="556" spans="1:10" ht="16" thickBot="1" x14ac:dyDescent="0.25">
      <c r="A556" s="467" t="str">
        <f>A555</f>
        <v/>
      </c>
      <c r="B556" s="1324" t="str">
        <f>IF(LEN('11.600'!H259)=0,"",'11.600'!H259)</f>
        <v/>
      </c>
      <c r="C556" s="1280" t="str">
        <f t="shared" si="13"/>
        <v/>
      </c>
      <c r="D556" s="102"/>
      <c r="E556" s="97"/>
      <c r="F556" s="97"/>
      <c r="G556" s="1629"/>
      <c r="H556" s="1326"/>
      <c r="J556" s="1784"/>
    </row>
    <row r="557" spans="1:10" ht="16" thickTop="1" x14ac:dyDescent="0.2">
      <c r="A557" s="1503" t="str">
        <f>IF(COUNTIF(A563:A565,"P")&gt;0,"P","")</f>
        <v/>
      </c>
      <c r="B557" s="1324" t="str">
        <f>IF(LEN('11.600'!H260)=0,"",'11.600'!H260)</f>
        <v/>
      </c>
      <c r="C557" s="1280" t="str">
        <f t="shared" si="13"/>
        <v/>
      </c>
      <c r="D557" s="107" t="s">
        <v>3557</v>
      </c>
      <c r="E557" s="179"/>
      <c r="F557" s="179"/>
      <c r="G557" s="125" t="s">
        <v>3611</v>
      </c>
      <c r="H557" s="1326"/>
      <c r="J557" s="1312"/>
    </row>
    <row r="558" spans="1:10" x14ac:dyDescent="0.2">
      <c r="B558" s="1324" t="str">
        <f>IF(LEN('11.600'!H261)=0,"",'11.600'!H261)</f>
        <v/>
      </c>
      <c r="C558" s="1280" t="str">
        <f t="shared" si="13"/>
        <v/>
      </c>
      <c r="D558" s="102" t="s">
        <v>3558</v>
      </c>
      <c r="E558" s="97"/>
      <c r="F558" s="97"/>
      <c r="G558" s="1629" t="s">
        <v>3610</v>
      </c>
      <c r="H558" s="1341" t="str">
        <f>IF(LEN('11.600'!W261)=0,"",'11.600'!W261)</f>
        <v>Met</v>
      </c>
      <c r="J558" s="1315"/>
    </row>
    <row r="559" spans="1:10" x14ac:dyDescent="0.2">
      <c r="B559" s="1324" t="str">
        <f>IF(LEN('11.600'!H262)=0,"",'11.600'!H262)</f>
        <v/>
      </c>
      <c r="C559" s="1280" t="str">
        <f t="shared" si="13"/>
        <v/>
      </c>
      <c r="D559" s="102"/>
      <c r="E559" s="97"/>
      <c r="F559" s="97"/>
      <c r="G559" s="1629"/>
      <c r="H559" s="1326"/>
      <c r="J559" s="1315"/>
    </row>
    <row r="560" spans="1:10" x14ac:dyDescent="0.2">
      <c r="B560" s="1324" t="str">
        <f>IF(LEN('11.600'!H263)=0,"",'11.600'!H263)</f>
        <v/>
      </c>
      <c r="C560" s="1280" t="str">
        <f t="shared" si="13"/>
        <v/>
      </c>
      <c r="D560" s="102"/>
      <c r="E560" s="97"/>
      <c r="F560" s="97"/>
      <c r="G560" s="1629"/>
      <c r="H560" s="1326"/>
      <c r="J560" s="1315"/>
    </row>
    <row r="561" spans="1:10" x14ac:dyDescent="0.2">
      <c r="B561" s="1324" t="str">
        <f>IF(LEN('11.600'!H264)=0,"",'11.600'!H264)</f>
        <v/>
      </c>
      <c r="C561" s="1280" t="str">
        <f t="shared" si="13"/>
        <v/>
      </c>
      <c r="D561" s="102"/>
      <c r="E561" s="97"/>
      <c r="F561" s="97"/>
      <c r="G561" s="1629"/>
      <c r="H561" s="1326"/>
      <c r="J561" s="1315"/>
    </row>
    <row r="562" spans="1:10" x14ac:dyDescent="0.2">
      <c r="B562" s="1324" t="str">
        <f>IF(LEN('11.600'!H265)=0,"",'11.600'!H265)</f>
        <v/>
      </c>
      <c r="C562" s="1280" t="str">
        <f t="shared" si="13"/>
        <v/>
      </c>
      <c r="D562" s="591"/>
      <c r="E562" s="170"/>
      <c r="F562" s="170"/>
      <c r="G562" s="1696"/>
      <c r="H562" s="1326"/>
      <c r="J562" s="1315"/>
    </row>
    <row r="563" spans="1:10" x14ac:dyDescent="0.2">
      <c r="A563" s="467" t="str">
        <f>IF(I563&gt;0,"P","")</f>
        <v/>
      </c>
      <c r="B563" s="1324" t="str">
        <f>IF(LEN('11.600'!H266)=0,"",'11.600'!H266)</f>
        <v/>
      </c>
      <c r="C563" s="1280" t="str">
        <f t="shared" si="13"/>
        <v/>
      </c>
      <c r="D563" s="102" t="s">
        <v>3559</v>
      </c>
      <c r="E563" s="97"/>
      <c r="F563" s="97"/>
      <c r="G563" s="1629" t="s">
        <v>3609</v>
      </c>
      <c r="H563" s="1341" t="str">
        <f>IF(LEN('11.600'!W266)=0,"",'11.600'!W266)</f>
        <v/>
      </c>
      <c r="I563" s="88">
        <f>'11.600'!O266</f>
        <v>0</v>
      </c>
      <c r="J563" s="1779" t="s">
        <v>3120</v>
      </c>
    </row>
    <row r="564" spans="1:10" x14ac:dyDescent="0.2">
      <c r="A564" s="467" t="str">
        <f>A563</f>
        <v/>
      </c>
      <c r="B564" s="1324" t="str">
        <f>IF(LEN('11.600'!H267)=0,"",'11.600'!H267)</f>
        <v/>
      </c>
      <c r="C564" s="1280" t="str">
        <f t="shared" si="13"/>
        <v/>
      </c>
      <c r="D564" s="591"/>
      <c r="E564" s="170"/>
      <c r="F564" s="170"/>
      <c r="G564" s="1696"/>
      <c r="H564" s="1326"/>
      <c r="J564" s="1779"/>
    </row>
    <row r="565" spans="1:10" x14ac:dyDescent="0.2">
      <c r="A565" s="467" t="str">
        <f>IF(I565&gt;0,"P","")</f>
        <v/>
      </c>
      <c r="B565" s="1324" t="str">
        <f>IF(LEN('11.600'!H268)=0,"",'11.600'!H268)</f>
        <v/>
      </c>
      <c r="C565" s="1280" t="str">
        <f t="shared" si="13"/>
        <v/>
      </c>
      <c r="D565" s="136" t="s">
        <v>3560</v>
      </c>
      <c r="E565" s="85"/>
      <c r="F565" s="85"/>
      <c r="G565" s="1699" t="s">
        <v>3608</v>
      </c>
      <c r="H565" s="1341" t="str">
        <f>IF(LEN('11.600'!W268)=0,"",'11.600'!W268)</f>
        <v/>
      </c>
      <c r="I565" s="88">
        <f>'11.600'!O268</f>
        <v>0</v>
      </c>
      <c r="J565" s="1779" t="s">
        <v>3120</v>
      </c>
    </row>
    <row r="566" spans="1:10" x14ac:dyDescent="0.2">
      <c r="A566" s="467" t="str">
        <f>A565</f>
        <v/>
      </c>
      <c r="B566" s="1324" t="str">
        <f>IF(LEN('11.600'!H269)=0,"",'11.600'!H269)</f>
        <v/>
      </c>
      <c r="C566" s="1280" t="str">
        <f t="shared" si="13"/>
        <v/>
      </c>
      <c r="D566" s="88"/>
      <c r="E566" s="88"/>
      <c r="F566" s="88"/>
      <c r="G566" s="1700"/>
      <c r="H566" s="1326"/>
      <c r="J566" s="1779"/>
    </row>
    <row r="567" spans="1:10" ht="19" x14ac:dyDescent="0.25">
      <c r="A567" s="467" t="s">
        <v>3200</v>
      </c>
      <c r="B567" s="1324" t="str">
        <f>IF(LEN('11.600'!H270)=0,"",'11.600'!H270)</f>
        <v/>
      </c>
      <c r="C567" s="1280" t="str">
        <f t="shared" si="13"/>
        <v>P</v>
      </c>
      <c r="D567" s="72" t="s">
        <v>3561</v>
      </c>
      <c r="E567" s="84"/>
      <c r="F567" s="84"/>
      <c r="G567" s="81"/>
      <c r="H567" s="994"/>
      <c r="I567" s="25"/>
      <c r="J567" s="25"/>
    </row>
    <row r="568" spans="1:10" x14ac:dyDescent="0.2">
      <c r="B568" s="1324" t="str">
        <f>IF(LEN('11.600'!H271)=0,"",'11.600'!H271)</f>
        <v/>
      </c>
      <c r="C568" s="1280" t="str">
        <f t="shared" si="13"/>
        <v/>
      </c>
      <c r="D568" s="589" t="s">
        <v>3562</v>
      </c>
      <c r="E568" s="85"/>
      <c r="F568" s="85"/>
      <c r="G568" s="1631" t="s">
        <v>3607</v>
      </c>
      <c r="H568" s="1326"/>
      <c r="J568" s="1312"/>
    </row>
    <row r="569" spans="1:10" ht="16" thickBot="1" x14ac:dyDescent="0.25">
      <c r="B569" s="1324" t="str">
        <f>IF(LEN('11.600'!H272)=0,"",'11.600'!H272)</f>
        <v/>
      </c>
      <c r="C569" s="1280" t="str">
        <f t="shared" si="13"/>
        <v/>
      </c>
      <c r="D569" s="136"/>
      <c r="E569" s="85"/>
      <c r="F569" s="85"/>
      <c r="G569" s="1631"/>
      <c r="H569" s="1326"/>
      <c r="J569" s="1312"/>
    </row>
    <row r="570" spans="1:10" ht="27" customHeight="1" thickTop="1" x14ac:dyDescent="0.2">
      <c r="A570" s="467" t="str">
        <f>IF(I570&gt;0,"P","")</f>
        <v>P</v>
      </c>
      <c r="B570" s="1324" t="str">
        <f>IF(LEN('11.600'!H273)=0,"",'11.600'!H273)</f>
        <v/>
      </c>
      <c r="C570" s="1280" t="str">
        <f t="shared" si="13"/>
        <v>P</v>
      </c>
      <c r="D570" s="107" t="s">
        <v>3563</v>
      </c>
      <c r="E570" s="179"/>
      <c r="F570" s="179"/>
      <c r="G570" s="1683" t="s">
        <v>3606</v>
      </c>
      <c r="H570" s="1341">
        <f>IF(LEN('11.600'!W273)=0,"",'11.600'!W273)</f>
        <v>10000</v>
      </c>
      <c r="I570" s="88">
        <f>'11.600'!O273</f>
        <v>12</v>
      </c>
      <c r="J570" s="1779" t="s">
        <v>3136</v>
      </c>
    </row>
    <row r="571" spans="1:10" x14ac:dyDescent="0.2">
      <c r="A571" s="467" t="str">
        <f>A570</f>
        <v>P</v>
      </c>
      <c r="B571" s="1324" t="str">
        <f>IF(LEN('11.600'!H274)=0,"",'11.600'!H274)</f>
        <v/>
      </c>
      <c r="C571" s="1280" t="str">
        <f t="shared" si="13"/>
        <v>P</v>
      </c>
      <c r="D571" s="102"/>
      <c r="E571" s="97"/>
      <c r="F571" s="97"/>
      <c r="G571" s="1629"/>
      <c r="H571" s="1326"/>
      <c r="J571" s="1779"/>
    </row>
    <row r="572" spans="1:10" ht="16" x14ac:dyDescent="0.2">
      <c r="B572" s="1324" t="str">
        <f>IF(LEN('11.600'!H275)=0,"",'11.600'!H275)</f>
        <v/>
      </c>
      <c r="C572" s="1280" t="str">
        <f t="shared" si="13"/>
        <v/>
      </c>
      <c r="D572" s="102"/>
      <c r="E572" s="97"/>
      <c r="F572" s="97"/>
      <c r="G572" s="185" t="s">
        <v>542</v>
      </c>
      <c r="H572" s="1326"/>
      <c r="J572" s="1312"/>
    </row>
    <row r="573" spans="1:10" x14ac:dyDescent="0.2">
      <c r="B573" s="1324" t="str">
        <f>IF(LEN('11.600'!H276)=0,"",'11.600'!H276)</f>
        <v/>
      </c>
      <c r="C573" s="1280" t="str">
        <f t="shared" si="13"/>
        <v/>
      </c>
      <c r="D573" s="102"/>
      <c r="E573" s="97"/>
      <c r="F573" s="97"/>
      <c r="G573" s="1785" t="s">
        <v>3812</v>
      </c>
      <c r="H573" s="1326"/>
      <c r="J573" s="1312"/>
    </row>
    <row r="574" spans="1:10" x14ac:dyDescent="0.2">
      <c r="B574" s="1324" t="str">
        <f>IF(LEN('11.600'!H277)=0,"",'11.600'!H277)</f>
        <v/>
      </c>
      <c r="C574" s="1280" t="str">
        <f t="shared" si="13"/>
        <v/>
      </c>
      <c r="D574" s="102"/>
      <c r="E574" s="97"/>
      <c r="F574" s="97"/>
      <c r="G574" s="1791"/>
      <c r="H574" s="1326"/>
      <c r="J574" s="1312"/>
    </row>
    <row r="575" spans="1:10" ht="16" thickBot="1" x14ac:dyDescent="0.25">
      <c r="B575" s="1324" t="str">
        <f>IF(LEN('11.600'!H278)=0,"",'11.600'!H278)</f>
        <v/>
      </c>
      <c r="C575" s="1280" t="str">
        <f t="shared" si="13"/>
        <v/>
      </c>
      <c r="D575" s="102"/>
      <c r="E575" s="97"/>
      <c r="F575" s="97"/>
      <c r="G575" s="1791"/>
      <c r="H575" s="1326"/>
      <c r="J575" s="1312"/>
    </row>
    <row r="576" spans="1:10" ht="16" thickTop="1" x14ac:dyDescent="0.2">
      <c r="A576" s="467" t="str">
        <f>IF(I576&gt;0,"P","")</f>
        <v/>
      </c>
      <c r="B576" s="1324" t="str">
        <f>IF(LEN('11.600'!H279)=0,"",'11.600'!H279)</f>
        <v/>
      </c>
      <c r="C576" s="1280" t="str">
        <f t="shared" si="13"/>
        <v/>
      </c>
      <c r="D576" s="107" t="s">
        <v>3564</v>
      </c>
      <c r="E576" s="179"/>
      <c r="F576" s="179"/>
      <c r="G576" s="1683" t="s">
        <v>3605</v>
      </c>
      <c r="H576" s="1341" t="str">
        <f>IF(LEN('11.600'!W279)=0,"",'11.600'!W279)</f>
        <v/>
      </c>
      <c r="I576" s="88">
        <f>'11.600'!O279</f>
        <v>0</v>
      </c>
      <c r="J576" s="1779" t="s">
        <v>3137</v>
      </c>
    </row>
    <row r="577" spans="1:10" x14ac:dyDescent="0.2">
      <c r="A577" s="467" t="str">
        <f>A576</f>
        <v/>
      </c>
      <c r="B577" s="1324" t="str">
        <f>IF(LEN('11.600'!H280)=0,"",'11.600'!H280)</f>
        <v/>
      </c>
      <c r="C577" s="1280" t="str">
        <f t="shared" si="13"/>
        <v/>
      </c>
      <c r="D577" s="102"/>
      <c r="E577" s="97"/>
      <c r="F577" s="97"/>
      <c r="G577" s="1629"/>
      <c r="H577" s="1326"/>
      <c r="J577" s="1779"/>
    </row>
    <row r="578" spans="1:10" x14ac:dyDescent="0.2">
      <c r="A578" s="467" t="str">
        <f>A577</f>
        <v/>
      </c>
      <c r="B578" s="1324" t="str">
        <f>IF(LEN('11.600'!H281)=0,"",'11.600'!H281)</f>
        <v/>
      </c>
      <c r="C578" s="1280" t="str">
        <f t="shared" si="13"/>
        <v/>
      </c>
      <c r="D578" s="102"/>
      <c r="E578" s="97"/>
      <c r="F578" s="97"/>
      <c r="G578" s="1629"/>
      <c r="H578" s="1326"/>
      <c r="J578" s="1779"/>
    </row>
    <row r="579" spans="1:10" ht="15" customHeight="1" x14ac:dyDescent="0.2">
      <c r="B579" s="1324" t="str">
        <f>IF(LEN('11.600'!H282)=0,"",'11.600'!H282)</f>
        <v/>
      </c>
      <c r="C579" s="1280" t="str">
        <f t="shared" si="13"/>
        <v/>
      </c>
      <c r="D579" s="102"/>
      <c r="E579" s="97"/>
      <c r="F579" s="97"/>
      <c r="G579" s="1311" t="s">
        <v>2605</v>
      </c>
      <c r="H579" s="1326"/>
      <c r="J579" s="1312"/>
    </row>
    <row r="580" spans="1:10" x14ac:dyDescent="0.2">
      <c r="B580" s="1324" t="str">
        <f>IF(LEN('11.600'!H283)=0,"",'11.600'!H283)</f>
        <v/>
      </c>
      <c r="C580" s="1280" t="str">
        <f t="shared" si="13"/>
        <v/>
      </c>
      <c r="D580" s="102"/>
      <c r="E580" s="97"/>
      <c r="F580" s="97"/>
      <c r="G580" s="1785" t="s">
        <v>3812</v>
      </c>
      <c r="H580" s="1326"/>
      <c r="J580" s="1312"/>
    </row>
    <row r="581" spans="1:10" x14ac:dyDescent="0.2">
      <c r="B581" s="1324" t="str">
        <f>IF(LEN('11.600'!H284)=0,"",'11.600'!H284)</f>
        <v/>
      </c>
      <c r="C581" s="1280" t="str">
        <f t="shared" si="13"/>
        <v/>
      </c>
      <c r="D581" s="102"/>
      <c r="E581" s="97"/>
      <c r="F581" s="97"/>
      <c r="G581" s="1791"/>
      <c r="H581" s="1326"/>
      <c r="J581" s="1312"/>
    </row>
    <row r="582" spans="1:10" ht="16" thickBot="1" x14ac:dyDescent="0.25">
      <c r="B582" s="1324" t="str">
        <f>IF(LEN('11.600'!H285)=0,"",'11.600'!H285)</f>
        <v/>
      </c>
      <c r="C582" s="1280" t="str">
        <f t="shared" si="13"/>
        <v/>
      </c>
      <c r="D582" s="102"/>
      <c r="E582" s="97"/>
      <c r="F582" s="97"/>
      <c r="G582" s="1791"/>
      <c r="H582" s="1326"/>
      <c r="J582" s="1312"/>
    </row>
    <row r="583" spans="1:10" ht="16" thickTop="1" x14ac:dyDescent="0.2">
      <c r="A583" s="467" t="str">
        <f>IF(I583&gt;0,"P","")</f>
        <v/>
      </c>
      <c r="B583" s="1324" t="str">
        <f>IF(LEN('11.600'!H286)=0,"",'11.600'!H286)</f>
        <v/>
      </c>
      <c r="C583" s="1280" t="str">
        <f t="shared" si="13"/>
        <v/>
      </c>
      <c r="D583" s="107" t="s">
        <v>3565</v>
      </c>
      <c r="E583" s="179"/>
      <c r="F583" s="179"/>
      <c r="G583" s="1683" t="s">
        <v>3604</v>
      </c>
      <c r="H583" s="1341" t="str">
        <f>IF(LEN('11.600'!W286)=0,"",'11.600'!W286)</f>
        <v/>
      </c>
      <c r="I583" s="88">
        <f>'11.600'!O286</f>
        <v>0</v>
      </c>
      <c r="J583" s="1779" t="s">
        <v>3120</v>
      </c>
    </row>
    <row r="584" spans="1:10" x14ac:dyDescent="0.2">
      <c r="A584" s="467" t="str">
        <f>A583</f>
        <v/>
      </c>
      <c r="B584" s="1324" t="str">
        <f>IF(LEN('11.600'!H287)=0,"",'11.600'!H287)</f>
        <v/>
      </c>
      <c r="C584" s="1280" t="str">
        <f t="shared" ref="C584:C647" si="14">IF(LEN(B584)=0,IF(A584="P","P",""),B584)</f>
        <v/>
      </c>
      <c r="D584" s="102"/>
      <c r="E584" s="97"/>
      <c r="F584" s="97"/>
      <c r="G584" s="1629"/>
      <c r="H584" s="1326"/>
      <c r="J584" s="1779"/>
    </row>
    <row r="585" spans="1:10" ht="15" customHeight="1" x14ac:dyDescent="0.2">
      <c r="B585" s="1324" t="str">
        <f>IF(LEN('11.600'!H288)=0,"",'11.600'!H288)</f>
        <v/>
      </c>
      <c r="C585" s="1280" t="str">
        <f t="shared" si="14"/>
        <v/>
      </c>
      <c r="D585" s="102"/>
      <c r="E585" s="97"/>
      <c r="F585" s="97"/>
      <c r="G585" s="1344" t="s">
        <v>2602</v>
      </c>
      <c r="H585" s="1326"/>
      <c r="J585" s="1312"/>
    </row>
    <row r="586" spans="1:10" ht="19" x14ac:dyDescent="0.25">
      <c r="A586" s="467" t="s">
        <v>3200</v>
      </c>
      <c r="B586" s="1324" t="str">
        <f>IF(LEN('11.600'!H289)=0,"",'11.600'!H289)</f>
        <v/>
      </c>
      <c r="C586" s="1280" t="str">
        <f t="shared" si="14"/>
        <v>P</v>
      </c>
      <c r="D586" s="72" t="s">
        <v>3566</v>
      </c>
      <c r="E586" s="84"/>
      <c r="F586" s="84"/>
      <c r="G586" s="81"/>
      <c r="H586" s="994"/>
      <c r="I586" s="25"/>
      <c r="J586" s="25"/>
    </row>
    <row r="587" spans="1:10" x14ac:dyDescent="0.2">
      <c r="A587" s="467" t="str">
        <f>IF(I587&gt;0,"P","")</f>
        <v/>
      </c>
      <c r="B587" s="1324" t="str">
        <f>IF(LEN('11.600'!H290)=0,"",'11.600'!H290)</f>
        <v/>
      </c>
      <c r="C587" s="1280" t="str">
        <f t="shared" si="14"/>
        <v/>
      </c>
      <c r="D587" s="136" t="s">
        <v>3567</v>
      </c>
      <c r="E587" s="85"/>
      <c r="F587" s="85"/>
      <c r="G587" s="1631" t="s">
        <v>3603</v>
      </c>
      <c r="H587" s="1326"/>
      <c r="I587" s="88">
        <f>'11.600'!O290</f>
        <v>0</v>
      </c>
      <c r="J587" s="1779" t="s">
        <v>3138</v>
      </c>
    </row>
    <row r="588" spans="1:10" x14ac:dyDescent="0.2">
      <c r="A588" s="467" t="str">
        <f>A587</f>
        <v/>
      </c>
      <c r="B588" s="1324" t="str">
        <f>IF(LEN('11.600'!H291)=0,"",'11.600'!H291)</f>
        <v/>
      </c>
      <c r="C588" s="1280" t="str">
        <f t="shared" si="14"/>
        <v/>
      </c>
      <c r="D588" s="136"/>
      <c r="E588" s="85"/>
      <c r="F588" s="85"/>
      <c r="G588" s="1631"/>
      <c r="H588" s="1341" t="str">
        <f>IF(LEN('11.600'!W291)=0,"",'11.600'!W291)</f>
        <v/>
      </c>
      <c r="J588" s="1779"/>
    </row>
    <row r="589" spans="1:10" x14ac:dyDescent="0.2">
      <c r="B589" s="1324" t="str">
        <f>IF(LEN('11.600'!H292)=0,"",'11.600'!H292)</f>
        <v/>
      </c>
      <c r="C589" s="1280" t="str">
        <f t="shared" si="14"/>
        <v/>
      </c>
      <c r="D589" s="136"/>
      <c r="E589" s="85"/>
      <c r="F589" s="85"/>
      <c r="G589" s="1337" t="s">
        <v>2614</v>
      </c>
      <c r="H589" s="1326"/>
      <c r="J589" s="1312"/>
    </row>
    <row r="590" spans="1:10" x14ac:dyDescent="0.2">
      <c r="B590" s="1324" t="str">
        <f>IF(LEN('11.600'!H293)=0,"",'11.600'!H293)</f>
        <v/>
      </c>
      <c r="C590" s="1280" t="str">
        <f t="shared" si="14"/>
        <v/>
      </c>
      <c r="D590" s="136"/>
      <c r="E590" s="85"/>
      <c r="F590" s="85"/>
      <c r="G590" s="1346" t="s">
        <v>2612</v>
      </c>
      <c r="H590" s="1341" t="str">
        <f>IF(LEN('11.600'!W293)=0,"",'11.600'!W293)</f>
        <v/>
      </c>
      <c r="J590" s="1312"/>
    </row>
    <row r="591" spans="1:10" x14ac:dyDescent="0.2">
      <c r="B591" s="1324" t="str">
        <f>IF(LEN('11.600'!H294)=0,"",'11.600'!H294)</f>
        <v/>
      </c>
      <c r="C591" s="1280" t="str">
        <f t="shared" si="14"/>
        <v/>
      </c>
      <c r="D591" s="136"/>
      <c r="E591" s="85"/>
      <c r="F591" s="85"/>
      <c r="G591" s="1782" t="s">
        <v>2613</v>
      </c>
      <c r="H591" s="1326"/>
      <c r="J591" s="1312"/>
    </row>
    <row r="592" spans="1:10" x14ac:dyDescent="0.2">
      <c r="B592" s="1324" t="str">
        <f>IF(LEN('11.600'!H295)=0,"",'11.600'!H295)</f>
        <v/>
      </c>
      <c r="C592" s="1280" t="str">
        <f t="shared" si="14"/>
        <v/>
      </c>
      <c r="D592" s="136"/>
      <c r="E592" s="85"/>
      <c r="F592" s="85"/>
      <c r="G592" s="1782"/>
      <c r="H592" s="1341" t="str">
        <f>IF(LEN('11.600'!W295)=0,"",'11.600'!W295)</f>
        <v/>
      </c>
      <c r="J592" s="1312"/>
    </row>
    <row r="593" spans="1:10" x14ac:dyDescent="0.2">
      <c r="B593" s="1324" t="str">
        <f>IF(LEN('11.600'!H296)=0,"",'11.600'!H296)</f>
        <v/>
      </c>
      <c r="C593" s="1280" t="str">
        <f t="shared" si="14"/>
        <v/>
      </c>
      <c r="D593" s="136"/>
      <c r="E593" s="85"/>
      <c r="F593" s="85"/>
      <c r="G593" s="1280"/>
      <c r="H593" s="1326"/>
      <c r="J593" s="1312"/>
    </row>
    <row r="594" spans="1:10" x14ac:dyDescent="0.2">
      <c r="B594" s="1324" t="str">
        <f>IF(LEN('11.600'!H297)=0,"",'11.600'!H297)</f>
        <v/>
      </c>
      <c r="C594" s="1280" t="str">
        <f t="shared" si="14"/>
        <v/>
      </c>
      <c r="D594" s="136"/>
      <c r="E594" s="85"/>
      <c r="F594" s="85"/>
      <c r="G594" s="1280"/>
      <c r="H594" s="1341" t="str">
        <f>IF(LEN('11.600'!W297)=0,"",'11.600'!W297)</f>
        <v/>
      </c>
      <c r="J594" s="1312"/>
    </row>
    <row r="595" spans="1:10" ht="19" x14ac:dyDescent="0.25">
      <c r="A595" s="467" t="s">
        <v>3200</v>
      </c>
      <c r="B595" s="1324" t="str">
        <f>IF(LEN('11.600'!H298)=0,"",'11.600'!H298)</f>
        <v/>
      </c>
      <c r="C595" s="1280" t="str">
        <f t="shared" si="14"/>
        <v>P</v>
      </c>
      <c r="D595" s="72" t="s">
        <v>3568</v>
      </c>
      <c r="E595" s="84"/>
      <c r="F595" s="84"/>
      <c r="G595" s="72"/>
      <c r="H595" s="994"/>
      <c r="I595" s="25"/>
      <c r="J595" s="25"/>
    </row>
    <row r="596" spans="1:10" ht="16" thickBot="1" x14ac:dyDescent="0.25">
      <c r="B596" s="1324" t="str">
        <f>IF(LEN('11.600'!H299)=0,"",'11.600'!H299)</f>
        <v/>
      </c>
      <c r="C596" s="1280" t="str">
        <f t="shared" si="14"/>
        <v/>
      </c>
      <c r="D596" s="589" t="s">
        <v>3569</v>
      </c>
      <c r="E596" s="85"/>
      <c r="F596" s="85"/>
      <c r="G596" s="1282" t="s">
        <v>3985</v>
      </c>
      <c r="H596" s="1326"/>
      <c r="J596" s="1312"/>
    </row>
    <row r="597" spans="1:10" ht="16" thickTop="1" x14ac:dyDescent="0.2">
      <c r="B597" s="1324" t="str">
        <f>IF(LEN('11.600'!H300)=0,"",'11.600'!H300)</f>
        <v/>
      </c>
      <c r="C597" s="1280" t="str">
        <f t="shared" si="14"/>
        <v/>
      </c>
      <c r="D597" s="603" t="s">
        <v>3570</v>
      </c>
      <c r="E597" s="179"/>
      <c r="F597" s="179"/>
      <c r="G597" s="1683" t="s">
        <v>3827</v>
      </c>
      <c r="H597" s="1341" t="b">
        <f>IF(LEN('11.600'!W300)=0,"",'11.600'!W300)</f>
        <v>1</v>
      </c>
      <c r="J597" s="1312"/>
    </row>
    <row r="598" spans="1:10" x14ac:dyDescent="0.2">
      <c r="B598" s="1324" t="str">
        <f>IF(LEN('11.600'!H301)=0,"",'11.600'!H301)</f>
        <v/>
      </c>
      <c r="C598" s="1280" t="str">
        <f t="shared" si="14"/>
        <v/>
      </c>
      <c r="D598" s="102"/>
      <c r="E598" s="97"/>
      <c r="F598" s="97"/>
      <c r="G598" s="1629"/>
      <c r="H598" s="1326"/>
      <c r="J598" s="1312"/>
    </row>
    <row r="599" spans="1:10" ht="16" thickBot="1" x14ac:dyDescent="0.25">
      <c r="B599" s="1324" t="str">
        <f>IF(LEN('11.600'!H302)=0,"",'11.600'!H302)</f>
        <v/>
      </c>
      <c r="C599" s="1280" t="str">
        <f t="shared" si="14"/>
        <v/>
      </c>
      <c r="D599" s="102"/>
      <c r="E599" s="97"/>
      <c r="F599" s="97"/>
      <c r="G599" s="1630"/>
      <c r="H599" s="1326"/>
      <c r="J599" s="1312"/>
    </row>
    <row r="600" spans="1:10" ht="16" thickTop="1" x14ac:dyDescent="0.2">
      <c r="A600" s="467" t="str">
        <f>IF(I600&gt;0,"P","")</f>
        <v/>
      </c>
      <c r="B600" s="1324" t="str">
        <f>IF(LEN('11.600'!H303)=0,"",'11.600'!H303)</f>
        <v/>
      </c>
      <c r="C600" s="1280" t="str">
        <f t="shared" si="14"/>
        <v/>
      </c>
      <c r="D600" s="107" t="s">
        <v>3571</v>
      </c>
      <c r="E600" s="179"/>
      <c r="F600" s="179"/>
      <c r="G600" s="1683" t="s">
        <v>3987</v>
      </c>
      <c r="H600" s="1341" t="str">
        <f>IF(LEN('11.600'!W303)=0,"",'11.600'!W303)</f>
        <v/>
      </c>
      <c r="I600" s="88">
        <f>'11.600'!O303</f>
        <v>0</v>
      </c>
      <c r="J600" s="1779" t="s">
        <v>3139</v>
      </c>
    </row>
    <row r="601" spans="1:10" x14ac:dyDescent="0.2">
      <c r="A601" s="467" t="str">
        <f t="shared" ref="A601:A605" si="15">A600</f>
        <v/>
      </c>
      <c r="B601" s="1324" t="str">
        <f>IF(LEN('11.600'!H304)=0,"",'11.600'!H304)</f>
        <v/>
      </c>
      <c r="C601" s="1280" t="str">
        <f t="shared" si="14"/>
        <v/>
      </c>
      <c r="D601" s="102"/>
      <c r="E601" s="97"/>
      <c r="F601" s="97"/>
      <c r="G601" s="1629"/>
      <c r="H601" s="1326"/>
      <c r="J601" s="1779"/>
    </row>
    <row r="602" spans="1:10" x14ac:dyDescent="0.2">
      <c r="A602" s="467" t="str">
        <f t="shared" si="15"/>
        <v/>
      </c>
      <c r="B602" s="1324" t="str">
        <f>IF(LEN('11.600'!H305)=0,"",'11.600'!H305)</f>
        <v/>
      </c>
      <c r="C602" s="1280" t="str">
        <f t="shared" si="14"/>
        <v/>
      </c>
      <c r="D602" s="102"/>
      <c r="E602" s="97"/>
      <c r="F602" s="97"/>
      <c r="G602" s="1629"/>
      <c r="H602" s="1326"/>
      <c r="J602" s="1779"/>
    </row>
    <row r="603" spans="1:10" x14ac:dyDescent="0.2">
      <c r="A603" s="467" t="str">
        <f t="shared" si="15"/>
        <v/>
      </c>
      <c r="B603" s="1324" t="str">
        <f>IF(LEN('11.600'!H306)=0,"",'11.600'!H306)</f>
        <v/>
      </c>
      <c r="C603" s="1280" t="str">
        <f t="shared" si="14"/>
        <v/>
      </c>
      <c r="D603" s="102"/>
      <c r="E603" s="97"/>
      <c r="F603" s="97"/>
      <c r="G603" s="1629"/>
      <c r="H603" s="1326"/>
      <c r="J603" s="1779"/>
    </row>
    <row r="604" spans="1:10" x14ac:dyDescent="0.2">
      <c r="A604" s="467" t="str">
        <f t="shared" si="15"/>
        <v/>
      </c>
      <c r="B604" s="1324" t="str">
        <f>IF(LEN('11.600'!H307)=0,"",'11.600'!H307)</f>
        <v/>
      </c>
      <c r="C604" s="1280" t="str">
        <f t="shared" si="14"/>
        <v/>
      </c>
      <c r="D604" s="102"/>
      <c r="E604" s="97"/>
      <c r="F604" s="97"/>
      <c r="G604" s="1629"/>
      <c r="H604" s="1326"/>
      <c r="J604" s="1779"/>
    </row>
    <row r="605" spans="1:10" x14ac:dyDescent="0.2">
      <c r="A605" s="467" t="str">
        <f t="shared" si="15"/>
        <v/>
      </c>
      <c r="B605" s="1324" t="str">
        <f>IF(LEN('11.600'!H308)=0,"",'11.600'!H308)</f>
        <v/>
      </c>
      <c r="C605" s="1280" t="str">
        <f t="shared" si="14"/>
        <v/>
      </c>
      <c r="D605" s="102"/>
      <c r="E605" s="97"/>
      <c r="F605" s="97"/>
      <c r="G605" s="1629"/>
      <c r="H605" s="1326"/>
      <c r="J605" s="1779"/>
    </row>
    <row r="606" spans="1:10" x14ac:dyDescent="0.2">
      <c r="B606" s="1324" t="str">
        <f>IF(LEN('11.600'!H309)=0,"",'11.600'!H309)</f>
        <v/>
      </c>
      <c r="C606" s="1280" t="str">
        <f t="shared" si="14"/>
        <v/>
      </c>
      <c r="D606" s="102"/>
      <c r="E606" s="97"/>
      <c r="F606" s="97"/>
      <c r="G606" s="1609" t="s">
        <v>3988</v>
      </c>
      <c r="H606" s="1326"/>
      <c r="J606" s="1312"/>
    </row>
    <row r="607" spans="1:10" x14ac:dyDescent="0.2">
      <c r="B607" s="1324" t="str">
        <f>IF(LEN('11.600'!H310)=0,"",'11.600'!H310)</f>
        <v/>
      </c>
      <c r="C607" s="1280" t="str">
        <f t="shared" si="14"/>
        <v/>
      </c>
      <c r="D607" s="102"/>
      <c r="E607" s="97"/>
      <c r="F607" s="97"/>
      <c r="G607" s="1609"/>
      <c r="H607" s="1326"/>
      <c r="J607" s="1312"/>
    </row>
    <row r="608" spans="1:10" x14ac:dyDescent="0.2">
      <c r="B608" s="1324" t="str">
        <f>IF(LEN('11.600'!H311)=0,"",'11.600'!H311)</f>
        <v/>
      </c>
      <c r="C608" s="1280" t="str">
        <f t="shared" si="14"/>
        <v/>
      </c>
      <c r="D608" s="102"/>
      <c r="E608" s="97"/>
      <c r="F608" s="97"/>
      <c r="G608" s="1609"/>
      <c r="H608" s="1326"/>
      <c r="J608" s="1312"/>
    </row>
    <row r="609" spans="1:10" x14ac:dyDescent="0.2">
      <c r="B609" s="1324" t="str">
        <f>IF(LEN('11.600'!H312)=0,"",'11.600'!H312)</f>
        <v/>
      </c>
      <c r="C609" s="1280" t="str">
        <f t="shared" si="14"/>
        <v/>
      </c>
      <c r="D609" s="102"/>
      <c r="E609" s="97"/>
      <c r="F609" s="97"/>
      <c r="G609" s="1609"/>
      <c r="H609" s="1326"/>
      <c r="J609" s="1312"/>
    </row>
    <row r="610" spans="1:10" x14ac:dyDescent="0.2">
      <c r="B610" s="1324" t="str">
        <f>IF(LEN('11.600'!H313)=0,"",'11.600'!H313)</f>
        <v/>
      </c>
      <c r="C610" s="1280" t="str">
        <f t="shared" si="14"/>
        <v/>
      </c>
      <c r="D610" s="102"/>
      <c r="E610" s="97"/>
      <c r="F610" s="97"/>
      <c r="G610" s="1306" t="s">
        <v>543</v>
      </c>
      <c r="H610" s="1326"/>
      <c r="J610" s="1312"/>
    </row>
    <row r="611" spans="1:10" x14ac:dyDescent="0.2">
      <c r="B611" s="1324" t="str">
        <f>IF(LEN('11.600'!H314)=0,"",'11.600'!H314)</f>
        <v/>
      </c>
      <c r="C611" s="1280" t="str">
        <f t="shared" si="14"/>
        <v/>
      </c>
      <c r="D611" s="102"/>
      <c r="E611" s="93" t="s">
        <v>254</v>
      </c>
      <c r="F611" s="97"/>
      <c r="G611" s="1609" t="s">
        <v>3989</v>
      </c>
      <c r="H611" s="1326"/>
      <c r="J611" s="1312"/>
    </row>
    <row r="612" spans="1:10" x14ac:dyDescent="0.2">
      <c r="B612" s="1324" t="str">
        <f>IF(LEN('11.600'!H315)=0,"",'11.600'!H315)</f>
        <v/>
      </c>
      <c r="C612" s="1280" t="str">
        <f t="shared" si="14"/>
        <v/>
      </c>
      <c r="D612" s="102"/>
      <c r="E612" s="97"/>
      <c r="F612" s="97"/>
      <c r="G612" s="1609"/>
      <c r="H612" s="1326"/>
      <c r="J612" s="1312"/>
    </row>
    <row r="613" spans="1:10" x14ac:dyDescent="0.2">
      <c r="B613" s="1324" t="str">
        <f>IF(LEN('11.600'!H316)=0,"",'11.600'!H316)</f>
        <v/>
      </c>
      <c r="C613" s="1280" t="str">
        <f t="shared" si="14"/>
        <v/>
      </c>
      <c r="D613" s="102"/>
      <c r="E613" s="93" t="s">
        <v>255</v>
      </c>
      <c r="F613" s="97"/>
      <c r="G613" s="1609" t="s">
        <v>544</v>
      </c>
      <c r="H613" s="1341" t="str">
        <f>IF(LEN('11.600'!W316)=0,"",'11.600'!W316)</f>
        <v/>
      </c>
      <c r="J613" s="1312"/>
    </row>
    <row r="614" spans="1:10" ht="16" thickBot="1" x14ac:dyDescent="0.25">
      <c r="B614" s="1324" t="str">
        <f>IF(LEN('11.600'!H317)=0,"",'11.600'!H317)</f>
        <v/>
      </c>
      <c r="C614" s="1280" t="str">
        <f t="shared" si="14"/>
        <v/>
      </c>
      <c r="D614" s="102"/>
      <c r="E614" s="97"/>
      <c r="F614" s="97"/>
      <c r="G614" s="1609"/>
      <c r="H614" s="1326"/>
      <c r="J614" s="1312"/>
    </row>
    <row r="615" spans="1:10" ht="16" thickTop="1" x14ac:dyDescent="0.2">
      <c r="A615" s="467" t="str">
        <f>IF(I615&gt;0,"P","")</f>
        <v/>
      </c>
      <c r="B615" s="1324" t="str">
        <f>IF(LEN('11.600'!H318)=0,"",'11.600'!H318)</f>
        <v/>
      </c>
      <c r="C615" s="1280" t="str">
        <f t="shared" si="14"/>
        <v/>
      </c>
      <c r="D615" s="107" t="s">
        <v>3572</v>
      </c>
      <c r="E615" s="179"/>
      <c r="F615" s="179"/>
      <c r="G615" s="1683" t="s">
        <v>3826</v>
      </c>
      <c r="H615" s="1341" t="str">
        <f>IF(LEN('11.600'!W318)=0,"",'11.600'!W318)</f>
        <v/>
      </c>
      <c r="I615" s="88">
        <f>'11.600'!O318</f>
        <v>0</v>
      </c>
      <c r="J615" s="1779" t="s">
        <v>3140</v>
      </c>
    </row>
    <row r="616" spans="1:10" x14ac:dyDescent="0.2">
      <c r="A616" s="467" t="str">
        <f>A615</f>
        <v/>
      </c>
      <c r="B616" s="1324" t="str">
        <f>IF(LEN('11.600'!H319)=0,"",'11.600'!H319)</f>
        <v/>
      </c>
      <c r="C616" s="1280" t="str">
        <f t="shared" si="14"/>
        <v/>
      </c>
      <c r="D616" s="102"/>
      <c r="E616" s="97"/>
      <c r="F616" s="97"/>
      <c r="G616" s="1629"/>
      <c r="H616" s="1326"/>
      <c r="J616" s="1779"/>
    </row>
    <row r="617" spans="1:10" x14ac:dyDescent="0.2">
      <c r="B617" s="1324" t="str">
        <f>IF(LEN('11.600'!H320)=0,"",'11.600'!H320)</f>
        <v/>
      </c>
      <c r="C617" s="1280" t="str">
        <f t="shared" si="14"/>
        <v/>
      </c>
      <c r="D617" s="102"/>
      <c r="E617" s="97"/>
      <c r="F617" s="93" t="s">
        <v>121</v>
      </c>
      <c r="G617" s="1609" t="s">
        <v>545</v>
      </c>
      <c r="H617" s="1326"/>
      <c r="J617" s="1312"/>
    </row>
    <row r="618" spans="1:10" x14ac:dyDescent="0.2">
      <c r="B618" s="1324" t="str">
        <f>IF(LEN('11.600'!H321)=0,"",'11.600'!H321)</f>
        <v/>
      </c>
      <c r="C618" s="1280" t="str">
        <f t="shared" si="14"/>
        <v/>
      </c>
      <c r="D618" s="102"/>
      <c r="E618" s="97"/>
      <c r="F618" s="97"/>
      <c r="G618" s="1609"/>
      <c r="H618" s="1326"/>
      <c r="J618" s="1312"/>
    </row>
    <row r="619" spans="1:10" x14ac:dyDescent="0.2">
      <c r="B619" s="1324" t="str">
        <f>IF(LEN('11.600'!H322)=0,"",'11.600'!H322)</f>
        <v/>
      </c>
      <c r="C619" s="1280" t="str">
        <f t="shared" si="14"/>
        <v/>
      </c>
      <c r="D619" s="102"/>
      <c r="E619" s="97"/>
      <c r="F619" s="170"/>
      <c r="G619" s="1612"/>
      <c r="H619" s="1326"/>
      <c r="J619" s="1312"/>
    </row>
    <row r="620" spans="1:10" x14ac:dyDescent="0.2">
      <c r="B620" s="1324" t="str">
        <f>IF(LEN('11.600'!H323)=0,"",'11.600'!H323)</f>
        <v/>
      </c>
      <c r="C620" s="1280" t="str">
        <f t="shared" si="14"/>
        <v/>
      </c>
      <c r="D620" s="102"/>
      <c r="E620" s="97"/>
      <c r="F620" s="216" t="s">
        <v>122</v>
      </c>
      <c r="G620" s="210" t="s">
        <v>546</v>
      </c>
      <c r="H620" s="1326"/>
      <c r="J620" s="1312"/>
    </row>
    <row r="621" spans="1:10" x14ac:dyDescent="0.2">
      <c r="B621" s="1324" t="str">
        <f>IF(LEN('11.600'!H324)=0,"",'11.600'!H324)</f>
        <v/>
      </c>
      <c r="C621" s="1280" t="str">
        <f t="shared" si="14"/>
        <v/>
      </c>
      <c r="D621" s="102"/>
      <c r="E621" s="97"/>
      <c r="F621" s="111" t="s">
        <v>123</v>
      </c>
      <c r="G621" s="1609" t="s">
        <v>3829</v>
      </c>
      <c r="H621" s="1326"/>
      <c r="J621" s="1312"/>
    </row>
    <row r="622" spans="1:10" x14ac:dyDescent="0.2">
      <c r="B622" s="1324" t="str">
        <f>IF(LEN('11.600'!H325)=0,"",'11.600'!H325)</f>
        <v/>
      </c>
      <c r="C622" s="1280" t="str">
        <f t="shared" si="14"/>
        <v/>
      </c>
      <c r="D622" s="102"/>
      <c r="E622" s="97"/>
      <c r="F622" s="187"/>
      <c r="G622" s="1609"/>
      <c r="H622" s="1326"/>
      <c r="J622" s="1312"/>
    </row>
    <row r="623" spans="1:10" ht="16" thickBot="1" x14ac:dyDescent="0.25">
      <c r="B623" s="1324" t="str">
        <f>IF(LEN('11.600'!H326)=0,"",'11.600'!H326)</f>
        <v/>
      </c>
      <c r="C623" s="1280" t="str">
        <f t="shared" si="14"/>
        <v/>
      </c>
      <c r="D623" s="102"/>
      <c r="E623" s="97"/>
      <c r="F623" s="97"/>
      <c r="G623" s="1609"/>
      <c r="H623" s="1326"/>
      <c r="J623" s="1312"/>
    </row>
    <row r="624" spans="1:10" ht="16" thickTop="1" x14ac:dyDescent="0.2">
      <c r="A624" s="467" t="str">
        <f>IF(I624&gt;0,"P","")</f>
        <v/>
      </c>
      <c r="B624" s="1324" t="str">
        <f>IF(LEN('11.600'!H327)=0,"",'11.600'!H327)</f>
        <v/>
      </c>
      <c r="C624" s="1280" t="str">
        <f t="shared" si="14"/>
        <v/>
      </c>
      <c r="D624" s="107" t="s">
        <v>3824</v>
      </c>
      <c r="E624" s="179"/>
      <c r="F624" s="179"/>
      <c r="G624" s="1683" t="s">
        <v>3825</v>
      </c>
      <c r="H624" s="1326"/>
      <c r="I624" s="88">
        <f>'11.600'!O327</f>
        <v>0</v>
      </c>
      <c r="J624" s="1779" t="s">
        <v>3141</v>
      </c>
    </row>
    <row r="625" spans="1:10" x14ac:dyDescent="0.2">
      <c r="A625" s="467" t="str">
        <f>A624</f>
        <v/>
      </c>
      <c r="B625" s="1324" t="str">
        <f>IF(LEN('11.600'!H328)=0,"",'11.600'!H328)</f>
        <v/>
      </c>
      <c r="C625" s="1280" t="str">
        <f t="shared" si="14"/>
        <v/>
      </c>
      <c r="D625" s="102"/>
      <c r="E625" s="97"/>
      <c r="F625" s="97"/>
      <c r="G625" s="1629"/>
      <c r="H625" s="1326"/>
      <c r="J625" s="1779"/>
    </row>
    <row r="626" spans="1:10" x14ac:dyDescent="0.2">
      <c r="B626" s="1324" t="str">
        <f>IF(LEN('11.600'!H329)=0,"",'11.600'!H329)</f>
        <v/>
      </c>
      <c r="C626" s="1280" t="str">
        <f t="shared" si="14"/>
        <v/>
      </c>
      <c r="D626" s="136"/>
      <c r="E626" s="169" t="s">
        <v>254</v>
      </c>
      <c r="F626" s="170"/>
      <c r="G626" s="170" t="s">
        <v>548</v>
      </c>
      <c r="H626" s="1326"/>
      <c r="J626" s="1312"/>
    </row>
    <row r="627" spans="1:10" x14ac:dyDescent="0.2">
      <c r="B627" s="1324" t="str">
        <f>IF(LEN('11.600'!H330)=0,"",'11.600'!H330)</f>
        <v/>
      </c>
      <c r="C627" s="1280" t="str">
        <f t="shared" si="14"/>
        <v/>
      </c>
      <c r="D627" s="136"/>
      <c r="E627" s="89" t="s">
        <v>255</v>
      </c>
      <c r="F627" s="85"/>
      <c r="G627" s="85" t="s">
        <v>549</v>
      </c>
      <c r="H627" s="1326"/>
      <c r="J627" s="1312"/>
    </row>
    <row r="628" spans="1:10" x14ac:dyDescent="0.2">
      <c r="B628" s="1324" t="str">
        <f>IF(LEN('11.600'!H331)=0,"",'11.600'!H331)</f>
        <v/>
      </c>
      <c r="C628" s="1280" t="str">
        <f t="shared" si="14"/>
        <v/>
      </c>
      <c r="D628" s="136"/>
      <c r="E628" s="85"/>
      <c r="F628" s="169" t="s">
        <v>121</v>
      </c>
      <c r="G628" s="170" t="s">
        <v>2615</v>
      </c>
      <c r="H628" s="1341" t="str">
        <f>IF(LEN('11.600'!W331)=0,"",'11.600'!W331)</f>
        <v/>
      </c>
      <c r="J628" s="1312"/>
    </row>
    <row r="629" spans="1:10" x14ac:dyDescent="0.2">
      <c r="B629" s="1324" t="str">
        <f>IF(LEN('11.600'!H332)=0,"",'11.600'!H332)</f>
        <v/>
      </c>
      <c r="C629" s="1280" t="str">
        <f t="shared" si="14"/>
        <v/>
      </c>
      <c r="D629" s="136"/>
      <c r="E629" s="85"/>
      <c r="F629" s="216" t="s">
        <v>122</v>
      </c>
      <c r="G629" s="210" t="s">
        <v>2616</v>
      </c>
      <c r="H629" s="1341" t="str">
        <f>IF(LEN('11.600'!W332)=0,"",'11.600'!W332)</f>
        <v/>
      </c>
      <c r="J629" s="1312"/>
    </row>
    <row r="630" spans="1:10" x14ac:dyDescent="0.2">
      <c r="B630" s="1324" t="str">
        <f>IF(LEN('11.600'!H333)=0,"",'11.600'!H333)</f>
        <v/>
      </c>
      <c r="C630" s="1280" t="str">
        <f t="shared" si="14"/>
        <v/>
      </c>
      <c r="D630" s="136"/>
      <c r="E630" s="85"/>
      <c r="F630" s="222" t="s">
        <v>123</v>
      </c>
      <c r="G630" s="210" t="s">
        <v>2617</v>
      </c>
      <c r="H630" s="1341" t="str">
        <f>IF(LEN('11.600'!W333)=0,"",'11.600'!W333)</f>
        <v/>
      </c>
      <c r="J630" s="1312"/>
    </row>
    <row r="631" spans="1:10" x14ac:dyDescent="0.2">
      <c r="B631" s="1324" t="str">
        <f>IF(LEN('11.600'!H334)=0,"",'11.600'!H334)</f>
        <v/>
      </c>
      <c r="C631" s="1280" t="str">
        <f t="shared" si="14"/>
        <v/>
      </c>
      <c r="D631" s="136"/>
      <c r="E631" s="85"/>
      <c r="F631" s="223" t="s">
        <v>366</v>
      </c>
      <c r="G631" s="210" t="s">
        <v>2618</v>
      </c>
      <c r="H631" s="1341" t="str">
        <f>IF(LEN('11.600'!W334)=0,"",'11.600'!W334)</f>
        <v/>
      </c>
      <c r="J631" s="1312"/>
    </row>
    <row r="632" spans="1:10" x14ac:dyDescent="0.2">
      <c r="B632" s="1324" t="str">
        <f>IF(LEN('11.600'!H335)=0,"",'11.600'!H335)</f>
        <v/>
      </c>
      <c r="C632" s="1280" t="str">
        <f t="shared" si="14"/>
        <v/>
      </c>
      <c r="D632" s="136"/>
      <c r="E632" s="85"/>
      <c r="F632" s="216" t="s">
        <v>472</v>
      </c>
      <c r="G632" s="210" t="s">
        <v>2619</v>
      </c>
      <c r="H632" s="1341" t="str">
        <f>IF(LEN('11.600'!W335)=0,"",'11.600'!W335)</f>
        <v/>
      </c>
      <c r="J632" s="1312"/>
    </row>
    <row r="633" spans="1:10" x14ac:dyDescent="0.2">
      <c r="B633" s="1324" t="str">
        <f>IF(LEN('11.600'!H336)=0,"",'11.600'!H336)</f>
        <v/>
      </c>
      <c r="C633" s="1280" t="str">
        <f t="shared" si="14"/>
        <v/>
      </c>
      <c r="D633" s="136"/>
      <c r="E633" s="85"/>
      <c r="F633" s="216" t="s">
        <v>510</v>
      </c>
      <c r="G633" s="210" t="s">
        <v>2620</v>
      </c>
      <c r="H633" s="1341" t="str">
        <f>IF(LEN('11.600'!W336)=0,"",'11.600'!W336)</f>
        <v/>
      </c>
      <c r="J633" s="1312"/>
    </row>
    <row r="634" spans="1:10" x14ac:dyDescent="0.2">
      <c r="B634" s="1324" t="str">
        <f>IF(LEN('11.600'!H337)=0,"",'11.600'!H337)</f>
        <v/>
      </c>
      <c r="C634" s="1280" t="str">
        <f t="shared" si="14"/>
        <v/>
      </c>
      <c r="D634" s="136"/>
      <c r="E634" s="85"/>
      <c r="F634" s="222" t="s">
        <v>512</v>
      </c>
      <c r="G634" s="210" t="s">
        <v>2621</v>
      </c>
      <c r="H634" s="1341" t="str">
        <f>IF(LEN('11.600'!W337)=0,"",'11.600'!W337)</f>
        <v/>
      </c>
      <c r="J634" s="1312"/>
    </row>
    <row r="635" spans="1:10" x14ac:dyDescent="0.2">
      <c r="B635" s="1324" t="str">
        <f>IF(LEN('11.600'!H338)=0,"",'11.600'!H338)</f>
        <v/>
      </c>
      <c r="C635" s="1280" t="str">
        <f t="shared" si="14"/>
        <v/>
      </c>
      <c r="D635" s="136"/>
      <c r="E635" s="88"/>
      <c r="F635" s="223" t="s">
        <v>514</v>
      </c>
      <c r="G635" s="210" t="s">
        <v>2622</v>
      </c>
      <c r="H635" s="1341" t="str">
        <f>IF(LEN('11.600'!W338)=0,"",'11.600'!W338)</f>
        <v/>
      </c>
      <c r="J635" s="1312"/>
    </row>
    <row r="636" spans="1:10" x14ac:dyDescent="0.2">
      <c r="B636" s="1324" t="str">
        <f>IF(LEN('11.600'!H339)=0,"",'11.600'!H339)</f>
        <v/>
      </c>
      <c r="C636" s="1280" t="str">
        <f t="shared" si="14"/>
        <v/>
      </c>
      <c r="D636" s="136"/>
      <c r="E636" s="88"/>
      <c r="F636" s="87" t="s">
        <v>648</v>
      </c>
      <c r="G636" s="85" t="s">
        <v>2622</v>
      </c>
      <c r="H636" s="1341" t="str">
        <f>IF(LEN('11.600'!W339)=0,"",'11.600'!W339)</f>
        <v/>
      </c>
      <c r="J636" s="1312"/>
    </row>
    <row r="637" spans="1:10" x14ac:dyDescent="0.2">
      <c r="B637" s="1324" t="str">
        <f>IF(LEN('11.600'!H340)=0,"",'11.600'!H340)</f>
        <v/>
      </c>
      <c r="C637" s="1280" t="str">
        <f t="shared" si="14"/>
        <v/>
      </c>
      <c r="D637" s="136"/>
      <c r="E637" s="88"/>
      <c r="F637" s="87"/>
      <c r="G637" s="1337" t="s">
        <v>2623</v>
      </c>
      <c r="H637" s="1326"/>
      <c r="J637" s="1312"/>
    </row>
    <row r="638" spans="1:10" ht="19" x14ac:dyDescent="0.25">
      <c r="A638" s="467" t="s">
        <v>3200</v>
      </c>
      <c r="B638" s="1324" t="str">
        <f>IF(LEN('11.600'!H341)=0,"",'11.600'!H341)</f>
        <v/>
      </c>
      <c r="C638" s="1280" t="str">
        <f t="shared" si="14"/>
        <v>P</v>
      </c>
      <c r="D638" s="72" t="s">
        <v>3573</v>
      </c>
      <c r="E638" s="84"/>
      <c r="F638" s="84"/>
      <c r="G638" s="81"/>
      <c r="H638" s="994"/>
      <c r="I638" s="25"/>
      <c r="J638" s="25"/>
    </row>
    <row r="639" spans="1:10" ht="16" thickBot="1" x14ac:dyDescent="0.25">
      <c r="B639" s="1324" t="str">
        <f>IF(LEN('11.600'!H342)=0,"",'11.600'!H342)</f>
        <v/>
      </c>
      <c r="C639" s="1280" t="str">
        <f t="shared" si="14"/>
        <v/>
      </c>
      <c r="D639" s="589" t="s">
        <v>3574</v>
      </c>
      <c r="E639" s="85"/>
      <c r="F639" s="85"/>
      <c r="G639" s="87" t="s">
        <v>3602</v>
      </c>
      <c r="H639" s="1326"/>
      <c r="J639" s="1312"/>
    </row>
    <row r="640" spans="1:10" ht="31" thickTop="1" x14ac:dyDescent="0.2">
      <c r="A640" s="467" t="str">
        <f ca="1">IF(I640&gt;0,"P","")</f>
        <v/>
      </c>
      <c r="B640" s="1324" t="str">
        <f>IF(LEN('11.600'!H343)=0,"",'11.600'!H343)</f>
        <v/>
      </c>
      <c r="C640" s="1280" t="str">
        <f t="shared" ca="1" si="14"/>
        <v/>
      </c>
      <c r="D640" s="107" t="s">
        <v>3575</v>
      </c>
      <c r="E640" s="179"/>
      <c r="F640" s="179"/>
      <c r="G640" s="125" t="s">
        <v>3601</v>
      </c>
      <c r="H640" s="1326"/>
      <c r="I640" s="88">
        <f ca="1">'11.600'!O343</f>
        <v>0</v>
      </c>
      <c r="J640" s="1312" t="s">
        <v>3142</v>
      </c>
    </row>
    <row r="641" spans="2:10" x14ac:dyDescent="0.2">
      <c r="B641" s="1324" t="str">
        <f>IF(LEN('11.600'!H344)=0,"",'11.600'!H344)</f>
        <v/>
      </c>
      <c r="C641" s="1280" t="str">
        <f t="shared" si="14"/>
        <v/>
      </c>
      <c r="D641" s="102"/>
      <c r="E641" s="97"/>
      <c r="F641" s="93" t="s">
        <v>121</v>
      </c>
      <c r="G641" s="97" t="s">
        <v>3813</v>
      </c>
      <c r="H641" s="1341" t="str">
        <f>IF(LEN('11.600'!W344)=0,"",'11.600'!W344)</f>
        <v/>
      </c>
      <c r="J641" s="1312"/>
    </row>
    <row r="642" spans="2:10" x14ac:dyDescent="0.2">
      <c r="B642" s="1324" t="str">
        <f>IF(LEN('11.600'!H345)=0,"",'11.600'!H345)</f>
        <v/>
      </c>
      <c r="C642" s="1280" t="str">
        <f t="shared" si="14"/>
        <v/>
      </c>
      <c r="D642" s="102"/>
      <c r="E642" s="97"/>
      <c r="F642" s="93" t="s">
        <v>122</v>
      </c>
      <c r="G642" s="97" t="s">
        <v>550</v>
      </c>
      <c r="H642" s="1341" t="str">
        <f>IF(LEN('11.600'!W345)=0,"",'11.600'!W345)</f>
        <v/>
      </c>
      <c r="J642" s="1312"/>
    </row>
    <row r="643" spans="2:10" x14ac:dyDescent="0.2">
      <c r="B643" s="1324" t="str">
        <f>IF(LEN('11.600'!H346)=0,"",'11.600'!H346)</f>
        <v/>
      </c>
      <c r="C643" s="1280" t="str">
        <f t="shared" si="14"/>
        <v/>
      </c>
      <c r="D643" s="102"/>
      <c r="E643" s="97"/>
      <c r="F643" s="111" t="s">
        <v>123</v>
      </c>
      <c r="G643" s="97" t="s">
        <v>551</v>
      </c>
      <c r="H643" s="1341" t="str">
        <f>IF(LEN('11.600'!W346)=0,"",'11.600'!W346)</f>
        <v/>
      </c>
      <c r="J643" s="1312"/>
    </row>
    <row r="644" spans="2:10" x14ac:dyDescent="0.2">
      <c r="B644" s="1324" t="str">
        <f>IF(LEN('11.600'!H347)=0,"",'11.600'!H347)</f>
        <v/>
      </c>
      <c r="C644" s="1280" t="str">
        <f t="shared" si="14"/>
        <v/>
      </c>
      <c r="D644" s="102"/>
      <c r="E644" s="97"/>
      <c r="F644" s="187" t="s">
        <v>366</v>
      </c>
      <c r="G644" s="97" t="s">
        <v>552</v>
      </c>
      <c r="H644" s="1341" t="str">
        <f>IF(LEN('11.600'!W347)=0,"",'11.600'!W347)</f>
        <v/>
      </c>
      <c r="J644" s="1312"/>
    </row>
    <row r="645" spans="2:10" x14ac:dyDescent="0.2">
      <c r="B645" s="1324" t="str">
        <f>IF(LEN('11.600'!H348)=0,"",'11.600'!H348)</f>
        <v/>
      </c>
      <c r="C645" s="1280" t="str">
        <f t="shared" si="14"/>
        <v/>
      </c>
      <c r="D645" s="102"/>
      <c r="E645" s="97"/>
      <c r="F645" s="93" t="s">
        <v>472</v>
      </c>
      <c r="G645" s="97" t="s">
        <v>553</v>
      </c>
      <c r="H645" s="1341" t="str">
        <f>IF(LEN('11.600'!W348)=0,"",'11.600'!W348)</f>
        <v/>
      </c>
      <c r="J645" s="1312"/>
    </row>
    <row r="646" spans="2:10" x14ac:dyDescent="0.2">
      <c r="B646" s="1324" t="str">
        <f>IF(LEN('11.600'!H349)=0,"",'11.600'!H349)</f>
        <v/>
      </c>
      <c r="C646" s="1280" t="str">
        <f t="shared" si="14"/>
        <v/>
      </c>
      <c r="D646" s="102"/>
      <c r="E646" s="97"/>
      <c r="F646" s="93" t="s">
        <v>510</v>
      </c>
      <c r="G646" s="97" t="s">
        <v>554</v>
      </c>
      <c r="H646" s="1341" t="str">
        <f>IF(LEN('11.600'!W349)=0,"",'11.600'!W349)</f>
        <v/>
      </c>
      <c r="J646" s="1312"/>
    </row>
    <row r="647" spans="2:10" x14ac:dyDescent="0.2">
      <c r="B647" s="1324" t="str">
        <f>IF(LEN('11.600'!H350)=0,"",'11.600'!H350)</f>
        <v/>
      </c>
      <c r="C647" s="1280" t="str">
        <f t="shared" si="14"/>
        <v/>
      </c>
      <c r="D647" s="102"/>
      <c r="E647" s="97"/>
      <c r="F647" s="111" t="s">
        <v>512</v>
      </c>
      <c r="G647" s="97" t="s">
        <v>555</v>
      </c>
      <c r="H647" s="1341" t="str">
        <f>IF(LEN('11.600'!W350)=0,"",'11.600'!W350)</f>
        <v/>
      </c>
      <c r="J647" s="1312"/>
    </row>
    <row r="648" spans="2:10" x14ac:dyDescent="0.2">
      <c r="B648" s="1324" t="str">
        <f>IF(LEN('11.600'!H351)=0,"",'11.600'!H351)</f>
        <v/>
      </c>
      <c r="C648" s="1280" t="str">
        <f t="shared" ref="C648:C711" si="16">IF(LEN(B648)=0,IF(A648="P","P",""),B648)</f>
        <v/>
      </c>
      <c r="D648" s="102"/>
      <c r="E648" s="97"/>
      <c r="F648" s="187" t="s">
        <v>514</v>
      </c>
      <c r="G648" s="1609" t="s">
        <v>556</v>
      </c>
      <c r="H648" s="1341" t="str">
        <f>IF(LEN('11.600'!W351)=0,"",'11.600'!W351)</f>
        <v/>
      </c>
      <c r="J648" s="1312"/>
    </row>
    <row r="649" spans="2:10" x14ac:dyDescent="0.2">
      <c r="B649" s="1324" t="str">
        <f>IF(LEN('11.600'!H352)=0,"",'11.600'!H352)</f>
        <v/>
      </c>
      <c r="C649" s="1280" t="str">
        <f t="shared" si="16"/>
        <v/>
      </c>
      <c r="D649" s="102"/>
      <c r="E649" s="97"/>
      <c r="F649" s="187"/>
      <c r="G649" s="1609"/>
      <c r="H649" s="1326"/>
      <c r="J649" s="1312"/>
    </row>
    <row r="650" spans="2:10" x14ac:dyDescent="0.2">
      <c r="B650" s="1324" t="str">
        <f>IF(LEN('11.600'!H353)=0,"",'11.600'!H353)</f>
        <v/>
      </c>
      <c r="C650" s="1280" t="str">
        <f t="shared" si="16"/>
        <v/>
      </c>
      <c r="D650" s="102"/>
      <c r="E650" s="97"/>
      <c r="F650" s="187"/>
      <c r="G650" s="1337" t="s">
        <v>679</v>
      </c>
      <c r="H650" s="1326"/>
      <c r="J650" s="1312"/>
    </row>
    <row r="651" spans="2:10" x14ac:dyDescent="0.2">
      <c r="B651" s="1324" t="str">
        <f>IF(LEN('11.600'!H354)=0,"",'11.600'!H354)</f>
        <v/>
      </c>
      <c r="C651" s="1280" t="str">
        <f t="shared" si="16"/>
        <v/>
      </c>
      <c r="D651" s="102"/>
      <c r="E651" s="93" t="s">
        <v>254</v>
      </c>
      <c r="F651" s="97"/>
      <c r="G651" s="1609" t="s">
        <v>557</v>
      </c>
      <c r="H651" s="1326"/>
      <c r="J651" s="1312"/>
    </row>
    <row r="652" spans="2:10" x14ac:dyDescent="0.2">
      <c r="B652" s="1324" t="str">
        <f>IF(LEN('11.600'!H355)=0,"",'11.600'!H355)</f>
        <v/>
      </c>
      <c r="C652" s="1280" t="str">
        <f t="shared" si="16"/>
        <v/>
      </c>
      <c r="D652" s="102"/>
      <c r="E652" s="170"/>
      <c r="F652" s="170"/>
      <c r="G652" s="1612"/>
      <c r="H652" s="1326"/>
      <c r="J652" s="1312"/>
    </row>
    <row r="653" spans="2:10" x14ac:dyDescent="0.2">
      <c r="B653" s="1324" t="str">
        <f>IF(LEN('11.600'!H356)=0,"",'11.600'!H356)</f>
        <v/>
      </c>
      <c r="C653" s="1280" t="str">
        <f t="shared" si="16"/>
        <v/>
      </c>
      <c r="D653" s="102"/>
      <c r="E653" s="860" t="s">
        <v>255</v>
      </c>
      <c r="F653" s="194"/>
      <c r="G653" s="1613" t="s">
        <v>558</v>
      </c>
      <c r="H653" s="1326"/>
      <c r="J653" s="1312"/>
    </row>
    <row r="654" spans="2:10" x14ac:dyDescent="0.2">
      <c r="B654" s="1324" t="str">
        <f>IF(LEN('11.600'!H357)=0,"",'11.600'!H357)</f>
        <v/>
      </c>
      <c r="C654" s="1280" t="str">
        <f t="shared" si="16"/>
        <v/>
      </c>
      <c r="D654" s="102"/>
      <c r="E654" s="170"/>
      <c r="F654" s="170"/>
      <c r="G654" s="1612"/>
      <c r="H654" s="1326"/>
      <c r="J654" s="1312"/>
    </row>
    <row r="655" spans="2:10" x14ac:dyDescent="0.2">
      <c r="B655" s="1324" t="str">
        <f>IF(LEN('11.600'!H358)=0,"",'11.600'!H358)</f>
        <v/>
      </c>
      <c r="C655" s="1280" t="str">
        <f t="shared" si="16"/>
        <v/>
      </c>
      <c r="D655" s="102"/>
      <c r="E655" s="93" t="s">
        <v>256</v>
      </c>
      <c r="F655" s="97"/>
      <c r="G655" s="1609" t="s">
        <v>559</v>
      </c>
      <c r="H655" s="1326"/>
      <c r="J655" s="1312"/>
    </row>
    <row r="656" spans="2:10" ht="16" thickBot="1" x14ac:dyDescent="0.25">
      <c r="B656" s="1324" t="str">
        <f>IF(LEN('11.600'!H359)=0,"",'11.600'!H359)</f>
        <v/>
      </c>
      <c r="C656" s="1280" t="str">
        <f t="shared" si="16"/>
        <v/>
      </c>
      <c r="D656" s="102"/>
      <c r="E656" s="97"/>
      <c r="F656" s="97"/>
      <c r="G656" s="1609"/>
      <c r="H656" s="1326"/>
      <c r="J656" s="1312"/>
    </row>
    <row r="657" spans="1:10" ht="16" thickTop="1" x14ac:dyDescent="0.2">
      <c r="A657" s="467" t="str">
        <f>IF(I657&gt;0,"P","")</f>
        <v/>
      </c>
      <c r="B657" s="1324" t="str">
        <f>IF(LEN('11.600'!H360)=0,"",'11.600'!H360)</f>
        <v/>
      </c>
      <c r="C657" s="1280" t="str">
        <f t="shared" si="16"/>
        <v/>
      </c>
      <c r="D657" s="107" t="s">
        <v>3576</v>
      </c>
      <c r="E657" s="179"/>
      <c r="F657" s="179"/>
      <c r="G657" s="1683" t="s">
        <v>3600</v>
      </c>
      <c r="H657" s="1326"/>
      <c r="I657" s="1397">
        <f>SUM(I672:I675)</f>
        <v>0</v>
      </c>
      <c r="J657" s="1779" t="s">
        <v>3143</v>
      </c>
    </row>
    <row r="658" spans="1:10" x14ac:dyDescent="0.2">
      <c r="A658" s="467" t="str">
        <f>A657</f>
        <v/>
      </c>
      <c r="B658" s="1324" t="str">
        <f>IF(LEN('11.600'!H361)=0,"",'11.600'!H361)</f>
        <v/>
      </c>
      <c r="C658" s="1280" t="str">
        <f t="shared" si="16"/>
        <v/>
      </c>
      <c r="D658" s="102"/>
      <c r="E658" s="97"/>
      <c r="F658" s="97"/>
      <c r="G658" s="1629"/>
      <c r="H658" s="1326"/>
      <c r="J658" s="1779"/>
    </row>
    <row r="659" spans="1:10" x14ac:dyDescent="0.2">
      <c r="B659" s="1324" t="str">
        <f>IF(LEN('11.600'!H362)=0,"",'11.600'!H362)</f>
        <v/>
      </c>
      <c r="C659" s="1280" t="str">
        <f t="shared" si="16"/>
        <v/>
      </c>
      <c r="D659" s="136"/>
      <c r="E659" s="85"/>
      <c r="F659" s="89" t="s">
        <v>121</v>
      </c>
      <c r="G659" s="85" t="s">
        <v>560</v>
      </c>
      <c r="H659" s="1326"/>
      <c r="J659" s="1312"/>
    </row>
    <row r="660" spans="1:10" x14ac:dyDescent="0.2">
      <c r="B660" s="1324" t="str">
        <f>IF(LEN('11.600'!H363)=0,"",'11.600'!H363)</f>
        <v/>
      </c>
      <c r="C660" s="1280" t="str">
        <f t="shared" si="16"/>
        <v/>
      </c>
      <c r="D660" s="136"/>
      <c r="E660" s="85"/>
      <c r="F660" s="89" t="s">
        <v>122</v>
      </c>
      <c r="G660" s="1611" t="s">
        <v>561</v>
      </c>
      <c r="H660" s="1326"/>
      <c r="J660" s="1312"/>
    </row>
    <row r="661" spans="1:10" x14ac:dyDescent="0.2">
      <c r="B661" s="1324" t="str">
        <f>IF(LEN('11.600'!H364)=0,"",'11.600'!H364)</f>
        <v/>
      </c>
      <c r="C661" s="1280" t="str">
        <f t="shared" si="16"/>
        <v/>
      </c>
      <c r="D661" s="136"/>
      <c r="E661" s="85"/>
      <c r="F661" s="89"/>
      <c r="G661" s="1611"/>
      <c r="H661" s="1326"/>
      <c r="J661" s="1312"/>
    </row>
    <row r="662" spans="1:10" x14ac:dyDescent="0.2">
      <c r="B662" s="1324" t="str">
        <f>IF(LEN('11.600'!H365)=0,"",'11.600'!H365)</f>
        <v/>
      </c>
      <c r="C662" s="1280" t="str">
        <f t="shared" si="16"/>
        <v/>
      </c>
      <c r="D662" s="136"/>
      <c r="E662" s="85"/>
      <c r="F662" s="89" t="s">
        <v>123</v>
      </c>
      <c r="G662" s="153" t="s">
        <v>562</v>
      </c>
      <c r="H662" s="1326"/>
      <c r="J662" s="1312"/>
    </row>
    <row r="663" spans="1:10" x14ac:dyDescent="0.2">
      <c r="B663" s="1324" t="str">
        <f>IF(LEN('11.600'!H366)=0,"",'11.600'!H366)</f>
        <v/>
      </c>
      <c r="C663" s="1280" t="str">
        <f t="shared" si="16"/>
        <v/>
      </c>
      <c r="D663" s="136"/>
      <c r="E663" s="85"/>
      <c r="F663" s="91" t="s">
        <v>366</v>
      </c>
      <c r="G663" s="153" t="s">
        <v>563</v>
      </c>
      <c r="H663" s="1326"/>
      <c r="J663" s="1312"/>
    </row>
    <row r="664" spans="1:10" x14ac:dyDescent="0.2">
      <c r="B664" s="1324" t="str">
        <f>IF(LEN('11.600'!H367)=0,"",'11.600'!H367)</f>
        <v/>
      </c>
      <c r="C664" s="1280" t="str">
        <f t="shared" si="16"/>
        <v/>
      </c>
      <c r="D664" s="136"/>
      <c r="E664" s="85"/>
      <c r="F664" s="87" t="s">
        <v>472</v>
      </c>
      <c r="G664" s="153" t="s">
        <v>564</v>
      </c>
      <c r="H664" s="1326"/>
      <c r="J664" s="1312"/>
    </row>
    <row r="665" spans="1:10" x14ac:dyDescent="0.2">
      <c r="B665" s="1324" t="str">
        <f>IF(LEN('11.600'!H368)=0,"",'11.600'!H368)</f>
        <v/>
      </c>
      <c r="C665" s="1280" t="str">
        <f t="shared" si="16"/>
        <v/>
      </c>
      <c r="D665" s="136"/>
      <c r="E665" s="85"/>
      <c r="F665" s="89" t="s">
        <v>510</v>
      </c>
      <c r="G665" s="85" t="s">
        <v>565</v>
      </c>
      <c r="H665" s="1326"/>
      <c r="J665" s="1312"/>
    </row>
    <row r="666" spans="1:10" x14ac:dyDescent="0.2">
      <c r="B666" s="1324" t="str">
        <f>IF(LEN('11.600'!H369)=0,"",'11.600'!H369)</f>
        <v/>
      </c>
      <c r="C666" s="1280" t="str">
        <f t="shared" si="16"/>
        <v/>
      </c>
      <c r="D666" s="136"/>
      <c r="E666" s="85"/>
      <c r="F666" s="89" t="s">
        <v>512</v>
      </c>
      <c r="G666" s="85" t="s">
        <v>566</v>
      </c>
      <c r="H666" s="1326"/>
      <c r="J666" s="1312"/>
    </row>
    <row r="667" spans="1:10" x14ac:dyDescent="0.2">
      <c r="B667" s="1324" t="str">
        <f>IF(LEN('11.600'!H370)=0,"",'11.600'!H370)</f>
        <v/>
      </c>
      <c r="C667" s="1280" t="str">
        <f t="shared" si="16"/>
        <v/>
      </c>
      <c r="D667" s="88"/>
      <c r="E667" s="88"/>
      <c r="F667" s="89" t="s">
        <v>514</v>
      </c>
      <c r="G667" s="1717" t="s">
        <v>3990</v>
      </c>
      <c r="H667" s="1326"/>
      <c r="J667" s="1312"/>
    </row>
    <row r="668" spans="1:10" x14ac:dyDescent="0.2">
      <c r="B668" s="1324" t="str">
        <f>IF(LEN('11.600'!H371)=0,"",'11.600'!H371)</f>
        <v/>
      </c>
      <c r="C668" s="1280" t="str">
        <f t="shared" si="16"/>
        <v/>
      </c>
      <c r="D668" s="88"/>
      <c r="E668" s="88"/>
      <c r="F668" s="89"/>
      <c r="G668" s="1717"/>
      <c r="H668" s="1326"/>
      <c r="J668" s="1312"/>
    </row>
    <row r="669" spans="1:10" x14ac:dyDescent="0.2">
      <c r="B669" s="1324" t="str">
        <f>IF(LEN('11.600'!H372)=0,"",'11.600'!H372)</f>
        <v/>
      </c>
      <c r="C669" s="1280" t="str">
        <f t="shared" si="16"/>
        <v/>
      </c>
      <c r="D669" s="88"/>
      <c r="E669" s="88"/>
      <c r="F669" s="89"/>
      <c r="G669" s="1717"/>
      <c r="H669" s="1326"/>
      <c r="J669" s="1312"/>
    </row>
    <row r="670" spans="1:10" x14ac:dyDescent="0.2">
      <c r="B670" s="1324" t="str">
        <f>IF(LEN('11.600'!H373)=0,"",'11.600'!H373)</f>
        <v/>
      </c>
      <c r="C670" s="1280" t="str">
        <f t="shared" si="16"/>
        <v/>
      </c>
      <c r="D670" s="88"/>
      <c r="E670" s="88"/>
      <c r="F670" s="89"/>
      <c r="G670" s="1717"/>
      <c r="H670" s="1326"/>
      <c r="J670" s="1312"/>
    </row>
    <row r="671" spans="1:10" x14ac:dyDescent="0.2">
      <c r="B671" s="1324" t="str">
        <f>IF(LEN('11.600'!H374)=0,"",'11.600'!H374)</f>
        <v/>
      </c>
      <c r="C671" s="1280" t="str">
        <f t="shared" si="16"/>
        <v/>
      </c>
      <c r="D671" s="88"/>
      <c r="E671" s="88"/>
      <c r="F671" s="89"/>
      <c r="G671" s="1717"/>
      <c r="H671" s="1326"/>
      <c r="J671" s="1312"/>
    </row>
    <row r="672" spans="1:10" x14ac:dyDescent="0.2">
      <c r="B672" s="1324" t="str">
        <f>IF(LEN('11.600'!H375)=0,"",'11.600'!H375)</f>
        <v/>
      </c>
      <c r="C672" s="1280" t="str">
        <f t="shared" si="16"/>
        <v/>
      </c>
      <c r="D672" s="136"/>
      <c r="E672" s="93" t="s">
        <v>254</v>
      </c>
      <c r="F672" s="97"/>
      <c r="G672" s="1609" t="s">
        <v>3992</v>
      </c>
      <c r="H672" s="1341" t="str">
        <f>IF(LEN('11.600'!W375)=0,"",'11.600'!W375)</f>
        <v/>
      </c>
      <c r="I672" s="88">
        <f>'11.600'!O375</f>
        <v>0</v>
      </c>
      <c r="J672" s="1312"/>
    </row>
    <row r="673" spans="1:10" x14ac:dyDescent="0.2">
      <c r="B673" s="1324" t="str">
        <f>IF(LEN('11.600'!H376)=0,"",'11.600'!H376)</f>
        <v/>
      </c>
      <c r="C673" s="1280" t="str">
        <f t="shared" si="16"/>
        <v/>
      </c>
      <c r="D673" s="136"/>
      <c r="E673" s="93"/>
      <c r="F673" s="97"/>
      <c r="G673" s="1609"/>
      <c r="H673" s="1341" t="str">
        <f>IF(LEN('11.600'!W376)=0,"",'11.600'!W376)</f>
        <v/>
      </c>
      <c r="J673" s="1312"/>
    </row>
    <row r="674" spans="1:10" x14ac:dyDescent="0.2">
      <c r="B674" s="1324" t="str">
        <f>IF(LEN('11.600'!H377)=0,"",'11.600'!H377)</f>
        <v/>
      </c>
      <c r="C674" s="1280" t="str">
        <f t="shared" si="16"/>
        <v/>
      </c>
      <c r="D674" s="136"/>
      <c r="E674" s="169"/>
      <c r="F674" s="170"/>
      <c r="G674" s="1340" t="s">
        <v>2628</v>
      </c>
      <c r="H674" s="1326"/>
      <c r="J674" s="1312"/>
    </row>
    <row r="675" spans="1:10" x14ac:dyDescent="0.2">
      <c r="B675" s="1324" t="str">
        <f>IF(LEN('11.600'!H378)=0,"",'11.600'!H378)</f>
        <v/>
      </c>
      <c r="C675" s="1280" t="str">
        <f t="shared" si="16"/>
        <v/>
      </c>
      <c r="D675" s="136"/>
      <c r="E675" s="89" t="s">
        <v>255</v>
      </c>
      <c r="F675" s="85"/>
      <c r="G675" s="1611" t="s">
        <v>3993</v>
      </c>
      <c r="H675" s="1341" t="str">
        <f>IF(LEN('11.600'!W378)=0,"",'11.600'!W378)</f>
        <v/>
      </c>
      <c r="I675" s="88">
        <f>'11.600'!O378</f>
        <v>0</v>
      </c>
      <c r="J675" s="1312"/>
    </row>
    <row r="676" spans="1:10" x14ac:dyDescent="0.2">
      <c r="B676" s="1324" t="str">
        <f>IF(LEN('11.600'!H379)=0,"",'11.600'!H379)</f>
        <v/>
      </c>
      <c r="C676" s="1280" t="str">
        <f t="shared" si="16"/>
        <v/>
      </c>
      <c r="D676" s="136"/>
      <c r="E676" s="85"/>
      <c r="F676" s="85"/>
      <c r="G676" s="1611"/>
      <c r="H676" s="1341" t="str">
        <f>IF(LEN('11.600'!W379)=0,"",'11.600'!W379)</f>
        <v/>
      </c>
      <c r="J676" s="1312"/>
    </row>
    <row r="677" spans="1:10" ht="16" thickBot="1" x14ac:dyDescent="0.25">
      <c r="B677" s="1324" t="str">
        <f>IF(LEN('11.600'!H380)=0,"",'11.600'!H380)</f>
        <v/>
      </c>
      <c r="C677" s="1280" t="str">
        <f t="shared" si="16"/>
        <v/>
      </c>
      <c r="D677" s="136"/>
      <c r="E677" s="85"/>
      <c r="F677" s="85"/>
      <c r="G677" s="1338" t="s">
        <v>2628</v>
      </c>
      <c r="H677" s="1326"/>
      <c r="J677" s="1312"/>
    </row>
    <row r="678" spans="1:10" ht="16" thickTop="1" x14ac:dyDescent="0.2">
      <c r="A678" s="467" t="str">
        <f ca="1">IF(I678&gt;0,"P","")</f>
        <v/>
      </c>
      <c r="B678" s="1324" t="str">
        <f>IF(LEN('11.600'!H381)=0,"",'11.600'!H381)</f>
        <v/>
      </c>
      <c r="C678" s="1280" t="str">
        <f t="shared" ca="1" si="16"/>
        <v/>
      </c>
      <c r="D678" s="107" t="s">
        <v>3577</v>
      </c>
      <c r="E678" s="179"/>
      <c r="F678" s="179"/>
      <c r="G678" s="1683" t="s">
        <v>3599</v>
      </c>
      <c r="H678" s="1341" t="str">
        <f>IF(LEN('11.600'!W381)=0,"",'11.600'!W381)</f>
        <v/>
      </c>
      <c r="I678" s="88">
        <f ca="1">'11.600'!O381</f>
        <v>0</v>
      </c>
      <c r="J678" s="1779" t="s">
        <v>3144</v>
      </c>
    </row>
    <row r="679" spans="1:10" x14ac:dyDescent="0.2">
      <c r="A679" s="467" t="str">
        <f ca="1">A678</f>
        <v/>
      </c>
      <c r="B679" s="1324" t="str">
        <f>IF(LEN('11.600'!H382)=0,"",'11.600'!H382)</f>
        <v/>
      </c>
      <c r="C679" s="1280" t="str">
        <f t="shared" ca="1" si="16"/>
        <v/>
      </c>
      <c r="D679" s="102"/>
      <c r="E679" s="97"/>
      <c r="F679" s="97"/>
      <c r="G679" s="1629"/>
      <c r="H679" s="1326"/>
      <c r="J679" s="1779"/>
    </row>
    <row r="680" spans="1:10" x14ac:dyDescent="0.2">
      <c r="A680" s="467" t="str">
        <f ca="1">A679</f>
        <v/>
      </c>
      <c r="B680" s="1324" t="str">
        <f>IF(LEN('11.600'!H383)=0,"",'11.600'!H383)</f>
        <v/>
      </c>
      <c r="C680" s="1280" t="str">
        <f t="shared" ca="1" si="16"/>
        <v/>
      </c>
      <c r="D680" s="102"/>
      <c r="E680" s="97"/>
      <c r="F680" s="97"/>
      <c r="G680" s="1629"/>
      <c r="H680" s="1326"/>
      <c r="J680" s="1779"/>
    </row>
    <row r="681" spans="1:10" x14ac:dyDescent="0.2">
      <c r="A681" s="467" t="str">
        <f ca="1">A680</f>
        <v/>
      </c>
      <c r="B681" s="1324" t="str">
        <f>IF(LEN('11.600'!H384)=0,"",'11.600'!H384)</f>
        <v/>
      </c>
      <c r="C681" s="1280" t="str">
        <f t="shared" ca="1" si="16"/>
        <v/>
      </c>
      <c r="D681" s="102"/>
      <c r="E681" s="97"/>
      <c r="F681" s="97"/>
      <c r="G681" s="1629"/>
      <c r="H681" s="1326"/>
      <c r="J681" s="1779"/>
    </row>
    <row r="682" spans="1:10" x14ac:dyDescent="0.2">
      <c r="B682" s="1324" t="str">
        <f>IF(LEN('11.600'!H385)=0,"",'11.600'!H385)</f>
        <v/>
      </c>
      <c r="C682" s="1280" t="str">
        <f t="shared" si="16"/>
        <v/>
      </c>
      <c r="D682" s="102"/>
      <c r="E682" s="97"/>
      <c r="F682" s="97"/>
      <c r="G682" s="185" t="s">
        <v>567</v>
      </c>
      <c r="H682" s="1326"/>
      <c r="J682" s="1312"/>
    </row>
    <row r="683" spans="1:10" x14ac:dyDescent="0.2">
      <c r="B683" s="1324" t="str">
        <f>IF(LEN('11.600'!H386)=0,"",'11.600'!H386)</f>
        <v/>
      </c>
      <c r="C683" s="1280" t="str">
        <f t="shared" si="16"/>
        <v/>
      </c>
      <c r="D683" s="102"/>
      <c r="E683" s="97"/>
      <c r="F683" s="97"/>
      <c r="G683" s="1337" t="s">
        <v>2632</v>
      </c>
      <c r="H683" s="1326"/>
      <c r="J683" s="1312"/>
    </row>
    <row r="684" spans="1:10" ht="19" x14ac:dyDescent="0.25">
      <c r="A684" s="467" t="s">
        <v>3200</v>
      </c>
      <c r="B684" s="1324" t="str">
        <f>IF(LEN('11.600'!H387)=0,"",'11.600'!H387)</f>
        <v/>
      </c>
      <c r="C684" s="1280" t="str">
        <f t="shared" si="16"/>
        <v>P</v>
      </c>
      <c r="D684" s="72" t="s">
        <v>3578</v>
      </c>
      <c r="E684" s="84"/>
      <c r="F684" s="84"/>
      <c r="G684" s="81"/>
      <c r="H684" s="994"/>
      <c r="I684" s="25"/>
      <c r="J684" s="25"/>
    </row>
    <row r="685" spans="1:10" x14ac:dyDescent="0.2">
      <c r="A685" s="467" t="str">
        <f>IF(I685&gt;0,"P","")</f>
        <v/>
      </c>
      <c r="B685" s="1324" t="str">
        <f>IF(LEN('11.600'!H388)=0,"",'11.600'!H388)</f>
        <v/>
      </c>
      <c r="C685" s="1280" t="str">
        <f t="shared" si="16"/>
        <v/>
      </c>
      <c r="D685" s="136" t="s">
        <v>3579</v>
      </c>
      <c r="E685" s="85"/>
      <c r="F685" s="85"/>
      <c r="G685" s="1631" t="s">
        <v>3598</v>
      </c>
      <c r="H685" s="1326"/>
      <c r="I685" s="1397">
        <f>SUM(I687:I692)</f>
        <v>0</v>
      </c>
      <c r="J685" s="1312" t="s">
        <v>3120</v>
      </c>
    </row>
    <row r="686" spans="1:10" x14ac:dyDescent="0.2">
      <c r="A686" s="467" t="str">
        <f>A685</f>
        <v/>
      </c>
      <c r="B686" s="1324" t="str">
        <f>IF(LEN('11.600'!H389)=0,"",'11.600'!H389)</f>
        <v/>
      </c>
      <c r="C686" s="1280" t="str">
        <f t="shared" si="16"/>
        <v/>
      </c>
      <c r="D686" s="136"/>
      <c r="E686" s="85"/>
      <c r="F686" s="85"/>
      <c r="G686" s="1631"/>
      <c r="H686" s="1326"/>
      <c r="J686" s="1312"/>
    </row>
    <row r="687" spans="1:10" x14ac:dyDescent="0.2">
      <c r="B687" s="1324" t="str">
        <f>IF(LEN('11.600'!H390)=0,"",'11.600'!H390)</f>
        <v/>
      </c>
      <c r="C687" s="1280" t="str">
        <f t="shared" si="16"/>
        <v/>
      </c>
      <c r="D687" s="136"/>
      <c r="E687" s="93" t="s">
        <v>254</v>
      </c>
      <c r="F687" s="97"/>
      <c r="G687" s="1609" t="s">
        <v>5079</v>
      </c>
      <c r="H687" s="1341" t="str">
        <f>IF(LEN('11.600'!W390)=0,"",'11.600'!W390)</f>
        <v/>
      </c>
      <c r="I687" s="88">
        <f>'11.600'!O390</f>
        <v>0</v>
      </c>
      <c r="J687" s="1312"/>
    </row>
    <row r="688" spans="1:10" x14ac:dyDescent="0.2">
      <c r="B688" s="1324" t="str">
        <f>IF(LEN('11.600'!H391)=0,"",'11.600'!H391)</f>
        <v/>
      </c>
      <c r="C688" s="1280" t="str">
        <f t="shared" si="16"/>
        <v/>
      </c>
      <c r="D688" s="136"/>
      <c r="E688" s="93"/>
      <c r="F688" s="97"/>
      <c r="G688" s="1609"/>
      <c r="H688" s="1326"/>
      <c r="J688" s="1312"/>
    </row>
    <row r="689" spans="1:10" x14ac:dyDescent="0.2">
      <c r="B689" s="1324" t="str">
        <f>IF(LEN('11.600'!H392)=0,"",'11.600'!H392)</f>
        <v/>
      </c>
      <c r="C689" s="1280" t="str">
        <f t="shared" si="16"/>
        <v/>
      </c>
      <c r="D689" s="136"/>
      <c r="E689" s="93"/>
      <c r="F689" s="97"/>
      <c r="G689" s="1609"/>
      <c r="H689" s="1326"/>
      <c r="J689" s="1312"/>
    </row>
    <row r="690" spans="1:10" x14ac:dyDescent="0.2">
      <c r="B690" s="1324" t="str">
        <f>IF(LEN('11.600'!H393)=0,"",'11.600'!H393)</f>
        <v/>
      </c>
      <c r="C690" s="1280" t="str">
        <f t="shared" si="16"/>
        <v/>
      </c>
      <c r="D690" s="136"/>
      <c r="E690" s="93"/>
      <c r="F690" s="97"/>
      <c r="G690" s="1609"/>
      <c r="H690" s="1326"/>
      <c r="J690" s="1312"/>
    </row>
    <row r="691" spans="1:10" x14ac:dyDescent="0.2">
      <c r="B691" s="1324" t="str">
        <f>IF(LEN('11.600'!H394)=0,"",'11.600'!H394)</f>
        <v/>
      </c>
      <c r="C691" s="1280" t="str">
        <f t="shared" si="16"/>
        <v/>
      </c>
      <c r="D691" s="136"/>
      <c r="E691" s="169"/>
      <c r="F691" s="170"/>
      <c r="G691" s="1612"/>
      <c r="H691" s="1326"/>
      <c r="J691" s="1312"/>
    </row>
    <row r="692" spans="1:10" x14ac:dyDescent="0.2">
      <c r="B692" s="1324" t="str">
        <f>IF(LEN('11.600'!H395)=0,"",'11.600'!H395)</f>
        <v/>
      </c>
      <c r="C692" s="1280" t="str">
        <f t="shared" si="16"/>
        <v/>
      </c>
      <c r="D692" s="136"/>
      <c r="E692" s="89" t="s">
        <v>255</v>
      </c>
      <c r="F692" s="85"/>
      <c r="G692" s="1649" t="s">
        <v>3994</v>
      </c>
      <c r="H692" s="1341" t="str">
        <f>IF(LEN('11.600'!W395)=0,"",'11.600'!W395)</f>
        <v/>
      </c>
      <c r="I692" s="88">
        <f>'11.600'!O395</f>
        <v>0</v>
      </c>
      <c r="J692" s="1312"/>
    </row>
    <row r="693" spans="1:10" x14ac:dyDescent="0.2">
      <c r="B693" s="1324" t="str">
        <f>IF(LEN('11.600'!H396)=0,"",'11.600'!H396)</f>
        <v/>
      </c>
      <c r="C693" s="1280" t="str">
        <f t="shared" si="16"/>
        <v/>
      </c>
      <c r="D693" s="136"/>
      <c r="E693" s="89"/>
      <c r="F693" s="85"/>
      <c r="G693" s="1717"/>
      <c r="H693" s="1326"/>
      <c r="J693" s="1312"/>
    </row>
    <row r="694" spans="1:10" x14ac:dyDescent="0.2">
      <c r="B694" s="1324" t="str">
        <f>IF(LEN('11.600'!H397)=0,"",'11.600'!H397)</f>
        <v/>
      </c>
      <c r="C694" s="1280" t="str">
        <f t="shared" si="16"/>
        <v/>
      </c>
      <c r="D694" s="136"/>
      <c r="E694" s="89"/>
      <c r="F694" s="85"/>
      <c r="G694" s="1717"/>
      <c r="H694" s="1326"/>
      <c r="J694" s="1312"/>
    </row>
    <row r="695" spans="1:10" x14ac:dyDescent="0.2">
      <c r="B695" s="1324" t="str">
        <f>IF(LEN('11.600'!H398)=0,"",'11.600'!H398)</f>
        <v/>
      </c>
      <c r="C695" s="1280" t="str">
        <f t="shared" si="16"/>
        <v/>
      </c>
      <c r="D695" s="136"/>
      <c r="E695" s="89"/>
      <c r="F695" s="85"/>
      <c r="G695" s="1717"/>
      <c r="H695" s="1326"/>
      <c r="J695" s="1312"/>
    </row>
    <row r="696" spans="1:10" x14ac:dyDescent="0.2">
      <c r="B696" s="1324" t="str">
        <f>IF(LEN('11.600'!H399)=0,"",'11.600'!H399)</f>
        <v/>
      </c>
      <c r="C696" s="1280" t="str">
        <f t="shared" si="16"/>
        <v/>
      </c>
      <c r="D696" s="136"/>
      <c r="E696" s="89"/>
      <c r="F696" s="85"/>
      <c r="G696" s="1717"/>
      <c r="H696" s="1326"/>
      <c r="J696" s="1312"/>
    </row>
    <row r="697" spans="1:10" ht="16" thickBot="1" x14ac:dyDescent="0.25">
      <c r="B697" s="1324" t="str">
        <f>IF(LEN('11.600'!H400)=0,"",'11.600'!H400)</f>
        <v/>
      </c>
      <c r="C697" s="1280" t="str">
        <f t="shared" si="16"/>
        <v/>
      </c>
      <c r="D697" s="136"/>
      <c r="E697" s="89"/>
      <c r="F697" s="85"/>
      <c r="G697" s="1713"/>
      <c r="H697" s="1326"/>
      <c r="J697" s="1312"/>
    </row>
    <row r="698" spans="1:10" ht="16" thickTop="1" x14ac:dyDescent="0.2">
      <c r="A698" s="467" t="str">
        <f>IF(I698&gt;0,"P","")</f>
        <v/>
      </c>
      <c r="B698" s="1324" t="str">
        <f>IF(LEN('11.600'!H401)=0,"",'11.600'!H401)</f>
        <v/>
      </c>
      <c r="C698" s="1280" t="str">
        <f t="shared" si="16"/>
        <v/>
      </c>
      <c r="D698" s="107" t="s">
        <v>3580</v>
      </c>
      <c r="E698" s="179"/>
      <c r="F698" s="179"/>
      <c r="G698" s="1683" t="s">
        <v>3597</v>
      </c>
      <c r="H698" s="1341" t="str">
        <f>IF(LEN('11.600'!W401)=0,"",'11.600'!W401)</f>
        <v/>
      </c>
      <c r="I698" s="88">
        <f>'11.600'!O401</f>
        <v>0</v>
      </c>
      <c r="J698" s="1779" t="s">
        <v>3120</v>
      </c>
    </row>
    <row r="699" spans="1:10" x14ac:dyDescent="0.2">
      <c r="A699" s="467" t="str">
        <f>A698</f>
        <v/>
      </c>
      <c r="B699" s="1324" t="str">
        <f>IF(LEN('11.600'!H402)=0,"",'11.600'!H402)</f>
        <v/>
      </c>
      <c r="C699" s="1280" t="str">
        <f t="shared" si="16"/>
        <v/>
      </c>
      <c r="D699" s="102"/>
      <c r="E699" s="97"/>
      <c r="F699" s="97"/>
      <c r="G699" s="1629"/>
      <c r="H699" s="1326"/>
      <c r="J699" s="1779"/>
    </row>
    <row r="700" spans="1:10" ht="19" x14ac:dyDescent="0.25">
      <c r="A700" s="467" t="s">
        <v>3200</v>
      </c>
      <c r="B700" s="1324" t="str">
        <f>IF(LEN('11.600'!H403)=0,"",'11.600'!H403)</f>
        <v/>
      </c>
      <c r="C700" s="1280" t="str">
        <f t="shared" si="16"/>
        <v>P</v>
      </c>
      <c r="D700" s="72" t="s">
        <v>3581</v>
      </c>
      <c r="E700" s="84"/>
      <c r="F700" s="84"/>
      <c r="G700" s="81"/>
      <c r="H700" s="994"/>
      <c r="I700" s="25"/>
      <c r="J700" s="25"/>
    </row>
    <row r="701" spans="1:10" x14ac:dyDescent="0.2">
      <c r="A701" s="467" t="str">
        <f ca="1">IF(I701&gt;0,"P","")</f>
        <v/>
      </c>
      <c r="B701" s="1324" t="str">
        <f>IF(LEN('11.600'!H404)=0,"",'11.600'!H404)</f>
        <v/>
      </c>
      <c r="C701" s="1280" t="str">
        <f t="shared" ca="1" si="16"/>
        <v/>
      </c>
      <c r="D701" s="136" t="s">
        <v>3582</v>
      </c>
      <c r="E701" s="85"/>
      <c r="F701" s="85"/>
      <c r="G701" s="1631" t="s">
        <v>3596</v>
      </c>
      <c r="H701" s="1341" t="str">
        <f>IF(LEN('11.600'!W404)=0,"",'11.600'!W404)</f>
        <v/>
      </c>
      <c r="I701" s="88">
        <f ca="1">'11.600'!O404</f>
        <v>0</v>
      </c>
      <c r="J701" s="1779" t="s">
        <v>3145</v>
      </c>
    </row>
    <row r="702" spans="1:10" x14ac:dyDescent="0.2">
      <c r="A702" s="467" t="str">
        <f ca="1">A701</f>
        <v/>
      </c>
      <c r="B702" s="1324" t="str">
        <f>IF(LEN('11.600'!H405)=0,"",'11.600'!H405)</f>
        <v/>
      </c>
      <c r="C702" s="1280" t="str">
        <f t="shared" ca="1" si="16"/>
        <v/>
      </c>
      <c r="D702" s="136"/>
      <c r="E702" s="85"/>
      <c r="F702" s="85"/>
      <c r="G702" s="1631"/>
      <c r="H702" s="1326"/>
      <c r="J702" s="1779"/>
    </row>
    <row r="703" spans="1:10" x14ac:dyDescent="0.2">
      <c r="A703" s="467" t="str">
        <f ca="1">A702</f>
        <v/>
      </c>
      <c r="B703" s="1324" t="str">
        <f>IF(LEN('11.600'!H406)=0,"",'11.600'!H406)</f>
        <v/>
      </c>
      <c r="C703" s="1280" t="str">
        <f t="shared" ca="1" si="16"/>
        <v/>
      </c>
      <c r="D703" s="136"/>
      <c r="E703" s="85"/>
      <c r="F703" s="85"/>
      <c r="G703" s="1631"/>
      <c r="H703" s="1326"/>
      <c r="J703" s="1779"/>
    </row>
    <row r="704" spans="1:10" x14ac:dyDescent="0.2">
      <c r="B704" s="1324" t="str">
        <f>IF(LEN('11.600'!H407)=0,"",'11.600'!H407)</f>
        <v/>
      </c>
      <c r="C704" s="1280" t="str">
        <f t="shared" si="16"/>
        <v/>
      </c>
      <c r="D704" s="136"/>
      <c r="E704" s="89" t="s">
        <v>254</v>
      </c>
      <c r="F704" s="85"/>
      <c r="G704" s="1611" t="s">
        <v>568</v>
      </c>
      <c r="H704" s="1326"/>
      <c r="J704" s="1312"/>
    </row>
    <row r="705" spans="1:10" x14ac:dyDescent="0.2">
      <c r="B705" s="1324" t="str">
        <f>IF(LEN('11.600'!H408)=0,"",'11.600'!H408)</f>
        <v/>
      </c>
      <c r="C705" s="1280" t="str">
        <f t="shared" si="16"/>
        <v/>
      </c>
      <c r="D705" s="136"/>
      <c r="E705" s="89"/>
      <c r="F705" s="85"/>
      <c r="G705" s="1611"/>
      <c r="H705" s="1326"/>
      <c r="J705" s="1312"/>
    </row>
    <row r="706" spans="1:10" x14ac:dyDescent="0.2">
      <c r="B706" s="1324" t="str">
        <f>IF(LEN('11.600'!H409)=0,"",'11.600'!H409)</f>
        <v/>
      </c>
      <c r="C706" s="1280" t="str">
        <f t="shared" si="16"/>
        <v/>
      </c>
      <c r="D706" s="136"/>
      <c r="E706" s="89" t="s">
        <v>255</v>
      </c>
      <c r="F706" s="85"/>
      <c r="G706" s="85" t="s">
        <v>569</v>
      </c>
      <c r="H706" s="1326"/>
      <c r="J706" s="1312"/>
    </row>
    <row r="707" spans="1:10" x14ac:dyDescent="0.2">
      <c r="B707" s="1324" t="str">
        <f>IF(LEN('11.600'!H410)=0,"",'11.600'!H410)</f>
        <v/>
      </c>
      <c r="C707" s="1280" t="str">
        <f t="shared" si="16"/>
        <v/>
      </c>
      <c r="D707" s="136"/>
      <c r="E707" s="89" t="s">
        <v>256</v>
      </c>
      <c r="F707" s="85"/>
      <c r="G707" s="85" t="s">
        <v>570</v>
      </c>
      <c r="H707" s="1326"/>
      <c r="J707" s="1312"/>
    </row>
    <row r="708" spans="1:10" x14ac:dyDescent="0.2">
      <c r="B708" s="1324" t="str">
        <f>IF(LEN('11.600'!H411)=0,"",'11.600'!H411)</f>
        <v/>
      </c>
      <c r="C708" s="1280" t="str">
        <f t="shared" si="16"/>
        <v/>
      </c>
      <c r="D708" s="136"/>
      <c r="E708" s="89"/>
      <c r="F708" s="85"/>
      <c r="G708" s="1781" t="s">
        <v>3844</v>
      </c>
      <c r="H708" s="1326"/>
      <c r="J708" s="1312"/>
    </row>
    <row r="709" spans="1:10" x14ac:dyDescent="0.2">
      <c r="B709" s="1324" t="str">
        <f>IF(LEN('11.600'!H412)=0,"",'11.600'!H412)</f>
        <v/>
      </c>
      <c r="C709" s="1280" t="str">
        <f t="shared" si="16"/>
        <v/>
      </c>
      <c r="D709" s="88"/>
      <c r="E709" s="88"/>
      <c r="F709" s="88"/>
      <c r="G709" s="1793"/>
      <c r="H709" s="1326"/>
      <c r="J709" s="1312"/>
    </row>
    <row r="710" spans="1:10" ht="19" x14ac:dyDescent="0.25">
      <c r="A710" s="467" t="s">
        <v>3200</v>
      </c>
      <c r="B710" s="1324" t="str">
        <f>IF(LEN('11.600'!H413)=0,"",'11.600'!H413)</f>
        <v/>
      </c>
      <c r="C710" s="1280" t="str">
        <f t="shared" si="16"/>
        <v>P</v>
      </c>
      <c r="D710" s="72" t="s">
        <v>3583</v>
      </c>
      <c r="E710" s="84"/>
      <c r="F710" s="84"/>
      <c r="G710" s="81"/>
      <c r="H710" s="994"/>
      <c r="I710" s="25"/>
      <c r="J710" s="25"/>
    </row>
    <row r="711" spans="1:10" x14ac:dyDescent="0.2">
      <c r="A711" s="467" t="str">
        <f ca="1">IF(I711&gt;0,"P","")</f>
        <v/>
      </c>
      <c r="B711" s="1324" t="str">
        <f>IF(LEN('11.600'!H414)=0,"",'11.600'!H414)</f>
        <v/>
      </c>
      <c r="C711" s="1280" t="str">
        <f t="shared" ca="1" si="16"/>
        <v/>
      </c>
      <c r="D711" s="136" t="s">
        <v>3584</v>
      </c>
      <c r="E711" s="85"/>
      <c r="F711" s="85"/>
      <c r="G711" s="1631" t="s">
        <v>3595</v>
      </c>
      <c r="H711" s="1326"/>
      <c r="I711" s="88">
        <f ca="1">'11.600'!O414</f>
        <v>0</v>
      </c>
      <c r="J711" s="1779" t="s">
        <v>3146</v>
      </c>
    </row>
    <row r="712" spans="1:10" x14ac:dyDescent="0.2">
      <c r="A712" s="467" t="str">
        <f ca="1">A711</f>
        <v/>
      </c>
      <c r="B712" s="1324" t="str">
        <f>IF(LEN('11.600'!H415)=0,"",'11.600'!H415)</f>
        <v/>
      </c>
      <c r="C712" s="1280" t="str">
        <f t="shared" ref="C712:C775" ca="1" si="17">IF(LEN(B712)=0,IF(A712="P","P",""),B712)</f>
        <v/>
      </c>
      <c r="D712" s="136"/>
      <c r="E712" s="85"/>
      <c r="F712" s="85"/>
      <c r="G712" s="1631"/>
      <c r="H712" s="1326"/>
      <c r="J712" s="1779"/>
    </row>
    <row r="713" spans="1:10" x14ac:dyDescent="0.2">
      <c r="B713" s="1324" t="str">
        <f>IF(LEN('11.600'!H416)=0,"",'11.600'!H416)</f>
        <v/>
      </c>
      <c r="C713" s="1280" t="str">
        <f t="shared" si="17"/>
        <v/>
      </c>
      <c r="D713" s="136"/>
      <c r="E713" s="89" t="s">
        <v>254</v>
      </c>
      <c r="F713" s="85"/>
      <c r="G713" s="4" t="s">
        <v>5064</v>
      </c>
      <c r="H713" s="1341" t="str">
        <f>IF(LEN('11.600'!W416)=0,"",'11.600'!W416)</f>
        <v/>
      </c>
      <c r="J713" s="1312"/>
    </row>
    <row r="714" spans="1:10" x14ac:dyDescent="0.2">
      <c r="B714" s="1324" t="str">
        <f>IF(LEN('11.600'!H417)=0,"",'11.600'!H417)</f>
        <v/>
      </c>
      <c r="C714" s="1280" t="str">
        <f t="shared" si="17"/>
        <v/>
      </c>
      <c r="D714" s="136"/>
      <c r="E714" s="89"/>
      <c r="F714" s="85"/>
      <c r="G714" s="4"/>
      <c r="H714" s="1326"/>
      <c r="J714" s="1312"/>
    </row>
    <row r="715" spans="1:10" x14ac:dyDescent="0.2">
      <c r="B715" s="1324" t="str">
        <f>IF(LEN('11.600'!H418)=0,"",'11.600'!H418)</f>
        <v/>
      </c>
      <c r="C715" s="1280" t="str">
        <f t="shared" si="17"/>
        <v/>
      </c>
      <c r="D715" s="136"/>
      <c r="E715" s="89" t="s">
        <v>255</v>
      </c>
      <c r="F715" s="85"/>
      <c r="G715" s="4" t="s">
        <v>5065</v>
      </c>
      <c r="H715" s="1341" t="str">
        <f>IF(LEN('11.600'!W418)=0,"",'11.600'!W418)</f>
        <v/>
      </c>
      <c r="J715" s="1312"/>
    </row>
    <row r="716" spans="1:10" x14ac:dyDescent="0.2">
      <c r="B716" s="1324" t="str">
        <f>IF(LEN('11.600'!H419)=0,"",'11.600'!H419)</f>
        <v/>
      </c>
      <c r="C716" s="1280" t="str">
        <f t="shared" si="17"/>
        <v/>
      </c>
      <c r="D716" s="136"/>
      <c r="E716" s="89"/>
      <c r="F716" s="85"/>
      <c r="G716" s="4"/>
      <c r="H716" s="1326"/>
      <c r="J716" s="1312"/>
    </row>
    <row r="717" spans="1:10" x14ac:dyDescent="0.2">
      <c r="B717" s="1324" t="str">
        <f>IF(LEN('11.600'!H420)=0,"",'11.600'!H420)</f>
        <v/>
      </c>
      <c r="C717" s="1280" t="str">
        <f t="shared" si="17"/>
        <v/>
      </c>
      <c r="D717" s="136"/>
      <c r="E717" s="85"/>
      <c r="F717" s="85"/>
      <c r="G717" s="1707" t="s">
        <v>5063</v>
      </c>
      <c r="H717" s="1326"/>
      <c r="J717" s="1312"/>
    </row>
    <row r="718" spans="1:10" x14ac:dyDescent="0.2">
      <c r="B718" s="1324" t="str">
        <f>IF(LEN('11.600'!H421)=0,"",'11.600'!H421)</f>
        <v/>
      </c>
      <c r="C718" s="1280" t="str">
        <f t="shared" si="17"/>
        <v/>
      </c>
      <c r="D718" s="136"/>
      <c r="E718" s="85"/>
      <c r="F718" s="85"/>
      <c r="G718" s="1707"/>
      <c r="H718" s="1326"/>
      <c r="J718" s="1312"/>
    </row>
    <row r="719" spans="1:10" x14ac:dyDescent="0.2">
      <c r="B719" s="1324" t="str">
        <f>IF(LEN('11.600'!H422)=0,"",'11.600'!H422)</f>
        <v/>
      </c>
      <c r="C719" s="1280" t="str">
        <f t="shared" si="17"/>
        <v/>
      </c>
      <c r="D719" s="136"/>
      <c r="E719" s="85"/>
      <c r="F719" s="85"/>
      <c r="G719" s="1707"/>
      <c r="H719" s="1326"/>
      <c r="J719" s="1312"/>
    </row>
    <row r="720" spans="1:10" x14ac:dyDescent="0.2">
      <c r="B720" s="1324" t="str">
        <f>IF(LEN('11.600'!H423)=0,"",'11.600'!H423)</f>
        <v/>
      </c>
      <c r="C720" s="1280" t="str">
        <f t="shared" si="17"/>
        <v/>
      </c>
      <c r="D720" s="136"/>
      <c r="E720" s="85"/>
      <c r="F720" s="85"/>
      <c r="G720" s="1785" t="s">
        <v>3843</v>
      </c>
      <c r="H720" s="1326"/>
      <c r="J720" s="1312"/>
    </row>
    <row r="721" spans="1:10" x14ac:dyDescent="0.2">
      <c r="B721" s="1324" t="str">
        <f>IF(LEN('11.600'!H424)=0,"",'11.600'!H424)</f>
        <v/>
      </c>
      <c r="C721" s="1280" t="str">
        <f t="shared" si="17"/>
        <v/>
      </c>
      <c r="D721" s="136"/>
      <c r="E721" s="85"/>
      <c r="F721" s="85"/>
      <c r="G721" s="1787"/>
      <c r="H721" s="1326"/>
      <c r="J721" s="1312"/>
    </row>
    <row r="722" spans="1:10" ht="19" x14ac:dyDescent="0.25">
      <c r="A722" s="467" t="s">
        <v>3200</v>
      </c>
      <c r="B722" s="1324" t="str">
        <f>IF(LEN('11.600'!H425)=0,"",'11.600'!H425)</f>
        <v/>
      </c>
      <c r="C722" s="1280" t="str">
        <f t="shared" si="17"/>
        <v>P</v>
      </c>
      <c r="D722" s="72" t="s">
        <v>3585</v>
      </c>
      <c r="E722" s="84"/>
      <c r="F722" s="84"/>
      <c r="G722" s="81"/>
      <c r="H722" s="994"/>
      <c r="I722" s="25"/>
      <c r="J722" s="25"/>
    </row>
    <row r="723" spans="1:10" x14ac:dyDescent="0.2">
      <c r="A723" s="467" t="str">
        <f ca="1">IF(I723&gt;0,"P","")</f>
        <v/>
      </c>
      <c r="B723" s="1324" t="str">
        <f>IF(LEN('11.600'!H426)=0,"",'11.600'!H426)</f>
        <v/>
      </c>
      <c r="C723" s="1280" t="str">
        <f t="shared" ca="1" si="17"/>
        <v/>
      </c>
      <c r="D723" s="136" t="s">
        <v>3586</v>
      </c>
      <c r="E723" s="85"/>
      <c r="F723" s="85"/>
      <c r="G723" s="1631" t="s">
        <v>3830</v>
      </c>
      <c r="H723" s="1326"/>
      <c r="I723" s="1397">
        <f ca="1">SUM(I730:I751)</f>
        <v>0</v>
      </c>
      <c r="J723" s="1312" t="s">
        <v>5164</v>
      </c>
    </row>
    <row r="724" spans="1:10" x14ac:dyDescent="0.2">
      <c r="A724" s="467" t="str">
        <f ca="1">A723</f>
        <v/>
      </c>
      <c r="B724" s="1324" t="str">
        <f>IF(LEN('11.600'!H427)=0,"",'11.600'!H427)</f>
        <v/>
      </c>
      <c r="C724" s="1280" t="str">
        <f t="shared" ca="1" si="17"/>
        <v/>
      </c>
      <c r="D724" s="136"/>
      <c r="E724" s="85"/>
      <c r="F724" s="85"/>
      <c r="G724" s="1631"/>
      <c r="H724" s="1326"/>
      <c r="J724" s="1312"/>
    </row>
    <row r="725" spans="1:10" x14ac:dyDescent="0.2">
      <c r="A725" s="467" t="str">
        <f ca="1">A724</f>
        <v/>
      </c>
      <c r="B725" s="1324" t="str">
        <f>IF(LEN('11.600'!H428)=0,"",'11.600'!H428)</f>
        <v/>
      </c>
      <c r="C725" s="1280" t="str">
        <f t="shared" ca="1" si="17"/>
        <v/>
      </c>
      <c r="D725" s="136"/>
      <c r="E725" s="85"/>
      <c r="F725" s="85"/>
      <c r="G725" s="1631"/>
      <c r="H725" s="1326"/>
      <c r="J725" s="1312"/>
    </row>
    <row r="726" spans="1:10" x14ac:dyDescent="0.2">
      <c r="A726" s="467" t="str">
        <f ca="1">A725</f>
        <v/>
      </c>
      <c r="B726" s="1324" t="str">
        <f>IF(LEN('11.600'!H429)=0,"",'11.600'!H429)</f>
        <v/>
      </c>
      <c r="C726" s="1280" t="str">
        <f t="shared" ca="1" si="17"/>
        <v/>
      </c>
      <c r="D726" s="136"/>
      <c r="E726" s="85"/>
      <c r="F726" s="85"/>
      <c r="G726" s="1631"/>
      <c r="H726" s="1326"/>
      <c r="J726" s="1312"/>
    </row>
    <row r="727" spans="1:10" x14ac:dyDescent="0.2">
      <c r="A727" s="467" t="str">
        <f ca="1">A726</f>
        <v/>
      </c>
      <c r="B727" s="1324" t="str">
        <f>IF(LEN('11.600'!H430)=0,"",'11.600'!H430)</f>
        <v/>
      </c>
      <c r="C727" s="1280" t="str">
        <f t="shared" ca="1" si="17"/>
        <v/>
      </c>
      <c r="D727" s="136"/>
      <c r="E727" s="85"/>
      <c r="F727" s="85"/>
      <c r="G727" s="1631"/>
      <c r="H727" s="1326"/>
      <c r="J727" s="1312"/>
    </row>
    <row r="728" spans="1:10" x14ac:dyDescent="0.2">
      <c r="A728" s="467" t="str">
        <f ca="1">A727</f>
        <v/>
      </c>
      <c r="B728" s="1324" t="str">
        <f>IF(LEN('11.600'!H431)=0,"",'11.600'!H431)</f>
        <v/>
      </c>
      <c r="C728" s="1280" t="str">
        <f t="shared" ca="1" si="17"/>
        <v/>
      </c>
      <c r="D728" s="136"/>
      <c r="E728" s="85"/>
      <c r="F728" s="85"/>
      <c r="G728" s="1631"/>
      <c r="H728" s="1326"/>
      <c r="J728" s="1312"/>
    </row>
    <row r="729" spans="1:10" ht="16" thickBot="1" x14ac:dyDescent="0.25">
      <c r="B729" s="1324" t="str">
        <f>IF(LEN('11.600'!H432)=0,"",'11.600'!H432)</f>
        <v/>
      </c>
      <c r="C729" s="1280" t="str">
        <f t="shared" si="17"/>
        <v/>
      </c>
      <c r="D729" s="136"/>
      <c r="E729" s="85"/>
      <c r="F729" s="85"/>
      <c r="G729" s="1340" t="s">
        <v>5077</v>
      </c>
      <c r="H729" s="1326"/>
      <c r="J729" s="1312"/>
    </row>
    <row r="730" spans="1:10" ht="16" thickTop="1" x14ac:dyDescent="0.2">
      <c r="A730" s="467" t="str">
        <f>IF(I730&gt;0,"P","")</f>
        <v/>
      </c>
      <c r="B730" s="1324" t="str">
        <f>IF(LEN('11.600'!H433)=0,"",'11.600'!H433)</f>
        <v/>
      </c>
      <c r="C730" s="1280" t="str">
        <f t="shared" si="17"/>
        <v/>
      </c>
      <c r="D730" s="107" t="s">
        <v>3587</v>
      </c>
      <c r="E730" s="179"/>
      <c r="F730" s="179"/>
      <c r="G730" s="1683" t="s">
        <v>3594</v>
      </c>
      <c r="H730" s="1326"/>
      <c r="I730" s="1397">
        <f>SUM(I732:I748)</f>
        <v>0</v>
      </c>
      <c r="J730" s="1799" t="s">
        <v>5165</v>
      </c>
    </row>
    <row r="731" spans="1:10" x14ac:dyDescent="0.2">
      <c r="A731" s="467" t="str">
        <f>A730</f>
        <v/>
      </c>
      <c r="B731" s="1324" t="str">
        <f>IF(LEN('11.600'!H434)=0,"",'11.600'!H434)</f>
        <v/>
      </c>
      <c r="C731" s="1280" t="str">
        <f t="shared" si="17"/>
        <v/>
      </c>
      <c r="D731" s="102"/>
      <c r="E731" s="97"/>
      <c r="F731" s="97"/>
      <c r="G731" s="1629"/>
      <c r="H731" s="1326"/>
      <c r="J731" s="1799"/>
    </row>
    <row r="732" spans="1:10" x14ac:dyDescent="0.2">
      <c r="B732" s="1324" t="str">
        <f>IF(LEN('11.600'!H435)=0,"",'11.600'!H435)</f>
        <v/>
      </c>
      <c r="C732" s="1280" t="str">
        <f t="shared" si="17"/>
        <v/>
      </c>
      <c r="D732" s="136"/>
      <c r="E732" s="93" t="s">
        <v>254</v>
      </c>
      <c r="F732" s="97"/>
      <c r="G732" s="1609" t="s">
        <v>573</v>
      </c>
      <c r="H732" s="1341" t="str">
        <f>IF(LEN('11.600'!W435)=0,"",'11.600'!W435)</f>
        <v/>
      </c>
      <c r="I732" s="88">
        <f>'11.600'!O435</f>
        <v>0</v>
      </c>
      <c r="J732" s="1312"/>
    </row>
    <row r="733" spans="1:10" x14ac:dyDescent="0.2">
      <c r="B733" s="1324" t="str">
        <f>IF(LEN('11.600'!H436)=0,"",'11.600'!H436)</f>
        <v/>
      </c>
      <c r="C733" s="1280" t="str">
        <f t="shared" si="17"/>
        <v/>
      </c>
      <c r="D733" s="136"/>
      <c r="E733" s="97"/>
      <c r="F733" s="97"/>
      <c r="G733" s="1609"/>
      <c r="H733" s="1326"/>
      <c r="J733" s="1312"/>
    </row>
    <row r="734" spans="1:10" x14ac:dyDescent="0.2">
      <c r="B734" s="1324" t="str">
        <f>IF(LEN('11.600'!H437)=0,"",'11.600'!H437)</f>
        <v/>
      </c>
      <c r="C734" s="1280" t="str">
        <f t="shared" si="17"/>
        <v/>
      </c>
      <c r="D734" s="136"/>
      <c r="E734" s="97"/>
      <c r="F734" s="97"/>
      <c r="G734" s="1609"/>
      <c r="H734" s="1326"/>
      <c r="J734" s="1312"/>
    </row>
    <row r="735" spans="1:10" x14ac:dyDescent="0.2">
      <c r="B735" s="1324" t="str">
        <f>IF(LEN('11.600'!H438)=0,"",'11.600'!H438)</f>
        <v/>
      </c>
      <c r="C735" s="1280" t="str">
        <f t="shared" si="17"/>
        <v/>
      </c>
      <c r="D735" s="136"/>
      <c r="E735" s="97"/>
      <c r="F735" s="93" t="s">
        <v>121</v>
      </c>
      <c r="G735" s="97" t="s">
        <v>574</v>
      </c>
      <c r="H735" s="1326"/>
      <c r="J735" s="1312"/>
    </row>
    <row r="736" spans="1:10" x14ac:dyDescent="0.2">
      <c r="B736" s="1324" t="str">
        <f>IF(LEN('11.600'!H439)=0,"",'11.600'!H439)</f>
        <v/>
      </c>
      <c r="C736" s="1280" t="str">
        <f t="shared" si="17"/>
        <v/>
      </c>
      <c r="D736" s="136"/>
      <c r="E736" s="97"/>
      <c r="F736" s="93" t="s">
        <v>122</v>
      </c>
      <c r="G736" s="97" t="s">
        <v>575</v>
      </c>
      <c r="H736" s="1326"/>
      <c r="J736" s="1312"/>
    </row>
    <row r="737" spans="1:10" x14ac:dyDescent="0.2">
      <c r="B737" s="1324" t="str">
        <f>IF(LEN('11.600'!H440)=0,"",'11.600'!H440)</f>
        <v/>
      </c>
      <c r="C737" s="1280" t="str">
        <f t="shared" si="17"/>
        <v/>
      </c>
      <c r="D737" s="136"/>
      <c r="E737" s="97"/>
      <c r="F737" s="93" t="s">
        <v>123</v>
      </c>
      <c r="G737" s="97" t="s">
        <v>576</v>
      </c>
      <c r="H737" s="1326"/>
      <c r="J737" s="1312"/>
    </row>
    <row r="738" spans="1:10" x14ac:dyDescent="0.2">
      <c r="B738" s="1324" t="str">
        <f>IF(LEN('11.600'!H441)=0,"",'11.600'!H441)</f>
        <v/>
      </c>
      <c r="C738" s="1280" t="str">
        <f t="shared" si="17"/>
        <v/>
      </c>
      <c r="D738" s="136"/>
      <c r="E738" s="97"/>
      <c r="F738" s="111" t="s">
        <v>366</v>
      </c>
      <c r="G738" s="97" t="s">
        <v>577</v>
      </c>
      <c r="H738" s="1326"/>
      <c r="J738" s="1312"/>
    </row>
    <row r="739" spans="1:10" x14ac:dyDescent="0.2">
      <c r="B739" s="1324" t="str">
        <f>IF(LEN('11.600'!H442)=0,"",'11.600'!H442)</f>
        <v/>
      </c>
      <c r="C739" s="1280" t="str">
        <f t="shared" si="17"/>
        <v/>
      </c>
      <c r="D739" s="136"/>
      <c r="E739" s="97"/>
      <c r="F739" s="187" t="s">
        <v>472</v>
      </c>
      <c r="G739" s="97" t="s">
        <v>578</v>
      </c>
      <c r="H739" s="1326"/>
      <c r="J739" s="1312"/>
    </row>
    <row r="740" spans="1:10" x14ac:dyDescent="0.2">
      <c r="B740" s="1324" t="str">
        <f>IF(LEN('11.600'!H443)=0,"",'11.600'!H443)</f>
        <v/>
      </c>
      <c r="C740" s="1280" t="str">
        <f t="shared" si="17"/>
        <v/>
      </c>
      <c r="D740" s="136"/>
      <c r="E740" s="170"/>
      <c r="F740" s="169" t="s">
        <v>510</v>
      </c>
      <c r="G740" s="170" t="s">
        <v>579</v>
      </c>
      <c r="H740" s="1326"/>
      <c r="J740" s="1312"/>
    </row>
    <row r="741" spans="1:10" x14ac:dyDescent="0.2">
      <c r="B741" s="1324" t="str">
        <f>IF(LEN('11.600'!H444)=0,"",'11.600'!H444)</f>
        <v/>
      </c>
      <c r="C741" s="1280" t="str">
        <f t="shared" si="17"/>
        <v/>
      </c>
      <c r="D741" s="136"/>
      <c r="E741" s="860" t="s">
        <v>255</v>
      </c>
      <c r="F741" s="194"/>
      <c r="G741" s="1613" t="s">
        <v>580</v>
      </c>
      <c r="H741" s="1341" t="str">
        <f>IF(LEN('11.600'!W444)=0,"",'11.600'!W444)</f>
        <v/>
      </c>
      <c r="I741" s="88">
        <f>'11.600'!O444</f>
        <v>0</v>
      </c>
      <c r="J741" s="1312"/>
    </row>
    <row r="742" spans="1:10" x14ac:dyDescent="0.2">
      <c r="B742" s="1324" t="str">
        <f>IF(LEN('11.600'!H445)=0,"",'11.600'!H445)</f>
        <v/>
      </c>
      <c r="C742" s="1280" t="str">
        <f t="shared" si="17"/>
        <v/>
      </c>
      <c r="D742" s="136"/>
      <c r="E742" s="97"/>
      <c r="F742" s="97"/>
      <c r="G742" s="1609"/>
      <c r="H742" s="1326"/>
      <c r="J742" s="1312"/>
    </row>
    <row r="743" spans="1:10" x14ac:dyDescent="0.2">
      <c r="B743" s="1324" t="str">
        <f>IF(LEN('11.600'!H446)=0,"",'11.600'!H446)</f>
        <v/>
      </c>
      <c r="C743" s="1280" t="str">
        <f t="shared" si="17"/>
        <v/>
      </c>
      <c r="D743" s="136"/>
      <c r="E743" s="97"/>
      <c r="F743" s="97"/>
      <c r="G743" s="1609"/>
      <c r="H743" s="1326"/>
      <c r="J743" s="1312"/>
    </row>
    <row r="744" spans="1:10" x14ac:dyDescent="0.2">
      <c r="B744" s="1324" t="str">
        <f>IF(LEN('11.600'!H447)=0,"",'11.600'!H447)</f>
        <v/>
      </c>
      <c r="C744" s="1280" t="str">
        <f t="shared" si="17"/>
        <v/>
      </c>
      <c r="D744" s="136"/>
      <c r="E744" s="97"/>
      <c r="F744" s="97"/>
      <c r="G744" s="1609"/>
      <c r="H744" s="1326"/>
      <c r="J744" s="1312"/>
    </row>
    <row r="745" spans="1:10" x14ac:dyDescent="0.2">
      <c r="B745" s="1324" t="str">
        <f>IF(LEN('11.600'!H448)=0,"",'11.600'!H448)</f>
        <v/>
      </c>
      <c r="C745" s="1280" t="str">
        <f t="shared" si="17"/>
        <v/>
      </c>
      <c r="D745" s="136"/>
      <c r="E745" s="97"/>
      <c r="F745" s="97"/>
      <c r="G745" s="1609"/>
      <c r="H745" s="1326"/>
      <c r="J745" s="1312"/>
    </row>
    <row r="746" spans="1:10" x14ac:dyDescent="0.2">
      <c r="B746" s="1324" t="str">
        <f>IF(LEN('11.600'!H449)=0,"",'11.600'!H449)</f>
        <v/>
      </c>
      <c r="C746" s="1280" t="str">
        <f t="shared" si="17"/>
        <v/>
      </c>
      <c r="D746" s="136"/>
      <c r="E746" s="97"/>
      <c r="F746" s="97"/>
      <c r="G746" s="1609"/>
      <c r="H746" s="1326"/>
      <c r="J746" s="1312"/>
    </row>
    <row r="747" spans="1:10" x14ac:dyDescent="0.2">
      <c r="B747" s="1324" t="str">
        <f>IF(LEN('11.600'!H450)=0,"",'11.600'!H450)</f>
        <v/>
      </c>
      <c r="C747" s="1280" t="str">
        <f t="shared" si="17"/>
        <v/>
      </c>
      <c r="D747" s="136"/>
      <c r="E747" s="170"/>
      <c r="F747" s="170"/>
      <c r="G747" s="1612"/>
      <c r="H747" s="1326"/>
      <c r="J747" s="1312"/>
    </row>
    <row r="748" spans="1:10" x14ac:dyDescent="0.2">
      <c r="B748" s="1324" t="str">
        <f>IF(LEN('11.600'!H451)=0,"",'11.600'!H451)</f>
        <v/>
      </c>
      <c r="C748" s="1280" t="str">
        <f t="shared" si="17"/>
        <v/>
      </c>
      <c r="D748" s="136"/>
      <c r="E748" s="89" t="s">
        <v>256</v>
      </c>
      <c r="F748" s="85"/>
      <c r="G748" s="1611" t="s">
        <v>581</v>
      </c>
      <c r="H748" s="1341" t="str">
        <f>IF(LEN('11.600'!W451)=0,"",'11.600'!W451)</f>
        <v/>
      </c>
      <c r="I748" s="88">
        <f>'11.600'!O451</f>
        <v>0</v>
      </c>
      <c r="J748" s="1312"/>
    </row>
    <row r="749" spans="1:10" ht="16" thickBot="1" x14ac:dyDescent="0.25">
      <c r="B749" s="1324" t="str">
        <f>IF(LEN('11.600'!H452)=0,"",'11.600'!H452)</f>
        <v/>
      </c>
      <c r="C749" s="1280" t="str">
        <f t="shared" si="17"/>
        <v/>
      </c>
      <c r="D749" s="136"/>
      <c r="E749" s="85"/>
      <c r="F749" s="85"/>
      <c r="G749" s="1611"/>
      <c r="H749" s="1326"/>
      <c r="J749" s="1312"/>
    </row>
    <row r="750" spans="1:10" ht="16" thickTop="1" x14ac:dyDescent="0.2">
      <c r="A750" s="467" t="str">
        <f ca="1">IF(I750&gt;0,"P","")</f>
        <v/>
      </c>
      <c r="B750" s="1324" t="str">
        <f>IF(LEN('11.600'!H453)=0,"",'11.600'!H453)</f>
        <v/>
      </c>
      <c r="C750" s="1280" t="str">
        <f t="shared" ca="1" si="17"/>
        <v/>
      </c>
      <c r="D750" s="107" t="s">
        <v>3588</v>
      </c>
      <c r="E750" s="179"/>
      <c r="F750" s="179"/>
      <c r="G750" s="1683" t="s">
        <v>3593</v>
      </c>
      <c r="H750" s="1326"/>
      <c r="I750" s="88">
        <f ca="1">'11.600'!O453</f>
        <v>0</v>
      </c>
      <c r="J750" s="1312"/>
    </row>
    <row r="751" spans="1:10" x14ac:dyDescent="0.2">
      <c r="A751" s="467" t="str">
        <f t="shared" ref="A751:A753" ca="1" si="18">A750</f>
        <v/>
      </c>
      <c r="B751" s="1324" t="str">
        <f>IF(LEN('11.600'!H454)=0,"",'11.600'!H454)</f>
        <v/>
      </c>
      <c r="C751" s="1280" t="str">
        <f t="shared" ca="1" si="17"/>
        <v/>
      </c>
      <c r="D751" s="102"/>
      <c r="E751" s="97"/>
      <c r="F751" s="97"/>
      <c r="G751" s="1629"/>
      <c r="H751" s="1326"/>
      <c r="J751" s="1312"/>
    </row>
    <row r="752" spans="1:10" x14ac:dyDescent="0.2">
      <c r="A752" s="467" t="str">
        <f t="shared" ca="1" si="18"/>
        <v/>
      </c>
      <c r="B752" s="1324" t="str">
        <f>IF(LEN('11.600'!H455)=0,"",'11.600'!H455)</f>
        <v/>
      </c>
      <c r="C752" s="1280" t="str">
        <f t="shared" ca="1" si="17"/>
        <v/>
      </c>
      <c r="D752" s="102"/>
      <c r="E752" s="97"/>
      <c r="F752" s="97"/>
      <c r="G752" s="1629"/>
      <c r="H752" s="1326"/>
      <c r="J752" s="1312"/>
    </row>
    <row r="753" spans="1:10" x14ac:dyDescent="0.2">
      <c r="A753" s="467" t="str">
        <f t="shared" ca="1" si="18"/>
        <v/>
      </c>
      <c r="B753" s="1324" t="str">
        <f>IF(LEN('11.600'!H456)=0,"",'11.600'!H456)</f>
        <v/>
      </c>
      <c r="C753" s="1280" t="str">
        <f t="shared" ca="1" si="17"/>
        <v/>
      </c>
      <c r="D753" s="591"/>
      <c r="E753" s="170"/>
      <c r="F753" s="170"/>
      <c r="G753" s="1696"/>
      <c r="H753" s="1326"/>
      <c r="J753" s="1312"/>
    </row>
    <row r="754" spans="1:10" x14ac:dyDescent="0.2">
      <c r="A754" s="467" t="str">
        <f>IF(OR(LEN(H756)&gt;0,LEN(H763)&gt;0),"P","")</f>
        <v/>
      </c>
      <c r="B754" s="1324" t="str">
        <f>IF(LEN('11.600'!H457)=0,"",'11.600'!H457)</f>
        <v/>
      </c>
      <c r="C754" s="1280" t="str">
        <f t="shared" si="17"/>
        <v/>
      </c>
      <c r="D754" s="593" t="s">
        <v>3589</v>
      </c>
      <c r="E754" s="194"/>
      <c r="F754" s="194"/>
      <c r="G754" s="1712" t="s">
        <v>3592</v>
      </c>
      <c r="H754" s="1724"/>
      <c r="J754" s="1779" t="s">
        <v>3147</v>
      </c>
    </row>
    <row r="755" spans="1:10" x14ac:dyDescent="0.2">
      <c r="A755" s="467" t="str">
        <f t="shared" ref="A755:A756" si="19">A754</f>
        <v/>
      </c>
      <c r="B755" s="1324" t="str">
        <f>IF(LEN('11.600'!H458)=0,"",'11.600'!H458)</f>
        <v/>
      </c>
      <c r="C755" s="1280" t="str">
        <f t="shared" si="17"/>
        <v/>
      </c>
      <c r="D755" s="102"/>
      <c r="E755" s="97"/>
      <c r="F755" s="97"/>
      <c r="G755" s="1629"/>
      <c r="H755" s="1724"/>
      <c r="J755" s="1779"/>
    </row>
    <row r="756" spans="1:10" x14ac:dyDescent="0.2">
      <c r="A756" s="467" t="str">
        <f t="shared" si="19"/>
        <v/>
      </c>
      <c r="B756" s="1324" t="str">
        <f>IF(LEN('11.600'!H459)=0,"",'11.600'!H459)</f>
        <v/>
      </c>
      <c r="C756" s="1280" t="str">
        <f t="shared" si="17"/>
        <v/>
      </c>
      <c r="D756" s="102"/>
      <c r="E756" s="97"/>
      <c r="F756" s="97"/>
      <c r="G756" s="1629"/>
      <c r="H756" s="1341" t="str">
        <f>IF(LEN('11.600'!W459)=0,"",'11.600'!W459)</f>
        <v/>
      </c>
      <c r="J756" s="1779"/>
    </row>
    <row r="757" spans="1:10" x14ac:dyDescent="0.2">
      <c r="B757" s="1324" t="str">
        <f>IF(LEN('11.600'!H460)=0,"",'11.600'!H460)</f>
        <v/>
      </c>
      <c r="C757" s="1280" t="str">
        <f t="shared" si="17"/>
        <v/>
      </c>
      <c r="D757" s="102"/>
      <c r="E757" s="97"/>
      <c r="F757" s="93" t="s">
        <v>121</v>
      </c>
      <c r="G757" s="97" t="s">
        <v>574</v>
      </c>
      <c r="H757" s="1326"/>
      <c r="J757" s="1312"/>
    </row>
    <row r="758" spans="1:10" x14ac:dyDescent="0.2">
      <c r="B758" s="1324" t="str">
        <f>IF(LEN('11.600'!H461)=0,"",'11.600'!H461)</f>
        <v/>
      </c>
      <c r="C758" s="1280" t="str">
        <f t="shared" si="17"/>
        <v/>
      </c>
      <c r="D758" s="102"/>
      <c r="E758" s="97"/>
      <c r="F758" s="93" t="s">
        <v>122</v>
      </c>
      <c r="G758" s="97" t="s">
        <v>575</v>
      </c>
      <c r="H758" s="1326"/>
      <c r="J758" s="1312"/>
    </row>
    <row r="759" spans="1:10" x14ac:dyDescent="0.2">
      <c r="B759" s="1324" t="str">
        <f>IF(LEN('11.600'!H462)=0,"",'11.600'!H462)</f>
        <v/>
      </c>
      <c r="C759" s="1280" t="str">
        <f t="shared" si="17"/>
        <v/>
      </c>
      <c r="D759" s="102"/>
      <c r="E759" s="97"/>
      <c r="F759" s="93" t="s">
        <v>123</v>
      </c>
      <c r="G759" s="97" t="s">
        <v>576</v>
      </c>
      <c r="H759" s="1326"/>
      <c r="J759" s="1312"/>
    </row>
    <row r="760" spans="1:10" x14ac:dyDescent="0.2">
      <c r="B760" s="1324" t="str">
        <f>IF(LEN('11.600'!H463)=0,"",'11.600'!H463)</f>
        <v/>
      </c>
      <c r="C760" s="1280" t="str">
        <f t="shared" si="17"/>
        <v/>
      </c>
      <c r="D760" s="102"/>
      <c r="E760" s="97"/>
      <c r="F760" s="111" t="s">
        <v>366</v>
      </c>
      <c r="G760" s="97" t="s">
        <v>577</v>
      </c>
      <c r="H760" s="1326"/>
      <c r="J760" s="1312"/>
    </row>
    <row r="761" spans="1:10" x14ac:dyDescent="0.2">
      <c r="B761" s="1324" t="str">
        <f>IF(LEN('11.600'!H464)=0,"",'11.600'!H464)</f>
        <v/>
      </c>
      <c r="C761" s="1280" t="str">
        <f t="shared" si="17"/>
        <v/>
      </c>
      <c r="D761" s="102"/>
      <c r="E761" s="97"/>
      <c r="F761" s="187" t="s">
        <v>472</v>
      </c>
      <c r="G761" s="97" t="s">
        <v>578</v>
      </c>
      <c r="H761" s="1724"/>
      <c r="J761" s="1312"/>
    </row>
    <row r="762" spans="1:10" x14ac:dyDescent="0.2">
      <c r="B762" s="1324" t="str">
        <f>IF(LEN('11.600'!H465)=0,"",'11.600'!H465)</f>
        <v/>
      </c>
      <c r="C762" s="1280" t="str">
        <f t="shared" si="17"/>
        <v/>
      </c>
      <c r="D762" s="102"/>
      <c r="E762" s="97"/>
      <c r="F762" s="93" t="s">
        <v>510</v>
      </c>
      <c r="G762" s="97" t="s">
        <v>579</v>
      </c>
      <c r="H762" s="1724"/>
      <c r="J762" s="1312"/>
    </row>
    <row r="763" spans="1:10" x14ac:dyDescent="0.2">
      <c r="B763" s="1324" t="str">
        <f>IF(LEN('11.600'!H466)=0,"",'11.600'!H466)</f>
        <v/>
      </c>
      <c r="C763" s="1280" t="str">
        <f t="shared" si="17"/>
        <v/>
      </c>
      <c r="D763" s="102"/>
      <c r="E763" s="97"/>
      <c r="F763" s="866"/>
      <c r="G763" s="1705" t="s">
        <v>585</v>
      </c>
      <c r="H763" s="1341" t="str">
        <f>IF(LEN('11.600'!W466)=0,"",'11.600'!W466)</f>
        <v/>
      </c>
      <c r="J763" s="1312"/>
    </row>
    <row r="764" spans="1:10" x14ac:dyDescent="0.2">
      <c r="B764" s="1324" t="str">
        <f>IF(LEN('11.600'!H467)=0,"",'11.600'!H467)</f>
        <v/>
      </c>
      <c r="C764" s="1280" t="str">
        <f t="shared" si="17"/>
        <v/>
      </c>
      <c r="D764" s="102"/>
      <c r="E764" s="97"/>
      <c r="F764" s="1297"/>
      <c r="G764" s="1705"/>
      <c r="H764" s="1326"/>
      <c r="J764" s="1312"/>
    </row>
    <row r="765" spans="1:10" x14ac:dyDescent="0.2">
      <c r="B765" s="1324" t="str">
        <f>IF(LEN('11.600'!H468)=0,"",'11.600'!H468)</f>
        <v/>
      </c>
      <c r="C765" s="1280" t="str">
        <f t="shared" si="17"/>
        <v/>
      </c>
      <c r="D765" s="102"/>
      <c r="E765" s="97"/>
      <c r="F765" s="1297"/>
      <c r="G765" s="1705"/>
      <c r="H765" s="1326"/>
      <c r="J765" s="1312"/>
    </row>
    <row r="766" spans="1:10" x14ac:dyDescent="0.2">
      <c r="B766" s="1324" t="str">
        <f>IF(LEN('11.600'!H469)=0,"",'11.600'!H469)</f>
        <v/>
      </c>
      <c r="C766" s="1280" t="str">
        <f t="shared" si="17"/>
        <v/>
      </c>
      <c r="D766" s="102"/>
      <c r="E766" s="97"/>
      <c r="F766" s="1297"/>
      <c r="G766" s="1782" t="s">
        <v>2650</v>
      </c>
      <c r="H766" s="1326"/>
      <c r="J766" s="1312"/>
    </row>
    <row r="767" spans="1:10" x14ac:dyDescent="0.2">
      <c r="B767" s="1324" t="str">
        <f>IF(LEN('11.600'!H470)=0,"",'11.600'!H470)</f>
        <v/>
      </c>
      <c r="C767" s="1280" t="str">
        <f t="shared" si="17"/>
        <v/>
      </c>
      <c r="D767" s="591"/>
      <c r="E767" s="170"/>
      <c r="F767" s="1298"/>
      <c r="G767" s="1783"/>
      <c r="H767" s="1326"/>
      <c r="J767" s="1312"/>
    </row>
    <row r="768" spans="1:10" x14ac:dyDescent="0.2">
      <c r="A768" s="467" t="str">
        <f>IF(OR(LEN(H769)&gt;0,LEN(H775)&gt;0,LEN(H781)&gt;0,LEN(H787)&gt;0),"P","")</f>
        <v/>
      </c>
      <c r="B768" s="1324" t="str">
        <f>IF(LEN('11.600'!H471)=0,"",'11.600'!H471)</f>
        <v/>
      </c>
      <c r="C768" s="1280" t="str">
        <f t="shared" si="17"/>
        <v/>
      </c>
      <c r="D768" s="136" t="s">
        <v>3590</v>
      </c>
      <c r="E768" s="85"/>
      <c r="F768" s="85"/>
      <c r="G768" s="1631" t="s">
        <v>3834</v>
      </c>
      <c r="H768" s="1326"/>
      <c r="J768" s="1801" t="s">
        <v>3202</v>
      </c>
    </row>
    <row r="769" spans="1:10" x14ac:dyDescent="0.2">
      <c r="A769" s="467" t="str">
        <f t="shared" ref="A769:A775" si="20">A768</f>
        <v/>
      </c>
      <c r="B769" s="1324" t="str">
        <f>IF(LEN('11.600'!H472)=0,"",'11.600'!H472)</f>
        <v/>
      </c>
      <c r="C769" s="1280" t="str">
        <f t="shared" si="17"/>
        <v/>
      </c>
      <c r="D769" s="136"/>
      <c r="E769" s="85"/>
      <c r="F769" s="85"/>
      <c r="G769" s="1631"/>
      <c r="H769" s="1341" t="str">
        <f>IF(LEN('11.600'!W472)=0,"",'11.600'!W472)</f>
        <v/>
      </c>
      <c r="J769" s="1801"/>
    </row>
    <row r="770" spans="1:10" x14ac:dyDescent="0.2">
      <c r="A770" s="467" t="str">
        <f t="shared" si="20"/>
        <v/>
      </c>
      <c r="B770" s="1324" t="str">
        <f>IF(LEN('11.600'!H473)=0,"",'11.600'!H473)</f>
        <v/>
      </c>
      <c r="C770" s="1280" t="str">
        <f t="shared" si="17"/>
        <v/>
      </c>
      <c r="D770" s="136"/>
      <c r="E770" s="85"/>
      <c r="F770" s="85"/>
      <c r="G770" s="1631"/>
      <c r="H770" s="1326"/>
      <c r="J770" s="1327"/>
    </row>
    <row r="771" spans="1:10" x14ac:dyDescent="0.2">
      <c r="A771" s="467" t="str">
        <f t="shared" si="20"/>
        <v/>
      </c>
      <c r="B771" s="1324" t="str">
        <f>IF(LEN('11.600'!H474)=0,"",'11.600'!H474)</f>
        <v/>
      </c>
      <c r="C771" s="1280" t="str">
        <f t="shared" si="17"/>
        <v/>
      </c>
      <c r="D771" s="136"/>
      <c r="E771" s="85"/>
      <c r="F771" s="85"/>
      <c r="G771" s="1631"/>
      <c r="H771" s="1326"/>
      <c r="J771" s="1327"/>
    </row>
    <row r="772" spans="1:10" x14ac:dyDescent="0.2">
      <c r="A772" s="467" t="str">
        <f t="shared" si="20"/>
        <v/>
      </c>
      <c r="B772" s="1324" t="str">
        <f>IF(LEN('11.600'!H475)=0,"",'11.600'!H475)</f>
        <v/>
      </c>
      <c r="C772" s="1280" t="str">
        <f t="shared" si="17"/>
        <v/>
      </c>
      <c r="D772" s="136"/>
      <c r="E772" s="85"/>
      <c r="F772" s="85"/>
      <c r="G772" s="1631"/>
      <c r="H772" s="1326"/>
      <c r="J772" s="1327"/>
    </row>
    <row r="773" spans="1:10" x14ac:dyDescent="0.2">
      <c r="A773" s="467" t="str">
        <f t="shared" si="20"/>
        <v/>
      </c>
      <c r="B773" s="1324" t="str">
        <f>IF(LEN('11.600'!H476)=0,"",'11.600'!H476)</f>
        <v/>
      </c>
      <c r="C773" s="1280" t="str">
        <f t="shared" si="17"/>
        <v/>
      </c>
      <c r="D773" s="136"/>
      <c r="E773" s="85"/>
      <c r="F773" s="85"/>
      <c r="G773" s="1631"/>
      <c r="H773" s="1326"/>
      <c r="J773" s="1327"/>
    </row>
    <row r="774" spans="1:10" x14ac:dyDescent="0.2">
      <c r="A774" s="467" t="str">
        <f t="shared" si="20"/>
        <v/>
      </c>
      <c r="B774" s="1324" t="str">
        <f>IF(LEN('11.600'!H477)=0,"",'11.600'!H477)</f>
        <v/>
      </c>
      <c r="C774" s="1280" t="str">
        <f t="shared" si="17"/>
        <v/>
      </c>
      <c r="D774" s="136"/>
      <c r="E774" s="85"/>
      <c r="F774" s="85"/>
      <c r="G774" s="1631"/>
      <c r="H774" s="1326"/>
      <c r="J774" s="1327"/>
    </row>
    <row r="775" spans="1:10" x14ac:dyDescent="0.2">
      <c r="A775" s="467" t="str">
        <f t="shared" si="20"/>
        <v/>
      </c>
      <c r="B775" s="1324" t="str">
        <f>IF(LEN('11.600'!H478)=0,"",'11.600'!H478)</f>
        <v/>
      </c>
      <c r="C775" s="1280" t="str">
        <f t="shared" si="17"/>
        <v/>
      </c>
      <c r="D775" s="136"/>
      <c r="E775" s="85"/>
      <c r="F775" s="85"/>
      <c r="G775" s="1631"/>
      <c r="H775" s="1341" t="str">
        <f>IF(LEN('11.600'!W478)=0,"",'11.600'!W478)</f>
        <v/>
      </c>
      <c r="J775" s="1327"/>
    </row>
    <row r="776" spans="1:10" x14ac:dyDescent="0.2">
      <c r="B776" s="1324" t="str">
        <f>IF(LEN('11.600'!H479)=0,"",'11.600'!H479)</f>
        <v/>
      </c>
      <c r="C776" s="1280" t="str">
        <f t="shared" ref="C776:C839" si="21">IF(LEN(B776)=0,IF(A776="P","P",""),B776)</f>
        <v/>
      </c>
      <c r="D776" s="136"/>
      <c r="E776" s="85"/>
      <c r="F776" s="89" t="s">
        <v>121</v>
      </c>
      <c r="G776" s="85" t="s">
        <v>587</v>
      </c>
      <c r="H776" s="1326"/>
      <c r="J776" s="1312"/>
    </row>
    <row r="777" spans="1:10" x14ac:dyDescent="0.2">
      <c r="B777" s="1324" t="str">
        <f>IF(LEN('11.600'!H480)=0,"",'11.600'!H480)</f>
        <v/>
      </c>
      <c r="C777" s="1280" t="str">
        <f t="shared" si="21"/>
        <v/>
      </c>
      <c r="D777" s="136"/>
      <c r="E777" s="85"/>
      <c r="F777" s="89" t="s">
        <v>122</v>
      </c>
      <c r="G777" s="85" t="s">
        <v>588</v>
      </c>
      <c r="H777" s="1326"/>
      <c r="J777" s="1312"/>
    </row>
    <row r="778" spans="1:10" x14ac:dyDescent="0.2">
      <c r="B778" s="1324" t="str">
        <f>IF(LEN('11.600'!H481)=0,"",'11.600'!H481)</f>
        <v/>
      </c>
      <c r="C778" s="1280" t="str">
        <f t="shared" si="21"/>
        <v/>
      </c>
      <c r="D778" s="136"/>
      <c r="E778" s="85"/>
      <c r="F778" s="89" t="s">
        <v>123</v>
      </c>
      <c r="G778" s="85" t="s">
        <v>589</v>
      </c>
      <c r="H778" s="1326"/>
      <c r="J778" s="1312"/>
    </row>
    <row r="779" spans="1:10" x14ac:dyDescent="0.2">
      <c r="B779" s="1324" t="str">
        <f>IF(LEN('11.600'!H482)=0,"",'11.600'!H482)</f>
        <v/>
      </c>
      <c r="C779" s="1280" t="str">
        <f t="shared" si="21"/>
        <v/>
      </c>
      <c r="D779" s="136"/>
      <c r="E779" s="85"/>
      <c r="F779" s="91" t="s">
        <v>366</v>
      </c>
      <c r="G779" s="85" t="s">
        <v>590</v>
      </c>
      <c r="H779" s="1326"/>
      <c r="J779" s="1312"/>
    </row>
    <row r="780" spans="1:10" x14ac:dyDescent="0.2">
      <c r="B780" s="1324" t="str">
        <f>IF(LEN('11.600'!H483)=0,"",'11.600'!H483)</f>
        <v/>
      </c>
      <c r="C780" s="1280" t="str">
        <f t="shared" si="21"/>
        <v/>
      </c>
      <c r="D780" s="136"/>
      <c r="E780" s="85"/>
      <c r="F780" s="85"/>
      <c r="G780" s="1717" t="s">
        <v>591</v>
      </c>
      <c r="H780" s="1326"/>
      <c r="J780" s="1312"/>
    </row>
    <row r="781" spans="1:10" x14ac:dyDescent="0.2">
      <c r="B781" s="1324" t="str">
        <f>IF(LEN('11.600'!H484)=0,"",'11.600'!H484)</f>
        <v/>
      </c>
      <c r="C781" s="1280" t="str">
        <f t="shared" si="21"/>
        <v/>
      </c>
      <c r="D781" s="136"/>
      <c r="E781" s="85"/>
      <c r="F781" s="85"/>
      <c r="G781" s="1717"/>
      <c r="H781" s="1341" t="str">
        <f>IF(LEN('11.600'!W484)=0,"",'11.600'!W484)</f>
        <v/>
      </c>
      <c r="J781" s="1312"/>
    </row>
    <row r="782" spans="1:10" x14ac:dyDescent="0.2">
      <c r="B782" s="1324" t="str">
        <f>IF(LEN('11.600'!H485)=0,"",'11.600'!H485)</f>
        <v/>
      </c>
      <c r="C782" s="1280" t="str">
        <f t="shared" si="21"/>
        <v/>
      </c>
      <c r="D782" s="136"/>
      <c r="E782" s="85"/>
      <c r="F782" s="89" t="s">
        <v>121</v>
      </c>
      <c r="G782" s="85" t="s">
        <v>574</v>
      </c>
      <c r="H782" s="1326"/>
      <c r="J782" s="1312"/>
    </row>
    <row r="783" spans="1:10" x14ac:dyDescent="0.2">
      <c r="B783" s="1324" t="str">
        <f>IF(LEN('11.600'!H486)=0,"",'11.600'!H486)</f>
        <v/>
      </c>
      <c r="C783" s="1280" t="str">
        <f t="shared" si="21"/>
        <v/>
      </c>
      <c r="D783" s="136"/>
      <c r="E783" s="85"/>
      <c r="F783" s="89" t="s">
        <v>122</v>
      </c>
      <c r="G783" s="85" t="s">
        <v>575</v>
      </c>
      <c r="H783" s="1326"/>
      <c r="J783" s="1312"/>
    </row>
    <row r="784" spans="1:10" x14ac:dyDescent="0.2">
      <c r="B784" s="1324" t="str">
        <f>IF(LEN('11.600'!H487)=0,"",'11.600'!H487)</f>
        <v/>
      </c>
      <c r="C784" s="1280" t="str">
        <f t="shared" si="21"/>
        <v/>
      </c>
      <c r="D784" s="136"/>
      <c r="E784" s="85"/>
      <c r="F784" s="89" t="s">
        <v>123</v>
      </c>
      <c r="G784" s="85" t="s">
        <v>576</v>
      </c>
      <c r="H784" s="1326"/>
      <c r="J784" s="1312"/>
    </row>
    <row r="785" spans="1:10" x14ac:dyDescent="0.2">
      <c r="B785" s="1324" t="str">
        <f>IF(LEN('11.600'!H488)=0,"",'11.600'!H488)</f>
        <v/>
      </c>
      <c r="C785" s="1280" t="str">
        <f t="shared" si="21"/>
        <v/>
      </c>
      <c r="D785" s="136"/>
      <c r="E785" s="85"/>
      <c r="F785" s="91" t="s">
        <v>366</v>
      </c>
      <c r="G785" s="85" t="s">
        <v>577</v>
      </c>
      <c r="H785" s="1326"/>
      <c r="J785" s="1312"/>
    </row>
    <row r="786" spans="1:10" x14ac:dyDescent="0.2">
      <c r="B786" s="1324" t="str">
        <f>IF(LEN('11.600'!H489)=0,"",'11.600'!H489)</f>
        <v/>
      </c>
      <c r="C786" s="1280" t="str">
        <f t="shared" si="21"/>
        <v/>
      </c>
      <c r="D786" s="136"/>
      <c r="E786" s="85"/>
      <c r="F786" s="87" t="s">
        <v>472</v>
      </c>
      <c r="G786" s="85" t="s">
        <v>578</v>
      </c>
      <c r="H786" s="1326"/>
      <c r="J786" s="1312"/>
    </row>
    <row r="787" spans="1:10" x14ac:dyDescent="0.2">
      <c r="B787" s="1324" t="str">
        <f>IF(LEN('11.600'!H490)=0,"",'11.600'!H490)</f>
        <v/>
      </c>
      <c r="C787" s="1280" t="str">
        <f t="shared" si="21"/>
        <v/>
      </c>
      <c r="D787" s="136"/>
      <c r="E787" s="85"/>
      <c r="F787" s="89" t="s">
        <v>510</v>
      </c>
      <c r="G787" s="85" t="s">
        <v>579</v>
      </c>
      <c r="H787" s="1341" t="str">
        <f>IF(LEN('11.600'!W490)=0,"",'11.600'!W490)</f>
        <v/>
      </c>
      <c r="J787" s="1312"/>
    </row>
    <row r="788" spans="1:10" x14ac:dyDescent="0.2">
      <c r="B788" s="1324" t="str">
        <f>IF(LEN('11.600'!H491)=0,"",'11.600'!H491)</f>
        <v/>
      </c>
      <c r="C788" s="1280" t="str">
        <f t="shared" si="21"/>
        <v/>
      </c>
      <c r="D788" s="136"/>
      <c r="E788" s="85"/>
      <c r="F788" s="85"/>
      <c r="G788" s="1707" t="s">
        <v>3836</v>
      </c>
      <c r="H788" s="1326"/>
      <c r="J788" s="1312"/>
    </row>
    <row r="789" spans="1:10" x14ac:dyDescent="0.2">
      <c r="B789" s="1324" t="str">
        <f>IF(LEN('11.600'!H492)=0,"",'11.600'!H492)</f>
        <v/>
      </c>
      <c r="C789" s="1280" t="str">
        <f t="shared" si="21"/>
        <v/>
      </c>
      <c r="D789" s="136"/>
      <c r="E789" s="85"/>
      <c r="F789" s="85"/>
      <c r="G789" s="1794"/>
      <c r="H789" s="1326"/>
      <c r="J789" s="1312"/>
    </row>
    <row r="790" spans="1:10" x14ac:dyDescent="0.2">
      <c r="B790" s="1324" t="str">
        <f>IF(LEN('11.600'!H493)=0,"",'11.600'!H493)</f>
        <v/>
      </c>
      <c r="C790" s="1280" t="str">
        <f t="shared" si="21"/>
        <v/>
      </c>
      <c r="D790" s="136"/>
      <c r="E790" s="85"/>
      <c r="F790" s="85"/>
      <c r="G790" s="1785" t="s">
        <v>2658</v>
      </c>
      <c r="H790" s="1326"/>
      <c r="J790" s="1312"/>
    </row>
    <row r="791" spans="1:10" x14ac:dyDescent="0.2">
      <c r="B791" s="1324" t="str">
        <f>IF(LEN('11.600'!H494)=0,"",'11.600'!H494)</f>
        <v/>
      </c>
      <c r="C791" s="1280" t="str">
        <f t="shared" si="21"/>
        <v/>
      </c>
      <c r="D791" s="136"/>
      <c r="E791" s="85"/>
      <c r="F791" s="85"/>
      <c r="G791" s="1787"/>
      <c r="H791" s="1326"/>
      <c r="J791" s="1312"/>
    </row>
    <row r="792" spans="1:10" ht="19" x14ac:dyDescent="0.25">
      <c r="A792" s="467" t="s">
        <v>3200</v>
      </c>
      <c r="B792" s="1324" t="str">
        <f>IF(LEN('11.600'!H495)=0,"",'11.600'!H495)</f>
        <v/>
      </c>
      <c r="C792" s="1280" t="str">
        <f t="shared" si="21"/>
        <v>P</v>
      </c>
      <c r="D792" s="1328" t="s">
        <v>5032</v>
      </c>
      <c r="E792" s="1144"/>
      <c r="F792" s="1144"/>
      <c r="G792" s="1145"/>
      <c r="H792" s="994"/>
      <c r="I792" s="25"/>
      <c r="J792" s="25"/>
    </row>
    <row r="793" spans="1:10" x14ac:dyDescent="0.2">
      <c r="A793" s="467" t="str">
        <f>IF(I793&gt;0,"P","")</f>
        <v/>
      </c>
      <c r="B793" s="1324" t="str">
        <f>IF(LEN('11.600'!H496)=0,"",'11.600'!H496)</f>
        <v/>
      </c>
      <c r="C793" s="1280" t="str">
        <f t="shared" si="21"/>
        <v/>
      </c>
      <c r="D793" s="102" t="s">
        <v>3591</v>
      </c>
      <c r="E793" s="97"/>
      <c r="F793" s="97"/>
      <c r="G793" s="1629" t="s">
        <v>4000</v>
      </c>
      <c r="H793" s="1326"/>
      <c r="I793" s="88">
        <f>'11.600'!O496</f>
        <v>0</v>
      </c>
      <c r="J793" s="1312"/>
    </row>
    <row r="794" spans="1:10" x14ac:dyDescent="0.2">
      <c r="A794" s="467" t="str">
        <f t="shared" ref="A794:A797" si="22">A793</f>
        <v/>
      </c>
      <c r="B794" s="1324" t="str">
        <f>IF(LEN('11.600'!H497)=0,"",'11.600'!H497)</f>
        <v/>
      </c>
      <c r="C794" s="1280" t="str">
        <f t="shared" si="21"/>
        <v/>
      </c>
      <c r="D794" s="102"/>
      <c r="E794" s="97"/>
      <c r="F794" s="97"/>
      <c r="G794" s="1629"/>
      <c r="H794" s="1326"/>
      <c r="J794" s="1312"/>
    </row>
    <row r="795" spans="1:10" x14ac:dyDescent="0.2">
      <c r="A795" s="467" t="str">
        <f t="shared" si="22"/>
        <v/>
      </c>
      <c r="B795" s="1324" t="str">
        <f>IF(LEN('11.600'!H498)=0,"",'11.600'!H498)</f>
        <v/>
      </c>
      <c r="C795" s="1280" t="str">
        <f t="shared" si="21"/>
        <v/>
      </c>
      <c r="D795" s="102"/>
      <c r="E795" s="97"/>
      <c r="F795" s="97"/>
      <c r="G795" s="1629"/>
      <c r="H795" s="1326"/>
      <c r="J795" s="1312"/>
    </row>
    <row r="796" spans="1:10" x14ac:dyDescent="0.2">
      <c r="A796" s="467" t="str">
        <f t="shared" si="22"/>
        <v/>
      </c>
      <c r="B796" s="1324" t="str">
        <f>IF(LEN('11.600'!H499)=0,"",'11.600'!H499)</f>
        <v/>
      </c>
      <c r="C796" s="1280" t="str">
        <f t="shared" si="21"/>
        <v/>
      </c>
      <c r="D796" s="102"/>
      <c r="E796" s="97"/>
      <c r="F796" s="97"/>
      <c r="G796" s="1629"/>
      <c r="H796" s="1326"/>
      <c r="J796" s="1312"/>
    </row>
    <row r="797" spans="1:10" x14ac:dyDescent="0.2">
      <c r="A797" s="467" t="str">
        <f t="shared" si="22"/>
        <v/>
      </c>
      <c r="B797" s="1324" t="str">
        <f>IF(LEN('11.600'!H500)=0,"",'11.600'!H500)</f>
        <v/>
      </c>
      <c r="C797" s="1280" t="str">
        <f t="shared" si="21"/>
        <v/>
      </c>
      <c r="D797" s="591"/>
      <c r="E797" s="170"/>
      <c r="F797" s="170"/>
      <c r="G797" s="1696"/>
      <c r="H797" s="1326"/>
      <c r="J797" s="1312"/>
    </row>
    <row r="798" spans="1:10" x14ac:dyDescent="0.2">
      <c r="A798" s="1503" t="str">
        <f>IF(COUNTIF(A799,"P")&gt;0,"P","")</f>
        <v/>
      </c>
      <c r="B798" s="1324" t="str">
        <f>IF(LEN('11.600'!H501)=0,"",'11.600'!H501)</f>
        <v/>
      </c>
      <c r="C798" s="1280" t="str">
        <f t="shared" si="21"/>
        <v/>
      </c>
      <c r="D798" s="136" t="s">
        <v>3995</v>
      </c>
      <c r="E798" s="85"/>
      <c r="F798" s="85"/>
      <c r="G798" s="1725" t="s">
        <v>4001</v>
      </c>
      <c r="H798" s="1326"/>
      <c r="J798" s="1312" t="s">
        <v>5166</v>
      </c>
    </row>
    <row r="799" spans="1:10" x14ac:dyDescent="0.2">
      <c r="A799" s="467" t="str">
        <f>IF(AND(LEN(H799)&gt;0,NOT(H799=FALSE)),"P","")</f>
        <v/>
      </c>
      <c r="B799" s="1324" t="str">
        <f>IF(LEN('11.600'!H502)=0,"",'11.600'!H502)</f>
        <v/>
      </c>
      <c r="C799" s="1280" t="str">
        <f t="shared" si="21"/>
        <v/>
      </c>
      <c r="D799" s="136"/>
      <c r="E799" s="85"/>
      <c r="F799" s="85"/>
      <c r="G799" s="1725"/>
      <c r="H799" s="1341" t="str">
        <f>IF(LEN('11.600'!W502)=0,"",'11.600'!W502)</f>
        <v/>
      </c>
      <c r="J799" s="1315"/>
    </row>
    <row r="800" spans="1:10" x14ac:dyDescent="0.2">
      <c r="A800" s="467" t="str">
        <f t="shared" ref="A800:A806" si="23">A799</f>
        <v/>
      </c>
      <c r="B800" s="1324" t="str">
        <f>IF(LEN('11.600'!H503)=0,"",'11.600'!H503)</f>
        <v/>
      </c>
      <c r="C800" s="1280" t="str">
        <f t="shared" si="21"/>
        <v/>
      </c>
      <c r="D800" s="136"/>
      <c r="E800" s="85"/>
      <c r="F800" s="85"/>
      <c r="G800" s="1725"/>
      <c r="H800" s="1326"/>
      <c r="J800" s="1315"/>
    </row>
    <row r="801" spans="1:10" x14ac:dyDescent="0.2">
      <c r="A801" s="467" t="str">
        <f t="shared" si="23"/>
        <v/>
      </c>
      <c r="B801" s="1324" t="str">
        <f>IF(LEN('11.600'!H504)=0,"",'11.600'!H504)</f>
        <v/>
      </c>
      <c r="C801" s="1280" t="str">
        <f t="shared" si="21"/>
        <v/>
      </c>
      <c r="D801" s="136"/>
      <c r="E801" s="85"/>
      <c r="F801" s="85"/>
      <c r="G801" s="1725"/>
      <c r="H801" s="1326"/>
      <c r="J801" s="1315"/>
    </row>
    <row r="802" spans="1:10" x14ac:dyDescent="0.2">
      <c r="A802" s="467" t="str">
        <f t="shared" si="23"/>
        <v/>
      </c>
      <c r="B802" s="1324" t="str">
        <f>IF(LEN('11.600'!H505)=0,"",'11.600'!H505)</f>
        <v/>
      </c>
      <c r="C802" s="1280" t="str">
        <f t="shared" si="21"/>
        <v/>
      </c>
      <c r="D802" s="136"/>
      <c r="E802" s="85"/>
      <c r="F802" s="85"/>
      <c r="G802" s="1725"/>
      <c r="H802" s="1326"/>
      <c r="J802" s="1315"/>
    </row>
    <row r="803" spans="1:10" x14ac:dyDescent="0.2">
      <c r="A803" s="467" t="str">
        <f t="shared" si="23"/>
        <v/>
      </c>
      <c r="B803" s="1324" t="str">
        <f>IF(LEN('11.600'!H506)=0,"",'11.600'!H506)</f>
        <v/>
      </c>
      <c r="C803" s="1280" t="str">
        <f t="shared" si="21"/>
        <v/>
      </c>
      <c r="D803" s="136"/>
      <c r="E803" s="85"/>
      <c r="F803" s="85"/>
      <c r="G803" s="1725"/>
      <c r="H803" s="1326"/>
      <c r="J803" s="1315"/>
    </row>
    <row r="804" spans="1:10" x14ac:dyDescent="0.2">
      <c r="A804" s="467" t="str">
        <f t="shared" si="23"/>
        <v/>
      </c>
      <c r="B804" s="1324" t="str">
        <f>IF(LEN('11.600'!H507)=0,"",'11.600'!H507)</f>
        <v/>
      </c>
      <c r="C804" s="1280" t="str">
        <f t="shared" si="21"/>
        <v/>
      </c>
      <c r="D804" s="136"/>
      <c r="E804" s="85"/>
      <c r="F804" s="85"/>
      <c r="G804" s="1725"/>
      <c r="H804" s="1326"/>
      <c r="J804" s="1315"/>
    </row>
    <row r="805" spans="1:10" x14ac:dyDescent="0.2">
      <c r="A805" s="467" t="str">
        <f t="shared" si="23"/>
        <v/>
      </c>
      <c r="B805" s="1324" t="str">
        <f>IF(LEN('11.600'!H508)=0,"",'11.600'!H508)</f>
        <v/>
      </c>
      <c r="C805" s="1280" t="str">
        <f t="shared" si="21"/>
        <v/>
      </c>
      <c r="D805" s="136"/>
      <c r="E805" s="85"/>
      <c r="F805" s="85"/>
      <c r="G805" s="1725"/>
      <c r="H805" s="1326"/>
      <c r="J805" s="1315"/>
    </row>
    <row r="806" spans="1:10" x14ac:dyDescent="0.2">
      <c r="A806" s="467" t="str">
        <f t="shared" si="23"/>
        <v/>
      </c>
      <c r="B806" s="1324" t="str">
        <f>IF(LEN('11.600'!H509)=0,"",'11.600'!H509)</f>
        <v/>
      </c>
      <c r="C806" s="1280" t="str">
        <f t="shared" si="21"/>
        <v/>
      </c>
      <c r="D806" s="136"/>
      <c r="E806" s="85"/>
      <c r="F806" s="85"/>
      <c r="G806" s="1725"/>
      <c r="H806" s="1326"/>
      <c r="J806" s="1312"/>
    </row>
    <row r="807" spans="1:10" x14ac:dyDescent="0.2">
      <c r="B807" s="1324" t="str">
        <f>IF(LEN('11.600'!H510)=0,"",'11.600'!H510)</f>
        <v/>
      </c>
      <c r="C807" s="1280" t="str">
        <f t="shared" si="21"/>
        <v/>
      </c>
      <c r="D807" s="591"/>
      <c r="E807" s="170"/>
      <c r="F807" s="170"/>
      <c r="G807" s="1342" t="s">
        <v>2678</v>
      </c>
      <c r="H807" s="1326"/>
      <c r="J807" s="1312"/>
    </row>
    <row r="808" spans="1:10" x14ac:dyDescent="0.2">
      <c r="A808" s="1503" t="str">
        <f>IF(COUNTIF(A810,"P")&gt;0,"P","")</f>
        <v/>
      </c>
      <c r="B808" s="1324" t="str">
        <f>IF(LEN('11.600'!H511)=0,"",'11.600'!H511)</f>
        <v/>
      </c>
      <c r="C808" s="1280" t="str">
        <f t="shared" si="21"/>
        <v/>
      </c>
      <c r="D808" s="102" t="s">
        <v>3996</v>
      </c>
      <c r="E808" s="97"/>
      <c r="F808" s="97"/>
      <c r="G808" s="1647" t="s">
        <v>4002</v>
      </c>
      <c r="H808" s="1724"/>
      <c r="J808" s="1779" t="s">
        <v>5167</v>
      </c>
    </row>
    <row r="809" spans="1:10" x14ac:dyDescent="0.2">
      <c r="A809" s="467" t="str">
        <f t="shared" ref="A809" si="24">A808</f>
        <v/>
      </c>
      <c r="B809" s="1324" t="str">
        <f>IF(LEN('11.600'!H512)=0,"",'11.600'!H512)</f>
        <v/>
      </c>
      <c r="C809" s="1280" t="str">
        <f t="shared" si="21"/>
        <v/>
      </c>
      <c r="D809" s="102"/>
      <c r="E809" s="97"/>
      <c r="F809" s="97"/>
      <c r="G809" s="1647"/>
      <c r="H809" s="1724"/>
      <c r="J809" s="1784"/>
    </row>
    <row r="810" spans="1:10" x14ac:dyDescent="0.2">
      <c r="A810" s="467" t="str">
        <f>IF(AND(LEN(H810)&gt;0,NOT(H810=FALSE)),"P","")</f>
        <v/>
      </c>
      <c r="B810" s="1324" t="str">
        <f>IF(LEN('11.600'!H513)=0,"",'11.600'!H513)</f>
        <v/>
      </c>
      <c r="C810" s="1280" t="str">
        <f t="shared" si="21"/>
        <v/>
      </c>
      <c r="D810" s="102"/>
      <c r="E810" s="97"/>
      <c r="F810" s="97"/>
      <c r="G810" s="1647"/>
      <c r="H810" s="1341" t="str">
        <f>IF(LEN('11.600'!W513)=0,"",'11.600'!W513)</f>
        <v/>
      </c>
      <c r="J810" s="1784"/>
    </row>
    <row r="811" spans="1:10" x14ac:dyDescent="0.2">
      <c r="A811" s="467" t="str">
        <f t="shared" ref="A811:A813" si="25">A810</f>
        <v/>
      </c>
      <c r="B811" s="1324" t="str">
        <f>IF(LEN('11.600'!H514)=0,"",'11.600'!H514)</f>
        <v/>
      </c>
      <c r="C811" s="1280" t="str">
        <f t="shared" si="21"/>
        <v/>
      </c>
      <c r="D811" s="102"/>
      <c r="E811" s="97"/>
      <c r="F811" s="97"/>
      <c r="G811" s="1647"/>
      <c r="H811" s="1326"/>
      <c r="J811" s="1784"/>
    </row>
    <row r="812" spans="1:10" x14ac:dyDescent="0.2">
      <c r="A812" s="467" t="str">
        <f t="shared" si="25"/>
        <v/>
      </c>
      <c r="B812" s="1324" t="str">
        <f>IF(LEN('11.600'!H515)=0,"",'11.600'!H515)</f>
        <v/>
      </c>
      <c r="C812" s="1280" t="str">
        <f t="shared" si="21"/>
        <v/>
      </c>
      <c r="D812" s="102"/>
      <c r="E812" s="97"/>
      <c r="F812" s="97"/>
      <c r="G812" s="1647"/>
      <c r="H812" s="1326"/>
      <c r="J812" s="1784"/>
    </row>
    <row r="813" spans="1:10" x14ac:dyDescent="0.2">
      <c r="A813" s="467" t="str">
        <f t="shared" si="25"/>
        <v/>
      </c>
      <c r="B813" s="1324" t="str">
        <f>IF(LEN('11.600'!H516)=0,"",'11.600'!H516)</f>
        <v/>
      </c>
      <c r="C813" s="1280" t="str">
        <f t="shared" si="21"/>
        <v/>
      </c>
      <c r="D813" s="102"/>
      <c r="E813" s="97"/>
      <c r="F813" s="97"/>
      <c r="G813" s="1647"/>
      <c r="H813" s="1326"/>
      <c r="J813" s="1784"/>
    </row>
    <row r="814" spans="1:10" ht="16" thickBot="1" x14ac:dyDescent="0.25">
      <c r="B814" s="1324" t="str">
        <f>IF(LEN('11.600'!H517)=0,"",'11.600'!H517)</f>
        <v/>
      </c>
      <c r="C814" s="1280" t="str">
        <f t="shared" si="21"/>
        <v/>
      </c>
      <c r="D814" s="116"/>
      <c r="E814" s="116"/>
      <c r="F814" s="116"/>
      <c r="G814" s="1347" t="s">
        <v>2678</v>
      </c>
      <c r="H814" s="1326"/>
      <c r="J814" s="1312"/>
    </row>
    <row r="815" spans="1:10" ht="20" thickTop="1" x14ac:dyDescent="0.25">
      <c r="A815" s="467" t="s">
        <v>3200</v>
      </c>
      <c r="B815" s="1324" t="str">
        <f>IF(LEN('11.600'!H518)=0,"",'11.600'!H518)</f>
        <v/>
      </c>
      <c r="C815" s="1280" t="str">
        <f t="shared" si="21"/>
        <v>P</v>
      </c>
      <c r="D815" s="72" t="s">
        <v>4003</v>
      </c>
      <c r="E815" s="84"/>
      <c r="F815" s="84"/>
      <c r="G815" s="233"/>
      <c r="H815" s="994"/>
      <c r="I815" s="25"/>
      <c r="J815" s="25"/>
    </row>
    <row r="816" spans="1:10" x14ac:dyDescent="0.2">
      <c r="A816" s="467" t="str">
        <f ca="1">IF(I816&gt;0,"P","")</f>
        <v/>
      </c>
      <c r="B816" s="1324" t="str">
        <f>IF(LEN('11.600'!H519)=0,"",'11.600'!H519)</f>
        <v/>
      </c>
      <c r="C816" s="1280" t="str">
        <f t="shared" ca="1" si="21"/>
        <v/>
      </c>
      <c r="D816" s="136" t="s">
        <v>4004</v>
      </c>
      <c r="E816" s="85"/>
      <c r="F816" s="85"/>
      <c r="G816" s="1631" t="s">
        <v>4005</v>
      </c>
      <c r="H816" s="1341" t="str">
        <f>IF(LEN('11.600'!W519)=0,"",'11.600'!W519)</f>
        <v/>
      </c>
      <c r="I816" s="88">
        <f ca="1">'11.600'!O519</f>
        <v>0</v>
      </c>
      <c r="J816" s="1779" t="s">
        <v>3148</v>
      </c>
    </row>
    <row r="817" spans="1:10" x14ac:dyDescent="0.2">
      <c r="A817" s="467" t="str">
        <f t="shared" ref="A817:A820" ca="1" si="26">A816</f>
        <v/>
      </c>
      <c r="B817" s="1324" t="str">
        <f>IF(LEN('11.600'!H520)=0,"",'11.600'!H520)</f>
        <v/>
      </c>
      <c r="C817" s="1280" t="str">
        <f t="shared" ca="1" si="21"/>
        <v/>
      </c>
      <c r="D817" s="136"/>
      <c r="E817" s="85"/>
      <c r="F817" s="85"/>
      <c r="G817" s="1631"/>
      <c r="H817" s="1326"/>
      <c r="J817" s="1779"/>
    </row>
    <row r="818" spans="1:10" x14ac:dyDescent="0.2">
      <c r="A818" s="467" t="str">
        <f t="shared" ca="1" si="26"/>
        <v/>
      </c>
      <c r="B818" s="1324" t="str">
        <f>IF(LEN('11.600'!H521)=0,"",'11.600'!H521)</f>
        <v/>
      </c>
      <c r="C818" s="1280" t="str">
        <f t="shared" ca="1" si="21"/>
        <v/>
      </c>
      <c r="D818" s="136"/>
      <c r="E818" s="85"/>
      <c r="F818" s="85"/>
      <c r="G818" s="1631"/>
      <c r="H818" s="1326"/>
      <c r="J818" s="1779"/>
    </row>
    <row r="819" spans="1:10" x14ac:dyDescent="0.2">
      <c r="A819" s="467" t="str">
        <f t="shared" ca="1" si="26"/>
        <v/>
      </c>
      <c r="B819" s="1324" t="str">
        <f>IF(LEN('11.600'!H522)=0,"",'11.600'!H522)</f>
        <v/>
      </c>
      <c r="C819" s="1280" t="str">
        <f t="shared" ca="1" si="21"/>
        <v/>
      </c>
      <c r="D819" s="136"/>
      <c r="E819" s="85"/>
      <c r="F819" s="85"/>
      <c r="G819" s="1631"/>
      <c r="H819" s="1326"/>
      <c r="J819" s="1779"/>
    </row>
    <row r="820" spans="1:10" x14ac:dyDescent="0.2">
      <c r="A820" s="467" t="str">
        <f t="shared" ca="1" si="26"/>
        <v/>
      </c>
      <c r="B820" s="1324" t="str">
        <f>IF(LEN('11.600'!H523)=0,"",'11.600'!H523)</f>
        <v/>
      </c>
      <c r="C820" s="1280" t="str">
        <f t="shared" ca="1" si="21"/>
        <v/>
      </c>
      <c r="D820" s="136"/>
      <c r="E820" s="85"/>
      <c r="F820" s="85"/>
      <c r="G820" s="1631"/>
      <c r="H820" s="1326"/>
      <c r="J820" s="1779"/>
    </row>
    <row r="821" spans="1:10" x14ac:dyDescent="0.2">
      <c r="B821" s="1324" t="str">
        <f>IF(LEN('11.600'!H524)=0,"",'11.600'!H524)</f>
        <v/>
      </c>
      <c r="C821" s="1280" t="str">
        <f t="shared" si="21"/>
        <v/>
      </c>
      <c r="D821" s="136"/>
      <c r="E821" s="85"/>
      <c r="F821" s="85"/>
      <c r="G821" s="154" t="s">
        <v>592</v>
      </c>
      <c r="H821" s="1326"/>
      <c r="J821" s="1312"/>
    </row>
    <row r="822" spans="1:10" x14ac:dyDescent="0.2">
      <c r="B822" s="1324" t="str">
        <f>IF(LEN('11.600'!H525)=0,"",'11.600'!H525)</f>
        <v/>
      </c>
      <c r="C822" s="1280" t="str">
        <f t="shared" si="21"/>
        <v/>
      </c>
      <c r="D822" s="136"/>
      <c r="E822" s="85"/>
      <c r="F822" s="85"/>
      <c r="G822" s="1782" t="s">
        <v>2675</v>
      </c>
      <c r="H822" s="1326"/>
      <c r="J822" s="1312"/>
    </row>
    <row r="823" spans="1:10" ht="16" thickBot="1" x14ac:dyDescent="0.25">
      <c r="B823" s="1324" t="str">
        <f>IF(LEN('11.600'!H526)=0,"",'11.600'!H526)</f>
        <v/>
      </c>
      <c r="C823" s="1280" t="str">
        <f t="shared" si="21"/>
        <v/>
      </c>
      <c r="D823" s="136"/>
      <c r="E823" s="85"/>
      <c r="F823" s="85"/>
      <c r="G823" s="1785"/>
      <c r="H823" s="1326"/>
      <c r="J823" s="1312"/>
    </row>
    <row r="824" spans="1:10" ht="16" thickTop="1" x14ac:dyDescent="0.2">
      <c r="A824" s="467" t="str">
        <f>IF(I824&gt;0,"P","")</f>
        <v/>
      </c>
      <c r="B824" s="1324" t="str">
        <f>IF(LEN('11.600'!H527)=0,"",'11.600'!H527)</f>
        <v/>
      </c>
      <c r="C824" s="1280" t="str">
        <f t="shared" si="21"/>
        <v/>
      </c>
      <c r="D824" s="107" t="s">
        <v>4006</v>
      </c>
      <c r="E824" s="179"/>
      <c r="F824" s="179"/>
      <c r="G824" s="1683" t="s">
        <v>4013</v>
      </c>
      <c r="H824" s="1326"/>
      <c r="I824" s="88">
        <f>'11.600'!O527</f>
        <v>0</v>
      </c>
      <c r="J824" s="1779" t="s">
        <v>3149</v>
      </c>
    </row>
    <row r="825" spans="1:10" x14ac:dyDescent="0.2">
      <c r="A825" s="467" t="str">
        <f t="shared" ref="A825:A826" si="27">A824</f>
        <v/>
      </c>
      <c r="B825" s="1324" t="str">
        <f>IF(LEN('11.600'!H528)=0,"",'11.600'!H528)</f>
        <v/>
      </c>
      <c r="C825" s="1280" t="str">
        <f t="shared" si="21"/>
        <v/>
      </c>
      <c r="D825" s="102"/>
      <c r="E825" s="97"/>
      <c r="F825" s="97"/>
      <c r="G825" s="1629"/>
      <c r="H825" s="1326"/>
      <c r="J825" s="1779"/>
    </row>
    <row r="826" spans="1:10" x14ac:dyDescent="0.2">
      <c r="A826" s="467" t="str">
        <f t="shared" si="27"/>
        <v/>
      </c>
      <c r="B826" s="1324" t="str">
        <f>IF(LEN('11.600'!H529)=0,"",'11.600'!H529)</f>
        <v/>
      </c>
      <c r="C826" s="1280" t="str">
        <f t="shared" si="21"/>
        <v/>
      </c>
      <c r="D826" s="102"/>
      <c r="E826" s="97"/>
      <c r="F826" s="97"/>
      <c r="G826" s="1629"/>
      <c r="H826" s="1326"/>
      <c r="J826" s="1779"/>
    </row>
    <row r="827" spans="1:10" x14ac:dyDescent="0.2">
      <c r="B827" s="1324" t="str">
        <f>IF(LEN('11.600'!H530)=0,"",'11.600'!H530)</f>
        <v/>
      </c>
      <c r="C827" s="1280" t="str">
        <f t="shared" si="21"/>
        <v/>
      </c>
      <c r="D827" s="136"/>
      <c r="E827" s="169" t="s">
        <v>254</v>
      </c>
      <c r="F827" s="170"/>
      <c r="G827" s="170" t="s">
        <v>4014</v>
      </c>
      <c r="H827" s="1341" t="str">
        <f>IF(LEN('11.600'!W530)=0,"",'11.600'!W530)</f>
        <v/>
      </c>
      <c r="J827" s="1312"/>
    </row>
    <row r="828" spans="1:10" x14ac:dyDescent="0.2">
      <c r="B828" s="1324" t="str">
        <f>IF(LEN('11.600'!H531)=0,"",'11.600'!H531)</f>
        <v/>
      </c>
      <c r="C828" s="1280" t="str">
        <f t="shared" si="21"/>
        <v/>
      </c>
      <c r="D828" s="136"/>
      <c r="E828" s="860" t="s">
        <v>255</v>
      </c>
      <c r="F828" s="194"/>
      <c r="G828" s="1649" t="s">
        <v>4015</v>
      </c>
      <c r="H828" s="1341" t="str">
        <f>IF(LEN('11.600'!W531)=0,"",'11.600'!W531)</f>
        <v/>
      </c>
      <c r="J828" s="1312"/>
    </row>
    <row r="829" spans="1:10" x14ac:dyDescent="0.2">
      <c r="B829" s="1324" t="str">
        <f>IF(LEN('11.600'!H532)=0,"",'11.600'!H532)</f>
        <v/>
      </c>
      <c r="C829" s="1280" t="str">
        <f t="shared" si="21"/>
        <v/>
      </c>
      <c r="D829" s="136"/>
      <c r="E829" s="169"/>
      <c r="F829" s="170"/>
      <c r="G829" s="1650"/>
      <c r="H829" s="1326"/>
      <c r="J829" s="1312"/>
    </row>
    <row r="830" spans="1:10" x14ac:dyDescent="0.2">
      <c r="B830" s="1324" t="str">
        <f>IF(LEN('11.600'!H533)=0,"",'11.600'!H533)</f>
        <v/>
      </c>
      <c r="C830" s="1280" t="str">
        <f t="shared" si="21"/>
        <v/>
      </c>
      <c r="D830" s="136"/>
      <c r="E830" s="860" t="s">
        <v>256</v>
      </c>
      <c r="F830" s="194"/>
      <c r="G830" s="1649" t="s">
        <v>4016</v>
      </c>
      <c r="H830" s="1341" t="str">
        <f>IF(LEN('11.600'!W533)=0,"",'11.600'!W533)</f>
        <v/>
      </c>
      <c r="J830" s="1312"/>
    </row>
    <row r="831" spans="1:10" x14ac:dyDescent="0.2">
      <c r="B831" s="1324" t="str">
        <f>IF(LEN('11.600'!H534)=0,"",'11.600'!H534)</f>
        <v/>
      </c>
      <c r="C831" s="1280" t="str">
        <f t="shared" si="21"/>
        <v/>
      </c>
      <c r="D831" s="136"/>
      <c r="E831" s="169"/>
      <c r="F831" s="170"/>
      <c r="G831" s="1650"/>
      <c r="H831" s="1326"/>
      <c r="J831" s="1312"/>
    </row>
    <row r="832" spans="1:10" x14ac:dyDescent="0.2">
      <c r="B832" s="1324" t="str">
        <f>IF(LEN('11.600'!H535)=0,"",'11.600'!H535)</f>
        <v/>
      </c>
      <c r="C832" s="1280" t="str">
        <f t="shared" si="21"/>
        <v/>
      </c>
      <c r="D832" s="136"/>
      <c r="E832" s="860" t="s">
        <v>259</v>
      </c>
      <c r="F832" s="194"/>
      <c r="G832" s="1649" t="s">
        <v>4017</v>
      </c>
      <c r="H832" s="1341" t="str">
        <f>IF(LEN('11.600'!W535)=0,"",'11.600'!W535)</f>
        <v/>
      </c>
      <c r="J832" s="1312"/>
    </row>
    <row r="833" spans="1:10" x14ac:dyDescent="0.2">
      <c r="B833" s="1324" t="str">
        <f>IF(LEN('11.600'!H536)=0,"",'11.600'!H536)</f>
        <v/>
      </c>
      <c r="C833" s="1280" t="str">
        <f t="shared" si="21"/>
        <v/>
      </c>
      <c r="D833" s="136"/>
      <c r="E833" s="169"/>
      <c r="F833" s="170"/>
      <c r="G833" s="1650"/>
      <c r="H833" s="1326"/>
      <c r="J833" s="1312"/>
    </row>
    <row r="834" spans="1:10" x14ac:dyDescent="0.2">
      <c r="B834" s="1324" t="str">
        <f>IF(LEN('11.600'!H537)=0,"",'11.600'!H537)</f>
        <v/>
      </c>
      <c r="C834" s="1280" t="str">
        <f t="shared" si="21"/>
        <v/>
      </c>
      <c r="D834" s="136"/>
      <c r="E834" s="860" t="s">
        <v>263</v>
      </c>
      <c r="F834" s="194"/>
      <c r="G834" s="1649" t="s">
        <v>4018</v>
      </c>
      <c r="H834" s="1341" t="str">
        <f>IF(LEN('11.600'!W537)=0,"",'11.600'!W537)</f>
        <v/>
      </c>
      <c r="J834" s="1312"/>
    </row>
    <row r="835" spans="1:10" x14ac:dyDescent="0.2">
      <c r="B835" s="1324" t="str">
        <f>IF(LEN('11.600'!H538)=0,"",'11.600'!H538)</f>
        <v/>
      </c>
      <c r="C835" s="1280" t="str">
        <f t="shared" si="21"/>
        <v/>
      </c>
      <c r="D835" s="136"/>
      <c r="E835" s="169"/>
      <c r="F835" s="170"/>
      <c r="G835" s="1650"/>
      <c r="H835" s="1326"/>
      <c r="J835" s="1312"/>
    </row>
    <row r="836" spans="1:10" x14ac:dyDescent="0.2">
      <c r="B836" s="1324" t="str">
        <f>IF(LEN('11.600'!H539)=0,"",'11.600'!H539)</f>
        <v/>
      </c>
      <c r="C836" s="1280" t="str">
        <f t="shared" si="21"/>
        <v/>
      </c>
      <c r="D836" s="136"/>
      <c r="E836" s="860" t="s">
        <v>264</v>
      </c>
      <c r="F836" s="194"/>
      <c r="G836" s="1649" t="s">
        <v>4019</v>
      </c>
      <c r="H836" s="1341" t="str">
        <f>IF(LEN('11.600'!W539)=0,"",'11.600'!W539)</f>
        <v/>
      </c>
      <c r="J836" s="1312"/>
    </row>
    <row r="837" spans="1:10" x14ac:dyDescent="0.2">
      <c r="B837" s="1324" t="str">
        <f>IF(LEN('11.600'!H540)=0,"",'11.600'!H540)</f>
        <v/>
      </c>
      <c r="C837" s="1280" t="str">
        <f t="shared" si="21"/>
        <v/>
      </c>
      <c r="D837" s="136"/>
      <c r="E837" s="93"/>
      <c r="F837" s="97"/>
      <c r="G837" s="1650"/>
      <c r="H837" s="1326"/>
      <c r="J837" s="1312"/>
    </row>
    <row r="838" spans="1:10" x14ac:dyDescent="0.2">
      <c r="B838" s="1324" t="str">
        <f>IF(LEN('11.600'!H541)=0,"",'11.600'!H541)</f>
        <v/>
      </c>
      <c r="C838" s="1280" t="str">
        <f t="shared" si="21"/>
        <v/>
      </c>
      <c r="D838" s="136"/>
      <c r="E838" s="860" t="s">
        <v>356</v>
      </c>
      <c r="F838" s="194"/>
      <c r="G838" s="1613" t="s">
        <v>4020</v>
      </c>
      <c r="H838" s="1341" t="str">
        <f>IF(LEN('11.600'!W541)=0,"",'11.600'!W541)</f>
        <v/>
      </c>
      <c r="J838" s="1312"/>
    </row>
    <row r="839" spans="1:10" ht="16" thickBot="1" x14ac:dyDescent="0.25">
      <c r="B839" s="1324" t="str">
        <f>IF(LEN('11.600'!H542)=0,"",'11.600'!H542)</f>
        <v/>
      </c>
      <c r="C839" s="1280" t="str">
        <f t="shared" si="21"/>
        <v/>
      </c>
      <c r="D839" s="136"/>
      <c r="E839" s="89"/>
      <c r="F839" s="85"/>
      <c r="G839" s="1610"/>
      <c r="H839" s="1326"/>
      <c r="J839" s="1312"/>
    </row>
    <row r="840" spans="1:10" ht="16" thickTop="1" x14ac:dyDescent="0.2">
      <c r="A840" s="467" t="str">
        <f ca="1">IF(I840&gt;0,"P","")</f>
        <v/>
      </c>
      <c r="B840" s="1324" t="str">
        <f>IF(LEN('11.600'!H543)=0,"",'11.600'!H543)</f>
        <v/>
      </c>
      <c r="C840" s="1280" t="str">
        <f t="shared" ref="C840:C903" ca="1" si="28">IF(LEN(B840)=0,IF(A840="P","P",""),B840)</f>
        <v/>
      </c>
      <c r="D840" s="107" t="s">
        <v>4007</v>
      </c>
      <c r="E840" s="115"/>
      <c r="F840" s="179"/>
      <c r="G840" s="1683" t="s">
        <v>4008</v>
      </c>
      <c r="H840" s="1326"/>
      <c r="I840" s="88">
        <f ca="1">'11.600'!O543</f>
        <v>0</v>
      </c>
      <c r="J840" s="1312" t="s">
        <v>3120</v>
      </c>
    </row>
    <row r="841" spans="1:10" x14ac:dyDescent="0.2">
      <c r="A841" s="467" t="str">
        <f ca="1">A840</f>
        <v/>
      </c>
      <c r="B841" s="1324" t="str">
        <f>IF(LEN('11.600'!H544)=0,"",'11.600'!H544)</f>
        <v/>
      </c>
      <c r="C841" s="1280" t="str">
        <f t="shared" ca="1" si="28"/>
        <v/>
      </c>
      <c r="D841" s="102"/>
      <c r="E841" s="97"/>
      <c r="F841" s="97"/>
      <c r="G841" s="1629"/>
      <c r="H841" s="1326"/>
      <c r="J841" s="1312"/>
    </row>
    <row r="842" spans="1:10" x14ac:dyDescent="0.2">
      <c r="B842" s="1324" t="str">
        <f>IF(LEN('11.600'!H545)=0,"",'11.600'!H545)</f>
        <v/>
      </c>
      <c r="C842" s="1280" t="str">
        <f t="shared" si="28"/>
        <v/>
      </c>
      <c r="D842" s="136"/>
      <c r="E842" s="93" t="s">
        <v>254</v>
      </c>
      <c r="F842" s="97"/>
      <c r="G842" s="1609" t="s">
        <v>593</v>
      </c>
      <c r="H842" s="1341" t="str">
        <f>IF(LEN('11.600'!W545)=0,"",'11.600'!W545)</f>
        <v/>
      </c>
      <c r="J842" s="1312"/>
    </row>
    <row r="843" spans="1:10" x14ac:dyDescent="0.2">
      <c r="B843" s="1324" t="str">
        <f>IF(LEN('11.600'!H546)=0,"",'11.600'!H546)</f>
        <v/>
      </c>
      <c r="C843" s="1280" t="str">
        <f t="shared" si="28"/>
        <v/>
      </c>
      <c r="D843" s="136"/>
      <c r="E843" s="97"/>
      <c r="F843" s="97"/>
      <c r="G843" s="1609"/>
      <c r="H843" s="1326"/>
      <c r="J843" s="1312"/>
    </row>
    <row r="844" spans="1:10" x14ac:dyDescent="0.2">
      <c r="B844" s="1324" t="str">
        <f>IF(LEN('11.600'!H547)=0,"",'11.600'!H547)</f>
        <v/>
      </c>
      <c r="C844" s="1280" t="str">
        <f t="shared" si="28"/>
        <v/>
      </c>
      <c r="D844" s="136"/>
      <c r="E844" s="97"/>
      <c r="F844" s="97"/>
      <c r="G844" s="1609"/>
      <c r="H844" s="1326"/>
      <c r="J844" s="1312"/>
    </row>
    <row r="845" spans="1:10" x14ac:dyDescent="0.2">
      <c r="B845" s="1324" t="str">
        <f>IF(LEN('11.600'!H548)=0,"",'11.600'!H548)</f>
        <v/>
      </c>
      <c r="C845" s="1280" t="str">
        <f t="shared" si="28"/>
        <v/>
      </c>
      <c r="D845" s="136"/>
      <c r="E845" s="97"/>
      <c r="F845" s="97"/>
      <c r="G845" s="1609"/>
      <c r="H845" s="1326"/>
      <c r="J845" s="1312"/>
    </row>
    <row r="846" spans="1:10" x14ac:dyDescent="0.2">
      <c r="B846" s="1324" t="str">
        <f>IF(LEN('11.600'!H549)=0,"",'11.600'!H549)</f>
        <v/>
      </c>
      <c r="C846" s="1280" t="str">
        <f t="shared" si="28"/>
        <v/>
      </c>
      <c r="D846" s="136"/>
      <c r="E846" s="170"/>
      <c r="F846" s="170"/>
      <c r="G846" s="1612"/>
      <c r="H846" s="1326"/>
      <c r="J846" s="1312"/>
    </row>
    <row r="847" spans="1:10" x14ac:dyDescent="0.2">
      <c r="B847" s="1324" t="str">
        <f>IF(LEN('11.600'!H550)=0,"",'11.600'!H550)</f>
        <v/>
      </c>
      <c r="C847" s="1280" t="str">
        <f t="shared" si="28"/>
        <v/>
      </c>
      <c r="D847" s="136"/>
      <c r="E847" s="860" t="s">
        <v>255</v>
      </c>
      <c r="F847" s="194"/>
      <c r="G847" s="1613" t="s">
        <v>594</v>
      </c>
      <c r="H847" s="1341" t="str">
        <f>IF(LEN('11.600'!W550)=0,"",'11.600'!W550)</f>
        <v/>
      </c>
      <c r="J847" s="1312"/>
    </row>
    <row r="848" spans="1:10" x14ac:dyDescent="0.2">
      <c r="B848" s="1324" t="str">
        <f>IF(LEN('11.600'!H551)=0,"",'11.600'!H551)</f>
        <v/>
      </c>
      <c r="C848" s="1280" t="str">
        <f t="shared" si="28"/>
        <v/>
      </c>
      <c r="D848" s="136"/>
      <c r="E848" s="97"/>
      <c r="F848" s="97"/>
      <c r="G848" s="1609"/>
      <c r="H848" s="1326"/>
      <c r="J848" s="1312"/>
    </row>
    <row r="849" spans="2:10" x14ac:dyDescent="0.2">
      <c r="B849" s="1324" t="str">
        <f>IF(LEN('11.600'!H552)=0,"",'11.600'!H552)</f>
        <v/>
      </c>
      <c r="C849" s="1280" t="str">
        <f t="shared" si="28"/>
        <v/>
      </c>
      <c r="D849" s="136"/>
      <c r="E849" s="97"/>
      <c r="F849" s="97"/>
      <c r="G849" s="1609"/>
      <c r="H849" s="1326"/>
      <c r="J849" s="1312"/>
    </row>
    <row r="850" spans="2:10" x14ac:dyDescent="0.2">
      <c r="B850" s="1324" t="str">
        <f>IF(LEN('11.600'!H553)=0,"",'11.600'!H553)</f>
        <v/>
      </c>
      <c r="C850" s="1280" t="str">
        <f t="shared" si="28"/>
        <v/>
      </c>
      <c r="D850" s="136"/>
      <c r="E850" s="170"/>
      <c r="F850" s="170"/>
      <c r="G850" s="1612"/>
      <c r="H850" s="1326"/>
      <c r="J850" s="1312"/>
    </row>
    <row r="851" spans="2:10" x14ac:dyDescent="0.2">
      <c r="B851" s="1324" t="str">
        <f>IF(LEN('11.600'!H554)=0,"",'11.600'!H554)</f>
        <v/>
      </c>
      <c r="C851" s="1280" t="str">
        <f t="shared" si="28"/>
        <v/>
      </c>
      <c r="D851" s="136"/>
      <c r="E851" s="860" t="s">
        <v>256</v>
      </c>
      <c r="F851" s="194"/>
      <c r="G851" s="1613" t="s">
        <v>595</v>
      </c>
      <c r="H851" s="1341" t="str">
        <f>IF(LEN('11.600'!W554)=0,"",'11.600'!W554)</f>
        <v/>
      </c>
      <c r="J851" s="1312"/>
    </row>
    <row r="852" spans="2:10" x14ac:dyDescent="0.2">
      <c r="B852" s="1324" t="str">
        <f>IF(LEN('11.600'!H555)=0,"",'11.600'!H555)</f>
        <v/>
      </c>
      <c r="C852" s="1280" t="str">
        <f t="shared" si="28"/>
        <v/>
      </c>
      <c r="D852" s="136"/>
      <c r="E852" s="170"/>
      <c r="F852" s="170"/>
      <c r="G852" s="1612"/>
      <c r="H852" s="1326"/>
      <c r="J852" s="1312"/>
    </row>
    <row r="853" spans="2:10" x14ac:dyDescent="0.2">
      <c r="B853" s="1324" t="str">
        <f>IF(LEN('11.600'!H556)=0,"",'11.600'!H556)</f>
        <v/>
      </c>
      <c r="C853" s="1280" t="str">
        <f t="shared" si="28"/>
        <v/>
      </c>
      <c r="D853" s="136"/>
      <c r="E853" s="860" t="s">
        <v>259</v>
      </c>
      <c r="F853" s="194"/>
      <c r="G853" s="1613" t="s">
        <v>596</v>
      </c>
      <c r="H853" s="1341" t="str">
        <f>IF(LEN('11.600'!W556)=0,"",'11.600'!W556)</f>
        <v/>
      </c>
      <c r="J853" s="1312"/>
    </row>
    <row r="854" spans="2:10" x14ac:dyDescent="0.2">
      <c r="B854" s="1324" t="str">
        <f>IF(LEN('11.600'!H557)=0,"",'11.600'!H557)</f>
        <v/>
      </c>
      <c r="C854" s="1280" t="str">
        <f t="shared" si="28"/>
        <v/>
      </c>
      <c r="D854" s="136"/>
      <c r="E854" s="170"/>
      <c r="F854" s="170"/>
      <c r="G854" s="1612"/>
      <c r="H854" s="1326"/>
      <c r="J854" s="1312"/>
    </row>
    <row r="855" spans="2:10" x14ac:dyDescent="0.2">
      <c r="B855" s="1324" t="str">
        <f>IF(LEN('11.600'!H558)=0,"",'11.600'!H558)</f>
        <v/>
      </c>
      <c r="C855" s="1280" t="str">
        <f t="shared" si="28"/>
        <v/>
      </c>
      <c r="D855" s="136"/>
      <c r="E855" s="216" t="s">
        <v>263</v>
      </c>
      <c r="F855" s="210"/>
      <c r="G855" s="210" t="s">
        <v>597</v>
      </c>
      <c r="H855" s="1341" t="str">
        <f>IF(LEN('11.600'!W558)=0,"",'11.600'!W558)</f>
        <v/>
      </c>
      <c r="J855" s="1312"/>
    </row>
    <row r="856" spans="2:10" x14ac:dyDescent="0.2">
      <c r="B856" s="1324" t="str">
        <f>IF(LEN('11.600'!H559)=0,"",'11.600'!H559)</f>
        <v/>
      </c>
      <c r="C856" s="1280" t="str">
        <f t="shared" si="28"/>
        <v/>
      </c>
      <c r="D856" s="136"/>
      <c r="E856" s="216" t="s">
        <v>264</v>
      </c>
      <c r="F856" s="210"/>
      <c r="G856" s="210" t="s">
        <v>598</v>
      </c>
      <c r="H856" s="1341" t="str">
        <f>IF(LEN('11.600'!W559)=0,"",'11.600'!W559)</f>
        <v/>
      </c>
      <c r="J856" s="1312"/>
    </row>
    <row r="857" spans="2:10" x14ac:dyDescent="0.2">
      <c r="B857" s="1324" t="str">
        <f>IF(LEN('11.600'!H560)=0,"",'11.600'!H560)</f>
        <v/>
      </c>
      <c r="C857" s="1280" t="str">
        <f t="shared" si="28"/>
        <v/>
      </c>
      <c r="D857" s="136"/>
      <c r="E857" s="860" t="s">
        <v>356</v>
      </c>
      <c r="F857" s="194"/>
      <c r="G857" s="1613" t="s">
        <v>599</v>
      </c>
      <c r="H857" s="1341" t="str">
        <f>IF(LEN('11.600'!W560)=0,"",'11.600'!W560)</f>
        <v/>
      </c>
      <c r="J857" s="1312"/>
    </row>
    <row r="858" spans="2:10" x14ac:dyDescent="0.2">
      <c r="B858" s="1324" t="str">
        <f>IF(LEN('11.600'!H561)=0,"",'11.600'!H561)</f>
        <v/>
      </c>
      <c r="C858" s="1280" t="str">
        <f t="shared" si="28"/>
        <v/>
      </c>
      <c r="D858" s="136"/>
      <c r="E858" s="97"/>
      <c r="F858" s="97"/>
      <c r="G858" s="1609"/>
      <c r="H858" s="1326"/>
      <c r="J858" s="1312"/>
    </row>
    <row r="859" spans="2:10" x14ac:dyDescent="0.2">
      <c r="B859" s="1324" t="str">
        <f>IF(LEN('11.600'!H562)=0,"",'11.600'!H562)</f>
        <v/>
      </c>
      <c r="C859" s="1280" t="str">
        <f t="shared" si="28"/>
        <v/>
      </c>
      <c r="D859" s="136"/>
      <c r="E859" s="97"/>
      <c r="F859" s="97"/>
      <c r="G859" s="1609"/>
      <c r="H859" s="1326"/>
      <c r="J859" s="1312"/>
    </row>
    <row r="860" spans="2:10" x14ac:dyDescent="0.2">
      <c r="B860" s="1324" t="str">
        <f>IF(LEN('11.600'!H563)=0,"",'11.600'!H563)</f>
        <v/>
      </c>
      <c r="C860" s="1280" t="str">
        <f t="shared" si="28"/>
        <v/>
      </c>
      <c r="D860" s="136"/>
      <c r="E860" s="170"/>
      <c r="F860" s="170"/>
      <c r="G860" s="1612"/>
      <c r="H860" s="1326"/>
      <c r="J860" s="1312"/>
    </row>
    <row r="861" spans="2:10" x14ac:dyDescent="0.2">
      <c r="B861" s="1324" t="str">
        <f>IF(LEN('11.600'!H564)=0,"",'11.600'!H564)</f>
        <v/>
      </c>
      <c r="C861" s="1280" t="str">
        <f t="shared" si="28"/>
        <v/>
      </c>
      <c r="D861" s="136"/>
      <c r="E861" s="860" t="s">
        <v>389</v>
      </c>
      <c r="F861" s="194"/>
      <c r="G861" s="1613" t="s">
        <v>600</v>
      </c>
      <c r="H861" s="1341" t="str">
        <f>IF(LEN('11.600'!W564)=0,"",'11.600'!W564)</f>
        <v/>
      </c>
      <c r="J861" s="1312"/>
    </row>
    <row r="862" spans="2:10" x14ac:dyDescent="0.2">
      <c r="B862" s="1324" t="str">
        <f>IF(LEN('11.600'!H565)=0,"",'11.600'!H565)</f>
        <v/>
      </c>
      <c r="C862" s="1280" t="str">
        <f t="shared" si="28"/>
        <v/>
      </c>
      <c r="D862" s="136"/>
      <c r="E862" s="170"/>
      <c r="F862" s="170"/>
      <c r="G862" s="1612"/>
      <c r="H862" s="1326"/>
      <c r="J862" s="1312"/>
    </row>
    <row r="863" spans="2:10" x14ac:dyDescent="0.2">
      <c r="B863" s="1324" t="str">
        <f>IF(LEN('11.600'!H566)=0,"",'11.600'!H566)</f>
        <v/>
      </c>
      <c r="C863" s="1280" t="str">
        <f t="shared" si="28"/>
        <v/>
      </c>
      <c r="D863" s="136"/>
      <c r="E863" s="89" t="s">
        <v>391</v>
      </c>
      <c r="F863" s="85"/>
      <c r="G863" s="1613" t="s">
        <v>4022</v>
      </c>
      <c r="H863" s="1341" t="str">
        <f>IF(LEN('11.600'!W566)=0,"",'11.600'!W566)</f>
        <v/>
      </c>
      <c r="J863" s="1312"/>
    </row>
    <row r="864" spans="2:10" x14ac:dyDescent="0.2">
      <c r="B864" s="1324" t="str">
        <f>IF(LEN('11.600'!H567)=0,"",'11.600'!H567)</f>
        <v/>
      </c>
      <c r="C864" s="1280" t="str">
        <f t="shared" si="28"/>
        <v/>
      </c>
      <c r="D864" s="136"/>
      <c r="E864" s="85"/>
      <c r="F864" s="85"/>
      <c r="G864" s="1611"/>
      <c r="H864" s="1326"/>
      <c r="J864" s="1312"/>
    </row>
    <row r="865" spans="1:10" x14ac:dyDescent="0.2">
      <c r="B865" s="1324" t="str">
        <f>IF(LEN('11.600'!H568)=0,"",'11.600'!H568)</f>
        <v/>
      </c>
      <c r="C865" s="1280" t="str">
        <f t="shared" si="28"/>
        <v/>
      </c>
      <c r="D865" s="88"/>
      <c r="E865" s="88"/>
      <c r="F865" s="88"/>
      <c r="G865" s="1611"/>
      <c r="H865" s="1326"/>
      <c r="J865" s="1312"/>
    </row>
    <row r="866" spans="1:10" ht="19" x14ac:dyDescent="0.25">
      <c r="A866" s="467" t="s">
        <v>3200</v>
      </c>
      <c r="B866" s="1324" t="str">
        <f>IF(LEN('11.600'!H569)=0,"",'11.600'!H569)</f>
        <v/>
      </c>
      <c r="C866" s="1280" t="str">
        <f t="shared" si="28"/>
        <v>P</v>
      </c>
      <c r="D866" s="1004" t="s">
        <v>5086</v>
      </c>
      <c r="E866" s="1255"/>
      <c r="F866" s="1255"/>
      <c r="G866" s="1256"/>
      <c r="H866" s="994"/>
      <c r="I866" s="25"/>
      <c r="J866" s="25"/>
    </row>
    <row r="867" spans="1:10" x14ac:dyDescent="0.2">
      <c r="A867" s="467" t="str">
        <f ca="1">IF(I867&gt;0,"P","")</f>
        <v/>
      </c>
      <c r="B867" s="1324" t="str">
        <f>IF(LEN('11.600'!H570)=0,"",'11.600'!H570)</f>
        <v/>
      </c>
      <c r="C867" s="1280" t="str">
        <f t="shared" ca="1" si="28"/>
        <v/>
      </c>
      <c r="D867" s="102" t="s">
        <v>4028</v>
      </c>
      <c r="E867" s="97"/>
      <c r="F867" s="97"/>
      <c r="G867" s="1629" t="s">
        <v>4029</v>
      </c>
      <c r="H867" s="1341" t="str">
        <f>IF(LEN('11.600'!W570)=0,"",'11.600'!W570)</f>
        <v/>
      </c>
      <c r="I867" s="88">
        <f ca="1">'11.600'!O570</f>
        <v>0</v>
      </c>
      <c r="J867" s="1779" t="s">
        <v>5168</v>
      </c>
    </row>
    <row r="868" spans="1:10" x14ac:dyDescent="0.2">
      <c r="A868" s="467" t="str">
        <f t="shared" ref="A868:A871" ca="1" si="29">A867</f>
        <v/>
      </c>
      <c r="B868" s="1324" t="str">
        <f>IF(LEN('11.600'!H571)=0,"",'11.600'!H571)</f>
        <v/>
      </c>
      <c r="C868" s="1280" t="str">
        <f t="shared" ca="1" si="28"/>
        <v/>
      </c>
      <c r="D868" s="102"/>
      <c r="E868" s="97"/>
      <c r="F868" s="97"/>
      <c r="G868" s="1629"/>
      <c r="H868" s="1326"/>
      <c r="J868" s="1779"/>
    </row>
    <row r="869" spans="1:10" x14ac:dyDescent="0.2">
      <c r="A869" s="467" t="str">
        <f t="shared" ca="1" si="29"/>
        <v/>
      </c>
      <c r="B869" s="1324" t="str">
        <f>IF(LEN('11.600'!H572)=0,"",'11.600'!H572)</f>
        <v/>
      </c>
      <c r="C869" s="1280" t="str">
        <f t="shared" ca="1" si="28"/>
        <v/>
      </c>
      <c r="D869" s="102"/>
      <c r="E869" s="97"/>
      <c r="F869" s="97"/>
      <c r="G869" s="1629"/>
      <c r="H869" s="1326"/>
      <c r="J869" s="1779"/>
    </row>
    <row r="870" spans="1:10" x14ac:dyDescent="0.2">
      <c r="A870" s="467" t="str">
        <f t="shared" ca="1" si="29"/>
        <v/>
      </c>
      <c r="B870" s="1324" t="str">
        <f>IF(LEN('11.600'!H573)=0,"",'11.600'!H573)</f>
        <v/>
      </c>
      <c r="C870" s="1280" t="str">
        <f t="shared" ca="1" si="28"/>
        <v/>
      </c>
      <c r="D870" s="136"/>
      <c r="E870" s="85"/>
      <c r="F870" s="85"/>
      <c r="G870" s="1629"/>
      <c r="H870" s="1326"/>
      <c r="J870" s="1779"/>
    </row>
    <row r="871" spans="1:10" x14ac:dyDescent="0.2">
      <c r="A871" s="467" t="str">
        <f t="shared" ca="1" si="29"/>
        <v/>
      </c>
      <c r="B871" s="1324" t="str">
        <f>IF(LEN('11.600'!H574)=0,"",'11.600'!H574)</f>
        <v/>
      </c>
      <c r="C871" s="1280" t="str">
        <f t="shared" ca="1" si="28"/>
        <v/>
      </c>
      <c r="D871" s="136"/>
      <c r="E871" s="85"/>
      <c r="F871" s="85"/>
      <c r="G871" s="1629"/>
      <c r="H871" s="1326"/>
      <c r="J871" s="1779"/>
    </row>
    <row r="872" spans="1:10" x14ac:dyDescent="0.2">
      <c r="B872" s="1324" t="str">
        <f>IF(LEN('11.600'!H575)=0,"",'11.600'!H575)</f>
        <v/>
      </c>
      <c r="C872" s="1280" t="str">
        <f t="shared" si="28"/>
        <v/>
      </c>
      <c r="D872" s="589"/>
      <c r="E872" s="858"/>
      <c r="F872" s="93" t="s">
        <v>121</v>
      </c>
      <c r="G872" s="1687" t="s">
        <v>4037</v>
      </c>
      <c r="H872" s="1326"/>
      <c r="J872" s="1312"/>
    </row>
    <row r="873" spans="1:10" x14ac:dyDescent="0.2">
      <c r="B873" s="1324" t="str">
        <f>IF(LEN('11.600'!H576)=0,"",'11.600'!H576)</f>
        <v/>
      </c>
      <c r="C873" s="1280" t="str">
        <f t="shared" si="28"/>
        <v/>
      </c>
      <c r="D873" s="600"/>
      <c r="E873" s="858"/>
      <c r="F873" s="1140"/>
      <c r="G873" s="1688"/>
      <c r="H873" s="1326"/>
      <c r="J873" s="1312"/>
    </row>
    <row r="874" spans="1:10" x14ac:dyDescent="0.2">
      <c r="B874" s="1324" t="str">
        <f>IF(LEN('11.600'!H577)=0,"",'11.600'!H577)</f>
        <v/>
      </c>
      <c r="C874" s="1280" t="str">
        <f t="shared" si="28"/>
        <v/>
      </c>
      <c r="D874" s="589"/>
      <c r="E874" s="858"/>
      <c r="F874" s="860" t="s">
        <v>122</v>
      </c>
      <c r="G874" s="1686" t="s">
        <v>4038</v>
      </c>
      <c r="H874" s="1326"/>
      <c r="J874" s="1312"/>
    </row>
    <row r="875" spans="1:10" x14ac:dyDescent="0.2">
      <c r="B875" s="1324" t="str">
        <f>IF(LEN('11.600'!H578)=0,"",'11.600'!H578)</f>
        <v/>
      </c>
      <c r="C875" s="1280" t="str">
        <f t="shared" si="28"/>
        <v/>
      </c>
      <c r="D875" s="600"/>
      <c r="E875" s="858"/>
      <c r="F875" s="866"/>
      <c r="G875" s="1687"/>
      <c r="H875" s="1326"/>
      <c r="J875" s="1312"/>
    </row>
    <row r="876" spans="1:10" x14ac:dyDescent="0.2">
      <c r="B876" s="1324" t="str">
        <f>IF(LEN('11.600'!H579)=0,"",'11.600'!H579)</f>
        <v/>
      </c>
      <c r="C876" s="1280" t="str">
        <f t="shared" si="28"/>
        <v/>
      </c>
      <c r="D876" s="600"/>
      <c r="E876" s="858"/>
      <c r="F876" s="866"/>
      <c r="G876" s="1687"/>
      <c r="H876" s="1326"/>
      <c r="J876" s="1312"/>
    </row>
    <row r="877" spans="1:10" x14ac:dyDescent="0.2">
      <c r="B877" s="1324" t="str">
        <f>IF(LEN('11.600'!H580)=0,"",'11.600'!H580)</f>
        <v/>
      </c>
      <c r="C877" s="1280" t="str">
        <f t="shared" si="28"/>
        <v/>
      </c>
      <c r="D877" s="600"/>
      <c r="E877" s="858"/>
      <c r="F877" s="1140"/>
      <c r="G877" s="1688"/>
      <c r="H877" s="1326"/>
      <c r="J877" s="1312"/>
    </row>
    <row r="878" spans="1:10" x14ac:dyDescent="0.2">
      <c r="B878" s="1324" t="str">
        <f>IF(LEN('11.600'!H581)=0,"",'11.600'!H581)</f>
        <v/>
      </c>
      <c r="C878" s="1280" t="str">
        <f t="shared" si="28"/>
        <v/>
      </c>
      <c r="D878" s="589"/>
      <c r="E878" s="858"/>
      <c r="F878" s="216" t="s">
        <v>123</v>
      </c>
      <c r="G878" s="1094" t="s">
        <v>4039</v>
      </c>
      <c r="H878" s="1326"/>
      <c r="J878" s="1312"/>
    </row>
    <row r="879" spans="1:10" x14ac:dyDescent="0.2">
      <c r="B879" s="1324" t="str">
        <f>IF(LEN('11.600'!H582)=0,"",'11.600'!H582)</f>
        <v/>
      </c>
      <c r="C879" s="1280" t="str">
        <f t="shared" si="28"/>
        <v/>
      </c>
      <c r="D879" s="589"/>
      <c r="E879" s="858"/>
      <c r="F879" s="222" t="s">
        <v>366</v>
      </c>
      <c r="G879" s="1094" t="s">
        <v>4040</v>
      </c>
      <c r="H879" s="1326"/>
      <c r="J879" s="1312"/>
    </row>
    <row r="880" spans="1:10" x14ac:dyDescent="0.2">
      <c r="B880" s="1324" t="str">
        <f>IF(LEN('11.600'!H583)=0,"",'11.600'!H583)</f>
        <v/>
      </c>
      <c r="C880" s="1280" t="str">
        <f t="shared" si="28"/>
        <v/>
      </c>
      <c r="D880" s="589"/>
      <c r="E880" s="858"/>
      <c r="F880" s="223" t="s">
        <v>472</v>
      </c>
      <c r="G880" s="1094" t="s">
        <v>4041</v>
      </c>
      <c r="H880" s="1326"/>
      <c r="J880" s="1312"/>
    </row>
    <row r="881" spans="1:10" x14ac:dyDescent="0.2">
      <c r="B881" s="1324" t="str">
        <f>IF(LEN('11.600'!H584)=0,"",'11.600'!H584)</f>
        <v/>
      </c>
      <c r="C881" s="1280" t="str">
        <f t="shared" si="28"/>
        <v/>
      </c>
      <c r="D881" s="589"/>
      <c r="E881" s="858"/>
      <c r="F881" s="89" t="s">
        <v>510</v>
      </c>
      <c r="G881" s="1301" t="s">
        <v>4042</v>
      </c>
      <c r="H881" s="1326"/>
      <c r="J881" s="1312"/>
    </row>
    <row r="882" spans="1:10" ht="19" x14ac:dyDescent="0.25">
      <c r="A882" s="467" t="s">
        <v>3200</v>
      </c>
      <c r="B882" s="1324" t="str">
        <f>IF(LEN('11.700'!H9)=0,"",'11.700'!H9)</f>
        <v/>
      </c>
      <c r="C882" s="1280" t="str">
        <f t="shared" si="28"/>
        <v>P</v>
      </c>
      <c r="D882" s="90" t="s">
        <v>3637</v>
      </c>
      <c r="E882" s="90"/>
      <c r="F882" s="90"/>
      <c r="G882" s="25"/>
      <c r="H882" s="994"/>
      <c r="I882" s="25"/>
      <c r="J882" s="25"/>
    </row>
    <row r="883" spans="1:10" ht="16" thickBot="1" x14ac:dyDescent="0.25">
      <c r="B883" s="1324" t="str">
        <f>IF(LEN('11.700'!H10)=0,"",'11.700'!H10)</f>
        <v/>
      </c>
      <c r="C883" s="1280" t="str">
        <f t="shared" si="28"/>
        <v/>
      </c>
      <c r="D883" s="105" t="s">
        <v>4045</v>
      </c>
      <c r="E883" s="99"/>
      <c r="F883" s="99"/>
      <c r="G883" s="596" t="s">
        <v>4044</v>
      </c>
      <c r="H883" s="484"/>
      <c r="J883" s="1312"/>
    </row>
    <row r="884" spans="1:10" ht="16" thickTop="1" x14ac:dyDescent="0.2">
      <c r="A884" s="467" t="s">
        <v>3200</v>
      </c>
      <c r="B884" s="1324" t="str">
        <f>IF(LEN('11.700'!H11)=0,"",'11.700'!H11)</f>
        <v/>
      </c>
      <c r="C884" s="1280" t="str">
        <f t="shared" si="28"/>
        <v>P</v>
      </c>
      <c r="D884" s="102" t="s">
        <v>3638</v>
      </c>
      <c r="E884" s="1287"/>
      <c r="F884" s="1287"/>
      <c r="G884" s="1306" t="s">
        <v>3658</v>
      </c>
      <c r="H884" s="1326"/>
      <c r="J884" s="1312"/>
    </row>
    <row r="885" spans="1:10" x14ac:dyDescent="0.2">
      <c r="B885" s="1324" t="str">
        <f>IF(LEN('11.700'!H12)=0,"",'11.700'!H12)</f>
        <v/>
      </c>
      <c r="C885" s="1280" t="str">
        <f t="shared" si="28"/>
        <v/>
      </c>
      <c r="D885" s="593" t="s">
        <v>3845</v>
      </c>
      <c r="E885" s="1284"/>
      <c r="F885" s="1284"/>
      <c r="G885" s="1712" t="s">
        <v>4052</v>
      </c>
      <c r="H885" s="1341" t="b">
        <f>IF(LEN('11.700'!W12)=0,"",'11.700'!W12)</f>
        <v>1</v>
      </c>
      <c r="J885" s="1312"/>
    </row>
    <row r="886" spans="1:10" x14ac:dyDescent="0.2">
      <c r="B886" s="1324" t="str">
        <f>IF(LEN('11.700'!H13)=0,"",'11.700'!H13)</f>
        <v/>
      </c>
      <c r="C886" s="1280" t="str">
        <f t="shared" si="28"/>
        <v/>
      </c>
      <c r="D886" s="97"/>
      <c r="E886" s="1287"/>
      <c r="F886" s="1287"/>
      <c r="G886" s="1629"/>
      <c r="H886" s="1326"/>
      <c r="J886" s="1312"/>
    </row>
    <row r="887" spans="1:10" x14ac:dyDescent="0.2">
      <c r="B887" s="1324" t="str">
        <f>IF(LEN('11.700'!H14)=0,"",'11.700'!H14)</f>
        <v/>
      </c>
      <c r="C887" s="1280" t="str">
        <f t="shared" si="28"/>
        <v/>
      </c>
      <c r="D887" s="97"/>
      <c r="E887" s="1287"/>
      <c r="F887" s="1287"/>
      <c r="G887" s="1629"/>
      <c r="H887" s="1326"/>
      <c r="J887" s="1312"/>
    </row>
    <row r="888" spans="1:10" x14ac:dyDescent="0.2">
      <c r="B888" s="1324" t="str">
        <f>IF(LEN('11.700'!H15)=0,"",'11.700'!H15)</f>
        <v/>
      </c>
      <c r="C888" s="1280" t="str">
        <f t="shared" si="28"/>
        <v/>
      </c>
      <c r="D888" s="97"/>
      <c r="E888" s="1287"/>
      <c r="F888" s="1287"/>
      <c r="G888" s="1629"/>
      <c r="H888" s="1326"/>
      <c r="J888" s="1312"/>
    </row>
    <row r="889" spans="1:10" x14ac:dyDescent="0.2">
      <c r="B889" s="1324" t="str">
        <f>IF(LEN('11.700'!H16)=0,"",'11.700'!H16)</f>
        <v/>
      </c>
      <c r="C889" s="1280" t="str">
        <f t="shared" si="28"/>
        <v/>
      </c>
      <c r="D889" s="97"/>
      <c r="E889" s="1287"/>
      <c r="F889" s="1287"/>
      <c r="G889" s="1629"/>
      <c r="H889" s="1326"/>
      <c r="J889" s="1312"/>
    </row>
    <row r="890" spans="1:10" x14ac:dyDescent="0.2">
      <c r="B890" s="1324" t="str">
        <f>IF(LEN('11.700'!H17)=0,"",'11.700'!H17)</f>
        <v/>
      </c>
      <c r="C890" s="1280" t="str">
        <f t="shared" si="28"/>
        <v/>
      </c>
      <c r="D890" s="102"/>
      <c r="E890" s="1287"/>
      <c r="F890" s="1287"/>
      <c r="G890" s="1629"/>
      <c r="H890" s="1326"/>
      <c r="J890" s="1312"/>
    </row>
    <row r="891" spans="1:10" x14ac:dyDescent="0.2">
      <c r="A891" s="1503" t="str">
        <f>IF(COUNTIF(A892:A895,"P")&gt;0,"P","")</f>
        <v>P</v>
      </c>
      <c r="B891" s="1324" t="str">
        <f>IF(LEN('11.700'!H18)=0,"",'11.700'!H18)</f>
        <v/>
      </c>
      <c r="C891" s="1280" t="str">
        <f t="shared" si="28"/>
        <v>P</v>
      </c>
      <c r="D891" s="591" t="s">
        <v>3639</v>
      </c>
      <c r="E891" s="1285"/>
      <c r="F891" s="1285"/>
      <c r="G891" s="1308" t="s">
        <v>3657</v>
      </c>
      <c r="H891" s="1326"/>
      <c r="J891" s="1312"/>
    </row>
    <row r="892" spans="1:10" x14ac:dyDescent="0.2">
      <c r="A892" s="467" t="str">
        <f>IF(AND(LEN(H892)&gt;0,NOT(H892=FALSE),NOT(H892="N/A")),"P","")</f>
        <v>P</v>
      </c>
      <c r="B892" s="1324" t="str">
        <f>IF(LEN('11.700'!H19)=0,"",'11.700'!H19)</f>
        <v/>
      </c>
      <c r="C892" s="1280" t="str">
        <f t="shared" si="28"/>
        <v>P</v>
      </c>
      <c r="D892" s="593" t="s">
        <v>3640</v>
      </c>
      <c r="E892" s="1284"/>
      <c r="F892" s="1284"/>
      <c r="G892" s="1712" t="s">
        <v>3847</v>
      </c>
      <c r="H892" s="1341" t="b">
        <f>IF(LEN('11.700'!W19)=0,"",'11.700'!W19)</f>
        <v>1</v>
      </c>
      <c r="J892" s="1779" t="s">
        <v>5169</v>
      </c>
    </row>
    <row r="893" spans="1:10" x14ac:dyDescent="0.2">
      <c r="A893" s="467" t="str">
        <f t="shared" ref="A893:A894" si="30">A892</f>
        <v>P</v>
      </c>
      <c r="B893" s="1324" t="str">
        <f>IF(LEN('11.700'!H20)=0,"",'11.700'!H20)</f>
        <v/>
      </c>
      <c r="C893" s="1280" t="str">
        <f t="shared" si="28"/>
        <v>P</v>
      </c>
      <c r="D893" s="97"/>
      <c r="E893" s="1287"/>
      <c r="F893" s="1287"/>
      <c r="G893" s="1629"/>
      <c r="H893" s="1326"/>
      <c r="J893" s="1784"/>
    </row>
    <row r="894" spans="1:10" x14ac:dyDescent="0.2">
      <c r="A894" s="467" t="str">
        <f t="shared" si="30"/>
        <v>P</v>
      </c>
      <c r="B894" s="1324" t="str">
        <f>IF(LEN('11.700'!H21)=0,"",'11.700'!H21)</f>
        <v/>
      </c>
      <c r="C894" s="1280" t="str">
        <f t="shared" si="28"/>
        <v>P</v>
      </c>
      <c r="D894" s="170"/>
      <c r="E894" s="1285"/>
      <c r="F894" s="1285"/>
      <c r="G894" s="1696"/>
      <c r="H894" s="1326"/>
      <c r="J894" s="1784"/>
    </row>
    <row r="895" spans="1:10" x14ac:dyDescent="0.2">
      <c r="A895" s="467" t="str">
        <f>IF(AND(LEN(H895)&gt;0,NOT(H895=FALSE),NOT(H895="N/A")),"P","")</f>
        <v>P</v>
      </c>
      <c r="B895" s="1324" t="str">
        <f>IF(LEN('11.700'!H22)=0,"",'11.700'!H22)</f>
        <v/>
      </c>
      <c r="C895" s="1280" t="str">
        <f t="shared" si="28"/>
        <v>P</v>
      </c>
      <c r="D895" s="218" t="s">
        <v>3641</v>
      </c>
      <c r="E895" s="1284"/>
      <c r="F895" s="1284"/>
      <c r="G895" s="1712" t="s">
        <v>3849</v>
      </c>
      <c r="H895" s="1341" t="str">
        <f>IF(LEN('11.700'!W22)=0,"",'11.700'!W22)</f>
        <v>No Radiant or Hydronic</v>
      </c>
      <c r="J895" s="1779" t="s">
        <v>5170</v>
      </c>
    </row>
    <row r="896" spans="1:10" x14ac:dyDescent="0.2">
      <c r="A896" s="467" t="str">
        <f t="shared" ref="A896:A899" si="31">A895</f>
        <v>P</v>
      </c>
      <c r="B896" s="1324" t="str">
        <f>IF(LEN('11.700'!H23)=0,"",'11.700'!H23)</f>
        <v/>
      </c>
      <c r="C896" s="1280" t="str">
        <f t="shared" si="28"/>
        <v>P</v>
      </c>
      <c r="D896" s="97"/>
      <c r="E896" s="1287"/>
      <c r="F896" s="1287"/>
      <c r="G896" s="1629"/>
      <c r="H896" s="1326"/>
      <c r="J896" s="1784"/>
    </row>
    <row r="897" spans="1:10" x14ac:dyDescent="0.2">
      <c r="A897" s="467" t="str">
        <f t="shared" si="31"/>
        <v>P</v>
      </c>
      <c r="B897" s="1324" t="str">
        <f>IF(LEN('11.700'!H24)=0,"",'11.700'!H24)</f>
        <v/>
      </c>
      <c r="C897" s="1280" t="str">
        <f t="shared" si="28"/>
        <v>P</v>
      </c>
      <c r="D897" s="97"/>
      <c r="E897" s="1287"/>
      <c r="F897" s="1287"/>
      <c r="G897" s="1629"/>
      <c r="H897" s="1326"/>
      <c r="J897" s="1784"/>
    </row>
    <row r="898" spans="1:10" x14ac:dyDescent="0.2">
      <c r="A898" s="467" t="str">
        <f t="shared" si="31"/>
        <v>P</v>
      </c>
      <c r="B898" s="1324" t="str">
        <f>IF(LEN('11.700'!H25)=0,"",'11.700'!H25)</f>
        <v/>
      </c>
      <c r="C898" s="1280" t="str">
        <f t="shared" si="28"/>
        <v>P</v>
      </c>
      <c r="D898" s="97"/>
      <c r="E898" s="1287"/>
      <c r="F898" s="1287"/>
      <c r="G898" s="1629"/>
      <c r="H898" s="1326"/>
      <c r="J898" s="1784"/>
    </row>
    <row r="899" spans="1:10" x14ac:dyDescent="0.2">
      <c r="A899" s="467" t="str">
        <f t="shared" si="31"/>
        <v>P</v>
      </c>
      <c r="B899" s="1324" t="str">
        <f>IF(LEN('11.700'!H26)=0,"",'11.700'!H26)</f>
        <v/>
      </c>
      <c r="C899" s="1280" t="str">
        <f t="shared" si="28"/>
        <v>P</v>
      </c>
      <c r="D899" s="170"/>
      <c r="E899" s="1285"/>
      <c r="F899" s="1285"/>
      <c r="G899" s="1696"/>
      <c r="H899" s="1326"/>
      <c r="J899" s="1784"/>
    </row>
    <row r="900" spans="1:10" x14ac:dyDescent="0.2">
      <c r="A900" s="1503" t="str">
        <f>IF(COUNTIF(A901:A907,"P")&gt;0,"P","")</f>
        <v>P</v>
      </c>
      <c r="B900" s="1324" t="str">
        <f>IF(LEN('11.700'!H27)=0,"",'11.700'!H27)</f>
        <v/>
      </c>
      <c r="C900" s="1280" t="str">
        <f t="shared" si="28"/>
        <v>P</v>
      </c>
      <c r="D900" s="218" t="s">
        <v>3642</v>
      </c>
      <c r="E900" s="1284"/>
      <c r="F900" s="1284"/>
      <c r="G900" s="1299" t="s">
        <v>3656</v>
      </c>
      <c r="H900" s="1326"/>
      <c r="J900" s="1312"/>
    </row>
    <row r="901" spans="1:10" x14ac:dyDescent="0.2">
      <c r="A901" s="467" t="str">
        <f>IF(AND(LEN(H901)&gt;0,NOT(H901=FALSE),NOT(H901="N/A")),"P","")</f>
        <v>P</v>
      </c>
      <c r="B901" s="1324" t="str">
        <f>IF(LEN('11.700'!H28)=0,"",'11.700'!H28)</f>
        <v/>
      </c>
      <c r="C901" s="1280" t="str">
        <f t="shared" si="28"/>
        <v>P</v>
      </c>
      <c r="D901" s="187" t="s">
        <v>3643</v>
      </c>
      <c r="E901" s="1287"/>
      <c r="F901" s="1287"/>
      <c r="G901" s="1629" t="s">
        <v>3850</v>
      </c>
      <c r="H901" s="1341" t="b">
        <f>IF(LEN('11.700'!W28)=0,"",'11.700'!W28)</f>
        <v>1</v>
      </c>
      <c r="J901" s="1779" t="s">
        <v>5171</v>
      </c>
    </row>
    <row r="902" spans="1:10" x14ac:dyDescent="0.2">
      <c r="A902" s="467" t="str">
        <f t="shared" ref="A902:A903" si="32">A901</f>
        <v>P</v>
      </c>
      <c r="B902" s="1324" t="str">
        <f>IF(LEN('11.700'!H29)=0,"",'11.700'!H29)</f>
        <v/>
      </c>
      <c r="C902" s="1280" t="str">
        <f t="shared" si="28"/>
        <v>P</v>
      </c>
      <c r="D902" s="187"/>
      <c r="E902" s="1287"/>
      <c r="F902" s="1287"/>
      <c r="G902" s="1629"/>
      <c r="H902" s="1326"/>
      <c r="J902" s="1784"/>
    </row>
    <row r="903" spans="1:10" x14ac:dyDescent="0.2">
      <c r="A903" s="467" t="str">
        <f t="shared" si="32"/>
        <v>P</v>
      </c>
      <c r="B903" s="1324" t="str">
        <f>IF(LEN('11.700'!H30)=0,"",'11.700'!H30)</f>
        <v/>
      </c>
      <c r="C903" s="1280" t="str">
        <f t="shared" si="28"/>
        <v>P</v>
      </c>
      <c r="D903" s="221"/>
      <c r="E903" s="1285"/>
      <c r="F903" s="1285"/>
      <c r="G903" s="1696"/>
      <c r="H903" s="1326"/>
      <c r="J903" s="1784"/>
    </row>
    <row r="904" spans="1:10" x14ac:dyDescent="0.2">
      <c r="A904" s="467" t="str">
        <f>IF(AND(LEN(H904)&gt;0,NOT(H904=FALSE),NOT(H904="N/A")),"P","")</f>
        <v>P</v>
      </c>
      <c r="B904" s="1324" t="str">
        <f>IF(LEN('11.700'!H31)=0,"",'11.700'!H31)</f>
        <v/>
      </c>
      <c r="C904" s="1280" t="str">
        <f t="shared" ref="C904:C967" si="33">IF(LEN(B904)=0,IF(A904="P","P",""),B904)</f>
        <v>P</v>
      </c>
      <c r="D904" s="218" t="s">
        <v>3644</v>
      </c>
      <c r="E904" s="1284"/>
      <c r="F904" s="1284"/>
      <c r="G904" s="1699" t="s">
        <v>3851</v>
      </c>
      <c r="H904" s="1341" t="b">
        <f>IF(LEN('11.700'!W31)=0,"",'11.700'!W31)</f>
        <v>1</v>
      </c>
      <c r="J904" s="1312" t="s">
        <v>3120</v>
      </c>
    </row>
    <row r="905" spans="1:10" x14ac:dyDescent="0.2">
      <c r="A905" s="467" t="str">
        <f t="shared" ref="A905:A906" si="34">A904</f>
        <v>P</v>
      </c>
      <c r="B905" s="1324" t="str">
        <f>IF(LEN('11.700'!H32)=0,"",'11.700'!H32)</f>
        <v/>
      </c>
      <c r="C905" s="1280" t="str">
        <f t="shared" si="33"/>
        <v>P</v>
      </c>
      <c r="D905" s="866"/>
      <c r="E905" s="866"/>
      <c r="F905" s="866"/>
      <c r="G905" s="1728"/>
      <c r="H905" s="1326"/>
      <c r="J905" s="1312"/>
    </row>
    <row r="906" spans="1:10" x14ac:dyDescent="0.2">
      <c r="A906" s="467" t="str">
        <f t="shared" si="34"/>
        <v>P</v>
      </c>
      <c r="B906" s="1324" t="str">
        <f>IF(LEN('11.700'!H33)=0,"",'11.700'!H33)</f>
        <v/>
      </c>
      <c r="C906" s="1280" t="str">
        <f t="shared" si="33"/>
        <v>P</v>
      </c>
      <c r="D906" s="1140"/>
      <c r="E906" s="1140"/>
      <c r="F906" s="1140"/>
      <c r="G906" s="1729"/>
      <c r="H906" s="1326"/>
      <c r="J906" s="1312"/>
    </row>
    <row r="907" spans="1:10" x14ac:dyDescent="0.2">
      <c r="A907" s="467" t="str">
        <f>IF(AND(LEN(H907)&gt;0,NOT(H907=FALSE),NOT(H907="N/A")),"P","")</f>
        <v>P</v>
      </c>
      <c r="B907" s="1324" t="str">
        <f>IF(LEN('11.700'!H34)=0,"",'11.700'!H34)</f>
        <v/>
      </c>
      <c r="C907" s="1280" t="str">
        <f t="shared" si="33"/>
        <v>P</v>
      </c>
      <c r="D907" s="187" t="s">
        <v>3645</v>
      </c>
      <c r="E907" s="1287"/>
      <c r="F907" s="1287"/>
      <c r="G907" s="1629" t="s">
        <v>3852</v>
      </c>
      <c r="H907" s="1341" t="b">
        <f>IF(LEN('11.700'!W34)=0,"",'11.700'!W34)</f>
        <v>1</v>
      </c>
      <c r="J907" s="1779" t="s">
        <v>5172</v>
      </c>
    </row>
    <row r="908" spans="1:10" x14ac:dyDescent="0.2">
      <c r="A908" s="467" t="str">
        <f>A907</f>
        <v>P</v>
      </c>
      <c r="B908" s="1324" t="str">
        <f>IF(LEN('11.700'!H35)=0,"",'11.700'!H35)</f>
        <v/>
      </c>
      <c r="C908" s="1280" t="str">
        <f t="shared" si="33"/>
        <v>P</v>
      </c>
      <c r="D908" s="221"/>
      <c r="E908" s="1285"/>
      <c r="F908" s="1285"/>
      <c r="G908" s="1696"/>
      <c r="H908" s="1326"/>
      <c r="J908" s="1784"/>
    </row>
    <row r="909" spans="1:10" x14ac:dyDescent="0.2">
      <c r="A909" s="467" t="s">
        <v>3200</v>
      </c>
      <c r="B909" s="1324" t="str">
        <f>IF(LEN('11.700'!H36)=0,"",'11.700'!H36)</f>
        <v/>
      </c>
      <c r="C909" s="1280" t="str">
        <f t="shared" si="33"/>
        <v>P</v>
      </c>
      <c r="D909" s="218" t="s">
        <v>3646</v>
      </c>
      <c r="E909" s="1284"/>
      <c r="F909" s="1284"/>
      <c r="G909" s="1299" t="s">
        <v>3655</v>
      </c>
      <c r="H909" s="1326"/>
      <c r="J909" s="1312"/>
    </row>
    <row r="910" spans="1:10" x14ac:dyDescent="0.2">
      <c r="A910" s="1503" t="str">
        <f>IF(COUNTIF(A911,"P")&gt;0,"P","")</f>
        <v/>
      </c>
      <c r="B910" s="1324" t="str">
        <f>IF(LEN('11.700'!H37)=0,"",'11.700'!H37)</f>
        <v/>
      </c>
      <c r="C910" s="1280" t="str">
        <f t="shared" si="33"/>
        <v/>
      </c>
      <c r="D910" s="87" t="s">
        <v>3647</v>
      </c>
      <c r="E910" s="1294"/>
      <c r="F910" s="1294"/>
      <c r="G910" s="1631" t="s">
        <v>3853</v>
      </c>
      <c r="H910" s="1326"/>
      <c r="J910" s="1804" t="s">
        <v>3150</v>
      </c>
    </row>
    <row r="911" spans="1:10" x14ac:dyDescent="0.2">
      <c r="A911" s="467" t="str">
        <f>IF(AND(LEN(H911)&gt;0,NOT(H911=FALSE)),"P","")</f>
        <v/>
      </c>
      <c r="B911" s="1324" t="str">
        <f>IF(LEN('11.700'!H38)=0,"",'11.700'!H38)</f>
        <v/>
      </c>
      <c r="C911" s="1280" t="str">
        <f t="shared" si="33"/>
        <v/>
      </c>
      <c r="D911" s="85"/>
      <c r="E911" s="1294"/>
      <c r="F911" s="1294"/>
      <c r="G911" s="1631"/>
      <c r="H911" s="1341" t="str">
        <f>IF(LEN('11.700'!W38)=0,"",'11.700'!W38)</f>
        <v/>
      </c>
      <c r="J911" s="1805"/>
    </row>
    <row r="912" spans="1:10" x14ac:dyDescent="0.2">
      <c r="A912" s="467" t="str">
        <f t="shared" ref="A912:A914" si="35">A911</f>
        <v/>
      </c>
      <c r="B912" s="1324" t="str">
        <f>IF(LEN('11.700'!H39)=0,"",'11.700'!H39)</f>
        <v/>
      </c>
      <c r="C912" s="1280" t="str">
        <f t="shared" si="33"/>
        <v/>
      </c>
      <c r="D912" s="85"/>
      <c r="E912" s="1294"/>
      <c r="F912" s="1294"/>
      <c r="G912" s="1631"/>
      <c r="H912" s="1326"/>
      <c r="J912" s="1327"/>
    </row>
    <row r="913" spans="1:10" x14ac:dyDescent="0.2">
      <c r="A913" s="467" t="str">
        <f t="shared" si="35"/>
        <v/>
      </c>
      <c r="B913" s="1324" t="str">
        <f>IF(LEN('11.700'!H40)=0,"",'11.700'!H40)</f>
        <v/>
      </c>
      <c r="C913" s="1280" t="str">
        <f t="shared" si="33"/>
        <v/>
      </c>
      <c r="D913" s="85"/>
      <c r="E913" s="1294"/>
      <c r="F913" s="1294"/>
      <c r="G913" s="1631"/>
      <c r="H913" s="1326"/>
      <c r="J913" s="1327"/>
    </row>
    <row r="914" spans="1:10" x14ac:dyDescent="0.2">
      <c r="A914" s="467" t="str">
        <f t="shared" si="35"/>
        <v/>
      </c>
      <c r="B914" s="1324" t="str">
        <f>IF(LEN('11.700'!H41)=0,"",'11.700'!H41)</f>
        <v/>
      </c>
      <c r="C914" s="1280" t="str">
        <f t="shared" si="33"/>
        <v/>
      </c>
      <c r="D914" s="85"/>
      <c r="E914" s="1294"/>
      <c r="F914" s="1294"/>
      <c r="G914" s="1631"/>
      <c r="H914" s="1326"/>
      <c r="J914" s="1327"/>
    </row>
    <row r="915" spans="1:10" x14ac:dyDescent="0.2">
      <c r="B915" s="1324" t="str">
        <f>IF(LEN('11.700'!H42)=0,"",'11.700'!H42)</f>
        <v/>
      </c>
      <c r="C915" s="1280" t="str">
        <f t="shared" si="33"/>
        <v/>
      </c>
      <c r="D915" s="85"/>
      <c r="E915" s="1294"/>
      <c r="F915" s="234" t="s">
        <v>121</v>
      </c>
      <c r="G915" s="1294" t="s">
        <v>641</v>
      </c>
      <c r="H915" s="1341" t="str">
        <f>IF(LEN('11.700'!W42)=0,"",'11.700'!W42)</f>
        <v>Met</v>
      </c>
      <c r="J915" s="1312"/>
    </row>
    <row r="916" spans="1:10" x14ac:dyDescent="0.2">
      <c r="B916" s="1324" t="str">
        <f>IF(LEN('11.700'!H43)=0,"",'11.700'!H43)</f>
        <v/>
      </c>
      <c r="C916" s="1280" t="str">
        <f t="shared" si="33"/>
        <v/>
      </c>
      <c r="D916" s="85"/>
      <c r="E916" s="1294"/>
      <c r="F916" s="234" t="s">
        <v>122</v>
      </c>
      <c r="G916" s="1294" t="s">
        <v>642</v>
      </c>
      <c r="H916" s="1341" t="str">
        <f>IF(LEN('11.700'!W43)=0,"",'11.700'!W43)</f>
        <v>Met</v>
      </c>
      <c r="J916" s="1312"/>
    </row>
    <row r="917" spans="1:10" ht="15" customHeight="1" x14ac:dyDescent="0.2">
      <c r="B917" s="1324" t="str">
        <f>IF(LEN('11.700'!H44)=0,"",'11.700'!H44)</f>
        <v/>
      </c>
      <c r="C917" s="1280" t="str">
        <f t="shared" si="33"/>
        <v/>
      </c>
      <c r="D917" s="85"/>
      <c r="E917" s="1294"/>
      <c r="F917" s="235" t="s">
        <v>123</v>
      </c>
      <c r="G917" s="1294" t="s">
        <v>643</v>
      </c>
      <c r="H917" s="1341" t="str">
        <f>IF(LEN('11.700'!W44)=0,"",'11.700'!W44)</f>
        <v>Met</v>
      </c>
      <c r="J917" s="1312"/>
    </row>
    <row r="918" spans="1:10" x14ac:dyDescent="0.2">
      <c r="B918" s="1324" t="str">
        <f>IF(LEN('11.700'!H45)=0,"",'11.700'!H45)</f>
        <v/>
      </c>
      <c r="C918" s="1280" t="str">
        <f t="shared" si="33"/>
        <v/>
      </c>
      <c r="D918" s="85"/>
      <c r="E918" s="1294"/>
      <c r="F918" s="1300" t="s">
        <v>366</v>
      </c>
      <c r="G918" s="1294" t="s">
        <v>644</v>
      </c>
      <c r="H918" s="1341" t="str">
        <f>IF(LEN('11.700'!W45)=0,"",'11.700'!W45)</f>
        <v>Met</v>
      </c>
      <c r="J918" s="1312"/>
    </row>
    <row r="919" spans="1:10" x14ac:dyDescent="0.2">
      <c r="B919" s="1324" t="str">
        <f>IF(LEN('11.700'!H46)=0,"",'11.700'!H46)</f>
        <v/>
      </c>
      <c r="C919" s="1280" t="str">
        <f t="shared" si="33"/>
        <v/>
      </c>
      <c r="D919" s="85"/>
      <c r="E919" s="1294"/>
      <c r="F919" s="1300" t="s">
        <v>472</v>
      </c>
      <c r="G919" s="1294" t="s">
        <v>645</v>
      </c>
      <c r="H919" s="1341" t="str">
        <f>IF(LEN('11.700'!W46)=0,"",'11.700'!W46)</f>
        <v>Met</v>
      </c>
      <c r="J919" s="1312"/>
    </row>
    <row r="920" spans="1:10" x14ac:dyDescent="0.2">
      <c r="B920" s="1324" t="str">
        <f>IF(LEN('11.700'!H47)=0,"",'11.700'!H47)</f>
        <v/>
      </c>
      <c r="C920" s="1280" t="str">
        <f t="shared" si="33"/>
        <v/>
      </c>
      <c r="D920" s="85"/>
      <c r="E920" s="1294"/>
      <c r="F920" s="235" t="s">
        <v>510</v>
      </c>
      <c r="G920" s="1294" t="s">
        <v>646</v>
      </c>
      <c r="H920" s="1341" t="str">
        <f>IF(LEN('11.700'!W47)=0,"",'11.700'!W47)</f>
        <v>N/A</v>
      </c>
      <c r="J920" s="1312"/>
    </row>
    <row r="921" spans="1:10" x14ac:dyDescent="0.2">
      <c r="B921" s="1324" t="str">
        <f>IF(LEN('11.700'!H48)=0,"",'11.700'!H48)</f>
        <v/>
      </c>
      <c r="C921" s="1280" t="str">
        <f t="shared" si="33"/>
        <v/>
      </c>
      <c r="D921" s="85"/>
      <c r="E921" s="1294"/>
      <c r="F921" s="1300" t="s">
        <v>512</v>
      </c>
      <c r="G921" s="1294" t="s">
        <v>4054</v>
      </c>
      <c r="H921" s="1341" t="str">
        <f>IF(LEN('11.700'!W48)=0,"",'11.700'!W48)</f>
        <v>Met</v>
      </c>
      <c r="J921" s="1312"/>
    </row>
    <row r="922" spans="1:10" x14ac:dyDescent="0.2">
      <c r="B922" s="1324" t="str">
        <f>IF(LEN('11.700'!H49)=0,"",'11.700'!H49)</f>
        <v/>
      </c>
      <c r="C922" s="1280" t="str">
        <f t="shared" si="33"/>
        <v/>
      </c>
      <c r="D922" s="85"/>
      <c r="E922" s="1294"/>
      <c r="F922" s="1300" t="s">
        <v>514</v>
      </c>
      <c r="G922" s="1294" t="s">
        <v>647</v>
      </c>
      <c r="H922" s="1341" t="str">
        <f>IF(LEN('11.700'!W49)=0,"",'11.700'!W49)</f>
        <v>N/A</v>
      </c>
      <c r="J922" s="1312"/>
    </row>
    <row r="923" spans="1:10" x14ac:dyDescent="0.2">
      <c r="B923" s="1324" t="str">
        <f>IF(LEN('11.700'!H50)=0,"",'11.700'!H50)</f>
        <v/>
      </c>
      <c r="C923" s="1280" t="str">
        <f t="shared" si="33"/>
        <v/>
      </c>
      <c r="D923" s="85"/>
      <c r="E923" s="1294"/>
      <c r="F923" s="1300" t="s">
        <v>648</v>
      </c>
      <c r="G923" s="1294" t="s">
        <v>4055</v>
      </c>
      <c r="H923" s="1341" t="str">
        <f>IF(LEN('11.700'!W50)=0,"",'11.700'!W50)</f>
        <v>Met</v>
      </c>
      <c r="J923" s="1312"/>
    </row>
    <row r="924" spans="1:10" x14ac:dyDescent="0.2">
      <c r="B924" s="1324" t="str">
        <f>IF(LEN('11.700'!H51)=0,"",'11.700'!H51)</f>
        <v/>
      </c>
      <c r="C924" s="1280" t="str">
        <f t="shared" si="33"/>
        <v/>
      </c>
      <c r="D924" s="85"/>
      <c r="E924" s="1294"/>
      <c r="F924" s="1300" t="s">
        <v>649</v>
      </c>
      <c r="G924" s="1294" t="s">
        <v>650</v>
      </c>
      <c r="H924" s="1341" t="str">
        <f>IF(LEN('11.700'!W51)=0,"",'11.700'!W51)</f>
        <v>Met</v>
      </c>
      <c r="J924" s="1312"/>
    </row>
    <row r="925" spans="1:10" x14ac:dyDescent="0.2">
      <c r="B925" s="1324" t="str">
        <f>IF(LEN('11.700'!H52)=0,"",'11.700'!H52)</f>
        <v/>
      </c>
      <c r="C925" s="1280" t="str">
        <f t="shared" si="33"/>
        <v/>
      </c>
      <c r="D925" s="85"/>
      <c r="E925" s="1294"/>
      <c r="F925" s="1300" t="s">
        <v>651</v>
      </c>
      <c r="G925" s="1294" t="s">
        <v>5080</v>
      </c>
      <c r="H925" s="1341" t="str">
        <f>IF(LEN('11.700'!W52)=0,"",'11.700'!W52)</f>
        <v>Met</v>
      </c>
      <c r="J925" s="1312"/>
    </row>
    <row r="926" spans="1:10" x14ac:dyDescent="0.2">
      <c r="B926" s="1324" t="str">
        <f>IF(LEN('11.700'!H53)=0,"",'11.700'!H53)</f>
        <v/>
      </c>
      <c r="C926" s="1280" t="str">
        <f t="shared" si="33"/>
        <v/>
      </c>
      <c r="D926" s="97"/>
      <c r="E926" s="1287"/>
      <c r="F926" s="1306" t="s">
        <v>652</v>
      </c>
      <c r="G926" s="1287" t="s">
        <v>4056</v>
      </c>
      <c r="H926" s="1341" t="str">
        <f>IF(LEN('11.700'!W53)=0,"",'11.700'!W53)</f>
        <v>N/A</v>
      </c>
      <c r="J926" s="1312"/>
    </row>
    <row r="927" spans="1:10" x14ac:dyDescent="0.2">
      <c r="B927" s="1324" t="str">
        <f>IF(LEN('11.700'!H54)=0,"",'11.700'!H54)</f>
        <v/>
      </c>
      <c r="C927" s="1280" t="str">
        <f t="shared" si="33"/>
        <v/>
      </c>
      <c r="D927" s="170"/>
      <c r="E927" s="1285"/>
      <c r="F927" s="1308" t="s">
        <v>4053</v>
      </c>
      <c r="G927" s="1285" t="s">
        <v>653</v>
      </c>
      <c r="H927" s="1341" t="str">
        <f>IF(LEN('11.700'!W54)=0,"",'11.700'!W54)</f>
        <v>Met</v>
      </c>
      <c r="J927" s="1312"/>
    </row>
    <row r="928" spans="1:10" x14ac:dyDescent="0.2">
      <c r="A928" s="1503" t="str">
        <f>IF(COUNTIF(A932:A951,"P")&gt;0,"P","")</f>
        <v>P</v>
      </c>
      <c r="B928" s="1324" t="str">
        <f>IF(LEN('11.700'!H55)=0,"",'11.700'!H55)</f>
        <v/>
      </c>
      <c r="C928" s="1280" t="str">
        <f t="shared" si="33"/>
        <v>P</v>
      </c>
      <c r="D928" s="87" t="s">
        <v>3648</v>
      </c>
      <c r="E928" s="1294"/>
      <c r="F928" s="1294"/>
      <c r="G928" s="1631" t="s">
        <v>4057</v>
      </c>
      <c r="H928" s="1326"/>
      <c r="J928" s="1312"/>
    </row>
    <row r="929" spans="1:10" x14ac:dyDescent="0.2">
      <c r="A929" s="467" t="str">
        <f t="shared" ref="A929:A931" si="36">A928</f>
        <v>P</v>
      </c>
      <c r="B929" s="1324" t="str">
        <f>IF(LEN('11.700'!H56)=0,"",'11.700'!H56)</f>
        <v/>
      </c>
      <c r="C929" s="1280" t="str">
        <f t="shared" si="33"/>
        <v>P</v>
      </c>
      <c r="D929" s="85"/>
      <c r="E929" s="1294"/>
      <c r="F929" s="1294"/>
      <c r="G929" s="1631"/>
      <c r="H929" s="1341" t="b">
        <f>IF(LEN('11.700'!W56)=0,"",'11.700'!W56)</f>
        <v>1</v>
      </c>
      <c r="J929" s="1312"/>
    </row>
    <row r="930" spans="1:10" x14ac:dyDescent="0.2">
      <c r="A930" s="467" t="str">
        <f t="shared" si="36"/>
        <v>P</v>
      </c>
      <c r="B930" s="1324" t="str">
        <f>IF(LEN('11.700'!H57)=0,"",'11.700'!H57)</f>
        <v/>
      </c>
      <c r="C930" s="1280" t="str">
        <f t="shared" si="33"/>
        <v>P</v>
      </c>
      <c r="D930" s="85"/>
      <c r="E930" s="1294"/>
      <c r="F930" s="1294"/>
      <c r="G930" s="1631"/>
      <c r="H930" s="1326"/>
      <c r="J930" s="1312"/>
    </row>
    <row r="931" spans="1:10" x14ac:dyDescent="0.2">
      <c r="A931" s="467" t="str">
        <f t="shared" si="36"/>
        <v>P</v>
      </c>
      <c r="B931" s="1324" t="str">
        <f>IF(LEN('11.700'!H58)=0,"",'11.700'!H58)</f>
        <v/>
      </c>
      <c r="C931" s="1280" t="str">
        <f t="shared" si="33"/>
        <v>P</v>
      </c>
      <c r="D931" s="85"/>
      <c r="E931" s="1294"/>
      <c r="F931" s="1294"/>
      <c r="G931" s="1631"/>
      <c r="H931" s="1326"/>
      <c r="J931" s="1312"/>
    </row>
    <row r="932" spans="1:10" x14ac:dyDescent="0.2">
      <c r="A932" s="467" t="str">
        <f>IF(OR(LEN(H932)&gt;0,LEN(H935)&gt;0),"P","")</f>
        <v>P</v>
      </c>
      <c r="B932" s="1324" t="str">
        <f>IF(LEN('11.700'!H59)=0,"",'11.700'!H59)</f>
        <v/>
      </c>
      <c r="C932" s="1280" t="str">
        <f t="shared" si="33"/>
        <v>P</v>
      </c>
      <c r="D932" s="85"/>
      <c r="E932" s="234" t="s">
        <v>254</v>
      </c>
      <c r="F932" s="1294"/>
      <c r="G932" s="1631" t="s">
        <v>655</v>
      </c>
      <c r="H932" s="1341">
        <f>IF(LEN('11.700'!W59)=0,"",'11.700'!W59)</f>
        <v>7</v>
      </c>
      <c r="J932" s="1779" t="s">
        <v>5173</v>
      </c>
    </row>
    <row r="933" spans="1:10" x14ac:dyDescent="0.2">
      <c r="A933" s="467" t="str">
        <f t="shared" ref="A933:A936" si="37">A932</f>
        <v>P</v>
      </c>
      <c r="B933" s="1324" t="str">
        <f>IF(LEN('11.700'!H60)=0,"",'11.700'!H60)</f>
        <v/>
      </c>
      <c r="C933" s="1280" t="str">
        <f t="shared" si="33"/>
        <v>P</v>
      </c>
      <c r="D933" s="85"/>
      <c r="E933" s="1294"/>
      <c r="F933" s="1294"/>
      <c r="G933" s="1631"/>
      <c r="H933" s="1326"/>
      <c r="J933" s="1784"/>
    </row>
    <row r="934" spans="1:10" x14ac:dyDescent="0.2">
      <c r="A934" s="467" t="str">
        <f t="shared" si="37"/>
        <v>P</v>
      </c>
      <c r="B934" s="1324" t="str">
        <f>IF(LEN('11.700'!H61)=0,"",'11.700'!H61)</f>
        <v/>
      </c>
      <c r="C934" s="1280" t="str">
        <f t="shared" si="33"/>
        <v>P</v>
      </c>
      <c r="D934" s="85"/>
      <c r="E934" s="1294"/>
      <c r="F934" s="1294"/>
      <c r="G934" s="1631"/>
      <c r="H934" s="1326"/>
      <c r="J934" s="1784"/>
    </row>
    <row r="935" spans="1:10" x14ac:dyDescent="0.2">
      <c r="A935" s="467" t="str">
        <f t="shared" si="37"/>
        <v>P</v>
      </c>
      <c r="B935" s="1324" t="str">
        <f>IF(LEN('11.700'!H62)=0,"",'11.700'!H62)</f>
        <v/>
      </c>
      <c r="C935" s="1280" t="str">
        <f t="shared" si="33"/>
        <v>P</v>
      </c>
      <c r="D935" s="85"/>
      <c r="E935" s="1294"/>
      <c r="F935" s="1294"/>
      <c r="G935" s="1631"/>
      <c r="H935" s="1341" t="str">
        <f>IF(LEN('11.700'!W62)=0,"",'11.700'!W62)</f>
        <v/>
      </c>
      <c r="J935" s="1784"/>
    </row>
    <row r="936" spans="1:10" x14ac:dyDescent="0.2">
      <c r="A936" s="467" t="str">
        <f t="shared" si="37"/>
        <v>P</v>
      </c>
      <c r="B936" s="1324" t="str">
        <f>IF(LEN('11.700'!H63)=0,"",'11.700'!H63)</f>
        <v/>
      </c>
      <c r="C936" s="1280" t="str">
        <f t="shared" si="33"/>
        <v>P</v>
      </c>
      <c r="D936" s="85"/>
      <c r="E936" s="1294"/>
      <c r="F936" s="1294"/>
      <c r="G936" s="1631"/>
      <c r="H936" s="1326"/>
      <c r="J936" s="1784"/>
    </row>
    <row r="937" spans="1:10" x14ac:dyDescent="0.2">
      <c r="B937" s="1324" t="str">
        <f>IF(LEN('11.700'!H64)=0,"",'11.700'!H64)</f>
        <v/>
      </c>
      <c r="C937" s="1280" t="str">
        <f t="shared" si="33"/>
        <v/>
      </c>
      <c r="D937" s="88"/>
      <c r="E937" s="88"/>
      <c r="F937" s="88"/>
      <c r="G937" s="1782" t="s">
        <v>4058</v>
      </c>
      <c r="H937" s="1326"/>
      <c r="J937" s="1312"/>
    </row>
    <row r="938" spans="1:10" x14ac:dyDescent="0.2">
      <c r="B938" s="1324" t="str">
        <f>IF(LEN('11.700'!H65)=0,"",'11.700'!H65)</f>
        <v/>
      </c>
      <c r="C938" s="1280" t="str">
        <f t="shared" si="33"/>
        <v/>
      </c>
      <c r="D938" s="88"/>
      <c r="E938" s="88"/>
      <c r="F938" s="88"/>
      <c r="G938" s="1782"/>
      <c r="H938" s="1326"/>
      <c r="J938" s="1312"/>
    </row>
    <row r="939" spans="1:10" x14ac:dyDescent="0.2">
      <c r="B939" s="1324" t="str">
        <f>IF(LEN('11.700'!H66)=0,"",'11.700'!H66)</f>
        <v/>
      </c>
      <c r="C939" s="1280" t="str">
        <f t="shared" si="33"/>
        <v/>
      </c>
      <c r="D939" s="88"/>
      <c r="E939" s="88"/>
      <c r="F939" s="88"/>
      <c r="G939" s="1782"/>
      <c r="H939" s="1326"/>
      <c r="J939" s="1312"/>
    </row>
    <row r="940" spans="1:10" x14ac:dyDescent="0.2">
      <c r="B940" s="1324" t="str">
        <f>IF(LEN('11.700'!H67)=0,"",'11.700'!H67)</f>
        <v/>
      </c>
      <c r="C940" s="1280" t="str">
        <f t="shared" si="33"/>
        <v/>
      </c>
      <c r="D940" s="85"/>
      <c r="E940" s="1294"/>
      <c r="F940" s="234" t="s">
        <v>121</v>
      </c>
      <c r="G940" s="1294" t="s">
        <v>656</v>
      </c>
      <c r="H940" s="1326"/>
      <c r="J940" s="1312"/>
    </row>
    <row r="941" spans="1:10" x14ac:dyDescent="0.2">
      <c r="B941" s="1324" t="str">
        <f>IF(LEN('11.700'!H68)=0,"",'11.700'!H68)</f>
        <v/>
      </c>
      <c r="C941" s="1280" t="str">
        <f t="shared" si="33"/>
        <v/>
      </c>
      <c r="D941" s="85"/>
      <c r="E941" s="1294"/>
      <c r="F941" s="234" t="s">
        <v>122</v>
      </c>
      <c r="G941" s="1611" t="s">
        <v>657</v>
      </c>
      <c r="H941" s="1326"/>
      <c r="J941" s="1312"/>
    </row>
    <row r="942" spans="1:10" x14ac:dyDescent="0.2">
      <c r="B942" s="1324" t="str">
        <f>IF(LEN('11.700'!H69)=0,"",'11.700'!H69)</f>
        <v/>
      </c>
      <c r="C942" s="1280" t="str">
        <f t="shared" si="33"/>
        <v/>
      </c>
      <c r="D942" s="85"/>
      <c r="E942" s="1294"/>
      <c r="F942" s="234"/>
      <c r="G942" s="1611"/>
      <c r="H942" s="1326"/>
      <c r="J942" s="1312"/>
    </row>
    <row r="943" spans="1:10" x14ac:dyDescent="0.2">
      <c r="B943" s="1324" t="str">
        <f>IF(LEN('11.700'!H70)=0,"",'11.700'!H70)</f>
        <v/>
      </c>
      <c r="C943" s="1280" t="str">
        <f t="shared" si="33"/>
        <v/>
      </c>
      <c r="D943" s="85"/>
      <c r="E943" s="1294"/>
      <c r="F943" s="235" t="s">
        <v>123</v>
      </c>
      <c r="G943" s="1294" t="s">
        <v>658</v>
      </c>
      <c r="H943" s="1326"/>
      <c r="J943" s="1312"/>
    </row>
    <row r="944" spans="1:10" x14ac:dyDescent="0.2">
      <c r="B944" s="1324" t="str">
        <f>IF(LEN('11.700'!H71)=0,"",'11.700'!H71)</f>
        <v/>
      </c>
      <c r="C944" s="1280" t="str">
        <f t="shared" si="33"/>
        <v/>
      </c>
      <c r="D944" s="85"/>
      <c r="E944" s="1294"/>
      <c r="F944" s="1300" t="s">
        <v>366</v>
      </c>
      <c r="G944" s="1611" t="s">
        <v>659</v>
      </c>
      <c r="H944" s="1326"/>
      <c r="J944" s="1312"/>
    </row>
    <row r="945" spans="1:10" x14ac:dyDescent="0.2">
      <c r="B945" s="1324" t="str">
        <f>IF(LEN('11.700'!H72)=0,"",'11.700'!H72)</f>
        <v/>
      </c>
      <c r="C945" s="1280" t="str">
        <f t="shared" si="33"/>
        <v/>
      </c>
      <c r="D945" s="85"/>
      <c r="E945" s="1294"/>
      <c r="F945" s="1300"/>
      <c r="G945" s="1611"/>
      <c r="H945" s="1326"/>
      <c r="J945" s="1312"/>
    </row>
    <row r="946" spans="1:10" x14ac:dyDescent="0.2">
      <c r="B946" s="1324" t="str">
        <f>IF(LEN('11.700'!H73)=0,"",'11.700'!H73)</f>
        <v/>
      </c>
      <c r="C946" s="1280" t="str">
        <f t="shared" si="33"/>
        <v/>
      </c>
      <c r="D946" s="85"/>
      <c r="E946" s="1294"/>
      <c r="F946" s="1300" t="s">
        <v>472</v>
      </c>
      <c r="G946" s="1294" t="s">
        <v>660</v>
      </c>
      <c r="H946" s="1326"/>
      <c r="J946" s="1312"/>
    </row>
    <row r="947" spans="1:10" x14ac:dyDescent="0.2">
      <c r="B947" s="1324" t="str">
        <f>IF(LEN('11.700'!H74)=0,"",'11.700'!H74)</f>
        <v/>
      </c>
      <c r="C947" s="1280" t="str">
        <f t="shared" si="33"/>
        <v/>
      </c>
      <c r="D947" s="85"/>
      <c r="E947" s="1294"/>
      <c r="F947" s="235" t="s">
        <v>510</v>
      </c>
      <c r="G947" s="1294" t="s">
        <v>661</v>
      </c>
      <c r="H947" s="1326"/>
      <c r="J947" s="1312"/>
    </row>
    <row r="948" spans="1:10" x14ac:dyDescent="0.2">
      <c r="B948" s="1324" t="str">
        <f>IF(LEN('11.700'!H75)=0,"",'11.700'!H75)</f>
        <v/>
      </c>
      <c r="C948" s="1280" t="str">
        <f t="shared" si="33"/>
        <v/>
      </c>
      <c r="D948" s="85"/>
      <c r="E948" s="1294"/>
      <c r="F948" s="1300" t="s">
        <v>512</v>
      </c>
      <c r="G948" s="1294" t="s">
        <v>662</v>
      </c>
      <c r="H948" s="1326"/>
      <c r="J948" s="1312"/>
    </row>
    <row r="949" spans="1:10" x14ac:dyDescent="0.2">
      <c r="B949" s="1324" t="str">
        <f>IF(LEN('11.700'!H76)=0,"",'11.700'!H76)</f>
        <v/>
      </c>
      <c r="C949" s="1280" t="str">
        <f t="shared" si="33"/>
        <v/>
      </c>
      <c r="D949" s="85"/>
      <c r="E949" s="1287"/>
      <c r="F949" s="448"/>
      <c r="G949" s="1782" t="s">
        <v>4059</v>
      </c>
      <c r="H949" s="1326"/>
      <c r="J949" s="1312"/>
    </row>
    <row r="950" spans="1:10" x14ac:dyDescent="0.2">
      <c r="B950" s="1324" t="str">
        <f>IF(LEN('11.700'!H77)=0,"",'11.700'!H77)</f>
        <v/>
      </c>
      <c r="C950" s="1280" t="str">
        <f t="shared" si="33"/>
        <v/>
      </c>
      <c r="D950" s="85"/>
      <c r="E950" s="1285"/>
      <c r="F950" s="449"/>
      <c r="G950" s="1783"/>
      <c r="H950" s="1326"/>
      <c r="J950" s="1312"/>
    </row>
    <row r="951" spans="1:10" x14ac:dyDescent="0.2">
      <c r="A951" s="467" t="str">
        <f>IF(AND(LEN(H951)&gt;0,NOT(H951=FALSE),NOT(H951="N/A")),"P","")</f>
        <v/>
      </c>
      <c r="B951" s="1324" t="str">
        <f>IF(LEN('11.700'!H78)=0,"",'11.700'!H78)</f>
        <v/>
      </c>
      <c r="C951" s="1280" t="str">
        <f t="shared" si="33"/>
        <v/>
      </c>
      <c r="D951" s="97"/>
      <c r="E951" s="436" t="s">
        <v>255</v>
      </c>
      <c r="F951" s="1287"/>
      <c r="G951" s="1629" t="s">
        <v>3854</v>
      </c>
      <c r="H951" s="1341" t="str">
        <f>IF(LEN('11.700'!W78)=0,"",'11.700'!W78)</f>
        <v/>
      </c>
      <c r="J951" s="1779" t="s">
        <v>3120</v>
      </c>
    </row>
    <row r="952" spans="1:10" x14ac:dyDescent="0.2">
      <c r="A952" s="467" t="str">
        <f>A951</f>
        <v/>
      </c>
      <c r="B952" s="1324" t="str">
        <f>IF(LEN('11.700'!H79)=0,"",'11.700'!H79)</f>
        <v/>
      </c>
      <c r="C952" s="1280" t="str">
        <f t="shared" si="33"/>
        <v/>
      </c>
      <c r="D952" s="97"/>
      <c r="E952" s="1287"/>
      <c r="F952" s="1287"/>
      <c r="G952" s="1629"/>
      <c r="H952" s="1326"/>
      <c r="J952" s="1779"/>
    </row>
    <row r="953" spans="1:10" x14ac:dyDescent="0.2">
      <c r="B953" s="1324" t="str">
        <f>IF(LEN('11.700'!H80)=0,"",'11.700'!H80)</f>
        <v/>
      </c>
      <c r="C953" s="1280" t="str">
        <f t="shared" si="33"/>
        <v/>
      </c>
      <c r="D953" s="170"/>
      <c r="E953" s="1285"/>
      <c r="F953" s="1285"/>
      <c r="G953" s="441" t="s">
        <v>3855</v>
      </c>
      <c r="H953" s="1326"/>
      <c r="J953" s="1312"/>
    </row>
    <row r="954" spans="1:10" x14ac:dyDescent="0.2">
      <c r="A954" s="467" t="str">
        <f>IF(AND(LEN(H954)&gt;0,NOT(H954=FALSE),NOT(H954="N/A")),"P","")</f>
        <v/>
      </c>
      <c r="B954" s="1324" t="str">
        <f>IF(LEN('11.700'!H81)=0,"",'11.700'!H81)</f>
        <v/>
      </c>
      <c r="C954" s="1280" t="str">
        <f t="shared" si="33"/>
        <v/>
      </c>
      <c r="D954" s="87" t="s">
        <v>3649</v>
      </c>
      <c r="E954" s="1294"/>
      <c r="F954" s="1294"/>
      <c r="G954" s="1699" t="s">
        <v>4060</v>
      </c>
      <c r="H954" s="1341" t="str">
        <f>IF(LEN('11.700'!W81)=0,"",'11.700'!W81)</f>
        <v/>
      </c>
      <c r="J954" s="1312" t="s">
        <v>3120</v>
      </c>
    </row>
    <row r="955" spans="1:10" x14ac:dyDescent="0.2">
      <c r="A955" s="467" t="str">
        <f t="shared" ref="A955:A957" si="38">A954</f>
        <v/>
      </c>
      <c r="B955" s="1324" t="str">
        <f>IF(LEN('11.700'!H82)=0,"",'11.700'!H82)</f>
        <v/>
      </c>
      <c r="C955" s="1280" t="str">
        <f t="shared" si="33"/>
        <v/>
      </c>
      <c r="D955" s="85"/>
      <c r="E955" s="88"/>
      <c r="F955" s="88"/>
      <c r="G955" s="1700"/>
      <c r="H955" s="1326"/>
      <c r="J955" s="1312"/>
    </row>
    <row r="956" spans="1:10" x14ac:dyDescent="0.2">
      <c r="A956" s="467" t="str">
        <f t="shared" si="38"/>
        <v/>
      </c>
      <c r="B956" s="1324" t="str">
        <f>IF(LEN('11.700'!H83)=0,"",'11.700'!H83)</f>
        <v/>
      </c>
      <c r="C956" s="1280" t="str">
        <f t="shared" si="33"/>
        <v/>
      </c>
      <c r="D956" s="85"/>
      <c r="E956" s="88"/>
      <c r="F956" s="88"/>
      <c r="G956" s="1700"/>
      <c r="H956" s="1326"/>
      <c r="J956" s="1312"/>
    </row>
    <row r="957" spans="1:10" x14ac:dyDescent="0.2">
      <c r="A957" s="467" t="str">
        <f t="shared" si="38"/>
        <v/>
      </c>
      <c r="B957" s="1324" t="str">
        <f>IF(LEN('11.700'!H84)=0,"",'11.700'!H84)</f>
        <v/>
      </c>
      <c r="C957" s="1280" t="str">
        <f t="shared" si="33"/>
        <v/>
      </c>
      <c r="D957" s="85"/>
      <c r="E957" s="444"/>
      <c r="F957" s="1285"/>
      <c r="G957" s="1729"/>
      <c r="H957" s="1326"/>
      <c r="J957" s="1312"/>
    </row>
    <row r="958" spans="1:10" x14ac:dyDescent="0.2">
      <c r="B958" s="1324" t="str">
        <f>IF(LEN('11.700'!H85)=0,"",'11.700'!H85)</f>
        <v/>
      </c>
      <c r="C958" s="1280" t="str">
        <f t="shared" si="33"/>
        <v/>
      </c>
      <c r="D958" s="85"/>
      <c r="E958" s="451" t="s">
        <v>254</v>
      </c>
      <c r="F958" s="311"/>
      <c r="G958" s="311" t="s">
        <v>664</v>
      </c>
      <c r="H958" s="1326"/>
      <c r="J958" s="1312"/>
    </row>
    <row r="959" spans="1:10" x14ac:dyDescent="0.2">
      <c r="B959" s="1324" t="str">
        <f>IF(LEN('11.700'!H86)=0,"",'11.700'!H86)</f>
        <v/>
      </c>
      <c r="C959" s="1280" t="str">
        <f t="shared" si="33"/>
        <v/>
      </c>
      <c r="D959" s="85"/>
      <c r="E959" s="450" t="s">
        <v>255</v>
      </c>
      <c r="F959" s="1284"/>
      <c r="G959" s="1613" t="s">
        <v>665</v>
      </c>
      <c r="H959" s="1326"/>
      <c r="J959" s="1312"/>
    </row>
    <row r="960" spans="1:10" x14ac:dyDescent="0.2">
      <c r="B960" s="1324" t="str">
        <f>IF(LEN('11.700'!H87)=0,"",'11.700'!H87)</f>
        <v/>
      </c>
      <c r="C960" s="1280" t="str">
        <f t="shared" si="33"/>
        <v/>
      </c>
      <c r="D960" s="85"/>
      <c r="E960" s="436"/>
      <c r="F960" s="1287"/>
      <c r="G960" s="1609"/>
      <c r="H960" s="1326"/>
      <c r="J960" s="1312"/>
    </row>
    <row r="961" spans="2:10" x14ac:dyDescent="0.2">
      <c r="B961" s="1324" t="str">
        <f>IF(LEN('11.700'!H88)=0,"",'11.700'!H88)</f>
        <v/>
      </c>
      <c r="C961" s="1280" t="str">
        <f t="shared" si="33"/>
        <v/>
      </c>
      <c r="D961" s="85"/>
      <c r="E961" s="436"/>
      <c r="F961" s="1287"/>
      <c r="G961" s="1609"/>
      <c r="H961" s="1326"/>
      <c r="J961" s="1312"/>
    </row>
    <row r="962" spans="2:10" x14ac:dyDescent="0.2">
      <c r="B962" s="1324" t="str">
        <f>IF(LEN('11.700'!H89)=0,"",'11.700'!H89)</f>
        <v/>
      </c>
      <c r="C962" s="1280" t="str">
        <f t="shared" si="33"/>
        <v/>
      </c>
      <c r="D962" s="85"/>
      <c r="E962" s="444"/>
      <c r="F962" s="1285"/>
      <c r="G962" s="1612"/>
      <c r="H962" s="1326"/>
      <c r="J962" s="1312"/>
    </row>
    <row r="963" spans="2:10" x14ac:dyDescent="0.2">
      <c r="B963" s="1324" t="str">
        <f>IF(LEN('11.700'!H90)=0,"",'11.700'!H90)</f>
        <v/>
      </c>
      <c r="C963" s="1280" t="str">
        <f t="shared" si="33"/>
        <v/>
      </c>
      <c r="D963" s="85"/>
      <c r="E963" s="436" t="s">
        <v>256</v>
      </c>
      <c r="F963" s="1287"/>
      <c r="G963" s="1609" t="s">
        <v>666</v>
      </c>
      <c r="H963" s="1326"/>
      <c r="J963" s="1312"/>
    </row>
    <row r="964" spans="2:10" x14ac:dyDescent="0.2">
      <c r="B964" s="1324" t="str">
        <f>IF(LEN('11.700'!H91)=0,"",'11.700'!H91)</f>
        <v/>
      </c>
      <c r="C964" s="1280" t="str">
        <f t="shared" si="33"/>
        <v/>
      </c>
      <c r="D964" s="85"/>
      <c r="E964" s="444"/>
      <c r="F964" s="1285"/>
      <c r="G964" s="1612"/>
      <c r="H964" s="1326"/>
      <c r="J964" s="1312"/>
    </row>
    <row r="965" spans="2:10" x14ac:dyDescent="0.2">
      <c r="B965" s="1324" t="str">
        <f>IF(LEN('11.700'!H92)=0,"",'11.700'!H92)</f>
        <v/>
      </c>
      <c r="C965" s="1280" t="str">
        <f t="shared" si="33"/>
        <v/>
      </c>
      <c r="D965" s="85"/>
      <c r="E965" s="450" t="s">
        <v>259</v>
      </c>
      <c r="F965" s="1284"/>
      <c r="G965" s="1613" t="s">
        <v>667</v>
      </c>
      <c r="H965" s="1326"/>
      <c r="J965" s="1312"/>
    </row>
    <row r="966" spans="2:10" x14ac:dyDescent="0.2">
      <c r="B966" s="1324" t="str">
        <f>IF(LEN('11.700'!H93)=0,"",'11.700'!H93)</f>
        <v/>
      </c>
      <c r="C966" s="1280" t="str">
        <f t="shared" si="33"/>
        <v/>
      </c>
      <c r="D966" s="85"/>
      <c r="E966" s="436"/>
      <c r="F966" s="1287"/>
      <c r="G966" s="1609"/>
      <c r="H966" s="1326"/>
      <c r="J966" s="1312"/>
    </row>
    <row r="967" spans="2:10" x14ac:dyDescent="0.2">
      <c r="B967" s="1324" t="str">
        <f>IF(LEN('11.700'!H94)=0,"",'11.700'!H94)</f>
        <v/>
      </c>
      <c r="C967" s="1280" t="str">
        <f t="shared" si="33"/>
        <v/>
      </c>
      <c r="D967" s="85"/>
      <c r="E967" s="444"/>
      <c r="F967" s="1285"/>
      <c r="G967" s="1612"/>
      <c r="H967" s="1326"/>
      <c r="J967" s="1312"/>
    </row>
    <row r="968" spans="2:10" x14ac:dyDescent="0.2">
      <c r="B968" s="1324" t="str">
        <f>IF(LEN('11.700'!H95)=0,"",'11.700'!H95)</f>
        <v/>
      </c>
      <c r="C968" s="1280" t="str">
        <f t="shared" ref="C968:C1031" si="39">IF(LEN(B968)=0,IF(A968="P","P",""),B968)</f>
        <v/>
      </c>
      <c r="D968" s="85"/>
      <c r="E968" s="450" t="s">
        <v>263</v>
      </c>
      <c r="F968" s="1284"/>
      <c r="G968" s="1613" t="s">
        <v>668</v>
      </c>
      <c r="H968" s="1326"/>
      <c r="J968" s="1312"/>
    </row>
    <row r="969" spans="2:10" x14ac:dyDescent="0.2">
      <c r="B969" s="1324" t="str">
        <f>IF(LEN('11.700'!H96)=0,"",'11.700'!H96)</f>
        <v/>
      </c>
      <c r="C969" s="1280" t="str">
        <f t="shared" si="39"/>
        <v/>
      </c>
      <c r="D969" s="85"/>
      <c r="E969" s="444"/>
      <c r="F969" s="1285"/>
      <c r="G969" s="1612"/>
      <c r="H969" s="1326"/>
      <c r="J969" s="1312"/>
    </row>
    <row r="970" spans="2:10" ht="15" customHeight="1" x14ac:dyDescent="0.2">
      <c r="B970" s="1324" t="str">
        <f>IF(LEN('11.700'!H97)=0,"",'11.700'!H97)</f>
        <v/>
      </c>
      <c r="C970" s="1280" t="str">
        <f t="shared" si="39"/>
        <v/>
      </c>
      <c r="D970" s="85"/>
      <c r="E970" s="451" t="s">
        <v>264</v>
      </c>
      <c r="F970" s="311"/>
      <c r="G970" s="311" t="s">
        <v>669</v>
      </c>
      <c r="H970" s="1326"/>
      <c r="J970" s="1312"/>
    </row>
    <row r="971" spans="2:10" x14ac:dyDescent="0.2">
      <c r="B971" s="1324" t="str">
        <f>IF(LEN('11.700'!H98)=0,"",'11.700'!H98)</f>
        <v/>
      </c>
      <c r="C971" s="1280" t="str">
        <f t="shared" si="39"/>
        <v/>
      </c>
      <c r="D971" s="85"/>
      <c r="E971" s="451" t="s">
        <v>356</v>
      </c>
      <c r="F971" s="311"/>
      <c r="G971" s="311" t="s">
        <v>670</v>
      </c>
      <c r="H971" s="1326"/>
      <c r="J971" s="1312"/>
    </row>
    <row r="972" spans="2:10" x14ac:dyDescent="0.2">
      <c r="B972" s="1324" t="str">
        <f>IF(LEN('11.700'!H99)=0,"",'11.700'!H99)</f>
        <v/>
      </c>
      <c r="C972" s="1280" t="str">
        <f t="shared" si="39"/>
        <v/>
      </c>
      <c r="D972" s="85"/>
      <c r="E972" s="450" t="s">
        <v>389</v>
      </c>
      <c r="F972" s="1284"/>
      <c r="G972" s="1613" t="s">
        <v>671</v>
      </c>
      <c r="H972" s="1326"/>
      <c r="J972" s="1312"/>
    </row>
    <row r="973" spans="2:10" x14ac:dyDescent="0.2">
      <c r="B973" s="1324" t="str">
        <f>IF(LEN('11.700'!H100)=0,"",'11.700'!H100)</f>
        <v/>
      </c>
      <c r="C973" s="1280" t="str">
        <f t="shared" si="39"/>
        <v/>
      </c>
      <c r="D973" s="85"/>
      <c r="E973" s="436"/>
      <c r="F973" s="1287"/>
      <c r="G973" s="1609"/>
      <c r="H973" s="1326"/>
      <c r="J973" s="1312"/>
    </row>
    <row r="974" spans="2:10" x14ac:dyDescent="0.2">
      <c r="B974" s="1324" t="str">
        <f>IF(LEN('11.700'!H101)=0,"",'11.700'!H101)</f>
        <v/>
      </c>
      <c r="C974" s="1280" t="str">
        <f t="shared" si="39"/>
        <v/>
      </c>
      <c r="D974" s="85"/>
      <c r="E974" s="444"/>
      <c r="F974" s="1285"/>
      <c r="G974" s="1612"/>
      <c r="H974" s="1326"/>
      <c r="J974" s="1312"/>
    </row>
    <row r="975" spans="2:10" x14ac:dyDescent="0.2">
      <c r="B975" s="1324" t="str">
        <f>IF(LEN('11.700'!H102)=0,"",'11.700'!H102)</f>
        <v/>
      </c>
      <c r="C975" s="1280" t="str">
        <f t="shared" si="39"/>
        <v/>
      </c>
      <c r="D975" s="97"/>
      <c r="E975" s="436" t="s">
        <v>391</v>
      </c>
      <c r="F975" s="1287"/>
      <c r="G975" s="1609" t="s">
        <v>4061</v>
      </c>
      <c r="H975" s="1326"/>
      <c r="J975" s="1312"/>
    </row>
    <row r="976" spans="2:10" x14ac:dyDescent="0.2">
      <c r="B976" s="1324" t="str">
        <f>IF(LEN('11.700'!H103)=0,"",'11.700'!H103)</f>
        <v/>
      </c>
      <c r="C976" s="1280" t="str">
        <f t="shared" si="39"/>
        <v/>
      </c>
      <c r="D976" s="170"/>
      <c r="E976" s="444"/>
      <c r="F976" s="1285"/>
      <c r="G976" s="1612"/>
      <c r="H976" s="1326"/>
      <c r="J976" s="1312"/>
    </row>
    <row r="977" spans="1:10" x14ac:dyDescent="0.2">
      <c r="A977" s="467" t="s">
        <v>3200</v>
      </c>
      <c r="B977" s="1324" t="str">
        <f>IF(LEN('11.700'!H104)=0,"",'11.700'!H104)</f>
        <v/>
      </c>
      <c r="C977" s="1280" t="str">
        <f t="shared" si="39"/>
        <v>P</v>
      </c>
      <c r="D977" s="593" t="s">
        <v>3650</v>
      </c>
      <c r="E977" s="1284"/>
      <c r="F977" s="1284"/>
      <c r="G977" s="1712" t="s">
        <v>3858</v>
      </c>
      <c r="H977" s="1326"/>
      <c r="J977" s="1312" t="s">
        <v>5174</v>
      </c>
    </row>
    <row r="978" spans="1:10" x14ac:dyDescent="0.2">
      <c r="A978" s="467" t="s">
        <v>3200</v>
      </c>
      <c r="B978" s="1324" t="str">
        <f>IF(LEN('11.700'!H105)=0,"",'11.700'!H105)</f>
        <v/>
      </c>
      <c r="C978" s="1280" t="str">
        <f t="shared" si="39"/>
        <v>P</v>
      </c>
      <c r="D978" s="102"/>
      <c r="E978" s="1287"/>
      <c r="F978" s="1287"/>
      <c r="G978" s="1629"/>
      <c r="H978" s="1326"/>
      <c r="J978" s="1312"/>
    </row>
    <row r="979" spans="1:10" x14ac:dyDescent="0.2">
      <c r="A979" s="467" t="s">
        <v>3200</v>
      </c>
      <c r="B979" s="1324" t="str">
        <f>IF(LEN('11.700'!H106)=0,"",'11.700'!H106)</f>
        <v/>
      </c>
      <c r="C979" s="1280" t="str">
        <f t="shared" si="39"/>
        <v>P</v>
      </c>
      <c r="D979" s="591"/>
      <c r="E979" s="1285"/>
      <c r="F979" s="1285"/>
      <c r="G979" s="1696"/>
      <c r="H979" s="1326"/>
      <c r="J979" s="1312"/>
    </row>
    <row r="980" spans="1:10" x14ac:dyDescent="0.2">
      <c r="A980" s="467" t="str">
        <f>IF(AND(LEN(H980)&gt;0,NOT(H980=FALSE),NOT(H980="N/A")),"P","")</f>
        <v>P</v>
      </c>
      <c r="B980" s="1324" t="str">
        <f>IF(LEN('11.700'!H107)=0,"",'11.700'!H107)</f>
        <v/>
      </c>
      <c r="C980" s="1280" t="str">
        <f t="shared" si="39"/>
        <v>P</v>
      </c>
      <c r="D980" s="593" t="s">
        <v>3651</v>
      </c>
      <c r="E980" s="1284"/>
      <c r="F980" s="1284"/>
      <c r="G980" s="1712" t="s">
        <v>4062</v>
      </c>
      <c r="H980" s="1341" t="str">
        <f>IF(LEN('11.700'!W107)=0,"",'11.700'!W107)</f>
        <v>Met</v>
      </c>
      <c r="J980" s="1312" t="s">
        <v>3151</v>
      </c>
    </row>
    <row r="981" spans="1:10" x14ac:dyDescent="0.2">
      <c r="A981" s="467" t="str">
        <f t="shared" ref="A981:A1004" si="40">A980</f>
        <v>P</v>
      </c>
      <c r="B981" s="1324" t="str">
        <f>IF(LEN('11.700'!H108)=0,"",'11.700'!H108)</f>
        <v/>
      </c>
      <c r="C981" s="1280" t="str">
        <f t="shared" si="39"/>
        <v>P</v>
      </c>
      <c r="D981" s="97"/>
      <c r="E981" s="1287"/>
      <c r="F981" s="1287"/>
      <c r="G981" s="1629"/>
      <c r="H981" s="1326"/>
      <c r="J981" s="1312"/>
    </row>
    <row r="982" spans="1:10" x14ac:dyDescent="0.2">
      <c r="A982" s="467" t="str">
        <f t="shared" si="40"/>
        <v>P</v>
      </c>
      <c r="B982" s="1324" t="str">
        <f>IF(LEN('11.700'!H109)=0,"",'11.700'!H109)</f>
        <v/>
      </c>
      <c r="C982" s="1280" t="str">
        <f t="shared" si="39"/>
        <v>P</v>
      </c>
      <c r="D982" s="97"/>
      <c r="E982" s="1287"/>
      <c r="F982" s="1287"/>
      <c r="G982" s="1629"/>
      <c r="H982" s="1326"/>
      <c r="J982" s="1312"/>
    </row>
    <row r="983" spans="1:10" x14ac:dyDescent="0.2">
      <c r="A983" s="467" t="str">
        <f t="shared" si="40"/>
        <v>P</v>
      </c>
      <c r="B983" s="1324" t="str">
        <f>IF(LEN('11.700'!H110)=0,"",'11.700'!H110)</f>
        <v/>
      </c>
      <c r="C983" s="1280" t="str">
        <f t="shared" si="39"/>
        <v>P</v>
      </c>
      <c r="D983" s="97"/>
      <c r="E983" s="1287"/>
      <c r="F983" s="1287"/>
      <c r="G983" s="1629"/>
      <c r="H983" s="1326"/>
      <c r="J983" s="1312"/>
    </row>
    <row r="984" spans="1:10" x14ac:dyDescent="0.2">
      <c r="A984" s="467" t="str">
        <f t="shared" si="40"/>
        <v>P</v>
      </c>
      <c r="B984" s="1324" t="str">
        <f>IF(LEN('11.700'!H111)=0,"",'11.700'!H111)</f>
        <v/>
      </c>
      <c r="C984" s="1280" t="str">
        <f t="shared" si="39"/>
        <v>P</v>
      </c>
      <c r="D984" s="97"/>
      <c r="E984" s="1287"/>
      <c r="F984" s="1287"/>
      <c r="G984" s="1629"/>
      <c r="H984" s="1326"/>
      <c r="J984" s="1312"/>
    </row>
    <row r="985" spans="1:10" x14ac:dyDescent="0.2">
      <c r="A985" s="467" t="str">
        <f t="shared" si="40"/>
        <v>P</v>
      </c>
      <c r="B985" s="1324" t="str">
        <f>IF(LEN('11.700'!H112)=0,"",'11.700'!H112)</f>
        <v/>
      </c>
      <c r="C985" s="1280" t="str">
        <f t="shared" si="39"/>
        <v>P</v>
      </c>
      <c r="D985" s="97"/>
      <c r="E985" s="1287"/>
      <c r="F985" s="1287"/>
      <c r="G985" s="1629"/>
      <c r="H985" s="1326"/>
      <c r="J985" s="1312"/>
    </row>
    <row r="986" spans="1:10" x14ac:dyDescent="0.2">
      <c r="A986" s="467" t="str">
        <f t="shared" si="40"/>
        <v>P</v>
      </c>
      <c r="B986" s="1324" t="str">
        <f>IF(LEN('11.700'!H113)=0,"",'11.700'!H113)</f>
        <v/>
      </c>
      <c r="C986" s="1280" t="str">
        <f t="shared" si="39"/>
        <v>P</v>
      </c>
      <c r="D986" s="97"/>
      <c r="E986" s="1287"/>
      <c r="F986" s="1287"/>
      <c r="G986" s="1629"/>
      <c r="H986" s="1326"/>
      <c r="J986" s="1312"/>
    </row>
    <row r="987" spans="1:10" x14ac:dyDescent="0.2">
      <c r="B987" s="1324" t="str">
        <f>IF(LEN('11.700'!H114)=0,"",'11.700'!H114)</f>
        <v/>
      </c>
      <c r="C987" s="1280" t="str">
        <f t="shared" si="39"/>
        <v/>
      </c>
      <c r="D987" s="97"/>
      <c r="E987" s="1287"/>
      <c r="F987" s="1287"/>
      <c r="G987" s="1629" t="s">
        <v>4063</v>
      </c>
      <c r="H987" s="1326"/>
      <c r="J987" s="1312"/>
    </row>
    <row r="988" spans="1:10" x14ac:dyDescent="0.2">
      <c r="B988" s="1324" t="str">
        <f>IF(LEN('11.700'!H115)=0,"",'11.700'!H115)</f>
        <v/>
      </c>
      <c r="C988" s="1280" t="str">
        <f t="shared" si="39"/>
        <v/>
      </c>
      <c r="D988" s="97"/>
      <c r="E988" s="1287"/>
      <c r="F988" s="1287"/>
      <c r="G988" s="1629"/>
      <c r="H988" s="1326"/>
      <c r="J988" s="1312"/>
    </row>
    <row r="989" spans="1:10" x14ac:dyDescent="0.2">
      <c r="B989" s="1324" t="str">
        <f>IF(LEN('11.700'!H116)=0,"",'11.700'!H116)</f>
        <v/>
      </c>
      <c r="C989" s="1280" t="str">
        <f t="shared" si="39"/>
        <v/>
      </c>
      <c r="D989" s="170"/>
      <c r="E989" s="1285"/>
      <c r="F989" s="1285"/>
      <c r="G989" s="1696"/>
      <c r="H989" s="1326"/>
      <c r="J989" s="1312"/>
    </row>
    <row r="990" spans="1:10" x14ac:dyDescent="0.2">
      <c r="A990" s="467" t="str">
        <f>IF(AND(LEN(H990)&gt;0,NOT(H990=FALSE),NOT(H990="N/A")),"P","")</f>
        <v>P</v>
      </c>
      <c r="B990" s="1324" t="str">
        <f>IF(LEN('11.700'!H117)=0,"",'11.700'!H117)</f>
        <v/>
      </c>
      <c r="C990" s="1280" t="str">
        <f t="shared" si="39"/>
        <v>P</v>
      </c>
      <c r="D990" s="593" t="s">
        <v>3652</v>
      </c>
      <c r="E990" s="1284"/>
      <c r="F990" s="1284"/>
      <c r="G990" s="1712" t="s">
        <v>4862</v>
      </c>
      <c r="H990" s="1341" t="str">
        <f>IF(LEN('11.700'!W117)=0,"",'11.700'!W117)</f>
        <v>Met</v>
      </c>
      <c r="J990" s="1312" t="s">
        <v>3152</v>
      </c>
    </row>
    <row r="991" spans="1:10" x14ac:dyDescent="0.2">
      <c r="A991" s="467" t="str">
        <f t="shared" si="40"/>
        <v>P</v>
      </c>
      <c r="B991" s="1324" t="str">
        <f>IF(LEN('11.700'!H118)=0,"",'11.700'!H118)</f>
        <v/>
      </c>
      <c r="C991" s="1280" t="str">
        <f t="shared" si="39"/>
        <v>P</v>
      </c>
      <c r="D991" s="97"/>
      <c r="E991" s="1287"/>
      <c r="F991" s="1287"/>
      <c r="G991" s="1629"/>
      <c r="H991" s="1326"/>
      <c r="J991" s="1312"/>
    </row>
    <row r="992" spans="1:10" x14ac:dyDescent="0.2">
      <c r="A992" s="467" t="str">
        <f t="shared" si="40"/>
        <v>P</v>
      </c>
      <c r="B992" s="1324" t="str">
        <f>IF(LEN('11.700'!H119)=0,"",'11.700'!H119)</f>
        <v/>
      </c>
      <c r="C992" s="1280" t="str">
        <f t="shared" si="39"/>
        <v>P</v>
      </c>
      <c r="D992" s="97"/>
      <c r="E992" s="1287"/>
      <c r="F992" s="1287"/>
      <c r="G992" s="1629"/>
      <c r="H992" s="1326"/>
      <c r="J992" s="1312"/>
    </row>
    <row r="993" spans="1:10" x14ac:dyDescent="0.2">
      <c r="A993" s="467" t="str">
        <f t="shared" si="40"/>
        <v>P</v>
      </c>
      <c r="B993" s="1324" t="str">
        <f>IF(LEN('11.700'!H120)=0,"",'11.700'!H120)</f>
        <v/>
      </c>
      <c r="C993" s="1280" t="str">
        <f t="shared" si="39"/>
        <v>P</v>
      </c>
      <c r="D993" s="97"/>
      <c r="E993" s="1287"/>
      <c r="F993" s="1287"/>
      <c r="G993" s="1629"/>
      <c r="H993" s="1326"/>
      <c r="J993" s="1312"/>
    </row>
    <row r="994" spans="1:10" x14ac:dyDescent="0.2">
      <c r="A994" s="467" t="str">
        <f t="shared" si="40"/>
        <v>P</v>
      </c>
      <c r="B994" s="1324" t="str">
        <f>IF(LEN('11.700'!H121)=0,"",'11.700'!H121)</f>
        <v/>
      </c>
      <c r="C994" s="1280" t="str">
        <f t="shared" si="39"/>
        <v>P</v>
      </c>
      <c r="D994" s="97"/>
      <c r="E994" s="1287"/>
      <c r="F994" s="1287"/>
      <c r="G994" s="1629"/>
      <c r="H994" s="1326"/>
      <c r="J994" s="1312"/>
    </row>
    <row r="995" spans="1:10" x14ac:dyDescent="0.2">
      <c r="A995" s="467" t="str">
        <f t="shared" si="40"/>
        <v>P</v>
      </c>
      <c r="B995" s="1324" t="str">
        <f>IF(LEN('11.700'!H122)=0,"",'11.700'!H122)</f>
        <v/>
      </c>
      <c r="C995" s="1280" t="str">
        <f t="shared" si="39"/>
        <v>P</v>
      </c>
      <c r="D995" s="97"/>
      <c r="E995" s="1287"/>
      <c r="F995" s="1287"/>
      <c r="G995" s="1629"/>
      <c r="H995" s="1326"/>
      <c r="J995" s="1312"/>
    </row>
    <row r="996" spans="1:10" x14ac:dyDescent="0.2">
      <c r="A996" s="467" t="str">
        <f t="shared" si="40"/>
        <v>P</v>
      </c>
      <c r="B996" s="1324" t="str">
        <f>IF(LEN('11.700'!H123)=0,"",'11.700'!H123)</f>
        <v/>
      </c>
      <c r="C996" s="1280" t="str">
        <f t="shared" si="39"/>
        <v>P</v>
      </c>
      <c r="D996" s="170"/>
      <c r="E996" s="1285"/>
      <c r="F996" s="1285"/>
      <c r="G996" s="1696"/>
      <c r="H996" s="1326"/>
      <c r="J996" s="1312"/>
    </row>
    <row r="997" spans="1:10" x14ac:dyDescent="0.2">
      <c r="A997" s="467" t="str">
        <f>IF(AND(LEN(H997)&gt;0,NOT(H997=FALSE),NOT(H997="N/A")),"P","")</f>
        <v>P</v>
      </c>
      <c r="B997" s="1324" t="str">
        <f>IF(LEN('11.700'!H124)=0,"",'11.700'!H124)</f>
        <v/>
      </c>
      <c r="C997" s="1280" t="str">
        <f t="shared" si="39"/>
        <v>P</v>
      </c>
      <c r="D997" s="136" t="s">
        <v>3653</v>
      </c>
      <c r="E997" s="1294"/>
      <c r="F997" s="1294"/>
      <c r="G997" s="1631" t="s">
        <v>4065</v>
      </c>
      <c r="H997" s="1341" t="b">
        <f>IF(LEN('11.700'!W124)=0,"",'11.700'!W124)</f>
        <v>1</v>
      </c>
      <c r="J997" s="1312" t="s">
        <v>3120</v>
      </c>
    </row>
    <row r="998" spans="1:10" x14ac:dyDescent="0.2">
      <c r="A998" s="467" t="str">
        <f t="shared" si="40"/>
        <v>P</v>
      </c>
      <c r="B998" s="1324" t="str">
        <f>IF(LEN('11.700'!H125)=0,"",'11.700'!H125)</f>
        <v/>
      </c>
      <c r="C998" s="1280" t="str">
        <f t="shared" si="39"/>
        <v>P</v>
      </c>
      <c r="D998" s="170"/>
      <c r="E998" s="1285"/>
      <c r="F998" s="1285"/>
      <c r="G998" s="1631"/>
      <c r="H998" s="1326"/>
      <c r="J998" s="1312"/>
    </row>
    <row r="999" spans="1:10" x14ac:dyDescent="0.2">
      <c r="A999" s="467" t="str">
        <f>IF(AND(LEN(H999)&gt;0,NOT(H999=FALSE),NOT(H999="N/A")),"P","")</f>
        <v/>
      </c>
      <c r="B999" s="1324" t="str">
        <f>IF(LEN('11.700'!H126)=0,"",'11.700'!H126)</f>
        <v/>
      </c>
      <c r="C999" s="1280" t="str">
        <f t="shared" si="39"/>
        <v/>
      </c>
      <c r="D999" s="136" t="s">
        <v>3654</v>
      </c>
      <c r="E999" s="1294"/>
      <c r="F999" s="1294"/>
      <c r="G999" s="1699" t="s">
        <v>4863</v>
      </c>
      <c r="H999" s="1341" t="str">
        <f>IF(LEN('11.700'!W126)=0,"",'11.700'!W126)</f>
        <v/>
      </c>
      <c r="J999" s="1312" t="s">
        <v>3120</v>
      </c>
    </row>
    <row r="1000" spans="1:10" x14ac:dyDescent="0.2">
      <c r="A1000" s="467" t="str">
        <f t="shared" si="40"/>
        <v/>
      </c>
      <c r="B1000" s="1324" t="str">
        <f>IF(LEN('11.700'!H127)=0,"",'11.700'!H127)</f>
        <v/>
      </c>
      <c r="C1000" s="1280" t="str">
        <f t="shared" si="39"/>
        <v/>
      </c>
      <c r="D1000" s="136"/>
      <c r="E1000" s="1294"/>
      <c r="F1000" s="1294"/>
      <c r="G1000" s="1728"/>
      <c r="H1000" s="1326"/>
      <c r="J1000" s="1312"/>
    </row>
    <row r="1001" spans="1:10" x14ac:dyDescent="0.2">
      <c r="A1001" s="467" t="str">
        <f t="shared" si="40"/>
        <v/>
      </c>
      <c r="B1001" s="1324" t="str">
        <f>IF(LEN('11.700'!H128)=0,"",'11.700'!H128)</f>
        <v/>
      </c>
      <c r="C1001" s="1280" t="str">
        <f t="shared" si="39"/>
        <v/>
      </c>
      <c r="D1001" s="136"/>
      <c r="E1001" s="1294"/>
      <c r="F1001" s="1294"/>
      <c r="G1001" s="1700"/>
      <c r="H1001" s="1326"/>
      <c r="J1001" s="1312"/>
    </row>
    <row r="1002" spans="1:10" x14ac:dyDescent="0.2">
      <c r="A1002" s="467" t="str">
        <f>IF(AND(LEN(H1002)&gt;0,NOT(H1002=FALSE),NOT(H1002="N/A")),"P","")</f>
        <v>P</v>
      </c>
      <c r="B1002" s="1324" t="str">
        <f>IF(LEN('11.700'!H129)=0,"",'11.700'!H129)</f>
        <v/>
      </c>
      <c r="C1002" s="1280" t="str">
        <f t="shared" si="39"/>
        <v>P</v>
      </c>
      <c r="D1002" s="593" t="s">
        <v>3859</v>
      </c>
      <c r="E1002" s="1284"/>
      <c r="F1002" s="1284"/>
      <c r="G1002" s="1699" t="s">
        <v>3866</v>
      </c>
      <c r="H1002" s="1341" t="str">
        <f>IF(LEN('11.700'!W129)=0,"",'11.700'!W129)</f>
        <v>Met</v>
      </c>
      <c r="J1002" s="1312" t="s">
        <v>5175</v>
      </c>
    </row>
    <row r="1003" spans="1:10" x14ac:dyDescent="0.2">
      <c r="A1003" s="467" t="str">
        <f t="shared" si="40"/>
        <v>P</v>
      </c>
      <c r="B1003" s="1324" t="str">
        <f>IF(LEN('11.700'!H130)=0,"",'11.700'!H130)</f>
        <v/>
      </c>
      <c r="C1003" s="1280" t="str">
        <f t="shared" si="39"/>
        <v>P</v>
      </c>
      <c r="D1003" s="102"/>
      <c r="E1003" s="1287"/>
      <c r="F1003" s="1287"/>
      <c r="G1003" s="1728"/>
      <c r="H1003" s="1326"/>
      <c r="J1003" s="1312"/>
    </row>
    <row r="1004" spans="1:10" x14ac:dyDescent="0.2">
      <c r="A1004" s="467" t="str">
        <f t="shared" si="40"/>
        <v>P</v>
      </c>
      <c r="B1004" s="1324" t="str">
        <f>IF(LEN('11.700'!H131)=0,"",'11.700'!H131)</f>
        <v/>
      </c>
      <c r="C1004" s="1280" t="str">
        <f t="shared" si="39"/>
        <v>P</v>
      </c>
      <c r="D1004" s="102"/>
      <c r="E1004" s="1287"/>
      <c r="F1004" s="1287"/>
      <c r="G1004" s="1728"/>
      <c r="H1004" s="1326"/>
      <c r="J1004" s="1312"/>
    </row>
    <row r="1005" spans="1:10" x14ac:dyDescent="0.2">
      <c r="B1005" s="1324" t="str">
        <f>IF(LEN('11.700'!H132)=0,"",'11.700'!H132)</f>
        <v/>
      </c>
      <c r="C1005" s="1280" t="str">
        <f t="shared" si="39"/>
        <v/>
      </c>
      <c r="D1005" s="591"/>
      <c r="E1005" s="1285"/>
      <c r="F1005" s="1285"/>
      <c r="G1005" s="441" t="s">
        <v>5089</v>
      </c>
      <c r="H1005" s="1326"/>
      <c r="J1005" s="1312"/>
    </row>
    <row r="1006" spans="1:10" x14ac:dyDescent="0.2">
      <c r="A1006" s="467" t="str">
        <f>IF(AND(LEN(H1006)&gt;0,NOT(H1006=FALSE),NOT(H1006="N/A")),"P","")</f>
        <v>P</v>
      </c>
      <c r="B1006" s="1324" t="str">
        <f>IF(LEN('11.700'!H133)=0,"",'11.700'!H133)</f>
        <v/>
      </c>
      <c r="C1006" s="1280" t="str">
        <f t="shared" si="39"/>
        <v>P</v>
      </c>
      <c r="D1006" s="136" t="s">
        <v>3860</v>
      </c>
      <c r="E1006" s="1294"/>
      <c r="F1006" s="1294"/>
      <c r="G1006" s="1699" t="s">
        <v>3865</v>
      </c>
      <c r="H1006" s="1341" t="str">
        <f>IF(LEN('11.700'!W133)=0,"",'11.700'!W133)</f>
        <v>Met</v>
      </c>
      <c r="J1006" s="1312" t="s">
        <v>5175</v>
      </c>
    </row>
    <row r="1007" spans="1:10" x14ac:dyDescent="0.2">
      <c r="A1007" s="467" t="str">
        <f t="shared" ref="A1007:A1009" si="41">A1006</f>
        <v>P</v>
      </c>
      <c r="B1007" s="1324" t="str">
        <f>IF(LEN('11.700'!H134)=0,"",'11.700'!H134)</f>
        <v/>
      </c>
      <c r="C1007" s="1280" t="str">
        <f t="shared" si="39"/>
        <v>P</v>
      </c>
      <c r="D1007" s="136"/>
      <c r="E1007" s="1294"/>
      <c r="F1007" s="1294"/>
      <c r="G1007" s="1728"/>
      <c r="H1007" s="1326"/>
      <c r="J1007" s="1312"/>
    </row>
    <row r="1008" spans="1:10" x14ac:dyDescent="0.2">
      <c r="A1008" s="467" t="str">
        <f t="shared" si="41"/>
        <v>P</v>
      </c>
      <c r="B1008" s="1324" t="str">
        <f>IF(LEN('11.700'!H135)=0,"",'11.700'!H135)</f>
        <v/>
      </c>
      <c r="C1008" s="1280" t="str">
        <f t="shared" si="39"/>
        <v>P</v>
      </c>
      <c r="D1008" s="136"/>
      <c r="E1008" s="1294"/>
      <c r="F1008" s="1294"/>
      <c r="G1008" s="1728"/>
      <c r="H1008" s="1326"/>
      <c r="J1008" s="1312"/>
    </row>
    <row r="1009" spans="1:10" ht="16" thickBot="1" x14ac:dyDescent="0.25">
      <c r="A1009" s="467" t="str">
        <f t="shared" si="41"/>
        <v>P</v>
      </c>
      <c r="B1009" s="1324" t="str">
        <f>IF(LEN('11.700'!H136)=0,"",'11.700'!H136)</f>
        <v/>
      </c>
      <c r="C1009" s="1280" t="str">
        <f t="shared" si="39"/>
        <v>P</v>
      </c>
      <c r="D1009" s="136"/>
      <c r="E1009" s="1294"/>
      <c r="F1009" s="1294"/>
      <c r="G1009" s="1728"/>
      <c r="H1009" s="1326"/>
      <c r="J1009" s="1312"/>
    </row>
    <row r="1010" spans="1:10" ht="16" thickTop="1" x14ac:dyDescent="0.2">
      <c r="A1010" s="467" t="str">
        <f>IF(OR(LEN(H1019)&gt;0),"P","")</f>
        <v>P</v>
      </c>
      <c r="B1010" s="1324" t="str">
        <f>IF(LEN('11.700'!H137)=0,"",'11.700'!H137)</f>
        <v/>
      </c>
      <c r="C1010" s="1280" t="str">
        <f t="shared" si="39"/>
        <v>P</v>
      </c>
      <c r="D1010" s="107" t="s">
        <v>4049</v>
      </c>
      <c r="E1010" s="437"/>
      <c r="F1010" s="437"/>
      <c r="G1010" s="1608" t="s">
        <v>4048</v>
      </c>
      <c r="H1010" s="1326"/>
      <c r="J1010" s="1779" t="s">
        <v>5176</v>
      </c>
    </row>
    <row r="1011" spans="1:10" x14ac:dyDescent="0.2">
      <c r="A1011" s="467" t="str">
        <f t="shared" ref="A1011:A1012" si="42">A1010</f>
        <v>P</v>
      </c>
      <c r="B1011" s="1324" t="str">
        <f>IF(LEN('11.700'!H138)=0,"",'11.700'!H138)</f>
        <v/>
      </c>
      <c r="C1011" s="1280" t="str">
        <f t="shared" si="39"/>
        <v>P</v>
      </c>
      <c r="D1011" s="102"/>
      <c r="E1011" s="1287"/>
      <c r="F1011" s="1287"/>
      <c r="G1011" s="1609"/>
      <c r="H1011" s="1326"/>
      <c r="J1011" s="1779"/>
    </row>
    <row r="1012" spans="1:10" x14ac:dyDescent="0.2">
      <c r="A1012" s="467" t="str">
        <f t="shared" si="42"/>
        <v>P</v>
      </c>
      <c r="B1012" s="1324" t="str">
        <f>IF(LEN('11.700'!H139)=0,"",'11.700'!H139)</f>
        <v/>
      </c>
      <c r="C1012" s="1280" t="str">
        <f t="shared" si="39"/>
        <v>P</v>
      </c>
      <c r="D1012" s="102"/>
      <c r="E1012" s="1287"/>
      <c r="F1012" s="1287"/>
      <c r="G1012" s="1609"/>
      <c r="H1012" s="1326"/>
      <c r="J1012" s="1779"/>
    </row>
    <row r="1013" spans="1:10" x14ac:dyDescent="0.2">
      <c r="B1013" s="1324" t="str">
        <f>IF(LEN('11.700'!H140)=0,"",'11.700'!H140)</f>
        <v/>
      </c>
      <c r="C1013" s="1280" t="str">
        <f t="shared" si="39"/>
        <v/>
      </c>
      <c r="D1013" s="97"/>
      <c r="E1013" s="1287"/>
      <c r="F1013" s="1287"/>
      <c r="G1013" s="870" t="s">
        <v>5010</v>
      </c>
      <c r="H1013" s="1326"/>
      <c r="J1013" s="1312"/>
    </row>
    <row r="1014" spans="1:10" x14ac:dyDescent="0.2">
      <c r="B1014" s="1324" t="str">
        <f>IF(LEN('11.700'!H141)=0,"",'11.700'!H141)</f>
        <v/>
      </c>
      <c r="C1014" s="1280" t="str">
        <f t="shared" si="39"/>
        <v/>
      </c>
      <c r="D1014" s="102"/>
      <c r="E1014" s="1287"/>
      <c r="F1014" s="1287"/>
      <c r="G1014" s="1609" t="s">
        <v>4050</v>
      </c>
      <c r="H1014" s="1326"/>
      <c r="J1014" s="1312"/>
    </row>
    <row r="1015" spans="1:10" x14ac:dyDescent="0.2">
      <c r="B1015" s="1324" t="str">
        <f>IF(LEN('11.700'!H142)=0,"",'11.700'!H142)</f>
        <v/>
      </c>
      <c r="C1015" s="1280" t="str">
        <f t="shared" si="39"/>
        <v/>
      </c>
      <c r="D1015" s="102"/>
      <c r="E1015" s="1287"/>
      <c r="F1015" s="1287"/>
      <c r="G1015" s="1609"/>
      <c r="H1015" s="1326"/>
      <c r="J1015" s="1312"/>
    </row>
    <row r="1016" spans="1:10" x14ac:dyDescent="0.2">
      <c r="B1016" s="1324" t="str">
        <f>IF(LEN('11.700'!H143)=0,"",'11.700'!H143)</f>
        <v/>
      </c>
      <c r="C1016" s="1280" t="str">
        <f t="shared" si="39"/>
        <v/>
      </c>
      <c r="D1016" s="102"/>
      <c r="E1016" s="1287"/>
      <c r="F1016" s="1287"/>
      <c r="G1016" s="1609"/>
      <c r="H1016" s="1326"/>
      <c r="J1016" s="1312"/>
    </row>
    <row r="1017" spans="1:10" x14ac:dyDescent="0.2">
      <c r="B1017" s="1324" t="str">
        <f>IF(LEN('11.700'!H144)=0,"",'11.700'!H144)</f>
        <v/>
      </c>
      <c r="C1017" s="1280" t="str">
        <f t="shared" si="39"/>
        <v/>
      </c>
      <c r="D1017" s="102"/>
      <c r="E1017" s="1287"/>
      <c r="F1017" s="1287"/>
      <c r="G1017" s="1609"/>
      <c r="H1017" s="1326"/>
      <c r="J1017" s="1312"/>
    </row>
    <row r="1018" spans="1:10" x14ac:dyDescent="0.2">
      <c r="B1018" s="1324" t="str">
        <f>IF(LEN('11.700'!H145)=0,"",'11.700'!H145)</f>
        <v/>
      </c>
      <c r="C1018" s="1280" t="str">
        <f t="shared" si="39"/>
        <v/>
      </c>
      <c r="D1018" s="866"/>
      <c r="E1018" s="866"/>
      <c r="F1018" s="866"/>
      <c r="G1018" s="1609"/>
      <c r="H1018" s="1348"/>
      <c r="J1018" s="1312"/>
    </row>
    <row r="1019" spans="1:10" x14ac:dyDescent="0.2">
      <c r="B1019" s="1324" t="str">
        <f>IF(LEN('11.700'!H146)=0,"",'11.700'!H146)</f>
        <v/>
      </c>
      <c r="C1019" s="1280" t="str">
        <f t="shared" si="39"/>
        <v/>
      </c>
      <c r="D1019" s="866"/>
      <c r="E1019" s="866"/>
      <c r="F1019" s="866"/>
      <c r="G1019" s="1733" t="s">
        <v>3470</v>
      </c>
      <c r="H1019" s="1341">
        <f>IF(LEN('11.700'!W146)=0,"",'11.700'!W146)</f>
        <v>0.39600000000000002</v>
      </c>
      <c r="J1019" s="1312"/>
    </row>
    <row r="1020" spans="1:10" x14ac:dyDescent="0.2">
      <c r="B1020" s="1324" t="str">
        <f>IF(LEN('11.700'!H147)=0,"",'11.700'!H147)</f>
        <v/>
      </c>
      <c r="C1020" s="1280" t="str">
        <f t="shared" si="39"/>
        <v/>
      </c>
      <c r="D1020" s="866"/>
      <c r="E1020" s="866"/>
      <c r="F1020" s="866"/>
      <c r="G1020" s="1733"/>
      <c r="H1020" s="1326"/>
      <c r="J1020" s="1312"/>
    </row>
    <row r="1021" spans="1:10" x14ac:dyDescent="0.2">
      <c r="B1021" s="1324" t="str">
        <f>IF(LEN('11.700'!H148)=0,"",'11.700'!H148)</f>
        <v/>
      </c>
      <c r="C1021" s="1280" t="str">
        <f t="shared" si="39"/>
        <v/>
      </c>
      <c r="D1021" s="866"/>
      <c r="E1021" s="866"/>
      <c r="F1021" s="866"/>
      <c r="G1021" s="1609" t="s">
        <v>3471</v>
      </c>
      <c r="H1021" s="1326"/>
      <c r="J1021" s="1312"/>
    </row>
    <row r="1022" spans="1:10" x14ac:dyDescent="0.2">
      <c r="B1022" s="1324" t="str">
        <f>IF(LEN('11.700'!H149)=0,"",'11.700'!H149)</f>
        <v/>
      </c>
      <c r="C1022" s="1280" t="str">
        <f t="shared" si="39"/>
        <v/>
      </c>
      <c r="D1022" s="866"/>
      <c r="E1022" s="866"/>
      <c r="F1022" s="866"/>
      <c r="G1022" s="1609"/>
      <c r="H1022" s="1326"/>
      <c r="J1022" s="1312"/>
    </row>
    <row r="1023" spans="1:10" x14ac:dyDescent="0.2">
      <c r="B1023" s="1324" t="str">
        <f>IF(LEN('11.700'!H150)=0,"",'11.700'!H150)</f>
        <v/>
      </c>
      <c r="C1023" s="1280" t="str">
        <f t="shared" si="39"/>
        <v/>
      </c>
      <c r="D1023" s="866"/>
      <c r="E1023" s="866"/>
      <c r="F1023" s="866"/>
      <c r="G1023" s="1609"/>
      <c r="H1023" s="1326"/>
      <c r="J1023" s="1312"/>
    </row>
    <row r="1024" spans="1:10" x14ac:dyDescent="0.2">
      <c r="B1024" s="1324" t="str">
        <f>IF(LEN('11.700'!H151)=0,"",'11.700'!H151)</f>
        <v/>
      </c>
      <c r="C1024" s="1280" t="str">
        <f t="shared" si="39"/>
        <v/>
      </c>
      <c r="D1024" s="866"/>
      <c r="E1024" s="866"/>
      <c r="F1024" s="866"/>
      <c r="G1024" s="1609"/>
      <c r="H1024" s="1326"/>
      <c r="J1024" s="1312"/>
    </row>
    <row r="1025" spans="1:10" x14ac:dyDescent="0.2">
      <c r="B1025" s="1324" t="str">
        <f>IF(LEN('11.700'!H152)=0,"",'11.700'!H152)</f>
        <v/>
      </c>
      <c r="C1025" s="1280" t="str">
        <f t="shared" si="39"/>
        <v/>
      </c>
      <c r="D1025" s="866"/>
      <c r="E1025" s="866"/>
      <c r="F1025" s="866"/>
      <c r="G1025" s="1609"/>
      <c r="H1025" s="1326"/>
      <c r="J1025" s="1312"/>
    </row>
    <row r="1026" spans="1:10" x14ac:dyDescent="0.2">
      <c r="B1026" s="1324" t="str">
        <f>IF(LEN('11.700'!H153)=0,"",'11.700'!H153)</f>
        <v/>
      </c>
      <c r="C1026" s="1280" t="str">
        <f t="shared" si="39"/>
        <v/>
      </c>
      <c r="D1026" s="866"/>
      <c r="E1026" s="866"/>
      <c r="F1026" s="866"/>
      <c r="G1026" s="1609" t="s">
        <v>5011</v>
      </c>
      <c r="H1026" s="1326"/>
      <c r="J1026" s="1312"/>
    </row>
    <row r="1027" spans="1:10" x14ac:dyDescent="0.2">
      <c r="B1027" s="1324" t="str">
        <f>IF(LEN('11.700'!H154)=0,"",'11.700'!H154)</f>
        <v/>
      </c>
      <c r="C1027" s="1280" t="str">
        <f t="shared" si="39"/>
        <v/>
      </c>
      <c r="D1027" s="866"/>
      <c r="E1027" s="866"/>
      <c r="F1027" s="866"/>
      <c r="G1027" s="1609"/>
      <c r="H1027" s="1326"/>
      <c r="J1027" s="1312"/>
    </row>
    <row r="1028" spans="1:10" x14ac:dyDescent="0.2">
      <c r="B1028" s="1324" t="str">
        <f>IF(LEN('11.700'!H155)=0,"",'11.700'!H155)</f>
        <v/>
      </c>
      <c r="C1028" s="1280" t="str">
        <f t="shared" si="39"/>
        <v/>
      </c>
      <c r="D1028" s="866"/>
      <c r="E1028" s="866"/>
      <c r="F1028" s="866"/>
      <c r="G1028" s="1609"/>
      <c r="H1028" s="1326"/>
      <c r="J1028" s="1312"/>
    </row>
    <row r="1029" spans="1:10" x14ac:dyDescent="0.2">
      <c r="B1029" s="1324" t="str">
        <f>IF(LEN('11.700'!H156)=0,"",'11.700'!H156)</f>
        <v/>
      </c>
      <c r="C1029" s="1280" t="str">
        <f t="shared" si="39"/>
        <v/>
      </c>
      <c r="D1029" s="866"/>
      <c r="E1029" s="866"/>
      <c r="F1029" s="866"/>
      <c r="G1029" s="1609"/>
      <c r="H1029" s="1326"/>
      <c r="J1029" s="1312"/>
    </row>
    <row r="1030" spans="1:10" x14ac:dyDescent="0.2">
      <c r="B1030" s="1324" t="str">
        <f>IF(LEN('11.700'!H157)=0,"",'11.700'!H157)</f>
        <v/>
      </c>
      <c r="C1030" s="1280" t="str">
        <f t="shared" si="39"/>
        <v/>
      </c>
      <c r="D1030" s="866"/>
      <c r="E1030" s="866"/>
      <c r="F1030" s="866"/>
      <c r="G1030" s="1609"/>
      <c r="H1030" s="1326"/>
      <c r="J1030" s="1312"/>
    </row>
    <row r="1031" spans="1:10" ht="19" x14ac:dyDescent="0.25">
      <c r="A1031" s="467" t="s">
        <v>3200</v>
      </c>
      <c r="B1031" s="1324" t="str">
        <f>IF(LEN('11.700'!H158)=0,"",'11.700'!H158)</f>
        <v/>
      </c>
      <c r="C1031" s="1280" t="str">
        <f t="shared" si="39"/>
        <v>P</v>
      </c>
      <c r="D1031" s="84" t="s">
        <v>4509</v>
      </c>
      <c r="E1031" s="84"/>
      <c r="F1031" s="84"/>
      <c r="G1031" s="25"/>
      <c r="H1031" s="994"/>
      <c r="I1031" s="25"/>
      <c r="J1031" s="25"/>
    </row>
    <row r="1032" spans="1:10" x14ac:dyDescent="0.2">
      <c r="A1032" s="467" t="str">
        <f>IF(I1032&gt;0,"P","")</f>
        <v/>
      </c>
      <c r="B1032" s="1324" t="str">
        <f>IF(LEN('11.700'!H159)=0,"",'11.700'!H159)</f>
        <v/>
      </c>
      <c r="C1032" s="1280" t="str">
        <f t="shared" ref="C1032:C1095" si="43">IF(LEN(B1032)=0,IF(A1032="P","P",""),B1032)</f>
        <v/>
      </c>
      <c r="D1032" s="608" t="s">
        <v>4067</v>
      </c>
      <c r="E1032" s="608"/>
      <c r="F1032" s="608"/>
      <c r="G1032" s="1303" t="s">
        <v>4068</v>
      </c>
      <c r="H1032" s="1326"/>
      <c r="I1032" s="88">
        <f>'11.700'!O159</f>
        <v>0</v>
      </c>
      <c r="J1032" s="1312"/>
    </row>
    <row r="1033" spans="1:10" x14ac:dyDescent="0.2">
      <c r="A1033" s="467" t="str">
        <f>IF(AND(LEN(H1033)&gt;0,NOT(H1033=FALSE),NOT(H1033="Not Relevant")),"P","")</f>
        <v/>
      </c>
      <c r="B1033" s="1324" t="str">
        <f>IF(LEN('11.700'!H160)=0,"",'11.700'!H160)</f>
        <v/>
      </c>
      <c r="C1033" s="1280" t="str">
        <f t="shared" si="43"/>
        <v/>
      </c>
      <c r="D1033" s="590" t="s">
        <v>4069</v>
      </c>
      <c r="E1033" s="590"/>
      <c r="F1033" s="590"/>
      <c r="G1033" s="1687" t="s">
        <v>5085</v>
      </c>
      <c r="H1033" s="1341" t="str">
        <f>IF(LEN('11.700'!W160)=0,"",'11.700'!W160)</f>
        <v/>
      </c>
      <c r="J1033" s="1779" t="s">
        <v>5177</v>
      </c>
    </row>
    <row r="1034" spans="1:10" x14ac:dyDescent="0.2">
      <c r="A1034" s="467" t="str">
        <f t="shared" ref="A1034:A1035" si="44">A1033</f>
        <v/>
      </c>
      <c r="B1034" s="1324" t="str">
        <f>IF(LEN('11.700'!H161)=0,"",'11.700'!H161)</f>
        <v/>
      </c>
      <c r="C1034" s="1280" t="str">
        <f t="shared" si="43"/>
        <v/>
      </c>
      <c r="D1034" s="590"/>
      <c r="E1034" s="590"/>
      <c r="F1034" s="590"/>
      <c r="G1034" s="1687"/>
      <c r="H1034" s="1326"/>
      <c r="J1034" s="1779"/>
    </row>
    <row r="1035" spans="1:10" x14ac:dyDescent="0.2">
      <c r="A1035" s="467" t="str">
        <f t="shared" si="44"/>
        <v/>
      </c>
      <c r="B1035" s="1324" t="str">
        <f>IF(LEN('11.700'!H162)=0,"",'11.700'!H162)</f>
        <v/>
      </c>
      <c r="C1035" s="1280" t="str">
        <f t="shared" si="43"/>
        <v/>
      </c>
      <c r="D1035" s="590"/>
      <c r="E1035" s="590"/>
      <c r="F1035" s="590"/>
      <c r="G1035" s="1337" t="s">
        <v>4468</v>
      </c>
      <c r="H1035" s="1326"/>
      <c r="J1035" s="1779"/>
    </row>
    <row r="1036" spans="1:10" x14ac:dyDescent="0.2">
      <c r="A1036" s="1503" t="str">
        <f>IF(COUNTIF(A1032:A1033,"P")&gt;0,"P","")</f>
        <v/>
      </c>
      <c r="B1036" s="1324" t="str">
        <f>IF(LEN('11.700'!H163)=0,"",'11.700'!H163)</f>
        <v/>
      </c>
      <c r="C1036" s="1280" t="str">
        <f t="shared" si="43"/>
        <v/>
      </c>
      <c r="D1036" s="590" t="s">
        <v>4070</v>
      </c>
      <c r="E1036" s="590"/>
      <c r="F1036" s="590"/>
      <c r="G1036" s="1687" t="s">
        <v>4071</v>
      </c>
      <c r="H1036" s="1326"/>
      <c r="J1036" s="1779" t="s">
        <v>5178</v>
      </c>
    </row>
    <row r="1037" spans="1:10" x14ac:dyDescent="0.2">
      <c r="A1037" s="467" t="str">
        <f t="shared" ref="A1037:A1041" si="45">A1036</f>
        <v/>
      </c>
      <c r="B1037" s="1324" t="str">
        <f>IF(LEN('11.700'!H164)=0,"",'11.700'!H164)</f>
        <v/>
      </c>
      <c r="C1037" s="1280" t="str">
        <f t="shared" si="43"/>
        <v/>
      </c>
      <c r="D1037" s="590"/>
      <c r="E1037" s="590"/>
      <c r="F1037" s="590"/>
      <c r="G1037" s="1687"/>
      <c r="H1037" s="1326"/>
      <c r="J1037" s="1779"/>
    </row>
    <row r="1038" spans="1:10" x14ac:dyDescent="0.2">
      <c r="A1038" s="467" t="str">
        <f t="shared" si="45"/>
        <v/>
      </c>
      <c r="B1038" s="1324" t="str">
        <f>IF(LEN('11.700'!H165)=0,"",'11.700'!H165)</f>
        <v/>
      </c>
      <c r="C1038" s="1280" t="str">
        <f t="shared" si="43"/>
        <v/>
      </c>
      <c r="D1038" s="590"/>
      <c r="E1038" s="590"/>
      <c r="F1038" s="590"/>
      <c r="G1038" s="1687"/>
      <c r="H1038" s="1326"/>
      <c r="J1038" s="1312"/>
    </row>
    <row r="1039" spans="1:10" x14ac:dyDescent="0.2">
      <c r="A1039" s="467" t="str">
        <f t="shared" si="45"/>
        <v/>
      </c>
      <c r="B1039" s="1324" t="str">
        <f>IF(LEN('11.700'!H166)=0,"",'11.700'!H166)</f>
        <v/>
      </c>
      <c r="C1039" s="1280" t="str">
        <f t="shared" si="43"/>
        <v/>
      </c>
      <c r="D1039" s="590"/>
      <c r="E1039" s="590"/>
      <c r="F1039" s="590"/>
      <c r="G1039" s="1687"/>
      <c r="H1039" s="1326"/>
      <c r="J1039" s="1312"/>
    </row>
    <row r="1040" spans="1:10" x14ac:dyDescent="0.2">
      <c r="A1040" s="467" t="str">
        <f t="shared" si="45"/>
        <v/>
      </c>
      <c r="B1040" s="1324" t="str">
        <f>IF(LEN('11.700'!H167)=0,"",'11.700'!H167)</f>
        <v/>
      </c>
      <c r="C1040" s="1280" t="str">
        <f t="shared" si="43"/>
        <v/>
      </c>
      <c r="D1040" s="590"/>
      <c r="E1040" s="590"/>
      <c r="F1040" s="590"/>
      <c r="G1040" s="1687"/>
      <c r="H1040" s="1326"/>
      <c r="J1040" s="1312"/>
    </row>
    <row r="1041" spans="1:10" x14ac:dyDescent="0.2">
      <c r="A1041" s="467" t="str">
        <f t="shared" si="45"/>
        <v/>
      </c>
      <c r="B1041" s="1324" t="str">
        <f>IF(LEN('11.700'!H168)=0,"",'11.700'!H168)</f>
        <v/>
      </c>
      <c r="C1041" s="1280" t="str">
        <f t="shared" si="43"/>
        <v/>
      </c>
      <c r="D1041" s="606"/>
      <c r="E1041" s="606"/>
      <c r="F1041" s="606"/>
      <c r="G1041" s="1688"/>
      <c r="H1041" s="1326"/>
      <c r="J1041" s="1312"/>
    </row>
    <row r="1042" spans="1:10" x14ac:dyDescent="0.2">
      <c r="A1042" s="1503" t="str">
        <f>IF(COUNTIF(A1032:A1033,"P")&gt;0,"P","")</f>
        <v/>
      </c>
      <c r="B1042" s="1324" t="str">
        <f>IF(LEN('11.700'!H169)=0,"",'11.700'!H169)</f>
        <v/>
      </c>
      <c r="C1042" s="1280" t="str">
        <f t="shared" si="43"/>
        <v/>
      </c>
      <c r="D1042" s="590" t="s">
        <v>4072</v>
      </c>
      <c r="E1042" s="590"/>
      <c r="F1042" s="590"/>
      <c r="G1042" s="1687" t="s">
        <v>4073</v>
      </c>
      <c r="H1042" s="1326"/>
      <c r="J1042" s="1312" t="s">
        <v>3120</v>
      </c>
    </row>
    <row r="1043" spans="1:10" x14ac:dyDescent="0.2">
      <c r="A1043" s="467" t="str">
        <f t="shared" ref="A1043:A1044" si="46">A1042</f>
        <v/>
      </c>
      <c r="B1043" s="1324" t="str">
        <f>IF(LEN('11.700'!H170)=0,"",'11.700'!H170)</f>
        <v/>
      </c>
      <c r="C1043" s="1280" t="str">
        <f t="shared" si="43"/>
        <v/>
      </c>
      <c r="D1043" s="590"/>
      <c r="E1043" s="590"/>
      <c r="F1043" s="590"/>
      <c r="G1043" s="1687"/>
      <c r="H1043" s="1326"/>
      <c r="J1043" s="1312"/>
    </row>
    <row r="1044" spans="1:10" x14ac:dyDescent="0.2">
      <c r="A1044" s="467" t="str">
        <f t="shared" si="46"/>
        <v/>
      </c>
      <c r="B1044" s="1324" t="str">
        <f>IF(LEN('11.700'!H171)=0,"",'11.700'!H171)</f>
        <v/>
      </c>
      <c r="C1044" s="1280" t="str">
        <f t="shared" si="43"/>
        <v/>
      </c>
      <c r="D1044" s="606"/>
      <c r="E1044" s="606"/>
      <c r="F1044" s="606"/>
      <c r="G1044" s="1688"/>
      <c r="H1044" s="1326"/>
      <c r="J1044" s="1312"/>
    </row>
    <row r="1045" spans="1:10" ht="39" customHeight="1" x14ac:dyDescent="0.2">
      <c r="A1045" s="467" t="str">
        <f>IF(AND(LEN(H1045)&gt;0,NOT(H1045=FALSE),NOT(H1045="Not Relevant")),"P","")</f>
        <v/>
      </c>
      <c r="B1045" s="1324" t="str">
        <f>IF(LEN('11.700'!H172)=0,"",'11.700'!H172)</f>
        <v/>
      </c>
      <c r="C1045" s="1280" t="str">
        <f t="shared" si="43"/>
        <v/>
      </c>
      <c r="D1045" s="608" t="s">
        <v>4074</v>
      </c>
      <c r="E1045" s="608"/>
      <c r="F1045" s="608"/>
      <c r="G1045" s="1686" t="s">
        <v>4469</v>
      </c>
      <c r="H1045" s="1341" t="str">
        <f>IF(LEN('11.700'!W172)=0,"",'11.700'!W172)</f>
        <v/>
      </c>
      <c r="J1045" s="1779" t="s">
        <v>5179</v>
      </c>
    </row>
    <row r="1046" spans="1:10" x14ac:dyDescent="0.2">
      <c r="A1046" s="467" t="str">
        <f t="shared" ref="A1046" si="47">A1045</f>
        <v/>
      </c>
      <c r="B1046" s="1324" t="str">
        <f>IF(LEN('11.700'!H173)=0,"",'11.700'!H173)</f>
        <v/>
      </c>
      <c r="C1046" s="1280" t="str">
        <f t="shared" si="43"/>
        <v/>
      </c>
      <c r="D1046" s="590"/>
      <c r="E1046" s="590"/>
      <c r="F1046" s="590"/>
      <c r="G1046" s="1687"/>
      <c r="H1046" s="1326"/>
      <c r="J1046" s="1779"/>
    </row>
    <row r="1047" spans="1:10" x14ac:dyDescent="0.2">
      <c r="B1047" s="1324" t="str">
        <f>IF(LEN('11.700'!H174)=0,"",'11.700'!H174)</f>
        <v/>
      </c>
      <c r="C1047" s="1280" t="str">
        <f t="shared" si="43"/>
        <v/>
      </c>
      <c r="D1047" s="606"/>
      <c r="E1047" s="606"/>
      <c r="F1047" s="606"/>
      <c r="G1047" s="1340" t="s">
        <v>4470</v>
      </c>
      <c r="H1047" s="1326"/>
      <c r="J1047" s="1312"/>
    </row>
    <row r="1048" spans="1:10" x14ac:dyDescent="0.2">
      <c r="A1048" s="467" t="str">
        <f>IF(AND(LEN(H1048)&gt;0,NOT(H1048=FALSE),NOT(H1048="Not Relevant")),"P","")</f>
        <v/>
      </c>
      <c r="B1048" s="1324" t="str">
        <f>IF(LEN('11.700'!H175)=0,"",'11.700'!H175)</f>
        <v/>
      </c>
      <c r="C1048" s="1280" t="str">
        <f t="shared" si="43"/>
        <v/>
      </c>
      <c r="D1048" s="608" t="s">
        <v>4075</v>
      </c>
      <c r="E1048" s="608"/>
      <c r="F1048" s="608"/>
      <c r="G1048" s="1686" t="s">
        <v>4076</v>
      </c>
      <c r="H1048" s="1341" t="str">
        <f>IF(LEN('11.700'!W175)=0,"",'11.700'!W175)</f>
        <v/>
      </c>
      <c r="J1048" s="1312" t="s">
        <v>3120</v>
      </c>
    </row>
    <row r="1049" spans="1:10" ht="16" thickBot="1" x14ac:dyDescent="0.25">
      <c r="A1049" s="467" t="str">
        <f t="shared" ref="A1049" si="48">A1048</f>
        <v/>
      </c>
      <c r="B1049" s="1324" t="str">
        <f>IF(LEN('11.700'!H176)=0,"",'11.700'!H176)</f>
        <v/>
      </c>
      <c r="C1049" s="1280" t="str">
        <f t="shared" si="43"/>
        <v/>
      </c>
      <c r="D1049" s="594"/>
      <c r="E1049" s="594"/>
      <c r="F1049" s="594"/>
      <c r="G1049" s="1738"/>
      <c r="H1049" s="1326"/>
      <c r="J1049" s="1312"/>
    </row>
    <row r="1050" spans="1:10" ht="16" thickTop="1" x14ac:dyDescent="0.2">
      <c r="A1050" s="1503" t="str">
        <f ca="1">IF(COUNTIF(A1051:A1068,"P")&gt;0,"P","")</f>
        <v/>
      </c>
      <c r="B1050" s="1324" t="str">
        <f>IF(LEN('11.700'!H177)=0,"",'11.700'!H177)</f>
        <v/>
      </c>
      <c r="C1050" s="1280" t="str">
        <f t="shared" ca="1" si="43"/>
        <v/>
      </c>
      <c r="D1050" s="589" t="s">
        <v>4077</v>
      </c>
      <c r="E1050" s="589"/>
      <c r="F1050" s="589"/>
      <c r="G1050" s="1301" t="s">
        <v>4078</v>
      </c>
      <c r="H1050" s="1326"/>
      <c r="J1050" s="1312"/>
    </row>
    <row r="1051" spans="1:10" x14ac:dyDescent="0.2">
      <c r="A1051" s="467" t="str">
        <f>IF(I1051&gt;0,"P","")</f>
        <v/>
      </c>
      <c r="B1051" s="1324" t="str">
        <f>IF(LEN('11.700'!H178)=0,"",'11.700'!H178)</f>
        <v/>
      </c>
      <c r="C1051" s="1280" t="str">
        <f t="shared" si="43"/>
        <v/>
      </c>
      <c r="D1051" s="590" t="s">
        <v>4079</v>
      </c>
      <c r="E1051" s="590"/>
      <c r="F1051" s="590"/>
      <c r="G1051" s="1687" t="s">
        <v>4080</v>
      </c>
      <c r="H1051" s="1341" t="str">
        <f>IF(LEN('11.700'!W178)=0,"",'11.700'!W178)</f>
        <v/>
      </c>
      <c r="I1051" s="88">
        <f>'11.700'!O178</f>
        <v>0</v>
      </c>
      <c r="J1051" s="1779" t="s">
        <v>5180</v>
      </c>
    </row>
    <row r="1052" spans="1:10" x14ac:dyDescent="0.2">
      <c r="A1052" s="467" t="str">
        <f t="shared" ref="A1052:A1056" si="49">A1051</f>
        <v/>
      </c>
      <c r="B1052" s="1324" t="str">
        <f>IF(LEN('11.700'!H179)=0,"",'11.700'!H179)</f>
        <v/>
      </c>
      <c r="C1052" s="1280" t="str">
        <f t="shared" si="43"/>
        <v/>
      </c>
      <c r="D1052" s="590"/>
      <c r="E1052" s="590"/>
      <c r="F1052" s="590"/>
      <c r="G1052" s="1687"/>
      <c r="H1052" s="1326"/>
      <c r="J1052" s="1779"/>
    </row>
    <row r="1053" spans="1:10" x14ac:dyDescent="0.2">
      <c r="A1053" s="467" t="str">
        <f t="shared" si="49"/>
        <v/>
      </c>
      <c r="B1053" s="1324" t="str">
        <f>IF(LEN('11.700'!H180)=0,"",'11.700'!H180)</f>
        <v/>
      </c>
      <c r="C1053" s="1280" t="str">
        <f t="shared" si="43"/>
        <v/>
      </c>
      <c r="D1053" s="590"/>
      <c r="E1053" s="590"/>
      <c r="F1053" s="590"/>
      <c r="G1053" s="1687"/>
      <c r="H1053" s="1341" t="str">
        <f>IF(LEN('11.700'!W180)=0,"",'11.700'!W180)</f>
        <v/>
      </c>
      <c r="J1053" s="1779"/>
    </row>
    <row r="1054" spans="1:10" x14ac:dyDescent="0.2">
      <c r="A1054" s="467" t="str">
        <f t="shared" si="49"/>
        <v/>
      </c>
      <c r="B1054" s="1324" t="str">
        <f>IF(LEN('11.700'!H181)=0,"",'11.700'!H181)</f>
        <v/>
      </c>
      <c r="C1054" s="1280" t="str">
        <f t="shared" si="43"/>
        <v/>
      </c>
      <c r="D1054" s="590"/>
      <c r="E1054" s="590"/>
      <c r="F1054" s="590"/>
      <c r="G1054" s="1687"/>
      <c r="H1054" s="1326"/>
      <c r="J1054" s="1312"/>
    </row>
    <row r="1055" spans="1:10" x14ac:dyDescent="0.2">
      <c r="A1055" s="467" t="str">
        <f t="shared" si="49"/>
        <v/>
      </c>
      <c r="B1055" s="1324" t="str">
        <f>IF(LEN('11.700'!H182)=0,"",'11.700'!H182)</f>
        <v/>
      </c>
      <c r="C1055" s="1280" t="str">
        <f t="shared" si="43"/>
        <v/>
      </c>
      <c r="D1055" s="590"/>
      <c r="E1055" s="590"/>
      <c r="F1055" s="590"/>
      <c r="G1055" s="1687"/>
      <c r="H1055" s="1326"/>
      <c r="J1055" s="1312"/>
    </row>
    <row r="1056" spans="1:10" x14ac:dyDescent="0.2">
      <c r="A1056" s="467" t="str">
        <f t="shared" si="49"/>
        <v/>
      </c>
      <c r="B1056" s="1324" t="str">
        <f>IF(LEN('11.700'!H183)=0,"",'11.700'!H183)</f>
        <v/>
      </c>
      <c r="C1056" s="1280" t="str">
        <f t="shared" si="43"/>
        <v/>
      </c>
      <c r="D1056" s="590"/>
      <c r="E1056" s="590"/>
      <c r="F1056" s="590"/>
      <c r="G1056" s="1687"/>
      <c r="H1056" s="1326"/>
      <c r="J1056" s="1312"/>
    </row>
    <row r="1057" spans="1:10" x14ac:dyDescent="0.2">
      <c r="B1057" s="1324" t="str">
        <f>IF(LEN('11.700'!H184)=0,"",'11.700'!H184)</f>
        <v/>
      </c>
      <c r="C1057" s="1280" t="str">
        <f t="shared" si="43"/>
        <v/>
      </c>
      <c r="D1057" s="606"/>
      <c r="E1057" s="606"/>
      <c r="F1057" s="606"/>
      <c r="G1057" s="441" t="s">
        <v>4835</v>
      </c>
      <c r="H1057" s="1326"/>
      <c r="J1057" s="1312"/>
    </row>
    <row r="1058" spans="1:10" x14ac:dyDescent="0.2">
      <c r="A1058" s="467" t="str">
        <f>IF(I1058&gt;0,"P","")</f>
        <v/>
      </c>
      <c r="B1058" s="1324" t="str">
        <f>IF(LEN('11.700'!H185)=0,"",'11.700'!H185)</f>
        <v/>
      </c>
      <c r="C1058" s="1280" t="str">
        <f t="shared" si="43"/>
        <v/>
      </c>
      <c r="D1058" s="608" t="s">
        <v>4081</v>
      </c>
      <c r="E1058" s="608"/>
      <c r="F1058" s="608"/>
      <c r="G1058" s="1686" t="s">
        <v>4082</v>
      </c>
      <c r="H1058" s="1326"/>
      <c r="I1058" s="88">
        <f>'11.700'!O185</f>
        <v>0</v>
      </c>
      <c r="J1058" s="1312" t="s">
        <v>3120</v>
      </c>
    </row>
    <row r="1059" spans="1:10" x14ac:dyDescent="0.2">
      <c r="A1059" s="467" t="str">
        <f t="shared" ref="A1059" si="50">A1058</f>
        <v/>
      </c>
      <c r="B1059" s="1324" t="str">
        <f>IF(LEN('11.700'!H186)=0,"",'11.700'!H186)</f>
        <v/>
      </c>
      <c r="C1059" s="1280" t="str">
        <f t="shared" si="43"/>
        <v/>
      </c>
      <c r="D1059" s="606"/>
      <c r="E1059" s="606"/>
      <c r="F1059" s="606"/>
      <c r="G1059" s="1688"/>
      <c r="H1059" s="1341" t="str">
        <f>IF(LEN('11.700'!W186)=0,"",'11.700'!W186)</f>
        <v/>
      </c>
      <c r="J1059" s="1312"/>
    </row>
    <row r="1060" spans="1:10" x14ac:dyDescent="0.2">
      <c r="A1060" s="467" t="str">
        <f ca="1">IF(I1060&gt;0,"P","")</f>
        <v/>
      </c>
      <c r="B1060" s="1324" t="str">
        <f>IF(LEN('11.700'!H187)=0,"",'11.700'!H187)</f>
        <v/>
      </c>
      <c r="C1060" s="1280" t="str">
        <f t="shared" ca="1" si="43"/>
        <v/>
      </c>
      <c r="D1060" s="608" t="s">
        <v>4083</v>
      </c>
      <c r="E1060" s="608"/>
      <c r="F1060" s="608"/>
      <c r="G1060" s="1686" t="s">
        <v>4084</v>
      </c>
      <c r="H1060" s="1341" t="str">
        <f>IF(LEN('11.700'!W187)=0,"",'11.700'!W187)</f>
        <v/>
      </c>
      <c r="I1060" s="88">
        <f ca="1">'11.700'!O187</f>
        <v>0</v>
      </c>
      <c r="J1060" s="1312" t="s">
        <v>5181</v>
      </c>
    </row>
    <row r="1061" spans="1:10" x14ac:dyDescent="0.2">
      <c r="A1061" s="467" t="str">
        <f t="shared" ref="A1061:A1063" ca="1" si="51">A1060</f>
        <v/>
      </c>
      <c r="B1061" s="1324" t="str">
        <f>IF(LEN('11.700'!H188)=0,"",'11.700'!H188)</f>
        <v/>
      </c>
      <c r="C1061" s="1280" t="str">
        <f t="shared" ca="1" si="43"/>
        <v/>
      </c>
      <c r="D1061" s="590"/>
      <c r="E1061" s="590"/>
      <c r="F1061" s="590"/>
      <c r="G1061" s="1687"/>
      <c r="H1061" s="1326"/>
      <c r="J1061" s="1312"/>
    </row>
    <row r="1062" spans="1:10" x14ac:dyDescent="0.2">
      <c r="A1062" s="467" t="str">
        <f t="shared" ca="1" si="51"/>
        <v/>
      </c>
      <c r="B1062" s="1324" t="str">
        <f>IF(LEN('11.700'!H189)=0,"",'11.700'!H189)</f>
        <v/>
      </c>
      <c r="C1062" s="1280" t="str">
        <f t="shared" ca="1" si="43"/>
        <v/>
      </c>
      <c r="D1062" s="590"/>
      <c r="E1062" s="590"/>
      <c r="F1062" s="590"/>
      <c r="G1062" s="1687"/>
      <c r="H1062" s="1326"/>
      <c r="J1062" s="1312"/>
    </row>
    <row r="1063" spans="1:10" x14ac:dyDescent="0.2">
      <c r="A1063" s="467" t="str">
        <f t="shared" ca="1" si="51"/>
        <v/>
      </c>
      <c r="B1063" s="1324" t="str">
        <f>IF(LEN('11.700'!H190)=0,"",'11.700'!H190)</f>
        <v/>
      </c>
      <c r="C1063" s="1280" t="str">
        <f t="shared" ca="1" si="43"/>
        <v/>
      </c>
      <c r="D1063" s="606"/>
      <c r="E1063" s="606"/>
      <c r="F1063" s="606"/>
      <c r="G1063" s="1688"/>
      <c r="H1063" s="1326"/>
      <c r="J1063" s="1312"/>
    </row>
    <row r="1064" spans="1:10" x14ac:dyDescent="0.2">
      <c r="A1064" s="467" t="str">
        <f ca="1">IF(I1064&gt;0,"P","")</f>
        <v/>
      </c>
      <c r="B1064" s="1324" t="str">
        <f>IF(LEN('11.700'!H191)=0,"",'11.700'!H191)</f>
        <v/>
      </c>
      <c r="C1064" s="1280" t="str">
        <f t="shared" ca="1" si="43"/>
        <v/>
      </c>
      <c r="D1064" s="608" t="s">
        <v>4085</v>
      </c>
      <c r="E1064" s="608"/>
      <c r="F1064" s="608"/>
      <c r="G1064" s="1686" t="s">
        <v>4086</v>
      </c>
      <c r="H1064" s="1326"/>
      <c r="I1064" s="88">
        <f ca="1">'11.700'!O191</f>
        <v>0</v>
      </c>
      <c r="J1064" s="1312" t="s">
        <v>5182</v>
      </c>
    </row>
    <row r="1065" spans="1:10" x14ac:dyDescent="0.2">
      <c r="A1065" s="467" t="str">
        <f t="shared" ref="A1065:A1067" ca="1" si="52">A1064</f>
        <v/>
      </c>
      <c r="B1065" s="1324" t="str">
        <f>IF(LEN('11.700'!H192)=0,"",'11.700'!H192)</f>
        <v/>
      </c>
      <c r="C1065" s="1280" t="str">
        <f t="shared" ca="1" si="43"/>
        <v/>
      </c>
      <c r="D1065" s="590"/>
      <c r="E1065" s="590"/>
      <c r="F1065" s="590"/>
      <c r="G1065" s="1687"/>
      <c r="H1065" s="1349"/>
      <c r="J1065" s="1312"/>
    </row>
    <row r="1066" spans="1:10" x14ac:dyDescent="0.2">
      <c r="A1066" s="467" t="str">
        <f t="shared" ca="1" si="52"/>
        <v/>
      </c>
      <c r="B1066" s="1324" t="str">
        <f>IF(LEN('11.700'!H193)=0,"",'11.700'!H193)</f>
        <v/>
      </c>
      <c r="C1066" s="1280" t="str">
        <f t="shared" ca="1" si="43"/>
        <v/>
      </c>
      <c r="D1066" s="590"/>
      <c r="E1066" s="590"/>
      <c r="F1066" s="590"/>
      <c r="G1066" s="1687"/>
      <c r="H1066" s="1326"/>
      <c r="J1066" s="1312"/>
    </row>
    <row r="1067" spans="1:10" x14ac:dyDescent="0.2">
      <c r="A1067" s="467" t="str">
        <f t="shared" ca="1" si="52"/>
        <v/>
      </c>
      <c r="B1067" s="1324" t="str">
        <f>IF(LEN('11.700'!H194)=0,"",'11.700'!H194)</f>
        <v/>
      </c>
      <c r="C1067" s="1280" t="str">
        <f t="shared" ca="1" si="43"/>
        <v/>
      </c>
      <c r="D1067" s="606"/>
      <c r="E1067" s="606"/>
      <c r="F1067" s="606"/>
      <c r="G1067" s="1688"/>
      <c r="H1067" s="1326"/>
      <c r="J1067" s="1312"/>
    </row>
    <row r="1068" spans="1:10" x14ac:dyDescent="0.2">
      <c r="A1068" s="1503" t="str">
        <f ca="1">IF(COUNTIF(A1069:A1095,"P")&gt;0,"P","")</f>
        <v/>
      </c>
      <c r="B1068" s="1324" t="str">
        <f>IF(LEN('11.700'!H195)=0,"",'11.700'!H195)</f>
        <v/>
      </c>
      <c r="C1068" s="1280" t="str">
        <f t="shared" ca="1" si="43"/>
        <v/>
      </c>
      <c r="D1068" s="589" t="s">
        <v>4087</v>
      </c>
      <c r="E1068" s="589"/>
      <c r="F1068" s="589"/>
      <c r="G1068" s="1301" t="s">
        <v>4088</v>
      </c>
      <c r="H1068" s="1326"/>
      <c r="J1068" s="1312"/>
    </row>
    <row r="1069" spans="1:10" x14ac:dyDescent="0.2">
      <c r="A1069" s="467" t="str">
        <f>IF(AND(LEN(H1069)&gt;0,NOT(H1069=FALSE),NOT(H1069="N/A")),"P","")</f>
        <v/>
      </c>
      <c r="B1069" s="1324" t="str">
        <f>IF(LEN('11.700'!H196)=0,"",'11.700'!H196)</f>
        <v/>
      </c>
      <c r="C1069" s="1280" t="str">
        <f t="shared" si="43"/>
        <v/>
      </c>
      <c r="D1069" s="589" t="s">
        <v>4089</v>
      </c>
      <c r="E1069" s="589"/>
      <c r="F1069" s="589"/>
      <c r="G1069" s="1687" t="s">
        <v>4090</v>
      </c>
      <c r="H1069" s="1341" t="str">
        <f>IF(LEN('11.700'!W196)=0,"",'11.700'!W196)</f>
        <v/>
      </c>
      <c r="J1069" s="1312" t="s">
        <v>5183</v>
      </c>
    </row>
    <row r="1070" spans="1:10" x14ac:dyDescent="0.2">
      <c r="A1070" s="467" t="str">
        <f t="shared" ref="A1070:A1075" si="53">A1069</f>
        <v/>
      </c>
      <c r="B1070" s="1324" t="str">
        <f>IF(LEN('11.700'!H197)=0,"",'11.700'!H197)</f>
        <v/>
      </c>
      <c r="C1070" s="1280" t="str">
        <f t="shared" si="43"/>
        <v/>
      </c>
      <c r="D1070" s="589"/>
      <c r="E1070" s="589"/>
      <c r="F1070" s="589"/>
      <c r="G1070" s="1687"/>
      <c r="H1070" s="1326"/>
      <c r="J1070" s="1312"/>
    </row>
    <row r="1071" spans="1:10" x14ac:dyDescent="0.2">
      <c r="A1071" s="467" t="str">
        <f t="shared" si="53"/>
        <v/>
      </c>
      <c r="B1071" s="1324" t="str">
        <f>IF(LEN('11.700'!H198)=0,"",'11.700'!H198)</f>
        <v/>
      </c>
      <c r="C1071" s="1280" t="str">
        <f t="shared" si="43"/>
        <v/>
      </c>
      <c r="D1071" s="589"/>
      <c r="E1071" s="589"/>
      <c r="F1071" s="589"/>
      <c r="G1071" s="1687"/>
      <c r="H1071" s="1326"/>
      <c r="J1071" s="1312"/>
    </row>
    <row r="1072" spans="1:10" x14ac:dyDescent="0.2">
      <c r="A1072" s="467" t="str">
        <f t="shared" si="53"/>
        <v/>
      </c>
      <c r="B1072" s="1324" t="str">
        <f>IF(LEN('11.700'!H199)=0,"",'11.700'!H199)</f>
        <v/>
      </c>
      <c r="C1072" s="1280" t="str">
        <f t="shared" si="43"/>
        <v/>
      </c>
      <c r="D1072" s="589"/>
      <c r="E1072" s="589"/>
      <c r="F1072" s="589"/>
      <c r="G1072" s="1687"/>
      <c r="H1072" s="1326"/>
      <c r="J1072" s="1312"/>
    </row>
    <row r="1073" spans="1:10" x14ac:dyDescent="0.2">
      <c r="A1073" s="467" t="str">
        <f t="shared" si="53"/>
        <v/>
      </c>
      <c r="B1073" s="1324" t="str">
        <f>IF(LEN('11.700'!H200)=0,"",'11.700'!H200)</f>
        <v/>
      </c>
      <c r="C1073" s="1280" t="str">
        <f t="shared" si="43"/>
        <v/>
      </c>
      <c r="D1073" s="589"/>
      <c r="E1073" s="589"/>
      <c r="F1073" s="589"/>
      <c r="G1073" s="1687"/>
      <c r="H1073" s="1326"/>
      <c r="J1073" s="1312"/>
    </row>
    <row r="1074" spans="1:10" x14ac:dyDescent="0.2">
      <c r="A1074" s="467" t="str">
        <f t="shared" si="53"/>
        <v/>
      </c>
      <c r="B1074" s="1324" t="str">
        <f>IF(LEN('11.700'!H201)=0,"",'11.700'!H201)</f>
        <v/>
      </c>
      <c r="C1074" s="1280" t="str">
        <f t="shared" si="43"/>
        <v/>
      </c>
      <c r="D1074" s="589"/>
      <c r="E1074" s="589"/>
      <c r="F1074" s="589"/>
      <c r="G1074" s="1687"/>
      <c r="H1074" s="1326"/>
      <c r="J1074" s="1312"/>
    </row>
    <row r="1075" spans="1:10" x14ac:dyDescent="0.2">
      <c r="A1075" s="467" t="str">
        <f t="shared" si="53"/>
        <v/>
      </c>
      <c r="B1075" s="1324" t="str">
        <f>IF(LEN('11.700'!H202)=0,"",'11.700'!H202)</f>
        <v/>
      </c>
      <c r="C1075" s="1280" t="str">
        <f t="shared" si="43"/>
        <v/>
      </c>
      <c r="D1075" s="589"/>
      <c r="E1075" s="589"/>
      <c r="F1075" s="589"/>
      <c r="G1075" s="1687"/>
      <c r="H1075" s="1326"/>
      <c r="J1075" s="1312"/>
    </row>
    <row r="1076" spans="1:10" x14ac:dyDescent="0.2">
      <c r="A1076" s="467" t="str">
        <f>IF(AND(LEN(H1076)&gt;0,NOT(H1076=FALSE),NOT(H1076="N/A")),"P","")</f>
        <v/>
      </c>
      <c r="B1076" s="1324" t="str">
        <f>IF(LEN('11.700'!H203)=0,"",'11.700'!H203)</f>
        <v/>
      </c>
      <c r="C1076" s="1280" t="str">
        <f t="shared" si="43"/>
        <v/>
      </c>
      <c r="D1076" s="590" t="s">
        <v>4091</v>
      </c>
      <c r="E1076" s="590"/>
      <c r="F1076" s="590"/>
      <c r="G1076" s="1687" t="s">
        <v>4092</v>
      </c>
      <c r="H1076" s="1341" t="str">
        <f>IF(LEN('11.700'!W203)=0,"",'11.700'!W203)</f>
        <v/>
      </c>
      <c r="J1076" s="1312" t="s">
        <v>5183</v>
      </c>
    </row>
    <row r="1077" spans="1:10" x14ac:dyDescent="0.2">
      <c r="A1077" s="467" t="str">
        <f t="shared" ref="A1077:A1083" si="54">A1076</f>
        <v/>
      </c>
      <c r="B1077" s="1324" t="str">
        <f>IF(LEN('11.700'!H204)=0,"",'11.700'!H204)</f>
        <v/>
      </c>
      <c r="C1077" s="1280" t="str">
        <f t="shared" si="43"/>
        <v/>
      </c>
      <c r="D1077" s="590"/>
      <c r="E1077" s="590"/>
      <c r="F1077" s="590"/>
      <c r="G1077" s="1687"/>
      <c r="H1077" s="1326"/>
      <c r="J1077" s="1312"/>
    </row>
    <row r="1078" spans="1:10" x14ac:dyDescent="0.2">
      <c r="A1078" s="467" t="str">
        <f t="shared" si="54"/>
        <v/>
      </c>
      <c r="B1078" s="1324" t="str">
        <f>IF(LEN('11.700'!H205)=0,"",'11.700'!H205)</f>
        <v/>
      </c>
      <c r="C1078" s="1280" t="str">
        <f t="shared" si="43"/>
        <v/>
      </c>
      <c r="D1078" s="590"/>
      <c r="E1078" s="590"/>
      <c r="F1078" s="590"/>
      <c r="G1078" s="1687"/>
      <c r="H1078" s="1326"/>
      <c r="J1078" s="1312"/>
    </row>
    <row r="1079" spans="1:10" x14ac:dyDescent="0.2">
      <c r="A1079" s="467" t="str">
        <f t="shared" si="54"/>
        <v/>
      </c>
      <c r="B1079" s="1324" t="str">
        <f>IF(LEN('11.700'!H206)=0,"",'11.700'!H206)</f>
        <v/>
      </c>
      <c r="C1079" s="1280" t="str">
        <f t="shared" si="43"/>
        <v/>
      </c>
      <c r="D1079" s="590"/>
      <c r="E1079" s="590"/>
      <c r="F1079" s="590"/>
      <c r="G1079" s="1687"/>
      <c r="H1079" s="1326"/>
      <c r="J1079" s="1312"/>
    </row>
    <row r="1080" spans="1:10" x14ac:dyDescent="0.2">
      <c r="A1080" s="467" t="str">
        <f t="shared" si="54"/>
        <v/>
      </c>
      <c r="B1080" s="1324" t="str">
        <f>IF(LEN('11.700'!H207)=0,"",'11.700'!H207)</f>
        <v/>
      </c>
      <c r="C1080" s="1280" t="str">
        <f t="shared" si="43"/>
        <v/>
      </c>
      <c r="D1080" s="590"/>
      <c r="E1080" s="590"/>
      <c r="F1080" s="590"/>
      <c r="G1080" s="1687"/>
      <c r="H1080" s="1326"/>
      <c r="J1080" s="1312"/>
    </row>
    <row r="1081" spans="1:10" x14ac:dyDescent="0.2">
      <c r="A1081" s="467" t="str">
        <f t="shared" si="54"/>
        <v/>
      </c>
      <c r="B1081" s="1324" t="str">
        <f>IF(LEN('11.700'!H208)=0,"",'11.700'!H208)</f>
        <v/>
      </c>
      <c r="C1081" s="1280" t="str">
        <f t="shared" si="43"/>
        <v/>
      </c>
      <c r="D1081" s="590"/>
      <c r="E1081" s="590"/>
      <c r="F1081" s="590"/>
      <c r="G1081" s="1687"/>
      <c r="H1081" s="1326"/>
      <c r="J1081" s="1312"/>
    </row>
    <row r="1082" spans="1:10" x14ac:dyDescent="0.2">
      <c r="A1082" s="467" t="str">
        <f t="shared" si="54"/>
        <v/>
      </c>
      <c r="B1082" s="1324" t="str">
        <f>IF(LEN('11.700'!H209)=0,"",'11.700'!H209)</f>
        <v/>
      </c>
      <c r="C1082" s="1280" t="str">
        <f t="shared" si="43"/>
        <v/>
      </c>
      <c r="D1082" s="590"/>
      <c r="E1082" s="590"/>
      <c r="F1082" s="590"/>
      <c r="G1082" s="1687"/>
      <c r="H1082" s="1326"/>
      <c r="J1082" s="1312"/>
    </row>
    <row r="1083" spans="1:10" x14ac:dyDescent="0.2">
      <c r="A1083" s="467" t="str">
        <f t="shared" si="54"/>
        <v/>
      </c>
      <c r="B1083" s="1324" t="str">
        <f>IF(LEN('11.700'!H210)=0,"",'11.700'!H210)</f>
        <v/>
      </c>
      <c r="C1083" s="1280" t="str">
        <f t="shared" si="43"/>
        <v/>
      </c>
      <c r="D1083" s="590"/>
      <c r="E1083" s="590"/>
      <c r="F1083" s="590"/>
      <c r="G1083" s="1687"/>
      <c r="H1083" s="1326"/>
      <c r="J1083" s="1312"/>
    </row>
    <row r="1084" spans="1:10" x14ac:dyDescent="0.2">
      <c r="B1084" s="1324" t="str">
        <f>IF(LEN('11.700'!H211)=0,"",'11.700'!H211)</f>
        <v/>
      </c>
      <c r="C1084" s="1280" t="str">
        <f t="shared" si="43"/>
        <v/>
      </c>
      <c r="D1084" s="606"/>
      <c r="E1084" s="606"/>
      <c r="F1084" s="606"/>
      <c r="G1084" s="441" t="s">
        <v>5089</v>
      </c>
      <c r="H1084" s="1326"/>
      <c r="J1084" s="1312"/>
    </row>
    <row r="1085" spans="1:10" x14ac:dyDescent="0.2">
      <c r="A1085" s="467" t="str">
        <f ca="1">IF(I1085&gt;0,"P","")</f>
        <v/>
      </c>
      <c r="B1085" s="1324" t="str">
        <f>IF(LEN('11.700'!H212)=0,"",'11.700'!H212)</f>
        <v/>
      </c>
      <c r="C1085" s="1280" t="str">
        <f t="shared" ca="1" si="43"/>
        <v/>
      </c>
      <c r="D1085" s="589" t="s">
        <v>4093</v>
      </c>
      <c r="E1085" s="589"/>
      <c r="F1085" s="589"/>
      <c r="G1085" s="1687" t="s">
        <v>4839</v>
      </c>
      <c r="H1085" s="1341" t="str">
        <f>IF(LEN('11.700'!W212)=0,"",'11.700'!W212)</f>
        <v/>
      </c>
      <c r="I1085" s="88">
        <f ca="1">'11.700'!O212</f>
        <v>0</v>
      </c>
      <c r="J1085" s="1312" t="s">
        <v>5175</v>
      </c>
    </row>
    <row r="1086" spans="1:10" x14ac:dyDescent="0.2">
      <c r="A1086" s="467" t="str">
        <f t="shared" ref="A1086:A1089" ca="1" si="55">A1085</f>
        <v/>
      </c>
      <c r="B1086" s="1324" t="str">
        <f>IF(LEN('11.700'!H213)=0,"",'11.700'!H213)</f>
        <v/>
      </c>
      <c r="C1086" s="1280" t="str">
        <f t="shared" ca="1" si="43"/>
        <v/>
      </c>
      <c r="D1086" s="589"/>
      <c r="E1086" s="589"/>
      <c r="F1086" s="589"/>
      <c r="G1086" s="1687"/>
      <c r="H1086" s="1326"/>
      <c r="J1086" s="1312"/>
    </row>
    <row r="1087" spans="1:10" x14ac:dyDescent="0.2">
      <c r="A1087" s="467" t="str">
        <f t="shared" ca="1" si="55"/>
        <v/>
      </c>
      <c r="B1087" s="1324" t="str">
        <f>IF(LEN('11.700'!H214)=0,"",'11.700'!H214)</f>
        <v/>
      </c>
      <c r="C1087" s="1280" t="str">
        <f t="shared" ca="1" si="43"/>
        <v/>
      </c>
      <c r="D1087" s="589"/>
      <c r="E1087" s="589"/>
      <c r="F1087" s="589"/>
      <c r="G1087" s="1687"/>
      <c r="H1087" s="1326"/>
      <c r="J1087" s="1312"/>
    </row>
    <row r="1088" spans="1:10" x14ac:dyDescent="0.2">
      <c r="A1088" s="467" t="str">
        <f t="shared" ca="1" si="55"/>
        <v/>
      </c>
      <c r="B1088" s="1324" t="str">
        <f>IF(LEN('11.700'!H215)=0,"",'11.700'!H215)</f>
        <v/>
      </c>
      <c r="C1088" s="1280" t="str">
        <f t="shared" ca="1" si="43"/>
        <v/>
      </c>
      <c r="D1088" s="589"/>
      <c r="E1088" s="589"/>
      <c r="F1088" s="589"/>
      <c r="G1088" s="1687"/>
      <c r="H1088" s="1326"/>
      <c r="J1088" s="1312"/>
    </row>
    <row r="1089" spans="1:10" x14ac:dyDescent="0.2">
      <c r="A1089" s="467" t="str">
        <f t="shared" ca="1" si="55"/>
        <v/>
      </c>
      <c r="B1089" s="1324" t="str">
        <f>IF(LEN('11.700'!H216)=0,"",'11.700'!H216)</f>
        <v/>
      </c>
      <c r="C1089" s="1280" t="str">
        <f t="shared" ca="1" si="43"/>
        <v/>
      </c>
      <c r="D1089" s="589"/>
      <c r="E1089" s="589"/>
      <c r="F1089" s="589"/>
      <c r="G1089" s="1687"/>
      <c r="H1089" s="1326"/>
      <c r="J1089" s="1312"/>
    </row>
    <row r="1090" spans="1:10" x14ac:dyDescent="0.2">
      <c r="B1090" s="1324" t="str">
        <f>IF(LEN('11.700'!H217)=0,"",'11.700'!H217)</f>
        <v/>
      </c>
      <c r="C1090" s="1280" t="str">
        <f t="shared" si="43"/>
        <v/>
      </c>
      <c r="D1090" s="589"/>
      <c r="E1090" s="589"/>
      <c r="F1090" s="606" t="s">
        <v>121</v>
      </c>
      <c r="G1090" s="1291" t="s">
        <v>4841</v>
      </c>
      <c r="H1090" s="1326"/>
      <c r="J1090" s="1312"/>
    </row>
    <row r="1091" spans="1:10" x14ac:dyDescent="0.2">
      <c r="B1091" s="1324" t="str">
        <f>IF(LEN('11.700'!H218)=0,"",'11.700'!H218)</f>
        <v/>
      </c>
      <c r="C1091" s="1280" t="str">
        <f t="shared" si="43"/>
        <v/>
      </c>
      <c r="D1091" s="589"/>
      <c r="E1091" s="589"/>
      <c r="F1091" s="607" t="s">
        <v>122</v>
      </c>
      <c r="G1091" s="1075" t="s">
        <v>4842</v>
      </c>
      <c r="H1091" s="1326"/>
      <c r="J1091" s="1312"/>
    </row>
    <row r="1092" spans="1:10" x14ac:dyDescent="0.2">
      <c r="B1092" s="1324" t="str">
        <f>IF(LEN('11.700'!H219)=0,"",'11.700'!H219)</f>
        <v/>
      </c>
      <c r="C1092" s="1280" t="str">
        <f t="shared" si="43"/>
        <v/>
      </c>
      <c r="D1092" s="589"/>
      <c r="E1092" s="589"/>
      <c r="F1092" s="589" t="s">
        <v>123</v>
      </c>
      <c r="G1092" s="1290" t="s">
        <v>4843</v>
      </c>
      <c r="H1092" s="1326"/>
      <c r="J1092" s="1312"/>
    </row>
    <row r="1093" spans="1:10" x14ac:dyDescent="0.2">
      <c r="B1093" s="1324" t="str">
        <f>IF(LEN('11.700'!H220)=0,"",'11.700'!H220)</f>
        <v/>
      </c>
      <c r="C1093" s="1280" t="str">
        <f t="shared" si="43"/>
        <v/>
      </c>
      <c r="D1093" s="589"/>
      <c r="E1093" s="589"/>
      <c r="F1093" s="589"/>
      <c r="G1093" s="1634" t="s">
        <v>4840</v>
      </c>
      <c r="H1093" s="1326"/>
      <c r="J1093" s="1312"/>
    </row>
    <row r="1094" spans="1:10" x14ac:dyDescent="0.2">
      <c r="B1094" s="1324" t="str">
        <f>IF(LEN('11.700'!H221)=0,"",'11.700'!H221)</f>
        <v/>
      </c>
      <c r="C1094" s="1280" t="str">
        <f t="shared" si="43"/>
        <v/>
      </c>
      <c r="D1094" s="589"/>
      <c r="E1094" s="589"/>
      <c r="F1094" s="589"/>
      <c r="G1094" s="1634"/>
      <c r="H1094" s="1326"/>
      <c r="J1094" s="1312"/>
    </row>
    <row r="1095" spans="1:10" x14ac:dyDescent="0.2">
      <c r="A1095" s="467" t="str">
        <f>IF(AND(LEN(H1095)&gt;0,NOT(H1095=FALSE),NOT(H1095="N/A")),"P","")</f>
        <v/>
      </c>
      <c r="B1095" s="1324" t="str">
        <f>IF(LEN('11.700'!H222)=0,"",'11.700'!H222)</f>
        <v/>
      </c>
      <c r="C1095" s="1280" t="str">
        <f t="shared" si="43"/>
        <v/>
      </c>
      <c r="D1095" s="590" t="s">
        <v>4094</v>
      </c>
      <c r="E1095" s="590"/>
      <c r="F1095" s="590"/>
      <c r="G1095" s="1687" t="s">
        <v>4095</v>
      </c>
      <c r="H1095" s="1341" t="str">
        <f>IF(LEN('11.700'!W222)=0,"",'11.700'!W222)</f>
        <v/>
      </c>
      <c r="J1095" s="1312" t="s">
        <v>5175</v>
      </c>
    </row>
    <row r="1096" spans="1:10" x14ac:dyDescent="0.2">
      <c r="A1096" s="467" t="str">
        <f t="shared" ref="A1096:A1103" si="56">A1095</f>
        <v/>
      </c>
      <c r="B1096" s="1324" t="str">
        <f>IF(LEN('11.700'!H223)=0,"",'11.700'!H223)</f>
        <v/>
      </c>
      <c r="C1096" s="1280" t="str">
        <f t="shared" ref="C1096:C1159" si="57">IF(LEN(B1096)=0,IF(A1096="P","P",""),B1096)</f>
        <v/>
      </c>
      <c r="D1096" s="590"/>
      <c r="E1096" s="590"/>
      <c r="F1096" s="590"/>
      <c r="G1096" s="1687"/>
      <c r="H1096" s="1326"/>
      <c r="J1096" s="1312"/>
    </row>
    <row r="1097" spans="1:10" x14ac:dyDescent="0.2">
      <c r="A1097" s="467" t="str">
        <f t="shared" si="56"/>
        <v/>
      </c>
      <c r="B1097" s="1324" t="str">
        <f>IF(LEN('11.700'!H224)=0,"",'11.700'!H224)</f>
        <v/>
      </c>
      <c r="C1097" s="1280" t="str">
        <f t="shared" si="57"/>
        <v/>
      </c>
      <c r="D1097" s="590"/>
      <c r="E1097" s="590"/>
      <c r="F1097" s="590"/>
      <c r="G1097" s="1687"/>
      <c r="H1097" s="1326"/>
      <c r="J1097" s="1312"/>
    </row>
    <row r="1098" spans="1:10" x14ac:dyDescent="0.2">
      <c r="A1098" s="467" t="str">
        <f t="shared" si="56"/>
        <v/>
      </c>
      <c r="B1098" s="1324" t="str">
        <f>IF(LEN('11.700'!H225)=0,"",'11.700'!H225)</f>
        <v/>
      </c>
      <c r="C1098" s="1280" t="str">
        <f t="shared" si="57"/>
        <v/>
      </c>
      <c r="D1098" s="590"/>
      <c r="E1098" s="590"/>
      <c r="F1098" s="590"/>
      <c r="G1098" s="1687"/>
      <c r="H1098" s="1326"/>
      <c r="J1098" s="1312"/>
    </row>
    <row r="1099" spans="1:10" x14ac:dyDescent="0.2">
      <c r="A1099" s="467" t="str">
        <f t="shared" si="56"/>
        <v/>
      </c>
      <c r="B1099" s="1324" t="str">
        <f>IF(LEN('11.700'!H226)=0,"",'11.700'!H226)</f>
        <v/>
      </c>
      <c r="C1099" s="1280" t="str">
        <f t="shared" si="57"/>
        <v/>
      </c>
      <c r="D1099" s="590"/>
      <c r="E1099" s="590"/>
      <c r="F1099" s="590"/>
      <c r="G1099" s="1687"/>
      <c r="H1099" s="1326"/>
      <c r="J1099" s="1312"/>
    </row>
    <row r="1100" spans="1:10" x14ac:dyDescent="0.2">
      <c r="A1100" s="467" t="str">
        <f t="shared" si="56"/>
        <v/>
      </c>
      <c r="B1100" s="1324" t="str">
        <f>IF(LEN('11.700'!H227)=0,"",'11.700'!H227)</f>
        <v/>
      </c>
      <c r="C1100" s="1280" t="str">
        <f t="shared" si="57"/>
        <v/>
      </c>
      <c r="D1100" s="590"/>
      <c r="E1100" s="590"/>
      <c r="F1100" s="590"/>
      <c r="G1100" s="1687"/>
      <c r="H1100" s="1326"/>
      <c r="J1100" s="1312"/>
    </row>
    <row r="1101" spans="1:10" x14ac:dyDescent="0.2">
      <c r="A1101" s="467" t="str">
        <f t="shared" si="56"/>
        <v/>
      </c>
      <c r="B1101" s="1324" t="str">
        <f>IF(LEN('11.700'!H228)=0,"",'11.700'!H228)</f>
        <v/>
      </c>
      <c r="C1101" s="1280" t="str">
        <f t="shared" si="57"/>
        <v/>
      </c>
      <c r="D1101" s="590"/>
      <c r="E1101" s="590"/>
      <c r="F1101" s="590"/>
      <c r="G1101" s="1687"/>
      <c r="H1101" s="1326"/>
      <c r="J1101" s="1312"/>
    </row>
    <row r="1102" spans="1:10" x14ac:dyDescent="0.2">
      <c r="A1102" s="467" t="str">
        <f t="shared" si="56"/>
        <v/>
      </c>
      <c r="B1102" s="1324" t="str">
        <f>IF(LEN('11.700'!H229)=0,"",'11.700'!H229)</f>
        <v/>
      </c>
      <c r="C1102" s="1280" t="str">
        <f t="shared" si="57"/>
        <v/>
      </c>
      <c r="D1102" s="590"/>
      <c r="E1102" s="590"/>
      <c r="F1102" s="590"/>
      <c r="G1102" s="1687"/>
      <c r="H1102" s="1326"/>
      <c r="J1102" s="1312"/>
    </row>
    <row r="1103" spans="1:10" ht="16" thickBot="1" x14ac:dyDescent="0.25">
      <c r="A1103" s="467" t="str">
        <f t="shared" si="56"/>
        <v/>
      </c>
      <c r="B1103" s="1324" t="str">
        <f>IF(LEN('11.700'!H230)=0,"",'11.700'!H230)</f>
        <v/>
      </c>
      <c r="C1103" s="1280" t="str">
        <f t="shared" si="57"/>
        <v/>
      </c>
      <c r="D1103" s="594"/>
      <c r="E1103" s="594"/>
      <c r="F1103" s="594"/>
      <c r="G1103" s="1738"/>
      <c r="H1103" s="1326"/>
      <c r="J1103" s="1312"/>
    </row>
    <row r="1104" spans="1:10" ht="16" thickTop="1" x14ac:dyDescent="0.2">
      <c r="A1104" s="1503" t="str">
        <f ca="1">IF(COUNTIF(A1118:A1182,"P")&gt;0,"P","")</f>
        <v/>
      </c>
      <c r="B1104" s="1324" t="str">
        <f>IF(LEN('11.700'!H231)=0,"",'11.700'!H231)</f>
        <v/>
      </c>
      <c r="C1104" s="1280" t="str">
        <f t="shared" ca="1" si="57"/>
        <v/>
      </c>
      <c r="D1104" s="589" t="s">
        <v>4096</v>
      </c>
      <c r="E1104" s="589"/>
      <c r="F1104" s="589"/>
      <c r="G1104" s="1301" t="s">
        <v>4097</v>
      </c>
      <c r="H1104" s="1326"/>
      <c r="J1104" s="1312" t="s">
        <v>5175</v>
      </c>
    </row>
    <row r="1105" spans="1:10" x14ac:dyDescent="0.2">
      <c r="B1105" s="1324" t="str">
        <f>IF(LEN('11.700'!H232)=0,"",'11.700'!H232)</f>
        <v/>
      </c>
      <c r="C1105" s="1280" t="str">
        <f t="shared" si="57"/>
        <v/>
      </c>
      <c r="D1105" s="589" t="s">
        <v>4098</v>
      </c>
      <c r="E1105" s="589"/>
      <c r="F1105" s="589"/>
      <c r="G1105" s="1687" t="s">
        <v>4099</v>
      </c>
      <c r="H1105" s="1326"/>
      <c r="J1105" s="1312"/>
    </row>
    <row r="1106" spans="1:10" x14ac:dyDescent="0.2">
      <c r="B1106" s="1324" t="str">
        <f>IF(LEN('11.700'!H233)=0,"",'11.700'!H233)</f>
        <v/>
      </c>
      <c r="C1106" s="1280" t="str">
        <f t="shared" si="57"/>
        <v/>
      </c>
      <c r="D1106" s="589"/>
      <c r="E1106" s="589"/>
      <c r="F1106" s="589"/>
      <c r="G1106" s="1687"/>
      <c r="H1106" s="1341" t="str">
        <f>IF(LEN('11.700'!W233)=0,"",'11.700'!W233)</f>
        <v/>
      </c>
      <c r="J1106" s="1312"/>
    </row>
    <row r="1107" spans="1:10" x14ac:dyDescent="0.2">
      <c r="B1107" s="1324" t="str">
        <f>IF(LEN('11.700'!H234)=0,"",'11.700'!H234)</f>
        <v/>
      </c>
      <c r="C1107" s="1280" t="str">
        <f t="shared" si="57"/>
        <v/>
      </c>
      <c r="D1107" s="589"/>
      <c r="E1107" s="589"/>
      <c r="F1107" s="589"/>
      <c r="G1107" s="1687"/>
      <c r="H1107" s="1326"/>
      <c r="J1107" s="1312"/>
    </row>
    <row r="1108" spans="1:10" x14ac:dyDescent="0.2">
      <c r="B1108" s="1324" t="str">
        <f>IF(LEN('11.700'!H235)=0,"",'11.700'!H235)</f>
        <v/>
      </c>
      <c r="C1108" s="1280" t="str">
        <f t="shared" si="57"/>
        <v/>
      </c>
      <c r="D1108" s="589"/>
      <c r="E1108" s="589"/>
      <c r="F1108" s="589"/>
      <c r="G1108" s="1687"/>
      <c r="H1108" s="1326"/>
      <c r="J1108" s="1312"/>
    </row>
    <row r="1109" spans="1:10" x14ac:dyDescent="0.2">
      <c r="B1109" s="1324" t="str">
        <f>IF(LEN('11.700'!H236)=0,"",'11.700'!H236)</f>
        <v/>
      </c>
      <c r="C1109" s="1280" t="str">
        <f t="shared" si="57"/>
        <v/>
      </c>
      <c r="D1109" s="589"/>
      <c r="E1109" s="589"/>
      <c r="F1109" s="589"/>
      <c r="G1109" s="1687"/>
      <c r="H1109" s="1326"/>
      <c r="J1109" s="1312"/>
    </row>
    <row r="1110" spans="1:10" x14ac:dyDescent="0.2">
      <c r="B1110" s="1324" t="str">
        <f>IF(LEN('11.700'!H237)=0,"",'11.700'!H237)</f>
        <v/>
      </c>
      <c r="C1110" s="1280" t="str">
        <f t="shared" si="57"/>
        <v/>
      </c>
      <c r="D1110" s="589"/>
      <c r="E1110" s="589"/>
      <c r="F1110" s="589"/>
      <c r="G1110" s="1687"/>
      <c r="H1110" s="1326"/>
      <c r="J1110" s="1312"/>
    </row>
    <row r="1111" spans="1:10" x14ac:dyDescent="0.2">
      <c r="B1111" s="1324" t="str">
        <f>IF(LEN('11.700'!H238)=0,"",'11.700'!H238)</f>
        <v/>
      </c>
      <c r="C1111" s="1280" t="str">
        <f t="shared" si="57"/>
        <v/>
      </c>
      <c r="D1111" s="589"/>
      <c r="E1111" s="589"/>
      <c r="F1111" s="589"/>
      <c r="G1111" s="1687"/>
      <c r="H1111" s="1326"/>
      <c r="J1111" s="1312"/>
    </row>
    <row r="1112" spans="1:10" x14ac:dyDescent="0.2">
      <c r="B1112" s="1324" t="str">
        <f>IF(LEN('11.700'!H239)=0,"",'11.700'!H239)</f>
        <v/>
      </c>
      <c r="C1112" s="1280" t="str">
        <f t="shared" si="57"/>
        <v/>
      </c>
      <c r="D1112" s="589"/>
      <c r="E1112" s="589"/>
      <c r="F1112" s="589"/>
      <c r="G1112" s="1687"/>
      <c r="H1112" s="1341" t="str">
        <f>IF(LEN('11.700'!W239)=0,"",'11.700'!W239)</f>
        <v/>
      </c>
      <c r="J1112" s="1312"/>
    </row>
    <row r="1113" spans="1:10" ht="15" customHeight="1" x14ac:dyDescent="0.2">
      <c r="B1113" s="1324" t="str">
        <f>IF(LEN('11.700'!H240)=0,"",'11.700'!H240)</f>
        <v/>
      </c>
      <c r="C1113" s="1280" t="str">
        <f t="shared" si="57"/>
        <v/>
      </c>
      <c r="D1113" s="589"/>
      <c r="E1113" s="589"/>
      <c r="F1113" s="589"/>
      <c r="G1113" s="1290" t="s">
        <v>4100</v>
      </c>
      <c r="H1113" s="1326"/>
      <c r="J1113" s="1312"/>
    </row>
    <row r="1114" spans="1:10" x14ac:dyDescent="0.2">
      <c r="B1114" s="1324" t="str">
        <f>IF(LEN('11.700'!H241)=0,"",'11.700'!H241)</f>
        <v/>
      </c>
      <c r="C1114" s="1280" t="str">
        <f t="shared" si="57"/>
        <v/>
      </c>
      <c r="D1114" s="589"/>
      <c r="E1114" s="589"/>
      <c r="F1114" s="589"/>
      <c r="G1114" s="1305" t="s">
        <v>4101</v>
      </c>
      <c r="H1114" s="1326"/>
      <c r="J1114" s="1312"/>
    </row>
    <row r="1115" spans="1:10" x14ac:dyDescent="0.2">
      <c r="B1115" s="1324" t="str">
        <f>IF(LEN('11.700'!H242)=0,"",'11.700'!H242)</f>
        <v/>
      </c>
      <c r="C1115" s="1280" t="str">
        <f t="shared" si="57"/>
        <v/>
      </c>
      <c r="D1115" s="589"/>
      <c r="E1115" s="589"/>
      <c r="F1115" s="589"/>
      <c r="G1115" s="1290" t="s">
        <v>4102</v>
      </c>
      <c r="H1115" s="1326"/>
      <c r="J1115" s="1312"/>
    </row>
    <row r="1116" spans="1:10" x14ac:dyDescent="0.2">
      <c r="B1116" s="1324" t="str">
        <f>IF(LEN('11.700'!H243)=0,"",'11.700'!H243)</f>
        <v/>
      </c>
      <c r="C1116" s="1280" t="str">
        <f t="shared" si="57"/>
        <v/>
      </c>
      <c r="D1116" s="589"/>
      <c r="E1116" s="589"/>
      <c r="F1116" s="589"/>
      <c r="G1116" s="1290" t="s">
        <v>4103</v>
      </c>
      <c r="H1116" s="1326"/>
      <c r="J1116" s="1312"/>
    </row>
    <row r="1117" spans="1:10" x14ac:dyDescent="0.2">
      <c r="B1117" s="1324" t="str">
        <f>IF(LEN('11.700'!H244)=0,"",'11.700'!H244)</f>
        <v/>
      </c>
      <c r="C1117" s="1280" t="str">
        <f t="shared" si="57"/>
        <v/>
      </c>
      <c r="D1117" s="606"/>
      <c r="E1117" s="606"/>
      <c r="F1117" s="606"/>
      <c r="G1117" s="1310" t="s">
        <v>4104</v>
      </c>
      <c r="H1117" s="1326"/>
      <c r="J1117" s="1312"/>
    </row>
    <row r="1118" spans="1:10" x14ac:dyDescent="0.2">
      <c r="A1118" s="467" t="str">
        <f ca="1">IF(I1118&gt;0,"P","")</f>
        <v/>
      </c>
      <c r="B1118" s="1324" t="str">
        <f>IF(LEN('11.700'!H245)=0,"",'11.700'!H245)</f>
        <v/>
      </c>
      <c r="C1118" s="1280" t="str">
        <f t="shared" ca="1" si="57"/>
        <v/>
      </c>
      <c r="D1118" s="608" t="s">
        <v>4105</v>
      </c>
      <c r="E1118" s="608"/>
      <c r="F1118" s="608"/>
      <c r="G1118" s="1686" t="s">
        <v>4106</v>
      </c>
      <c r="H1118" s="1341" t="str">
        <f>IF(LEN('11.700'!W245)=0,"",'11.700'!W245)</f>
        <v/>
      </c>
      <c r="I1118" s="88">
        <f ca="1">'11.700'!O245</f>
        <v>0</v>
      </c>
      <c r="J1118" s="1779" t="s">
        <v>5184</v>
      </c>
    </row>
    <row r="1119" spans="1:10" x14ac:dyDescent="0.2">
      <c r="A1119" s="467" t="str">
        <f t="shared" ref="A1119:A1122" ca="1" si="58">A1118</f>
        <v/>
      </c>
      <c r="B1119" s="1324" t="str">
        <f>IF(LEN('11.700'!H246)=0,"",'11.700'!H246)</f>
        <v/>
      </c>
      <c r="C1119" s="1280" t="str">
        <f t="shared" ca="1" si="57"/>
        <v/>
      </c>
      <c r="D1119" s="590"/>
      <c r="E1119" s="590"/>
      <c r="F1119" s="590"/>
      <c r="G1119" s="1687"/>
      <c r="H1119" s="1326"/>
      <c r="J1119" s="1779"/>
    </row>
    <row r="1120" spans="1:10" x14ac:dyDescent="0.2">
      <c r="A1120" s="467" t="str">
        <f t="shared" ca="1" si="58"/>
        <v/>
      </c>
      <c r="B1120" s="1324" t="str">
        <f>IF(LEN('11.700'!H247)=0,"",'11.700'!H247)</f>
        <v/>
      </c>
      <c r="C1120" s="1280" t="str">
        <f t="shared" ca="1" si="57"/>
        <v/>
      </c>
      <c r="D1120" s="590"/>
      <c r="E1120" s="590"/>
      <c r="F1120" s="590"/>
      <c r="G1120" s="1687"/>
      <c r="H1120" s="1326"/>
      <c r="J1120" s="1312"/>
    </row>
    <row r="1121" spans="1:10" x14ac:dyDescent="0.2">
      <c r="A1121" s="467" t="str">
        <f t="shared" ca="1" si="58"/>
        <v/>
      </c>
      <c r="B1121" s="1324" t="str">
        <f>IF(LEN('11.700'!H248)=0,"",'11.700'!H248)</f>
        <v/>
      </c>
      <c r="C1121" s="1280" t="str">
        <f t="shared" ca="1" si="57"/>
        <v/>
      </c>
      <c r="D1121" s="590"/>
      <c r="E1121" s="590"/>
      <c r="F1121" s="590"/>
      <c r="G1121" s="1687"/>
      <c r="H1121" s="1326"/>
      <c r="J1121" s="1312"/>
    </row>
    <row r="1122" spans="1:10" x14ac:dyDescent="0.2">
      <c r="A1122" s="467" t="str">
        <f t="shared" ca="1" si="58"/>
        <v/>
      </c>
      <c r="B1122" s="1324" t="str">
        <f>IF(LEN('11.700'!H249)=0,"",'11.700'!H249)</f>
        <v/>
      </c>
      <c r="C1122" s="1280" t="str">
        <f t="shared" ca="1" si="57"/>
        <v/>
      </c>
      <c r="D1122" s="606"/>
      <c r="E1122" s="606"/>
      <c r="F1122" s="606"/>
      <c r="G1122" s="1688"/>
      <c r="H1122" s="1326"/>
      <c r="J1122" s="1312"/>
    </row>
    <row r="1123" spans="1:10" x14ac:dyDescent="0.2">
      <c r="A1123" s="467" t="str">
        <f ca="1">IF(I1123&gt;0,"P","")</f>
        <v/>
      </c>
      <c r="B1123" s="1324" t="str">
        <f>IF(LEN('11.700'!H250)=0,"",'11.700'!H250)</f>
        <v/>
      </c>
      <c r="C1123" s="1280" t="str">
        <f t="shared" ca="1" si="57"/>
        <v/>
      </c>
      <c r="D1123" s="589" t="s">
        <v>4107</v>
      </c>
      <c r="E1123" s="589"/>
      <c r="F1123" s="589"/>
      <c r="G1123" s="1301" t="s">
        <v>4108</v>
      </c>
      <c r="H1123" s="1326"/>
      <c r="I1123" s="1397">
        <f ca="1">SUM(I1124:I1138)</f>
        <v>0</v>
      </c>
      <c r="J1123" s="1312" t="s">
        <v>5185</v>
      </c>
    </row>
    <row r="1124" spans="1:10" x14ac:dyDescent="0.2">
      <c r="B1124" s="1324" t="str">
        <f>IF(LEN('11.700'!H251)=0,"",'11.700'!H251)</f>
        <v/>
      </c>
      <c r="C1124" s="1280" t="str">
        <f t="shared" si="57"/>
        <v/>
      </c>
      <c r="D1124" s="589"/>
      <c r="E1124" s="589" t="s">
        <v>254</v>
      </c>
      <c r="F1124" s="589"/>
      <c r="G1124" s="1290" t="s">
        <v>4405</v>
      </c>
      <c r="H1124" s="1326"/>
      <c r="I1124" s="88">
        <f ca="1">'11.700'!O251</f>
        <v>0</v>
      </c>
      <c r="J1124" s="1312"/>
    </row>
    <row r="1125" spans="1:10" x14ac:dyDescent="0.2">
      <c r="B1125" s="1324" t="str">
        <f>IF(LEN('11.700'!H252)=0,"",'11.700'!H252)</f>
        <v/>
      </c>
      <c r="C1125" s="1280" t="str">
        <f t="shared" si="57"/>
        <v/>
      </c>
      <c r="D1125" s="589"/>
      <c r="E1125" s="589"/>
      <c r="F1125" s="589"/>
      <c r="G1125" s="1290" t="s">
        <v>4109</v>
      </c>
      <c r="H1125" s="1341" t="str">
        <f>IF(LEN('11.700'!W252)=0,"",'11.700'!W252)</f>
        <v/>
      </c>
      <c r="J1125" s="1312"/>
    </row>
    <row r="1126" spans="1:10" x14ac:dyDescent="0.2">
      <c r="B1126" s="1324" t="str">
        <f>IF(LEN('11.700'!H253)=0,"",'11.700'!H253)</f>
        <v/>
      </c>
      <c r="C1126" s="1280" t="str">
        <f t="shared" si="57"/>
        <v/>
      </c>
      <c r="D1126" s="589"/>
      <c r="E1126" s="589"/>
      <c r="F1126" s="589"/>
      <c r="G1126" s="1290" t="s">
        <v>4110</v>
      </c>
      <c r="H1126" s="1326"/>
      <c r="J1126" s="1312"/>
    </row>
    <row r="1127" spans="1:10" x14ac:dyDescent="0.2">
      <c r="B1127" s="1324" t="str">
        <f>IF(LEN('11.700'!H254)=0,"",'11.700'!H254)</f>
        <v/>
      </c>
      <c r="C1127" s="1280" t="str">
        <f t="shared" si="57"/>
        <v/>
      </c>
      <c r="D1127" s="589"/>
      <c r="E1127" s="589"/>
      <c r="F1127" s="589"/>
      <c r="G1127" s="1290" t="s">
        <v>4111</v>
      </c>
      <c r="H1127" s="1326"/>
      <c r="J1127" s="1312"/>
    </row>
    <row r="1128" spans="1:10" x14ac:dyDescent="0.2">
      <c r="B1128" s="1324" t="str">
        <f>IF(LEN('11.700'!H255)=0,"",'11.700'!H255)</f>
        <v/>
      </c>
      <c r="C1128" s="1280" t="str">
        <f t="shared" si="57"/>
        <v/>
      </c>
      <c r="D1128" s="589"/>
      <c r="E1128" s="589"/>
      <c r="F1128" s="589"/>
      <c r="G1128" s="1290" t="s">
        <v>4112</v>
      </c>
      <c r="H1128" s="1326"/>
      <c r="J1128" s="1312"/>
    </row>
    <row r="1129" spans="1:10" x14ac:dyDescent="0.2">
      <c r="B1129" s="1324" t="str">
        <f>IF(LEN('11.700'!H256)=0,"",'11.700'!H256)</f>
        <v/>
      </c>
      <c r="C1129" s="1280" t="str">
        <f t="shared" si="57"/>
        <v/>
      </c>
      <c r="D1129" s="589"/>
      <c r="E1129" s="606"/>
      <c r="F1129" s="606"/>
      <c r="G1129" s="1291" t="s">
        <v>4113</v>
      </c>
      <c r="H1129" s="1326"/>
      <c r="J1129" s="1312"/>
    </row>
    <row r="1130" spans="1:10" x14ac:dyDescent="0.2">
      <c r="B1130" s="1324" t="str">
        <f>IF(LEN('11.700'!H257)=0,"",'11.700'!H257)</f>
        <v/>
      </c>
      <c r="C1130" s="1280" t="str">
        <f t="shared" si="57"/>
        <v/>
      </c>
      <c r="D1130" s="589"/>
      <c r="E1130" s="589" t="s">
        <v>255</v>
      </c>
      <c r="F1130" s="589"/>
      <c r="G1130" s="1290" t="s">
        <v>4406</v>
      </c>
      <c r="H1130" s="1326"/>
      <c r="I1130" s="88">
        <f ca="1">'11.700'!O257</f>
        <v>0</v>
      </c>
      <c r="J1130" s="1312"/>
    </row>
    <row r="1131" spans="1:10" x14ac:dyDescent="0.2">
      <c r="B1131" s="1324" t="str">
        <f>IF(LEN('11.700'!H258)=0,"",'11.700'!H258)</f>
        <v/>
      </c>
      <c r="C1131" s="1280" t="str">
        <f t="shared" si="57"/>
        <v/>
      </c>
      <c r="D1131" s="589"/>
      <c r="E1131" s="589"/>
      <c r="F1131" s="589"/>
      <c r="G1131" s="1290" t="s">
        <v>4114</v>
      </c>
      <c r="H1131" s="1341" t="str">
        <f>IF(LEN('11.700'!W258)=0,"",'11.700'!W258)</f>
        <v/>
      </c>
      <c r="J1131" s="1312"/>
    </row>
    <row r="1132" spans="1:10" x14ac:dyDescent="0.2">
      <c r="B1132" s="1324" t="str">
        <f>IF(LEN('11.700'!H259)=0,"",'11.700'!H259)</f>
        <v/>
      </c>
      <c r="C1132" s="1280" t="str">
        <f t="shared" si="57"/>
        <v/>
      </c>
      <c r="D1132" s="589"/>
      <c r="E1132" s="606"/>
      <c r="F1132" s="606"/>
      <c r="G1132" s="1291" t="s">
        <v>4109</v>
      </c>
      <c r="H1132" s="1326"/>
      <c r="J1132" s="1312"/>
    </row>
    <row r="1133" spans="1:10" x14ac:dyDescent="0.2">
      <c r="B1133" s="1324" t="str">
        <f>IF(LEN('11.700'!H260)=0,"",'11.700'!H260)</f>
        <v/>
      </c>
      <c r="C1133" s="1280" t="str">
        <f t="shared" si="57"/>
        <v/>
      </c>
      <c r="D1133" s="589"/>
      <c r="E1133" s="589" t="s">
        <v>256</v>
      </c>
      <c r="F1133" s="589"/>
      <c r="G1133" s="1290" t="s">
        <v>4407</v>
      </c>
      <c r="H1133" s="1326"/>
      <c r="I1133" s="88">
        <f ca="1">'11.700'!O260</f>
        <v>0</v>
      </c>
      <c r="J1133" s="1312"/>
    </row>
    <row r="1134" spans="1:10" x14ac:dyDescent="0.2">
      <c r="B1134" s="1324" t="str">
        <f>IF(LEN('11.700'!H261)=0,"",'11.700'!H261)</f>
        <v/>
      </c>
      <c r="C1134" s="1280" t="str">
        <f t="shared" si="57"/>
        <v/>
      </c>
      <c r="D1134" s="589"/>
      <c r="E1134" s="589"/>
      <c r="F1134" s="589"/>
      <c r="G1134" s="1290" t="s">
        <v>4114</v>
      </c>
      <c r="H1134" s="1341" t="str">
        <f>IF(LEN('11.700'!W261)=0,"",'11.700'!W261)</f>
        <v/>
      </c>
      <c r="J1134" s="1312"/>
    </row>
    <row r="1135" spans="1:10" x14ac:dyDescent="0.2">
      <c r="B1135" s="1324" t="str">
        <f>IF(LEN('11.700'!H262)=0,"",'11.700'!H262)</f>
        <v/>
      </c>
      <c r="C1135" s="1280" t="str">
        <f t="shared" si="57"/>
        <v/>
      </c>
      <c r="D1135" s="589"/>
      <c r="E1135" s="589"/>
      <c r="F1135" s="589"/>
      <c r="G1135" s="1290" t="s">
        <v>4109</v>
      </c>
      <c r="H1135" s="1326"/>
      <c r="J1135" s="1312"/>
    </row>
    <row r="1136" spans="1:10" x14ac:dyDescent="0.2">
      <c r="B1136" s="1324" t="str">
        <f>IF(LEN('11.700'!H263)=0,"",'11.700'!H263)</f>
        <v/>
      </c>
      <c r="C1136" s="1280" t="str">
        <f t="shared" si="57"/>
        <v/>
      </c>
      <c r="D1136" s="589"/>
      <c r="E1136" s="589"/>
      <c r="F1136" s="589"/>
      <c r="G1136" s="1290" t="s">
        <v>4111</v>
      </c>
      <c r="H1136" s="1326"/>
      <c r="J1136" s="1312"/>
    </row>
    <row r="1137" spans="1:10" x14ac:dyDescent="0.2">
      <c r="B1137" s="1324" t="str">
        <f>IF(LEN('11.700'!H264)=0,"",'11.700'!H264)</f>
        <v/>
      </c>
      <c r="C1137" s="1280" t="str">
        <f t="shared" si="57"/>
        <v/>
      </c>
      <c r="D1137" s="589"/>
      <c r="E1137" s="606"/>
      <c r="F1137" s="606"/>
      <c r="G1137" s="1291" t="s">
        <v>4112</v>
      </c>
      <c r="H1137" s="1326"/>
      <c r="J1137" s="1312"/>
    </row>
    <row r="1138" spans="1:10" x14ac:dyDescent="0.2">
      <c r="B1138" s="1324" t="str">
        <f>IF(LEN('11.700'!H265)=0,"",'11.700'!H265)</f>
        <v/>
      </c>
      <c r="C1138" s="1280" t="str">
        <f t="shared" si="57"/>
        <v/>
      </c>
      <c r="D1138" s="589"/>
      <c r="E1138" s="589" t="s">
        <v>259</v>
      </c>
      <c r="F1138" s="589"/>
      <c r="G1138" s="1290" t="s">
        <v>4408</v>
      </c>
      <c r="H1138" s="1326"/>
      <c r="I1138" s="88">
        <f ca="1">'11.700'!O265</f>
        <v>0</v>
      </c>
      <c r="J1138" s="1312"/>
    </row>
    <row r="1139" spans="1:10" x14ac:dyDescent="0.2">
      <c r="B1139" s="1324" t="str">
        <f>IF(LEN('11.700'!H266)=0,"",'11.700'!H266)</f>
        <v/>
      </c>
      <c r="C1139" s="1280" t="str">
        <f t="shared" si="57"/>
        <v/>
      </c>
      <c r="D1139" s="589"/>
      <c r="E1139" s="589"/>
      <c r="F1139" s="589"/>
      <c r="G1139" s="1290" t="s">
        <v>4114</v>
      </c>
      <c r="H1139" s="1341" t="str">
        <f>IF(LEN('11.700'!W266)=0,"",'11.700'!W266)</f>
        <v/>
      </c>
      <c r="J1139" s="1312"/>
    </row>
    <row r="1140" spans="1:10" x14ac:dyDescent="0.2">
      <c r="B1140" s="1324" t="str">
        <f>IF(LEN('11.700'!H267)=0,"",'11.700'!H267)</f>
        <v/>
      </c>
      <c r="C1140" s="1280" t="str">
        <f t="shared" si="57"/>
        <v/>
      </c>
      <c r="D1140" s="606"/>
      <c r="E1140" s="606"/>
      <c r="F1140" s="606"/>
      <c r="G1140" s="1291" t="s">
        <v>4109</v>
      </c>
      <c r="H1140" s="1326"/>
      <c r="J1140" s="1312"/>
    </row>
    <row r="1141" spans="1:10" x14ac:dyDescent="0.2">
      <c r="A1141" s="467" t="str">
        <f ca="1">IF(I1141&gt;0,"P","")</f>
        <v/>
      </c>
      <c r="B1141" s="1324" t="str">
        <f>IF(LEN('11.700'!H268)=0,"",'11.700'!H268)</f>
        <v/>
      </c>
      <c r="C1141" s="1280" t="str">
        <f t="shared" ca="1" si="57"/>
        <v/>
      </c>
      <c r="D1141" s="589" t="s">
        <v>4115</v>
      </c>
      <c r="E1141" s="589"/>
      <c r="F1141" s="589"/>
      <c r="G1141" s="1687" t="s">
        <v>4116</v>
      </c>
      <c r="H1141" s="1326"/>
      <c r="I1141" s="1397">
        <f ca="1">SUM(I1144:I1152)</f>
        <v>0</v>
      </c>
      <c r="J1141" s="1312" t="s">
        <v>5185</v>
      </c>
    </row>
    <row r="1142" spans="1:10" x14ac:dyDescent="0.2">
      <c r="A1142" s="467" t="str">
        <f t="shared" ref="A1142:A1143" ca="1" si="59">A1141</f>
        <v/>
      </c>
      <c r="B1142" s="1324" t="str">
        <f>IF(LEN('11.700'!H269)=0,"",'11.700'!H269)</f>
        <v/>
      </c>
      <c r="C1142" s="1280" t="str">
        <f t="shared" ca="1" si="57"/>
        <v/>
      </c>
      <c r="D1142" s="589"/>
      <c r="E1142" s="589"/>
      <c r="F1142" s="589"/>
      <c r="G1142" s="1687"/>
      <c r="H1142" s="1326"/>
      <c r="J1142" s="1312"/>
    </row>
    <row r="1143" spans="1:10" x14ac:dyDescent="0.2">
      <c r="A1143" s="467" t="str">
        <f t="shared" ca="1" si="59"/>
        <v/>
      </c>
      <c r="B1143" s="1324" t="str">
        <f>IF(LEN('11.700'!H270)=0,"",'11.700'!H270)</f>
        <v/>
      </c>
      <c r="C1143" s="1280" t="str">
        <f t="shared" ca="1" si="57"/>
        <v/>
      </c>
      <c r="D1143" s="589"/>
      <c r="E1143" s="589"/>
      <c r="F1143" s="589"/>
      <c r="G1143" s="1687"/>
      <c r="H1143" s="1326"/>
      <c r="J1143" s="1312"/>
    </row>
    <row r="1144" spans="1:10" x14ac:dyDescent="0.2">
      <c r="B1144" s="1324" t="str">
        <f>IF(LEN('11.700'!H271)=0,"",'11.700'!H271)</f>
        <v/>
      </c>
      <c r="C1144" s="1280" t="str">
        <f t="shared" si="57"/>
        <v/>
      </c>
      <c r="D1144" s="589"/>
      <c r="E1144" s="589" t="s">
        <v>254</v>
      </c>
      <c r="F1144" s="589"/>
      <c r="G1144" s="1290" t="s">
        <v>4117</v>
      </c>
      <c r="H1144" s="1326"/>
      <c r="I1144" s="88">
        <f ca="1">'11.700'!O271</f>
        <v>0</v>
      </c>
      <c r="J1144" s="1312"/>
    </row>
    <row r="1145" spans="1:10" x14ac:dyDescent="0.2">
      <c r="B1145" s="1324" t="str">
        <f>IF(LEN('11.700'!H272)=0,"",'11.700'!H272)</f>
        <v/>
      </c>
      <c r="C1145" s="1280" t="str">
        <f t="shared" si="57"/>
        <v/>
      </c>
      <c r="D1145" s="589"/>
      <c r="E1145" s="589"/>
      <c r="F1145" s="589"/>
      <c r="G1145" s="1290" t="s">
        <v>4118</v>
      </c>
      <c r="H1145" s="1341" t="str">
        <f>IF(LEN('11.700'!W272)=0,"",'11.700'!W272)</f>
        <v/>
      </c>
      <c r="J1145" s="1312"/>
    </row>
    <row r="1146" spans="1:10" x14ac:dyDescent="0.2">
      <c r="B1146" s="1324" t="str">
        <f>IF(LEN('11.700'!H273)=0,"",'11.700'!H273)</f>
        <v/>
      </c>
      <c r="C1146" s="1280" t="str">
        <f t="shared" si="57"/>
        <v/>
      </c>
      <c r="D1146" s="589"/>
      <c r="E1146" s="589"/>
      <c r="F1146" s="589"/>
      <c r="G1146" s="1290" t="s">
        <v>4119</v>
      </c>
      <c r="H1146" s="1326"/>
      <c r="J1146" s="1312"/>
    </row>
    <row r="1147" spans="1:10" x14ac:dyDescent="0.2">
      <c r="B1147" s="1324" t="str">
        <f>IF(LEN('11.700'!H274)=0,"",'11.700'!H274)</f>
        <v/>
      </c>
      <c r="C1147" s="1280" t="str">
        <f t="shared" si="57"/>
        <v/>
      </c>
      <c r="D1147" s="589"/>
      <c r="E1147" s="589"/>
      <c r="F1147" s="589"/>
      <c r="G1147" s="1290" t="s">
        <v>4120</v>
      </c>
      <c r="H1147" s="1326"/>
      <c r="J1147" s="1312"/>
    </row>
    <row r="1148" spans="1:10" x14ac:dyDescent="0.2">
      <c r="B1148" s="1324" t="str">
        <f>IF(LEN('11.700'!H275)=0,"",'11.700'!H275)</f>
        <v/>
      </c>
      <c r="C1148" s="1280" t="str">
        <f t="shared" si="57"/>
        <v/>
      </c>
      <c r="D1148" s="589"/>
      <c r="E1148" s="590"/>
      <c r="F1148" s="590"/>
      <c r="G1148" s="1290" t="s">
        <v>4121</v>
      </c>
      <c r="H1148" s="1326"/>
      <c r="J1148" s="1312"/>
    </row>
    <row r="1149" spans="1:10" x14ac:dyDescent="0.2">
      <c r="B1149" s="1324" t="str">
        <f>IF(LEN('11.700'!H276)=0,"",'11.700'!H276)</f>
        <v/>
      </c>
      <c r="C1149" s="1280" t="str">
        <f t="shared" si="57"/>
        <v/>
      </c>
      <c r="D1149" s="589"/>
      <c r="E1149" s="606"/>
      <c r="F1149" s="606"/>
      <c r="G1149" s="1291" t="s">
        <v>4122</v>
      </c>
      <c r="H1149" s="1326"/>
      <c r="J1149" s="1312"/>
    </row>
    <row r="1150" spans="1:10" x14ac:dyDescent="0.2">
      <c r="B1150" s="1324" t="str">
        <f>IF(LEN('11.700'!H277)=0,"",'11.700'!H277)</f>
        <v/>
      </c>
      <c r="C1150" s="1280" t="str">
        <f t="shared" si="57"/>
        <v/>
      </c>
      <c r="D1150" s="589"/>
      <c r="E1150" s="590" t="s">
        <v>255</v>
      </c>
      <c r="F1150" s="590"/>
      <c r="G1150" s="1290" t="s">
        <v>4514</v>
      </c>
      <c r="H1150" s="1341" t="str">
        <f>IF(LEN('11.700'!W277)=0,"",'11.700'!W277)</f>
        <v/>
      </c>
      <c r="I1150" s="88">
        <f ca="1">'11.700'!O277</f>
        <v>0</v>
      </c>
      <c r="J1150" s="1312"/>
    </row>
    <row r="1151" spans="1:10" x14ac:dyDescent="0.2">
      <c r="B1151" s="1324" t="str">
        <f>IF(LEN('11.700'!H278)=0,"",'11.700'!H278)</f>
        <v/>
      </c>
      <c r="C1151" s="1280" t="str">
        <f t="shared" si="57"/>
        <v/>
      </c>
      <c r="D1151" s="589"/>
      <c r="E1151" s="606"/>
      <c r="F1151" s="606"/>
      <c r="G1151" s="1291"/>
      <c r="H1151" s="1326"/>
      <c r="J1151" s="1312"/>
    </row>
    <row r="1152" spans="1:10" x14ac:dyDescent="0.2">
      <c r="B1152" s="1324" t="str">
        <f>IF(LEN('11.700'!H279)=0,"",'11.700'!H279)</f>
        <v/>
      </c>
      <c r="C1152" s="1280" t="str">
        <f t="shared" si="57"/>
        <v/>
      </c>
      <c r="D1152" s="606"/>
      <c r="E1152" s="606" t="s">
        <v>256</v>
      </c>
      <c r="F1152" s="606"/>
      <c r="G1152" s="1291" t="s">
        <v>4123</v>
      </c>
      <c r="H1152" s="1341" t="str">
        <f>IF(LEN('11.700'!W279)=0,"",'11.700'!W279)</f>
        <v/>
      </c>
      <c r="I1152" s="88">
        <f ca="1">'11.700'!O279</f>
        <v>0</v>
      </c>
      <c r="J1152" s="1312"/>
    </row>
    <row r="1153" spans="1:10" x14ac:dyDescent="0.2">
      <c r="A1153" s="467" t="str">
        <f ca="1">IF(I1153&gt;0,"P","")</f>
        <v/>
      </c>
      <c r="B1153" s="1324" t="str">
        <f>IF(LEN('11.700'!H280)=0,"",'11.700'!H280)</f>
        <v/>
      </c>
      <c r="C1153" s="1280" t="str">
        <f t="shared" ca="1" si="57"/>
        <v/>
      </c>
      <c r="D1153" s="589" t="s">
        <v>4124</v>
      </c>
      <c r="E1153" s="589"/>
      <c r="F1153" s="589"/>
      <c r="G1153" s="1687" t="s">
        <v>4125</v>
      </c>
      <c r="H1153" s="1326"/>
      <c r="I1153" s="1397">
        <f ca="1">SUM(I1156:I1164)</f>
        <v>0</v>
      </c>
      <c r="J1153" s="1312" t="s">
        <v>5185</v>
      </c>
    </row>
    <row r="1154" spans="1:10" x14ac:dyDescent="0.2">
      <c r="A1154" s="467" t="str">
        <f t="shared" ref="A1154:A1155" ca="1" si="60">A1153</f>
        <v/>
      </c>
      <c r="B1154" s="1324" t="str">
        <f>IF(LEN('11.700'!H281)=0,"",'11.700'!H281)</f>
        <v/>
      </c>
      <c r="C1154" s="1280" t="str">
        <f t="shared" ca="1" si="57"/>
        <v/>
      </c>
      <c r="D1154" s="589"/>
      <c r="E1154" s="589"/>
      <c r="F1154" s="589"/>
      <c r="G1154" s="1687"/>
      <c r="H1154" s="1326"/>
      <c r="J1154" s="1312"/>
    </row>
    <row r="1155" spans="1:10" x14ac:dyDescent="0.2">
      <c r="A1155" s="467" t="str">
        <f t="shared" ca="1" si="60"/>
        <v/>
      </c>
      <c r="B1155" s="1324" t="str">
        <f>IF(LEN('11.700'!H282)=0,"",'11.700'!H282)</f>
        <v/>
      </c>
      <c r="C1155" s="1280" t="str">
        <f t="shared" ca="1" si="57"/>
        <v/>
      </c>
      <c r="D1155" s="589"/>
      <c r="E1155" s="589"/>
      <c r="F1155" s="589"/>
      <c r="G1155" s="1687"/>
      <c r="H1155" s="1326"/>
      <c r="J1155" s="1312"/>
    </row>
    <row r="1156" spans="1:10" x14ac:dyDescent="0.2">
      <c r="B1156" s="1324" t="str">
        <f>IF(LEN('11.700'!H283)=0,"",'11.700'!H283)</f>
        <v/>
      </c>
      <c r="C1156" s="1280" t="str">
        <f t="shared" si="57"/>
        <v/>
      </c>
      <c r="D1156" s="589"/>
      <c r="E1156" s="589" t="s">
        <v>254</v>
      </c>
      <c r="F1156" s="589"/>
      <c r="G1156" s="1290" t="s">
        <v>4126</v>
      </c>
      <c r="H1156" s="1326"/>
      <c r="I1156" s="88">
        <f ca="1">'11.700'!O283</f>
        <v>0</v>
      </c>
      <c r="J1156" s="1312"/>
    </row>
    <row r="1157" spans="1:10" x14ac:dyDescent="0.2">
      <c r="B1157" s="1324" t="str">
        <f>IF(LEN('11.700'!H284)=0,"",'11.700'!H284)</f>
        <v/>
      </c>
      <c r="C1157" s="1280" t="str">
        <f t="shared" si="57"/>
        <v/>
      </c>
      <c r="D1157" s="589"/>
      <c r="E1157" s="589"/>
      <c r="F1157" s="589"/>
      <c r="G1157" s="1290" t="s">
        <v>4127</v>
      </c>
      <c r="H1157" s="1341" t="str">
        <f>IF(LEN('11.700'!W284)=0,"",'11.700'!W284)</f>
        <v/>
      </c>
      <c r="J1157" s="1312"/>
    </row>
    <row r="1158" spans="1:10" x14ac:dyDescent="0.2">
      <c r="B1158" s="1324" t="str">
        <f>IF(LEN('11.700'!H285)=0,"",'11.700'!H285)</f>
        <v/>
      </c>
      <c r="C1158" s="1280" t="str">
        <f t="shared" si="57"/>
        <v/>
      </c>
      <c r="D1158" s="589"/>
      <c r="E1158" s="589"/>
      <c r="F1158" s="589"/>
      <c r="G1158" s="1290" t="s">
        <v>4128</v>
      </c>
      <c r="H1158" s="1326"/>
      <c r="J1158" s="1312"/>
    </row>
    <row r="1159" spans="1:10" x14ac:dyDescent="0.2">
      <c r="B1159" s="1324" t="str">
        <f>IF(LEN('11.700'!H286)=0,"",'11.700'!H286)</f>
        <v/>
      </c>
      <c r="C1159" s="1280" t="str">
        <f t="shared" si="57"/>
        <v/>
      </c>
      <c r="D1159" s="589"/>
      <c r="E1159" s="589"/>
      <c r="F1159" s="589"/>
      <c r="G1159" s="1290" t="s">
        <v>4129</v>
      </c>
      <c r="H1159" s="1326"/>
      <c r="J1159" s="1312"/>
    </row>
    <row r="1160" spans="1:10" x14ac:dyDescent="0.2">
      <c r="B1160" s="1324" t="str">
        <f>IF(LEN('11.700'!H287)=0,"",'11.700'!H287)</f>
        <v/>
      </c>
      <c r="C1160" s="1280" t="str">
        <f t="shared" ref="C1160:C1223" si="61">IF(LEN(B1160)=0,IF(A1160="P","P",""),B1160)</f>
        <v/>
      </c>
      <c r="D1160" s="589"/>
      <c r="E1160" s="589"/>
      <c r="F1160" s="589"/>
      <c r="G1160" s="1290" t="s">
        <v>4130</v>
      </c>
      <c r="H1160" s="1326"/>
      <c r="J1160" s="1312"/>
    </row>
    <row r="1161" spans="1:10" x14ac:dyDescent="0.2">
      <c r="B1161" s="1324" t="str">
        <f>IF(LEN('11.700'!H288)=0,"",'11.700'!H288)</f>
        <v/>
      </c>
      <c r="C1161" s="1280" t="str">
        <f t="shared" si="61"/>
        <v/>
      </c>
      <c r="D1161" s="589"/>
      <c r="E1161" s="589"/>
      <c r="F1161" s="606"/>
      <c r="G1161" s="1291" t="s">
        <v>4131</v>
      </c>
      <c r="H1161" s="1326"/>
      <c r="J1161" s="1312"/>
    </row>
    <row r="1162" spans="1:10" x14ac:dyDescent="0.2">
      <c r="B1162" s="1324" t="str">
        <f>IF(LEN('11.700'!H289)=0,"",'11.700'!H289)</f>
        <v/>
      </c>
      <c r="C1162" s="1280" t="str">
        <f t="shared" si="61"/>
        <v/>
      </c>
      <c r="D1162" s="589"/>
      <c r="E1162" s="590"/>
      <c r="F1162" s="590" t="s">
        <v>4132</v>
      </c>
      <c r="G1162" s="1634" t="s">
        <v>4133</v>
      </c>
      <c r="H1162" s="1341" t="str">
        <f>IF(LEN('11.700'!W289)=0,"",'11.700'!W289)</f>
        <v/>
      </c>
      <c r="I1162" s="88">
        <f ca="1">'11.700'!O289</f>
        <v>0</v>
      </c>
      <c r="J1162" s="1312"/>
    </row>
    <row r="1163" spans="1:10" x14ac:dyDescent="0.2">
      <c r="B1163" s="1324" t="str">
        <f>IF(LEN('11.700'!H290)=0,"",'11.700'!H290)</f>
        <v/>
      </c>
      <c r="C1163" s="1280" t="str">
        <f t="shared" si="61"/>
        <v/>
      </c>
      <c r="D1163" s="589"/>
      <c r="E1163" s="606"/>
      <c r="F1163" s="606"/>
      <c r="G1163" s="1639"/>
      <c r="H1163" s="1326"/>
      <c r="J1163" s="1312"/>
    </row>
    <row r="1164" spans="1:10" x14ac:dyDescent="0.2">
      <c r="B1164" s="1324" t="str">
        <f>IF(LEN('11.700'!H291)=0,"",'11.700'!H291)</f>
        <v/>
      </c>
      <c r="C1164" s="1280" t="str">
        <f t="shared" si="61"/>
        <v/>
      </c>
      <c r="D1164" s="606"/>
      <c r="E1164" s="606" t="s">
        <v>255</v>
      </c>
      <c r="F1164" s="606"/>
      <c r="G1164" s="1291" t="s">
        <v>4134</v>
      </c>
      <c r="H1164" s="1341" t="str">
        <f>IF(LEN('11.700'!W291)=0,"",'11.700'!W291)</f>
        <v/>
      </c>
      <c r="I1164" s="88">
        <f ca="1">'11.700'!O291</f>
        <v>0</v>
      </c>
      <c r="J1164" s="1312"/>
    </row>
    <row r="1165" spans="1:10" x14ac:dyDescent="0.2">
      <c r="A1165" s="467" t="str">
        <f ca="1">IF(I1165&gt;0,"P","")</f>
        <v/>
      </c>
      <c r="B1165" s="1324" t="str">
        <f>IF(LEN('11.700'!H292)=0,"",'11.700'!H292)</f>
        <v/>
      </c>
      <c r="C1165" s="1280" t="str">
        <f t="shared" ca="1" si="61"/>
        <v/>
      </c>
      <c r="D1165" s="608" t="s">
        <v>4135</v>
      </c>
      <c r="E1165" s="608"/>
      <c r="F1165" s="608"/>
      <c r="G1165" s="1686" t="s">
        <v>4136</v>
      </c>
      <c r="H1165" s="1341" t="str">
        <f>IF(LEN('11.700'!W292)=0,"",'11.700'!W292)</f>
        <v/>
      </c>
      <c r="I1165" s="88">
        <f ca="1">'11.700'!O292</f>
        <v>0</v>
      </c>
      <c r="J1165" s="1312" t="s">
        <v>5185</v>
      </c>
    </row>
    <row r="1166" spans="1:10" x14ac:dyDescent="0.2">
      <c r="A1166" s="467" t="str">
        <f t="shared" ref="A1166:A1167" ca="1" si="62">A1165</f>
        <v/>
      </c>
      <c r="B1166" s="1324" t="str">
        <f>IF(LEN('11.700'!H293)=0,"",'11.700'!H293)</f>
        <v/>
      </c>
      <c r="C1166" s="1280" t="str">
        <f t="shared" ca="1" si="61"/>
        <v/>
      </c>
      <c r="D1166" s="590"/>
      <c r="E1166" s="590"/>
      <c r="F1166" s="590"/>
      <c r="G1166" s="1687"/>
      <c r="H1166" s="1326"/>
      <c r="J1166" s="1312"/>
    </row>
    <row r="1167" spans="1:10" x14ac:dyDescent="0.2">
      <c r="A1167" s="467" t="str">
        <f t="shared" ca="1" si="62"/>
        <v/>
      </c>
      <c r="B1167" s="1324" t="str">
        <f>IF(LEN('11.700'!H294)=0,"",'11.700'!H294)</f>
        <v/>
      </c>
      <c r="C1167" s="1280" t="str">
        <f t="shared" ca="1" si="61"/>
        <v/>
      </c>
      <c r="D1167" s="606"/>
      <c r="E1167" s="606"/>
      <c r="F1167" s="606"/>
      <c r="G1167" s="1688"/>
      <c r="H1167" s="1326"/>
      <c r="J1167" s="1312"/>
    </row>
    <row r="1168" spans="1:10" x14ac:dyDescent="0.2">
      <c r="A1168" s="467" t="str">
        <f ca="1">IF(I1168&gt;0,"P","")</f>
        <v/>
      </c>
      <c r="B1168" s="1324" t="str">
        <f>IF(LEN('11.700'!H295)=0,"",'11.700'!H295)</f>
        <v/>
      </c>
      <c r="C1168" s="1280" t="str">
        <f t="shared" ca="1" si="61"/>
        <v/>
      </c>
      <c r="D1168" s="589" t="s">
        <v>4137</v>
      </c>
      <c r="E1168" s="589"/>
      <c r="F1168" s="589"/>
      <c r="G1168" s="1687" t="s">
        <v>4138</v>
      </c>
      <c r="H1168" s="1326"/>
      <c r="I1168" s="88">
        <f ca="1">'11.700'!O295</f>
        <v>0</v>
      </c>
      <c r="J1168" s="1312" t="s">
        <v>5185</v>
      </c>
    </row>
    <row r="1169" spans="1:10" x14ac:dyDescent="0.2">
      <c r="A1169" s="467" t="str">
        <f t="shared" ref="A1169:A1171" ca="1" si="63">A1168</f>
        <v/>
      </c>
      <c r="B1169" s="1324" t="str">
        <f>IF(LEN('11.700'!H296)=0,"",'11.700'!H296)</f>
        <v/>
      </c>
      <c r="C1169" s="1280" t="str">
        <f t="shared" ca="1" si="61"/>
        <v/>
      </c>
      <c r="D1169" s="589"/>
      <c r="E1169" s="589"/>
      <c r="F1169" s="589"/>
      <c r="G1169" s="1687"/>
      <c r="H1169" s="1341" t="str">
        <f>IF(LEN('11.700'!W296)=0,"",'11.700'!W296)</f>
        <v/>
      </c>
      <c r="J1169" s="1312"/>
    </row>
    <row r="1170" spans="1:10" x14ac:dyDescent="0.2">
      <c r="A1170" s="467" t="str">
        <f t="shared" ca="1" si="63"/>
        <v/>
      </c>
      <c r="B1170" s="1324" t="str">
        <f>IF(LEN('11.700'!H297)=0,"",'11.700'!H297)</f>
        <v/>
      </c>
      <c r="C1170" s="1280" t="str">
        <f t="shared" ca="1" si="61"/>
        <v/>
      </c>
      <c r="D1170" s="589"/>
      <c r="E1170" s="589"/>
      <c r="F1170" s="589"/>
      <c r="G1170" s="1687"/>
      <c r="H1170" s="1326"/>
      <c r="J1170" s="1312"/>
    </row>
    <row r="1171" spans="1:10" x14ac:dyDescent="0.2">
      <c r="A1171" s="467" t="str">
        <f t="shared" ca="1" si="63"/>
        <v/>
      </c>
      <c r="B1171" s="1324" t="str">
        <f>IF(LEN('11.700'!H298)=0,"",'11.700'!H298)</f>
        <v/>
      </c>
      <c r="C1171" s="1280" t="str">
        <f t="shared" ca="1" si="61"/>
        <v/>
      </c>
      <c r="D1171" s="589"/>
      <c r="E1171" s="589"/>
      <c r="F1171" s="589"/>
      <c r="G1171" s="1687"/>
      <c r="H1171" s="1326"/>
      <c r="J1171" s="1312"/>
    </row>
    <row r="1172" spans="1:10" x14ac:dyDescent="0.2">
      <c r="B1172" s="1324" t="str">
        <f>IF(LEN('11.700'!H299)=0,"",'11.700'!H299)</f>
        <v/>
      </c>
      <c r="C1172" s="1280" t="str">
        <f t="shared" si="61"/>
        <v/>
      </c>
      <c r="D1172" s="589"/>
      <c r="E1172" s="589"/>
      <c r="F1172" s="589"/>
      <c r="G1172" s="1290" t="s">
        <v>4139</v>
      </c>
      <c r="H1172" s="1326"/>
      <c r="J1172" s="1312"/>
    </row>
    <row r="1173" spans="1:10" x14ac:dyDescent="0.2">
      <c r="B1173" s="1324" t="str">
        <f>IF(LEN('11.700'!H300)=0,"",'11.700'!H300)</f>
        <v/>
      </c>
      <c r="C1173" s="1280" t="str">
        <f t="shared" si="61"/>
        <v/>
      </c>
      <c r="D1173" s="589"/>
      <c r="E1173" s="589"/>
      <c r="F1173" s="589"/>
      <c r="G1173" s="1290" t="s">
        <v>4140</v>
      </c>
      <c r="H1173" s="1326"/>
      <c r="J1173" s="1312"/>
    </row>
    <row r="1174" spans="1:10" x14ac:dyDescent="0.2">
      <c r="B1174" s="1324" t="str">
        <f>IF(LEN('11.700'!H301)=0,"",'11.700'!H301)</f>
        <v/>
      </c>
      <c r="C1174" s="1280" t="str">
        <f t="shared" si="61"/>
        <v/>
      </c>
      <c r="D1174" s="606"/>
      <c r="E1174" s="606"/>
      <c r="F1174" s="606"/>
      <c r="G1174" s="1291" t="s">
        <v>4141</v>
      </c>
      <c r="H1174" s="1326"/>
      <c r="J1174" s="1312"/>
    </row>
    <row r="1175" spans="1:10" x14ac:dyDescent="0.2">
      <c r="A1175" s="467" t="str">
        <f ca="1">IF(I1175&gt;0,"P","")</f>
        <v/>
      </c>
      <c r="B1175" s="1324" t="str">
        <f>IF(LEN('11.700'!H302)=0,"",'11.700'!H302)</f>
        <v/>
      </c>
      <c r="C1175" s="1280" t="str">
        <f t="shared" ca="1" si="61"/>
        <v/>
      </c>
      <c r="D1175" s="589" t="s">
        <v>4142</v>
      </c>
      <c r="E1175" s="589"/>
      <c r="F1175" s="589"/>
      <c r="G1175" s="1687" t="s">
        <v>4143</v>
      </c>
      <c r="H1175" s="1341" t="str">
        <f>IF(LEN('11.700'!W302)=0,"",'11.700'!W302)</f>
        <v/>
      </c>
      <c r="I1175" s="88">
        <f ca="1">'11.700'!O302</f>
        <v>0</v>
      </c>
      <c r="J1175" s="1779" t="s">
        <v>5186</v>
      </c>
    </row>
    <row r="1176" spans="1:10" x14ac:dyDescent="0.2">
      <c r="A1176" s="467" t="str">
        <f t="shared" ref="A1176:A1180" ca="1" si="64">A1175</f>
        <v/>
      </c>
      <c r="B1176" s="1324" t="str">
        <f>IF(LEN('11.700'!H303)=0,"",'11.700'!H303)</f>
        <v/>
      </c>
      <c r="C1176" s="1280" t="str">
        <f t="shared" ca="1" si="61"/>
        <v/>
      </c>
      <c r="D1176" s="589"/>
      <c r="E1176" s="589"/>
      <c r="F1176" s="589"/>
      <c r="G1176" s="1687"/>
      <c r="H1176" s="1326"/>
      <c r="J1176" s="1779"/>
    </row>
    <row r="1177" spans="1:10" x14ac:dyDescent="0.2">
      <c r="A1177" s="467" t="str">
        <f t="shared" ca="1" si="64"/>
        <v/>
      </c>
      <c r="B1177" s="1324" t="str">
        <f>IF(LEN('11.700'!H304)=0,"",'11.700'!H304)</f>
        <v/>
      </c>
      <c r="C1177" s="1280" t="str">
        <f t="shared" ca="1" si="61"/>
        <v/>
      </c>
      <c r="D1177" s="589"/>
      <c r="E1177" s="589"/>
      <c r="F1177" s="589"/>
      <c r="G1177" s="1687"/>
      <c r="H1177" s="1341" t="str">
        <f>IF(LEN('11.700'!W304)=0,"",'11.700'!W304)</f>
        <v/>
      </c>
      <c r="J1177" s="1779"/>
    </row>
    <row r="1178" spans="1:10" x14ac:dyDescent="0.2">
      <c r="A1178" s="467" t="str">
        <f t="shared" ca="1" si="64"/>
        <v/>
      </c>
      <c r="B1178" s="1324" t="str">
        <f>IF(LEN('11.700'!H305)=0,"",'11.700'!H305)</f>
        <v/>
      </c>
      <c r="C1178" s="1280" t="str">
        <f t="shared" ca="1" si="61"/>
        <v/>
      </c>
      <c r="D1178" s="589"/>
      <c r="E1178" s="589"/>
      <c r="F1178" s="589"/>
      <c r="G1178" s="1687"/>
      <c r="H1178" s="1326"/>
      <c r="J1178" s="1779"/>
    </row>
    <row r="1179" spans="1:10" x14ac:dyDescent="0.2">
      <c r="A1179" s="467" t="str">
        <f t="shared" ca="1" si="64"/>
        <v/>
      </c>
      <c r="B1179" s="1324" t="str">
        <f>IF(LEN('11.700'!H306)=0,"",'11.700'!H306)</f>
        <v/>
      </c>
      <c r="C1179" s="1280" t="str">
        <f t="shared" ca="1" si="61"/>
        <v/>
      </c>
      <c r="D1179" s="589"/>
      <c r="E1179" s="589"/>
      <c r="F1179" s="589"/>
      <c r="G1179" s="1687"/>
      <c r="H1179" s="1326"/>
      <c r="J1179" s="1312"/>
    </row>
    <row r="1180" spans="1:10" x14ac:dyDescent="0.2">
      <c r="A1180" s="467" t="str">
        <f t="shared" ca="1" si="64"/>
        <v/>
      </c>
      <c r="B1180" s="1324" t="str">
        <f>IF(LEN('11.700'!H307)=0,"",'11.700'!H307)</f>
        <v/>
      </c>
      <c r="C1180" s="1280" t="str">
        <f t="shared" ca="1" si="61"/>
        <v/>
      </c>
      <c r="D1180" s="589"/>
      <c r="E1180" s="589"/>
      <c r="F1180" s="589"/>
      <c r="G1180" s="1687"/>
      <c r="H1180" s="1326"/>
      <c r="J1180" s="1312"/>
    </row>
    <row r="1181" spans="1:10" x14ac:dyDescent="0.2">
      <c r="B1181" s="1324" t="str">
        <f>IF(LEN('11.700'!H308)=0,"",'11.700'!H308)</f>
        <v/>
      </c>
      <c r="C1181" s="1280" t="str">
        <f t="shared" si="61"/>
        <v/>
      </c>
      <c r="D1181" s="606"/>
      <c r="E1181" s="606"/>
      <c r="F1181" s="606"/>
      <c r="G1181" s="1340" t="s">
        <v>4844</v>
      </c>
      <c r="H1181" s="1326"/>
      <c r="J1181" s="1312"/>
    </row>
    <row r="1182" spans="1:10" x14ac:dyDescent="0.2">
      <c r="A1182" s="467" t="str">
        <f ca="1">IF(I1182&gt;0,"P","")</f>
        <v/>
      </c>
      <c r="B1182" s="1324" t="str">
        <f>IF(LEN('11.700'!H309)=0,"",'11.700'!H309)</f>
        <v/>
      </c>
      <c r="C1182" s="1280" t="str">
        <f t="shared" ca="1" si="61"/>
        <v/>
      </c>
      <c r="D1182" s="590" t="s">
        <v>4144</v>
      </c>
      <c r="E1182" s="590"/>
      <c r="F1182" s="590"/>
      <c r="G1182" s="1687" t="s">
        <v>4145</v>
      </c>
      <c r="H1182" s="1341" t="str">
        <f>IF(LEN('11.700'!W309)=0,"",'11.700'!W309)</f>
        <v/>
      </c>
      <c r="I1182" s="88">
        <f ca="1">'11.700'!O309</f>
        <v>0</v>
      </c>
      <c r="J1182" s="1312" t="s">
        <v>3120</v>
      </c>
    </row>
    <row r="1183" spans="1:10" x14ac:dyDescent="0.2">
      <c r="A1183" s="467" t="str">
        <f t="shared" ref="A1183" ca="1" si="65">A1182</f>
        <v/>
      </c>
      <c r="B1183" s="1324" t="str">
        <f>IF(LEN('11.700'!H310)=0,"",'11.700'!H310)</f>
        <v/>
      </c>
      <c r="C1183" s="1280" t="str">
        <f t="shared" ca="1" si="61"/>
        <v/>
      </c>
      <c r="D1183" s="590"/>
      <c r="E1183" s="590"/>
      <c r="F1183" s="590"/>
      <c r="G1183" s="1687"/>
      <c r="H1183" s="1326"/>
      <c r="J1183" s="1312"/>
    </row>
    <row r="1184" spans="1:10" x14ac:dyDescent="0.2">
      <c r="B1184" s="1324" t="str">
        <f>IF(LEN('11.700'!H311)=0,"",'11.700'!H311)</f>
        <v/>
      </c>
      <c r="C1184" s="1280" t="str">
        <f t="shared" si="61"/>
        <v/>
      </c>
      <c r="D1184" s="866"/>
      <c r="E1184" s="866"/>
      <c r="F1184" s="866"/>
      <c r="G1184" s="1782" t="s">
        <v>4845</v>
      </c>
      <c r="H1184" s="1326"/>
      <c r="J1184" s="1312"/>
    </row>
    <row r="1185" spans="1:10" ht="16" thickBot="1" x14ac:dyDescent="0.25">
      <c r="B1185" s="1324" t="str">
        <f>IF(LEN('11.700'!H312)=0,"",'11.700'!H312)</f>
        <v/>
      </c>
      <c r="C1185" s="1280" t="str">
        <f t="shared" si="61"/>
        <v/>
      </c>
      <c r="D1185" s="116"/>
      <c r="E1185" s="116"/>
      <c r="F1185" s="116"/>
      <c r="G1185" s="1795"/>
      <c r="H1185" s="1326"/>
      <c r="J1185" s="1312"/>
    </row>
    <row r="1186" spans="1:10" ht="16" thickTop="1" x14ac:dyDescent="0.2">
      <c r="A1186" s="1503" t="str">
        <f ca="1">IF(COUNTIF(A1187:A1194,"P")&gt;0,"P","")</f>
        <v/>
      </c>
      <c r="B1186" s="1324" t="str">
        <f>IF(LEN('11.700'!H313)=0,"",'11.700'!H313)</f>
        <v/>
      </c>
      <c r="C1186" s="1280" t="str">
        <f t="shared" ca="1" si="61"/>
        <v/>
      </c>
      <c r="D1186" s="589" t="s">
        <v>4146</v>
      </c>
      <c r="E1186" s="589"/>
      <c r="F1186" s="589"/>
      <c r="G1186" s="1301" t="s">
        <v>4147</v>
      </c>
      <c r="H1186" s="1326"/>
      <c r="J1186" s="1312"/>
    </row>
    <row r="1187" spans="1:10" x14ac:dyDescent="0.2">
      <c r="A1187" s="467" t="str">
        <f ca="1">IF(I1187&gt;0,"P","")</f>
        <v/>
      </c>
      <c r="B1187" s="1324" t="str">
        <f>IF(LEN('11.700'!H314)=0,"",'11.700'!H314)</f>
        <v/>
      </c>
      <c r="C1187" s="1280" t="str">
        <f t="shared" ca="1" si="61"/>
        <v/>
      </c>
      <c r="D1187" s="590" t="s">
        <v>4148</v>
      </c>
      <c r="E1187" s="590"/>
      <c r="F1187" s="590"/>
      <c r="G1187" s="1301" t="s">
        <v>4149</v>
      </c>
      <c r="H1187" s="1341" t="str">
        <f>IF(LEN('11.700'!W314)=0,"",'11.700'!W314)</f>
        <v/>
      </c>
      <c r="I1187" s="88">
        <f ca="1">'11.700'!O314</f>
        <v>0</v>
      </c>
      <c r="J1187" s="1312" t="s">
        <v>3120</v>
      </c>
    </row>
    <row r="1188" spans="1:10" x14ac:dyDescent="0.2">
      <c r="A1188" s="467" t="str">
        <f ca="1">IF(I1188&gt;0,"P","")</f>
        <v/>
      </c>
      <c r="B1188" s="1324" t="str">
        <f>IF(LEN('11.700'!H315)=0,"",'11.700'!H315)</f>
        <v/>
      </c>
      <c r="C1188" s="1280" t="str">
        <f t="shared" ca="1" si="61"/>
        <v/>
      </c>
      <c r="D1188" s="607" t="s">
        <v>4150</v>
      </c>
      <c r="E1188" s="607"/>
      <c r="F1188" s="607"/>
      <c r="G1188" s="1094" t="s">
        <v>4151</v>
      </c>
      <c r="H1188" s="1341" t="str">
        <f>IF(LEN('11.700'!W315)=0,"",'11.700'!W315)</f>
        <v/>
      </c>
      <c r="I1188" s="88">
        <f ca="1">'11.700'!O315</f>
        <v>0</v>
      </c>
      <c r="J1188" s="1312" t="s">
        <v>3120</v>
      </c>
    </row>
    <row r="1189" spans="1:10" x14ac:dyDescent="0.2">
      <c r="A1189" s="467" t="str">
        <f ca="1">IF(I1189&gt;0,"P","")</f>
        <v/>
      </c>
      <c r="B1189" s="1324" t="str">
        <f>IF(LEN('11.700'!H316)=0,"",'11.700'!H316)</f>
        <v/>
      </c>
      <c r="C1189" s="1280" t="str">
        <f t="shared" ca="1" si="61"/>
        <v/>
      </c>
      <c r="D1189" s="589" t="s">
        <v>4152</v>
      </c>
      <c r="E1189" s="589"/>
      <c r="F1189" s="589"/>
      <c r="G1189" s="1301" t="s">
        <v>4153</v>
      </c>
      <c r="H1189" s="1326"/>
      <c r="I1189" s="88">
        <f ca="1">'11.700'!O316</f>
        <v>0</v>
      </c>
      <c r="J1189" s="1312" t="s">
        <v>3120</v>
      </c>
    </row>
    <row r="1190" spans="1:10" x14ac:dyDescent="0.2">
      <c r="B1190" s="1324" t="str">
        <f>IF(LEN('11.700'!H317)=0,"",'11.700'!H317)</f>
        <v/>
      </c>
      <c r="C1190" s="1280" t="str">
        <f t="shared" si="61"/>
        <v/>
      </c>
      <c r="D1190" s="589"/>
      <c r="E1190" s="589" t="s">
        <v>254</v>
      </c>
      <c r="F1190" s="589"/>
      <c r="G1190" s="1290" t="s">
        <v>4154</v>
      </c>
      <c r="H1190" s="1341" t="str">
        <f>IF(LEN('11.700'!W317)=0,"",'11.700'!W317)</f>
        <v/>
      </c>
      <c r="J1190" s="1312"/>
    </row>
    <row r="1191" spans="1:10" x14ac:dyDescent="0.2">
      <c r="B1191" s="1324" t="str">
        <f>IF(LEN('11.700'!H318)=0,"",'11.700'!H318)</f>
        <v/>
      </c>
      <c r="C1191" s="1280" t="str">
        <f t="shared" si="61"/>
        <v/>
      </c>
      <c r="D1191" s="589"/>
      <c r="E1191" s="589" t="s">
        <v>255</v>
      </c>
      <c r="F1191" s="589"/>
      <c r="G1191" s="1634" t="s">
        <v>4155</v>
      </c>
      <c r="H1191" s="1341" t="str">
        <f>IF(LEN('11.700'!W318)=0,"",'11.700'!W318)</f>
        <v/>
      </c>
      <c r="J1191" s="1312"/>
    </row>
    <row r="1192" spans="1:10" x14ac:dyDescent="0.2">
      <c r="B1192" s="1324" t="str">
        <f>IF(LEN('11.700'!H319)=0,"",'11.700'!H319)</f>
        <v/>
      </c>
      <c r="C1192" s="1280" t="str">
        <f t="shared" si="61"/>
        <v/>
      </c>
      <c r="D1192" s="589"/>
      <c r="E1192" s="589"/>
      <c r="F1192" s="589"/>
      <c r="G1192" s="1634"/>
      <c r="H1192" s="1326"/>
      <c r="J1192" s="1312"/>
    </row>
    <row r="1193" spans="1:10" x14ac:dyDescent="0.2">
      <c r="B1193" s="1324" t="str">
        <f>IF(LEN('11.700'!H320)=0,"",'11.700'!H320)</f>
        <v/>
      </c>
      <c r="C1193" s="1280" t="str">
        <f t="shared" si="61"/>
        <v/>
      </c>
      <c r="D1193" s="606"/>
      <c r="E1193" s="606" t="s">
        <v>256</v>
      </c>
      <c r="F1193" s="606"/>
      <c r="G1193" s="1291" t="s">
        <v>4156</v>
      </c>
      <c r="H1193" s="1341" t="str">
        <f>IF(LEN('11.700'!W320)=0,"",'11.700'!W320)</f>
        <v/>
      </c>
      <c r="J1193" s="1312"/>
    </row>
    <row r="1194" spans="1:10" x14ac:dyDescent="0.2">
      <c r="A1194" s="467" t="str">
        <f ca="1">IF(I1194&gt;0,"P","")</f>
        <v/>
      </c>
      <c r="B1194" s="1324" t="str">
        <f>IF(LEN('11.700'!H321)=0,"",'11.700'!H321)</f>
        <v/>
      </c>
      <c r="C1194" s="1280" t="str">
        <f t="shared" ca="1" si="61"/>
        <v/>
      </c>
      <c r="D1194" s="590" t="s">
        <v>4157</v>
      </c>
      <c r="E1194" s="590"/>
      <c r="F1194" s="590"/>
      <c r="G1194" s="1687" t="s">
        <v>4158</v>
      </c>
      <c r="H1194" s="1341" t="str">
        <f>IF(LEN('11.700'!W321)=0,"",'11.700'!W321)</f>
        <v/>
      </c>
      <c r="I1194" s="88">
        <f ca="1">'11.700'!O321</f>
        <v>0</v>
      </c>
      <c r="J1194" s="1312" t="s">
        <v>5187</v>
      </c>
    </row>
    <row r="1195" spans="1:10" x14ac:dyDescent="0.2">
      <c r="A1195" s="467" t="str">
        <f t="shared" ref="A1195:A1199" ca="1" si="66">A1194</f>
        <v/>
      </c>
      <c r="B1195" s="1324" t="str">
        <f>IF(LEN('11.700'!H322)=0,"",'11.700'!H322)</f>
        <v/>
      </c>
      <c r="C1195" s="1280" t="str">
        <f t="shared" ca="1" si="61"/>
        <v/>
      </c>
      <c r="D1195" s="590"/>
      <c r="E1195" s="590"/>
      <c r="F1195" s="590"/>
      <c r="G1195" s="1687"/>
      <c r="H1195" s="1326"/>
      <c r="J1195" s="1312"/>
    </row>
    <row r="1196" spans="1:10" x14ac:dyDescent="0.2">
      <c r="A1196" s="467" t="str">
        <f t="shared" ca="1" si="66"/>
        <v/>
      </c>
      <c r="B1196" s="1324" t="str">
        <f>IF(LEN('11.700'!H323)=0,"",'11.700'!H323)</f>
        <v/>
      </c>
      <c r="C1196" s="1280" t="str">
        <f t="shared" ca="1" si="61"/>
        <v/>
      </c>
      <c r="D1196" s="590"/>
      <c r="E1196" s="590"/>
      <c r="F1196" s="590"/>
      <c r="G1196" s="1687"/>
      <c r="H1196" s="1341" t="str">
        <f>IF(LEN('11.700'!W323)=0,"",'11.700'!W323)</f>
        <v/>
      </c>
      <c r="J1196" s="1312"/>
    </row>
    <row r="1197" spans="1:10" x14ac:dyDescent="0.2">
      <c r="A1197" s="467" t="str">
        <f t="shared" ca="1" si="66"/>
        <v/>
      </c>
      <c r="B1197" s="1324" t="str">
        <f>IF(LEN('11.700'!H324)=0,"",'11.700'!H324)</f>
        <v/>
      </c>
      <c r="C1197" s="1280" t="str">
        <f t="shared" ca="1" si="61"/>
        <v/>
      </c>
      <c r="D1197" s="590"/>
      <c r="E1197" s="590"/>
      <c r="F1197" s="590"/>
      <c r="G1197" s="1687"/>
      <c r="H1197" s="1326"/>
      <c r="J1197" s="1312"/>
    </row>
    <row r="1198" spans="1:10" x14ac:dyDescent="0.2">
      <c r="A1198" s="467" t="str">
        <f t="shared" ca="1" si="66"/>
        <v/>
      </c>
      <c r="B1198" s="1324" t="str">
        <f>IF(LEN('11.700'!H325)=0,"",'11.700'!H325)</f>
        <v/>
      </c>
      <c r="C1198" s="1280" t="str">
        <f t="shared" ca="1" si="61"/>
        <v/>
      </c>
      <c r="D1198" s="590"/>
      <c r="E1198" s="590"/>
      <c r="F1198" s="590"/>
      <c r="G1198" s="1687"/>
      <c r="H1198" s="1341" t="str">
        <f>IF(LEN('11.700'!W325)=0,"",'11.700'!W325)</f>
        <v/>
      </c>
      <c r="J1198" s="1312"/>
    </row>
    <row r="1199" spans="1:10" x14ac:dyDescent="0.2">
      <c r="A1199" s="467" t="str">
        <f t="shared" ca="1" si="66"/>
        <v/>
      </c>
      <c r="B1199" s="1324" t="str">
        <f>IF(LEN('11.700'!H326)=0,"",'11.700'!H326)</f>
        <v/>
      </c>
      <c r="C1199" s="1280" t="str">
        <f t="shared" ca="1" si="61"/>
        <v/>
      </c>
      <c r="D1199" s="590"/>
      <c r="E1199" s="590"/>
      <c r="F1199" s="590"/>
      <c r="G1199" s="1687"/>
      <c r="H1199" s="1326"/>
      <c r="J1199" s="1312"/>
    </row>
    <row r="1200" spans="1:10" x14ac:dyDescent="0.2">
      <c r="B1200" s="1324" t="str">
        <f>IF(LEN('11.700'!H327)=0,"",'11.700'!H327)</f>
        <v/>
      </c>
      <c r="C1200" s="1280" t="str">
        <f t="shared" si="61"/>
        <v/>
      </c>
      <c r="D1200" s="590"/>
      <c r="E1200" s="606" t="s">
        <v>254</v>
      </c>
      <c r="F1200" s="606"/>
      <c r="G1200" s="1291" t="s">
        <v>4159</v>
      </c>
      <c r="H1200" s="1326"/>
      <c r="J1200" s="1312"/>
    </row>
    <row r="1201" spans="1:10" x14ac:dyDescent="0.2">
      <c r="B1201" s="1324" t="str">
        <f>IF(LEN('11.700'!H328)=0,"",'11.700'!H328)</f>
        <v/>
      </c>
      <c r="C1201" s="1280" t="str">
        <f t="shared" si="61"/>
        <v/>
      </c>
      <c r="D1201" s="590"/>
      <c r="E1201" s="607" t="s">
        <v>255</v>
      </c>
      <c r="F1201" s="607"/>
      <c r="G1201" s="1075" t="s">
        <v>5081</v>
      </c>
      <c r="H1201" s="1326"/>
      <c r="J1201" s="1312"/>
    </row>
    <row r="1202" spans="1:10" ht="16" thickBot="1" x14ac:dyDescent="0.25">
      <c r="B1202" s="1324" t="str">
        <f>IF(LEN('11.700'!H329)=0,"",'11.700'!H329)</f>
        <v/>
      </c>
      <c r="C1202" s="1280" t="str">
        <f t="shared" si="61"/>
        <v/>
      </c>
      <c r="D1202" s="594"/>
      <c r="E1202" s="594" t="s">
        <v>256</v>
      </c>
      <c r="F1202" s="594"/>
      <c r="G1202" s="1293" t="s">
        <v>4160</v>
      </c>
      <c r="H1202" s="1326"/>
      <c r="J1202" s="1312"/>
    </row>
    <row r="1203" spans="1:10" ht="16" thickTop="1" x14ac:dyDescent="0.2">
      <c r="A1203" s="1503" t="str">
        <f ca="1">IF(COUNTIF(A1204:A1259,"P")&gt;0,"P","")</f>
        <v/>
      </c>
      <c r="B1203" s="1324" t="str">
        <f>IF(LEN('11.700'!H330)=0,"",'11.700'!H330)</f>
        <v/>
      </c>
      <c r="C1203" s="1280" t="str">
        <f t="shared" ca="1" si="61"/>
        <v/>
      </c>
      <c r="D1203" s="589" t="s">
        <v>4161</v>
      </c>
      <c r="E1203" s="589"/>
      <c r="F1203" s="589"/>
      <c r="G1203" s="1301" t="s">
        <v>4162</v>
      </c>
      <c r="H1203" s="1326"/>
      <c r="J1203" s="1312"/>
    </row>
    <row r="1204" spans="1:10" x14ac:dyDescent="0.2">
      <c r="A1204" s="467" t="str">
        <f ca="1">IF(I1204&gt;0,"P","")</f>
        <v/>
      </c>
      <c r="B1204" s="1324" t="str">
        <f>IF(LEN('11.700'!H331)=0,"",'11.700'!H331)</f>
        <v/>
      </c>
      <c r="C1204" s="1280" t="str">
        <f t="shared" ca="1" si="61"/>
        <v/>
      </c>
      <c r="D1204" s="589" t="s">
        <v>4163</v>
      </c>
      <c r="E1204" s="589"/>
      <c r="F1204" s="589"/>
      <c r="G1204" s="1687" t="s">
        <v>4164</v>
      </c>
      <c r="H1204" s="1326"/>
      <c r="I1204" s="1397">
        <f ca="1">SUM(I1213:I1252)</f>
        <v>0</v>
      </c>
      <c r="J1204" s="1312" t="s">
        <v>5188</v>
      </c>
    </row>
    <row r="1205" spans="1:10" x14ac:dyDescent="0.2">
      <c r="A1205" s="467" t="str">
        <f t="shared" ref="A1205:A1210" ca="1" si="67">A1204</f>
        <v/>
      </c>
      <c r="B1205" s="1324" t="str">
        <f>IF(LEN('11.700'!H332)=0,"",'11.700'!H332)</f>
        <v/>
      </c>
      <c r="C1205" s="1280" t="str">
        <f t="shared" ca="1" si="61"/>
        <v/>
      </c>
      <c r="D1205" s="589"/>
      <c r="E1205" s="589"/>
      <c r="F1205" s="589"/>
      <c r="G1205" s="1687"/>
      <c r="H1205" s="1341" t="str">
        <f>IF(LEN('11.700'!W332)=0,"",'11.700'!W332)</f>
        <v/>
      </c>
      <c r="J1205" s="1312"/>
    </row>
    <row r="1206" spans="1:10" x14ac:dyDescent="0.2">
      <c r="A1206" s="467" t="str">
        <f t="shared" ca="1" si="67"/>
        <v/>
      </c>
      <c r="B1206" s="1324" t="str">
        <f>IF(LEN('11.700'!H333)=0,"",'11.700'!H333)</f>
        <v/>
      </c>
      <c r="C1206" s="1280" t="str">
        <f t="shared" ca="1" si="61"/>
        <v/>
      </c>
      <c r="D1206" s="589"/>
      <c r="E1206" s="589"/>
      <c r="F1206" s="589"/>
      <c r="G1206" s="1687"/>
      <c r="H1206" s="1326"/>
      <c r="J1206" s="1312"/>
    </row>
    <row r="1207" spans="1:10" x14ac:dyDescent="0.2">
      <c r="A1207" s="467" t="str">
        <f t="shared" ca="1" si="67"/>
        <v/>
      </c>
      <c r="B1207" s="1324" t="str">
        <f>IF(LEN('11.700'!H334)=0,"",'11.700'!H334)</f>
        <v/>
      </c>
      <c r="C1207" s="1280" t="str">
        <f t="shared" ca="1" si="61"/>
        <v/>
      </c>
      <c r="D1207" s="589"/>
      <c r="E1207" s="589"/>
      <c r="F1207" s="589"/>
      <c r="G1207" s="1687"/>
      <c r="H1207" s="1341" t="str">
        <f>IF(LEN('11.700'!W334)=0,"",'11.700'!W334)</f>
        <v/>
      </c>
      <c r="J1207" s="1312"/>
    </row>
    <row r="1208" spans="1:10" x14ac:dyDescent="0.2">
      <c r="A1208" s="467" t="str">
        <f t="shared" ca="1" si="67"/>
        <v/>
      </c>
      <c r="B1208" s="1324" t="str">
        <f>IF(LEN('11.700'!H335)=0,"",'11.700'!H335)</f>
        <v/>
      </c>
      <c r="C1208" s="1280" t="str">
        <f t="shared" ca="1" si="61"/>
        <v/>
      </c>
      <c r="D1208" s="589"/>
      <c r="E1208" s="589"/>
      <c r="F1208" s="589"/>
      <c r="G1208" s="1687"/>
      <c r="H1208" s="1326"/>
      <c r="J1208" s="1312"/>
    </row>
    <row r="1209" spans="1:10" x14ac:dyDescent="0.2">
      <c r="A1209" s="467" t="str">
        <f t="shared" ca="1" si="67"/>
        <v/>
      </c>
      <c r="B1209" s="1324" t="str">
        <f>IF(LEN('11.700'!H336)=0,"",'11.700'!H336)</f>
        <v/>
      </c>
      <c r="C1209" s="1280" t="str">
        <f t="shared" ca="1" si="61"/>
        <v/>
      </c>
      <c r="D1209" s="589"/>
      <c r="E1209" s="589"/>
      <c r="F1209" s="589"/>
      <c r="G1209" s="1687"/>
      <c r="H1209" s="1326"/>
      <c r="J1209" s="1312"/>
    </row>
    <row r="1210" spans="1:10" x14ac:dyDescent="0.2">
      <c r="A1210" s="467" t="str">
        <f t="shared" ca="1" si="67"/>
        <v/>
      </c>
      <c r="B1210" s="1324" t="str">
        <f>IF(LEN('11.700'!H337)=0,"",'11.700'!H337)</f>
        <v/>
      </c>
      <c r="C1210" s="1280" t="str">
        <f t="shared" ca="1" si="61"/>
        <v/>
      </c>
      <c r="D1210" s="589"/>
      <c r="E1210" s="589"/>
      <c r="F1210" s="589"/>
      <c r="G1210" s="1687"/>
      <c r="H1210" s="1326"/>
      <c r="J1210" s="1312"/>
    </row>
    <row r="1211" spans="1:10" x14ac:dyDescent="0.2">
      <c r="B1211" s="1324" t="str">
        <f>IF(LEN('11.700'!H338)=0,"",'11.700'!H338)</f>
        <v/>
      </c>
      <c r="C1211" s="1280" t="str">
        <f t="shared" si="61"/>
        <v/>
      </c>
      <c r="D1211" s="589"/>
      <c r="E1211" s="589" t="s">
        <v>254</v>
      </c>
      <c r="F1211" s="589"/>
      <c r="G1211" s="1290" t="s">
        <v>4165</v>
      </c>
      <c r="H1211" s="1326"/>
      <c r="J1211" s="1312"/>
    </row>
    <row r="1212" spans="1:10" x14ac:dyDescent="0.2">
      <c r="B1212" s="1324" t="str">
        <f>IF(LEN('11.700'!H339)=0,"",'11.700'!H339)</f>
        <v/>
      </c>
      <c r="C1212" s="1280" t="str">
        <f t="shared" si="61"/>
        <v/>
      </c>
      <c r="D1212" s="589"/>
      <c r="E1212" s="589"/>
      <c r="F1212" s="590" t="s">
        <v>121</v>
      </c>
      <c r="G1212" s="1634" t="s">
        <v>4166</v>
      </c>
      <c r="H1212" s="1326"/>
      <c r="J1212" s="1312"/>
    </row>
    <row r="1213" spans="1:10" x14ac:dyDescent="0.2">
      <c r="B1213" s="1324" t="str">
        <f>IF(LEN('11.700'!H340)=0,"",'11.700'!H340)</f>
        <v/>
      </c>
      <c r="C1213" s="1280" t="str">
        <f t="shared" si="61"/>
        <v/>
      </c>
      <c r="D1213" s="589"/>
      <c r="E1213" s="589"/>
      <c r="F1213" s="590"/>
      <c r="G1213" s="1634"/>
      <c r="H1213" s="1326"/>
      <c r="I1213" s="88">
        <f ca="1">'11.700'!O340</f>
        <v>0</v>
      </c>
      <c r="J1213" s="1312"/>
    </row>
    <row r="1214" spans="1:10" x14ac:dyDescent="0.2">
      <c r="B1214" s="1324" t="str">
        <f>IF(LEN('11.700'!H341)=0,"",'11.700'!H341)</f>
        <v/>
      </c>
      <c r="C1214" s="1280" t="str">
        <f t="shared" si="61"/>
        <v/>
      </c>
      <c r="D1214" s="589"/>
      <c r="E1214" s="589"/>
      <c r="F1214" s="102"/>
      <c r="G1214" s="1290" t="s">
        <v>5091</v>
      </c>
      <c r="H1214" s="1326"/>
      <c r="J1214" s="1312"/>
    </row>
    <row r="1215" spans="1:10" x14ac:dyDescent="0.2">
      <c r="B1215" s="1324" t="str">
        <f>IF(LEN('11.700'!H342)=0,"",'11.700'!H342)</f>
        <v/>
      </c>
      <c r="C1215" s="1280" t="str">
        <f t="shared" si="61"/>
        <v/>
      </c>
      <c r="D1215" s="589"/>
      <c r="E1215" s="589"/>
      <c r="F1215" s="591"/>
      <c r="G1215" s="1291" t="s">
        <v>5092</v>
      </c>
      <c r="H1215" s="1326"/>
      <c r="J1215" s="1312"/>
    </row>
    <row r="1216" spans="1:10" x14ac:dyDescent="0.2">
      <c r="B1216" s="1324" t="str">
        <f>IF(LEN('11.700'!H343)=0,"",'11.700'!H343)</f>
        <v/>
      </c>
      <c r="C1216" s="1280" t="str">
        <f t="shared" si="61"/>
        <v/>
      </c>
      <c r="D1216" s="589"/>
      <c r="E1216" s="589"/>
      <c r="F1216" s="608" t="s">
        <v>122</v>
      </c>
      <c r="G1216" s="1633" t="s">
        <v>4167</v>
      </c>
      <c r="H1216" s="1326"/>
      <c r="I1216" s="88">
        <f ca="1">'11.700'!O343</f>
        <v>0</v>
      </c>
      <c r="J1216" s="1312"/>
    </row>
    <row r="1217" spans="2:10" x14ac:dyDescent="0.2">
      <c r="B1217" s="1324" t="str">
        <f>IF(LEN('11.700'!H344)=0,"",'11.700'!H344)</f>
        <v/>
      </c>
      <c r="C1217" s="1280" t="str">
        <f t="shared" si="61"/>
        <v/>
      </c>
      <c r="D1217" s="589"/>
      <c r="E1217" s="589"/>
      <c r="F1217" s="606"/>
      <c r="G1217" s="1639"/>
      <c r="H1217" s="1326"/>
      <c r="J1217" s="1312"/>
    </row>
    <row r="1218" spans="2:10" x14ac:dyDescent="0.2">
      <c r="B1218" s="1324" t="str">
        <f>IF(LEN('11.700'!H345)=0,"",'11.700'!H345)</f>
        <v/>
      </c>
      <c r="C1218" s="1280" t="str">
        <f t="shared" si="61"/>
        <v/>
      </c>
      <c r="D1218" s="589"/>
      <c r="E1218" s="589"/>
      <c r="F1218" s="608" t="s">
        <v>123</v>
      </c>
      <c r="G1218" s="1292" t="s">
        <v>4168</v>
      </c>
      <c r="H1218" s="1326"/>
      <c r="I1218" s="88">
        <f ca="1">'11.700'!O345</f>
        <v>0</v>
      </c>
      <c r="J1218" s="1312"/>
    </row>
    <row r="1219" spans="2:10" x14ac:dyDescent="0.2">
      <c r="B1219" s="1324" t="str">
        <f>IF(LEN('11.700'!H346)=0,"",'11.700'!H346)</f>
        <v/>
      </c>
      <c r="C1219" s="1280" t="str">
        <f t="shared" si="61"/>
        <v/>
      </c>
      <c r="D1219" s="589"/>
      <c r="E1219" s="589"/>
      <c r="F1219" s="590"/>
      <c r="G1219" s="1290" t="s">
        <v>4169</v>
      </c>
      <c r="H1219" s="1326"/>
      <c r="J1219" s="1312"/>
    </row>
    <row r="1220" spans="2:10" x14ac:dyDescent="0.2">
      <c r="B1220" s="1324" t="str">
        <f>IF(LEN('11.700'!H347)=0,"",'11.700'!H347)</f>
        <v/>
      </c>
      <c r="C1220" s="1280" t="str">
        <f t="shared" si="61"/>
        <v/>
      </c>
      <c r="D1220" s="589"/>
      <c r="E1220" s="589"/>
      <c r="F1220" s="591"/>
      <c r="G1220" s="1291" t="s">
        <v>4170</v>
      </c>
      <c r="H1220" s="1326"/>
      <c r="J1220" s="1312"/>
    </row>
    <row r="1221" spans="2:10" x14ac:dyDescent="0.2">
      <c r="B1221" s="1324" t="str">
        <f>IF(LEN('11.700'!H348)=0,"",'11.700'!H348)</f>
        <v/>
      </c>
      <c r="C1221" s="1280" t="str">
        <f t="shared" si="61"/>
        <v/>
      </c>
      <c r="D1221" s="589"/>
      <c r="E1221" s="589"/>
      <c r="F1221" s="608" t="s">
        <v>366</v>
      </c>
      <c r="G1221" s="1633" t="s">
        <v>4171</v>
      </c>
      <c r="H1221" s="1326"/>
      <c r="I1221" s="88">
        <f ca="1">'11.700'!O348</f>
        <v>0</v>
      </c>
      <c r="J1221" s="1312"/>
    </row>
    <row r="1222" spans="2:10" x14ac:dyDescent="0.2">
      <c r="B1222" s="1324" t="str">
        <f>IF(LEN('11.700'!H349)=0,"",'11.700'!H349)</f>
        <v/>
      </c>
      <c r="C1222" s="1280" t="str">
        <f t="shared" si="61"/>
        <v/>
      </c>
      <c r="D1222" s="589"/>
      <c r="E1222" s="589"/>
      <c r="F1222" s="590"/>
      <c r="G1222" s="1634"/>
      <c r="H1222" s="1326"/>
      <c r="J1222" s="1312"/>
    </row>
    <row r="1223" spans="2:10" x14ac:dyDescent="0.2">
      <c r="B1223" s="1324" t="str">
        <f>IF(LEN('11.700'!H350)=0,"",'11.700'!H350)</f>
        <v/>
      </c>
      <c r="C1223" s="1280" t="str">
        <f t="shared" si="61"/>
        <v/>
      </c>
      <c r="D1223" s="589"/>
      <c r="E1223" s="589"/>
      <c r="F1223" s="590"/>
      <c r="G1223" s="1634"/>
      <c r="H1223" s="1326"/>
      <c r="J1223" s="1312"/>
    </row>
    <row r="1224" spans="2:10" x14ac:dyDescent="0.2">
      <c r="B1224" s="1324" t="str">
        <f>IF(LEN('11.700'!H351)=0,"",'11.700'!H351)</f>
        <v/>
      </c>
      <c r="C1224" s="1280" t="str">
        <f t="shared" ref="C1224:C1287" si="68">IF(LEN(B1224)=0,IF(A1224="P","P",""),B1224)</f>
        <v/>
      </c>
      <c r="D1224" s="589"/>
      <c r="E1224" s="589"/>
      <c r="F1224" s="102"/>
      <c r="G1224" s="1290" t="s">
        <v>4172</v>
      </c>
      <c r="H1224" s="1326"/>
      <c r="J1224" s="1312"/>
    </row>
    <row r="1225" spans="2:10" x14ac:dyDescent="0.2">
      <c r="B1225" s="1324" t="str">
        <f>IF(LEN('11.700'!H352)=0,"",'11.700'!H352)</f>
        <v/>
      </c>
      <c r="C1225" s="1280" t="str">
        <f t="shared" si="68"/>
        <v/>
      </c>
      <c r="D1225" s="589"/>
      <c r="E1225" s="589"/>
      <c r="F1225" s="606"/>
      <c r="G1225" s="1291" t="s">
        <v>4170</v>
      </c>
      <c r="H1225" s="1326"/>
      <c r="J1225" s="1312"/>
    </row>
    <row r="1226" spans="2:10" x14ac:dyDescent="0.2">
      <c r="B1226" s="1324" t="str">
        <f>IF(LEN('11.700'!H353)=0,"",'11.700'!H353)</f>
        <v/>
      </c>
      <c r="C1226" s="1280" t="str">
        <f t="shared" si="68"/>
        <v/>
      </c>
      <c r="D1226" s="589"/>
      <c r="E1226" s="589"/>
      <c r="F1226" s="589" t="s">
        <v>472</v>
      </c>
      <c r="G1226" s="1634" t="s">
        <v>4173</v>
      </c>
      <c r="H1226" s="1326"/>
      <c r="I1226" s="88">
        <f ca="1">'11.700'!O353</f>
        <v>0</v>
      </c>
      <c r="J1226" s="1312"/>
    </row>
    <row r="1227" spans="2:10" x14ac:dyDescent="0.2">
      <c r="B1227" s="1324" t="str">
        <f>IF(LEN('11.700'!H354)=0,"",'11.700'!H354)</f>
        <v/>
      </c>
      <c r="C1227" s="1280" t="str">
        <f t="shared" si="68"/>
        <v/>
      </c>
      <c r="D1227" s="589"/>
      <c r="E1227" s="589"/>
      <c r="F1227" s="589"/>
      <c r="G1227" s="1634"/>
      <c r="H1227" s="1326"/>
      <c r="J1227" s="1312"/>
    </row>
    <row r="1228" spans="2:10" x14ac:dyDescent="0.2">
      <c r="B1228" s="1324" t="str">
        <f>IF(LEN('11.700'!H355)=0,"",'11.700'!H355)</f>
        <v/>
      </c>
      <c r="C1228" s="1280" t="str">
        <f t="shared" si="68"/>
        <v/>
      </c>
      <c r="D1228" s="589"/>
      <c r="E1228" s="589"/>
      <c r="F1228" s="589"/>
      <c r="G1228" s="1290" t="s">
        <v>5093</v>
      </c>
      <c r="H1228" s="1326"/>
      <c r="J1228" s="1312"/>
    </row>
    <row r="1229" spans="2:10" x14ac:dyDescent="0.2">
      <c r="B1229" s="1324" t="str">
        <f>IF(LEN('11.700'!H356)=0,"",'11.700'!H356)</f>
        <v/>
      </c>
      <c r="C1229" s="1280" t="str">
        <f t="shared" si="68"/>
        <v/>
      </c>
      <c r="D1229" s="589"/>
      <c r="E1229" s="606"/>
      <c r="F1229" s="606"/>
      <c r="G1229" s="1291" t="s">
        <v>5094</v>
      </c>
      <c r="H1229" s="1326"/>
      <c r="J1229" s="1312"/>
    </row>
    <row r="1230" spans="2:10" x14ac:dyDescent="0.2">
      <c r="B1230" s="1324" t="str">
        <f>IF(LEN('11.700'!H357)=0,"",'11.700'!H357)</f>
        <v/>
      </c>
      <c r="C1230" s="1280" t="str">
        <f t="shared" si="68"/>
        <v/>
      </c>
      <c r="D1230" s="589"/>
      <c r="E1230" s="589" t="s">
        <v>255</v>
      </c>
      <c r="F1230" s="589"/>
      <c r="G1230" s="1290" t="s">
        <v>4174</v>
      </c>
      <c r="H1230" s="1326"/>
      <c r="J1230" s="1312"/>
    </row>
    <row r="1231" spans="2:10" x14ac:dyDescent="0.2">
      <c r="B1231" s="1324" t="str">
        <f>IF(LEN('11.700'!H358)=0,"",'11.700'!H358)</f>
        <v/>
      </c>
      <c r="C1231" s="1280" t="str">
        <f t="shared" si="68"/>
        <v/>
      </c>
      <c r="D1231" s="589"/>
      <c r="E1231" s="589"/>
      <c r="F1231" s="589" t="s">
        <v>121</v>
      </c>
      <c r="G1231" s="1634" t="s">
        <v>4175</v>
      </c>
      <c r="H1231" s="1326"/>
      <c r="I1231" s="88">
        <f ca="1">'11.700'!O358</f>
        <v>0</v>
      </c>
      <c r="J1231" s="1312"/>
    </row>
    <row r="1232" spans="2:10" x14ac:dyDescent="0.2">
      <c r="B1232" s="1324" t="str">
        <f>IF(LEN('11.700'!H359)=0,"",'11.700'!H359)</f>
        <v/>
      </c>
      <c r="C1232" s="1280" t="str">
        <f t="shared" si="68"/>
        <v/>
      </c>
      <c r="D1232" s="589"/>
      <c r="E1232" s="589"/>
      <c r="F1232" s="589"/>
      <c r="G1232" s="1634"/>
      <c r="H1232" s="1326"/>
      <c r="J1232" s="1312"/>
    </row>
    <row r="1233" spans="2:10" x14ac:dyDescent="0.2">
      <c r="B1233" s="1324" t="str">
        <f>IF(LEN('11.700'!H360)=0,"",'11.700'!H360)</f>
        <v/>
      </c>
      <c r="C1233" s="1280" t="str">
        <f t="shared" si="68"/>
        <v/>
      </c>
      <c r="D1233" s="589"/>
      <c r="E1233" s="589"/>
      <c r="F1233" s="136"/>
      <c r="G1233" s="1290" t="s">
        <v>5095</v>
      </c>
      <c r="H1233" s="1326"/>
      <c r="J1233" s="1312"/>
    </row>
    <row r="1234" spans="2:10" x14ac:dyDescent="0.2">
      <c r="B1234" s="1324" t="str">
        <f>IF(LEN('11.700'!H361)=0,"",'11.700'!H361)</f>
        <v/>
      </c>
      <c r="C1234" s="1280" t="str">
        <f t="shared" si="68"/>
        <v/>
      </c>
      <c r="D1234" s="589"/>
      <c r="E1234" s="589"/>
      <c r="F1234" s="136"/>
      <c r="G1234" s="1290" t="s">
        <v>5096</v>
      </c>
      <c r="H1234" s="1326"/>
      <c r="J1234" s="1312"/>
    </row>
    <row r="1235" spans="2:10" x14ac:dyDescent="0.2">
      <c r="B1235" s="1324" t="str">
        <f>IF(LEN('11.700'!H362)=0,"",'11.700'!H362)</f>
        <v/>
      </c>
      <c r="C1235" s="1280" t="str">
        <f t="shared" si="68"/>
        <v/>
      </c>
      <c r="D1235" s="589"/>
      <c r="E1235" s="589"/>
      <c r="F1235" s="136"/>
      <c r="G1235" s="1290" t="s">
        <v>5097</v>
      </c>
      <c r="H1235" s="1326"/>
      <c r="J1235" s="1312"/>
    </row>
    <row r="1236" spans="2:10" x14ac:dyDescent="0.2">
      <c r="B1236" s="1324" t="str">
        <f>IF(LEN('11.700'!H363)=0,"",'11.700'!H363)</f>
        <v/>
      </c>
      <c r="C1236" s="1280" t="str">
        <f t="shared" si="68"/>
        <v/>
      </c>
      <c r="D1236" s="589"/>
      <c r="E1236" s="589"/>
      <c r="F1236" s="136"/>
      <c r="G1236" s="97" t="s">
        <v>5098</v>
      </c>
      <c r="H1236" s="1326"/>
      <c r="J1236" s="1312"/>
    </row>
    <row r="1237" spans="2:10" x14ac:dyDescent="0.2">
      <c r="B1237" s="1324" t="str">
        <f>IF(LEN('11.700'!H364)=0,"",'11.700'!H364)</f>
        <v/>
      </c>
      <c r="C1237" s="1280" t="str">
        <f t="shared" si="68"/>
        <v/>
      </c>
      <c r="D1237" s="589"/>
      <c r="E1237" s="589"/>
      <c r="F1237" s="136"/>
      <c r="G1237" s="97" t="s">
        <v>5099</v>
      </c>
      <c r="H1237" s="1326"/>
      <c r="J1237" s="1312"/>
    </row>
    <row r="1238" spans="2:10" x14ac:dyDescent="0.2">
      <c r="B1238" s="1324" t="str">
        <f>IF(LEN('11.700'!H365)=0,"",'11.700'!H365)</f>
        <v/>
      </c>
      <c r="C1238" s="1280" t="str">
        <f t="shared" si="68"/>
        <v/>
      </c>
      <c r="D1238" s="589"/>
      <c r="E1238" s="589"/>
      <c r="F1238" s="102"/>
      <c r="G1238" s="1290" t="s">
        <v>5100</v>
      </c>
      <c r="H1238" s="1326"/>
      <c r="J1238" s="1312"/>
    </row>
    <row r="1239" spans="2:10" x14ac:dyDescent="0.2">
      <c r="B1239" s="1324" t="str">
        <f>IF(LEN('11.700'!H366)=0,"",'11.700'!H366)</f>
        <v/>
      </c>
      <c r="C1239" s="1280" t="str">
        <f t="shared" si="68"/>
        <v/>
      </c>
      <c r="D1239" s="589"/>
      <c r="E1239" s="589"/>
      <c r="F1239" s="591"/>
      <c r="G1239" s="170" t="s">
        <v>5101</v>
      </c>
      <c r="H1239" s="1326"/>
      <c r="J1239" s="1312"/>
    </row>
    <row r="1240" spans="2:10" x14ac:dyDescent="0.2">
      <c r="B1240" s="1324" t="str">
        <f>IF(LEN('11.700'!H367)=0,"",'11.700'!H367)</f>
        <v/>
      </c>
      <c r="C1240" s="1280" t="str">
        <f t="shared" si="68"/>
        <v/>
      </c>
      <c r="D1240" s="589"/>
      <c r="E1240" s="589"/>
      <c r="F1240" s="589" t="s">
        <v>122</v>
      </c>
      <c r="G1240" s="1634" t="s">
        <v>4176</v>
      </c>
      <c r="H1240" s="1326"/>
      <c r="I1240" s="88">
        <f ca="1">'11.700'!O367</f>
        <v>0</v>
      </c>
      <c r="J1240" s="1312"/>
    </row>
    <row r="1241" spans="2:10" x14ac:dyDescent="0.2">
      <c r="B1241" s="1324" t="str">
        <f>IF(LEN('11.700'!H368)=0,"",'11.700'!H368)</f>
        <v/>
      </c>
      <c r="C1241" s="1280" t="str">
        <f t="shared" si="68"/>
        <v/>
      </c>
      <c r="D1241" s="589"/>
      <c r="E1241" s="589"/>
      <c r="F1241" s="589"/>
      <c r="G1241" s="1634"/>
      <c r="H1241" s="1326"/>
      <c r="J1241" s="1312"/>
    </row>
    <row r="1242" spans="2:10" x14ac:dyDescent="0.2">
      <c r="B1242" s="1324" t="str">
        <f>IF(LEN('11.700'!H369)=0,"",'11.700'!H369)</f>
        <v/>
      </c>
      <c r="C1242" s="1280" t="str">
        <f t="shared" si="68"/>
        <v/>
      </c>
      <c r="D1242" s="589"/>
      <c r="E1242" s="589"/>
      <c r="F1242" s="136"/>
      <c r="G1242" s="97" t="s">
        <v>5099</v>
      </c>
      <c r="H1242" s="1326"/>
      <c r="J1242" s="1312"/>
    </row>
    <row r="1243" spans="2:10" x14ac:dyDescent="0.2">
      <c r="B1243" s="1324" t="str">
        <f>IF(LEN('11.700'!H370)=0,"",'11.700'!H370)</f>
        <v/>
      </c>
      <c r="C1243" s="1280" t="str">
        <f t="shared" si="68"/>
        <v/>
      </c>
      <c r="D1243" s="589"/>
      <c r="E1243" s="589"/>
      <c r="F1243" s="589"/>
      <c r="G1243" s="97" t="s">
        <v>5100</v>
      </c>
      <c r="H1243" s="1326"/>
      <c r="J1243" s="1312"/>
    </row>
    <row r="1244" spans="2:10" x14ac:dyDescent="0.2">
      <c r="B1244" s="1324" t="str">
        <f>IF(LEN('11.700'!H371)=0,"",'11.700'!H371)</f>
        <v/>
      </c>
      <c r="C1244" s="1280" t="str">
        <f t="shared" si="68"/>
        <v/>
      </c>
      <c r="D1244" s="589"/>
      <c r="E1244" s="589"/>
      <c r="F1244" s="136"/>
      <c r="G1244" s="1290" t="s">
        <v>5102</v>
      </c>
      <c r="H1244" s="1326"/>
      <c r="J1244" s="1312"/>
    </row>
    <row r="1245" spans="2:10" x14ac:dyDescent="0.2">
      <c r="B1245" s="1324" t="str">
        <f>IF(LEN('11.700'!H372)=0,"",'11.700'!H372)</f>
        <v/>
      </c>
      <c r="C1245" s="1280" t="str">
        <f t="shared" si="68"/>
        <v/>
      </c>
      <c r="D1245" s="589"/>
      <c r="E1245" s="589"/>
      <c r="F1245" s="591"/>
      <c r="G1245" s="170" t="s">
        <v>5103</v>
      </c>
      <c r="H1245" s="1326"/>
      <c r="J1245" s="1312"/>
    </row>
    <row r="1246" spans="2:10" x14ac:dyDescent="0.2">
      <c r="B1246" s="1324" t="str">
        <f>IF(LEN('11.700'!H373)=0,"",'11.700'!H373)</f>
        <v/>
      </c>
      <c r="C1246" s="1280" t="str">
        <f t="shared" si="68"/>
        <v/>
      </c>
      <c r="D1246" s="589"/>
      <c r="E1246" s="589"/>
      <c r="F1246" s="608" t="s">
        <v>123</v>
      </c>
      <c r="G1246" s="1633" t="s">
        <v>4177</v>
      </c>
      <c r="H1246" s="1326"/>
      <c r="I1246" s="88">
        <f ca="1">'11.700'!O373</f>
        <v>0</v>
      </c>
      <c r="J1246" s="1312"/>
    </row>
    <row r="1247" spans="2:10" x14ac:dyDescent="0.2">
      <c r="B1247" s="1324" t="str">
        <f>IF(LEN('11.700'!H374)=0,"",'11.700'!H374)</f>
        <v/>
      </c>
      <c r="C1247" s="1280" t="str">
        <f t="shared" si="68"/>
        <v/>
      </c>
      <c r="D1247" s="589"/>
      <c r="E1247" s="589"/>
      <c r="F1247" s="606"/>
      <c r="G1247" s="1639"/>
      <c r="H1247" s="1326"/>
      <c r="J1247" s="1312"/>
    </row>
    <row r="1248" spans="2:10" x14ac:dyDescent="0.2">
      <c r="B1248" s="1324" t="str">
        <f>IF(LEN('11.700'!H375)=0,"",'11.700'!H375)</f>
        <v/>
      </c>
      <c r="C1248" s="1280" t="str">
        <f t="shared" si="68"/>
        <v/>
      </c>
      <c r="D1248" s="589"/>
      <c r="E1248" s="589"/>
      <c r="F1248" s="608" t="s">
        <v>366</v>
      </c>
      <c r="G1248" s="1633" t="s">
        <v>4178</v>
      </c>
      <c r="H1248" s="1326"/>
      <c r="I1248" s="88">
        <f ca="1">'11.700'!O375</f>
        <v>0</v>
      </c>
      <c r="J1248" s="1312"/>
    </row>
    <row r="1249" spans="1:10" x14ac:dyDescent="0.2">
      <c r="B1249" s="1324" t="str">
        <f>IF(LEN('11.700'!H376)=0,"",'11.700'!H376)</f>
        <v/>
      </c>
      <c r="C1249" s="1280" t="str">
        <f t="shared" si="68"/>
        <v/>
      </c>
      <c r="D1249" s="589"/>
      <c r="E1249" s="589"/>
      <c r="F1249" s="606"/>
      <c r="G1249" s="1639"/>
      <c r="H1249" s="1326"/>
      <c r="J1249" s="1312"/>
    </row>
    <row r="1250" spans="1:10" x14ac:dyDescent="0.2">
      <c r="B1250" s="1324" t="str">
        <f>IF(LEN('11.700'!H377)=0,"",'11.700'!H377)</f>
        <v/>
      </c>
      <c r="C1250" s="1280" t="str">
        <f t="shared" si="68"/>
        <v/>
      </c>
      <c r="D1250" s="589"/>
      <c r="E1250" s="590"/>
      <c r="F1250" s="590" t="s">
        <v>472</v>
      </c>
      <c r="G1250" s="1634" t="s">
        <v>4179</v>
      </c>
      <c r="H1250" s="1326"/>
      <c r="I1250" s="88">
        <f ca="1">'11.700'!O377</f>
        <v>0</v>
      </c>
      <c r="J1250" s="1312"/>
    </row>
    <row r="1251" spans="1:10" x14ac:dyDescent="0.2">
      <c r="B1251" s="1324" t="str">
        <f>IF(LEN('11.700'!H378)=0,"",'11.700'!H378)</f>
        <v/>
      </c>
      <c r="C1251" s="1280" t="str">
        <f t="shared" si="68"/>
        <v/>
      </c>
      <c r="D1251" s="589"/>
      <c r="E1251" s="606"/>
      <c r="F1251" s="606"/>
      <c r="G1251" s="1639"/>
      <c r="H1251" s="1326"/>
      <c r="J1251" s="1312"/>
    </row>
    <row r="1252" spans="1:10" x14ac:dyDescent="0.2">
      <c r="B1252" s="1324" t="str">
        <f>IF(LEN('11.700'!H379)=0,"",'11.700'!H379)</f>
        <v/>
      </c>
      <c r="C1252" s="1280" t="str">
        <f t="shared" si="68"/>
        <v/>
      </c>
      <c r="D1252" s="606"/>
      <c r="E1252" s="606" t="s">
        <v>256</v>
      </c>
      <c r="F1252" s="606"/>
      <c r="G1252" s="1291" t="s">
        <v>4180</v>
      </c>
      <c r="H1252" s="1326"/>
      <c r="I1252" s="88">
        <f ca="1">'11.700'!O379</f>
        <v>0</v>
      </c>
      <c r="J1252" s="1312"/>
    </row>
    <row r="1253" spans="1:10" x14ac:dyDescent="0.2">
      <c r="A1253" s="467" t="str">
        <f ca="1">IF(I1253&gt;0,"P","")</f>
        <v/>
      </c>
      <c r="B1253" s="1324" t="str">
        <f>IF(LEN('11.700'!H380)=0,"",'11.700'!H380)</f>
        <v/>
      </c>
      <c r="C1253" s="1280" t="str">
        <f t="shared" ca="1" si="68"/>
        <v/>
      </c>
      <c r="D1253" s="608" t="s">
        <v>4181</v>
      </c>
      <c r="E1253" s="608"/>
      <c r="F1253" s="608"/>
      <c r="G1253" s="1686" t="s">
        <v>4182</v>
      </c>
      <c r="H1253" s="1341" t="str">
        <f>IF(LEN('11.700'!W380)=0,"",'11.700'!W380)</f>
        <v/>
      </c>
      <c r="I1253" s="88">
        <f ca="1">'11.700'!O380</f>
        <v>0</v>
      </c>
      <c r="J1253" s="1779" t="s">
        <v>5189</v>
      </c>
    </row>
    <row r="1254" spans="1:10" x14ac:dyDescent="0.2">
      <c r="A1254" s="467" t="str">
        <f t="shared" ref="A1254" ca="1" si="69">A1253</f>
        <v/>
      </c>
      <c r="B1254" s="1324" t="str">
        <f>IF(LEN('11.700'!H381)=0,"",'11.700'!H381)</f>
        <v/>
      </c>
      <c r="C1254" s="1280" t="str">
        <f t="shared" ca="1" si="68"/>
        <v/>
      </c>
      <c r="D1254" s="606"/>
      <c r="E1254" s="606"/>
      <c r="F1254" s="606"/>
      <c r="G1254" s="1688"/>
      <c r="H1254" s="1326"/>
      <c r="J1254" s="1779"/>
    </row>
    <row r="1255" spans="1:10" x14ac:dyDescent="0.2">
      <c r="A1255" s="467" t="str">
        <f ca="1">IF(I1255&gt;0,"P","")</f>
        <v/>
      </c>
      <c r="B1255" s="1324" t="str">
        <f>IF(LEN('11.700'!H382)=0,"",'11.700'!H382)</f>
        <v/>
      </c>
      <c r="C1255" s="1280" t="str">
        <f t="shared" ca="1" si="68"/>
        <v/>
      </c>
      <c r="D1255" s="608" t="s">
        <v>4183</v>
      </c>
      <c r="E1255" s="608"/>
      <c r="F1255" s="608"/>
      <c r="G1255" s="1303" t="s">
        <v>4184</v>
      </c>
      <c r="H1255" s="1341" t="str">
        <f>IF(LEN('11.700'!W382)=0,"",'11.700'!W382)</f>
        <v/>
      </c>
      <c r="I1255" s="88">
        <f ca="1">'11.700'!O382</f>
        <v>0</v>
      </c>
      <c r="J1255" s="1312" t="s">
        <v>5142</v>
      </c>
    </row>
    <row r="1256" spans="1:10" x14ac:dyDescent="0.2">
      <c r="A1256" s="467" t="str">
        <f t="shared" ref="A1256" ca="1" si="70">A1255</f>
        <v/>
      </c>
      <c r="B1256" s="1324" t="str">
        <f>IF(LEN('11.700'!H383)=0,"",'11.700'!H383)</f>
        <v/>
      </c>
      <c r="C1256" s="1280" t="str">
        <f t="shared" ca="1" si="68"/>
        <v/>
      </c>
      <c r="D1256" s="606"/>
      <c r="E1256" s="606"/>
      <c r="F1256" s="606"/>
      <c r="G1256" s="1302"/>
      <c r="H1256" s="1326"/>
      <c r="J1256" s="1312"/>
    </row>
    <row r="1257" spans="1:10" x14ac:dyDescent="0.2">
      <c r="A1257" s="467" t="str">
        <f ca="1">IF(I1257&gt;0,"P","")</f>
        <v/>
      </c>
      <c r="B1257" s="1324" t="str">
        <f>IF(LEN('11.700'!H384)=0,"",'11.700'!H384)</f>
        <v/>
      </c>
      <c r="C1257" s="1280" t="str">
        <f t="shared" ca="1" si="68"/>
        <v/>
      </c>
      <c r="D1257" s="608" t="s">
        <v>4185</v>
      </c>
      <c r="E1257" s="608"/>
      <c r="F1257" s="608"/>
      <c r="G1257" s="1686" t="s">
        <v>4186</v>
      </c>
      <c r="H1257" s="1341" t="str">
        <f>IF(LEN('11.700'!W384)=0,"",'11.700'!W384)</f>
        <v/>
      </c>
      <c r="I1257" s="88">
        <f ca="1">'11.700'!O384</f>
        <v>0</v>
      </c>
      <c r="J1257" s="1312" t="s">
        <v>3120</v>
      </c>
    </row>
    <row r="1258" spans="1:10" x14ac:dyDescent="0.2">
      <c r="A1258" s="467" t="str">
        <f t="shared" ref="A1258" ca="1" si="71">A1257</f>
        <v/>
      </c>
      <c r="B1258" s="1324" t="str">
        <f>IF(LEN('11.700'!H385)=0,"",'11.700'!H385)</f>
        <v/>
      </c>
      <c r="C1258" s="1280" t="str">
        <f t="shared" ca="1" si="68"/>
        <v/>
      </c>
      <c r="D1258" s="606"/>
      <c r="E1258" s="606"/>
      <c r="F1258" s="606"/>
      <c r="G1258" s="1688"/>
      <c r="H1258" s="1326"/>
      <c r="J1258" s="1312"/>
    </row>
    <row r="1259" spans="1:10" x14ac:dyDescent="0.2">
      <c r="A1259" s="467" t="str">
        <f ca="1">IF(I1259&gt;0,"P","")</f>
        <v/>
      </c>
      <c r="B1259" s="1324" t="str">
        <f>IF(LEN('11.700'!H386)=0,"",'11.700'!H386)</f>
        <v/>
      </c>
      <c r="C1259" s="1280" t="str">
        <f t="shared" ca="1" si="68"/>
        <v/>
      </c>
      <c r="D1259" s="589" t="s">
        <v>4187</v>
      </c>
      <c r="E1259" s="589"/>
      <c r="F1259" s="589"/>
      <c r="G1259" s="1687" t="s">
        <v>4188</v>
      </c>
      <c r="H1259" s="1341" t="str">
        <f>IF(LEN('11.700'!W386)=0,"",'11.700'!W386)</f>
        <v/>
      </c>
      <c r="I1259" s="1397">
        <f ca="1">SUM(I1263:I1270)</f>
        <v>0</v>
      </c>
      <c r="J1259" s="1312" t="s">
        <v>5190</v>
      </c>
    </row>
    <row r="1260" spans="1:10" x14ac:dyDescent="0.2">
      <c r="A1260" s="467" t="str">
        <f t="shared" ref="A1260:A1262" ca="1" si="72">A1259</f>
        <v/>
      </c>
      <c r="B1260" s="1324" t="str">
        <f>IF(LEN('11.700'!H387)=0,"",'11.700'!H387)</f>
        <v/>
      </c>
      <c r="C1260" s="1280" t="str">
        <f t="shared" ca="1" si="68"/>
        <v/>
      </c>
      <c r="D1260" s="589"/>
      <c r="E1260" s="589"/>
      <c r="F1260" s="589"/>
      <c r="G1260" s="1687"/>
      <c r="H1260" s="1326"/>
      <c r="J1260" s="1312"/>
    </row>
    <row r="1261" spans="1:10" x14ac:dyDescent="0.2">
      <c r="A1261" s="467" t="str">
        <f t="shared" ca="1" si="72"/>
        <v/>
      </c>
      <c r="B1261" s="1324" t="str">
        <f>IF(LEN('11.700'!H388)=0,"",'11.700'!H388)</f>
        <v/>
      </c>
      <c r="C1261" s="1280" t="str">
        <f t="shared" ca="1" si="68"/>
        <v/>
      </c>
      <c r="D1261" s="589"/>
      <c r="E1261" s="589"/>
      <c r="F1261" s="589"/>
      <c r="G1261" s="1687"/>
      <c r="H1261" s="1341" t="str">
        <f>IF(LEN('11.700'!W388)=0,"",'11.700'!W388)</f>
        <v/>
      </c>
      <c r="J1261" s="1312"/>
    </row>
    <row r="1262" spans="1:10" x14ac:dyDescent="0.2">
      <c r="A1262" s="467" t="str">
        <f t="shared" ca="1" si="72"/>
        <v/>
      </c>
      <c r="B1262" s="1324" t="str">
        <f>IF(LEN('11.700'!H389)=0,"",'11.700'!H389)</f>
        <v/>
      </c>
      <c r="C1262" s="1280" t="str">
        <f t="shared" ca="1" si="68"/>
        <v/>
      </c>
      <c r="D1262" s="589"/>
      <c r="E1262" s="589"/>
      <c r="F1262" s="589"/>
      <c r="G1262" s="1687"/>
      <c r="H1262" s="1326"/>
      <c r="J1262" s="1312"/>
    </row>
    <row r="1263" spans="1:10" x14ac:dyDescent="0.2">
      <c r="B1263" s="1324" t="str">
        <f>IF(LEN('11.700'!H390)=0,"",'11.700'!H390)</f>
        <v/>
      </c>
      <c r="C1263" s="1280" t="str">
        <f t="shared" si="68"/>
        <v/>
      </c>
      <c r="D1263" s="589"/>
      <c r="E1263" s="589"/>
      <c r="F1263" s="589" t="s">
        <v>121</v>
      </c>
      <c r="G1263" s="1634" t="s">
        <v>4189</v>
      </c>
      <c r="H1263" s="1326"/>
      <c r="I1263" s="88">
        <f ca="1">'11.700'!O390</f>
        <v>0</v>
      </c>
      <c r="J1263" s="1312"/>
    </row>
    <row r="1264" spans="1:10" x14ac:dyDescent="0.2">
      <c r="B1264" s="1324" t="str">
        <f>IF(LEN('11.700'!H391)=0,"",'11.700'!H391)</f>
        <v/>
      </c>
      <c r="C1264" s="1280" t="str">
        <f t="shared" si="68"/>
        <v/>
      </c>
      <c r="D1264" s="589"/>
      <c r="E1264" s="589"/>
      <c r="F1264" s="589"/>
      <c r="G1264" s="1634"/>
      <c r="H1264" s="1326"/>
      <c r="J1264" s="1312"/>
    </row>
    <row r="1265" spans="1:10" x14ac:dyDescent="0.2">
      <c r="B1265" s="1324" t="str">
        <f>IF(LEN('11.700'!H392)=0,"",'11.700'!H392)</f>
        <v/>
      </c>
      <c r="C1265" s="1280" t="str">
        <f t="shared" si="68"/>
        <v/>
      </c>
      <c r="D1265" s="589"/>
      <c r="E1265" s="589"/>
      <c r="F1265" s="136"/>
      <c r="G1265" s="1290" t="s">
        <v>4190</v>
      </c>
      <c r="H1265" s="1326"/>
      <c r="J1265" s="1312"/>
    </row>
    <row r="1266" spans="1:10" x14ac:dyDescent="0.2">
      <c r="B1266" s="1324" t="str">
        <f>IF(LEN('11.700'!H393)=0,"",'11.700'!H393)</f>
        <v/>
      </c>
      <c r="C1266" s="1280" t="str">
        <f t="shared" si="68"/>
        <v/>
      </c>
      <c r="D1266" s="589"/>
      <c r="E1266" s="589"/>
      <c r="F1266" s="136"/>
      <c r="G1266" s="1290" t="s">
        <v>4191</v>
      </c>
      <c r="H1266" s="1326"/>
      <c r="J1266" s="1312"/>
    </row>
    <row r="1267" spans="1:10" x14ac:dyDescent="0.2">
      <c r="B1267" s="1324" t="str">
        <f>IF(LEN('11.700'!H394)=0,"",'11.700'!H394)</f>
        <v/>
      </c>
      <c r="C1267" s="1280" t="str">
        <f t="shared" si="68"/>
        <v/>
      </c>
      <c r="D1267" s="589"/>
      <c r="E1267" s="589"/>
      <c r="F1267" s="136"/>
      <c r="G1267" s="1290" t="s">
        <v>4192</v>
      </c>
      <c r="H1267" s="1326"/>
      <c r="J1267" s="1312"/>
    </row>
    <row r="1268" spans="1:10" x14ac:dyDescent="0.2">
      <c r="B1268" s="1324" t="str">
        <f>IF(LEN('11.700'!H395)=0,"",'11.700'!H395)</f>
        <v/>
      </c>
      <c r="C1268" s="1280" t="str">
        <f t="shared" si="68"/>
        <v/>
      </c>
      <c r="D1268" s="589"/>
      <c r="E1268" s="589"/>
      <c r="F1268" s="136"/>
      <c r="G1268" s="1290" t="s">
        <v>4193</v>
      </c>
      <c r="H1268" s="1326"/>
      <c r="J1268" s="1312"/>
    </row>
    <row r="1269" spans="1:10" x14ac:dyDescent="0.2">
      <c r="B1269" s="1324" t="str">
        <f>IF(LEN('11.700'!H396)=0,"",'11.700'!H396)</f>
        <v/>
      </c>
      <c r="C1269" s="1280" t="str">
        <f t="shared" si="68"/>
        <v/>
      </c>
      <c r="D1269" s="589"/>
      <c r="E1269" s="589"/>
      <c r="F1269" s="591"/>
      <c r="G1269" s="1291" t="s">
        <v>4194</v>
      </c>
      <c r="H1269" s="1326"/>
      <c r="J1269" s="1312"/>
    </row>
    <row r="1270" spans="1:10" x14ac:dyDescent="0.2">
      <c r="B1270" s="1324" t="str">
        <f>IF(LEN('11.700'!H397)=0,"",'11.700'!H397)</f>
        <v/>
      </c>
      <c r="C1270" s="1280" t="str">
        <f t="shared" si="68"/>
        <v/>
      </c>
      <c r="D1270" s="589"/>
      <c r="E1270" s="589"/>
      <c r="F1270" s="589" t="s">
        <v>122</v>
      </c>
      <c r="G1270" s="1634" t="s">
        <v>4195</v>
      </c>
      <c r="H1270" s="1326"/>
      <c r="I1270" s="88">
        <f ca="1">'11.700'!O397</f>
        <v>0</v>
      </c>
      <c r="J1270" s="1312"/>
    </row>
    <row r="1271" spans="1:10" x14ac:dyDescent="0.2">
      <c r="B1271" s="1324" t="str">
        <f>IF(LEN('11.700'!H398)=0,"",'11.700'!H398)</f>
        <v/>
      </c>
      <c r="C1271" s="1280" t="str">
        <f t="shared" si="68"/>
        <v/>
      </c>
      <c r="D1271" s="589"/>
      <c r="E1271" s="589"/>
      <c r="F1271" s="136"/>
      <c r="G1271" s="1634"/>
      <c r="H1271" s="1326"/>
      <c r="J1271" s="1312"/>
    </row>
    <row r="1272" spans="1:10" x14ac:dyDescent="0.2">
      <c r="B1272" s="1324" t="str">
        <f>IF(LEN('11.700'!H399)=0,"",'11.700'!H399)</f>
        <v/>
      </c>
      <c r="C1272" s="1280" t="str">
        <f t="shared" si="68"/>
        <v/>
      </c>
      <c r="D1272" s="589"/>
      <c r="E1272" s="589"/>
      <c r="F1272" s="136"/>
      <c r="G1272" s="1290" t="s">
        <v>4190</v>
      </c>
      <c r="H1272" s="1326"/>
      <c r="J1272" s="1312"/>
    </row>
    <row r="1273" spans="1:10" x14ac:dyDescent="0.2">
      <c r="B1273" s="1324" t="str">
        <f>IF(LEN('11.700'!H400)=0,"",'11.700'!H400)</f>
        <v/>
      </c>
      <c r="C1273" s="1280" t="str">
        <f t="shared" si="68"/>
        <v/>
      </c>
      <c r="D1273" s="589"/>
      <c r="E1273" s="589"/>
      <c r="F1273" s="589"/>
      <c r="G1273" s="1290" t="s">
        <v>4191</v>
      </c>
      <c r="H1273" s="1326"/>
      <c r="J1273" s="1312"/>
    </row>
    <row r="1274" spans="1:10" x14ac:dyDescent="0.2">
      <c r="B1274" s="1324" t="str">
        <f>IF(LEN('11.700'!H401)=0,"",'11.700'!H401)</f>
        <v/>
      </c>
      <c r="C1274" s="1280" t="str">
        <f t="shared" si="68"/>
        <v/>
      </c>
      <c r="D1274" s="589"/>
      <c r="E1274" s="589"/>
      <c r="F1274" s="589"/>
      <c r="G1274" s="1290" t="s">
        <v>4192</v>
      </c>
      <c r="H1274" s="1326"/>
      <c r="J1274" s="1312"/>
    </row>
    <row r="1275" spans="1:10" x14ac:dyDescent="0.2">
      <c r="B1275" s="1324" t="str">
        <f>IF(LEN('11.700'!H402)=0,"",'11.700'!H402)</f>
        <v/>
      </c>
      <c r="C1275" s="1280" t="str">
        <f t="shared" si="68"/>
        <v/>
      </c>
      <c r="D1275" s="589"/>
      <c r="E1275" s="589"/>
      <c r="F1275" s="589"/>
      <c r="G1275" s="1290" t="s">
        <v>4193</v>
      </c>
      <c r="H1275" s="1326"/>
      <c r="J1275" s="1312"/>
    </row>
    <row r="1276" spans="1:10" ht="16" thickBot="1" x14ac:dyDescent="0.25">
      <c r="B1276" s="1324" t="str">
        <f>IF(LEN('11.700'!H403)=0,"",'11.700'!H403)</f>
        <v/>
      </c>
      <c r="C1276" s="1280" t="str">
        <f t="shared" si="68"/>
        <v/>
      </c>
      <c r="D1276" s="594"/>
      <c r="E1276" s="594"/>
      <c r="F1276" s="594"/>
      <c r="G1276" s="1293" t="s">
        <v>4194</v>
      </c>
      <c r="H1276" s="1326"/>
      <c r="J1276" s="1312"/>
    </row>
    <row r="1277" spans="1:10" ht="16" thickTop="1" x14ac:dyDescent="0.2">
      <c r="A1277" s="1503" t="str">
        <f ca="1">IF(COUNTIF(A1278:A1286,"P")&gt;0,"P","")</f>
        <v/>
      </c>
      <c r="B1277" s="1324" t="str">
        <f>IF(LEN('11.700'!H404)=0,"",'11.700'!H404)</f>
        <v/>
      </c>
      <c r="C1277" s="1280" t="str">
        <f t="shared" ca="1" si="68"/>
        <v/>
      </c>
      <c r="D1277" s="589" t="s">
        <v>4196</v>
      </c>
      <c r="E1277" s="589"/>
      <c r="F1277" s="589"/>
      <c r="G1277" s="1301" t="s">
        <v>4197</v>
      </c>
      <c r="H1277" s="1326"/>
      <c r="J1277" s="1312"/>
    </row>
    <row r="1278" spans="1:10" ht="50.25" customHeight="1" x14ac:dyDescent="0.2">
      <c r="A1278" s="467" t="str">
        <f ca="1">IF(I1278&gt;0,"P","")</f>
        <v/>
      </c>
      <c r="B1278" s="1324" t="str">
        <f>IF(LEN('11.700'!H405)=0,"",'11.700'!H405)</f>
        <v/>
      </c>
      <c r="C1278" s="1280" t="str">
        <f t="shared" ca="1" si="68"/>
        <v/>
      </c>
      <c r="D1278" s="589" t="s">
        <v>4198</v>
      </c>
      <c r="E1278" s="589"/>
      <c r="F1278" s="589"/>
      <c r="G1278" s="1687" t="s">
        <v>4199</v>
      </c>
      <c r="H1278" s="1326"/>
      <c r="I1278" s="1397">
        <f ca="1">SUM(I1280:I1284)</f>
        <v>0</v>
      </c>
      <c r="J1278" s="1779" t="s">
        <v>5191</v>
      </c>
    </row>
    <row r="1279" spans="1:10" x14ac:dyDescent="0.2">
      <c r="A1279" s="467" t="str">
        <f t="shared" ref="A1279" ca="1" si="73">A1278</f>
        <v/>
      </c>
      <c r="B1279" s="1324" t="str">
        <f>IF(LEN('11.700'!H406)=0,"",'11.700'!H406)</f>
        <v/>
      </c>
      <c r="C1279" s="1280" t="str">
        <f t="shared" ca="1" si="68"/>
        <v/>
      </c>
      <c r="D1279" s="589"/>
      <c r="E1279" s="589"/>
      <c r="F1279" s="589"/>
      <c r="G1279" s="1687"/>
      <c r="H1279" s="1326"/>
      <c r="J1279" s="1779"/>
    </row>
    <row r="1280" spans="1:10" ht="15" customHeight="1" x14ac:dyDescent="0.2">
      <c r="B1280" s="1324" t="str">
        <f>IF(LEN('11.700'!H407)=0,"",'11.700'!H407)</f>
        <v/>
      </c>
      <c r="C1280" s="1280" t="str">
        <f t="shared" si="68"/>
        <v/>
      </c>
      <c r="D1280" s="589"/>
      <c r="E1280" s="590" t="s">
        <v>254</v>
      </c>
      <c r="F1280" s="590"/>
      <c r="G1280" s="1634" t="s">
        <v>5637</v>
      </c>
      <c r="H1280" s="1341" t="str">
        <f>IF(LEN('11.700'!W407)=0,"",'11.700'!W407)</f>
        <v/>
      </c>
      <c r="I1280" s="88">
        <f ca="1">'11.700'!O407</f>
        <v>0</v>
      </c>
      <c r="J1280" s="1312"/>
    </row>
    <row r="1281" spans="1:10" x14ac:dyDescent="0.2">
      <c r="B1281" s="1324" t="str">
        <f>IF(LEN('11.700'!H408)=0,"",'11.700'!H408)</f>
        <v/>
      </c>
      <c r="C1281" s="1280" t="str">
        <f t="shared" si="68"/>
        <v/>
      </c>
      <c r="D1281" s="589"/>
      <c r="E1281" s="606"/>
      <c r="F1281" s="606"/>
      <c r="G1281" s="1639"/>
      <c r="H1281" s="1326"/>
      <c r="J1281" s="1312"/>
    </row>
    <row r="1282" spans="1:10" x14ac:dyDescent="0.2">
      <c r="B1282" s="1324" t="str">
        <f>IF(LEN('11.700'!H409)=0,"",'11.700'!H409)</f>
        <v/>
      </c>
      <c r="C1282" s="1280" t="str">
        <f t="shared" si="68"/>
        <v/>
      </c>
      <c r="D1282" s="589"/>
      <c r="E1282" s="608" t="s">
        <v>255</v>
      </c>
      <c r="F1282" s="608"/>
      <c r="G1282" s="1633" t="s">
        <v>4200</v>
      </c>
      <c r="H1282" s="1341" t="str">
        <f>IF(LEN('11.700'!W409)=0,"",'11.700'!W409)</f>
        <v/>
      </c>
      <c r="I1282" s="88">
        <f ca="1">'11.700'!O409</f>
        <v>0</v>
      </c>
      <c r="J1282" s="1312"/>
    </row>
    <row r="1283" spans="1:10" x14ac:dyDescent="0.2">
      <c r="B1283" s="1324" t="str">
        <f>IF(LEN('11.700'!H410)=0,"",'11.700'!H410)</f>
        <v/>
      </c>
      <c r="C1283" s="1280" t="str">
        <f t="shared" si="68"/>
        <v/>
      </c>
      <c r="D1283" s="589"/>
      <c r="E1283" s="606"/>
      <c r="F1283" s="606"/>
      <c r="G1283" s="1639"/>
      <c r="H1283" s="1326"/>
      <c r="J1283" s="1312"/>
    </row>
    <row r="1284" spans="1:10" x14ac:dyDescent="0.2">
      <c r="B1284" s="1324" t="str">
        <f>IF(LEN('11.700'!H411)=0,"",'11.700'!H411)</f>
        <v/>
      </c>
      <c r="C1284" s="1280" t="str">
        <f t="shared" si="68"/>
        <v/>
      </c>
      <c r="D1284" s="590"/>
      <c r="E1284" s="590" t="s">
        <v>256</v>
      </c>
      <c r="F1284" s="590"/>
      <c r="G1284" s="1634" t="s">
        <v>4201</v>
      </c>
      <c r="H1284" s="1341" t="str">
        <f>IF(LEN('11.700'!W411)=0,"",'11.700'!W411)</f>
        <v/>
      </c>
      <c r="I1284" s="88">
        <f ca="1">'11.700'!O411</f>
        <v>0</v>
      </c>
      <c r="J1284" s="1312"/>
    </row>
    <row r="1285" spans="1:10" x14ac:dyDescent="0.2">
      <c r="B1285" s="1324" t="str">
        <f>IF(LEN('11.700'!H412)=0,"",'11.700'!H412)</f>
        <v/>
      </c>
      <c r="C1285" s="1280" t="str">
        <f t="shared" si="68"/>
        <v/>
      </c>
      <c r="D1285" s="606"/>
      <c r="E1285" s="606"/>
      <c r="F1285" s="606"/>
      <c r="G1285" s="1639"/>
      <c r="H1285" s="1326"/>
      <c r="J1285" s="1312"/>
    </row>
    <row r="1286" spans="1:10" ht="45" x14ac:dyDescent="0.2">
      <c r="A1286" s="467" t="str">
        <f ca="1">IF(I1286&gt;0,"P","")</f>
        <v/>
      </c>
      <c r="B1286" s="1324" t="str">
        <f>IF(LEN('11.700'!H413)=0,"",'11.700'!H413)</f>
        <v/>
      </c>
      <c r="C1286" s="1280" t="str">
        <f t="shared" ca="1" si="68"/>
        <v/>
      </c>
      <c r="D1286" s="589" t="s">
        <v>4202</v>
      </c>
      <c r="E1286" s="589"/>
      <c r="F1286" s="589"/>
      <c r="G1286" s="1301" t="s">
        <v>4203</v>
      </c>
      <c r="H1286" s="1326"/>
      <c r="I1286" s="1397">
        <f ca="1">SUM(I1287:I1289)</f>
        <v>0</v>
      </c>
      <c r="J1286" s="1312" t="s">
        <v>5192</v>
      </c>
    </row>
    <row r="1287" spans="1:10" x14ac:dyDescent="0.2">
      <c r="A1287" s="467" t="str">
        <f ca="1">IF(I1287&gt;0,"P","")</f>
        <v/>
      </c>
      <c r="B1287" s="1324" t="str">
        <f>IF(LEN('11.700'!H414)=0,"",'11.700'!H414)</f>
        <v/>
      </c>
      <c r="C1287" s="1280" t="str">
        <f t="shared" ca="1" si="68"/>
        <v/>
      </c>
      <c r="D1287" s="589"/>
      <c r="E1287" s="606" t="s">
        <v>254</v>
      </c>
      <c r="F1287" s="606"/>
      <c r="G1287" s="1291" t="s">
        <v>4204</v>
      </c>
      <c r="H1287" s="1341" t="str">
        <f>IF(LEN('11.700'!W414)=0,"",'11.700'!W414)</f>
        <v/>
      </c>
      <c r="I1287" s="88">
        <f ca="1">'11.700'!O414</f>
        <v>0</v>
      </c>
      <c r="J1287" s="1312"/>
    </row>
    <row r="1288" spans="1:10" x14ac:dyDescent="0.2">
      <c r="A1288" s="467" t="str">
        <f ca="1">IF(I1288&gt;0,"P","")</f>
        <v/>
      </c>
      <c r="B1288" s="1324" t="str">
        <f>IF(LEN('11.700'!H415)=0,"",'11.700'!H415)</f>
        <v/>
      </c>
      <c r="C1288" s="1280" t="str">
        <f t="shared" ref="C1288:C1351" ca="1" si="74">IF(LEN(B1288)=0,IF(A1288="P","P",""),B1288)</f>
        <v/>
      </c>
      <c r="D1288" s="589"/>
      <c r="E1288" s="607" t="s">
        <v>255</v>
      </c>
      <c r="F1288" s="607"/>
      <c r="G1288" s="1075" t="s">
        <v>4205</v>
      </c>
      <c r="H1288" s="1341" t="str">
        <f>IF(LEN('11.700'!W415)=0,"",'11.700'!W415)</f>
        <v/>
      </c>
      <c r="I1288" s="88">
        <f ca="1">'11.700'!O415</f>
        <v>0</v>
      </c>
      <c r="J1288" s="1312"/>
    </row>
    <row r="1289" spans="1:10" x14ac:dyDescent="0.2">
      <c r="A1289" s="467" t="str">
        <f ca="1">IF(I1289&gt;0,"P","")</f>
        <v/>
      </c>
      <c r="B1289" s="1324" t="str">
        <f>IF(LEN('11.700'!H416)=0,"",'11.700'!H416)</f>
        <v/>
      </c>
      <c r="C1289" s="1280" t="str">
        <f t="shared" ca="1" si="74"/>
        <v/>
      </c>
      <c r="D1289" s="590"/>
      <c r="E1289" s="590" t="s">
        <v>256</v>
      </c>
      <c r="F1289" s="590"/>
      <c r="G1289" s="1290" t="s">
        <v>4206</v>
      </c>
      <c r="H1289" s="1341" t="str">
        <f>IF(LEN('11.700'!W416)=0,"",'11.700'!W416)</f>
        <v/>
      </c>
      <c r="I1289" s="88">
        <f ca="1">'11.700'!O416</f>
        <v>0</v>
      </c>
      <c r="J1289" s="1312"/>
    </row>
    <row r="1290" spans="1:10" ht="16" thickBot="1" x14ac:dyDescent="0.25">
      <c r="B1290" s="1324" t="str">
        <f>IF(LEN('11.700'!H417)=0,"",'11.700'!H417)</f>
        <v/>
      </c>
      <c r="C1290" s="1280" t="str">
        <f t="shared" si="74"/>
        <v/>
      </c>
      <c r="D1290" s="116"/>
      <c r="E1290" s="116"/>
      <c r="F1290" s="116"/>
      <c r="G1290" s="1339" t="s">
        <v>4846</v>
      </c>
      <c r="H1290" s="1326"/>
      <c r="J1290" s="1312"/>
    </row>
    <row r="1291" spans="1:10" ht="16" thickTop="1" x14ac:dyDescent="0.2">
      <c r="A1291" s="467" t="str">
        <f ca="1">IF(I1291&gt;0,"P","")</f>
        <v/>
      </c>
      <c r="B1291" s="1324" t="str">
        <f>IF(LEN('11.700'!H418)=0,"",'11.700'!H418)</f>
        <v/>
      </c>
      <c r="C1291" s="1280" t="str">
        <f t="shared" ca="1" si="74"/>
        <v/>
      </c>
      <c r="D1291" s="589" t="s">
        <v>4207</v>
      </c>
      <c r="E1291" s="589"/>
      <c r="F1291" s="589"/>
      <c r="G1291" s="1301" t="s">
        <v>4208</v>
      </c>
      <c r="H1291" s="1326"/>
      <c r="I1291" s="1397">
        <f ca="1">SUM(I1292:I1349)</f>
        <v>0</v>
      </c>
      <c r="J1291" s="1312"/>
    </row>
    <row r="1292" spans="1:10" x14ac:dyDescent="0.2">
      <c r="A1292" s="467" t="str">
        <f ca="1">IF(I1292&gt;0,"P","")</f>
        <v/>
      </c>
      <c r="B1292" s="1324" t="str">
        <f>IF(LEN('11.700'!H419)=0,"",'11.700'!H419)</f>
        <v/>
      </c>
      <c r="C1292" s="1280" t="str">
        <f t="shared" ca="1" si="74"/>
        <v/>
      </c>
      <c r="D1292" s="589" t="s">
        <v>4209</v>
      </c>
      <c r="E1292" s="589"/>
      <c r="F1292" s="589"/>
      <c r="G1292" s="1687" t="s">
        <v>4210</v>
      </c>
      <c r="H1292" s="1341" t="str">
        <f>IF(LEN('11.700'!W419)=0,"",'11.700'!W419)</f>
        <v/>
      </c>
      <c r="I1292" s="88">
        <f ca="1">'11.700'!O419</f>
        <v>0</v>
      </c>
      <c r="J1292" s="1312" t="s">
        <v>5193</v>
      </c>
    </row>
    <row r="1293" spans="1:10" x14ac:dyDescent="0.2">
      <c r="A1293" s="467" t="str">
        <f t="shared" ref="A1293" ca="1" si="75">A1292</f>
        <v/>
      </c>
      <c r="B1293" s="1324" t="str">
        <f>IF(LEN('11.700'!H420)=0,"",'11.700'!H420)</f>
        <v/>
      </c>
      <c r="C1293" s="1280" t="str">
        <f t="shared" ca="1" si="74"/>
        <v/>
      </c>
      <c r="D1293" s="589"/>
      <c r="E1293" s="589"/>
      <c r="F1293" s="589"/>
      <c r="G1293" s="1687"/>
      <c r="H1293" s="1326"/>
      <c r="J1293" s="1312"/>
    </row>
    <row r="1294" spans="1:10" x14ac:dyDescent="0.2">
      <c r="B1294" s="1324" t="str">
        <f>IF(LEN('11.700'!H421)=0,"",'11.700'!H421)</f>
        <v/>
      </c>
      <c r="C1294" s="1280" t="str">
        <f t="shared" si="74"/>
        <v/>
      </c>
      <c r="D1294" s="589"/>
      <c r="E1294" s="590" t="s">
        <v>254</v>
      </c>
      <c r="F1294" s="590"/>
      <c r="G1294" s="1634" t="s">
        <v>4211</v>
      </c>
      <c r="H1294" s="1326"/>
      <c r="J1294" s="1312"/>
    </row>
    <row r="1295" spans="1:10" x14ac:dyDescent="0.2">
      <c r="B1295" s="1324" t="str">
        <f>IF(LEN('11.700'!H422)=0,"",'11.700'!H422)</f>
        <v/>
      </c>
      <c r="C1295" s="1280" t="str">
        <f t="shared" si="74"/>
        <v/>
      </c>
      <c r="D1295" s="589"/>
      <c r="E1295" s="606"/>
      <c r="F1295" s="606"/>
      <c r="G1295" s="1639"/>
      <c r="H1295" s="1326"/>
      <c r="J1295" s="1312"/>
    </row>
    <row r="1296" spans="1:10" x14ac:dyDescent="0.2">
      <c r="B1296" s="1324" t="str">
        <f>IF(LEN('11.700'!H423)=0,"",'11.700'!H423)</f>
        <v/>
      </c>
      <c r="C1296" s="1280" t="str">
        <f t="shared" si="74"/>
        <v/>
      </c>
      <c r="D1296" s="589"/>
      <c r="E1296" s="608" t="s">
        <v>255</v>
      </c>
      <c r="F1296" s="608"/>
      <c r="G1296" s="1633" t="s">
        <v>4212</v>
      </c>
      <c r="H1296" s="1326"/>
      <c r="J1296" s="1312"/>
    </row>
    <row r="1297" spans="2:10" x14ac:dyDescent="0.2">
      <c r="B1297" s="1324" t="str">
        <f>IF(LEN('11.700'!H424)=0,"",'11.700'!H424)</f>
        <v/>
      </c>
      <c r="C1297" s="1280" t="str">
        <f t="shared" si="74"/>
        <v/>
      </c>
      <c r="D1297" s="589"/>
      <c r="E1297" s="590"/>
      <c r="F1297" s="590"/>
      <c r="G1297" s="1634"/>
      <c r="H1297" s="1326"/>
      <c r="J1297" s="1312"/>
    </row>
    <row r="1298" spans="2:10" x14ac:dyDescent="0.2">
      <c r="B1298" s="1324" t="str">
        <f>IF(LEN('11.700'!H425)=0,"",'11.700'!H425)</f>
        <v/>
      </c>
      <c r="C1298" s="1280" t="str">
        <f t="shared" si="74"/>
        <v/>
      </c>
      <c r="D1298" s="589"/>
      <c r="E1298" s="606"/>
      <c r="F1298" s="606"/>
      <c r="G1298" s="1639"/>
      <c r="H1298" s="1326"/>
      <c r="J1298" s="1312"/>
    </row>
    <row r="1299" spans="2:10" x14ac:dyDescent="0.2">
      <c r="B1299" s="1324" t="str">
        <f>IF(LEN('11.700'!H426)=0,"",'11.700'!H426)</f>
        <v/>
      </c>
      <c r="C1299" s="1280" t="str">
        <f t="shared" si="74"/>
        <v/>
      </c>
      <c r="D1299" s="589"/>
      <c r="E1299" s="608" t="s">
        <v>256</v>
      </c>
      <c r="F1299" s="608"/>
      <c r="G1299" s="1633" t="s">
        <v>4213</v>
      </c>
      <c r="H1299" s="1326"/>
      <c r="J1299" s="1312"/>
    </row>
    <row r="1300" spans="2:10" x14ac:dyDescent="0.2">
      <c r="B1300" s="1324" t="str">
        <f>IF(LEN('11.700'!H427)=0,"",'11.700'!H427)</f>
        <v/>
      </c>
      <c r="C1300" s="1280" t="str">
        <f t="shared" si="74"/>
        <v/>
      </c>
      <c r="D1300" s="589"/>
      <c r="E1300" s="606"/>
      <c r="F1300" s="606"/>
      <c r="G1300" s="1639"/>
      <c r="H1300" s="1326"/>
      <c r="J1300" s="1312"/>
    </row>
    <row r="1301" spans="2:10" x14ac:dyDescent="0.2">
      <c r="B1301" s="1324" t="str">
        <f>IF(LEN('11.700'!H428)=0,"",'11.700'!H428)</f>
        <v/>
      </c>
      <c r="C1301" s="1280" t="str">
        <f t="shared" si="74"/>
        <v/>
      </c>
      <c r="D1301" s="589"/>
      <c r="E1301" s="608" t="s">
        <v>259</v>
      </c>
      <c r="F1301" s="608"/>
      <c r="G1301" s="1633" t="s">
        <v>4214</v>
      </c>
      <c r="H1301" s="1326"/>
      <c r="J1301" s="1312"/>
    </row>
    <row r="1302" spans="2:10" x14ac:dyDescent="0.2">
      <c r="B1302" s="1324" t="str">
        <f>IF(LEN('11.700'!H429)=0,"",'11.700'!H429)</f>
        <v/>
      </c>
      <c r="C1302" s="1280" t="str">
        <f t="shared" si="74"/>
        <v/>
      </c>
      <c r="D1302" s="589"/>
      <c r="E1302" s="606"/>
      <c r="F1302" s="606"/>
      <c r="G1302" s="1639"/>
      <c r="H1302" s="1326"/>
      <c r="J1302" s="1312"/>
    </row>
    <row r="1303" spans="2:10" x14ac:dyDescent="0.2">
      <c r="B1303" s="1324" t="str">
        <f>IF(LEN('11.700'!H430)=0,"",'11.700'!H430)</f>
        <v/>
      </c>
      <c r="C1303" s="1280" t="str">
        <f t="shared" si="74"/>
        <v/>
      </c>
      <c r="D1303" s="589"/>
      <c r="E1303" s="608" t="s">
        <v>263</v>
      </c>
      <c r="F1303" s="608"/>
      <c r="G1303" s="1633" t="s">
        <v>4215</v>
      </c>
      <c r="H1303" s="1326"/>
      <c r="J1303" s="1312"/>
    </row>
    <row r="1304" spans="2:10" x14ac:dyDescent="0.2">
      <c r="B1304" s="1324" t="str">
        <f>IF(LEN('11.700'!H431)=0,"",'11.700'!H431)</f>
        <v/>
      </c>
      <c r="C1304" s="1280" t="str">
        <f t="shared" si="74"/>
        <v/>
      </c>
      <c r="D1304" s="589"/>
      <c r="E1304" s="606"/>
      <c r="F1304" s="606"/>
      <c r="G1304" s="1639"/>
      <c r="H1304" s="1326"/>
      <c r="J1304" s="1312"/>
    </row>
    <row r="1305" spans="2:10" x14ac:dyDescent="0.2">
      <c r="B1305" s="1324" t="str">
        <f>IF(LEN('11.700'!H432)=0,"",'11.700'!H432)</f>
        <v/>
      </c>
      <c r="C1305" s="1280" t="str">
        <f t="shared" si="74"/>
        <v/>
      </c>
      <c r="D1305" s="589"/>
      <c r="E1305" s="589" t="s">
        <v>264</v>
      </c>
      <c r="F1305" s="589"/>
      <c r="G1305" s="1290" t="s">
        <v>4216</v>
      </c>
      <c r="H1305" s="1326"/>
      <c r="J1305" s="1312"/>
    </row>
    <row r="1306" spans="2:10" x14ac:dyDescent="0.2">
      <c r="B1306" s="1324" t="str">
        <f>IF(LEN('11.700'!H433)=0,"",'11.700'!H433)</f>
        <v/>
      </c>
      <c r="C1306" s="1280" t="str">
        <f t="shared" si="74"/>
        <v/>
      </c>
      <c r="D1306" s="589"/>
      <c r="E1306" s="589"/>
      <c r="F1306" s="589" t="s">
        <v>121</v>
      </c>
      <c r="G1306" s="1290" t="s">
        <v>4217</v>
      </c>
      <c r="H1306" s="1326"/>
      <c r="J1306" s="1312"/>
    </row>
    <row r="1307" spans="2:10" x14ac:dyDescent="0.2">
      <c r="B1307" s="1324" t="str">
        <f>IF(LEN('11.700'!H434)=0,"",'11.700'!H434)</f>
        <v/>
      </c>
      <c r="C1307" s="1280" t="str">
        <f t="shared" si="74"/>
        <v/>
      </c>
      <c r="D1307" s="589"/>
      <c r="E1307" s="589"/>
      <c r="F1307" s="589" t="s">
        <v>122</v>
      </c>
      <c r="G1307" s="1290" t="s">
        <v>4218</v>
      </c>
      <c r="H1307" s="1326"/>
      <c r="J1307" s="1312"/>
    </row>
    <row r="1308" spans="2:10" x14ac:dyDescent="0.2">
      <c r="B1308" s="1324" t="str">
        <f>IF(LEN('11.700'!H435)=0,"",'11.700'!H435)</f>
        <v/>
      </c>
      <c r="C1308" s="1280" t="str">
        <f t="shared" si="74"/>
        <v/>
      </c>
      <c r="D1308" s="589"/>
      <c r="E1308" s="590"/>
      <c r="F1308" s="590" t="s">
        <v>123</v>
      </c>
      <c r="G1308" s="1634" t="s">
        <v>4219</v>
      </c>
      <c r="H1308" s="1326"/>
      <c r="J1308" s="1312"/>
    </row>
    <row r="1309" spans="2:10" x14ac:dyDescent="0.2">
      <c r="B1309" s="1324" t="str">
        <f>IF(LEN('11.700'!H436)=0,"",'11.700'!H436)</f>
        <v/>
      </c>
      <c r="C1309" s="1280" t="str">
        <f t="shared" si="74"/>
        <v/>
      </c>
      <c r="D1309" s="589"/>
      <c r="E1309" s="606"/>
      <c r="F1309" s="606"/>
      <c r="G1309" s="1639"/>
      <c r="H1309" s="1326"/>
      <c r="J1309" s="1312"/>
    </row>
    <row r="1310" spans="2:10" x14ac:dyDescent="0.2">
      <c r="B1310" s="1324" t="str">
        <f>IF(LEN('11.700'!H437)=0,"",'11.700'!H437)</f>
        <v/>
      </c>
      <c r="C1310" s="1280" t="str">
        <f t="shared" si="74"/>
        <v/>
      </c>
      <c r="D1310" s="589"/>
      <c r="E1310" s="608" t="s">
        <v>356</v>
      </c>
      <c r="F1310" s="608"/>
      <c r="G1310" s="1633" t="s">
        <v>4220</v>
      </c>
      <c r="H1310" s="1326"/>
      <c r="J1310" s="1312"/>
    </row>
    <row r="1311" spans="2:10" x14ac:dyDescent="0.2">
      <c r="B1311" s="1324" t="str">
        <f>IF(LEN('11.700'!H438)=0,"",'11.700'!H438)</f>
        <v/>
      </c>
      <c r="C1311" s="1280" t="str">
        <f t="shared" si="74"/>
        <v/>
      </c>
      <c r="D1311" s="589"/>
      <c r="E1311" s="606"/>
      <c r="F1311" s="606"/>
      <c r="G1311" s="1639"/>
      <c r="H1311" s="1326"/>
      <c r="J1311" s="1312"/>
    </row>
    <row r="1312" spans="2:10" x14ac:dyDescent="0.2">
      <c r="B1312" s="1324" t="str">
        <f>IF(LEN('11.700'!H439)=0,"",'11.700'!H439)</f>
        <v/>
      </c>
      <c r="C1312" s="1280" t="str">
        <f t="shared" si="74"/>
        <v/>
      </c>
      <c r="D1312" s="589"/>
      <c r="E1312" s="607" t="s">
        <v>389</v>
      </c>
      <c r="F1312" s="607"/>
      <c r="G1312" s="1075" t="s">
        <v>4221</v>
      </c>
      <c r="H1312" s="1326"/>
      <c r="J1312" s="1312"/>
    </row>
    <row r="1313" spans="1:10" x14ac:dyDescent="0.2">
      <c r="B1313" s="1324" t="str">
        <f>IF(LEN('11.700'!H440)=0,"",'11.700'!H440)</f>
        <v/>
      </c>
      <c r="C1313" s="1280" t="str">
        <f t="shared" si="74"/>
        <v/>
      </c>
      <c r="D1313" s="589"/>
      <c r="E1313" s="589" t="s">
        <v>391</v>
      </c>
      <c r="F1313" s="589"/>
      <c r="G1313" s="1290" t="s">
        <v>4222</v>
      </c>
      <c r="H1313" s="1326"/>
      <c r="J1313" s="1312"/>
    </row>
    <row r="1314" spans="1:10" x14ac:dyDescent="0.2">
      <c r="B1314" s="1324" t="str">
        <f>IF(LEN('11.700'!H441)=0,"",'11.700'!H441)</f>
        <v/>
      </c>
      <c r="C1314" s="1280" t="str">
        <f t="shared" si="74"/>
        <v/>
      </c>
      <c r="D1314" s="590"/>
      <c r="E1314" s="590"/>
      <c r="F1314" s="590"/>
      <c r="G1314" s="1782" t="s">
        <v>4847</v>
      </c>
      <c r="H1314" s="1326"/>
      <c r="J1314" s="1312"/>
    </row>
    <row r="1315" spans="1:10" x14ac:dyDescent="0.2">
      <c r="B1315" s="1324" t="str">
        <f>IF(LEN('11.700'!H442)=0,"",'11.700'!H442)</f>
        <v/>
      </c>
      <c r="C1315" s="1280" t="str">
        <f t="shared" si="74"/>
        <v/>
      </c>
      <c r="D1315" s="590"/>
      <c r="E1315" s="590"/>
      <c r="F1315" s="590"/>
      <c r="G1315" s="1782"/>
      <c r="H1315" s="1326"/>
      <c r="J1315" s="1312"/>
    </row>
    <row r="1316" spans="1:10" x14ac:dyDescent="0.2">
      <c r="B1316" s="1324" t="str">
        <f>IF(LEN('11.700'!H443)=0,"",'11.700'!H443)</f>
        <v/>
      </c>
      <c r="C1316" s="1280" t="str">
        <f t="shared" si="74"/>
        <v/>
      </c>
      <c r="D1316" s="590"/>
      <c r="E1316" s="590"/>
      <c r="F1316" s="590"/>
      <c r="G1316" s="1782"/>
      <c r="H1316" s="1326"/>
      <c r="J1316" s="1312"/>
    </row>
    <row r="1317" spans="1:10" x14ac:dyDescent="0.2">
      <c r="B1317" s="1324" t="str">
        <f>IF(LEN('11.700'!H444)=0,"",'11.700'!H444)</f>
        <v/>
      </c>
      <c r="C1317" s="1280" t="str">
        <f t="shared" si="74"/>
        <v/>
      </c>
      <c r="D1317" s="590"/>
      <c r="E1317" s="590"/>
      <c r="F1317" s="590"/>
      <c r="G1317" s="1782"/>
      <c r="H1317" s="1326"/>
      <c r="J1317" s="1312"/>
    </row>
    <row r="1318" spans="1:10" x14ac:dyDescent="0.2">
      <c r="B1318" s="1324" t="str">
        <f>IF(LEN('11.700'!H445)=0,"",'11.700'!H445)</f>
        <v/>
      </c>
      <c r="C1318" s="1280" t="str">
        <f t="shared" si="74"/>
        <v/>
      </c>
      <c r="D1318" s="590"/>
      <c r="E1318" s="590"/>
      <c r="F1318" s="590"/>
      <c r="G1318" s="1782"/>
      <c r="H1318" s="1326"/>
      <c r="J1318" s="1312"/>
    </row>
    <row r="1319" spans="1:10" x14ac:dyDescent="0.2">
      <c r="B1319" s="1324" t="str">
        <f>IF(LEN('11.700'!H446)=0,"",'11.700'!H446)</f>
        <v/>
      </c>
      <c r="C1319" s="1280" t="str">
        <f t="shared" si="74"/>
        <v/>
      </c>
      <c r="D1319" s="606"/>
      <c r="E1319" s="606"/>
      <c r="F1319" s="606"/>
      <c r="G1319" s="1783"/>
      <c r="H1319" s="1326"/>
      <c r="J1319" s="1312"/>
    </row>
    <row r="1320" spans="1:10" x14ac:dyDescent="0.2">
      <c r="A1320" s="467" t="str">
        <f ca="1">IF(I1320&gt;0,"P","")</f>
        <v/>
      </c>
      <c r="B1320" s="1324" t="str">
        <f>IF(LEN('11.700'!H447)=0,"",'11.700'!H447)</f>
        <v/>
      </c>
      <c r="C1320" s="1280" t="str">
        <f t="shared" ca="1" si="74"/>
        <v/>
      </c>
      <c r="D1320" s="608" t="s">
        <v>4223</v>
      </c>
      <c r="E1320" s="608"/>
      <c r="F1320" s="608"/>
      <c r="G1320" s="1686" t="s">
        <v>4224</v>
      </c>
      <c r="H1320" s="1341" t="str">
        <f>IF(LEN('11.700'!W447)=0,"",'11.700'!W447)</f>
        <v/>
      </c>
      <c r="I1320" s="88">
        <f ca="1">'11.700'!O447</f>
        <v>0</v>
      </c>
      <c r="J1320" s="1312" t="s">
        <v>3120</v>
      </c>
    </row>
    <row r="1321" spans="1:10" x14ac:dyDescent="0.2">
      <c r="A1321" s="467" t="str">
        <f t="shared" ref="A1321" ca="1" si="76">A1320</f>
        <v/>
      </c>
      <c r="B1321" s="1324" t="str">
        <f>IF(LEN('11.700'!H448)=0,"",'11.700'!H448)</f>
        <v/>
      </c>
      <c r="C1321" s="1280" t="str">
        <f t="shared" ca="1" si="74"/>
        <v/>
      </c>
      <c r="D1321" s="606"/>
      <c r="E1321" s="606"/>
      <c r="F1321" s="606"/>
      <c r="G1321" s="1688"/>
      <c r="H1321" s="1326"/>
      <c r="J1321" s="1312"/>
    </row>
    <row r="1322" spans="1:10" x14ac:dyDescent="0.2">
      <c r="A1322" s="467" t="str">
        <f ca="1">IF(I1322&gt;0,"P","")</f>
        <v/>
      </c>
      <c r="B1322" s="1324" t="str">
        <f>IF(LEN('11.700'!H449)=0,"",'11.700'!H449)</f>
        <v/>
      </c>
      <c r="C1322" s="1280" t="str">
        <f t="shared" ca="1" si="74"/>
        <v/>
      </c>
      <c r="D1322" s="589" t="s">
        <v>4225</v>
      </c>
      <c r="E1322" s="589"/>
      <c r="F1322" s="589"/>
      <c r="G1322" s="1687" t="s">
        <v>4226</v>
      </c>
      <c r="H1322" s="1326"/>
      <c r="I1322" s="88">
        <f ca="1">'11.700'!O449</f>
        <v>0</v>
      </c>
      <c r="J1322" s="1779" t="s">
        <v>5194</v>
      </c>
    </row>
    <row r="1323" spans="1:10" x14ac:dyDescent="0.2">
      <c r="A1323" s="467" t="str">
        <f t="shared" ref="A1323" ca="1" si="77">A1322</f>
        <v/>
      </c>
      <c r="B1323" s="1324" t="str">
        <f>IF(LEN('11.700'!H450)=0,"",'11.700'!H450)</f>
        <v/>
      </c>
      <c r="C1323" s="1280" t="str">
        <f t="shared" ca="1" si="74"/>
        <v/>
      </c>
      <c r="D1323" s="589"/>
      <c r="E1323" s="589"/>
      <c r="F1323" s="589"/>
      <c r="G1323" s="1687"/>
      <c r="H1323" s="1326"/>
      <c r="J1323" s="1779"/>
    </row>
    <row r="1324" spans="1:10" x14ac:dyDescent="0.2">
      <c r="B1324" s="1324" t="str">
        <f>IF(LEN('11.700'!H451)=0,"",'11.700'!H451)</f>
        <v/>
      </c>
      <c r="C1324" s="1280" t="str">
        <f t="shared" si="74"/>
        <v/>
      </c>
      <c r="D1324" s="589"/>
      <c r="E1324" s="589"/>
      <c r="F1324" s="589"/>
      <c r="G1324" s="1305" t="s">
        <v>4227</v>
      </c>
      <c r="H1324" s="1326"/>
      <c r="J1324" s="1312"/>
    </row>
    <row r="1325" spans="1:10" x14ac:dyDescent="0.2">
      <c r="B1325" s="1324" t="str">
        <f>IF(LEN('11.700'!H452)=0,"",'11.700'!H452)</f>
        <v/>
      </c>
      <c r="C1325" s="1280" t="str">
        <f t="shared" si="74"/>
        <v/>
      </c>
      <c r="D1325" s="589"/>
      <c r="E1325" s="589"/>
      <c r="F1325" s="589"/>
      <c r="G1325" s="1305" t="s">
        <v>4228</v>
      </c>
      <c r="H1325" s="1326"/>
      <c r="J1325" s="1312"/>
    </row>
    <row r="1326" spans="1:10" x14ac:dyDescent="0.2">
      <c r="B1326" s="1324" t="str">
        <f>IF(LEN('11.700'!H453)=0,"",'11.700'!H453)</f>
        <v/>
      </c>
      <c r="C1326" s="1280" t="str">
        <f t="shared" si="74"/>
        <v/>
      </c>
      <c r="D1326" s="589"/>
      <c r="E1326" s="589" t="s">
        <v>254</v>
      </c>
      <c r="F1326" s="589"/>
      <c r="G1326" s="1634" t="s">
        <v>4229</v>
      </c>
      <c r="H1326" s="1326"/>
      <c r="J1326" s="1312"/>
    </row>
    <row r="1327" spans="1:10" x14ac:dyDescent="0.2">
      <c r="B1327" s="1324" t="str">
        <f>IF(LEN('11.700'!H454)=0,"",'11.700'!H454)</f>
        <v/>
      </c>
      <c r="C1327" s="1280" t="str">
        <f t="shared" si="74"/>
        <v/>
      </c>
      <c r="D1327" s="589"/>
      <c r="E1327" s="589"/>
      <c r="F1327" s="589"/>
      <c r="G1327" s="1634"/>
      <c r="H1327" s="1326"/>
      <c r="J1327" s="1312"/>
    </row>
    <row r="1328" spans="1:10" x14ac:dyDescent="0.2">
      <c r="B1328" s="1324" t="str">
        <f>IF(LEN('11.700'!H455)=0,"",'11.700'!H455)</f>
        <v/>
      </c>
      <c r="C1328" s="1280" t="str">
        <f t="shared" si="74"/>
        <v/>
      </c>
      <c r="D1328" s="589"/>
      <c r="E1328" s="589"/>
      <c r="F1328" s="589" t="s">
        <v>121</v>
      </c>
      <c r="G1328" s="1634" t="s">
        <v>4230</v>
      </c>
      <c r="H1328" s="1341" t="str">
        <f>IF(LEN('11.700'!W455)=0,"",'11.700'!W455)</f>
        <v/>
      </c>
      <c r="J1328" s="1312"/>
    </row>
    <row r="1329" spans="2:10" x14ac:dyDescent="0.2">
      <c r="B1329" s="1324" t="str">
        <f>IF(LEN('11.700'!H456)=0,"",'11.700'!H456)</f>
        <v/>
      </c>
      <c r="C1329" s="1280" t="str">
        <f t="shared" si="74"/>
        <v/>
      </c>
      <c r="D1329" s="589"/>
      <c r="E1329" s="589"/>
      <c r="F1329" s="589"/>
      <c r="G1329" s="1634"/>
      <c r="H1329" s="1326"/>
      <c r="J1329" s="1312"/>
    </row>
    <row r="1330" spans="2:10" x14ac:dyDescent="0.2">
      <c r="B1330" s="1324" t="str">
        <f>IF(LEN('11.700'!H457)=0,"",'11.700'!H457)</f>
        <v/>
      </c>
      <c r="C1330" s="1280" t="str">
        <f t="shared" si="74"/>
        <v/>
      </c>
      <c r="D1330" s="589"/>
      <c r="E1330" s="589"/>
      <c r="F1330" s="589" t="s">
        <v>122</v>
      </c>
      <c r="G1330" s="1290" t="s">
        <v>4231</v>
      </c>
      <c r="H1330" s="1341" t="str">
        <f>IF(LEN('11.700'!W457)=0,"",'11.700'!W457)</f>
        <v/>
      </c>
      <c r="J1330" s="1312"/>
    </row>
    <row r="1331" spans="2:10" x14ac:dyDescent="0.2">
      <c r="B1331" s="1324" t="str">
        <f>IF(LEN('11.700'!H458)=0,"",'11.700'!H458)</f>
        <v/>
      </c>
      <c r="C1331" s="1280" t="str">
        <f t="shared" si="74"/>
        <v/>
      </c>
      <c r="D1331" s="589"/>
      <c r="E1331" s="589"/>
      <c r="F1331" s="589" t="s">
        <v>123</v>
      </c>
      <c r="G1331" s="1290" t="s">
        <v>4232</v>
      </c>
      <c r="H1331" s="1341" t="str">
        <f>IF(LEN('11.700'!W458)=0,"",'11.700'!W458)</f>
        <v/>
      </c>
      <c r="J1331" s="1312"/>
    </row>
    <row r="1332" spans="2:10" x14ac:dyDescent="0.2">
      <c r="B1332" s="1324" t="str">
        <f>IF(LEN('11.700'!H459)=0,"",'11.700'!H459)</f>
        <v/>
      </c>
      <c r="C1332" s="1280" t="str">
        <f t="shared" si="74"/>
        <v/>
      </c>
      <c r="D1332" s="589"/>
      <c r="E1332" s="590"/>
      <c r="F1332" s="590" t="s">
        <v>366</v>
      </c>
      <c r="G1332" s="1634" t="s">
        <v>4233</v>
      </c>
      <c r="H1332" s="1341" t="str">
        <f>IF(LEN('11.700'!W459)=0,"",'11.700'!W459)</f>
        <v/>
      </c>
      <c r="J1332" s="1312"/>
    </row>
    <row r="1333" spans="2:10" x14ac:dyDescent="0.2">
      <c r="B1333" s="1324" t="str">
        <f>IF(LEN('11.700'!H460)=0,"",'11.700'!H460)</f>
        <v/>
      </c>
      <c r="C1333" s="1280" t="str">
        <f t="shared" si="74"/>
        <v/>
      </c>
      <c r="D1333" s="589"/>
      <c r="E1333" s="606"/>
      <c r="F1333" s="606"/>
      <c r="G1333" s="1639"/>
      <c r="H1333" s="1326"/>
      <c r="J1333" s="1312"/>
    </row>
    <row r="1334" spans="2:10" x14ac:dyDescent="0.2">
      <c r="B1334" s="1324" t="str">
        <f>IF(LEN('11.700'!H461)=0,"",'11.700'!H461)</f>
        <v/>
      </c>
      <c r="C1334" s="1280" t="str">
        <f t="shared" si="74"/>
        <v/>
      </c>
      <c r="D1334" s="589"/>
      <c r="E1334" s="608" t="s">
        <v>255</v>
      </c>
      <c r="F1334" s="608"/>
      <c r="G1334" s="1633" t="s">
        <v>4234</v>
      </c>
      <c r="H1334" s="1341" t="str">
        <f>IF(LEN('11.700'!W461)=0,"",'11.700'!W461)</f>
        <v/>
      </c>
      <c r="J1334" s="1312"/>
    </row>
    <row r="1335" spans="2:10" x14ac:dyDescent="0.2">
      <c r="B1335" s="1324" t="str">
        <f>IF(LEN('11.700'!H462)=0,"",'11.700'!H462)</f>
        <v/>
      </c>
      <c r="C1335" s="1280" t="str">
        <f t="shared" si="74"/>
        <v/>
      </c>
      <c r="D1335" s="589"/>
      <c r="E1335" s="606"/>
      <c r="F1335" s="606"/>
      <c r="G1335" s="1639"/>
      <c r="H1335" s="1326"/>
      <c r="J1335" s="1312"/>
    </row>
    <row r="1336" spans="2:10" x14ac:dyDescent="0.2">
      <c r="B1336" s="1324" t="str">
        <f>IF(LEN('11.700'!H463)=0,"",'11.700'!H463)</f>
        <v/>
      </c>
      <c r="C1336" s="1280" t="str">
        <f t="shared" si="74"/>
        <v/>
      </c>
      <c r="D1336" s="589"/>
      <c r="E1336" s="608" t="s">
        <v>256</v>
      </c>
      <c r="F1336" s="608"/>
      <c r="G1336" s="1633" t="s">
        <v>4235</v>
      </c>
      <c r="H1336" s="1341" t="str">
        <f>IF(LEN('11.700'!W463)=0,"",'11.700'!W463)</f>
        <v/>
      </c>
      <c r="J1336" s="1312"/>
    </row>
    <row r="1337" spans="2:10" x14ac:dyDescent="0.2">
      <c r="B1337" s="1324" t="str">
        <f>IF(LEN('11.700'!H464)=0,"",'11.700'!H464)</f>
        <v/>
      </c>
      <c r="C1337" s="1280" t="str">
        <f t="shared" si="74"/>
        <v/>
      </c>
      <c r="D1337" s="589"/>
      <c r="E1337" s="606"/>
      <c r="F1337" s="606"/>
      <c r="G1337" s="1639"/>
      <c r="H1337" s="1326"/>
      <c r="J1337" s="1312"/>
    </row>
    <row r="1338" spans="2:10" x14ac:dyDescent="0.2">
      <c r="B1338" s="1324" t="str">
        <f>IF(LEN('11.700'!H465)=0,"",'11.700'!H465)</f>
        <v/>
      </c>
      <c r="C1338" s="1280" t="str">
        <f t="shared" si="74"/>
        <v/>
      </c>
      <c r="D1338" s="589"/>
      <c r="E1338" s="608" t="s">
        <v>259</v>
      </c>
      <c r="F1338" s="608"/>
      <c r="G1338" s="1633" t="s">
        <v>4236</v>
      </c>
      <c r="H1338" s="1341" t="str">
        <f>IF(LEN('11.700'!W465)=0,"",'11.700'!W465)</f>
        <v/>
      </c>
      <c r="J1338" s="1312"/>
    </row>
    <row r="1339" spans="2:10" x14ac:dyDescent="0.2">
      <c r="B1339" s="1324" t="str">
        <f>IF(LEN('11.700'!H466)=0,"",'11.700'!H466)</f>
        <v/>
      </c>
      <c r="C1339" s="1280" t="str">
        <f t="shared" si="74"/>
        <v/>
      </c>
      <c r="D1339" s="589"/>
      <c r="E1339" s="606"/>
      <c r="F1339" s="606"/>
      <c r="G1339" s="1639"/>
      <c r="H1339" s="1326"/>
      <c r="J1339" s="1312"/>
    </row>
    <row r="1340" spans="2:10" x14ac:dyDescent="0.2">
      <c r="B1340" s="1324" t="str">
        <f>IF(LEN('11.700'!H467)=0,"",'11.700'!H467)</f>
        <v/>
      </c>
      <c r="C1340" s="1280" t="str">
        <f t="shared" si="74"/>
        <v/>
      </c>
      <c r="D1340" s="589"/>
      <c r="E1340" s="589" t="s">
        <v>263</v>
      </c>
      <c r="F1340" s="589"/>
      <c r="G1340" s="1634" t="s">
        <v>4237</v>
      </c>
      <c r="H1340" s="1326"/>
      <c r="J1340" s="1312"/>
    </row>
    <row r="1341" spans="2:10" x14ac:dyDescent="0.2">
      <c r="B1341" s="1324" t="str">
        <f>IF(LEN('11.700'!H468)=0,"",'11.700'!H468)</f>
        <v/>
      </c>
      <c r="C1341" s="1280" t="str">
        <f t="shared" si="74"/>
        <v/>
      </c>
      <c r="D1341" s="589"/>
      <c r="E1341" s="589"/>
      <c r="F1341" s="589"/>
      <c r="G1341" s="1634"/>
      <c r="H1341" s="1326"/>
      <c r="J1341" s="1312"/>
    </row>
    <row r="1342" spans="2:10" x14ac:dyDescent="0.2">
      <c r="B1342" s="1324" t="str">
        <f>IF(LEN('11.700'!H469)=0,"",'11.700'!H469)</f>
        <v/>
      </c>
      <c r="C1342" s="1280" t="str">
        <f t="shared" si="74"/>
        <v/>
      </c>
      <c r="D1342" s="589"/>
      <c r="E1342" s="589"/>
      <c r="F1342" s="589"/>
      <c r="G1342" s="1634"/>
      <c r="H1342" s="1326"/>
      <c r="J1342" s="1312"/>
    </row>
    <row r="1343" spans="2:10" x14ac:dyDescent="0.2">
      <c r="B1343" s="1324" t="str">
        <f>IF(LEN('11.700'!H470)=0,"",'11.700'!H470)</f>
        <v/>
      </c>
      <c r="C1343" s="1280" t="str">
        <f t="shared" si="74"/>
        <v/>
      </c>
      <c r="D1343" s="589"/>
      <c r="E1343" s="589"/>
      <c r="F1343" s="589" t="s">
        <v>121</v>
      </c>
      <c r="G1343" s="1634" t="s">
        <v>4238</v>
      </c>
      <c r="H1343" s="1341" t="str">
        <f>IF(LEN('11.700'!W470)=0,"",'11.700'!W470)</f>
        <v/>
      </c>
      <c r="J1343" s="1312"/>
    </row>
    <row r="1344" spans="2:10" x14ac:dyDescent="0.2">
      <c r="B1344" s="1324" t="str">
        <f>IF(LEN('11.700'!H471)=0,"",'11.700'!H471)</f>
        <v/>
      </c>
      <c r="C1344" s="1280" t="str">
        <f t="shared" si="74"/>
        <v/>
      </c>
      <c r="D1344" s="589"/>
      <c r="E1344" s="589"/>
      <c r="F1344" s="589"/>
      <c r="G1344" s="1634"/>
      <c r="H1344" s="1326"/>
      <c r="J1344" s="1312"/>
    </row>
    <row r="1345" spans="1:10" x14ac:dyDescent="0.2">
      <c r="B1345" s="1324" t="str">
        <f>IF(LEN('11.700'!H472)=0,"",'11.700'!H472)</f>
        <v/>
      </c>
      <c r="C1345" s="1280" t="str">
        <f t="shared" si="74"/>
        <v/>
      </c>
      <c r="D1345" s="589"/>
      <c r="E1345" s="590"/>
      <c r="F1345" s="590" t="s">
        <v>122</v>
      </c>
      <c r="G1345" s="1634" t="s">
        <v>4239</v>
      </c>
      <c r="H1345" s="1341" t="str">
        <f>IF(LEN('11.700'!W472)=0,"",'11.700'!W472)</f>
        <v/>
      </c>
      <c r="J1345" s="1312"/>
    </row>
    <row r="1346" spans="1:10" x14ac:dyDescent="0.2">
      <c r="B1346" s="1324" t="str">
        <f>IF(LEN('11.700'!H473)=0,"",'11.700'!H473)</f>
        <v/>
      </c>
      <c r="C1346" s="1280" t="str">
        <f t="shared" si="74"/>
        <v/>
      </c>
      <c r="D1346" s="589"/>
      <c r="E1346" s="606"/>
      <c r="F1346" s="606"/>
      <c r="G1346" s="1639"/>
      <c r="H1346" s="1326"/>
      <c r="J1346" s="1312"/>
    </row>
    <row r="1347" spans="1:10" x14ac:dyDescent="0.2">
      <c r="B1347" s="1324" t="str">
        <f>IF(LEN('11.700'!H474)=0,"",'11.700'!H474)</f>
        <v/>
      </c>
      <c r="C1347" s="1280" t="str">
        <f t="shared" si="74"/>
        <v/>
      </c>
      <c r="D1347" s="590"/>
      <c r="E1347" s="590" t="s">
        <v>264</v>
      </c>
      <c r="F1347" s="590"/>
      <c r="G1347" s="1634" t="s">
        <v>4240</v>
      </c>
      <c r="H1347" s="1341" t="str">
        <f>IF(LEN('11.700'!W474)=0,"",'11.700'!W474)</f>
        <v/>
      </c>
      <c r="J1347" s="1312"/>
    </row>
    <row r="1348" spans="1:10" x14ac:dyDescent="0.2">
      <c r="B1348" s="1324" t="str">
        <f>IF(LEN('11.700'!H475)=0,"",'11.700'!H475)</f>
        <v/>
      </c>
      <c r="C1348" s="1280" t="str">
        <f t="shared" si="74"/>
        <v/>
      </c>
      <c r="D1348" s="606"/>
      <c r="E1348" s="606"/>
      <c r="F1348" s="606"/>
      <c r="G1348" s="1639"/>
      <c r="H1348" s="1326"/>
      <c r="J1348" s="1312"/>
    </row>
    <row r="1349" spans="1:10" x14ac:dyDescent="0.2">
      <c r="A1349" s="467" t="str">
        <f ca="1">IF(I1349&gt;0,"P","")</f>
        <v/>
      </c>
      <c r="B1349" s="1324" t="str">
        <f>IF(LEN('11.700'!H476)=0,"",'11.700'!H476)</f>
        <v/>
      </c>
      <c r="C1349" s="1280" t="str">
        <f t="shared" ca="1" si="74"/>
        <v/>
      </c>
      <c r="D1349" s="589" t="s">
        <v>4241</v>
      </c>
      <c r="E1349" s="589"/>
      <c r="F1349" s="589"/>
      <c r="G1349" s="1687" t="s">
        <v>4242</v>
      </c>
      <c r="H1349" s="1341" t="str">
        <f>IF(LEN('11.700'!W476)=0,"",'11.700'!W476)</f>
        <v/>
      </c>
      <c r="I1349" s="88">
        <f ca="1">'11.700'!O476</f>
        <v>0</v>
      </c>
      <c r="J1349" s="1779" t="s">
        <v>5195</v>
      </c>
    </row>
    <row r="1350" spans="1:10" x14ac:dyDescent="0.2">
      <c r="A1350" s="467" t="str">
        <f t="shared" ref="A1350:A1351" ca="1" si="78">A1349</f>
        <v/>
      </c>
      <c r="B1350" s="1324" t="str">
        <f>IF(LEN('11.700'!H477)=0,"",'11.700'!H477)</f>
        <v/>
      </c>
      <c r="C1350" s="1280" t="str">
        <f t="shared" ca="1" si="74"/>
        <v/>
      </c>
      <c r="D1350" s="589"/>
      <c r="E1350" s="589"/>
      <c r="F1350" s="589"/>
      <c r="G1350" s="1687"/>
      <c r="H1350" s="1326"/>
      <c r="J1350" s="1779"/>
    </row>
    <row r="1351" spans="1:10" x14ac:dyDescent="0.2">
      <c r="A1351" s="467" t="str">
        <f t="shared" ca="1" si="78"/>
        <v/>
      </c>
      <c r="B1351" s="1324" t="str">
        <f>IF(LEN('11.700'!H478)=0,"",'11.700'!H478)</f>
        <v/>
      </c>
      <c r="C1351" s="1280" t="str">
        <f t="shared" ca="1" si="74"/>
        <v/>
      </c>
      <c r="D1351" s="589"/>
      <c r="E1351" s="589"/>
      <c r="F1351" s="589"/>
      <c r="G1351" s="1687"/>
      <c r="H1351" s="1326"/>
      <c r="J1351" s="1312"/>
    </row>
    <row r="1352" spans="1:10" x14ac:dyDescent="0.2">
      <c r="B1352" s="1324" t="str">
        <f>IF(LEN('11.700'!H479)=0,"",'11.700'!H479)</f>
        <v/>
      </c>
      <c r="C1352" s="1280" t="str">
        <f t="shared" ref="C1352:C1415" si="79">IF(LEN(B1352)=0,IF(A1352="P","P",""),B1352)</f>
        <v/>
      </c>
      <c r="D1352" s="589"/>
      <c r="E1352" s="590" t="s">
        <v>254</v>
      </c>
      <c r="F1352" s="590"/>
      <c r="G1352" s="1634" t="s">
        <v>4243</v>
      </c>
      <c r="H1352" s="1326"/>
      <c r="J1352" s="1312"/>
    </row>
    <row r="1353" spans="1:10" x14ac:dyDescent="0.2">
      <c r="B1353" s="1324" t="str">
        <f>IF(LEN('11.700'!H480)=0,"",'11.700'!H480)</f>
        <v/>
      </c>
      <c r="C1353" s="1280" t="str">
        <f t="shared" si="79"/>
        <v/>
      </c>
      <c r="D1353" s="589"/>
      <c r="E1353" s="606"/>
      <c r="F1353" s="606"/>
      <c r="G1353" s="1639"/>
      <c r="H1353" s="1326"/>
      <c r="J1353" s="1312"/>
    </row>
    <row r="1354" spans="1:10" x14ac:dyDescent="0.2">
      <c r="B1354" s="1324" t="str">
        <f>IF(LEN('11.700'!H481)=0,"",'11.700'!H481)</f>
        <v/>
      </c>
      <c r="C1354" s="1280" t="str">
        <f t="shared" si="79"/>
        <v/>
      </c>
      <c r="D1354" s="589"/>
      <c r="E1354" s="589" t="s">
        <v>255</v>
      </c>
      <c r="F1354" s="589"/>
      <c r="G1354" s="1634" t="s">
        <v>4244</v>
      </c>
      <c r="H1354" s="1326"/>
      <c r="J1354" s="1312"/>
    </row>
    <row r="1355" spans="1:10" x14ac:dyDescent="0.2">
      <c r="B1355" s="1324" t="str">
        <f>IF(LEN('11.700'!H482)=0,"",'11.700'!H482)</f>
        <v/>
      </c>
      <c r="C1355" s="1280" t="str">
        <f t="shared" si="79"/>
        <v/>
      </c>
      <c r="D1355" s="589"/>
      <c r="E1355" s="589"/>
      <c r="F1355" s="589"/>
      <c r="G1355" s="1634"/>
      <c r="H1355" s="1326"/>
      <c r="J1355" s="1312"/>
    </row>
    <row r="1356" spans="1:10" x14ac:dyDescent="0.2">
      <c r="B1356" s="1324" t="str">
        <f>IF(LEN('11.700'!H483)=0,"",'11.700'!H483)</f>
        <v/>
      </c>
      <c r="C1356" s="1280" t="str">
        <f t="shared" si="79"/>
        <v/>
      </c>
      <c r="D1356" s="589"/>
      <c r="E1356" s="589"/>
      <c r="F1356" s="589" t="s">
        <v>121</v>
      </c>
      <c r="G1356" s="1634" t="s">
        <v>4245</v>
      </c>
      <c r="H1356" s="1326"/>
      <c r="J1356" s="1312"/>
    </row>
    <row r="1357" spans="1:10" x14ac:dyDescent="0.2">
      <c r="B1357" s="1324" t="str">
        <f>IF(LEN('11.700'!H484)=0,"",'11.700'!H484)</f>
        <v/>
      </c>
      <c r="C1357" s="1280" t="str">
        <f t="shared" si="79"/>
        <v/>
      </c>
      <c r="D1357" s="589"/>
      <c r="E1357" s="589"/>
      <c r="F1357" s="589"/>
      <c r="G1357" s="1634"/>
      <c r="H1357" s="1326"/>
      <c r="J1357" s="1312"/>
    </row>
    <row r="1358" spans="1:10" x14ac:dyDescent="0.2">
      <c r="B1358" s="1324" t="str">
        <f>IF(LEN('11.700'!H485)=0,"",'11.700'!H485)</f>
        <v/>
      </c>
      <c r="C1358" s="1280" t="str">
        <f t="shared" si="79"/>
        <v/>
      </c>
      <c r="D1358" s="589"/>
      <c r="E1358" s="589"/>
      <c r="F1358" s="589"/>
      <c r="G1358" s="1634"/>
      <c r="H1358" s="1326"/>
      <c r="J1358" s="1312"/>
    </row>
    <row r="1359" spans="1:10" x14ac:dyDescent="0.2">
      <c r="B1359" s="1324" t="str">
        <f>IF(LEN('11.700'!H486)=0,"",'11.700'!H486)</f>
        <v/>
      </c>
      <c r="C1359" s="1280" t="str">
        <f t="shared" si="79"/>
        <v/>
      </c>
      <c r="D1359" s="589"/>
      <c r="E1359" s="589"/>
      <c r="F1359" s="589" t="s">
        <v>122</v>
      </c>
      <c r="G1359" s="1634" t="s">
        <v>4246</v>
      </c>
      <c r="H1359" s="1326"/>
      <c r="J1359" s="1312"/>
    </row>
    <row r="1360" spans="1:10" x14ac:dyDescent="0.2">
      <c r="B1360" s="1324" t="str">
        <f>IF(LEN('11.700'!H487)=0,"",'11.700'!H487)</f>
        <v/>
      </c>
      <c r="C1360" s="1280" t="str">
        <f t="shared" si="79"/>
        <v/>
      </c>
      <c r="D1360" s="589"/>
      <c r="E1360" s="589"/>
      <c r="F1360" s="589"/>
      <c r="G1360" s="1634"/>
      <c r="H1360" s="1326"/>
      <c r="J1360" s="1312"/>
    </row>
    <row r="1361" spans="1:10" x14ac:dyDescent="0.2">
      <c r="B1361" s="1324" t="str">
        <f>IF(LEN('11.700'!H488)=0,"",'11.700'!H488)</f>
        <v/>
      </c>
      <c r="C1361" s="1280" t="str">
        <f t="shared" si="79"/>
        <v/>
      </c>
      <c r="D1361" s="589"/>
      <c r="E1361" s="589"/>
      <c r="F1361" s="873" t="s">
        <v>648</v>
      </c>
      <c r="G1361" s="1634" t="s">
        <v>4247</v>
      </c>
      <c r="H1361" s="1326"/>
      <c r="J1361" s="1312"/>
    </row>
    <row r="1362" spans="1:10" x14ac:dyDescent="0.2">
      <c r="B1362" s="1324" t="str">
        <f>IF(LEN('11.700'!H489)=0,"",'11.700'!H489)</f>
        <v/>
      </c>
      <c r="C1362" s="1280" t="str">
        <f t="shared" si="79"/>
        <v/>
      </c>
      <c r="D1362" s="589"/>
      <c r="E1362" s="589"/>
      <c r="F1362" s="873"/>
      <c r="G1362" s="1634"/>
      <c r="H1362" s="1326"/>
      <c r="J1362" s="1312"/>
    </row>
    <row r="1363" spans="1:10" x14ac:dyDescent="0.2">
      <c r="B1363" s="1324" t="str">
        <f>IF(LEN('11.700'!H490)=0,"",'11.700'!H490)</f>
        <v/>
      </c>
      <c r="C1363" s="1280" t="str">
        <f t="shared" si="79"/>
        <v/>
      </c>
      <c r="D1363" s="589"/>
      <c r="E1363" s="589"/>
      <c r="F1363" s="873" t="s">
        <v>4248</v>
      </c>
      <c r="G1363" s="1634" t="s">
        <v>4249</v>
      </c>
      <c r="H1363" s="1326"/>
      <c r="J1363" s="1312"/>
    </row>
    <row r="1364" spans="1:10" x14ac:dyDescent="0.2">
      <c r="B1364" s="1324" t="str">
        <f>IF(LEN('11.700'!H491)=0,"",'11.700'!H491)</f>
        <v/>
      </c>
      <c r="C1364" s="1280" t="str">
        <f t="shared" si="79"/>
        <v/>
      </c>
      <c r="D1364" s="589"/>
      <c r="E1364" s="589"/>
      <c r="F1364" s="873"/>
      <c r="G1364" s="1634"/>
      <c r="H1364" s="1326"/>
      <c r="J1364" s="1312"/>
    </row>
    <row r="1365" spans="1:10" x14ac:dyDescent="0.2">
      <c r="B1365" s="1324" t="str">
        <f>IF(LEN('11.700'!H492)=0,"",'11.700'!H492)</f>
        <v/>
      </c>
      <c r="C1365" s="1280" t="str">
        <f t="shared" si="79"/>
        <v/>
      </c>
      <c r="D1365" s="589"/>
      <c r="E1365" s="589"/>
      <c r="F1365" s="873" t="s">
        <v>4250</v>
      </c>
      <c r="G1365" s="1634" t="s">
        <v>4251</v>
      </c>
      <c r="H1365" s="1326"/>
      <c r="J1365" s="1312"/>
    </row>
    <row r="1366" spans="1:10" x14ac:dyDescent="0.2">
      <c r="B1366" s="1324" t="str">
        <f>IF(LEN('11.700'!H493)=0,"",'11.700'!H493)</f>
        <v/>
      </c>
      <c r="C1366" s="1280" t="str">
        <f t="shared" si="79"/>
        <v/>
      </c>
      <c r="D1366" s="589"/>
      <c r="E1366" s="589"/>
      <c r="F1366" s="589"/>
      <c r="G1366" s="1634"/>
      <c r="H1366" s="1326"/>
      <c r="J1366" s="1312"/>
    </row>
    <row r="1367" spans="1:10" x14ac:dyDescent="0.2">
      <c r="B1367" s="1324" t="str">
        <f>IF(LEN('11.700'!H494)=0,"",'11.700'!H494)</f>
        <v/>
      </c>
      <c r="C1367" s="1280" t="str">
        <f t="shared" si="79"/>
        <v/>
      </c>
      <c r="D1367" s="589"/>
      <c r="E1367" s="590"/>
      <c r="F1367" s="590" t="s">
        <v>123</v>
      </c>
      <c r="G1367" s="1634" t="s">
        <v>4252</v>
      </c>
      <c r="H1367" s="1326"/>
      <c r="J1367" s="1312"/>
    </row>
    <row r="1368" spans="1:10" x14ac:dyDescent="0.2">
      <c r="B1368" s="1324" t="str">
        <f>IF(LEN('11.700'!H495)=0,"",'11.700'!H495)</f>
        <v/>
      </c>
      <c r="C1368" s="1280" t="str">
        <f t="shared" si="79"/>
        <v/>
      </c>
      <c r="D1368" s="589"/>
      <c r="E1368" s="590"/>
      <c r="F1368" s="590"/>
      <c r="G1368" s="1634"/>
      <c r="H1368" s="1326"/>
      <c r="J1368" s="1312"/>
    </row>
    <row r="1369" spans="1:10" x14ac:dyDescent="0.2">
      <c r="B1369" s="1324" t="str">
        <f>IF(LEN('11.700'!H496)=0,"",'11.700'!H496)</f>
        <v/>
      </c>
      <c r="C1369" s="1280" t="str">
        <f t="shared" si="79"/>
        <v/>
      </c>
      <c r="D1369" s="589"/>
      <c r="E1369" s="606"/>
      <c r="F1369" s="606"/>
      <c r="G1369" s="1639"/>
      <c r="H1369" s="1326"/>
      <c r="J1369" s="1312"/>
    </row>
    <row r="1370" spans="1:10" x14ac:dyDescent="0.2">
      <c r="B1370" s="1324" t="str">
        <f>IF(LEN('11.700'!H497)=0,"",'11.700'!H497)</f>
        <v/>
      </c>
      <c r="C1370" s="1280" t="str">
        <f t="shared" si="79"/>
        <v/>
      </c>
      <c r="D1370" s="589"/>
      <c r="E1370" s="589" t="s">
        <v>256</v>
      </c>
      <c r="F1370" s="589"/>
      <c r="G1370" s="1634" t="s">
        <v>4253</v>
      </c>
      <c r="H1370" s="1326"/>
      <c r="J1370" s="1312"/>
    </row>
    <row r="1371" spans="1:10" x14ac:dyDescent="0.2">
      <c r="B1371" s="1324" t="str">
        <f>IF(LEN('11.700'!H498)=0,"",'11.700'!H498)</f>
        <v/>
      </c>
      <c r="C1371" s="1280" t="str">
        <f t="shared" si="79"/>
        <v/>
      </c>
      <c r="D1371" s="589"/>
      <c r="E1371" s="589"/>
      <c r="F1371" s="589"/>
      <c r="G1371" s="1634"/>
      <c r="H1371" s="1326"/>
      <c r="J1371" s="1312"/>
    </row>
    <row r="1372" spans="1:10" ht="19" x14ac:dyDescent="0.25">
      <c r="A1372" s="467" t="s">
        <v>3200</v>
      </c>
      <c r="B1372" s="1324" t="str">
        <f>IF(LEN('11.700'!H499)=0,"",'11.700'!H499)</f>
        <v/>
      </c>
      <c r="C1372" s="1280" t="str">
        <f t="shared" si="79"/>
        <v>P</v>
      </c>
      <c r="D1372" s="1004" t="s">
        <v>4254</v>
      </c>
      <c r="E1372" s="81"/>
      <c r="F1372" s="81"/>
      <c r="G1372" s="1004"/>
      <c r="H1372" s="994"/>
      <c r="I1372" s="25"/>
      <c r="J1372" s="25"/>
    </row>
    <row r="1373" spans="1:10" ht="19" x14ac:dyDescent="0.25">
      <c r="B1373" s="1324" t="str">
        <f>IF(LEN('11.700'!H500)=0,"",'11.700'!H500)</f>
        <v/>
      </c>
      <c r="C1373" s="1280" t="str">
        <f t="shared" si="79"/>
        <v/>
      </c>
      <c r="D1373" s="88"/>
      <c r="E1373" s="88"/>
      <c r="F1373" s="88"/>
      <c r="G1373" s="1215" t="s">
        <v>5023</v>
      </c>
      <c r="H1373" s="1326"/>
      <c r="J1373" s="1312"/>
    </row>
    <row r="1374" spans="1:10" x14ac:dyDescent="0.2">
      <c r="A1374" s="1503" t="str">
        <f ca="1">IF(COUNTIF(A1375:A1405,"P")&gt;0,"P","")</f>
        <v/>
      </c>
      <c r="B1374" s="1324" t="str">
        <f>IF(LEN('11.700'!H501)=0,"",'11.700'!H501)</f>
        <v/>
      </c>
      <c r="C1374" s="1280" t="str">
        <f t="shared" ca="1" si="79"/>
        <v/>
      </c>
      <c r="D1374" s="589" t="s">
        <v>4255</v>
      </c>
      <c r="E1374" s="589"/>
      <c r="F1374" s="589"/>
      <c r="G1374" s="1301" t="s">
        <v>4256</v>
      </c>
      <c r="H1374" s="1326"/>
      <c r="J1374" s="1312"/>
    </row>
    <row r="1375" spans="1:10" x14ac:dyDescent="0.2">
      <c r="A1375" s="1503" t="str">
        <f ca="1">IF(COUNTIF(A1378:A1395,"P")&gt;0,"P","")</f>
        <v/>
      </c>
      <c r="B1375" s="1324" t="str">
        <f>IF(LEN('11.700'!H502)=0,"",'11.700'!H502)</f>
        <v/>
      </c>
      <c r="C1375" s="1280" t="str">
        <f t="shared" ca="1" si="79"/>
        <v/>
      </c>
      <c r="D1375" s="589" t="s">
        <v>4257</v>
      </c>
      <c r="E1375" s="589"/>
      <c r="F1375" s="589"/>
      <c r="G1375" s="1687" t="s">
        <v>4258</v>
      </c>
      <c r="H1375" s="1326"/>
      <c r="J1375" s="1312"/>
    </row>
    <row r="1376" spans="1:10" x14ac:dyDescent="0.2">
      <c r="B1376" s="1324" t="str">
        <f>IF(LEN('11.700'!H503)=0,"",'11.700'!H503)</f>
        <v/>
      </c>
      <c r="C1376" s="1280" t="str">
        <f t="shared" si="79"/>
        <v/>
      </c>
      <c r="D1376" s="589"/>
      <c r="E1376" s="589"/>
      <c r="F1376" s="589"/>
      <c r="G1376" s="1687"/>
      <c r="H1376" s="1326"/>
      <c r="J1376" s="1312"/>
    </row>
    <row r="1377" spans="1:10" x14ac:dyDescent="0.2">
      <c r="B1377" s="1324" t="str">
        <f>IF(LEN('11.700'!H504)=0,"",'11.700'!H504)</f>
        <v/>
      </c>
      <c r="C1377" s="1280" t="str">
        <f t="shared" si="79"/>
        <v/>
      </c>
      <c r="D1377" s="589"/>
      <c r="E1377" s="589"/>
      <c r="F1377" s="589"/>
      <c r="G1377" s="1687"/>
      <c r="H1377" s="1326"/>
      <c r="J1377" s="1312"/>
    </row>
    <row r="1378" spans="1:10" x14ac:dyDescent="0.2">
      <c r="A1378" s="467" t="str">
        <f ca="1">IF(I1378&gt;0,"P","")</f>
        <v/>
      </c>
      <c r="B1378" s="1324" t="str">
        <f>IF(LEN('11.700'!H505)=0,"",'11.700'!H505)</f>
        <v/>
      </c>
      <c r="C1378" s="1280" t="str">
        <f t="shared" ca="1" si="79"/>
        <v/>
      </c>
      <c r="D1378" s="589" t="s">
        <v>4259</v>
      </c>
      <c r="E1378" s="589"/>
      <c r="F1378" s="589"/>
      <c r="G1378" s="1687" t="s">
        <v>4260</v>
      </c>
      <c r="H1378" s="1341" t="str">
        <f>IF(LEN('11.700'!W505)=0,"",'11.700'!W505)</f>
        <v/>
      </c>
      <c r="I1378" s="88">
        <f ca="1">'11.700'!O505</f>
        <v>0</v>
      </c>
      <c r="J1378" s="1312" t="s">
        <v>3120</v>
      </c>
    </row>
    <row r="1379" spans="1:10" x14ac:dyDescent="0.2">
      <c r="A1379" s="467" t="str">
        <f t="shared" ref="A1379" ca="1" si="80">A1378</f>
        <v/>
      </c>
      <c r="B1379" s="1324" t="str">
        <f>IF(LEN('11.700'!H506)=0,"",'11.700'!H506)</f>
        <v/>
      </c>
      <c r="C1379" s="1280" t="str">
        <f t="shared" ca="1" si="79"/>
        <v/>
      </c>
      <c r="D1379" s="589"/>
      <c r="E1379" s="589"/>
      <c r="F1379" s="589"/>
      <c r="G1379" s="1687"/>
      <c r="H1379" s="1326"/>
      <c r="J1379" s="1312"/>
    </row>
    <row r="1380" spans="1:10" x14ac:dyDescent="0.2">
      <c r="B1380" s="1324" t="str">
        <f>IF(LEN('11.700'!H507)=0,"",'11.700'!H507)</f>
        <v/>
      </c>
      <c r="C1380" s="1280" t="str">
        <f t="shared" si="79"/>
        <v/>
      </c>
      <c r="D1380" s="589"/>
      <c r="E1380" s="606" t="s">
        <v>254</v>
      </c>
      <c r="F1380" s="606"/>
      <c r="G1380" s="1291" t="s">
        <v>4261</v>
      </c>
      <c r="H1380" s="1326"/>
      <c r="J1380" s="1312"/>
    </row>
    <row r="1381" spans="1:10" x14ac:dyDescent="0.2">
      <c r="B1381" s="1324" t="str">
        <f>IF(LEN('11.700'!H508)=0,"",'11.700'!H508)</f>
        <v/>
      </c>
      <c r="C1381" s="1280" t="str">
        <f t="shared" si="79"/>
        <v/>
      </c>
      <c r="D1381" s="606"/>
      <c r="E1381" s="606" t="s">
        <v>255</v>
      </c>
      <c r="F1381" s="606"/>
      <c r="G1381" s="1291" t="s">
        <v>4262</v>
      </c>
      <c r="H1381" s="1326"/>
      <c r="J1381" s="1312"/>
    </row>
    <row r="1382" spans="1:10" x14ac:dyDescent="0.2">
      <c r="A1382" s="467" t="str">
        <f ca="1">IF(I1382&gt;0,"P","")</f>
        <v/>
      </c>
      <c r="B1382" s="1324" t="str">
        <f>IF(LEN('11.700'!H509)=0,"",'11.700'!H509)</f>
        <v/>
      </c>
      <c r="C1382" s="1280" t="str">
        <f t="shared" ca="1" si="79"/>
        <v/>
      </c>
      <c r="D1382" s="590" t="s">
        <v>4263</v>
      </c>
      <c r="E1382" s="590"/>
      <c r="F1382" s="590"/>
      <c r="G1382" s="1687" t="s">
        <v>4264</v>
      </c>
      <c r="H1382" s="1341" t="str">
        <f>IF(LEN('11.700'!W509)=0,"",'11.700'!W509)</f>
        <v/>
      </c>
      <c r="I1382" s="88">
        <f ca="1">'11.700'!O509</f>
        <v>0</v>
      </c>
      <c r="J1382" s="1312" t="s">
        <v>5196</v>
      </c>
    </row>
    <row r="1383" spans="1:10" x14ac:dyDescent="0.2">
      <c r="A1383" s="467" t="str">
        <f t="shared" ref="A1383:A1384" ca="1" si="81">A1382</f>
        <v/>
      </c>
      <c r="B1383" s="1324" t="str">
        <f>IF(LEN('11.700'!H510)=0,"",'11.700'!H510)</f>
        <v/>
      </c>
      <c r="C1383" s="1280" t="str">
        <f t="shared" ca="1" si="79"/>
        <v/>
      </c>
      <c r="D1383" s="590"/>
      <c r="E1383" s="590"/>
      <c r="F1383" s="590"/>
      <c r="G1383" s="1687"/>
      <c r="H1383" s="1326"/>
      <c r="J1383" s="1312"/>
    </row>
    <row r="1384" spans="1:10" x14ac:dyDescent="0.2">
      <c r="A1384" s="467" t="str">
        <f t="shared" ca="1" si="81"/>
        <v/>
      </c>
      <c r="B1384" s="1324" t="str">
        <f>IF(LEN('11.700'!H511)=0,"",'11.700'!H511)</f>
        <v/>
      </c>
      <c r="C1384" s="1280" t="str">
        <f t="shared" ca="1" si="79"/>
        <v/>
      </c>
      <c r="D1384" s="606"/>
      <c r="E1384" s="606"/>
      <c r="F1384" s="606"/>
      <c r="G1384" s="1688"/>
      <c r="H1384" s="1326"/>
      <c r="J1384" s="1312"/>
    </row>
    <row r="1385" spans="1:10" x14ac:dyDescent="0.2">
      <c r="A1385" s="467" t="str">
        <f ca="1">IF(I1385&gt;0,"P","")</f>
        <v/>
      </c>
      <c r="B1385" s="1324" t="str">
        <f>IF(LEN('11.700'!H512)=0,"",'11.700'!H512)</f>
        <v/>
      </c>
      <c r="C1385" s="1280" t="str">
        <f t="shared" ca="1" si="79"/>
        <v/>
      </c>
      <c r="D1385" s="589" t="s">
        <v>4265</v>
      </c>
      <c r="E1385" s="589"/>
      <c r="F1385" s="589"/>
      <c r="G1385" s="1301" t="s">
        <v>4266</v>
      </c>
      <c r="H1385" s="1326"/>
      <c r="I1385" s="1397">
        <f ca="1">SUM(I1386:I1390)</f>
        <v>0</v>
      </c>
      <c r="J1385" s="1312" t="s">
        <v>3120</v>
      </c>
    </row>
    <row r="1386" spans="1:10" x14ac:dyDescent="0.2">
      <c r="B1386" s="1324" t="str">
        <f>IF(LEN('11.700'!H513)=0,"",'11.700'!H513)</f>
        <v/>
      </c>
      <c r="C1386" s="1280" t="str">
        <f t="shared" si="79"/>
        <v/>
      </c>
      <c r="D1386" s="589"/>
      <c r="E1386" s="589" t="s">
        <v>254</v>
      </c>
      <c r="F1386" s="589"/>
      <c r="G1386" s="1634" t="s">
        <v>4267</v>
      </c>
      <c r="H1386" s="1341" t="str">
        <f>IF(LEN('11.700'!W513)=0,"",'11.700'!W513)</f>
        <v/>
      </c>
      <c r="I1386" s="88">
        <f ca="1">'11.700'!O513</f>
        <v>0</v>
      </c>
      <c r="J1386" s="1312"/>
    </row>
    <row r="1387" spans="1:10" x14ac:dyDescent="0.2">
      <c r="B1387" s="1324" t="str">
        <f>IF(LEN('11.700'!H514)=0,"",'11.700'!H514)</f>
        <v/>
      </c>
      <c r="C1387" s="1280" t="str">
        <f t="shared" si="79"/>
        <v/>
      </c>
      <c r="D1387" s="589"/>
      <c r="E1387" s="589"/>
      <c r="F1387" s="589"/>
      <c r="G1387" s="1634"/>
      <c r="H1387" s="1326"/>
      <c r="J1387" s="1312"/>
    </row>
    <row r="1388" spans="1:10" x14ac:dyDescent="0.2">
      <c r="B1388" s="1324" t="str">
        <f>IF(LEN('11.700'!H515)=0,"",'11.700'!H515)</f>
        <v/>
      </c>
      <c r="C1388" s="1280" t="str">
        <f t="shared" si="79"/>
        <v/>
      </c>
      <c r="D1388" s="589"/>
      <c r="E1388" s="589"/>
      <c r="F1388" s="606" t="s">
        <v>121</v>
      </c>
      <c r="G1388" s="1291" t="s">
        <v>4261</v>
      </c>
      <c r="H1388" s="1326"/>
      <c r="J1388" s="1312"/>
    </row>
    <row r="1389" spans="1:10" x14ac:dyDescent="0.2">
      <c r="B1389" s="1324" t="str">
        <f>IF(LEN('11.700'!H516)=0,"",'11.700'!H516)</f>
        <v/>
      </c>
      <c r="C1389" s="1280" t="str">
        <f t="shared" si="79"/>
        <v/>
      </c>
      <c r="D1389" s="589"/>
      <c r="E1389" s="606"/>
      <c r="F1389" s="606" t="s">
        <v>122</v>
      </c>
      <c r="G1389" s="1291" t="s">
        <v>4262</v>
      </c>
      <c r="H1389" s="1326"/>
      <c r="J1389" s="1312"/>
    </row>
    <row r="1390" spans="1:10" x14ac:dyDescent="0.2">
      <c r="B1390" s="1324" t="str">
        <f>IF(LEN('11.700'!H517)=0,"",'11.700'!H517)</f>
        <v/>
      </c>
      <c r="C1390" s="1280" t="str">
        <f t="shared" si="79"/>
        <v/>
      </c>
      <c r="D1390" s="589"/>
      <c r="E1390" s="589" t="s">
        <v>255</v>
      </c>
      <c r="F1390" s="589"/>
      <c r="G1390" s="1634" t="s">
        <v>4268</v>
      </c>
      <c r="H1390" s="1341" t="str">
        <f>IF(LEN('11.700'!W517)=0,"",'11.700'!W517)</f>
        <v/>
      </c>
      <c r="I1390" s="88">
        <f ca="1">'11.700'!O517</f>
        <v>0</v>
      </c>
      <c r="J1390" s="1312"/>
    </row>
    <row r="1391" spans="1:10" x14ac:dyDescent="0.2">
      <c r="B1391" s="1324" t="str">
        <f>IF(LEN('11.700'!H518)=0,"",'11.700'!H518)</f>
        <v/>
      </c>
      <c r="C1391" s="1280" t="str">
        <f t="shared" si="79"/>
        <v/>
      </c>
      <c r="D1391" s="589"/>
      <c r="E1391" s="589"/>
      <c r="F1391" s="589"/>
      <c r="G1391" s="1634"/>
      <c r="H1391" s="1326"/>
      <c r="J1391" s="1312"/>
    </row>
    <row r="1392" spans="1:10" x14ac:dyDescent="0.2">
      <c r="B1392" s="1324" t="str">
        <f>IF(LEN('11.700'!H519)=0,"",'11.700'!H519)</f>
        <v/>
      </c>
      <c r="C1392" s="1280" t="str">
        <f t="shared" si="79"/>
        <v/>
      </c>
      <c r="D1392" s="589"/>
      <c r="E1392" s="589"/>
      <c r="F1392" s="589"/>
      <c r="G1392" s="1634"/>
      <c r="H1392" s="1326"/>
      <c r="J1392" s="1312"/>
    </row>
    <row r="1393" spans="1:10" x14ac:dyDescent="0.2">
      <c r="B1393" s="1324" t="str">
        <f>IF(LEN('11.700'!H520)=0,"",'11.700'!H520)</f>
        <v/>
      </c>
      <c r="C1393" s="1280" t="str">
        <f t="shared" si="79"/>
        <v/>
      </c>
      <c r="D1393" s="589"/>
      <c r="E1393" s="589"/>
      <c r="F1393" s="589" t="s">
        <v>121</v>
      </c>
      <c r="G1393" s="1290" t="s">
        <v>4269</v>
      </c>
      <c r="H1393" s="1326"/>
      <c r="J1393" s="1312"/>
    </row>
    <row r="1394" spans="1:10" x14ac:dyDescent="0.2">
      <c r="B1394" s="1324" t="str">
        <f>IF(LEN('11.700'!H521)=0,"",'11.700'!H521)</f>
        <v/>
      </c>
      <c r="C1394" s="1280" t="str">
        <f t="shared" si="79"/>
        <v/>
      </c>
      <c r="D1394" s="606"/>
      <c r="E1394" s="606"/>
      <c r="F1394" s="606" t="s">
        <v>122</v>
      </c>
      <c r="G1394" s="1291" t="s">
        <v>4270</v>
      </c>
      <c r="H1394" s="1326"/>
      <c r="J1394" s="1312"/>
    </row>
    <row r="1395" spans="1:10" x14ac:dyDescent="0.2">
      <c r="A1395" s="467" t="str">
        <f ca="1">IF(I1395&gt;0,"P","")</f>
        <v/>
      </c>
      <c r="B1395" s="1324" t="str">
        <f>IF(LEN('11.700'!H522)=0,"",'11.700'!H522)</f>
        <v/>
      </c>
      <c r="C1395" s="1280" t="str">
        <f t="shared" ca="1" si="79"/>
        <v/>
      </c>
      <c r="D1395" s="589" t="s">
        <v>4271</v>
      </c>
      <c r="E1395" s="589"/>
      <c r="F1395" s="589"/>
      <c r="G1395" s="1687" t="s">
        <v>4272</v>
      </c>
      <c r="H1395" s="1341" t="str">
        <f>IF(LEN('11.700'!W522)=0,"",'11.700'!W522)</f>
        <v/>
      </c>
      <c r="I1395" s="88">
        <f ca="1">'11.700'!O522</f>
        <v>0</v>
      </c>
      <c r="J1395" s="1312" t="s">
        <v>3120</v>
      </c>
    </row>
    <row r="1396" spans="1:10" x14ac:dyDescent="0.2">
      <c r="A1396" s="467" t="str">
        <f t="shared" ref="A1396:A1397" ca="1" si="82">A1395</f>
        <v/>
      </c>
      <c r="B1396" s="1324" t="str">
        <f>IF(LEN('11.700'!H523)=0,"",'11.700'!H523)</f>
        <v/>
      </c>
      <c r="C1396" s="1280" t="str">
        <f t="shared" ca="1" si="79"/>
        <v/>
      </c>
      <c r="D1396" s="589"/>
      <c r="E1396" s="589"/>
      <c r="F1396" s="589"/>
      <c r="G1396" s="1687"/>
      <c r="H1396" s="1326"/>
      <c r="J1396" s="1312"/>
    </row>
    <row r="1397" spans="1:10" x14ac:dyDescent="0.2">
      <c r="A1397" s="467" t="str">
        <f t="shared" ca="1" si="82"/>
        <v/>
      </c>
      <c r="B1397" s="1324" t="str">
        <f>IF(LEN('11.700'!H524)=0,"",'11.700'!H524)</f>
        <v/>
      </c>
      <c r="C1397" s="1280" t="str">
        <f t="shared" ca="1" si="79"/>
        <v/>
      </c>
      <c r="D1397" s="589"/>
      <c r="E1397" s="589"/>
      <c r="F1397" s="589"/>
      <c r="G1397" s="1687"/>
      <c r="H1397" s="1326"/>
      <c r="J1397" s="1312"/>
    </row>
    <row r="1398" spans="1:10" x14ac:dyDescent="0.2">
      <c r="B1398" s="1324" t="str">
        <f>IF(LEN('11.700'!H525)=0,"",'11.700'!H525)</f>
        <v/>
      </c>
      <c r="C1398" s="1280" t="str">
        <f t="shared" si="79"/>
        <v/>
      </c>
      <c r="D1398" s="589"/>
      <c r="E1398" s="606" t="s">
        <v>254</v>
      </c>
      <c r="F1398" s="606"/>
      <c r="G1398" s="1291" t="s">
        <v>4269</v>
      </c>
      <c r="H1398" s="1326"/>
      <c r="J1398" s="1312"/>
    </row>
    <row r="1399" spans="1:10" x14ac:dyDescent="0.2">
      <c r="B1399" s="1324" t="str">
        <f>IF(LEN('11.700'!H526)=0,"",'11.700'!H526)</f>
        <v/>
      </c>
      <c r="C1399" s="1280" t="str">
        <f t="shared" si="79"/>
        <v/>
      </c>
      <c r="D1399" s="606"/>
      <c r="E1399" s="606" t="s">
        <v>255</v>
      </c>
      <c r="F1399" s="606"/>
      <c r="G1399" s="1291" t="s">
        <v>4273</v>
      </c>
      <c r="H1399" s="1326"/>
      <c r="J1399" s="1312"/>
    </row>
    <row r="1400" spans="1:10" x14ac:dyDescent="0.2">
      <c r="A1400" s="467" t="str">
        <f ca="1">IF(I1400&gt;0,"P","")</f>
        <v/>
      </c>
      <c r="B1400" s="1324" t="str">
        <f>IF(LEN('11.700'!H527)=0,"",'11.700'!H527)</f>
        <v/>
      </c>
      <c r="C1400" s="1280" t="str">
        <f t="shared" ca="1" si="79"/>
        <v/>
      </c>
      <c r="D1400" s="608" t="s">
        <v>4274</v>
      </c>
      <c r="E1400" s="608"/>
      <c r="F1400" s="608"/>
      <c r="G1400" s="1686" t="s">
        <v>4275</v>
      </c>
      <c r="H1400" s="1341" t="str">
        <f>IF(LEN('11.700'!W527)=0,"",'11.700'!W527)</f>
        <v/>
      </c>
      <c r="I1400" s="88">
        <f ca="1">'11.700'!O527</f>
        <v>0</v>
      </c>
      <c r="J1400" s="1312" t="s">
        <v>3120</v>
      </c>
    </row>
    <row r="1401" spans="1:10" x14ac:dyDescent="0.2">
      <c r="A1401" s="467" t="str">
        <f t="shared" ref="A1401:A1402" ca="1" si="83">A1400</f>
        <v/>
      </c>
      <c r="B1401" s="1324" t="str">
        <f>IF(LEN('11.700'!H528)=0,"",'11.700'!H528)</f>
        <v/>
      </c>
      <c r="C1401" s="1280" t="str">
        <f t="shared" ca="1" si="79"/>
        <v/>
      </c>
      <c r="D1401" s="590"/>
      <c r="E1401" s="590"/>
      <c r="F1401" s="590"/>
      <c r="G1401" s="1687"/>
      <c r="H1401" s="1326"/>
      <c r="J1401" s="1312"/>
    </row>
    <row r="1402" spans="1:10" x14ac:dyDescent="0.2">
      <c r="A1402" s="467" t="str">
        <f t="shared" ca="1" si="83"/>
        <v/>
      </c>
      <c r="B1402" s="1324" t="str">
        <f>IF(LEN('11.700'!H529)=0,"",'11.700'!H529)</f>
        <v/>
      </c>
      <c r="C1402" s="1280" t="str">
        <f t="shared" ca="1" si="79"/>
        <v/>
      </c>
      <c r="D1402" s="606"/>
      <c r="E1402" s="606"/>
      <c r="F1402" s="606"/>
      <c r="G1402" s="1688"/>
      <c r="H1402" s="1326"/>
      <c r="J1402" s="1312"/>
    </row>
    <row r="1403" spans="1:10" x14ac:dyDescent="0.2">
      <c r="A1403" s="467" t="str">
        <f ca="1">IF(I1403&gt;0,"P","")</f>
        <v/>
      </c>
      <c r="B1403" s="1324" t="str">
        <f>IF(LEN('11.700'!H530)=0,"",'11.700'!H530)</f>
        <v/>
      </c>
      <c r="C1403" s="1280" t="str">
        <f t="shared" ca="1" si="79"/>
        <v/>
      </c>
      <c r="D1403" s="608" t="s">
        <v>4276</v>
      </c>
      <c r="E1403" s="608"/>
      <c r="F1403" s="608"/>
      <c r="G1403" s="1686" t="s">
        <v>4277</v>
      </c>
      <c r="H1403" s="1341" t="str">
        <f>IF(LEN('11.700'!W530)=0,"",'11.700'!W530)</f>
        <v/>
      </c>
      <c r="I1403" s="88">
        <f ca="1">'11.700'!O530</f>
        <v>0</v>
      </c>
      <c r="J1403" s="1312" t="s">
        <v>3120</v>
      </c>
    </row>
    <row r="1404" spans="1:10" x14ac:dyDescent="0.2">
      <c r="A1404" s="467" t="str">
        <f t="shared" ref="A1404" ca="1" si="84">A1403</f>
        <v/>
      </c>
      <c r="B1404" s="1324" t="str">
        <f>IF(LEN('11.700'!H531)=0,"",'11.700'!H531)</f>
        <v/>
      </c>
      <c r="C1404" s="1280" t="str">
        <f t="shared" ca="1" si="79"/>
        <v/>
      </c>
      <c r="D1404" s="606"/>
      <c r="E1404" s="606"/>
      <c r="F1404" s="606"/>
      <c r="G1404" s="1688"/>
      <c r="H1404" s="1326"/>
      <c r="J1404" s="1312"/>
    </row>
    <row r="1405" spans="1:10" x14ac:dyDescent="0.2">
      <c r="A1405" s="467" t="str">
        <f>IF(I1405&gt;0,"P","")</f>
        <v/>
      </c>
      <c r="B1405" s="1324" t="str">
        <f>IF(LEN('11.700'!H532)=0,"",'11.700'!H532)</f>
        <v/>
      </c>
      <c r="C1405" s="1280" t="str">
        <f t="shared" si="79"/>
        <v/>
      </c>
      <c r="D1405" s="590" t="s">
        <v>4278</v>
      </c>
      <c r="E1405" s="590"/>
      <c r="F1405" s="590"/>
      <c r="G1405" s="1687" t="s">
        <v>4279</v>
      </c>
      <c r="H1405" s="1326"/>
      <c r="I1405" s="88">
        <f>'11.700'!O532</f>
        <v>0</v>
      </c>
      <c r="J1405" s="1312" t="s">
        <v>3120</v>
      </c>
    </row>
    <row r="1406" spans="1:10" x14ac:dyDescent="0.2">
      <c r="A1406" s="467" t="str">
        <f t="shared" ref="A1406:A1407" si="85">A1405</f>
        <v/>
      </c>
      <c r="B1406" s="1324" t="str">
        <f>IF(LEN('11.700'!H533)=0,"",'11.700'!H533)</f>
        <v/>
      </c>
      <c r="C1406" s="1280" t="str">
        <f t="shared" si="79"/>
        <v/>
      </c>
      <c r="D1406" s="590"/>
      <c r="E1406" s="590"/>
      <c r="F1406" s="590"/>
      <c r="G1406" s="1687"/>
      <c r="H1406" s="1341" t="str">
        <f>IF(LEN('11.700'!W533)=0,"",'11.700'!W533)</f>
        <v/>
      </c>
      <c r="J1406" s="1312"/>
    </row>
    <row r="1407" spans="1:10" ht="16" thickBot="1" x14ac:dyDescent="0.25">
      <c r="A1407" s="467" t="str">
        <f t="shared" si="85"/>
        <v/>
      </c>
      <c r="B1407" s="1324" t="str">
        <f>IF(LEN('11.700'!H534)=0,"",'11.700'!H534)</f>
        <v/>
      </c>
      <c r="C1407" s="1280" t="str">
        <f t="shared" si="79"/>
        <v/>
      </c>
      <c r="D1407" s="594"/>
      <c r="E1407" s="594"/>
      <c r="F1407" s="594"/>
      <c r="G1407" s="1738"/>
      <c r="H1407" s="1350"/>
      <c r="J1407" s="1312"/>
    </row>
    <row r="1408" spans="1:10" ht="17" thickTop="1" thickBot="1" x14ac:dyDescent="0.25">
      <c r="A1408" s="467" t="str">
        <f ca="1">IF(I1408&gt;0,"P","")</f>
        <v/>
      </c>
      <c r="B1408" s="1324" t="str">
        <f>IF(LEN('11.700'!H535)=0,"",'11.700'!H535)</f>
        <v/>
      </c>
      <c r="C1408" s="1280" t="str">
        <f t="shared" ca="1" si="79"/>
        <v/>
      </c>
      <c r="D1408" s="605" t="s">
        <v>4280</v>
      </c>
      <c r="E1408" s="605"/>
      <c r="F1408" s="605"/>
      <c r="G1408" s="1101" t="s">
        <v>4281</v>
      </c>
      <c r="H1408" s="1341" t="str">
        <f>IF(LEN('11.700'!W535)=0,"",'11.700'!W535)</f>
        <v/>
      </c>
      <c r="I1408" s="88">
        <f ca="1">'11.700'!O535</f>
        <v>0</v>
      </c>
      <c r="J1408" s="1312" t="s">
        <v>3120</v>
      </c>
    </row>
    <row r="1409" spans="1:10" ht="16" thickTop="1" x14ac:dyDescent="0.2">
      <c r="A1409" s="467" t="str">
        <f ca="1">IF(I1409&gt;0,"P","")</f>
        <v/>
      </c>
      <c r="B1409" s="1324" t="str">
        <f>IF(LEN('11.700'!H536)=0,"",'11.700'!H536)</f>
        <v/>
      </c>
      <c r="C1409" s="1280" t="str">
        <f t="shared" ca="1" si="79"/>
        <v/>
      </c>
      <c r="D1409" s="603" t="s">
        <v>4282</v>
      </c>
      <c r="E1409" s="603"/>
      <c r="F1409" s="603"/>
      <c r="G1409" s="1740" t="s">
        <v>4283</v>
      </c>
      <c r="H1409" s="1341" t="str">
        <f>IF(LEN('11.700'!W536)=0,"",'11.700'!W536)</f>
        <v/>
      </c>
      <c r="I1409" s="88">
        <f ca="1">'11.700'!O536</f>
        <v>0</v>
      </c>
      <c r="J1409" s="1312" t="s">
        <v>3120</v>
      </c>
    </row>
    <row r="1410" spans="1:10" x14ac:dyDescent="0.2">
      <c r="A1410" s="467" t="str">
        <f t="shared" ref="A1410:A1411" ca="1" si="86">A1409</f>
        <v/>
      </c>
      <c r="B1410" s="1324" t="str">
        <f>IF(LEN('11.700'!H537)=0,"",'11.700'!H537)</f>
        <v/>
      </c>
      <c r="C1410" s="1280" t="str">
        <f t="shared" ca="1" si="79"/>
        <v/>
      </c>
      <c r="D1410" s="590"/>
      <c r="E1410" s="590"/>
      <c r="F1410" s="590"/>
      <c r="G1410" s="1687"/>
      <c r="H1410" s="1326"/>
      <c r="J1410" s="1312"/>
    </row>
    <row r="1411" spans="1:10" ht="16" thickBot="1" x14ac:dyDescent="0.25">
      <c r="A1411" s="467" t="str">
        <f t="shared" ca="1" si="86"/>
        <v/>
      </c>
      <c r="B1411" s="1324" t="str">
        <f>IF(LEN('11.700'!H538)=0,"",'11.700'!H538)</f>
        <v/>
      </c>
      <c r="C1411" s="1280" t="str">
        <f t="shared" ca="1" si="79"/>
        <v/>
      </c>
      <c r="D1411" s="594"/>
      <c r="E1411" s="594"/>
      <c r="F1411" s="594"/>
      <c r="G1411" s="1738"/>
      <c r="H1411" s="1326"/>
      <c r="J1411" s="1312"/>
    </row>
    <row r="1412" spans="1:10" ht="16" thickTop="1" x14ac:dyDescent="0.2">
      <c r="A1412" s="1503" t="str">
        <f ca="1">IF(COUNTIF(A1413:A1430,"P")&gt;0,"P","")</f>
        <v/>
      </c>
      <c r="B1412" s="1324" t="str">
        <f>IF(LEN('11.700'!H539)=0,"",'11.700'!H539)</f>
        <v/>
      </c>
      <c r="C1412" s="1280" t="str">
        <f t="shared" ca="1" si="79"/>
        <v/>
      </c>
      <c r="D1412" s="589" t="s">
        <v>4284</v>
      </c>
      <c r="E1412" s="589"/>
      <c r="F1412" s="589"/>
      <c r="G1412" s="1301" t="s">
        <v>4285</v>
      </c>
      <c r="H1412" s="1326"/>
      <c r="J1412" s="1312"/>
    </row>
    <row r="1413" spans="1:10" x14ac:dyDescent="0.2">
      <c r="A1413" s="467" t="str">
        <f ca="1">IF(I1413&gt;0,"P","")</f>
        <v/>
      </c>
      <c r="B1413" s="1324" t="str">
        <f>IF(LEN('11.700'!H540)=0,"",'11.700'!H540)</f>
        <v/>
      </c>
      <c r="C1413" s="1280" t="str">
        <f t="shared" ca="1" si="79"/>
        <v/>
      </c>
      <c r="D1413" s="589" t="s">
        <v>4286</v>
      </c>
      <c r="E1413" s="589"/>
      <c r="F1413" s="589"/>
      <c r="G1413" s="1301" t="s">
        <v>4287</v>
      </c>
      <c r="H1413" s="1326"/>
      <c r="I1413" s="1397">
        <f ca="1">SUM(I1414:I1417)</f>
        <v>0</v>
      </c>
      <c r="J1413" s="1312" t="s">
        <v>5197</v>
      </c>
    </row>
    <row r="1414" spans="1:10" x14ac:dyDescent="0.2">
      <c r="B1414" s="1324" t="str">
        <f>IF(LEN('11.700'!H541)=0,"",'11.700'!H541)</f>
        <v/>
      </c>
      <c r="C1414" s="1280" t="str">
        <f t="shared" si="79"/>
        <v/>
      </c>
      <c r="D1414" s="589"/>
      <c r="E1414" s="590" t="s">
        <v>254</v>
      </c>
      <c r="F1414" s="590"/>
      <c r="G1414" s="1634" t="s">
        <v>4288</v>
      </c>
      <c r="H1414" s="1341" t="str">
        <f>IF(LEN('11.700'!W541)=0,"",'11.700'!W541)</f>
        <v/>
      </c>
      <c r="I1414" s="88">
        <f ca="1">'11.700'!O541</f>
        <v>0</v>
      </c>
      <c r="J1414" s="1312"/>
    </row>
    <row r="1415" spans="1:10" x14ac:dyDescent="0.2">
      <c r="B1415" s="1324" t="str">
        <f>IF(LEN('11.700'!H542)=0,"",'11.700'!H542)</f>
        <v/>
      </c>
      <c r="C1415" s="1280" t="str">
        <f t="shared" si="79"/>
        <v/>
      </c>
      <c r="D1415" s="589"/>
      <c r="E1415" s="590"/>
      <c r="F1415" s="590"/>
      <c r="G1415" s="1634"/>
      <c r="H1415" s="1326"/>
      <c r="J1415" s="1312"/>
    </row>
    <row r="1416" spans="1:10" x14ac:dyDescent="0.2">
      <c r="B1416" s="1324" t="str">
        <f>IF(LEN('11.700'!H543)=0,"",'11.700'!H543)</f>
        <v/>
      </c>
      <c r="C1416" s="1280" t="str">
        <f t="shared" ref="C1416:C1479" si="87">IF(LEN(B1416)=0,IF(A1416="P","P",""),B1416)</f>
        <v/>
      </c>
      <c r="D1416" s="589"/>
      <c r="E1416" s="606"/>
      <c r="F1416" s="606"/>
      <c r="G1416" s="1639"/>
      <c r="H1416" s="1326"/>
      <c r="J1416" s="1312"/>
    </row>
    <row r="1417" spans="1:10" x14ac:dyDescent="0.2">
      <c r="B1417" s="1324" t="str">
        <f>IF(LEN('11.700'!H544)=0,"",'11.700'!H544)</f>
        <v/>
      </c>
      <c r="C1417" s="1280" t="str">
        <f t="shared" si="87"/>
        <v/>
      </c>
      <c r="D1417" s="590"/>
      <c r="E1417" s="590" t="s">
        <v>255</v>
      </c>
      <c r="F1417" s="590"/>
      <c r="G1417" s="1634" t="s">
        <v>4289</v>
      </c>
      <c r="H1417" s="1341" t="str">
        <f>IF(LEN('11.700'!W544)=0,"",'11.700'!W544)</f>
        <v/>
      </c>
      <c r="I1417" s="88">
        <f ca="1">'11.700'!O544</f>
        <v>0</v>
      </c>
      <c r="J1417" s="1312"/>
    </row>
    <row r="1418" spans="1:10" x14ac:dyDescent="0.2">
      <c r="B1418" s="1324" t="str">
        <f>IF(LEN('11.700'!H545)=0,"",'11.700'!H545)</f>
        <v/>
      </c>
      <c r="C1418" s="1280" t="str">
        <f t="shared" si="87"/>
        <v/>
      </c>
      <c r="D1418" s="606"/>
      <c r="E1418" s="606"/>
      <c r="F1418" s="606"/>
      <c r="G1418" s="1639"/>
      <c r="H1418" s="1326"/>
      <c r="J1418" s="1312"/>
    </row>
    <row r="1419" spans="1:10" x14ac:dyDescent="0.2">
      <c r="A1419" s="467" t="str">
        <f ca="1">IF(I1419&gt;0,"P","")</f>
        <v/>
      </c>
      <c r="B1419" s="1324" t="str">
        <f>IF(LEN('11.700'!H546)=0,"",'11.700'!H546)</f>
        <v/>
      </c>
      <c r="C1419" s="1280" t="str">
        <f t="shared" ca="1" si="87"/>
        <v/>
      </c>
      <c r="D1419" s="589" t="s">
        <v>4290</v>
      </c>
      <c r="E1419" s="589"/>
      <c r="F1419" s="589"/>
      <c r="G1419" s="1687" t="s">
        <v>4291</v>
      </c>
      <c r="H1419" s="1341" t="str">
        <f>IF(LEN('11.700'!W546)=0,"",'11.700'!W546)</f>
        <v/>
      </c>
      <c r="I1419" s="88">
        <f ca="1">'11.700'!O546</f>
        <v>0</v>
      </c>
      <c r="J1419" s="1312" t="s">
        <v>5198</v>
      </c>
    </row>
    <row r="1420" spans="1:10" x14ac:dyDescent="0.2">
      <c r="A1420" s="467" t="str">
        <f t="shared" ref="A1420" ca="1" si="88">A1419</f>
        <v/>
      </c>
      <c r="B1420" s="1324" t="str">
        <f>IF(LEN('11.700'!H547)=0,"",'11.700'!H547)</f>
        <v/>
      </c>
      <c r="C1420" s="1280" t="str">
        <f t="shared" ca="1" si="87"/>
        <v/>
      </c>
      <c r="D1420" s="589"/>
      <c r="E1420" s="589"/>
      <c r="F1420" s="589"/>
      <c r="G1420" s="1687"/>
      <c r="H1420" s="1326"/>
      <c r="J1420" s="1312"/>
    </row>
    <row r="1421" spans="1:10" x14ac:dyDescent="0.2">
      <c r="B1421" s="1324" t="str">
        <f>IF(LEN('11.700'!H548)=0,"",'11.700'!H548)</f>
        <v/>
      </c>
      <c r="C1421" s="1280" t="str">
        <f t="shared" si="87"/>
        <v/>
      </c>
      <c r="D1421" s="589"/>
      <c r="E1421" s="606" t="s">
        <v>254</v>
      </c>
      <c r="F1421" s="606"/>
      <c r="G1421" s="1291" t="s">
        <v>4292</v>
      </c>
      <c r="H1421" s="1326"/>
      <c r="J1421" s="1312"/>
    </row>
    <row r="1422" spans="1:10" x14ac:dyDescent="0.2">
      <c r="B1422" s="1324" t="str">
        <f>IF(LEN('11.700'!H549)=0,"",'11.700'!H549)</f>
        <v/>
      </c>
      <c r="C1422" s="1280" t="str">
        <f t="shared" si="87"/>
        <v/>
      </c>
      <c r="D1422" s="589"/>
      <c r="E1422" s="607" t="s">
        <v>255</v>
      </c>
      <c r="F1422" s="607"/>
      <c r="G1422" s="1075" t="s">
        <v>4293</v>
      </c>
      <c r="H1422" s="1326"/>
      <c r="J1422" s="1312"/>
    </row>
    <row r="1423" spans="1:10" x14ac:dyDescent="0.2">
      <c r="B1423" s="1324" t="str">
        <f>IF(LEN('11.700'!H550)=0,"",'11.700'!H550)</f>
        <v/>
      </c>
      <c r="C1423" s="1280" t="str">
        <f t="shared" si="87"/>
        <v/>
      </c>
      <c r="D1423" s="589"/>
      <c r="E1423" s="607" t="s">
        <v>256</v>
      </c>
      <c r="F1423" s="607"/>
      <c r="G1423" s="1075" t="s">
        <v>4294</v>
      </c>
      <c r="H1423" s="1326"/>
      <c r="J1423" s="1312"/>
    </row>
    <row r="1424" spans="1:10" x14ac:dyDescent="0.2">
      <c r="B1424" s="1324" t="str">
        <f>IF(LEN('11.700'!H551)=0,"",'11.700'!H551)</f>
        <v/>
      </c>
      <c r="C1424" s="1280" t="str">
        <f t="shared" si="87"/>
        <v/>
      </c>
      <c r="D1424" s="589"/>
      <c r="E1424" s="607" t="s">
        <v>259</v>
      </c>
      <c r="F1424" s="607"/>
      <c r="G1424" s="1075" t="s">
        <v>4295</v>
      </c>
      <c r="H1424" s="1326"/>
      <c r="J1424" s="1312"/>
    </row>
    <row r="1425" spans="1:10" x14ac:dyDescent="0.2">
      <c r="B1425" s="1324" t="str">
        <f>IF(LEN('11.700'!H552)=0,"",'11.700'!H552)</f>
        <v/>
      </c>
      <c r="C1425" s="1280" t="str">
        <f t="shared" si="87"/>
        <v/>
      </c>
      <c r="D1425" s="589"/>
      <c r="E1425" s="607" t="s">
        <v>263</v>
      </c>
      <c r="F1425" s="607"/>
      <c r="G1425" s="1075" t="s">
        <v>4296</v>
      </c>
      <c r="H1425" s="1326"/>
      <c r="J1425" s="1312"/>
    </row>
    <row r="1426" spans="1:10" x14ac:dyDescent="0.2">
      <c r="B1426" s="1324" t="str">
        <f>IF(LEN('11.700'!H553)=0,"",'11.700'!H553)</f>
        <v/>
      </c>
      <c r="C1426" s="1280" t="str">
        <f t="shared" si="87"/>
        <v/>
      </c>
      <c r="D1426" s="606"/>
      <c r="E1426" s="606" t="s">
        <v>264</v>
      </c>
      <c r="F1426" s="606"/>
      <c r="G1426" s="1291" t="s">
        <v>4297</v>
      </c>
      <c r="H1426" s="1326"/>
      <c r="J1426" s="1312"/>
    </row>
    <row r="1427" spans="1:10" x14ac:dyDescent="0.2">
      <c r="A1427" s="467" t="str">
        <f ca="1">IF(I1427&gt;0,"P","")</f>
        <v/>
      </c>
      <c r="B1427" s="1324" t="str">
        <f>IF(LEN('11.700'!H554)=0,"",'11.700'!H554)</f>
        <v/>
      </c>
      <c r="C1427" s="1280" t="str">
        <f t="shared" ca="1" si="87"/>
        <v/>
      </c>
      <c r="D1427" s="589" t="s">
        <v>4502</v>
      </c>
      <c r="E1427" s="589"/>
      <c r="F1427" s="589"/>
      <c r="G1427" s="1301" t="s">
        <v>4298</v>
      </c>
      <c r="H1427" s="1326"/>
      <c r="I1427" s="1397">
        <f ca="1">SUM(I1428:I1430)</f>
        <v>0</v>
      </c>
      <c r="J1427" s="1312"/>
    </row>
    <row r="1428" spans="1:10" x14ac:dyDescent="0.2">
      <c r="A1428" s="467" t="str">
        <f ca="1">IF(I1428&gt;0,"P","")</f>
        <v/>
      </c>
      <c r="B1428" s="1324" t="str">
        <f>IF(LEN('11.700'!H555)=0,"",'11.700'!H555)</f>
        <v/>
      </c>
      <c r="C1428" s="1280" t="str">
        <f t="shared" ca="1" si="87"/>
        <v/>
      </c>
      <c r="D1428" s="589"/>
      <c r="E1428" s="590" t="s">
        <v>254</v>
      </c>
      <c r="F1428" s="590"/>
      <c r="G1428" s="1634" t="s">
        <v>4299</v>
      </c>
      <c r="H1428" s="1341" t="str">
        <f>IF(LEN('11.700'!W555)=0,"",'11.700'!W555)</f>
        <v/>
      </c>
      <c r="I1428" s="88">
        <f ca="1">'11.700'!O555</f>
        <v>0</v>
      </c>
      <c r="J1428" s="1312" t="s">
        <v>5199</v>
      </c>
    </row>
    <row r="1429" spans="1:10" x14ac:dyDescent="0.2">
      <c r="A1429" s="467" t="str">
        <f t="shared" ref="A1429" ca="1" si="89">A1428</f>
        <v/>
      </c>
      <c r="B1429" s="1324" t="str">
        <f>IF(LEN('11.700'!H556)=0,"",'11.700'!H556)</f>
        <v/>
      </c>
      <c r="C1429" s="1280" t="str">
        <f t="shared" ca="1" si="87"/>
        <v/>
      </c>
      <c r="D1429" s="589"/>
      <c r="E1429" s="606"/>
      <c r="F1429" s="606"/>
      <c r="G1429" s="1639"/>
      <c r="H1429" s="1326"/>
      <c r="J1429" s="1312"/>
    </row>
    <row r="1430" spans="1:10" ht="16" thickBot="1" x14ac:dyDescent="0.25">
      <c r="A1430" s="467" t="str">
        <f ca="1">IF(I1430&gt;0,"P","")</f>
        <v/>
      </c>
      <c r="B1430" s="1324" t="str">
        <f>IF(LEN('11.700'!H557)=0,"",'11.700'!H557)</f>
        <v/>
      </c>
      <c r="C1430" s="1280" t="str">
        <f t="shared" ca="1" si="87"/>
        <v/>
      </c>
      <c r="D1430" s="594"/>
      <c r="E1430" s="594" t="s">
        <v>255</v>
      </c>
      <c r="F1430" s="594"/>
      <c r="G1430" s="1293" t="s">
        <v>4300</v>
      </c>
      <c r="H1430" s="1341" t="str">
        <f>IF(LEN('11.700'!W557)=0,"",'11.700'!W557)</f>
        <v/>
      </c>
      <c r="I1430" s="88">
        <f ca="1">'11.700'!O557</f>
        <v>0</v>
      </c>
      <c r="J1430" s="1312" t="s">
        <v>5200</v>
      </c>
    </row>
    <row r="1431" spans="1:10" ht="16" thickTop="1" x14ac:dyDescent="0.2">
      <c r="A1431" s="467" t="str">
        <f ca="1">IF(I1431&gt;0,"P","")</f>
        <v/>
      </c>
      <c r="B1431" s="1324" t="str">
        <f>IF(LEN('11.700'!H558)=0,"",'11.700'!H558)</f>
        <v/>
      </c>
      <c r="C1431" s="1280" t="str">
        <f t="shared" ca="1" si="87"/>
        <v/>
      </c>
      <c r="D1431" s="589" t="s">
        <v>4301</v>
      </c>
      <c r="E1431" s="589"/>
      <c r="F1431" s="589"/>
      <c r="G1431" s="1301" t="s">
        <v>4302</v>
      </c>
      <c r="H1431" s="1326"/>
      <c r="I1431" s="1397">
        <f ca="1">SUM(I1432:I1480)</f>
        <v>0</v>
      </c>
      <c r="J1431" s="1312"/>
    </row>
    <row r="1432" spans="1:10" x14ac:dyDescent="0.2">
      <c r="A1432" s="467" t="str">
        <f ca="1">IF(I1432&gt;0,"P","")</f>
        <v/>
      </c>
      <c r="B1432" s="1324" t="str">
        <f>IF(LEN('11.700'!H559)=0,"",'11.700'!H559)</f>
        <v/>
      </c>
      <c r="C1432" s="1280" t="str">
        <f t="shared" ca="1" si="87"/>
        <v/>
      </c>
      <c r="D1432" s="589" t="s">
        <v>4303</v>
      </c>
      <c r="E1432" s="589"/>
      <c r="F1432" s="589"/>
      <c r="G1432" s="1687" t="s">
        <v>4304</v>
      </c>
      <c r="H1432" s="1751"/>
      <c r="I1432" s="88">
        <f ca="1">'11.700'!O559</f>
        <v>0</v>
      </c>
      <c r="J1432" s="1312" t="s">
        <v>3120</v>
      </c>
    </row>
    <row r="1433" spans="1:10" x14ac:dyDescent="0.2">
      <c r="A1433" s="467" t="str">
        <f t="shared" ref="A1433:A1437" ca="1" si="90">A1432</f>
        <v/>
      </c>
      <c r="B1433" s="1324" t="str">
        <f>IF(LEN('11.700'!H560)=0,"",'11.700'!H560)</f>
        <v/>
      </c>
      <c r="C1433" s="1280" t="str">
        <f t="shared" ca="1" si="87"/>
        <v/>
      </c>
      <c r="D1433" s="589"/>
      <c r="E1433" s="589"/>
      <c r="F1433" s="589"/>
      <c r="G1433" s="1687"/>
      <c r="H1433" s="1751"/>
      <c r="J1433" s="1312"/>
    </row>
    <row r="1434" spans="1:10" x14ac:dyDescent="0.2">
      <c r="A1434" s="467" t="str">
        <f t="shared" ca="1" si="90"/>
        <v/>
      </c>
      <c r="B1434" s="1324" t="str">
        <f>IF(LEN('11.700'!H561)=0,"",'11.700'!H561)</f>
        <v/>
      </c>
      <c r="C1434" s="1280" t="str">
        <f t="shared" ca="1" si="87"/>
        <v/>
      </c>
      <c r="D1434" s="589"/>
      <c r="E1434" s="589"/>
      <c r="F1434" s="589"/>
      <c r="G1434" s="1687"/>
      <c r="H1434" s="1751"/>
      <c r="J1434" s="1312"/>
    </row>
    <row r="1435" spans="1:10" x14ac:dyDescent="0.2">
      <c r="A1435" s="467" t="str">
        <f t="shared" ca="1" si="90"/>
        <v/>
      </c>
      <c r="B1435" s="1324" t="str">
        <f>IF(LEN('11.700'!H562)=0,"",'11.700'!H562)</f>
        <v/>
      </c>
      <c r="C1435" s="1280" t="str">
        <f t="shared" ca="1" si="87"/>
        <v/>
      </c>
      <c r="D1435" s="589"/>
      <c r="E1435" s="589"/>
      <c r="F1435" s="589"/>
      <c r="G1435" s="1687"/>
      <c r="H1435" s="1751"/>
      <c r="J1435" s="1312"/>
    </row>
    <row r="1436" spans="1:10" x14ac:dyDescent="0.2">
      <c r="A1436" s="467" t="str">
        <f t="shared" ca="1" si="90"/>
        <v/>
      </c>
      <c r="B1436" s="1324" t="str">
        <f>IF(LEN('11.700'!H563)=0,"",'11.700'!H563)</f>
        <v/>
      </c>
      <c r="C1436" s="1280" t="str">
        <f t="shared" ca="1" si="87"/>
        <v/>
      </c>
      <c r="D1436" s="589"/>
      <c r="E1436" s="589"/>
      <c r="F1436" s="589"/>
      <c r="G1436" s="1687"/>
      <c r="H1436" s="1751"/>
      <c r="J1436" s="1312"/>
    </row>
    <row r="1437" spans="1:10" x14ac:dyDescent="0.2">
      <c r="A1437" s="467" t="str">
        <f t="shared" ca="1" si="90"/>
        <v/>
      </c>
      <c r="B1437" s="1324" t="str">
        <f>IF(LEN('11.700'!H564)=0,"",'11.700'!H564)</f>
        <v/>
      </c>
      <c r="C1437" s="1280" t="str">
        <f t="shared" ca="1" si="87"/>
        <v/>
      </c>
      <c r="D1437" s="589"/>
      <c r="E1437" s="589"/>
      <c r="F1437" s="589"/>
      <c r="G1437" s="1687"/>
      <c r="H1437" s="1751"/>
      <c r="J1437" s="1312"/>
    </row>
    <row r="1438" spans="1:10" x14ac:dyDescent="0.2">
      <c r="B1438" s="1324" t="str">
        <f>IF(LEN('11.700'!H565)=0,"",'11.700'!H565)</f>
        <v/>
      </c>
      <c r="C1438" s="1280" t="str">
        <f t="shared" si="87"/>
        <v/>
      </c>
      <c r="D1438" s="589"/>
      <c r="E1438" s="589" t="s">
        <v>254</v>
      </c>
      <c r="F1438" s="589"/>
      <c r="G1438" s="1290" t="s">
        <v>4305</v>
      </c>
      <c r="H1438" s="1326"/>
      <c r="J1438" s="1312"/>
    </row>
    <row r="1439" spans="1:10" x14ac:dyDescent="0.2">
      <c r="B1439" s="1324" t="str">
        <f>IF(LEN('11.700'!H566)=0,"",'11.700'!H566)</f>
        <v/>
      </c>
      <c r="C1439" s="1280" t="str">
        <f t="shared" si="87"/>
        <v/>
      </c>
      <c r="D1439" s="589"/>
      <c r="E1439" s="589" t="s">
        <v>255</v>
      </c>
      <c r="F1439" s="589"/>
      <c r="G1439" s="1290" t="s">
        <v>4306</v>
      </c>
      <c r="H1439" s="1326"/>
      <c r="J1439" s="1312"/>
    </row>
    <row r="1440" spans="1:10" x14ac:dyDescent="0.2">
      <c r="B1440" s="1324" t="str">
        <f>IF(LEN('11.700'!H567)=0,"",'11.700'!H567)</f>
        <v/>
      </c>
      <c r="C1440" s="1280" t="str">
        <f t="shared" si="87"/>
        <v/>
      </c>
      <c r="D1440" s="589"/>
      <c r="E1440" s="589" t="s">
        <v>256</v>
      </c>
      <c r="F1440" s="589"/>
      <c r="G1440" s="1290" t="s">
        <v>4307</v>
      </c>
      <c r="H1440" s="1326"/>
      <c r="J1440" s="1312"/>
    </row>
    <row r="1441" spans="1:10" x14ac:dyDescent="0.2">
      <c r="B1441" s="1324" t="str">
        <f>IF(LEN('11.700'!H568)=0,"",'11.700'!H568)</f>
        <v/>
      </c>
      <c r="C1441" s="1280" t="str">
        <f t="shared" si="87"/>
        <v/>
      </c>
      <c r="D1441" s="590"/>
      <c r="E1441" s="590" t="s">
        <v>259</v>
      </c>
      <c r="F1441" s="590"/>
      <c r="G1441" s="1634" t="s">
        <v>4308</v>
      </c>
      <c r="H1441" s="1326"/>
      <c r="J1441" s="1312"/>
    </row>
    <row r="1442" spans="1:10" x14ac:dyDescent="0.2">
      <c r="B1442" s="1324" t="str">
        <f>IF(LEN('11.700'!H569)=0,"",'11.700'!H569)</f>
        <v/>
      </c>
      <c r="C1442" s="1280" t="str">
        <f t="shared" si="87"/>
        <v/>
      </c>
      <c r="D1442" s="606"/>
      <c r="E1442" s="606"/>
      <c r="F1442" s="606"/>
      <c r="G1442" s="1639"/>
      <c r="H1442" s="1326"/>
      <c r="J1442" s="1312"/>
    </row>
    <row r="1443" spans="1:10" x14ac:dyDescent="0.2">
      <c r="A1443" s="467" t="str">
        <f ca="1">IF(I1443&gt;0,"P","")</f>
        <v/>
      </c>
      <c r="B1443" s="1324" t="str">
        <f>IF(LEN('11.700'!H570)=0,"",'11.700'!H570)</f>
        <v/>
      </c>
      <c r="C1443" s="1280" t="str">
        <f t="shared" ca="1" si="87"/>
        <v/>
      </c>
      <c r="D1443" s="589" t="s">
        <v>4309</v>
      </c>
      <c r="E1443" s="589"/>
      <c r="F1443" s="589"/>
      <c r="G1443" s="1301" t="s">
        <v>4310</v>
      </c>
      <c r="H1443" s="1326"/>
      <c r="I1443" s="1397">
        <f ca="1">SUM(I1444:I1445)</f>
        <v>0</v>
      </c>
      <c r="J1443" s="1312"/>
    </row>
    <row r="1444" spans="1:10" x14ac:dyDescent="0.2">
      <c r="A1444" s="467" t="str">
        <f ca="1">IF(I1444&gt;0,"P","")</f>
        <v/>
      </c>
      <c r="B1444" s="1324" t="str">
        <f>IF(LEN('11.700'!H571)=0,"",'11.700'!H571)</f>
        <v/>
      </c>
      <c r="C1444" s="1280" t="str">
        <f t="shared" ca="1" si="87"/>
        <v/>
      </c>
      <c r="D1444" s="589" t="s">
        <v>4311</v>
      </c>
      <c r="E1444" s="589"/>
      <c r="F1444" s="589"/>
      <c r="G1444" s="1687" t="s">
        <v>4312</v>
      </c>
      <c r="H1444" s="1326"/>
      <c r="I1444" s="1397">
        <f ca="1">SUM(I1449:I1452)</f>
        <v>0</v>
      </c>
      <c r="J1444" s="1312" t="s">
        <v>5201</v>
      </c>
    </row>
    <row r="1445" spans="1:10" x14ac:dyDescent="0.2">
      <c r="A1445" s="467" t="str">
        <f t="shared" ref="A1445:A1448" ca="1" si="91">A1444</f>
        <v/>
      </c>
      <c r="B1445" s="1324" t="str">
        <f>IF(LEN('11.700'!H572)=0,"",'11.700'!H572)</f>
        <v/>
      </c>
      <c r="C1445" s="1280" t="str">
        <f t="shared" ca="1" si="87"/>
        <v/>
      </c>
      <c r="D1445" s="589"/>
      <c r="E1445" s="589"/>
      <c r="F1445" s="589"/>
      <c r="G1445" s="1687"/>
      <c r="H1445" s="1326"/>
      <c r="J1445" s="1312"/>
    </row>
    <row r="1446" spans="1:10" x14ac:dyDescent="0.2">
      <c r="A1446" s="467" t="str">
        <f t="shared" ca="1" si="91"/>
        <v/>
      </c>
      <c r="B1446" s="1324" t="str">
        <f>IF(LEN('11.700'!H573)=0,"",'11.700'!H573)</f>
        <v/>
      </c>
      <c r="C1446" s="1280" t="str">
        <f t="shared" ca="1" si="87"/>
        <v/>
      </c>
      <c r="D1446" s="589"/>
      <c r="E1446" s="589"/>
      <c r="F1446" s="589"/>
      <c r="G1446" s="1687"/>
      <c r="H1446" s="1326"/>
      <c r="J1446" s="1312"/>
    </row>
    <row r="1447" spans="1:10" x14ac:dyDescent="0.2">
      <c r="A1447" s="467" t="str">
        <f t="shared" ca="1" si="91"/>
        <v/>
      </c>
      <c r="B1447" s="1324" t="str">
        <f>IF(LEN('11.700'!H574)=0,"",'11.700'!H574)</f>
        <v/>
      </c>
      <c r="C1447" s="1280" t="str">
        <f t="shared" ca="1" si="87"/>
        <v/>
      </c>
      <c r="D1447" s="589"/>
      <c r="E1447" s="589"/>
      <c r="F1447" s="589"/>
      <c r="G1447" s="1687"/>
      <c r="H1447" s="1326"/>
      <c r="J1447" s="1312"/>
    </row>
    <row r="1448" spans="1:10" x14ac:dyDescent="0.2">
      <c r="A1448" s="467" t="str">
        <f t="shared" ca="1" si="91"/>
        <v/>
      </c>
      <c r="B1448" s="1324" t="str">
        <f>IF(LEN('11.700'!H575)=0,"",'11.700'!H575)</f>
        <v/>
      </c>
      <c r="C1448" s="1280" t="str">
        <f t="shared" ca="1" si="87"/>
        <v/>
      </c>
      <c r="D1448" s="589"/>
      <c r="E1448" s="589"/>
      <c r="F1448" s="589"/>
      <c r="G1448" s="1687"/>
      <c r="H1448" s="1326"/>
      <c r="J1448" s="1312"/>
    </row>
    <row r="1449" spans="1:10" x14ac:dyDescent="0.2">
      <c r="B1449" s="1324" t="str">
        <f>IF(LEN('11.700'!H576)=0,"",'11.700'!H576)</f>
        <v/>
      </c>
      <c r="C1449" s="1280" t="str">
        <f t="shared" si="87"/>
        <v/>
      </c>
      <c r="D1449" s="589"/>
      <c r="E1449" s="590" t="s">
        <v>254</v>
      </c>
      <c r="F1449" s="590"/>
      <c r="G1449" s="1290" t="s">
        <v>4313</v>
      </c>
      <c r="H1449" s="1341" t="str">
        <f>IF(LEN('11.700'!W576)=0,"",'11.700'!W576)</f>
        <v/>
      </c>
      <c r="I1449" s="88">
        <f>'11.700'!O576</f>
        <v>0</v>
      </c>
      <c r="J1449" s="1312"/>
    </row>
    <row r="1450" spans="1:10" x14ac:dyDescent="0.2">
      <c r="B1450" s="1324" t="str">
        <f>IF(LEN('11.700'!H577)=0,"",'11.700'!H577)</f>
        <v/>
      </c>
      <c r="C1450" s="1280" t="str">
        <f t="shared" si="87"/>
        <v/>
      </c>
      <c r="D1450" s="589"/>
      <c r="E1450" s="590"/>
      <c r="F1450" s="590"/>
      <c r="G1450" s="1290"/>
      <c r="H1450" s="1326"/>
      <c r="J1450" s="1312"/>
    </row>
    <row r="1451" spans="1:10" x14ac:dyDescent="0.2">
      <c r="B1451" s="1324" t="str">
        <f>IF(LEN('11.700'!H578)=0,"",'11.700'!H578)</f>
        <v/>
      </c>
      <c r="C1451" s="1280" t="str">
        <f t="shared" si="87"/>
        <v/>
      </c>
      <c r="D1451" s="589"/>
      <c r="E1451" s="606"/>
      <c r="F1451" s="606"/>
      <c r="G1451" s="1291"/>
      <c r="H1451" s="1341" t="str">
        <f>IF(LEN('11.700'!W578)=0,"",'11.700'!W578)</f>
        <v/>
      </c>
      <c r="J1451" s="1312"/>
    </row>
    <row r="1452" spans="1:10" x14ac:dyDescent="0.2">
      <c r="B1452" s="1324" t="str">
        <f>IF(LEN('11.700'!H579)=0,"",'11.700'!H579)</f>
        <v/>
      </c>
      <c r="C1452" s="1280" t="str">
        <f t="shared" si="87"/>
        <v/>
      </c>
      <c r="D1452" s="589"/>
      <c r="E1452" s="589" t="s">
        <v>255</v>
      </c>
      <c r="F1452" s="589"/>
      <c r="G1452" s="1290" t="s">
        <v>4314</v>
      </c>
      <c r="H1452" s="1341" t="str">
        <f>IF(LEN('11.700'!W579)=0,"",'11.700'!W579)</f>
        <v/>
      </c>
      <c r="I1452" s="88">
        <f ca="1">'11.700'!O579</f>
        <v>0</v>
      </c>
      <c r="J1452" s="1312"/>
    </row>
    <row r="1453" spans="1:10" x14ac:dyDescent="0.2">
      <c r="B1453" s="1324" t="str">
        <f>IF(LEN('11.700'!H580)=0,"",'11.700'!H580)</f>
        <v/>
      </c>
      <c r="C1453" s="1280" t="str">
        <f t="shared" si="87"/>
        <v/>
      </c>
      <c r="D1453" s="590"/>
      <c r="E1453" s="590"/>
      <c r="F1453" s="590"/>
      <c r="G1453" s="1782" t="s">
        <v>4848</v>
      </c>
      <c r="H1453" s="1326"/>
      <c r="J1453" s="1312"/>
    </row>
    <row r="1454" spans="1:10" x14ac:dyDescent="0.2">
      <c r="B1454" s="1324" t="str">
        <f>IF(LEN('11.700'!H581)=0,"",'11.700'!H581)</f>
        <v/>
      </c>
      <c r="C1454" s="1280" t="str">
        <f t="shared" si="87"/>
        <v/>
      </c>
      <c r="D1454" s="606"/>
      <c r="E1454" s="606"/>
      <c r="F1454" s="606"/>
      <c r="G1454" s="1783"/>
      <c r="H1454" s="1326"/>
      <c r="J1454" s="1312"/>
    </row>
    <row r="1455" spans="1:10" x14ac:dyDescent="0.2">
      <c r="A1455" s="467" t="str">
        <f ca="1">IF(I1455&gt;0,"P","")</f>
        <v/>
      </c>
      <c r="B1455" s="1324" t="str">
        <f>IF(LEN('11.700'!H582)=0,"",'11.700'!H582)</f>
        <v/>
      </c>
      <c r="C1455" s="1280" t="str">
        <f t="shared" ca="1" si="87"/>
        <v/>
      </c>
      <c r="D1455" s="589" t="s">
        <v>4315</v>
      </c>
      <c r="E1455" s="589"/>
      <c r="F1455" s="589"/>
      <c r="G1455" s="1687" t="s">
        <v>4316</v>
      </c>
      <c r="H1455" s="1326"/>
      <c r="I1455" s="1397">
        <f ca="1">SUM(I1458:I1460)</f>
        <v>0</v>
      </c>
      <c r="J1455" s="1779" t="s">
        <v>5202</v>
      </c>
    </row>
    <row r="1456" spans="1:10" x14ac:dyDescent="0.2">
      <c r="A1456" s="467" t="str">
        <f t="shared" ref="A1456:A1457" ca="1" si="92">A1455</f>
        <v/>
      </c>
      <c r="B1456" s="1324" t="str">
        <f>IF(LEN('11.700'!H583)=0,"",'11.700'!H583)</f>
        <v/>
      </c>
      <c r="C1456" s="1280" t="str">
        <f t="shared" ca="1" si="87"/>
        <v/>
      </c>
      <c r="D1456" s="589"/>
      <c r="E1456" s="589"/>
      <c r="F1456" s="589"/>
      <c r="G1456" s="1687"/>
      <c r="H1456" s="1326"/>
      <c r="J1456" s="1779"/>
    </row>
    <row r="1457" spans="1:10" x14ac:dyDescent="0.2">
      <c r="A1457" s="467" t="str">
        <f t="shared" ca="1" si="92"/>
        <v/>
      </c>
      <c r="B1457" s="1324" t="str">
        <f>IF(LEN('11.700'!H584)=0,"",'11.700'!H584)</f>
        <v/>
      </c>
      <c r="C1457" s="1280" t="str">
        <f t="shared" ca="1" si="87"/>
        <v/>
      </c>
      <c r="D1457" s="589"/>
      <c r="E1457" s="589"/>
      <c r="F1457" s="589"/>
      <c r="G1457" s="1687"/>
      <c r="H1457" s="1326"/>
      <c r="J1457" s="1312"/>
    </row>
    <row r="1458" spans="1:10" x14ac:dyDescent="0.2">
      <c r="B1458" s="1324" t="str">
        <f>IF(LEN('11.700'!H585)=0,"",'11.700'!H585)</f>
        <v/>
      </c>
      <c r="C1458" s="1280" t="str">
        <f t="shared" si="87"/>
        <v/>
      </c>
      <c r="D1458" s="589"/>
      <c r="E1458" s="590" t="s">
        <v>254</v>
      </c>
      <c r="F1458" s="590"/>
      <c r="G1458" s="1634" t="s">
        <v>4317</v>
      </c>
      <c r="H1458" s="1341" t="str">
        <f>IF(LEN('11.700'!W585)=0,"",'11.700'!W585)</f>
        <v/>
      </c>
      <c r="I1458" s="88">
        <f ca="1">'11.700'!O585</f>
        <v>0</v>
      </c>
      <c r="J1458" s="1312"/>
    </row>
    <row r="1459" spans="1:10" x14ac:dyDescent="0.2">
      <c r="B1459" s="1324" t="str">
        <f>IF(LEN('11.700'!H586)=0,"",'11.700'!H586)</f>
        <v/>
      </c>
      <c r="C1459" s="1280" t="str">
        <f t="shared" si="87"/>
        <v/>
      </c>
      <c r="D1459" s="589"/>
      <c r="E1459" s="606"/>
      <c r="F1459" s="606"/>
      <c r="G1459" s="1639"/>
      <c r="H1459" s="1326"/>
      <c r="J1459" s="1312"/>
    </row>
    <row r="1460" spans="1:10" x14ac:dyDescent="0.2">
      <c r="B1460" s="1324" t="str">
        <f>IF(LEN('11.700'!H587)=0,"",'11.700'!H587)</f>
        <v/>
      </c>
      <c r="C1460" s="1280" t="str">
        <f t="shared" si="87"/>
        <v/>
      </c>
      <c r="D1460" s="589"/>
      <c r="E1460" s="589" t="s">
        <v>255</v>
      </c>
      <c r="F1460" s="589"/>
      <c r="G1460" s="1290" t="s">
        <v>4318</v>
      </c>
      <c r="H1460" s="1341" t="str">
        <f>IF(LEN('11.700'!W587)=0,"",'11.700'!W587)</f>
        <v/>
      </c>
      <c r="I1460" s="88">
        <f ca="1">'11.700'!O587</f>
        <v>0</v>
      </c>
      <c r="J1460" s="1312"/>
    </row>
    <row r="1461" spans="1:10" x14ac:dyDescent="0.2">
      <c r="B1461" s="1324" t="str">
        <f>IF(LEN('11.700'!H588)=0,"",'11.700'!H588)</f>
        <v/>
      </c>
      <c r="C1461" s="1280" t="str">
        <f t="shared" si="87"/>
        <v/>
      </c>
      <c r="D1461" s="866"/>
      <c r="E1461" s="866"/>
      <c r="F1461" s="866"/>
      <c r="G1461" s="1782" t="s">
        <v>4849</v>
      </c>
      <c r="H1461" s="1326"/>
      <c r="J1461" s="1312"/>
    </row>
    <row r="1462" spans="1:10" x14ac:dyDescent="0.2">
      <c r="B1462" s="1324" t="str">
        <f>IF(LEN('11.700'!H589)=0,"",'11.700'!H589)</f>
        <v/>
      </c>
      <c r="C1462" s="1280" t="str">
        <f t="shared" si="87"/>
        <v/>
      </c>
      <c r="D1462" s="1140"/>
      <c r="E1462" s="1140"/>
      <c r="F1462" s="1140"/>
      <c r="G1462" s="1783"/>
      <c r="H1462" s="1326"/>
      <c r="J1462" s="1312"/>
    </row>
    <row r="1463" spans="1:10" x14ac:dyDescent="0.2">
      <c r="A1463" s="467" t="str">
        <f ca="1">IF(I1463&gt;0,"P","")</f>
        <v/>
      </c>
      <c r="B1463" s="1324" t="str">
        <f>IF(LEN('11.700'!H590)=0,"",'11.700'!H590)</f>
        <v/>
      </c>
      <c r="C1463" s="1280" t="str">
        <f t="shared" ca="1" si="87"/>
        <v/>
      </c>
      <c r="D1463" s="589" t="s">
        <v>4319</v>
      </c>
      <c r="E1463" s="589"/>
      <c r="F1463" s="589"/>
      <c r="G1463" s="1687" t="s">
        <v>4320</v>
      </c>
      <c r="H1463" s="1341" t="str">
        <f>IF(LEN('11.700'!W590)=0,"",'11.700'!W590)</f>
        <v/>
      </c>
      <c r="I1463" s="88">
        <f ca="1">'11.700'!O590</f>
        <v>0</v>
      </c>
      <c r="J1463" s="1312" t="s">
        <v>3120</v>
      </c>
    </row>
    <row r="1464" spans="1:10" x14ac:dyDescent="0.2">
      <c r="A1464" s="467" t="str">
        <f t="shared" ref="A1464:A1465" ca="1" si="93">A1463</f>
        <v/>
      </c>
      <c r="B1464" s="1324" t="str">
        <f>IF(LEN('11.700'!H591)=0,"",'11.700'!H591)</f>
        <v/>
      </c>
      <c r="C1464" s="1280" t="str">
        <f t="shared" ca="1" si="87"/>
        <v/>
      </c>
      <c r="D1464" s="589"/>
      <c r="E1464" s="589"/>
      <c r="F1464" s="589"/>
      <c r="G1464" s="1687"/>
      <c r="H1464" s="1326"/>
      <c r="J1464" s="1312"/>
    </row>
    <row r="1465" spans="1:10" x14ac:dyDescent="0.2">
      <c r="A1465" s="467" t="str">
        <f t="shared" ca="1" si="93"/>
        <v/>
      </c>
      <c r="B1465" s="1324" t="str">
        <f>IF(LEN('11.700'!H592)=0,"",'11.700'!H592)</f>
        <v/>
      </c>
      <c r="C1465" s="1280" t="str">
        <f t="shared" ca="1" si="87"/>
        <v/>
      </c>
      <c r="D1465" s="589"/>
      <c r="E1465" s="589"/>
      <c r="F1465" s="589"/>
      <c r="G1465" s="1687"/>
      <c r="H1465" s="1326"/>
      <c r="J1465" s="1312"/>
    </row>
    <row r="1466" spans="1:10" x14ac:dyDescent="0.2">
      <c r="B1466" s="1324" t="str">
        <f>IF(LEN('11.700'!H593)=0,"",'11.700'!H593)</f>
        <v/>
      </c>
      <c r="C1466" s="1280" t="str">
        <f t="shared" si="87"/>
        <v/>
      </c>
      <c r="D1466" s="589"/>
      <c r="E1466" s="606" t="s">
        <v>254</v>
      </c>
      <c r="F1466" s="606"/>
      <c r="G1466" s="1291" t="s">
        <v>4321</v>
      </c>
      <c r="H1466" s="1326"/>
      <c r="J1466" s="1312"/>
    </row>
    <row r="1467" spans="1:10" x14ac:dyDescent="0.2">
      <c r="B1467" s="1324" t="str">
        <f>IF(LEN('11.700'!H594)=0,"",'11.700'!H594)</f>
        <v/>
      </c>
      <c r="C1467" s="1280" t="str">
        <f t="shared" si="87"/>
        <v/>
      </c>
      <c r="D1467" s="590"/>
      <c r="E1467" s="590" t="s">
        <v>255</v>
      </c>
      <c r="F1467" s="590"/>
      <c r="G1467" s="1634" t="s">
        <v>4322</v>
      </c>
      <c r="H1467" s="1326"/>
      <c r="J1467" s="1312"/>
    </row>
    <row r="1468" spans="1:10" x14ac:dyDescent="0.2">
      <c r="B1468" s="1324" t="str">
        <f>IF(LEN('11.700'!H595)=0,"",'11.700'!H595)</f>
        <v/>
      </c>
      <c r="C1468" s="1280" t="str">
        <f t="shared" si="87"/>
        <v/>
      </c>
      <c r="D1468" s="606"/>
      <c r="E1468" s="606"/>
      <c r="F1468" s="606"/>
      <c r="G1468" s="1639"/>
      <c r="H1468" s="1326"/>
      <c r="J1468" s="1312"/>
    </row>
    <row r="1469" spans="1:10" x14ac:dyDescent="0.2">
      <c r="A1469" s="467" t="str">
        <f ca="1">IF(I1469&gt;0,"P","")</f>
        <v/>
      </c>
      <c r="B1469" s="1324" t="str">
        <f>IF(LEN('11.700'!H596)=0,"",'11.700'!H596)</f>
        <v/>
      </c>
      <c r="C1469" s="1280" t="str">
        <f t="shared" ca="1" si="87"/>
        <v/>
      </c>
      <c r="D1469" s="589" t="s">
        <v>4323</v>
      </c>
      <c r="E1469" s="589"/>
      <c r="F1469" s="589"/>
      <c r="G1469" s="1687" t="s">
        <v>4324</v>
      </c>
      <c r="H1469" s="1341" t="str">
        <f>IF(LEN('11.700'!W596)=0,"",'11.700'!W596)</f>
        <v/>
      </c>
      <c r="I1469" s="88">
        <f ca="1">'11.700'!O596</f>
        <v>0</v>
      </c>
      <c r="J1469" s="1312" t="s">
        <v>3120</v>
      </c>
    </row>
    <row r="1470" spans="1:10" x14ac:dyDescent="0.2">
      <c r="A1470" s="467" t="str">
        <f t="shared" ref="A1470:A1471" ca="1" si="94">A1469</f>
        <v/>
      </c>
      <c r="B1470" s="1324" t="str">
        <f>IF(LEN('11.700'!H597)=0,"",'11.700'!H597)</f>
        <v/>
      </c>
      <c r="C1470" s="1280" t="str">
        <f t="shared" ca="1" si="87"/>
        <v/>
      </c>
      <c r="D1470" s="589"/>
      <c r="E1470" s="589"/>
      <c r="F1470" s="589"/>
      <c r="G1470" s="1687"/>
      <c r="H1470" s="1326"/>
      <c r="J1470" s="1312"/>
    </row>
    <row r="1471" spans="1:10" x14ac:dyDescent="0.2">
      <c r="A1471" s="467" t="str">
        <f t="shared" ca="1" si="94"/>
        <v/>
      </c>
      <c r="B1471" s="1324" t="str">
        <f>IF(LEN('11.700'!H598)=0,"",'11.700'!H598)</f>
        <v/>
      </c>
      <c r="C1471" s="1280" t="str">
        <f t="shared" ca="1" si="87"/>
        <v/>
      </c>
      <c r="D1471" s="589"/>
      <c r="E1471" s="589"/>
      <c r="F1471" s="589"/>
      <c r="G1471" s="1687"/>
      <c r="H1471" s="1341" t="str">
        <f>IF(LEN('11.700'!W598)=0,"",'11.700'!W598)</f>
        <v/>
      </c>
      <c r="J1471" s="1312"/>
    </row>
    <row r="1472" spans="1:10" x14ac:dyDescent="0.2">
      <c r="B1472" s="1324" t="str">
        <f>IF(LEN('11.700'!H599)=0,"",'11.700'!H599)</f>
        <v/>
      </c>
      <c r="C1472" s="1280" t="str">
        <f t="shared" si="87"/>
        <v/>
      </c>
      <c r="D1472" s="589"/>
      <c r="E1472" s="589"/>
      <c r="F1472" s="589" t="s">
        <v>121</v>
      </c>
      <c r="G1472" s="1290" t="s">
        <v>4325</v>
      </c>
      <c r="H1472" s="1326"/>
      <c r="J1472" s="1312"/>
    </row>
    <row r="1473" spans="1:10" x14ac:dyDescent="0.2">
      <c r="B1473" s="1324" t="str">
        <f>IF(LEN('11.700'!H600)=0,"",'11.700'!H600)</f>
        <v/>
      </c>
      <c r="C1473" s="1280" t="str">
        <f t="shared" si="87"/>
        <v/>
      </c>
      <c r="D1473" s="589"/>
      <c r="E1473" s="589"/>
      <c r="F1473" s="589" t="s">
        <v>122</v>
      </c>
      <c r="G1473" s="1290" t="s">
        <v>4326</v>
      </c>
      <c r="H1473" s="1326"/>
      <c r="J1473" s="1312"/>
    </row>
    <row r="1474" spans="1:10" x14ac:dyDescent="0.2">
      <c r="B1474" s="1324" t="str">
        <f>IF(LEN('11.700'!H601)=0,"",'11.700'!H601)</f>
        <v/>
      </c>
      <c r="C1474" s="1280" t="str">
        <f t="shared" si="87"/>
        <v/>
      </c>
      <c r="D1474" s="589"/>
      <c r="E1474" s="589"/>
      <c r="F1474" s="589" t="s">
        <v>123</v>
      </c>
      <c r="G1474" s="1290" t="s">
        <v>4327</v>
      </c>
      <c r="H1474" s="1326"/>
      <c r="J1474" s="1312"/>
    </row>
    <row r="1475" spans="1:10" x14ac:dyDescent="0.2">
      <c r="B1475" s="1324" t="str">
        <f>IF(LEN('11.700'!H602)=0,"",'11.700'!H602)</f>
        <v/>
      </c>
      <c r="C1475" s="1280" t="str">
        <f t="shared" si="87"/>
        <v/>
      </c>
      <c r="D1475" s="589"/>
      <c r="E1475" s="589"/>
      <c r="F1475" s="589" t="s">
        <v>366</v>
      </c>
      <c r="G1475" s="1290" t="s">
        <v>4328</v>
      </c>
      <c r="H1475" s="1326"/>
      <c r="J1475" s="1312"/>
    </row>
    <row r="1476" spans="1:10" x14ac:dyDescent="0.2">
      <c r="B1476" s="1324" t="str">
        <f>IF(LEN('11.700'!H603)=0,"",'11.700'!H603)</f>
        <v/>
      </c>
      <c r="C1476" s="1280" t="str">
        <f t="shared" si="87"/>
        <v/>
      </c>
      <c r="D1476" s="589"/>
      <c r="E1476" s="589"/>
      <c r="F1476" s="589" t="s">
        <v>472</v>
      </c>
      <c r="G1476" s="1290" t="s">
        <v>4329</v>
      </c>
      <c r="H1476" s="1326"/>
      <c r="J1476" s="1312"/>
    </row>
    <row r="1477" spans="1:10" x14ac:dyDescent="0.2">
      <c r="B1477" s="1324" t="str">
        <f>IF(LEN('11.700'!H604)=0,"",'11.700'!H604)</f>
        <v/>
      </c>
      <c r="C1477" s="1280" t="str">
        <f t="shared" si="87"/>
        <v/>
      </c>
      <c r="D1477" s="589"/>
      <c r="E1477" s="589"/>
      <c r="F1477" s="589" t="s">
        <v>510</v>
      </c>
      <c r="G1477" s="1290" t="s">
        <v>4330</v>
      </c>
      <c r="H1477" s="1326"/>
      <c r="J1477" s="1312"/>
    </row>
    <row r="1478" spans="1:10" x14ac:dyDescent="0.2">
      <c r="B1478" s="1324" t="str">
        <f>IF(LEN('11.700'!H605)=0,"",'11.700'!H605)</f>
        <v/>
      </c>
      <c r="C1478" s="1280" t="str">
        <f t="shared" si="87"/>
        <v/>
      </c>
      <c r="D1478" s="590"/>
      <c r="E1478" s="590"/>
      <c r="F1478" s="590" t="s">
        <v>512</v>
      </c>
      <c r="G1478" s="1634" t="s">
        <v>4331</v>
      </c>
      <c r="H1478" s="1326"/>
      <c r="J1478" s="1312"/>
    </row>
    <row r="1479" spans="1:10" x14ac:dyDescent="0.2">
      <c r="B1479" s="1324" t="str">
        <f>IF(LEN('11.700'!H606)=0,"",'11.700'!H606)</f>
        <v/>
      </c>
      <c r="C1479" s="1280" t="str">
        <f t="shared" si="87"/>
        <v/>
      </c>
      <c r="D1479" s="606"/>
      <c r="E1479" s="606"/>
      <c r="F1479" s="606"/>
      <c r="G1479" s="1639"/>
      <c r="H1479" s="1326"/>
      <c r="J1479" s="1312"/>
    </row>
    <row r="1480" spans="1:10" x14ac:dyDescent="0.2">
      <c r="A1480" s="467" t="str">
        <f ca="1">IF(I1480&gt;0,"P","")</f>
        <v/>
      </c>
      <c r="B1480" s="1324" t="str">
        <f>IF(LEN('11.700'!H607)=0,"",'11.700'!H607)</f>
        <v/>
      </c>
      <c r="C1480" s="1280" t="str">
        <f t="shared" ref="C1480:C1543" ca="1" si="95">IF(LEN(B1480)=0,IF(A1480="P","P",""),B1480)</f>
        <v/>
      </c>
      <c r="D1480" s="589" t="s">
        <v>4332</v>
      </c>
      <c r="E1480" s="589"/>
      <c r="F1480" s="589"/>
      <c r="G1480" s="1301" t="s">
        <v>4333</v>
      </c>
      <c r="H1480" s="1326"/>
      <c r="I1480" s="1397">
        <f ca="1">SUM(I1481:I1483)</f>
        <v>0</v>
      </c>
      <c r="J1480" s="1312"/>
    </row>
    <row r="1481" spans="1:10" x14ac:dyDescent="0.2">
      <c r="A1481" s="467" t="str">
        <f ca="1">IF(I1481&gt;0,"P","")</f>
        <v/>
      </c>
      <c r="B1481" s="1324" t="str">
        <f>IF(LEN('11.700'!H608)=0,"",'11.700'!H608)</f>
        <v/>
      </c>
      <c r="C1481" s="1280" t="str">
        <f t="shared" ca="1" si="95"/>
        <v/>
      </c>
      <c r="D1481" s="590" t="s">
        <v>4334</v>
      </c>
      <c r="E1481" s="590"/>
      <c r="F1481" s="590"/>
      <c r="G1481" s="1687" t="s">
        <v>4335</v>
      </c>
      <c r="H1481" s="1341" t="str">
        <f>IF(LEN('11.700'!W608)=0,"",'11.700'!W608)</f>
        <v/>
      </c>
      <c r="I1481" s="88">
        <f ca="1">'11.700'!O608</f>
        <v>0</v>
      </c>
      <c r="J1481" s="1312" t="s">
        <v>3120</v>
      </c>
    </row>
    <row r="1482" spans="1:10" x14ac:dyDescent="0.2">
      <c r="A1482" s="467" t="str">
        <f t="shared" ref="A1482" ca="1" si="96">A1481</f>
        <v/>
      </c>
      <c r="B1482" s="1324" t="str">
        <f>IF(LEN('11.700'!H609)=0,"",'11.700'!H609)</f>
        <v/>
      </c>
      <c r="C1482" s="1280" t="str">
        <f t="shared" ca="1" si="95"/>
        <v/>
      </c>
      <c r="D1482" s="606"/>
      <c r="E1482" s="606"/>
      <c r="F1482" s="606"/>
      <c r="G1482" s="1688"/>
      <c r="H1482" s="1326"/>
      <c r="J1482" s="1312"/>
    </row>
    <row r="1483" spans="1:10" x14ac:dyDescent="0.2">
      <c r="A1483" s="467" t="str">
        <f ca="1">IF(I1483&gt;0,"P","")</f>
        <v/>
      </c>
      <c r="B1483" s="1324" t="str">
        <f>IF(LEN('11.700'!H610)=0,"",'11.700'!H610)</f>
        <v/>
      </c>
      <c r="C1483" s="1280" t="str">
        <f t="shared" ca="1" si="95"/>
        <v/>
      </c>
      <c r="D1483" s="590" t="s">
        <v>4336</v>
      </c>
      <c r="E1483" s="590"/>
      <c r="F1483" s="590"/>
      <c r="G1483" s="1687" t="s">
        <v>4337</v>
      </c>
      <c r="H1483" s="1341" t="str">
        <f>IF(LEN('11.700'!W610)=0,"",'11.700'!W610)</f>
        <v/>
      </c>
      <c r="I1483" s="88">
        <f ca="1">'11.700'!O610</f>
        <v>0</v>
      </c>
      <c r="J1483" s="1312" t="s">
        <v>3120</v>
      </c>
    </row>
    <row r="1484" spans="1:10" ht="16" thickBot="1" x14ac:dyDescent="0.25">
      <c r="A1484" s="467" t="str">
        <f t="shared" ref="A1484" ca="1" si="97">A1483</f>
        <v/>
      </c>
      <c r="B1484" s="1324" t="str">
        <f>IF(LEN('11.700'!H611)=0,"",'11.700'!H611)</f>
        <v/>
      </c>
      <c r="C1484" s="1280" t="str">
        <f t="shared" ca="1" si="95"/>
        <v/>
      </c>
      <c r="D1484" s="594"/>
      <c r="E1484" s="594"/>
      <c r="F1484" s="594"/>
      <c r="G1484" s="1738"/>
      <c r="H1484" s="1326"/>
      <c r="J1484" s="1312"/>
    </row>
    <row r="1485" spans="1:10" ht="16" thickTop="1" x14ac:dyDescent="0.2">
      <c r="A1485" s="467" t="str">
        <f ca="1">IF(I1485&gt;0,"P","")</f>
        <v/>
      </c>
      <c r="B1485" s="1324" t="str">
        <f>IF(LEN('11.700'!H612)=0,"",'11.700'!H612)</f>
        <v/>
      </c>
      <c r="C1485" s="1280" t="str">
        <f t="shared" ca="1" si="95"/>
        <v/>
      </c>
      <c r="D1485" s="589" t="s">
        <v>4338</v>
      </c>
      <c r="E1485" s="589"/>
      <c r="F1485" s="589"/>
      <c r="G1485" s="1687" t="s">
        <v>4339</v>
      </c>
      <c r="H1485" s="1341" t="str">
        <f>IF(LEN('11.700'!W612)=0,"",'11.700'!W612)</f>
        <v/>
      </c>
      <c r="I1485" s="88">
        <f ca="1">'11.700'!O612</f>
        <v>0</v>
      </c>
      <c r="J1485" s="1312" t="s">
        <v>3120</v>
      </c>
    </row>
    <row r="1486" spans="1:10" x14ac:dyDescent="0.2">
      <c r="A1486" s="467" t="str">
        <f t="shared" ref="A1486:A1488" ca="1" si="98">A1485</f>
        <v/>
      </c>
      <c r="B1486" s="1324" t="str">
        <f>IF(LEN('11.700'!H613)=0,"",'11.700'!H613)</f>
        <v/>
      </c>
      <c r="C1486" s="1280" t="str">
        <f t="shared" ca="1" si="95"/>
        <v/>
      </c>
      <c r="D1486" s="589"/>
      <c r="E1486" s="589"/>
      <c r="F1486" s="589"/>
      <c r="G1486" s="1687"/>
      <c r="H1486" s="1326"/>
      <c r="J1486" s="1312"/>
    </row>
    <row r="1487" spans="1:10" x14ac:dyDescent="0.2">
      <c r="A1487" s="467" t="str">
        <f t="shared" ca="1" si="98"/>
        <v/>
      </c>
      <c r="B1487" s="1324" t="str">
        <f>IF(LEN('11.700'!H614)=0,"",'11.700'!H614)</f>
        <v/>
      </c>
      <c r="C1487" s="1280" t="str">
        <f t="shared" ca="1" si="95"/>
        <v/>
      </c>
      <c r="D1487" s="589"/>
      <c r="E1487" s="589"/>
      <c r="F1487" s="589"/>
      <c r="G1487" s="1687"/>
      <c r="H1487" s="1326"/>
      <c r="J1487" s="1312"/>
    </row>
    <row r="1488" spans="1:10" x14ac:dyDescent="0.2">
      <c r="A1488" s="467" t="str">
        <f t="shared" ca="1" si="98"/>
        <v/>
      </c>
      <c r="B1488" s="1324" t="str">
        <f>IF(LEN('11.700'!H615)=0,"",'11.700'!H615)</f>
        <v/>
      </c>
      <c r="C1488" s="1280" t="str">
        <f t="shared" ca="1" si="95"/>
        <v/>
      </c>
      <c r="D1488" s="589"/>
      <c r="E1488" s="589"/>
      <c r="F1488" s="589"/>
      <c r="G1488" s="1687"/>
      <c r="H1488" s="1326"/>
      <c r="J1488" s="1312"/>
    </row>
    <row r="1489" spans="1:10" ht="19" x14ac:dyDescent="0.25">
      <c r="A1489" s="467" t="s">
        <v>3200</v>
      </c>
      <c r="B1489" s="1324" t="str">
        <f>IF(LEN('11.700'!H616)=0,"",'11.700'!H616)</f>
        <v/>
      </c>
      <c r="C1489" s="1280" t="str">
        <f t="shared" si="95"/>
        <v>P</v>
      </c>
      <c r="D1489" s="1004" t="s">
        <v>4340</v>
      </c>
      <c r="E1489" s="81"/>
      <c r="F1489" s="81"/>
      <c r="G1489" s="1004"/>
      <c r="H1489" s="994"/>
      <c r="I1489" s="25"/>
      <c r="J1489" s="25"/>
    </row>
    <row r="1490" spans="1:10" x14ac:dyDescent="0.2">
      <c r="A1490" s="467" t="str">
        <f ca="1">IF(I1490&gt;0,"P","")</f>
        <v/>
      </c>
      <c r="B1490" s="1324" t="str">
        <f>IF(LEN('11.700'!H617)=0,"",'11.700'!H617)</f>
        <v/>
      </c>
      <c r="C1490" s="1280" t="str">
        <f t="shared" ca="1" si="95"/>
        <v/>
      </c>
      <c r="D1490" s="589" t="s">
        <v>4341</v>
      </c>
      <c r="E1490" s="589"/>
      <c r="F1490" s="589"/>
      <c r="G1490" s="1687" t="s">
        <v>4342</v>
      </c>
      <c r="H1490" s="1326"/>
      <c r="I1490" s="88">
        <f ca="1">'11.700'!O617</f>
        <v>0</v>
      </c>
      <c r="J1490" s="1312" t="s">
        <v>5203</v>
      </c>
    </row>
    <row r="1491" spans="1:10" x14ac:dyDescent="0.2">
      <c r="A1491" s="467" t="str">
        <f t="shared" ref="A1491" ca="1" si="99">A1490</f>
        <v/>
      </c>
      <c r="B1491" s="1324" t="str">
        <f>IF(LEN('11.700'!H618)=0,"",'11.700'!H618)</f>
        <v/>
      </c>
      <c r="C1491" s="1280" t="str">
        <f t="shared" ca="1" si="95"/>
        <v/>
      </c>
      <c r="D1491" s="589"/>
      <c r="E1491" s="589"/>
      <c r="F1491" s="589"/>
      <c r="G1491" s="1687"/>
      <c r="H1491" s="1326"/>
      <c r="J1491" s="1312"/>
    </row>
    <row r="1492" spans="1:10" x14ac:dyDescent="0.2">
      <c r="B1492" s="1324" t="str">
        <f>IF(LEN('11.700'!H619)=0,"",'11.700'!H619)</f>
        <v/>
      </c>
      <c r="C1492" s="1280" t="str">
        <f t="shared" si="95"/>
        <v/>
      </c>
      <c r="D1492" s="589"/>
      <c r="E1492" s="606" t="s">
        <v>254</v>
      </c>
      <c r="F1492" s="606"/>
      <c r="G1492" s="1291" t="s">
        <v>4343</v>
      </c>
      <c r="H1492" s="1341" t="str">
        <f>IF(LEN('11.700'!W619)=0,"",'11.700'!W619)</f>
        <v/>
      </c>
      <c r="J1492" s="1312"/>
    </row>
    <row r="1493" spans="1:10" x14ac:dyDescent="0.2">
      <c r="B1493" s="1324" t="str">
        <f>IF(LEN('11.700'!H620)=0,"",'11.700'!H620)</f>
        <v/>
      </c>
      <c r="C1493" s="1280" t="str">
        <f t="shared" si="95"/>
        <v/>
      </c>
      <c r="D1493" s="589"/>
      <c r="E1493" s="606" t="s">
        <v>255</v>
      </c>
      <c r="F1493" s="606"/>
      <c r="G1493" s="1291" t="s">
        <v>4344</v>
      </c>
      <c r="H1493" s="1341" t="str">
        <f>IF(LEN('11.700'!W620)=0,"",'11.700'!W620)</f>
        <v/>
      </c>
      <c r="J1493" s="1312"/>
    </row>
    <row r="1494" spans="1:10" x14ac:dyDescent="0.2">
      <c r="B1494" s="1324" t="str">
        <f>IF(LEN('11.700'!H621)=0,"",'11.700'!H621)</f>
        <v/>
      </c>
      <c r="C1494" s="1280" t="str">
        <f t="shared" si="95"/>
        <v/>
      </c>
      <c r="D1494" s="589"/>
      <c r="E1494" s="606" t="s">
        <v>256</v>
      </c>
      <c r="F1494" s="606"/>
      <c r="G1494" s="1291" t="s">
        <v>4345</v>
      </c>
      <c r="H1494" s="1341" t="str">
        <f>IF(LEN('11.700'!W621)=0,"",'11.700'!W621)</f>
        <v/>
      </c>
      <c r="J1494" s="1312"/>
    </row>
    <row r="1495" spans="1:10" x14ac:dyDescent="0.2">
      <c r="B1495" s="1324" t="str">
        <f>IF(LEN('11.700'!H622)=0,"",'11.700'!H622)</f>
        <v/>
      </c>
      <c r="C1495" s="1280" t="str">
        <f t="shared" si="95"/>
        <v/>
      </c>
      <c r="D1495" s="589"/>
      <c r="E1495" s="590" t="s">
        <v>259</v>
      </c>
      <c r="F1495" s="590"/>
      <c r="G1495" s="1634" t="s">
        <v>4346</v>
      </c>
      <c r="H1495" s="1341" t="str">
        <f>IF(LEN('11.700'!W622)=0,"",'11.700'!W622)</f>
        <v/>
      </c>
      <c r="J1495" s="1312"/>
    </row>
    <row r="1496" spans="1:10" x14ac:dyDescent="0.2">
      <c r="B1496" s="1324" t="str">
        <f>IF(LEN('11.700'!H623)=0,"",'11.700'!H623)</f>
        <v/>
      </c>
      <c r="C1496" s="1280" t="str">
        <f t="shared" si="95"/>
        <v/>
      </c>
      <c r="D1496" s="589"/>
      <c r="E1496" s="606"/>
      <c r="F1496" s="606"/>
      <c r="G1496" s="1639"/>
      <c r="H1496" s="1326"/>
      <c r="J1496" s="1312"/>
    </row>
    <row r="1497" spans="1:10" ht="16" thickBot="1" x14ac:dyDescent="0.25">
      <c r="B1497" s="1324" t="str">
        <f>IF(LEN('11.700'!H624)=0,"",'11.700'!H624)</f>
        <v/>
      </c>
      <c r="C1497" s="1280" t="str">
        <f t="shared" si="95"/>
        <v/>
      </c>
      <c r="D1497" s="594"/>
      <c r="E1497" s="594" t="s">
        <v>263</v>
      </c>
      <c r="F1497" s="594"/>
      <c r="G1497" s="1293" t="s">
        <v>4347</v>
      </c>
      <c r="H1497" s="1341" t="str">
        <f>IF(LEN('11.700'!W624)=0,"",'11.700'!W624)</f>
        <v/>
      </c>
      <c r="J1497" s="1312"/>
    </row>
    <row r="1498" spans="1:10" ht="16" thickTop="1" x14ac:dyDescent="0.2">
      <c r="A1498" s="467" t="str">
        <f ca="1">IF(I1498&gt;0,"P","")</f>
        <v/>
      </c>
      <c r="B1498" s="1324" t="str">
        <f>IF(LEN('11.700'!H625)=0,"",'11.700'!H625)</f>
        <v/>
      </c>
      <c r="C1498" s="1280" t="str">
        <f t="shared" ca="1" si="95"/>
        <v/>
      </c>
      <c r="D1498" s="589" t="s">
        <v>4348</v>
      </c>
      <c r="E1498" s="589"/>
      <c r="F1498" s="589"/>
      <c r="G1498" s="1687" t="s">
        <v>4349</v>
      </c>
      <c r="H1498" s="1326"/>
      <c r="I1498" s="1397">
        <f ca="1">SUM(I1500:I1505)</f>
        <v>0</v>
      </c>
      <c r="J1498" s="1312"/>
    </row>
    <row r="1499" spans="1:10" x14ac:dyDescent="0.2">
      <c r="A1499" s="467" t="str">
        <f t="shared" ref="A1499" ca="1" si="100">A1498</f>
        <v/>
      </c>
      <c r="B1499" s="1324" t="str">
        <f>IF(LEN('11.700'!H626)=0,"",'11.700'!H626)</f>
        <v/>
      </c>
      <c r="C1499" s="1280" t="str">
        <f t="shared" ca="1" si="95"/>
        <v/>
      </c>
      <c r="D1499" s="589"/>
      <c r="E1499" s="589"/>
      <c r="F1499" s="589"/>
      <c r="G1499" s="1687"/>
      <c r="H1499" s="1326"/>
      <c r="J1499" s="1312"/>
    </row>
    <row r="1500" spans="1:10" x14ac:dyDescent="0.2">
      <c r="A1500" s="467" t="str">
        <f ca="1">IF(I1500&gt;0,"P","")</f>
        <v/>
      </c>
      <c r="B1500" s="1324" t="str">
        <f>IF(LEN('11.700'!H627)=0,"",'11.700'!H627)</f>
        <v/>
      </c>
      <c r="C1500" s="1280" t="str">
        <f t="shared" ca="1" si="95"/>
        <v/>
      </c>
      <c r="D1500" s="589"/>
      <c r="E1500" s="590" t="s">
        <v>254</v>
      </c>
      <c r="F1500" s="590"/>
      <c r="G1500" s="1634" t="s">
        <v>4350</v>
      </c>
      <c r="H1500" s="1341" t="str">
        <f>IF(LEN('11.700'!W627)=0,"",'11.700'!W627)</f>
        <v/>
      </c>
      <c r="I1500" s="88">
        <f ca="1">'11.700'!O627</f>
        <v>0</v>
      </c>
      <c r="J1500" s="1779" t="s">
        <v>5204</v>
      </c>
    </row>
    <row r="1501" spans="1:10" x14ac:dyDescent="0.2">
      <c r="A1501" s="467" t="str">
        <f t="shared" ref="A1501:A1504" ca="1" si="101">A1500</f>
        <v/>
      </c>
      <c r="B1501" s="1324" t="str">
        <f>IF(LEN('11.700'!H628)=0,"",'11.700'!H628)</f>
        <v/>
      </c>
      <c r="C1501" s="1280" t="str">
        <f t="shared" ca="1" si="95"/>
        <v/>
      </c>
      <c r="D1501" s="589"/>
      <c r="E1501" s="590"/>
      <c r="F1501" s="590"/>
      <c r="G1501" s="1634"/>
      <c r="H1501" s="1326"/>
      <c r="J1501" s="1779"/>
    </row>
    <row r="1502" spans="1:10" x14ac:dyDescent="0.2">
      <c r="A1502" s="467" t="str">
        <f t="shared" ca="1" si="101"/>
        <v/>
      </c>
      <c r="B1502" s="1324" t="str">
        <f>IF(LEN('11.700'!H629)=0,"",'11.700'!H629)</f>
        <v/>
      </c>
      <c r="C1502" s="1280" t="str">
        <f t="shared" ca="1" si="95"/>
        <v/>
      </c>
      <c r="D1502" s="589"/>
      <c r="E1502" s="590"/>
      <c r="F1502" s="590"/>
      <c r="G1502" s="1634"/>
      <c r="H1502" s="1326"/>
      <c r="J1502" s="1312"/>
    </row>
    <row r="1503" spans="1:10" x14ac:dyDescent="0.2">
      <c r="A1503" s="467" t="str">
        <f t="shared" ca="1" si="101"/>
        <v/>
      </c>
      <c r="B1503" s="1324" t="str">
        <f>IF(LEN('11.700'!H630)=0,"",'11.700'!H630)</f>
        <v/>
      </c>
      <c r="C1503" s="1280" t="str">
        <f t="shared" ca="1" si="95"/>
        <v/>
      </c>
      <c r="D1503" s="589"/>
      <c r="E1503" s="590"/>
      <c r="F1503" s="590"/>
      <c r="G1503" s="1634"/>
      <c r="H1503" s="1326"/>
      <c r="J1503" s="1312"/>
    </row>
    <row r="1504" spans="1:10" x14ac:dyDescent="0.2">
      <c r="A1504" s="467" t="str">
        <f t="shared" ca="1" si="101"/>
        <v/>
      </c>
      <c r="B1504" s="1324" t="str">
        <f>IF(LEN('11.700'!H631)=0,"",'11.700'!H631)</f>
        <v/>
      </c>
      <c r="C1504" s="1280" t="str">
        <f t="shared" ca="1" si="95"/>
        <v/>
      </c>
      <c r="D1504" s="589"/>
      <c r="E1504" s="606"/>
      <c r="F1504" s="606"/>
      <c r="G1504" s="1639"/>
      <c r="H1504" s="1326"/>
      <c r="J1504" s="1312"/>
    </row>
    <row r="1505" spans="1:10" x14ac:dyDescent="0.2">
      <c r="A1505" s="467" t="str">
        <f ca="1">IF(I1505&gt;0,"P","")</f>
        <v/>
      </c>
      <c r="B1505" s="1324" t="str">
        <f>IF(LEN('11.700'!H632)=0,"",'11.700'!H632)</f>
        <v/>
      </c>
      <c r="C1505" s="1280" t="str">
        <f t="shared" ca="1" si="95"/>
        <v/>
      </c>
      <c r="D1505" s="590"/>
      <c r="E1505" s="590" t="s">
        <v>255</v>
      </c>
      <c r="F1505" s="590"/>
      <c r="G1505" s="1634" t="s">
        <v>4351</v>
      </c>
      <c r="H1505" s="1341" t="str">
        <f>IF(LEN('11.700'!W632)=0,"",'11.700'!W632)</f>
        <v/>
      </c>
      <c r="I1505" s="88">
        <f ca="1">'11.700'!O632</f>
        <v>0</v>
      </c>
      <c r="J1505" s="1779" t="s">
        <v>5205</v>
      </c>
    </row>
    <row r="1506" spans="1:10" x14ac:dyDescent="0.2">
      <c r="A1506" s="467" t="str">
        <f t="shared" ref="A1506:A1507" ca="1" si="102">A1505</f>
        <v/>
      </c>
      <c r="B1506" s="1324" t="str">
        <f>IF(LEN('11.700'!H633)=0,"",'11.700'!H633)</f>
        <v/>
      </c>
      <c r="C1506" s="1280" t="str">
        <f t="shared" ca="1" si="95"/>
        <v/>
      </c>
      <c r="D1506" s="590"/>
      <c r="E1506" s="590"/>
      <c r="F1506" s="590"/>
      <c r="G1506" s="1634"/>
      <c r="H1506" s="1326"/>
      <c r="J1506" s="1779"/>
    </row>
    <row r="1507" spans="1:10" x14ac:dyDescent="0.2">
      <c r="A1507" s="467" t="str">
        <f t="shared" ca="1" si="102"/>
        <v/>
      </c>
      <c r="B1507" s="1324" t="str">
        <f>IF(LEN('11.700'!H634)=0,"",'11.700'!H634)</f>
        <v/>
      </c>
      <c r="C1507" s="1280" t="str">
        <f t="shared" ca="1" si="95"/>
        <v/>
      </c>
      <c r="D1507" s="590"/>
      <c r="E1507" s="590"/>
      <c r="F1507" s="590"/>
      <c r="G1507" s="1634"/>
      <c r="H1507" s="1326"/>
      <c r="J1507" s="1312"/>
    </row>
    <row r="1508" spans="1:10" x14ac:dyDescent="0.2">
      <c r="B1508" s="1324" t="str">
        <f>IF(LEN('11.700'!H635)=0,"",'11.700'!H635)</f>
        <v/>
      </c>
      <c r="C1508" s="1280" t="str">
        <f t="shared" si="95"/>
        <v/>
      </c>
      <c r="D1508" s="590"/>
      <c r="E1508" s="590"/>
      <c r="F1508" s="590" t="s">
        <v>121</v>
      </c>
      <c r="G1508" s="1634" t="s">
        <v>4352</v>
      </c>
      <c r="H1508" s="1326"/>
      <c r="J1508" s="1312"/>
    </row>
    <row r="1509" spans="1:10" x14ac:dyDescent="0.2">
      <c r="B1509" s="1324" t="str">
        <f>IF(LEN('11.700'!H636)=0,"",'11.700'!H636)</f>
        <v/>
      </c>
      <c r="C1509" s="1280" t="str">
        <f t="shared" si="95"/>
        <v/>
      </c>
      <c r="D1509" s="590"/>
      <c r="E1509" s="590"/>
      <c r="F1509" s="606"/>
      <c r="G1509" s="1639"/>
      <c r="H1509" s="1326"/>
      <c r="J1509" s="1312"/>
    </row>
    <row r="1510" spans="1:10" x14ac:dyDescent="0.2">
      <c r="B1510" s="1324" t="str">
        <f>IF(LEN('11.700'!H637)=0,"",'11.700'!H637)</f>
        <v/>
      </c>
      <c r="C1510" s="1280" t="str">
        <f t="shared" si="95"/>
        <v/>
      </c>
      <c r="D1510" s="590"/>
      <c r="E1510" s="590"/>
      <c r="F1510" s="590" t="s">
        <v>122</v>
      </c>
      <c r="G1510" s="1634" t="s">
        <v>4353</v>
      </c>
      <c r="H1510" s="1326"/>
      <c r="J1510" s="1312"/>
    </row>
    <row r="1511" spans="1:10" ht="16" thickBot="1" x14ac:dyDescent="0.25">
      <c r="B1511" s="1324" t="str">
        <f>IF(LEN('11.700'!H638)=0,"",'11.700'!H638)</f>
        <v/>
      </c>
      <c r="C1511" s="1280" t="str">
        <f t="shared" si="95"/>
        <v/>
      </c>
      <c r="D1511" s="594"/>
      <c r="E1511" s="594"/>
      <c r="F1511" s="594"/>
      <c r="G1511" s="1635"/>
      <c r="H1511" s="1326"/>
      <c r="J1511" s="1312"/>
    </row>
    <row r="1512" spans="1:10" ht="16" thickTop="1" x14ac:dyDescent="0.2">
      <c r="A1512" s="467" t="str">
        <f ca="1">IF(I1512&gt;0,"P","")</f>
        <v/>
      </c>
      <c r="B1512" s="1324" t="str">
        <f>IF(LEN('11.700'!H639)=0,"",'11.700'!H639)</f>
        <v/>
      </c>
      <c r="C1512" s="1280" t="str">
        <f t="shared" ca="1" si="95"/>
        <v/>
      </c>
      <c r="D1512" s="589" t="s">
        <v>4354</v>
      </c>
      <c r="E1512" s="589"/>
      <c r="F1512" s="589"/>
      <c r="G1512" s="1687" t="s">
        <v>4355</v>
      </c>
      <c r="H1512" s="1326"/>
      <c r="I1512" s="88">
        <f ca="1">'11.700'!O639</f>
        <v>0</v>
      </c>
      <c r="J1512" s="1312" t="s">
        <v>3154</v>
      </c>
    </row>
    <row r="1513" spans="1:10" x14ac:dyDescent="0.2">
      <c r="A1513" s="467" t="str">
        <f t="shared" ref="A1513" ca="1" si="103">A1512</f>
        <v/>
      </c>
      <c r="B1513" s="1324" t="str">
        <f>IF(LEN('11.700'!H640)=0,"",'11.700'!H640)</f>
        <v/>
      </c>
      <c r="C1513" s="1280" t="str">
        <f t="shared" ca="1" si="95"/>
        <v/>
      </c>
      <c r="D1513" s="589"/>
      <c r="E1513" s="589"/>
      <c r="F1513" s="589"/>
      <c r="G1513" s="1687"/>
      <c r="H1513" s="1326"/>
      <c r="J1513" s="1312"/>
    </row>
    <row r="1514" spans="1:10" x14ac:dyDescent="0.2">
      <c r="B1514" s="1324" t="str">
        <f>IF(LEN('11.700'!H641)=0,"",'11.700'!H641)</f>
        <v/>
      </c>
      <c r="C1514" s="1280" t="str">
        <f t="shared" si="95"/>
        <v/>
      </c>
      <c r="D1514" s="589"/>
      <c r="E1514" s="589"/>
      <c r="F1514" s="589"/>
      <c r="G1514" s="1290" t="s">
        <v>4362</v>
      </c>
      <c r="H1514" s="1326"/>
      <c r="J1514" s="1312"/>
    </row>
    <row r="1515" spans="1:10" x14ac:dyDescent="0.2">
      <c r="B1515" s="1324" t="str">
        <f>IF(LEN('11.700'!H642)=0,"",'11.700'!H642)</f>
        <v/>
      </c>
      <c r="C1515" s="1280" t="str">
        <f t="shared" si="95"/>
        <v/>
      </c>
      <c r="D1515" s="589"/>
      <c r="E1515" s="589"/>
      <c r="F1515" s="589"/>
      <c r="G1515" s="1290" t="s">
        <v>4363</v>
      </c>
      <c r="H1515" s="1326"/>
      <c r="J1515" s="1312"/>
    </row>
    <row r="1516" spans="1:10" x14ac:dyDescent="0.2">
      <c r="B1516" s="1324" t="str">
        <f>IF(LEN('11.700'!H643)=0,"",'11.700'!H643)</f>
        <v/>
      </c>
      <c r="C1516" s="1280" t="str">
        <f t="shared" si="95"/>
        <v/>
      </c>
      <c r="D1516" s="589"/>
      <c r="E1516" s="589" t="s">
        <v>254</v>
      </c>
      <c r="F1516" s="589"/>
      <c r="G1516" s="1290" t="s">
        <v>4204</v>
      </c>
      <c r="H1516" s="1341" t="str">
        <f>IF(LEN('11.700'!W643)=0,"",'11.700'!W643)</f>
        <v/>
      </c>
      <c r="J1516" s="1312"/>
    </row>
    <row r="1517" spans="1:10" x14ac:dyDescent="0.2">
      <c r="B1517" s="1324" t="str">
        <f>IF(LEN('11.700'!H644)=0,"",'11.700'!H644)</f>
        <v/>
      </c>
      <c r="C1517" s="1280" t="str">
        <f t="shared" si="95"/>
        <v/>
      </c>
      <c r="D1517" s="589"/>
      <c r="E1517" s="589" t="s">
        <v>255</v>
      </c>
      <c r="F1517" s="589"/>
      <c r="G1517" s="1290" t="s">
        <v>4356</v>
      </c>
      <c r="H1517" s="1341" t="str">
        <f>IF(LEN('11.700'!W644)=0,"",'11.700'!W644)</f>
        <v/>
      </c>
      <c r="J1517" s="1312"/>
    </row>
    <row r="1518" spans="1:10" x14ac:dyDescent="0.2">
      <c r="B1518" s="1324" t="str">
        <f>IF(LEN('11.700'!H645)=0,"",'11.700'!H645)</f>
        <v/>
      </c>
      <c r="C1518" s="1280" t="str">
        <f t="shared" si="95"/>
        <v/>
      </c>
      <c r="D1518" s="589"/>
      <c r="E1518" s="589" t="s">
        <v>256</v>
      </c>
      <c r="F1518" s="589"/>
      <c r="G1518" s="1290" t="s">
        <v>674</v>
      </c>
      <c r="H1518" s="1341" t="str">
        <f>IF(LEN('11.700'!W645)=0,"",'11.700'!W645)</f>
        <v/>
      </c>
      <c r="J1518" s="1312"/>
    </row>
    <row r="1519" spans="1:10" x14ac:dyDescent="0.2">
      <c r="B1519" s="1324" t="str">
        <f>IF(LEN('11.700'!H646)=0,"",'11.700'!H646)</f>
        <v/>
      </c>
      <c r="C1519" s="1280" t="str">
        <f t="shared" si="95"/>
        <v/>
      </c>
      <c r="D1519" s="589"/>
      <c r="E1519" s="589" t="s">
        <v>259</v>
      </c>
      <c r="F1519" s="589"/>
      <c r="G1519" s="1290" t="s">
        <v>4357</v>
      </c>
      <c r="H1519" s="1341" t="str">
        <f>IF(LEN('11.700'!W646)=0,"",'11.700'!W646)</f>
        <v/>
      </c>
      <c r="J1519" s="1312"/>
    </row>
    <row r="1520" spans="1:10" x14ac:dyDescent="0.2">
      <c r="B1520" s="1324" t="str">
        <f>IF(LEN('11.700'!H647)=0,"",'11.700'!H647)</f>
        <v/>
      </c>
      <c r="C1520" s="1280" t="str">
        <f t="shared" si="95"/>
        <v/>
      </c>
      <c r="D1520" s="589"/>
      <c r="E1520" s="589" t="s">
        <v>263</v>
      </c>
      <c r="F1520" s="589"/>
      <c r="G1520" s="1290" t="s">
        <v>4358</v>
      </c>
      <c r="H1520" s="1341" t="str">
        <f>IF(LEN('11.700'!W647)=0,"",'11.700'!W647)</f>
        <v/>
      </c>
      <c r="J1520" s="1312"/>
    </row>
    <row r="1521" spans="1:10" x14ac:dyDescent="0.2">
      <c r="B1521" s="1324" t="str">
        <f>IF(LEN('11.700'!H648)=0,"",'11.700'!H648)</f>
        <v/>
      </c>
      <c r="C1521" s="1280" t="str">
        <f t="shared" si="95"/>
        <v/>
      </c>
      <c r="D1521" s="589"/>
      <c r="E1521" s="589" t="s">
        <v>264</v>
      </c>
      <c r="F1521" s="589"/>
      <c r="G1521" s="1290" t="s">
        <v>4359</v>
      </c>
      <c r="H1521" s="1341" t="str">
        <f>IF(LEN('11.700'!W648)=0,"",'11.700'!W648)</f>
        <v/>
      </c>
      <c r="J1521" s="1312"/>
    </row>
    <row r="1522" spans="1:10" x14ac:dyDescent="0.2">
      <c r="B1522" s="1324" t="str">
        <f>IF(LEN('11.700'!H649)=0,"",'11.700'!H649)</f>
        <v/>
      </c>
      <c r="C1522" s="1280" t="str">
        <f t="shared" si="95"/>
        <v/>
      </c>
      <c r="D1522" s="589"/>
      <c r="E1522" s="589" t="s">
        <v>356</v>
      </c>
      <c r="F1522" s="589"/>
      <c r="G1522" s="1290" t="s">
        <v>4360</v>
      </c>
      <c r="H1522" s="1341" t="str">
        <f>IF(LEN('11.700'!W649)=0,"",'11.700'!W649)</f>
        <v/>
      </c>
      <c r="J1522" s="1312"/>
    </row>
    <row r="1523" spans="1:10" x14ac:dyDescent="0.2">
      <c r="B1523" s="1324" t="str">
        <f>IF(LEN('11.700'!H650)=0,"",'11.700'!H650)</f>
        <v/>
      </c>
      <c r="C1523" s="1280" t="str">
        <f t="shared" si="95"/>
        <v/>
      </c>
      <c r="D1523" s="589"/>
      <c r="E1523" s="589" t="s">
        <v>389</v>
      </c>
      <c r="F1523" s="589"/>
      <c r="G1523" s="1290" t="s">
        <v>4361</v>
      </c>
      <c r="H1523" s="1341" t="str">
        <f>IF(LEN('11.700'!W650)=0,"",'11.700'!W650)</f>
        <v/>
      </c>
      <c r="J1523" s="1312"/>
    </row>
    <row r="1524" spans="1:10" x14ac:dyDescent="0.2">
      <c r="B1524" s="1324" t="str">
        <f>IF(LEN('11.700'!H651)=0,"",'11.700'!H651)</f>
        <v/>
      </c>
      <c r="C1524" s="1280" t="str">
        <f t="shared" si="95"/>
        <v/>
      </c>
      <c r="D1524" s="589"/>
      <c r="E1524" s="589"/>
      <c r="F1524" s="589"/>
      <c r="G1524" s="1745" t="s">
        <v>4364</v>
      </c>
      <c r="H1524" s="1326"/>
      <c r="J1524" s="1312"/>
    </row>
    <row r="1525" spans="1:10" x14ac:dyDescent="0.2">
      <c r="B1525" s="1324" t="str">
        <f>IF(LEN('11.700'!H652)=0,"",'11.700'!H652)</f>
        <v/>
      </c>
      <c r="C1525" s="1280" t="str">
        <f t="shared" si="95"/>
        <v/>
      </c>
      <c r="D1525" s="589"/>
      <c r="E1525" s="589"/>
      <c r="F1525" s="589"/>
      <c r="G1525" s="1745"/>
      <c r="H1525" s="1326"/>
      <c r="J1525" s="1312"/>
    </row>
    <row r="1526" spans="1:10" x14ac:dyDescent="0.2">
      <c r="B1526" s="1324" t="str">
        <f>IF(LEN('11.700'!H653)=0,"",'11.700'!H653)</f>
        <v/>
      </c>
      <c r="C1526" s="1280" t="str">
        <f t="shared" si="95"/>
        <v/>
      </c>
      <c r="D1526" s="590"/>
      <c r="E1526" s="590"/>
      <c r="F1526" s="590"/>
      <c r="G1526" s="1745" t="s">
        <v>4851</v>
      </c>
      <c r="H1526" s="1326"/>
      <c r="J1526" s="1312"/>
    </row>
    <row r="1527" spans="1:10" ht="16" thickBot="1" x14ac:dyDescent="0.25">
      <c r="B1527" s="1324" t="str">
        <f>IF(LEN('11.700'!H654)=0,"",'11.700'!H654)</f>
        <v/>
      </c>
      <c r="C1527" s="1280" t="str">
        <f t="shared" si="95"/>
        <v/>
      </c>
      <c r="D1527" s="594"/>
      <c r="E1527" s="594"/>
      <c r="F1527" s="594"/>
      <c r="G1527" s="1746"/>
      <c r="H1527" s="1326"/>
      <c r="J1527" s="1312"/>
    </row>
    <row r="1528" spans="1:10" ht="16" thickTop="1" x14ac:dyDescent="0.2">
      <c r="A1528" s="467" t="str">
        <f ca="1">IF(I1528&gt;0,"P","")</f>
        <v/>
      </c>
      <c r="B1528" s="1324" t="str">
        <f>IF(LEN('11.700'!H655)=0,"",'11.700'!H655)</f>
        <v/>
      </c>
      <c r="C1528" s="1280" t="str">
        <f t="shared" ca="1" si="95"/>
        <v/>
      </c>
      <c r="D1528" s="589" t="s">
        <v>4365</v>
      </c>
      <c r="E1528" s="589"/>
      <c r="F1528" s="589"/>
      <c r="G1528" s="1301" t="s">
        <v>4366</v>
      </c>
      <c r="H1528" s="1326"/>
      <c r="I1528" s="1397">
        <f ca="1">SUM(I1529)</f>
        <v>0</v>
      </c>
      <c r="J1528" s="1312"/>
    </row>
    <row r="1529" spans="1:10" x14ac:dyDescent="0.2">
      <c r="A1529" s="467" t="str">
        <f ca="1">IF(I1529&gt;0,"P","")</f>
        <v/>
      </c>
      <c r="B1529" s="1324" t="str">
        <f>IF(LEN('11.700'!H656)=0,"",'11.700'!H656)</f>
        <v/>
      </c>
      <c r="C1529" s="1280" t="str">
        <f t="shared" ca="1" si="95"/>
        <v/>
      </c>
      <c r="D1529" s="589" t="s">
        <v>4367</v>
      </c>
      <c r="E1529" s="589"/>
      <c r="F1529" s="589"/>
      <c r="G1529" s="1301" t="s">
        <v>4368</v>
      </c>
      <c r="H1529" s="1326"/>
      <c r="I1529" s="1397">
        <f ca="1">SUM(I1530:I1532)</f>
        <v>0</v>
      </c>
      <c r="J1529" s="1312" t="s">
        <v>3153</v>
      </c>
    </row>
    <row r="1530" spans="1:10" x14ac:dyDescent="0.2">
      <c r="B1530" s="1324" t="str">
        <f>IF(LEN('11.700'!H657)=0,"",'11.700'!H657)</f>
        <v/>
      </c>
      <c r="C1530" s="1280" t="str">
        <f t="shared" si="95"/>
        <v/>
      </c>
      <c r="D1530" s="589"/>
      <c r="E1530" s="590" t="s">
        <v>254</v>
      </c>
      <c r="F1530" s="590"/>
      <c r="G1530" s="1634" t="s">
        <v>4369</v>
      </c>
      <c r="H1530" s="1341" t="str">
        <f>IF(LEN('11.700'!W657)=0,"",'11.700'!W657)</f>
        <v/>
      </c>
      <c r="I1530" s="88">
        <f ca="1">'11.700'!O657</f>
        <v>0</v>
      </c>
      <c r="J1530" s="1312"/>
    </row>
    <row r="1531" spans="1:10" x14ac:dyDescent="0.2">
      <c r="B1531" s="1324" t="str">
        <f>IF(LEN('11.700'!H658)=0,"",'11.700'!H658)</f>
        <v/>
      </c>
      <c r="C1531" s="1280" t="str">
        <f t="shared" si="95"/>
        <v/>
      </c>
      <c r="D1531" s="589"/>
      <c r="E1531" s="606"/>
      <c r="F1531" s="606"/>
      <c r="G1531" s="1639"/>
      <c r="H1531" s="1326"/>
      <c r="J1531" s="1312"/>
    </row>
    <row r="1532" spans="1:10" x14ac:dyDescent="0.2">
      <c r="B1532" s="1324" t="str">
        <f>IF(LEN('11.700'!H659)=0,"",'11.700'!H659)</f>
        <v/>
      </c>
      <c r="C1532" s="1280" t="str">
        <f t="shared" si="95"/>
        <v/>
      </c>
      <c r="D1532" s="590"/>
      <c r="E1532" s="590" t="s">
        <v>255</v>
      </c>
      <c r="F1532" s="590"/>
      <c r="G1532" s="1634" t="s">
        <v>4370</v>
      </c>
      <c r="H1532" s="1341" t="str">
        <f>IF(LEN('11.700'!W659)=0,"",'11.700'!W659)</f>
        <v/>
      </c>
      <c r="I1532" s="88">
        <f ca="1">'11.700'!O659</f>
        <v>0</v>
      </c>
      <c r="J1532" s="1312"/>
    </row>
    <row r="1533" spans="1:10" x14ac:dyDescent="0.2">
      <c r="B1533" s="1324" t="str">
        <f>IF(LEN('11.700'!H660)=0,"",'11.700'!H660)</f>
        <v/>
      </c>
      <c r="C1533" s="1280" t="str">
        <f t="shared" si="95"/>
        <v/>
      </c>
      <c r="D1533" s="606"/>
      <c r="E1533" s="606"/>
      <c r="F1533" s="606"/>
      <c r="G1533" s="1639"/>
      <c r="H1533" s="1326"/>
      <c r="J1533" s="1312"/>
    </row>
    <row r="1534" spans="1:10" x14ac:dyDescent="0.2">
      <c r="A1534" s="467" t="str">
        <f ca="1">IF(I1534&gt;0,"P","")</f>
        <v/>
      </c>
      <c r="B1534" s="1324" t="str">
        <f>IF(LEN('11.700'!H661)=0,"",'11.700'!H661)</f>
        <v/>
      </c>
      <c r="C1534" s="1280" t="str">
        <f t="shared" ca="1" si="95"/>
        <v/>
      </c>
      <c r="D1534" s="590" t="s">
        <v>4371</v>
      </c>
      <c r="E1534" s="590"/>
      <c r="F1534" s="590"/>
      <c r="G1534" s="1687" t="s">
        <v>4372</v>
      </c>
      <c r="H1534" s="1341" t="str">
        <f>IF(LEN('11.700'!W661)=0,"",'11.700'!W661)</f>
        <v/>
      </c>
      <c r="I1534" s="88">
        <f ca="1">'11.700'!O661</f>
        <v>0</v>
      </c>
      <c r="J1534" s="1312" t="s">
        <v>3153</v>
      </c>
    </row>
    <row r="1535" spans="1:10" ht="16" thickBot="1" x14ac:dyDescent="0.25">
      <c r="A1535" s="467" t="str">
        <f t="shared" ref="A1535" ca="1" si="104">A1534</f>
        <v/>
      </c>
      <c r="B1535" s="1324" t="str">
        <f>IF(LEN('11.700'!H662)=0,"",'11.700'!H662)</f>
        <v/>
      </c>
      <c r="C1535" s="1280" t="str">
        <f t="shared" ca="1" si="95"/>
        <v/>
      </c>
      <c r="D1535" s="594"/>
      <c r="E1535" s="594"/>
      <c r="F1535" s="594"/>
      <c r="G1535" s="1738"/>
      <c r="H1535" s="1326"/>
      <c r="J1535" s="1312"/>
    </row>
    <row r="1536" spans="1:10" ht="16" thickTop="1" x14ac:dyDescent="0.2">
      <c r="A1536" s="467" t="str">
        <f ca="1">IF(I1536&gt;0,"P","")</f>
        <v/>
      </c>
      <c r="B1536" s="1324" t="str">
        <f>IF(LEN('11.700'!H663)=0,"",'11.700'!H663)</f>
        <v/>
      </c>
      <c r="C1536" s="1280" t="str">
        <f t="shared" ca="1" si="95"/>
        <v/>
      </c>
      <c r="D1536" s="589" t="s">
        <v>4373</v>
      </c>
      <c r="E1536" s="589"/>
      <c r="F1536" s="589"/>
      <c r="G1536" s="1301" t="s">
        <v>4374</v>
      </c>
      <c r="H1536" s="1326"/>
      <c r="I1536" s="1397">
        <f ca="1">SUM(I1537:I1541)</f>
        <v>0</v>
      </c>
      <c r="J1536" s="1312" t="s">
        <v>5206</v>
      </c>
    </row>
    <row r="1537" spans="1:10" x14ac:dyDescent="0.2">
      <c r="B1537" s="1324" t="str">
        <f>IF(LEN('11.700'!H664)=0,"",'11.700'!H664)</f>
        <v/>
      </c>
      <c r="C1537" s="1280" t="str">
        <f t="shared" si="95"/>
        <v/>
      </c>
      <c r="D1537" s="589"/>
      <c r="E1537" s="590" t="s">
        <v>254</v>
      </c>
      <c r="F1537" s="590"/>
      <c r="G1537" s="1290" t="s">
        <v>4375</v>
      </c>
      <c r="H1537" s="1341" t="str">
        <f>IF(LEN('11.700'!W664)=0,"",'11.700'!W664)</f>
        <v/>
      </c>
      <c r="I1537" s="88">
        <f ca="1">'11.700'!O664</f>
        <v>0</v>
      </c>
      <c r="J1537" s="1312"/>
    </row>
    <row r="1538" spans="1:10" x14ac:dyDescent="0.2">
      <c r="B1538" s="1324" t="str">
        <f>IF(LEN('11.700'!H665)=0,"",'11.700'!H665)</f>
        <v/>
      </c>
      <c r="C1538" s="1280" t="str">
        <f t="shared" si="95"/>
        <v/>
      </c>
      <c r="D1538" s="589"/>
      <c r="E1538" s="606"/>
      <c r="F1538" s="606"/>
      <c r="G1538" s="1291"/>
      <c r="H1538" s="1326"/>
      <c r="J1538" s="1312"/>
    </row>
    <row r="1539" spans="1:10" x14ac:dyDescent="0.2">
      <c r="B1539" s="1324" t="str">
        <f>IF(LEN('11.700'!H666)=0,"",'11.700'!H666)</f>
        <v/>
      </c>
      <c r="C1539" s="1280" t="str">
        <f t="shared" si="95"/>
        <v/>
      </c>
      <c r="D1539" s="589"/>
      <c r="E1539" s="590" t="s">
        <v>255</v>
      </c>
      <c r="F1539" s="590"/>
      <c r="G1539" s="1290" t="s">
        <v>4376</v>
      </c>
      <c r="H1539" s="1341" t="str">
        <f>IF(LEN('11.700'!W666)=0,"",'11.700'!W666)</f>
        <v/>
      </c>
      <c r="I1539" s="88">
        <f ca="1">'11.700'!O666</f>
        <v>0</v>
      </c>
      <c r="J1539" s="1312"/>
    </row>
    <row r="1540" spans="1:10" x14ac:dyDescent="0.2">
      <c r="B1540" s="1324" t="str">
        <f>IF(LEN('11.700'!H667)=0,"",'11.700'!H667)</f>
        <v/>
      </c>
      <c r="C1540" s="1280" t="str">
        <f t="shared" si="95"/>
        <v/>
      </c>
      <c r="D1540" s="589"/>
      <c r="E1540" s="606"/>
      <c r="F1540" s="606"/>
      <c r="G1540" s="1291"/>
      <c r="H1540" s="1326"/>
      <c r="J1540" s="1312"/>
    </row>
    <row r="1541" spans="1:10" x14ac:dyDescent="0.2">
      <c r="B1541" s="1324" t="str">
        <f>IF(LEN('11.700'!H668)=0,"",'11.700'!H668)</f>
        <v/>
      </c>
      <c r="C1541" s="1280" t="str">
        <f t="shared" si="95"/>
        <v/>
      </c>
      <c r="D1541" s="589"/>
      <c r="E1541" s="589" t="s">
        <v>256</v>
      </c>
      <c r="F1541" s="589"/>
      <c r="G1541" s="1634" t="s">
        <v>4377</v>
      </c>
      <c r="H1541" s="1341" t="str">
        <f>IF(LEN('11.700'!W668)=0,"",'11.700'!W668)</f>
        <v/>
      </c>
      <c r="I1541" s="88">
        <f ca="1">'11.700'!O668</f>
        <v>0</v>
      </c>
      <c r="J1541" s="1312"/>
    </row>
    <row r="1542" spans="1:10" x14ac:dyDescent="0.2">
      <c r="B1542" s="1324" t="str">
        <f>IF(LEN('11.700'!H669)=0,"",'11.700'!H669)</f>
        <v/>
      </c>
      <c r="C1542" s="1280" t="str">
        <f t="shared" si="95"/>
        <v/>
      </c>
      <c r="D1542" s="589"/>
      <c r="E1542" s="589"/>
      <c r="F1542" s="589"/>
      <c r="G1542" s="1634"/>
      <c r="H1542" s="1326"/>
      <c r="J1542" s="1312"/>
    </row>
    <row r="1543" spans="1:10" x14ac:dyDescent="0.2">
      <c r="B1543" s="1324" t="str">
        <f>IF(LEN('11.700'!H670)=0,"",'11.700'!H670)</f>
        <v/>
      </c>
      <c r="C1543" s="1280" t="str">
        <f t="shared" si="95"/>
        <v/>
      </c>
      <c r="D1543" s="589"/>
      <c r="E1543" s="589"/>
      <c r="F1543" s="589"/>
      <c r="G1543" s="1727" t="s">
        <v>5068</v>
      </c>
      <c r="H1543" s="1326"/>
      <c r="J1543" s="1312"/>
    </row>
    <row r="1544" spans="1:10" x14ac:dyDescent="0.2">
      <c r="B1544" s="1324" t="str">
        <f>IF(LEN('11.700'!H671)=0,"",'11.700'!H671)</f>
        <v/>
      </c>
      <c r="C1544" s="1280" t="str">
        <f t="shared" ref="C1544:C1606" si="105">IF(LEN(B1544)=0,IF(A1544="P","P",""),B1544)</f>
        <v/>
      </c>
      <c r="D1544" s="589"/>
      <c r="E1544" s="589"/>
      <c r="F1544" s="589"/>
      <c r="G1544" s="1727"/>
      <c r="H1544" s="1326"/>
      <c r="J1544" s="1312"/>
    </row>
    <row r="1545" spans="1:10" x14ac:dyDescent="0.2">
      <c r="B1545" s="1324" t="str">
        <f>IF(LEN('11.700'!H672)=0,"",'11.700'!H672)</f>
        <v/>
      </c>
      <c r="C1545" s="1280" t="str">
        <f t="shared" si="105"/>
        <v/>
      </c>
      <c r="D1545" s="589"/>
      <c r="E1545" s="589"/>
      <c r="F1545" s="589"/>
      <c r="G1545" s="1727"/>
      <c r="H1545" s="1326"/>
      <c r="J1545" s="1312"/>
    </row>
    <row r="1546" spans="1:10" x14ac:dyDescent="0.2">
      <c r="B1546" s="1324" t="str">
        <f>IF(LEN('11.700'!H673)=0,"",'11.700'!H673)</f>
        <v/>
      </c>
      <c r="C1546" s="1280" t="str">
        <f t="shared" si="105"/>
        <v/>
      </c>
      <c r="D1546" s="589"/>
      <c r="E1546" s="589"/>
      <c r="F1546" s="589"/>
      <c r="G1546" s="1727"/>
      <c r="H1546" s="1326"/>
      <c r="J1546" s="1312"/>
    </row>
    <row r="1547" spans="1:10" x14ac:dyDescent="0.2">
      <c r="B1547" s="1324" t="str">
        <f>IF(LEN('11.700'!H674)=0,"",'11.700'!H674)</f>
        <v/>
      </c>
      <c r="C1547" s="1280" t="str">
        <f t="shared" si="105"/>
        <v/>
      </c>
      <c r="D1547" s="589"/>
      <c r="E1547" s="589"/>
      <c r="F1547" s="589"/>
      <c r="G1547" s="1727"/>
      <c r="H1547" s="1326"/>
      <c r="J1547" s="1312"/>
    </row>
    <row r="1548" spans="1:10" x14ac:dyDescent="0.2">
      <c r="B1548" s="1324" t="str">
        <f>IF(LEN('11.700'!H675)=0,"",'11.700'!H675)</f>
        <v/>
      </c>
      <c r="C1548" s="1280" t="str">
        <f t="shared" si="105"/>
        <v/>
      </c>
      <c r="D1548" s="589"/>
      <c r="E1548" s="589"/>
      <c r="F1548" s="589"/>
      <c r="G1548" s="1727"/>
      <c r="H1548" s="1326"/>
      <c r="J1548" s="1312"/>
    </row>
    <row r="1549" spans="1:10" x14ac:dyDescent="0.2">
      <c r="B1549" s="1324" t="str">
        <f>IF(LEN('11.700'!H676)=0,"",'11.700'!H676)</f>
        <v/>
      </c>
      <c r="C1549" s="1280" t="str">
        <f t="shared" si="105"/>
        <v/>
      </c>
      <c r="D1549" s="590"/>
      <c r="E1549" s="590"/>
      <c r="F1549" s="590"/>
      <c r="G1549" s="1743" t="s">
        <v>4378</v>
      </c>
      <c r="H1549" s="1326"/>
      <c r="J1549" s="1312"/>
    </row>
    <row r="1550" spans="1:10" ht="16" thickBot="1" x14ac:dyDescent="0.25">
      <c r="B1550" s="1324" t="str">
        <f>IF(LEN('11.700'!H677)=0,"",'11.700'!H677)</f>
        <v/>
      </c>
      <c r="C1550" s="1280" t="str">
        <f t="shared" si="105"/>
        <v/>
      </c>
      <c r="D1550" s="594"/>
      <c r="E1550" s="594"/>
      <c r="F1550" s="594"/>
      <c r="G1550" s="1744"/>
      <c r="H1550" s="1326"/>
      <c r="J1550" s="1312"/>
    </row>
    <row r="1551" spans="1:10" ht="16" thickTop="1" x14ac:dyDescent="0.2">
      <c r="A1551" s="467" t="str">
        <f ca="1">IF(I1551&gt;0,"P","")</f>
        <v/>
      </c>
      <c r="B1551" s="1324" t="str">
        <f>IF(LEN('11.700'!H678)=0,"",'11.700'!H678)</f>
        <v/>
      </c>
      <c r="C1551" s="1280" t="str">
        <f t="shared" ca="1" si="105"/>
        <v/>
      </c>
      <c r="D1551" s="603" t="s">
        <v>4379</v>
      </c>
      <c r="E1551" s="603"/>
      <c r="F1551" s="603"/>
      <c r="G1551" s="1740" t="s">
        <v>4380</v>
      </c>
      <c r="H1551" s="1341" t="str">
        <f>IF(LEN('11.700'!W678)=0,"",'11.700'!W678)</f>
        <v/>
      </c>
      <c r="I1551" s="88">
        <f ca="1">'11.700'!O678</f>
        <v>0</v>
      </c>
      <c r="J1551" s="1312" t="s">
        <v>3120</v>
      </c>
    </row>
    <row r="1552" spans="1:10" ht="16" thickBot="1" x14ac:dyDescent="0.25">
      <c r="A1552" s="467" t="str">
        <f t="shared" ref="A1552" ca="1" si="106">A1551</f>
        <v/>
      </c>
      <c r="B1552" s="1324" t="str">
        <f>IF(LEN('11.700'!H679)=0,"",'11.700'!H679)</f>
        <v/>
      </c>
      <c r="C1552" s="1280" t="str">
        <f t="shared" ca="1" si="105"/>
        <v/>
      </c>
      <c r="D1552" s="594"/>
      <c r="E1552" s="594"/>
      <c r="F1552" s="594"/>
      <c r="G1552" s="1738"/>
      <c r="H1552" s="1326"/>
      <c r="J1552" s="1312"/>
    </row>
    <row r="1553" spans="1:10" ht="16" thickTop="1" x14ac:dyDescent="0.2">
      <c r="A1553" s="467" t="str">
        <f ca="1">IF(I1553&gt;0,"P","")</f>
        <v/>
      </c>
      <c r="B1553" s="1324" t="str">
        <f>IF(LEN('11.700'!H680)=0,"",'11.700'!H680)</f>
        <v/>
      </c>
      <c r="C1553" s="1280" t="str">
        <f t="shared" ca="1" si="105"/>
        <v/>
      </c>
      <c r="D1553" s="589" t="s">
        <v>4381</v>
      </c>
      <c r="E1553" s="589"/>
      <c r="F1553" s="589"/>
      <c r="G1553" s="1687" t="s">
        <v>4852</v>
      </c>
      <c r="H1553" s="1326"/>
      <c r="I1553" s="1397">
        <f ca="1">SUM(I1557:I1558)</f>
        <v>0</v>
      </c>
      <c r="J1553" s="1312" t="s">
        <v>3120</v>
      </c>
    </row>
    <row r="1554" spans="1:10" x14ac:dyDescent="0.2">
      <c r="A1554" s="467" t="str">
        <f t="shared" ref="A1554:A1556" ca="1" si="107">A1553</f>
        <v/>
      </c>
      <c r="B1554" s="1324" t="str">
        <f>IF(LEN('11.700'!H681)=0,"",'11.700'!H681)</f>
        <v/>
      </c>
      <c r="C1554" s="1280" t="str">
        <f t="shared" ca="1" si="105"/>
        <v/>
      </c>
      <c r="D1554" s="589"/>
      <c r="E1554" s="589"/>
      <c r="F1554" s="589"/>
      <c r="G1554" s="1687"/>
      <c r="H1554" s="1326"/>
      <c r="J1554" s="1312"/>
    </row>
    <row r="1555" spans="1:10" x14ac:dyDescent="0.2">
      <c r="A1555" s="467" t="str">
        <f t="shared" ca="1" si="107"/>
        <v/>
      </c>
      <c r="B1555" s="1324" t="str">
        <f>IF(LEN('11.700'!H682)=0,"",'11.700'!H682)</f>
        <v/>
      </c>
      <c r="C1555" s="1280" t="str">
        <f t="shared" ca="1" si="105"/>
        <v/>
      </c>
      <c r="D1555" s="589"/>
      <c r="E1555" s="589"/>
      <c r="F1555" s="589"/>
      <c r="G1555" s="1687"/>
      <c r="H1555" s="1326"/>
      <c r="J1555" s="1312"/>
    </row>
    <row r="1556" spans="1:10" x14ac:dyDescent="0.2">
      <c r="A1556" s="467" t="str">
        <f t="shared" ca="1" si="107"/>
        <v/>
      </c>
      <c r="B1556" s="1324" t="str">
        <f>IF(LEN('11.700'!H683)=0,"",'11.700'!H683)</f>
        <v/>
      </c>
      <c r="C1556" s="1280" t="str">
        <f t="shared" ca="1" si="105"/>
        <v/>
      </c>
      <c r="D1556" s="589"/>
      <c r="E1556" s="589"/>
      <c r="F1556" s="589"/>
      <c r="G1556" s="1687"/>
      <c r="H1556" s="1326"/>
      <c r="J1556" s="1312"/>
    </row>
    <row r="1557" spans="1:10" x14ac:dyDescent="0.2">
      <c r="B1557" s="1324" t="str">
        <f>IF(LEN('11.700'!H684)=0,"",'11.700'!H684)</f>
        <v/>
      </c>
      <c r="C1557" s="1280" t="str">
        <f t="shared" si="105"/>
        <v/>
      </c>
      <c r="D1557" s="589"/>
      <c r="E1557" s="606" t="s">
        <v>254</v>
      </c>
      <c r="F1557" s="606"/>
      <c r="G1557" s="1291" t="s">
        <v>4382</v>
      </c>
      <c r="H1557" s="1341" t="str">
        <f>IF(LEN('11.700'!W684)=0,"",'11.700'!W684)</f>
        <v/>
      </c>
      <c r="I1557" s="88">
        <f ca="1">'11.700'!O684</f>
        <v>0</v>
      </c>
      <c r="J1557" s="1312"/>
    </row>
    <row r="1558" spans="1:10" ht="16" thickBot="1" x14ac:dyDescent="0.25">
      <c r="B1558" s="1324" t="str">
        <f>IF(LEN('11.700'!H685)=0,"",'11.700'!H685)</f>
        <v/>
      </c>
      <c r="C1558" s="1280" t="str">
        <f t="shared" si="105"/>
        <v/>
      </c>
      <c r="D1558" s="594"/>
      <c r="E1558" s="594" t="s">
        <v>255</v>
      </c>
      <c r="F1558" s="594"/>
      <c r="G1558" s="1293" t="s">
        <v>4383</v>
      </c>
      <c r="H1558" s="1341" t="str">
        <f>IF(LEN('11.700'!W685)=0,"",'11.700'!W685)</f>
        <v/>
      </c>
      <c r="I1558" s="88">
        <f ca="1">'11.700'!O685</f>
        <v>0</v>
      </c>
      <c r="J1558" s="1312"/>
    </row>
    <row r="1559" spans="1:10" ht="16" thickTop="1" x14ac:dyDescent="0.2">
      <c r="A1559" s="467" t="str">
        <f ca="1">IF(I1559&gt;0,"P","")</f>
        <v/>
      </c>
      <c r="B1559" s="1324" t="str">
        <f>IF(LEN('11.700'!H686)=0,"",'11.700'!H686)</f>
        <v/>
      </c>
      <c r="C1559" s="1280" t="str">
        <f t="shared" ca="1" si="105"/>
        <v/>
      </c>
      <c r="D1559" s="603" t="s">
        <v>4384</v>
      </c>
      <c r="E1559" s="603"/>
      <c r="F1559" s="603"/>
      <c r="G1559" s="1740" t="s">
        <v>4385</v>
      </c>
      <c r="H1559" s="1341" t="str">
        <f>IF(LEN('11.700'!W686)=0,"",'11.700'!W686)</f>
        <v/>
      </c>
      <c r="I1559" s="88">
        <f ca="1">'11.700'!O686</f>
        <v>0</v>
      </c>
      <c r="J1559" s="1312" t="s">
        <v>3120</v>
      </c>
    </row>
    <row r="1560" spans="1:10" x14ac:dyDescent="0.2">
      <c r="A1560" s="467" t="str">
        <f t="shared" ref="A1560:A1561" ca="1" si="108">A1559</f>
        <v/>
      </c>
      <c r="B1560" s="1324" t="str">
        <f>IF(LEN('11.700'!H687)=0,"",'11.700'!H687)</f>
        <v/>
      </c>
      <c r="C1560" s="1280" t="str">
        <f t="shared" ca="1" si="105"/>
        <v/>
      </c>
      <c r="D1560" s="590"/>
      <c r="E1560" s="590"/>
      <c r="F1560" s="590"/>
      <c r="G1560" s="1687"/>
      <c r="H1560" s="1326"/>
      <c r="J1560" s="1312"/>
    </row>
    <row r="1561" spans="1:10" ht="16" thickBot="1" x14ac:dyDescent="0.25">
      <c r="A1561" s="467" t="str">
        <f t="shared" ca="1" si="108"/>
        <v/>
      </c>
      <c r="B1561" s="1324" t="str">
        <f>IF(LEN('11.700'!H688)=0,"",'11.700'!H688)</f>
        <v/>
      </c>
      <c r="C1561" s="1280" t="str">
        <f t="shared" ca="1" si="105"/>
        <v/>
      </c>
      <c r="D1561" s="594"/>
      <c r="E1561" s="594"/>
      <c r="F1561" s="594"/>
      <c r="G1561" s="1738"/>
      <c r="H1561" s="1326"/>
      <c r="J1561" s="1312"/>
    </row>
    <row r="1562" spans="1:10" ht="16" thickTop="1" x14ac:dyDescent="0.2">
      <c r="A1562" s="467" t="str">
        <f ca="1">IF(I1562&gt;0,"P","")</f>
        <v/>
      </c>
      <c r="B1562" s="1324" t="str">
        <f>IF(LEN('11.700'!H689)=0,"",'11.700'!H689)</f>
        <v/>
      </c>
      <c r="C1562" s="1280" t="str">
        <f t="shared" ca="1" si="105"/>
        <v/>
      </c>
      <c r="D1562" s="603" t="s">
        <v>4386</v>
      </c>
      <c r="E1562" s="603"/>
      <c r="F1562" s="603"/>
      <c r="G1562" s="1740" t="s">
        <v>4387</v>
      </c>
      <c r="H1562" s="1341" t="str">
        <f>IF(LEN('11.700'!W689)=0,"",'11.700'!W689)</f>
        <v/>
      </c>
      <c r="I1562" s="88">
        <f ca="1">'11.700'!O689</f>
        <v>0</v>
      </c>
      <c r="J1562" s="1312" t="s">
        <v>3120</v>
      </c>
    </row>
    <row r="1563" spans="1:10" x14ac:dyDescent="0.2">
      <c r="A1563" s="467" t="str">
        <f t="shared" ref="A1563:A1566" ca="1" si="109">A1562</f>
        <v/>
      </c>
      <c r="B1563" s="1324" t="str">
        <f>IF(LEN('11.700'!H690)=0,"",'11.700'!H690)</f>
        <v/>
      </c>
      <c r="C1563" s="1280" t="str">
        <f t="shared" ca="1" si="105"/>
        <v/>
      </c>
      <c r="D1563" s="590"/>
      <c r="E1563" s="590"/>
      <c r="F1563" s="590"/>
      <c r="G1563" s="1687"/>
      <c r="H1563" s="1326"/>
      <c r="J1563" s="1312"/>
    </row>
    <row r="1564" spans="1:10" x14ac:dyDescent="0.2">
      <c r="A1564" s="467" t="str">
        <f t="shared" ca="1" si="109"/>
        <v/>
      </c>
      <c r="B1564" s="1324" t="str">
        <f>IF(LEN('11.700'!H691)=0,"",'11.700'!H691)</f>
        <v/>
      </c>
      <c r="C1564" s="1280" t="str">
        <f t="shared" ca="1" si="105"/>
        <v/>
      </c>
      <c r="D1564" s="590"/>
      <c r="E1564" s="590"/>
      <c r="F1564" s="590"/>
      <c r="G1564" s="1687"/>
      <c r="H1564" s="1326"/>
      <c r="J1564" s="1312"/>
    </row>
    <row r="1565" spans="1:10" x14ac:dyDescent="0.2">
      <c r="A1565" s="467" t="str">
        <f t="shared" ca="1" si="109"/>
        <v/>
      </c>
      <c r="B1565" s="1324" t="str">
        <f>IF(LEN('11.700'!H692)=0,"",'11.700'!H692)</f>
        <v/>
      </c>
      <c r="C1565" s="1280" t="str">
        <f t="shared" ca="1" si="105"/>
        <v/>
      </c>
      <c r="D1565" s="590"/>
      <c r="E1565" s="590"/>
      <c r="F1565" s="590"/>
      <c r="G1565" s="1687"/>
      <c r="H1565" s="1326"/>
      <c r="J1565" s="1312"/>
    </row>
    <row r="1566" spans="1:10" ht="16" thickBot="1" x14ac:dyDescent="0.25">
      <c r="A1566" s="467" t="str">
        <f t="shared" ca="1" si="109"/>
        <v/>
      </c>
      <c r="B1566" s="1324" t="str">
        <f>IF(LEN('11.700'!H693)=0,"",'11.700'!H693)</f>
        <v/>
      </c>
      <c r="C1566" s="1280" t="str">
        <f t="shared" ca="1" si="105"/>
        <v/>
      </c>
      <c r="D1566" s="594"/>
      <c r="E1566" s="594"/>
      <c r="F1566" s="594"/>
      <c r="G1566" s="1738"/>
      <c r="H1566" s="1326"/>
      <c r="J1566" s="1312"/>
    </row>
    <row r="1567" spans="1:10" ht="16" thickTop="1" x14ac:dyDescent="0.2">
      <c r="A1567" s="467" t="str">
        <f ca="1">IF(I1567&gt;0,"P","")</f>
        <v/>
      </c>
      <c r="B1567" s="1324" t="str">
        <f>IF(LEN('11.700'!H694)=0,"",'11.700'!H694)</f>
        <v/>
      </c>
      <c r="C1567" s="1280" t="str">
        <f t="shared" ca="1" si="105"/>
        <v/>
      </c>
      <c r="D1567" s="603" t="s">
        <v>4388</v>
      </c>
      <c r="E1567" s="603"/>
      <c r="F1567" s="603"/>
      <c r="G1567" s="1740" t="s">
        <v>4853</v>
      </c>
      <c r="H1567" s="1341" t="str">
        <f>IF(LEN('11.700'!W694)=0,"",'11.700'!W694)</f>
        <v/>
      </c>
      <c r="I1567" s="88">
        <f ca="1">'11.700'!O694</f>
        <v>0</v>
      </c>
      <c r="J1567" s="1312" t="s">
        <v>5207</v>
      </c>
    </row>
    <row r="1568" spans="1:10" x14ac:dyDescent="0.2">
      <c r="A1568" s="467" t="str">
        <f t="shared" ref="A1568:A1571" ca="1" si="110">A1567</f>
        <v/>
      </c>
      <c r="B1568" s="1324" t="str">
        <f>IF(LEN('11.700'!H695)=0,"",'11.700'!H695)</f>
        <v/>
      </c>
      <c r="C1568" s="1280" t="str">
        <f t="shared" ca="1" si="105"/>
        <v/>
      </c>
      <c r="D1568" s="590"/>
      <c r="E1568" s="590"/>
      <c r="F1568" s="590"/>
      <c r="G1568" s="1687"/>
      <c r="H1568" s="1326"/>
      <c r="J1568" s="1312"/>
    </row>
    <row r="1569" spans="1:10" x14ac:dyDescent="0.2">
      <c r="A1569" s="467" t="str">
        <f t="shared" ca="1" si="110"/>
        <v/>
      </c>
      <c r="B1569" s="1324" t="str">
        <f>IF(LEN('11.700'!H696)=0,"",'11.700'!H696)</f>
        <v/>
      </c>
      <c r="C1569" s="1280" t="str">
        <f t="shared" ca="1" si="105"/>
        <v/>
      </c>
      <c r="D1569" s="590"/>
      <c r="E1569" s="590"/>
      <c r="F1569" s="590"/>
      <c r="G1569" s="1687"/>
      <c r="H1569" s="1326"/>
      <c r="J1569" s="1312"/>
    </row>
    <row r="1570" spans="1:10" x14ac:dyDescent="0.2">
      <c r="A1570" s="467" t="str">
        <f t="shared" ca="1" si="110"/>
        <v/>
      </c>
      <c r="B1570" s="1324" t="str">
        <f>IF(LEN('11.700'!H697)=0,"",'11.700'!H697)</f>
        <v/>
      </c>
      <c r="C1570" s="1280" t="str">
        <f t="shared" ca="1" si="105"/>
        <v/>
      </c>
      <c r="D1570" s="590"/>
      <c r="E1570" s="590"/>
      <c r="F1570" s="590"/>
      <c r="G1570" s="1687"/>
      <c r="H1570" s="1326"/>
      <c r="J1570" s="1312"/>
    </row>
    <row r="1571" spans="1:10" ht="16" thickBot="1" x14ac:dyDescent="0.25">
      <c r="A1571" s="467" t="str">
        <f t="shared" ca="1" si="110"/>
        <v/>
      </c>
      <c r="B1571" s="1324" t="str">
        <f>IF(LEN('11.700'!H698)=0,"",'11.700'!H698)</f>
        <v/>
      </c>
      <c r="C1571" s="1280" t="str">
        <f t="shared" ca="1" si="105"/>
        <v/>
      </c>
      <c r="D1571" s="594"/>
      <c r="E1571" s="594"/>
      <c r="F1571" s="594"/>
      <c r="G1571" s="1738"/>
      <c r="H1571" s="1326"/>
      <c r="J1571" s="1312"/>
    </row>
    <row r="1572" spans="1:10" ht="16" thickTop="1" x14ac:dyDescent="0.2">
      <c r="A1572" s="467" t="str">
        <f ca="1">IF(I1572&gt;0,"P","")</f>
        <v/>
      </c>
      <c r="B1572" s="1324" t="str">
        <f>IF(LEN('11.700'!H699)=0,"",'11.700'!H699)</f>
        <v/>
      </c>
      <c r="C1572" s="1280" t="str">
        <f t="shared" ca="1" si="105"/>
        <v/>
      </c>
      <c r="D1572" s="603" t="s">
        <v>4389</v>
      </c>
      <c r="E1572" s="603"/>
      <c r="F1572" s="603"/>
      <c r="G1572" s="1740" t="s">
        <v>4390</v>
      </c>
      <c r="H1572" s="1341" t="str">
        <f>IF(LEN('11.700'!W699)=0,"",'11.700'!W699)</f>
        <v/>
      </c>
      <c r="I1572" s="88">
        <f ca="1">'11.700'!O699</f>
        <v>0</v>
      </c>
      <c r="J1572" s="1312" t="s">
        <v>5207</v>
      </c>
    </row>
    <row r="1573" spans="1:10" ht="16" thickBot="1" x14ac:dyDescent="0.25">
      <c r="A1573" s="467" t="str">
        <f t="shared" ref="A1573" ca="1" si="111">A1572</f>
        <v/>
      </c>
      <c r="B1573" s="1324" t="str">
        <f>IF(LEN('11.700'!H700)=0,"",'11.700'!H700)</f>
        <v/>
      </c>
      <c r="C1573" s="1280" t="str">
        <f t="shared" ca="1" si="105"/>
        <v/>
      </c>
      <c r="D1573" s="594"/>
      <c r="E1573" s="594"/>
      <c r="F1573" s="594"/>
      <c r="G1573" s="1738"/>
      <c r="H1573" s="1326"/>
      <c r="J1573" s="1312"/>
    </row>
    <row r="1574" spans="1:10" ht="16" thickTop="1" x14ac:dyDescent="0.2">
      <c r="A1574" s="467" t="str">
        <f ca="1">IF(I1574&gt;0,"P","")</f>
        <v/>
      </c>
      <c r="B1574" s="1324" t="str">
        <f>IF(LEN('11.700'!H701)=0,"",'11.700'!H701)</f>
        <v/>
      </c>
      <c r="C1574" s="1280" t="str">
        <f t="shared" ca="1" si="105"/>
        <v/>
      </c>
      <c r="D1574" s="603" t="s">
        <v>4391</v>
      </c>
      <c r="E1574" s="603"/>
      <c r="F1574" s="603"/>
      <c r="G1574" s="1740" t="s">
        <v>4392</v>
      </c>
      <c r="H1574" s="1341" t="str">
        <f>IF(LEN('11.700'!W701)=0,"",'11.700'!W701)</f>
        <v/>
      </c>
      <c r="I1574" s="88">
        <f ca="1">'11.700'!O701</f>
        <v>0</v>
      </c>
      <c r="J1574" s="1312" t="s">
        <v>5207</v>
      </c>
    </row>
    <row r="1575" spans="1:10" x14ac:dyDescent="0.2">
      <c r="A1575" s="467" t="str">
        <f t="shared" ref="A1575:A1577" ca="1" si="112">A1574</f>
        <v/>
      </c>
      <c r="B1575" s="1324" t="str">
        <f>IF(LEN('11.700'!H702)=0,"",'11.700'!H702)</f>
        <v/>
      </c>
      <c r="C1575" s="1280" t="str">
        <f t="shared" ca="1" si="105"/>
        <v/>
      </c>
      <c r="D1575" s="590"/>
      <c r="E1575" s="590"/>
      <c r="F1575" s="590"/>
      <c r="G1575" s="1687"/>
      <c r="H1575" s="1326"/>
      <c r="J1575" s="1312"/>
    </row>
    <row r="1576" spans="1:10" x14ac:dyDescent="0.2">
      <c r="A1576" s="467" t="str">
        <f t="shared" ca="1" si="112"/>
        <v/>
      </c>
      <c r="B1576" s="1324" t="str">
        <f>IF(LEN('11.700'!H703)=0,"",'11.700'!H703)</f>
        <v/>
      </c>
      <c r="C1576" s="1280" t="str">
        <f t="shared" ca="1" si="105"/>
        <v/>
      </c>
      <c r="D1576" s="590"/>
      <c r="E1576" s="590"/>
      <c r="F1576" s="590"/>
      <c r="G1576" s="1687"/>
      <c r="H1576" s="1326"/>
      <c r="J1576" s="1312"/>
    </row>
    <row r="1577" spans="1:10" ht="16" thickBot="1" x14ac:dyDescent="0.25">
      <c r="A1577" s="467" t="str">
        <f t="shared" ca="1" si="112"/>
        <v/>
      </c>
      <c r="B1577" s="1324" t="str">
        <f>IF(LEN('11.700'!H704)=0,"",'11.700'!H704)</f>
        <v/>
      </c>
      <c r="C1577" s="1280" t="str">
        <f t="shared" ca="1" si="105"/>
        <v/>
      </c>
      <c r="D1577" s="594"/>
      <c r="E1577" s="594"/>
      <c r="F1577" s="594"/>
      <c r="G1577" s="1738"/>
      <c r="H1577" s="1326"/>
      <c r="J1577" s="1312"/>
    </row>
    <row r="1578" spans="1:10" ht="16" thickTop="1" x14ac:dyDescent="0.2">
      <c r="A1578" s="467" t="str">
        <f ca="1">IF(I1578&gt;0,"P","")</f>
        <v/>
      </c>
      <c r="B1578" s="1324" t="str">
        <f>IF(LEN('11.700'!H705)=0,"",'11.700'!H705)</f>
        <v/>
      </c>
      <c r="C1578" s="1280" t="str">
        <f t="shared" ca="1" si="105"/>
        <v/>
      </c>
      <c r="D1578" s="603" t="s">
        <v>4393</v>
      </c>
      <c r="E1578" s="603"/>
      <c r="F1578" s="603"/>
      <c r="G1578" s="1740" t="s">
        <v>4394</v>
      </c>
      <c r="H1578" s="1341" t="str">
        <f>IF(LEN('11.700'!W705)=0,"",'11.700'!W705)</f>
        <v/>
      </c>
      <c r="I1578" s="88">
        <f ca="1">'11.700'!O705</f>
        <v>0</v>
      </c>
      <c r="J1578" s="1312" t="s">
        <v>3120</v>
      </c>
    </row>
    <row r="1579" spans="1:10" x14ac:dyDescent="0.2">
      <c r="A1579" s="467" t="str">
        <f t="shared" ref="A1579" ca="1" si="113">A1578</f>
        <v/>
      </c>
      <c r="B1579" s="1324" t="str">
        <f>IF(LEN('11.700'!H706)=0,"",'11.700'!H706)</f>
        <v/>
      </c>
      <c r="C1579" s="1280" t="str">
        <f t="shared" ca="1" si="105"/>
        <v/>
      </c>
      <c r="D1579" s="590"/>
      <c r="E1579" s="590"/>
      <c r="F1579" s="590"/>
      <c r="G1579" s="1687"/>
      <c r="H1579" s="1326"/>
      <c r="J1579" s="1312"/>
    </row>
    <row r="1580" spans="1:10" x14ac:dyDescent="0.2">
      <c r="B1580" s="1324" t="str">
        <f>IF(LEN('11.700'!H707)=0,"",'11.700'!H707)</f>
        <v/>
      </c>
      <c r="C1580" s="1280" t="str">
        <f t="shared" si="105"/>
        <v/>
      </c>
      <c r="D1580" s="590"/>
      <c r="E1580" s="606" t="s">
        <v>254</v>
      </c>
      <c r="F1580" s="606"/>
      <c r="G1580" s="1291" t="s">
        <v>4395</v>
      </c>
      <c r="H1580" s="1326"/>
      <c r="J1580" s="1312"/>
    </row>
    <row r="1581" spans="1:10" ht="16" thickBot="1" x14ac:dyDescent="0.25">
      <c r="B1581" s="1324" t="str">
        <f>IF(LEN('11.700'!H708)=0,"",'11.700'!H708)</f>
        <v/>
      </c>
      <c r="C1581" s="1280" t="str">
        <f t="shared" si="105"/>
        <v/>
      </c>
      <c r="D1581" s="594"/>
      <c r="E1581" s="594" t="s">
        <v>255</v>
      </c>
      <c r="F1581" s="594"/>
      <c r="G1581" s="1293" t="s">
        <v>4396</v>
      </c>
      <c r="H1581" s="1326"/>
      <c r="J1581" s="1312"/>
    </row>
    <row r="1582" spans="1:10" ht="16" thickTop="1" x14ac:dyDescent="0.2">
      <c r="A1582" s="467" t="str">
        <f ca="1">IF(I1582&gt;0,"P","")</f>
        <v/>
      </c>
      <c r="B1582" s="1324" t="str">
        <f>IF(LEN('11.700'!H709)=0,"",'11.700'!H709)</f>
        <v/>
      </c>
      <c r="C1582" s="1280" t="str">
        <f t="shared" ca="1" si="105"/>
        <v/>
      </c>
      <c r="D1582" s="589" t="s">
        <v>4397</v>
      </c>
      <c r="E1582" s="589"/>
      <c r="F1582" s="589"/>
      <c r="G1582" s="1301" t="s">
        <v>4398</v>
      </c>
      <c r="H1582" s="1326"/>
      <c r="I1582" s="1397">
        <f ca="1">SUM(I1583:I1587)</f>
        <v>0</v>
      </c>
      <c r="J1582" s="1312"/>
    </row>
    <row r="1583" spans="1:10" x14ac:dyDescent="0.2">
      <c r="A1583" s="467" t="str">
        <f ca="1">IF(I1583&gt;0,"P","")</f>
        <v/>
      </c>
      <c r="B1583" s="1324" t="str">
        <f>IF(LEN('11.700'!H710)=0,"",'11.700'!H710)</f>
        <v/>
      </c>
      <c r="C1583" s="1280" t="str">
        <f t="shared" ca="1" si="105"/>
        <v/>
      </c>
      <c r="D1583" s="590"/>
      <c r="E1583" s="590" t="s">
        <v>254</v>
      </c>
      <c r="F1583" s="590"/>
      <c r="G1583" s="1634" t="s">
        <v>4399</v>
      </c>
      <c r="H1583" s="1341" t="str">
        <f>IF(LEN('11.700'!W710)=0,"",'11.700'!W710)</f>
        <v/>
      </c>
      <c r="I1583" s="88">
        <f ca="1">'11.700'!O710</f>
        <v>0</v>
      </c>
      <c r="J1583" s="1312" t="s">
        <v>5208</v>
      </c>
    </row>
    <row r="1584" spans="1:10" x14ac:dyDescent="0.2">
      <c r="A1584" s="467" t="str">
        <f t="shared" ref="A1584:A1586" ca="1" si="114">A1583</f>
        <v/>
      </c>
      <c r="B1584" s="1324" t="str">
        <f>IF(LEN('11.700'!H711)=0,"",'11.700'!H711)</f>
        <v/>
      </c>
      <c r="C1584" s="1280" t="str">
        <f t="shared" ca="1" si="105"/>
        <v/>
      </c>
      <c r="D1584" s="590"/>
      <c r="E1584" s="590"/>
      <c r="F1584" s="590"/>
      <c r="G1584" s="1634"/>
      <c r="H1584" s="1326"/>
      <c r="J1584" s="1312"/>
    </row>
    <row r="1585" spans="1:10" x14ac:dyDescent="0.2">
      <c r="A1585" s="467" t="str">
        <f t="shared" ca="1" si="114"/>
        <v/>
      </c>
      <c r="B1585" s="1324" t="str">
        <f>IF(LEN('11.700'!H712)=0,"",'11.700'!H712)</f>
        <v/>
      </c>
      <c r="C1585" s="1280" t="str">
        <f t="shared" ca="1" si="105"/>
        <v/>
      </c>
      <c r="D1585" s="590"/>
      <c r="E1585" s="590"/>
      <c r="F1585" s="590"/>
      <c r="G1585" s="1634"/>
      <c r="H1585" s="1326"/>
      <c r="J1585" s="1312"/>
    </row>
    <row r="1586" spans="1:10" x14ac:dyDescent="0.2">
      <c r="A1586" s="467" t="str">
        <f t="shared" ca="1" si="114"/>
        <v/>
      </c>
      <c r="B1586" s="1324" t="str">
        <f>IF(LEN('11.700'!H713)=0,"",'11.700'!H713)</f>
        <v/>
      </c>
      <c r="C1586" s="1280" t="str">
        <f t="shared" ca="1" si="105"/>
        <v/>
      </c>
      <c r="D1586" s="590"/>
      <c r="E1586" s="606"/>
      <c r="F1586" s="606"/>
      <c r="G1586" s="1639"/>
      <c r="H1586" s="1326"/>
      <c r="J1586" s="1312"/>
    </row>
    <row r="1587" spans="1:10" x14ac:dyDescent="0.2">
      <c r="A1587" s="467" t="str">
        <f ca="1">IF(I1587&gt;0,"P","")</f>
        <v/>
      </c>
      <c r="B1587" s="1324" t="str">
        <f>IF(LEN('11.700'!H714)=0,"",'11.700'!H714)</f>
        <v/>
      </c>
      <c r="C1587" s="1280" t="str">
        <f t="shared" ca="1" si="105"/>
        <v/>
      </c>
      <c r="D1587" s="590"/>
      <c r="E1587" s="590" t="s">
        <v>255</v>
      </c>
      <c r="F1587" s="590"/>
      <c r="G1587" s="1634" t="s">
        <v>4400</v>
      </c>
      <c r="H1587" s="1341" t="str">
        <f>IF(LEN('11.700'!W714)=0,"",'11.700'!W714)</f>
        <v/>
      </c>
      <c r="I1587" s="88">
        <f ca="1">'11.700'!O714</f>
        <v>0</v>
      </c>
      <c r="J1587" s="1312" t="s">
        <v>5209</v>
      </c>
    </row>
    <row r="1588" spans="1:10" ht="16" thickBot="1" x14ac:dyDescent="0.25">
      <c r="A1588" s="467" t="str">
        <f t="shared" ref="A1588" ca="1" si="115">A1587</f>
        <v/>
      </c>
      <c r="B1588" s="1324" t="str">
        <f>IF(LEN('11.700'!H715)=0,"",'11.700'!H715)</f>
        <v/>
      </c>
      <c r="C1588" s="1280" t="str">
        <f t="shared" ca="1" si="105"/>
        <v/>
      </c>
      <c r="D1588" s="594"/>
      <c r="E1588" s="594"/>
      <c r="F1588" s="594"/>
      <c r="G1588" s="1635"/>
      <c r="H1588" s="1326"/>
      <c r="J1588" s="1312"/>
    </row>
    <row r="1589" spans="1:10" ht="16" thickTop="1" x14ac:dyDescent="0.2">
      <c r="A1589" s="467" t="str">
        <f ca="1">IF(I1589&gt;0,"P","")</f>
        <v/>
      </c>
      <c r="B1589" s="1324" t="str">
        <f>IF(LEN('11.700'!H716)=0,"",'11.700'!H716)</f>
        <v/>
      </c>
      <c r="C1589" s="1280" t="str">
        <f t="shared" ca="1" si="105"/>
        <v/>
      </c>
      <c r="D1589" s="589" t="s">
        <v>4401</v>
      </c>
      <c r="E1589" s="589"/>
      <c r="F1589" s="589"/>
      <c r="G1589" s="1687" t="s">
        <v>4402</v>
      </c>
      <c r="H1589" s="1326"/>
      <c r="I1589" s="1397">
        <f ca="1">SUM(I1592:I1593)</f>
        <v>0</v>
      </c>
      <c r="J1589" s="1312" t="s">
        <v>5207</v>
      </c>
    </row>
    <row r="1590" spans="1:10" x14ac:dyDescent="0.2">
      <c r="A1590" s="467" t="str">
        <f t="shared" ref="A1590:A1591" ca="1" si="116">A1589</f>
        <v/>
      </c>
      <c r="B1590" s="1324" t="str">
        <f>IF(LEN('11.700'!H717)=0,"",'11.700'!H717)</f>
        <v/>
      </c>
      <c r="C1590" s="1280" t="str">
        <f t="shared" ca="1" si="105"/>
        <v/>
      </c>
      <c r="D1590" s="589"/>
      <c r="E1590" s="589"/>
      <c r="F1590" s="589"/>
      <c r="G1590" s="1687"/>
      <c r="H1590" s="1326"/>
      <c r="J1590" s="1312"/>
    </row>
    <row r="1591" spans="1:10" x14ac:dyDescent="0.2">
      <c r="A1591" s="467" t="str">
        <f t="shared" ca="1" si="116"/>
        <v/>
      </c>
      <c r="B1591" s="1324" t="str">
        <f>IF(LEN('11.700'!H718)=0,"",'11.700'!H718)</f>
        <v/>
      </c>
      <c r="C1591" s="1280" t="str">
        <f t="shared" ca="1" si="105"/>
        <v/>
      </c>
      <c r="D1591" s="589"/>
      <c r="E1591" s="589"/>
      <c r="F1591" s="589"/>
      <c r="G1591" s="1687"/>
      <c r="H1591" s="1326"/>
      <c r="J1591" s="1312"/>
    </row>
    <row r="1592" spans="1:10" x14ac:dyDescent="0.2">
      <c r="B1592" s="1324" t="str">
        <f>IF(LEN('11.700'!H719)=0,"",'11.700'!H719)</f>
        <v/>
      </c>
      <c r="C1592" s="1280" t="str">
        <f t="shared" si="105"/>
        <v/>
      </c>
      <c r="D1592" s="589"/>
      <c r="E1592" s="606" t="s">
        <v>254</v>
      </c>
      <c r="F1592" s="606"/>
      <c r="G1592" s="1291" t="s">
        <v>4403</v>
      </c>
      <c r="H1592" s="1341" t="str">
        <f>IF(LEN('11.700'!W719)=0,"",'11.700'!W719)</f>
        <v/>
      </c>
      <c r="I1592" s="88">
        <f ca="1">'11.700'!O719</f>
        <v>0</v>
      </c>
      <c r="J1592" s="1312"/>
    </row>
    <row r="1593" spans="1:10" x14ac:dyDescent="0.2">
      <c r="B1593" s="1324" t="str">
        <f>IF(LEN('11.700'!H720)=0,"",'11.700'!H720)</f>
        <v/>
      </c>
      <c r="C1593" s="1280" t="str">
        <f t="shared" si="105"/>
        <v/>
      </c>
      <c r="D1593" s="589"/>
      <c r="E1593" s="589" t="s">
        <v>255</v>
      </c>
      <c r="F1593" s="589"/>
      <c r="G1593" s="1290" t="s">
        <v>4404</v>
      </c>
      <c r="H1593" s="1341" t="str">
        <f>IF(LEN('11.700'!W720)=0,"",'11.700'!W720)</f>
        <v/>
      </c>
      <c r="I1593" s="88">
        <f ca="1">'11.700'!O720</f>
        <v>0</v>
      </c>
      <c r="J1593" s="1312"/>
    </row>
    <row r="1594" spans="1:10" ht="19" x14ac:dyDescent="0.25">
      <c r="A1594" s="467" t="s">
        <v>3200</v>
      </c>
      <c r="B1594" s="1324" t="str">
        <f>IF(LEN('11.800'!H9)=0,"",'11.800'!H9)</f>
        <v/>
      </c>
      <c r="C1594" s="1280" t="str">
        <f t="shared" si="105"/>
        <v>P</v>
      </c>
      <c r="D1594" s="90" t="s">
        <v>4515</v>
      </c>
      <c r="E1594" s="90"/>
      <c r="F1594" s="90"/>
      <c r="G1594" s="25"/>
      <c r="H1594" s="994"/>
      <c r="I1594" s="25"/>
      <c r="J1594" s="25"/>
    </row>
    <row r="1595" spans="1:10" x14ac:dyDescent="0.2">
      <c r="B1595" s="1324" t="str">
        <f>IF(LEN('11.800'!H10)=0,"",'11.800'!H10)</f>
        <v/>
      </c>
      <c r="C1595" s="1280" t="str">
        <f t="shared" si="105"/>
        <v/>
      </c>
      <c r="D1595" s="590" t="s">
        <v>4516</v>
      </c>
      <c r="E1595" s="1068"/>
      <c r="F1595" s="1068"/>
      <c r="G1595" s="1687" t="s">
        <v>4517</v>
      </c>
      <c r="H1595" s="1326"/>
      <c r="J1595" s="1312"/>
    </row>
    <row r="1596" spans="1:10" x14ac:dyDescent="0.2">
      <c r="B1596" s="1324" t="str">
        <f>IF(LEN('11.800'!H11)=0,"",'11.800'!H11)</f>
        <v/>
      </c>
      <c r="C1596" s="1280" t="str">
        <f t="shared" si="105"/>
        <v/>
      </c>
      <c r="D1596" s="866"/>
      <c r="E1596" s="866"/>
      <c r="F1596" s="866"/>
      <c r="G1596" s="1687"/>
      <c r="H1596" s="1326"/>
      <c r="J1596" s="1312"/>
    </row>
    <row r="1597" spans="1:10" ht="16" thickBot="1" x14ac:dyDescent="0.25">
      <c r="B1597" s="1324" t="str">
        <f>IF(LEN('11.800'!H12)=0,"",'11.800'!H12)</f>
        <v/>
      </c>
      <c r="C1597" s="1280" t="str">
        <f t="shared" si="105"/>
        <v/>
      </c>
      <c r="D1597" s="116"/>
      <c r="E1597" s="116"/>
      <c r="F1597" s="116"/>
      <c r="G1597" s="1738"/>
      <c r="H1597" s="1326"/>
      <c r="J1597" s="1312"/>
    </row>
    <row r="1598" spans="1:10" ht="16" thickTop="1" x14ac:dyDescent="0.2">
      <c r="B1598" s="1324" t="str">
        <f>IF(LEN('11.800'!H13)=0,"",'11.800'!H13)</f>
        <v/>
      </c>
      <c r="C1598" s="1280" t="str">
        <f t="shared" si="105"/>
        <v/>
      </c>
      <c r="D1598" s="603" t="s">
        <v>4518</v>
      </c>
      <c r="E1598" s="1070"/>
      <c r="F1598" s="1070"/>
      <c r="G1598" s="1740" t="s">
        <v>5008</v>
      </c>
      <c r="H1598" s="1326"/>
      <c r="J1598" s="1312"/>
    </row>
    <row r="1599" spans="1:10" x14ac:dyDescent="0.2">
      <c r="B1599" s="1324" t="str">
        <f>IF(LEN('11.800'!H14)=0,"",'11.800'!H14)</f>
        <v/>
      </c>
      <c r="C1599" s="1280" t="str">
        <f t="shared" si="105"/>
        <v/>
      </c>
      <c r="D1599" s="590"/>
      <c r="E1599" s="1068"/>
      <c r="F1599" s="1068"/>
      <c r="G1599" s="1687"/>
      <c r="H1599" s="1326"/>
      <c r="J1599" s="1312"/>
    </row>
    <row r="1600" spans="1:10" x14ac:dyDescent="0.2">
      <c r="B1600" s="1324" t="str">
        <f>IF(LEN('11.800'!H15)=0,"",'11.800'!H15)</f>
        <v/>
      </c>
      <c r="C1600" s="1280" t="str">
        <f t="shared" si="105"/>
        <v/>
      </c>
      <c r="D1600" s="590"/>
      <c r="E1600" s="1068"/>
      <c r="F1600" s="1068"/>
      <c r="G1600" s="1687"/>
      <c r="H1600" s="1326"/>
      <c r="J1600" s="1312"/>
    </row>
    <row r="1601" spans="1:10" x14ac:dyDescent="0.2">
      <c r="B1601" s="1324" t="str">
        <f>IF(LEN('11.800'!H16)=0,"",'11.800'!H16)</f>
        <v/>
      </c>
      <c r="C1601" s="1280" t="str">
        <f t="shared" si="105"/>
        <v/>
      </c>
      <c r="D1601" s="590"/>
      <c r="E1601" s="1068"/>
      <c r="F1601" s="1068"/>
      <c r="G1601" s="1687"/>
      <c r="H1601" s="1326"/>
      <c r="J1601" s="1312"/>
    </row>
    <row r="1602" spans="1:10" x14ac:dyDescent="0.2">
      <c r="B1602" s="1324" t="str">
        <f>IF(LEN('11.800'!H17)=0,"",'11.800'!H17)</f>
        <v/>
      </c>
      <c r="C1602" s="1280" t="str">
        <f t="shared" si="105"/>
        <v/>
      </c>
      <c r="D1602" s="590"/>
      <c r="E1602" s="1068"/>
      <c r="F1602" s="1068"/>
      <c r="G1602" s="1687"/>
      <c r="H1602" s="1326"/>
      <c r="J1602" s="1312"/>
    </row>
    <row r="1603" spans="1:10" ht="16" thickBot="1" x14ac:dyDescent="0.25">
      <c r="B1603" s="1324" t="str">
        <f>IF(LEN('11.800'!H18)=0,"",'11.800'!H18)</f>
        <v/>
      </c>
      <c r="C1603" s="1280" t="str">
        <f>IF(LEN(B1603)=0,IF(A1603="P","P",""),B1603)</f>
        <v/>
      </c>
      <c r="D1603" s="594"/>
      <c r="E1603" s="1069"/>
      <c r="F1603" s="1069"/>
      <c r="G1603" s="1738"/>
      <c r="H1603" s="1326"/>
      <c r="J1603" s="1312"/>
    </row>
    <row r="1604" spans="1:10" ht="16" thickTop="1" x14ac:dyDescent="0.2">
      <c r="A1604" s="467" t="str">
        <f>IF(OR(LEN(H1612)&gt;0),"P","")</f>
        <v/>
      </c>
      <c r="B1604" s="1324" t="str">
        <f>IF(LEN('11.800'!H19)=0,"",'11.800'!H19)</f>
        <v/>
      </c>
      <c r="C1604" s="1280" t="str">
        <f t="shared" si="105"/>
        <v/>
      </c>
      <c r="D1604" s="589" t="s">
        <v>4698</v>
      </c>
      <c r="E1604" s="87"/>
      <c r="F1604" s="87"/>
      <c r="G1604" s="1611" t="s">
        <v>4697</v>
      </c>
      <c r="H1604" s="1326"/>
      <c r="J1604" s="1779" t="s">
        <v>5176</v>
      </c>
    </row>
    <row r="1605" spans="1:10" x14ac:dyDescent="0.2">
      <c r="A1605" s="467" t="str">
        <f t="shared" ref="A1605:A1606" si="117">A1604</f>
        <v/>
      </c>
      <c r="B1605" s="1324" t="str">
        <f>IF(LEN('11.800'!H20)=0,"",'11.800'!H20)</f>
        <v/>
      </c>
      <c r="C1605" s="1280" t="str">
        <f t="shared" si="105"/>
        <v/>
      </c>
      <c r="D1605" s="88"/>
      <c r="E1605" s="88"/>
      <c r="F1605" s="88"/>
      <c r="G1605" s="1611"/>
      <c r="H1605" s="1326"/>
      <c r="J1605" s="1779"/>
    </row>
    <row r="1606" spans="1:10" x14ac:dyDescent="0.2">
      <c r="A1606" s="467" t="str">
        <f t="shared" si="117"/>
        <v/>
      </c>
      <c r="B1606" s="1324" t="str">
        <f>IF(LEN('11.800'!H21)=0,"",'11.800'!H21)</f>
        <v/>
      </c>
      <c r="C1606" s="1280" t="str">
        <f t="shared" si="105"/>
        <v/>
      </c>
      <c r="D1606" s="88"/>
      <c r="E1606" s="88"/>
      <c r="F1606" s="88"/>
      <c r="G1606" s="1611"/>
      <c r="H1606" s="1326"/>
      <c r="J1606" s="1779"/>
    </row>
    <row r="1607" spans="1:10" x14ac:dyDescent="0.2">
      <c r="B1607" s="1324" t="str">
        <f>IF(LEN('11.800'!H22)=0,"",'11.800'!H22)</f>
        <v/>
      </c>
      <c r="C1607" s="1280" t="str">
        <f>IF(LEN(B1607)=0,IF(A1607="P","P",""),B1607)</f>
        <v/>
      </c>
      <c r="D1607" s="88"/>
      <c r="E1607" s="88"/>
      <c r="F1607" s="88"/>
      <c r="G1607" s="870" t="s">
        <v>5006</v>
      </c>
      <c r="H1607" s="1326"/>
      <c r="J1607" s="1312"/>
    </row>
    <row r="1608" spans="1:10" x14ac:dyDescent="0.2">
      <c r="B1608" s="1324" t="str">
        <f>IF(LEN('11.800'!H23)=0,"",'11.800'!H23)</f>
        <v/>
      </c>
      <c r="C1608" s="1280" t="str">
        <f t="shared" ref="C1608:C1671" si="118">IF(LEN(B1608)=0,IF(A1608="P","P",""),B1608)</f>
        <v/>
      </c>
      <c r="D1608" s="88"/>
      <c r="E1608" s="88"/>
      <c r="F1608" s="88"/>
      <c r="G1608" s="1611" t="s">
        <v>4696</v>
      </c>
      <c r="H1608" s="1326"/>
      <c r="J1608" s="1312"/>
    </row>
    <row r="1609" spans="1:10" x14ac:dyDescent="0.2">
      <c r="B1609" s="1324" t="str">
        <f>IF(LEN('11.800'!H24)=0,"",'11.800'!H24)</f>
        <v/>
      </c>
      <c r="C1609" s="1280" t="str">
        <f t="shared" si="118"/>
        <v/>
      </c>
      <c r="D1609" s="88"/>
      <c r="E1609" s="88"/>
      <c r="F1609" s="88"/>
      <c r="G1609" s="1611"/>
      <c r="H1609" s="1326"/>
      <c r="J1609" s="1312"/>
    </row>
    <row r="1610" spans="1:10" x14ac:dyDescent="0.2">
      <c r="B1610" s="1324" t="str">
        <f>IF(LEN('11.800'!H25)=0,"",'11.800'!H25)</f>
        <v/>
      </c>
      <c r="C1610" s="1280" t="str">
        <f t="shared" si="118"/>
        <v/>
      </c>
      <c r="D1610" s="88"/>
      <c r="E1610" s="88"/>
      <c r="F1610" s="88"/>
      <c r="G1610" s="1611"/>
      <c r="H1610" s="1326"/>
      <c r="J1610" s="1312"/>
    </row>
    <row r="1611" spans="1:10" x14ac:dyDescent="0.2">
      <c r="B1611" s="1324" t="str">
        <f>IF(LEN('11.800'!H26)=0,"",'11.800'!H26)</f>
        <v/>
      </c>
      <c r="C1611" s="1280" t="str">
        <f t="shared" si="118"/>
        <v/>
      </c>
      <c r="D1611" s="88"/>
      <c r="E1611" s="88"/>
      <c r="F1611" s="88"/>
      <c r="G1611" s="1611"/>
      <c r="H1611" s="1348"/>
      <c r="J1611" s="1312"/>
    </row>
    <row r="1612" spans="1:10" x14ac:dyDescent="0.2">
      <c r="B1612" s="1324" t="str">
        <f>IF(LEN('11.800'!H27)=0,"",'11.800'!H27)</f>
        <v/>
      </c>
      <c r="C1612" s="1280" t="str">
        <f t="shared" si="118"/>
        <v/>
      </c>
      <c r="D1612" s="88"/>
      <c r="E1612" s="88"/>
      <c r="F1612" s="88"/>
      <c r="G1612" s="1759" t="s">
        <v>3472</v>
      </c>
      <c r="H1612" s="1341" t="str">
        <f>IF(LEN('11.800'!W27)=0,"",'11.800'!W27)</f>
        <v/>
      </c>
      <c r="J1612" s="1312"/>
    </row>
    <row r="1613" spans="1:10" x14ac:dyDescent="0.2">
      <c r="B1613" s="1324" t="str">
        <f>IF(LEN('11.800'!H28)=0,"",'11.800'!H28)</f>
        <v/>
      </c>
      <c r="C1613" s="1280" t="str">
        <f t="shared" si="118"/>
        <v/>
      </c>
      <c r="D1613" s="88"/>
      <c r="E1613" s="88"/>
      <c r="F1613" s="88"/>
      <c r="G1613" s="1759"/>
      <c r="H1613" s="1326"/>
      <c r="J1613" s="1312"/>
    </row>
    <row r="1614" spans="1:10" x14ac:dyDescent="0.2">
      <c r="B1614" s="1324" t="str">
        <f>IF(LEN('11.800'!H29)=0,"",'11.800'!H29)</f>
        <v/>
      </c>
      <c r="C1614" s="1280" t="str">
        <f t="shared" si="118"/>
        <v/>
      </c>
      <c r="D1614" s="88"/>
      <c r="E1614" s="88"/>
      <c r="F1614" s="88"/>
      <c r="G1614" s="1611" t="s">
        <v>3473</v>
      </c>
      <c r="H1614" s="1326"/>
      <c r="J1614" s="1312"/>
    </row>
    <row r="1615" spans="1:10" x14ac:dyDescent="0.2">
      <c r="B1615" s="1324" t="str">
        <f>IF(LEN('11.800'!H30)=0,"",'11.800'!H30)</f>
        <v/>
      </c>
      <c r="C1615" s="1280" t="str">
        <f t="shared" si="118"/>
        <v/>
      </c>
      <c r="D1615" s="88"/>
      <c r="E1615" s="88"/>
      <c r="F1615" s="88"/>
      <c r="G1615" s="1611"/>
      <c r="H1615" s="1326"/>
      <c r="J1615" s="1312"/>
    </row>
    <row r="1616" spans="1:10" x14ac:dyDescent="0.2">
      <c r="B1616" s="1324" t="str">
        <f>IF(LEN('11.800'!H31)=0,"",'11.800'!H31)</f>
        <v/>
      </c>
      <c r="C1616" s="1280" t="str">
        <f t="shared" si="118"/>
        <v/>
      </c>
      <c r="D1616" s="88"/>
      <c r="E1616" s="88"/>
      <c r="F1616" s="88"/>
      <c r="G1616" s="1611"/>
      <c r="H1616" s="1326"/>
      <c r="J1616" s="1312"/>
    </row>
    <row r="1617" spans="1:10" x14ac:dyDescent="0.2">
      <c r="B1617" s="1324" t="str">
        <f>IF(LEN('11.800'!H32)=0,"",'11.800'!H32)</f>
        <v/>
      </c>
      <c r="C1617" s="1280" t="str">
        <f t="shared" si="118"/>
        <v/>
      </c>
      <c r="D1617" s="88"/>
      <c r="E1617" s="88"/>
      <c r="F1617" s="88"/>
      <c r="G1617" s="1611"/>
      <c r="H1617" s="1326"/>
      <c r="J1617" s="1312"/>
    </row>
    <row r="1618" spans="1:10" x14ac:dyDescent="0.2">
      <c r="B1618" s="1324" t="str">
        <f>IF(LEN('11.800'!H33)=0,"",'11.800'!H33)</f>
        <v/>
      </c>
      <c r="C1618" s="1280" t="str">
        <f t="shared" si="118"/>
        <v/>
      </c>
      <c r="D1618" s="88"/>
      <c r="E1618" s="88"/>
      <c r="F1618" s="88"/>
      <c r="G1618" s="1611"/>
      <c r="H1618" s="1326"/>
      <c r="J1618" s="1312"/>
    </row>
    <row r="1619" spans="1:10" x14ac:dyDescent="0.2">
      <c r="B1619" s="1324" t="str">
        <f>IF(LEN('11.800'!H34)=0,"",'11.800'!H34)</f>
        <v/>
      </c>
      <c r="C1619" s="1280" t="str">
        <f t="shared" si="118"/>
        <v/>
      </c>
      <c r="D1619" s="88"/>
      <c r="E1619" s="88"/>
      <c r="F1619" s="88"/>
      <c r="G1619" s="1611"/>
      <c r="H1619" s="1326"/>
      <c r="J1619" s="1312"/>
    </row>
    <row r="1620" spans="1:10" x14ac:dyDescent="0.2">
      <c r="B1620" s="1324" t="str">
        <f>IF(LEN('11.800'!H35)=0,"",'11.800'!H35)</f>
        <v/>
      </c>
      <c r="C1620" s="1280" t="str">
        <f t="shared" si="118"/>
        <v/>
      </c>
      <c r="D1620" s="88"/>
      <c r="E1620" s="88"/>
      <c r="F1620" s="88"/>
      <c r="G1620" s="1611" t="s">
        <v>5007</v>
      </c>
      <c r="H1620" s="1326"/>
      <c r="J1620" s="1312"/>
    </row>
    <row r="1621" spans="1:10" x14ac:dyDescent="0.2">
      <c r="B1621" s="1324" t="str">
        <f>IF(LEN('11.800'!H36)=0,"",'11.800'!H36)</f>
        <v/>
      </c>
      <c r="C1621" s="1280" t="str">
        <f t="shared" si="118"/>
        <v/>
      </c>
      <c r="D1621" s="88"/>
      <c r="E1621" s="88"/>
      <c r="F1621" s="88"/>
      <c r="G1621" s="1611"/>
      <c r="H1621" s="1326"/>
      <c r="J1621" s="1312"/>
    </row>
    <row r="1622" spans="1:10" x14ac:dyDescent="0.2">
      <c r="B1622" s="1324" t="str">
        <f>IF(LEN('11.800'!H37)=0,"",'11.800'!H37)</f>
        <v/>
      </c>
      <c r="C1622" s="1280" t="str">
        <f t="shared" si="118"/>
        <v/>
      </c>
      <c r="D1622" s="88"/>
      <c r="E1622" s="88"/>
      <c r="F1622" s="88"/>
      <c r="G1622" s="1611"/>
      <c r="H1622" s="1326"/>
      <c r="J1622" s="1312"/>
    </row>
    <row r="1623" spans="1:10" x14ac:dyDescent="0.2">
      <c r="B1623" s="1324" t="str">
        <f>IF(LEN('11.800'!H38)=0,"",'11.800'!H38)</f>
        <v/>
      </c>
      <c r="C1623" s="1280" t="str">
        <f t="shared" si="118"/>
        <v/>
      </c>
      <c r="D1623" s="88"/>
      <c r="E1623" s="88"/>
      <c r="F1623" s="88"/>
      <c r="G1623" s="1611"/>
      <c r="H1623" s="1326"/>
      <c r="J1623" s="1312"/>
    </row>
    <row r="1624" spans="1:10" ht="19" x14ac:dyDescent="0.25">
      <c r="A1624" s="467" t="s">
        <v>3200</v>
      </c>
      <c r="B1624" s="1324" t="str">
        <f>IF(LEN('11.800'!H39)=0,"",'11.800'!H39)</f>
        <v/>
      </c>
      <c r="C1624" s="1280" t="str">
        <f t="shared" si="118"/>
        <v>P</v>
      </c>
      <c r="D1624" s="1004" t="s">
        <v>4519</v>
      </c>
      <c r="E1624" s="1003"/>
      <c r="F1624" s="1003"/>
      <c r="G1624" s="1004"/>
      <c r="H1624" s="994"/>
      <c r="I1624" s="25"/>
      <c r="J1624" s="25"/>
    </row>
    <row r="1625" spans="1:10" x14ac:dyDescent="0.2">
      <c r="A1625" s="467" t="str">
        <f ca="1">IF(I1625&gt;0,"P","")</f>
        <v/>
      </c>
      <c r="B1625" s="1324" t="str">
        <f>IF(LEN('11.800'!H40)=0,"",'11.800'!H40)</f>
        <v/>
      </c>
      <c r="C1625" s="1280" t="str">
        <f t="shared" ca="1" si="118"/>
        <v/>
      </c>
      <c r="D1625" s="589" t="s">
        <v>4520</v>
      </c>
      <c r="E1625" s="873"/>
      <c r="F1625" s="873"/>
      <c r="G1625" s="1687" t="s">
        <v>4857</v>
      </c>
      <c r="H1625" s="1326"/>
      <c r="I1625" s="88">
        <f ca="1">'11.800'!O40</f>
        <v>0</v>
      </c>
      <c r="J1625" s="1779" t="s">
        <v>5210</v>
      </c>
    </row>
    <row r="1626" spans="1:10" x14ac:dyDescent="0.2">
      <c r="A1626" s="467" t="str">
        <f t="shared" ref="A1626:A1635" ca="1" si="119">A1625</f>
        <v/>
      </c>
      <c r="B1626" s="1324" t="str">
        <f>IF(LEN('11.800'!H41)=0,"",'11.800'!H41)</f>
        <v/>
      </c>
      <c r="C1626" s="1280" t="str">
        <f t="shared" ca="1" si="118"/>
        <v/>
      </c>
      <c r="D1626" s="589"/>
      <c r="E1626" s="873"/>
      <c r="F1626" s="873"/>
      <c r="G1626" s="1687"/>
      <c r="H1626" s="1341" t="str">
        <f>IF(LEN('11.800'!W41)=0,"",'11.800'!W41)</f>
        <v/>
      </c>
      <c r="J1626" s="1779"/>
    </row>
    <row r="1627" spans="1:10" x14ac:dyDescent="0.2">
      <c r="A1627" s="467" t="str">
        <f t="shared" ca="1" si="119"/>
        <v/>
      </c>
      <c r="B1627" s="1324" t="str">
        <f>IF(LEN('11.800'!H42)=0,"",'11.800'!H42)</f>
        <v/>
      </c>
      <c r="C1627" s="1280" t="str">
        <f t="shared" ca="1" si="118"/>
        <v/>
      </c>
      <c r="D1627" s="589"/>
      <c r="E1627" s="873"/>
      <c r="F1627" s="873"/>
      <c r="G1627" s="1687"/>
      <c r="H1627" s="1326"/>
      <c r="J1627" s="1312"/>
    </row>
    <row r="1628" spans="1:10" x14ac:dyDescent="0.2">
      <c r="A1628" s="467" t="str">
        <f t="shared" ca="1" si="119"/>
        <v/>
      </c>
      <c r="B1628" s="1324" t="str">
        <f>IF(LEN('11.800'!H43)=0,"",'11.800'!H43)</f>
        <v/>
      </c>
      <c r="C1628" s="1280" t="str">
        <f t="shared" ca="1" si="118"/>
        <v/>
      </c>
      <c r="D1628" s="589"/>
      <c r="E1628" s="873"/>
      <c r="F1628" s="873"/>
      <c r="G1628" s="1687"/>
      <c r="H1628" s="1326"/>
      <c r="J1628" s="1312"/>
    </row>
    <row r="1629" spans="1:10" x14ac:dyDescent="0.2">
      <c r="A1629" s="467" t="str">
        <f t="shared" ca="1" si="119"/>
        <v/>
      </c>
      <c r="B1629" s="1324" t="str">
        <f>IF(LEN('11.800'!H44)=0,"",'11.800'!H44)</f>
        <v/>
      </c>
      <c r="C1629" s="1280" t="str">
        <f t="shared" ca="1" si="118"/>
        <v/>
      </c>
      <c r="D1629" s="589"/>
      <c r="E1629" s="873"/>
      <c r="F1629" s="873"/>
      <c r="G1629" s="1687"/>
      <c r="H1629" s="1326"/>
      <c r="J1629" s="1312"/>
    </row>
    <row r="1630" spans="1:10" x14ac:dyDescent="0.2">
      <c r="A1630" s="467" t="str">
        <f t="shared" ca="1" si="119"/>
        <v/>
      </c>
      <c r="B1630" s="1324" t="str">
        <f>IF(LEN('11.800'!H45)=0,"",'11.800'!H45)</f>
        <v/>
      </c>
      <c r="C1630" s="1280" t="str">
        <f t="shared" ca="1" si="118"/>
        <v/>
      </c>
      <c r="D1630" s="589"/>
      <c r="E1630" s="873"/>
      <c r="F1630" s="873"/>
      <c r="G1630" s="1687"/>
      <c r="H1630" s="1326"/>
      <c r="J1630" s="1312"/>
    </row>
    <row r="1631" spans="1:10" x14ac:dyDescent="0.2">
      <c r="A1631" s="467" t="str">
        <f t="shared" ca="1" si="119"/>
        <v/>
      </c>
      <c r="B1631" s="1324" t="str">
        <f>IF(LEN('11.800'!H46)=0,"",'11.800'!H46)</f>
        <v/>
      </c>
      <c r="C1631" s="1280" t="str">
        <f t="shared" ca="1" si="118"/>
        <v/>
      </c>
      <c r="D1631" s="589"/>
      <c r="E1631" s="873"/>
      <c r="F1631" s="873"/>
      <c r="G1631" s="1687"/>
      <c r="H1631" s="1326"/>
      <c r="J1631" s="1312"/>
    </row>
    <row r="1632" spans="1:10" x14ac:dyDescent="0.2">
      <c r="A1632" s="467" t="str">
        <f t="shared" ca="1" si="119"/>
        <v/>
      </c>
      <c r="B1632" s="1324" t="str">
        <f>IF(LEN('11.800'!H47)=0,"",'11.800'!H47)</f>
        <v/>
      </c>
      <c r="C1632" s="1280" t="str">
        <f t="shared" ca="1" si="118"/>
        <v/>
      </c>
      <c r="D1632" s="589"/>
      <c r="E1632" s="873"/>
      <c r="F1632" s="873"/>
      <c r="G1632" s="1687"/>
      <c r="H1632" s="1326"/>
      <c r="J1632" s="1312"/>
    </row>
    <row r="1633" spans="1:10" x14ac:dyDescent="0.2">
      <c r="A1633" s="467" t="str">
        <f t="shared" ca="1" si="119"/>
        <v/>
      </c>
      <c r="B1633" s="1324" t="str">
        <f>IF(LEN('11.800'!H48)=0,"",'11.800'!H48)</f>
        <v/>
      </c>
      <c r="C1633" s="1280" t="str">
        <f t="shared" ca="1" si="118"/>
        <v/>
      </c>
      <c r="D1633" s="589"/>
      <c r="E1633" s="873"/>
      <c r="F1633" s="873"/>
      <c r="G1633" s="1687"/>
      <c r="H1633" s="1326"/>
      <c r="J1633" s="1312"/>
    </row>
    <row r="1634" spans="1:10" x14ac:dyDescent="0.2">
      <c r="A1634" s="467" t="str">
        <f t="shared" ca="1" si="119"/>
        <v/>
      </c>
      <c r="B1634" s="1324" t="str">
        <f>IF(LEN('11.800'!H49)=0,"",'11.800'!H49)</f>
        <v/>
      </c>
      <c r="C1634" s="1280" t="str">
        <f t="shared" ca="1" si="118"/>
        <v/>
      </c>
      <c r="D1634" s="589"/>
      <c r="E1634" s="873"/>
      <c r="F1634" s="873"/>
      <c r="G1634" s="1687"/>
      <c r="H1634" s="1326"/>
      <c r="J1634" s="1312"/>
    </row>
    <row r="1635" spans="1:10" x14ac:dyDescent="0.2">
      <c r="A1635" s="467" t="str">
        <f t="shared" ca="1" si="119"/>
        <v/>
      </c>
      <c r="B1635" s="1324" t="str">
        <f>IF(LEN('11.800'!H50)=0,"",'11.800'!H50)</f>
        <v/>
      </c>
      <c r="C1635" s="1280" t="str">
        <f t="shared" ca="1" si="118"/>
        <v/>
      </c>
      <c r="D1635" s="589"/>
      <c r="E1635" s="873"/>
      <c r="F1635" s="873"/>
      <c r="G1635" s="1687"/>
      <c r="H1635" s="1326"/>
      <c r="J1635" s="1312"/>
    </row>
    <row r="1636" spans="1:10" x14ac:dyDescent="0.2">
      <c r="B1636" s="1324" t="str">
        <f>IF(LEN('11.800'!H51)=0,"",'11.800'!H51)</f>
        <v/>
      </c>
      <c r="C1636" s="1280" t="str">
        <f t="shared" si="118"/>
        <v/>
      </c>
      <c r="D1636" s="589"/>
      <c r="E1636" s="1068" t="s">
        <v>254</v>
      </c>
      <c r="F1636" s="1068"/>
      <c r="G1636" s="1634" t="s">
        <v>4521</v>
      </c>
      <c r="H1636" s="1326"/>
      <c r="J1636" s="1312"/>
    </row>
    <row r="1637" spans="1:10" x14ac:dyDescent="0.2">
      <c r="B1637" s="1324" t="str">
        <f>IF(LEN('11.800'!H52)=0,"",'11.800'!H52)</f>
        <v/>
      </c>
      <c r="C1637" s="1280" t="str">
        <f t="shared" si="118"/>
        <v/>
      </c>
      <c r="D1637" s="589"/>
      <c r="E1637" s="1072"/>
      <c r="F1637" s="1072"/>
      <c r="G1637" s="1639"/>
      <c r="H1637" s="1326"/>
      <c r="J1637" s="1312"/>
    </row>
    <row r="1638" spans="1:10" x14ac:dyDescent="0.2">
      <c r="B1638" s="1324" t="str">
        <f>IF(LEN('11.800'!H53)=0,"",'11.800'!H53)</f>
        <v/>
      </c>
      <c r="C1638" s="1280" t="str">
        <f t="shared" si="118"/>
        <v/>
      </c>
      <c r="D1638" s="589"/>
      <c r="E1638" s="873" t="s">
        <v>255</v>
      </c>
      <c r="F1638" s="1073"/>
      <c r="G1638" s="1633" t="s">
        <v>4522</v>
      </c>
      <c r="H1638" s="1326"/>
      <c r="J1638" s="1312"/>
    </row>
    <row r="1639" spans="1:10" x14ac:dyDescent="0.2">
      <c r="B1639" s="1324" t="str">
        <f>IF(LEN('11.800'!H54)=0,"",'11.800'!H54)</f>
        <v/>
      </c>
      <c r="C1639" s="1280" t="str">
        <f t="shared" si="118"/>
        <v/>
      </c>
      <c r="D1639" s="589"/>
      <c r="E1639" s="1072"/>
      <c r="F1639" s="1072"/>
      <c r="G1639" s="1639"/>
      <c r="H1639" s="1326"/>
      <c r="J1639" s="1312"/>
    </row>
    <row r="1640" spans="1:10" x14ac:dyDescent="0.2">
      <c r="B1640" s="1324" t="str">
        <f>IF(LEN('11.800'!H55)=0,"",'11.800'!H55)</f>
        <v/>
      </c>
      <c r="C1640" s="1280" t="str">
        <f t="shared" si="118"/>
        <v/>
      </c>
      <c r="D1640" s="589"/>
      <c r="E1640" s="873" t="s">
        <v>256</v>
      </c>
      <c r="F1640" s="1073"/>
      <c r="G1640" s="1633" t="s">
        <v>4523</v>
      </c>
      <c r="H1640" s="1326"/>
      <c r="J1640" s="1312"/>
    </row>
    <row r="1641" spans="1:10" x14ac:dyDescent="0.2">
      <c r="B1641" s="1324" t="str">
        <f>IF(LEN('11.800'!H56)=0,"",'11.800'!H56)</f>
        <v/>
      </c>
      <c r="C1641" s="1280" t="str">
        <f t="shared" si="118"/>
        <v/>
      </c>
      <c r="D1641" s="589"/>
      <c r="E1641" s="1072"/>
      <c r="F1641" s="1072"/>
      <c r="G1641" s="1639"/>
      <c r="H1641" s="1326"/>
      <c r="J1641" s="1312"/>
    </row>
    <row r="1642" spans="1:10" x14ac:dyDescent="0.2">
      <c r="B1642" s="1324" t="str">
        <f>IF(LEN('11.800'!H57)=0,"",'11.800'!H57)</f>
        <v/>
      </c>
      <c r="C1642" s="1280" t="str">
        <f t="shared" si="118"/>
        <v/>
      </c>
      <c r="D1642" s="589"/>
      <c r="E1642" s="873" t="s">
        <v>259</v>
      </c>
      <c r="F1642" s="873"/>
      <c r="G1642" s="1634" t="s">
        <v>4524</v>
      </c>
      <c r="H1642" s="1326"/>
      <c r="J1642" s="1312"/>
    </row>
    <row r="1643" spans="1:10" x14ac:dyDescent="0.2">
      <c r="B1643" s="1324" t="str">
        <f>IF(LEN('11.800'!H58)=0,"",'11.800'!H58)</f>
        <v/>
      </c>
      <c r="C1643" s="1280" t="str">
        <f t="shared" si="118"/>
        <v/>
      </c>
      <c r="D1643" s="589"/>
      <c r="E1643" s="873"/>
      <c r="F1643" s="873"/>
      <c r="G1643" s="1634"/>
      <c r="H1643" s="1326"/>
      <c r="J1643" s="1312"/>
    </row>
    <row r="1644" spans="1:10" x14ac:dyDescent="0.2">
      <c r="B1644" s="1324" t="str">
        <f>IF(LEN('11.800'!H59)=0,"",'11.800'!H59)</f>
        <v/>
      </c>
      <c r="C1644" s="1280" t="str">
        <f t="shared" si="118"/>
        <v/>
      </c>
      <c r="D1644" s="589"/>
      <c r="E1644" s="873"/>
      <c r="F1644" s="873"/>
      <c r="G1644" s="1634"/>
      <c r="H1644" s="1326"/>
      <c r="J1644" s="1312"/>
    </row>
    <row r="1645" spans="1:10" x14ac:dyDescent="0.2">
      <c r="B1645" s="1324" t="str">
        <f>IF(LEN('11.800'!H60)=0,"",'11.800'!H60)</f>
        <v/>
      </c>
      <c r="C1645" s="1280" t="str">
        <f t="shared" si="118"/>
        <v/>
      </c>
      <c r="D1645" s="589"/>
      <c r="E1645" s="873"/>
      <c r="F1645" s="1068" t="s">
        <v>121</v>
      </c>
      <c r="G1645" s="1634" t="s">
        <v>4525</v>
      </c>
      <c r="H1645" s="1326"/>
      <c r="J1645" s="1312"/>
    </row>
    <row r="1646" spans="1:10" x14ac:dyDescent="0.2">
      <c r="B1646" s="1324" t="str">
        <f>IF(LEN('11.800'!H61)=0,"",'11.800'!H61)</f>
        <v/>
      </c>
      <c r="C1646" s="1280" t="str">
        <f t="shared" si="118"/>
        <v/>
      </c>
      <c r="D1646" s="589"/>
      <c r="E1646" s="1072"/>
      <c r="F1646" s="1072"/>
      <c r="G1646" s="1639"/>
      <c r="H1646" s="1326"/>
      <c r="J1646" s="1312"/>
    </row>
    <row r="1647" spans="1:10" x14ac:dyDescent="0.2">
      <c r="B1647" s="1324" t="str">
        <f>IF(LEN('11.800'!H62)=0,"",'11.800'!H62)</f>
        <v/>
      </c>
      <c r="C1647" s="1280" t="str">
        <f t="shared" si="118"/>
        <v/>
      </c>
      <c r="D1647" s="589"/>
      <c r="E1647" s="1073" t="s">
        <v>263</v>
      </c>
      <c r="F1647" s="1073"/>
      <c r="G1647" s="1633" t="s">
        <v>4526</v>
      </c>
      <c r="H1647" s="1326"/>
      <c r="J1647" s="1312"/>
    </row>
    <row r="1648" spans="1:10" x14ac:dyDescent="0.2">
      <c r="B1648" s="1324" t="str">
        <f>IF(LEN('11.800'!H63)=0,"",'11.800'!H63)</f>
        <v/>
      </c>
      <c r="C1648" s="1280" t="str">
        <f t="shared" si="118"/>
        <v/>
      </c>
      <c r="D1648" s="589"/>
      <c r="E1648" s="1068"/>
      <c r="F1648" s="1068"/>
      <c r="G1648" s="1634"/>
      <c r="H1648" s="1326"/>
      <c r="J1648" s="1312"/>
    </row>
    <row r="1649" spans="1:10" x14ac:dyDescent="0.2">
      <c r="B1649" s="1324" t="str">
        <f>IF(LEN('11.800'!H64)=0,"",'11.800'!H64)</f>
        <v/>
      </c>
      <c r="C1649" s="1280" t="str">
        <f t="shared" si="118"/>
        <v/>
      </c>
      <c r="D1649" s="589"/>
      <c r="E1649" s="1068"/>
      <c r="F1649" s="1068"/>
      <c r="G1649" s="1634"/>
      <c r="H1649" s="1326"/>
      <c r="J1649" s="1312"/>
    </row>
    <row r="1650" spans="1:10" x14ac:dyDescent="0.2">
      <c r="B1650" s="1324" t="str">
        <f>IF(LEN('11.800'!H65)=0,"",'11.800'!H65)</f>
        <v/>
      </c>
      <c r="C1650" s="1280" t="str">
        <f t="shared" si="118"/>
        <v/>
      </c>
      <c r="D1650" s="589"/>
      <c r="E1650" s="1068"/>
      <c r="F1650" s="1068"/>
      <c r="G1650" s="1634"/>
      <c r="H1650" s="1326"/>
      <c r="J1650" s="1312"/>
    </row>
    <row r="1651" spans="1:10" x14ac:dyDescent="0.2">
      <c r="B1651" s="1324" t="str">
        <f>IF(LEN('11.800'!H66)=0,"",'11.800'!H66)</f>
        <v/>
      </c>
      <c r="C1651" s="1280" t="str">
        <f t="shared" si="118"/>
        <v/>
      </c>
      <c r="D1651" s="589"/>
      <c r="E1651" s="1072"/>
      <c r="F1651" s="1072"/>
      <c r="G1651" s="1639"/>
      <c r="H1651" s="1326"/>
      <c r="J1651" s="1312"/>
    </row>
    <row r="1652" spans="1:10" x14ac:dyDescent="0.2">
      <c r="B1652" s="1324" t="str">
        <f>IF(LEN('11.800'!H67)=0,"",'11.800'!H67)</f>
        <v/>
      </c>
      <c r="C1652" s="1280" t="str">
        <f t="shared" si="118"/>
        <v/>
      </c>
      <c r="D1652" s="590"/>
      <c r="E1652" s="1068" t="s">
        <v>264</v>
      </c>
      <c r="F1652" s="1068"/>
      <c r="G1652" s="1634" t="s">
        <v>4527</v>
      </c>
      <c r="H1652" s="1341" t="str">
        <f>IF(LEN('11.800'!W67)=0,"",'11.800'!W67)</f>
        <v/>
      </c>
      <c r="I1652" s="88">
        <f ca="1">'11.800'!O67</f>
        <v>0</v>
      </c>
      <c r="J1652" s="1312"/>
    </row>
    <row r="1653" spans="1:10" x14ac:dyDescent="0.2">
      <c r="B1653" s="1324" t="str">
        <f>IF(LEN('11.800'!H68)=0,"",'11.800'!H68)</f>
        <v/>
      </c>
      <c r="C1653" s="1280" t="str">
        <f t="shared" si="118"/>
        <v/>
      </c>
      <c r="D1653" s="590"/>
      <c r="E1653" s="1068"/>
      <c r="F1653" s="1068"/>
      <c r="G1653" s="1634"/>
      <c r="H1653" s="1326"/>
      <c r="J1653" s="1312"/>
    </row>
    <row r="1654" spans="1:10" ht="16" thickBot="1" x14ac:dyDescent="0.25">
      <c r="B1654" s="1324" t="str">
        <f>IF(LEN('11.800'!H69)=0,"",'11.800'!H69)</f>
        <v/>
      </c>
      <c r="C1654" s="1280" t="str">
        <f t="shared" si="118"/>
        <v/>
      </c>
      <c r="D1654" s="594"/>
      <c r="E1654" s="1069"/>
      <c r="F1654" s="1069"/>
      <c r="G1654" s="1635"/>
      <c r="H1654" s="1326"/>
      <c r="J1654" s="1312"/>
    </row>
    <row r="1655" spans="1:10" ht="37.5" customHeight="1" thickTop="1" x14ac:dyDescent="0.2">
      <c r="A1655" s="467" t="str">
        <f ca="1">IF(I1655&gt;0,"P","")</f>
        <v>P</v>
      </c>
      <c r="B1655" s="1324" t="str">
        <f>IF(LEN('11.800'!H70)=0,"",'11.800'!H70)</f>
        <v/>
      </c>
      <c r="C1655" s="1280" t="str">
        <f t="shared" ca="1" si="118"/>
        <v>P</v>
      </c>
      <c r="D1655" s="589" t="s">
        <v>4528</v>
      </c>
      <c r="E1655" s="873"/>
      <c r="F1655" s="873"/>
      <c r="G1655" s="1687" t="s">
        <v>4529</v>
      </c>
      <c r="H1655" s="1326"/>
      <c r="I1655" s="1397">
        <f ca="1">SUM(I1657:I1658)</f>
        <v>2</v>
      </c>
      <c r="J1655" s="1779" t="s">
        <v>5211</v>
      </c>
    </row>
    <row r="1656" spans="1:10" x14ac:dyDescent="0.2">
      <c r="A1656" s="467" t="str">
        <f t="shared" ref="A1656" ca="1" si="120">A1655</f>
        <v>P</v>
      </c>
      <c r="B1656" s="1324" t="str">
        <f>IF(LEN('11.800'!H71)=0,"",'11.800'!H71)</f>
        <v/>
      </c>
      <c r="C1656" s="1280" t="str">
        <f t="shared" ca="1" si="118"/>
        <v>P</v>
      </c>
      <c r="D1656" s="589"/>
      <c r="E1656" s="873"/>
      <c r="F1656" s="873"/>
      <c r="G1656" s="1687"/>
      <c r="H1656" s="1326"/>
      <c r="J1656" s="1779"/>
    </row>
    <row r="1657" spans="1:10" x14ac:dyDescent="0.2">
      <c r="A1657" s="467" t="str">
        <f ca="1">IF(I1657&gt;0,"P","")</f>
        <v>P</v>
      </c>
      <c r="B1657" s="1324" t="str">
        <f>IF(LEN('11.800'!H72)=0,"",'11.800'!H72)</f>
        <v/>
      </c>
      <c r="C1657" s="1280" t="str">
        <f t="shared" ca="1" si="118"/>
        <v>P</v>
      </c>
      <c r="D1657" s="589"/>
      <c r="E1657" s="1072" t="s">
        <v>254</v>
      </c>
      <c r="F1657" s="1072"/>
      <c r="G1657" s="1291" t="s">
        <v>5082</v>
      </c>
      <c r="H1657" s="1341" t="b">
        <f>IF(LEN('11.800'!W72)=0,"",'11.800'!W72)</f>
        <v>1</v>
      </c>
      <c r="I1657" s="88">
        <f ca="1">'11.800'!O72</f>
        <v>2</v>
      </c>
      <c r="J1657" s="1312"/>
    </row>
    <row r="1658" spans="1:10" x14ac:dyDescent="0.2">
      <c r="A1658" s="467" t="str">
        <f ca="1">IF(I1658&gt;0,"P","")</f>
        <v/>
      </c>
      <c r="B1658" s="1324" t="str">
        <f>IF(LEN('11.800'!H73)=0,"",'11.800'!H73)</f>
        <v/>
      </c>
      <c r="C1658" s="1280" t="str">
        <f t="shared" ca="1" si="118"/>
        <v/>
      </c>
      <c r="D1658" s="590"/>
      <c r="E1658" s="1074" t="s">
        <v>255</v>
      </c>
      <c r="F1658" s="1074"/>
      <c r="G1658" s="1075" t="s">
        <v>4530</v>
      </c>
      <c r="H1658" s="1341" t="str">
        <f>IF(LEN('11.800'!W73)=0,"",'11.800'!W73)</f>
        <v/>
      </c>
      <c r="I1658" s="88">
        <f ca="1">'11.800'!O73</f>
        <v>0</v>
      </c>
      <c r="J1658" s="1312"/>
    </row>
    <row r="1659" spans="1:10" x14ac:dyDescent="0.2">
      <c r="A1659" s="467" t="str">
        <f t="shared" ref="A1659" ca="1" si="121">A1658</f>
        <v/>
      </c>
      <c r="B1659" s="1324" t="str">
        <f>IF(LEN('11.800'!H74)=0,"",'11.800'!H74)</f>
        <v/>
      </c>
      <c r="C1659" s="1280" t="str">
        <f t="shared" ca="1" si="118"/>
        <v/>
      </c>
      <c r="D1659" s="590"/>
      <c r="E1659" s="1068" t="s">
        <v>256</v>
      </c>
      <c r="F1659" s="1068"/>
      <c r="G1659" s="1290" t="s">
        <v>4531</v>
      </c>
      <c r="H1659" s="1326"/>
      <c r="J1659" s="1312"/>
    </row>
    <row r="1660" spans="1:10" x14ac:dyDescent="0.2">
      <c r="B1660" s="1324" t="str">
        <f>IF(LEN('11.800'!H75)=0,"",'11.800'!H75)</f>
        <v/>
      </c>
      <c r="C1660" s="1280" t="str">
        <f t="shared" si="118"/>
        <v/>
      </c>
      <c r="D1660" s="590"/>
      <c r="E1660" s="1068"/>
      <c r="F1660" s="1068"/>
      <c r="G1660" s="1782" t="s">
        <v>4861</v>
      </c>
      <c r="H1660" s="1326"/>
      <c r="J1660" s="1312"/>
    </row>
    <row r="1661" spans="1:10" ht="16" thickBot="1" x14ac:dyDescent="0.25">
      <c r="B1661" s="1324" t="str">
        <f>IF(LEN('11.800'!H76)=0,"",'11.800'!H76)</f>
        <v/>
      </c>
      <c r="C1661" s="1280" t="str">
        <f t="shared" si="118"/>
        <v/>
      </c>
      <c r="D1661" s="594"/>
      <c r="E1661" s="1069"/>
      <c r="F1661" s="1069"/>
      <c r="G1661" s="1795"/>
      <c r="H1661" s="1326"/>
      <c r="J1661" s="1312"/>
    </row>
    <row r="1662" spans="1:10" ht="16" thickTop="1" x14ac:dyDescent="0.2">
      <c r="A1662" s="467" t="str">
        <f ca="1">IF(I1662&gt;0,"P","")</f>
        <v/>
      </c>
      <c r="B1662" s="1324" t="str">
        <f>IF(LEN('11.800'!H77)=0,"",'11.800'!H77)</f>
        <v/>
      </c>
      <c r="C1662" s="1280" t="str">
        <f t="shared" ca="1" si="118"/>
        <v/>
      </c>
      <c r="D1662" s="589" t="s">
        <v>4532</v>
      </c>
      <c r="E1662" s="873"/>
      <c r="F1662" s="873"/>
      <c r="G1662" s="1301" t="s">
        <v>4533</v>
      </c>
      <c r="H1662" s="1326"/>
      <c r="I1662" s="1397">
        <f ca="1">SUM(I1664:I1675)</f>
        <v>0</v>
      </c>
      <c r="J1662" s="1312" t="s">
        <v>5196</v>
      </c>
    </row>
    <row r="1663" spans="1:10" x14ac:dyDescent="0.2">
      <c r="B1663" s="1324" t="str">
        <f>IF(LEN('11.800'!H78)=0,"",'11.800'!H78)</f>
        <v/>
      </c>
      <c r="C1663" s="1280" t="str">
        <f t="shared" si="118"/>
        <v/>
      </c>
      <c r="D1663" s="589"/>
      <c r="E1663" s="873" t="s">
        <v>254</v>
      </c>
      <c r="F1663" s="873"/>
      <c r="G1663" s="1290" t="s">
        <v>4534</v>
      </c>
      <c r="H1663" s="1326"/>
      <c r="J1663" s="1312"/>
    </row>
    <row r="1664" spans="1:10" x14ac:dyDescent="0.2">
      <c r="B1664" s="1324" t="str">
        <f>IF(LEN('11.800'!H79)=0,"",'11.800'!H79)</f>
        <v/>
      </c>
      <c r="C1664" s="1280" t="str">
        <f t="shared" si="118"/>
        <v/>
      </c>
      <c r="D1664" s="589"/>
      <c r="E1664" s="873"/>
      <c r="F1664" s="1068" t="s">
        <v>121</v>
      </c>
      <c r="G1664" s="1634" t="s">
        <v>4535</v>
      </c>
      <c r="H1664" s="1341" t="str">
        <f>IF(LEN('11.800'!W79)=0,"",'11.800'!W79)</f>
        <v/>
      </c>
      <c r="I1664" s="88">
        <f ca="1">'11.800'!O79</f>
        <v>0</v>
      </c>
      <c r="J1664" s="1312"/>
    </row>
    <row r="1665" spans="1:10" x14ac:dyDescent="0.2">
      <c r="B1665" s="1324" t="str">
        <f>IF(LEN('11.800'!H80)=0,"",'11.800'!H80)</f>
        <v/>
      </c>
      <c r="C1665" s="1280" t="str">
        <f t="shared" si="118"/>
        <v/>
      </c>
      <c r="D1665" s="589"/>
      <c r="E1665" s="873"/>
      <c r="F1665" s="1072"/>
      <c r="G1665" s="1639"/>
      <c r="H1665" s="1326"/>
      <c r="J1665" s="1312"/>
    </row>
    <row r="1666" spans="1:10" x14ac:dyDescent="0.2">
      <c r="B1666" s="1324" t="str">
        <f>IF(LEN('11.800'!H81)=0,"",'11.800'!H81)</f>
        <v/>
      </c>
      <c r="C1666" s="1280" t="str">
        <f t="shared" si="118"/>
        <v/>
      </c>
      <c r="D1666" s="589"/>
      <c r="E1666" s="1068"/>
      <c r="F1666" s="1068" t="s">
        <v>122</v>
      </c>
      <c r="G1666" s="1634" t="s">
        <v>4536</v>
      </c>
      <c r="H1666" s="1341" t="str">
        <f>IF(LEN('11.800'!W81)=0,"",'11.800'!W81)</f>
        <v/>
      </c>
      <c r="I1666" s="88">
        <f ca="1">'11.800'!O81</f>
        <v>0</v>
      </c>
      <c r="J1666" s="1312"/>
    </row>
    <row r="1667" spans="1:10" x14ac:dyDescent="0.2">
      <c r="B1667" s="1324" t="str">
        <f>IF(LEN('11.800'!H82)=0,"",'11.800'!H82)</f>
        <v/>
      </c>
      <c r="C1667" s="1280" t="str">
        <f t="shared" si="118"/>
        <v/>
      </c>
      <c r="D1667" s="589"/>
      <c r="E1667" s="1068"/>
      <c r="F1667" s="1068"/>
      <c r="G1667" s="1634"/>
      <c r="H1667" s="1326"/>
      <c r="J1667" s="1312"/>
    </row>
    <row r="1668" spans="1:10" x14ac:dyDescent="0.2">
      <c r="B1668" s="1324" t="str">
        <f>IF(LEN('11.800'!H83)=0,"",'11.800'!H83)</f>
        <v/>
      </c>
      <c r="C1668" s="1280" t="str">
        <f t="shared" si="118"/>
        <v/>
      </c>
      <c r="D1668" s="589"/>
      <c r="E1668" s="1068"/>
      <c r="F1668" s="1068"/>
      <c r="G1668" s="1634"/>
      <c r="H1668" s="1326"/>
      <c r="J1668" s="1312"/>
    </row>
    <row r="1669" spans="1:10" x14ac:dyDescent="0.2">
      <c r="B1669" s="1324" t="str">
        <f>IF(LEN('11.800'!H84)=0,"",'11.800'!H84)</f>
        <v/>
      </c>
      <c r="C1669" s="1280" t="str">
        <f t="shared" si="118"/>
        <v/>
      </c>
      <c r="D1669" s="589"/>
      <c r="E1669" s="1072"/>
      <c r="F1669" s="1072"/>
      <c r="G1669" s="1639"/>
      <c r="H1669" s="1326"/>
      <c r="J1669" s="1312"/>
    </row>
    <row r="1670" spans="1:10" x14ac:dyDescent="0.2">
      <c r="B1670" s="1324" t="str">
        <f>IF(LEN('11.800'!H85)=0,"",'11.800'!H85)</f>
        <v/>
      </c>
      <c r="C1670" s="1280" t="str">
        <f t="shared" si="118"/>
        <v/>
      </c>
      <c r="D1670" s="589"/>
      <c r="E1670" s="873" t="s">
        <v>255</v>
      </c>
      <c r="F1670" s="873"/>
      <c r="G1670" s="1634" t="s">
        <v>4537</v>
      </c>
      <c r="H1670" s="1326"/>
      <c r="J1670" s="1312"/>
    </row>
    <row r="1671" spans="1:10" x14ac:dyDescent="0.2">
      <c r="B1671" s="1324" t="str">
        <f>IF(LEN('11.800'!H86)=0,"",'11.800'!H86)</f>
        <v/>
      </c>
      <c r="C1671" s="1280" t="str">
        <f t="shared" si="118"/>
        <v/>
      </c>
      <c r="D1671" s="589"/>
      <c r="E1671" s="873"/>
      <c r="F1671" s="873"/>
      <c r="G1671" s="1634"/>
      <c r="H1671" s="1326"/>
      <c r="J1671" s="1312"/>
    </row>
    <row r="1672" spans="1:10" x14ac:dyDescent="0.2">
      <c r="B1672" s="1324" t="str">
        <f>IF(LEN('11.800'!H87)=0,"",'11.800'!H87)</f>
        <v/>
      </c>
      <c r="C1672" s="1280" t="str">
        <f t="shared" ref="C1672:C1735" si="122">IF(LEN(B1672)=0,IF(A1672="P","P",""),B1672)</f>
        <v/>
      </c>
      <c r="D1672" s="589"/>
      <c r="E1672" s="873"/>
      <c r="F1672" s="873"/>
      <c r="G1672" s="1634"/>
      <c r="H1672" s="1326"/>
      <c r="J1672" s="1312"/>
    </row>
    <row r="1673" spans="1:10" x14ac:dyDescent="0.2">
      <c r="B1673" s="1324" t="str">
        <f>IF(LEN('11.800'!H88)=0,"",'11.800'!H88)</f>
        <v/>
      </c>
      <c r="C1673" s="1280" t="str">
        <f t="shared" si="122"/>
        <v/>
      </c>
      <c r="D1673" s="589"/>
      <c r="E1673" s="873"/>
      <c r="F1673" s="1068" t="s">
        <v>121</v>
      </c>
      <c r="G1673" s="1634" t="s">
        <v>4535</v>
      </c>
      <c r="H1673" s="1341" t="str">
        <f>IF(LEN('11.800'!W88)=0,"",'11.800'!W88)</f>
        <v/>
      </c>
      <c r="I1673" s="88">
        <f ca="1">'11.800'!O88</f>
        <v>0</v>
      </c>
      <c r="J1673" s="1312"/>
    </row>
    <row r="1674" spans="1:10" x14ac:dyDescent="0.2">
      <c r="B1674" s="1324" t="str">
        <f>IF(LEN('11.800'!H89)=0,"",'11.800'!H89)</f>
        <v/>
      </c>
      <c r="C1674" s="1280" t="str">
        <f t="shared" si="122"/>
        <v/>
      </c>
      <c r="D1674" s="589"/>
      <c r="E1674" s="873"/>
      <c r="F1674" s="1072"/>
      <c r="G1674" s="1639"/>
      <c r="H1674" s="1326"/>
      <c r="J1674" s="1312"/>
    </row>
    <row r="1675" spans="1:10" x14ac:dyDescent="0.2">
      <c r="B1675" s="1324" t="str">
        <f>IF(LEN('11.800'!H90)=0,"",'11.800'!H90)</f>
        <v/>
      </c>
      <c r="C1675" s="1280" t="str">
        <f t="shared" si="122"/>
        <v/>
      </c>
      <c r="D1675" s="590"/>
      <c r="E1675" s="1068"/>
      <c r="F1675" s="1068" t="s">
        <v>122</v>
      </c>
      <c r="G1675" s="1634" t="s">
        <v>4536</v>
      </c>
      <c r="H1675" s="1341" t="str">
        <f>IF(LEN('11.800'!W90)=0,"",'11.800'!W90)</f>
        <v/>
      </c>
      <c r="I1675" s="88">
        <f ca="1">'11.800'!O90</f>
        <v>0</v>
      </c>
      <c r="J1675" s="1312"/>
    </row>
    <row r="1676" spans="1:10" x14ac:dyDescent="0.2">
      <c r="B1676" s="1324" t="str">
        <f>IF(LEN('11.800'!H91)=0,"",'11.800'!H91)</f>
        <v/>
      </c>
      <c r="C1676" s="1280" t="str">
        <f t="shared" si="122"/>
        <v/>
      </c>
      <c r="D1676" s="590"/>
      <c r="E1676" s="1068"/>
      <c r="F1676" s="1068"/>
      <c r="G1676" s="1634"/>
      <c r="H1676" s="1326"/>
      <c r="J1676" s="1312"/>
    </row>
    <row r="1677" spans="1:10" x14ac:dyDescent="0.2">
      <c r="B1677" s="1324" t="str">
        <f>IF(LEN('11.800'!H92)=0,"",'11.800'!H92)</f>
        <v/>
      </c>
      <c r="C1677" s="1280" t="str">
        <f t="shared" si="122"/>
        <v/>
      </c>
      <c r="D1677" s="590"/>
      <c r="E1677" s="1068"/>
      <c r="F1677" s="1068"/>
      <c r="G1677" s="1634"/>
      <c r="H1677" s="1326"/>
      <c r="J1677" s="1312"/>
    </row>
    <row r="1678" spans="1:10" ht="16" thickBot="1" x14ac:dyDescent="0.25">
      <c r="B1678" s="1324" t="str">
        <f>IF(LEN('11.800'!H93)=0,"",'11.800'!H93)</f>
        <v/>
      </c>
      <c r="C1678" s="1280" t="str">
        <f t="shared" si="122"/>
        <v/>
      </c>
      <c r="D1678" s="594"/>
      <c r="E1678" s="1069"/>
      <c r="F1678" s="1069"/>
      <c r="G1678" s="1635"/>
      <c r="H1678" s="1326"/>
      <c r="J1678" s="1312"/>
    </row>
    <row r="1679" spans="1:10" ht="16" thickTop="1" x14ac:dyDescent="0.2">
      <c r="A1679" s="467" t="str">
        <f ca="1">IF(I1679&gt;0,"P","")</f>
        <v>P</v>
      </c>
      <c r="B1679" s="1324" t="str">
        <f>IF(LEN('11.800'!H94)=0,"",'11.800'!H94)</f>
        <v/>
      </c>
      <c r="C1679" s="1280" t="str">
        <f t="shared" ca="1" si="122"/>
        <v>P</v>
      </c>
      <c r="D1679" s="589" t="s">
        <v>4643</v>
      </c>
      <c r="E1679" s="873"/>
      <c r="F1679" s="873"/>
      <c r="G1679" s="1301" t="s">
        <v>4538</v>
      </c>
      <c r="H1679" s="1326"/>
      <c r="I1679" s="1397">
        <f ca="1">SUM(I1680:I1696)</f>
        <v>10</v>
      </c>
      <c r="J1679" s="1312" t="s">
        <v>5212</v>
      </c>
    </row>
    <row r="1680" spans="1:10" x14ac:dyDescent="0.2">
      <c r="B1680" s="1324" t="str">
        <f>IF(LEN('11.800'!H95)=0,"",'11.800'!H95)</f>
        <v/>
      </c>
      <c r="C1680" s="1280" t="str">
        <f t="shared" si="122"/>
        <v/>
      </c>
      <c r="D1680" s="589"/>
      <c r="E1680" s="873" t="s">
        <v>254</v>
      </c>
      <c r="F1680" s="873"/>
      <c r="G1680" s="1634" t="s">
        <v>4539</v>
      </c>
      <c r="H1680" s="1341" t="str">
        <f>IF(LEN('11.800'!W95)=0,"",'11.800'!W95)</f>
        <v>1 compartment</v>
      </c>
      <c r="I1680" s="88">
        <f ca="1">'11.800'!O95</f>
        <v>4</v>
      </c>
      <c r="J1680" s="1312"/>
    </row>
    <row r="1681" spans="2:10" x14ac:dyDescent="0.2">
      <c r="B1681" s="1324" t="str">
        <f>IF(LEN('11.800'!H96)=0,"",'11.800'!H96)</f>
        <v/>
      </c>
      <c r="C1681" s="1280" t="str">
        <f t="shared" si="122"/>
        <v/>
      </c>
      <c r="D1681" s="589"/>
      <c r="E1681" s="873"/>
      <c r="F1681" s="873"/>
      <c r="G1681" s="1634"/>
      <c r="H1681" s="1326"/>
      <c r="J1681" s="1312"/>
    </row>
    <row r="1682" spans="2:10" x14ac:dyDescent="0.2">
      <c r="B1682" s="1324" t="str">
        <f>IF(LEN('11.800'!H97)=0,"",'11.800'!H97)</f>
        <v/>
      </c>
      <c r="C1682" s="1280" t="str">
        <f t="shared" si="122"/>
        <v/>
      </c>
      <c r="D1682" s="589"/>
      <c r="E1682" s="873"/>
      <c r="F1682" s="873"/>
      <c r="G1682" s="1634"/>
      <c r="H1682" s="1326"/>
      <c r="J1682" s="1312"/>
    </row>
    <row r="1683" spans="2:10" x14ac:dyDescent="0.2">
      <c r="B1683" s="1324" t="str">
        <f>IF(LEN('11.800'!H98)=0,"",'11.800'!H98)</f>
        <v/>
      </c>
      <c r="C1683" s="1280" t="str">
        <f t="shared" si="122"/>
        <v/>
      </c>
      <c r="D1683" s="589"/>
      <c r="E1683" s="873"/>
      <c r="F1683" s="873"/>
      <c r="G1683" s="1634"/>
      <c r="H1683" s="1326"/>
      <c r="J1683" s="1312"/>
    </row>
    <row r="1684" spans="2:10" x14ac:dyDescent="0.2">
      <c r="B1684" s="1324" t="str">
        <f>IF(LEN('11.800'!H99)=0,"",'11.800'!H99)</f>
        <v/>
      </c>
      <c r="C1684" s="1280" t="str">
        <f t="shared" si="122"/>
        <v/>
      </c>
      <c r="D1684" s="589"/>
      <c r="E1684" s="873"/>
      <c r="F1684" s="873"/>
      <c r="G1684" s="1634"/>
      <c r="H1684" s="1326"/>
      <c r="J1684" s="1312"/>
    </row>
    <row r="1685" spans="2:10" x14ac:dyDescent="0.2">
      <c r="B1685" s="1324" t="str">
        <f>IF(LEN('11.800'!H100)=0,"",'11.800'!H100)</f>
        <v/>
      </c>
      <c r="C1685" s="1280" t="str">
        <f t="shared" si="122"/>
        <v/>
      </c>
      <c r="D1685" s="589"/>
      <c r="E1685" s="873"/>
      <c r="F1685" s="873"/>
      <c r="G1685" s="1634"/>
      <c r="H1685" s="1326"/>
      <c r="J1685" s="1312"/>
    </row>
    <row r="1686" spans="2:10" x14ac:dyDescent="0.2">
      <c r="B1686" s="1324" t="str">
        <f>IF(LEN('11.800'!H101)=0,"",'11.800'!H101)</f>
        <v/>
      </c>
      <c r="C1686" s="1280" t="str">
        <f t="shared" si="122"/>
        <v/>
      </c>
      <c r="D1686" s="589"/>
      <c r="E1686" s="873"/>
      <c r="F1686" s="873"/>
      <c r="G1686" s="1634"/>
      <c r="H1686" s="1326"/>
      <c r="J1686" s="1312"/>
    </row>
    <row r="1687" spans="2:10" x14ac:dyDescent="0.2">
      <c r="B1687" s="1324" t="str">
        <f>IF(LEN('11.800'!H102)=0,"",'11.800'!H102)</f>
        <v/>
      </c>
      <c r="C1687" s="1280" t="str">
        <f t="shared" si="122"/>
        <v/>
      </c>
      <c r="D1687" s="589"/>
      <c r="E1687" s="873"/>
      <c r="F1687" s="873"/>
      <c r="G1687" s="1634"/>
      <c r="H1687" s="1326"/>
      <c r="J1687" s="1312"/>
    </row>
    <row r="1688" spans="2:10" x14ac:dyDescent="0.2">
      <c r="B1688" s="1324" t="str">
        <f>IF(LEN('11.800'!H103)=0,"",'11.800'!H103)</f>
        <v/>
      </c>
      <c r="C1688" s="1280" t="str">
        <f t="shared" si="122"/>
        <v/>
      </c>
      <c r="D1688" s="589"/>
      <c r="E1688" s="1068"/>
      <c r="F1688" s="1068"/>
      <c r="G1688" s="1745" t="s">
        <v>4540</v>
      </c>
      <c r="H1688" s="1326"/>
      <c r="J1688" s="1312"/>
    </row>
    <row r="1689" spans="2:10" x14ac:dyDescent="0.2">
      <c r="B1689" s="1324" t="str">
        <f>IF(LEN('11.800'!H104)=0,"",'11.800'!H104)</f>
        <v/>
      </c>
      <c r="C1689" s="1280" t="str">
        <f t="shared" si="122"/>
        <v/>
      </c>
      <c r="D1689" s="589"/>
      <c r="E1689" s="1068"/>
      <c r="F1689" s="1068"/>
      <c r="G1689" s="1745"/>
      <c r="H1689" s="1326"/>
      <c r="J1689" s="1312"/>
    </row>
    <row r="1690" spans="2:10" x14ac:dyDescent="0.2">
      <c r="B1690" s="1324" t="str">
        <f>IF(LEN('11.800'!H105)=0,"",'11.800'!H105)</f>
        <v/>
      </c>
      <c r="C1690" s="1280" t="str">
        <f t="shared" si="122"/>
        <v/>
      </c>
      <c r="D1690" s="589"/>
      <c r="E1690" s="1072"/>
      <c r="F1690" s="1072"/>
      <c r="G1690" s="1760"/>
      <c r="H1690" s="1326"/>
      <c r="J1690" s="1312"/>
    </row>
    <row r="1691" spans="2:10" x14ac:dyDescent="0.2">
      <c r="B1691" s="1324" t="str">
        <f>IF(LEN('11.800'!H106)=0,"",'11.800'!H106)</f>
        <v/>
      </c>
      <c r="C1691" s="1280" t="str">
        <f t="shared" si="122"/>
        <v/>
      </c>
      <c r="D1691" s="589"/>
      <c r="E1691" s="873" t="s">
        <v>255</v>
      </c>
      <c r="F1691" s="873"/>
      <c r="G1691" s="1634" t="s">
        <v>4858</v>
      </c>
      <c r="H1691" s="1341" t="str">
        <f>IF(LEN('11.800'!W106)=0,"",'11.800'!W106)</f>
        <v>(a)</v>
      </c>
      <c r="I1691" s="88">
        <f ca="1">'11.800'!O106</f>
        <v>6</v>
      </c>
      <c r="J1691" s="1312"/>
    </row>
    <row r="1692" spans="2:10" x14ac:dyDescent="0.2">
      <c r="B1692" s="1324" t="str">
        <f>IF(LEN('11.800'!H107)=0,"",'11.800'!H107)</f>
        <v/>
      </c>
      <c r="C1692" s="1280" t="str">
        <f t="shared" si="122"/>
        <v/>
      </c>
      <c r="D1692" s="589"/>
      <c r="E1692" s="873"/>
      <c r="F1692" s="873"/>
      <c r="G1692" s="1634"/>
      <c r="H1692" s="1326"/>
      <c r="J1692" s="1312"/>
    </row>
    <row r="1693" spans="2:10" x14ac:dyDescent="0.2">
      <c r="B1693" s="1324" t="str">
        <f>IF(LEN('11.800'!H108)=0,"",'11.800'!H108)</f>
        <v/>
      </c>
      <c r="C1693" s="1280" t="str">
        <f t="shared" si="122"/>
        <v/>
      </c>
      <c r="D1693" s="589"/>
      <c r="E1693" s="873"/>
      <c r="F1693" s="873"/>
      <c r="G1693" s="1634"/>
      <c r="H1693" s="1326"/>
      <c r="J1693" s="1312"/>
    </row>
    <row r="1694" spans="2:10" x14ac:dyDescent="0.2">
      <c r="B1694" s="1324" t="str">
        <f>IF(LEN('11.800'!H109)=0,"",'11.800'!H109)</f>
        <v/>
      </c>
      <c r="C1694" s="1280" t="str">
        <f t="shared" si="122"/>
        <v/>
      </c>
      <c r="D1694" s="589"/>
      <c r="E1694" s="873"/>
      <c r="F1694" s="1072" t="s">
        <v>121</v>
      </c>
      <c r="G1694" s="1291" t="s">
        <v>4541</v>
      </c>
      <c r="H1694" s="1326"/>
      <c r="J1694" s="1312"/>
    </row>
    <row r="1695" spans="2:10" x14ac:dyDescent="0.2">
      <c r="B1695" s="1324" t="str">
        <f>IF(LEN('11.800'!H110)=0,"",'11.800'!H110)</f>
        <v/>
      </c>
      <c r="C1695" s="1280" t="str">
        <f t="shared" si="122"/>
        <v/>
      </c>
      <c r="D1695" s="589"/>
      <c r="E1695" s="1072"/>
      <c r="F1695" s="1072" t="s">
        <v>122</v>
      </c>
      <c r="G1695" s="1291" t="s">
        <v>4542</v>
      </c>
      <c r="H1695" s="1326"/>
      <c r="J1695" s="1312"/>
    </row>
    <row r="1696" spans="2:10" x14ac:dyDescent="0.2">
      <c r="B1696" s="1324" t="str">
        <f>IF(LEN('11.800'!H111)=0,"",'11.800'!H111)</f>
        <v/>
      </c>
      <c r="C1696" s="1280" t="str">
        <f t="shared" si="122"/>
        <v/>
      </c>
      <c r="D1696" s="590"/>
      <c r="E1696" s="1068" t="s">
        <v>256</v>
      </c>
      <c r="F1696" s="1068"/>
      <c r="G1696" s="1634" t="s">
        <v>4543</v>
      </c>
      <c r="H1696" s="1341" t="str">
        <f>IF(LEN('11.800'!W111)=0,"",'11.800'!W111)</f>
        <v/>
      </c>
      <c r="I1696" s="88">
        <f ca="1">'11.800'!O111</f>
        <v>0</v>
      </c>
      <c r="J1696" s="1312"/>
    </row>
    <row r="1697" spans="1:10" x14ac:dyDescent="0.2">
      <c r="B1697" s="1324" t="str">
        <f>IF(LEN('11.800'!H112)=0,"",'11.800'!H112)</f>
        <v/>
      </c>
      <c r="C1697" s="1280" t="str">
        <f t="shared" si="122"/>
        <v/>
      </c>
      <c r="D1697" s="590"/>
      <c r="E1697" s="1068"/>
      <c r="F1697" s="1068"/>
      <c r="G1697" s="1634"/>
      <c r="H1697" s="1326"/>
      <c r="J1697" s="1312"/>
    </row>
    <row r="1698" spans="1:10" ht="16" thickBot="1" x14ac:dyDescent="0.25">
      <c r="B1698" s="1324" t="str">
        <f>IF(LEN('11.800'!H113)=0,"",'11.800'!H113)</f>
        <v/>
      </c>
      <c r="C1698" s="1280" t="str">
        <f t="shared" si="122"/>
        <v/>
      </c>
      <c r="D1698" s="594"/>
      <c r="E1698" s="1069"/>
      <c r="F1698" s="1069"/>
      <c r="G1698" s="1635"/>
      <c r="H1698" s="1326"/>
      <c r="J1698" s="1312"/>
    </row>
    <row r="1699" spans="1:10" ht="16" thickTop="1" x14ac:dyDescent="0.2">
      <c r="A1699" s="467" t="str">
        <f ca="1">IF(I1699&gt;0,"P","")</f>
        <v>P</v>
      </c>
      <c r="B1699" s="1324" t="str">
        <f>IF(LEN('11.800'!H114)=0,"",'11.800'!H114)</f>
        <v/>
      </c>
      <c r="C1699" s="1280" t="str">
        <f t="shared" ca="1" si="122"/>
        <v>P</v>
      </c>
      <c r="D1699" s="589" t="s">
        <v>4544</v>
      </c>
      <c r="E1699" s="873"/>
      <c r="F1699" s="873"/>
      <c r="G1699" s="1301" t="s">
        <v>4545</v>
      </c>
      <c r="H1699" s="1326"/>
      <c r="I1699" s="1397">
        <f ca="1">SUM(I1700:I1719)</f>
        <v>30</v>
      </c>
      <c r="J1699" s="1312"/>
    </row>
    <row r="1700" spans="1:10" x14ac:dyDescent="0.2">
      <c r="A1700" s="467" t="str">
        <f ca="1">IF(I1700&gt;0,"P","")</f>
        <v>P</v>
      </c>
      <c r="B1700" s="1324" t="str">
        <f>IF(LEN('11.800'!H115)=0,"",'11.800'!H115)</f>
        <v/>
      </c>
      <c r="C1700" s="1280" t="str">
        <f t="shared" ca="1" si="122"/>
        <v>P</v>
      </c>
      <c r="D1700" s="589" t="s">
        <v>4546</v>
      </c>
      <c r="E1700" s="873"/>
      <c r="F1700" s="873"/>
      <c r="G1700" s="1687" t="s">
        <v>4547</v>
      </c>
      <c r="H1700" s="1341" t="str">
        <f>IF(LEN('11.800'!W115)=0,"",'11.800'!W115)</f>
        <v>2 fixtures</v>
      </c>
      <c r="I1700" s="88">
        <f ca="1">'11.800'!O115</f>
        <v>16</v>
      </c>
      <c r="J1700" s="1312" t="s">
        <v>5212</v>
      </c>
    </row>
    <row r="1701" spans="1:10" x14ac:dyDescent="0.2">
      <c r="A1701" s="467" t="str">
        <f t="shared" ref="A1701:A1702" ca="1" si="123">A1700</f>
        <v>P</v>
      </c>
      <c r="B1701" s="1324" t="str">
        <f>IF(LEN('11.800'!H116)=0,"",'11.800'!H116)</f>
        <v/>
      </c>
      <c r="C1701" s="1280" t="str">
        <f t="shared" ca="1" si="122"/>
        <v>P</v>
      </c>
      <c r="D1701" s="589"/>
      <c r="E1701" s="873"/>
      <c r="F1701" s="873"/>
      <c r="G1701" s="1687"/>
      <c r="H1701" s="1326"/>
      <c r="J1701" s="1312"/>
    </row>
    <row r="1702" spans="1:10" x14ac:dyDescent="0.2">
      <c r="A1702" s="467" t="str">
        <f t="shared" ca="1" si="123"/>
        <v>P</v>
      </c>
      <c r="B1702" s="1324" t="str">
        <f>IF(LEN('11.800'!H117)=0,"",'11.800'!H117)</f>
        <v/>
      </c>
      <c r="C1702" s="1280" t="str">
        <f t="shared" ca="1" si="122"/>
        <v>P</v>
      </c>
      <c r="D1702" s="589"/>
      <c r="E1702" s="873"/>
      <c r="F1702" s="873"/>
      <c r="G1702" s="1687"/>
      <c r="H1702" s="1341" t="str">
        <f>IF(LEN('11.800'!W117)=0,"",'11.800'!W117)</f>
        <v>(5)</v>
      </c>
      <c r="J1702" s="1312"/>
    </row>
    <row r="1703" spans="1:10" x14ac:dyDescent="0.2">
      <c r="B1703" s="1324" t="str">
        <f>IF(LEN('11.800'!H118)=0,"",'11.800'!H118)</f>
        <v/>
      </c>
      <c r="C1703" s="1280" t="str">
        <f t="shared" si="122"/>
        <v/>
      </c>
      <c r="D1703" s="589"/>
      <c r="E1703" s="1068" t="s">
        <v>254</v>
      </c>
      <c r="F1703" s="1068"/>
      <c r="G1703" s="1290" t="s">
        <v>4548</v>
      </c>
      <c r="H1703" s="1326"/>
      <c r="J1703" s="1312"/>
    </row>
    <row r="1704" spans="1:10" x14ac:dyDescent="0.2">
      <c r="B1704" s="1324" t="str">
        <f>IF(LEN('11.800'!H119)=0,"",'11.800'!H119)</f>
        <v/>
      </c>
      <c r="C1704" s="1280" t="str">
        <f t="shared" si="122"/>
        <v/>
      </c>
      <c r="D1704" s="589"/>
      <c r="E1704" s="1068"/>
      <c r="F1704" s="1068"/>
      <c r="G1704" s="1745" t="s">
        <v>4549</v>
      </c>
      <c r="H1704" s="1326"/>
      <c r="J1704" s="1312"/>
    </row>
    <row r="1705" spans="1:10" x14ac:dyDescent="0.2">
      <c r="B1705" s="1324" t="str">
        <f>IF(LEN('11.800'!H120)=0,"",'11.800'!H120)</f>
        <v/>
      </c>
      <c r="C1705" s="1280" t="str">
        <f t="shared" si="122"/>
        <v/>
      </c>
      <c r="D1705" s="589"/>
      <c r="E1705" s="1068"/>
      <c r="F1705" s="1068"/>
      <c r="G1705" s="1745"/>
      <c r="H1705" s="1326"/>
      <c r="J1705" s="1312"/>
    </row>
    <row r="1706" spans="1:10" x14ac:dyDescent="0.2">
      <c r="B1706" s="1324" t="str">
        <f>IF(LEN('11.800'!H121)=0,"",'11.800'!H121)</f>
        <v/>
      </c>
      <c r="C1706" s="1280" t="str">
        <f t="shared" si="122"/>
        <v/>
      </c>
      <c r="D1706" s="589"/>
      <c r="E1706" s="1072"/>
      <c r="F1706" s="1072"/>
      <c r="G1706" s="1760"/>
      <c r="H1706" s="1326"/>
      <c r="J1706" s="1312"/>
    </row>
    <row r="1707" spans="1:10" x14ac:dyDescent="0.2">
      <c r="B1707" s="1324" t="str">
        <f>IF(LEN('11.800'!H122)=0,"",'11.800'!H122)</f>
        <v/>
      </c>
      <c r="C1707" s="1280" t="str">
        <f t="shared" si="122"/>
        <v/>
      </c>
      <c r="D1707" s="589"/>
      <c r="E1707" s="1074" t="s">
        <v>255</v>
      </c>
      <c r="F1707" s="1074"/>
      <c r="G1707" s="1075" t="s">
        <v>4550</v>
      </c>
      <c r="H1707" s="1326"/>
      <c r="J1707" s="1312"/>
    </row>
    <row r="1708" spans="1:10" x14ac:dyDescent="0.2">
      <c r="B1708" s="1324" t="str">
        <f>IF(LEN('11.800'!H123)=0,"",'11.800'!H123)</f>
        <v/>
      </c>
      <c r="C1708" s="1280" t="str">
        <f t="shared" si="122"/>
        <v/>
      </c>
      <c r="D1708" s="589"/>
      <c r="E1708" s="1074" t="s">
        <v>256</v>
      </c>
      <c r="F1708" s="1074"/>
      <c r="G1708" s="1075" t="s">
        <v>4551</v>
      </c>
      <c r="H1708" s="1326"/>
      <c r="J1708" s="1312"/>
    </row>
    <row r="1709" spans="1:10" x14ac:dyDescent="0.2">
      <c r="B1709" s="1324" t="str">
        <f>IF(LEN('11.800'!H124)=0,"",'11.800'!H124)</f>
        <v/>
      </c>
      <c r="C1709" s="1280" t="str">
        <f t="shared" si="122"/>
        <v/>
      </c>
      <c r="D1709" s="589"/>
      <c r="E1709" s="1073" t="s">
        <v>259</v>
      </c>
      <c r="F1709" s="1073"/>
      <c r="G1709" s="1633" t="s">
        <v>4552</v>
      </c>
      <c r="H1709" s="1326"/>
      <c r="J1709" s="1312"/>
    </row>
    <row r="1710" spans="1:10" x14ac:dyDescent="0.2">
      <c r="B1710" s="1324" t="str">
        <f>IF(LEN('11.800'!H125)=0,"",'11.800'!H125)</f>
        <v/>
      </c>
      <c r="C1710" s="1280" t="str">
        <f t="shared" si="122"/>
        <v/>
      </c>
      <c r="D1710" s="589"/>
      <c r="E1710" s="1072"/>
      <c r="F1710" s="1072"/>
      <c r="G1710" s="1639"/>
      <c r="H1710" s="1326"/>
      <c r="J1710" s="1312"/>
    </row>
    <row r="1711" spans="1:10" x14ac:dyDescent="0.2">
      <c r="B1711" s="1324" t="str">
        <f>IF(LEN('11.800'!H126)=0,"",'11.800'!H126)</f>
        <v/>
      </c>
      <c r="C1711" s="1280" t="str">
        <f t="shared" si="122"/>
        <v/>
      </c>
      <c r="D1711" s="606"/>
      <c r="E1711" s="1072" t="s">
        <v>263</v>
      </c>
      <c r="F1711" s="1072"/>
      <c r="G1711" s="1291" t="s">
        <v>4553</v>
      </c>
      <c r="H1711" s="1326"/>
      <c r="J1711" s="1312"/>
    </row>
    <row r="1712" spans="1:10" x14ac:dyDescent="0.2">
      <c r="A1712" s="467" t="str">
        <f ca="1">IF(I1712&gt;0,"P","")</f>
        <v>P</v>
      </c>
      <c r="B1712" s="1324" t="str">
        <f>IF(LEN('11.800'!H127)=0,"",'11.800'!H127)</f>
        <v/>
      </c>
      <c r="C1712" s="1280" t="str">
        <f t="shared" ca="1" si="122"/>
        <v>P</v>
      </c>
      <c r="D1712" s="589" t="s">
        <v>4554</v>
      </c>
      <c r="E1712" s="873"/>
      <c r="F1712" s="873"/>
      <c r="G1712" s="1687" t="s">
        <v>4555</v>
      </c>
      <c r="H1712" s="1341" t="str">
        <f>IF(LEN('11.800'!W127)=0,"",'11.800'!W127)</f>
        <v>(1)</v>
      </c>
      <c r="I1712" s="88">
        <f ca="1">'11.800'!O127</f>
        <v>3</v>
      </c>
      <c r="J1712" s="1312" t="s">
        <v>5212</v>
      </c>
    </row>
    <row r="1713" spans="1:10" x14ac:dyDescent="0.2">
      <c r="A1713" s="467" t="str">
        <f t="shared" ref="A1713:A1714" ca="1" si="124">A1712</f>
        <v>P</v>
      </c>
      <c r="B1713" s="1324" t="str">
        <f>IF(LEN('11.800'!H128)=0,"",'11.800'!H128)</f>
        <v/>
      </c>
      <c r="C1713" s="1280" t="str">
        <f t="shared" ca="1" si="122"/>
        <v>P</v>
      </c>
      <c r="D1713" s="589"/>
      <c r="E1713" s="873"/>
      <c r="F1713" s="873"/>
      <c r="G1713" s="1687"/>
      <c r="H1713" s="1326"/>
      <c r="J1713" s="1312"/>
    </row>
    <row r="1714" spans="1:10" x14ac:dyDescent="0.2">
      <c r="A1714" s="467" t="str">
        <f t="shared" ca="1" si="124"/>
        <v>P</v>
      </c>
      <c r="B1714" s="1324" t="str">
        <f>IF(LEN('11.800'!H129)=0,"",'11.800'!H129)</f>
        <v/>
      </c>
      <c r="C1714" s="1280" t="str">
        <f t="shared" ca="1" si="122"/>
        <v>P</v>
      </c>
      <c r="D1714" s="589"/>
      <c r="E1714" s="873"/>
      <c r="F1714" s="873"/>
      <c r="G1714" s="1687"/>
      <c r="H1714" s="1326"/>
      <c r="J1714" s="1312"/>
    </row>
    <row r="1715" spans="1:10" x14ac:dyDescent="0.2">
      <c r="B1715" s="1324" t="str">
        <f>IF(LEN('11.800'!H130)=0,"",'11.800'!H130)</f>
        <v/>
      </c>
      <c r="C1715" s="1280" t="str">
        <f t="shared" si="122"/>
        <v/>
      </c>
      <c r="D1715" s="589"/>
      <c r="E1715" s="1072" t="s">
        <v>254</v>
      </c>
      <c r="F1715" s="1072"/>
      <c r="G1715" s="1291" t="s">
        <v>4556</v>
      </c>
      <c r="H1715" s="1326"/>
      <c r="J1715" s="1312"/>
    </row>
    <row r="1716" spans="1:10" x14ac:dyDescent="0.2">
      <c r="B1716" s="1324" t="str">
        <f>IF(LEN('11.800'!H131)=0,"",'11.800'!H131)</f>
        <v/>
      </c>
      <c r="C1716" s="1280" t="str">
        <f t="shared" si="122"/>
        <v/>
      </c>
      <c r="D1716" s="606"/>
      <c r="E1716" s="1072" t="s">
        <v>255</v>
      </c>
      <c r="F1716" s="1072"/>
      <c r="G1716" s="1291" t="s">
        <v>4557</v>
      </c>
      <c r="H1716" s="1326"/>
      <c r="J1716" s="1312"/>
    </row>
    <row r="1717" spans="1:10" x14ac:dyDescent="0.2">
      <c r="A1717" s="467" t="str">
        <f ca="1">IF(I1717&gt;0,"P","")</f>
        <v/>
      </c>
      <c r="B1717" s="1324" t="str">
        <f>IF(LEN('11.800'!H132)=0,"",'11.800'!H132)</f>
        <v/>
      </c>
      <c r="C1717" s="1280" t="str">
        <f t="shared" ca="1" si="122"/>
        <v/>
      </c>
      <c r="D1717" s="590" t="s">
        <v>4558</v>
      </c>
      <c r="E1717" s="1068"/>
      <c r="F1717" s="1068"/>
      <c r="G1717" s="1687" t="s">
        <v>4559</v>
      </c>
      <c r="H1717" s="1341" t="str">
        <f>IF(LEN('11.800'!W132)=0,"",'11.800'!W132)</f>
        <v/>
      </c>
      <c r="I1717" s="88">
        <f ca="1">'11.800'!O132</f>
        <v>0</v>
      </c>
      <c r="J1717" s="1312" t="s">
        <v>3120</v>
      </c>
    </row>
    <row r="1718" spans="1:10" x14ac:dyDescent="0.2">
      <c r="A1718" s="467" t="str">
        <f t="shared" ref="A1718" ca="1" si="125">A1717</f>
        <v/>
      </c>
      <c r="B1718" s="1324" t="str">
        <f>IF(LEN('11.800'!H133)=0,"",'11.800'!H133)</f>
        <v/>
      </c>
      <c r="C1718" s="1280" t="str">
        <f t="shared" ca="1" si="122"/>
        <v/>
      </c>
      <c r="D1718" s="606"/>
      <c r="E1718" s="1072"/>
      <c r="F1718" s="1072"/>
      <c r="G1718" s="1688"/>
      <c r="H1718" s="1326"/>
      <c r="J1718" s="1312"/>
    </row>
    <row r="1719" spans="1:10" x14ac:dyDescent="0.2">
      <c r="A1719" s="467" t="str">
        <f ca="1">IF(I1719&gt;0,"P","")</f>
        <v>P</v>
      </c>
      <c r="B1719" s="1324" t="str">
        <f>IF(LEN('11.800'!H134)=0,"",'11.800'!H134)</f>
        <v/>
      </c>
      <c r="C1719" s="1280" t="str">
        <f t="shared" ca="1" si="122"/>
        <v>P</v>
      </c>
      <c r="D1719" s="589" t="s">
        <v>4560</v>
      </c>
      <c r="E1719" s="873"/>
      <c r="F1719" s="873"/>
      <c r="G1719" s="1687" t="s">
        <v>4854</v>
      </c>
      <c r="H1719" s="1326"/>
      <c r="I1719" s="1397">
        <f ca="1">SUM(I1723:I1739)</f>
        <v>11</v>
      </c>
      <c r="J1719" s="1312" t="s">
        <v>5213</v>
      </c>
    </row>
    <row r="1720" spans="1:10" x14ac:dyDescent="0.2">
      <c r="A1720" s="467" t="str">
        <f t="shared" ref="A1720" ca="1" si="126">A1719</f>
        <v>P</v>
      </c>
      <c r="B1720" s="1324" t="str">
        <f>IF(LEN('11.800'!H135)=0,"",'11.800'!H135)</f>
        <v/>
      </c>
      <c r="C1720" s="1280" t="str">
        <f t="shared" ca="1" si="122"/>
        <v>P</v>
      </c>
      <c r="D1720" s="589"/>
      <c r="E1720" s="873"/>
      <c r="F1720" s="873"/>
      <c r="G1720" s="1687"/>
      <c r="H1720" s="1326"/>
      <c r="J1720" s="1312"/>
    </row>
    <row r="1721" spans="1:10" x14ac:dyDescent="0.2">
      <c r="B1721" s="1324" t="str">
        <f>IF(LEN('11.800'!H136)=0,"",'11.800'!H136)</f>
        <v/>
      </c>
      <c r="C1721" s="1280" t="str">
        <f t="shared" si="122"/>
        <v/>
      </c>
      <c r="D1721" s="589"/>
      <c r="E1721" s="1068" t="s">
        <v>254</v>
      </c>
      <c r="F1721" s="1068"/>
      <c r="G1721" s="1634" t="s">
        <v>4703</v>
      </c>
      <c r="H1721" s="1326"/>
      <c r="J1721" s="1312"/>
    </row>
    <row r="1722" spans="1:10" x14ac:dyDescent="0.2">
      <c r="B1722" s="1324" t="str">
        <f>IF(LEN('11.800'!H137)=0,"",'11.800'!H137)</f>
        <v/>
      </c>
      <c r="C1722" s="1280" t="str">
        <f t="shared" si="122"/>
        <v/>
      </c>
      <c r="D1722" s="589"/>
      <c r="E1722" s="1072"/>
      <c r="F1722" s="1072"/>
      <c r="G1722" s="1639"/>
      <c r="H1722" s="1326"/>
      <c r="J1722" s="1312"/>
    </row>
    <row r="1723" spans="1:10" x14ac:dyDescent="0.2">
      <c r="B1723" s="1324" t="str">
        <f>IF(LEN('11.800'!H138)=0,"",'11.800'!H138)</f>
        <v/>
      </c>
      <c r="C1723" s="1280" t="str">
        <f t="shared" si="122"/>
        <v/>
      </c>
      <c r="D1723" s="589"/>
      <c r="E1723" s="1073" t="s">
        <v>255</v>
      </c>
      <c r="F1723" s="1073"/>
      <c r="G1723" s="1633" t="s">
        <v>5083</v>
      </c>
      <c r="H1723" s="1341" t="str">
        <f>IF(LEN('11.800'!W138)=0,"",'11.800'!W138)</f>
        <v>2 fixtures</v>
      </c>
      <c r="I1723" s="88">
        <f ca="1">'11.800'!O138</f>
        <v>4</v>
      </c>
      <c r="J1723" s="1312"/>
    </row>
    <row r="1724" spans="1:10" x14ac:dyDescent="0.2">
      <c r="B1724" s="1324" t="str">
        <f>IF(LEN('11.800'!H139)=0,"",'11.800'!H139)</f>
        <v/>
      </c>
      <c r="C1724" s="1280" t="str">
        <f t="shared" si="122"/>
        <v/>
      </c>
      <c r="D1724" s="589"/>
      <c r="E1724" s="1068"/>
      <c r="F1724" s="1068"/>
      <c r="G1724" s="1634"/>
      <c r="H1724" s="1326"/>
      <c r="J1724" s="1312"/>
    </row>
    <row r="1725" spans="1:10" x14ac:dyDescent="0.2">
      <c r="B1725" s="1324" t="str">
        <f>IF(LEN('11.800'!H140)=0,"",'11.800'!H140)</f>
        <v/>
      </c>
      <c r="C1725" s="1280" t="str">
        <f t="shared" si="122"/>
        <v/>
      </c>
      <c r="D1725" s="589"/>
      <c r="E1725" s="1068"/>
      <c r="F1725" s="1068"/>
      <c r="G1725" s="1634"/>
      <c r="H1725" s="1326"/>
      <c r="J1725" s="1312"/>
    </row>
    <row r="1726" spans="1:10" x14ac:dyDescent="0.2">
      <c r="B1726" s="1324" t="str">
        <f>IF(LEN('11.800'!H141)=0,"",'11.800'!H141)</f>
        <v/>
      </c>
      <c r="C1726" s="1280" t="str">
        <f t="shared" si="122"/>
        <v/>
      </c>
      <c r="D1726" s="589"/>
      <c r="E1726" s="1068"/>
      <c r="F1726" s="1068"/>
      <c r="G1726" s="1634"/>
      <c r="H1726" s="1326"/>
      <c r="J1726" s="1312"/>
    </row>
    <row r="1727" spans="1:10" x14ac:dyDescent="0.2">
      <c r="B1727" s="1324" t="str">
        <f>IF(LEN('11.800'!H142)=0,"",'11.800'!H142)</f>
        <v/>
      </c>
      <c r="C1727" s="1280" t="str">
        <f t="shared" si="122"/>
        <v/>
      </c>
      <c r="D1727" s="589"/>
      <c r="E1727" s="1068"/>
      <c r="F1727" s="1068"/>
      <c r="G1727" s="1634"/>
      <c r="H1727" s="1326"/>
      <c r="J1727" s="1312"/>
    </row>
    <row r="1728" spans="1:10" x14ac:dyDescent="0.2">
      <c r="B1728" s="1324" t="str">
        <f>IF(LEN('11.800'!H143)=0,"",'11.800'!H143)</f>
        <v/>
      </c>
      <c r="C1728" s="1280" t="str">
        <f t="shared" si="122"/>
        <v/>
      </c>
      <c r="D1728" s="589"/>
      <c r="E1728" s="1068"/>
      <c r="F1728" s="1068"/>
      <c r="G1728" s="1634"/>
      <c r="H1728" s="1326"/>
      <c r="J1728" s="1312"/>
    </row>
    <row r="1729" spans="1:10" x14ac:dyDescent="0.2">
      <c r="B1729" s="1324" t="str">
        <f>IF(LEN('11.800'!H144)=0,"",'11.800'!H144)</f>
        <v/>
      </c>
      <c r="C1729" s="1280" t="str">
        <f t="shared" si="122"/>
        <v/>
      </c>
      <c r="D1729" s="589"/>
      <c r="E1729" s="1072"/>
      <c r="F1729" s="1072"/>
      <c r="G1729" s="1639"/>
      <c r="H1729" s="1326"/>
      <c r="J1729" s="1312"/>
    </row>
    <row r="1730" spans="1:10" x14ac:dyDescent="0.2">
      <c r="B1730" s="1324" t="str">
        <f>IF(LEN('11.800'!H145)=0,"",'11.800'!H145)</f>
        <v/>
      </c>
      <c r="C1730" s="1280" t="str">
        <f t="shared" si="122"/>
        <v/>
      </c>
      <c r="D1730" s="589"/>
      <c r="E1730" s="1072" t="s">
        <v>256</v>
      </c>
      <c r="F1730" s="1072"/>
      <c r="G1730" s="1291" t="s">
        <v>4855</v>
      </c>
      <c r="H1730" s="1341" t="b">
        <f>IF(LEN('11.800'!W145)=0,"",'11.800'!W145)</f>
        <v>1</v>
      </c>
      <c r="I1730" s="88">
        <f ca="1">'11.800'!O145</f>
        <v>7</v>
      </c>
      <c r="J1730" s="1312"/>
    </row>
    <row r="1731" spans="1:10" x14ac:dyDescent="0.2">
      <c r="B1731" s="1324" t="str">
        <f>IF(LEN('11.800'!H146)=0,"",'11.800'!H146)</f>
        <v/>
      </c>
      <c r="C1731" s="1280" t="str">
        <f t="shared" si="122"/>
        <v/>
      </c>
      <c r="D1731" s="589"/>
      <c r="E1731" s="873" t="s">
        <v>259</v>
      </c>
      <c r="F1731" s="873"/>
      <c r="G1731" s="1634" t="s">
        <v>4856</v>
      </c>
      <c r="H1731" s="1326"/>
      <c r="J1731" s="1312"/>
    </row>
    <row r="1732" spans="1:10" x14ac:dyDescent="0.2">
      <c r="B1732" s="1324" t="str">
        <f>IF(LEN('11.800'!H147)=0,"",'11.800'!H147)</f>
        <v/>
      </c>
      <c r="C1732" s="1280" t="str">
        <f t="shared" si="122"/>
        <v/>
      </c>
      <c r="D1732" s="589"/>
      <c r="E1732" s="873"/>
      <c r="F1732" s="873"/>
      <c r="G1732" s="1634"/>
      <c r="H1732" s="1326"/>
      <c r="J1732" s="1312"/>
    </row>
    <row r="1733" spans="1:10" x14ac:dyDescent="0.2">
      <c r="B1733" s="1324" t="str">
        <f>IF(LEN('11.800'!H148)=0,"",'11.800'!H148)</f>
        <v/>
      </c>
      <c r="C1733" s="1280" t="str">
        <f t="shared" si="122"/>
        <v/>
      </c>
      <c r="D1733" s="589"/>
      <c r="E1733" s="873"/>
      <c r="F1733" s="1068" t="s">
        <v>121</v>
      </c>
      <c r="G1733" s="1634" t="s">
        <v>4561</v>
      </c>
      <c r="H1733" s="1341" t="str">
        <f>IF(LEN('11.800'!W148)=0,"",'11.800'!W148)</f>
        <v/>
      </c>
      <c r="I1733" s="88">
        <f ca="1">'11.800'!O148</f>
        <v>0</v>
      </c>
      <c r="J1733" s="1312"/>
    </row>
    <row r="1734" spans="1:10" x14ac:dyDescent="0.2">
      <c r="B1734" s="1324" t="str">
        <f>IF(LEN('11.800'!H149)=0,"",'11.800'!H149)</f>
        <v/>
      </c>
      <c r="C1734" s="1280" t="str">
        <f t="shared" si="122"/>
        <v/>
      </c>
      <c r="D1734" s="589"/>
      <c r="E1734" s="873"/>
      <c r="F1734" s="1068"/>
      <c r="G1734" s="1634"/>
      <c r="H1734" s="1326"/>
      <c r="J1734" s="1312"/>
    </row>
    <row r="1735" spans="1:10" x14ac:dyDescent="0.2">
      <c r="B1735" s="1324" t="str">
        <f>IF(LEN('11.800'!H150)=0,"",'11.800'!H150)</f>
        <v/>
      </c>
      <c r="C1735" s="1280" t="str">
        <f t="shared" si="122"/>
        <v/>
      </c>
      <c r="D1735" s="589"/>
      <c r="E1735" s="873"/>
      <c r="F1735" s="1068"/>
      <c r="G1735" s="1634"/>
      <c r="H1735" s="1326"/>
      <c r="J1735" s="1312"/>
    </row>
    <row r="1736" spans="1:10" x14ac:dyDescent="0.2">
      <c r="B1736" s="1324" t="str">
        <f>IF(LEN('11.800'!H151)=0,"",'11.800'!H151)</f>
        <v/>
      </c>
      <c r="C1736" s="1280" t="str">
        <f t="shared" ref="C1736:C1799" si="127">IF(LEN(B1736)=0,IF(A1736="P","P",""),B1736)</f>
        <v/>
      </c>
      <c r="D1736" s="589"/>
      <c r="E1736" s="873"/>
      <c r="F1736" s="1072"/>
      <c r="G1736" s="1639"/>
      <c r="H1736" s="1326"/>
      <c r="J1736" s="1312"/>
    </row>
    <row r="1737" spans="1:10" x14ac:dyDescent="0.2">
      <c r="B1737" s="1324" t="str">
        <f>IF(LEN('11.800'!H152)=0,"",'11.800'!H152)</f>
        <v/>
      </c>
      <c r="C1737" s="1280" t="str">
        <f t="shared" si="127"/>
        <v/>
      </c>
      <c r="D1737" s="589"/>
      <c r="E1737" s="873"/>
      <c r="F1737" s="1073" t="s">
        <v>122</v>
      </c>
      <c r="G1737" s="1633" t="s">
        <v>4562</v>
      </c>
      <c r="H1737" s="1341" t="str">
        <f>IF(LEN('11.800'!W152)=0,"",'11.800'!W152)</f>
        <v/>
      </c>
      <c r="I1737" s="88">
        <f ca="1">'11.800'!O152</f>
        <v>0</v>
      </c>
      <c r="J1737" s="1312"/>
    </row>
    <row r="1738" spans="1:10" x14ac:dyDescent="0.2">
      <c r="B1738" s="1324" t="str">
        <f>IF(LEN('11.800'!H153)=0,"",'11.800'!H153)</f>
        <v/>
      </c>
      <c r="C1738" s="1280" t="str">
        <f t="shared" si="127"/>
        <v/>
      </c>
      <c r="D1738" s="589"/>
      <c r="E1738" s="873"/>
      <c r="F1738" s="1072"/>
      <c r="G1738" s="1639"/>
      <c r="H1738" s="1326"/>
      <c r="J1738" s="1312"/>
    </row>
    <row r="1739" spans="1:10" x14ac:dyDescent="0.2">
      <c r="B1739" s="1324" t="str">
        <f>IF(LEN('11.800'!H154)=0,"",'11.800'!H154)</f>
        <v/>
      </c>
      <c r="C1739" s="1280" t="str">
        <f t="shared" si="127"/>
        <v/>
      </c>
      <c r="D1739" s="590"/>
      <c r="E1739" s="1068"/>
      <c r="F1739" s="1068" t="s">
        <v>123</v>
      </c>
      <c r="G1739" s="1634" t="s">
        <v>4563</v>
      </c>
      <c r="H1739" s="1341" t="str">
        <f>IF(LEN('11.800'!W154)=0,"",'11.800'!W154)</f>
        <v/>
      </c>
      <c r="I1739" s="88">
        <f ca="1">'11.800'!O154</f>
        <v>0</v>
      </c>
      <c r="J1739" s="1312"/>
    </row>
    <row r="1740" spans="1:10" ht="16" thickBot="1" x14ac:dyDescent="0.25">
      <c r="B1740" s="1324" t="str">
        <f>IF(LEN('11.800'!H155)=0,"",'11.800'!H155)</f>
        <v/>
      </c>
      <c r="C1740" s="1280" t="str">
        <f t="shared" si="127"/>
        <v/>
      </c>
      <c r="D1740" s="594"/>
      <c r="E1740" s="1069"/>
      <c r="F1740" s="1069"/>
      <c r="G1740" s="1635"/>
      <c r="H1740" s="1326"/>
      <c r="J1740" s="1312"/>
    </row>
    <row r="1741" spans="1:10" ht="16" thickTop="1" x14ac:dyDescent="0.2">
      <c r="A1741" s="1503" t="str">
        <f ca="1">IF(COUNTIF(A1742:A1758,"P")&gt;0,"P","")</f>
        <v>P</v>
      </c>
      <c r="B1741" s="1324" t="str">
        <f>IF(LEN('11.800'!H156)=0,"",'11.800'!H156)</f>
        <v/>
      </c>
      <c r="C1741" s="1280" t="str">
        <f t="shared" ca="1" si="127"/>
        <v>P</v>
      </c>
      <c r="D1741" s="589" t="s">
        <v>4564</v>
      </c>
      <c r="E1741" s="873"/>
      <c r="F1741" s="873"/>
      <c r="G1741" s="1301" t="s">
        <v>4565</v>
      </c>
      <c r="H1741" s="1326"/>
      <c r="J1741" s="1312" t="s">
        <v>5214</v>
      </c>
    </row>
    <row r="1742" spans="1:10" x14ac:dyDescent="0.2">
      <c r="A1742" s="467" t="str">
        <f>IF(AND(LEN(H1742)&gt;0,NOT(H1742=FALSE)),"P","")</f>
        <v>P</v>
      </c>
      <c r="B1742" s="1324" t="str">
        <f>IF(LEN('11.800'!H157)=0,"",'11.800'!H157)</f>
        <v/>
      </c>
      <c r="C1742" s="1280" t="str">
        <f t="shared" si="127"/>
        <v>P</v>
      </c>
      <c r="D1742" s="589" t="s">
        <v>4566</v>
      </c>
      <c r="E1742" s="873"/>
      <c r="F1742" s="873"/>
      <c r="G1742" s="1687" t="s">
        <v>4567</v>
      </c>
      <c r="H1742" s="1341" t="str">
        <f>IF(LEN('11.800'!W157)=0,"",'11.800'!W157)</f>
        <v>N/A</v>
      </c>
      <c r="J1742" s="1312"/>
    </row>
    <row r="1743" spans="1:10" x14ac:dyDescent="0.2">
      <c r="A1743" s="467" t="str">
        <f>A1742</f>
        <v>P</v>
      </c>
      <c r="B1743" s="1324" t="str">
        <f>IF(LEN('11.800'!H158)=0,"",'11.800'!H158)</f>
        <v/>
      </c>
      <c r="C1743" s="1280" t="str">
        <f t="shared" si="127"/>
        <v>P</v>
      </c>
      <c r="D1743" s="589"/>
      <c r="E1743" s="873"/>
      <c r="F1743" s="873"/>
      <c r="G1743" s="1687"/>
      <c r="H1743" s="1326"/>
      <c r="J1743" s="1312"/>
    </row>
    <row r="1744" spans="1:10" x14ac:dyDescent="0.2">
      <c r="A1744" s="467" t="str">
        <f ca="1">IF(I1744&gt;0,"P","")</f>
        <v/>
      </c>
      <c r="B1744" s="1324" t="str">
        <f>IF(LEN('11.800'!H159)=0,"",'11.800'!H159)</f>
        <v/>
      </c>
      <c r="C1744" s="1280" t="str">
        <f t="shared" ca="1" si="127"/>
        <v/>
      </c>
      <c r="D1744" s="608" t="s">
        <v>4568</v>
      </c>
      <c r="E1744" s="1073"/>
      <c r="F1744" s="1073"/>
      <c r="G1744" s="1686" t="s">
        <v>4569</v>
      </c>
      <c r="H1744" s="1341" t="str">
        <f>IF(LEN('11.800'!W159)=0,"",'11.800'!W159)</f>
        <v/>
      </c>
      <c r="I1744" s="88">
        <f ca="1">'11.800'!O159</f>
        <v>0</v>
      </c>
      <c r="J1744" s="1312" t="s">
        <v>3153</v>
      </c>
    </row>
    <row r="1745" spans="1:10" x14ac:dyDescent="0.2">
      <c r="A1745" s="467" t="str">
        <f t="shared" ref="A1745:A1746" ca="1" si="128">A1744</f>
        <v/>
      </c>
      <c r="B1745" s="1324" t="str">
        <f>IF(LEN('11.800'!H160)=0,"",'11.800'!H160)</f>
        <v/>
      </c>
      <c r="C1745" s="1280" t="str">
        <f t="shared" ca="1" si="127"/>
        <v/>
      </c>
      <c r="D1745" s="590"/>
      <c r="E1745" s="1068"/>
      <c r="F1745" s="1068"/>
      <c r="G1745" s="1687"/>
      <c r="H1745" s="1326"/>
      <c r="J1745" s="1312"/>
    </row>
    <row r="1746" spans="1:10" x14ac:dyDescent="0.2">
      <c r="A1746" s="467" t="str">
        <f t="shared" ca="1" si="128"/>
        <v/>
      </c>
      <c r="B1746" s="1324" t="str">
        <f>IF(LEN('11.800'!H161)=0,"",'11.800'!H161)</f>
        <v/>
      </c>
      <c r="C1746" s="1280" t="str">
        <f t="shared" ca="1" si="127"/>
        <v/>
      </c>
      <c r="D1746" s="606"/>
      <c r="E1746" s="1072"/>
      <c r="F1746" s="1072"/>
      <c r="G1746" s="1688"/>
      <c r="H1746" s="1326"/>
      <c r="J1746" s="1312"/>
    </row>
    <row r="1747" spans="1:10" ht="30" x14ac:dyDescent="0.2">
      <c r="A1747" s="467" t="str">
        <f ca="1">IF(I1747&gt;0,"P","")</f>
        <v/>
      </c>
      <c r="B1747" s="1324" t="str">
        <f>IF(LEN('11.800'!H162)=0,"",'11.800'!H162)</f>
        <v/>
      </c>
      <c r="C1747" s="1280" t="str">
        <f t="shared" ca="1" si="127"/>
        <v/>
      </c>
      <c r="D1747" s="589" t="s">
        <v>4570</v>
      </c>
      <c r="E1747" s="873"/>
      <c r="F1747" s="873"/>
      <c r="G1747" s="1301" t="s">
        <v>4571</v>
      </c>
      <c r="H1747" s="1326"/>
      <c r="I1747" s="1397">
        <f ca="1">SUM(I1748:I1750)</f>
        <v>0</v>
      </c>
      <c r="J1747" s="1313" t="s">
        <v>5215</v>
      </c>
    </row>
    <row r="1748" spans="1:10" x14ac:dyDescent="0.2">
      <c r="B1748" s="1324" t="str">
        <f>IF(LEN('11.800'!H163)=0,"",'11.800'!H163)</f>
        <v/>
      </c>
      <c r="C1748" s="1280" t="str">
        <f t="shared" si="127"/>
        <v/>
      </c>
      <c r="D1748" s="589"/>
      <c r="E1748" s="1072" t="s">
        <v>254</v>
      </c>
      <c r="F1748" s="1072"/>
      <c r="G1748" s="1291" t="s">
        <v>4572</v>
      </c>
      <c r="H1748" s="1341" t="str">
        <f>IF(LEN('11.800'!W163)=0,"",'11.800'!W163)</f>
        <v/>
      </c>
      <c r="I1748" s="88">
        <f ca="1">'11.800'!O163</f>
        <v>0</v>
      </c>
      <c r="J1748" s="1312"/>
    </row>
    <row r="1749" spans="1:10" x14ac:dyDescent="0.2">
      <c r="B1749" s="1324" t="str">
        <f>IF(LEN('11.800'!H164)=0,"",'11.800'!H164)</f>
        <v/>
      </c>
      <c r="C1749" s="1280" t="str">
        <f t="shared" si="127"/>
        <v/>
      </c>
      <c r="D1749" s="589"/>
      <c r="E1749" s="1074" t="s">
        <v>255</v>
      </c>
      <c r="F1749" s="1074"/>
      <c r="G1749" s="1075" t="s">
        <v>4573</v>
      </c>
      <c r="H1749" s="1341" t="str">
        <f>IF(LEN('11.800'!W164)=0,"",'11.800'!W164)</f>
        <v/>
      </c>
      <c r="I1749" s="88">
        <f ca="1">'11.800'!O164</f>
        <v>0</v>
      </c>
      <c r="J1749" s="1312"/>
    </row>
    <row r="1750" spans="1:10" x14ac:dyDescent="0.2">
      <c r="B1750" s="1324" t="str">
        <f>IF(LEN('11.800'!H165)=0,"",'11.800'!H165)</f>
        <v/>
      </c>
      <c r="C1750" s="1280" t="str">
        <f t="shared" si="127"/>
        <v/>
      </c>
      <c r="D1750" s="590"/>
      <c r="E1750" s="1073" t="s">
        <v>256</v>
      </c>
      <c r="F1750" s="1073"/>
      <c r="G1750" s="1633" t="s">
        <v>4574</v>
      </c>
      <c r="H1750" s="1341" t="str">
        <f>IF(LEN('11.800'!W165)=0,"",'11.800'!W165)</f>
        <v/>
      </c>
      <c r="I1750" s="88">
        <f ca="1">'11.800'!O165</f>
        <v>0</v>
      </c>
      <c r="J1750" s="1312"/>
    </row>
    <row r="1751" spans="1:10" x14ac:dyDescent="0.2">
      <c r="B1751" s="1324" t="str">
        <f>IF(LEN('11.800'!H166)=0,"",'11.800'!H166)</f>
        <v/>
      </c>
      <c r="C1751" s="1280" t="str">
        <f t="shared" si="127"/>
        <v/>
      </c>
      <c r="D1751" s="606"/>
      <c r="E1751" s="1072"/>
      <c r="F1751" s="1072"/>
      <c r="G1751" s="1639"/>
      <c r="H1751" s="1326"/>
      <c r="J1751" s="1312"/>
    </row>
    <row r="1752" spans="1:10" x14ac:dyDescent="0.2">
      <c r="A1752" s="467" t="str">
        <f ca="1">IF(I1752&gt;0,"P","")</f>
        <v/>
      </c>
      <c r="B1752" s="1324" t="str">
        <f>IF(LEN('11.800'!H167)=0,"",'11.800'!H167)</f>
        <v/>
      </c>
      <c r="C1752" s="1280" t="str">
        <f t="shared" ca="1" si="127"/>
        <v/>
      </c>
      <c r="D1752" s="589" t="s">
        <v>4575</v>
      </c>
      <c r="E1752" s="873"/>
      <c r="F1752" s="873"/>
      <c r="G1752" s="1687" t="s">
        <v>4576</v>
      </c>
      <c r="H1752" s="1326"/>
      <c r="I1752" s="1397">
        <f ca="1">SUM(I1754:I1756)</f>
        <v>0</v>
      </c>
      <c r="J1752" s="1312" t="s">
        <v>5216</v>
      </c>
    </row>
    <row r="1753" spans="1:10" x14ac:dyDescent="0.2">
      <c r="A1753" s="467" t="str">
        <f t="shared" ref="A1753" ca="1" si="129">A1752</f>
        <v/>
      </c>
      <c r="B1753" s="1324" t="str">
        <f>IF(LEN('11.800'!H168)=0,"",'11.800'!H168)</f>
        <v/>
      </c>
      <c r="C1753" s="1280" t="str">
        <f t="shared" ca="1" si="127"/>
        <v/>
      </c>
      <c r="D1753" s="589"/>
      <c r="E1753" s="873"/>
      <c r="F1753" s="873"/>
      <c r="G1753" s="1687"/>
      <c r="H1753" s="1326"/>
      <c r="J1753" s="1312"/>
    </row>
    <row r="1754" spans="1:10" x14ac:dyDescent="0.2">
      <c r="B1754" s="1324" t="str">
        <f>IF(LEN('11.800'!H169)=0,"",'11.800'!H169)</f>
        <v/>
      </c>
      <c r="C1754" s="1280" t="str">
        <f t="shared" si="127"/>
        <v/>
      </c>
      <c r="D1754" s="589"/>
      <c r="E1754" s="1068" t="s">
        <v>254</v>
      </c>
      <c r="F1754" s="1068"/>
      <c r="G1754" s="1634" t="s">
        <v>4577</v>
      </c>
      <c r="H1754" s="1341" t="str">
        <f>IF(LEN('11.800'!W169)=0,"",'11.800'!W169)</f>
        <v/>
      </c>
      <c r="I1754" s="88">
        <f ca="1">'11.800'!O169</f>
        <v>0</v>
      </c>
      <c r="J1754" s="1312"/>
    </row>
    <row r="1755" spans="1:10" x14ac:dyDescent="0.2">
      <c r="B1755" s="1324" t="str">
        <f>IF(LEN('11.800'!H170)=0,"",'11.800'!H170)</f>
        <v/>
      </c>
      <c r="C1755" s="1280" t="str">
        <f t="shared" si="127"/>
        <v/>
      </c>
      <c r="D1755" s="589"/>
      <c r="E1755" s="1072"/>
      <c r="F1755" s="1072"/>
      <c r="G1755" s="1639"/>
      <c r="H1755" s="1326"/>
      <c r="J1755" s="1312"/>
    </row>
    <row r="1756" spans="1:10" x14ac:dyDescent="0.2">
      <c r="B1756" s="1324" t="str">
        <f>IF(LEN('11.800'!H171)=0,"",'11.800'!H171)</f>
        <v/>
      </c>
      <c r="C1756" s="1280" t="str">
        <f t="shared" si="127"/>
        <v/>
      </c>
      <c r="D1756" s="590"/>
      <c r="E1756" s="1068" t="s">
        <v>255</v>
      </c>
      <c r="F1756" s="1068"/>
      <c r="G1756" s="1634" t="s">
        <v>4578</v>
      </c>
      <c r="H1756" s="1341" t="str">
        <f>IF(LEN('11.800'!W171)=0,"",'11.800'!W171)</f>
        <v/>
      </c>
      <c r="I1756" s="88">
        <f ca="1">'11.800'!O171</f>
        <v>0</v>
      </c>
      <c r="J1756" s="1312"/>
    </row>
    <row r="1757" spans="1:10" x14ac:dyDescent="0.2">
      <c r="B1757" s="1324" t="str">
        <f>IF(LEN('11.800'!H172)=0,"",'11.800'!H172)</f>
        <v/>
      </c>
      <c r="C1757" s="1280" t="str">
        <f t="shared" si="127"/>
        <v/>
      </c>
      <c r="D1757" s="606"/>
      <c r="E1757" s="1072"/>
      <c r="F1757" s="1072"/>
      <c r="G1757" s="1639"/>
      <c r="H1757" s="1326"/>
      <c r="J1757" s="1312"/>
    </row>
    <row r="1758" spans="1:10" x14ac:dyDescent="0.2">
      <c r="A1758" s="467" t="str">
        <f ca="1">IF(I1758&gt;0,"P","")</f>
        <v/>
      </c>
      <c r="B1758" s="1324" t="str">
        <f>IF(LEN('11.800'!H173)=0,"",'11.800'!H173)</f>
        <v/>
      </c>
      <c r="C1758" s="1280" t="str">
        <f t="shared" ca="1" si="127"/>
        <v/>
      </c>
      <c r="D1758" s="589" t="s">
        <v>4579</v>
      </c>
      <c r="E1758" s="873"/>
      <c r="F1758" s="873"/>
      <c r="G1758" s="1301" t="s">
        <v>4580</v>
      </c>
      <c r="H1758" s="1326"/>
      <c r="I1758" s="1397">
        <f ca="1">SUM(I1760:I1767)</f>
        <v>0</v>
      </c>
      <c r="J1758" s="1779" t="s">
        <v>5217</v>
      </c>
    </row>
    <row r="1759" spans="1:10" x14ac:dyDescent="0.2">
      <c r="A1759" s="467" t="str">
        <f t="shared" ref="A1759" ca="1" si="130">A1758</f>
        <v/>
      </c>
      <c r="B1759" s="1324" t="str">
        <f>IF(LEN('11.800'!H174)=0,"",'11.800'!H174)</f>
        <v/>
      </c>
      <c r="C1759" s="1280" t="str">
        <f t="shared" ca="1" si="127"/>
        <v/>
      </c>
      <c r="D1759" s="589"/>
      <c r="E1759" s="873"/>
      <c r="F1759" s="873"/>
      <c r="G1759" s="1305" t="s">
        <v>4581</v>
      </c>
      <c r="H1759" s="1326"/>
      <c r="J1759" s="1779"/>
    </row>
    <row r="1760" spans="1:10" x14ac:dyDescent="0.2">
      <c r="B1760" s="1324" t="str">
        <f>IF(LEN('11.800'!H175)=0,"",'11.800'!H175)</f>
        <v/>
      </c>
      <c r="C1760" s="1280" t="str">
        <f t="shared" si="127"/>
        <v/>
      </c>
      <c r="D1760" s="589"/>
      <c r="E1760" s="1068" t="s">
        <v>254</v>
      </c>
      <c r="F1760" s="1068"/>
      <c r="G1760" s="1634" t="s">
        <v>4582</v>
      </c>
      <c r="H1760" s="1341" t="str">
        <f>IF(LEN('11.800'!W175)=0,"",'11.800'!W175)</f>
        <v/>
      </c>
      <c r="I1760" s="88">
        <f ca="1">'11.800'!O175</f>
        <v>0</v>
      </c>
      <c r="J1760" s="1312"/>
    </row>
    <row r="1761" spans="1:10" x14ac:dyDescent="0.2">
      <c r="B1761" s="1324" t="str">
        <f>IF(LEN('11.800'!H176)=0,"",'11.800'!H176)</f>
        <v/>
      </c>
      <c r="C1761" s="1280" t="str">
        <f t="shared" si="127"/>
        <v/>
      </c>
      <c r="D1761" s="589"/>
      <c r="E1761" s="1072"/>
      <c r="F1761" s="1072"/>
      <c r="G1761" s="1639"/>
      <c r="H1761" s="1326"/>
      <c r="J1761" s="1312"/>
    </row>
    <row r="1762" spans="1:10" x14ac:dyDescent="0.2">
      <c r="B1762" s="1324" t="str">
        <f>IF(LEN('11.800'!H177)=0,"",'11.800'!H177)</f>
        <v/>
      </c>
      <c r="C1762" s="1280" t="str">
        <f t="shared" si="127"/>
        <v/>
      </c>
      <c r="D1762" s="589"/>
      <c r="E1762" s="1073" t="s">
        <v>255</v>
      </c>
      <c r="F1762" s="1073"/>
      <c r="G1762" s="1633" t="s">
        <v>4583</v>
      </c>
      <c r="H1762" s="1341" t="str">
        <f>IF(LEN('11.800'!W177)=0,"",'11.800'!W177)</f>
        <v/>
      </c>
      <c r="I1762" s="88">
        <f ca="1">'11.800'!O177</f>
        <v>0</v>
      </c>
      <c r="J1762" s="1312"/>
    </row>
    <row r="1763" spans="1:10" x14ac:dyDescent="0.2">
      <c r="B1763" s="1324" t="str">
        <f>IF(LEN('11.800'!H178)=0,"",'11.800'!H178)</f>
        <v/>
      </c>
      <c r="C1763" s="1280" t="str">
        <f t="shared" si="127"/>
        <v/>
      </c>
      <c r="D1763" s="589"/>
      <c r="E1763" s="1072"/>
      <c r="F1763" s="1072"/>
      <c r="G1763" s="1639"/>
      <c r="H1763" s="1326"/>
      <c r="J1763" s="1312"/>
    </row>
    <row r="1764" spans="1:10" x14ac:dyDescent="0.2">
      <c r="B1764" s="1324" t="str">
        <f>IF(LEN('11.800'!H179)=0,"",'11.800'!H179)</f>
        <v/>
      </c>
      <c r="C1764" s="1280" t="str">
        <f t="shared" si="127"/>
        <v/>
      </c>
      <c r="D1764" s="589"/>
      <c r="E1764" s="1074" t="s">
        <v>256</v>
      </c>
      <c r="F1764" s="1074"/>
      <c r="G1764" s="1075" t="s">
        <v>4584</v>
      </c>
      <c r="H1764" s="1341" t="str">
        <f>IF(LEN('11.800'!W179)=0,"",'11.800'!W179)</f>
        <v/>
      </c>
      <c r="I1764" s="88">
        <f ca="1">'11.800'!O179</f>
        <v>0</v>
      </c>
      <c r="J1764" s="1312"/>
    </row>
    <row r="1765" spans="1:10" x14ac:dyDescent="0.2">
      <c r="B1765" s="1324" t="str">
        <f>IF(LEN('11.800'!H180)=0,"",'11.800'!H180)</f>
        <v/>
      </c>
      <c r="C1765" s="1280" t="str">
        <f t="shared" si="127"/>
        <v/>
      </c>
      <c r="D1765" s="589"/>
      <c r="E1765" s="1073" t="s">
        <v>259</v>
      </c>
      <c r="F1765" s="1073"/>
      <c r="G1765" s="1633" t="s">
        <v>4585</v>
      </c>
      <c r="H1765" s="1341" t="str">
        <f>IF(LEN('11.800'!W180)=0,"",'11.800'!W180)</f>
        <v/>
      </c>
      <c r="I1765" s="88">
        <f ca="1">'11.800'!O180</f>
        <v>0</v>
      </c>
      <c r="J1765" s="1312"/>
    </row>
    <row r="1766" spans="1:10" x14ac:dyDescent="0.2">
      <c r="B1766" s="1324" t="str">
        <f>IF(LEN('11.800'!H181)=0,"",'11.800'!H181)</f>
        <v/>
      </c>
      <c r="C1766" s="1280" t="str">
        <f t="shared" si="127"/>
        <v/>
      </c>
      <c r="D1766" s="589"/>
      <c r="E1766" s="1072"/>
      <c r="F1766" s="1072"/>
      <c r="G1766" s="1639"/>
      <c r="H1766" s="1326"/>
      <c r="J1766" s="1312"/>
    </row>
    <row r="1767" spans="1:10" x14ac:dyDescent="0.2">
      <c r="B1767" s="1324" t="str">
        <f>IF(LEN('11.800'!H182)=0,"",'11.800'!H182)</f>
        <v/>
      </c>
      <c r="C1767" s="1280" t="str">
        <f t="shared" si="127"/>
        <v/>
      </c>
      <c r="D1767" s="590"/>
      <c r="E1767" s="1068" t="s">
        <v>263</v>
      </c>
      <c r="F1767" s="1068"/>
      <c r="G1767" s="1634" t="s">
        <v>4586</v>
      </c>
      <c r="H1767" s="1341" t="str">
        <f>IF(LEN('11.800'!W182)=0,"",'11.800'!W182)</f>
        <v/>
      </c>
      <c r="I1767" s="88">
        <f ca="1">'11.800'!O182</f>
        <v>0</v>
      </c>
      <c r="J1767" s="1312"/>
    </row>
    <row r="1768" spans="1:10" ht="16" thickBot="1" x14ac:dyDescent="0.25">
      <c r="B1768" s="1324" t="str">
        <f>IF(LEN('11.800'!H183)=0,"",'11.800'!H183)</f>
        <v/>
      </c>
      <c r="C1768" s="1280" t="str">
        <f t="shared" si="127"/>
        <v/>
      </c>
      <c r="D1768" s="594"/>
      <c r="E1768" s="1069"/>
      <c r="F1768" s="1069"/>
      <c r="G1768" s="1635"/>
      <c r="H1768" s="1326"/>
      <c r="J1768" s="1312"/>
    </row>
    <row r="1769" spans="1:10" ht="16" thickTop="1" x14ac:dyDescent="0.2">
      <c r="A1769" s="467" t="str">
        <f ca="1">IF(I1769&gt;0,"P","")</f>
        <v/>
      </c>
      <c r="B1769" s="1324" t="str">
        <f>IF(LEN('11.800'!H184)=0,"",'11.800'!H184)</f>
        <v/>
      </c>
      <c r="C1769" s="1280" t="str">
        <f t="shared" ca="1" si="127"/>
        <v/>
      </c>
      <c r="D1769" s="589" t="s">
        <v>4587</v>
      </c>
      <c r="E1769" s="873"/>
      <c r="F1769" s="873"/>
      <c r="G1769" s="1687" t="s">
        <v>4588</v>
      </c>
      <c r="H1769" s="1326"/>
      <c r="I1769" s="1397">
        <f ca="1">SUM(I1771:I1782)</f>
        <v>0</v>
      </c>
      <c r="J1769" s="1312"/>
    </row>
    <row r="1770" spans="1:10" x14ac:dyDescent="0.2">
      <c r="A1770" s="467" t="str">
        <f t="shared" ref="A1770" ca="1" si="131">A1769</f>
        <v/>
      </c>
      <c r="B1770" s="1324" t="str">
        <f>IF(LEN('11.800'!H185)=0,"",'11.800'!H185)</f>
        <v/>
      </c>
      <c r="C1770" s="1280" t="str">
        <f t="shared" ca="1" si="127"/>
        <v/>
      </c>
      <c r="D1770" s="589"/>
      <c r="E1770" s="873"/>
      <c r="F1770" s="873"/>
      <c r="G1770" s="1687"/>
      <c r="H1770" s="1326"/>
      <c r="J1770" s="1312"/>
    </row>
    <row r="1771" spans="1:10" x14ac:dyDescent="0.2">
      <c r="A1771" s="467" t="str">
        <f ca="1">IF(I1771&gt;0,"P","")</f>
        <v/>
      </c>
      <c r="B1771" s="1324" t="str">
        <f>IF(LEN('11.800'!H186)=0,"",'11.800'!H186)</f>
        <v/>
      </c>
      <c r="C1771" s="1280" t="str">
        <f t="shared" ca="1" si="127"/>
        <v/>
      </c>
      <c r="D1771" s="589" t="s">
        <v>4589</v>
      </c>
      <c r="E1771" s="873"/>
      <c r="F1771" s="873"/>
      <c r="G1771" s="1301" t="s">
        <v>4590</v>
      </c>
      <c r="H1771" s="1341" t="str">
        <f>IF(LEN('11.800'!W186)=0,"",'11.800'!W186)</f>
        <v/>
      </c>
      <c r="I1771" s="88">
        <f ca="1">'11.800'!O186</f>
        <v>0</v>
      </c>
      <c r="J1771" s="1312" t="s">
        <v>5218</v>
      </c>
    </row>
    <row r="1772" spans="1:10" x14ac:dyDescent="0.2">
      <c r="B1772" s="1324" t="str">
        <f>IF(LEN('11.800'!H187)=0,"",'11.800'!H187)</f>
        <v/>
      </c>
      <c r="C1772" s="1280" t="str">
        <f t="shared" si="127"/>
        <v/>
      </c>
      <c r="D1772" s="589"/>
      <c r="E1772" s="1072" t="s">
        <v>254</v>
      </c>
      <c r="F1772" s="1072"/>
      <c r="G1772" s="1291" t="s">
        <v>4591</v>
      </c>
      <c r="H1772" s="1326"/>
      <c r="J1772" s="1312"/>
    </row>
    <row r="1773" spans="1:10" x14ac:dyDescent="0.2">
      <c r="B1773" s="1324" t="str">
        <f>IF(LEN('11.800'!H188)=0,"",'11.800'!H188)</f>
        <v/>
      </c>
      <c r="C1773" s="1280" t="str">
        <f t="shared" si="127"/>
        <v/>
      </c>
      <c r="D1773" s="589"/>
      <c r="E1773" s="873" t="s">
        <v>255</v>
      </c>
      <c r="F1773" s="873"/>
      <c r="G1773" s="1633" t="s">
        <v>4592</v>
      </c>
      <c r="H1773" s="1326"/>
      <c r="J1773" s="1312"/>
    </row>
    <row r="1774" spans="1:10" x14ac:dyDescent="0.2">
      <c r="B1774" s="1324" t="str">
        <f>IF(LEN('11.800'!H189)=0,"",'11.800'!H189)</f>
        <v/>
      </c>
      <c r="C1774" s="1280" t="str">
        <f t="shared" si="127"/>
        <v/>
      </c>
      <c r="D1774" s="589"/>
      <c r="E1774" s="873"/>
      <c r="F1774" s="873"/>
      <c r="G1774" s="1634"/>
      <c r="H1774" s="1326"/>
      <c r="J1774" s="1312"/>
    </row>
    <row r="1775" spans="1:10" x14ac:dyDescent="0.2">
      <c r="B1775" s="1324" t="str">
        <f>IF(LEN('11.800'!H190)=0,"",'11.800'!H190)</f>
        <v/>
      </c>
      <c r="C1775" s="1280" t="str">
        <f t="shared" si="127"/>
        <v/>
      </c>
      <c r="D1775" s="589"/>
      <c r="E1775" s="873"/>
      <c r="F1775" s="1072" t="s">
        <v>121</v>
      </c>
      <c r="G1775" s="1291" t="s">
        <v>4593</v>
      </c>
      <c r="H1775" s="1326"/>
      <c r="J1775" s="1312"/>
    </row>
    <row r="1776" spans="1:10" x14ac:dyDescent="0.2">
      <c r="B1776" s="1324" t="str">
        <f>IF(LEN('11.800'!H191)=0,"",'11.800'!H191)</f>
        <v/>
      </c>
      <c r="C1776" s="1280" t="str">
        <f t="shared" si="127"/>
        <v/>
      </c>
      <c r="D1776" s="589"/>
      <c r="E1776" s="873"/>
      <c r="F1776" s="1074" t="s">
        <v>122</v>
      </c>
      <c r="G1776" s="1075" t="s">
        <v>4594</v>
      </c>
      <c r="H1776" s="1326"/>
      <c r="J1776" s="1312"/>
    </row>
    <row r="1777" spans="1:10" x14ac:dyDescent="0.2">
      <c r="B1777" s="1324" t="str">
        <f>IF(LEN('11.800'!H192)=0,"",'11.800'!H192)</f>
        <v/>
      </c>
      <c r="C1777" s="1280" t="str">
        <f t="shared" si="127"/>
        <v/>
      </c>
      <c r="D1777" s="589"/>
      <c r="E1777" s="873"/>
      <c r="F1777" s="1073" t="s">
        <v>123</v>
      </c>
      <c r="G1777" s="1633" t="s">
        <v>4595</v>
      </c>
      <c r="H1777" s="1326"/>
      <c r="J1777" s="1312"/>
    </row>
    <row r="1778" spans="1:10" x14ac:dyDescent="0.2">
      <c r="B1778" s="1324" t="str">
        <f>IF(LEN('11.800'!H193)=0,"",'11.800'!H193)</f>
        <v/>
      </c>
      <c r="C1778" s="1280" t="str">
        <f t="shared" si="127"/>
        <v/>
      </c>
      <c r="D1778" s="589"/>
      <c r="E1778" s="873"/>
      <c r="F1778" s="1072"/>
      <c r="G1778" s="1639"/>
      <c r="H1778" s="1326"/>
      <c r="J1778" s="1312"/>
    </row>
    <row r="1779" spans="1:10" x14ac:dyDescent="0.2">
      <c r="B1779" s="1324" t="str">
        <f>IF(LEN('11.800'!H194)=0,"",'11.800'!H194)</f>
        <v/>
      </c>
      <c r="C1779" s="1280" t="str">
        <f t="shared" si="127"/>
        <v/>
      </c>
      <c r="D1779" s="590"/>
      <c r="E1779" s="1068"/>
      <c r="F1779" s="1068" t="s">
        <v>366</v>
      </c>
      <c r="G1779" s="1634" t="s">
        <v>4596</v>
      </c>
      <c r="H1779" s="1326"/>
      <c r="J1779" s="1312"/>
    </row>
    <row r="1780" spans="1:10" x14ac:dyDescent="0.2">
      <c r="B1780" s="1324" t="str">
        <f>IF(LEN('11.800'!H195)=0,"",'11.800'!H195)</f>
        <v/>
      </c>
      <c r="C1780" s="1280" t="str">
        <f t="shared" si="127"/>
        <v/>
      </c>
      <c r="D1780" s="590"/>
      <c r="E1780" s="1068"/>
      <c r="F1780" s="1068"/>
      <c r="G1780" s="1634"/>
      <c r="H1780" s="1326"/>
      <c r="J1780" s="1312"/>
    </row>
    <row r="1781" spans="1:10" x14ac:dyDescent="0.2">
      <c r="B1781" s="1324" t="str">
        <f>IF(LEN('11.800'!H196)=0,"",'11.800'!H196)</f>
        <v/>
      </c>
      <c r="C1781" s="1280" t="str">
        <f t="shared" si="127"/>
        <v/>
      </c>
      <c r="D1781" s="606"/>
      <c r="E1781" s="1072"/>
      <c r="F1781" s="1072"/>
      <c r="G1781" s="1639"/>
      <c r="H1781" s="1326"/>
      <c r="J1781" s="1312"/>
    </row>
    <row r="1782" spans="1:10" x14ac:dyDescent="0.2">
      <c r="A1782" s="467" t="str">
        <f ca="1">IF(I1782&gt;0,"P","")</f>
        <v/>
      </c>
      <c r="B1782" s="1324" t="str">
        <f>IF(LEN('11.800'!H197)=0,"",'11.800'!H197)</f>
        <v/>
      </c>
      <c r="C1782" s="1280" t="str">
        <f t="shared" ca="1" si="127"/>
        <v/>
      </c>
      <c r="D1782" s="589" t="s">
        <v>4597</v>
      </c>
      <c r="E1782" s="873"/>
      <c r="F1782" s="873"/>
      <c r="G1782" s="1687" t="s">
        <v>4598</v>
      </c>
      <c r="H1782" s="1326"/>
      <c r="I1782" s="88">
        <f ca="1">'11.800'!O197</f>
        <v>0</v>
      </c>
      <c r="J1782" s="1312" t="s">
        <v>3120</v>
      </c>
    </row>
    <row r="1783" spans="1:10" x14ac:dyDescent="0.2">
      <c r="A1783" s="467" t="str">
        <f t="shared" ref="A1783:A1784" ca="1" si="132">A1782</f>
        <v/>
      </c>
      <c r="B1783" s="1324" t="str">
        <f>IF(LEN('11.800'!H198)=0,"",'11.800'!H198)</f>
        <v/>
      </c>
      <c r="C1783" s="1280" t="str">
        <f t="shared" ca="1" si="127"/>
        <v/>
      </c>
      <c r="D1783" s="589"/>
      <c r="E1783" s="873"/>
      <c r="F1783" s="873"/>
      <c r="G1783" s="1687"/>
      <c r="H1783" s="1326"/>
      <c r="J1783" s="1312"/>
    </row>
    <row r="1784" spans="1:10" x14ac:dyDescent="0.2">
      <c r="A1784" s="467" t="str">
        <f t="shared" ca="1" si="132"/>
        <v/>
      </c>
      <c r="B1784" s="1324" t="str">
        <f>IF(LEN('11.800'!H199)=0,"",'11.800'!H199)</f>
        <v/>
      </c>
      <c r="C1784" s="1280" t="str">
        <f t="shared" ca="1" si="127"/>
        <v/>
      </c>
      <c r="D1784" s="589"/>
      <c r="E1784" s="873"/>
      <c r="F1784" s="873"/>
      <c r="G1784" s="1687"/>
      <c r="H1784" s="1326"/>
      <c r="J1784" s="1312"/>
    </row>
    <row r="1785" spans="1:10" x14ac:dyDescent="0.2">
      <c r="B1785" s="1324" t="str">
        <f>IF(LEN('11.800'!H200)=0,"",'11.800'!H200)</f>
        <v/>
      </c>
      <c r="C1785" s="1280" t="str">
        <f t="shared" si="127"/>
        <v/>
      </c>
      <c r="D1785" s="589"/>
      <c r="E1785" s="1068" t="s">
        <v>254</v>
      </c>
      <c r="F1785" s="1068"/>
      <c r="G1785" s="1634" t="s">
        <v>4599</v>
      </c>
      <c r="H1785" s="1341" t="str">
        <f>IF(LEN('11.800'!W200)=0,"",'11.800'!W200)</f>
        <v/>
      </c>
      <c r="J1785" s="1312"/>
    </row>
    <row r="1786" spans="1:10" x14ac:dyDescent="0.2">
      <c r="B1786" s="1324" t="str">
        <f>IF(LEN('11.800'!H201)=0,"",'11.800'!H201)</f>
        <v/>
      </c>
      <c r="C1786" s="1280" t="str">
        <f t="shared" si="127"/>
        <v/>
      </c>
      <c r="D1786" s="589"/>
      <c r="E1786" s="1072"/>
      <c r="F1786" s="1072"/>
      <c r="G1786" s="1639"/>
      <c r="H1786" s="1326"/>
      <c r="J1786" s="1312"/>
    </row>
    <row r="1787" spans="1:10" x14ac:dyDescent="0.2">
      <c r="B1787" s="1324" t="str">
        <f>IF(LEN('11.800'!H202)=0,"",'11.800'!H202)</f>
        <v/>
      </c>
      <c r="C1787" s="1280" t="str">
        <f t="shared" si="127"/>
        <v/>
      </c>
      <c r="D1787" s="589"/>
      <c r="E1787" s="873" t="s">
        <v>255</v>
      </c>
      <c r="F1787" s="873"/>
      <c r="G1787" s="1634" t="s">
        <v>4600</v>
      </c>
      <c r="H1787" s="1341" t="str">
        <f>IF(LEN('11.800'!W202)=0,"",'11.800'!W202)</f>
        <v/>
      </c>
      <c r="J1787" s="1312"/>
    </row>
    <row r="1788" spans="1:10" x14ac:dyDescent="0.2">
      <c r="B1788" s="1324" t="str">
        <f>IF(LEN('11.800'!H203)=0,"",'11.800'!H203)</f>
        <v/>
      </c>
      <c r="C1788" s="1280" t="str">
        <f t="shared" si="127"/>
        <v/>
      </c>
      <c r="D1788" s="589"/>
      <c r="E1788" s="873"/>
      <c r="F1788" s="873"/>
      <c r="G1788" s="1634"/>
      <c r="H1788" s="1326"/>
      <c r="J1788" s="1312"/>
    </row>
    <row r="1789" spans="1:10" x14ac:dyDescent="0.2">
      <c r="B1789" s="1324" t="str">
        <f>IF(LEN('11.800'!H204)=0,"",'11.800'!H204)</f>
        <v/>
      </c>
      <c r="C1789" s="1280" t="str">
        <f t="shared" si="127"/>
        <v/>
      </c>
      <c r="D1789" s="589"/>
      <c r="E1789" s="873"/>
      <c r="F1789" s="873"/>
      <c r="G1789" s="1634"/>
      <c r="H1789" s="1326"/>
      <c r="J1789" s="1312"/>
    </row>
    <row r="1790" spans="1:10" x14ac:dyDescent="0.2">
      <c r="B1790" s="1324" t="str">
        <f>IF(LEN('11.800'!H205)=0,"",'11.800'!H205)</f>
        <v/>
      </c>
      <c r="C1790" s="1280" t="str">
        <f t="shared" si="127"/>
        <v/>
      </c>
      <c r="D1790" s="589"/>
      <c r="E1790" s="873"/>
      <c r="F1790" s="873"/>
      <c r="G1790" s="1634"/>
      <c r="H1790" s="1326"/>
      <c r="J1790" s="1312"/>
    </row>
    <row r="1791" spans="1:10" x14ac:dyDescent="0.2">
      <c r="B1791" s="1324" t="str">
        <f>IF(LEN('11.800'!H206)=0,"",'11.800'!H206)</f>
        <v/>
      </c>
      <c r="C1791" s="1280" t="str">
        <f t="shared" si="127"/>
        <v/>
      </c>
      <c r="D1791" s="589"/>
      <c r="E1791" s="873"/>
      <c r="F1791" s="590" t="s">
        <v>121</v>
      </c>
      <c r="G1791" s="1634" t="s">
        <v>4601</v>
      </c>
      <c r="H1791" s="1326"/>
      <c r="J1791" s="1312"/>
    </row>
    <row r="1792" spans="1:10" x14ac:dyDescent="0.2">
      <c r="B1792" s="1324" t="str">
        <f>IF(LEN('11.800'!H207)=0,"",'11.800'!H207)</f>
        <v/>
      </c>
      <c r="C1792" s="1280" t="str">
        <f t="shared" si="127"/>
        <v/>
      </c>
      <c r="D1792" s="589"/>
      <c r="E1792" s="873"/>
      <c r="F1792" s="590"/>
      <c r="G1792" s="1634"/>
      <c r="H1792" s="1326"/>
      <c r="J1792" s="1312"/>
    </row>
    <row r="1793" spans="2:10" x14ac:dyDescent="0.2">
      <c r="B1793" s="1324" t="str">
        <f>IF(LEN('11.800'!H208)=0,"",'11.800'!H208)</f>
        <v/>
      </c>
      <c r="C1793" s="1280" t="str">
        <f t="shared" si="127"/>
        <v/>
      </c>
      <c r="D1793" s="589"/>
      <c r="E1793" s="873"/>
      <c r="F1793" s="590"/>
      <c r="G1793" s="1634"/>
      <c r="H1793" s="1326"/>
      <c r="J1793" s="1312"/>
    </row>
    <row r="1794" spans="2:10" x14ac:dyDescent="0.2">
      <c r="B1794" s="1324" t="str">
        <f>IF(LEN('11.800'!H209)=0,"",'11.800'!H209)</f>
        <v/>
      </c>
      <c r="C1794" s="1280" t="str">
        <f t="shared" si="127"/>
        <v/>
      </c>
      <c r="D1794" s="589"/>
      <c r="E1794" s="873"/>
      <c r="F1794" s="590" t="s">
        <v>122</v>
      </c>
      <c r="G1794" s="1634" t="s">
        <v>4602</v>
      </c>
      <c r="H1794" s="1326"/>
      <c r="J1794" s="1312"/>
    </row>
    <row r="1795" spans="2:10" x14ac:dyDescent="0.2">
      <c r="B1795" s="1324" t="str">
        <f>IF(LEN('11.800'!H210)=0,"",'11.800'!H210)</f>
        <v/>
      </c>
      <c r="C1795" s="1280" t="str">
        <f t="shared" si="127"/>
        <v/>
      </c>
      <c r="D1795" s="589"/>
      <c r="E1795" s="873"/>
      <c r="F1795" s="590"/>
      <c r="G1795" s="1634"/>
      <c r="H1795" s="1326"/>
      <c r="J1795" s="1312"/>
    </row>
    <row r="1796" spans="2:10" x14ac:dyDescent="0.2">
      <c r="B1796" s="1324" t="str">
        <f>IF(LEN('11.800'!H211)=0,"",'11.800'!H211)</f>
        <v/>
      </c>
      <c r="C1796" s="1280" t="str">
        <f t="shared" si="127"/>
        <v/>
      </c>
      <c r="D1796" s="589"/>
      <c r="E1796" s="873"/>
      <c r="F1796" s="590" t="s">
        <v>123</v>
      </c>
      <c r="G1796" s="1290" t="s">
        <v>4603</v>
      </c>
      <c r="H1796" s="1326"/>
      <c r="J1796" s="1312"/>
    </row>
    <row r="1797" spans="2:10" x14ac:dyDescent="0.2">
      <c r="B1797" s="1324" t="str">
        <f>IF(LEN('11.800'!H212)=0,"",'11.800'!H212)</f>
        <v/>
      </c>
      <c r="C1797" s="1280" t="str">
        <f t="shared" si="127"/>
        <v/>
      </c>
      <c r="D1797" s="589"/>
      <c r="E1797" s="873"/>
      <c r="F1797" s="873" t="s">
        <v>648</v>
      </c>
      <c r="G1797" s="1634" t="s">
        <v>4604</v>
      </c>
      <c r="H1797" s="1326"/>
      <c r="J1797" s="1312"/>
    </row>
    <row r="1798" spans="2:10" x14ac:dyDescent="0.2">
      <c r="B1798" s="1324" t="str">
        <f>IF(LEN('11.800'!H213)=0,"",'11.800'!H213)</f>
        <v/>
      </c>
      <c r="C1798" s="1280" t="str">
        <f t="shared" si="127"/>
        <v/>
      </c>
      <c r="D1798" s="589"/>
      <c r="E1798" s="873"/>
      <c r="F1798" s="873"/>
      <c r="G1798" s="1634"/>
      <c r="H1798" s="1326"/>
      <c r="J1798" s="1312"/>
    </row>
    <row r="1799" spans="2:10" x14ac:dyDescent="0.2">
      <c r="B1799" s="1324" t="str">
        <f>IF(LEN('11.800'!H214)=0,"",'11.800'!H214)</f>
        <v/>
      </c>
      <c r="C1799" s="1280" t="str">
        <f t="shared" si="127"/>
        <v/>
      </c>
      <c r="D1799" s="589"/>
      <c r="E1799" s="873"/>
      <c r="F1799" s="873"/>
      <c r="G1799" s="1634"/>
      <c r="H1799" s="1326"/>
      <c r="J1799" s="1312"/>
    </row>
    <row r="1800" spans="2:10" x14ac:dyDescent="0.2">
      <c r="B1800" s="1324" t="str">
        <f>IF(LEN('11.800'!H215)=0,"",'11.800'!H215)</f>
        <v/>
      </c>
      <c r="C1800" s="1280" t="str">
        <f t="shared" ref="C1800:C1863" si="133">IF(LEN(B1800)=0,IF(A1800="P","P",""),B1800)</f>
        <v/>
      </c>
      <c r="D1800" s="589"/>
      <c r="E1800" s="873"/>
      <c r="F1800" s="873"/>
      <c r="G1800" s="1634"/>
      <c r="H1800" s="1326"/>
      <c r="J1800" s="1312"/>
    </row>
    <row r="1801" spans="2:10" x14ac:dyDescent="0.2">
      <c r="B1801" s="1324" t="str">
        <f>IF(LEN('11.800'!H216)=0,"",'11.800'!H216)</f>
        <v/>
      </c>
      <c r="C1801" s="1280" t="str">
        <f t="shared" si="133"/>
        <v/>
      </c>
      <c r="D1801" s="589"/>
      <c r="E1801" s="873"/>
      <c r="F1801" s="873" t="s">
        <v>4248</v>
      </c>
      <c r="G1801" s="1290" t="s">
        <v>4605</v>
      </c>
      <c r="H1801" s="1326"/>
      <c r="J1801" s="1312"/>
    </row>
    <row r="1802" spans="2:10" x14ac:dyDescent="0.2">
      <c r="B1802" s="1324" t="str">
        <f>IF(LEN('11.800'!H217)=0,"",'11.800'!H217)</f>
        <v/>
      </c>
      <c r="C1802" s="1280" t="str">
        <f t="shared" si="133"/>
        <v/>
      </c>
      <c r="D1802" s="589"/>
      <c r="E1802" s="873"/>
      <c r="F1802" s="873" t="s">
        <v>4250</v>
      </c>
      <c r="G1802" s="1290" t="s">
        <v>4606</v>
      </c>
      <c r="H1802" s="1326"/>
      <c r="J1802" s="1312"/>
    </row>
    <row r="1803" spans="2:10" x14ac:dyDescent="0.2">
      <c r="B1803" s="1324" t="str">
        <f>IF(LEN('11.800'!H218)=0,"",'11.800'!H218)</f>
        <v/>
      </c>
      <c r="C1803" s="1280" t="str">
        <f t="shared" si="133"/>
        <v/>
      </c>
      <c r="D1803" s="589"/>
      <c r="E1803" s="873"/>
      <c r="F1803" s="873" t="s">
        <v>366</v>
      </c>
      <c r="G1803" s="1634" t="s">
        <v>4607</v>
      </c>
      <c r="H1803" s="1326"/>
      <c r="J1803" s="1312"/>
    </row>
    <row r="1804" spans="2:10" x14ac:dyDescent="0.2">
      <c r="B1804" s="1324" t="str">
        <f>IF(LEN('11.800'!H219)=0,"",'11.800'!H219)</f>
        <v/>
      </c>
      <c r="C1804" s="1280" t="str">
        <f t="shared" si="133"/>
        <v/>
      </c>
      <c r="D1804" s="589"/>
      <c r="E1804" s="873"/>
      <c r="F1804" s="873"/>
      <c r="G1804" s="1634"/>
      <c r="H1804" s="1326"/>
      <c r="J1804" s="1312"/>
    </row>
    <row r="1805" spans="2:10" x14ac:dyDescent="0.2">
      <c r="B1805" s="1324" t="str">
        <f>IF(LEN('11.800'!H220)=0,"",'11.800'!H220)</f>
        <v/>
      </c>
      <c r="C1805" s="1280" t="str">
        <f t="shared" si="133"/>
        <v/>
      </c>
      <c r="D1805" s="589"/>
      <c r="E1805" s="873"/>
      <c r="F1805" s="873" t="s">
        <v>472</v>
      </c>
      <c r="G1805" s="1634" t="s">
        <v>4608</v>
      </c>
      <c r="H1805" s="1326"/>
      <c r="J1805" s="1312"/>
    </row>
    <row r="1806" spans="2:10" x14ac:dyDescent="0.2">
      <c r="B1806" s="1324" t="str">
        <f>IF(LEN('11.800'!H221)=0,"",'11.800'!H221)</f>
        <v/>
      </c>
      <c r="C1806" s="1280" t="str">
        <f t="shared" si="133"/>
        <v/>
      </c>
      <c r="D1806" s="589"/>
      <c r="E1806" s="873"/>
      <c r="F1806" s="873"/>
      <c r="G1806" s="1634"/>
      <c r="H1806" s="1326"/>
      <c r="J1806" s="1312"/>
    </row>
    <row r="1807" spans="2:10" x14ac:dyDescent="0.2">
      <c r="B1807" s="1324" t="str">
        <f>IF(LEN('11.800'!H222)=0,"",'11.800'!H222)</f>
        <v/>
      </c>
      <c r="C1807" s="1280" t="str">
        <f t="shared" si="133"/>
        <v/>
      </c>
      <c r="D1807" s="589"/>
      <c r="E1807" s="873"/>
      <c r="F1807" s="873" t="s">
        <v>510</v>
      </c>
      <c r="G1807" s="1290" t="s">
        <v>4609</v>
      </c>
      <c r="H1807" s="1326"/>
      <c r="J1807" s="1312"/>
    </row>
    <row r="1808" spans="2:10" x14ac:dyDescent="0.2">
      <c r="B1808" s="1324" t="str">
        <f>IF(LEN('11.800'!H223)=0,"",'11.800'!H223)</f>
        <v/>
      </c>
      <c r="C1808" s="1280" t="str">
        <f t="shared" si="133"/>
        <v/>
      </c>
      <c r="D1808" s="590"/>
      <c r="E1808" s="1068"/>
      <c r="F1808" s="1068" t="s">
        <v>512</v>
      </c>
      <c r="G1808" s="1634" t="s">
        <v>4610</v>
      </c>
      <c r="H1808" s="1326"/>
      <c r="J1808" s="1312"/>
    </row>
    <row r="1809" spans="1:10" ht="16" thickBot="1" x14ac:dyDescent="0.25">
      <c r="B1809" s="1324" t="str">
        <f>IF(LEN('11.800'!H224)=0,"",'11.800'!H224)</f>
        <v/>
      </c>
      <c r="C1809" s="1280" t="str">
        <f t="shared" si="133"/>
        <v/>
      </c>
      <c r="D1809" s="594"/>
      <c r="E1809" s="1069"/>
      <c r="F1809" s="1069"/>
      <c r="G1809" s="1635"/>
      <c r="H1809" s="1326"/>
      <c r="J1809" s="1312"/>
    </row>
    <row r="1810" spans="1:10" ht="16" thickTop="1" x14ac:dyDescent="0.2">
      <c r="A1810" s="467" t="str">
        <f ca="1">IF(I1810&gt;0,"P","")</f>
        <v/>
      </c>
      <c r="B1810" s="1324" t="str">
        <f>IF(LEN('11.800'!H225)=0,"",'11.800'!H225)</f>
        <v/>
      </c>
      <c r="C1810" s="1280" t="str">
        <f t="shared" ca="1" si="133"/>
        <v/>
      </c>
      <c r="D1810" s="590" t="s">
        <v>4611</v>
      </c>
      <c r="E1810" s="1068"/>
      <c r="F1810" s="1068"/>
      <c r="G1810" s="1687" t="s">
        <v>4612</v>
      </c>
      <c r="H1810" s="1341" t="str">
        <f>IF(LEN('11.800'!W225)=0,"",'11.800'!W225)</f>
        <v/>
      </c>
      <c r="I1810" s="88">
        <f ca="1">'11.800'!O225</f>
        <v>0</v>
      </c>
      <c r="J1810" s="1312" t="s">
        <v>3120</v>
      </c>
    </row>
    <row r="1811" spans="1:10" ht="16" thickBot="1" x14ac:dyDescent="0.25">
      <c r="A1811" s="467" t="str">
        <f t="shared" ref="A1811" ca="1" si="134">A1810</f>
        <v/>
      </c>
      <c r="B1811" s="1324" t="str">
        <f>IF(LEN('11.800'!H226)=0,"",'11.800'!H226)</f>
        <v/>
      </c>
      <c r="C1811" s="1280" t="str">
        <f t="shared" ca="1" si="133"/>
        <v/>
      </c>
      <c r="D1811" s="594"/>
      <c r="E1811" s="1069"/>
      <c r="F1811" s="1069"/>
      <c r="G1811" s="1738"/>
      <c r="H1811" s="1326"/>
      <c r="J1811" s="1312"/>
    </row>
    <row r="1812" spans="1:10" ht="16" thickTop="1" x14ac:dyDescent="0.2">
      <c r="A1812" s="467" t="str">
        <f ca="1">IF(I1812&gt;0,"P","")</f>
        <v/>
      </c>
      <c r="B1812" s="1324" t="str">
        <f>IF(LEN('11.800'!H227)=0,"",'11.800'!H227)</f>
        <v/>
      </c>
      <c r="C1812" s="1280" t="str">
        <f t="shared" ca="1" si="133"/>
        <v/>
      </c>
      <c r="D1812" s="1076" t="s">
        <v>4613</v>
      </c>
      <c r="E1812" s="1077"/>
      <c r="F1812" s="1077"/>
      <c r="G1812" s="1078" t="s">
        <v>4614</v>
      </c>
      <c r="H1812" s="1326"/>
      <c r="I1812" s="1397">
        <f ca="1">SUM(I1813:I1821)</f>
        <v>0</v>
      </c>
      <c r="J1812" s="1312"/>
    </row>
    <row r="1813" spans="1:10" x14ac:dyDescent="0.2">
      <c r="A1813" s="467" t="str">
        <f ca="1">IF(I1813&gt;0,"P","")</f>
        <v/>
      </c>
      <c r="B1813" s="1324" t="str">
        <f>IF(LEN('11.800'!H228)=0,"",'11.800'!H228)</f>
        <v/>
      </c>
      <c r="C1813" s="1280" t="str">
        <f t="shared" ca="1" si="133"/>
        <v/>
      </c>
      <c r="D1813" s="589" t="s">
        <v>4615</v>
      </c>
      <c r="E1813" s="873"/>
      <c r="F1813" s="873"/>
      <c r="G1813" s="1687" t="s">
        <v>4616</v>
      </c>
      <c r="H1813" s="1341" t="str">
        <f>IF(LEN('11.800'!W228)=0,"",'11.800'!W228)</f>
        <v/>
      </c>
      <c r="I1813" s="88">
        <f ca="1">'11.800'!O228</f>
        <v>0</v>
      </c>
      <c r="J1813" s="1312" t="s">
        <v>5196</v>
      </c>
    </row>
    <row r="1814" spans="1:10" x14ac:dyDescent="0.2">
      <c r="A1814" s="467" t="str">
        <f t="shared" ref="A1814:A1818" ca="1" si="135">A1813</f>
        <v/>
      </c>
      <c r="B1814" s="1324" t="str">
        <f>IF(LEN('11.800'!H229)=0,"",'11.800'!H229)</f>
        <v/>
      </c>
      <c r="C1814" s="1280" t="str">
        <f t="shared" ca="1" si="133"/>
        <v/>
      </c>
      <c r="D1814" s="589"/>
      <c r="E1814" s="873"/>
      <c r="F1814" s="873"/>
      <c r="G1814" s="1687"/>
      <c r="H1814" s="1326"/>
      <c r="J1814" s="1312"/>
    </row>
    <row r="1815" spans="1:10" x14ac:dyDescent="0.2">
      <c r="A1815" s="467" t="str">
        <f t="shared" ca="1" si="135"/>
        <v/>
      </c>
      <c r="B1815" s="1324" t="str">
        <f>IF(LEN('11.800'!H230)=0,"",'11.800'!H230)</f>
        <v/>
      </c>
      <c r="C1815" s="1280" t="str">
        <f t="shared" ca="1" si="133"/>
        <v/>
      </c>
      <c r="D1815" s="589"/>
      <c r="E1815" s="873"/>
      <c r="F1815" s="873"/>
      <c r="G1815" s="1687"/>
      <c r="H1815" s="1326"/>
      <c r="J1815" s="1312"/>
    </row>
    <row r="1816" spans="1:10" x14ac:dyDescent="0.2">
      <c r="A1816" s="467" t="str">
        <f t="shared" ca="1" si="135"/>
        <v/>
      </c>
      <c r="B1816" s="1324" t="str">
        <f>IF(LEN('11.800'!H231)=0,"",'11.800'!H231)</f>
        <v/>
      </c>
      <c r="C1816" s="1280" t="str">
        <f t="shared" ca="1" si="133"/>
        <v/>
      </c>
      <c r="D1816" s="589"/>
      <c r="E1816" s="873"/>
      <c r="F1816" s="873"/>
      <c r="G1816" s="1687"/>
      <c r="H1816" s="1326"/>
      <c r="J1816" s="1312"/>
    </row>
    <row r="1817" spans="1:10" x14ac:dyDescent="0.2">
      <c r="A1817" s="467" t="str">
        <f t="shared" ca="1" si="135"/>
        <v/>
      </c>
      <c r="B1817" s="1324" t="str">
        <f>IF(LEN('11.800'!H232)=0,"",'11.800'!H232)</f>
        <v/>
      </c>
      <c r="C1817" s="1280" t="str">
        <f t="shared" ca="1" si="133"/>
        <v/>
      </c>
      <c r="D1817" s="589"/>
      <c r="E1817" s="873"/>
      <c r="F1817" s="873"/>
      <c r="G1817" s="1687"/>
      <c r="H1817" s="1326"/>
      <c r="J1817" s="1312"/>
    </row>
    <row r="1818" spans="1:10" x14ac:dyDescent="0.2">
      <c r="A1818" s="467" t="str">
        <f t="shared" ca="1" si="135"/>
        <v/>
      </c>
      <c r="B1818" s="1324" t="str">
        <f>IF(LEN('11.800'!H233)=0,"",'11.800'!H233)</f>
        <v/>
      </c>
      <c r="C1818" s="1280" t="str">
        <f t="shared" ca="1" si="133"/>
        <v/>
      </c>
      <c r="D1818" s="589"/>
      <c r="E1818" s="873"/>
      <c r="F1818" s="873"/>
      <c r="G1818" s="1687"/>
      <c r="H1818" s="1326"/>
      <c r="J1818" s="1312"/>
    </row>
    <row r="1819" spans="1:10" x14ac:dyDescent="0.2">
      <c r="B1819" s="1324" t="str">
        <f>IF(LEN('11.800'!H234)=0,"",'11.800'!H234)</f>
        <v/>
      </c>
      <c r="C1819" s="1280" t="str">
        <f t="shared" si="133"/>
        <v/>
      </c>
      <c r="D1819" s="589"/>
      <c r="E1819" s="1072" t="s">
        <v>254</v>
      </c>
      <c r="F1819" s="1072"/>
      <c r="G1819" s="1291" t="s">
        <v>4617</v>
      </c>
      <c r="H1819" s="1326"/>
      <c r="J1819" s="1312"/>
    </row>
    <row r="1820" spans="1:10" x14ac:dyDescent="0.2">
      <c r="B1820" s="1324" t="str">
        <f>IF(LEN('11.800'!H235)=0,"",'11.800'!H235)</f>
        <v/>
      </c>
      <c r="C1820" s="1280" t="str">
        <f t="shared" si="133"/>
        <v/>
      </c>
      <c r="D1820" s="606"/>
      <c r="E1820" s="1072" t="s">
        <v>255</v>
      </c>
      <c r="F1820" s="1072"/>
      <c r="G1820" s="1291" t="s">
        <v>4618</v>
      </c>
      <c r="H1820" s="1326"/>
      <c r="J1820" s="1312"/>
    </row>
    <row r="1821" spans="1:10" x14ac:dyDescent="0.2">
      <c r="A1821" s="467" t="str">
        <f ca="1">IF(I1821&gt;0,"P","")</f>
        <v/>
      </c>
      <c r="B1821" s="1324" t="str">
        <f>IF(LEN('11.800'!H236)=0,"",'11.800'!H236)</f>
        <v/>
      </c>
      <c r="C1821" s="1280" t="str">
        <f t="shared" ca="1" si="133"/>
        <v/>
      </c>
      <c r="D1821" s="589" t="s">
        <v>4619</v>
      </c>
      <c r="E1821" s="873"/>
      <c r="F1821" s="873"/>
      <c r="G1821" s="1687" t="s">
        <v>4620</v>
      </c>
      <c r="H1821" s="1341" t="str">
        <f>IF(LEN('11.800'!W236)=0,"",'11.800'!W236)</f>
        <v/>
      </c>
      <c r="I1821" s="88">
        <f ca="1">'11.800'!O236</f>
        <v>0</v>
      </c>
      <c r="J1821" s="1312" t="s">
        <v>5219</v>
      </c>
    </row>
    <row r="1822" spans="1:10" x14ac:dyDescent="0.2">
      <c r="A1822" s="467" t="str">
        <f t="shared" ref="A1822:A1823" ca="1" si="136">A1821</f>
        <v/>
      </c>
      <c r="B1822" s="1324" t="str">
        <f>IF(LEN('11.800'!H237)=0,"",'11.800'!H237)</f>
        <v/>
      </c>
      <c r="C1822" s="1280" t="str">
        <f t="shared" ca="1" si="133"/>
        <v/>
      </c>
      <c r="D1822" s="589"/>
      <c r="E1822" s="873"/>
      <c r="F1822" s="873"/>
      <c r="G1822" s="1687"/>
      <c r="H1822" s="1326"/>
      <c r="J1822" s="1312"/>
    </row>
    <row r="1823" spans="1:10" x14ac:dyDescent="0.2">
      <c r="A1823" s="467" t="str">
        <f t="shared" ca="1" si="136"/>
        <v/>
      </c>
      <c r="B1823" s="1324" t="str">
        <f>IF(LEN('11.800'!H238)=0,"",'11.800'!H238)</f>
        <v/>
      </c>
      <c r="C1823" s="1280" t="str">
        <f t="shared" ca="1" si="133"/>
        <v/>
      </c>
      <c r="D1823" s="589"/>
      <c r="E1823" s="873"/>
      <c r="F1823" s="873"/>
      <c r="G1823" s="1687"/>
      <c r="H1823" s="1326"/>
      <c r="J1823" s="1312"/>
    </row>
    <row r="1824" spans="1:10" x14ac:dyDescent="0.2">
      <c r="B1824" s="1324" t="str">
        <f>IF(LEN('11.800'!H239)=0,"",'11.800'!H239)</f>
        <v/>
      </c>
      <c r="C1824" s="1280" t="str">
        <f t="shared" si="133"/>
        <v/>
      </c>
      <c r="D1824" s="589"/>
      <c r="E1824" s="1072" t="s">
        <v>254</v>
      </c>
      <c r="F1824" s="1072"/>
      <c r="G1824" s="1291" t="s">
        <v>4621</v>
      </c>
      <c r="H1824" s="1326"/>
      <c r="J1824" s="1312"/>
    </row>
    <row r="1825" spans="1:10" ht="16" thickBot="1" x14ac:dyDescent="0.25">
      <c r="B1825" s="1324" t="str">
        <f>IF(LEN('11.800'!H240)=0,"",'11.800'!H240)</f>
        <v/>
      </c>
      <c r="C1825" s="1280" t="str">
        <f t="shared" si="133"/>
        <v/>
      </c>
      <c r="D1825" s="594"/>
      <c r="E1825" s="1069" t="s">
        <v>255</v>
      </c>
      <c r="F1825" s="1069"/>
      <c r="G1825" s="1293" t="s">
        <v>4622</v>
      </c>
      <c r="H1825" s="1326"/>
      <c r="J1825" s="1312"/>
    </row>
    <row r="1826" spans="1:10" ht="16" thickTop="1" x14ac:dyDescent="0.2">
      <c r="A1826" s="467" t="str">
        <f ca="1">IF(I1826&gt;0,"P","")</f>
        <v/>
      </c>
      <c r="B1826" s="1324" t="str">
        <f>IF(LEN('11.800'!H241)=0,"",'11.800'!H241)</f>
        <v/>
      </c>
      <c r="C1826" s="1280" t="str">
        <f t="shared" ca="1" si="133"/>
        <v/>
      </c>
      <c r="D1826" s="1076" t="s">
        <v>4623</v>
      </c>
      <c r="E1826" s="1077"/>
      <c r="F1826" s="1077"/>
      <c r="G1826" s="1078" t="s">
        <v>4624</v>
      </c>
      <c r="H1826" s="1326"/>
      <c r="I1826" s="1397">
        <f ca="1">SUM(I1830)</f>
        <v>0</v>
      </c>
      <c r="J1826" s="1312"/>
    </row>
    <row r="1827" spans="1:10" x14ac:dyDescent="0.2">
      <c r="A1827" s="467" t="str">
        <f t="shared" ref="A1827" ca="1" si="137">A1826</f>
        <v/>
      </c>
      <c r="B1827" s="1324" t="str">
        <f>IF(LEN('11.800'!H242)=0,"",'11.800'!H242)</f>
        <v/>
      </c>
      <c r="C1827" s="1280" t="str">
        <f t="shared" ca="1" si="133"/>
        <v/>
      </c>
      <c r="D1827" s="589" t="s">
        <v>4625</v>
      </c>
      <c r="E1827" s="873"/>
      <c r="F1827" s="873"/>
      <c r="G1827" s="1687" t="s">
        <v>4626</v>
      </c>
      <c r="H1827" s="1341" t="str">
        <f>IF(LEN('11.800'!W242)=0,"",'11.800'!W242)</f>
        <v>N/A</v>
      </c>
      <c r="J1827" s="1312" t="s">
        <v>3120</v>
      </c>
    </row>
    <row r="1828" spans="1:10" x14ac:dyDescent="0.2">
      <c r="A1828" s="467" t="str">
        <f t="shared" ref="A1828:A1829" ca="1" si="138">A1827</f>
        <v/>
      </c>
      <c r="B1828" s="1324" t="str">
        <f>IF(LEN('11.800'!H243)=0,"",'11.800'!H243)</f>
        <v/>
      </c>
      <c r="C1828" s="1280" t="str">
        <f t="shared" ca="1" si="133"/>
        <v/>
      </c>
      <c r="D1828" s="589"/>
      <c r="E1828" s="873"/>
      <c r="F1828" s="873"/>
      <c r="G1828" s="1687"/>
      <c r="H1828" s="1326"/>
      <c r="J1828" s="1312"/>
    </row>
    <row r="1829" spans="1:10" x14ac:dyDescent="0.2">
      <c r="A1829" s="467" t="str">
        <f t="shared" ca="1" si="138"/>
        <v/>
      </c>
      <c r="B1829" s="1324" t="str">
        <f>IF(LEN('11.800'!H244)=0,"",'11.800'!H244)</f>
        <v/>
      </c>
      <c r="C1829" s="1280" t="str">
        <f t="shared" ca="1" si="133"/>
        <v/>
      </c>
      <c r="D1829" s="589"/>
      <c r="E1829" s="873"/>
      <c r="F1829" s="873"/>
      <c r="G1829" s="1687"/>
      <c r="H1829" s="1326"/>
      <c r="J1829" s="1312"/>
    </row>
    <row r="1830" spans="1:10" x14ac:dyDescent="0.2">
      <c r="B1830" s="1324" t="str">
        <f>IF(LEN('11.800'!H245)=0,"",'11.800'!H245)</f>
        <v/>
      </c>
      <c r="C1830" s="1280" t="str">
        <f t="shared" si="133"/>
        <v/>
      </c>
      <c r="D1830" s="589"/>
      <c r="E1830" s="873" t="s">
        <v>254</v>
      </c>
      <c r="F1830" s="873"/>
      <c r="G1830" s="1290" t="s">
        <v>4627</v>
      </c>
      <c r="H1830" s="1341" t="str">
        <f>IF(LEN('11.800'!W245)=0,"",'11.800'!W245)</f>
        <v/>
      </c>
      <c r="I1830" s="88">
        <f ca="1">'11.800'!O245</f>
        <v>0</v>
      </c>
      <c r="J1830" s="1312"/>
    </row>
    <row r="1831" spans="1:10" ht="19" x14ac:dyDescent="0.25">
      <c r="A1831" s="467" t="s">
        <v>3200</v>
      </c>
      <c r="B1831" s="1324" t="str">
        <f>IF(LEN('11.800'!H246)=0,"",'11.800'!H246)</f>
        <v/>
      </c>
      <c r="C1831" s="1280" t="str">
        <f t="shared" si="133"/>
        <v>P</v>
      </c>
      <c r="D1831" s="1004" t="s">
        <v>4628</v>
      </c>
      <c r="E1831" s="1003"/>
      <c r="F1831" s="1003"/>
      <c r="G1831" s="1004"/>
      <c r="H1831" s="994"/>
      <c r="I1831" s="25"/>
      <c r="J1831" s="25"/>
    </row>
    <row r="1832" spans="1:10" x14ac:dyDescent="0.2">
      <c r="A1832" s="467" t="str">
        <f ca="1">IF(I1832&gt;0,"P","")</f>
        <v/>
      </c>
      <c r="B1832" s="1324" t="str">
        <f>IF(LEN('11.800'!H247)=0,"",'11.800'!H247)</f>
        <v/>
      </c>
      <c r="C1832" s="1280" t="str">
        <f t="shared" ca="1" si="133"/>
        <v/>
      </c>
      <c r="D1832" s="589" t="s">
        <v>4629</v>
      </c>
      <c r="E1832" s="873"/>
      <c r="F1832" s="873"/>
      <c r="G1832" s="1687" t="s">
        <v>4859</v>
      </c>
      <c r="H1832" s="1326"/>
      <c r="I1832" s="88">
        <f ca="1">'11.800'!O247</f>
        <v>0</v>
      </c>
      <c r="J1832" s="1312"/>
    </row>
    <row r="1833" spans="1:10" x14ac:dyDescent="0.2">
      <c r="A1833" s="467" t="str">
        <f t="shared" ref="A1833:A1835" ca="1" si="139">A1832</f>
        <v/>
      </c>
      <c r="B1833" s="1324" t="str">
        <f>IF(LEN('11.800'!H248)=0,"",'11.800'!H248)</f>
        <v/>
      </c>
      <c r="C1833" s="1280" t="str">
        <f t="shared" ca="1" si="133"/>
        <v/>
      </c>
      <c r="D1833" s="589"/>
      <c r="E1833" s="873"/>
      <c r="F1833" s="873"/>
      <c r="G1833" s="1687"/>
      <c r="H1833" s="1326"/>
      <c r="J1833" s="1312"/>
    </row>
    <row r="1834" spans="1:10" x14ac:dyDescent="0.2">
      <c r="A1834" s="467" t="str">
        <f t="shared" ca="1" si="139"/>
        <v/>
      </c>
      <c r="B1834" s="1324" t="str">
        <f>IF(LEN('11.800'!H249)=0,"",'11.800'!H249)</f>
        <v/>
      </c>
      <c r="C1834" s="1280" t="str">
        <f t="shared" ca="1" si="133"/>
        <v/>
      </c>
      <c r="D1834" s="589"/>
      <c r="E1834" s="873"/>
      <c r="F1834" s="873"/>
      <c r="G1834" s="1687"/>
      <c r="H1834" s="1326"/>
      <c r="J1834" s="1312"/>
    </row>
    <row r="1835" spans="1:10" x14ac:dyDescent="0.2">
      <c r="A1835" s="467" t="str">
        <f t="shared" ca="1" si="139"/>
        <v/>
      </c>
      <c r="B1835" s="1324" t="str">
        <f>IF(LEN('11.800'!H250)=0,"",'11.800'!H250)</f>
        <v/>
      </c>
      <c r="C1835" s="1280" t="str">
        <f t="shared" ca="1" si="133"/>
        <v/>
      </c>
      <c r="D1835" s="589"/>
      <c r="E1835" s="873"/>
      <c r="F1835" s="873"/>
      <c r="G1835" s="1687"/>
      <c r="H1835" s="1326"/>
      <c r="J1835" s="1312"/>
    </row>
    <row r="1836" spans="1:10" x14ac:dyDescent="0.2">
      <c r="A1836" s="467" t="str">
        <f>IF(AND(LEN(H1836)&gt;0,NOT(H1836=FALSE),NOT(H1836="N/A")),"P","")</f>
        <v/>
      </c>
      <c r="B1836" s="1324" t="str">
        <f>IF(LEN('11.800'!H251)=0,"",'11.800'!H251)</f>
        <v/>
      </c>
      <c r="C1836" s="1280" t="str">
        <f t="shared" si="133"/>
        <v/>
      </c>
      <c r="D1836" s="590"/>
      <c r="E1836" s="1068" t="s">
        <v>254</v>
      </c>
      <c r="F1836" s="1068"/>
      <c r="G1836" s="1634" t="s">
        <v>4630</v>
      </c>
      <c r="H1836" s="1341" t="str">
        <f>IF(LEN('11.800'!W251)=0,"",'11.800'!W251)</f>
        <v/>
      </c>
      <c r="J1836" s="1779" t="s">
        <v>5220</v>
      </c>
    </row>
    <row r="1837" spans="1:10" x14ac:dyDescent="0.2">
      <c r="A1837" s="467" t="str">
        <f t="shared" ref="A1837" si="140">A1836</f>
        <v/>
      </c>
      <c r="B1837" s="1324" t="str">
        <f>IF(LEN('11.800'!H252)=0,"",'11.800'!H252)</f>
        <v/>
      </c>
      <c r="C1837" s="1280" t="str">
        <f t="shared" si="133"/>
        <v/>
      </c>
      <c r="D1837" s="590"/>
      <c r="E1837" s="1072"/>
      <c r="F1837" s="1072"/>
      <c r="G1837" s="1639"/>
      <c r="H1837" s="1326"/>
      <c r="J1837" s="1779"/>
    </row>
    <row r="1838" spans="1:10" ht="31" thickBot="1" x14ac:dyDescent="0.25">
      <c r="A1838" s="467" t="str">
        <f>IF(AND(LEN(H1838)&gt;0,NOT(H1838=FALSE),NOT(H1838="N/A")),"P","")</f>
        <v/>
      </c>
      <c r="B1838" s="1324" t="str">
        <f>IF(LEN('11.800'!H253)=0,"",'11.800'!H253)</f>
        <v/>
      </c>
      <c r="C1838" s="1280" t="str">
        <f t="shared" si="133"/>
        <v/>
      </c>
      <c r="D1838" s="594"/>
      <c r="E1838" s="1069" t="s">
        <v>255</v>
      </c>
      <c r="F1838" s="1069"/>
      <c r="G1838" s="1293" t="s">
        <v>4631</v>
      </c>
      <c r="H1838" s="1341" t="str">
        <f>IF(LEN('11.800'!W253)=0,"",'11.800'!W253)</f>
        <v/>
      </c>
      <c r="J1838" s="1312" t="s">
        <v>5220</v>
      </c>
    </row>
    <row r="1839" spans="1:10" ht="16" thickTop="1" x14ac:dyDescent="0.2">
      <c r="A1839" s="467" t="str">
        <f>IF(I1839&gt;0,"P","")</f>
        <v/>
      </c>
      <c r="B1839" s="1324" t="str">
        <f>IF(LEN('11.800'!H254)=0,"",'11.800'!H254)</f>
        <v/>
      </c>
      <c r="C1839" s="1280" t="str">
        <f t="shared" si="133"/>
        <v/>
      </c>
      <c r="D1839" s="590" t="s">
        <v>4632</v>
      </c>
      <c r="E1839" s="1068"/>
      <c r="F1839" s="1068"/>
      <c r="G1839" s="1687" t="s">
        <v>4633</v>
      </c>
      <c r="H1839" s="1326"/>
      <c r="I1839" s="88">
        <f>'11.800'!O254</f>
        <v>0</v>
      </c>
      <c r="J1839" s="1312" t="s">
        <v>5221</v>
      </c>
    </row>
    <row r="1840" spans="1:10" x14ac:dyDescent="0.2">
      <c r="A1840" s="467" t="str">
        <f t="shared" ref="A1840:A1841" si="141">A1839</f>
        <v/>
      </c>
      <c r="B1840" s="1324" t="str">
        <f>IF(LEN('11.800'!H255)=0,"",'11.800'!H255)</f>
        <v/>
      </c>
      <c r="C1840" s="1280" t="str">
        <f t="shared" si="133"/>
        <v/>
      </c>
      <c r="D1840" s="590"/>
      <c r="E1840" s="1068"/>
      <c r="F1840" s="1068"/>
      <c r="G1840" s="1687"/>
      <c r="H1840" s="1341" t="str">
        <f>IF(LEN('11.800'!W255)=0,"",'11.800'!W255)</f>
        <v/>
      </c>
      <c r="J1840" s="1312"/>
    </row>
    <row r="1841" spans="1:10" ht="16" thickBot="1" x14ac:dyDescent="0.25">
      <c r="A1841" s="467" t="str">
        <f t="shared" si="141"/>
        <v/>
      </c>
      <c r="B1841" s="1324" t="str">
        <f>IF(LEN('11.800'!H256)=0,"",'11.800'!H256)</f>
        <v/>
      </c>
      <c r="C1841" s="1280" t="str">
        <f t="shared" si="133"/>
        <v/>
      </c>
      <c r="D1841" s="594"/>
      <c r="E1841" s="1069"/>
      <c r="F1841" s="1069"/>
      <c r="G1841" s="1738"/>
      <c r="H1841" s="1326"/>
      <c r="J1841" s="1312"/>
    </row>
    <row r="1842" spans="1:10" ht="16" thickTop="1" x14ac:dyDescent="0.2">
      <c r="A1842" s="467" t="str">
        <f ca="1">IF(I1842&gt;0,"P","")</f>
        <v/>
      </c>
      <c r="B1842" s="1324" t="str">
        <f>IF(LEN('11.800'!H257)=0,"",'11.800'!H257)</f>
        <v/>
      </c>
      <c r="C1842" s="1280" t="str">
        <f t="shared" ca="1" si="133"/>
        <v/>
      </c>
      <c r="D1842" s="589" t="s">
        <v>4634</v>
      </c>
      <c r="E1842" s="873"/>
      <c r="F1842" s="873"/>
      <c r="G1842" s="1687" t="s">
        <v>4635</v>
      </c>
      <c r="H1842" s="1341" t="str">
        <f>IF(LEN('11.800'!W257)=0,"",'11.800'!W257)</f>
        <v/>
      </c>
      <c r="I1842" s="88">
        <f ca="1">'11.800'!O257</f>
        <v>0</v>
      </c>
      <c r="J1842" s="1779" t="s">
        <v>5222</v>
      </c>
    </row>
    <row r="1843" spans="1:10" x14ac:dyDescent="0.2">
      <c r="A1843" s="467" t="str">
        <f t="shared" ref="A1843:A1844" ca="1" si="142">A1842</f>
        <v/>
      </c>
      <c r="B1843" s="1324" t="str">
        <f>IF(LEN('11.800'!H258)=0,"",'11.800'!H258)</f>
        <v/>
      </c>
      <c r="C1843" s="1280" t="str">
        <f t="shared" ca="1" si="133"/>
        <v/>
      </c>
      <c r="D1843" s="589"/>
      <c r="E1843" s="873"/>
      <c r="F1843" s="873"/>
      <c r="G1843" s="1687"/>
      <c r="H1843" s="1326"/>
      <c r="J1843" s="1779"/>
    </row>
    <row r="1844" spans="1:10" x14ac:dyDescent="0.2">
      <c r="A1844" s="467" t="str">
        <f t="shared" ca="1" si="142"/>
        <v/>
      </c>
      <c r="B1844" s="1324" t="str">
        <f>IF(LEN('11.800'!H259)=0,"",'11.800'!H259)</f>
        <v/>
      </c>
      <c r="C1844" s="1280" t="str">
        <f t="shared" ca="1" si="133"/>
        <v/>
      </c>
      <c r="D1844" s="589"/>
      <c r="E1844" s="873"/>
      <c r="F1844" s="873"/>
      <c r="G1844" s="1687"/>
      <c r="H1844" s="1326"/>
      <c r="J1844" s="1312"/>
    </row>
    <row r="1845" spans="1:10" x14ac:dyDescent="0.2">
      <c r="B1845" s="1324" t="str">
        <f>IF(LEN('11.800'!H260)=0,"",'11.800'!H260)</f>
        <v/>
      </c>
      <c r="C1845" s="1280" t="str">
        <f t="shared" si="133"/>
        <v/>
      </c>
      <c r="D1845" s="590"/>
      <c r="E1845" s="1072" t="s">
        <v>254</v>
      </c>
      <c r="F1845" s="1072"/>
      <c r="G1845" s="1291" t="s">
        <v>4636</v>
      </c>
      <c r="H1845" s="1326"/>
      <c r="J1845" s="1312"/>
    </row>
    <row r="1846" spans="1:10" ht="16" thickBot="1" x14ac:dyDescent="0.25">
      <c r="B1846" s="1324" t="str">
        <f>IF(LEN('11.800'!H261)=0,"",'11.800'!H261)</f>
        <v/>
      </c>
      <c r="C1846" s="1280" t="str">
        <f t="shared" si="133"/>
        <v/>
      </c>
      <c r="D1846" s="594"/>
      <c r="E1846" s="1069" t="s">
        <v>255</v>
      </c>
      <c r="F1846" s="1069"/>
      <c r="G1846" s="1293" t="s">
        <v>4637</v>
      </c>
      <c r="H1846" s="1326"/>
      <c r="J1846" s="1312"/>
    </row>
    <row r="1847" spans="1:10" ht="16" thickTop="1" x14ac:dyDescent="0.2">
      <c r="A1847" s="467" t="str">
        <f ca="1">IF(I1847&gt;0,"P","")</f>
        <v/>
      </c>
      <c r="B1847" s="1324" t="str">
        <f>IF(LEN('11.800'!H262)=0,"",'11.800'!H262)</f>
        <v/>
      </c>
      <c r="C1847" s="1280" t="str">
        <f t="shared" ca="1" si="133"/>
        <v/>
      </c>
      <c r="D1847" s="590" t="s">
        <v>4638</v>
      </c>
      <c r="E1847" s="1068"/>
      <c r="F1847" s="1068"/>
      <c r="G1847" s="1687" t="s">
        <v>4639</v>
      </c>
      <c r="H1847" s="1341" t="str">
        <f>IF(LEN('11.800'!W262)=0,"",'11.800'!W262)</f>
        <v/>
      </c>
      <c r="I1847" s="88">
        <f ca="1">'11.800'!O262</f>
        <v>0</v>
      </c>
      <c r="J1847" s="1312" t="s">
        <v>5223</v>
      </c>
    </row>
    <row r="1848" spans="1:10" x14ac:dyDescent="0.2">
      <c r="A1848" s="467" t="str">
        <f t="shared" ref="A1848:A1849" ca="1" si="143">A1847</f>
        <v/>
      </c>
      <c r="B1848" s="1324" t="str">
        <f>IF(LEN('11.800'!H263)=0,"",'11.800'!H263)</f>
        <v/>
      </c>
      <c r="C1848" s="1280" t="str">
        <f t="shared" ca="1" si="133"/>
        <v/>
      </c>
      <c r="D1848" s="590"/>
      <c r="E1848" s="1068"/>
      <c r="F1848" s="1068"/>
      <c r="G1848" s="1687"/>
      <c r="H1848" s="1326"/>
      <c r="J1848" s="1312"/>
    </row>
    <row r="1849" spans="1:10" ht="16" thickBot="1" x14ac:dyDescent="0.25">
      <c r="A1849" s="467" t="str">
        <f t="shared" ca="1" si="143"/>
        <v/>
      </c>
      <c r="B1849" s="1324" t="str">
        <f>IF(LEN('11.800'!H264)=0,"",'11.800'!H264)</f>
        <v/>
      </c>
      <c r="C1849" s="1280" t="str">
        <f t="shared" ca="1" si="133"/>
        <v/>
      </c>
      <c r="D1849" s="594"/>
      <c r="E1849" s="1069"/>
      <c r="F1849" s="1069"/>
      <c r="G1849" s="1738"/>
      <c r="H1849" s="1326"/>
      <c r="J1849" s="1312"/>
    </row>
    <row r="1850" spans="1:10" ht="16" thickTop="1" x14ac:dyDescent="0.2">
      <c r="A1850" s="467" t="str">
        <f ca="1">IF(I1850&gt;0,"P","")</f>
        <v/>
      </c>
      <c r="B1850" s="1324" t="str">
        <f>IF(LEN('11.800'!H265)=0,"",'11.800'!H265)</f>
        <v/>
      </c>
      <c r="C1850" s="1280" t="str">
        <f t="shared" ca="1" si="133"/>
        <v/>
      </c>
      <c r="D1850" s="590" t="s">
        <v>4640</v>
      </c>
      <c r="E1850" s="1068"/>
      <c r="F1850" s="1068"/>
      <c r="G1850" s="1687" t="s">
        <v>4641</v>
      </c>
      <c r="H1850" s="1341" t="str">
        <f>IF(LEN('11.800'!W265)=0,"",'11.800'!W265)</f>
        <v/>
      </c>
      <c r="I1850" s="88">
        <f ca="1">'11.800'!O265</f>
        <v>0</v>
      </c>
      <c r="J1850" s="1312" t="s">
        <v>3120</v>
      </c>
    </row>
    <row r="1851" spans="1:10" ht="16" thickBot="1" x14ac:dyDescent="0.25">
      <c r="A1851" s="467" t="str">
        <f t="shared" ref="A1851" ca="1" si="144">A1850</f>
        <v/>
      </c>
      <c r="B1851" s="1324" t="str">
        <f>IF(LEN('11.800'!H266)=0,"",'11.800'!H266)</f>
        <v/>
      </c>
      <c r="C1851" s="1280" t="str">
        <f t="shared" ca="1" si="133"/>
        <v/>
      </c>
      <c r="D1851" s="594"/>
      <c r="E1851" s="1069"/>
      <c r="F1851" s="1069"/>
      <c r="G1851" s="1738"/>
      <c r="H1851" s="1326"/>
      <c r="J1851" s="1312"/>
    </row>
    <row r="1852" spans="1:10" ht="16" thickTop="1" x14ac:dyDescent="0.2">
      <c r="A1852" s="467" t="str">
        <f ca="1">IF(I1852&gt;0,"P","")</f>
        <v/>
      </c>
      <c r="B1852" s="1324" t="str">
        <f>IF(LEN('11.800'!H267)=0,"",'11.800'!H267)</f>
        <v/>
      </c>
      <c r="C1852" s="1280" t="str">
        <f t="shared" ca="1" si="133"/>
        <v/>
      </c>
      <c r="D1852" s="589" t="s">
        <v>4642</v>
      </c>
      <c r="E1852" s="873"/>
      <c r="F1852" s="873"/>
      <c r="G1852" s="1687" t="s">
        <v>4860</v>
      </c>
      <c r="H1852" s="1341" t="str">
        <f>IF(LEN('11.800'!W267)=0,"",'11.800'!W267)</f>
        <v/>
      </c>
      <c r="I1852" s="88">
        <f ca="1">'11.800'!O267</f>
        <v>0</v>
      </c>
      <c r="J1852" s="1312" t="s">
        <v>5224</v>
      </c>
    </row>
    <row r="1853" spans="1:10" x14ac:dyDescent="0.2">
      <c r="A1853" s="467" t="str">
        <f t="shared" ref="A1853:A1854" ca="1" si="145">A1852</f>
        <v/>
      </c>
      <c r="B1853" s="1324" t="str">
        <f>IF(LEN('11.800'!H268)=0,"",'11.800'!H268)</f>
        <v/>
      </c>
      <c r="C1853" s="1280" t="str">
        <f t="shared" ca="1" si="133"/>
        <v/>
      </c>
      <c r="D1853" s="589"/>
      <c r="E1853" s="873"/>
      <c r="F1853" s="873"/>
      <c r="G1853" s="1687"/>
      <c r="J1853" s="1312"/>
    </row>
    <row r="1854" spans="1:10" x14ac:dyDescent="0.2">
      <c r="A1854" s="467" t="str">
        <f t="shared" ca="1" si="145"/>
        <v/>
      </c>
      <c r="B1854" s="1324" t="str">
        <f>IF(LEN('11.800'!H269)=0,"",'11.800'!H269)</f>
        <v/>
      </c>
      <c r="C1854" s="1280" t="str">
        <f t="shared" ca="1" si="133"/>
        <v/>
      </c>
      <c r="D1854" s="589"/>
      <c r="E1854" s="873"/>
      <c r="F1854" s="873"/>
      <c r="G1854" s="1687"/>
      <c r="J1854" s="1312"/>
    </row>
    <row r="1855" spans="1:10" ht="19" x14ac:dyDescent="0.25">
      <c r="A1855" s="467" t="s">
        <v>3200</v>
      </c>
      <c r="B1855" s="1324" t="str">
        <f>IF(LEN('11.900'!H9)=0,"",'11.900'!H9)</f>
        <v/>
      </c>
      <c r="C1855" s="1280" t="str">
        <f t="shared" si="133"/>
        <v>P</v>
      </c>
      <c r="D1855" s="90" t="s">
        <v>3659</v>
      </c>
      <c r="E1855" s="90"/>
      <c r="F1855" s="90"/>
      <c r="G1855" s="25"/>
      <c r="H1855" s="994"/>
      <c r="I1855" s="25"/>
      <c r="J1855" s="25"/>
    </row>
    <row r="1856" spans="1:10" x14ac:dyDescent="0.2">
      <c r="B1856" s="1324" t="str">
        <f>IF(LEN('11.900'!H10)=0,"",'11.900'!H10)</f>
        <v/>
      </c>
      <c r="C1856" s="1280" t="str">
        <f t="shared" si="133"/>
        <v/>
      </c>
      <c r="D1856" s="1329" t="s">
        <v>3660</v>
      </c>
      <c r="E1856" s="85"/>
      <c r="F1856" s="85"/>
      <c r="G1856" s="1300" t="s">
        <v>3748</v>
      </c>
      <c r="H1856" s="1326"/>
      <c r="J1856" s="1312"/>
    </row>
    <row r="1857" spans="1:10" x14ac:dyDescent="0.2">
      <c r="A1857" s="467" t="str">
        <f ca="1">IF(I1857&gt;0,"P","")</f>
        <v>P</v>
      </c>
      <c r="B1857" s="1324" t="str">
        <f>IF(LEN('11.900'!H11)=0,"",'11.900'!H11)</f>
        <v/>
      </c>
      <c r="C1857" s="1280" t="str">
        <f t="shared" ca="1" si="133"/>
        <v>P</v>
      </c>
      <c r="D1857" s="595" t="s">
        <v>3661</v>
      </c>
      <c r="E1857" s="97"/>
      <c r="F1857" s="97"/>
      <c r="G1857" s="1306" t="s">
        <v>3747</v>
      </c>
      <c r="H1857" s="1326"/>
      <c r="I1857" s="1397">
        <f ca="1">SUM(I1858:I1883)</f>
        <v>5</v>
      </c>
      <c r="J1857" s="1312"/>
    </row>
    <row r="1858" spans="1:10" x14ac:dyDescent="0.2">
      <c r="A1858" s="467" t="str">
        <f>IF(I1858&gt;0,"P","")</f>
        <v/>
      </c>
      <c r="B1858" s="1324" t="str">
        <f>IF(LEN('11.900'!H12)=0,"",'11.900'!H12)</f>
        <v/>
      </c>
      <c r="C1858" s="1280" t="str">
        <f t="shared" si="133"/>
        <v/>
      </c>
      <c r="D1858" s="595" t="s">
        <v>3662</v>
      </c>
      <c r="E1858" s="97"/>
      <c r="F1858" s="97"/>
      <c r="G1858" s="1629" t="s">
        <v>3746</v>
      </c>
      <c r="H1858" s="1341" t="str">
        <f>IF(LEN('11.900'!W12)=0,"",'11.900'!W12)</f>
        <v/>
      </c>
      <c r="I1858" s="88">
        <f>'11.900'!O12</f>
        <v>0</v>
      </c>
      <c r="J1858" s="1779" t="s">
        <v>3120</v>
      </c>
    </row>
    <row r="1859" spans="1:10" x14ac:dyDescent="0.2">
      <c r="A1859" s="467" t="str">
        <f t="shared" ref="A1859:A1861" si="146">A1858</f>
        <v/>
      </c>
      <c r="B1859" s="1324" t="str">
        <f>IF(LEN('11.900'!H13)=0,"",'11.900'!H13)</f>
        <v/>
      </c>
      <c r="C1859" s="1280" t="str">
        <f t="shared" si="133"/>
        <v/>
      </c>
      <c r="D1859" s="609"/>
      <c r="E1859" s="97"/>
      <c r="F1859" s="97"/>
      <c r="G1859" s="1629"/>
      <c r="H1859" s="1326"/>
      <c r="J1859" s="1779"/>
    </row>
    <row r="1860" spans="1:10" x14ac:dyDescent="0.2">
      <c r="A1860" s="467" t="str">
        <f t="shared" si="146"/>
        <v/>
      </c>
      <c r="B1860" s="1324" t="str">
        <f>IF(LEN('11.900'!H14)=0,"",'11.900'!H14)</f>
        <v/>
      </c>
      <c r="C1860" s="1280" t="str">
        <f t="shared" si="133"/>
        <v/>
      </c>
      <c r="D1860" s="609"/>
      <c r="E1860" s="97"/>
      <c r="F1860" s="97"/>
      <c r="G1860" s="1629"/>
      <c r="H1860" s="1326"/>
      <c r="J1860" s="1779"/>
    </row>
    <row r="1861" spans="1:10" x14ac:dyDescent="0.2">
      <c r="A1861" s="467" t="str">
        <f t="shared" si="146"/>
        <v/>
      </c>
      <c r="B1861" s="1324" t="str">
        <f>IF(LEN('11.900'!H15)=0,"",'11.900'!H15)</f>
        <v/>
      </c>
      <c r="C1861" s="1280" t="str">
        <f t="shared" si="133"/>
        <v/>
      </c>
      <c r="D1861" s="609"/>
      <c r="E1861" s="97"/>
      <c r="F1861" s="97"/>
      <c r="G1861" s="1629"/>
      <c r="H1861" s="1326"/>
      <c r="J1861" s="1779"/>
    </row>
    <row r="1862" spans="1:10" x14ac:dyDescent="0.2">
      <c r="B1862" s="1324" t="str">
        <f>IF(LEN('11.900'!H16)=0,"",'11.900'!H16)</f>
        <v/>
      </c>
      <c r="C1862" s="1280" t="str">
        <f t="shared" si="133"/>
        <v/>
      </c>
      <c r="D1862" s="609"/>
      <c r="E1862" s="97"/>
      <c r="F1862" s="97"/>
      <c r="G1862" s="1772" t="s">
        <v>2850</v>
      </c>
      <c r="H1862" s="1326"/>
      <c r="J1862" s="1312"/>
    </row>
    <row r="1863" spans="1:10" x14ac:dyDescent="0.2">
      <c r="B1863" s="1324" t="str">
        <f>IF(LEN('11.900'!H17)=0,"",'11.900'!H17)</f>
        <v/>
      </c>
      <c r="C1863" s="1280" t="str">
        <f t="shared" si="133"/>
        <v/>
      </c>
      <c r="D1863" s="208"/>
      <c r="E1863" s="170"/>
      <c r="F1863" s="170"/>
      <c r="G1863" s="1773"/>
      <c r="H1863" s="1326"/>
      <c r="J1863" s="1312"/>
    </row>
    <row r="1864" spans="1:10" x14ac:dyDescent="0.2">
      <c r="A1864" s="467" t="str">
        <f>IF(I1864&gt;0,"P","")</f>
        <v/>
      </c>
      <c r="B1864" s="1324" t="str">
        <f>IF(LEN('11.900'!H18)=0,"",'11.900'!H18)</f>
        <v/>
      </c>
      <c r="C1864" s="1280" t="str">
        <f t="shared" ref="C1864:C1927" si="147">IF(LEN(B1864)=0,IF(A1864="P","P",""),B1864)</f>
        <v/>
      </c>
      <c r="D1864" s="593" t="s">
        <v>3663</v>
      </c>
      <c r="E1864" s="194"/>
      <c r="F1864" s="194"/>
      <c r="G1864" s="1712" t="s">
        <v>3745</v>
      </c>
      <c r="H1864" s="1341" t="str">
        <f>IF(LEN('11.900'!W18)=0,"",'11.900'!W18)</f>
        <v/>
      </c>
      <c r="I1864" s="88">
        <f>'11.900'!O18</f>
        <v>0</v>
      </c>
      <c r="J1864" s="1312" t="s">
        <v>3120</v>
      </c>
    </row>
    <row r="1865" spans="1:10" x14ac:dyDescent="0.2">
      <c r="A1865" s="467" t="str">
        <f t="shared" ref="A1865" si="148">A1864</f>
        <v/>
      </c>
      <c r="B1865" s="1324" t="str">
        <f>IF(LEN('11.900'!H19)=0,"",'11.900'!H19)</f>
        <v/>
      </c>
      <c r="C1865" s="1280" t="str">
        <f t="shared" si="147"/>
        <v/>
      </c>
      <c r="D1865" s="609"/>
      <c r="E1865" s="97"/>
      <c r="F1865" s="97"/>
      <c r="G1865" s="1629"/>
      <c r="H1865" s="1326"/>
      <c r="J1865" s="1312"/>
    </row>
    <row r="1866" spans="1:10" x14ac:dyDescent="0.2">
      <c r="B1866" s="1324" t="str">
        <f>IF(LEN('11.900'!H20)=0,"",'11.900'!H20)</f>
        <v/>
      </c>
      <c r="C1866" s="1280" t="str">
        <f t="shared" si="147"/>
        <v/>
      </c>
      <c r="D1866" s="208"/>
      <c r="E1866" s="170"/>
      <c r="F1866" s="170"/>
      <c r="G1866" s="1340" t="s">
        <v>2936</v>
      </c>
      <c r="H1866" s="1326"/>
      <c r="J1866" s="1312"/>
    </row>
    <row r="1867" spans="1:10" x14ac:dyDescent="0.2">
      <c r="A1867" s="467" t="str">
        <f ca="1">IF(I1867&gt;0,"P","")</f>
        <v/>
      </c>
      <c r="B1867" s="1324" t="str">
        <f>IF(LEN('11.900'!H21)=0,"",'11.900'!H21)</f>
        <v/>
      </c>
      <c r="C1867" s="1280" t="str">
        <f t="shared" ca="1" si="147"/>
        <v/>
      </c>
      <c r="D1867" s="136" t="s">
        <v>3664</v>
      </c>
      <c r="E1867" s="85"/>
      <c r="F1867" s="85"/>
      <c r="G1867" s="1631" t="s">
        <v>3744</v>
      </c>
      <c r="H1867" s="1326"/>
      <c r="I1867" s="1397">
        <f ca="1">SUM(I1869:I1872)</f>
        <v>0</v>
      </c>
      <c r="J1867" s="1779" t="s">
        <v>3120</v>
      </c>
    </row>
    <row r="1868" spans="1:10" x14ac:dyDescent="0.2">
      <c r="A1868" s="467" t="str">
        <f t="shared" ref="A1868" ca="1" si="149">A1867</f>
        <v/>
      </c>
      <c r="B1868" s="1324" t="str">
        <f>IF(LEN('11.900'!H22)=0,"",'11.900'!H22)</f>
        <v/>
      </c>
      <c r="C1868" s="1280" t="str">
        <f t="shared" ca="1" si="147"/>
        <v/>
      </c>
      <c r="D1868" s="588"/>
      <c r="E1868" s="85"/>
      <c r="F1868" s="85"/>
      <c r="G1868" s="1631"/>
      <c r="H1868" s="1326"/>
      <c r="J1868" s="1779"/>
    </row>
    <row r="1869" spans="1:10" x14ac:dyDescent="0.2">
      <c r="B1869" s="1324" t="str">
        <f>IF(LEN('11.900'!H23)=0,"",'11.900'!H23)</f>
        <v/>
      </c>
      <c r="C1869" s="1280" t="str">
        <f t="shared" si="147"/>
        <v/>
      </c>
      <c r="D1869" s="588"/>
      <c r="E1869" s="89" t="s">
        <v>254</v>
      </c>
      <c r="F1869" s="85"/>
      <c r="G1869" s="1294" t="s">
        <v>2685</v>
      </c>
      <c r="H1869" s="1341" t="str">
        <f>IF(LEN('11.900'!W23)=0,"",'11.900'!W23)</f>
        <v/>
      </c>
      <c r="I1869" s="88">
        <f ca="1">'11.900'!O23</f>
        <v>0</v>
      </c>
      <c r="J1869" s="1312"/>
    </row>
    <row r="1870" spans="1:10" x14ac:dyDescent="0.2">
      <c r="B1870" s="1324" t="str">
        <f>IF(LEN('11.900'!H24)=0,"",'11.900'!H24)</f>
        <v/>
      </c>
      <c r="C1870" s="1280" t="str">
        <f t="shared" si="147"/>
        <v/>
      </c>
      <c r="D1870" s="588"/>
      <c r="E1870" s="89"/>
      <c r="F1870" s="89" t="s">
        <v>121</v>
      </c>
      <c r="G1870" s="1294" t="s">
        <v>2686</v>
      </c>
      <c r="H1870" s="1326"/>
      <c r="J1870" s="1312"/>
    </row>
    <row r="1871" spans="1:10" x14ac:dyDescent="0.2">
      <c r="B1871" s="1324" t="str">
        <f>IF(LEN('11.900'!H25)=0,"",'11.900'!H25)</f>
        <v/>
      </c>
      <c r="C1871" s="1280" t="str">
        <f t="shared" si="147"/>
        <v/>
      </c>
      <c r="D1871" s="588"/>
      <c r="E1871" s="169"/>
      <c r="F1871" s="169" t="s">
        <v>122</v>
      </c>
      <c r="G1871" s="1285" t="s">
        <v>2687</v>
      </c>
      <c r="H1871" s="1326"/>
      <c r="J1871" s="1312"/>
    </row>
    <row r="1872" spans="1:10" x14ac:dyDescent="0.2">
      <c r="B1872" s="1324" t="str">
        <f>IF(LEN('11.900'!H26)=0,"",'11.900'!H26)</f>
        <v/>
      </c>
      <c r="C1872" s="1280" t="str">
        <f t="shared" si="147"/>
        <v/>
      </c>
      <c r="D1872" s="609"/>
      <c r="E1872" s="93" t="s">
        <v>255</v>
      </c>
      <c r="F1872" s="97"/>
      <c r="G1872" s="1287" t="s">
        <v>2688</v>
      </c>
      <c r="H1872" s="1341" t="str">
        <f>IF(LEN('11.900'!W26)=0,"",'11.900'!W26)</f>
        <v/>
      </c>
      <c r="I1872" s="88">
        <f ca="1">'11.900'!O26</f>
        <v>0</v>
      </c>
      <c r="J1872" s="1312"/>
    </row>
    <row r="1873" spans="1:10" x14ac:dyDescent="0.2">
      <c r="B1873" s="1324" t="str">
        <f>IF(LEN('11.900'!H27)=0,"",'11.900'!H27)</f>
        <v/>
      </c>
      <c r="C1873" s="1280" t="str">
        <f t="shared" si="147"/>
        <v/>
      </c>
      <c r="D1873" s="609"/>
      <c r="E1873" s="97"/>
      <c r="F1873" s="93" t="s">
        <v>121</v>
      </c>
      <c r="G1873" s="1287" t="s">
        <v>2689</v>
      </c>
      <c r="H1873" s="1326"/>
      <c r="J1873" s="1312"/>
    </row>
    <row r="1874" spans="1:10" x14ac:dyDescent="0.2">
      <c r="B1874" s="1324" t="str">
        <f>IF(LEN('11.900'!H28)=0,"",'11.900'!H28)</f>
        <v/>
      </c>
      <c r="C1874" s="1280" t="str">
        <f t="shared" si="147"/>
        <v/>
      </c>
      <c r="D1874" s="208"/>
      <c r="E1874" s="170"/>
      <c r="F1874" s="169" t="s">
        <v>122</v>
      </c>
      <c r="G1874" s="1285" t="s">
        <v>2690</v>
      </c>
      <c r="H1874" s="1326"/>
      <c r="J1874" s="1312"/>
    </row>
    <row r="1875" spans="1:10" x14ac:dyDescent="0.2">
      <c r="A1875" s="467" t="str">
        <f>IF(AND(LEN(H1875)&gt;0,NOT(H1875=FALSE),NOT(H1875="N/A")),"P","")</f>
        <v/>
      </c>
      <c r="B1875" s="1324" t="str">
        <f>IF(LEN('11.900'!H29)=0,"",'11.900'!H29)</f>
        <v/>
      </c>
      <c r="C1875" s="1280" t="str">
        <f t="shared" si="147"/>
        <v/>
      </c>
      <c r="D1875" s="102" t="s">
        <v>3665</v>
      </c>
      <c r="E1875" s="97"/>
      <c r="F1875" s="97"/>
      <c r="G1875" s="1629" t="s">
        <v>4954</v>
      </c>
      <c r="H1875" s="1341" t="str">
        <f>IF(LEN('11.900'!W29)=0,"",'11.900'!W29)</f>
        <v>N/A</v>
      </c>
      <c r="J1875" s="1312" t="s">
        <v>3120</v>
      </c>
    </row>
    <row r="1876" spans="1:10" x14ac:dyDescent="0.2">
      <c r="A1876" s="467" t="str">
        <f t="shared" ref="A1876:A1879" si="150">A1875</f>
        <v/>
      </c>
      <c r="B1876" s="1324" t="str">
        <f>IF(LEN('11.900'!H30)=0,"",'11.900'!H30)</f>
        <v/>
      </c>
      <c r="C1876" s="1280" t="str">
        <f t="shared" si="147"/>
        <v/>
      </c>
      <c r="D1876" s="609"/>
      <c r="E1876" s="97"/>
      <c r="F1876" s="97"/>
      <c r="G1876" s="1629"/>
      <c r="H1876" s="1326"/>
      <c r="J1876" s="1312"/>
    </row>
    <row r="1877" spans="1:10" x14ac:dyDescent="0.2">
      <c r="A1877" s="467" t="str">
        <f t="shared" si="150"/>
        <v/>
      </c>
      <c r="B1877" s="1324" t="str">
        <f>IF(LEN('11.900'!H31)=0,"",'11.900'!H31)</f>
        <v/>
      </c>
      <c r="C1877" s="1280" t="str">
        <f t="shared" si="147"/>
        <v/>
      </c>
      <c r="D1877" s="609"/>
      <c r="E1877" s="97"/>
      <c r="F1877" s="97"/>
      <c r="G1877" s="1629"/>
      <c r="H1877" s="1326"/>
      <c r="J1877" s="1312"/>
    </row>
    <row r="1878" spans="1:10" x14ac:dyDescent="0.2">
      <c r="A1878" s="467" t="str">
        <f t="shared" si="150"/>
        <v/>
      </c>
      <c r="B1878" s="1324" t="str">
        <f>IF(LEN('11.900'!H32)=0,"",'11.900'!H32)</f>
        <v/>
      </c>
      <c r="C1878" s="1280" t="str">
        <f t="shared" si="147"/>
        <v/>
      </c>
      <c r="D1878" s="609"/>
      <c r="E1878" s="97"/>
      <c r="F1878" s="97"/>
      <c r="G1878" s="1629"/>
      <c r="H1878" s="1326"/>
      <c r="J1878" s="1312"/>
    </row>
    <row r="1879" spans="1:10" x14ac:dyDescent="0.2">
      <c r="A1879" s="467" t="str">
        <f t="shared" si="150"/>
        <v/>
      </c>
      <c r="B1879" s="1324" t="str">
        <f>IF(LEN('11.900'!H33)=0,"",'11.900'!H33)</f>
        <v/>
      </c>
      <c r="C1879" s="1280" t="str">
        <f t="shared" si="147"/>
        <v/>
      </c>
      <c r="D1879" s="208"/>
      <c r="E1879" s="170"/>
      <c r="F1879" s="170"/>
      <c r="G1879" s="1696"/>
      <c r="H1879" s="1326"/>
      <c r="J1879" s="1312"/>
    </row>
    <row r="1880" spans="1:10" x14ac:dyDescent="0.2">
      <c r="A1880" s="467" t="str">
        <f>IF(I1880&gt;0,"P","")</f>
        <v/>
      </c>
      <c r="B1880" s="1324" t="str">
        <f>IF(LEN('11.900'!H34)=0,"",'11.900'!H34)</f>
        <v/>
      </c>
      <c r="C1880" s="1280" t="str">
        <f t="shared" si="147"/>
        <v/>
      </c>
      <c r="D1880" s="102" t="s">
        <v>3666</v>
      </c>
      <c r="E1880" s="97"/>
      <c r="F1880" s="97"/>
      <c r="G1880" s="1629" t="s">
        <v>3743</v>
      </c>
      <c r="H1880" s="1341" t="str">
        <f>IF(LEN('11.900'!W34)=0,"",'11.900'!W34)</f>
        <v/>
      </c>
      <c r="I1880" s="88">
        <f>'11.900'!O34</f>
        <v>0</v>
      </c>
      <c r="J1880" s="1312" t="s">
        <v>3153</v>
      </c>
    </row>
    <row r="1881" spans="1:10" x14ac:dyDescent="0.2">
      <c r="A1881" s="467" t="str">
        <f t="shared" ref="A1881:A1882" si="151">A1880</f>
        <v/>
      </c>
      <c r="B1881" s="1324" t="str">
        <f>IF(LEN('11.900'!H35)=0,"",'11.900'!H35)</f>
        <v/>
      </c>
      <c r="C1881" s="1280" t="str">
        <f t="shared" si="147"/>
        <v/>
      </c>
      <c r="D1881" s="609"/>
      <c r="E1881" s="97"/>
      <c r="F1881" s="97"/>
      <c r="G1881" s="1629"/>
      <c r="H1881" s="1326"/>
      <c r="J1881" s="1312"/>
    </row>
    <row r="1882" spans="1:10" x14ac:dyDescent="0.2">
      <c r="A1882" s="467" t="str">
        <f t="shared" si="151"/>
        <v/>
      </c>
      <c r="B1882" s="1324" t="str">
        <f>IF(LEN('11.900'!H36)=0,"",'11.900'!H36)</f>
        <v/>
      </c>
      <c r="C1882" s="1280" t="str">
        <f t="shared" si="147"/>
        <v/>
      </c>
      <c r="D1882" s="208"/>
      <c r="E1882" s="170"/>
      <c r="F1882" s="170"/>
      <c r="G1882" s="1696"/>
      <c r="H1882" s="1326"/>
      <c r="J1882" s="1312"/>
    </row>
    <row r="1883" spans="1:10" x14ac:dyDescent="0.2">
      <c r="A1883" s="467" t="str">
        <f ca="1">IF(I1883&gt;0,"P","")</f>
        <v>P</v>
      </c>
      <c r="B1883" s="1324" t="str">
        <f>IF(LEN('11.900'!H37)=0,"",'11.900'!H37)</f>
        <v/>
      </c>
      <c r="C1883" s="1280" t="str">
        <f t="shared" ca="1" si="147"/>
        <v>P</v>
      </c>
      <c r="D1883" s="102" t="s">
        <v>3667</v>
      </c>
      <c r="E1883" s="97"/>
      <c r="F1883" s="97"/>
      <c r="G1883" s="1306" t="s">
        <v>3742</v>
      </c>
      <c r="H1883" s="1341" t="str">
        <f>IF(LEN('11.900'!W37)=0,"",'11.900'!W37)</f>
        <v>(2)</v>
      </c>
      <c r="I1883" s="88">
        <f ca="1">'11.900'!O37</f>
        <v>5</v>
      </c>
      <c r="J1883" s="1312" t="s">
        <v>3120</v>
      </c>
    </row>
    <row r="1884" spans="1:10" x14ac:dyDescent="0.2">
      <c r="B1884" s="1324" t="str">
        <f>IF(LEN('11.900'!H38)=0,"",'11.900'!H38)</f>
        <v/>
      </c>
      <c r="C1884" s="1280" t="str">
        <f t="shared" si="147"/>
        <v/>
      </c>
      <c r="D1884" s="609"/>
      <c r="E1884" s="169" t="s">
        <v>254</v>
      </c>
      <c r="F1884" s="170"/>
      <c r="G1884" s="1285" t="s">
        <v>2694</v>
      </c>
      <c r="H1884" s="1326"/>
      <c r="J1884" s="1312"/>
    </row>
    <row r="1885" spans="1:10" ht="16" thickBot="1" x14ac:dyDescent="0.25">
      <c r="B1885" s="1324" t="str">
        <f>IF(LEN('11.900'!H39)=0,"",'11.900'!H39)</f>
        <v/>
      </c>
      <c r="C1885" s="1280" t="str">
        <f t="shared" si="147"/>
        <v/>
      </c>
      <c r="D1885" s="596"/>
      <c r="E1885" s="98" t="s">
        <v>255</v>
      </c>
      <c r="F1885" s="99"/>
      <c r="G1885" s="1295" t="s">
        <v>2695</v>
      </c>
      <c r="H1885" s="1326"/>
      <c r="J1885" s="1312"/>
    </row>
    <row r="1886" spans="1:10" ht="16" thickTop="1" x14ac:dyDescent="0.2">
      <c r="A1886" s="467" t="str">
        <f>IF(I1886&gt;0,"P","")</f>
        <v>P</v>
      </c>
      <c r="B1886" s="1324" t="str">
        <f>IF(LEN('11.900'!H40)=0,"",'11.900'!H40)</f>
        <v/>
      </c>
      <c r="C1886" s="1280" t="str">
        <f t="shared" si="147"/>
        <v>P</v>
      </c>
      <c r="D1886" s="107" t="s">
        <v>3668</v>
      </c>
      <c r="E1886" s="179"/>
      <c r="F1886" s="179"/>
      <c r="G1886" s="1321" t="s">
        <v>3741</v>
      </c>
      <c r="H1886" s="1326"/>
      <c r="I1886" s="1397">
        <f>SUM(I1887:I1901)</f>
        <v>6</v>
      </c>
      <c r="J1886" s="1312"/>
    </row>
    <row r="1887" spans="1:10" x14ac:dyDescent="0.2">
      <c r="A1887" s="467" t="str">
        <f>IF(I1887&gt;0,"P","")</f>
        <v/>
      </c>
      <c r="B1887" s="1324" t="str">
        <f>IF(LEN('11.900'!H41)=0,"",'11.900'!H41)</f>
        <v/>
      </c>
      <c r="C1887" s="1280" t="str">
        <f t="shared" si="147"/>
        <v/>
      </c>
      <c r="D1887" s="136" t="s">
        <v>3669</v>
      </c>
      <c r="E1887" s="85"/>
      <c r="F1887" s="85"/>
      <c r="G1887" s="1631" t="s">
        <v>3899</v>
      </c>
      <c r="H1887" s="1326"/>
      <c r="I1887" s="1397">
        <f>SUM(I1889:I1899)</f>
        <v>0</v>
      </c>
      <c r="J1887" s="1312"/>
    </row>
    <row r="1888" spans="1:10" x14ac:dyDescent="0.2">
      <c r="A1888" s="467" t="str">
        <f t="shared" ref="A1888" si="152">A1887</f>
        <v/>
      </c>
      <c r="B1888" s="1324" t="str">
        <f>IF(LEN('11.900'!H42)=0,"",'11.900'!H42)</f>
        <v/>
      </c>
      <c r="C1888" s="1280" t="str">
        <f t="shared" si="147"/>
        <v/>
      </c>
      <c r="D1888" s="588"/>
      <c r="E1888" s="85"/>
      <c r="F1888" s="85"/>
      <c r="G1888" s="1631"/>
      <c r="H1888" s="1326"/>
      <c r="J1888" s="1312"/>
    </row>
    <row r="1889" spans="1:10" x14ac:dyDescent="0.2">
      <c r="A1889" s="467" t="str">
        <f>IF(I1889&gt;0,"P","")</f>
        <v/>
      </c>
      <c r="B1889" s="1324" t="str">
        <f>IF(LEN('11.900'!H43)=0,"",'11.900'!H43)</f>
        <v/>
      </c>
      <c r="C1889" s="1280" t="str">
        <f t="shared" si="147"/>
        <v/>
      </c>
      <c r="D1889" s="588"/>
      <c r="E1889" s="93" t="s">
        <v>254</v>
      </c>
      <c r="F1889" s="97"/>
      <c r="G1889" s="1609" t="s">
        <v>2697</v>
      </c>
      <c r="H1889" s="1341" t="str">
        <f>IF(LEN('11.900'!W43)=0,"",'11.900'!W43)</f>
        <v/>
      </c>
      <c r="I1889" s="88">
        <f>'11.900'!O43</f>
        <v>0</v>
      </c>
      <c r="J1889" s="1779" t="s">
        <v>3120</v>
      </c>
    </row>
    <row r="1890" spans="1:10" x14ac:dyDescent="0.2">
      <c r="A1890" s="467" t="str">
        <f t="shared" ref="A1890:A1891" si="153">A1889</f>
        <v/>
      </c>
      <c r="B1890" s="1324" t="str">
        <f>IF(LEN('11.900'!H44)=0,"",'11.900'!H44)</f>
        <v/>
      </c>
      <c r="C1890" s="1280" t="str">
        <f t="shared" si="147"/>
        <v/>
      </c>
      <c r="D1890" s="588"/>
      <c r="E1890" s="97"/>
      <c r="F1890" s="97"/>
      <c r="G1890" s="1609"/>
      <c r="H1890" s="1326"/>
      <c r="J1890" s="1779"/>
    </row>
    <row r="1891" spans="1:10" x14ac:dyDescent="0.2">
      <c r="A1891" s="467" t="str">
        <f t="shared" si="153"/>
        <v/>
      </c>
      <c r="B1891" s="1324" t="str">
        <f>IF(LEN('11.900'!H45)=0,"",'11.900'!H45)</f>
        <v/>
      </c>
      <c r="C1891" s="1280" t="str">
        <f t="shared" si="147"/>
        <v/>
      </c>
      <c r="D1891" s="588"/>
      <c r="E1891" s="170"/>
      <c r="F1891" s="170"/>
      <c r="G1891" s="1612"/>
      <c r="H1891" s="1326"/>
      <c r="J1891" s="1779"/>
    </row>
    <row r="1892" spans="1:10" x14ac:dyDescent="0.2">
      <c r="A1892" s="467" t="str">
        <f>IF(I1892&gt;0,"P","")</f>
        <v/>
      </c>
      <c r="B1892" s="1324" t="str">
        <f>IF(LEN('11.900'!H46)=0,"",'11.900'!H46)</f>
        <v/>
      </c>
      <c r="C1892" s="1280" t="str">
        <f t="shared" si="147"/>
        <v/>
      </c>
      <c r="D1892" s="588"/>
      <c r="E1892" s="93" t="s">
        <v>255</v>
      </c>
      <c r="F1892" s="97"/>
      <c r="G1892" s="1609" t="s">
        <v>4866</v>
      </c>
      <c r="H1892" s="1341" t="str">
        <f>IF(LEN('11.900'!W46)=0,"",'11.900'!W46)</f>
        <v/>
      </c>
      <c r="I1892" s="88">
        <f>'11.900'!O46</f>
        <v>0</v>
      </c>
      <c r="J1892" s="1779" t="s">
        <v>3155</v>
      </c>
    </row>
    <row r="1893" spans="1:10" x14ac:dyDescent="0.2">
      <c r="A1893" s="467" t="str">
        <f t="shared" ref="A1893" si="154">A1892</f>
        <v/>
      </c>
      <c r="B1893" s="1324" t="str">
        <f>IF(LEN('11.900'!H47)=0,"",'11.900'!H47)</f>
        <v/>
      </c>
      <c r="C1893" s="1280" t="str">
        <f t="shared" si="147"/>
        <v/>
      </c>
      <c r="D1893" s="588"/>
      <c r="E1893" s="169"/>
      <c r="F1893" s="170"/>
      <c r="G1893" s="1612"/>
      <c r="H1893" s="1326"/>
      <c r="J1893" s="1779"/>
    </row>
    <row r="1894" spans="1:10" x14ac:dyDescent="0.2">
      <c r="A1894" s="467" t="str">
        <f>IF(I1894&gt;0,"P","")</f>
        <v/>
      </c>
      <c r="B1894" s="1324" t="str">
        <f>IF(LEN('11.900'!H48)=0,"",'11.900'!H48)</f>
        <v/>
      </c>
      <c r="C1894" s="1280" t="str">
        <f t="shared" si="147"/>
        <v/>
      </c>
      <c r="D1894" s="588"/>
      <c r="E1894" s="93" t="s">
        <v>256</v>
      </c>
      <c r="F1894" s="97"/>
      <c r="G1894" s="1609" t="s">
        <v>2698</v>
      </c>
      <c r="H1894" s="1341" t="str">
        <f>IF(LEN('11.900'!W48)=0,"",'11.900'!W48)</f>
        <v/>
      </c>
      <c r="I1894" s="88">
        <f>'11.900'!O48</f>
        <v>0</v>
      </c>
      <c r="J1894" s="1779" t="s">
        <v>3154</v>
      </c>
    </row>
    <row r="1895" spans="1:10" x14ac:dyDescent="0.2">
      <c r="A1895" s="467" t="str">
        <f t="shared" ref="A1895:A1896" si="155">A1894</f>
        <v/>
      </c>
      <c r="B1895" s="1324" t="str">
        <f>IF(LEN('11.900'!H49)=0,"",'11.900'!H49)</f>
        <v/>
      </c>
      <c r="C1895" s="1280" t="str">
        <f t="shared" si="147"/>
        <v/>
      </c>
      <c r="D1895" s="588"/>
      <c r="E1895" s="93"/>
      <c r="F1895" s="97"/>
      <c r="G1895" s="1609"/>
      <c r="H1895" s="1326"/>
      <c r="J1895" s="1779"/>
    </row>
    <row r="1896" spans="1:10" x14ac:dyDescent="0.2">
      <c r="A1896" s="467" t="str">
        <f t="shared" si="155"/>
        <v/>
      </c>
      <c r="B1896" s="1324" t="str">
        <f>IF(LEN('11.900'!H50)=0,"",'11.900'!H50)</f>
        <v/>
      </c>
      <c r="C1896" s="1280" t="str">
        <f t="shared" si="147"/>
        <v/>
      </c>
      <c r="D1896" s="588"/>
      <c r="E1896" s="169"/>
      <c r="F1896" s="170"/>
      <c r="G1896" s="1612"/>
      <c r="H1896" s="1326"/>
      <c r="J1896" s="1779"/>
    </row>
    <row r="1897" spans="1:10" x14ac:dyDescent="0.2">
      <c r="A1897" s="467" t="str">
        <f>IF(I1897&gt;0,"P","")</f>
        <v/>
      </c>
      <c r="B1897" s="1324" t="str">
        <f>IF(LEN('11.900'!H51)=0,"",'11.900'!H51)</f>
        <v/>
      </c>
      <c r="C1897" s="1280" t="str">
        <f t="shared" si="147"/>
        <v/>
      </c>
      <c r="D1897" s="588"/>
      <c r="E1897" s="93" t="s">
        <v>259</v>
      </c>
      <c r="F1897" s="97"/>
      <c r="G1897" s="1657" t="s">
        <v>2699</v>
      </c>
      <c r="H1897" s="1341" t="str">
        <f>IF(LEN('11.900'!W51)=0,"",'11.900'!W51)</f>
        <v/>
      </c>
      <c r="I1897" s="88">
        <f>'11.900'!O51</f>
        <v>0</v>
      </c>
      <c r="J1897" s="1779" t="s">
        <v>3156</v>
      </c>
    </row>
    <row r="1898" spans="1:10" x14ac:dyDescent="0.2">
      <c r="A1898" s="467" t="str">
        <f t="shared" ref="A1898" si="156">A1897</f>
        <v/>
      </c>
      <c r="B1898" s="1324" t="str">
        <f>IF(LEN('11.900'!H52)=0,"",'11.900'!H52)</f>
        <v/>
      </c>
      <c r="C1898" s="1280" t="str">
        <f t="shared" si="147"/>
        <v/>
      </c>
      <c r="D1898" s="588"/>
      <c r="E1898" s="169"/>
      <c r="F1898" s="170"/>
      <c r="G1898" s="1650"/>
      <c r="H1898" s="1326"/>
      <c r="J1898" s="1779"/>
    </row>
    <row r="1899" spans="1:10" x14ac:dyDescent="0.2">
      <c r="A1899" s="467" t="str">
        <f>IF(I1899&gt;0,"P","")</f>
        <v/>
      </c>
      <c r="B1899" s="1324" t="str">
        <f>IF(LEN('11.900'!H53)=0,"",'11.900'!H53)</f>
        <v/>
      </c>
      <c r="C1899" s="1280" t="str">
        <f t="shared" si="147"/>
        <v/>
      </c>
      <c r="D1899" s="609"/>
      <c r="E1899" s="93" t="s">
        <v>263</v>
      </c>
      <c r="F1899" s="97"/>
      <c r="G1899" s="1609" t="s">
        <v>2700</v>
      </c>
      <c r="H1899" s="1341" t="str">
        <f>IF(LEN('11.900'!W53)=0,"",'11.900'!W53)</f>
        <v/>
      </c>
      <c r="I1899" s="88">
        <f>'11.900'!O53</f>
        <v>0</v>
      </c>
      <c r="J1899" s="1779" t="s">
        <v>3156</v>
      </c>
    </row>
    <row r="1900" spans="1:10" x14ac:dyDescent="0.2">
      <c r="A1900" s="467" t="str">
        <f t="shared" ref="A1900" si="157">A1899</f>
        <v/>
      </c>
      <c r="B1900" s="1324" t="str">
        <f>IF(LEN('11.900'!H54)=0,"",'11.900'!H54)</f>
        <v/>
      </c>
      <c r="C1900" s="1280" t="str">
        <f t="shared" si="147"/>
        <v/>
      </c>
      <c r="D1900" s="208"/>
      <c r="E1900" s="169"/>
      <c r="F1900" s="170"/>
      <c r="G1900" s="1612"/>
      <c r="H1900" s="1326"/>
      <c r="J1900" s="1779"/>
    </row>
    <row r="1901" spans="1:10" ht="16" thickBot="1" x14ac:dyDescent="0.25">
      <c r="A1901" s="467" t="str">
        <f>IF(I1901&gt;0,"P","")</f>
        <v>P</v>
      </c>
      <c r="B1901" s="1324" t="str">
        <f>IF(LEN('11.900'!H55)=0,"",'11.900'!H55)</f>
        <v/>
      </c>
      <c r="C1901" s="1280" t="str">
        <f t="shared" si="147"/>
        <v>P</v>
      </c>
      <c r="D1901" s="592" t="s">
        <v>3670</v>
      </c>
      <c r="E1901" s="99"/>
      <c r="F1901" s="99"/>
      <c r="G1901" s="439" t="s">
        <v>3740</v>
      </c>
      <c r="H1901" s="1341" t="b">
        <f>IF(LEN('11.900'!W55)=0,"",'11.900'!W55)</f>
        <v>1</v>
      </c>
      <c r="I1901" s="88">
        <f>'11.900'!O55</f>
        <v>6</v>
      </c>
      <c r="J1901" s="1312" t="s">
        <v>3120</v>
      </c>
    </row>
    <row r="1902" spans="1:10" ht="16" thickTop="1" x14ac:dyDescent="0.2">
      <c r="A1902" s="467" t="str">
        <f ca="1">IF(I1902&gt;0,"P","")</f>
        <v>P</v>
      </c>
      <c r="B1902" s="1324" t="str">
        <f>IF(LEN('11.900'!H56)=0,"",'11.900'!H56)</f>
        <v/>
      </c>
      <c r="C1902" s="1280" t="str">
        <f t="shared" ca="1" si="147"/>
        <v>P</v>
      </c>
      <c r="D1902" s="136" t="s">
        <v>3671</v>
      </c>
      <c r="E1902" s="85"/>
      <c r="F1902" s="85"/>
      <c r="G1902" s="1300" t="s">
        <v>3739</v>
      </c>
      <c r="H1902" s="1326"/>
      <c r="I1902" s="1397">
        <f ca="1">SUM(I1903:I1914)</f>
        <v>10</v>
      </c>
      <c r="J1902" s="1312"/>
    </row>
    <row r="1903" spans="1:10" x14ac:dyDescent="0.2">
      <c r="A1903" s="467" t="str">
        <f ca="1">IF(I1903&gt;0,"P","")</f>
        <v/>
      </c>
      <c r="B1903" s="1324" t="str">
        <f>IF(LEN('11.900'!H57)=0,"",'11.900'!H57)</f>
        <v/>
      </c>
      <c r="C1903" s="1280" t="str">
        <f t="shared" ca="1" si="147"/>
        <v/>
      </c>
      <c r="D1903" s="588"/>
      <c r="E1903" s="89" t="s">
        <v>254</v>
      </c>
      <c r="F1903" s="85"/>
      <c r="G1903" s="1294" t="s">
        <v>2702</v>
      </c>
      <c r="H1903" s="1326"/>
      <c r="I1903" s="1397">
        <f ca="1">SUM(I1904:I1908)</f>
        <v>0</v>
      </c>
      <c r="J1903" s="1312"/>
    </row>
    <row r="1904" spans="1:10" x14ac:dyDescent="0.2">
      <c r="A1904" s="467" t="str">
        <f>IF(I1904&gt;0,"P","")</f>
        <v/>
      </c>
      <c r="B1904" s="1324" t="str">
        <f>IF(LEN('11.900'!H58)=0,"",'11.900'!H58)</f>
        <v/>
      </c>
      <c r="C1904" s="1280" t="str">
        <f t="shared" si="147"/>
        <v/>
      </c>
      <c r="D1904" s="588"/>
      <c r="E1904" s="85"/>
      <c r="F1904" s="93" t="s">
        <v>121</v>
      </c>
      <c r="G1904" s="1609" t="s">
        <v>3906</v>
      </c>
      <c r="H1904" s="1341" t="str">
        <f>IF(LEN('11.900'!W58)=0,"",'11.900'!W58)</f>
        <v/>
      </c>
      <c r="I1904" s="88">
        <f>'11.900'!O58</f>
        <v>0</v>
      </c>
      <c r="J1904" s="1312" t="s">
        <v>3120</v>
      </c>
    </row>
    <row r="1905" spans="1:10" x14ac:dyDescent="0.2">
      <c r="A1905" s="467" t="str">
        <f t="shared" ref="A1905" si="158">A1904</f>
        <v/>
      </c>
      <c r="B1905" s="1324" t="str">
        <f>IF(LEN('11.900'!H59)=0,"",'11.900'!H59)</f>
        <v/>
      </c>
      <c r="C1905" s="1280" t="str">
        <f t="shared" si="147"/>
        <v/>
      </c>
      <c r="D1905" s="588"/>
      <c r="E1905" s="85"/>
      <c r="F1905" s="169"/>
      <c r="G1905" s="1612"/>
      <c r="H1905" s="1326"/>
      <c r="J1905" s="1312"/>
    </row>
    <row r="1906" spans="1:10" x14ac:dyDescent="0.2">
      <c r="A1906" s="467" t="str">
        <f>IF(I1906&gt;0,"P","")</f>
        <v/>
      </c>
      <c r="B1906" s="1324" t="str">
        <f>IF(LEN('11.900'!H60)=0,"",'11.900'!H60)</f>
        <v/>
      </c>
      <c r="C1906" s="1280" t="str">
        <f t="shared" si="147"/>
        <v/>
      </c>
      <c r="D1906" s="588"/>
      <c r="E1906" s="85"/>
      <c r="F1906" s="93" t="s">
        <v>122</v>
      </c>
      <c r="G1906" s="1609" t="s">
        <v>3907</v>
      </c>
      <c r="H1906" s="1341" t="str">
        <f>IF(LEN('11.900'!W60)=0,"",'11.900'!W60)</f>
        <v/>
      </c>
      <c r="I1906" s="88">
        <f>'11.900'!O60</f>
        <v>0</v>
      </c>
      <c r="J1906" s="1312" t="s">
        <v>3120</v>
      </c>
    </row>
    <row r="1907" spans="1:10" x14ac:dyDescent="0.2">
      <c r="A1907" s="467" t="str">
        <f t="shared" ref="A1907" si="159">A1906</f>
        <v/>
      </c>
      <c r="B1907" s="1324" t="str">
        <f>IF(LEN('11.900'!H61)=0,"",'11.900'!H61)</f>
        <v/>
      </c>
      <c r="C1907" s="1280" t="str">
        <f t="shared" si="147"/>
        <v/>
      </c>
      <c r="D1907" s="588"/>
      <c r="E1907" s="85"/>
      <c r="F1907" s="170"/>
      <c r="G1907" s="1612"/>
      <c r="H1907" s="1326"/>
      <c r="J1907" s="1312"/>
    </row>
    <row r="1908" spans="1:10" x14ac:dyDescent="0.2">
      <c r="A1908" s="467" t="str">
        <f ca="1">IF(I1908&gt;0,"P","")</f>
        <v/>
      </c>
      <c r="B1908" s="1324" t="str">
        <f>IF(LEN('11.900'!H62)=0,"",'11.900'!H62)</f>
        <v/>
      </c>
      <c r="C1908" s="1280" t="str">
        <f t="shared" ca="1" si="147"/>
        <v/>
      </c>
      <c r="D1908" s="588"/>
      <c r="E1908" s="97"/>
      <c r="F1908" s="93" t="s">
        <v>123</v>
      </c>
      <c r="G1908" s="1609" t="s">
        <v>2703</v>
      </c>
      <c r="H1908" s="1341" t="str">
        <f>IF(LEN('11.900'!W62)=0,"",'11.900'!W62)</f>
        <v/>
      </c>
      <c r="I1908" s="88">
        <f ca="1">'11.900'!O62</f>
        <v>0</v>
      </c>
      <c r="J1908" s="1779" t="s">
        <v>3157</v>
      </c>
    </row>
    <row r="1909" spans="1:10" x14ac:dyDescent="0.2">
      <c r="A1909" s="467" t="str">
        <f t="shared" ref="A1909:A1913" ca="1" si="160">A1908</f>
        <v/>
      </c>
      <c r="B1909" s="1324" t="str">
        <f>IF(LEN('11.900'!H63)=0,"",'11.900'!H63)</f>
        <v/>
      </c>
      <c r="C1909" s="1280" t="str">
        <f t="shared" ca="1" si="147"/>
        <v/>
      </c>
      <c r="D1909" s="588"/>
      <c r="E1909" s="97"/>
      <c r="F1909" s="97"/>
      <c r="G1909" s="1609"/>
      <c r="H1909" s="1326"/>
      <c r="J1909" s="1779"/>
    </row>
    <row r="1910" spans="1:10" x14ac:dyDescent="0.2">
      <c r="A1910" s="467" t="str">
        <f t="shared" ca="1" si="160"/>
        <v/>
      </c>
      <c r="B1910" s="1324" t="str">
        <f>IF(LEN('11.900'!H64)=0,"",'11.900'!H64)</f>
        <v/>
      </c>
      <c r="C1910" s="1280" t="str">
        <f t="shared" ca="1" si="147"/>
        <v/>
      </c>
      <c r="D1910" s="588"/>
      <c r="E1910" s="97"/>
      <c r="F1910" s="97"/>
      <c r="G1910" s="1609"/>
      <c r="H1910" s="1326"/>
      <c r="J1910" s="1779"/>
    </row>
    <row r="1911" spans="1:10" x14ac:dyDescent="0.2">
      <c r="A1911" s="467" t="str">
        <f t="shared" ca="1" si="160"/>
        <v/>
      </c>
      <c r="B1911" s="1324" t="str">
        <f>IF(LEN('11.900'!H65)=0,"",'11.900'!H65)</f>
        <v/>
      </c>
      <c r="C1911" s="1280" t="str">
        <f t="shared" ca="1" si="147"/>
        <v/>
      </c>
      <c r="D1911" s="588"/>
      <c r="E1911" s="97"/>
      <c r="F1911" s="97"/>
      <c r="G1911" s="1609"/>
      <c r="H1911" s="1326"/>
      <c r="J1911" s="1779"/>
    </row>
    <row r="1912" spans="1:10" x14ac:dyDescent="0.2">
      <c r="A1912" s="467" t="str">
        <f t="shared" ca="1" si="160"/>
        <v/>
      </c>
      <c r="B1912" s="1324" t="str">
        <f>IF(LEN('11.900'!H66)=0,"",'11.900'!H66)</f>
        <v/>
      </c>
      <c r="C1912" s="1280" t="str">
        <f t="shared" ca="1" si="147"/>
        <v/>
      </c>
      <c r="D1912" s="588"/>
      <c r="E1912" s="97"/>
      <c r="F1912" s="97"/>
      <c r="G1912" s="1609"/>
      <c r="H1912" s="1326"/>
      <c r="J1912" s="1779"/>
    </row>
    <row r="1913" spans="1:10" x14ac:dyDescent="0.2">
      <c r="A1913" s="467" t="str">
        <f t="shared" ca="1" si="160"/>
        <v/>
      </c>
      <c r="B1913" s="1324" t="str">
        <f>IF(LEN('11.900'!H67)=0,"",'11.900'!H67)</f>
        <v/>
      </c>
      <c r="C1913" s="1280" t="str">
        <f t="shared" ca="1" si="147"/>
        <v/>
      </c>
      <c r="D1913" s="588"/>
      <c r="E1913" s="170"/>
      <c r="F1913" s="170"/>
      <c r="G1913" s="1612"/>
      <c r="H1913" s="1326"/>
      <c r="J1913" s="1779"/>
    </row>
    <row r="1914" spans="1:10" ht="15.75" customHeight="1" thickBot="1" x14ac:dyDescent="0.25">
      <c r="A1914" s="467" t="str">
        <f>IF(I1914&gt;0,"P","")</f>
        <v>P</v>
      </c>
      <c r="B1914" s="1324" t="str">
        <f>IF(LEN('11.900'!H68)=0,"",'11.900'!H68)</f>
        <v/>
      </c>
      <c r="C1914" s="1280" t="str">
        <f t="shared" si="147"/>
        <v>P</v>
      </c>
      <c r="D1914" s="596"/>
      <c r="E1914" s="98" t="s">
        <v>255</v>
      </c>
      <c r="F1914" s="99"/>
      <c r="G1914" s="1295" t="s">
        <v>2704</v>
      </c>
      <c r="H1914" s="1341" t="b">
        <f>IF(LEN('11.900'!W68)=0,"",'11.900'!W68)</f>
        <v>1</v>
      </c>
      <c r="I1914" s="88">
        <f>'11.900'!O68</f>
        <v>10</v>
      </c>
      <c r="J1914" s="1312" t="s">
        <v>3120</v>
      </c>
    </row>
    <row r="1915" spans="1:10" ht="16" thickTop="1" x14ac:dyDescent="0.2">
      <c r="A1915" s="467" t="str">
        <f ca="1">IF(I1915&gt;0,"P","")</f>
        <v/>
      </c>
      <c r="B1915" s="1324" t="str">
        <f>IF(LEN('11.900'!H69)=0,"",'11.900'!H69)</f>
        <v/>
      </c>
      <c r="C1915" s="1280" t="str">
        <f t="shared" ca="1" si="147"/>
        <v/>
      </c>
      <c r="D1915" s="136" t="s">
        <v>3672</v>
      </c>
      <c r="E1915" s="85"/>
      <c r="F1915" s="85"/>
      <c r="G1915" s="1611" t="s">
        <v>3896</v>
      </c>
      <c r="H1915" s="1326"/>
      <c r="I1915" s="88">
        <f ca="1">'11.900'!O69</f>
        <v>0</v>
      </c>
      <c r="J1915" s="1312"/>
    </row>
    <row r="1916" spans="1:10" x14ac:dyDescent="0.2">
      <c r="A1916" s="467" t="str">
        <f t="shared" ref="A1916:A1918" ca="1" si="161">A1915</f>
        <v/>
      </c>
      <c r="B1916" s="1324" t="str">
        <f>IF(LEN('11.900'!H70)=0,"",'11.900'!H70)</f>
        <v/>
      </c>
      <c r="C1916" s="1280" t="str">
        <f t="shared" ca="1" si="147"/>
        <v/>
      </c>
      <c r="D1916" s="588"/>
      <c r="E1916" s="85"/>
      <c r="F1916" s="85"/>
      <c r="G1916" s="1611"/>
      <c r="H1916" s="1326"/>
      <c r="J1916" s="1312"/>
    </row>
    <row r="1917" spans="1:10" x14ac:dyDescent="0.2">
      <c r="A1917" s="467" t="str">
        <f t="shared" ca="1" si="161"/>
        <v/>
      </c>
      <c r="B1917" s="1324" t="str">
        <f>IF(LEN('11.900'!H71)=0,"",'11.900'!H71)</f>
        <v/>
      </c>
      <c r="C1917" s="1280" t="str">
        <f t="shared" ca="1" si="147"/>
        <v/>
      </c>
      <c r="D1917" s="588"/>
      <c r="E1917" s="85"/>
      <c r="F1917" s="85"/>
      <c r="G1917" s="1611"/>
      <c r="H1917" s="1326"/>
      <c r="J1917" s="1312"/>
    </row>
    <row r="1918" spans="1:10" x14ac:dyDescent="0.2">
      <c r="A1918" s="467" t="str">
        <f t="shared" ca="1" si="161"/>
        <v/>
      </c>
      <c r="B1918" s="1324" t="str">
        <f>IF(LEN('11.900'!H72)=0,"",'11.900'!H72)</f>
        <v/>
      </c>
      <c r="C1918" s="1280" t="str">
        <f t="shared" ca="1" si="147"/>
        <v/>
      </c>
      <c r="D1918" s="588"/>
      <c r="E1918" s="85"/>
      <c r="F1918" s="85"/>
      <c r="G1918" s="1611"/>
      <c r="H1918" s="1326"/>
      <c r="J1918" s="1312"/>
    </row>
    <row r="1919" spans="1:10" x14ac:dyDescent="0.2">
      <c r="A1919" s="467" t="str">
        <f>IF(AND(LEN(H1919)&gt;0,NOT(H1919=FALSE)),"P","")</f>
        <v>P</v>
      </c>
      <c r="B1919" s="1324" t="str">
        <f>IF(LEN('11.900'!H73)=0,"",'11.900'!H73)</f>
        <v/>
      </c>
      <c r="C1919" s="1280" t="str">
        <f t="shared" si="147"/>
        <v>P</v>
      </c>
      <c r="D1919" s="588"/>
      <c r="E1919" s="93" t="s">
        <v>254</v>
      </c>
      <c r="F1919" s="97"/>
      <c r="G1919" s="1609" t="s">
        <v>2705</v>
      </c>
      <c r="H1919" s="1341" t="str">
        <f>IF(LEN('11.900'!W73)=0,"",'11.900'!W73)</f>
        <v>N/A</v>
      </c>
      <c r="J1919" s="1799" t="s">
        <v>3120</v>
      </c>
    </row>
    <row r="1920" spans="1:10" x14ac:dyDescent="0.2">
      <c r="A1920" s="467" t="str">
        <f t="shared" ref="A1920:A1922" si="162">A1919</f>
        <v>P</v>
      </c>
      <c r="B1920" s="1324" t="str">
        <f>IF(LEN('11.900'!H74)=0,"",'11.900'!H74)</f>
        <v/>
      </c>
      <c r="C1920" s="1280" t="str">
        <f t="shared" si="147"/>
        <v>P</v>
      </c>
      <c r="D1920" s="588"/>
      <c r="E1920" s="97"/>
      <c r="F1920" s="97"/>
      <c r="G1920" s="1609"/>
      <c r="H1920" s="1326"/>
      <c r="J1920" s="1799"/>
    </row>
    <row r="1921" spans="1:10" x14ac:dyDescent="0.2">
      <c r="A1921" s="467" t="str">
        <f t="shared" si="162"/>
        <v>P</v>
      </c>
      <c r="B1921" s="1324" t="str">
        <f>IF(LEN('11.900'!H75)=0,"",'11.900'!H75)</f>
        <v/>
      </c>
      <c r="C1921" s="1280" t="str">
        <f t="shared" si="147"/>
        <v>P</v>
      </c>
      <c r="D1921" s="588"/>
      <c r="E1921" s="97"/>
      <c r="F1921" s="97"/>
      <c r="G1921" s="1609"/>
      <c r="H1921" s="1326"/>
      <c r="J1921" s="1799"/>
    </row>
    <row r="1922" spans="1:10" x14ac:dyDescent="0.2">
      <c r="A1922" s="467" t="str">
        <f t="shared" si="162"/>
        <v>P</v>
      </c>
      <c r="B1922" s="1324" t="str">
        <f>IF(LEN('11.900'!H76)=0,"",'11.900'!H76)</f>
        <v/>
      </c>
      <c r="C1922" s="1280" t="str">
        <f t="shared" si="147"/>
        <v>P</v>
      </c>
      <c r="D1922" s="588"/>
      <c r="E1922" s="97"/>
      <c r="F1922" s="97"/>
      <c r="G1922" s="1609"/>
      <c r="H1922" s="1326"/>
      <c r="J1922" s="1799"/>
    </row>
    <row r="1923" spans="1:10" x14ac:dyDescent="0.2">
      <c r="B1923" s="1324" t="str">
        <f>IF(LEN('11.900'!H77)=0,"",'11.900'!H77)</f>
        <v/>
      </c>
      <c r="C1923" s="1280" t="str">
        <f t="shared" si="147"/>
        <v/>
      </c>
      <c r="D1923" s="588"/>
      <c r="E1923" s="170"/>
      <c r="F1923" s="170"/>
      <c r="G1923" s="1340" t="s">
        <v>3194</v>
      </c>
      <c r="H1923" s="1326"/>
      <c r="J1923" s="1312"/>
    </row>
    <row r="1924" spans="1:10" x14ac:dyDescent="0.2">
      <c r="A1924" s="1503" t="str">
        <f>IF(COUNTIF(A1922,"P")&gt;0,"P","")</f>
        <v>P</v>
      </c>
      <c r="B1924" s="1324" t="str">
        <f>IF(LEN('11.900'!H78)=0,"",'11.900'!H78)</f>
        <v/>
      </c>
      <c r="C1924" s="1280" t="str">
        <f t="shared" si="147"/>
        <v>P</v>
      </c>
      <c r="D1924" s="609"/>
      <c r="E1924" s="97"/>
      <c r="F1924" s="97"/>
      <c r="G1924" s="1287" t="s">
        <v>2923</v>
      </c>
      <c r="H1924" s="1341" t="str">
        <f>IF(LEN('11.900'!W78)=0,"",'11.900'!W78)</f>
        <v/>
      </c>
      <c r="J1924" s="1312"/>
    </row>
    <row r="1925" spans="1:10" x14ac:dyDescent="0.2">
      <c r="A1925" s="467" t="str">
        <f>A1924</f>
        <v>P</v>
      </c>
      <c r="B1925" s="1324" t="str">
        <f>IF(LEN('11.900'!H79)=0,"",'11.900'!H79)</f>
        <v/>
      </c>
      <c r="C1925" s="1280" t="str">
        <f t="shared" si="147"/>
        <v>P</v>
      </c>
      <c r="D1925" s="609"/>
      <c r="E1925" s="97"/>
      <c r="F1925" s="97"/>
      <c r="G1925" s="1287" t="s">
        <v>2924</v>
      </c>
      <c r="H1925" s="1341" t="str">
        <f>IF(LEN('11.900'!W79)=0,"",'11.900'!W79)</f>
        <v/>
      </c>
      <c r="J1925" s="1312"/>
    </row>
    <row r="1926" spans="1:10" x14ac:dyDescent="0.2">
      <c r="A1926" s="467" t="str">
        <f t="shared" ref="A1926:A1934" si="163">A1925</f>
        <v>P</v>
      </c>
      <c r="B1926" s="1324" t="str">
        <f>IF(LEN('11.900'!H80)=0,"",'11.900'!H80)</f>
        <v/>
      </c>
      <c r="C1926" s="1280" t="str">
        <f t="shared" si="147"/>
        <v>P</v>
      </c>
      <c r="D1926" s="609"/>
      <c r="E1926" s="97"/>
      <c r="F1926" s="97"/>
      <c r="G1926" s="1287" t="s">
        <v>2925</v>
      </c>
      <c r="H1926" s="1341" t="str">
        <f>IF(LEN('11.900'!W80)=0,"",'11.900'!W80)</f>
        <v/>
      </c>
      <c r="J1926" s="1312"/>
    </row>
    <row r="1927" spans="1:10" x14ac:dyDescent="0.2">
      <c r="A1927" s="467" t="str">
        <f t="shared" si="163"/>
        <v>P</v>
      </c>
      <c r="B1927" s="1324" t="str">
        <f>IF(LEN('11.900'!H81)=0,"",'11.900'!H81)</f>
        <v/>
      </c>
      <c r="C1927" s="1280" t="str">
        <f t="shared" si="147"/>
        <v>P</v>
      </c>
      <c r="D1927" s="609"/>
      <c r="E1927" s="97"/>
      <c r="F1927" s="97"/>
      <c r="G1927" s="1287" t="s">
        <v>2926</v>
      </c>
      <c r="H1927" s="1341" t="str">
        <f>IF(LEN('11.900'!W81)=0,"",'11.900'!W81)</f>
        <v/>
      </c>
      <c r="J1927" s="1312"/>
    </row>
    <row r="1928" spans="1:10" x14ac:dyDescent="0.2">
      <c r="A1928" s="467" t="str">
        <f t="shared" si="163"/>
        <v>P</v>
      </c>
      <c r="B1928" s="1324" t="str">
        <f>IF(LEN('11.900'!H82)=0,"",'11.900'!H82)</f>
        <v/>
      </c>
      <c r="C1928" s="1280" t="str">
        <f t="shared" ref="C1928:C1991" si="164">IF(LEN(B1928)=0,IF(A1928="P","P",""),B1928)</f>
        <v>P</v>
      </c>
      <c r="D1928" s="609"/>
      <c r="E1928" s="93" t="s">
        <v>255</v>
      </c>
      <c r="F1928" s="97"/>
      <c r="G1928" s="1609" t="s">
        <v>2706</v>
      </c>
      <c r="H1928" s="1326"/>
      <c r="J1928" s="1312" t="s">
        <v>5225</v>
      </c>
    </row>
    <row r="1929" spans="1:10" x14ac:dyDescent="0.2">
      <c r="A1929" s="467" t="str">
        <f t="shared" si="163"/>
        <v>P</v>
      </c>
      <c r="B1929" s="1324" t="str">
        <f>IF(LEN('11.900'!H83)=0,"",'11.900'!H83)</f>
        <v/>
      </c>
      <c r="C1929" s="1280" t="str">
        <f t="shared" si="164"/>
        <v>P</v>
      </c>
      <c r="D1929" s="609"/>
      <c r="E1929" s="170"/>
      <c r="F1929" s="170"/>
      <c r="G1929" s="1612"/>
      <c r="H1929" s="1326"/>
      <c r="J1929" s="1312"/>
    </row>
    <row r="1930" spans="1:10" x14ac:dyDescent="0.2">
      <c r="A1930" s="467" t="str">
        <f t="shared" si="163"/>
        <v>P</v>
      </c>
      <c r="B1930" s="1324" t="str">
        <f>IF(LEN('11.900'!H84)=0,"",'11.900'!H84)</f>
        <v/>
      </c>
      <c r="C1930" s="1280" t="str">
        <f t="shared" si="164"/>
        <v>P</v>
      </c>
      <c r="D1930" s="609"/>
      <c r="E1930" s="169" t="s">
        <v>256</v>
      </c>
      <c r="F1930" s="170"/>
      <c r="G1930" s="1285" t="s">
        <v>2707</v>
      </c>
      <c r="H1930" s="1326"/>
      <c r="J1930" s="1312" t="s">
        <v>5225</v>
      </c>
    </row>
    <row r="1931" spans="1:10" x14ac:dyDescent="0.2">
      <c r="A1931" s="467" t="str">
        <f t="shared" si="163"/>
        <v>P</v>
      </c>
      <c r="B1931" s="1324" t="str">
        <f>IF(LEN('11.900'!H85)=0,"",'11.900'!H85)</f>
        <v/>
      </c>
      <c r="C1931" s="1280" t="str">
        <f t="shared" si="164"/>
        <v>P</v>
      </c>
      <c r="D1931" s="609"/>
      <c r="E1931" s="169" t="s">
        <v>259</v>
      </c>
      <c r="F1931" s="170"/>
      <c r="G1931" s="1285" t="s">
        <v>2708</v>
      </c>
      <c r="H1931" s="1326"/>
      <c r="J1931" s="1312" t="s">
        <v>5225</v>
      </c>
    </row>
    <row r="1932" spans="1:10" x14ac:dyDescent="0.2">
      <c r="A1932" s="467" t="str">
        <f t="shared" si="163"/>
        <v>P</v>
      </c>
      <c r="B1932" s="1324" t="str">
        <f>IF(LEN('11.900'!H86)=0,"",'11.900'!H86)</f>
        <v/>
      </c>
      <c r="C1932" s="1280" t="str">
        <f t="shared" si="164"/>
        <v>P</v>
      </c>
      <c r="D1932" s="609"/>
      <c r="E1932" s="93" t="s">
        <v>263</v>
      </c>
      <c r="F1932" s="97"/>
      <c r="G1932" s="1609" t="s">
        <v>2709</v>
      </c>
      <c r="H1932" s="1326"/>
      <c r="J1932" s="1799" t="s">
        <v>5225</v>
      </c>
    </row>
    <row r="1933" spans="1:10" x14ac:dyDescent="0.2">
      <c r="A1933" s="467" t="str">
        <f t="shared" si="163"/>
        <v>P</v>
      </c>
      <c r="B1933" s="1324" t="str">
        <f>IF(LEN('11.900'!H87)=0,"",'11.900'!H87)</f>
        <v/>
      </c>
      <c r="C1933" s="1280" t="str">
        <f t="shared" si="164"/>
        <v>P</v>
      </c>
      <c r="D1933" s="609"/>
      <c r="E1933" s="169"/>
      <c r="F1933" s="170"/>
      <c r="G1933" s="1612"/>
      <c r="H1933" s="1326"/>
      <c r="J1933" s="1799"/>
    </row>
    <row r="1934" spans="1:10" ht="16" thickBot="1" x14ac:dyDescent="0.25">
      <c r="A1934" s="467" t="str">
        <f t="shared" si="163"/>
        <v>P</v>
      </c>
      <c r="B1934" s="1324" t="str">
        <f>IF(LEN('11.900'!H88)=0,"",'11.900'!H88)</f>
        <v/>
      </c>
      <c r="C1934" s="1280" t="str">
        <f t="shared" si="164"/>
        <v>P</v>
      </c>
      <c r="D1934" s="596"/>
      <c r="E1934" s="98" t="s">
        <v>264</v>
      </c>
      <c r="F1934" s="99"/>
      <c r="G1934" s="1295" t="s">
        <v>2710</v>
      </c>
      <c r="H1934" s="1326"/>
      <c r="J1934" s="1312" t="s">
        <v>5225</v>
      </c>
    </row>
    <row r="1935" spans="1:10" ht="16" thickTop="1" x14ac:dyDescent="0.2">
      <c r="A1935" s="467" t="str">
        <f>IF(I1935&gt;0,"P","")</f>
        <v/>
      </c>
      <c r="B1935" s="1324" t="str">
        <f>IF(LEN('11.900'!H89)=0,"",'11.900'!H89)</f>
        <v/>
      </c>
      <c r="C1935" s="1280" t="str">
        <f t="shared" si="164"/>
        <v/>
      </c>
      <c r="D1935" s="136" t="s">
        <v>3673</v>
      </c>
      <c r="E1935" s="85"/>
      <c r="F1935" s="85"/>
      <c r="G1935" s="1631" t="s">
        <v>3895</v>
      </c>
      <c r="H1935" s="1326"/>
      <c r="I1935" s="1397">
        <f>SUM(I1938:I1940)</f>
        <v>0</v>
      </c>
      <c r="J1935" s="1312"/>
    </row>
    <row r="1936" spans="1:10" x14ac:dyDescent="0.2">
      <c r="A1936" s="467" t="str">
        <f t="shared" ref="A1936" si="165">A1935</f>
        <v/>
      </c>
      <c r="B1936" s="1324" t="str">
        <f>IF(LEN('11.900'!H90)=0,"",'11.900'!H90)</f>
        <v/>
      </c>
      <c r="C1936" s="1280" t="str">
        <f t="shared" si="164"/>
        <v/>
      </c>
      <c r="D1936" s="588"/>
      <c r="E1936" s="85"/>
      <c r="F1936" s="85"/>
      <c r="G1936" s="1631"/>
      <c r="H1936" s="1326"/>
      <c r="J1936" s="1312"/>
    </row>
    <row r="1937" spans="1:10" x14ac:dyDescent="0.2">
      <c r="B1937" s="1324" t="str">
        <f>IF(LEN('11.900'!H91)=0,"",'11.900'!H91)</f>
        <v/>
      </c>
      <c r="C1937" s="1280" t="str">
        <f t="shared" si="164"/>
        <v/>
      </c>
      <c r="D1937" s="588"/>
      <c r="E1937" s="85"/>
      <c r="F1937" s="85"/>
      <c r="G1937" s="1296" t="s">
        <v>2711</v>
      </c>
      <c r="H1937" s="1326"/>
      <c r="J1937" s="1312"/>
    </row>
    <row r="1938" spans="1:10" x14ac:dyDescent="0.2">
      <c r="A1938" s="467" t="str">
        <f>IF(I1938&gt;0,"P","")</f>
        <v/>
      </c>
      <c r="B1938" s="1324" t="str">
        <f>IF(LEN('11.900'!H92)=0,"",'11.900'!H92)</f>
        <v/>
      </c>
      <c r="C1938" s="1280" t="str">
        <f t="shared" si="164"/>
        <v/>
      </c>
      <c r="D1938" s="588"/>
      <c r="E1938" s="93" t="s">
        <v>254</v>
      </c>
      <c r="F1938" s="97"/>
      <c r="G1938" s="1609" t="s">
        <v>2712</v>
      </c>
      <c r="H1938" s="1341" t="str">
        <f>IF(LEN('11.900'!W92)=0,"",'11.900'!W92)</f>
        <v/>
      </c>
      <c r="I1938" s="88">
        <f>'11.900'!O92</f>
        <v>0</v>
      </c>
      <c r="J1938" s="1779" t="s">
        <v>3120</v>
      </c>
    </row>
    <row r="1939" spans="1:10" x14ac:dyDescent="0.2">
      <c r="A1939" s="467" t="str">
        <f t="shared" ref="A1939" si="166">A1938</f>
        <v/>
      </c>
      <c r="B1939" s="1324" t="str">
        <f>IF(LEN('11.900'!H93)=0,"",'11.900'!H93)</f>
        <v/>
      </c>
      <c r="C1939" s="1280" t="str">
        <f t="shared" si="164"/>
        <v/>
      </c>
      <c r="D1939" s="588"/>
      <c r="E1939" s="170"/>
      <c r="F1939" s="170"/>
      <c r="G1939" s="1612"/>
      <c r="H1939" s="1326"/>
      <c r="J1939" s="1779"/>
    </row>
    <row r="1940" spans="1:10" x14ac:dyDescent="0.2">
      <c r="A1940" s="467" t="str">
        <f>IF(I1940&gt;0,"P","")</f>
        <v/>
      </c>
      <c r="B1940" s="1324" t="str">
        <f>IF(LEN('11.900'!H94)=0,"",'11.900'!H94)</f>
        <v/>
      </c>
      <c r="C1940" s="1280" t="str">
        <f t="shared" si="164"/>
        <v/>
      </c>
      <c r="D1940" s="609"/>
      <c r="E1940" s="93" t="s">
        <v>255</v>
      </c>
      <c r="F1940" s="97"/>
      <c r="G1940" s="1609" t="s">
        <v>2713</v>
      </c>
      <c r="H1940" s="1341" t="b">
        <f>IF(LEN('11.900'!W94)=0,"",'11.900'!W94)</f>
        <v>0</v>
      </c>
      <c r="I1940" s="88">
        <f>'11.900'!O94</f>
        <v>0</v>
      </c>
      <c r="J1940" s="1779" t="s">
        <v>3158</v>
      </c>
    </row>
    <row r="1941" spans="1:10" x14ac:dyDescent="0.2">
      <c r="A1941" s="467" t="str">
        <f t="shared" ref="A1941:A1942" si="167">A1940</f>
        <v/>
      </c>
      <c r="B1941" s="1324" t="str">
        <f>IF(LEN('11.900'!H95)=0,"",'11.900'!H95)</f>
        <v/>
      </c>
      <c r="C1941" s="1280" t="str">
        <f t="shared" si="164"/>
        <v/>
      </c>
      <c r="D1941" s="609"/>
      <c r="E1941" s="97"/>
      <c r="F1941" s="97"/>
      <c r="G1941" s="1609"/>
      <c r="H1941" s="1326"/>
      <c r="J1941" s="1779"/>
    </row>
    <row r="1942" spans="1:10" ht="16" thickBot="1" x14ac:dyDescent="0.25">
      <c r="A1942" s="467" t="str">
        <f t="shared" si="167"/>
        <v/>
      </c>
      <c r="B1942" s="1324" t="str">
        <f>IF(LEN('11.900'!H96)=0,"",'11.900'!H96)</f>
        <v/>
      </c>
      <c r="C1942" s="1280" t="str">
        <f t="shared" si="164"/>
        <v/>
      </c>
      <c r="D1942" s="596"/>
      <c r="E1942" s="99"/>
      <c r="F1942" s="99"/>
      <c r="G1942" s="1610"/>
      <c r="H1942" s="1326"/>
      <c r="J1942" s="1779"/>
    </row>
    <row r="1943" spans="1:10" ht="16" thickTop="1" x14ac:dyDescent="0.2">
      <c r="A1943" s="467" t="str">
        <f>IF(AND(LEN(H1943)&gt;0,NOT(H1943=FALSE),NOT(H1943="N/A")),"P","")</f>
        <v>P</v>
      </c>
      <c r="B1943" s="1324" t="str">
        <f>IF(LEN('11.900'!H97)=0,"",'11.900'!H97)</f>
        <v/>
      </c>
      <c r="C1943" s="1280" t="str">
        <f t="shared" si="164"/>
        <v>P</v>
      </c>
      <c r="D1943" s="107" t="s">
        <v>3674</v>
      </c>
      <c r="E1943" s="179"/>
      <c r="F1943" s="179"/>
      <c r="G1943" s="1683" t="s">
        <v>3738</v>
      </c>
      <c r="H1943" s="1341" t="b">
        <f>IF(LEN('11.900'!W97)=0,"",'11.900'!W97)</f>
        <v>1</v>
      </c>
      <c r="J1943" s="1312" t="s">
        <v>3120</v>
      </c>
    </row>
    <row r="1944" spans="1:10" ht="16" thickBot="1" x14ac:dyDescent="0.25">
      <c r="A1944" s="467" t="str">
        <f t="shared" ref="A1944" si="168">A1943</f>
        <v>P</v>
      </c>
      <c r="B1944" s="1324" t="str">
        <f>IF(LEN('11.900'!H98)=0,"",'11.900'!H98)</f>
        <v/>
      </c>
      <c r="C1944" s="1280" t="str">
        <f t="shared" si="164"/>
        <v>P</v>
      </c>
      <c r="D1944" s="596"/>
      <c r="E1944" s="99"/>
      <c r="F1944" s="99"/>
      <c r="G1944" s="1630"/>
      <c r="H1944" s="1326"/>
      <c r="J1944" s="1312"/>
    </row>
    <row r="1945" spans="1:10" ht="16" thickTop="1" x14ac:dyDescent="0.2">
      <c r="A1945" s="467" t="str">
        <f>IF(I1945&gt;0,"P","")</f>
        <v>P</v>
      </c>
      <c r="B1945" s="1324" t="str">
        <f>IF(LEN('11.900'!H99)=0,"",'11.900'!H99)</f>
        <v/>
      </c>
      <c r="C1945" s="1280" t="str">
        <f t="shared" si="164"/>
        <v>P</v>
      </c>
      <c r="D1945" s="136" t="s">
        <v>3675</v>
      </c>
      <c r="E1945" s="85"/>
      <c r="F1945" s="85"/>
      <c r="G1945" s="1631" t="s">
        <v>3737</v>
      </c>
      <c r="H1945" s="1326"/>
      <c r="I1945" s="88">
        <f>'11.900'!O99</f>
        <v>5</v>
      </c>
      <c r="J1945" s="1312"/>
    </row>
    <row r="1946" spans="1:10" x14ac:dyDescent="0.2">
      <c r="A1946" s="467" t="str">
        <f t="shared" ref="A1946:A1949" si="169">A1945</f>
        <v>P</v>
      </c>
      <c r="B1946" s="1324" t="str">
        <f>IF(LEN('11.900'!H100)=0,"",'11.900'!H100)</f>
        <v/>
      </c>
      <c r="C1946" s="1280" t="str">
        <f t="shared" si="164"/>
        <v>P</v>
      </c>
      <c r="D1946" s="588"/>
      <c r="E1946" s="85"/>
      <c r="F1946" s="85"/>
      <c r="G1946" s="1631"/>
      <c r="H1946" s="1326"/>
      <c r="J1946" s="1312"/>
    </row>
    <row r="1947" spans="1:10" x14ac:dyDescent="0.2">
      <c r="A1947" s="467" t="str">
        <f t="shared" si="169"/>
        <v>P</v>
      </c>
      <c r="B1947" s="1324" t="str">
        <f>IF(LEN('11.900'!H101)=0,"",'11.900'!H101)</f>
        <v/>
      </c>
      <c r="C1947" s="1280" t="str">
        <f t="shared" si="164"/>
        <v>P</v>
      </c>
      <c r="D1947" s="588"/>
      <c r="E1947" s="85"/>
      <c r="F1947" s="85"/>
      <c r="G1947" s="1631"/>
      <c r="H1947" s="1326"/>
      <c r="J1947" s="1312"/>
    </row>
    <row r="1948" spans="1:10" x14ac:dyDescent="0.2">
      <c r="A1948" s="467" t="str">
        <f t="shared" si="169"/>
        <v>P</v>
      </c>
      <c r="B1948" s="1324" t="str">
        <f>IF(LEN('11.900'!H102)=0,"",'11.900'!H102)</f>
        <v/>
      </c>
      <c r="C1948" s="1280" t="str">
        <f t="shared" si="164"/>
        <v>P</v>
      </c>
      <c r="D1948" s="588"/>
      <c r="E1948" s="85"/>
      <c r="F1948" s="85"/>
      <c r="G1948" s="1631"/>
      <c r="H1948" s="1326"/>
      <c r="J1948" s="1312"/>
    </row>
    <row r="1949" spans="1:10" x14ac:dyDescent="0.2">
      <c r="A1949" s="467" t="str">
        <f t="shared" si="169"/>
        <v>P</v>
      </c>
      <c r="B1949" s="1324" t="str">
        <f>IF(LEN('11.900'!H103)=0,"",'11.900'!H103)</f>
        <v/>
      </c>
      <c r="C1949" s="1280" t="str">
        <f t="shared" si="164"/>
        <v>P</v>
      </c>
      <c r="D1949" s="588"/>
      <c r="E1949" s="85"/>
      <c r="F1949" s="85"/>
      <c r="G1949" s="1631"/>
      <c r="H1949" s="1326"/>
      <c r="J1949" s="1312"/>
    </row>
    <row r="1950" spans="1:10" x14ac:dyDescent="0.2">
      <c r="B1950" s="1324" t="str">
        <f>IF(LEN('11.900'!H104)=0,"",'11.900'!H104)</f>
        <v/>
      </c>
      <c r="C1950" s="1280" t="str">
        <f t="shared" si="164"/>
        <v/>
      </c>
      <c r="D1950" s="588"/>
      <c r="E1950" s="85"/>
      <c r="F1950" s="85"/>
      <c r="G1950" s="1707" t="s">
        <v>2714</v>
      </c>
      <c r="H1950" s="1326"/>
      <c r="J1950" s="1312"/>
    </row>
    <row r="1951" spans="1:10" x14ac:dyDescent="0.2">
      <c r="B1951" s="1324" t="str">
        <f>IF(LEN('11.900'!H105)=0,"",'11.900'!H105)</f>
        <v/>
      </c>
      <c r="C1951" s="1280" t="str">
        <f t="shared" si="164"/>
        <v/>
      </c>
      <c r="D1951" s="588"/>
      <c r="E1951" s="85"/>
      <c r="F1951" s="85"/>
      <c r="G1951" s="1707"/>
      <c r="H1951" s="1326"/>
      <c r="J1951" s="1312"/>
    </row>
    <row r="1952" spans="1:10" x14ac:dyDescent="0.2">
      <c r="A1952" s="467" t="str">
        <f>IF(AND(LEN(H1952)&gt;0,NOT(H1952=FALSE),NOT(H1952="N/A")),"P","")</f>
        <v>P</v>
      </c>
      <c r="B1952" s="1324" t="str">
        <f>IF(LEN('11.900'!H106)=0,"",'11.900'!H106)</f>
        <v/>
      </c>
      <c r="C1952" s="1280" t="str">
        <f t="shared" si="164"/>
        <v>P</v>
      </c>
      <c r="D1952" s="588"/>
      <c r="E1952" s="89" t="s">
        <v>254</v>
      </c>
      <c r="F1952" s="85"/>
      <c r="G1952" s="1611" t="s">
        <v>2715</v>
      </c>
      <c r="H1952" s="1341">
        <f>IF(LEN('11.900'!W106)=0,"",'11.900'!W106)</f>
        <v>0.5</v>
      </c>
      <c r="J1952" s="1312" t="s">
        <v>5226</v>
      </c>
    </row>
    <row r="1953" spans="1:10" x14ac:dyDescent="0.2">
      <c r="A1953" s="467" t="str">
        <f t="shared" ref="A1953:A1955" si="170">A1952</f>
        <v>P</v>
      </c>
      <c r="B1953" s="1324" t="str">
        <f>IF(LEN('11.900'!H107)=0,"",'11.900'!H107)</f>
        <v/>
      </c>
      <c r="C1953" s="1280" t="str">
        <f t="shared" si="164"/>
        <v>P</v>
      </c>
      <c r="D1953" s="588"/>
      <c r="E1953" s="85"/>
      <c r="F1953" s="85"/>
      <c r="G1953" s="1611"/>
      <c r="H1953" s="1326"/>
      <c r="J1953" s="1312"/>
    </row>
    <row r="1954" spans="1:10" x14ac:dyDescent="0.2">
      <c r="A1954" s="467" t="str">
        <f t="shared" si="170"/>
        <v>P</v>
      </c>
      <c r="B1954" s="1324" t="str">
        <f>IF(LEN('11.900'!H108)=0,"",'11.900'!H108)</f>
        <v/>
      </c>
      <c r="C1954" s="1280" t="str">
        <f t="shared" si="164"/>
        <v>P</v>
      </c>
      <c r="D1954" s="588"/>
      <c r="E1954" s="85"/>
      <c r="F1954" s="85"/>
      <c r="G1954" s="1611"/>
      <c r="H1954" s="1326"/>
      <c r="J1954" s="1312"/>
    </row>
    <row r="1955" spans="1:10" x14ac:dyDescent="0.2">
      <c r="A1955" s="467" t="str">
        <f t="shared" si="170"/>
        <v>P</v>
      </c>
      <c r="B1955" s="1324" t="str">
        <f>IF(LEN('11.900'!H109)=0,"",'11.900'!H109)</f>
        <v/>
      </c>
      <c r="C1955" s="1280" t="str">
        <f t="shared" si="164"/>
        <v>P</v>
      </c>
      <c r="D1955" s="588"/>
      <c r="E1955" s="85"/>
      <c r="F1955" s="85"/>
      <c r="G1955" s="1611"/>
      <c r="H1955" s="1326"/>
      <c r="J1955" s="1312"/>
    </row>
    <row r="1956" spans="1:10" x14ac:dyDescent="0.2">
      <c r="B1956" s="1324" t="str">
        <f>IF(LEN('11.900'!H110)=0,"",'11.900'!H110)</f>
        <v/>
      </c>
      <c r="C1956" s="1280" t="str">
        <f t="shared" si="164"/>
        <v/>
      </c>
      <c r="D1956" s="588"/>
      <c r="E1956" s="85"/>
      <c r="F1956" s="89" t="s">
        <v>121</v>
      </c>
      <c r="G1956" s="1294" t="s">
        <v>2716</v>
      </c>
      <c r="H1956" s="1326"/>
      <c r="J1956" s="1312"/>
    </row>
    <row r="1957" spans="1:10" x14ac:dyDescent="0.2">
      <c r="B1957" s="1324" t="str">
        <f>IF(LEN('11.900'!H111)=0,"",'11.900'!H111)</f>
        <v/>
      </c>
      <c r="C1957" s="1280" t="str">
        <f t="shared" si="164"/>
        <v/>
      </c>
      <c r="D1957" s="588"/>
      <c r="E1957" s="85"/>
      <c r="F1957" s="89" t="s">
        <v>122</v>
      </c>
      <c r="G1957" s="1294" t="s">
        <v>2717</v>
      </c>
      <c r="H1957" s="1326"/>
      <c r="J1957" s="1312"/>
    </row>
    <row r="1958" spans="1:10" x14ac:dyDescent="0.2">
      <c r="B1958" s="1324" t="str">
        <f>IF(LEN('11.900'!H112)=0,"",'11.900'!H112)</f>
        <v/>
      </c>
      <c r="C1958" s="1280" t="str">
        <f t="shared" si="164"/>
        <v/>
      </c>
      <c r="D1958" s="588"/>
      <c r="E1958" s="85"/>
      <c r="F1958" s="89" t="s">
        <v>123</v>
      </c>
      <c r="G1958" s="1294" t="s">
        <v>2718</v>
      </c>
      <c r="H1958" s="1326"/>
      <c r="J1958" s="1312"/>
    </row>
    <row r="1959" spans="1:10" x14ac:dyDescent="0.2">
      <c r="B1959" s="1324" t="str">
        <f>IF(LEN('11.900'!H113)=0,"",'11.900'!H113)</f>
        <v/>
      </c>
      <c r="C1959" s="1280" t="str">
        <f t="shared" si="164"/>
        <v/>
      </c>
      <c r="D1959" s="588"/>
      <c r="E1959" s="85"/>
      <c r="F1959" s="89" t="s">
        <v>366</v>
      </c>
      <c r="G1959" s="1294" t="s">
        <v>2719</v>
      </c>
      <c r="H1959" s="1326"/>
      <c r="J1959" s="1312"/>
    </row>
    <row r="1960" spans="1:10" x14ac:dyDescent="0.2">
      <c r="B1960" s="1324" t="str">
        <f>IF(LEN('11.900'!H114)=0,"",'11.900'!H114)</f>
        <v/>
      </c>
      <c r="C1960" s="1280" t="str">
        <f t="shared" si="164"/>
        <v/>
      </c>
      <c r="D1960" s="588"/>
      <c r="E1960" s="85"/>
      <c r="F1960" s="89" t="s">
        <v>472</v>
      </c>
      <c r="G1960" s="1294" t="s">
        <v>2720</v>
      </c>
      <c r="H1960" s="1326"/>
      <c r="J1960" s="1312"/>
    </row>
    <row r="1961" spans="1:10" x14ac:dyDescent="0.2">
      <c r="B1961" s="1324" t="str">
        <f>IF(LEN('11.900'!H115)=0,"",'11.900'!H115)</f>
        <v/>
      </c>
      <c r="C1961" s="1280" t="str">
        <f t="shared" si="164"/>
        <v/>
      </c>
      <c r="D1961" s="588"/>
      <c r="E1961" s="97"/>
      <c r="F1961" s="93" t="s">
        <v>510</v>
      </c>
      <c r="G1961" s="1287" t="s">
        <v>2721</v>
      </c>
      <c r="H1961" s="1326"/>
      <c r="J1961" s="1312"/>
    </row>
    <row r="1962" spans="1:10" x14ac:dyDescent="0.2">
      <c r="B1962" s="1324" t="str">
        <f>IF(LEN('11.900'!H116)=0,"",'11.900'!H116)</f>
        <v/>
      </c>
      <c r="C1962" s="1280" t="str">
        <f t="shared" si="164"/>
        <v/>
      </c>
      <c r="D1962" s="588"/>
      <c r="E1962" s="170"/>
      <c r="F1962" s="169" t="s">
        <v>512</v>
      </c>
      <c r="G1962" s="1285" t="s">
        <v>3898</v>
      </c>
      <c r="H1962" s="1326"/>
      <c r="J1962" s="1312"/>
    </row>
    <row r="1963" spans="1:10" ht="30" x14ac:dyDescent="0.2">
      <c r="A1963" s="467" t="str">
        <f>IF(AND(LEN(H1963)&gt;0,NOT(H1963=FALSE),NOT(H1963="N/A")),"P","")</f>
        <v/>
      </c>
      <c r="B1963" s="1324" t="str">
        <f>IF(LEN('11.900'!H117)=0,"",'11.900'!H117)</f>
        <v/>
      </c>
      <c r="C1963" s="1280" t="str">
        <f t="shared" si="164"/>
        <v/>
      </c>
      <c r="D1963" s="609"/>
      <c r="E1963" s="169" t="s">
        <v>255</v>
      </c>
      <c r="F1963" s="170"/>
      <c r="G1963" s="1285" t="s">
        <v>3045</v>
      </c>
      <c r="H1963" s="1341" t="str">
        <f>IF(LEN('11.900'!W117)=0,"",'11.900'!W117)</f>
        <v/>
      </c>
      <c r="J1963" s="1312" t="s">
        <v>5227</v>
      </c>
    </row>
    <row r="1964" spans="1:10" x14ac:dyDescent="0.2">
      <c r="A1964" s="467" t="str">
        <f>IF(AND(LEN(H1964)&gt;0,NOT(H1964=FALSE),NOT(H1964="N/A")),"P","")</f>
        <v/>
      </c>
      <c r="B1964" s="1324" t="str">
        <f>IF(LEN('11.900'!H118)=0,"",'11.900'!H118)</f>
        <v/>
      </c>
      <c r="C1964" s="1280" t="str">
        <f t="shared" si="164"/>
        <v/>
      </c>
      <c r="D1964" s="609"/>
      <c r="E1964" s="93" t="s">
        <v>256</v>
      </c>
      <c r="F1964" s="97"/>
      <c r="G1964" s="1287" t="s">
        <v>2927</v>
      </c>
      <c r="H1964" s="1341" t="str">
        <f>IF(LEN('11.900'!W118)=0,"",'11.900'!W118)</f>
        <v/>
      </c>
      <c r="J1964" s="1779" t="s">
        <v>5227</v>
      </c>
    </row>
    <row r="1965" spans="1:10" x14ac:dyDescent="0.2">
      <c r="A1965" s="467" t="str">
        <f t="shared" ref="A1965:A1966" si="171">A1964</f>
        <v/>
      </c>
      <c r="B1965" s="1324" t="str">
        <f>IF(LEN('11.900'!H119)=0,"",'11.900'!H119)</f>
        <v/>
      </c>
      <c r="C1965" s="1280" t="str">
        <f t="shared" si="164"/>
        <v/>
      </c>
      <c r="D1965" s="609"/>
      <c r="E1965" s="97"/>
      <c r="F1965" s="97"/>
      <c r="G1965" s="1705" t="s">
        <v>2722</v>
      </c>
      <c r="H1965" s="1326"/>
      <c r="J1965" s="1779"/>
    </row>
    <row r="1966" spans="1:10" ht="16" thickBot="1" x14ac:dyDescent="0.25">
      <c r="A1966" s="467" t="str">
        <f t="shared" si="171"/>
        <v/>
      </c>
      <c r="B1966" s="1324" t="str">
        <f>IF(LEN('11.900'!H120)=0,"",'11.900'!H120)</f>
        <v/>
      </c>
      <c r="C1966" s="1280" t="str">
        <f t="shared" si="164"/>
        <v/>
      </c>
      <c r="D1966" s="596"/>
      <c r="E1966" s="99"/>
      <c r="F1966" s="99"/>
      <c r="G1966" s="1706"/>
      <c r="H1966" s="1326"/>
      <c r="J1966" s="1312"/>
    </row>
    <row r="1967" spans="1:10" ht="16" thickTop="1" x14ac:dyDescent="0.2">
      <c r="A1967" s="467" t="str">
        <f>IF(I1967&gt;0,"P","")</f>
        <v/>
      </c>
      <c r="B1967" s="1324" t="str">
        <f>IF(LEN('11.900'!H121)=0,"",'11.900'!H121)</f>
        <v/>
      </c>
      <c r="C1967" s="1280" t="str">
        <f t="shared" si="164"/>
        <v/>
      </c>
      <c r="D1967" s="107" t="s">
        <v>3676</v>
      </c>
      <c r="E1967" s="179"/>
      <c r="F1967" s="179"/>
      <c r="G1967" s="1683" t="s">
        <v>3894</v>
      </c>
      <c r="H1967" s="1341" t="str">
        <f>IF(LEN('11.900'!W121)=0,"",'11.900'!W121)</f>
        <v/>
      </c>
      <c r="I1967" s="88">
        <f>'11.900'!O121</f>
        <v>0</v>
      </c>
      <c r="J1967" s="1779" t="s">
        <v>5228</v>
      </c>
    </row>
    <row r="1968" spans="1:10" x14ac:dyDescent="0.2">
      <c r="A1968" s="467" t="str">
        <f t="shared" ref="A1968:A1972" si="172">A1967</f>
        <v/>
      </c>
      <c r="B1968" s="1324" t="str">
        <f>IF(LEN('11.900'!H122)=0,"",'11.900'!H122)</f>
        <v/>
      </c>
      <c r="C1968" s="1280" t="str">
        <f t="shared" si="164"/>
        <v/>
      </c>
      <c r="D1968" s="609"/>
      <c r="E1968" s="97"/>
      <c r="F1968" s="97"/>
      <c r="G1968" s="1629"/>
      <c r="H1968" s="1326"/>
      <c r="J1968" s="1779"/>
    </row>
    <row r="1969" spans="1:10" x14ac:dyDescent="0.2">
      <c r="A1969" s="467" t="str">
        <f t="shared" si="172"/>
        <v/>
      </c>
      <c r="B1969" s="1324" t="str">
        <f>IF(LEN('11.900'!H123)=0,"",'11.900'!H123)</f>
        <v/>
      </c>
      <c r="C1969" s="1280" t="str">
        <f t="shared" si="164"/>
        <v/>
      </c>
      <c r="D1969" s="609"/>
      <c r="E1969" s="97"/>
      <c r="F1969" s="97"/>
      <c r="G1969" s="1629"/>
      <c r="H1969" s="1326"/>
      <c r="J1969" s="1779"/>
    </row>
    <row r="1970" spans="1:10" x14ac:dyDescent="0.2">
      <c r="A1970" s="467" t="str">
        <f t="shared" si="172"/>
        <v/>
      </c>
      <c r="B1970" s="1324" t="str">
        <f>IF(LEN('11.900'!H124)=0,"",'11.900'!H124)</f>
        <v/>
      </c>
      <c r="C1970" s="1280" t="str">
        <f t="shared" si="164"/>
        <v/>
      </c>
      <c r="D1970" s="609"/>
      <c r="E1970" s="97"/>
      <c r="F1970" s="97"/>
      <c r="G1970" s="1629"/>
      <c r="H1970" s="1326"/>
      <c r="J1970" s="1779"/>
    </row>
    <row r="1971" spans="1:10" x14ac:dyDescent="0.2">
      <c r="A1971" s="467" t="str">
        <f t="shared" si="172"/>
        <v/>
      </c>
      <c r="B1971" s="1324" t="str">
        <f>IF(LEN('11.900'!H125)=0,"",'11.900'!H125)</f>
        <v/>
      </c>
      <c r="C1971" s="1280" t="str">
        <f t="shared" si="164"/>
        <v/>
      </c>
      <c r="D1971" s="609"/>
      <c r="E1971" s="97"/>
      <c r="F1971" s="97"/>
      <c r="G1971" s="1629"/>
      <c r="H1971" s="1326"/>
      <c r="J1971" s="1779"/>
    </row>
    <row r="1972" spans="1:10" ht="16" thickBot="1" x14ac:dyDescent="0.25">
      <c r="A1972" s="467" t="str">
        <f t="shared" si="172"/>
        <v/>
      </c>
      <c r="B1972" s="1324" t="str">
        <f>IF(LEN('11.900'!H126)=0,"",'11.900'!H126)</f>
        <v/>
      </c>
      <c r="C1972" s="1280" t="str">
        <f t="shared" si="164"/>
        <v/>
      </c>
      <c r="D1972" s="596"/>
      <c r="E1972" s="99"/>
      <c r="F1972" s="99"/>
      <c r="G1972" s="1630"/>
      <c r="H1972" s="1326"/>
      <c r="J1972" s="1779"/>
    </row>
    <row r="1973" spans="1:10" ht="16" thickTop="1" x14ac:dyDescent="0.2">
      <c r="A1973" s="467" t="str">
        <f>IF(I1973&gt;0,"P","")</f>
        <v>P</v>
      </c>
      <c r="B1973" s="1324" t="str">
        <f>IF(LEN('11.900'!H127)=0,"",'11.900'!H127)</f>
        <v/>
      </c>
      <c r="C1973" s="1280" t="str">
        <f t="shared" si="164"/>
        <v>P</v>
      </c>
      <c r="D1973" s="107" t="s">
        <v>3677</v>
      </c>
      <c r="E1973" s="179"/>
      <c r="F1973" s="179"/>
      <c r="G1973" s="1683" t="s">
        <v>3893</v>
      </c>
      <c r="H1973" s="1326"/>
      <c r="I1973" s="1397">
        <f>SUM(I1977:I1989)</f>
        <v>5</v>
      </c>
      <c r="J1973" s="1312"/>
    </row>
    <row r="1974" spans="1:10" x14ac:dyDescent="0.2">
      <c r="A1974" s="467" t="str">
        <f t="shared" ref="A1974:A1976" si="173">A1973</f>
        <v>P</v>
      </c>
      <c r="B1974" s="1324" t="str">
        <f>IF(LEN('11.900'!H128)=0,"",'11.900'!H128)</f>
        <v/>
      </c>
      <c r="C1974" s="1280" t="str">
        <f t="shared" si="164"/>
        <v>P</v>
      </c>
      <c r="D1974" s="609"/>
      <c r="E1974" s="97"/>
      <c r="F1974" s="97"/>
      <c r="G1974" s="1629"/>
      <c r="H1974" s="1326"/>
      <c r="J1974" s="1312"/>
    </row>
    <row r="1975" spans="1:10" x14ac:dyDescent="0.2">
      <c r="A1975" s="467" t="str">
        <f t="shared" si="173"/>
        <v>P</v>
      </c>
      <c r="B1975" s="1324" t="str">
        <f>IF(LEN('11.900'!H129)=0,"",'11.900'!H129)</f>
        <v/>
      </c>
      <c r="C1975" s="1280" t="str">
        <f t="shared" si="164"/>
        <v>P</v>
      </c>
      <c r="D1975" s="609"/>
      <c r="E1975" s="97"/>
      <c r="F1975" s="97"/>
      <c r="G1975" s="1629"/>
      <c r="H1975" s="1326"/>
      <c r="J1975" s="1312"/>
    </row>
    <row r="1976" spans="1:10" x14ac:dyDescent="0.2">
      <c r="A1976" s="467" t="str">
        <f t="shared" si="173"/>
        <v>P</v>
      </c>
      <c r="B1976" s="1324" t="str">
        <f>IF(LEN('11.900'!H130)=0,"",'11.900'!H130)</f>
        <v/>
      </c>
      <c r="C1976" s="1280" t="str">
        <f t="shared" si="164"/>
        <v>P</v>
      </c>
      <c r="D1976" s="609"/>
      <c r="E1976" s="97"/>
      <c r="F1976" s="97"/>
      <c r="G1976" s="1629"/>
      <c r="H1976" s="1326"/>
      <c r="J1976" s="1312"/>
    </row>
    <row r="1977" spans="1:10" ht="25.5" customHeight="1" x14ac:dyDescent="0.2">
      <c r="A1977" s="467" t="str">
        <f>IF(I1977&gt;0,"P","")</f>
        <v>P</v>
      </c>
      <c r="B1977" s="1324" t="str">
        <f>IF(LEN('11.900'!H131)=0,"",'11.900'!H131)</f>
        <v/>
      </c>
      <c r="C1977" s="1280" t="str">
        <f t="shared" si="164"/>
        <v>P</v>
      </c>
      <c r="D1977" s="136" t="s">
        <v>3678</v>
      </c>
      <c r="E1977" s="85"/>
      <c r="F1977" s="85"/>
      <c r="G1977" s="1631" t="s">
        <v>3736</v>
      </c>
      <c r="H1977" s="1326"/>
      <c r="I1977" s="88">
        <f>'11.900'!O131</f>
        <v>5</v>
      </c>
      <c r="J1977" s="1779" t="s">
        <v>3159</v>
      </c>
    </row>
    <row r="1978" spans="1:10" x14ac:dyDescent="0.2">
      <c r="A1978" s="467" t="str">
        <f t="shared" ref="A1978" si="174">A1977</f>
        <v>P</v>
      </c>
      <c r="B1978" s="1324" t="str">
        <f>IF(LEN('11.900'!H132)=0,"",'11.900'!H132)</f>
        <v/>
      </c>
      <c r="C1978" s="1280" t="str">
        <f t="shared" si="164"/>
        <v>P</v>
      </c>
      <c r="D1978" s="588"/>
      <c r="E1978" s="85"/>
      <c r="F1978" s="85"/>
      <c r="G1978" s="1631"/>
      <c r="H1978" s="1326"/>
      <c r="J1978" s="1779"/>
    </row>
    <row r="1979" spans="1:10" x14ac:dyDescent="0.2">
      <c r="B1979" s="1324" t="str">
        <f>IF(LEN('11.900'!H133)=0,"",'11.900'!H133)</f>
        <v/>
      </c>
      <c r="C1979" s="1280" t="str">
        <f t="shared" si="164"/>
        <v/>
      </c>
      <c r="D1979" s="588"/>
      <c r="E1979" s="93" t="s">
        <v>254</v>
      </c>
      <c r="F1979" s="97"/>
      <c r="G1979" s="1609" t="s">
        <v>2724</v>
      </c>
      <c r="H1979" s="1341" t="str">
        <f>IF(LEN('11.900'!W133)=0,"",'11.900'!W133)</f>
        <v/>
      </c>
      <c r="J1979" s="1312"/>
    </row>
    <row r="1980" spans="1:10" x14ac:dyDescent="0.2">
      <c r="B1980" s="1324" t="str">
        <f>IF(LEN('11.900'!H134)=0,"",'11.900'!H134)</f>
        <v/>
      </c>
      <c r="C1980" s="1280" t="str">
        <f t="shared" si="164"/>
        <v/>
      </c>
      <c r="D1980" s="588"/>
      <c r="E1980" s="170"/>
      <c r="F1980" s="170"/>
      <c r="G1980" s="1612"/>
      <c r="H1980" s="1326"/>
      <c r="J1980" s="1312"/>
    </row>
    <row r="1981" spans="1:10" x14ac:dyDescent="0.2">
      <c r="B1981" s="1324" t="str">
        <f>IF(LEN('11.900'!H135)=0,"",'11.900'!H135)</f>
        <v/>
      </c>
      <c r="C1981" s="1280" t="str">
        <f t="shared" si="164"/>
        <v/>
      </c>
      <c r="D1981" s="588"/>
      <c r="E1981" s="169" t="s">
        <v>255</v>
      </c>
      <c r="F1981" s="170"/>
      <c r="G1981" s="1285" t="s">
        <v>2725</v>
      </c>
      <c r="H1981" s="1341" t="b">
        <f>IF(LEN('11.900'!W135)=0,"",'11.900'!W135)</f>
        <v>0</v>
      </c>
      <c r="J1981" s="1312"/>
    </row>
    <row r="1982" spans="1:10" x14ac:dyDescent="0.2">
      <c r="B1982" s="1324" t="str">
        <f>IF(LEN('11.900'!H136)=0,"",'11.900'!H136)</f>
        <v/>
      </c>
      <c r="C1982" s="1280" t="str">
        <f t="shared" si="164"/>
        <v/>
      </c>
      <c r="D1982" s="609"/>
      <c r="E1982" s="93" t="s">
        <v>256</v>
      </c>
      <c r="F1982" s="97"/>
      <c r="G1982" s="1287" t="s">
        <v>3879</v>
      </c>
      <c r="H1982" s="1341" t="b">
        <f>IF(LEN('11.900'!W136)=0,"",'11.900'!W136)</f>
        <v>1</v>
      </c>
      <c r="J1982" s="1312"/>
    </row>
    <row r="1983" spans="1:10" x14ac:dyDescent="0.2">
      <c r="B1983" s="1324" t="str">
        <f>IF(LEN('11.900'!H137)=0,"",'11.900'!H137)</f>
        <v/>
      </c>
      <c r="C1983" s="1280" t="str">
        <f t="shared" si="164"/>
        <v/>
      </c>
      <c r="D1983" s="1140"/>
      <c r="E1983" s="1140"/>
      <c r="F1983" s="1140"/>
      <c r="G1983" s="441" t="s">
        <v>3882</v>
      </c>
      <c r="H1983" s="1326"/>
      <c r="J1983" s="1312"/>
    </row>
    <row r="1984" spans="1:10" x14ac:dyDescent="0.2">
      <c r="A1984" s="467" t="str">
        <f>IF(I1984&gt;0,"P","")</f>
        <v/>
      </c>
      <c r="B1984" s="1324" t="str">
        <f>IF(LEN('11.900'!H138)=0,"",'11.900'!H138)</f>
        <v/>
      </c>
      <c r="C1984" s="1280" t="str">
        <f t="shared" si="164"/>
        <v/>
      </c>
      <c r="D1984" s="593" t="s">
        <v>3679</v>
      </c>
      <c r="E1984" s="194"/>
      <c r="F1984" s="194"/>
      <c r="G1984" s="1712" t="s">
        <v>3735</v>
      </c>
      <c r="H1984" s="1341" t="str">
        <f>IF(LEN('11.900'!W138)=0,"",'11.900'!W138)</f>
        <v/>
      </c>
      <c r="I1984" s="88">
        <f>'11.900'!O138</f>
        <v>0</v>
      </c>
      <c r="J1984" s="1779" t="s">
        <v>3160</v>
      </c>
    </row>
    <row r="1985" spans="1:10" x14ac:dyDescent="0.2">
      <c r="A1985" s="467" t="str">
        <f t="shared" ref="A1985:A1987" si="175">A1984</f>
        <v/>
      </c>
      <c r="B1985" s="1324" t="str">
        <f>IF(LEN('11.900'!H139)=0,"",'11.900'!H139)</f>
        <v/>
      </c>
      <c r="C1985" s="1280" t="str">
        <f t="shared" si="164"/>
        <v/>
      </c>
      <c r="D1985" s="609"/>
      <c r="E1985" s="97"/>
      <c r="F1985" s="97"/>
      <c r="G1985" s="1629"/>
      <c r="H1985" s="1326"/>
      <c r="J1985" s="1779"/>
    </row>
    <row r="1986" spans="1:10" x14ac:dyDescent="0.2">
      <c r="A1986" s="467" t="str">
        <f t="shared" si="175"/>
        <v/>
      </c>
      <c r="B1986" s="1324" t="str">
        <f>IF(LEN('11.900'!H140)=0,"",'11.900'!H140)</f>
        <v/>
      </c>
      <c r="C1986" s="1280" t="str">
        <f t="shared" si="164"/>
        <v/>
      </c>
      <c r="D1986" s="609"/>
      <c r="E1986" s="97"/>
      <c r="F1986" s="97"/>
      <c r="G1986" s="1772" t="s">
        <v>3880</v>
      </c>
      <c r="H1986" s="1326"/>
      <c r="J1986" s="1779"/>
    </row>
    <row r="1987" spans="1:10" x14ac:dyDescent="0.2">
      <c r="A1987" s="467" t="str">
        <f t="shared" si="175"/>
        <v/>
      </c>
      <c r="B1987" s="1324" t="str">
        <f>IF(LEN('11.900'!H141)=0,"",'11.900'!H141)</f>
        <v/>
      </c>
      <c r="C1987" s="1280" t="str">
        <f t="shared" si="164"/>
        <v/>
      </c>
      <c r="D1987" s="609"/>
      <c r="E1987" s="97"/>
      <c r="F1987" s="97"/>
      <c r="G1987" s="1772"/>
      <c r="H1987" s="1326"/>
      <c r="J1987" s="1312"/>
    </row>
    <row r="1988" spans="1:10" x14ac:dyDescent="0.2">
      <c r="B1988" s="1324" t="str">
        <f>IF(LEN('11.900'!H142)=0,"",'11.900'!H142)</f>
        <v/>
      </c>
      <c r="C1988" s="1280" t="str">
        <f t="shared" si="164"/>
        <v/>
      </c>
      <c r="D1988" s="208"/>
      <c r="E1988" s="170"/>
      <c r="F1988" s="170"/>
      <c r="G1988" s="441" t="s">
        <v>3881</v>
      </c>
      <c r="H1988" s="1326"/>
      <c r="J1988" s="1312"/>
    </row>
    <row r="1989" spans="1:10" x14ac:dyDescent="0.2">
      <c r="A1989" s="467" t="str">
        <f>IF(I1989&gt;0,"P","")</f>
        <v/>
      </c>
      <c r="B1989" s="1324" t="str">
        <f>IF(LEN('11.900'!H143)=0,"",'11.900'!H143)</f>
        <v/>
      </c>
      <c r="C1989" s="1280" t="str">
        <f t="shared" si="164"/>
        <v/>
      </c>
      <c r="D1989" s="102" t="s">
        <v>3680</v>
      </c>
      <c r="E1989" s="97"/>
      <c r="F1989" s="97"/>
      <c r="G1989" s="1629" t="s">
        <v>3734</v>
      </c>
      <c r="H1989" s="1341" t="str">
        <f>IF(LEN('11.900'!W143)=0,"",'11.900'!W143)</f>
        <v/>
      </c>
      <c r="I1989" s="88">
        <f>'11.900'!O143</f>
        <v>0</v>
      </c>
      <c r="J1989" s="1779" t="s">
        <v>3161</v>
      </c>
    </row>
    <row r="1990" spans="1:10" x14ac:dyDescent="0.2">
      <c r="A1990" s="467" t="str">
        <f t="shared" ref="A1990:A1994" si="176">A1989</f>
        <v/>
      </c>
      <c r="B1990" s="1324" t="str">
        <f>IF(LEN('11.900'!H144)=0,"",'11.900'!H144)</f>
        <v/>
      </c>
      <c r="C1990" s="1280" t="str">
        <f t="shared" si="164"/>
        <v/>
      </c>
      <c r="D1990" s="609"/>
      <c r="E1990" s="97"/>
      <c r="F1990" s="97"/>
      <c r="G1990" s="1629"/>
      <c r="H1990" s="1326"/>
      <c r="J1990" s="1779"/>
    </row>
    <row r="1991" spans="1:10" x14ac:dyDescent="0.2">
      <c r="A1991" s="467" t="str">
        <f t="shared" si="176"/>
        <v/>
      </c>
      <c r="B1991" s="1324" t="str">
        <f>IF(LEN('11.900'!H145)=0,"",'11.900'!H145)</f>
        <v/>
      </c>
      <c r="C1991" s="1280" t="str">
        <f t="shared" si="164"/>
        <v/>
      </c>
      <c r="D1991" s="609"/>
      <c r="E1991" s="97"/>
      <c r="F1991" s="97"/>
      <c r="G1991" s="1629"/>
      <c r="H1991" s="1326"/>
      <c r="J1991" s="1779"/>
    </row>
    <row r="1992" spans="1:10" x14ac:dyDescent="0.2">
      <c r="A1992" s="467" t="str">
        <f t="shared" si="176"/>
        <v/>
      </c>
      <c r="B1992" s="1324" t="str">
        <f>IF(LEN('11.900'!H146)=0,"",'11.900'!H146)</f>
        <v/>
      </c>
      <c r="C1992" s="1280" t="str">
        <f t="shared" ref="C1992:C2055" si="177">IF(LEN(B1992)=0,IF(A1992="P","P",""),B1992)</f>
        <v/>
      </c>
      <c r="D1992" s="609"/>
      <c r="E1992" s="97"/>
      <c r="F1992" s="97"/>
      <c r="G1992" s="1629"/>
      <c r="H1992" s="1326"/>
      <c r="J1992" s="1779"/>
    </row>
    <row r="1993" spans="1:10" x14ac:dyDescent="0.2">
      <c r="A1993" s="467" t="str">
        <f t="shared" si="176"/>
        <v/>
      </c>
      <c r="B1993" s="1324" t="str">
        <f>IF(LEN('11.900'!H147)=0,"",'11.900'!H147)</f>
        <v/>
      </c>
      <c r="C1993" s="1280" t="str">
        <f t="shared" si="177"/>
        <v/>
      </c>
      <c r="D1993" s="609"/>
      <c r="E1993" s="97"/>
      <c r="F1993" s="97"/>
      <c r="G1993" s="1629"/>
      <c r="H1993" s="1326"/>
      <c r="J1993" s="1779"/>
    </row>
    <row r="1994" spans="1:10" x14ac:dyDescent="0.2">
      <c r="A1994" s="467" t="str">
        <f t="shared" si="176"/>
        <v/>
      </c>
      <c r="B1994" s="1324" t="str">
        <f>IF(LEN('11.900'!H148)=0,"",'11.900'!H148)</f>
        <v/>
      </c>
      <c r="C1994" s="1280" t="str">
        <f t="shared" si="177"/>
        <v/>
      </c>
      <c r="D1994" s="609"/>
      <c r="E1994" s="97"/>
      <c r="F1994" s="97"/>
      <c r="G1994" s="1629"/>
      <c r="H1994" s="1326"/>
      <c r="J1994" s="1779"/>
    </row>
    <row r="1995" spans="1:10" x14ac:dyDescent="0.2">
      <c r="A1995" s="467" t="str">
        <f>IF(AND(LEN(H1995)&gt;0,NOT(H1995=FALSE),NOT(H1995="N/A")),"P","")</f>
        <v>P</v>
      </c>
      <c r="B1995" s="1324" t="str">
        <f>IF(LEN('11.900'!H149)=0,"",'11.900'!H149)</f>
        <v/>
      </c>
      <c r="C1995" s="1280" t="str">
        <f t="shared" si="177"/>
        <v>P</v>
      </c>
      <c r="D1995" s="593" t="s">
        <v>3909</v>
      </c>
      <c r="E1995" s="194"/>
      <c r="F1995" s="194"/>
      <c r="G1995" s="1712" t="s">
        <v>3910</v>
      </c>
      <c r="H1995" s="1341" t="str">
        <f>IF(LEN('11.900'!W149)=0,"",'11.900'!W149)</f>
        <v>Met</v>
      </c>
      <c r="J1995" s="1802" t="s">
        <v>3160</v>
      </c>
    </row>
    <row r="1996" spans="1:10" x14ac:dyDescent="0.2">
      <c r="A1996" s="467" t="str">
        <f t="shared" ref="A1996:A1997" si="178">A1995</f>
        <v>P</v>
      </c>
      <c r="B1996" s="1324" t="str">
        <f>IF(LEN('11.900'!H150)=0,"",'11.900'!H150)</f>
        <v/>
      </c>
      <c r="C1996" s="1280" t="str">
        <f t="shared" si="177"/>
        <v>P</v>
      </c>
      <c r="D1996" s="609"/>
      <c r="E1996" s="97"/>
      <c r="F1996" s="97"/>
      <c r="G1996" s="1629"/>
      <c r="H1996" s="1326"/>
      <c r="J1996" s="1806"/>
    </row>
    <row r="1997" spans="1:10" ht="16" thickBot="1" x14ac:dyDescent="0.25">
      <c r="A1997" s="467" t="str">
        <f t="shared" si="178"/>
        <v>P</v>
      </c>
      <c r="B1997" s="1324" t="str">
        <f>IF(LEN('11.900'!H151)=0,"",'11.900'!H151)</f>
        <v/>
      </c>
      <c r="C1997" s="1280" t="str">
        <f t="shared" si="177"/>
        <v>P</v>
      </c>
      <c r="D1997" s="596"/>
      <c r="E1997" s="99"/>
      <c r="F1997" s="99"/>
      <c r="G1997" s="1630"/>
      <c r="H1997" s="1326"/>
      <c r="J1997" s="1803"/>
    </row>
    <row r="1998" spans="1:10" ht="16" thickTop="1" x14ac:dyDescent="0.2">
      <c r="A1998" s="467" t="str">
        <f>IF(I1998&gt;0,"P","")</f>
        <v/>
      </c>
      <c r="B1998" s="1324" t="str">
        <f>IF(LEN('11.900'!H152)=0,"",'11.900'!H152)</f>
        <v/>
      </c>
      <c r="C1998" s="1280" t="str">
        <f t="shared" si="177"/>
        <v/>
      </c>
      <c r="D1998" s="597" t="s">
        <v>3681</v>
      </c>
      <c r="E1998" s="85"/>
      <c r="F1998" s="85"/>
      <c r="G1998" s="1631" t="s">
        <v>3902</v>
      </c>
      <c r="H1998" s="1326"/>
      <c r="I1998" s="88">
        <f>'11.900'!O152</f>
        <v>0</v>
      </c>
      <c r="J1998" s="1779" t="s">
        <v>3162</v>
      </c>
    </row>
    <row r="1999" spans="1:10" x14ac:dyDescent="0.2">
      <c r="A1999" s="467" t="str">
        <f t="shared" ref="A1999:A2001" si="179">A1998</f>
        <v/>
      </c>
      <c r="B1999" s="1324" t="str">
        <f>IF(LEN('11.900'!H153)=0,"",'11.900'!H153)</f>
        <v/>
      </c>
      <c r="C1999" s="1280" t="str">
        <f t="shared" si="177"/>
        <v/>
      </c>
      <c r="D1999" s="588"/>
      <c r="E1999" s="85"/>
      <c r="F1999" s="85"/>
      <c r="G1999" s="1631"/>
      <c r="H1999" s="1326"/>
      <c r="J1999" s="1779"/>
    </row>
    <row r="2000" spans="1:10" x14ac:dyDescent="0.2">
      <c r="A2000" s="467" t="str">
        <f t="shared" si="179"/>
        <v/>
      </c>
      <c r="B2000" s="1324" t="str">
        <f>IF(LEN('11.900'!H154)=0,"",'11.900'!H154)</f>
        <v/>
      </c>
      <c r="C2000" s="1280" t="str">
        <f t="shared" si="177"/>
        <v/>
      </c>
      <c r="D2000" s="588"/>
      <c r="E2000" s="85"/>
      <c r="F2000" s="85"/>
      <c r="G2000" s="1631"/>
      <c r="H2000" s="1326"/>
      <c r="J2000" s="1779"/>
    </row>
    <row r="2001" spans="1:10" x14ac:dyDescent="0.2">
      <c r="A2001" s="467" t="str">
        <f t="shared" si="179"/>
        <v/>
      </c>
      <c r="B2001" s="1324" t="str">
        <f>IF(LEN('11.900'!H155)=0,"",'11.900'!H155)</f>
        <v/>
      </c>
      <c r="C2001" s="1280" t="str">
        <f t="shared" si="177"/>
        <v/>
      </c>
      <c r="D2001" s="588"/>
      <c r="E2001" s="85"/>
      <c r="F2001" s="85"/>
      <c r="G2001" s="1631"/>
      <c r="H2001" s="1326"/>
      <c r="J2001" s="1779"/>
    </row>
    <row r="2002" spans="1:10" x14ac:dyDescent="0.2">
      <c r="B2002" s="1324" t="str">
        <f>IF(LEN('11.900'!H156)=0,"",'11.900'!H156)</f>
        <v/>
      </c>
      <c r="C2002" s="1280" t="str">
        <f t="shared" si="177"/>
        <v/>
      </c>
      <c r="D2002" s="588"/>
      <c r="E2002" s="93" t="s">
        <v>254</v>
      </c>
      <c r="F2002" s="97"/>
      <c r="G2002" s="1609" t="s">
        <v>3903</v>
      </c>
      <c r="H2002" s="1341" t="str">
        <f>IF(LEN('11.900'!W156)=0,"",'11.900'!W156)</f>
        <v/>
      </c>
      <c r="J2002" s="1312"/>
    </row>
    <row r="2003" spans="1:10" x14ac:dyDescent="0.2">
      <c r="B2003" s="1324" t="str">
        <f>IF(LEN('11.900'!H157)=0,"",'11.900'!H157)</f>
        <v/>
      </c>
      <c r="C2003" s="1280" t="str">
        <f t="shared" si="177"/>
        <v/>
      </c>
      <c r="D2003" s="588"/>
      <c r="E2003" s="97"/>
      <c r="F2003" s="97"/>
      <c r="G2003" s="1609"/>
      <c r="H2003" s="1326"/>
      <c r="J2003" s="1312"/>
    </row>
    <row r="2004" spans="1:10" x14ac:dyDescent="0.2">
      <c r="B2004" s="1324" t="str">
        <f>IF(LEN('11.900'!H158)=0,"",'11.900'!H158)</f>
        <v/>
      </c>
      <c r="C2004" s="1280" t="str">
        <f t="shared" si="177"/>
        <v/>
      </c>
      <c r="D2004" s="588"/>
      <c r="E2004" s="97"/>
      <c r="F2004" s="97"/>
      <c r="G2004" s="1609"/>
      <c r="H2004" s="1326"/>
      <c r="J2004" s="1312"/>
    </row>
    <row r="2005" spans="1:10" x14ac:dyDescent="0.2">
      <c r="B2005" s="1324" t="str">
        <f>IF(LEN('11.900'!H159)=0,"",'11.900'!H159)</f>
        <v/>
      </c>
      <c r="C2005" s="1280" t="str">
        <f t="shared" si="177"/>
        <v/>
      </c>
      <c r="D2005" s="588"/>
      <c r="E2005" s="97"/>
      <c r="F2005" s="97"/>
      <c r="G2005" s="1609"/>
      <c r="H2005" s="1326"/>
      <c r="J2005" s="1312"/>
    </row>
    <row r="2006" spans="1:10" x14ac:dyDescent="0.2">
      <c r="B2006" s="1324" t="str">
        <f>IF(LEN('11.900'!H160)=0,"",'11.900'!H160)</f>
        <v/>
      </c>
      <c r="C2006" s="1280" t="str">
        <f t="shared" si="177"/>
        <v/>
      </c>
      <c r="D2006" s="588"/>
      <c r="E2006" s="170"/>
      <c r="F2006" s="170"/>
      <c r="G2006" s="1612"/>
      <c r="H2006" s="1326"/>
      <c r="J2006" s="1312"/>
    </row>
    <row r="2007" spans="1:10" x14ac:dyDescent="0.2">
      <c r="B2007" s="1324" t="str">
        <f>IF(LEN('11.900'!H161)=0,"",'11.900'!H161)</f>
        <v/>
      </c>
      <c r="C2007" s="1280" t="str">
        <f t="shared" si="177"/>
        <v/>
      </c>
      <c r="D2007" s="588"/>
      <c r="E2007" s="169" t="s">
        <v>255</v>
      </c>
      <c r="F2007" s="170"/>
      <c r="G2007" s="1285" t="s">
        <v>2728</v>
      </c>
      <c r="H2007" s="1341" t="str">
        <f>IF(LEN('11.900'!W161)=0,"",'11.900'!W161)</f>
        <v/>
      </c>
      <c r="J2007" s="1312"/>
    </row>
    <row r="2008" spans="1:10" x14ac:dyDescent="0.2">
      <c r="B2008" s="1324" t="str">
        <f>IF(LEN('11.900'!H162)=0,"",'11.900'!H162)</f>
        <v/>
      </c>
      <c r="C2008" s="1280" t="str">
        <f t="shared" si="177"/>
        <v/>
      </c>
      <c r="D2008" s="609"/>
      <c r="E2008" s="93" t="s">
        <v>256</v>
      </c>
      <c r="F2008" s="97"/>
      <c r="G2008" s="1609" t="s">
        <v>3875</v>
      </c>
      <c r="H2008" s="1341" t="str">
        <f>IF(LEN('11.900'!W162)=0,"",'11.900'!W162)</f>
        <v/>
      </c>
      <c r="J2008" s="1312"/>
    </row>
    <row r="2009" spans="1:10" x14ac:dyDescent="0.2">
      <c r="B2009" s="1324" t="str">
        <f>IF(LEN('11.900'!H163)=0,"",'11.900'!H163)</f>
        <v/>
      </c>
      <c r="C2009" s="1280" t="str">
        <f t="shared" si="177"/>
        <v/>
      </c>
      <c r="D2009" s="609"/>
      <c r="E2009" s="97"/>
      <c r="F2009" s="97"/>
      <c r="G2009" s="1609"/>
      <c r="H2009" s="1326"/>
      <c r="J2009" s="1312"/>
    </row>
    <row r="2010" spans="1:10" x14ac:dyDescent="0.2">
      <c r="B2010" s="1324" t="str">
        <f>IF(LEN('11.900'!H164)=0,"",'11.900'!H164)</f>
        <v/>
      </c>
      <c r="C2010" s="1280" t="str">
        <f t="shared" si="177"/>
        <v/>
      </c>
      <c r="D2010" s="609"/>
      <c r="E2010" s="97"/>
      <c r="F2010" s="97"/>
      <c r="G2010" s="1609"/>
      <c r="H2010" s="1326"/>
      <c r="J2010" s="1312"/>
    </row>
    <row r="2011" spans="1:10" ht="16" thickBot="1" x14ac:dyDescent="0.25">
      <c r="B2011" s="1324" t="str">
        <f>IF(LEN('11.900'!H165)=0,"",'11.900'!H165)</f>
        <v/>
      </c>
      <c r="C2011" s="1280" t="str">
        <f t="shared" si="177"/>
        <v/>
      </c>
      <c r="D2011" s="596"/>
      <c r="E2011" s="99"/>
      <c r="F2011" s="99"/>
      <c r="G2011" s="408" t="s">
        <v>3878</v>
      </c>
      <c r="H2011" s="1326"/>
      <c r="J2011" s="1312"/>
    </row>
    <row r="2012" spans="1:10" ht="16" thickTop="1" x14ac:dyDescent="0.2">
      <c r="A2012" s="467" t="str">
        <f>IF(I2012&gt;0,"P","")</f>
        <v/>
      </c>
      <c r="B2012" s="1324" t="str">
        <f>IF(LEN('11.900'!H166)=0,"",'11.900'!H166)</f>
        <v/>
      </c>
      <c r="C2012" s="1280" t="str">
        <f t="shared" si="177"/>
        <v/>
      </c>
      <c r="D2012" s="107" t="s">
        <v>3682</v>
      </c>
      <c r="E2012" s="179"/>
      <c r="F2012" s="179"/>
      <c r="G2012" s="1683" t="s">
        <v>3897</v>
      </c>
      <c r="H2012" s="1341" t="str">
        <f>IF(LEN('11.900'!W166)=0,"",'11.900'!W166)</f>
        <v/>
      </c>
      <c r="I2012" s="88">
        <f>'11.900'!O166</f>
        <v>0</v>
      </c>
      <c r="J2012" s="1779" t="s">
        <v>3163</v>
      </c>
    </row>
    <row r="2013" spans="1:10" x14ac:dyDescent="0.2">
      <c r="A2013" s="467" t="str">
        <f t="shared" ref="A2013:A2016" si="180">A2012</f>
        <v/>
      </c>
      <c r="B2013" s="1324" t="str">
        <f>IF(LEN('11.900'!H167)=0,"",'11.900'!H167)</f>
        <v/>
      </c>
      <c r="C2013" s="1280" t="str">
        <f t="shared" si="177"/>
        <v/>
      </c>
      <c r="D2013" s="609"/>
      <c r="E2013" s="97"/>
      <c r="F2013" s="97"/>
      <c r="G2013" s="1629"/>
      <c r="H2013" s="1326"/>
      <c r="J2013" s="1779"/>
    </row>
    <row r="2014" spans="1:10" x14ac:dyDescent="0.2">
      <c r="A2014" s="467" t="str">
        <f t="shared" si="180"/>
        <v/>
      </c>
      <c r="B2014" s="1324" t="str">
        <f>IF(LEN('11.900'!H168)=0,"",'11.900'!H168)</f>
        <v/>
      </c>
      <c r="C2014" s="1280" t="str">
        <f t="shared" si="177"/>
        <v/>
      </c>
      <c r="D2014" s="609"/>
      <c r="E2014" s="97"/>
      <c r="F2014" s="97"/>
      <c r="G2014" s="1629"/>
      <c r="H2014" s="1326"/>
      <c r="J2014" s="1779"/>
    </row>
    <row r="2015" spans="1:10" x14ac:dyDescent="0.2">
      <c r="A2015" s="467" t="str">
        <f t="shared" si="180"/>
        <v/>
      </c>
      <c r="B2015" s="1324" t="str">
        <f>IF(LEN('11.900'!H169)=0,"",'11.900'!H169)</f>
        <v/>
      </c>
      <c r="C2015" s="1280" t="str">
        <f t="shared" si="177"/>
        <v/>
      </c>
      <c r="D2015" s="609"/>
      <c r="E2015" s="97"/>
      <c r="F2015" s="97"/>
      <c r="G2015" s="1629"/>
      <c r="H2015" s="1326"/>
      <c r="J2015" s="1779"/>
    </row>
    <row r="2016" spans="1:10" ht="16" thickBot="1" x14ac:dyDescent="0.25">
      <c r="A2016" s="467" t="str">
        <f t="shared" si="180"/>
        <v/>
      </c>
      <c r="B2016" s="1324" t="str">
        <f>IF(LEN('11.900'!H170)=0,"",'11.900'!H170)</f>
        <v/>
      </c>
      <c r="C2016" s="1280" t="str">
        <f t="shared" si="177"/>
        <v/>
      </c>
      <c r="D2016" s="596"/>
      <c r="E2016" s="99"/>
      <c r="F2016" s="99"/>
      <c r="G2016" s="1630"/>
      <c r="H2016" s="1326"/>
      <c r="J2016" s="1779"/>
    </row>
    <row r="2017" spans="1:10" ht="16" thickTop="1" x14ac:dyDescent="0.2">
      <c r="A2017" s="467" t="str">
        <f ca="1">IF(I2017&gt;0,"P","")</f>
        <v/>
      </c>
      <c r="B2017" s="1324" t="str">
        <f>IF(LEN('11.900'!H171)=0,"",'11.900'!H171)</f>
        <v/>
      </c>
      <c r="C2017" s="1280" t="str">
        <f t="shared" ca="1" si="177"/>
        <v/>
      </c>
      <c r="D2017" s="107" t="s">
        <v>3683</v>
      </c>
      <c r="E2017" s="88"/>
      <c r="F2017" s="88"/>
      <c r="G2017" s="1687" t="s">
        <v>4867</v>
      </c>
      <c r="H2017" s="1341" t="str">
        <f>IF(LEN('11.900'!W171)=0,"",'11.900'!W171)</f>
        <v/>
      </c>
      <c r="I2017" s="88">
        <f ca="1">'11.900'!O171</f>
        <v>0</v>
      </c>
      <c r="J2017" s="1314" t="s">
        <v>5229</v>
      </c>
    </row>
    <row r="2018" spans="1:10" x14ac:dyDescent="0.2">
      <c r="A2018" s="467" t="str">
        <f t="shared" ref="A2018:A2022" ca="1" si="181">A2017</f>
        <v/>
      </c>
      <c r="B2018" s="1324" t="str">
        <f>IF(LEN('11.900'!H172)=0,"",'11.900'!H172)</f>
        <v/>
      </c>
      <c r="C2018" s="1280" t="str">
        <f t="shared" ca="1" si="177"/>
        <v/>
      </c>
      <c r="D2018" s="88"/>
      <c r="E2018" s="88"/>
      <c r="F2018" s="88"/>
      <c r="G2018" s="1687"/>
      <c r="H2018" s="1326"/>
      <c r="J2018" s="1312"/>
    </row>
    <row r="2019" spans="1:10" x14ac:dyDescent="0.2">
      <c r="A2019" s="467" t="str">
        <f t="shared" ca="1" si="181"/>
        <v/>
      </c>
      <c r="B2019" s="1324" t="str">
        <f>IF(LEN('11.900'!H173)=0,"",'11.900'!H173)</f>
        <v/>
      </c>
      <c r="C2019" s="1280" t="str">
        <f t="shared" ca="1" si="177"/>
        <v/>
      </c>
      <c r="D2019" s="88"/>
      <c r="E2019" s="88"/>
      <c r="F2019" s="88"/>
      <c r="G2019" s="1687"/>
      <c r="H2019" s="1326"/>
      <c r="J2019" s="1312"/>
    </row>
    <row r="2020" spans="1:10" x14ac:dyDescent="0.2">
      <c r="A2020" s="467" t="str">
        <f t="shared" ca="1" si="181"/>
        <v/>
      </c>
      <c r="B2020" s="1324" t="str">
        <f>IF(LEN('11.900'!H174)=0,"",'11.900'!H174)</f>
        <v/>
      </c>
      <c r="C2020" s="1280" t="str">
        <f t="shared" ca="1" si="177"/>
        <v/>
      </c>
      <c r="D2020" s="88"/>
      <c r="E2020" s="88"/>
      <c r="F2020" s="88"/>
      <c r="G2020" s="1687"/>
      <c r="H2020" s="1326"/>
      <c r="J2020" s="1312"/>
    </row>
    <row r="2021" spans="1:10" x14ac:dyDescent="0.2">
      <c r="A2021" s="467" t="str">
        <f t="shared" ca="1" si="181"/>
        <v/>
      </c>
      <c r="B2021" s="1324" t="str">
        <f>IF(LEN('11.900'!H175)=0,"",'11.900'!H175)</f>
        <v/>
      </c>
      <c r="C2021" s="1280" t="str">
        <f t="shared" ca="1" si="177"/>
        <v/>
      </c>
      <c r="D2021" s="88"/>
      <c r="E2021" s="88"/>
      <c r="F2021" s="88"/>
      <c r="G2021" s="1687"/>
      <c r="H2021" s="1326"/>
      <c r="J2021" s="1312"/>
    </row>
    <row r="2022" spans="1:10" ht="16" thickBot="1" x14ac:dyDescent="0.25">
      <c r="A2022" s="467" t="str">
        <f t="shared" ca="1" si="181"/>
        <v/>
      </c>
      <c r="B2022" s="1324" t="str">
        <f>IF(LEN('11.900'!H176)=0,"",'11.900'!H176)</f>
        <v/>
      </c>
      <c r="C2022" s="1280" t="str">
        <f t="shared" ca="1" si="177"/>
        <v/>
      </c>
      <c r="D2022" s="88"/>
      <c r="E2022" s="88"/>
      <c r="F2022" s="88"/>
      <c r="G2022" s="1687"/>
      <c r="H2022" s="1326"/>
      <c r="J2022" s="1312"/>
    </row>
    <row r="2023" spans="1:10" ht="16" thickTop="1" x14ac:dyDescent="0.2">
      <c r="A2023" s="467" t="str">
        <f>IF(AND(LEN(H2023)&gt;0,NOT(H2023=FALSE),NOT(H2023="N/A")),"P","")</f>
        <v>P</v>
      </c>
      <c r="B2023" s="1324" t="str">
        <f>IF(LEN('11.900'!H177)=0,"",'11.900'!H177)</f>
        <v/>
      </c>
      <c r="C2023" s="1280" t="str">
        <f t="shared" si="177"/>
        <v>P</v>
      </c>
      <c r="D2023" s="107" t="s">
        <v>3684</v>
      </c>
      <c r="E2023" s="179"/>
      <c r="F2023" s="179"/>
      <c r="G2023" s="1683" t="s">
        <v>4872</v>
      </c>
      <c r="H2023" s="1341" t="str">
        <f>IF(LEN('11.900'!W177)=0,"",'11.900'!W177)</f>
        <v>Met</v>
      </c>
      <c r="J2023" s="1779" t="s">
        <v>5230</v>
      </c>
    </row>
    <row r="2024" spans="1:10" ht="16" thickBot="1" x14ac:dyDescent="0.25">
      <c r="A2024" s="467" t="str">
        <f t="shared" ref="A2024" si="182">A2023</f>
        <v>P</v>
      </c>
      <c r="B2024" s="1324" t="str">
        <f>IF(LEN('11.900'!H178)=0,"",'11.900'!H178)</f>
        <v/>
      </c>
      <c r="C2024" s="1280" t="str">
        <f t="shared" si="177"/>
        <v>P</v>
      </c>
      <c r="D2024" s="596"/>
      <c r="E2024" s="99"/>
      <c r="F2024" s="99"/>
      <c r="G2024" s="1630"/>
      <c r="H2024" s="1326"/>
      <c r="J2024" s="1779"/>
    </row>
    <row r="2025" spans="1:10" ht="16" thickTop="1" x14ac:dyDescent="0.2">
      <c r="A2025" s="467" t="str">
        <f ca="1">IF(I2025&gt;0,"P","")</f>
        <v/>
      </c>
      <c r="B2025" s="1324" t="str">
        <f>IF(LEN('11.900'!H179)=0,"",'11.900'!H179)</f>
        <v/>
      </c>
      <c r="C2025" s="1280" t="str">
        <f t="shared" ca="1" si="177"/>
        <v/>
      </c>
      <c r="D2025" s="107" t="s">
        <v>3685</v>
      </c>
      <c r="E2025" s="179"/>
      <c r="F2025" s="179"/>
      <c r="G2025" s="1683" t="s">
        <v>4871</v>
      </c>
      <c r="H2025" s="1326"/>
      <c r="I2025" s="88">
        <f ca="1">'11.900'!O179</f>
        <v>0</v>
      </c>
      <c r="J2025" s="1779" t="s">
        <v>3120</v>
      </c>
    </row>
    <row r="2026" spans="1:10" x14ac:dyDescent="0.2">
      <c r="A2026" s="467" t="str">
        <f t="shared" ref="A2026" ca="1" si="183">A2025</f>
        <v/>
      </c>
      <c r="B2026" s="1324" t="str">
        <f>IF(LEN('11.900'!H180)=0,"",'11.900'!H180)</f>
        <v/>
      </c>
      <c r="C2026" s="1280" t="str">
        <f t="shared" ca="1" si="177"/>
        <v/>
      </c>
      <c r="D2026" s="609"/>
      <c r="E2026" s="97"/>
      <c r="F2026" s="97"/>
      <c r="G2026" s="1629"/>
      <c r="H2026" s="1326"/>
      <c r="J2026" s="1779"/>
    </row>
    <row r="2027" spans="1:10" ht="15" customHeight="1" x14ac:dyDescent="0.2">
      <c r="B2027" s="1324" t="str">
        <f>IF(LEN('11.900'!H181)=0,"",'11.900'!H181)</f>
        <v/>
      </c>
      <c r="C2027" s="1280" t="str">
        <f t="shared" si="177"/>
        <v/>
      </c>
      <c r="D2027" s="609"/>
      <c r="E2027" s="169" t="s">
        <v>254</v>
      </c>
      <c r="F2027" s="170"/>
      <c r="G2027" s="1285" t="s">
        <v>2729</v>
      </c>
      <c r="H2027" s="1341" t="str">
        <f>IF(LEN('11.900'!W181)=0,"",'11.900'!W181)</f>
        <v/>
      </c>
      <c r="J2027" s="1312"/>
    </row>
    <row r="2028" spans="1:10" ht="15.75" customHeight="1" thickBot="1" x14ac:dyDescent="0.25">
      <c r="B2028" s="1324" t="str">
        <f>IF(LEN('11.900'!H182)=0,"",'11.900'!H182)</f>
        <v/>
      </c>
      <c r="C2028" s="1280" t="str">
        <f t="shared" si="177"/>
        <v/>
      </c>
      <c r="D2028" s="596"/>
      <c r="E2028" s="98" t="s">
        <v>255</v>
      </c>
      <c r="F2028" s="99"/>
      <c r="G2028" s="1295" t="s">
        <v>2730</v>
      </c>
      <c r="H2028" s="1341" t="str">
        <f>IF(LEN('11.900'!W182)=0,"",'11.900'!W182)</f>
        <v/>
      </c>
      <c r="J2028" s="1312"/>
    </row>
    <row r="2029" spans="1:10" ht="16" thickTop="1" x14ac:dyDescent="0.2">
      <c r="A2029" s="467" t="str">
        <f ca="1">IF(I2029&gt;0,"P","")</f>
        <v/>
      </c>
      <c r="B2029" s="1324" t="str">
        <f>IF(LEN('11.900'!H183)=0,"",'11.900'!H183)</f>
        <v/>
      </c>
      <c r="C2029" s="1280" t="str">
        <f t="shared" ca="1" si="177"/>
        <v/>
      </c>
      <c r="D2029" s="136" t="s">
        <v>3900</v>
      </c>
      <c r="E2029" s="85"/>
      <c r="F2029" s="85"/>
      <c r="G2029" s="1631" t="s">
        <v>4870</v>
      </c>
      <c r="H2029" s="1326"/>
      <c r="I2029" s="1397">
        <f ca="1">SUM(I2031:I2033)</f>
        <v>0</v>
      </c>
      <c r="J2029" s="1779" t="s">
        <v>3120</v>
      </c>
    </row>
    <row r="2030" spans="1:10" x14ac:dyDescent="0.2">
      <c r="A2030" s="467" t="str">
        <f t="shared" ref="A2030" ca="1" si="184">A2029</f>
        <v/>
      </c>
      <c r="B2030" s="1324" t="str">
        <f>IF(LEN('11.900'!H184)=0,"",'11.900'!H184)</f>
        <v/>
      </c>
      <c r="C2030" s="1280" t="str">
        <f t="shared" ca="1" si="177"/>
        <v/>
      </c>
      <c r="D2030" s="588"/>
      <c r="E2030" s="85"/>
      <c r="F2030" s="85"/>
      <c r="G2030" s="1631"/>
      <c r="H2030" s="1326"/>
      <c r="J2030" s="1779"/>
    </row>
    <row r="2031" spans="1:10" x14ac:dyDescent="0.2">
      <c r="B2031" s="1324" t="str">
        <f>IF(LEN('11.900'!H185)=0,"",'11.900'!H185)</f>
        <v/>
      </c>
      <c r="C2031" s="1280" t="str">
        <f t="shared" si="177"/>
        <v/>
      </c>
      <c r="D2031" s="588"/>
      <c r="E2031" s="93" t="s">
        <v>254</v>
      </c>
      <c r="F2031" s="97"/>
      <c r="G2031" s="1609" t="s">
        <v>2731</v>
      </c>
      <c r="H2031" s="1341" t="str">
        <f>IF(LEN('11.900'!W185)=0,"",'11.900'!W185)</f>
        <v/>
      </c>
      <c r="I2031" s="88">
        <f ca="1">'11.900'!O185</f>
        <v>0</v>
      </c>
      <c r="J2031" s="1312"/>
    </row>
    <row r="2032" spans="1:10" x14ac:dyDescent="0.2">
      <c r="B2032" s="1324" t="str">
        <f>IF(LEN('11.900'!H186)=0,"",'11.900'!H186)</f>
        <v/>
      </c>
      <c r="C2032" s="1280" t="str">
        <f t="shared" si="177"/>
        <v/>
      </c>
      <c r="D2032" s="588"/>
      <c r="E2032" s="170"/>
      <c r="F2032" s="170"/>
      <c r="G2032" s="1612"/>
      <c r="H2032" s="1326"/>
      <c r="J2032" s="1312"/>
    </row>
    <row r="2033" spans="1:10" x14ac:dyDescent="0.2">
      <c r="B2033" s="1324" t="str">
        <f>IF(LEN('11.900'!H187)=0,"",'11.900'!H187)</f>
        <v/>
      </c>
      <c r="C2033" s="1280" t="str">
        <f t="shared" si="177"/>
        <v/>
      </c>
      <c r="D2033" s="588"/>
      <c r="E2033" s="89" t="s">
        <v>255</v>
      </c>
      <c r="F2033" s="85"/>
      <c r="G2033" s="1611" t="s">
        <v>2732</v>
      </c>
      <c r="H2033" s="1341" t="str">
        <f>IF(LEN('11.900'!W187)=0,"",'11.900'!W187)</f>
        <v/>
      </c>
      <c r="I2033" s="88">
        <f ca="1">'11.900'!O187</f>
        <v>0</v>
      </c>
      <c r="J2033" s="1312"/>
    </row>
    <row r="2034" spans="1:10" ht="16" thickBot="1" x14ac:dyDescent="0.25">
      <c r="B2034" s="1324" t="str">
        <f>IF(LEN('11.900'!H188)=0,"",'11.900'!H188)</f>
        <v/>
      </c>
      <c r="C2034" s="1280" t="str">
        <f t="shared" si="177"/>
        <v/>
      </c>
      <c r="D2034" s="588"/>
      <c r="E2034" s="85"/>
      <c r="F2034" s="85"/>
      <c r="G2034" s="1611"/>
      <c r="H2034" s="1326"/>
      <c r="J2034" s="1312"/>
    </row>
    <row r="2035" spans="1:10" ht="16" thickTop="1" x14ac:dyDescent="0.2">
      <c r="A2035" s="467" t="str">
        <f>IF(AND(LEN(H2035)&gt;0,NOT(H2035=FALSE),NOT(H2035="N/A")),"P","")</f>
        <v>P</v>
      </c>
      <c r="B2035" s="1324" t="str">
        <f>IF(LEN('11.900'!H189)=0,"",'11.900'!H189)</f>
        <v/>
      </c>
      <c r="C2035" s="1280" t="str">
        <f t="shared" si="177"/>
        <v>P</v>
      </c>
      <c r="D2035" s="107" t="s">
        <v>4868</v>
      </c>
      <c r="E2035" s="179"/>
      <c r="F2035" s="179"/>
      <c r="G2035" s="1683" t="s">
        <v>4869</v>
      </c>
      <c r="H2035" s="1341" t="b">
        <f>IF(LEN('11.900'!W189)=0,"",'11.900'!W189)</f>
        <v>1</v>
      </c>
      <c r="J2035" s="1779" t="s">
        <v>5231</v>
      </c>
    </row>
    <row r="2036" spans="1:10" x14ac:dyDescent="0.2">
      <c r="A2036" s="467" t="str">
        <f t="shared" ref="A2036" si="185">A2035</f>
        <v>P</v>
      </c>
      <c r="B2036" s="1324" t="str">
        <f>IF(LEN('11.900'!H190)=0,"",'11.900'!H190)</f>
        <v/>
      </c>
      <c r="C2036" s="1280" t="str">
        <f t="shared" si="177"/>
        <v>P</v>
      </c>
      <c r="D2036" s="208"/>
      <c r="E2036" s="170"/>
      <c r="F2036" s="170"/>
      <c r="G2036" s="1696"/>
      <c r="H2036" s="1326"/>
      <c r="J2036" s="1779"/>
    </row>
    <row r="2037" spans="1:10" ht="19" x14ac:dyDescent="0.25">
      <c r="A2037" s="467" t="s">
        <v>3200</v>
      </c>
      <c r="B2037" s="1324" t="str">
        <f>IF(LEN('11.900'!H191)=0,"",'11.900'!H191)</f>
        <v/>
      </c>
      <c r="C2037" s="1280" t="str">
        <f t="shared" si="177"/>
        <v>P</v>
      </c>
      <c r="D2037" s="72" t="s">
        <v>3686</v>
      </c>
      <c r="E2037" s="84"/>
      <c r="F2037" s="84"/>
      <c r="G2037" s="86"/>
      <c r="H2037" s="994"/>
      <c r="I2037" s="25"/>
      <c r="J2037" s="25"/>
    </row>
    <row r="2038" spans="1:10" ht="16" thickBot="1" x14ac:dyDescent="0.25">
      <c r="B2038" s="1324" t="str">
        <f>IF(LEN('11.900'!H192)=0,"",'11.900'!H192)</f>
        <v/>
      </c>
      <c r="C2038" s="1280" t="str">
        <f t="shared" si="177"/>
        <v/>
      </c>
      <c r="D2038" s="598" t="s">
        <v>3687</v>
      </c>
      <c r="E2038" s="99"/>
      <c r="F2038" s="99"/>
      <c r="G2038" s="1307" t="s">
        <v>3733</v>
      </c>
      <c r="H2038" s="1326"/>
      <c r="J2038" s="1312"/>
    </row>
    <row r="2039" spans="1:10" ht="16" thickTop="1" x14ac:dyDescent="0.2">
      <c r="A2039" s="467" t="str">
        <f ca="1">IF(I2039&gt;0,"P","")</f>
        <v/>
      </c>
      <c r="B2039" s="1324" t="str">
        <f>IF(LEN('11.900'!H193)=0,"",'11.900'!H193)</f>
        <v/>
      </c>
      <c r="C2039" s="1280" t="str">
        <f t="shared" ca="1" si="177"/>
        <v/>
      </c>
      <c r="D2039" s="136" t="s">
        <v>3688</v>
      </c>
      <c r="E2039" s="85"/>
      <c r="F2039" s="85"/>
      <c r="G2039" s="1300" t="s">
        <v>3732</v>
      </c>
      <c r="H2039" s="1326"/>
      <c r="I2039" s="1397">
        <f ca="1">SUM(I2040:I2072)</f>
        <v>0</v>
      </c>
      <c r="J2039" s="1312"/>
    </row>
    <row r="2040" spans="1:10" x14ac:dyDescent="0.2">
      <c r="A2040" s="467" t="str">
        <f>IF(I2040&gt;0,"P","")</f>
        <v/>
      </c>
      <c r="B2040" s="1324" t="str">
        <f>IF(LEN('11.900'!H194)=0,"",'11.900'!H194)</f>
        <v/>
      </c>
      <c r="C2040" s="1280" t="str">
        <f t="shared" si="177"/>
        <v/>
      </c>
      <c r="D2040" s="136" t="s">
        <v>3689</v>
      </c>
      <c r="E2040" s="85"/>
      <c r="F2040" s="85"/>
      <c r="G2040" s="1300" t="s">
        <v>3731</v>
      </c>
      <c r="H2040" s="1326"/>
      <c r="I2040" s="1397">
        <f>SUM(I2043:I2047)</f>
        <v>0</v>
      </c>
      <c r="J2040" s="1312"/>
    </row>
    <row r="2041" spans="1:10" x14ac:dyDescent="0.2">
      <c r="A2041" s="467" t="str">
        <f>IF(AND(LEN(H2041)&gt;0,NOT(H2041=FALSE),NOT(H2041="N/A")),"P","")</f>
        <v>P</v>
      </c>
      <c r="B2041" s="1324" t="str">
        <f>IF(LEN('11.900'!H195)=0,"",'11.900'!H195)</f>
        <v/>
      </c>
      <c r="C2041" s="1280" t="str">
        <f t="shared" si="177"/>
        <v>P</v>
      </c>
      <c r="D2041" s="588"/>
      <c r="E2041" s="89" t="s">
        <v>254</v>
      </c>
      <c r="F2041" s="85"/>
      <c r="G2041" s="1611" t="s">
        <v>2733</v>
      </c>
      <c r="H2041" s="1341" t="b">
        <f>IF(LEN('11.900'!W195)=0,"",'11.900'!W195)</f>
        <v>1</v>
      </c>
      <c r="J2041" s="1312" t="s">
        <v>3164</v>
      </c>
    </row>
    <row r="2042" spans="1:10" x14ac:dyDescent="0.2">
      <c r="A2042" s="467" t="str">
        <f t="shared" ref="A2042" si="186">A2041</f>
        <v>P</v>
      </c>
      <c r="B2042" s="1324" t="str">
        <f>IF(LEN('11.900'!H196)=0,"",'11.900'!H196)</f>
        <v/>
      </c>
      <c r="C2042" s="1280" t="str">
        <f t="shared" si="177"/>
        <v>P</v>
      </c>
      <c r="D2042" s="588"/>
      <c r="E2042" s="85"/>
      <c r="F2042" s="85"/>
      <c r="G2042" s="1611"/>
      <c r="H2042" s="1326"/>
      <c r="J2042" s="1312"/>
    </row>
    <row r="2043" spans="1:10" x14ac:dyDescent="0.2">
      <c r="B2043" s="1324" t="str">
        <f>IF(LEN('11.900'!H197)=0,"",'11.900'!H197)</f>
        <v/>
      </c>
      <c r="C2043" s="1280" t="str">
        <f t="shared" si="177"/>
        <v/>
      </c>
      <c r="D2043" s="588"/>
      <c r="E2043" s="93"/>
      <c r="F2043" s="93" t="s">
        <v>121</v>
      </c>
      <c r="G2043" s="1609" t="s">
        <v>2928</v>
      </c>
      <c r="H2043" s="1341" t="str">
        <f>IF(LEN('11.900'!W197)=0,"",'11.900'!W197)</f>
        <v/>
      </c>
      <c r="I2043" s="88">
        <f>'11.900'!O197</f>
        <v>0</v>
      </c>
      <c r="J2043" s="1312"/>
    </row>
    <row r="2044" spans="1:10" x14ac:dyDescent="0.2">
      <c r="B2044" s="1324" t="str">
        <f>IF(LEN('11.900'!H198)=0,"",'11.900'!H198)</f>
        <v/>
      </c>
      <c r="C2044" s="1280" t="str">
        <f t="shared" si="177"/>
        <v/>
      </c>
      <c r="D2044" s="588"/>
      <c r="E2044" s="169"/>
      <c r="F2044" s="170"/>
      <c r="G2044" s="1612"/>
      <c r="H2044" s="1326"/>
      <c r="J2044" s="1312"/>
    </row>
    <row r="2045" spans="1:10" x14ac:dyDescent="0.2">
      <c r="A2045" s="467" t="str">
        <f>IF(AND(LEN(H2045)&gt;0,NOT(H2045=FALSE),NOT(H2045="N/A")),"P","")</f>
        <v>P</v>
      </c>
      <c r="B2045" s="1324" t="str">
        <f>IF(LEN('11.900'!H199)=0,"",'11.900'!H199)</f>
        <v/>
      </c>
      <c r="C2045" s="1280" t="str">
        <f t="shared" si="177"/>
        <v>P</v>
      </c>
      <c r="D2045" s="588"/>
      <c r="E2045" s="93" t="s">
        <v>255</v>
      </c>
      <c r="F2045" s="97"/>
      <c r="G2045" s="1609" t="s">
        <v>2734</v>
      </c>
      <c r="H2045" s="1341" t="str">
        <f>IF(LEN('11.900'!W199)=0,"",'11.900'!W199)</f>
        <v>Met</v>
      </c>
      <c r="J2045" s="1779" t="s">
        <v>3120</v>
      </c>
    </row>
    <row r="2046" spans="1:10" x14ac:dyDescent="0.2">
      <c r="A2046" s="467" t="str">
        <f t="shared" ref="A2046" si="187">A2045</f>
        <v>P</v>
      </c>
      <c r="B2046" s="1324" t="str">
        <f>IF(LEN('11.900'!H200)=0,"",'11.900'!H200)</f>
        <v/>
      </c>
      <c r="C2046" s="1280" t="str">
        <f t="shared" si="177"/>
        <v>P</v>
      </c>
      <c r="D2046" s="588"/>
      <c r="E2046" s="169"/>
      <c r="F2046" s="170"/>
      <c r="G2046" s="1612"/>
      <c r="H2046" s="1326"/>
      <c r="J2046" s="1779"/>
    </row>
    <row r="2047" spans="1:10" x14ac:dyDescent="0.2">
      <c r="A2047" s="467" t="str">
        <f>IF(I2047&gt;0,"P","")</f>
        <v/>
      </c>
      <c r="B2047" s="1324" t="str">
        <f>IF(LEN('11.900'!H201)=0,"",'11.900'!H201)</f>
        <v/>
      </c>
      <c r="C2047" s="1280" t="str">
        <f t="shared" si="177"/>
        <v/>
      </c>
      <c r="D2047" s="609"/>
      <c r="E2047" s="93" t="s">
        <v>256</v>
      </c>
      <c r="F2047" s="97"/>
      <c r="G2047" s="1609" t="s">
        <v>2735</v>
      </c>
      <c r="H2047" s="1341" t="str">
        <f>IF(LEN('11.900'!W201)=0,"",'11.900'!W201)</f>
        <v/>
      </c>
      <c r="I2047" s="88">
        <f>'11.900'!O201</f>
        <v>0</v>
      </c>
      <c r="J2047" s="1779" t="s">
        <v>3165</v>
      </c>
    </row>
    <row r="2048" spans="1:10" x14ac:dyDescent="0.2">
      <c r="A2048" s="467" t="str">
        <f t="shared" ref="A2048:A2049" si="188">A2047</f>
        <v/>
      </c>
      <c r="B2048" s="1324" t="str">
        <f>IF(LEN('11.900'!H202)=0,"",'11.900'!H202)</f>
        <v/>
      </c>
      <c r="C2048" s="1280" t="str">
        <f t="shared" si="177"/>
        <v/>
      </c>
      <c r="D2048" s="609"/>
      <c r="E2048" s="93"/>
      <c r="F2048" s="97"/>
      <c r="G2048" s="1609"/>
      <c r="H2048" s="1326"/>
      <c r="J2048" s="1779"/>
    </row>
    <row r="2049" spans="1:10" x14ac:dyDescent="0.2">
      <c r="A2049" s="467" t="str">
        <f t="shared" si="188"/>
        <v/>
      </c>
      <c r="B2049" s="1324" t="str">
        <f>IF(LEN('11.900'!H203)=0,"",'11.900'!H203)</f>
        <v/>
      </c>
      <c r="C2049" s="1280" t="str">
        <f t="shared" si="177"/>
        <v/>
      </c>
      <c r="D2049" s="208"/>
      <c r="E2049" s="170"/>
      <c r="F2049" s="170"/>
      <c r="G2049" s="1612"/>
      <c r="H2049" s="1326"/>
      <c r="J2049" s="1779"/>
    </row>
    <row r="2050" spans="1:10" x14ac:dyDescent="0.2">
      <c r="A2050" s="467" t="str">
        <f>IF(I2050&gt;0,"P","")</f>
        <v/>
      </c>
      <c r="B2050" s="1324" t="str">
        <f>IF(LEN('11.900'!H204)=0,"",'11.900'!H204)</f>
        <v/>
      </c>
      <c r="C2050" s="1280" t="str">
        <f t="shared" si="177"/>
        <v/>
      </c>
      <c r="D2050" s="593" t="s">
        <v>3690</v>
      </c>
      <c r="E2050" s="194"/>
      <c r="F2050" s="194"/>
      <c r="G2050" s="1712" t="s">
        <v>3730</v>
      </c>
      <c r="H2050" s="1326"/>
      <c r="I2050" s="88">
        <f>'11.900'!O204</f>
        <v>0</v>
      </c>
      <c r="J2050" s="1779" t="s">
        <v>3120</v>
      </c>
    </row>
    <row r="2051" spans="1:10" x14ac:dyDescent="0.2">
      <c r="A2051" s="467" t="str">
        <f t="shared" ref="A2051" si="189">A2050</f>
        <v/>
      </c>
      <c r="B2051" s="1324" t="str">
        <f>IF(LEN('11.900'!H205)=0,"",'11.900'!H205)</f>
        <v/>
      </c>
      <c r="C2051" s="1280" t="str">
        <f t="shared" si="177"/>
        <v/>
      </c>
      <c r="D2051" s="609"/>
      <c r="E2051" s="97"/>
      <c r="F2051" s="97"/>
      <c r="G2051" s="1629"/>
      <c r="H2051" s="1341" t="str">
        <f>IF(LEN('11.900'!W205)=0,"",'11.900'!W205)</f>
        <v/>
      </c>
      <c r="J2051" s="1779"/>
    </row>
    <row r="2052" spans="1:10" x14ac:dyDescent="0.2">
      <c r="B2052" s="1324" t="str">
        <f>IF(LEN('11.900'!H206)=0,"",'11.900'!H206)</f>
        <v/>
      </c>
      <c r="C2052" s="1280" t="str">
        <f t="shared" si="177"/>
        <v/>
      </c>
      <c r="D2052" s="609"/>
      <c r="E2052" s="169" t="s">
        <v>254</v>
      </c>
      <c r="F2052" s="170"/>
      <c r="G2052" s="1285" t="s">
        <v>2738</v>
      </c>
      <c r="H2052" s="1326"/>
      <c r="J2052" s="1312"/>
    </row>
    <row r="2053" spans="1:10" x14ac:dyDescent="0.2">
      <c r="B2053" s="1324" t="str">
        <f>IF(LEN('11.900'!H207)=0,"",'11.900'!H207)</f>
        <v/>
      </c>
      <c r="C2053" s="1280" t="str">
        <f t="shared" si="177"/>
        <v/>
      </c>
      <c r="D2053" s="208"/>
      <c r="E2053" s="169" t="s">
        <v>255</v>
      </c>
      <c r="F2053" s="170"/>
      <c r="G2053" s="1285" t="s">
        <v>2739</v>
      </c>
      <c r="H2053" s="1341" t="str">
        <f>IF(LEN('11.900'!W207)=0,"",'11.900'!W207)</f>
        <v/>
      </c>
      <c r="J2053" s="1312"/>
    </row>
    <row r="2054" spans="1:10" x14ac:dyDescent="0.2">
      <c r="A2054" s="467" t="str">
        <f>IF(I2054&gt;0,"P","")</f>
        <v/>
      </c>
      <c r="B2054" s="1324" t="str">
        <f>IF(LEN('11.900'!H208)=0,"",'11.900'!H208)</f>
        <v/>
      </c>
      <c r="C2054" s="1280" t="str">
        <f t="shared" si="177"/>
        <v/>
      </c>
      <c r="D2054" s="593" t="s">
        <v>3691</v>
      </c>
      <c r="E2054" s="194"/>
      <c r="F2054" s="194"/>
      <c r="G2054" s="1712" t="s">
        <v>3729</v>
      </c>
      <c r="H2054" s="1341" t="str">
        <f>IF(LEN('11.900'!W208)=0,"",'11.900'!W208)</f>
        <v/>
      </c>
      <c r="I2054" s="88">
        <f>'11.900'!O208</f>
        <v>0</v>
      </c>
      <c r="J2054" s="1779" t="s">
        <v>3176</v>
      </c>
    </row>
    <row r="2055" spans="1:10" x14ac:dyDescent="0.2">
      <c r="A2055" s="467" t="str">
        <f t="shared" ref="A2055" si="190">A2054</f>
        <v/>
      </c>
      <c r="B2055" s="1324" t="str">
        <f>IF(LEN('11.900'!H209)=0,"",'11.900'!H209)</f>
        <v/>
      </c>
      <c r="C2055" s="1280" t="str">
        <f t="shared" si="177"/>
        <v/>
      </c>
      <c r="D2055" s="609"/>
      <c r="E2055" s="97"/>
      <c r="F2055" s="97"/>
      <c r="G2055" s="1629"/>
      <c r="H2055" s="1326"/>
      <c r="J2055" s="1779"/>
    </row>
    <row r="2056" spans="1:10" x14ac:dyDescent="0.2">
      <c r="B2056" s="1324" t="str">
        <f>IF(LEN('11.900'!H210)=0,"",'11.900'!H210)</f>
        <v/>
      </c>
      <c r="C2056" s="1280" t="str">
        <f t="shared" ref="C2056:C2119" si="191">IF(LEN(B2056)=0,IF(A2056="P","P",""),B2056)</f>
        <v/>
      </c>
      <c r="D2056" s="609"/>
      <c r="E2056" s="97"/>
      <c r="F2056" s="93" t="s">
        <v>121</v>
      </c>
      <c r="G2056" s="1287" t="s">
        <v>2741</v>
      </c>
      <c r="H2056" s="1326"/>
      <c r="J2056" s="1312"/>
    </row>
    <row r="2057" spans="1:10" ht="15" customHeight="1" x14ac:dyDescent="0.2">
      <c r="B2057" s="1324" t="str">
        <f>IF(LEN('11.900'!H211)=0,"",'11.900'!H211)</f>
        <v/>
      </c>
      <c r="C2057" s="1280" t="str">
        <f t="shared" si="191"/>
        <v/>
      </c>
      <c r="D2057" s="208"/>
      <c r="E2057" s="170"/>
      <c r="F2057" s="169" t="s">
        <v>122</v>
      </c>
      <c r="G2057" s="1285" t="s">
        <v>2742</v>
      </c>
      <c r="H2057" s="1326"/>
      <c r="J2057" s="1312"/>
    </row>
    <row r="2058" spans="1:10" ht="45" x14ac:dyDescent="0.2">
      <c r="A2058" s="467" t="str">
        <f>IF(I2058&gt;0,"P","")</f>
        <v/>
      </c>
      <c r="B2058" s="1324" t="str">
        <f>IF(LEN('11.900'!H212)=0,"",'11.900'!H212)</f>
        <v/>
      </c>
      <c r="C2058" s="1280" t="str">
        <f t="shared" si="191"/>
        <v/>
      </c>
      <c r="D2058" s="593" t="s">
        <v>3692</v>
      </c>
      <c r="E2058" s="194"/>
      <c r="F2058" s="194"/>
      <c r="G2058" s="1299" t="s">
        <v>3728</v>
      </c>
      <c r="H2058" s="1326"/>
      <c r="I2058" s="88">
        <f>'11.900'!O212</f>
        <v>0</v>
      </c>
      <c r="J2058" s="1312" t="s">
        <v>5232</v>
      </c>
    </row>
    <row r="2059" spans="1:10" x14ac:dyDescent="0.2">
      <c r="B2059" s="1324" t="str">
        <f>IF(LEN('11.900'!H213)=0,"",'11.900'!H213)</f>
        <v/>
      </c>
      <c r="C2059" s="1280" t="str">
        <f t="shared" si="191"/>
        <v/>
      </c>
      <c r="D2059" s="609"/>
      <c r="E2059" s="93" t="s">
        <v>254</v>
      </c>
      <c r="F2059" s="97"/>
      <c r="G2059" s="1287" t="s">
        <v>2931</v>
      </c>
      <c r="H2059" s="1326"/>
      <c r="J2059" s="1312"/>
    </row>
    <row r="2060" spans="1:10" x14ac:dyDescent="0.2">
      <c r="B2060" s="1324" t="str">
        <f>IF(LEN('11.900'!H214)=0,"",'11.900'!H214)</f>
        <v/>
      </c>
      <c r="C2060" s="1280" t="str">
        <f t="shared" si="191"/>
        <v/>
      </c>
      <c r="D2060" s="609"/>
      <c r="E2060" s="169"/>
      <c r="F2060" s="170"/>
      <c r="G2060" s="1298" t="s">
        <v>2744</v>
      </c>
      <c r="H2060" s="1341" t="str">
        <f>IF(LEN('11.900'!W214)=0,"",'11.900'!W214)</f>
        <v/>
      </c>
      <c r="J2060" s="1312"/>
    </row>
    <row r="2061" spans="1:10" x14ac:dyDescent="0.2">
      <c r="B2061" s="1324" t="str">
        <f>IF(LEN('11.900'!H215)=0,"",'11.900'!H215)</f>
        <v/>
      </c>
      <c r="C2061" s="1280" t="str">
        <f t="shared" si="191"/>
        <v/>
      </c>
      <c r="D2061" s="609"/>
      <c r="E2061" s="93" t="s">
        <v>255</v>
      </c>
      <c r="F2061" s="97"/>
      <c r="G2061" s="1287" t="s">
        <v>2745</v>
      </c>
      <c r="H2061" s="1326"/>
      <c r="J2061" s="1312"/>
    </row>
    <row r="2062" spans="1:10" x14ac:dyDescent="0.2">
      <c r="B2062" s="1324" t="str">
        <f>IF(LEN('11.900'!H216)=0,"",'11.900'!H216)</f>
        <v/>
      </c>
      <c r="C2062" s="1280" t="str">
        <f t="shared" si="191"/>
        <v/>
      </c>
      <c r="D2062" s="208"/>
      <c r="E2062" s="170"/>
      <c r="F2062" s="170"/>
      <c r="G2062" s="1298" t="s">
        <v>2744</v>
      </c>
      <c r="H2062" s="1341" t="str">
        <f>IF(LEN('11.900'!W216)=0,"",'11.900'!W216)</f>
        <v/>
      </c>
      <c r="J2062" s="1312"/>
    </row>
    <row r="2063" spans="1:10" x14ac:dyDescent="0.2">
      <c r="A2063" s="467" t="str">
        <f>IF(I2063&gt;0,"P","")</f>
        <v/>
      </c>
      <c r="B2063" s="1324" t="str">
        <f>IF(LEN('11.900'!H217)=0,"",'11.900'!H217)</f>
        <v/>
      </c>
      <c r="C2063" s="1280" t="str">
        <f t="shared" si="191"/>
        <v/>
      </c>
      <c r="D2063" s="136" t="s">
        <v>3693</v>
      </c>
      <c r="E2063" s="85"/>
      <c r="F2063" s="85"/>
      <c r="G2063" s="1631" t="s">
        <v>3727</v>
      </c>
      <c r="H2063" s="1326"/>
      <c r="I2063" s="88">
        <f>'11.900'!O217</f>
        <v>0</v>
      </c>
      <c r="J2063" s="1779" t="s">
        <v>3120</v>
      </c>
    </row>
    <row r="2064" spans="1:10" x14ac:dyDescent="0.2">
      <c r="A2064" s="467" t="str">
        <f t="shared" ref="A2064" si="192">A2063</f>
        <v/>
      </c>
      <c r="B2064" s="1324" t="str">
        <f>IF(LEN('11.900'!H218)=0,"",'11.900'!H218)</f>
        <v/>
      </c>
      <c r="C2064" s="1280" t="str">
        <f t="shared" si="191"/>
        <v/>
      </c>
      <c r="D2064" s="588"/>
      <c r="E2064" s="85"/>
      <c r="F2064" s="85"/>
      <c r="G2064" s="1631"/>
      <c r="H2064" s="1326"/>
      <c r="J2064" s="1779"/>
    </row>
    <row r="2065" spans="1:10" x14ac:dyDescent="0.2">
      <c r="B2065" s="1324" t="str">
        <f>IF(LEN('11.900'!H219)=0,"",'11.900'!H219)</f>
        <v/>
      </c>
      <c r="C2065" s="1280" t="str">
        <f t="shared" si="191"/>
        <v/>
      </c>
      <c r="D2065" s="588"/>
      <c r="E2065" s="93" t="s">
        <v>254</v>
      </c>
      <c r="F2065" s="97"/>
      <c r="G2065" s="1609" t="s">
        <v>4874</v>
      </c>
      <c r="H2065" s="1341" t="str">
        <f>IF(LEN('11.900'!W219)=0,"",'11.900'!W219)</f>
        <v/>
      </c>
      <c r="J2065" s="1312"/>
    </row>
    <row r="2066" spans="1:10" x14ac:dyDescent="0.2">
      <c r="B2066" s="1324" t="str">
        <f>IF(LEN('11.900'!H220)=0,"",'11.900'!H220)</f>
        <v/>
      </c>
      <c r="C2066" s="1280" t="str">
        <f t="shared" si="191"/>
        <v/>
      </c>
      <c r="D2066" s="588"/>
      <c r="E2066" s="169"/>
      <c r="F2066" s="170"/>
      <c r="G2066" s="1612"/>
      <c r="H2066" s="1326"/>
      <c r="J2066" s="1312"/>
    </row>
    <row r="2067" spans="1:10" x14ac:dyDescent="0.2">
      <c r="B2067" s="1324" t="str">
        <f>IF(LEN('11.900'!H221)=0,"",'11.900'!H221)</f>
        <v/>
      </c>
      <c r="C2067" s="1280" t="str">
        <f t="shared" si="191"/>
        <v/>
      </c>
      <c r="D2067" s="588"/>
      <c r="E2067" s="93" t="s">
        <v>255</v>
      </c>
      <c r="F2067" s="97"/>
      <c r="G2067" s="1609" t="s">
        <v>2747</v>
      </c>
      <c r="H2067" s="1341" t="str">
        <f>IF(LEN('11.900'!W221)=0,"",'11.900'!W221)</f>
        <v/>
      </c>
      <c r="J2067" s="1312"/>
    </row>
    <row r="2068" spans="1:10" x14ac:dyDescent="0.2">
      <c r="B2068" s="1324" t="str">
        <f>IF(LEN('11.900'!H222)=0,"",'11.900'!H222)</f>
        <v/>
      </c>
      <c r="C2068" s="1280" t="str">
        <f t="shared" si="191"/>
        <v/>
      </c>
      <c r="D2068" s="588"/>
      <c r="E2068" s="170"/>
      <c r="F2068" s="170"/>
      <c r="G2068" s="1612"/>
      <c r="H2068" s="1326"/>
      <c r="J2068" s="1312"/>
    </row>
    <row r="2069" spans="1:10" x14ac:dyDescent="0.2">
      <c r="B2069" s="1324" t="str">
        <f>IF(LEN('11.900'!H223)=0,"",'11.900'!H223)</f>
        <v/>
      </c>
      <c r="C2069" s="1280" t="str">
        <f t="shared" si="191"/>
        <v/>
      </c>
      <c r="D2069" s="609"/>
      <c r="E2069" s="93" t="s">
        <v>256</v>
      </c>
      <c r="F2069" s="97"/>
      <c r="G2069" s="1609" t="s">
        <v>2748</v>
      </c>
      <c r="H2069" s="1341" t="str">
        <f>IF(LEN('11.900'!W223)=0,"",'11.900'!W223)</f>
        <v/>
      </c>
      <c r="J2069" s="1312"/>
    </row>
    <row r="2070" spans="1:10" x14ac:dyDescent="0.2">
      <c r="B2070" s="1324" t="str">
        <f>IF(LEN('11.900'!H224)=0,"",'11.900'!H224)</f>
        <v/>
      </c>
      <c r="C2070" s="1280" t="str">
        <f t="shared" si="191"/>
        <v/>
      </c>
      <c r="D2070" s="609"/>
      <c r="E2070" s="97"/>
      <c r="F2070" s="97"/>
      <c r="G2070" s="1609"/>
      <c r="H2070" s="1326"/>
      <c r="J2070" s="1312"/>
    </row>
    <row r="2071" spans="1:10" ht="16" thickBot="1" x14ac:dyDescent="0.25">
      <c r="B2071" s="1324" t="str">
        <f>IF(LEN('11.900'!H225)=0,"",'11.900'!H225)</f>
        <v/>
      </c>
      <c r="C2071" s="1280" t="str">
        <f t="shared" si="191"/>
        <v/>
      </c>
      <c r="D2071" s="596"/>
      <c r="E2071" s="99"/>
      <c r="F2071" s="99"/>
      <c r="G2071" s="1610"/>
      <c r="H2071" s="1326"/>
      <c r="J2071" s="1312"/>
    </row>
    <row r="2072" spans="1:10" ht="16" thickTop="1" x14ac:dyDescent="0.2">
      <c r="A2072" s="467" t="str">
        <f ca="1">IF(I2072&gt;0,"P","")</f>
        <v/>
      </c>
      <c r="B2072" s="1324" t="str">
        <f>IF(LEN('11.900'!H226)=0,"",'11.900'!H226)</f>
        <v/>
      </c>
      <c r="C2072" s="1280" t="str">
        <f t="shared" ca="1" si="191"/>
        <v/>
      </c>
      <c r="D2072" s="102" t="s">
        <v>4875</v>
      </c>
      <c r="E2072" s="97"/>
      <c r="F2072" s="97"/>
      <c r="G2072" s="1608" t="s">
        <v>4876</v>
      </c>
      <c r="H2072" s="1341" t="str">
        <f>IF(LEN('11.900'!W226)=0,"",'11.900'!W226)</f>
        <v/>
      </c>
      <c r="I2072" s="88">
        <f ca="1">'11.900'!O226</f>
        <v>0</v>
      </c>
      <c r="J2072" s="1312" t="s">
        <v>5233</v>
      </c>
    </row>
    <row r="2073" spans="1:10" x14ac:dyDescent="0.2">
      <c r="A2073" s="467" t="str">
        <f t="shared" ref="A2073:A2074" ca="1" si="193">A2072</f>
        <v/>
      </c>
      <c r="B2073" s="1324" t="str">
        <f>IF(LEN('11.900'!H227)=0,"",'11.900'!H227)</f>
        <v/>
      </c>
      <c r="C2073" s="1280" t="str">
        <f t="shared" ca="1" si="191"/>
        <v/>
      </c>
      <c r="D2073" s="609"/>
      <c r="E2073" s="97"/>
      <c r="F2073" s="97"/>
      <c r="G2073" s="1609"/>
      <c r="H2073" s="1326"/>
      <c r="J2073" s="1312"/>
    </row>
    <row r="2074" spans="1:10" ht="16" thickBot="1" x14ac:dyDescent="0.25">
      <c r="A2074" s="467" t="str">
        <f t="shared" ca="1" si="193"/>
        <v/>
      </c>
      <c r="B2074" s="1324" t="str">
        <f>IF(LEN('11.900'!H228)=0,"",'11.900'!H228)</f>
        <v/>
      </c>
      <c r="C2074" s="1280" t="str">
        <f t="shared" ca="1" si="191"/>
        <v/>
      </c>
      <c r="D2074" s="609"/>
      <c r="E2074" s="97"/>
      <c r="F2074" s="97"/>
      <c r="G2074" s="1610"/>
      <c r="H2074" s="1326"/>
      <c r="J2074" s="1312"/>
    </row>
    <row r="2075" spans="1:10" ht="16" thickTop="1" x14ac:dyDescent="0.2">
      <c r="A2075" s="467" t="str">
        <f ca="1">IF(I2075&gt;0,"P","")</f>
        <v>P</v>
      </c>
      <c r="B2075" s="1324" t="str">
        <f>IF(LEN('11.900'!H229)=0,"",'11.900'!H229)</f>
        <v/>
      </c>
      <c r="C2075" s="1280" t="str">
        <f t="shared" ca="1" si="191"/>
        <v>P</v>
      </c>
      <c r="D2075" s="107" t="s">
        <v>3694</v>
      </c>
      <c r="E2075" s="179"/>
      <c r="F2075" s="179"/>
      <c r="G2075" s="1321" t="s">
        <v>3726</v>
      </c>
      <c r="H2075" s="1326"/>
      <c r="I2075" s="1397">
        <f ca="1">SUM(I2076:I2095)</f>
        <v>3</v>
      </c>
      <c r="J2075" s="626"/>
    </row>
    <row r="2076" spans="1:10" x14ac:dyDescent="0.2">
      <c r="A2076" s="467" t="str">
        <f ca="1">IF(I2076&gt;0,"P","")</f>
        <v/>
      </c>
      <c r="B2076" s="1324" t="str">
        <f>IF(LEN('11.900'!H230)=0,"",'11.900'!H230)</f>
        <v/>
      </c>
      <c r="C2076" s="1280" t="str">
        <f t="shared" ca="1" si="191"/>
        <v/>
      </c>
      <c r="D2076" s="102" t="s">
        <v>3695</v>
      </c>
      <c r="E2076" s="97"/>
      <c r="F2076" s="97"/>
      <c r="G2076" s="1629" t="s">
        <v>3874</v>
      </c>
      <c r="H2076" s="1341" t="str">
        <f>IF(LEN('11.900'!W230)=0,"",'11.900'!W230)</f>
        <v/>
      </c>
      <c r="I2076" s="88">
        <f ca="1">'11.900'!O230</f>
        <v>0</v>
      </c>
      <c r="J2076" s="1779" t="s">
        <v>5234</v>
      </c>
    </row>
    <row r="2077" spans="1:10" x14ac:dyDescent="0.2">
      <c r="A2077" s="467" t="str">
        <f t="shared" ref="A2077:A2079" ca="1" si="194">A2076</f>
        <v/>
      </c>
      <c r="B2077" s="1324" t="str">
        <f>IF(LEN('11.900'!H231)=0,"",'11.900'!H231)</f>
        <v/>
      </c>
      <c r="C2077" s="1280" t="str">
        <f t="shared" ca="1" si="191"/>
        <v/>
      </c>
      <c r="D2077" s="609"/>
      <c r="E2077" s="97"/>
      <c r="F2077" s="97"/>
      <c r="G2077" s="1629"/>
      <c r="H2077" s="1326"/>
      <c r="J2077" s="1779"/>
    </row>
    <row r="2078" spans="1:10" x14ac:dyDescent="0.2">
      <c r="A2078" s="467" t="str">
        <f t="shared" ca="1" si="194"/>
        <v/>
      </c>
      <c r="B2078" s="1324" t="str">
        <f>IF(LEN('11.900'!H232)=0,"",'11.900'!H232)</f>
        <v/>
      </c>
      <c r="C2078" s="1280" t="str">
        <f t="shared" ca="1" si="191"/>
        <v/>
      </c>
      <c r="D2078" s="609"/>
      <c r="E2078" s="97"/>
      <c r="F2078" s="97"/>
      <c r="G2078" s="1629"/>
      <c r="H2078" s="1326"/>
      <c r="J2078" s="1779"/>
    </row>
    <row r="2079" spans="1:10" x14ac:dyDescent="0.2">
      <c r="A2079" s="467" t="str">
        <f t="shared" ca="1" si="194"/>
        <v/>
      </c>
      <c r="B2079" s="1324" t="str">
        <f>IF(LEN('11.900'!H233)=0,"",'11.900'!H233)</f>
        <v/>
      </c>
      <c r="C2079" s="1280" t="str">
        <f t="shared" ca="1" si="191"/>
        <v/>
      </c>
      <c r="D2079" s="609"/>
      <c r="E2079" s="97"/>
      <c r="F2079" s="97"/>
      <c r="G2079" s="1629"/>
      <c r="H2079" s="1326"/>
      <c r="J2079" s="1779"/>
    </row>
    <row r="2080" spans="1:10" x14ac:dyDescent="0.2">
      <c r="B2080" s="1324" t="str">
        <f>IF(LEN('11.900'!H234)=0,"",'11.900'!H234)</f>
        <v/>
      </c>
      <c r="C2080" s="1280" t="str">
        <f t="shared" si="191"/>
        <v/>
      </c>
      <c r="D2080" s="609"/>
      <c r="E2080" s="93" t="s">
        <v>254</v>
      </c>
      <c r="F2080" s="97"/>
      <c r="G2080" s="1657" t="s">
        <v>2749</v>
      </c>
      <c r="H2080" s="1326"/>
      <c r="J2080" s="1312"/>
    </row>
    <row r="2081" spans="1:10" x14ac:dyDescent="0.2">
      <c r="B2081" s="1324" t="str">
        <f>IF(LEN('11.900'!H235)=0,"",'11.900'!H235)</f>
        <v/>
      </c>
      <c r="C2081" s="1280" t="str">
        <f t="shared" si="191"/>
        <v/>
      </c>
      <c r="D2081" s="609"/>
      <c r="E2081" s="169"/>
      <c r="F2081" s="170"/>
      <c r="G2081" s="1650"/>
      <c r="H2081" s="1326"/>
      <c r="J2081" s="1312"/>
    </row>
    <row r="2082" spans="1:10" x14ac:dyDescent="0.2">
      <c r="B2082" s="1324" t="str">
        <f>IF(LEN('11.900'!H236)=0,"",'11.900'!H236)</f>
        <v/>
      </c>
      <c r="C2082" s="1280" t="str">
        <f t="shared" si="191"/>
        <v/>
      </c>
      <c r="D2082" s="609"/>
      <c r="E2082" s="93" t="s">
        <v>255</v>
      </c>
      <c r="F2082" s="97"/>
      <c r="G2082" s="1609" t="s">
        <v>2750</v>
      </c>
      <c r="H2082" s="1326"/>
      <c r="J2082" s="1312"/>
    </row>
    <row r="2083" spans="1:10" x14ac:dyDescent="0.2">
      <c r="B2083" s="1324" t="str">
        <f>IF(LEN('11.900'!H237)=0,"",'11.900'!H237)</f>
        <v/>
      </c>
      <c r="C2083" s="1280" t="str">
        <f t="shared" si="191"/>
        <v/>
      </c>
      <c r="D2083" s="609"/>
      <c r="E2083" s="170"/>
      <c r="F2083" s="170"/>
      <c r="G2083" s="1612"/>
      <c r="H2083" s="1326"/>
      <c r="J2083" s="1312"/>
    </row>
    <row r="2084" spans="1:10" x14ac:dyDescent="0.2">
      <c r="B2084" s="1324" t="str">
        <f>IF(LEN('11.900'!H238)=0,"",'11.900'!H238)</f>
        <v/>
      </c>
      <c r="C2084" s="1280" t="str">
        <f t="shared" si="191"/>
        <v/>
      </c>
      <c r="D2084" s="609"/>
      <c r="E2084" s="169" t="s">
        <v>256</v>
      </c>
      <c r="F2084" s="170"/>
      <c r="G2084" s="1285" t="s">
        <v>2751</v>
      </c>
      <c r="H2084" s="1326"/>
      <c r="J2084" s="1312"/>
    </row>
    <row r="2085" spans="1:10" x14ac:dyDescent="0.2">
      <c r="B2085" s="1324" t="str">
        <f>IF(LEN('11.900'!H239)=0,"",'11.900'!H239)</f>
        <v/>
      </c>
      <c r="C2085" s="1280" t="str">
        <f t="shared" si="191"/>
        <v/>
      </c>
      <c r="D2085" s="609"/>
      <c r="E2085" s="169" t="s">
        <v>259</v>
      </c>
      <c r="F2085" s="170"/>
      <c r="G2085" s="1285" t="s">
        <v>2752</v>
      </c>
      <c r="H2085" s="1326"/>
      <c r="J2085" s="1312"/>
    </row>
    <row r="2086" spans="1:10" x14ac:dyDescent="0.2">
      <c r="B2086" s="1324" t="str">
        <f>IF(LEN('11.900'!H240)=0,"",'11.900'!H240)</f>
        <v/>
      </c>
      <c r="C2086" s="1280" t="str">
        <f t="shared" si="191"/>
        <v/>
      </c>
      <c r="D2086" s="208"/>
      <c r="E2086" s="93" t="s">
        <v>263</v>
      </c>
      <c r="F2086" s="97"/>
      <c r="G2086" s="1287" t="s">
        <v>4878</v>
      </c>
      <c r="H2086" s="1326"/>
      <c r="J2086" s="1312"/>
    </row>
    <row r="2087" spans="1:10" x14ac:dyDescent="0.2">
      <c r="A2087" s="467" t="str">
        <f ca="1">IF(I2087&gt;0,"P","")</f>
        <v/>
      </c>
      <c r="B2087" s="1324" t="str">
        <f>IF(LEN('11.900'!H241)=0,"",'11.900'!H241)</f>
        <v/>
      </c>
      <c r="C2087" s="1280" t="str">
        <f t="shared" ca="1" si="191"/>
        <v/>
      </c>
      <c r="D2087" s="593" t="s">
        <v>3696</v>
      </c>
      <c r="E2087" s="194"/>
      <c r="F2087" s="194"/>
      <c r="G2087" s="1712" t="s">
        <v>4955</v>
      </c>
      <c r="H2087" s="1341" t="str">
        <f>IF(LEN('11.900'!W241)=0,"",'11.900'!W241)</f>
        <v/>
      </c>
      <c r="I2087" s="88">
        <f ca="1">'11.900'!O241</f>
        <v>0</v>
      </c>
      <c r="J2087" s="1779" t="s">
        <v>3166</v>
      </c>
    </row>
    <row r="2088" spans="1:10" x14ac:dyDescent="0.2">
      <c r="A2088" s="467" t="str">
        <f t="shared" ref="A2088" ca="1" si="195">A2087</f>
        <v/>
      </c>
      <c r="B2088" s="1324" t="str">
        <f>IF(LEN('11.900'!H242)=0,"",'11.900'!H242)</f>
        <v/>
      </c>
      <c r="C2088" s="1280" t="str">
        <f t="shared" ca="1" si="191"/>
        <v/>
      </c>
      <c r="D2088" s="208"/>
      <c r="E2088" s="170"/>
      <c r="F2088" s="170"/>
      <c r="G2088" s="1696"/>
      <c r="H2088" s="1326"/>
      <c r="J2088" s="1779"/>
    </row>
    <row r="2089" spans="1:10" x14ac:dyDescent="0.2">
      <c r="A2089" s="467" t="str">
        <f>IF(I2089&gt;0,"P","")</f>
        <v/>
      </c>
      <c r="B2089" s="1324" t="str">
        <f>IF(LEN('11.900'!H243)=0,"",'11.900'!H243)</f>
        <v/>
      </c>
      <c r="C2089" s="1280" t="str">
        <f t="shared" si="191"/>
        <v/>
      </c>
      <c r="D2089" s="593" t="s">
        <v>3697</v>
      </c>
      <c r="E2089" s="194"/>
      <c r="F2089" s="194"/>
      <c r="G2089" s="1712" t="s">
        <v>3725</v>
      </c>
      <c r="H2089" s="1341" t="str">
        <f>IF(LEN('11.900'!W243)=0,"",'11.900'!W243)</f>
        <v/>
      </c>
      <c r="I2089" s="88">
        <f>'11.900'!O243</f>
        <v>0</v>
      </c>
      <c r="J2089" s="1779" t="s">
        <v>3167</v>
      </c>
    </row>
    <row r="2090" spans="1:10" x14ac:dyDescent="0.2">
      <c r="A2090" s="467" t="str">
        <f t="shared" ref="A2090:A2091" si="196">A2089</f>
        <v/>
      </c>
      <c r="B2090" s="1324" t="str">
        <f>IF(LEN('11.900'!H244)=0,"",'11.900'!H244)</f>
        <v/>
      </c>
      <c r="C2090" s="1280" t="str">
        <f t="shared" si="191"/>
        <v/>
      </c>
      <c r="D2090" s="609"/>
      <c r="E2090" s="97"/>
      <c r="F2090" s="97"/>
      <c r="G2090" s="1629"/>
      <c r="H2090" s="1326"/>
      <c r="J2090" s="1779"/>
    </row>
    <row r="2091" spans="1:10" x14ac:dyDescent="0.2">
      <c r="A2091" s="467" t="str">
        <f t="shared" si="196"/>
        <v/>
      </c>
      <c r="B2091" s="1324" t="str">
        <f>IF(LEN('11.900'!H245)=0,"",'11.900'!H245)</f>
        <v/>
      </c>
      <c r="C2091" s="1280" t="str">
        <f t="shared" si="191"/>
        <v/>
      </c>
      <c r="D2091" s="208"/>
      <c r="E2091" s="170"/>
      <c r="F2091" s="170"/>
      <c r="G2091" s="1696"/>
      <c r="H2091" s="1326"/>
      <c r="J2091" s="1779"/>
    </row>
    <row r="2092" spans="1:10" x14ac:dyDescent="0.2">
      <c r="A2092" s="467" t="str">
        <f>IF(I2092&gt;0,"P","")</f>
        <v/>
      </c>
      <c r="B2092" s="1324" t="str">
        <f>IF(LEN('11.900'!H246)=0,"",'11.900'!H246)</f>
        <v/>
      </c>
      <c r="C2092" s="1280" t="str">
        <f t="shared" si="191"/>
        <v/>
      </c>
      <c r="D2092" s="593" t="s">
        <v>3698</v>
      </c>
      <c r="E2092" s="194"/>
      <c r="F2092" s="194"/>
      <c r="G2092" s="1712" t="s">
        <v>3724</v>
      </c>
      <c r="H2092" s="1341" t="str">
        <f>IF(LEN('11.900'!W246)=0,"",'11.900'!W246)</f>
        <v/>
      </c>
      <c r="I2092" s="88">
        <f>'11.900'!O246</f>
        <v>0</v>
      </c>
      <c r="J2092" s="1779" t="s">
        <v>3167</v>
      </c>
    </row>
    <row r="2093" spans="1:10" x14ac:dyDescent="0.2">
      <c r="A2093" s="467" t="str">
        <f t="shared" ref="A2093:A2094" si="197">A2092</f>
        <v/>
      </c>
      <c r="B2093" s="1324" t="str">
        <f>IF(LEN('11.900'!H247)=0,"",'11.900'!H247)</f>
        <v/>
      </c>
      <c r="C2093" s="1280" t="str">
        <f t="shared" si="191"/>
        <v/>
      </c>
      <c r="D2093" s="609"/>
      <c r="E2093" s="97"/>
      <c r="F2093" s="97"/>
      <c r="G2093" s="1629"/>
      <c r="H2093" s="1326"/>
      <c r="J2093" s="1779"/>
    </row>
    <row r="2094" spans="1:10" x14ac:dyDescent="0.2">
      <c r="A2094" s="467" t="str">
        <f t="shared" si="197"/>
        <v/>
      </c>
      <c r="B2094" s="1324" t="str">
        <f>IF(LEN('11.900'!H248)=0,"",'11.900'!H248)</f>
        <v/>
      </c>
      <c r="C2094" s="1280" t="str">
        <f t="shared" si="191"/>
        <v/>
      </c>
      <c r="D2094" s="208"/>
      <c r="E2094" s="170"/>
      <c r="F2094" s="170"/>
      <c r="G2094" s="1696"/>
      <c r="H2094" s="1326"/>
      <c r="J2094" s="1779"/>
    </row>
    <row r="2095" spans="1:10" x14ac:dyDescent="0.2">
      <c r="A2095" s="467" t="str">
        <f>IF(I2095&gt;0,"P","")</f>
        <v>P</v>
      </c>
      <c r="B2095" s="1324" t="str">
        <f>IF(LEN('11.900'!H249)=0,"",'11.900'!H249)</f>
        <v/>
      </c>
      <c r="C2095" s="1280" t="str">
        <f t="shared" si="191"/>
        <v>P</v>
      </c>
      <c r="D2095" s="589" t="s">
        <v>4880</v>
      </c>
      <c r="E2095" s="858"/>
      <c r="F2095" s="858"/>
      <c r="G2095" s="1687" t="s">
        <v>4881</v>
      </c>
      <c r="H2095" s="1341" t="b">
        <f>IF(LEN('11.900'!W249)=0,"",'11.900'!W249)</f>
        <v>1</v>
      </c>
      <c r="I2095" s="88">
        <f>'11.900'!O249</f>
        <v>3</v>
      </c>
      <c r="J2095" s="1312" t="s">
        <v>3120</v>
      </c>
    </row>
    <row r="2096" spans="1:10" ht="16" thickBot="1" x14ac:dyDescent="0.25">
      <c r="A2096" s="467" t="str">
        <f t="shared" ref="A2096" si="198">A2095</f>
        <v>P</v>
      </c>
      <c r="B2096" s="1324" t="str">
        <f>IF(LEN('11.900'!H250)=0,"",'11.900'!H250)</f>
        <v/>
      </c>
      <c r="C2096" s="1280" t="str">
        <f t="shared" si="191"/>
        <v>P</v>
      </c>
      <c r="D2096" s="600"/>
      <c r="E2096" s="858"/>
      <c r="F2096" s="858"/>
      <c r="G2096" s="1738"/>
      <c r="H2096" s="1326"/>
      <c r="J2096" s="1312"/>
    </row>
    <row r="2097" spans="1:10" ht="16" thickTop="1" x14ac:dyDescent="0.2">
      <c r="A2097" s="467" t="str">
        <f>IF(AND(LEN(H2097)&gt;0,NOT(H2097=FALSE),NOT(H2097="N/A")),"P","")</f>
        <v/>
      </c>
      <c r="B2097" s="1324" t="str">
        <f>IF(LEN('11.900'!H251)=0,"",'11.900'!H251)</f>
        <v/>
      </c>
      <c r="C2097" s="1280" t="str">
        <f t="shared" si="191"/>
        <v/>
      </c>
      <c r="D2097" s="107" t="s">
        <v>3699</v>
      </c>
      <c r="E2097" s="179"/>
      <c r="F2097" s="179"/>
      <c r="G2097" s="1687" t="s">
        <v>5062</v>
      </c>
      <c r="H2097" s="1341" t="str">
        <f>IF(LEN('11.900'!W251)=0,"",'11.900'!W251)</f>
        <v>N/A</v>
      </c>
      <c r="J2097" s="1312" t="s">
        <v>5235</v>
      </c>
    </row>
    <row r="2098" spans="1:10" x14ac:dyDescent="0.2">
      <c r="A2098" s="467" t="str">
        <f t="shared" ref="A2098:A2101" si="199">A2097</f>
        <v/>
      </c>
      <c r="B2098" s="1324" t="str">
        <f>IF(LEN('11.900'!H252)=0,"",'11.900'!H252)</f>
        <v/>
      </c>
      <c r="C2098" s="1280" t="str">
        <f t="shared" si="191"/>
        <v/>
      </c>
      <c r="D2098" s="102"/>
      <c r="E2098" s="97"/>
      <c r="F2098" s="97"/>
      <c r="G2098" s="1687"/>
      <c r="H2098" s="1326"/>
      <c r="J2098" s="1312"/>
    </row>
    <row r="2099" spans="1:10" x14ac:dyDescent="0.2">
      <c r="A2099" s="467" t="str">
        <f t="shared" si="199"/>
        <v/>
      </c>
      <c r="B2099" s="1324" t="str">
        <f>IF(LEN('11.900'!H253)=0,"",'11.900'!H253)</f>
        <v/>
      </c>
      <c r="C2099" s="1280" t="str">
        <f t="shared" si="191"/>
        <v/>
      </c>
      <c r="D2099" s="102"/>
      <c r="E2099" s="97"/>
      <c r="F2099" s="97"/>
      <c r="G2099" s="1687"/>
      <c r="H2099" s="1326"/>
      <c r="J2099" s="1312"/>
    </row>
    <row r="2100" spans="1:10" x14ac:dyDescent="0.2">
      <c r="A2100" s="467" t="str">
        <f t="shared" si="199"/>
        <v/>
      </c>
      <c r="B2100" s="1324" t="str">
        <f>IF(LEN('11.900'!H254)=0,"",'11.900'!H254)</f>
        <v/>
      </c>
      <c r="C2100" s="1280" t="str">
        <f t="shared" si="191"/>
        <v/>
      </c>
      <c r="D2100" s="102"/>
      <c r="E2100" s="97"/>
      <c r="F2100" s="97"/>
      <c r="G2100" s="1687"/>
      <c r="H2100" s="1326"/>
      <c r="J2100" s="1312"/>
    </row>
    <row r="2101" spans="1:10" x14ac:dyDescent="0.2">
      <c r="A2101" s="467" t="str">
        <f t="shared" si="199"/>
        <v/>
      </c>
      <c r="B2101" s="1324" t="str">
        <f>IF(LEN('11.900'!H255)=0,"",'11.900'!H255)</f>
        <v/>
      </c>
      <c r="C2101" s="1280" t="str">
        <f t="shared" si="191"/>
        <v/>
      </c>
      <c r="D2101" s="609"/>
      <c r="E2101" s="97"/>
      <c r="F2101" s="97"/>
      <c r="G2101" s="1687"/>
      <c r="H2101" s="1326"/>
      <c r="J2101" s="1312"/>
    </row>
    <row r="2102" spans="1:10" x14ac:dyDescent="0.2">
      <c r="B2102" s="1324" t="str">
        <f>IF(LEN('11.900'!H256)=0,"",'11.900'!H256)</f>
        <v/>
      </c>
      <c r="C2102" s="1280" t="str">
        <f t="shared" si="191"/>
        <v/>
      </c>
      <c r="D2102" s="609"/>
      <c r="E2102" s="93" t="s">
        <v>254</v>
      </c>
      <c r="F2102" s="97"/>
      <c r="G2102" s="1287" t="s">
        <v>2756</v>
      </c>
      <c r="H2102" s="1326"/>
      <c r="I2102" s="88">
        <f ca="1">'11.900'!O256</f>
        <v>0</v>
      </c>
      <c r="J2102" s="1312"/>
    </row>
    <row r="2103" spans="1:10" x14ac:dyDescent="0.2">
      <c r="B2103" s="1324" t="str">
        <f>IF(LEN('11.900'!H257)=0,"",'11.900'!H257)</f>
        <v/>
      </c>
      <c r="C2103" s="1280" t="str">
        <f t="shared" si="191"/>
        <v/>
      </c>
      <c r="D2103" s="609"/>
      <c r="E2103" s="97"/>
      <c r="F2103" s="93" t="s">
        <v>121</v>
      </c>
      <c r="G2103" s="1287" t="s">
        <v>2757</v>
      </c>
      <c r="H2103" s="1326"/>
      <c r="J2103" s="1312"/>
    </row>
    <row r="2104" spans="1:10" x14ac:dyDescent="0.2">
      <c r="B2104" s="1324" t="str">
        <f>IF(LEN('11.900'!H258)=0,"",'11.900'!H258)</f>
        <v/>
      </c>
      <c r="C2104" s="1280" t="str">
        <f t="shared" si="191"/>
        <v/>
      </c>
      <c r="D2104" s="609"/>
      <c r="E2104" s="170"/>
      <c r="F2104" s="169" t="s">
        <v>122</v>
      </c>
      <c r="G2104" s="1285" t="s">
        <v>2758</v>
      </c>
      <c r="H2104" s="1326"/>
      <c r="J2104" s="1312"/>
    </row>
    <row r="2105" spans="1:10" x14ac:dyDescent="0.2">
      <c r="B2105" s="1324" t="str">
        <f>IF(LEN('11.900'!H259)=0,"",'11.900'!H259)</f>
        <v/>
      </c>
      <c r="C2105" s="1280" t="str">
        <f t="shared" si="191"/>
        <v/>
      </c>
      <c r="D2105" s="609"/>
      <c r="E2105" s="93" t="s">
        <v>255</v>
      </c>
      <c r="F2105" s="97"/>
      <c r="G2105" s="1287" t="s">
        <v>2759</v>
      </c>
      <c r="H2105" s="1326"/>
      <c r="I2105" s="88">
        <f ca="1">'11.900'!O259</f>
        <v>0</v>
      </c>
      <c r="J2105" s="1312"/>
    </row>
    <row r="2106" spans="1:10" x14ac:dyDescent="0.2">
      <c r="B2106" s="1324" t="str">
        <f>IF(LEN('11.900'!H260)=0,"",'11.900'!H260)</f>
        <v/>
      </c>
      <c r="C2106" s="1280" t="str">
        <f t="shared" si="191"/>
        <v/>
      </c>
      <c r="D2106" s="609"/>
      <c r="E2106" s="97"/>
      <c r="F2106" s="93" t="s">
        <v>121</v>
      </c>
      <c r="G2106" s="1287" t="s">
        <v>2760</v>
      </c>
      <c r="H2106" s="1326"/>
      <c r="J2106" s="1312"/>
    </row>
    <row r="2107" spans="1:10" x14ac:dyDescent="0.2">
      <c r="B2107" s="1324" t="str">
        <f>IF(LEN('11.900'!H261)=0,"",'11.900'!H261)</f>
        <v/>
      </c>
      <c r="C2107" s="1280" t="str">
        <f t="shared" si="191"/>
        <v/>
      </c>
      <c r="D2107" s="88"/>
      <c r="E2107" s="88"/>
      <c r="F2107" s="93" t="s">
        <v>122</v>
      </c>
      <c r="G2107" s="1287" t="s">
        <v>4885</v>
      </c>
      <c r="H2107" s="1326"/>
      <c r="J2107" s="1312"/>
    </row>
    <row r="2108" spans="1:10" x14ac:dyDescent="0.2">
      <c r="B2108" s="1324" t="str">
        <f>IF(LEN('11.900'!H262)=0,"",'11.900'!H262)</f>
        <v/>
      </c>
      <c r="C2108" s="1280" t="str">
        <f t="shared" si="191"/>
        <v/>
      </c>
      <c r="D2108" s="608" t="s">
        <v>4897</v>
      </c>
      <c r="E2108" s="1073"/>
      <c r="F2108" s="1073"/>
      <c r="G2108" s="1686" t="s">
        <v>5052</v>
      </c>
      <c r="H2108" s="1326"/>
      <c r="J2108" s="1312"/>
    </row>
    <row r="2109" spans="1:10" x14ac:dyDescent="0.2">
      <c r="B2109" s="1324" t="str">
        <f>IF(LEN('11.900'!H263)=0,"",'11.900'!H263)</f>
        <v/>
      </c>
      <c r="C2109" s="1280" t="str">
        <f t="shared" si="191"/>
        <v/>
      </c>
      <c r="D2109" s="590"/>
      <c r="E2109" s="1068"/>
      <c r="F2109" s="1068"/>
      <c r="G2109" s="1687"/>
      <c r="H2109" s="1326"/>
      <c r="J2109" s="1312"/>
    </row>
    <row r="2110" spans="1:10" x14ac:dyDescent="0.2">
      <c r="B2110" s="1324" t="str">
        <f>IF(LEN('11.900'!H264)=0,"",'11.900'!H264)</f>
        <v/>
      </c>
      <c r="C2110" s="1280" t="str">
        <f t="shared" si="191"/>
        <v/>
      </c>
      <c r="D2110" s="589" t="s">
        <v>5051</v>
      </c>
      <c r="E2110" s="873"/>
      <c r="F2110" s="873"/>
      <c r="G2110" s="1687" t="s">
        <v>5053</v>
      </c>
      <c r="H2110" s="1326"/>
      <c r="J2110" s="1312"/>
    </row>
    <row r="2111" spans="1:10" x14ac:dyDescent="0.2">
      <c r="B2111" s="1324" t="str">
        <f>IF(LEN('11.900'!H265)=0,"",'11.900'!H265)</f>
        <v/>
      </c>
      <c r="C2111" s="1280" t="str">
        <f t="shared" si="191"/>
        <v/>
      </c>
      <c r="D2111" s="589"/>
      <c r="E2111" s="873"/>
      <c r="F2111" s="873"/>
      <c r="G2111" s="1687"/>
      <c r="H2111" s="1326"/>
      <c r="J2111" s="1312"/>
    </row>
    <row r="2112" spans="1:10" x14ac:dyDescent="0.2">
      <c r="B2112" s="1324" t="str">
        <f>IF(LEN('11.900'!H266)=0,"",'11.900'!H266)</f>
        <v/>
      </c>
      <c r="C2112" s="1280" t="str">
        <f t="shared" si="191"/>
        <v/>
      </c>
      <c r="D2112" s="589"/>
      <c r="E2112" s="873"/>
      <c r="F2112" s="873"/>
      <c r="G2112" s="1687"/>
      <c r="H2112" s="1326"/>
      <c r="J2112" s="1312"/>
    </row>
    <row r="2113" spans="2:10" x14ac:dyDescent="0.2">
      <c r="B2113" s="1324" t="str">
        <f>IF(LEN('11.900'!H267)=0,"",'11.900'!H267)</f>
        <v/>
      </c>
      <c r="C2113" s="1280" t="str">
        <f t="shared" si="191"/>
        <v/>
      </c>
      <c r="D2113" s="589"/>
      <c r="E2113" s="873"/>
      <c r="F2113" s="873"/>
      <c r="G2113" s="1687"/>
      <c r="H2113" s="1326"/>
      <c r="J2113" s="1312"/>
    </row>
    <row r="2114" spans="2:10" x14ac:dyDescent="0.2">
      <c r="B2114" s="1324" t="str">
        <f>IF(LEN('11.900'!H268)=0,"",'11.900'!H268)</f>
        <v/>
      </c>
      <c r="C2114" s="1280" t="str">
        <f t="shared" si="191"/>
        <v/>
      </c>
      <c r="D2114" s="589"/>
      <c r="E2114" s="873"/>
      <c r="F2114" s="873"/>
      <c r="G2114" s="1687"/>
      <c r="H2114" s="1326"/>
      <c r="J2114" s="1312"/>
    </row>
    <row r="2115" spans="2:10" x14ac:dyDescent="0.2">
      <c r="B2115" s="1324" t="str">
        <f>IF(LEN('11.900'!H269)=0,"",'11.900'!H269)</f>
        <v/>
      </c>
      <c r="C2115" s="1280" t="str">
        <f t="shared" si="191"/>
        <v/>
      </c>
      <c r="D2115" s="589"/>
      <c r="E2115" s="873"/>
      <c r="F2115" s="873"/>
      <c r="G2115" s="1687"/>
      <c r="H2115" s="1326"/>
      <c r="J2115" s="1312"/>
    </row>
    <row r="2116" spans="2:10" x14ac:dyDescent="0.2">
      <c r="B2116" s="1324" t="str">
        <f>IF(LEN('11.900'!H270)=0,"",'11.900'!H270)</f>
        <v/>
      </c>
      <c r="C2116" s="1280" t="str">
        <f t="shared" si="191"/>
        <v/>
      </c>
      <c r="D2116" s="589"/>
      <c r="E2116" s="873"/>
      <c r="F2116" s="873"/>
      <c r="G2116" s="1687"/>
      <c r="H2116" s="1326"/>
      <c r="J2116" s="1312"/>
    </row>
    <row r="2117" spans="2:10" x14ac:dyDescent="0.2">
      <c r="B2117" s="1324" t="str">
        <f>IF(LEN('11.900'!H271)=0,"",'11.900'!H271)</f>
        <v/>
      </c>
      <c r="C2117" s="1280" t="str">
        <f t="shared" si="191"/>
        <v/>
      </c>
      <c r="D2117" s="608" t="s">
        <v>5050</v>
      </c>
      <c r="E2117" s="1073"/>
      <c r="F2117" s="1073"/>
      <c r="G2117" s="1686" t="s">
        <v>5054</v>
      </c>
      <c r="H2117" s="1326"/>
      <c r="J2117" s="1312"/>
    </row>
    <row r="2118" spans="2:10" x14ac:dyDescent="0.2">
      <c r="B2118" s="1324" t="str">
        <f>IF(LEN('11.900'!H272)=0,"",'11.900'!H272)</f>
        <v/>
      </c>
      <c r="C2118" s="1280" t="str">
        <f t="shared" si="191"/>
        <v/>
      </c>
      <c r="D2118" s="590"/>
      <c r="E2118" s="1068"/>
      <c r="F2118" s="1068"/>
      <c r="G2118" s="1687"/>
      <c r="H2118" s="1326"/>
      <c r="J2118" s="1312"/>
    </row>
    <row r="2119" spans="2:10" x14ac:dyDescent="0.2">
      <c r="B2119" s="1324" t="str">
        <f>IF(LEN('11.900'!H273)=0,"",'11.900'!H273)</f>
        <v/>
      </c>
      <c r="C2119" s="1280" t="str">
        <f t="shared" si="191"/>
        <v/>
      </c>
      <c r="D2119" s="590"/>
      <c r="E2119" s="1068"/>
      <c r="F2119" s="1068"/>
      <c r="G2119" s="1687"/>
      <c r="H2119" s="1326"/>
      <c r="J2119" s="1312"/>
    </row>
    <row r="2120" spans="2:10" x14ac:dyDescent="0.2">
      <c r="B2120" s="1324" t="str">
        <f>IF(LEN('11.900'!H274)=0,"",'11.900'!H274)</f>
        <v/>
      </c>
      <c r="C2120" s="1280" t="str">
        <f t="shared" ref="C2120:C2183" si="200">IF(LEN(B2120)=0,IF(A2120="P","P",""),B2120)</f>
        <v/>
      </c>
      <c r="D2120" s="590"/>
      <c r="E2120" s="1068"/>
      <c r="F2120" s="1068"/>
      <c r="G2120" s="1687"/>
      <c r="H2120" s="1326"/>
      <c r="J2120" s="1312"/>
    </row>
    <row r="2121" spans="2:10" x14ac:dyDescent="0.2">
      <c r="B2121" s="1324" t="str">
        <f>IF(LEN('11.900'!H275)=0,"",'11.900'!H275)</f>
        <v/>
      </c>
      <c r="C2121" s="1280" t="str">
        <f t="shared" si="200"/>
        <v/>
      </c>
      <c r="D2121" s="590"/>
      <c r="E2121" s="1068"/>
      <c r="F2121" s="1068"/>
      <c r="G2121" s="1687"/>
      <c r="H2121" s="1326"/>
      <c r="J2121" s="1312"/>
    </row>
    <row r="2122" spans="2:10" x14ac:dyDescent="0.2">
      <c r="B2122" s="1324" t="str">
        <f>IF(LEN('11.900'!H276)=0,"",'11.900'!H276)</f>
        <v/>
      </c>
      <c r="C2122" s="1280" t="str">
        <f t="shared" si="200"/>
        <v/>
      </c>
      <c r="D2122" s="590"/>
      <c r="E2122" s="1068"/>
      <c r="F2122" s="1068"/>
      <c r="G2122" s="1687"/>
      <c r="H2122" s="1326"/>
      <c r="J2122" s="1312"/>
    </row>
    <row r="2123" spans="2:10" x14ac:dyDescent="0.2">
      <c r="B2123" s="1324" t="str">
        <f>IF(LEN('11.900'!H277)=0,"",'11.900'!H277)</f>
        <v/>
      </c>
      <c r="C2123" s="1280" t="str">
        <f t="shared" si="200"/>
        <v/>
      </c>
      <c r="D2123" s="590"/>
      <c r="E2123" s="1068"/>
      <c r="F2123" s="1068"/>
      <c r="G2123" s="1687"/>
      <c r="H2123" s="1326"/>
      <c r="J2123" s="1312"/>
    </row>
    <row r="2124" spans="2:10" x14ac:dyDescent="0.2">
      <c r="B2124" s="1324" t="str">
        <f>IF(LEN('11.900'!H278)=0,"",'11.900'!H278)</f>
        <v/>
      </c>
      <c r="C2124" s="1280" t="str">
        <f t="shared" si="200"/>
        <v/>
      </c>
      <c r="D2124" s="608" t="s">
        <v>5049</v>
      </c>
      <c r="E2124" s="1073"/>
      <c r="F2124" s="1073"/>
      <c r="G2124" s="1686" t="s">
        <v>5055</v>
      </c>
      <c r="H2124" s="1326"/>
      <c r="J2124" s="1312"/>
    </row>
    <row r="2125" spans="2:10" x14ac:dyDescent="0.2">
      <c r="B2125" s="1324" t="str">
        <f>IF(LEN('11.900'!H279)=0,"",'11.900'!H279)</f>
        <v/>
      </c>
      <c r="C2125" s="1280" t="str">
        <f t="shared" si="200"/>
        <v/>
      </c>
      <c r="D2125" s="590"/>
      <c r="E2125" s="1068"/>
      <c r="F2125" s="1068"/>
      <c r="G2125" s="1687"/>
      <c r="H2125" s="1326"/>
      <c r="J2125" s="1312"/>
    </row>
    <row r="2126" spans="2:10" x14ac:dyDescent="0.2">
      <c r="B2126" s="1324" t="str">
        <f>IF(LEN('11.900'!H280)=0,"",'11.900'!H280)</f>
        <v/>
      </c>
      <c r="C2126" s="1280" t="str">
        <f t="shared" si="200"/>
        <v/>
      </c>
      <c r="D2126" s="590"/>
      <c r="E2126" s="1068"/>
      <c r="F2126" s="1068"/>
      <c r="G2126" s="1687"/>
      <c r="H2126" s="1326"/>
      <c r="J2126" s="1312"/>
    </row>
    <row r="2127" spans="2:10" x14ac:dyDescent="0.2">
      <c r="B2127" s="1324" t="str">
        <f>IF(LEN('11.900'!H281)=0,"",'11.900'!H281)</f>
        <v/>
      </c>
      <c r="C2127" s="1280" t="str">
        <f t="shared" si="200"/>
        <v/>
      </c>
      <c r="D2127" s="590"/>
      <c r="E2127" s="1068"/>
      <c r="F2127" s="1068"/>
      <c r="G2127" s="1687"/>
      <c r="H2127" s="1326"/>
      <c r="J2127" s="1312"/>
    </row>
    <row r="2128" spans="2:10" x14ac:dyDescent="0.2">
      <c r="B2128" s="1324" t="str">
        <f>IF(LEN('11.900'!H282)=0,"",'11.900'!H282)</f>
        <v/>
      </c>
      <c r="C2128" s="1280" t="str">
        <f t="shared" si="200"/>
        <v/>
      </c>
      <c r="D2128" s="590"/>
      <c r="E2128" s="1068"/>
      <c r="F2128" s="1068"/>
      <c r="G2128" s="1687"/>
      <c r="H2128" s="1326"/>
      <c r="J2128" s="1312"/>
    </row>
    <row r="2129" spans="1:10" x14ac:dyDescent="0.2">
      <c r="B2129" s="1324" t="str">
        <f>IF(LEN('11.900'!H283)=0,"",'11.900'!H283)</f>
        <v/>
      </c>
      <c r="C2129" s="1280" t="str">
        <f t="shared" si="200"/>
        <v/>
      </c>
      <c r="D2129" s="590"/>
      <c r="E2129" s="1068"/>
      <c r="F2129" s="1068"/>
      <c r="G2129" s="1687"/>
      <c r="H2129" s="1326"/>
      <c r="J2129" s="1312"/>
    </row>
    <row r="2130" spans="1:10" x14ac:dyDescent="0.2">
      <c r="B2130" s="1324" t="str">
        <f>IF(LEN('11.900'!H284)=0,"",'11.900'!H284)</f>
        <v/>
      </c>
      <c r="C2130" s="1280" t="str">
        <f t="shared" si="200"/>
        <v/>
      </c>
      <c r="D2130" s="608" t="s">
        <v>5048</v>
      </c>
      <c r="E2130" s="1073"/>
      <c r="F2130" s="1073"/>
      <c r="G2130" s="1686" t="s">
        <v>5056</v>
      </c>
      <c r="H2130" s="1326"/>
      <c r="J2130" s="1312"/>
    </row>
    <row r="2131" spans="1:10" x14ac:dyDescent="0.2">
      <c r="B2131" s="1324" t="str">
        <f>IF(LEN('11.900'!H285)=0,"",'11.900'!H285)</f>
        <v/>
      </c>
      <c r="C2131" s="1280" t="str">
        <f t="shared" si="200"/>
        <v/>
      </c>
      <c r="D2131" s="590"/>
      <c r="E2131" s="1068"/>
      <c r="F2131" s="1068"/>
      <c r="G2131" s="1687"/>
      <c r="H2131" s="1326"/>
      <c r="J2131" s="1312"/>
    </row>
    <row r="2132" spans="1:10" x14ac:dyDescent="0.2">
      <c r="B2132" s="1324" t="str">
        <f>IF(LEN('11.900'!H286)=0,"",'11.900'!H286)</f>
        <v/>
      </c>
      <c r="C2132" s="1280" t="str">
        <f t="shared" si="200"/>
        <v/>
      </c>
      <c r="D2132" s="590"/>
      <c r="E2132" s="1068"/>
      <c r="F2132" s="1068"/>
      <c r="G2132" s="1687"/>
      <c r="H2132" s="1326"/>
      <c r="J2132" s="1312"/>
    </row>
    <row r="2133" spans="1:10" x14ac:dyDescent="0.2">
      <c r="B2133" s="1324" t="str">
        <f>IF(LEN('11.900'!H287)=0,"",'11.900'!H287)</f>
        <v/>
      </c>
      <c r="C2133" s="1280" t="str">
        <f t="shared" si="200"/>
        <v/>
      </c>
      <c r="D2133" s="590"/>
      <c r="E2133" s="1068"/>
      <c r="F2133" s="1068"/>
      <c r="G2133" s="1687"/>
      <c r="H2133" s="1326"/>
      <c r="J2133" s="1312"/>
    </row>
    <row r="2134" spans="1:10" x14ac:dyDescent="0.2">
      <c r="B2134" s="1324" t="str">
        <f>IF(LEN('11.900'!H288)=0,"",'11.900'!H288)</f>
        <v/>
      </c>
      <c r="C2134" s="1280" t="str">
        <f t="shared" si="200"/>
        <v/>
      </c>
      <c r="D2134" s="590"/>
      <c r="E2134" s="1068"/>
      <c r="F2134" s="1068"/>
      <c r="G2134" s="1687"/>
      <c r="H2134" s="1326"/>
      <c r="J2134" s="1312"/>
    </row>
    <row r="2135" spans="1:10" x14ac:dyDescent="0.2">
      <c r="B2135" s="1324" t="str">
        <f>IF(LEN('11.900'!H289)=0,"",'11.900'!H289)</f>
        <v/>
      </c>
      <c r="C2135" s="1280" t="str">
        <f t="shared" si="200"/>
        <v/>
      </c>
      <c r="D2135" s="608" t="s">
        <v>5047</v>
      </c>
      <c r="E2135" s="1073"/>
      <c r="F2135" s="1073"/>
      <c r="G2135" s="1686" t="s">
        <v>5057</v>
      </c>
      <c r="H2135" s="1326"/>
      <c r="J2135" s="1312"/>
    </row>
    <row r="2136" spans="1:10" x14ac:dyDescent="0.2">
      <c r="B2136" s="1324" t="str">
        <f>IF(LEN('11.900'!H290)=0,"",'11.900'!H290)</f>
        <v/>
      </c>
      <c r="C2136" s="1280" t="str">
        <f t="shared" si="200"/>
        <v/>
      </c>
      <c r="D2136" s="590"/>
      <c r="E2136" s="1068"/>
      <c r="F2136" s="1068"/>
      <c r="G2136" s="1687"/>
      <c r="H2136" s="1326"/>
      <c r="J2136" s="1312"/>
    </row>
    <row r="2137" spans="1:10" x14ac:dyDescent="0.2">
      <c r="B2137" s="1324" t="str">
        <f>IF(LEN('11.900'!H291)=0,"",'11.900'!H291)</f>
        <v/>
      </c>
      <c r="C2137" s="1280" t="str">
        <f t="shared" si="200"/>
        <v/>
      </c>
      <c r="D2137" s="608" t="s">
        <v>5046</v>
      </c>
      <c r="E2137" s="1073"/>
      <c r="F2137" s="1073"/>
      <c r="G2137" s="1686" t="s">
        <v>5058</v>
      </c>
      <c r="H2137" s="1326"/>
      <c r="J2137" s="1312"/>
    </row>
    <row r="2138" spans="1:10" x14ac:dyDescent="0.2">
      <c r="B2138" s="1324" t="str">
        <f>IF(LEN('11.900'!H292)=0,"",'11.900'!H292)</f>
        <v/>
      </c>
      <c r="C2138" s="1280" t="str">
        <f t="shared" si="200"/>
        <v/>
      </c>
      <c r="D2138" s="590"/>
      <c r="E2138" s="1068"/>
      <c r="F2138" s="1068"/>
      <c r="G2138" s="1687"/>
      <c r="H2138" s="1326"/>
      <c r="J2138" s="1312"/>
    </row>
    <row r="2139" spans="1:10" x14ac:dyDescent="0.2">
      <c r="B2139" s="1324" t="str">
        <f>IF(LEN('11.900'!H293)=0,"",'11.900'!H293)</f>
        <v/>
      </c>
      <c r="C2139" s="1280" t="str">
        <f t="shared" si="200"/>
        <v/>
      </c>
      <c r="D2139" s="590"/>
      <c r="E2139" s="1068"/>
      <c r="F2139" s="1068"/>
      <c r="G2139" s="1687"/>
      <c r="H2139" s="1326"/>
      <c r="J2139" s="1312"/>
    </row>
    <row r="2140" spans="1:10" x14ac:dyDescent="0.2">
      <c r="B2140" s="1324" t="str">
        <f>IF(LEN('11.900'!H294)=0,"",'11.900'!H294)</f>
        <v/>
      </c>
      <c r="C2140" s="1280" t="str">
        <f t="shared" si="200"/>
        <v/>
      </c>
      <c r="D2140" s="590"/>
      <c r="E2140" s="1068"/>
      <c r="F2140" s="1068"/>
      <c r="G2140" s="1687"/>
      <c r="H2140" s="1326"/>
      <c r="J2140" s="1312"/>
    </row>
    <row r="2141" spans="1:10" x14ac:dyDescent="0.2">
      <c r="B2141" s="1324" t="str">
        <f>IF(LEN('11.900'!H295)=0,"",'11.900'!H295)</f>
        <v/>
      </c>
      <c r="C2141" s="1280" t="str">
        <f t="shared" si="200"/>
        <v/>
      </c>
      <c r="D2141" s="608" t="s">
        <v>5045</v>
      </c>
      <c r="E2141" s="1073"/>
      <c r="F2141" s="1073"/>
      <c r="G2141" s="1686" t="s">
        <v>5059</v>
      </c>
      <c r="H2141" s="1326"/>
      <c r="J2141" s="1312"/>
    </row>
    <row r="2142" spans="1:10" x14ac:dyDescent="0.2">
      <c r="B2142" s="1324" t="str">
        <f>IF(LEN('11.900'!H296)=0,"",'11.900'!H296)</f>
        <v/>
      </c>
      <c r="C2142" s="1280" t="str">
        <f t="shared" si="200"/>
        <v/>
      </c>
      <c r="D2142" s="590"/>
      <c r="E2142" s="1068"/>
      <c r="F2142" s="1068"/>
      <c r="G2142" s="1687"/>
      <c r="H2142" s="1326"/>
      <c r="J2142" s="1312"/>
    </row>
    <row r="2143" spans="1:10" x14ac:dyDescent="0.2">
      <c r="B2143" s="1324" t="str">
        <f>IF(LEN('11.900'!H297)=0,"",'11.900'!H297)</f>
        <v/>
      </c>
      <c r="C2143" s="1280" t="str">
        <f t="shared" si="200"/>
        <v/>
      </c>
      <c r="D2143" s="590"/>
      <c r="E2143" s="1068"/>
      <c r="F2143" s="1068"/>
      <c r="G2143" s="1687"/>
      <c r="H2143" s="1326"/>
      <c r="J2143" s="1312"/>
    </row>
    <row r="2144" spans="1:10" x14ac:dyDescent="0.2">
      <c r="A2144" s="467" t="str">
        <f ca="1">IF(I2144&gt;0,"P","")</f>
        <v/>
      </c>
      <c r="B2144" s="1324" t="str">
        <f>IF(LEN('11.900'!H298)=0,"",'11.900'!H298)</f>
        <v/>
      </c>
      <c r="C2144" s="1280" t="str">
        <f t="shared" ca="1" si="200"/>
        <v/>
      </c>
      <c r="D2144" s="608" t="s">
        <v>4883</v>
      </c>
      <c r="E2144" s="1073"/>
      <c r="F2144" s="1073"/>
      <c r="G2144" s="1686" t="s">
        <v>5060</v>
      </c>
      <c r="H2144" s="1326"/>
      <c r="I2144" s="1397">
        <f ca="1">SUM(I2148:I2171)</f>
        <v>0</v>
      </c>
      <c r="J2144" s="1779" t="s">
        <v>5236</v>
      </c>
    </row>
    <row r="2145" spans="1:10" x14ac:dyDescent="0.2">
      <c r="A2145" s="467" t="str">
        <f t="shared" ref="A2145:A2147" ca="1" si="201">A2144</f>
        <v/>
      </c>
      <c r="B2145" s="1324" t="str">
        <f>IF(LEN('11.900'!H299)=0,"",'11.900'!H299)</f>
        <v/>
      </c>
      <c r="C2145" s="1280" t="str">
        <f t="shared" ca="1" si="200"/>
        <v/>
      </c>
      <c r="D2145" s="590"/>
      <c r="E2145" s="1068"/>
      <c r="F2145" s="1068"/>
      <c r="G2145" s="1687"/>
      <c r="H2145" s="1326"/>
      <c r="J2145" s="1797"/>
    </row>
    <row r="2146" spans="1:10" x14ac:dyDescent="0.2">
      <c r="A2146" s="467" t="str">
        <f t="shared" ca="1" si="201"/>
        <v/>
      </c>
      <c r="B2146" s="1324" t="str">
        <f>IF(LEN('11.900'!H300)=0,"",'11.900'!H300)</f>
        <v/>
      </c>
      <c r="C2146" s="1280" t="str">
        <f t="shared" ca="1" si="200"/>
        <v/>
      </c>
      <c r="D2146" s="590"/>
      <c r="E2146" s="1068"/>
      <c r="F2146" s="1068"/>
      <c r="G2146" s="1687"/>
      <c r="H2146" s="1341" t="str">
        <f>IF(LEN('11.900'!W300)=0,"",'11.900'!W300)</f>
        <v/>
      </c>
      <c r="J2146" s="1797"/>
    </row>
    <row r="2147" spans="1:10" x14ac:dyDescent="0.2">
      <c r="A2147" s="467" t="str">
        <f t="shared" ca="1" si="201"/>
        <v/>
      </c>
      <c r="B2147" s="1324" t="str">
        <f>IF(LEN('11.900'!H301)=0,"",'11.900'!H301)</f>
        <v/>
      </c>
      <c r="C2147" s="1280" t="str">
        <f t="shared" ca="1" si="200"/>
        <v/>
      </c>
      <c r="D2147" s="590"/>
      <c r="E2147" s="1068"/>
      <c r="F2147" s="1068"/>
      <c r="G2147" s="1687"/>
      <c r="H2147" s="1326"/>
      <c r="J2147" s="1312"/>
    </row>
    <row r="2148" spans="1:10" x14ac:dyDescent="0.2">
      <c r="B2148" s="1324" t="str">
        <f>IF(LEN('11.900'!H302)=0,"",'11.900'!H302)</f>
        <v/>
      </c>
      <c r="C2148" s="1280" t="str">
        <f t="shared" si="200"/>
        <v/>
      </c>
      <c r="D2148" s="589"/>
      <c r="E2148" s="873" t="s">
        <v>254</v>
      </c>
      <c r="F2148" s="873"/>
      <c r="G2148" s="1634" t="s">
        <v>4995</v>
      </c>
      <c r="H2148" s="1341" t="str">
        <f>IF(LEN('11.900'!W302)=0,"",'11.900'!W302)</f>
        <v/>
      </c>
      <c r="I2148" s="88">
        <f ca="1">'11.900'!O302</f>
        <v>0</v>
      </c>
      <c r="J2148" s="1312"/>
    </row>
    <row r="2149" spans="1:10" x14ac:dyDescent="0.2">
      <c r="B2149" s="1324" t="str">
        <f>IF(LEN('11.900'!H303)=0,"",'11.900'!H303)</f>
        <v/>
      </c>
      <c r="C2149" s="1280" t="str">
        <f t="shared" si="200"/>
        <v/>
      </c>
      <c r="D2149" s="589"/>
      <c r="E2149" s="873"/>
      <c r="F2149" s="873"/>
      <c r="G2149" s="1634"/>
      <c r="H2149" s="1326"/>
      <c r="J2149" s="1312"/>
    </row>
    <row r="2150" spans="1:10" x14ac:dyDescent="0.2">
      <c r="B2150" s="1324" t="str">
        <f>IF(LEN('11.900'!H304)=0,"",'11.900'!H304)</f>
        <v/>
      </c>
      <c r="C2150" s="1280" t="str">
        <f t="shared" si="200"/>
        <v/>
      </c>
      <c r="D2150" s="589"/>
      <c r="E2150" s="873"/>
      <c r="F2150" s="873" t="s">
        <v>121</v>
      </c>
      <c r="G2150" s="1290" t="s">
        <v>4887</v>
      </c>
      <c r="H2150" s="1326"/>
      <c r="J2150" s="1312"/>
    </row>
    <row r="2151" spans="1:10" x14ac:dyDescent="0.2">
      <c r="B2151" s="1324" t="str">
        <f>IF(LEN('11.900'!H305)=0,"",'11.900'!H305)</f>
        <v/>
      </c>
      <c r="C2151" s="1280" t="str">
        <f t="shared" si="200"/>
        <v/>
      </c>
      <c r="D2151" s="589"/>
      <c r="E2151" s="873"/>
      <c r="F2151" s="873" t="s">
        <v>122</v>
      </c>
      <c r="G2151" s="1634" t="s">
        <v>4888</v>
      </c>
      <c r="H2151" s="1326"/>
      <c r="J2151" s="1312"/>
    </row>
    <row r="2152" spans="1:10" x14ac:dyDescent="0.2">
      <c r="B2152" s="1324" t="str">
        <f>IF(LEN('11.900'!H306)=0,"",'11.900'!H306)</f>
        <v/>
      </c>
      <c r="C2152" s="1280" t="str">
        <f t="shared" si="200"/>
        <v/>
      </c>
      <c r="D2152" s="589"/>
      <c r="E2152" s="873"/>
      <c r="F2152" s="873"/>
      <c r="G2152" s="1634"/>
      <c r="H2152" s="1326"/>
      <c r="J2152" s="1312"/>
    </row>
    <row r="2153" spans="1:10" x14ac:dyDescent="0.2">
      <c r="B2153" s="1324" t="str">
        <f>IF(LEN('11.900'!H307)=0,"",'11.900'!H307)</f>
        <v/>
      </c>
      <c r="C2153" s="1280" t="str">
        <f t="shared" si="200"/>
        <v/>
      </c>
      <c r="D2153" s="589"/>
      <c r="E2153" s="873"/>
      <c r="F2153" s="873" t="s">
        <v>123</v>
      </c>
      <c r="G2153" s="1634" t="s">
        <v>4889</v>
      </c>
      <c r="H2153" s="1326"/>
      <c r="J2153" s="1312"/>
    </row>
    <row r="2154" spans="1:10" x14ac:dyDescent="0.2">
      <c r="B2154" s="1324" t="str">
        <f>IF(LEN('11.900'!H308)=0,"",'11.900'!H308)</f>
        <v/>
      </c>
      <c r="C2154" s="1280" t="str">
        <f t="shared" si="200"/>
        <v/>
      </c>
      <c r="D2154" s="589"/>
      <c r="E2154" s="873"/>
      <c r="F2154" s="873"/>
      <c r="G2154" s="1634"/>
      <c r="H2154" s="1326"/>
      <c r="J2154" s="1312"/>
    </row>
    <row r="2155" spans="1:10" x14ac:dyDescent="0.2">
      <c r="B2155" s="1324" t="str">
        <f>IF(LEN('11.900'!H309)=0,"",'11.900'!H309)</f>
        <v/>
      </c>
      <c r="C2155" s="1280" t="str">
        <f t="shared" si="200"/>
        <v/>
      </c>
      <c r="D2155" s="589"/>
      <c r="E2155" s="873"/>
      <c r="F2155" s="873" t="s">
        <v>366</v>
      </c>
      <c r="G2155" s="1634" t="s">
        <v>4890</v>
      </c>
      <c r="H2155" s="1326"/>
      <c r="J2155" s="1312"/>
    </row>
    <row r="2156" spans="1:10" x14ac:dyDescent="0.2">
      <c r="B2156" s="1324" t="str">
        <f>IF(LEN('11.900'!H310)=0,"",'11.900'!H310)</f>
        <v/>
      </c>
      <c r="C2156" s="1280" t="str">
        <f t="shared" si="200"/>
        <v/>
      </c>
      <c r="D2156" s="589"/>
      <c r="E2156" s="873"/>
      <c r="F2156" s="873"/>
      <c r="G2156" s="1634"/>
      <c r="H2156" s="1326"/>
      <c r="J2156" s="1312"/>
    </row>
    <row r="2157" spans="1:10" x14ac:dyDescent="0.2">
      <c r="B2157" s="1324" t="str">
        <f>IF(LEN('11.900'!H311)=0,"",'11.900'!H311)</f>
        <v/>
      </c>
      <c r="C2157" s="1280" t="str">
        <f t="shared" si="200"/>
        <v/>
      </c>
      <c r="D2157" s="589"/>
      <c r="E2157" s="873"/>
      <c r="F2157" s="873" t="s">
        <v>472</v>
      </c>
      <c r="G2157" s="1634" t="s">
        <v>4891</v>
      </c>
      <c r="H2157" s="1326"/>
      <c r="J2157" s="1312"/>
    </row>
    <row r="2158" spans="1:10" x14ac:dyDescent="0.2">
      <c r="B2158" s="1324" t="str">
        <f>IF(LEN('11.900'!H312)=0,"",'11.900'!H312)</f>
        <v/>
      </c>
      <c r="C2158" s="1280" t="str">
        <f t="shared" si="200"/>
        <v/>
      </c>
      <c r="D2158" s="589"/>
      <c r="E2158" s="873"/>
      <c r="F2158" s="873"/>
      <c r="G2158" s="1634"/>
      <c r="H2158" s="1326"/>
      <c r="J2158" s="1312"/>
    </row>
    <row r="2159" spans="1:10" x14ac:dyDescent="0.2">
      <c r="B2159" s="1324" t="str">
        <f>IF(LEN('11.900'!H313)=0,"",'11.900'!H313)</f>
        <v/>
      </c>
      <c r="C2159" s="1280" t="str">
        <f t="shared" si="200"/>
        <v/>
      </c>
      <c r="D2159" s="589"/>
      <c r="E2159" s="873"/>
      <c r="F2159" s="873"/>
      <c r="G2159" s="1634"/>
      <c r="H2159" s="1326"/>
      <c r="J2159" s="1312"/>
    </row>
    <row r="2160" spans="1:10" x14ac:dyDescent="0.2">
      <c r="B2160" s="1324" t="str">
        <f>IF(LEN('11.900'!H314)=0,"",'11.900'!H314)</f>
        <v/>
      </c>
      <c r="C2160" s="1280" t="str">
        <f t="shared" si="200"/>
        <v/>
      </c>
      <c r="D2160" s="589"/>
      <c r="E2160" s="873"/>
      <c r="F2160" s="873" t="s">
        <v>510</v>
      </c>
      <c r="G2160" s="1634" t="s">
        <v>4892</v>
      </c>
      <c r="H2160" s="1326"/>
      <c r="J2160" s="1312"/>
    </row>
    <row r="2161" spans="1:10" x14ac:dyDescent="0.2">
      <c r="B2161" s="1324" t="str">
        <f>IF(LEN('11.900'!H315)=0,"",'11.900'!H315)</f>
        <v/>
      </c>
      <c r="C2161" s="1280" t="str">
        <f t="shared" si="200"/>
        <v/>
      </c>
      <c r="D2161" s="589"/>
      <c r="E2161" s="873"/>
      <c r="F2161" s="873"/>
      <c r="G2161" s="1634"/>
      <c r="H2161" s="1326"/>
      <c r="J2161" s="1312"/>
    </row>
    <row r="2162" spans="1:10" x14ac:dyDescent="0.2">
      <c r="B2162" s="1324" t="str">
        <f>IF(LEN('11.900'!H316)=0,"",'11.900'!H316)</f>
        <v/>
      </c>
      <c r="C2162" s="1280" t="str">
        <f t="shared" si="200"/>
        <v/>
      </c>
      <c r="D2162" s="589"/>
      <c r="E2162" s="873"/>
      <c r="F2162" s="873" t="s">
        <v>512</v>
      </c>
      <c r="G2162" s="1634" t="s">
        <v>4893</v>
      </c>
      <c r="H2162" s="1326"/>
      <c r="J2162" s="1312"/>
    </row>
    <row r="2163" spans="1:10" x14ac:dyDescent="0.2">
      <c r="B2163" s="1324" t="str">
        <f>IF(LEN('11.900'!H317)=0,"",'11.900'!H317)</f>
        <v/>
      </c>
      <c r="C2163" s="1280" t="str">
        <f t="shared" si="200"/>
        <v/>
      </c>
      <c r="D2163" s="589"/>
      <c r="E2163" s="873"/>
      <c r="F2163" s="873"/>
      <c r="G2163" s="1634"/>
      <c r="H2163" s="1326"/>
      <c r="J2163" s="1312"/>
    </row>
    <row r="2164" spans="1:10" x14ac:dyDescent="0.2">
      <c r="B2164" s="1324" t="str">
        <f>IF(LEN('11.900'!H318)=0,"",'11.900'!H318)</f>
        <v/>
      </c>
      <c r="C2164" s="1280" t="str">
        <f t="shared" si="200"/>
        <v/>
      </c>
      <c r="D2164" s="589"/>
      <c r="E2164" s="873"/>
      <c r="F2164" s="873" t="s">
        <v>514</v>
      </c>
      <c r="G2164" s="1634" t="s">
        <v>4894</v>
      </c>
      <c r="H2164" s="1326"/>
      <c r="J2164" s="1312"/>
    </row>
    <row r="2165" spans="1:10" x14ac:dyDescent="0.2">
      <c r="B2165" s="1324" t="str">
        <f>IF(LEN('11.900'!H319)=0,"",'11.900'!H319)</f>
        <v/>
      </c>
      <c r="C2165" s="1280" t="str">
        <f t="shared" si="200"/>
        <v/>
      </c>
      <c r="D2165" s="589"/>
      <c r="E2165" s="873"/>
      <c r="F2165" s="873"/>
      <c r="G2165" s="1634"/>
      <c r="H2165" s="1326"/>
      <c r="J2165" s="1312"/>
    </row>
    <row r="2166" spans="1:10" x14ac:dyDescent="0.2">
      <c r="B2166" s="1324" t="str">
        <f>IF(LEN('11.900'!H320)=0,"",'11.900'!H320)</f>
        <v/>
      </c>
      <c r="C2166" s="1280" t="str">
        <f t="shared" si="200"/>
        <v/>
      </c>
      <c r="D2166" s="589"/>
      <c r="E2166" s="873"/>
      <c r="F2166" s="873" t="s">
        <v>648</v>
      </c>
      <c r="G2166" s="1634" t="s">
        <v>4895</v>
      </c>
      <c r="H2166" s="1326"/>
      <c r="J2166" s="1312"/>
    </row>
    <row r="2167" spans="1:10" x14ac:dyDescent="0.2">
      <c r="B2167" s="1324" t="str">
        <f>IF(LEN('11.900'!H321)=0,"",'11.900'!H321)</f>
        <v/>
      </c>
      <c r="C2167" s="1280" t="str">
        <f t="shared" si="200"/>
        <v/>
      </c>
      <c r="D2167" s="589"/>
      <c r="E2167" s="873"/>
      <c r="F2167" s="873"/>
      <c r="G2167" s="1634"/>
      <c r="H2167" s="1326"/>
      <c r="J2167" s="1312"/>
    </row>
    <row r="2168" spans="1:10" x14ac:dyDescent="0.2">
      <c r="B2168" s="1324" t="str">
        <f>IF(LEN('11.900'!H322)=0,"",'11.900'!H322)</f>
        <v/>
      </c>
      <c r="C2168" s="1280" t="str">
        <f t="shared" si="200"/>
        <v/>
      </c>
      <c r="D2168" s="589"/>
      <c r="E2168" s="873"/>
      <c r="F2168" s="873"/>
      <c r="G2168" s="1634"/>
      <c r="H2168" s="1326"/>
      <c r="J2168" s="1312"/>
    </row>
    <row r="2169" spans="1:10" x14ac:dyDescent="0.2">
      <c r="B2169" s="1324" t="str">
        <f>IF(LEN('11.900'!H323)=0,"",'11.900'!H323)</f>
        <v/>
      </c>
      <c r="C2169" s="1280" t="str">
        <f t="shared" si="200"/>
        <v/>
      </c>
      <c r="D2169" s="589"/>
      <c r="E2169" s="873"/>
      <c r="F2169" s="873" t="s">
        <v>649</v>
      </c>
      <c r="G2169" s="1634" t="s">
        <v>4896</v>
      </c>
      <c r="H2169" s="1326"/>
      <c r="J2169" s="1312"/>
    </row>
    <row r="2170" spans="1:10" x14ac:dyDescent="0.2">
      <c r="B2170" s="1324" t="str">
        <f>IF(LEN('11.900'!H324)=0,"",'11.900'!H324)</f>
        <v/>
      </c>
      <c r="C2170" s="1280" t="str">
        <f t="shared" si="200"/>
        <v/>
      </c>
      <c r="D2170" s="589"/>
      <c r="E2170" s="873"/>
      <c r="F2170" s="873"/>
      <c r="G2170" s="1634"/>
      <c r="H2170" s="1326"/>
      <c r="J2170" s="1312"/>
    </row>
    <row r="2171" spans="1:10" x14ac:dyDescent="0.2">
      <c r="B2171" s="1324" t="str">
        <f>IF(LEN('11.900'!H325)=0,"",'11.900'!H325)</f>
        <v/>
      </c>
      <c r="C2171" s="1280" t="str">
        <f t="shared" si="200"/>
        <v/>
      </c>
      <c r="D2171" s="590"/>
      <c r="E2171" s="1073" t="s">
        <v>255</v>
      </c>
      <c r="F2171" s="1073"/>
      <c r="G2171" s="1633" t="s">
        <v>5061</v>
      </c>
      <c r="H2171" s="1341" t="str">
        <f>IF(LEN('11.900'!W325)=0,"",'11.900'!W325)</f>
        <v/>
      </c>
      <c r="I2171" s="88">
        <f ca="1">'11.900'!O325</f>
        <v>0</v>
      </c>
      <c r="J2171" s="1312"/>
    </row>
    <row r="2172" spans="1:10" ht="16" thickBot="1" x14ac:dyDescent="0.25">
      <c r="B2172" s="1324" t="str">
        <f>IF(LEN('11.900'!H326)=0,"",'11.900'!H326)</f>
        <v/>
      </c>
      <c r="C2172" s="1280" t="str">
        <f t="shared" si="200"/>
        <v/>
      </c>
      <c r="D2172" s="594"/>
      <c r="E2172" s="1069"/>
      <c r="F2172" s="1069"/>
      <c r="G2172" s="1635"/>
      <c r="H2172" s="1326"/>
      <c r="J2172" s="1312"/>
    </row>
    <row r="2173" spans="1:10" ht="16" thickTop="1" x14ac:dyDescent="0.2">
      <c r="A2173" s="467" t="str">
        <f>IF(I2173&gt;0,"P","")</f>
        <v/>
      </c>
      <c r="B2173" s="1324" t="str">
        <f>IF(LEN('11.900'!H327)=0,"",'11.900'!H327)</f>
        <v/>
      </c>
      <c r="C2173" s="1280" t="str">
        <f t="shared" si="200"/>
        <v/>
      </c>
      <c r="D2173" s="136" t="s">
        <v>3700</v>
      </c>
      <c r="E2173" s="85"/>
      <c r="F2173" s="85"/>
      <c r="G2173" s="1631" t="s">
        <v>3723</v>
      </c>
      <c r="H2173" s="1326"/>
      <c r="I2173" s="88">
        <f>'11.900'!O327</f>
        <v>0</v>
      </c>
      <c r="J2173" s="1312"/>
    </row>
    <row r="2174" spans="1:10" x14ac:dyDescent="0.2">
      <c r="A2174" s="467" t="str">
        <f t="shared" ref="A2174" si="202">A2173</f>
        <v/>
      </c>
      <c r="B2174" s="1324" t="str">
        <f>IF(LEN('11.900'!H328)=0,"",'11.900'!H328)</f>
        <v/>
      </c>
      <c r="C2174" s="1280" t="str">
        <f t="shared" si="200"/>
        <v/>
      </c>
      <c r="D2174" s="588"/>
      <c r="E2174" s="85"/>
      <c r="F2174" s="85"/>
      <c r="G2174" s="1631"/>
      <c r="H2174" s="1326"/>
      <c r="J2174" s="1312"/>
    </row>
    <row r="2175" spans="1:10" x14ac:dyDescent="0.2">
      <c r="A2175" s="467" t="str">
        <f>IF(AND(LEN(H2175)&gt;0,NOT(H2175=FALSE),NOT(H2175="N/A")),"P","")</f>
        <v/>
      </c>
      <c r="B2175" s="1324" t="str">
        <f>IF(LEN('11.900'!H329)=0,"",'11.900'!H329)</f>
        <v/>
      </c>
      <c r="C2175" s="1280" t="str">
        <f t="shared" si="200"/>
        <v/>
      </c>
      <c r="D2175" s="588"/>
      <c r="E2175" s="93" t="s">
        <v>254</v>
      </c>
      <c r="F2175" s="97"/>
      <c r="G2175" s="1609" t="s">
        <v>2761</v>
      </c>
      <c r="H2175" s="1341" t="str">
        <f>IF(LEN('11.900'!W329)=0,"",'11.900'!W329)</f>
        <v/>
      </c>
      <c r="J2175" s="1312" t="s">
        <v>3120</v>
      </c>
    </row>
    <row r="2176" spans="1:10" x14ac:dyDescent="0.2">
      <c r="A2176" s="467" t="str">
        <f t="shared" ref="A2176" si="203">A2175</f>
        <v/>
      </c>
      <c r="B2176" s="1324" t="str">
        <f>IF(LEN('11.900'!H330)=0,"",'11.900'!H330)</f>
        <v/>
      </c>
      <c r="C2176" s="1280" t="str">
        <f t="shared" si="200"/>
        <v/>
      </c>
      <c r="D2176" s="588"/>
      <c r="E2176" s="169"/>
      <c r="F2176" s="170"/>
      <c r="G2176" s="1612"/>
      <c r="H2176" s="1326"/>
      <c r="J2176" s="1312"/>
    </row>
    <row r="2177" spans="1:10" x14ac:dyDescent="0.2">
      <c r="A2177" s="467" t="str">
        <f>IF(AND(LEN(H2177)&gt;0,NOT(H2177=FALSE),NOT(H2177="N/A")),"P","")</f>
        <v/>
      </c>
      <c r="B2177" s="1324" t="str">
        <f>IF(LEN('11.900'!H331)=0,"",'11.900'!H331)</f>
        <v/>
      </c>
      <c r="C2177" s="1280" t="str">
        <f t="shared" si="200"/>
        <v/>
      </c>
      <c r="D2177" s="609"/>
      <c r="E2177" s="93" t="s">
        <v>255</v>
      </c>
      <c r="F2177" s="97"/>
      <c r="G2177" s="1609" t="s">
        <v>2762</v>
      </c>
      <c r="H2177" s="1341" t="str">
        <f>IF(LEN('11.900'!W331)=0,"",'11.900'!W331)</f>
        <v/>
      </c>
      <c r="J2177" s="1779" t="s">
        <v>3168</v>
      </c>
    </row>
    <row r="2178" spans="1:10" x14ac:dyDescent="0.2">
      <c r="A2178" s="467" t="str">
        <f t="shared" ref="A2178:A2179" si="204">A2177</f>
        <v/>
      </c>
      <c r="B2178" s="1324" t="str">
        <f>IF(LEN('11.900'!H332)=0,"",'11.900'!H332)</f>
        <v/>
      </c>
      <c r="C2178" s="1280" t="str">
        <f t="shared" si="200"/>
        <v/>
      </c>
      <c r="D2178" s="609"/>
      <c r="E2178" s="97"/>
      <c r="F2178" s="97"/>
      <c r="G2178" s="1609"/>
      <c r="H2178" s="1326"/>
      <c r="J2178" s="1779"/>
    </row>
    <row r="2179" spans="1:10" x14ac:dyDescent="0.2">
      <c r="A2179" s="467" t="str">
        <f t="shared" si="204"/>
        <v/>
      </c>
      <c r="B2179" s="1324" t="str">
        <f>IF(LEN('11.900'!H333)=0,"",'11.900'!H333)</f>
        <v/>
      </c>
      <c r="C2179" s="1280" t="str">
        <f t="shared" si="200"/>
        <v/>
      </c>
      <c r="D2179" s="609"/>
      <c r="E2179" s="170"/>
      <c r="F2179" s="170"/>
      <c r="G2179" s="1612"/>
      <c r="H2179" s="1326"/>
      <c r="J2179" s="1779"/>
    </row>
    <row r="2180" spans="1:10" x14ac:dyDescent="0.2">
      <c r="A2180" s="467" t="str">
        <f>IF(AND(LEN(H2180)&gt;0,NOT(H2180=FALSE),NOT(H2180="N/A")),"P","")</f>
        <v/>
      </c>
      <c r="B2180" s="1324" t="str">
        <f>IF(LEN('11.900'!H334)=0,"",'11.900'!H334)</f>
        <v/>
      </c>
      <c r="C2180" s="1280" t="str">
        <f t="shared" si="200"/>
        <v/>
      </c>
      <c r="D2180" s="88"/>
      <c r="E2180" s="590" t="s">
        <v>256</v>
      </c>
      <c r="F2180" s="1111"/>
      <c r="G2180" s="1634" t="s">
        <v>4899</v>
      </c>
      <c r="H2180" s="1341" t="str">
        <f>IF(LEN('11.900'!W334)=0,"",'11.900'!W334)</f>
        <v/>
      </c>
      <c r="J2180" s="1312" t="s">
        <v>3120</v>
      </c>
    </row>
    <row r="2181" spans="1:10" x14ac:dyDescent="0.2">
      <c r="A2181" s="467" t="str">
        <f t="shared" ref="A2181:A2182" si="205">A2180</f>
        <v/>
      </c>
      <c r="B2181" s="1324" t="str">
        <f>IF(LEN('11.900'!H335)=0,"",'11.900'!H335)</f>
        <v/>
      </c>
      <c r="C2181" s="1280" t="str">
        <f t="shared" si="200"/>
        <v/>
      </c>
      <c r="D2181" s="88"/>
      <c r="E2181" s="1111"/>
      <c r="F2181" s="1111"/>
      <c r="G2181" s="1634"/>
      <c r="H2181" s="1326"/>
      <c r="J2181" s="1312"/>
    </row>
    <row r="2182" spans="1:10" ht="16" thickBot="1" x14ac:dyDescent="0.25">
      <c r="A2182" s="467" t="str">
        <f t="shared" si="205"/>
        <v/>
      </c>
      <c r="B2182" s="1324" t="str">
        <f>IF(LEN('11.900'!H336)=0,"",'11.900'!H336)</f>
        <v/>
      </c>
      <c r="C2182" s="1280" t="str">
        <f t="shared" si="200"/>
        <v/>
      </c>
      <c r="D2182" s="88"/>
      <c r="E2182" s="1112"/>
      <c r="F2182" s="1112"/>
      <c r="G2182" s="1635"/>
      <c r="H2182" s="1326"/>
      <c r="J2182" s="1312"/>
    </row>
    <row r="2183" spans="1:10" ht="16" thickTop="1" x14ac:dyDescent="0.2">
      <c r="A2183" s="467" t="str">
        <f>IF(I2183&gt;0,"P","")</f>
        <v/>
      </c>
      <c r="B2183" s="1324" t="str">
        <f>IF(LEN('11.900'!H337)=0,"",'11.900'!H337)</f>
        <v/>
      </c>
      <c r="C2183" s="1280" t="str">
        <f t="shared" si="200"/>
        <v/>
      </c>
      <c r="D2183" s="107" t="s">
        <v>3701</v>
      </c>
      <c r="E2183" s="179"/>
      <c r="F2183" s="179"/>
      <c r="G2183" s="1796" t="s">
        <v>3722</v>
      </c>
      <c r="H2183" s="1341" t="str">
        <f>IF(LEN('11.900'!W337)=0,"",'11.900'!W337)</f>
        <v/>
      </c>
      <c r="I2183" s="88">
        <f>'11.900'!O337</f>
        <v>0</v>
      </c>
      <c r="J2183" s="1779" t="s">
        <v>3120</v>
      </c>
    </row>
    <row r="2184" spans="1:10" ht="16" thickBot="1" x14ac:dyDescent="0.25">
      <c r="A2184" s="467" t="str">
        <f t="shared" ref="A2184" si="206">A2183</f>
        <v/>
      </c>
      <c r="B2184" s="1324" t="str">
        <f>IF(LEN('11.900'!H338)=0,"",'11.900'!H338)</f>
        <v/>
      </c>
      <c r="C2184" s="1280" t="str">
        <f t="shared" ref="C2184:C2247" si="207">IF(LEN(B2184)=0,IF(A2184="P","P",""),B2184)</f>
        <v/>
      </c>
      <c r="D2184" s="592"/>
      <c r="E2184" s="99"/>
      <c r="F2184" s="99"/>
      <c r="G2184" s="1737"/>
      <c r="H2184" s="1326"/>
      <c r="J2184" s="1779"/>
    </row>
    <row r="2185" spans="1:10" ht="16" thickTop="1" x14ac:dyDescent="0.2">
      <c r="A2185" s="467" t="str">
        <f>IF(AND(LEN(H2185)&gt;0,NOT(H2185=FALSE),NOT(H2185="N/A")),"P","")</f>
        <v>P</v>
      </c>
      <c r="B2185" s="1324" t="str">
        <f>IF(LEN('11.900'!H339)=0,"",'11.900'!H339)</f>
        <v/>
      </c>
      <c r="C2185" s="1280" t="str">
        <f t="shared" si="207"/>
        <v>P</v>
      </c>
      <c r="D2185" s="136" t="s">
        <v>3702</v>
      </c>
      <c r="E2185" s="85"/>
      <c r="F2185" s="85"/>
      <c r="G2185" s="1631" t="s">
        <v>3873</v>
      </c>
      <c r="H2185" s="1341" t="b">
        <f>IF(LEN('11.900'!W339)=0,"",'11.900'!W339)</f>
        <v>1</v>
      </c>
      <c r="J2185" s="1779" t="s">
        <v>3120</v>
      </c>
    </row>
    <row r="2186" spans="1:10" x14ac:dyDescent="0.2">
      <c r="A2186" s="467" t="str">
        <f t="shared" ref="A2186" si="208">A2185</f>
        <v>P</v>
      </c>
      <c r="B2186" s="1324" t="str">
        <f>IF(LEN('11.900'!H340)=0,"",'11.900'!H340)</f>
        <v/>
      </c>
      <c r="C2186" s="1280" t="str">
        <f t="shared" si="207"/>
        <v>P</v>
      </c>
      <c r="D2186" s="588"/>
      <c r="E2186" s="85"/>
      <c r="F2186" s="85"/>
      <c r="G2186" s="1631"/>
      <c r="H2186" s="1326"/>
      <c r="J2186" s="1779"/>
    </row>
    <row r="2187" spans="1:10" ht="19" x14ac:dyDescent="0.25">
      <c r="A2187" s="467" t="s">
        <v>3200</v>
      </c>
      <c r="B2187" s="1324" t="str">
        <f>IF(LEN('11.900'!H341)=0,"",'11.900'!H341)</f>
        <v/>
      </c>
      <c r="C2187" s="1280" t="str">
        <f t="shared" si="207"/>
        <v>P</v>
      </c>
      <c r="D2187" s="72" t="s">
        <v>3703</v>
      </c>
      <c r="E2187" s="84"/>
      <c r="F2187" s="84"/>
      <c r="G2187" s="86"/>
      <c r="H2187" s="994"/>
      <c r="I2187" s="25"/>
      <c r="J2187" s="25"/>
    </row>
    <row r="2188" spans="1:10" ht="16" thickBot="1" x14ac:dyDescent="0.25">
      <c r="B2188" s="1324" t="str">
        <f>IF(LEN('11.900'!H342)=0,"",'11.900'!H342)</f>
        <v/>
      </c>
      <c r="C2188" s="1280" t="str">
        <f t="shared" si="207"/>
        <v/>
      </c>
      <c r="D2188" s="1330" t="s">
        <v>3704</v>
      </c>
      <c r="E2188" s="99"/>
      <c r="F2188" s="99"/>
      <c r="G2188" s="1307" t="s">
        <v>3721</v>
      </c>
      <c r="H2188" s="1326"/>
      <c r="J2188" s="1312"/>
    </row>
    <row r="2189" spans="1:10" ht="16" thickTop="1" x14ac:dyDescent="0.2">
      <c r="A2189" s="467" t="str">
        <f ca="1">IF(I2189&gt;0,"P","")</f>
        <v/>
      </c>
      <c r="B2189" s="1324" t="str">
        <f>IF(LEN('11.900'!H343)=0,"",'11.900'!H343)</f>
        <v/>
      </c>
      <c r="C2189" s="1280" t="str">
        <f t="shared" ca="1" si="207"/>
        <v/>
      </c>
      <c r="D2189" s="599" t="s">
        <v>3705</v>
      </c>
      <c r="E2189" s="179"/>
      <c r="F2189" s="179"/>
      <c r="G2189" s="1321" t="s">
        <v>3720</v>
      </c>
      <c r="H2189" s="1341" t="str">
        <f>IF(LEN('11.900'!W343)=0,"",'11.900'!W343)</f>
        <v/>
      </c>
      <c r="I2189" s="88">
        <f ca="1">'11.900'!O343</f>
        <v>0</v>
      </c>
      <c r="J2189" s="1312"/>
    </row>
    <row r="2190" spans="1:10" x14ac:dyDescent="0.2">
      <c r="A2190" s="467" t="str">
        <f t="shared" ref="A2190:A2192" ca="1" si="209">A2189</f>
        <v/>
      </c>
      <c r="B2190" s="1324" t="str">
        <f>IF(LEN('11.900'!H344)=0,"",'11.900'!H344)</f>
        <v/>
      </c>
      <c r="C2190" s="1280" t="str">
        <f t="shared" ca="1" si="207"/>
        <v/>
      </c>
      <c r="D2190" s="609"/>
      <c r="E2190" s="93" t="s">
        <v>254</v>
      </c>
      <c r="F2190" s="97"/>
      <c r="G2190" s="1609" t="s">
        <v>2934</v>
      </c>
      <c r="H2190" s="1326"/>
      <c r="J2190" s="1312" t="s">
        <v>3120</v>
      </c>
    </row>
    <row r="2191" spans="1:10" x14ac:dyDescent="0.2">
      <c r="A2191" s="467" t="str">
        <f t="shared" ca="1" si="209"/>
        <v/>
      </c>
      <c r="B2191" s="1324" t="str">
        <f>IF(LEN('11.900'!H345)=0,"",'11.900'!H345)</f>
        <v/>
      </c>
      <c r="C2191" s="1280" t="str">
        <f t="shared" ca="1" si="207"/>
        <v/>
      </c>
      <c r="D2191" s="609"/>
      <c r="E2191" s="169"/>
      <c r="F2191" s="170"/>
      <c r="G2191" s="1696"/>
      <c r="H2191" s="1326"/>
      <c r="J2191" s="1312"/>
    </row>
    <row r="2192" spans="1:10" ht="16" thickBot="1" x14ac:dyDescent="0.25">
      <c r="A2192" s="467" t="str">
        <f t="shared" ca="1" si="209"/>
        <v/>
      </c>
      <c r="B2192" s="1324" t="str">
        <f>IF(LEN('11.900'!H346)=0,"",'11.900'!H346)</f>
        <v/>
      </c>
      <c r="C2192" s="1280" t="str">
        <f t="shared" ca="1" si="207"/>
        <v/>
      </c>
      <c r="D2192" s="596"/>
      <c r="E2192" s="98" t="s">
        <v>255</v>
      </c>
      <c r="F2192" s="99"/>
      <c r="G2192" s="1295" t="s">
        <v>2935</v>
      </c>
      <c r="H2192" s="1326"/>
      <c r="J2192" s="1312" t="s">
        <v>3120</v>
      </c>
    </row>
    <row r="2193" spans="1:10" ht="16" thickTop="1" x14ac:dyDescent="0.2">
      <c r="A2193" s="467" t="str">
        <f ca="1">IF(I2193&gt;0,"P","")</f>
        <v/>
      </c>
      <c r="B2193" s="1324" t="str">
        <f>IF(LEN('11.900'!H347)=0,"",'11.900'!H347)</f>
        <v/>
      </c>
      <c r="C2193" s="1280" t="str">
        <f t="shared" ca="1" si="207"/>
        <v/>
      </c>
      <c r="D2193" s="107" t="s">
        <v>3706</v>
      </c>
      <c r="E2193" s="179"/>
      <c r="F2193" s="179"/>
      <c r="G2193" s="1321" t="s">
        <v>3719</v>
      </c>
      <c r="H2193" s="1341" t="str">
        <f>IF(LEN('11.900'!W347)=0,"",'11.900'!W347)</f>
        <v/>
      </c>
      <c r="I2193" s="88">
        <f ca="1">'11.900'!O347</f>
        <v>0</v>
      </c>
      <c r="J2193" s="1312" t="s">
        <v>3120</v>
      </c>
    </row>
    <row r="2194" spans="1:10" x14ac:dyDescent="0.2">
      <c r="B2194" s="1324" t="str">
        <f>IF(LEN('11.900'!H348)=0,"",'11.900'!H348)</f>
        <v/>
      </c>
      <c r="C2194" s="1280" t="str">
        <f t="shared" si="207"/>
        <v/>
      </c>
      <c r="D2194" s="609"/>
      <c r="E2194" s="169" t="s">
        <v>254</v>
      </c>
      <c r="F2194" s="170"/>
      <c r="G2194" s="1285" t="s">
        <v>2763</v>
      </c>
      <c r="H2194" s="1326"/>
      <c r="J2194" s="1312"/>
    </row>
    <row r="2195" spans="1:10" x14ac:dyDescent="0.2">
      <c r="B2195" s="1324" t="str">
        <f>IF(LEN('11.900'!H349)=0,"",'11.900'!H349)</f>
        <v/>
      </c>
      <c r="C2195" s="1280" t="str">
        <f t="shared" si="207"/>
        <v/>
      </c>
      <c r="D2195" s="609"/>
      <c r="E2195" s="93" t="s">
        <v>255</v>
      </c>
      <c r="F2195" s="97"/>
      <c r="G2195" s="1609" t="s">
        <v>2764</v>
      </c>
      <c r="H2195" s="1326"/>
      <c r="J2195" s="1312"/>
    </row>
    <row r="2196" spans="1:10" ht="16" thickBot="1" x14ac:dyDescent="0.25">
      <c r="B2196" s="1324" t="str">
        <f>IF(LEN('11.900'!H350)=0,"",'11.900'!H350)</f>
        <v/>
      </c>
      <c r="C2196" s="1280" t="str">
        <f t="shared" si="207"/>
        <v/>
      </c>
      <c r="D2196" s="596"/>
      <c r="E2196" s="99"/>
      <c r="F2196" s="99"/>
      <c r="G2196" s="1610"/>
      <c r="H2196" s="1326"/>
      <c r="J2196" s="1312"/>
    </row>
    <row r="2197" spans="1:10" ht="15.75" customHeight="1" thickTop="1" x14ac:dyDescent="0.2">
      <c r="A2197" s="467" t="str">
        <f>IF(I2197&gt;0,"P","")</f>
        <v/>
      </c>
      <c r="B2197" s="1324" t="str">
        <f>IF(LEN('11.900'!H351)=0,"",'11.900'!H351)</f>
        <v/>
      </c>
      <c r="C2197" s="1280" t="str">
        <f t="shared" si="207"/>
        <v/>
      </c>
      <c r="D2197" s="136" t="s">
        <v>3707</v>
      </c>
      <c r="E2197" s="85"/>
      <c r="F2197" s="85"/>
      <c r="G2197" s="1631" t="s">
        <v>3718</v>
      </c>
      <c r="H2197" s="1326"/>
      <c r="I2197" s="88">
        <f>'11.900'!O351</f>
        <v>0</v>
      </c>
      <c r="J2197" s="1802" t="s">
        <v>3169</v>
      </c>
    </row>
    <row r="2198" spans="1:10" x14ac:dyDescent="0.2">
      <c r="A2198" s="467" t="str">
        <f t="shared" ref="A2198" si="210">A2197</f>
        <v/>
      </c>
      <c r="B2198" s="1324" t="str">
        <f>IF(LEN('11.900'!H352)=0,"",'11.900'!H352)</f>
        <v/>
      </c>
      <c r="C2198" s="1280" t="str">
        <f t="shared" si="207"/>
        <v/>
      </c>
      <c r="D2198" s="588"/>
      <c r="E2198" s="85"/>
      <c r="F2198" s="85"/>
      <c r="G2198" s="1631"/>
      <c r="H2198" s="1326"/>
      <c r="J2198" s="1803"/>
    </row>
    <row r="2199" spans="1:10" x14ac:dyDescent="0.2">
      <c r="B2199" s="1324" t="str">
        <f>IF(LEN('11.900'!H353)=0,"",'11.900'!H353)</f>
        <v/>
      </c>
      <c r="C2199" s="1280" t="str">
        <f t="shared" si="207"/>
        <v/>
      </c>
      <c r="D2199" s="588"/>
      <c r="E2199" s="169" t="s">
        <v>254</v>
      </c>
      <c r="F2199" s="1140"/>
      <c r="G2199" s="1285" t="s">
        <v>2765</v>
      </c>
      <c r="H2199" s="1341" t="str">
        <f>IF(LEN('11.900'!W353)=0,"",'11.900'!W353)</f>
        <v/>
      </c>
      <c r="J2199" s="1312"/>
    </row>
    <row r="2200" spans="1:10" x14ac:dyDescent="0.2">
      <c r="B2200" s="1324" t="str">
        <f>IF(LEN('11.900'!H354)=0,"",'11.900'!H354)</f>
        <v/>
      </c>
      <c r="C2200" s="1280" t="str">
        <f t="shared" si="207"/>
        <v/>
      </c>
      <c r="D2200" s="588"/>
      <c r="E2200" s="89" t="s">
        <v>255</v>
      </c>
      <c r="F2200" s="88"/>
      <c r="G2200" s="1717" t="s">
        <v>2766</v>
      </c>
      <c r="H2200" s="1341" t="str">
        <f>IF(LEN('11.900'!W354)=0,"",'11.900'!W354)</f>
        <v/>
      </c>
      <c r="J2200" s="1312"/>
    </row>
    <row r="2201" spans="1:10" x14ac:dyDescent="0.2">
      <c r="B2201" s="1324" t="str">
        <f>IF(LEN('11.900'!H355)=0,"",'11.900'!H355)</f>
        <v/>
      </c>
      <c r="C2201" s="1280" t="str">
        <f t="shared" si="207"/>
        <v/>
      </c>
      <c r="D2201" s="588"/>
      <c r="E2201" s="85"/>
      <c r="F2201" s="89"/>
      <c r="G2201" s="1717"/>
      <c r="H2201" s="1326"/>
      <c r="J2201" s="1312"/>
    </row>
    <row r="2202" spans="1:10" ht="19" x14ac:dyDescent="0.25">
      <c r="A2202" s="467" t="s">
        <v>3200</v>
      </c>
      <c r="B2202" s="1324" t="str">
        <f>IF(LEN('11.900'!H356)=0,"",'11.900'!H356)</f>
        <v/>
      </c>
      <c r="C2202" s="1280" t="str">
        <f t="shared" si="207"/>
        <v>P</v>
      </c>
      <c r="D2202" s="72" t="s">
        <v>3708</v>
      </c>
      <c r="E2202" s="84"/>
      <c r="F2202" s="84"/>
      <c r="G2202" s="86"/>
      <c r="H2202" s="994"/>
      <c r="I2202" s="25"/>
      <c r="J2202" s="25"/>
    </row>
    <row r="2203" spans="1:10" x14ac:dyDescent="0.2">
      <c r="B2203" s="1324" t="str">
        <f>IF(LEN('11.900'!H357)=0,"",'11.900'!H357)</f>
        <v/>
      </c>
      <c r="C2203" s="1280" t="str">
        <f t="shared" si="207"/>
        <v/>
      </c>
      <c r="D2203" s="1331">
        <v>11.904</v>
      </c>
      <c r="E2203" s="97"/>
      <c r="F2203" s="97"/>
      <c r="G2203" s="1629" t="s">
        <v>3717</v>
      </c>
      <c r="H2203" s="1326"/>
      <c r="J2203" s="1312"/>
    </row>
    <row r="2204" spans="1:10" ht="16" thickBot="1" x14ac:dyDescent="0.25">
      <c r="B2204" s="1324" t="str">
        <f>IF(LEN('11.900'!H358)=0,"",'11.900'!H358)</f>
        <v/>
      </c>
      <c r="C2204" s="1280" t="str">
        <f t="shared" si="207"/>
        <v/>
      </c>
      <c r="D2204" s="596"/>
      <c r="E2204" s="99"/>
      <c r="F2204" s="99"/>
      <c r="G2204" s="1630"/>
      <c r="H2204" s="1326"/>
      <c r="J2204" s="1312"/>
    </row>
    <row r="2205" spans="1:10" ht="16" thickTop="1" x14ac:dyDescent="0.2">
      <c r="A2205" s="467" t="str">
        <f>IF(I2205&gt;0,"P","")</f>
        <v/>
      </c>
      <c r="B2205" s="1324" t="str">
        <f>IF(LEN('11.900'!H359)=0,"",'11.900'!H359)</f>
        <v/>
      </c>
      <c r="C2205" s="1280" t="str">
        <f t="shared" si="207"/>
        <v/>
      </c>
      <c r="D2205" s="599" t="s">
        <v>3710</v>
      </c>
      <c r="E2205" s="179"/>
      <c r="F2205" s="179"/>
      <c r="G2205" s="1683" t="s">
        <v>3871</v>
      </c>
      <c r="H2205" s="1341" t="str">
        <f>IF(LEN('11.900'!W359)=0,"",'11.900'!W359)</f>
        <v/>
      </c>
      <c r="I2205" s="88">
        <f>'11.900'!O359</f>
        <v>0</v>
      </c>
      <c r="J2205" s="1312" t="s">
        <v>3120</v>
      </c>
    </row>
    <row r="2206" spans="1:10" x14ac:dyDescent="0.2">
      <c r="A2206" s="467" t="str">
        <f t="shared" ref="A2206:A2209" si="211">A2205</f>
        <v/>
      </c>
      <c r="B2206" s="1324" t="str">
        <f>IF(LEN('11.900'!H360)=0,"",'11.900'!H360)</f>
        <v/>
      </c>
      <c r="C2206" s="1280" t="str">
        <f t="shared" si="207"/>
        <v/>
      </c>
      <c r="D2206" s="609"/>
      <c r="E2206" s="97"/>
      <c r="F2206" s="97"/>
      <c r="G2206" s="1629"/>
      <c r="H2206" s="1326"/>
      <c r="J2206" s="1312"/>
    </row>
    <row r="2207" spans="1:10" x14ac:dyDescent="0.2">
      <c r="A2207" s="467" t="str">
        <f t="shared" si="211"/>
        <v/>
      </c>
      <c r="B2207" s="1324" t="str">
        <f>IF(LEN('11.900'!H361)=0,"",'11.900'!H361)</f>
        <v/>
      </c>
      <c r="C2207" s="1280" t="str">
        <f t="shared" si="207"/>
        <v/>
      </c>
      <c r="D2207" s="609"/>
      <c r="E2207" s="97"/>
      <c r="F2207" s="97"/>
      <c r="G2207" s="1629"/>
      <c r="H2207" s="1326"/>
      <c r="J2207" s="1312"/>
    </row>
    <row r="2208" spans="1:10" x14ac:dyDescent="0.2">
      <c r="A2208" s="467" t="str">
        <f t="shared" si="211"/>
        <v/>
      </c>
      <c r="B2208" s="1324" t="str">
        <f>IF(LEN('11.900'!H362)=0,"",'11.900'!H362)</f>
        <v/>
      </c>
      <c r="C2208" s="1280" t="str">
        <f t="shared" si="207"/>
        <v/>
      </c>
      <c r="D2208" s="609"/>
      <c r="E2208" s="97"/>
      <c r="F2208" s="97"/>
      <c r="G2208" s="1629"/>
      <c r="H2208" s="1326"/>
      <c r="J2208" s="1312"/>
    </row>
    <row r="2209" spans="1:10" ht="16" thickBot="1" x14ac:dyDescent="0.25">
      <c r="A2209" s="467" t="str">
        <f t="shared" si="211"/>
        <v/>
      </c>
      <c r="B2209" s="1324" t="str">
        <f>IF(LEN('11.900'!H363)=0,"",'11.900'!H363)</f>
        <v/>
      </c>
      <c r="C2209" s="1280" t="str">
        <f t="shared" si="207"/>
        <v/>
      </c>
      <c r="D2209" s="596"/>
      <c r="E2209" s="99"/>
      <c r="F2209" s="99"/>
      <c r="G2209" s="1630"/>
      <c r="H2209" s="1326"/>
      <c r="J2209" s="1312"/>
    </row>
    <row r="2210" spans="1:10" ht="16" thickTop="1" x14ac:dyDescent="0.2">
      <c r="A2210" s="467" t="str">
        <f>IF(I2210&gt;0,"P","")</f>
        <v/>
      </c>
      <c r="B2210" s="1324" t="str">
        <f>IF(LEN('11.900'!H364)=0,"",'11.900'!H364)</f>
        <v/>
      </c>
      <c r="C2210" s="1280" t="str">
        <f t="shared" si="207"/>
        <v/>
      </c>
      <c r="D2210" s="107" t="s">
        <v>3711</v>
      </c>
      <c r="E2210" s="179"/>
      <c r="F2210" s="179"/>
      <c r="G2210" s="1683" t="s">
        <v>3872</v>
      </c>
      <c r="H2210" s="1341" t="str">
        <f>IF(LEN('11.900'!W364)=0,"",'11.900'!W364)</f>
        <v/>
      </c>
      <c r="I2210" s="88">
        <f>'11.900'!O364</f>
        <v>0</v>
      </c>
      <c r="J2210" s="1312" t="s">
        <v>3120</v>
      </c>
    </row>
    <row r="2211" spans="1:10" x14ac:dyDescent="0.2">
      <c r="A2211" s="467" t="str">
        <f t="shared" ref="A2211:A2212" si="212">A2210</f>
        <v/>
      </c>
      <c r="B2211" s="1324" t="str">
        <f>IF(LEN('11.900'!H365)=0,"",'11.900'!H365)</f>
        <v/>
      </c>
      <c r="C2211" s="1280" t="str">
        <f t="shared" si="207"/>
        <v/>
      </c>
      <c r="D2211" s="609"/>
      <c r="E2211" s="97"/>
      <c r="F2211" s="97"/>
      <c r="G2211" s="1629"/>
      <c r="H2211" s="1326"/>
      <c r="J2211" s="1312"/>
    </row>
    <row r="2212" spans="1:10" ht="16" thickBot="1" x14ac:dyDescent="0.25">
      <c r="A2212" s="467" t="str">
        <f t="shared" si="212"/>
        <v/>
      </c>
      <c r="B2212" s="1324" t="str">
        <f>IF(LEN('11.900'!H366)=0,"",'11.900'!H366)</f>
        <v/>
      </c>
      <c r="C2212" s="1280" t="str">
        <f t="shared" si="207"/>
        <v/>
      </c>
      <c r="D2212" s="596"/>
      <c r="E2212" s="99"/>
      <c r="F2212" s="99"/>
      <c r="G2212" s="1630"/>
      <c r="H2212" s="1326"/>
      <c r="J2212" s="1312"/>
    </row>
    <row r="2213" spans="1:10" ht="16" thickTop="1" x14ac:dyDescent="0.2">
      <c r="A2213" s="467" t="str">
        <f>IF(OR(LEN(H2215)&gt;0,LEN(H2222)&gt;0),"P","")</f>
        <v>P</v>
      </c>
      <c r="B2213" s="1324" t="str">
        <f>IF(LEN('11.900'!H367)=0,"",'11.900'!H367)</f>
        <v/>
      </c>
      <c r="C2213" s="1280" t="str">
        <f t="shared" si="207"/>
        <v>P</v>
      </c>
      <c r="D2213" s="589" t="s">
        <v>4900</v>
      </c>
      <c r="E2213" s="873"/>
      <c r="F2213" s="858"/>
      <c r="G2213" s="1687" t="s">
        <v>4901</v>
      </c>
      <c r="H2213" s="1326"/>
      <c r="J2213" s="1312" t="s">
        <v>3120</v>
      </c>
    </row>
    <row r="2214" spans="1:10" x14ac:dyDescent="0.2">
      <c r="A2214" s="467" t="str">
        <f t="shared" ref="A2214" si="213">A2213</f>
        <v>P</v>
      </c>
      <c r="B2214" s="1324" t="str">
        <f>IF(LEN('11.900'!H368)=0,"",'11.900'!H368)</f>
        <v/>
      </c>
      <c r="C2214" s="1280" t="str">
        <f t="shared" si="207"/>
        <v>P</v>
      </c>
      <c r="D2214" s="589"/>
      <c r="E2214" s="873"/>
      <c r="F2214" s="858"/>
      <c r="G2214" s="1687"/>
      <c r="H2214" s="1326"/>
      <c r="J2214" s="1312"/>
    </row>
    <row r="2215" spans="1:10" x14ac:dyDescent="0.2">
      <c r="B2215" s="1324" t="str">
        <f>IF(LEN('11.900'!H369)=0,"",'11.900'!H369)</f>
        <v/>
      </c>
      <c r="C2215" s="1280" t="str">
        <f t="shared" si="207"/>
        <v/>
      </c>
      <c r="D2215" s="589"/>
      <c r="E2215" s="1068" t="s">
        <v>254</v>
      </c>
      <c r="F2215" s="1111"/>
      <c r="G2215" s="1634" t="s">
        <v>4902</v>
      </c>
      <c r="H2215" s="1341" t="b">
        <f>IF(LEN('11.900'!W369)=0,"",'11.900'!W369)</f>
        <v>1</v>
      </c>
      <c r="J2215" s="1312"/>
    </row>
    <row r="2216" spans="1:10" x14ac:dyDescent="0.2">
      <c r="B2216" s="1324" t="str">
        <f>IF(LEN('11.900'!H370)=0,"",'11.900'!H370)</f>
        <v/>
      </c>
      <c r="C2216" s="1280" t="str">
        <f t="shared" si="207"/>
        <v/>
      </c>
      <c r="D2216" s="589"/>
      <c r="E2216" s="1068"/>
      <c r="F2216" s="1111"/>
      <c r="G2216" s="1634"/>
      <c r="H2216" s="1326"/>
      <c r="J2216" s="1312"/>
    </row>
    <row r="2217" spans="1:10" x14ac:dyDescent="0.2">
      <c r="B2217" s="1324" t="str">
        <f>IF(LEN('11.900'!H371)=0,"",'11.900'!H371)</f>
        <v/>
      </c>
      <c r="C2217" s="1280" t="str">
        <f t="shared" si="207"/>
        <v/>
      </c>
      <c r="D2217" s="589"/>
      <c r="E2217" s="1068"/>
      <c r="F2217" s="1111"/>
      <c r="G2217" s="1634"/>
      <c r="H2217" s="1326"/>
      <c r="J2217" s="1312"/>
    </row>
    <row r="2218" spans="1:10" x14ac:dyDescent="0.2">
      <c r="B2218" s="1324" t="str">
        <f>IF(LEN('11.900'!H372)=0,"",'11.900'!H372)</f>
        <v/>
      </c>
      <c r="C2218" s="1280" t="str">
        <f t="shared" si="207"/>
        <v/>
      </c>
      <c r="D2218" s="589"/>
      <c r="E2218" s="1068"/>
      <c r="F2218" s="1111"/>
      <c r="G2218" s="1634"/>
      <c r="H2218" s="1326"/>
      <c r="J2218" s="1312"/>
    </row>
    <row r="2219" spans="1:10" x14ac:dyDescent="0.2">
      <c r="B2219" s="1324" t="str">
        <f>IF(LEN('11.900'!H373)=0,"",'11.900'!H373)</f>
        <v/>
      </c>
      <c r="C2219" s="1280" t="str">
        <f t="shared" si="207"/>
        <v/>
      </c>
      <c r="D2219" s="589"/>
      <c r="E2219" s="1068"/>
      <c r="F2219" s="1111"/>
      <c r="G2219" s="1634"/>
      <c r="H2219" s="1326"/>
      <c r="J2219" s="1312"/>
    </row>
    <row r="2220" spans="1:10" x14ac:dyDescent="0.2">
      <c r="B2220" s="1324" t="str">
        <f>IF(LEN('11.900'!H374)=0,"",'11.900'!H374)</f>
        <v/>
      </c>
      <c r="C2220" s="1280" t="str">
        <f t="shared" si="207"/>
        <v/>
      </c>
      <c r="D2220" s="589"/>
      <c r="E2220" s="1068"/>
      <c r="F2220" s="1111"/>
      <c r="G2220" s="1634"/>
      <c r="H2220" s="1326"/>
      <c r="J2220" s="1312"/>
    </row>
    <row r="2221" spans="1:10" x14ac:dyDescent="0.2">
      <c r="B2221" s="1324" t="str">
        <f>IF(LEN('11.900'!H375)=0,"",'11.900'!H375)</f>
        <v/>
      </c>
      <c r="C2221" s="1280" t="str">
        <f t="shared" si="207"/>
        <v/>
      </c>
      <c r="D2221" s="589"/>
      <c r="E2221" s="1072"/>
      <c r="F2221" s="1118"/>
      <c r="G2221" s="1639"/>
      <c r="H2221" s="1326"/>
      <c r="J2221" s="1312"/>
    </row>
    <row r="2222" spans="1:10" x14ac:dyDescent="0.2">
      <c r="B2222" s="1324" t="str">
        <f>IF(LEN('11.900'!H376)=0,"",'11.900'!H376)</f>
        <v/>
      </c>
      <c r="C2222" s="1280" t="str">
        <f t="shared" si="207"/>
        <v/>
      </c>
      <c r="D2222" s="589"/>
      <c r="E2222" s="873" t="s">
        <v>255</v>
      </c>
      <c r="F2222" s="858"/>
      <c r="G2222" s="1634" t="s">
        <v>4903</v>
      </c>
      <c r="H2222" s="1341" t="b">
        <f>IF(LEN('11.900'!W376)=0,"",'11.900'!W376)</f>
        <v>1</v>
      </c>
      <c r="J2222" s="1312"/>
    </row>
    <row r="2223" spans="1:10" x14ac:dyDescent="0.2">
      <c r="B2223" s="1324" t="str">
        <f>IF(LEN('11.900'!H377)=0,"",'11.900'!H377)</f>
        <v/>
      </c>
      <c r="C2223" s="1280" t="str">
        <f t="shared" si="207"/>
        <v/>
      </c>
      <c r="D2223" s="600"/>
      <c r="E2223" s="858"/>
      <c r="F2223" s="858"/>
      <c r="G2223" s="1634"/>
      <c r="H2223" s="1326"/>
      <c r="J2223" s="1312"/>
    </row>
    <row r="2224" spans="1:10" x14ac:dyDescent="0.2">
      <c r="B2224" s="1324" t="str">
        <f>IF(LEN('11.900'!H378)=0,"",'11.900'!H378)</f>
        <v/>
      </c>
      <c r="C2224" s="1280" t="str">
        <f t="shared" si="207"/>
        <v/>
      </c>
      <c r="D2224" s="600"/>
      <c r="E2224" s="858"/>
      <c r="F2224" s="858"/>
      <c r="G2224" s="1634"/>
      <c r="H2224" s="1326"/>
      <c r="J2224" s="1312"/>
    </row>
    <row r="2225" spans="1:10" ht="19" x14ac:dyDescent="0.25">
      <c r="A2225" s="467" t="s">
        <v>3200</v>
      </c>
      <c r="B2225" s="1324" t="str">
        <f>IF(LEN('11.900'!H379)=0,"",'11.900'!H379)</f>
        <v/>
      </c>
      <c r="C2225" s="1280" t="str">
        <f t="shared" si="207"/>
        <v>P</v>
      </c>
      <c r="D2225" s="72" t="s">
        <v>3712</v>
      </c>
      <c r="E2225" s="84"/>
      <c r="F2225" s="84"/>
      <c r="G2225" s="86"/>
      <c r="H2225" s="994"/>
      <c r="I2225" s="25"/>
      <c r="J2225" s="25"/>
    </row>
    <row r="2226" spans="1:10" x14ac:dyDescent="0.2">
      <c r="A2226" s="467" t="str">
        <f>IF(I2226&gt;0,"P","")</f>
        <v/>
      </c>
      <c r="B2226" s="1324" t="str">
        <f>IF(LEN('11.900'!H380)=0,"",'11.900'!H380)</f>
        <v/>
      </c>
      <c r="C2226" s="1280" t="str">
        <f t="shared" si="207"/>
        <v/>
      </c>
      <c r="D2226" s="102" t="s">
        <v>3713</v>
      </c>
      <c r="E2226" s="97"/>
      <c r="F2226" s="97"/>
      <c r="G2226" s="1629" t="s">
        <v>3716</v>
      </c>
      <c r="H2226" s="1341" t="str">
        <f>IF(LEN('11.900'!W380)=0,"",'11.900'!W380)</f>
        <v/>
      </c>
      <c r="I2226" s="88">
        <f>'11.900'!O380</f>
        <v>0</v>
      </c>
      <c r="J2226" s="1779" t="s">
        <v>3120</v>
      </c>
    </row>
    <row r="2227" spans="1:10" x14ac:dyDescent="0.2">
      <c r="A2227" s="467" t="str">
        <f t="shared" ref="A2227:A2230" si="214">A2226</f>
        <v/>
      </c>
      <c r="B2227" s="1324" t="str">
        <f>IF(LEN('11.900'!H381)=0,"",'11.900'!H381)</f>
        <v/>
      </c>
      <c r="C2227" s="1280" t="str">
        <f t="shared" si="207"/>
        <v/>
      </c>
      <c r="D2227" s="609"/>
      <c r="E2227" s="97"/>
      <c r="F2227" s="97"/>
      <c r="G2227" s="1629"/>
      <c r="H2227" s="1326"/>
      <c r="J2227" s="1779"/>
    </row>
    <row r="2228" spans="1:10" x14ac:dyDescent="0.2">
      <c r="A2228" s="467" t="str">
        <f t="shared" si="214"/>
        <v/>
      </c>
      <c r="B2228" s="1324" t="str">
        <f>IF(LEN('11.900'!H382)=0,"",'11.900'!H382)</f>
        <v/>
      </c>
      <c r="C2228" s="1280" t="str">
        <f t="shared" si="207"/>
        <v/>
      </c>
      <c r="D2228" s="609"/>
      <c r="E2228" s="97"/>
      <c r="F2228" s="97"/>
      <c r="G2228" s="1629"/>
      <c r="H2228" s="1326"/>
      <c r="J2228" s="1779"/>
    </row>
    <row r="2229" spans="1:10" x14ac:dyDescent="0.2">
      <c r="A2229" s="467" t="str">
        <f t="shared" si="214"/>
        <v/>
      </c>
      <c r="B2229" s="1324" t="str">
        <f>IF(LEN('11.900'!H383)=0,"",'11.900'!H383)</f>
        <v/>
      </c>
      <c r="C2229" s="1280" t="str">
        <f t="shared" si="207"/>
        <v/>
      </c>
      <c r="D2229" s="609"/>
      <c r="E2229" s="97"/>
      <c r="F2229" s="97"/>
      <c r="G2229" s="1629"/>
      <c r="H2229" s="1326"/>
      <c r="J2229" s="1779"/>
    </row>
    <row r="2230" spans="1:10" ht="16" thickBot="1" x14ac:dyDescent="0.25">
      <c r="A2230" s="467" t="str">
        <f t="shared" si="214"/>
        <v/>
      </c>
      <c r="B2230" s="1324" t="str">
        <f>IF(LEN('11.900'!H384)=0,"",'11.900'!H384)</f>
        <v/>
      </c>
      <c r="C2230" s="1280" t="str">
        <f t="shared" si="207"/>
        <v/>
      </c>
      <c r="D2230" s="596"/>
      <c r="E2230" s="99"/>
      <c r="F2230" s="99"/>
      <c r="G2230" s="1630"/>
      <c r="H2230" s="1326"/>
      <c r="J2230" s="1779"/>
    </row>
    <row r="2231" spans="1:10" ht="16" thickTop="1" x14ac:dyDescent="0.2">
      <c r="A2231" s="467" t="str">
        <f>IF(I2231&gt;0,"P","")</f>
        <v/>
      </c>
      <c r="B2231" s="1324" t="str">
        <f>IF(LEN('11.900'!H385)=0,"",'11.900'!H385)</f>
        <v/>
      </c>
      <c r="C2231" s="1280" t="str">
        <f t="shared" si="207"/>
        <v/>
      </c>
      <c r="D2231" s="107" t="s">
        <v>3714</v>
      </c>
      <c r="E2231" s="179"/>
      <c r="F2231" s="179"/>
      <c r="G2231" s="1683" t="s">
        <v>3715</v>
      </c>
      <c r="H2231" s="1341" t="str">
        <f>IF(LEN('11.900'!W385)=0,"",'11.900'!W385)</f>
        <v/>
      </c>
      <c r="I2231" s="88">
        <f>'11.900'!O385</f>
        <v>0</v>
      </c>
      <c r="J2231" s="1779" t="s">
        <v>3170</v>
      </c>
    </row>
    <row r="2232" spans="1:10" ht="16" thickBot="1" x14ac:dyDescent="0.25">
      <c r="A2232" s="467" t="str">
        <f t="shared" ref="A2232" si="215">A2231</f>
        <v/>
      </c>
      <c r="B2232" s="1324" t="str">
        <f>IF(LEN('11.900'!H386)=0,"",'11.900'!H386)</f>
        <v/>
      </c>
      <c r="C2232" s="1280" t="str">
        <f t="shared" si="207"/>
        <v/>
      </c>
      <c r="D2232" s="596"/>
      <c r="E2232" s="99"/>
      <c r="F2232" s="99"/>
      <c r="G2232" s="1630"/>
      <c r="H2232" s="1326"/>
      <c r="J2232" s="1779"/>
    </row>
    <row r="2233" spans="1:10" ht="16" thickTop="1" x14ac:dyDescent="0.2">
      <c r="A2233" s="467" t="str">
        <f>IF(I2233&gt;0,"P","")</f>
        <v/>
      </c>
      <c r="B2233" s="1324" t="str">
        <f>IF(LEN('11.900'!H387)=0,"",'11.900'!H387)</f>
        <v/>
      </c>
      <c r="C2233" s="1280" t="str">
        <f t="shared" si="207"/>
        <v/>
      </c>
      <c r="D2233" s="589" t="s">
        <v>4904</v>
      </c>
      <c r="E2233" s="873"/>
      <c r="F2233" s="858"/>
      <c r="G2233" s="1301" t="s">
        <v>4905</v>
      </c>
      <c r="H2233" s="1326"/>
      <c r="I2233" s="88">
        <f>'11.900'!O387</f>
        <v>0</v>
      </c>
      <c r="J2233" s="1314" t="s">
        <v>5237</v>
      </c>
    </row>
    <row r="2234" spans="1:10" x14ac:dyDescent="0.2">
      <c r="B2234" s="1324" t="str">
        <f>IF(LEN('11.900'!H388)=0,"",'11.900'!H388)</f>
        <v/>
      </c>
      <c r="C2234" s="1280" t="str">
        <f t="shared" si="207"/>
        <v/>
      </c>
      <c r="D2234" s="589"/>
      <c r="E2234" s="1072" t="s">
        <v>254</v>
      </c>
      <c r="F2234" s="1118"/>
      <c r="G2234" s="1291" t="s">
        <v>4906</v>
      </c>
      <c r="H2234" s="1341" t="str">
        <f>IF(LEN('11.900'!W388)=0,"",'11.900'!W388)</f>
        <v/>
      </c>
      <c r="J2234" s="1312"/>
    </row>
    <row r="2235" spans="1:10" x14ac:dyDescent="0.2">
      <c r="B2235" s="1324" t="str">
        <f>IF(LEN('11.900'!H389)=0,"",'11.900'!H389)</f>
        <v/>
      </c>
      <c r="C2235" s="1280" t="str">
        <f t="shared" si="207"/>
        <v/>
      </c>
      <c r="D2235" s="590"/>
      <c r="E2235" s="1068" t="s">
        <v>255</v>
      </c>
      <c r="F2235" s="1111"/>
      <c r="G2235" s="1634" t="s">
        <v>4907</v>
      </c>
      <c r="H2235" s="1341" t="str">
        <f>IF(LEN('11.900'!W389)=0,"",'11.900'!W389)</f>
        <v/>
      </c>
      <c r="J2235" s="1312"/>
    </row>
    <row r="2236" spans="1:10" ht="16" thickBot="1" x14ac:dyDescent="0.25">
      <c r="B2236" s="1324" t="str">
        <f>IF(LEN('11.900'!H390)=0,"",'11.900'!H390)</f>
        <v/>
      </c>
      <c r="C2236" s="1280" t="str">
        <f t="shared" si="207"/>
        <v/>
      </c>
      <c r="D2236" s="594"/>
      <c r="E2236" s="1069"/>
      <c r="F2236" s="1112"/>
      <c r="G2236" s="1635"/>
      <c r="H2236" s="1326"/>
      <c r="J2236" s="1312"/>
    </row>
    <row r="2237" spans="1:10" ht="16" thickTop="1" x14ac:dyDescent="0.2">
      <c r="A2237" s="467" t="str">
        <f ca="1">IF(I2237&gt;0,"P","")</f>
        <v/>
      </c>
      <c r="B2237" s="1324" t="str">
        <f>IF(LEN('11.900'!H391)=0,"",'11.900'!H391)</f>
        <v/>
      </c>
      <c r="C2237" s="1280" t="str">
        <f t="shared" ca="1" si="207"/>
        <v/>
      </c>
      <c r="D2237" s="589" t="s">
        <v>4908</v>
      </c>
      <c r="E2237" s="873"/>
      <c r="F2237" s="858"/>
      <c r="G2237" s="1687" t="s">
        <v>4909</v>
      </c>
      <c r="H2237" s="1341" t="str">
        <f>IF(LEN('11.900'!W391)=0,"",'11.900'!W391)</f>
        <v/>
      </c>
      <c r="I2237" s="88">
        <f ca="1">'11.900'!O391</f>
        <v>0</v>
      </c>
      <c r="J2237" s="1779" t="s">
        <v>5238</v>
      </c>
    </row>
    <row r="2238" spans="1:10" x14ac:dyDescent="0.2">
      <c r="A2238" s="467" t="str">
        <f t="shared" ref="A2238:A2239" ca="1" si="216">A2237</f>
        <v/>
      </c>
      <c r="B2238" s="1324" t="str">
        <f>IF(LEN('11.900'!H392)=0,"",'11.900'!H392)</f>
        <v/>
      </c>
      <c r="C2238" s="1280" t="str">
        <f t="shared" ca="1" si="207"/>
        <v/>
      </c>
      <c r="D2238" s="589"/>
      <c r="E2238" s="873"/>
      <c r="F2238" s="858"/>
      <c r="G2238" s="1687"/>
      <c r="H2238" s="1326"/>
      <c r="J2238" s="1797"/>
    </row>
    <row r="2239" spans="1:10" x14ac:dyDescent="0.2">
      <c r="A2239" s="467" t="str">
        <f t="shared" ca="1" si="216"/>
        <v/>
      </c>
      <c r="B2239" s="1324" t="str">
        <f>IF(LEN('11.900'!H393)=0,"",'11.900'!H393)</f>
        <v/>
      </c>
      <c r="C2239" s="1280" t="str">
        <f t="shared" ca="1" si="207"/>
        <v/>
      </c>
      <c r="D2239" s="589"/>
      <c r="E2239" s="873"/>
      <c r="F2239" s="858"/>
      <c r="G2239" s="1687"/>
      <c r="H2239" s="1326"/>
      <c r="J2239" s="1312"/>
    </row>
    <row r="2240" spans="1:10" x14ac:dyDescent="0.2">
      <c r="B2240" s="1324" t="str">
        <f>IF(LEN('11.900'!H394)=0,"",'11.900'!H394)</f>
        <v/>
      </c>
      <c r="C2240" s="1280" t="str">
        <f t="shared" si="207"/>
        <v/>
      </c>
      <c r="D2240" s="589"/>
      <c r="E2240" s="873"/>
      <c r="F2240" s="858"/>
      <c r="G2240" s="1309" t="s">
        <v>5075</v>
      </c>
      <c r="H2240" s="1326"/>
      <c r="J2240" s="1312"/>
    </row>
    <row r="2241" spans="1:10" ht="16" thickBot="1" x14ac:dyDescent="0.25">
      <c r="B2241" s="1324" t="str">
        <f>IF(LEN('11.900'!H395)=0,"",'11.900'!H395)</f>
        <v/>
      </c>
      <c r="C2241" s="1280" t="str">
        <f t="shared" si="207"/>
        <v/>
      </c>
      <c r="D2241" s="594"/>
      <c r="E2241" s="1069"/>
      <c r="F2241" s="1112"/>
      <c r="G2241" s="1246" t="s">
        <v>5076</v>
      </c>
      <c r="H2241" s="1326"/>
      <c r="J2241" s="1312"/>
    </row>
    <row r="2242" spans="1:10" ht="16" thickTop="1" x14ac:dyDescent="0.2">
      <c r="A2242" s="467" t="str">
        <f>IF(I2242&gt;0,"P","")</f>
        <v/>
      </c>
      <c r="B2242" s="1324" t="str">
        <f>IF(LEN('11.900'!H396)=0,"",'11.900'!H396)</f>
        <v/>
      </c>
      <c r="C2242" s="1280" t="str">
        <f t="shared" si="207"/>
        <v/>
      </c>
      <c r="D2242" s="603" t="s">
        <v>4910</v>
      </c>
      <c r="E2242" s="1070"/>
      <c r="F2242" s="1119"/>
      <c r="G2242" s="1740" t="s">
        <v>4911</v>
      </c>
      <c r="H2242" s="1341" t="str">
        <f>IF(LEN('11.900'!W396)=0,"",'11.900'!W396)</f>
        <v/>
      </c>
      <c r="I2242" s="88">
        <f>'11.900'!O396</f>
        <v>0</v>
      </c>
      <c r="J2242" s="1779" t="s">
        <v>5239</v>
      </c>
    </row>
    <row r="2243" spans="1:10" x14ac:dyDescent="0.2">
      <c r="A2243" s="467" t="str">
        <f t="shared" ref="A2243:A2245" si="217">A2242</f>
        <v/>
      </c>
      <c r="B2243" s="1324" t="str">
        <f>IF(LEN('11.900'!H397)=0,"",'11.900'!H397)</f>
        <v/>
      </c>
      <c r="C2243" s="1280" t="str">
        <f t="shared" si="207"/>
        <v/>
      </c>
      <c r="D2243" s="590"/>
      <c r="E2243" s="1068"/>
      <c r="F2243" s="1111"/>
      <c r="G2243" s="1687"/>
      <c r="H2243" s="1326"/>
      <c r="J2243" s="1797"/>
    </row>
    <row r="2244" spans="1:10" x14ac:dyDescent="0.2">
      <c r="A2244" s="467" t="str">
        <f t="shared" si="217"/>
        <v/>
      </c>
      <c r="B2244" s="1324" t="str">
        <f>IF(LEN('11.900'!H398)=0,"",'11.900'!H398)</f>
        <v/>
      </c>
      <c r="C2244" s="1280" t="str">
        <f t="shared" si="207"/>
        <v/>
      </c>
      <c r="D2244" s="590"/>
      <c r="E2244" s="1068"/>
      <c r="F2244" s="1111"/>
      <c r="G2244" s="1687"/>
      <c r="H2244" s="1326"/>
      <c r="J2244" s="1312"/>
    </row>
    <row r="2245" spans="1:10" ht="16" thickBot="1" x14ac:dyDescent="0.25">
      <c r="A2245" s="467" t="str">
        <f t="shared" si="217"/>
        <v/>
      </c>
      <c r="B2245" s="1324" t="str">
        <f>IF(LEN('11.900'!H399)=0,"",'11.900'!H399)</f>
        <v/>
      </c>
      <c r="C2245" s="1280" t="str">
        <f t="shared" si="207"/>
        <v/>
      </c>
      <c r="D2245" s="594"/>
      <c r="E2245" s="1069"/>
      <c r="F2245" s="1112"/>
      <c r="G2245" s="1738"/>
      <c r="H2245" s="1326"/>
      <c r="J2245" s="1312"/>
    </row>
    <row r="2246" spans="1:10" ht="16" thickTop="1" x14ac:dyDescent="0.2">
      <c r="A2246" s="467" t="str">
        <f ca="1">IF(I2246&gt;0,"P","")</f>
        <v/>
      </c>
      <c r="B2246" s="1324" t="str">
        <f>IF(LEN('11.900'!H400)=0,"",'11.900'!H400)</f>
        <v/>
      </c>
      <c r="C2246" s="1280" t="str">
        <f t="shared" ca="1" si="207"/>
        <v/>
      </c>
      <c r="D2246" s="589" t="s">
        <v>4912</v>
      </c>
      <c r="E2246" s="873"/>
      <c r="F2246" s="858"/>
      <c r="G2246" s="1687" t="s">
        <v>4913</v>
      </c>
      <c r="H2246" s="1341" t="str">
        <f>IF(LEN('11.900'!W400)=0,"",'11.900'!W400)</f>
        <v/>
      </c>
      <c r="I2246" s="88">
        <f ca="1">'11.900'!O400</f>
        <v>0</v>
      </c>
      <c r="J2246" s="1312" t="s">
        <v>3120</v>
      </c>
    </row>
    <row r="2247" spans="1:10" x14ac:dyDescent="0.2">
      <c r="A2247" s="467" t="str">
        <f t="shared" ref="A2247" ca="1" si="218">A2246</f>
        <v/>
      </c>
      <c r="B2247" s="1324" t="str">
        <f>IF(LEN('11.900'!H401)=0,"",'11.900'!H401)</f>
        <v/>
      </c>
      <c r="C2247" s="1280" t="str">
        <f t="shared" ca="1" si="207"/>
        <v/>
      </c>
      <c r="D2247" s="589"/>
      <c r="E2247" s="873"/>
      <c r="F2247" s="858"/>
      <c r="G2247" s="1687"/>
      <c r="J2247" s="1312"/>
    </row>
    <row r="2248" spans="1:10" x14ac:dyDescent="0.2">
      <c r="B2248" s="1324" t="str">
        <f>IF(LEN('11.900'!H402)=0,"",'11.900'!H402)</f>
        <v/>
      </c>
      <c r="C2248" s="1280" t="str">
        <f t="shared" ref="C2248:C2311" si="219">IF(LEN(B2248)=0,IF(A2248="P","P",""),B2248)</f>
        <v/>
      </c>
      <c r="D2248" s="589"/>
      <c r="E2248" s="1068" t="s">
        <v>254</v>
      </c>
      <c r="F2248" s="1111"/>
      <c r="G2248" s="1634" t="s">
        <v>4915</v>
      </c>
      <c r="J2248" s="1312"/>
    </row>
    <row r="2249" spans="1:10" x14ac:dyDescent="0.2">
      <c r="B2249" s="1324" t="str">
        <f>IF(LEN('11.900'!H403)=0,"",'11.900'!H403)</f>
        <v/>
      </c>
      <c r="C2249" s="1280" t="str">
        <f t="shared" si="219"/>
        <v/>
      </c>
      <c r="D2249" s="589"/>
      <c r="E2249" s="1072"/>
      <c r="F2249" s="1118"/>
      <c r="G2249" s="1639"/>
      <c r="J2249" s="1312"/>
    </row>
    <row r="2250" spans="1:10" x14ac:dyDescent="0.2">
      <c r="B2250" s="1324" t="str">
        <f>IF(LEN('11.900'!H404)=0,"",'11.900'!H404)</f>
        <v/>
      </c>
      <c r="C2250" s="1280" t="str">
        <f t="shared" si="219"/>
        <v/>
      </c>
      <c r="D2250" s="589"/>
      <c r="E2250" s="1073" t="s">
        <v>255</v>
      </c>
      <c r="F2250" s="1120"/>
      <c r="G2250" s="1633" t="s">
        <v>4916</v>
      </c>
      <c r="J2250" s="1312"/>
    </row>
    <row r="2251" spans="1:10" x14ac:dyDescent="0.2">
      <c r="B2251" s="1324" t="str">
        <f>IF(LEN('11.900'!H405)=0,"",'11.900'!H405)</f>
        <v/>
      </c>
      <c r="C2251" s="1280" t="str">
        <f t="shared" si="219"/>
        <v/>
      </c>
      <c r="D2251" s="589"/>
      <c r="E2251" s="1068"/>
      <c r="F2251" s="1111"/>
      <c r="G2251" s="1634"/>
      <c r="J2251" s="1312"/>
    </row>
    <row r="2252" spans="1:10" x14ac:dyDescent="0.2">
      <c r="B2252" s="1324" t="str">
        <f>IF(LEN('11.900'!H406)=0,"",'11.900'!H406)</f>
        <v/>
      </c>
      <c r="C2252" s="1280" t="str">
        <f t="shared" si="219"/>
        <v/>
      </c>
      <c r="D2252" s="589"/>
      <c r="E2252" s="1072"/>
      <c r="F2252" s="1118"/>
      <c r="G2252" s="1639"/>
      <c r="J2252" s="1312"/>
    </row>
    <row r="2253" spans="1:10" x14ac:dyDescent="0.2">
      <c r="B2253" s="1324" t="str">
        <f>IF(LEN('11.900'!H407)=0,"",'11.900'!H407)</f>
        <v/>
      </c>
      <c r="C2253" s="1280" t="str">
        <f t="shared" si="219"/>
        <v/>
      </c>
      <c r="D2253" s="589"/>
      <c r="E2253" s="873" t="s">
        <v>256</v>
      </c>
      <c r="F2253" s="858"/>
      <c r="G2253" s="1634" t="s">
        <v>4917</v>
      </c>
      <c r="J2253" s="1312"/>
    </row>
    <row r="2254" spans="1:10" x14ac:dyDescent="0.2">
      <c r="B2254" s="1324" t="str">
        <f>IF(LEN('11.900'!H408)=0,"",'11.900'!H408)</f>
        <v/>
      </c>
      <c r="C2254" s="1280" t="str">
        <f t="shared" si="219"/>
        <v/>
      </c>
      <c r="D2254" s="600"/>
      <c r="E2254" s="858"/>
      <c r="F2254" s="858"/>
      <c r="G2254" s="1634"/>
      <c r="J2254" s="1312"/>
    </row>
    <row r="2255" spans="1:10" ht="19" x14ac:dyDescent="0.25">
      <c r="A2255" s="467" t="s">
        <v>3200</v>
      </c>
      <c r="B2255" s="1324" t="str">
        <f>IF(LEN('11.1000'!H9)=0,"",'11.1000'!H9)</f>
        <v/>
      </c>
      <c r="C2255" s="1280" t="str">
        <f t="shared" si="219"/>
        <v>P</v>
      </c>
      <c r="D2255" s="90" t="s">
        <v>3749</v>
      </c>
      <c r="E2255" s="90"/>
      <c r="F2255" s="90"/>
      <c r="G2255" s="25"/>
      <c r="H2255" s="994"/>
      <c r="I2255" s="25"/>
      <c r="J2255" s="25"/>
    </row>
    <row r="2256" spans="1:10" x14ac:dyDescent="0.2">
      <c r="B2256" s="1324" t="str">
        <f>IF(LEN('11.1000'!H10)=0,"",'11.1000'!H10)</f>
        <v/>
      </c>
      <c r="C2256" s="1280" t="str">
        <f t="shared" si="219"/>
        <v/>
      </c>
      <c r="D2256" s="1331">
        <v>11.100099999999999</v>
      </c>
      <c r="E2256" s="97"/>
      <c r="F2256" s="97"/>
      <c r="G2256" s="1629" t="s">
        <v>3767</v>
      </c>
      <c r="H2256" s="1326"/>
      <c r="J2256" s="1312"/>
    </row>
    <row r="2257" spans="1:10" ht="16" thickBot="1" x14ac:dyDescent="0.25">
      <c r="B2257" s="1324" t="str">
        <f>IF(LEN('11.1000'!H11)=0,"",'11.1000'!H11)</f>
        <v/>
      </c>
      <c r="C2257" s="1280" t="str">
        <f t="shared" si="219"/>
        <v/>
      </c>
      <c r="D2257" s="99"/>
      <c r="E2257" s="99"/>
      <c r="F2257" s="99"/>
      <c r="G2257" s="1630"/>
      <c r="H2257" s="1326"/>
      <c r="J2257" s="1312"/>
    </row>
    <row r="2258" spans="1:10" ht="16" thickTop="1" x14ac:dyDescent="0.2">
      <c r="A2258" s="467" t="str">
        <f>IF(I2258&gt;0,"P","")</f>
        <v/>
      </c>
      <c r="B2258" s="1324" t="str">
        <f>IF(LEN('11.1000'!H12)=0,"",'11.1000'!H12)</f>
        <v/>
      </c>
      <c r="C2258" s="1280" t="str">
        <f t="shared" si="219"/>
        <v/>
      </c>
      <c r="D2258" s="136" t="s">
        <v>3751</v>
      </c>
      <c r="E2258" s="85"/>
      <c r="F2258" s="85"/>
      <c r="G2258" s="1631" t="s">
        <v>3766</v>
      </c>
      <c r="H2258" s="1326"/>
      <c r="I2258" s="88">
        <f>'11.1000'!O12</f>
        <v>0</v>
      </c>
      <c r="J2258" s="1801" t="s">
        <v>5240</v>
      </c>
    </row>
    <row r="2259" spans="1:10" x14ac:dyDescent="0.2">
      <c r="A2259" s="467" t="str">
        <f t="shared" ref="A2259" si="220">A2258</f>
        <v/>
      </c>
      <c r="B2259" s="1324" t="str">
        <f>IF(LEN('11.1000'!H13)=0,"",'11.1000'!H13)</f>
        <v/>
      </c>
      <c r="C2259" s="1280" t="str">
        <f t="shared" si="219"/>
        <v/>
      </c>
      <c r="D2259" s="85"/>
      <c r="E2259" s="85"/>
      <c r="F2259" s="85"/>
      <c r="G2259" s="1631"/>
      <c r="H2259" s="1326"/>
      <c r="J2259" s="1801"/>
    </row>
    <row r="2260" spans="1:10" x14ac:dyDescent="0.2">
      <c r="B2260" s="1324" t="str">
        <f>IF(LEN('11.1000'!H14)=0,"",'11.1000'!H14)</f>
        <v/>
      </c>
      <c r="C2260" s="1280" t="str">
        <f t="shared" si="219"/>
        <v/>
      </c>
      <c r="D2260" s="85"/>
      <c r="E2260" s="85"/>
      <c r="F2260" s="85"/>
      <c r="G2260" s="227" t="s">
        <v>2846</v>
      </c>
      <c r="H2260" s="1326"/>
      <c r="J2260" s="1327"/>
    </row>
    <row r="2261" spans="1:10" x14ac:dyDescent="0.2">
      <c r="A2261" s="467" t="str">
        <f>IF(AND(LEN(H2261)&gt;0,NOT(H2261=FALSE),NOT(H2261="N/A")),"P","")</f>
        <v/>
      </c>
      <c r="B2261" s="1324" t="str">
        <f>IF(LEN('11.1000'!H15)=0,"",'11.1000'!H15)</f>
        <v/>
      </c>
      <c r="C2261" s="1280" t="str">
        <f t="shared" si="219"/>
        <v/>
      </c>
      <c r="D2261" s="85"/>
      <c r="E2261" s="169" t="s">
        <v>254</v>
      </c>
      <c r="F2261" s="170"/>
      <c r="G2261" s="1285" t="s">
        <v>2767</v>
      </c>
      <c r="H2261" s="1341" t="str">
        <f>IF(LEN('11.1000'!W15)=0,"",'11.1000'!W15)</f>
        <v/>
      </c>
      <c r="J2261" s="1327"/>
    </row>
    <row r="2262" spans="1:10" x14ac:dyDescent="0.2">
      <c r="A2262" s="467" t="str">
        <f>IF(AND(LEN(H2262)&gt;0,NOT(H2262=FALSE),NOT(H2262="N/A")),"P","")</f>
        <v/>
      </c>
      <c r="B2262" s="1324" t="str">
        <f>IF(LEN('11.1000'!H16)=0,"",'11.1000'!H16)</f>
        <v/>
      </c>
      <c r="C2262" s="1280" t="str">
        <f t="shared" si="219"/>
        <v/>
      </c>
      <c r="D2262" s="85"/>
      <c r="E2262" s="216" t="s">
        <v>255</v>
      </c>
      <c r="F2262" s="210"/>
      <c r="G2262" s="311" t="s">
        <v>2768</v>
      </c>
      <c r="H2262" s="1341" t="str">
        <f>IF(LEN('11.1000'!W16)=0,"",'11.1000'!W16)</f>
        <v/>
      </c>
      <c r="J2262" s="1327"/>
    </row>
    <row r="2263" spans="1:10" x14ac:dyDescent="0.2">
      <c r="A2263" s="467" t="str">
        <f>IF(AND(LEN(H2263)&gt;0,NOT(H2263=FALSE),NOT(H2263="N/A")),"P","")</f>
        <v/>
      </c>
      <c r="B2263" s="1324" t="str">
        <f>IF(LEN('11.1000'!H17)=0,"",'11.1000'!H17)</f>
        <v/>
      </c>
      <c r="C2263" s="1280" t="str">
        <f t="shared" si="219"/>
        <v/>
      </c>
      <c r="D2263" s="85"/>
      <c r="E2263" s="860" t="s">
        <v>256</v>
      </c>
      <c r="F2263" s="194"/>
      <c r="G2263" s="1613" t="s">
        <v>3911</v>
      </c>
      <c r="H2263" s="1341" t="str">
        <f>IF(LEN('11.1000'!W17)=0,"",'11.1000'!W17)</f>
        <v/>
      </c>
      <c r="J2263" s="1327"/>
    </row>
    <row r="2264" spans="1:10" x14ac:dyDescent="0.2">
      <c r="A2264" s="467" t="str">
        <f t="shared" ref="A2264:A2266" si="221">A2263</f>
        <v/>
      </c>
      <c r="B2264" s="1324" t="str">
        <f>IF(LEN('11.1000'!H18)=0,"",'11.1000'!H18)</f>
        <v/>
      </c>
      <c r="C2264" s="1280" t="str">
        <f t="shared" si="219"/>
        <v/>
      </c>
      <c r="D2264" s="85"/>
      <c r="E2264" s="93"/>
      <c r="F2264" s="97"/>
      <c r="G2264" s="1609"/>
      <c r="H2264" s="1326"/>
      <c r="J2264" s="1327"/>
    </row>
    <row r="2265" spans="1:10" x14ac:dyDescent="0.2">
      <c r="A2265" s="467" t="str">
        <f t="shared" si="221"/>
        <v/>
      </c>
      <c r="B2265" s="1324" t="str">
        <f>IF(LEN('11.1000'!H19)=0,"",'11.1000'!H19)</f>
        <v/>
      </c>
      <c r="C2265" s="1280" t="str">
        <f t="shared" si="219"/>
        <v/>
      </c>
      <c r="D2265" s="85"/>
      <c r="E2265" s="93"/>
      <c r="F2265" s="97"/>
      <c r="G2265" s="1609"/>
      <c r="H2265" s="1326"/>
      <c r="J2265" s="1327"/>
    </row>
    <row r="2266" spans="1:10" x14ac:dyDescent="0.2">
      <c r="A2266" s="467" t="str">
        <f t="shared" si="221"/>
        <v/>
      </c>
      <c r="B2266" s="1324" t="str">
        <f>IF(LEN('11.1000'!H20)=0,"",'11.1000'!H20)</f>
        <v/>
      </c>
      <c r="C2266" s="1280" t="str">
        <f t="shared" si="219"/>
        <v/>
      </c>
      <c r="D2266" s="85"/>
      <c r="E2266" s="169"/>
      <c r="F2266" s="170"/>
      <c r="G2266" s="1612"/>
      <c r="H2266" s="1326"/>
      <c r="J2266" s="1327"/>
    </row>
    <row r="2267" spans="1:10" x14ac:dyDescent="0.2">
      <c r="A2267" s="467" t="str">
        <f>IF(AND(LEN(H2267)&gt;0,NOT(H2267=FALSE),NOT(H2267="N/A")),"P","")</f>
        <v/>
      </c>
      <c r="B2267" s="1324" t="str">
        <f>IF(LEN('11.1000'!H21)=0,"",'11.1000'!H21)</f>
        <v/>
      </c>
      <c r="C2267" s="1280" t="str">
        <f t="shared" si="219"/>
        <v/>
      </c>
      <c r="D2267" s="85"/>
      <c r="E2267" s="216" t="s">
        <v>259</v>
      </c>
      <c r="F2267" s="210"/>
      <c r="G2267" s="311" t="s">
        <v>2769</v>
      </c>
      <c r="H2267" s="1341" t="str">
        <f>IF(LEN('11.1000'!W21)=0,"",'11.1000'!W21)</f>
        <v/>
      </c>
      <c r="J2267" s="1312"/>
    </row>
    <row r="2268" spans="1:10" x14ac:dyDescent="0.2">
      <c r="A2268" s="467" t="str">
        <f>IF(AND(LEN(H2268)&gt;0,NOT(H2268=FALSE),NOT(H2268="N/A")),"P","")</f>
        <v/>
      </c>
      <c r="B2268" s="1324" t="str">
        <f>IF(LEN('11.1000'!H22)=0,"",'11.1000'!H22)</f>
        <v/>
      </c>
      <c r="C2268" s="1280" t="str">
        <f t="shared" si="219"/>
        <v/>
      </c>
      <c r="D2268" s="85"/>
      <c r="E2268" s="216" t="s">
        <v>263</v>
      </c>
      <c r="F2268" s="210"/>
      <c r="G2268" s="311" t="s">
        <v>2770</v>
      </c>
      <c r="H2268" s="1341" t="str">
        <f>IF(LEN('11.1000'!W22)=0,"",'11.1000'!W22)</f>
        <v/>
      </c>
      <c r="J2268" s="1312"/>
    </row>
    <row r="2269" spans="1:10" x14ac:dyDescent="0.2">
      <c r="A2269" s="467" t="str">
        <f>IF(AND(LEN(H2269)&gt;0,NOT(H2269=FALSE),NOT(H2269="N/A")),"P","")</f>
        <v/>
      </c>
      <c r="B2269" s="1324" t="str">
        <f>IF(LEN('11.1000'!H23)=0,"",'11.1000'!H23)</f>
        <v/>
      </c>
      <c r="C2269" s="1280" t="str">
        <f t="shared" si="219"/>
        <v/>
      </c>
      <c r="D2269" s="85"/>
      <c r="E2269" s="860" t="s">
        <v>264</v>
      </c>
      <c r="F2269" s="194"/>
      <c r="G2269" s="1613" t="s">
        <v>2771</v>
      </c>
      <c r="H2269" s="1341" t="str">
        <f>IF(LEN('11.1000'!W23)=0,"",'11.1000'!W23)</f>
        <v/>
      </c>
      <c r="J2269" s="1312"/>
    </row>
    <row r="2270" spans="1:10" x14ac:dyDescent="0.2">
      <c r="A2270" s="467" t="str">
        <f t="shared" ref="A2270" si="222">A2269</f>
        <v/>
      </c>
      <c r="B2270" s="1324" t="str">
        <f>IF(LEN('11.1000'!H24)=0,"",'11.1000'!H24)</f>
        <v/>
      </c>
      <c r="C2270" s="1280" t="str">
        <f t="shared" si="219"/>
        <v/>
      </c>
      <c r="D2270" s="85"/>
      <c r="E2270" s="169"/>
      <c r="F2270" s="170"/>
      <c r="G2270" s="1612"/>
      <c r="H2270" s="1326"/>
      <c r="J2270" s="1312"/>
    </row>
    <row r="2271" spans="1:10" x14ac:dyDescent="0.2">
      <c r="A2271" s="467" t="str">
        <f>IF(AND(LEN(H2271)&gt;0,NOT(H2271=FALSE),NOT(H2271="N/A")),"P","")</f>
        <v/>
      </c>
      <c r="B2271" s="1324" t="str">
        <f>IF(LEN('11.1000'!H25)=0,"",'11.1000'!H25)</f>
        <v/>
      </c>
      <c r="C2271" s="1280" t="str">
        <f t="shared" si="219"/>
        <v/>
      </c>
      <c r="D2271" s="85"/>
      <c r="E2271" s="860" t="s">
        <v>356</v>
      </c>
      <c r="F2271" s="194"/>
      <c r="G2271" s="1613" t="s">
        <v>2772</v>
      </c>
      <c r="H2271" s="1341" t="str">
        <f>IF(LEN('11.1000'!W25)=0,"",'11.1000'!W25)</f>
        <v/>
      </c>
      <c r="J2271" s="1312"/>
    </row>
    <row r="2272" spans="1:10" x14ac:dyDescent="0.2">
      <c r="A2272" s="467" t="str">
        <f t="shared" ref="A2272" si="223">A2271</f>
        <v/>
      </c>
      <c r="B2272" s="1324" t="str">
        <f>IF(LEN('11.1000'!H26)=0,"",'11.1000'!H26)</f>
        <v/>
      </c>
      <c r="C2272" s="1280" t="str">
        <f t="shared" si="219"/>
        <v/>
      </c>
      <c r="D2272" s="85"/>
      <c r="E2272" s="169"/>
      <c r="F2272" s="170"/>
      <c r="G2272" s="1612"/>
      <c r="H2272" s="1326"/>
      <c r="J2272" s="1312"/>
    </row>
    <row r="2273" spans="1:10" x14ac:dyDescent="0.2">
      <c r="A2273" s="467" t="str">
        <f>IF(AND(LEN(H2273)&gt;0,NOT(H2273=FALSE),NOT(H2273="N/A")),"P","")</f>
        <v/>
      </c>
      <c r="B2273" s="1324" t="str">
        <f>IF(LEN('11.1000'!H27)=0,"",'11.1000'!H27)</f>
        <v/>
      </c>
      <c r="C2273" s="1280" t="str">
        <f t="shared" si="219"/>
        <v/>
      </c>
      <c r="D2273" s="85"/>
      <c r="E2273" s="216" t="s">
        <v>389</v>
      </c>
      <c r="F2273" s="210"/>
      <c r="G2273" s="311" t="s">
        <v>2773</v>
      </c>
      <c r="H2273" s="1341" t="str">
        <f>IF(LEN('11.1000'!W27)=0,"",'11.1000'!W27)</f>
        <v/>
      </c>
      <c r="J2273" s="1312"/>
    </row>
    <row r="2274" spans="1:10" x14ac:dyDescent="0.2">
      <c r="A2274" s="467" t="str">
        <f>IF(AND(LEN(H2274)&gt;0,NOT(H2274=FALSE),NOT(H2274="N/A")),"P","")</f>
        <v/>
      </c>
      <c r="B2274" s="1324" t="str">
        <f>IF(LEN('11.1000'!H28)=0,"",'11.1000'!H28)</f>
        <v/>
      </c>
      <c r="C2274" s="1280" t="str">
        <f t="shared" si="219"/>
        <v/>
      </c>
      <c r="D2274" s="85"/>
      <c r="E2274" s="89" t="s">
        <v>391</v>
      </c>
      <c r="F2274" s="85"/>
      <c r="G2274" s="1649" t="s">
        <v>2774</v>
      </c>
      <c r="H2274" s="1341" t="str">
        <f>IF(LEN('11.1000'!W28)=0,"",'11.1000'!W28)</f>
        <v/>
      </c>
      <c r="J2274" s="1312"/>
    </row>
    <row r="2275" spans="1:10" x14ac:dyDescent="0.2">
      <c r="A2275" s="467" t="str">
        <f t="shared" ref="A2275" si="224">A2274</f>
        <v/>
      </c>
      <c r="B2275" s="1324" t="str">
        <f>IF(LEN('11.1000'!H29)=0,"",'11.1000'!H29)</f>
        <v/>
      </c>
      <c r="C2275" s="1280" t="str">
        <f t="shared" si="219"/>
        <v/>
      </c>
      <c r="D2275" s="85"/>
      <c r="E2275" s="89"/>
      <c r="F2275" s="85"/>
      <c r="G2275" s="1650"/>
      <c r="H2275" s="1326"/>
      <c r="J2275" s="1312"/>
    </row>
    <row r="2276" spans="1:10" x14ac:dyDescent="0.2">
      <c r="A2276" s="467" t="str">
        <f>IF(AND(LEN(H2276)&gt;0,NOT(H2276=FALSE),NOT(H2276="N/A")),"P","")</f>
        <v/>
      </c>
      <c r="B2276" s="1324" t="str">
        <f>IF(LEN('11.1000'!H30)=0,"",'11.1000'!H30)</f>
        <v/>
      </c>
      <c r="C2276" s="1280" t="str">
        <f t="shared" si="219"/>
        <v/>
      </c>
      <c r="D2276" s="85"/>
      <c r="E2276" s="216" t="s">
        <v>392</v>
      </c>
      <c r="F2276" s="210"/>
      <c r="G2276" s="311" t="s">
        <v>2775</v>
      </c>
      <c r="H2276" s="1341" t="str">
        <f>IF(LEN('11.1000'!W30)=0,"",'11.1000'!W30)</f>
        <v/>
      </c>
      <c r="J2276" s="1312"/>
    </row>
    <row r="2277" spans="1:10" ht="15" customHeight="1" x14ac:dyDescent="0.2">
      <c r="A2277" s="467" t="str">
        <f>IF(AND(LEN(H2277)&gt;0,NOT(H2277=FALSE),NOT(H2277="N/A")),"P","")</f>
        <v/>
      </c>
      <c r="B2277" s="1324" t="str">
        <f>IF(LEN('11.1000'!H31)=0,"",'11.1000'!H31)</f>
        <v/>
      </c>
      <c r="C2277" s="1280" t="str">
        <f t="shared" si="219"/>
        <v/>
      </c>
      <c r="D2277" s="85"/>
      <c r="E2277" s="89" t="s">
        <v>394</v>
      </c>
      <c r="F2277" s="85"/>
      <c r="G2277" s="1294" t="s">
        <v>2776</v>
      </c>
      <c r="H2277" s="1341" t="str">
        <f>IF(LEN('11.1000'!W31)=0,"",'11.1000'!W31)</f>
        <v/>
      </c>
      <c r="J2277" s="1312"/>
    </row>
    <row r="2278" spans="1:10" x14ac:dyDescent="0.2">
      <c r="A2278" s="467" t="str">
        <f>IF(AND(LEN(H2278)&gt;0,NOT(H2278=FALSE),NOT(H2278="N/A")),"P","")</f>
        <v/>
      </c>
      <c r="B2278" s="1324" t="str">
        <f>IF(LEN('11.1000'!H32)=0,"",'11.1000'!H32)</f>
        <v/>
      </c>
      <c r="C2278" s="1280" t="str">
        <f t="shared" si="219"/>
        <v/>
      </c>
      <c r="D2278" s="85"/>
      <c r="E2278" s="860" t="s">
        <v>396</v>
      </c>
      <c r="F2278" s="194"/>
      <c r="G2278" s="1613" t="s">
        <v>2777</v>
      </c>
      <c r="H2278" s="1341" t="str">
        <f>IF(LEN('11.1000'!W32)=0,"",'11.1000'!W32)</f>
        <v/>
      </c>
      <c r="J2278" s="1312"/>
    </row>
    <row r="2279" spans="1:10" x14ac:dyDescent="0.2">
      <c r="A2279" s="467" t="str">
        <f t="shared" ref="A2279:A2283" si="225">A2278</f>
        <v/>
      </c>
      <c r="B2279" s="1324" t="str">
        <f>IF(LEN('11.1000'!H33)=0,"",'11.1000'!H33)</f>
        <v/>
      </c>
      <c r="C2279" s="1280" t="str">
        <f t="shared" si="219"/>
        <v/>
      </c>
      <c r="D2279" s="85"/>
      <c r="E2279" s="97"/>
      <c r="F2279" s="97"/>
      <c r="G2279" s="1609"/>
      <c r="H2279" s="1326"/>
      <c r="J2279" s="1312"/>
    </row>
    <row r="2280" spans="1:10" x14ac:dyDescent="0.2">
      <c r="A2280" s="467" t="str">
        <f t="shared" si="225"/>
        <v/>
      </c>
      <c r="B2280" s="1324" t="str">
        <f>IF(LEN('11.1000'!H34)=0,"",'11.1000'!H34)</f>
        <v/>
      </c>
      <c r="C2280" s="1280" t="str">
        <f t="shared" si="219"/>
        <v/>
      </c>
      <c r="D2280" s="85"/>
      <c r="E2280" s="97"/>
      <c r="F2280" s="93" t="s">
        <v>121</v>
      </c>
      <c r="G2280" s="1287" t="s">
        <v>2778</v>
      </c>
      <c r="H2280" s="1326"/>
      <c r="J2280" s="1312"/>
    </row>
    <row r="2281" spans="1:10" x14ac:dyDescent="0.2">
      <c r="A2281" s="467" t="str">
        <f t="shared" si="225"/>
        <v/>
      </c>
      <c r="B2281" s="1324" t="str">
        <f>IF(LEN('11.1000'!H35)=0,"",'11.1000'!H35)</f>
        <v/>
      </c>
      <c r="C2281" s="1280" t="str">
        <f t="shared" si="219"/>
        <v/>
      </c>
      <c r="D2281" s="85"/>
      <c r="E2281" s="97"/>
      <c r="F2281" s="93" t="s">
        <v>122</v>
      </c>
      <c r="G2281" s="1287" t="s">
        <v>2779</v>
      </c>
      <c r="H2281" s="1326"/>
      <c r="J2281" s="1312"/>
    </row>
    <row r="2282" spans="1:10" x14ac:dyDescent="0.2">
      <c r="A2282" s="467" t="str">
        <f t="shared" si="225"/>
        <v/>
      </c>
      <c r="B2282" s="1324" t="str">
        <f>IF(LEN('11.1000'!H36)=0,"",'11.1000'!H36)</f>
        <v/>
      </c>
      <c r="C2282" s="1280" t="str">
        <f t="shared" si="219"/>
        <v/>
      </c>
      <c r="D2282" s="85"/>
      <c r="E2282" s="97"/>
      <c r="F2282" s="93" t="s">
        <v>123</v>
      </c>
      <c r="G2282" s="1609" t="s">
        <v>2780</v>
      </c>
      <c r="H2282" s="1326"/>
      <c r="J2282" s="1312"/>
    </row>
    <row r="2283" spans="1:10" x14ac:dyDescent="0.2">
      <c r="A2283" s="467" t="str">
        <f t="shared" si="225"/>
        <v/>
      </c>
      <c r="B2283" s="1324" t="str">
        <f>IF(LEN('11.1000'!H37)=0,"",'11.1000'!H37)</f>
        <v/>
      </c>
      <c r="C2283" s="1280" t="str">
        <f t="shared" si="219"/>
        <v/>
      </c>
      <c r="D2283" s="85"/>
      <c r="E2283" s="170"/>
      <c r="F2283" s="170"/>
      <c r="G2283" s="1612"/>
      <c r="H2283" s="1326"/>
      <c r="J2283" s="1312"/>
    </row>
    <row r="2284" spans="1:10" x14ac:dyDescent="0.2">
      <c r="A2284" s="467" t="str">
        <f>IF(AND(LEN(H2284)&gt;0,NOT(H2284=FALSE),NOT(H2284="N/A")),"P","")</f>
        <v/>
      </c>
      <c r="B2284" s="1324" t="str">
        <f>IF(LEN('11.1000'!H38)=0,"",'11.1000'!H38)</f>
        <v/>
      </c>
      <c r="C2284" s="1280" t="str">
        <f t="shared" si="219"/>
        <v/>
      </c>
      <c r="D2284" s="85"/>
      <c r="E2284" s="860" t="s">
        <v>2781</v>
      </c>
      <c r="F2284" s="194"/>
      <c r="G2284" s="1613" t="s">
        <v>2782</v>
      </c>
      <c r="H2284" s="1341" t="str">
        <f>IF(LEN('11.1000'!W38)=0,"",'11.1000'!W38)</f>
        <v/>
      </c>
      <c r="J2284" s="1312"/>
    </row>
    <row r="2285" spans="1:10" x14ac:dyDescent="0.2">
      <c r="A2285" s="467" t="str">
        <f t="shared" ref="A2285:A2287" si="226">A2284</f>
        <v/>
      </c>
      <c r="B2285" s="1324" t="str">
        <f>IF(LEN('11.1000'!H39)=0,"",'11.1000'!H39)</f>
        <v/>
      </c>
      <c r="C2285" s="1280" t="str">
        <f t="shared" si="219"/>
        <v/>
      </c>
      <c r="D2285" s="85"/>
      <c r="E2285" s="97"/>
      <c r="F2285" s="97"/>
      <c r="G2285" s="1609"/>
      <c r="H2285" s="1326"/>
      <c r="J2285" s="1312"/>
    </row>
    <row r="2286" spans="1:10" x14ac:dyDescent="0.2">
      <c r="A2286" s="467" t="str">
        <f t="shared" si="226"/>
        <v/>
      </c>
      <c r="B2286" s="1324" t="str">
        <f>IF(LEN('11.1000'!H40)=0,"",'11.1000'!H40)</f>
        <v/>
      </c>
      <c r="C2286" s="1280" t="str">
        <f t="shared" si="219"/>
        <v/>
      </c>
      <c r="D2286" s="85"/>
      <c r="E2286" s="97"/>
      <c r="F2286" s="97"/>
      <c r="G2286" s="1609"/>
      <c r="H2286" s="1326"/>
      <c r="J2286" s="1312"/>
    </row>
    <row r="2287" spans="1:10" x14ac:dyDescent="0.2">
      <c r="A2287" s="467" t="str">
        <f t="shared" si="226"/>
        <v/>
      </c>
      <c r="B2287" s="1324" t="str">
        <f>IF(LEN('11.1000'!H41)=0,"",'11.1000'!H41)</f>
        <v/>
      </c>
      <c r="C2287" s="1280" t="str">
        <f t="shared" si="219"/>
        <v/>
      </c>
      <c r="D2287" s="85"/>
      <c r="E2287" s="170"/>
      <c r="F2287" s="170"/>
      <c r="G2287" s="1612"/>
      <c r="H2287" s="1326"/>
      <c r="J2287" s="1312"/>
    </row>
    <row r="2288" spans="1:10" x14ac:dyDescent="0.2">
      <c r="A2288" s="467" t="str">
        <f>IF(AND(LEN(H2288)&gt;0,NOT(H2288=FALSE),NOT(H2288="N/A")),"P","")</f>
        <v/>
      </c>
      <c r="B2288" s="1324" t="str">
        <f>IF(LEN('11.1000'!H42)=0,"",'11.1000'!H42)</f>
        <v/>
      </c>
      <c r="C2288" s="1280" t="str">
        <f t="shared" si="219"/>
        <v/>
      </c>
      <c r="D2288" s="85"/>
      <c r="E2288" s="860" t="s">
        <v>2783</v>
      </c>
      <c r="F2288" s="194"/>
      <c r="G2288" s="1613" t="s">
        <v>2784</v>
      </c>
      <c r="H2288" s="1341" t="str">
        <f>IF(LEN('11.1000'!W42)=0,"",'11.1000'!W42)</f>
        <v/>
      </c>
      <c r="J2288" s="1312"/>
    </row>
    <row r="2289" spans="1:10" x14ac:dyDescent="0.2">
      <c r="A2289" s="467" t="str">
        <f t="shared" ref="A2289" si="227">A2288</f>
        <v/>
      </c>
      <c r="B2289" s="1324" t="str">
        <f>IF(LEN('11.1000'!H43)=0,"",'11.1000'!H43)</f>
        <v/>
      </c>
      <c r="C2289" s="1280" t="str">
        <f t="shared" si="219"/>
        <v/>
      </c>
      <c r="D2289" s="85"/>
      <c r="E2289" s="170"/>
      <c r="F2289" s="170"/>
      <c r="G2289" s="1612"/>
      <c r="H2289" s="1326"/>
      <c r="J2289" s="1312"/>
    </row>
    <row r="2290" spans="1:10" x14ac:dyDescent="0.2">
      <c r="A2290" s="467" t="str">
        <f>IF(AND(LEN(H2290)&gt;0,NOT(H2290=FALSE),NOT(H2290="N/A")),"P","")</f>
        <v/>
      </c>
      <c r="B2290" s="1324" t="str">
        <f>IF(LEN('11.1000'!H44)=0,"",'11.1000'!H44)</f>
        <v/>
      </c>
      <c r="C2290" s="1280" t="str">
        <f t="shared" si="219"/>
        <v/>
      </c>
      <c r="D2290" s="85"/>
      <c r="E2290" s="860" t="s">
        <v>2785</v>
      </c>
      <c r="F2290" s="194"/>
      <c r="G2290" s="1613" t="s">
        <v>2786</v>
      </c>
      <c r="H2290" s="1341" t="str">
        <f>IF(LEN('11.1000'!W44)=0,"",'11.1000'!W44)</f>
        <v/>
      </c>
      <c r="J2290" s="1312"/>
    </row>
    <row r="2291" spans="1:10" x14ac:dyDescent="0.2">
      <c r="A2291" s="467" t="str">
        <f t="shared" ref="A2291" si="228">A2290</f>
        <v/>
      </c>
      <c r="B2291" s="1324" t="str">
        <f>IF(LEN('11.1000'!H45)=0,"",'11.1000'!H45)</f>
        <v/>
      </c>
      <c r="C2291" s="1280" t="str">
        <f t="shared" si="219"/>
        <v/>
      </c>
      <c r="D2291" s="85"/>
      <c r="E2291" s="170"/>
      <c r="F2291" s="170"/>
      <c r="G2291" s="1612"/>
      <c r="H2291" s="1326"/>
      <c r="J2291" s="1312"/>
    </row>
    <row r="2292" spans="1:10" x14ac:dyDescent="0.2">
      <c r="A2292" s="467" t="str">
        <f>IF(AND(LEN(H2292)&gt;0,NOT(H2292=FALSE),NOT(H2292="N/A")),"P","")</f>
        <v/>
      </c>
      <c r="B2292" s="1324" t="str">
        <f>IF(LEN('11.1000'!H46)=0,"",'11.1000'!H46)</f>
        <v/>
      </c>
      <c r="C2292" s="1280" t="str">
        <f t="shared" si="219"/>
        <v/>
      </c>
      <c r="D2292" s="85"/>
      <c r="E2292" s="216" t="s">
        <v>2787</v>
      </c>
      <c r="F2292" s="210"/>
      <c r="G2292" s="311" t="s">
        <v>2788</v>
      </c>
      <c r="H2292" s="1341" t="str">
        <f>IF(LEN('11.1000'!W46)=0,"",'11.1000'!W46)</f>
        <v/>
      </c>
      <c r="J2292" s="1312"/>
    </row>
    <row r="2293" spans="1:10" x14ac:dyDescent="0.2">
      <c r="A2293" s="467" t="str">
        <f>IF(AND(LEN(H2293)&gt;0,NOT(H2293=FALSE),NOT(H2293="N/A")),"P","")</f>
        <v/>
      </c>
      <c r="B2293" s="1324" t="str">
        <f>IF(LEN('11.1000'!H47)=0,"",'11.1000'!H47)</f>
        <v/>
      </c>
      <c r="C2293" s="1280" t="str">
        <f t="shared" si="219"/>
        <v/>
      </c>
      <c r="D2293" s="85"/>
      <c r="E2293" s="860" t="s">
        <v>2789</v>
      </c>
      <c r="F2293" s="194"/>
      <c r="G2293" s="1649" t="s">
        <v>2790</v>
      </c>
      <c r="H2293" s="1341" t="str">
        <f>IF(LEN('11.1000'!W47)=0,"",'11.1000'!W47)</f>
        <v/>
      </c>
      <c r="J2293" s="1312"/>
    </row>
    <row r="2294" spans="1:10" x14ac:dyDescent="0.2">
      <c r="A2294" s="467" t="str">
        <f t="shared" ref="A2294" si="229">A2293</f>
        <v/>
      </c>
      <c r="B2294" s="1324" t="str">
        <f>IF(LEN('11.1000'!H48)=0,"",'11.1000'!H48)</f>
        <v/>
      </c>
      <c r="C2294" s="1280" t="str">
        <f t="shared" si="219"/>
        <v/>
      </c>
      <c r="D2294" s="85"/>
      <c r="E2294" s="169"/>
      <c r="F2294" s="170"/>
      <c r="G2294" s="1650"/>
      <c r="H2294" s="1326"/>
      <c r="J2294" s="1312"/>
    </row>
    <row r="2295" spans="1:10" x14ac:dyDescent="0.2">
      <c r="A2295" s="467" t="str">
        <f>IF(AND(LEN(H2295)&gt;0,NOT(H2295=FALSE),NOT(H2295="N/A")),"P","")</f>
        <v/>
      </c>
      <c r="B2295" s="1324" t="str">
        <f>IF(LEN('11.1000'!H49)=0,"",'11.1000'!H49)</f>
        <v/>
      </c>
      <c r="C2295" s="1280" t="str">
        <f t="shared" si="219"/>
        <v/>
      </c>
      <c r="D2295" s="85"/>
      <c r="E2295" s="860" t="s">
        <v>2791</v>
      </c>
      <c r="F2295" s="194"/>
      <c r="G2295" s="1613" t="s">
        <v>2792</v>
      </c>
      <c r="H2295" s="1341" t="str">
        <f>IF(LEN('11.1000'!W49)=0,"",'11.1000'!W49)</f>
        <v/>
      </c>
      <c r="J2295" s="1312"/>
    </row>
    <row r="2296" spans="1:10" x14ac:dyDescent="0.2">
      <c r="A2296" s="467" t="str">
        <f t="shared" ref="A2296" si="230">A2295</f>
        <v/>
      </c>
      <c r="B2296" s="1324" t="str">
        <f>IF(LEN('11.1000'!H50)=0,"",'11.1000'!H50)</f>
        <v/>
      </c>
      <c r="C2296" s="1280" t="str">
        <f t="shared" si="219"/>
        <v/>
      </c>
      <c r="D2296" s="85"/>
      <c r="E2296" s="170"/>
      <c r="F2296" s="170"/>
      <c r="G2296" s="1612"/>
      <c r="H2296" s="1326"/>
      <c r="J2296" s="1312"/>
    </row>
    <row r="2297" spans="1:10" x14ac:dyDescent="0.2">
      <c r="A2297" s="467" t="str">
        <f>IF(AND(LEN(H2297)&gt;0,NOT(H2297=FALSE),NOT(H2297="N/A")),"P","")</f>
        <v/>
      </c>
      <c r="B2297" s="1324" t="str">
        <f>IF(LEN('11.1000'!H51)=0,"",'11.1000'!H51)</f>
        <v/>
      </c>
      <c r="C2297" s="1280" t="str">
        <f t="shared" si="219"/>
        <v/>
      </c>
      <c r="D2297" s="85"/>
      <c r="E2297" s="216" t="s">
        <v>2793</v>
      </c>
      <c r="F2297" s="210"/>
      <c r="G2297" s="311" t="s">
        <v>2794</v>
      </c>
      <c r="H2297" s="1341" t="str">
        <f>IF(LEN('11.1000'!W51)=0,"",'11.1000'!W51)</f>
        <v/>
      </c>
      <c r="J2297" s="1312"/>
    </row>
    <row r="2298" spans="1:10" x14ac:dyDescent="0.2">
      <c r="A2298" s="467" t="str">
        <f>IF(AND(LEN(H2298)&gt;0,NOT(H2298=FALSE),NOT(H2298="N/A")),"P","")</f>
        <v/>
      </c>
      <c r="B2298" s="1324" t="str">
        <f>IF(LEN('11.1000'!H52)=0,"",'11.1000'!H52)</f>
        <v/>
      </c>
      <c r="C2298" s="1280" t="str">
        <f t="shared" si="219"/>
        <v/>
      </c>
      <c r="D2298" s="85"/>
      <c r="E2298" s="860" t="s">
        <v>2795</v>
      </c>
      <c r="F2298" s="194"/>
      <c r="G2298" s="1613" t="s">
        <v>2796</v>
      </c>
      <c r="H2298" s="1341" t="str">
        <f>IF(LEN('11.1000'!W52)=0,"",'11.1000'!W52)</f>
        <v/>
      </c>
      <c r="J2298" s="1312"/>
    </row>
    <row r="2299" spans="1:10" x14ac:dyDescent="0.2">
      <c r="A2299" s="467" t="str">
        <f t="shared" ref="A2299" si="231">A2298</f>
        <v/>
      </c>
      <c r="B2299" s="1324" t="str">
        <f>IF(LEN('11.1000'!H53)=0,"",'11.1000'!H53)</f>
        <v/>
      </c>
      <c r="C2299" s="1280" t="str">
        <f t="shared" si="219"/>
        <v/>
      </c>
      <c r="D2299" s="85"/>
      <c r="E2299" s="170"/>
      <c r="F2299" s="170"/>
      <c r="G2299" s="1612"/>
      <c r="H2299" s="1326"/>
      <c r="J2299" s="1312"/>
    </row>
    <row r="2300" spans="1:10" x14ac:dyDescent="0.2">
      <c r="A2300" s="467" t="str">
        <f>IF(AND(LEN(H2300)&gt;0,NOT(H2300=FALSE),NOT(H2300="N/A")),"P","")</f>
        <v/>
      </c>
      <c r="B2300" s="1324" t="str">
        <f>IF(LEN('11.1000'!H54)=0,"",'11.1000'!H54)</f>
        <v/>
      </c>
      <c r="C2300" s="1280" t="str">
        <f t="shared" si="219"/>
        <v/>
      </c>
      <c r="D2300" s="85"/>
      <c r="E2300" s="860" t="s">
        <v>2797</v>
      </c>
      <c r="F2300" s="194"/>
      <c r="G2300" s="1613" t="s">
        <v>2798</v>
      </c>
      <c r="H2300" s="1341" t="str">
        <f>IF(LEN('11.1000'!W54)=0,"",'11.1000'!W54)</f>
        <v/>
      </c>
      <c r="J2300" s="1312"/>
    </row>
    <row r="2301" spans="1:10" x14ac:dyDescent="0.2">
      <c r="A2301" s="467" t="str">
        <f t="shared" ref="A2301" si="232">A2300</f>
        <v/>
      </c>
      <c r="B2301" s="1324" t="str">
        <f>IF(LEN('11.1000'!H55)=0,"",'11.1000'!H55)</f>
        <v/>
      </c>
      <c r="C2301" s="1280" t="str">
        <f t="shared" si="219"/>
        <v/>
      </c>
      <c r="D2301" s="85"/>
      <c r="E2301" s="170"/>
      <c r="F2301" s="170"/>
      <c r="G2301" s="1612"/>
      <c r="H2301" s="1326"/>
      <c r="J2301" s="1312"/>
    </row>
    <row r="2302" spans="1:10" x14ac:dyDescent="0.2">
      <c r="A2302" s="467" t="str">
        <f>IF(AND(LEN(H2302)&gt;0,NOT(H2302=FALSE),NOT(H2302="N/A")),"P","")</f>
        <v/>
      </c>
      <c r="B2302" s="1324" t="str">
        <f>IF(LEN('11.1000'!H56)=0,"",'11.1000'!H56)</f>
        <v/>
      </c>
      <c r="C2302" s="1280" t="str">
        <f t="shared" si="219"/>
        <v/>
      </c>
      <c r="D2302" s="85"/>
      <c r="E2302" s="860" t="s">
        <v>2799</v>
      </c>
      <c r="F2302" s="194"/>
      <c r="G2302" s="1613" t="s">
        <v>2800</v>
      </c>
      <c r="H2302" s="1341" t="str">
        <f>IF(LEN('11.1000'!W56)=0,"",'11.1000'!W56)</f>
        <v/>
      </c>
      <c r="J2302" s="1312"/>
    </row>
    <row r="2303" spans="1:10" x14ac:dyDescent="0.2">
      <c r="A2303" s="467" t="str">
        <f t="shared" ref="A2303" si="233">A2302</f>
        <v/>
      </c>
      <c r="B2303" s="1324" t="str">
        <f>IF(LEN('11.1000'!H57)=0,"",'11.1000'!H57)</f>
        <v/>
      </c>
      <c r="C2303" s="1280" t="str">
        <f t="shared" si="219"/>
        <v/>
      </c>
      <c r="D2303" s="85"/>
      <c r="E2303" s="170"/>
      <c r="F2303" s="170"/>
      <c r="G2303" s="1612"/>
      <c r="H2303" s="1326"/>
      <c r="J2303" s="1312"/>
    </row>
    <row r="2304" spans="1:10" x14ac:dyDescent="0.2">
      <c r="A2304" s="467" t="str">
        <f>IF(AND(LEN(H2304)&gt;0,NOT(H2304=FALSE),NOT(H2304="N/A")),"P","")</f>
        <v/>
      </c>
      <c r="B2304" s="1324" t="str">
        <f>IF(LEN('11.1000'!H58)=0,"",'11.1000'!H58)</f>
        <v/>
      </c>
      <c r="C2304" s="1280" t="str">
        <f t="shared" si="219"/>
        <v/>
      </c>
      <c r="D2304" s="85"/>
      <c r="E2304" s="860" t="s">
        <v>2801</v>
      </c>
      <c r="F2304" s="194"/>
      <c r="G2304" s="1613" t="s">
        <v>3905</v>
      </c>
      <c r="H2304" s="1341" t="str">
        <f>IF(LEN('11.1000'!W58)=0,"",'11.1000'!W58)</f>
        <v/>
      </c>
      <c r="J2304" s="1312"/>
    </row>
    <row r="2305" spans="1:10" x14ac:dyDescent="0.2">
      <c r="A2305" s="467" t="str">
        <f t="shared" ref="A2305" si="234">A2304</f>
        <v/>
      </c>
      <c r="B2305" s="1324" t="str">
        <f>IF(LEN('11.1000'!H59)=0,"",'11.1000'!H59)</f>
        <v/>
      </c>
      <c r="C2305" s="1280" t="str">
        <f t="shared" si="219"/>
        <v/>
      </c>
      <c r="D2305" s="85"/>
      <c r="E2305" s="170"/>
      <c r="F2305" s="170"/>
      <c r="G2305" s="1612"/>
      <c r="H2305" s="1326"/>
      <c r="J2305" s="1312"/>
    </row>
    <row r="2306" spans="1:10" x14ac:dyDescent="0.2">
      <c r="A2306" s="467" t="str">
        <f>IF(AND(LEN(H2306)&gt;0,NOT(H2306=FALSE),NOT(H2306="N/A")),"P","")</f>
        <v/>
      </c>
      <c r="B2306" s="1324" t="str">
        <f>IF(LEN('11.1000'!H60)=0,"",'11.1000'!H60)</f>
        <v/>
      </c>
      <c r="C2306" s="1280" t="str">
        <f t="shared" si="219"/>
        <v/>
      </c>
      <c r="D2306" s="85"/>
      <c r="E2306" s="216" t="s">
        <v>2803</v>
      </c>
      <c r="F2306" s="210"/>
      <c r="G2306" s="311" t="s">
        <v>2802</v>
      </c>
      <c r="H2306" s="1341" t="str">
        <f>IF(LEN('11.1000'!W60)=0,"",'11.1000'!W60)</f>
        <v/>
      </c>
      <c r="J2306" s="1312"/>
    </row>
    <row r="2307" spans="1:10" ht="16" thickBot="1" x14ac:dyDescent="0.25">
      <c r="A2307" s="467" t="str">
        <f>IF(AND(LEN(H2307)&gt;0,NOT(H2307=FALSE),NOT(H2307="N/A")),"P","")</f>
        <v/>
      </c>
      <c r="B2307" s="1324" t="str">
        <f>IF(LEN('11.1000'!H61)=0,"",'11.1000'!H61)</f>
        <v/>
      </c>
      <c r="C2307" s="1280" t="str">
        <f t="shared" si="219"/>
        <v/>
      </c>
      <c r="D2307" s="99"/>
      <c r="E2307" s="98" t="s">
        <v>3904</v>
      </c>
      <c r="F2307" s="99"/>
      <c r="G2307" s="736" t="s">
        <v>2804</v>
      </c>
      <c r="H2307" s="1341" t="str">
        <f>IF(LEN('11.1000'!W61)=0,"",'11.1000'!W61)</f>
        <v/>
      </c>
      <c r="J2307" s="1312"/>
    </row>
    <row r="2308" spans="1:10" ht="16" thickTop="1" x14ac:dyDescent="0.2">
      <c r="A2308" s="467" t="str">
        <f>IF(I2308&gt;0,"P","")</f>
        <v/>
      </c>
      <c r="B2308" s="1324" t="str">
        <f>IF(LEN('11.1000'!H62)=0,"",'11.1000'!H62)</f>
        <v/>
      </c>
      <c r="C2308" s="1280" t="str">
        <f t="shared" si="219"/>
        <v/>
      </c>
      <c r="D2308" s="136" t="s">
        <v>3752</v>
      </c>
      <c r="E2308" s="85"/>
      <c r="F2308" s="85"/>
      <c r="G2308" s="1631" t="s">
        <v>3765</v>
      </c>
      <c r="H2308" s="1341" t="str">
        <f>IF(LEN('11.1000'!W62)=0,"",'11.1000'!W62)</f>
        <v/>
      </c>
      <c r="I2308" s="88">
        <f>'11.1000'!O62</f>
        <v>0</v>
      </c>
      <c r="J2308" s="1779" t="s">
        <v>3171</v>
      </c>
    </row>
    <row r="2309" spans="1:10" x14ac:dyDescent="0.2">
      <c r="A2309" s="467" t="str">
        <f t="shared" ref="A2309:A2319" si="235">A2308</f>
        <v/>
      </c>
      <c r="B2309" s="1324" t="str">
        <f>IF(LEN('11.1000'!H63)=0,"",'11.1000'!H63)</f>
        <v/>
      </c>
      <c r="C2309" s="1280" t="str">
        <f t="shared" si="219"/>
        <v/>
      </c>
      <c r="D2309" s="85"/>
      <c r="E2309" s="85"/>
      <c r="F2309" s="85"/>
      <c r="G2309" s="1631"/>
      <c r="H2309" s="1326"/>
      <c r="J2309" s="1779"/>
    </row>
    <row r="2310" spans="1:10" x14ac:dyDescent="0.2">
      <c r="A2310" s="467" t="str">
        <f t="shared" si="235"/>
        <v/>
      </c>
      <c r="B2310" s="1324" t="str">
        <f>IF(LEN('11.1000'!H64)=0,"",'11.1000'!H64)</f>
        <v/>
      </c>
      <c r="C2310" s="1280" t="str">
        <f t="shared" si="219"/>
        <v/>
      </c>
      <c r="D2310" s="85"/>
      <c r="E2310" s="85"/>
      <c r="F2310" s="85"/>
      <c r="G2310" s="1631"/>
      <c r="H2310" s="1326"/>
      <c r="J2310" s="1779"/>
    </row>
    <row r="2311" spans="1:10" x14ac:dyDescent="0.2">
      <c r="A2311" s="467" t="str">
        <f t="shared" si="235"/>
        <v/>
      </c>
      <c r="B2311" s="1324" t="str">
        <f>IF(LEN('11.1000'!H65)=0,"",'11.1000'!H65)</f>
        <v/>
      </c>
      <c r="C2311" s="1280" t="str">
        <f t="shared" si="219"/>
        <v/>
      </c>
      <c r="D2311" s="85"/>
      <c r="E2311" s="85"/>
      <c r="F2311" s="85"/>
      <c r="G2311" s="1631"/>
      <c r="H2311" s="1326"/>
      <c r="J2311" s="1779"/>
    </row>
    <row r="2312" spans="1:10" x14ac:dyDescent="0.2">
      <c r="A2312" s="467" t="str">
        <f t="shared" si="235"/>
        <v/>
      </c>
      <c r="B2312" s="1324" t="str">
        <f>IF(LEN('11.1000'!H66)=0,"",'11.1000'!H66)</f>
        <v/>
      </c>
      <c r="C2312" s="1280" t="str">
        <f t="shared" ref="C2312:C2375" si="236">IF(LEN(B2312)=0,IF(A2312="P","P",""),B2312)</f>
        <v/>
      </c>
      <c r="D2312" s="85"/>
      <c r="E2312" s="93" t="s">
        <v>254</v>
      </c>
      <c r="F2312" s="97"/>
      <c r="G2312" s="1319" t="s">
        <v>2805</v>
      </c>
      <c r="H2312" s="1326"/>
      <c r="J2312" s="1312"/>
    </row>
    <row r="2313" spans="1:10" x14ac:dyDescent="0.2">
      <c r="A2313" s="467" t="str">
        <f t="shared" si="235"/>
        <v/>
      </c>
      <c r="B2313" s="1324" t="str">
        <f>IF(LEN('11.1000'!H67)=0,"",'11.1000'!H67)</f>
        <v/>
      </c>
      <c r="C2313" s="1280" t="str">
        <f t="shared" si="236"/>
        <v/>
      </c>
      <c r="D2313" s="85"/>
      <c r="E2313" s="93" t="s">
        <v>255</v>
      </c>
      <c r="F2313" s="97"/>
      <c r="G2313" s="1319" t="s">
        <v>2806</v>
      </c>
      <c r="H2313" s="1326"/>
      <c r="J2313" s="1312"/>
    </row>
    <row r="2314" spans="1:10" x14ac:dyDescent="0.2">
      <c r="A2314" s="467" t="str">
        <f t="shared" si="235"/>
        <v/>
      </c>
      <c r="B2314" s="1324" t="str">
        <f>IF(LEN('11.1000'!H68)=0,"",'11.1000'!H68)</f>
        <v/>
      </c>
      <c r="C2314" s="1280" t="str">
        <f t="shared" si="236"/>
        <v/>
      </c>
      <c r="D2314" s="85"/>
      <c r="E2314" s="93" t="s">
        <v>256</v>
      </c>
      <c r="F2314" s="97"/>
      <c r="G2314" s="1319" t="s">
        <v>2807</v>
      </c>
      <c r="H2314" s="1326"/>
      <c r="J2314" s="1312"/>
    </row>
    <row r="2315" spans="1:10" x14ac:dyDescent="0.2">
      <c r="A2315" s="467" t="str">
        <f t="shared" si="235"/>
        <v/>
      </c>
      <c r="B2315" s="1324" t="str">
        <f>IF(LEN('11.1000'!H69)=0,"",'11.1000'!H69)</f>
        <v/>
      </c>
      <c r="C2315" s="1280" t="str">
        <f t="shared" si="236"/>
        <v/>
      </c>
      <c r="D2315" s="85"/>
      <c r="E2315" s="93" t="s">
        <v>259</v>
      </c>
      <c r="F2315" s="97"/>
      <c r="G2315" s="1319" t="s">
        <v>2808</v>
      </c>
      <c r="H2315" s="1326"/>
      <c r="J2315" s="1312"/>
    </row>
    <row r="2316" spans="1:10" x14ac:dyDescent="0.2">
      <c r="A2316" s="467" t="str">
        <f t="shared" si="235"/>
        <v/>
      </c>
      <c r="B2316" s="1324" t="str">
        <f>IF(LEN('11.1000'!H70)=0,"",'11.1000'!H70)</f>
        <v/>
      </c>
      <c r="C2316" s="1280" t="str">
        <f t="shared" si="236"/>
        <v/>
      </c>
      <c r="D2316" s="85"/>
      <c r="E2316" s="93" t="s">
        <v>263</v>
      </c>
      <c r="F2316" s="97"/>
      <c r="G2316" s="1319" t="s">
        <v>2809</v>
      </c>
      <c r="H2316" s="1326"/>
      <c r="J2316" s="1312"/>
    </row>
    <row r="2317" spans="1:10" x14ac:dyDescent="0.2">
      <c r="A2317" s="467" t="str">
        <f t="shared" si="235"/>
        <v/>
      </c>
      <c r="B2317" s="1324" t="str">
        <f>IF(LEN('11.1000'!H71)=0,"",'11.1000'!H71)</f>
        <v/>
      </c>
      <c r="C2317" s="1280" t="str">
        <f t="shared" si="236"/>
        <v/>
      </c>
      <c r="D2317" s="85"/>
      <c r="E2317" s="93" t="s">
        <v>264</v>
      </c>
      <c r="F2317" s="97"/>
      <c r="G2317" s="1319" t="s">
        <v>2810</v>
      </c>
      <c r="H2317" s="1326"/>
      <c r="J2317" s="1312"/>
    </row>
    <row r="2318" spans="1:10" x14ac:dyDescent="0.2">
      <c r="A2318" s="467" t="str">
        <f t="shared" si="235"/>
        <v/>
      </c>
      <c r="B2318" s="1324" t="str">
        <f>IF(LEN('11.1000'!H72)=0,"",'11.1000'!H72)</f>
        <v/>
      </c>
      <c r="C2318" s="1280" t="str">
        <f t="shared" si="236"/>
        <v/>
      </c>
      <c r="D2318" s="85"/>
      <c r="E2318" s="89" t="s">
        <v>356</v>
      </c>
      <c r="F2318" s="85"/>
      <c r="G2318" s="1316" t="s">
        <v>2811</v>
      </c>
      <c r="H2318" s="1326"/>
      <c r="J2318" s="1312"/>
    </row>
    <row r="2319" spans="1:10" x14ac:dyDescent="0.2">
      <c r="A2319" s="467" t="str">
        <f t="shared" si="235"/>
        <v/>
      </c>
      <c r="B2319" s="1324" t="str">
        <f>IF(LEN('11.1000'!H73)=0,"",'11.1000'!H73)</f>
        <v/>
      </c>
      <c r="C2319" s="1280" t="str">
        <f t="shared" si="236"/>
        <v/>
      </c>
      <c r="D2319" s="85"/>
      <c r="E2319" s="89" t="s">
        <v>389</v>
      </c>
      <c r="F2319" s="85"/>
      <c r="G2319" s="1316" t="s">
        <v>4922</v>
      </c>
      <c r="H2319" s="1326"/>
      <c r="J2319" s="1312"/>
    </row>
    <row r="2320" spans="1:10" ht="19" x14ac:dyDescent="0.25">
      <c r="A2320" s="467" t="s">
        <v>3200</v>
      </c>
      <c r="B2320" s="1324" t="str">
        <f>IF(LEN('11.1000'!H74)=0,"",'11.1000'!H74)</f>
        <v/>
      </c>
      <c r="C2320" s="1280" t="str">
        <f t="shared" si="236"/>
        <v>P</v>
      </c>
      <c r="D2320" s="72" t="s">
        <v>3753</v>
      </c>
      <c r="E2320" s="84"/>
      <c r="F2320" s="84"/>
      <c r="G2320" s="232"/>
      <c r="H2320" s="994"/>
      <c r="I2320" s="232"/>
      <c r="J2320" s="232"/>
    </row>
    <row r="2321" spans="1:10" x14ac:dyDescent="0.2">
      <c r="B2321" s="1324" t="str">
        <f>IF(LEN('11.1000'!H75)=0,"",'11.1000'!H75)</f>
        <v/>
      </c>
      <c r="C2321" s="1280" t="str">
        <f t="shared" si="236"/>
        <v/>
      </c>
      <c r="D2321" s="595" t="s">
        <v>3754</v>
      </c>
      <c r="E2321" s="97"/>
      <c r="F2321" s="97"/>
      <c r="G2321" s="1629" t="s">
        <v>3764</v>
      </c>
      <c r="H2321" s="1326"/>
      <c r="J2321" s="1312"/>
    </row>
    <row r="2322" spans="1:10" x14ac:dyDescent="0.2">
      <c r="B2322" s="1324" t="str">
        <f>IF(LEN('11.1000'!H76)=0,"",'11.1000'!H76)</f>
        <v/>
      </c>
      <c r="C2322" s="1280" t="str">
        <f t="shared" si="236"/>
        <v/>
      </c>
      <c r="D2322" s="97"/>
      <c r="E2322" s="97"/>
      <c r="F2322" s="97"/>
      <c r="G2322" s="1629"/>
      <c r="H2322" s="1326"/>
      <c r="J2322" s="1312"/>
    </row>
    <row r="2323" spans="1:10" x14ac:dyDescent="0.2">
      <c r="B2323" s="1324" t="str">
        <f>IF(LEN('11.1000'!H77)=0,"",'11.1000'!H77)</f>
        <v/>
      </c>
      <c r="C2323" s="1280" t="str">
        <f t="shared" si="236"/>
        <v/>
      </c>
      <c r="D2323" s="97"/>
      <c r="E2323" s="97"/>
      <c r="F2323" s="97"/>
      <c r="G2323" s="1629"/>
      <c r="H2323" s="1326"/>
      <c r="J2323" s="1312"/>
    </row>
    <row r="2324" spans="1:10" x14ac:dyDescent="0.2">
      <c r="B2324" s="1324" t="str">
        <f>IF(LEN('11.1000'!H78)=0,"",'11.1000'!H78)</f>
        <v/>
      </c>
      <c r="C2324" s="1280" t="str">
        <f t="shared" si="236"/>
        <v/>
      </c>
      <c r="D2324" s="97"/>
      <c r="E2324" s="97"/>
      <c r="F2324" s="97"/>
      <c r="G2324" s="1629"/>
      <c r="H2324" s="1326"/>
      <c r="J2324" s="1312"/>
    </row>
    <row r="2325" spans="1:10" x14ac:dyDescent="0.2">
      <c r="B2325" s="1324" t="str">
        <f>IF(LEN('11.1000'!H79)=0,"",'11.1000'!H79)</f>
        <v/>
      </c>
      <c r="C2325" s="1280" t="str">
        <f t="shared" si="236"/>
        <v/>
      </c>
      <c r="D2325" s="97"/>
      <c r="E2325" s="97"/>
      <c r="F2325" s="97"/>
      <c r="G2325" s="1629"/>
      <c r="H2325" s="1326"/>
      <c r="J2325" s="1312"/>
    </row>
    <row r="2326" spans="1:10" ht="16" thickBot="1" x14ac:dyDescent="0.25">
      <c r="B2326" s="1324" t="str">
        <f>IF(LEN('11.1000'!H80)=0,"",'11.1000'!H80)</f>
        <v/>
      </c>
      <c r="C2326" s="1280" t="str">
        <f t="shared" si="236"/>
        <v/>
      </c>
      <c r="D2326" s="99"/>
      <c r="E2326" s="99"/>
      <c r="F2326" s="99"/>
      <c r="G2326" s="1630"/>
      <c r="H2326" s="1326"/>
      <c r="J2326" s="1312"/>
    </row>
    <row r="2327" spans="1:10" ht="16" thickTop="1" x14ac:dyDescent="0.2">
      <c r="A2327" s="467" t="str">
        <f>IF(I2327&gt;0,"P","")</f>
        <v>P</v>
      </c>
      <c r="B2327" s="1324" t="str">
        <f>IF(LEN('11.1000'!H81)=0,"",'11.1000'!H81)</f>
        <v/>
      </c>
      <c r="C2327" s="1280" t="str">
        <f t="shared" si="236"/>
        <v>P</v>
      </c>
      <c r="D2327" s="136" t="s">
        <v>3755</v>
      </c>
      <c r="E2327" s="85"/>
      <c r="F2327" s="85"/>
      <c r="G2327" s="1631" t="s">
        <v>3870</v>
      </c>
      <c r="H2327" s="1326"/>
      <c r="I2327" s="88">
        <f>'11.1000'!O81</f>
        <v>1</v>
      </c>
      <c r="J2327" s="1779" t="s">
        <v>5241</v>
      </c>
    </row>
    <row r="2328" spans="1:10" x14ac:dyDescent="0.2">
      <c r="A2328" s="467" t="str">
        <f t="shared" ref="A2328:A2329" si="237">A2327</f>
        <v>P</v>
      </c>
      <c r="B2328" s="1324" t="str">
        <f>IF(LEN('11.1000'!H82)=0,"",'11.1000'!H82)</f>
        <v/>
      </c>
      <c r="C2328" s="1280" t="str">
        <f t="shared" si="236"/>
        <v>P</v>
      </c>
      <c r="D2328" s="85"/>
      <c r="E2328" s="85"/>
      <c r="F2328" s="85"/>
      <c r="G2328" s="1631"/>
      <c r="H2328" s="1326"/>
      <c r="J2328" s="1797"/>
    </row>
    <row r="2329" spans="1:10" x14ac:dyDescent="0.2">
      <c r="A2329" s="467" t="str">
        <f t="shared" si="237"/>
        <v>P</v>
      </c>
      <c r="B2329" s="1324" t="str">
        <f>IF(LEN('11.1000'!H83)=0,"",'11.1000'!H83)</f>
        <v/>
      </c>
      <c r="C2329" s="1280" t="str">
        <f t="shared" si="236"/>
        <v>P</v>
      </c>
      <c r="D2329" s="85"/>
      <c r="E2329" s="85"/>
      <c r="F2329" s="85"/>
      <c r="G2329" s="229" t="s">
        <v>2847</v>
      </c>
      <c r="H2329" s="1326"/>
      <c r="J2329" s="1797"/>
    </row>
    <row r="2330" spans="1:10" x14ac:dyDescent="0.2">
      <c r="A2330" s="467" t="str">
        <f>IF(AND(LEN(H2330)&gt;0,NOT(H2330=FALSE),NOT(H2330="N/A")),"P","")</f>
        <v>P</v>
      </c>
      <c r="B2330" s="1324" t="str">
        <f>IF(LEN('11.1000'!H84)=0,"",'11.1000'!H84)</f>
        <v/>
      </c>
      <c r="C2330" s="1280" t="str">
        <f t="shared" si="236"/>
        <v>P</v>
      </c>
      <c r="D2330" s="85"/>
      <c r="E2330" s="89" t="s">
        <v>254</v>
      </c>
      <c r="F2330" s="85"/>
      <c r="G2330" s="1611" t="s">
        <v>2812</v>
      </c>
      <c r="H2330" s="1341" t="b">
        <f>IF(LEN('11.1000'!W84)=0,"",'11.1000'!W84)</f>
        <v>1</v>
      </c>
      <c r="J2330" s="1327"/>
    </row>
    <row r="2331" spans="1:10" x14ac:dyDescent="0.2">
      <c r="A2331" s="467" t="str">
        <f t="shared" ref="A2331:A2332" si="238">A2330</f>
        <v>P</v>
      </c>
      <c r="B2331" s="1324" t="str">
        <f>IF(LEN('11.1000'!H85)=0,"",'11.1000'!H85)</f>
        <v/>
      </c>
      <c r="C2331" s="1280" t="str">
        <f t="shared" si="236"/>
        <v>P</v>
      </c>
      <c r="D2331" s="85"/>
      <c r="E2331" s="89"/>
      <c r="F2331" s="85"/>
      <c r="G2331" s="1611"/>
      <c r="H2331" s="1326"/>
      <c r="J2331" s="1327"/>
    </row>
    <row r="2332" spans="1:10" x14ac:dyDescent="0.2">
      <c r="A2332" s="467" t="str">
        <f t="shared" si="238"/>
        <v>P</v>
      </c>
      <c r="B2332" s="1324" t="str">
        <f>IF(LEN('11.1000'!H86)=0,"",'11.1000'!H86)</f>
        <v/>
      </c>
      <c r="C2332" s="1280" t="str">
        <f t="shared" si="236"/>
        <v>P</v>
      </c>
      <c r="D2332" s="85"/>
      <c r="E2332" s="89"/>
      <c r="F2332" s="85"/>
      <c r="G2332" s="1611"/>
      <c r="H2332" s="1326"/>
      <c r="J2332" s="1327"/>
    </row>
    <row r="2333" spans="1:10" x14ac:dyDescent="0.2">
      <c r="A2333" s="467" t="str">
        <f>IF(AND(LEN(H2333)&gt;0,NOT(H2333=FALSE),NOT(H2333="N/A")),"P","")</f>
        <v>P</v>
      </c>
      <c r="B2333" s="1324" t="str">
        <f>IF(LEN('11.1000'!H87)=0,"",'11.1000'!H87)</f>
        <v/>
      </c>
      <c r="C2333" s="1280" t="str">
        <f t="shared" si="236"/>
        <v>P</v>
      </c>
      <c r="D2333" s="85"/>
      <c r="E2333" s="860" t="s">
        <v>255</v>
      </c>
      <c r="F2333" s="194"/>
      <c r="G2333" s="1613" t="s">
        <v>2813</v>
      </c>
      <c r="H2333" s="1341" t="b">
        <f>IF(LEN('11.1000'!W87)=0,"",'11.1000'!W87)</f>
        <v>1</v>
      </c>
      <c r="J2333" s="1327"/>
    </row>
    <row r="2334" spans="1:10" x14ac:dyDescent="0.2">
      <c r="A2334" s="467" t="str">
        <f t="shared" ref="A2334:A2335" si="239">A2333</f>
        <v>P</v>
      </c>
      <c r="B2334" s="1324" t="str">
        <f>IF(LEN('11.1000'!H88)=0,"",'11.1000'!H88)</f>
        <v/>
      </c>
      <c r="C2334" s="1280" t="str">
        <f t="shared" si="236"/>
        <v>P</v>
      </c>
      <c r="D2334" s="85"/>
      <c r="E2334" s="93"/>
      <c r="F2334" s="97"/>
      <c r="G2334" s="1609"/>
      <c r="H2334" s="1326"/>
      <c r="J2334" s="1327"/>
    </row>
    <row r="2335" spans="1:10" x14ac:dyDescent="0.2">
      <c r="A2335" s="467" t="str">
        <f t="shared" si="239"/>
        <v>P</v>
      </c>
      <c r="B2335" s="1324" t="str">
        <f>IF(LEN('11.1000'!H89)=0,"",'11.1000'!H89)</f>
        <v/>
      </c>
      <c r="C2335" s="1280" t="str">
        <f t="shared" si="236"/>
        <v>P</v>
      </c>
      <c r="D2335" s="85"/>
      <c r="E2335" s="169"/>
      <c r="F2335" s="170"/>
      <c r="G2335" s="1612"/>
      <c r="H2335" s="1326"/>
      <c r="J2335" s="1327"/>
    </row>
    <row r="2336" spans="1:10" x14ac:dyDescent="0.2">
      <c r="A2336" s="467" t="str">
        <f>IF(AND(LEN(H2336)&gt;0,NOT(H2336=FALSE),NOT(H2336="N/A")),"P","")</f>
        <v>P</v>
      </c>
      <c r="B2336" s="1324" t="str">
        <f>IF(LEN('11.1000'!H90)=0,"",'11.1000'!H90)</f>
        <v/>
      </c>
      <c r="C2336" s="1280" t="str">
        <f t="shared" si="236"/>
        <v>P</v>
      </c>
      <c r="D2336" s="85"/>
      <c r="E2336" s="89" t="s">
        <v>256</v>
      </c>
      <c r="F2336" s="85"/>
      <c r="G2336" s="1611" t="s">
        <v>2814</v>
      </c>
      <c r="H2336" s="1341" t="b">
        <f>IF(LEN('11.1000'!W90)=0,"",'11.1000'!W90)</f>
        <v>1</v>
      </c>
      <c r="J2336" s="1327"/>
    </row>
    <row r="2337" spans="1:10" x14ac:dyDescent="0.2">
      <c r="A2337" s="467" t="str">
        <f t="shared" ref="A2337" si="240">A2336</f>
        <v>P</v>
      </c>
      <c r="B2337" s="1324" t="str">
        <f>IF(LEN('11.1000'!H91)=0,"",'11.1000'!H91)</f>
        <v/>
      </c>
      <c r="C2337" s="1280" t="str">
        <f t="shared" si="236"/>
        <v>P</v>
      </c>
      <c r="D2337" s="85"/>
      <c r="E2337" s="89"/>
      <c r="F2337" s="85"/>
      <c r="G2337" s="1611"/>
      <c r="H2337" s="1326"/>
      <c r="J2337" s="1327"/>
    </row>
    <row r="2338" spans="1:10" x14ac:dyDescent="0.2">
      <c r="A2338" s="467" t="str">
        <f>IF(AND(LEN(H2338)&gt;0,NOT(H2338=FALSE),NOT(H2338="N/A")),"P","")</f>
        <v/>
      </c>
      <c r="B2338" s="1324" t="str">
        <f>IF(LEN('11.1000'!H92)=0,"",'11.1000'!H92)</f>
        <v/>
      </c>
      <c r="C2338" s="1280" t="str">
        <f t="shared" si="236"/>
        <v/>
      </c>
      <c r="D2338" s="85"/>
      <c r="E2338" s="216" t="s">
        <v>259</v>
      </c>
      <c r="F2338" s="210"/>
      <c r="G2338" s="311" t="s">
        <v>2815</v>
      </c>
      <c r="H2338" s="1341" t="str">
        <f>IF(LEN('11.1000'!W92)=0,"",'11.1000'!W92)</f>
        <v/>
      </c>
      <c r="J2338" s="1312"/>
    </row>
    <row r="2339" spans="1:10" x14ac:dyDescent="0.2">
      <c r="A2339" s="467" t="str">
        <f>IF(AND(LEN(H2339)&gt;0,NOT(H2339=FALSE),NOT(H2339="N/A")),"P","")</f>
        <v/>
      </c>
      <c r="B2339" s="1324" t="str">
        <f>IF(LEN('11.1000'!H93)=0,"",'11.1000'!H93)</f>
        <v/>
      </c>
      <c r="C2339" s="1280" t="str">
        <f t="shared" si="236"/>
        <v/>
      </c>
      <c r="D2339" s="85"/>
      <c r="E2339" s="89" t="s">
        <v>263</v>
      </c>
      <c r="F2339" s="85"/>
      <c r="G2339" s="1611" t="s">
        <v>2816</v>
      </c>
      <c r="H2339" s="1341" t="str">
        <f>IF(LEN('11.1000'!W93)=0,"",'11.1000'!W93)</f>
        <v/>
      </c>
      <c r="J2339" s="1312"/>
    </row>
    <row r="2340" spans="1:10" x14ac:dyDescent="0.2">
      <c r="A2340" s="467" t="str">
        <f t="shared" ref="A2340" si="241">A2339</f>
        <v/>
      </c>
      <c r="B2340" s="1324" t="str">
        <f>IF(LEN('11.1000'!H94)=0,"",'11.1000'!H94)</f>
        <v/>
      </c>
      <c r="C2340" s="1280" t="str">
        <f t="shared" si="236"/>
        <v/>
      </c>
      <c r="D2340" s="85"/>
      <c r="E2340" s="89"/>
      <c r="F2340" s="85"/>
      <c r="G2340" s="1611"/>
      <c r="H2340" s="1326"/>
      <c r="J2340" s="1312"/>
    </row>
    <row r="2341" spans="1:10" ht="15" customHeight="1" x14ac:dyDescent="0.2">
      <c r="A2341" s="467" t="str">
        <f>IF(AND(LEN(H2341)&gt;0,NOT(H2341=FALSE),NOT(H2341="N/A")),"P","")</f>
        <v>P</v>
      </c>
      <c r="B2341" s="1324" t="str">
        <f>IF(LEN('11.1000'!H95)=0,"",'11.1000'!H95)</f>
        <v/>
      </c>
      <c r="C2341" s="1280" t="str">
        <f t="shared" si="236"/>
        <v>P</v>
      </c>
      <c r="D2341" s="85"/>
      <c r="E2341" s="216" t="s">
        <v>264</v>
      </c>
      <c r="F2341" s="210"/>
      <c r="G2341" s="311" t="s">
        <v>2776</v>
      </c>
      <c r="H2341" s="1341" t="b">
        <f>IF(LEN('11.1000'!W95)=0,"",'11.1000'!W95)</f>
        <v>1</v>
      </c>
      <c r="J2341" s="1312"/>
    </row>
    <row r="2342" spans="1:10" x14ac:dyDescent="0.2">
      <c r="A2342" s="467" t="str">
        <f>IF(AND(LEN(H2342)&gt;0,NOT(H2342=FALSE),NOT(H2342="N/A")),"P","")</f>
        <v>P</v>
      </c>
      <c r="B2342" s="1324" t="str">
        <f>IF(LEN('11.1000'!H96)=0,"",'11.1000'!H96)</f>
        <v/>
      </c>
      <c r="C2342" s="1280" t="str">
        <f t="shared" si="236"/>
        <v>P</v>
      </c>
      <c r="D2342" s="85"/>
      <c r="E2342" s="216" t="s">
        <v>356</v>
      </c>
      <c r="F2342" s="210"/>
      <c r="G2342" s="311" t="s">
        <v>2817</v>
      </c>
      <c r="H2342" s="1341" t="b">
        <f>IF(LEN('11.1000'!W96)=0,"",'11.1000'!W96)</f>
        <v>1</v>
      </c>
      <c r="J2342" s="1312"/>
    </row>
    <row r="2343" spans="1:10" x14ac:dyDescent="0.2">
      <c r="A2343" s="467" t="str">
        <f>IF(AND(LEN(H2343)&gt;0,NOT(H2343=FALSE),NOT(H2343="N/A")),"P","")</f>
        <v/>
      </c>
      <c r="B2343" s="1324" t="str">
        <f>IF(LEN('11.1000'!H97)=0,"",'11.1000'!H97)</f>
        <v/>
      </c>
      <c r="C2343" s="1280" t="str">
        <f t="shared" si="236"/>
        <v/>
      </c>
      <c r="D2343" s="97"/>
      <c r="E2343" s="93" t="s">
        <v>389</v>
      </c>
      <c r="F2343" s="97"/>
      <c r="G2343" s="1609" t="s">
        <v>2818</v>
      </c>
      <c r="H2343" s="1341" t="str">
        <f>IF(LEN('11.1000'!W97)=0,"",'11.1000'!W97)</f>
        <v/>
      </c>
      <c r="J2343" s="1312"/>
    </row>
    <row r="2344" spans="1:10" ht="16" thickBot="1" x14ac:dyDescent="0.25">
      <c r="A2344" s="467" t="str">
        <f t="shared" ref="A2344" si="242">A2343</f>
        <v/>
      </c>
      <c r="B2344" s="1324" t="str">
        <f>IF(LEN('11.1000'!H98)=0,"",'11.1000'!H98)</f>
        <v/>
      </c>
      <c r="C2344" s="1280" t="str">
        <f t="shared" si="236"/>
        <v/>
      </c>
      <c r="D2344" s="99"/>
      <c r="E2344" s="99"/>
      <c r="F2344" s="99"/>
      <c r="G2344" s="1610"/>
      <c r="H2344" s="1326"/>
      <c r="J2344" s="1312"/>
    </row>
    <row r="2345" spans="1:10" ht="16" thickTop="1" x14ac:dyDescent="0.2">
      <c r="A2345" s="467" t="str">
        <f>IF(I2345&gt;0,"P","")</f>
        <v>P</v>
      </c>
      <c r="B2345" s="1324" t="str">
        <f>IF(LEN('11.1000'!H99)=0,"",'11.1000'!H99)</f>
        <v/>
      </c>
      <c r="C2345" s="1280" t="str">
        <f t="shared" si="236"/>
        <v>P</v>
      </c>
      <c r="D2345" s="136" t="s">
        <v>3756</v>
      </c>
      <c r="E2345" s="85"/>
      <c r="F2345" s="85"/>
      <c r="G2345" s="1631" t="s">
        <v>3869</v>
      </c>
      <c r="H2345" s="1326"/>
      <c r="I2345" s="88">
        <f>'11.1000'!O99</f>
        <v>4</v>
      </c>
      <c r="J2345" s="1779" t="s">
        <v>5242</v>
      </c>
    </row>
    <row r="2346" spans="1:10" x14ac:dyDescent="0.2">
      <c r="A2346" s="467" t="str">
        <f t="shared" ref="A2346:A2347" si="243">A2345</f>
        <v>P</v>
      </c>
      <c r="B2346" s="1324" t="str">
        <f>IF(LEN('11.1000'!H100)=0,"",'11.1000'!H100)</f>
        <v/>
      </c>
      <c r="C2346" s="1280" t="str">
        <f t="shared" si="236"/>
        <v>P</v>
      </c>
      <c r="D2346" s="85"/>
      <c r="E2346" s="85"/>
      <c r="F2346" s="85"/>
      <c r="G2346" s="1631"/>
      <c r="H2346" s="1326"/>
      <c r="J2346" s="1797"/>
    </row>
    <row r="2347" spans="1:10" x14ac:dyDescent="0.2">
      <c r="A2347" s="467" t="str">
        <f t="shared" si="243"/>
        <v>P</v>
      </c>
      <c r="B2347" s="1324" t="str">
        <f>IF(LEN('11.1000'!H101)=0,"",'11.1000'!H101)</f>
        <v/>
      </c>
      <c r="C2347" s="1280" t="str">
        <f t="shared" si="236"/>
        <v>P</v>
      </c>
      <c r="D2347" s="85"/>
      <c r="E2347" s="85"/>
      <c r="F2347" s="85"/>
      <c r="G2347" s="1631"/>
      <c r="H2347" s="1326"/>
      <c r="J2347" s="1327"/>
    </row>
    <row r="2348" spans="1:10" x14ac:dyDescent="0.2">
      <c r="B2348" s="1324" t="str">
        <f>IF(LEN('11.1000'!H102)=0,"",'11.1000'!H102)</f>
        <v/>
      </c>
      <c r="C2348" s="1280" t="str">
        <f t="shared" si="236"/>
        <v/>
      </c>
      <c r="D2348" s="85"/>
      <c r="E2348" s="85"/>
      <c r="F2348" s="85"/>
      <c r="G2348" s="230" t="s">
        <v>2847</v>
      </c>
      <c r="H2348" s="1326"/>
      <c r="J2348" s="1327"/>
    </row>
    <row r="2349" spans="1:10" x14ac:dyDescent="0.2">
      <c r="A2349" s="467" t="str">
        <f>IF(AND(LEN(H2349)&gt;0,NOT(H2349=FALSE),NOT(H2349="N/A")),"P","")</f>
        <v>P</v>
      </c>
      <c r="B2349" s="1324" t="str">
        <f>IF(LEN('11.1000'!H103)=0,"",'11.1000'!H103)</f>
        <v/>
      </c>
      <c r="C2349" s="1280" t="str">
        <f t="shared" si="236"/>
        <v>P</v>
      </c>
      <c r="D2349" s="85"/>
      <c r="E2349" s="93" t="s">
        <v>254</v>
      </c>
      <c r="F2349" s="97"/>
      <c r="G2349" s="1609" t="s">
        <v>2819</v>
      </c>
      <c r="H2349" s="1341" t="b">
        <f>IF(LEN('11.1000'!W103)=0,"",'11.1000'!W103)</f>
        <v>1</v>
      </c>
      <c r="J2349" s="1327"/>
    </row>
    <row r="2350" spans="1:10" x14ac:dyDescent="0.2">
      <c r="A2350" s="467" t="str">
        <f t="shared" ref="A2350" si="244">A2349</f>
        <v>P</v>
      </c>
      <c r="B2350" s="1324" t="str">
        <f>IF(LEN('11.1000'!H104)=0,"",'11.1000'!H104)</f>
        <v/>
      </c>
      <c r="C2350" s="1280" t="str">
        <f t="shared" si="236"/>
        <v>P</v>
      </c>
      <c r="D2350" s="85"/>
      <c r="E2350" s="169"/>
      <c r="F2350" s="170"/>
      <c r="G2350" s="1612"/>
      <c r="H2350" s="1326"/>
      <c r="J2350" s="1327"/>
    </row>
    <row r="2351" spans="1:10" x14ac:dyDescent="0.2">
      <c r="A2351" s="467" t="str">
        <f>IF(AND(LEN(H2351)&gt;0,NOT(H2351=FALSE),NOT(H2351="N/A")),"P","")</f>
        <v>P</v>
      </c>
      <c r="B2351" s="1324" t="str">
        <f>IF(LEN('11.1000'!H105)=0,"",'11.1000'!H105)</f>
        <v/>
      </c>
      <c r="C2351" s="1280" t="str">
        <f t="shared" si="236"/>
        <v>P</v>
      </c>
      <c r="D2351" s="85"/>
      <c r="E2351" s="860" t="s">
        <v>255</v>
      </c>
      <c r="F2351" s="194"/>
      <c r="G2351" s="1613" t="s">
        <v>2820</v>
      </c>
      <c r="H2351" s="1341" t="b">
        <f>IF(LEN('11.1000'!W105)=0,"",'11.1000'!W105)</f>
        <v>1</v>
      </c>
      <c r="J2351" s="1327"/>
    </row>
    <row r="2352" spans="1:10" x14ac:dyDescent="0.2">
      <c r="A2352" s="467" t="str">
        <f t="shared" ref="A2352:A2353" si="245">A2351</f>
        <v>P</v>
      </c>
      <c r="B2352" s="1324" t="str">
        <f>IF(LEN('11.1000'!H106)=0,"",'11.1000'!H106)</f>
        <v/>
      </c>
      <c r="C2352" s="1280" t="str">
        <f t="shared" si="236"/>
        <v>P</v>
      </c>
      <c r="D2352" s="85"/>
      <c r="E2352" s="93"/>
      <c r="F2352" s="97"/>
      <c r="G2352" s="1609"/>
      <c r="H2352" s="1326"/>
      <c r="J2352" s="1327"/>
    </row>
    <row r="2353" spans="1:10" x14ac:dyDescent="0.2">
      <c r="A2353" s="467" t="str">
        <f t="shared" si="245"/>
        <v>P</v>
      </c>
      <c r="B2353" s="1324" t="str">
        <f>IF(LEN('11.1000'!H107)=0,"",'11.1000'!H107)</f>
        <v/>
      </c>
      <c r="C2353" s="1280" t="str">
        <f t="shared" si="236"/>
        <v>P</v>
      </c>
      <c r="D2353" s="85"/>
      <c r="E2353" s="169"/>
      <c r="F2353" s="170"/>
      <c r="G2353" s="1612"/>
      <c r="H2353" s="1326"/>
      <c r="J2353" s="1327"/>
    </row>
    <row r="2354" spans="1:10" x14ac:dyDescent="0.2">
      <c r="A2354" s="467" t="str">
        <f>IF(AND(LEN(H2354)&gt;0,NOT(H2354=FALSE),NOT(H2354="N/A")),"P","")</f>
        <v>P</v>
      </c>
      <c r="B2354" s="1324" t="str">
        <f>IF(LEN('11.1000'!H108)=0,"",'11.1000'!H108)</f>
        <v/>
      </c>
      <c r="C2354" s="1280" t="str">
        <f t="shared" si="236"/>
        <v>P</v>
      </c>
      <c r="D2354" s="85"/>
      <c r="E2354" s="860" t="s">
        <v>256</v>
      </c>
      <c r="F2354" s="194"/>
      <c r="G2354" s="1613" t="s">
        <v>2792</v>
      </c>
      <c r="H2354" s="1341" t="b">
        <f>IF(LEN('11.1000'!W108)=0,"",'11.1000'!W108)</f>
        <v>1</v>
      </c>
      <c r="J2354" s="1312"/>
    </row>
    <row r="2355" spans="1:10" x14ac:dyDescent="0.2">
      <c r="A2355" s="467" t="str">
        <f t="shared" ref="A2355" si="246">A2354</f>
        <v>P</v>
      </c>
      <c r="B2355" s="1324" t="str">
        <f>IF(LEN('11.1000'!H109)=0,"",'11.1000'!H109)</f>
        <v/>
      </c>
      <c r="C2355" s="1280" t="str">
        <f t="shared" si="236"/>
        <v>P</v>
      </c>
      <c r="D2355" s="85"/>
      <c r="E2355" s="170"/>
      <c r="F2355" s="170"/>
      <c r="G2355" s="1612"/>
      <c r="H2355" s="1326"/>
      <c r="J2355" s="1312"/>
    </row>
    <row r="2356" spans="1:10" x14ac:dyDescent="0.2">
      <c r="A2356" s="467" t="str">
        <f>IF(AND(LEN(H2356)&gt;0,NOT(H2356=FALSE),NOT(H2356="N/A")),"P","")</f>
        <v>P</v>
      </c>
      <c r="B2356" s="1324" t="str">
        <f>IF(LEN('11.1000'!H110)=0,"",'11.1000'!H110)</f>
        <v/>
      </c>
      <c r="C2356" s="1280" t="str">
        <f t="shared" si="236"/>
        <v>P</v>
      </c>
      <c r="D2356" s="85"/>
      <c r="E2356" s="89" t="s">
        <v>259</v>
      </c>
      <c r="F2356" s="85"/>
      <c r="G2356" s="1611" t="s">
        <v>2821</v>
      </c>
      <c r="H2356" s="1341" t="b">
        <f>IF(LEN('11.1000'!W110)=0,"",'11.1000'!W110)</f>
        <v>1</v>
      </c>
      <c r="J2356" s="1312"/>
    </row>
    <row r="2357" spans="1:10" x14ac:dyDescent="0.2">
      <c r="A2357" s="467" t="str">
        <f t="shared" ref="A2357:A2358" si="247">A2356</f>
        <v>P</v>
      </c>
      <c r="B2357" s="1324" t="str">
        <f>IF(LEN('11.1000'!H111)=0,"",'11.1000'!H111)</f>
        <v/>
      </c>
      <c r="C2357" s="1280" t="str">
        <f t="shared" si="236"/>
        <v>P</v>
      </c>
      <c r="D2357" s="85"/>
      <c r="E2357" s="85"/>
      <c r="F2357" s="85"/>
      <c r="G2357" s="1611"/>
      <c r="H2357" s="1326"/>
      <c r="J2357" s="1312"/>
    </row>
    <row r="2358" spans="1:10" x14ac:dyDescent="0.2">
      <c r="A2358" s="467" t="str">
        <f t="shared" si="247"/>
        <v>P</v>
      </c>
      <c r="B2358" s="1324" t="str">
        <f>IF(LEN('11.1000'!H112)=0,"",'11.1000'!H112)</f>
        <v/>
      </c>
      <c r="C2358" s="1280" t="str">
        <f t="shared" si="236"/>
        <v>P</v>
      </c>
      <c r="D2358" s="85"/>
      <c r="E2358" s="85"/>
      <c r="F2358" s="85"/>
      <c r="G2358" s="1611"/>
      <c r="H2358" s="1326"/>
      <c r="J2358" s="1312"/>
    </row>
    <row r="2359" spans="1:10" x14ac:dyDescent="0.2">
      <c r="A2359" s="467" t="str">
        <f>IF(AND(LEN(H2359)&gt;0,NOT(H2359=FALSE),NOT(H2359="N/A")),"P","")</f>
        <v>P</v>
      </c>
      <c r="B2359" s="1324" t="str">
        <f>IF(LEN('11.1000'!H113)=0,"",'11.1000'!H113)</f>
        <v/>
      </c>
      <c r="C2359" s="1280" t="str">
        <f t="shared" si="236"/>
        <v>P</v>
      </c>
      <c r="D2359" s="85"/>
      <c r="E2359" s="860" t="s">
        <v>263</v>
      </c>
      <c r="F2359" s="194"/>
      <c r="G2359" s="1613" t="s">
        <v>2822</v>
      </c>
      <c r="H2359" s="1341" t="b">
        <f>IF(LEN('11.1000'!W113)=0,"",'11.1000'!W113)</f>
        <v>1</v>
      </c>
      <c r="J2359" s="1312"/>
    </row>
    <row r="2360" spans="1:10" x14ac:dyDescent="0.2">
      <c r="A2360" s="467" t="str">
        <f t="shared" ref="A2360" si="248">A2359</f>
        <v>P</v>
      </c>
      <c r="B2360" s="1324" t="str">
        <f>IF(LEN('11.1000'!H114)=0,"",'11.1000'!H114)</f>
        <v/>
      </c>
      <c r="C2360" s="1280" t="str">
        <f t="shared" si="236"/>
        <v>P</v>
      </c>
      <c r="D2360" s="85"/>
      <c r="E2360" s="169"/>
      <c r="F2360" s="170"/>
      <c r="G2360" s="1612"/>
      <c r="H2360" s="1326"/>
      <c r="J2360" s="1312"/>
    </row>
    <row r="2361" spans="1:10" x14ac:dyDescent="0.2">
      <c r="A2361" s="467" t="str">
        <f>IF(AND(LEN(H2361)&gt;0,NOT(H2361=FALSE),NOT(H2361="N/A")),"P","")</f>
        <v>P</v>
      </c>
      <c r="B2361" s="1324" t="str">
        <f>IF(LEN('11.1000'!H115)=0,"",'11.1000'!H115)</f>
        <v/>
      </c>
      <c r="C2361" s="1280" t="str">
        <f t="shared" si="236"/>
        <v>P</v>
      </c>
      <c r="D2361" s="85"/>
      <c r="E2361" s="89" t="s">
        <v>264</v>
      </c>
      <c r="F2361" s="85"/>
      <c r="G2361" s="1294" t="s">
        <v>2775</v>
      </c>
      <c r="H2361" s="1341" t="b">
        <f>IF(LEN('11.1000'!W115)=0,"",'11.1000'!W115)</f>
        <v>1</v>
      </c>
      <c r="J2361" s="1312"/>
    </row>
    <row r="2362" spans="1:10" x14ac:dyDescent="0.2">
      <c r="A2362" s="467" t="str">
        <f>IF(AND(LEN(H2362)&gt;0,NOT(H2362=FALSE),NOT(H2362="N/A")),"P","")</f>
        <v>P</v>
      </c>
      <c r="B2362" s="1324" t="str">
        <f>IF(LEN('11.1000'!H116)=0,"",'11.1000'!H116)</f>
        <v/>
      </c>
      <c r="C2362" s="1280" t="str">
        <f t="shared" si="236"/>
        <v>P</v>
      </c>
      <c r="D2362" s="85"/>
      <c r="E2362" s="860" t="s">
        <v>356</v>
      </c>
      <c r="F2362" s="194"/>
      <c r="G2362" s="1613" t="s">
        <v>2823</v>
      </c>
      <c r="H2362" s="1341" t="b">
        <f>IF(LEN('11.1000'!W116)=0,"",'11.1000'!W116)</f>
        <v>1</v>
      </c>
      <c r="J2362" s="1312"/>
    </row>
    <row r="2363" spans="1:10" x14ac:dyDescent="0.2">
      <c r="A2363" s="467" t="str">
        <f t="shared" ref="A2363" si="249">A2362</f>
        <v>P</v>
      </c>
      <c r="B2363" s="1324" t="str">
        <f>IF(LEN('11.1000'!H117)=0,"",'11.1000'!H117)</f>
        <v/>
      </c>
      <c r="C2363" s="1280" t="str">
        <f t="shared" si="236"/>
        <v>P</v>
      </c>
      <c r="D2363" s="85"/>
      <c r="E2363" s="170"/>
      <c r="F2363" s="170"/>
      <c r="G2363" s="1612"/>
      <c r="H2363" s="1326"/>
      <c r="J2363" s="1312"/>
    </row>
    <row r="2364" spans="1:10" x14ac:dyDescent="0.2">
      <c r="A2364" s="467" t="str">
        <f>IF(AND(LEN(H2364)&gt;0,NOT(H2364=FALSE),NOT(H2364="N/A")),"P","")</f>
        <v>P</v>
      </c>
      <c r="B2364" s="1324" t="str">
        <f>IF(LEN('11.1000'!H118)=0,"",'11.1000'!H118)</f>
        <v/>
      </c>
      <c r="C2364" s="1280" t="str">
        <f t="shared" si="236"/>
        <v>P</v>
      </c>
      <c r="D2364" s="85"/>
      <c r="E2364" s="89" t="s">
        <v>389</v>
      </c>
      <c r="F2364" s="85"/>
      <c r="G2364" s="1717" t="s">
        <v>2790</v>
      </c>
      <c r="H2364" s="1341" t="b">
        <f>IF(LEN('11.1000'!W118)=0,"",'11.1000'!W118)</f>
        <v>1</v>
      </c>
      <c r="J2364" s="1312"/>
    </row>
    <row r="2365" spans="1:10" x14ac:dyDescent="0.2">
      <c r="A2365" s="467" t="str">
        <f t="shared" ref="A2365" si="250">A2364</f>
        <v>P</v>
      </c>
      <c r="B2365" s="1324" t="str">
        <f>IF(LEN('11.1000'!H119)=0,"",'11.1000'!H119)</f>
        <v/>
      </c>
      <c r="C2365" s="1280" t="str">
        <f t="shared" si="236"/>
        <v>P</v>
      </c>
      <c r="D2365" s="85"/>
      <c r="E2365" s="89"/>
      <c r="F2365" s="85"/>
      <c r="G2365" s="1717"/>
      <c r="H2365" s="1326"/>
      <c r="J2365" s="1312"/>
    </row>
    <row r="2366" spans="1:10" x14ac:dyDescent="0.2">
      <c r="A2366" s="467" t="str">
        <f>IF(AND(LEN(H2366)&gt;0,NOT(H2366=FALSE),NOT(H2366="N/A")),"P","")</f>
        <v>P</v>
      </c>
      <c r="B2366" s="1324" t="str">
        <f>IF(LEN('11.1000'!H120)=0,"",'11.1000'!H120)</f>
        <v/>
      </c>
      <c r="C2366" s="1280" t="str">
        <f t="shared" si="236"/>
        <v>P</v>
      </c>
      <c r="D2366" s="85"/>
      <c r="E2366" s="860" t="s">
        <v>391</v>
      </c>
      <c r="F2366" s="194"/>
      <c r="G2366" s="1284" t="s">
        <v>2824</v>
      </c>
      <c r="H2366" s="1341" t="b">
        <f>IF(LEN('11.1000'!W120)=0,"",'11.1000'!W120)</f>
        <v>1</v>
      </c>
      <c r="J2366" s="1312"/>
    </row>
    <row r="2367" spans="1:10" x14ac:dyDescent="0.2">
      <c r="A2367" s="467" t="str">
        <f>IF(AND(LEN(H2367)&gt;0,NOT(H2367=FALSE),NOT(H2367="N/A")),"P","")</f>
        <v>P</v>
      </c>
      <c r="B2367" s="1324" t="str">
        <f>IF(LEN('11.1000'!H121)=0,"",'11.1000'!H121)</f>
        <v/>
      </c>
      <c r="C2367" s="1280" t="str">
        <f t="shared" si="236"/>
        <v>P</v>
      </c>
      <c r="D2367" s="85"/>
      <c r="E2367" s="860" t="s">
        <v>392</v>
      </c>
      <c r="F2367" s="194"/>
      <c r="G2367" s="1613" t="s">
        <v>2825</v>
      </c>
      <c r="H2367" s="1341" t="b">
        <f>IF(LEN('11.1000'!W121)=0,"",'11.1000'!W121)</f>
        <v>1</v>
      </c>
      <c r="J2367" s="1312"/>
    </row>
    <row r="2368" spans="1:10" x14ac:dyDescent="0.2">
      <c r="A2368" s="467" t="str">
        <f t="shared" ref="A2368:A2369" si="251">A2367</f>
        <v>P</v>
      </c>
      <c r="B2368" s="1324" t="str">
        <f>IF(LEN('11.1000'!H122)=0,"",'11.1000'!H122)</f>
        <v/>
      </c>
      <c r="C2368" s="1280" t="str">
        <f t="shared" si="236"/>
        <v>P</v>
      </c>
      <c r="D2368" s="85"/>
      <c r="E2368" s="93"/>
      <c r="F2368" s="97"/>
      <c r="G2368" s="1609"/>
      <c r="H2368" s="1326"/>
      <c r="J2368" s="1312"/>
    </row>
    <row r="2369" spans="1:10" x14ac:dyDescent="0.2">
      <c r="A2369" s="467" t="str">
        <f t="shared" si="251"/>
        <v>P</v>
      </c>
      <c r="B2369" s="1324" t="str">
        <f>IF(LEN('11.1000'!H123)=0,"",'11.1000'!H123)</f>
        <v/>
      </c>
      <c r="C2369" s="1280" t="str">
        <f t="shared" si="236"/>
        <v>P</v>
      </c>
      <c r="D2369" s="85"/>
      <c r="E2369" s="169"/>
      <c r="F2369" s="170"/>
      <c r="G2369" s="1612"/>
      <c r="H2369" s="1326"/>
      <c r="J2369" s="1312"/>
    </row>
    <row r="2370" spans="1:10" x14ac:dyDescent="0.2">
      <c r="A2370" s="467" t="str">
        <f>IF(AND(LEN(H2370)&gt;0,NOT(H2370=FALSE),NOT(H2370="N/A")),"P","")</f>
        <v/>
      </c>
      <c r="B2370" s="1324" t="str">
        <f>IF(LEN('11.1000'!H124)=0,"",'11.1000'!H124)</f>
        <v/>
      </c>
      <c r="C2370" s="1280" t="str">
        <f t="shared" si="236"/>
        <v/>
      </c>
      <c r="D2370" s="97"/>
      <c r="E2370" s="93" t="s">
        <v>394</v>
      </c>
      <c r="F2370" s="97"/>
      <c r="G2370" s="1657" t="s">
        <v>2826</v>
      </c>
      <c r="H2370" s="1341" t="str">
        <f>IF(LEN('11.1000'!W124)=0,"",'11.1000'!W124)</f>
        <v/>
      </c>
      <c r="J2370" s="1312"/>
    </row>
    <row r="2371" spans="1:10" ht="16" thickBot="1" x14ac:dyDescent="0.25">
      <c r="A2371" s="467" t="str">
        <f t="shared" ref="A2371" si="252">A2370</f>
        <v/>
      </c>
      <c r="B2371" s="1324" t="str">
        <f>IF(LEN('11.1000'!H125)=0,"",'11.1000'!H125)</f>
        <v/>
      </c>
      <c r="C2371" s="1280" t="str">
        <f t="shared" si="236"/>
        <v/>
      </c>
      <c r="D2371" s="99"/>
      <c r="E2371" s="98"/>
      <c r="F2371" s="99"/>
      <c r="G2371" s="1713"/>
      <c r="H2371" s="1326"/>
      <c r="J2371" s="1312"/>
    </row>
    <row r="2372" spans="1:10" ht="16" thickTop="1" x14ac:dyDescent="0.2">
      <c r="A2372" s="467" t="str">
        <f>IF(I2372&gt;0,"P","")</f>
        <v>P</v>
      </c>
      <c r="B2372" s="1324" t="str">
        <f>IF(LEN('11.1000'!H126)=0,"",'11.1000'!H126)</f>
        <v/>
      </c>
      <c r="C2372" s="1280" t="str">
        <f t="shared" si="236"/>
        <v>P</v>
      </c>
      <c r="D2372" s="136" t="s">
        <v>3757</v>
      </c>
      <c r="E2372" s="85"/>
      <c r="F2372" s="85"/>
      <c r="G2372" s="1631" t="s">
        <v>3868</v>
      </c>
      <c r="H2372" s="1326"/>
      <c r="I2372" s="88">
        <f>'11.1000'!O126</f>
        <v>4</v>
      </c>
      <c r="J2372" s="1779" t="s">
        <v>5243</v>
      </c>
    </row>
    <row r="2373" spans="1:10" x14ac:dyDescent="0.2">
      <c r="A2373" s="467" t="str">
        <f t="shared" ref="A2373:A2374" si="253">A2372</f>
        <v>P</v>
      </c>
      <c r="B2373" s="1324" t="str">
        <f>IF(LEN('11.1000'!H127)=0,"",'11.1000'!H127)</f>
        <v/>
      </c>
      <c r="C2373" s="1280" t="str">
        <f t="shared" si="236"/>
        <v>P</v>
      </c>
      <c r="D2373" s="85"/>
      <c r="E2373" s="85"/>
      <c r="F2373" s="85"/>
      <c r="G2373" s="1631"/>
      <c r="H2373" s="1326"/>
      <c r="J2373" s="1797"/>
    </row>
    <row r="2374" spans="1:10" x14ac:dyDescent="0.2">
      <c r="A2374" s="467" t="str">
        <f t="shared" si="253"/>
        <v>P</v>
      </c>
      <c r="B2374" s="1324" t="str">
        <f>IF(LEN('11.1000'!H128)=0,"",'11.1000'!H128)</f>
        <v/>
      </c>
      <c r="C2374" s="1280" t="str">
        <f t="shared" si="236"/>
        <v>P</v>
      </c>
      <c r="D2374" s="85"/>
      <c r="E2374" s="85"/>
      <c r="F2374" s="85"/>
      <c r="G2374" s="1631"/>
      <c r="H2374" s="1326"/>
      <c r="J2374" s="1312"/>
    </row>
    <row r="2375" spans="1:10" x14ac:dyDescent="0.2">
      <c r="B2375" s="1324" t="str">
        <f>IF(LEN('11.1000'!H129)=0,"",'11.1000'!H129)</f>
        <v/>
      </c>
      <c r="C2375" s="1280" t="str">
        <f t="shared" si="236"/>
        <v/>
      </c>
      <c r="D2375" s="85"/>
      <c r="E2375" s="85"/>
      <c r="F2375" s="85"/>
      <c r="G2375" s="230" t="s">
        <v>2847</v>
      </c>
      <c r="H2375" s="1326"/>
      <c r="J2375" s="1336"/>
    </row>
    <row r="2376" spans="1:10" x14ac:dyDescent="0.2">
      <c r="A2376" s="467" t="str">
        <f>IF(AND(LEN(H2376)&gt;0,NOT(H2376=FALSE),NOT(H2376="N/A")),"P","")</f>
        <v>P</v>
      </c>
      <c r="B2376" s="1324" t="str">
        <f>IF(LEN('11.1000'!H130)=0,"",'11.1000'!H130)</f>
        <v/>
      </c>
      <c r="C2376" s="1280" t="str">
        <f t="shared" ref="C2376:C2439" si="254">IF(LEN(B2376)=0,IF(A2376="P","P",""),B2376)</f>
        <v>P</v>
      </c>
      <c r="D2376" s="85"/>
      <c r="E2376" s="93" t="s">
        <v>254</v>
      </c>
      <c r="F2376" s="97"/>
      <c r="G2376" s="1609" t="s">
        <v>2827</v>
      </c>
      <c r="H2376" s="1341" t="b">
        <f>IF(LEN('11.1000'!W130)=0,"",'11.1000'!W130)</f>
        <v>1</v>
      </c>
      <c r="J2376" s="1312"/>
    </row>
    <row r="2377" spans="1:10" x14ac:dyDescent="0.2">
      <c r="A2377" s="467" t="str">
        <f t="shared" ref="A2377" si="255">A2376</f>
        <v>P</v>
      </c>
      <c r="B2377" s="1324" t="str">
        <f>IF(LEN('11.1000'!H131)=0,"",'11.1000'!H131)</f>
        <v/>
      </c>
      <c r="C2377" s="1280" t="str">
        <f t="shared" si="254"/>
        <v>P</v>
      </c>
      <c r="D2377" s="85"/>
      <c r="E2377" s="169"/>
      <c r="F2377" s="170"/>
      <c r="G2377" s="1612"/>
      <c r="H2377" s="1326"/>
      <c r="J2377" s="1336"/>
    </row>
    <row r="2378" spans="1:10" x14ac:dyDescent="0.2">
      <c r="A2378" s="467" t="str">
        <f>IF(AND(LEN(H2378)&gt;0,NOT(H2378=FALSE),NOT(H2378="N/A")),"P","")</f>
        <v>P</v>
      </c>
      <c r="B2378" s="1324" t="str">
        <f>IF(LEN('11.1000'!H132)=0,"",'11.1000'!H132)</f>
        <v/>
      </c>
      <c r="C2378" s="1280" t="str">
        <f t="shared" si="254"/>
        <v>P</v>
      </c>
      <c r="D2378" s="85"/>
      <c r="E2378" s="860" t="s">
        <v>255</v>
      </c>
      <c r="F2378" s="194"/>
      <c r="G2378" s="1613" t="s">
        <v>2782</v>
      </c>
      <c r="H2378" s="1341" t="b">
        <f>IF(LEN('11.1000'!W132)=0,"",'11.1000'!W132)</f>
        <v>1</v>
      </c>
      <c r="J2378" s="1312"/>
    </row>
    <row r="2379" spans="1:10" x14ac:dyDescent="0.2">
      <c r="A2379" s="467" t="str">
        <f t="shared" ref="A2379:A2381" si="256">A2378</f>
        <v>P</v>
      </c>
      <c r="B2379" s="1324" t="str">
        <f>IF(LEN('11.1000'!H133)=0,"",'11.1000'!H133)</f>
        <v/>
      </c>
      <c r="C2379" s="1280" t="str">
        <f t="shared" si="254"/>
        <v>P</v>
      </c>
      <c r="D2379" s="85"/>
      <c r="E2379" s="97"/>
      <c r="F2379" s="97"/>
      <c r="G2379" s="1609"/>
      <c r="H2379" s="1326"/>
      <c r="J2379" s="1312"/>
    </row>
    <row r="2380" spans="1:10" x14ac:dyDescent="0.2">
      <c r="A2380" s="467" t="str">
        <f t="shared" si="256"/>
        <v>P</v>
      </c>
      <c r="B2380" s="1324" t="str">
        <f>IF(LEN('11.1000'!H134)=0,"",'11.1000'!H134)</f>
        <v/>
      </c>
      <c r="C2380" s="1280" t="str">
        <f t="shared" si="254"/>
        <v>P</v>
      </c>
      <c r="D2380" s="85"/>
      <c r="E2380" s="97"/>
      <c r="F2380" s="97"/>
      <c r="G2380" s="1609"/>
      <c r="H2380" s="1326"/>
      <c r="J2380" s="1312"/>
    </row>
    <row r="2381" spans="1:10" x14ac:dyDescent="0.2">
      <c r="A2381" s="467" t="str">
        <f t="shared" si="256"/>
        <v>P</v>
      </c>
      <c r="B2381" s="1324" t="str">
        <f>IF(LEN('11.1000'!H135)=0,"",'11.1000'!H135)</f>
        <v/>
      </c>
      <c r="C2381" s="1280" t="str">
        <f t="shared" si="254"/>
        <v>P</v>
      </c>
      <c r="D2381" s="85"/>
      <c r="E2381" s="170"/>
      <c r="F2381" s="170"/>
      <c r="G2381" s="1612"/>
      <c r="H2381" s="1326"/>
      <c r="J2381" s="1312"/>
    </row>
    <row r="2382" spans="1:10" x14ac:dyDescent="0.2">
      <c r="A2382" s="467" t="str">
        <f>IF(AND(LEN(H2382)&gt;0,NOT(H2382=FALSE),NOT(H2382="N/A")),"P","")</f>
        <v>P</v>
      </c>
      <c r="B2382" s="1324" t="str">
        <f>IF(LEN('11.1000'!H136)=0,"",'11.1000'!H136)</f>
        <v/>
      </c>
      <c r="C2382" s="1280" t="str">
        <f t="shared" si="254"/>
        <v>P</v>
      </c>
      <c r="D2382" s="85"/>
      <c r="E2382" s="860" t="s">
        <v>256</v>
      </c>
      <c r="F2382" s="194"/>
      <c r="G2382" s="1317" t="s">
        <v>2828</v>
      </c>
      <c r="H2382" s="1341" t="b">
        <f>IF(LEN('11.1000'!W136)=0,"",'11.1000'!W136)</f>
        <v>1</v>
      </c>
      <c r="J2382" s="1312"/>
    </row>
    <row r="2383" spans="1:10" x14ac:dyDescent="0.2">
      <c r="A2383" s="467" t="str">
        <f t="shared" ref="A2383:A2388" si="257">A2382</f>
        <v>P</v>
      </c>
      <c r="B2383" s="1324" t="str">
        <f>IF(LEN('11.1000'!H137)=0,"",'11.1000'!H137)</f>
        <v/>
      </c>
      <c r="C2383" s="1280" t="str">
        <f t="shared" si="254"/>
        <v>P</v>
      </c>
      <c r="D2383" s="85"/>
      <c r="E2383" s="97"/>
      <c r="F2383" s="93" t="s">
        <v>121</v>
      </c>
      <c r="G2383" s="1319" t="s">
        <v>2829</v>
      </c>
      <c r="H2383" s="1326"/>
      <c r="J2383" s="1312"/>
    </row>
    <row r="2384" spans="1:10" x14ac:dyDescent="0.2">
      <c r="A2384" s="467" t="str">
        <f t="shared" si="257"/>
        <v>P</v>
      </c>
      <c r="B2384" s="1324" t="str">
        <f>IF(LEN('11.1000'!H138)=0,"",'11.1000'!H138)</f>
        <v/>
      </c>
      <c r="C2384" s="1280" t="str">
        <f t="shared" si="254"/>
        <v>P</v>
      </c>
      <c r="D2384" s="85"/>
      <c r="E2384" s="97"/>
      <c r="F2384" s="93" t="s">
        <v>122</v>
      </c>
      <c r="G2384" s="1319" t="s">
        <v>2830</v>
      </c>
      <c r="H2384" s="1326"/>
      <c r="J2384" s="1312"/>
    </row>
    <row r="2385" spans="1:10" x14ac:dyDescent="0.2">
      <c r="A2385" s="467" t="str">
        <f t="shared" si="257"/>
        <v>P</v>
      </c>
      <c r="B2385" s="1324" t="str">
        <f>IF(LEN('11.1000'!H139)=0,"",'11.1000'!H139)</f>
        <v/>
      </c>
      <c r="C2385" s="1280" t="str">
        <f t="shared" si="254"/>
        <v>P</v>
      </c>
      <c r="D2385" s="85"/>
      <c r="E2385" s="97"/>
      <c r="F2385" s="93" t="s">
        <v>123</v>
      </c>
      <c r="G2385" s="1319" t="s">
        <v>2831</v>
      </c>
      <c r="H2385" s="1326"/>
      <c r="J2385" s="1312"/>
    </row>
    <row r="2386" spans="1:10" x14ac:dyDescent="0.2">
      <c r="A2386" s="467" t="str">
        <f t="shared" si="257"/>
        <v>P</v>
      </c>
      <c r="B2386" s="1324" t="str">
        <f>IF(LEN('11.1000'!H140)=0,"",'11.1000'!H140)</f>
        <v/>
      </c>
      <c r="C2386" s="1280" t="str">
        <f t="shared" si="254"/>
        <v>P</v>
      </c>
      <c r="D2386" s="85"/>
      <c r="E2386" s="97"/>
      <c r="F2386" s="93" t="s">
        <v>366</v>
      </c>
      <c r="G2386" s="1319" t="s">
        <v>2832</v>
      </c>
      <c r="H2386" s="1326"/>
      <c r="J2386" s="1312"/>
    </row>
    <row r="2387" spans="1:10" x14ac:dyDescent="0.2">
      <c r="A2387" s="467" t="str">
        <f t="shared" si="257"/>
        <v>P</v>
      </c>
      <c r="B2387" s="1324" t="str">
        <f>IF(LEN('11.1000'!H141)=0,"",'11.1000'!H141)</f>
        <v/>
      </c>
      <c r="C2387" s="1280" t="str">
        <f t="shared" si="254"/>
        <v>P</v>
      </c>
      <c r="D2387" s="85"/>
      <c r="E2387" s="97"/>
      <c r="F2387" s="93" t="s">
        <v>472</v>
      </c>
      <c r="G2387" s="1319" t="s">
        <v>2833</v>
      </c>
      <c r="H2387" s="1326"/>
      <c r="J2387" s="1312"/>
    </row>
    <row r="2388" spans="1:10" x14ac:dyDescent="0.2">
      <c r="A2388" s="467" t="str">
        <f t="shared" si="257"/>
        <v>P</v>
      </c>
      <c r="B2388" s="1324" t="str">
        <f>IF(LEN('11.1000'!H142)=0,"",'11.1000'!H142)</f>
        <v/>
      </c>
      <c r="C2388" s="1280" t="str">
        <f t="shared" si="254"/>
        <v>P</v>
      </c>
      <c r="D2388" s="85"/>
      <c r="E2388" s="170"/>
      <c r="F2388" s="169" t="s">
        <v>510</v>
      </c>
      <c r="G2388" s="1318" t="s">
        <v>2834</v>
      </c>
      <c r="H2388" s="1326"/>
      <c r="J2388" s="1312"/>
    </row>
    <row r="2389" spans="1:10" x14ac:dyDescent="0.2">
      <c r="A2389" s="467" t="str">
        <f>IF(AND(LEN(H2389)&gt;0,NOT(H2389=FALSE),NOT(H2389="N/A")),"P","")</f>
        <v>P</v>
      </c>
      <c r="B2389" s="1324" t="str">
        <f>IF(LEN('11.1000'!H143)=0,"",'11.1000'!H143)</f>
        <v/>
      </c>
      <c r="C2389" s="1280" t="str">
        <f t="shared" si="254"/>
        <v>P</v>
      </c>
      <c r="D2389" s="85"/>
      <c r="E2389" s="89" t="s">
        <v>259</v>
      </c>
      <c r="F2389" s="85"/>
      <c r="G2389" s="1611" t="s">
        <v>2786</v>
      </c>
      <c r="H2389" s="1341" t="b">
        <f>IF(LEN('11.1000'!W143)=0,"",'11.1000'!W143)</f>
        <v>1</v>
      </c>
      <c r="J2389" s="1312"/>
    </row>
    <row r="2390" spans="1:10" x14ac:dyDescent="0.2">
      <c r="A2390" s="467" t="str">
        <f t="shared" ref="A2390" si="258">A2389</f>
        <v>P</v>
      </c>
      <c r="B2390" s="1324" t="str">
        <f>IF(LEN('11.1000'!H144)=0,"",'11.1000'!H144)</f>
        <v/>
      </c>
      <c r="C2390" s="1280" t="str">
        <f t="shared" si="254"/>
        <v>P</v>
      </c>
      <c r="D2390" s="85"/>
      <c r="E2390" s="85"/>
      <c r="F2390" s="85"/>
      <c r="G2390" s="1611"/>
      <c r="H2390" s="1326"/>
      <c r="J2390" s="1312"/>
    </row>
    <row r="2391" spans="1:10" x14ac:dyDescent="0.2">
      <c r="A2391" s="467" t="str">
        <f>IF(AND(LEN(H2391)&gt;0,NOT(H2391=FALSE),NOT(H2391="N/A")),"P","")</f>
        <v>P</v>
      </c>
      <c r="B2391" s="1324" t="str">
        <f>IF(LEN('11.1000'!H145)=0,"",'11.1000'!H145)</f>
        <v/>
      </c>
      <c r="C2391" s="1280" t="str">
        <f t="shared" si="254"/>
        <v>P</v>
      </c>
      <c r="D2391" s="85"/>
      <c r="E2391" s="216" t="s">
        <v>263</v>
      </c>
      <c r="F2391" s="210"/>
      <c r="G2391" s="243" t="s">
        <v>2788</v>
      </c>
      <c r="H2391" s="1341" t="b">
        <f>IF(LEN('11.1000'!W145)=0,"",'11.1000'!W145)</f>
        <v>1</v>
      </c>
      <c r="J2391" s="1312"/>
    </row>
    <row r="2392" spans="1:10" x14ac:dyDescent="0.2">
      <c r="A2392" s="467" t="str">
        <f>IF(AND(LEN(H2392)&gt;0,NOT(H2392=FALSE),NOT(H2392="N/A")),"P","")</f>
        <v>P</v>
      </c>
      <c r="B2392" s="1324" t="str">
        <f>IF(LEN('11.1000'!H146)=0,"",'11.1000'!H146)</f>
        <v/>
      </c>
      <c r="C2392" s="1280" t="str">
        <f t="shared" si="254"/>
        <v>P</v>
      </c>
      <c r="D2392" s="85"/>
      <c r="E2392" s="89" t="s">
        <v>264</v>
      </c>
      <c r="F2392" s="85"/>
      <c r="G2392" s="1611" t="s">
        <v>2835</v>
      </c>
      <c r="H2392" s="1341" t="b">
        <f>IF(LEN('11.1000'!W146)=0,"",'11.1000'!W146)</f>
        <v>1</v>
      </c>
      <c r="J2392" s="1312"/>
    </row>
    <row r="2393" spans="1:10" x14ac:dyDescent="0.2">
      <c r="A2393" s="467" t="str">
        <f t="shared" ref="A2393" si="259">A2392</f>
        <v>P</v>
      </c>
      <c r="B2393" s="1324" t="str">
        <f>IF(LEN('11.1000'!H147)=0,"",'11.1000'!H147)</f>
        <v/>
      </c>
      <c r="C2393" s="1280" t="str">
        <f t="shared" si="254"/>
        <v>P</v>
      </c>
      <c r="D2393" s="85"/>
      <c r="E2393" s="89"/>
      <c r="F2393" s="85"/>
      <c r="G2393" s="1611"/>
      <c r="H2393" s="1326"/>
      <c r="J2393" s="1312"/>
    </row>
    <row r="2394" spans="1:10" x14ac:dyDescent="0.2">
      <c r="A2394" s="467" t="str">
        <f>IF(AND(LEN(H2394)&gt;0,NOT(H2394=FALSE),NOT(H2394="N/A")),"P","")</f>
        <v>P</v>
      </c>
      <c r="B2394" s="1324" t="str">
        <f>IF(LEN('11.1000'!H148)=0,"",'11.1000'!H148)</f>
        <v/>
      </c>
      <c r="C2394" s="1280" t="str">
        <f t="shared" si="254"/>
        <v>P</v>
      </c>
      <c r="D2394" s="85"/>
      <c r="E2394" s="216" t="s">
        <v>356</v>
      </c>
      <c r="F2394" s="210"/>
      <c r="G2394" s="243" t="s">
        <v>2794</v>
      </c>
      <c r="H2394" s="1341" t="b">
        <f>IF(LEN('11.1000'!W148)=0,"",'11.1000'!W148)</f>
        <v>1</v>
      </c>
      <c r="J2394" s="1312"/>
    </row>
    <row r="2395" spans="1:10" x14ac:dyDescent="0.2">
      <c r="A2395" s="467" t="str">
        <f>IF(AND(LEN(H2395)&gt;0,NOT(H2395=FALSE),NOT(H2395="N/A")),"P","")</f>
        <v>P</v>
      </c>
      <c r="B2395" s="1324" t="str">
        <f>IF(LEN('11.1000'!H149)=0,"",'11.1000'!H149)</f>
        <v/>
      </c>
      <c r="C2395" s="1280" t="str">
        <f t="shared" si="254"/>
        <v>P</v>
      </c>
      <c r="D2395" s="85"/>
      <c r="E2395" s="89" t="s">
        <v>389</v>
      </c>
      <c r="F2395" s="85"/>
      <c r="G2395" s="1316" t="s">
        <v>2836</v>
      </c>
      <c r="H2395" s="1341" t="b">
        <f>IF(LEN('11.1000'!W149)=0,"",'11.1000'!W149)</f>
        <v>1</v>
      </c>
      <c r="J2395" s="1312"/>
    </row>
    <row r="2396" spans="1:10" x14ac:dyDescent="0.2">
      <c r="A2396" s="467" t="str">
        <f>IF(AND(LEN(H2396)&gt;0,NOT(H2396=FALSE),NOT(H2396="N/A")),"P","")</f>
        <v>P</v>
      </c>
      <c r="B2396" s="1324" t="str">
        <f>IF(LEN('11.1000'!H150)=0,"",'11.1000'!H150)</f>
        <v/>
      </c>
      <c r="C2396" s="1280" t="str">
        <f t="shared" si="254"/>
        <v>P</v>
      </c>
      <c r="D2396" s="85"/>
      <c r="E2396" s="216" t="s">
        <v>391</v>
      </c>
      <c r="F2396" s="210"/>
      <c r="G2396" s="243" t="s">
        <v>2837</v>
      </c>
      <c r="H2396" s="1341" t="b">
        <f>IF(LEN('11.1000'!W150)=0,"",'11.1000'!W150)</f>
        <v>1</v>
      </c>
      <c r="J2396" s="1312"/>
    </row>
    <row r="2397" spans="1:10" x14ac:dyDescent="0.2">
      <c r="A2397" s="467" t="str">
        <f>IF(AND(LEN(H2397)&gt;0,NOT(H2397=FALSE),NOT(H2397="N/A")),"P","")</f>
        <v>P</v>
      </c>
      <c r="B2397" s="1324" t="str">
        <f>IF(LEN('11.1000'!H151)=0,"",'11.1000'!H151)</f>
        <v/>
      </c>
      <c r="C2397" s="1280" t="str">
        <f t="shared" si="254"/>
        <v>P</v>
      </c>
      <c r="D2397" s="97"/>
      <c r="E2397" s="216" t="s">
        <v>392</v>
      </c>
      <c r="F2397" s="210"/>
      <c r="G2397" s="243" t="s">
        <v>2838</v>
      </c>
      <c r="H2397" s="1341" t="b">
        <f>IF(LEN('11.1000'!W151)=0,"",'11.1000'!W151)</f>
        <v>1</v>
      </c>
      <c r="J2397" s="1312"/>
    </row>
    <row r="2398" spans="1:10" x14ac:dyDescent="0.2">
      <c r="A2398" s="467" t="str">
        <f>IF(AND(LEN(H2398)&gt;0,NOT(H2398=FALSE),NOT(H2398="N/A")),"P","")</f>
        <v/>
      </c>
      <c r="B2398" s="1324" t="str">
        <f>IF(LEN('11.1000'!H152)=0,"",'11.1000'!H152)</f>
        <v/>
      </c>
      <c r="C2398" s="1280" t="str">
        <f t="shared" si="254"/>
        <v/>
      </c>
      <c r="D2398" s="866"/>
      <c r="E2398" s="1068" t="s">
        <v>394</v>
      </c>
      <c r="F2398" s="1111"/>
      <c r="G2398" s="1634" t="s">
        <v>4923</v>
      </c>
      <c r="H2398" s="1341" t="str">
        <f>IF(LEN('11.1000'!W152)=0,"",'11.1000'!W152)</f>
        <v/>
      </c>
      <c r="J2398" s="1312"/>
    </row>
    <row r="2399" spans="1:10" ht="16" thickBot="1" x14ac:dyDescent="0.25">
      <c r="A2399" s="467" t="str">
        <f t="shared" ref="A2399" si="260">A2398</f>
        <v/>
      </c>
      <c r="B2399" s="1324" t="str">
        <f>IF(LEN('11.1000'!H153)=0,"",'11.1000'!H153)</f>
        <v/>
      </c>
      <c r="C2399" s="1280" t="str">
        <f t="shared" si="254"/>
        <v/>
      </c>
      <c r="D2399" s="116"/>
      <c r="E2399" s="1112"/>
      <c r="F2399" s="1112"/>
      <c r="G2399" s="1635"/>
      <c r="H2399" s="1326"/>
      <c r="J2399" s="1312"/>
    </row>
    <row r="2400" spans="1:10" ht="16" thickTop="1" x14ac:dyDescent="0.2">
      <c r="A2400" s="467" t="str">
        <f>IF(I2400&gt;0,"P","")</f>
        <v>P</v>
      </c>
      <c r="B2400" s="1324" t="str">
        <f>IF(LEN('11.1000'!H154)=0,"",'11.1000'!H154)</f>
        <v/>
      </c>
      <c r="C2400" s="1280" t="str">
        <f t="shared" si="254"/>
        <v>P</v>
      </c>
      <c r="D2400" s="136" t="s">
        <v>3758</v>
      </c>
      <c r="E2400" s="85"/>
      <c r="F2400" s="85"/>
      <c r="G2400" s="1631" t="s">
        <v>3867</v>
      </c>
      <c r="H2400" s="1341" t="b">
        <f>IF(LEN('11.1000'!W154)=0,"",'11.1000'!W154)</f>
        <v>1</v>
      </c>
      <c r="I2400" s="88">
        <f>'11.1000'!O154</f>
        <v>8</v>
      </c>
      <c r="J2400" s="1779" t="s">
        <v>3171</v>
      </c>
    </row>
    <row r="2401" spans="1:10" x14ac:dyDescent="0.2">
      <c r="A2401" s="467" t="str">
        <f t="shared" ref="A2401:A2412" si="261">A2400</f>
        <v>P</v>
      </c>
      <c r="B2401" s="1324" t="str">
        <f>IF(LEN('11.1000'!H155)=0,"",'11.1000'!H155)</f>
        <v/>
      </c>
      <c r="C2401" s="1280" t="str">
        <f t="shared" si="254"/>
        <v>P</v>
      </c>
      <c r="D2401" s="85"/>
      <c r="E2401" s="85"/>
      <c r="F2401" s="85"/>
      <c r="G2401" s="1631"/>
      <c r="H2401" s="1326"/>
      <c r="J2401" s="1797"/>
    </row>
    <row r="2402" spans="1:10" x14ac:dyDescent="0.2">
      <c r="A2402" s="467" t="str">
        <f t="shared" si="261"/>
        <v>P</v>
      </c>
      <c r="B2402" s="1324" t="str">
        <f>IF(LEN('11.1000'!H156)=0,"",'11.1000'!H156)</f>
        <v/>
      </c>
      <c r="C2402" s="1280" t="str">
        <f t="shared" si="254"/>
        <v>P</v>
      </c>
      <c r="D2402" s="85"/>
      <c r="E2402" s="85"/>
      <c r="F2402" s="85"/>
      <c r="G2402" s="1631"/>
      <c r="H2402" s="1326"/>
      <c r="J2402" s="1797"/>
    </row>
    <row r="2403" spans="1:10" x14ac:dyDescent="0.2">
      <c r="A2403" s="467" t="str">
        <f t="shared" si="261"/>
        <v>P</v>
      </c>
      <c r="B2403" s="1324" t="str">
        <f>IF(LEN('11.1000'!H157)=0,"",'11.1000'!H157)</f>
        <v/>
      </c>
      <c r="C2403" s="1280" t="str">
        <f t="shared" si="254"/>
        <v>P</v>
      </c>
      <c r="D2403" s="85"/>
      <c r="E2403" s="85"/>
      <c r="F2403" s="85"/>
      <c r="G2403" s="1631"/>
      <c r="H2403" s="1326"/>
      <c r="J2403" s="1327"/>
    </row>
    <row r="2404" spans="1:10" x14ac:dyDescent="0.2">
      <c r="A2404" s="467" t="str">
        <f t="shared" si="261"/>
        <v>P</v>
      </c>
      <c r="B2404" s="1324" t="str">
        <f>IF(LEN('11.1000'!H158)=0,"",'11.1000'!H158)</f>
        <v/>
      </c>
      <c r="C2404" s="1280" t="str">
        <f t="shared" si="254"/>
        <v>P</v>
      </c>
      <c r="D2404" s="85"/>
      <c r="E2404" s="85"/>
      <c r="F2404" s="85"/>
      <c r="G2404" s="1631"/>
      <c r="H2404" s="1326"/>
      <c r="J2404" s="1327"/>
    </row>
    <row r="2405" spans="1:10" x14ac:dyDescent="0.2">
      <c r="A2405" s="467" t="str">
        <f t="shared" si="261"/>
        <v>P</v>
      </c>
      <c r="B2405" s="1324" t="str">
        <f>IF(LEN('11.1000'!H159)=0,"",'11.1000'!H159)</f>
        <v/>
      </c>
      <c r="C2405" s="1280" t="str">
        <f t="shared" si="254"/>
        <v>P</v>
      </c>
      <c r="D2405" s="85"/>
      <c r="E2405" s="89" t="s">
        <v>254</v>
      </c>
      <c r="F2405" s="85"/>
      <c r="G2405" s="1316" t="s">
        <v>2829</v>
      </c>
      <c r="H2405" s="1326"/>
      <c r="J2405" s="1312"/>
    </row>
    <row r="2406" spans="1:10" x14ac:dyDescent="0.2">
      <c r="A2406" s="467" t="str">
        <f t="shared" si="261"/>
        <v>P</v>
      </c>
      <c r="B2406" s="1324" t="str">
        <f>IF(LEN('11.1000'!H160)=0,"",'11.1000'!H160)</f>
        <v/>
      </c>
      <c r="C2406" s="1280" t="str">
        <f t="shared" si="254"/>
        <v>P</v>
      </c>
      <c r="D2406" s="85"/>
      <c r="E2406" s="89" t="s">
        <v>255</v>
      </c>
      <c r="F2406" s="85"/>
      <c r="G2406" s="1316" t="s">
        <v>2830</v>
      </c>
      <c r="H2406" s="1326"/>
      <c r="J2406" s="1312"/>
    </row>
    <row r="2407" spans="1:10" x14ac:dyDescent="0.2">
      <c r="A2407" s="467" t="str">
        <f t="shared" si="261"/>
        <v>P</v>
      </c>
      <c r="B2407" s="1324" t="str">
        <f>IF(LEN('11.1000'!H161)=0,"",'11.1000'!H161)</f>
        <v/>
      </c>
      <c r="C2407" s="1280" t="str">
        <f t="shared" si="254"/>
        <v>P</v>
      </c>
      <c r="D2407" s="85"/>
      <c r="E2407" s="89" t="s">
        <v>256</v>
      </c>
      <c r="F2407" s="85"/>
      <c r="G2407" s="1316" t="s">
        <v>2831</v>
      </c>
      <c r="H2407" s="1326"/>
      <c r="J2407" s="1312"/>
    </row>
    <row r="2408" spans="1:10" x14ac:dyDescent="0.2">
      <c r="A2408" s="467" t="str">
        <f t="shared" si="261"/>
        <v>P</v>
      </c>
      <c r="B2408" s="1324" t="str">
        <f>IF(LEN('11.1000'!H162)=0,"",'11.1000'!H162)</f>
        <v/>
      </c>
      <c r="C2408" s="1280" t="str">
        <f t="shared" si="254"/>
        <v>P</v>
      </c>
      <c r="D2408" s="85"/>
      <c r="E2408" s="89" t="s">
        <v>259</v>
      </c>
      <c r="F2408" s="85"/>
      <c r="G2408" s="1316" t="s">
        <v>2839</v>
      </c>
      <c r="H2408" s="1326"/>
      <c r="J2408" s="1312"/>
    </row>
    <row r="2409" spans="1:10" x14ac:dyDescent="0.2">
      <c r="A2409" s="467" t="str">
        <f t="shared" si="261"/>
        <v>P</v>
      </c>
      <c r="B2409" s="1324" t="str">
        <f>IF(LEN('11.1000'!H163)=0,"",'11.1000'!H163)</f>
        <v/>
      </c>
      <c r="C2409" s="1280" t="str">
        <f t="shared" si="254"/>
        <v>P</v>
      </c>
      <c r="D2409" s="85"/>
      <c r="E2409" s="89" t="s">
        <v>263</v>
      </c>
      <c r="F2409" s="85"/>
      <c r="G2409" s="1316" t="s">
        <v>2840</v>
      </c>
      <c r="H2409" s="1326"/>
      <c r="J2409" s="1312"/>
    </row>
    <row r="2410" spans="1:10" x14ac:dyDescent="0.2">
      <c r="A2410" s="467" t="str">
        <f t="shared" si="261"/>
        <v>P</v>
      </c>
      <c r="B2410" s="1324" t="str">
        <f>IF(LEN('11.1000'!H164)=0,"",'11.1000'!H164)</f>
        <v/>
      </c>
      <c r="C2410" s="1280" t="str">
        <f t="shared" si="254"/>
        <v>P</v>
      </c>
      <c r="D2410" s="85"/>
      <c r="E2410" s="89" t="s">
        <v>264</v>
      </c>
      <c r="F2410" s="85"/>
      <c r="G2410" s="1316" t="s">
        <v>2834</v>
      </c>
      <c r="H2410" s="1326"/>
      <c r="J2410" s="1312"/>
    </row>
    <row r="2411" spans="1:10" x14ac:dyDescent="0.2">
      <c r="A2411" s="467" t="str">
        <f t="shared" si="261"/>
        <v>P</v>
      </c>
      <c r="B2411" s="1324" t="str">
        <f>IF(LEN('11.1000'!H165)=0,"",'11.1000'!H165)</f>
        <v/>
      </c>
      <c r="C2411" s="1280" t="str">
        <f t="shared" si="254"/>
        <v>P</v>
      </c>
      <c r="D2411" s="85"/>
      <c r="E2411" s="89" t="s">
        <v>356</v>
      </c>
      <c r="F2411" s="85"/>
      <c r="G2411" s="1316" t="s">
        <v>2841</v>
      </c>
      <c r="H2411" s="1326"/>
      <c r="J2411" s="1312"/>
    </row>
    <row r="2412" spans="1:10" ht="16" thickBot="1" x14ac:dyDescent="0.25">
      <c r="A2412" s="467" t="str">
        <f t="shared" si="261"/>
        <v>P</v>
      </c>
      <c r="B2412" s="1324" t="str">
        <f>IF(LEN('11.1000'!H166)=0,"",'11.1000'!H166)</f>
        <v/>
      </c>
      <c r="C2412" s="1280" t="str">
        <f t="shared" si="254"/>
        <v>P</v>
      </c>
      <c r="D2412" s="99"/>
      <c r="E2412" s="98" t="s">
        <v>389</v>
      </c>
      <c r="F2412" s="99"/>
      <c r="G2412" s="1320" t="s">
        <v>4924</v>
      </c>
      <c r="H2412" s="1326"/>
      <c r="J2412" s="1312"/>
    </row>
    <row r="2413" spans="1:10" ht="16" thickTop="1" x14ac:dyDescent="0.2">
      <c r="A2413" s="467" t="str">
        <f>IF(I2413&gt;0,"P","")</f>
        <v>P</v>
      </c>
      <c r="B2413" s="1324" t="str">
        <f>IF(LEN('11.1000'!H167)=0,"",'11.1000'!H167)</f>
        <v/>
      </c>
      <c r="C2413" s="1280" t="str">
        <f t="shared" si="254"/>
        <v>P</v>
      </c>
      <c r="D2413" s="589" t="s">
        <v>4925</v>
      </c>
      <c r="E2413" s="873"/>
      <c r="F2413" s="873"/>
      <c r="G2413" s="1687" t="s">
        <v>4926</v>
      </c>
      <c r="H2413" s="1326"/>
      <c r="I2413" s="88">
        <f>'11.1000'!O167</f>
        <v>4</v>
      </c>
      <c r="J2413" s="1779" t="s">
        <v>5244</v>
      </c>
    </row>
    <row r="2414" spans="1:10" x14ac:dyDescent="0.2">
      <c r="A2414" s="467" t="str">
        <f t="shared" ref="A2414" si="262">A2413</f>
        <v>P</v>
      </c>
      <c r="B2414" s="1324" t="str">
        <f>IF(LEN('11.1000'!H168)=0,"",'11.1000'!H168)</f>
        <v/>
      </c>
      <c r="C2414" s="1280" t="str">
        <f t="shared" si="254"/>
        <v>P</v>
      </c>
      <c r="D2414" s="589"/>
      <c r="E2414" s="873"/>
      <c r="F2414" s="873"/>
      <c r="G2414" s="1687"/>
      <c r="H2414" s="1326"/>
      <c r="J2414" s="1797"/>
    </row>
    <row r="2415" spans="1:10" x14ac:dyDescent="0.2">
      <c r="A2415" s="467" t="str">
        <f>IF(AND(LEN(H2415)&gt;0,NOT(H2415=FALSE),NOT(H2415="N/A")),"P","")</f>
        <v>P</v>
      </c>
      <c r="B2415" s="1324" t="str">
        <f>IF(LEN('11.1000'!H169)=0,"",'11.1000'!H169)</f>
        <v/>
      </c>
      <c r="C2415" s="1280" t="str">
        <f t="shared" si="254"/>
        <v>P</v>
      </c>
      <c r="D2415" s="589"/>
      <c r="E2415" s="873" t="s">
        <v>254</v>
      </c>
      <c r="F2415" s="873"/>
      <c r="G2415" s="1290" t="s">
        <v>4927</v>
      </c>
      <c r="H2415" s="1341" t="b">
        <f>IF(LEN('11.1000'!W169)=0,"",'11.1000'!W169)</f>
        <v>1</v>
      </c>
      <c r="J2415" s="1312"/>
    </row>
    <row r="2416" spans="1:10" x14ac:dyDescent="0.2">
      <c r="A2416" s="467" t="str">
        <f>IF(AND(LEN(H2416)&gt;0,NOT(H2416=FALSE),NOT(H2416="N/A")),"P","")</f>
        <v>P</v>
      </c>
      <c r="B2416" s="1324" t="str">
        <f>IF(LEN('11.1000'!H170)=0,"",'11.1000'!H170)</f>
        <v/>
      </c>
      <c r="C2416" s="1280" t="str">
        <f t="shared" si="254"/>
        <v>P</v>
      </c>
      <c r="D2416" s="589"/>
      <c r="E2416" s="873" t="s">
        <v>255</v>
      </c>
      <c r="F2416" s="873"/>
      <c r="G2416" s="1290" t="s">
        <v>4928</v>
      </c>
      <c r="H2416" s="1341" t="b">
        <f>IF(LEN('11.1000'!W170)=0,"",'11.1000'!W170)</f>
        <v>1</v>
      </c>
      <c r="J2416" s="1312"/>
    </row>
    <row r="2417" spans="1:10" x14ac:dyDescent="0.2">
      <c r="A2417" s="467" t="str">
        <f>IF(AND(LEN(H2417)&gt;0,NOT(H2417=FALSE),NOT(H2417="N/A")),"P","")</f>
        <v>P</v>
      </c>
      <c r="B2417" s="1324" t="str">
        <f>IF(LEN('11.1000'!H171)=0,"",'11.1000'!H171)</f>
        <v/>
      </c>
      <c r="C2417" s="1280" t="str">
        <f t="shared" si="254"/>
        <v>P</v>
      </c>
      <c r="D2417" s="589"/>
      <c r="E2417" s="873" t="s">
        <v>256</v>
      </c>
      <c r="F2417" s="873"/>
      <c r="G2417" s="1634" t="s">
        <v>4929</v>
      </c>
      <c r="H2417" s="1341" t="b">
        <f>IF(LEN('11.1000'!W171)=0,"",'11.1000'!W171)</f>
        <v>1</v>
      </c>
      <c r="J2417" s="1312"/>
    </row>
    <row r="2418" spans="1:10" x14ac:dyDescent="0.2">
      <c r="A2418" s="467" t="str">
        <f t="shared" ref="A2418" si="263">A2417</f>
        <v>P</v>
      </c>
      <c r="B2418" s="1324" t="str">
        <f>IF(LEN('11.1000'!H172)=0,"",'11.1000'!H172)</f>
        <v/>
      </c>
      <c r="C2418" s="1280" t="str">
        <f t="shared" si="254"/>
        <v>P</v>
      </c>
      <c r="D2418" s="589"/>
      <c r="E2418" s="873"/>
      <c r="F2418" s="873"/>
      <c r="G2418" s="1634"/>
      <c r="H2418" s="1326"/>
      <c r="J2418" s="1312"/>
    </row>
    <row r="2419" spans="1:10" x14ac:dyDescent="0.2">
      <c r="A2419" s="467" t="str">
        <f t="shared" ref="A2419:A2424" si="264">IF(AND(LEN(H2419)&gt;0,NOT(H2419=FALSE),NOT(H2419="N/A")),"P","")</f>
        <v>P</v>
      </c>
      <c r="B2419" s="1324" t="str">
        <f>IF(LEN('11.1000'!H173)=0,"",'11.1000'!H173)</f>
        <v/>
      </c>
      <c r="C2419" s="1280" t="str">
        <f t="shared" si="254"/>
        <v>P</v>
      </c>
      <c r="D2419" s="589"/>
      <c r="E2419" s="873" t="s">
        <v>259</v>
      </c>
      <c r="F2419" s="873"/>
      <c r="G2419" s="1290" t="s">
        <v>4930</v>
      </c>
      <c r="H2419" s="1341" t="b">
        <f>IF(LEN('11.1000'!W173)=0,"",'11.1000'!W173)</f>
        <v>1</v>
      </c>
      <c r="J2419" s="1312"/>
    </row>
    <row r="2420" spans="1:10" x14ac:dyDescent="0.2">
      <c r="A2420" s="467" t="str">
        <f t="shared" si="264"/>
        <v>P</v>
      </c>
      <c r="B2420" s="1324" t="str">
        <f>IF(LEN('11.1000'!H174)=0,"",'11.1000'!H174)</f>
        <v/>
      </c>
      <c r="C2420" s="1280" t="str">
        <f t="shared" si="254"/>
        <v>P</v>
      </c>
      <c r="D2420" s="589"/>
      <c r="E2420" s="873" t="s">
        <v>263</v>
      </c>
      <c r="F2420" s="873"/>
      <c r="G2420" s="1290" t="s">
        <v>4931</v>
      </c>
      <c r="H2420" s="1341" t="b">
        <f>IF(LEN('11.1000'!W174)=0,"",'11.1000'!W174)</f>
        <v>1</v>
      </c>
      <c r="J2420" s="1312"/>
    </row>
    <row r="2421" spans="1:10" x14ac:dyDescent="0.2">
      <c r="A2421" s="467" t="str">
        <f t="shared" si="264"/>
        <v>P</v>
      </c>
      <c r="B2421" s="1324" t="str">
        <f>IF(LEN('11.1000'!H175)=0,"",'11.1000'!H175)</f>
        <v/>
      </c>
      <c r="C2421" s="1280" t="str">
        <f t="shared" si="254"/>
        <v>P</v>
      </c>
      <c r="D2421" s="589"/>
      <c r="E2421" s="873" t="s">
        <v>264</v>
      </c>
      <c r="F2421" s="873"/>
      <c r="G2421" s="1290" t="s">
        <v>4932</v>
      </c>
      <c r="H2421" s="1341" t="b">
        <f>IF(LEN('11.1000'!W175)=0,"",'11.1000'!W175)</f>
        <v>1</v>
      </c>
      <c r="J2421" s="1312"/>
    </row>
    <row r="2422" spans="1:10" x14ac:dyDescent="0.2">
      <c r="A2422" s="467" t="str">
        <f t="shared" si="264"/>
        <v>P</v>
      </c>
      <c r="B2422" s="1324" t="str">
        <f>IF(LEN('11.1000'!H176)=0,"",'11.1000'!H176)</f>
        <v/>
      </c>
      <c r="C2422" s="1280" t="str">
        <f t="shared" si="254"/>
        <v>P</v>
      </c>
      <c r="D2422" s="589"/>
      <c r="E2422" s="873" t="s">
        <v>356</v>
      </c>
      <c r="F2422" s="873"/>
      <c r="G2422" s="1290" t="s">
        <v>4933</v>
      </c>
      <c r="H2422" s="1341" t="b">
        <f>IF(LEN('11.1000'!W176)=0,"",'11.1000'!W176)</f>
        <v>1</v>
      </c>
      <c r="J2422" s="1312"/>
    </row>
    <row r="2423" spans="1:10" x14ac:dyDescent="0.2">
      <c r="A2423" s="467" t="str">
        <f t="shared" si="264"/>
        <v>P</v>
      </c>
      <c r="B2423" s="1324" t="str">
        <f>IF(LEN('11.1000'!H177)=0,"",'11.1000'!H177)</f>
        <v/>
      </c>
      <c r="C2423" s="1280" t="str">
        <f t="shared" si="254"/>
        <v>P</v>
      </c>
      <c r="D2423" s="589"/>
      <c r="E2423" s="873" t="s">
        <v>389</v>
      </c>
      <c r="F2423" s="873"/>
      <c r="G2423" s="1290" t="s">
        <v>4934</v>
      </c>
      <c r="H2423" s="1341" t="b">
        <f>IF(LEN('11.1000'!W177)=0,"",'11.1000'!W177)</f>
        <v>1</v>
      </c>
      <c r="J2423" s="1312"/>
    </row>
    <row r="2424" spans="1:10" ht="16" thickBot="1" x14ac:dyDescent="0.25">
      <c r="A2424" s="467" t="str">
        <f t="shared" si="264"/>
        <v>P</v>
      </c>
      <c r="B2424" s="1324" t="str">
        <f>IF(LEN('11.1000'!H178)=0,"",'11.1000'!H178)</f>
        <v/>
      </c>
      <c r="C2424" s="1280" t="str">
        <f t="shared" si="254"/>
        <v>P</v>
      </c>
      <c r="D2424" s="594"/>
      <c r="E2424" s="1069" t="s">
        <v>391</v>
      </c>
      <c r="F2424" s="1069"/>
      <c r="G2424" s="1293" t="s">
        <v>4935</v>
      </c>
      <c r="H2424" s="1341" t="b">
        <f>IF(LEN('11.1000'!W178)=0,"",'11.1000'!W178)</f>
        <v>1</v>
      </c>
      <c r="J2424" s="1312"/>
    </row>
    <row r="2425" spans="1:10" ht="16" thickTop="1" x14ac:dyDescent="0.2">
      <c r="A2425" s="467" t="str">
        <f>IF(I2425&gt;0,"P","")</f>
        <v/>
      </c>
      <c r="B2425" s="1324" t="str">
        <f>IF(LEN('11.1000'!H179)=0,"",'11.1000'!H179)</f>
        <v/>
      </c>
      <c r="C2425" s="1280" t="str">
        <f t="shared" si="254"/>
        <v/>
      </c>
      <c r="D2425" s="589" t="s">
        <v>4936</v>
      </c>
      <c r="E2425" s="873"/>
      <c r="F2425" s="873"/>
      <c r="G2425" s="1687" t="s">
        <v>4937</v>
      </c>
      <c r="H2425" s="1326"/>
      <c r="I2425" s="88">
        <f>'11.1000'!O179</f>
        <v>0</v>
      </c>
      <c r="J2425" s="1314" t="s">
        <v>5245</v>
      </c>
    </row>
    <row r="2426" spans="1:10" x14ac:dyDescent="0.2">
      <c r="A2426" s="467" t="str">
        <f t="shared" ref="A2426:A2428" si="265">A2425</f>
        <v/>
      </c>
      <c r="B2426" s="1324" t="str">
        <f>IF(LEN('11.1000'!H180)=0,"",'11.1000'!H180)</f>
        <v/>
      </c>
      <c r="C2426" s="1280" t="str">
        <f t="shared" si="254"/>
        <v/>
      </c>
      <c r="D2426" s="589"/>
      <c r="E2426" s="873"/>
      <c r="F2426" s="873"/>
      <c r="G2426" s="1687"/>
      <c r="H2426" s="1326"/>
      <c r="J2426" s="1312"/>
    </row>
    <row r="2427" spans="1:10" x14ac:dyDescent="0.2">
      <c r="A2427" s="467" t="str">
        <f t="shared" si="265"/>
        <v/>
      </c>
      <c r="B2427" s="1324" t="str">
        <f>IF(LEN('11.1000'!H181)=0,"",'11.1000'!H181)</f>
        <v/>
      </c>
      <c r="C2427" s="1280" t="str">
        <f t="shared" si="254"/>
        <v/>
      </c>
      <c r="D2427" s="589"/>
      <c r="E2427" s="873"/>
      <c r="F2427" s="873"/>
      <c r="G2427" s="1687"/>
      <c r="H2427" s="1326"/>
      <c r="J2427" s="1312"/>
    </row>
    <row r="2428" spans="1:10" x14ac:dyDescent="0.2">
      <c r="A2428" s="467" t="str">
        <f t="shared" si="265"/>
        <v/>
      </c>
      <c r="B2428" s="1324" t="str">
        <f>IF(LEN('11.1000'!H182)=0,"",'11.1000'!H182)</f>
        <v/>
      </c>
      <c r="C2428" s="1280" t="str">
        <f t="shared" si="254"/>
        <v/>
      </c>
      <c r="D2428" s="589"/>
      <c r="E2428" s="873"/>
      <c r="F2428" s="873"/>
      <c r="G2428" s="1687"/>
      <c r="H2428" s="1326"/>
      <c r="J2428" s="1312"/>
    </row>
    <row r="2429" spans="1:10" x14ac:dyDescent="0.2">
      <c r="A2429" s="467" t="str">
        <f t="shared" ref="A2429:A2435" si="266">IF(AND(LEN(H2429)&gt;0,NOT(H2429=FALSE),NOT(H2429="N/A")),"P","")</f>
        <v/>
      </c>
      <c r="B2429" s="1324" t="str">
        <f>IF(LEN('11.1000'!H183)=0,"",'11.1000'!H183)</f>
        <v/>
      </c>
      <c r="C2429" s="1280" t="str">
        <f t="shared" si="254"/>
        <v/>
      </c>
      <c r="D2429" s="589"/>
      <c r="E2429" s="873" t="s">
        <v>254</v>
      </c>
      <c r="F2429" s="873"/>
      <c r="G2429" s="1290" t="s">
        <v>4938</v>
      </c>
      <c r="H2429" s="1341" t="str">
        <f>IF(LEN('11.1000'!W183)=0,"",'11.1000'!W183)</f>
        <v/>
      </c>
      <c r="J2429" s="1312"/>
    </row>
    <row r="2430" spans="1:10" x14ac:dyDescent="0.2">
      <c r="A2430" s="467" t="str">
        <f t="shared" si="266"/>
        <v/>
      </c>
      <c r="B2430" s="1324" t="str">
        <f>IF(LEN('11.1000'!H184)=0,"",'11.1000'!H184)</f>
        <v/>
      </c>
      <c r="C2430" s="1280" t="str">
        <f t="shared" si="254"/>
        <v/>
      </c>
      <c r="D2430" s="589"/>
      <c r="E2430" s="873" t="s">
        <v>255</v>
      </c>
      <c r="F2430" s="873"/>
      <c r="G2430" s="1290" t="s">
        <v>4939</v>
      </c>
      <c r="H2430" s="1341" t="str">
        <f>IF(LEN('11.1000'!W184)=0,"",'11.1000'!W184)</f>
        <v/>
      </c>
      <c r="J2430" s="1312"/>
    </row>
    <row r="2431" spans="1:10" x14ac:dyDescent="0.2">
      <c r="A2431" s="467" t="str">
        <f t="shared" si="266"/>
        <v/>
      </c>
      <c r="B2431" s="1324" t="str">
        <f>IF(LEN('11.1000'!H185)=0,"",'11.1000'!H185)</f>
        <v/>
      </c>
      <c r="C2431" s="1280" t="str">
        <f t="shared" si="254"/>
        <v/>
      </c>
      <c r="D2431" s="589"/>
      <c r="E2431" s="873" t="s">
        <v>256</v>
      </c>
      <c r="F2431" s="873"/>
      <c r="G2431" s="1290" t="s">
        <v>4940</v>
      </c>
      <c r="H2431" s="1341" t="str">
        <f>IF(LEN('11.1000'!W185)=0,"",'11.1000'!W185)</f>
        <v/>
      </c>
      <c r="J2431" s="1312"/>
    </row>
    <row r="2432" spans="1:10" x14ac:dyDescent="0.2">
      <c r="A2432" s="467" t="str">
        <f t="shared" si="266"/>
        <v/>
      </c>
      <c r="B2432" s="1324" t="str">
        <f>IF(LEN('11.1000'!H186)=0,"",'11.1000'!H186)</f>
        <v/>
      </c>
      <c r="C2432" s="1280" t="str">
        <f t="shared" si="254"/>
        <v/>
      </c>
      <c r="D2432" s="589"/>
      <c r="E2432" s="873" t="s">
        <v>259</v>
      </c>
      <c r="F2432" s="873"/>
      <c r="G2432" s="1290" t="s">
        <v>4941</v>
      </c>
      <c r="H2432" s="1341" t="str">
        <f>IF(LEN('11.1000'!W186)=0,"",'11.1000'!W186)</f>
        <v/>
      </c>
      <c r="J2432" s="1312"/>
    </row>
    <row r="2433" spans="1:10" x14ac:dyDescent="0.2">
      <c r="A2433" s="467" t="str">
        <f t="shared" si="266"/>
        <v/>
      </c>
      <c r="B2433" s="1324" t="str">
        <f>IF(LEN('11.1000'!H187)=0,"",'11.1000'!H187)</f>
        <v/>
      </c>
      <c r="C2433" s="1280" t="str">
        <f t="shared" si="254"/>
        <v/>
      </c>
      <c r="D2433" s="589"/>
      <c r="E2433" s="873" t="s">
        <v>263</v>
      </c>
      <c r="F2433" s="873"/>
      <c r="G2433" s="1290" t="s">
        <v>4942</v>
      </c>
      <c r="H2433" s="1341" t="str">
        <f>IF(LEN('11.1000'!W187)=0,"",'11.1000'!W187)</f>
        <v/>
      </c>
      <c r="J2433" s="1312"/>
    </row>
    <row r="2434" spans="1:10" x14ac:dyDescent="0.2">
      <c r="A2434" s="467" t="str">
        <f t="shared" si="266"/>
        <v/>
      </c>
      <c r="B2434" s="1324" t="str">
        <f>IF(LEN('11.1000'!H188)=0,"",'11.1000'!H188)</f>
        <v/>
      </c>
      <c r="C2434" s="1280" t="str">
        <f t="shared" si="254"/>
        <v/>
      </c>
      <c r="D2434" s="589"/>
      <c r="E2434" s="873" t="s">
        <v>264</v>
      </c>
      <c r="F2434" s="873"/>
      <c r="G2434" s="1290" t="s">
        <v>2829</v>
      </c>
      <c r="H2434" s="1341" t="str">
        <f>IF(LEN('11.1000'!W188)=0,"",'11.1000'!W188)</f>
        <v/>
      </c>
      <c r="J2434" s="1312"/>
    </row>
    <row r="2435" spans="1:10" x14ac:dyDescent="0.2">
      <c r="A2435" s="467" t="str">
        <f t="shared" si="266"/>
        <v/>
      </c>
      <c r="B2435" s="1324" t="str">
        <f>IF(LEN('11.1000'!H189)=0,"",'11.1000'!H189)</f>
        <v/>
      </c>
      <c r="C2435" s="1280" t="str">
        <f t="shared" si="254"/>
        <v/>
      </c>
      <c r="D2435" s="589"/>
      <c r="E2435" s="873" t="s">
        <v>356</v>
      </c>
      <c r="F2435" s="873"/>
      <c r="G2435" s="1290" t="s">
        <v>4943</v>
      </c>
      <c r="H2435" s="1341" t="str">
        <f>IF(LEN('11.1000'!W189)=0,"",'11.1000'!W189)</f>
        <v/>
      </c>
      <c r="J2435" s="1312"/>
    </row>
    <row r="2436" spans="1:10" ht="19" x14ac:dyDescent="0.25">
      <c r="A2436" s="467" t="s">
        <v>3200</v>
      </c>
      <c r="B2436" s="1324" t="str">
        <f>IF(LEN('11.1000'!H190)=0,"",'11.1000'!H190)</f>
        <v/>
      </c>
      <c r="C2436" s="1280" t="str">
        <f t="shared" si="254"/>
        <v>P</v>
      </c>
      <c r="D2436" s="72" t="s">
        <v>3759</v>
      </c>
      <c r="E2436" s="84"/>
      <c r="F2436" s="84"/>
      <c r="G2436" s="232"/>
      <c r="H2436" s="994"/>
      <c r="I2436" s="25"/>
      <c r="J2436" s="25"/>
    </row>
    <row r="2437" spans="1:10" x14ac:dyDescent="0.2">
      <c r="B2437" s="1324" t="str">
        <f>IF(LEN('11.1000'!H191)=0,"",'11.1000'!H191)</f>
        <v/>
      </c>
      <c r="C2437" s="1280" t="str">
        <f t="shared" si="254"/>
        <v/>
      </c>
      <c r="D2437" s="590" t="s">
        <v>3760</v>
      </c>
      <c r="E2437" s="97"/>
      <c r="F2437" s="97"/>
      <c r="G2437" s="1629" t="s">
        <v>3763</v>
      </c>
      <c r="H2437" s="1326"/>
      <c r="J2437" s="1312"/>
    </row>
    <row r="2438" spans="1:10" x14ac:dyDescent="0.2">
      <c r="B2438" s="1324" t="str">
        <f>IF(LEN('11.1000'!H192)=0,"",'11.1000'!H192)</f>
        <v/>
      </c>
      <c r="C2438" s="1280" t="str">
        <f t="shared" si="254"/>
        <v/>
      </c>
      <c r="D2438" s="1332"/>
      <c r="E2438" s="97"/>
      <c r="F2438" s="97"/>
      <c r="G2438" s="1629"/>
      <c r="H2438" s="1326"/>
      <c r="J2438" s="1312"/>
    </row>
    <row r="2439" spans="1:10" ht="16" thickBot="1" x14ac:dyDescent="0.25">
      <c r="B2439" s="1324" t="str">
        <f>IF(LEN('11.1000'!H193)=0,"",'11.1000'!H193)</f>
        <v/>
      </c>
      <c r="C2439" s="1280" t="str">
        <f t="shared" si="254"/>
        <v/>
      </c>
      <c r="D2439" s="1333"/>
      <c r="E2439" s="99"/>
      <c r="F2439" s="99"/>
      <c r="G2439" s="1630"/>
      <c r="H2439" s="1326"/>
      <c r="J2439" s="1312"/>
    </row>
    <row r="2440" spans="1:10" ht="16" thickTop="1" x14ac:dyDescent="0.2">
      <c r="A2440" s="467" t="str">
        <f>IF(I2440&gt;0,"P","")</f>
        <v/>
      </c>
      <c r="B2440" s="1324" t="str">
        <f>IF(LEN('11.1000'!H194)=0,"",'11.1000'!H194)</f>
        <v/>
      </c>
      <c r="C2440" s="1280" t="str">
        <f t="shared" ref="C2440:C2503" si="267">IF(LEN(B2440)=0,IF(A2440="P","P",""),B2440)</f>
        <v/>
      </c>
      <c r="D2440" s="136" t="s">
        <v>3761</v>
      </c>
      <c r="E2440" s="85"/>
      <c r="F2440" s="85"/>
      <c r="G2440" s="231" t="s">
        <v>3762</v>
      </c>
      <c r="H2440" s="1326"/>
      <c r="I2440" s="88">
        <f>'11.1000'!O194</f>
        <v>0</v>
      </c>
      <c r="J2440" s="1312"/>
    </row>
    <row r="2441" spans="1:10" x14ac:dyDescent="0.2">
      <c r="A2441" s="467" t="str">
        <f>IF(AND(LEN(H2441)&gt;0,NOT(H2441=FALSE),NOT(H2441="N/A")),"P","")</f>
        <v/>
      </c>
      <c r="B2441" s="1324" t="str">
        <f>IF(LEN('11.1000'!H195)=0,"",'11.1000'!H195)</f>
        <v/>
      </c>
      <c r="C2441" s="1280" t="str">
        <f t="shared" si="267"/>
        <v/>
      </c>
      <c r="D2441" s="1334"/>
      <c r="E2441" s="93" t="s">
        <v>254</v>
      </c>
      <c r="F2441" s="97"/>
      <c r="G2441" s="1629" t="s">
        <v>2843</v>
      </c>
      <c r="H2441" s="1341" t="str">
        <f>IF(LEN('11.1000'!W195)=0,"",'11.1000'!W195)</f>
        <v/>
      </c>
      <c r="J2441" s="1779" t="s">
        <v>3172</v>
      </c>
    </row>
    <row r="2442" spans="1:10" x14ac:dyDescent="0.2">
      <c r="A2442" s="467" t="str">
        <f t="shared" ref="A2442:A2448" si="268">A2441</f>
        <v/>
      </c>
      <c r="B2442" s="1324" t="str">
        <f>IF(LEN('11.1000'!H196)=0,"",'11.1000'!H196)</f>
        <v/>
      </c>
      <c r="C2442" s="1280" t="str">
        <f t="shared" si="267"/>
        <v/>
      </c>
      <c r="D2442" s="1334"/>
      <c r="E2442" s="169"/>
      <c r="F2442" s="170"/>
      <c r="G2442" s="1696"/>
      <c r="H2442" s="1326"/>
      <c r="J2442" s="1779"/>
    </row>
    <row r="2443" spans="1:10" x14ac:dyDescent="0.2">
      <c r="A2443" s="467" t="str">
        <f>IF(AND(LEN(H2443)&gt;0,NOT(H2443=FALSE),NOT(H2443="N/A")),"P","")</f>
        <v/>
      </c>
      <c r="B2443" s="1324" t="str">
        <f>IF(LEN('11.1000'!H197)=0,"",'11.1000'!H197)</f>
        <v/>
      </c>
      <c r="C2443" s="1280" t="str">
        <f t="shared" si="267"/>
        <v/>
      </c>
      <c r="D2443" s="1334"/>
      <c r="E2443" s="860" t="s">
        <v>255</v>
      </c>
      <c r="F2443" s="194"/>
      <c r="G2443" s="1712" t="s">
        <v>2844</v>
      </c>
      <c r="H2443" s="1341" t="str">
        <f>IF(LEN('11.1000'!W197)=0,"",'11.1000'!W197)</f>
        <v/>
      </c>
      <c r="J2443" s="1779" t="s">
        <v>3173</v>
      </c>
    </row>
    <row r="2444" spans="1:10" x14ac:dyDescent="0.2">
      <c r="A2444" s="467" t="str">
        <f t="shared" si="268"/>
        <v/>
      </c>
      <c r="B2444" s="1324" t="str">
        <f>IF(LEN('11.1000'!H198)=0,"",'11.1000'!H198)</f>
        <v/>
      </c>
      <c r="C2444" s="1280" t="str">
        <f t="shared" si="267"/>
        <v/>
      </c>
      <c r="D2444" s="1334"/>
      <c r="E2444" s="93"/>
      <c r="F2444" s="97"/>
      <c r="G2444" s="1629"/>
      <c r="H2444" s="1326"/>
      <c r="J2444" s="1779"/>
    </row>
    <row r="2445" spans="1:10" x14ac:dyDescent="0.2">
      <c r="A2445" s="467" t="str">
        <f t="shared" si="268"/>
        <v/>
      </c>
      <c r="B2445" s="1324" t="str">
        <f>IF(LEN('11.1000'!H199)=0,"",'11.1000'!H199)</f>
        <v/>
      </c>
      <c r="C2445" s="1280" t="str">
        <f t="shared" si="267"/>
        <v/>
      </c>
      <c r="D2445" s="1334"/>
      <c r="E2445" s="169"/>
      <c r="F2445" s="170"/>
      <c r="G2445" s="1696"/>
      <c r="H2445" s="1326"/>
      <c r="J2445" s="1779"/>
    </row>
    <row r="2446" spans="1:10" x14ac:dyDescent="0.2">
      <c r="A2446" s="467" t="str">
        <f>IF(AND(LEN(H2446)&gt;0,NOT(H2446=FALSE),NOT(H2446="N/A")),"P","")</f>
        <v/>
      </c>
      <c r="B2446" s="1324" t="str">
        <f>IF(LEN('11.1000'!H200)=0,"",'11.1000'!H200)</f>
        <v/>
      </c>
      <c r="C2446" s="1280" t="str">
        <f t="shared" si="267"/>
        <v/>
      </c>
      <c r="D2446" s="1334"/>
      <c r="E2446" s="89" t="s">
        <v>256</v>
      </c>
      <c r="F2446" s="85"/>
      <c r="G2446" s="1631" t="s">
        <v>2845</v>
      </c>
      <c r="H2446" s="1341" t="str">
        <f>IF(LEN('11.1000'!W200)=0,"",'11.1000'!W200)</f>
        <v/>
      </c>
      <c r="J2446" s="1779" t="s">
        <v>3174</v>
      </c>
    </row>
    <row r="2447" spans="1:10" x14ac:dyDescent="0.2">
      <c r="A2447" s="467" t="str">
        <f t="shared" si="268"/>
        <v/>
      </c>
      <c r="B2447" s="1324" t="str">
        <f>IF(LEN('11.1000'!H201)=0,"",'11.1000'!H201)</f>
        <v/>
      </c>
      <c r="C2447" s="1280" t="str">
        <f t="shared" si="267"/>
        <v/>
      </c>
      <c r="D2447" s="1334"/>
      <c r="E2447" s="85"/>
      <c r="F2447" s="85"/>
      <c r="G2447" s="1631"/>
      <c r="H2447" s="1326"/>
      <c r="J2447" s="1779"/>
    </row>
    <row r="2448" spans="1:10" x14ac:dyDescent="0.2">
      <c r="A2448" s="467" t="str">
        <f t="shared" si="268"/>
        <v/>
      </c>
      <c r="B2448" s="1324" t="str">
        <f>IF(LEN('11.1000'!H202)=0,"",'11.1000'!H202)</f>
        <v/>
      </c>
      <c r="C2448" s="1280" t="str">
        <f t="shared" si="267"/>
        <v/>
      </c>
      <c r="D2448" s="1334"/>
      <c r="E2448" s="85"/>
      <c r="F2448" s="85"/>
      <c r="G2448" s="1631"/>
      <c r="H2448" s="1326"/>
      <c r="J2448" s="1779"/>
    </row>
    <row r="2449" spans="1:10" ht="19" x14ac:dyDescent="0.25">
      <c r="A2449" s="467" t="s">
        <v>3200</v>
      </c>
      <c r="B2449" s="1324" t="str">
        <f>IF(LEN('11.1000'!H203)=0,"",'11.1000'!H203)</f>
        <v/>
      </c>
      <c r="C2449" s="1280" t="str">
        <f t="shared" si="267"/>
        <v>P</v>
      </c>
      <c r="D2449" s="72" t="s">
        <v>4952</v>
      </c>
      <c r="E2449" s="84"/>
      <c r="F2449" s="84"/>
      <c r="G2449" s="232"/>
      <c r="H2449" s="994"/>
      <c r="I2449" s="25"/>
      <c r="J2449" s="25"/>
    </row>
    <row r="2450" spans="1:10" x14ac:dyDescent="0.2">
      <c r="A2450" s="467" t="s">
        <v>3200</v>
      </c>
      <c r="B2450" s="1324" t="str">
        <f>IF(LEN('11.1000'!H204)=0,"",'11.1000'!H204)</f>
        <v/>
      </c>
      <c r="C2450" s="1280" t="str">
        <f t="shared" si="267"/>
        <v>P</v>
      </c>
      <c r="D2450" s="589" t="s">
        <v>4947</v>
      </c>
      <c r="E2450" s="873"/>
      <c r="F2450" s="858"/>
      <c r="G2450" s="1301" t="s">
        <v>4948</v>
      </c>
      <c r="H2450" s="1326"/>
      <c r="J2450" s="1314" t="s">
        <v>5246</v>
      </c>
    </row>
    <row r="2451" spans="1:10" x14ac:dyDescent="0.2">
      <c r="A2451" s="467" t="str">
        <f>IF(I2451&gt;0,"P","")</f>
        <v/>
      </c>
      <c r="B2451" s="1324" t="str">
        <f>IF(LEN('11.1000'!H205)=0,"",'11.1000'!H205)</f>
        <v/>
      </c>
      <c r="C2451" s="1280" t="str">
        <f t="shared" si="267"/>
        <v/>
      </c>
      <c r="D2451" s="589"/>
      <c r="E2451" s="873" t="s">
        <v>254</v>
      </c>
      <c r="F2451" s="858"/>
      <c r="G2451" s="1634" t="s">
        <v>4949</v>
      </c>
      <c r="H2451" s="1341" t="str">
        <f>IF(LEN('11.1000'!W205)=0,"",'11.1000'!W205)</f>
        <v/>
      </c>
      <c r="I2451" s="88">
        <f>'11.1000'!O205</f>
        <v>0</v>
      </c>
      <c r="J2451" s="1312"/>
    </row>
    <row r="2452" spans="1:10" x14ac:dyDescent="0.2">
      <c r="A2452" s="467" t="str">
        <f t="shared" ref="A2452:A2453" si="269">A2451</f>
        <v/>
      </c>
      <c r="B2452" s="1324" t="str">
        <f>IF(LEN('11.1000'!H206)=0,"",'11.1000'!H206)</f>
        <v/>
      </c>
      <c r="C2452" s="1280" t="str">
        <f t="shared" si="267"/>
        <v/>
      </c>
      <c r="D2452" s="589"/>
      <c r="E2452" s="873"/>
      <c r="F2452" s="858"/>
      <c r="G2452" s="1634"/>
      <c r="H2452" s="1326"/>
      <c r="J2452" s="1312"/>
    </row>
    <row r="2453" spans="1:10" x14ac:dyDescent="0.2">
      <c r="A2453" s="467" t="str">
        <f t="shared" si="269"/>
        <v/>
      </c>
      <c r="B2453" s="1324" t="str">
        <f>IF(LEN('11.1000'!H207)=0,"",'11.1000'!H207)</f>
        <v/>
      </c>
      <c r="C2453" s="1280" t="str">
        <f t="shared" si="267"/>
        <v/>
      </c>
      <c r="D2453" s="589"/>
      <c r="E2453" s="873"/>
      <c r="F2453" s="858"/>
      <c r="G2453" s="1634"/>
      <c r="H2453" s="1326"/>
      <c r="J2453" s="1312"/>
    </row>
    <row r="2454" spans="1:10" x14ac:dyDescent="0.2">
      <c r="A2454" s="467" t="str">
        <f>IF(I2454&gt;0,"P","")</f>
        <v/>
      </c>
      <c r="B2454" s="1324" t="str">
        <f>IF(LEN('11.1000'!H208)=0,"",'11.1000'!H208)</f>
        <v/>
      </c>
      <c r="C2454" s="1280" t="str">
        <f t="shared" si="267"/>
        <v/>
      </c>
      <c r="D2454" s="589"/>
      <c r="E2454" s="873" t="s">
        <v>255</v>
      </c>
      <c r="F2454" s="858"/>
      <c r="G2454" s="1634" t="s">
        <v>4950</v>
      </c>
      <c r="H2454" s="1341" t="str">
        <f>IF(LEN('11.1000'!W208)=0,"",'11.1000'!W208)</f>
        <v/>
      </c>
      <c r="I2454" s="88">
        <f>'11.1000'!O208</f>
        <v>0</v>
      </c>
      <c r="J2454" s="1312"/>
    </row>
    <row r="2455" spans="1:10" x14ac:dyDescent="0.2">
      <c r="A2455" s="467" t="str">
        <f t="shared" ref="A2455:A2457" si="270">A2454</f>
        <v/>
      </c>
      <c r="B2455" s="1324" t="str">
        <f>IF(LEN('11.1000'!H209)=0,"",'11.1000'!H209)</f>
        <v/>
      </c>
      <c r="C2455" s="1280" t="str">
        <f t="shared" si="267"/>
        <v/>
      </c>
      <c r="D2455" s="589"/>
      <c r="E2455" s="873"/>
      <c r="F2455" s="858"/>
      <c r="G2455" s="1634"/>
      <c r="J2455" s="1312"/>
    </row>
    <row r="2456" spans="1:10" x14ac:dyDescent="0.2">
      <c r="A2456" s="467" t="str">
        <f t="shared" si="270"/>
        <v/>
      </c>
      <c r="B2456" s="1324" t="str">
        <f>IF(LEN('11.1000'!H210)=0,"",'11.1000'!H210)</f>
        <v/>
      </c>
      <c r="C2456" s="1280" t="str">
        <f t="shared" si="267"/>
        <v/>
      </c>
      <c r="D2456" s="589"/>
      <c r="E2456" s="873"/>
      <c r="F2456" s="858"/>
      <c r="G2456" s="1634"/>
      <c r="J2456" s="1312"/>
    </row>
    <row r="2457" spans="1:10" x14ac:dyDescent="0.2">
      <c r="A2457" s="467" t="str">
        <f t="shared" si="270"/>
        <v/>
      </c>
      <c r="B2457" s="1324" t="str">
        <f>IF(LEN('11.1000'!H211)=0,"",'11.1000'!H211)</f>
        <v/>
      </c>
      <c r="C2457" s="1280" t="str">
        <f t="shared" si="267"/>
        <v/>
      </c>
      <c r="D2457" s="589"/>
      <c r="E2457" s="873"/>
      <c r="F2457" s="858"/>
      <c r="G2457" s="1634"/>
      <c r="J2457" s="1312"/>
    </row>
    <row r="2458" spans="1:10" ht="15" customHeight="1" x14ac:dyDescent="0.2">
      <c r="A2458" s="467" t="s">
        <v>3200</v>
      </c>
      <c r="B2458" s="1324" t="str">
        <f>IF(LEN('11.1000'!H212)=0,"",'11.1000'!H212)</f>
        <v/>
      </c>
      <c r="C2458" s="1280" t="str">
        <f t="shared" si="267"/>
        <v>P</v>
      </c>
      <c r="D2458" s="589"/>
      <c r="E2458" s="873" t="s">
        <v>256</v>
      </c>
      <c r="F2458" s="858"/>
      <c r="G2458" s="1634" t="s">
        <v>4951</v>
      </c>
      <c r="I2458" s="88">
        <f>'11.1000'!O212</f>
        <v>2</v>
      </c>
      <c r="J2458" s="1312"/>
    </row>
    <row r="2459" spans="1:10" x14ac:dyDescent="0.2">
      <c r="A2459" s="467" t="s">
        <v>3200</v>
      </c>
      <c r="B2459" s="1324" t="str">
        <f>IF(LEN('11.1000'!H213)=0,"",'11.1000'!H213)</f>
        <v/>
      </c>
      <c r="C2459" s="1280" t="str">
        <f t="shared" si="267"/>
        <v>P</v>
      </c>
      <c r="D2459" s="600"/>
      <c r="E2459" s="858"/>
      <c r="F2459" s="858"/>
      <c r="G2459" s="1634"/>
      <c r="J2459" s="1312"/>
    </row>
    <row r="2460" spans="1:10" x14ac:dyDescent="0.2">
      <c r="A2460" s="467" t="s">
        <v>3200</v>
      </c>
      <c r="B2460" s="1324" t="str">
        <f>IF(LEN('11.1000'!H214)=0,"",'11.1000'!H214)</f>
        <v/>
      </c>
      <c r="C2460" s="1280" t="str">
        <f t="shared" si="267"/>
        <v>P</v>
      </c>
      <c r="D2460" s="600"/>
      <c r="E2460" s="858"/>
      <c r="F2460" s="858"/>
      <c r="G2460" s="1634"/>
      <c r="J2460" s="1312"/>
    </row>
    <row r="2461" spans="1:10" x14ac:dyDescent="0.2">
      <c r="B2461" s="1324" t="str">
        <f>IF(LEN('11.1000'!H215)=0,"",'11.1000'!H215)</f>
        <v/>
      </c>
      <c r="C2461" s="1280" t="str">
        <f t="shared" si="267"/>
        <v/>
      </c>
      <c r="D2461" s="600"/>
      <c r="E2461" s="858"/>
      <c r="F2461" s="858"/>
      <c r="G2461" s="1325"/>
      <c r="J2461" s="1312"/>
    </row>
    <row r="2462" spans="1:10" x14ac:dyDescent="0.2">
      <c r="B2462" s="1324" t="str">
        <f>IF(LEN('11.1000'!H216)=0,"",'11.1000'!H216)</f>
        <v/>
      </c>
      <c r="C2462" s="1280" t="str">
        <f t="shared" si="267"/>
        <v/>
      </c>
      <c r="D2462" s="600"/>
      <c r="E2462" s="858"/>
      <c r="F2462" s="858"/>
      <c r="G2462" s="1325"/>
      <c r="J2462" s="1312"/>
    </row>
    <row r="2463" spans="1:10" x14ac:dyDescent="0.2">
      <c r="B2463" s="1324" t="str">
        <f>IF(LEN('11.1000'!H217)=0,"",'11.1000'!H217)</f>
        <v/>
      </c>
      <c r="C2463" s="1280" t="str">
        <f t="shared" si="267"/>
        <v/>
      </c>
      <c r="D2463" s="600"/>
      <c r="E2463" s="858"/>
      <c r="F2463" s="858"/>
      <c r="G2463" s="1325"/>
      <c r="J2463" s="1312"/>
    </row>
    <row r="2464" spans="1:10" x14ac:dyDescent="0.2">
      <c r="B2464" s="1324" t="str">
        <f>IF(LEN('11.1000'!H218)=0,"",'11.1000'!H218)</f>
        <v/>
      </c>
      <c r="C2464" s="1280" t="str">
        <f t="shared" si="267"/>
        <v/>
      </c>
      <c r="D2464" s="600"/>
      <c r="E2464" s="858"/>
      <c r="F2464" s="858"/>
      <c r="G2464" s="1325"/>
      <c r="J2464" s="1312"/>
    </row>
    <row r="2465" spans="1:10" x14ac:dyDescent="0.2">
      <c r="B2465" s="1324" t="str">
        <f>IF(LEN('11.1000'!H219)=0,"",'11.1000'!H219)</f>
        <v/>
      </c>
      <c r="C2465" s="1280" t="str">
        <f t="shared" si="267"/>
        <v/>
      </c>
      <c r="D2465" s="600"/>
      <c r="E2465" s="858"/>
      <c r="F2465" s="858"/>
      <c r="G2465" s="1325"/>
      <c r="J2465" s="1312"/>
    </row>
    <row r="2466" spans="1:10" x14ac:dyDescent="0.2">
      <c r="B2466" s="1324" t="str">
        <f>IF(LEN('11.1000'!H220)=0,"",'11.1000'!H220)</f>
        <v/>
      </c>
      <c r="C2466" s="1280" t="str">
        <f t="shared" si="267"/>
        <v/>
      </c>
      <c r="D2466" s="600"/>
      <c r="E2466" s="858"/>
      <c r="F2466" s="858"/>
      <c r="G2466" s="1325"/>
      <c r="J2466" s="1312"/>
    </row>
    <row r="2467" spans="1:10" x14ac:dyDescent="0.2">
      <c r="B2467" s="1324" t="str">
        <f>IF(LEN('11.1000'!H221)=0,"",'11.1000'!H221)</f>
        <v/>
      </c>
      <c r="C2467" s="1280" t="str">
        <f t="shared" si="267"/>
        <v/>
      </c>
      <c r="D2467" s="600"/>
      <c r="E2467" s="858"/>
      <c r="F2467" s="858"/>
      <c r="G2467" s="1325"/>
      <c r="J2467" s="1312"/>
    </row>
    <row r="2468" spans="1:10" ht="19" x14ac:dyDescent="0.25">
      <c r="A2468" s="467" t="str">
        <f>IF(dstCommercial="Yes","P","")</f>
        <v/>
      </c>
      <c r="B2468" s="1421"/>
      <c r="C2468" s="1421" t="str">
        <f t="shared" si="267"/>
        <v/>
      </c>
      <c r="D2468" s="1491" t="s">
        <v>5304</v>
      </c>
      <c r="E2468" s="1491"/>
      <c r="F2468" s="1491"/>
      <c r="G2468" s="25"/>
      <c r="H2468" s="1421"/>
    </row>
    <row r="2469" spans="1:10" x14ac:dyDescent="0.2">
      <c r="B2469" s="1421"/>
      <c r="C2469" s="1421" t="str">
        <f t="shared" si="267"/>
        <v/>
      </c>
      <c r="D2469" s="89" t="s">
        <v>5305</v>
      </c>
      <c r="E2469" s="873"/>
      <c r="F2469" s="873"/>
      <c r="G2469" s="1807" t="s">
        <v>5306</v>
      </c>
      <c r="H2469" s="1421"/>
      <c r="J2469" s="1453"/>
    </row>
    <row r="2470" spans="1:10" ht="16" thickBot="1" x14ac:dyDescent="0.25">
      <c r="B2470" s="1421"/>
      <c r="C2470" s="1421" t="str">
        <f t="shared" si="267"/>
        <v/>
      </c>
      <c r="D2470" s="98"/>
      <c r="E2470" s="1069"/>
      <c r="F2470" s="1069"/>
      <c r="G2470" s="1738"/>
      <c r="H2470" s="1421"/>
      <c r="J2470" s="1453"/>
    </row>
    <row r="2471" spans="1:10" ht="16" thickTop="1" x14ac:dyDescent="0.2">
      <c r="B2471" s="1421"/>
      <c r="C2471" s="1421" t="str">
        <f t="shared" si="267"/>
        <v/>
      </c>
      <c r="D2471" s="115" t="s">
        <v>5307</v>
      </c>
      <c r="E2471" s="1070"/>
      <c r="F2471" s="1070"/>
      <c r="G2471" s="1740" t="s">
        <v>5308</v>
      </c>
      <c r="H2471" s="1421"/>
      <c r="J2471" s="1453"/>
    </row>
    <row r="2472" spans="1:10" ht="16" thickBot="1" x14ac:dyDescent="0.25">
      <c r="B2472" s="1421"/>
      <c r="C2472" s="1421" t="str">
        <f t="shared" si="267"/>
        <v/>
      </c>
      <c r="D2472" s="98"/>
      <c r="E2472" s="1069"/>
      <c r="F2472" s="1069"/>
      <c r="G2472" s="1738"/>
      <c r="H2472" s="1421"/>
      <c r="J2472" s="1453"/>
    </row>
    <row r="2473" spans="1:10" ht="16" thickTop="1" x14ac:dyDescent="0.2">
      <c r="B2473" s="1421"/>
      <c r="C2473" s="1421" t="str">
        <f t="shared" si="267"/>
        <v/>
      </c>
      <c r="D2473" s="89" t="s">
        <v>5309</v>
      </c>
      <c r="E2473" s="873"/>
      <c r="F2473" s="873"/>
      <c r="G2473" s="1807" t="s">
        <v>5310</v>
      </c>
      <c r="H2473" s="1421"/>
      <c r="J2473" s="1453"/>
    </row>
    <row r="2474" spans="1:10" x14ac:dyDescent="0.2">
      <c r="B2474" s="1421"/>
      <c r="C2474" s="1421" t="str">
        <f t="shared" si="267"/>
        <v/>
      </c>
      <c r="D2474" s="89"/>
      <c r="E2474" s="873"/>
      <c r="F2474" s="873"/>
      <c r="G2474" s="1807"/>
      <c r="H2474" s="1421"/>
      <c r="J2474" s="1453"/>
    </row>
    <row r="2475" spans="1:10" x14ac:dyDescent="0.2">
      <c r="B2475" s="1421"/>
      <c r="C2475" s="1421" t="str">
        <f t="shared" si="267"/>
        <v/>
      </c>
      <c r="D2475" s="89"/>
      <c r="E2475" s="873"/>
      <c r="F2475" s="873"/>
      <c r="G2475" s="1807"/>
      <c r="J2475" s="1453"/>
    </row>
    <row r="2476" spans="1:10" x14ac:dyDescent="0.2">
      <c r="B2476" s="1421"/>
      <c r="C2476" s="1421" t="str">
        <f t="shared" si="267"/>
        <v/>
      </c>
      <c r="D2476" s="89" t="s">
        <v>5311</v>
      </c>
      <c r="E2476" s="873"/>
      <c r="F2476" s="873"/>
      <c r="G2476" s="1807" t="s">
        <v>5312</v>
      </c>
      <c r="J2476" s="1453"/>
    </row>
    <row r="2477" spans="1:10" x14ac:dyDescent="0.2">
      <c r="B2477" s="1421"/>
      <c r="C2477" s="1421" t="str">
        <f t="shared" si="267"/>
        <v/>
      </c>
      <c r="D2477" s="169"/>
      <c r="E2477" s="1072"/>
      <c r="F2477" s="1072"/>
      <c r="G2477" s="1688"/>
      <c r="J2477" s="1453"/>
    </row>
    <row r="2478" spans="1:10" x14ac:dyDescent="0.2">
      <c r="B2478" s="1421"/>
      <c r="C2478" s="1421" t="str">
        <f t="shared" si="267"/>
        <v/>
      </c>
      <c r="D2478" s="860" t="s">
        <v>5313</v>
      </c>
      <c r="E2478" s="1073"/>
      <c r="F2478" s="1073"/>
      <c r="G2478" s="1686" t="s">
        <v>5314</v>
      </c>
      <c r="J2478" s="1453"/>
    </row>
    <row r="2479" spans="1:10" x14ac:dyDescent="0.2">
      <c r="B2479" s="1421"/>
      <c r="C2479" s="1421" t="str">
        <f t="shared" si="267"/>
        <v/>
      </c>
      <c r="D2479" s="89"/>
      <c r="E2479" s="873"/>
      <c r="F2479" s="873"/>
      <c r="G2479" s="1807"/>
      <c r="J2479" s="1453"/>
    </row>
    <row r="2480" spans="1:10" x14ac:dyDescent="0.2">
      <c r="B2480" s="1421"/>
      <c r="C2480" s="1421" t="str">
        <f t="shared" si="267"/>
        <v/>
      </c>
      <c r="D2480" s="89"/>
      <c r="E2480" s="873"/>
      <c r="F2480" s="873"/>
      <c r="G2480" s="1807"/>
      <c r="J2480" s="1453"/>
    </row>
    <row r="2481" spans="1:10" x14ac:dyDescent="0.2">
      <c r="B2481" s="1421"/>
      <c r="C2481" s="1421" t="str">
        <f t="shared" si="267"/>
        <v/>
      </c>
      <c r="D2481" s="89"/>
      <c r="E2481" s="873"/>
      <c r="F2481" s="873"/>
      <c r="G2481" s="1807"/>
      <c r="J2481" s="1453"/>
    </row>
    <row r="2482" spans="1:10" x14ac:dyDescent="0.2">
      <c r="B2482" s="1421"/>
      <c r="C2482" s="1421" t="str">
        <f t="shared" si="267"/>
        <v/>
      </c>
      <c r="D2482" s="169"/>
      <c r="E2482" s="1072"/>
      <c r="F2482" s="1072"/>
      <c r="G2482" s="1688"/>
      <c r="J2482" s="1453"/>
    </row>
    <row r="2483" spans="1:10" x14ac:dyDescent="0.2">
      <c r="B2483" s="1421"/>
      <c r="C2483" s="1421" t="str">
        <f t="shared" si="267"/>
        <v/>
      </c>
      <c r="D2483" s="860" t="s">
        <v>5315</v>
      </c>
      <c r="E2483" s="1073"/>
      <c r="F2483" s="1073"/>
      <c r="G2483" s="1686" t="s">
        <v>5316</v>
      </c>
      <c r="J2483" s="1453"/>
    </row>
    <row r="2484" spans="1:10" x14ac:dyDescent="0.2">
      <c r="B2484" s="1421"/>
      <c r="C2484" s="1421" t="str">
        <f t="shared" si="267"/>
        <v/>
      </c>
      <c r="D2484" s="89"/>
      <c r="E2484" s="873"/>
      <c r="F2484" s="873"/>
      <c r="G2484" s="1807"/>
      <c r="J2484" s="1453"/>
    </row>
    <row r="2485" spans="1:10" ht="16" thickBot="1" x14ac:dyDescent="0.25">
      <c r="B2485" s="1421"/>
      <c r="C2485" s="1421" t="str">
        <f t="shared" si="267"/>
        <v/>
      </c>
      <c r="D2485" s="98"/>
      <c r="E2485" s="1069"/>
      <c r="F2485" s="1069"/>
      <c r="G2485" s="1738"/>
      <c r="J2485" s="1453"/>
    </row>
    <row r="2486" spans="1:10" ht="16" thickTop="1" x14ac:dyDescent="0.2">
      <c r="A2486" s="467" t="str">
        <f>IF(dstCommercial="Yes","P","")</f>
        <v/>
      </c>
      <c r="B2486" s="1421"/>
      <c r="C2486" s="1421" t="str">
        <f t="shared" si="267"/>
        <v/>
      </c>
      <c r="D2486" s="89" t="s">
        <v>5317</v>
      </c>
      <c r="E2486" s="873"/>
      <c r="F2486" s="873"/>
      <c r="G2486" s="1807" t="s">
        <v>5318</v>
      </c>
      <c r="J2486" s="1453"/>
    </row>
    <row r="2487" spans="1:10" x14ac:dyDescent="0.2">
      <c r="A2487" s="467" t="str">
        <f>IF(dstCommercial="Yes","P","")</f>
        <v/>
      </c>
      <c r="B2487" s="1421"/>
      <c r="C2487" s="1421" t="str">
        <f t="shared" si="267"/>
        <v/>
      </c>
      <c r="D2487" s="89"/>
      <c r="E2487" s="873"/>
      <c r="F2487" s="873"/>
      <c r="G2487" s="1807"/>
      <c r="J2487" s="1453"/>
    </row>
    <row r="2488" spans="1:10" x14ac:dyDescent="0.2">
      <c r="A2488" s="467" t="str">
        <f>IF(dstCommercial="Yes","P","")</f>
        <v/>
      </c>
      <c r="B2488" s="1421"/>
      <c r="C2488" s="1421" t="str">
        <f t="shared" si="267"/>
        <v/>
      </c>
      <c r="D2488" s="89" t="s">
        <v>5319</v>
      </c>
      <c r="E2488" s="873"/>
      <c r="F2488" s="873"/>
      <c r="G2488" s="1807" t="s">
        <v>5320</v>
      </c>
      <c r="J2488" s="1453" t="s">
        <v>5607</v>
      </c>
    </row>
    <row r="2489" spans="1:10" x14ac:dyDescent="0.2">
      <c r="A2489" s="467" t="str">
        <f>IF(dstCommercial="Yes","P","")</f>
        <v/>
      </c>
      <c r="B2489" s="1421"/>
      <c r="C2489" s="1421" t="str">
        <f t="shared" si="267"/>
        <v/>
      </c>
      <c r="D2489" s="89"/>
      <c r="E2489" s="873"/>
      <c r="F2489" s="873"/>
      <c r="G2489" s="1807"/>
      <c r="J2489" s="1453"/>
    </row>
    <row r="2490" spans="1:10" x14ac:dyDescent="0.2">
      <c r="B2490" s="1421"/>
      <c r="C2490" s="1421" t="str">
        <f t="shared" si="267"/>
        <v/>
      </c>
      <c r="D2490" s="89"/>
      <c r="E2490" s="873"/>
      <c r="F2490" s="873"/>
      <c r="G2490" s="1470" t="s">
        <v>5321</v>
      </c>
      <c r="J2490" s="1453"/>
    </row>
    <row r="2491" spans="1:10" x14ac:dyDescent="0.2">
      <c r="B2491" s="1421"/>
      <c r="C2491" s="1421" t="str">
        <f t="shared" si="267"/>
        <v/>
      </c>
      <c r="D2491" s="89"/>
      <c r="E2491" s="873" t="s">
        <v>254</v>
      </c>
      <c r="F2491" s="873"/>
      <c r="G2491" s="1808" t="s">
        <v>5322</v>
      </c>
      <c r="J2491" s="1453"/>
    </row>
    <row r="2492" spans="1:10" x14ac:dyDescent="0.2">
      <c r="B2492" s="1421"/>
      <c r="C2492" s="1421" t="str">
        <f t="shared" si="267"/>
        <v/>
      </c>
      <c r="D2492" s="89"/>
      <c r="E2492" s="1072"/>
      <c r="F2492" s="1072"/>
      <c r="G2492" s="1639"/>
      <c r="J2492" s="1453"/>
    </row>
    <row r="2493" spans="1:10" x14ac:dyDescent="0.2">
      <c r="B2493" s="1421"/>
      <c r="C2493" s="1421" t="str">
        <f t="shared" si="267"/>
        <v/>
      </c>
      <c r="D2493" s="89"/>
      <c r="E2493" s="1073" t="s">
        <v>255</v>
      </c>
      <c r="F2493" s="1073"/>
      <c r="G2493" s="1633" t="s">
        <v>5323</v>
      </c>
      <c r="J2493" s="1453"/>
    </row>
    <row r="2494" spans="1:10" x14ac:dyDescent="0.2">
      <c r="B2494" s="1421"/>
      <c r="C2494" s="1421" t="str">
        <f t="shared" si="267"/>
        <v/>
      </c>
      <c r="D2494" s="89"/>
      <c r="E2494" s="1072"/>
      <c r="F2494" s="1072"/>
      <c r="G2494" s="1639"/>
      <c r="J2494" s="1453"/>
    </row>
    <row r="2495" spans="1:10" x14ac:dyDescent="0.2">
      <c r="B2495" s="1421"/>
      <c r="C2495" s="1421" t="str">
        <f t="shared" si="267"/>
        <v/>
      </c>
      <c r="D2495" s="89"/>
      <c r="E2495" s="873" t="s">
        <v>256</v>
      </c>
      <c r="F2495" s="873"/>
      <c r="G2495" s="1808" t="s">
        <v>5324</v>
      </c>
      <c r="J2495" s="1453"/>
    </row>
    <row r="2496" spans="1:10" x14ac:dyDescent="0.2">
      <c r="B2496" s="1421"/>
      <c r="C2496" s="1421" t="str">
        <f t="shared" si="267"/>
        <v/>
      </c>
      <c r="D2496" s="89"/>
      <c r="E2496" s="873"/>
      <c r="F2496" s="873"/>
      <c r="G2496" s="1808"/>
      <c r="J2496" s="1453"/>
    </row>
    <row r="2497" spans="1:10" x14ac:dyDescent="0.2">
      <c r="B2497" s="1421"/>
      <c r="C2497" s="1421" t="str">
        <f t="shared" si="267"/>
        <v/>
      </c>
      <c r="D2497" s="169"/>
      <c r="E2497" s="1072"/>
      <c r="F2497" s="1072"/>
      <c r="G2497" s="1639"/>
      <c r="J2497" s="1453"/>
    </row>
    <row r="2498" spans="1:10" x14ac:dyDescent="0.2">
      <c r="A2498" s="467" t="str">
        <f t="shared" ref="A2498:A2511" si="271">IF(dstCommercial="Yes","P","")</f>
        <v/>
      </c>
      <c r="B2498" s="1421"/>
      <c r="C2498" s="1421" t="str">
        <f t="shared" si="267"/>
        <v/>
      </c>
      <c r="D2498" s="89" t="s">
        <v>5325</v>
      </c>
      <c r="E2498" s="873"/>
      <c r="F2498" s="873"/>
      <c r="G2498" s="1807" t="s">
        <v>5326</v>
      </c>
      <c r="J2498" s="1453" t="s">
        <v>5607</v>
      </c>
    </row>
    <row r="2499" spans="1:10" x14ac:dyDescent="0.2">
      <c r="A2499" s="467" t="str">
        <f t="shared" si="271"/>
        <v/>
      </c>
      <c r="B2499" s="1421"/>
      <c r="C2499" s="1421" t="str">
        <f t="shared" si="267"/>
        <v/>
      </c>
      <c r="D2499" s="89"/>
      <c r="E2499" s="873"/>
      <c r="F2499" s="873"/>
      <c r="G2499" s="1807"/>
      <c r="J2499" s="1453"/>
    </row>
    <row r="2500" spans="1:10" ht="16" thickBot="1" x14ac:dyDescent="0.25">
      <c r="A2500" s="467" t="str">
        <f t="shared" si="271"/>
        <v/>
      </c>
      <c r="B2500" s="1421"/>
      <c r="C2500" s="1421" t="str">
        <f t="shared" si="267"/>
        <v/>
      </c>
      <c r="D2500" s="98"/>
      <c r="E2500" s="1069"/>
      <c r="F2500" s="1069"/>
      <c r="G2500" s="1738"/>
      <c r="J2500" s="1453"/>
    </row>
    <row r="2501" spans="1:10" ht="16" thickTop="1" x14ac:dyDescent="0.2">
      <c r="A2501" s="467" t="str">
        <f t="shared" si="271"/>
        <v/>
      </c>
      <c r="B2501" s="1421"/>
      <c r="C2501" s="1421" t="str">
        <f t="shared" si="267"/>
        <v/>
      </c>
      <c r="D2501" s="89" t="s">
        <v>5327</v>
      </c>
      <c r="E2501" s="873"/>
      <c r="F2501" s="873"/>
      <c r="G2501" s="1470" t="s">
        <v>5328</v>
      </c>
      <c r="J2501" s="1453"/>
    </row>
    <row r="2502" spans="1:10" x14ac:dyDescent="0.2">
      <c r="A2502" s="467" t="str">
        <f t="shared" si="271"/>
        <v/>
      </c>
      <c r="B2502" s="1421"/>
      <c r="C2502" s="1421" t="str">
        <f t="shared" si="267"/>
        <v/>
      </c>
      <c r="D2502" s="89" t="s">
        <v>5329</v>
      </c>
      <c r="E2502" s="873"/>
      <c r="F2502" s="873"/>
      <c r="G2502" s="1470" t="s">
        <v>5330</v>
      </c>
      <c r="J2502" s="1453"/>
    </row>
    <row r="2503" spans="1:10" x14ac:dyDescent="0.2">
      <c r="A2503" s="467" t="str">
        <f t="shared" si="271"/>
        <v/>
      </c>
      <c r="B2503" s="1421"/>
      <c r="C2503" s="1421" t="str">
        <f t="shared" si="267"/>
        <v/>
      </c>
      <c r="D2503" s="89" t="s">
        <v>5331</v>
      </c>
      <c r="E2503" s="873"/>
      <c r="F2503" s="873"/>
      <c r="G2503" s="1807" t="s">
        <v>5332</v>
      </c>
      <c r="J2503" s="1804" t="s">
        <v>5608</v>
      </c>
    </row>
    <row r="2504" spans="1:10" x14ac:dyDescent="0.2">
      <c r="A2504" s="467" t="str">
        <f t="shared" si="271"/>
        <v/>
      </c>
      <c r="B2504" s="1421"/>
      <c r="C2504" s="1421" t="str">
        <f t="shared" ref="C2504:C2567" si="272">IF(LEN(B2504)=0,IF(A2504="P","P",""),B2504)</f>
        <v/>
      </c>
      <c r="D2504" s="89"/>
      <c r="E2504" s="873"/>
      <c r="F2504" s="873"/>
      <c r="G2504" s="1807"/>
      <c r="J2504" s="1809"/>
    </row>
    <row r="2505" spans="1:10" x14ac:dyDescent="0.2">
      <c r="A2505" s="467" t="str">
        <f t="shared" si="271"/>
        <v/>
      </c>
      <c r="B2505" s="1421"/>
      <c r="C2505" s="1421" t="str">
        <f t="shared" si="272"/>
        <v/>
      </c>
      <c r="D2505" s="169"/>
      <c r="E2505" s="1072"/>
      <c r="F2505" s="1072"/>
      <c r="G2505" s="1688"/>
      <c r="J2505" s="1805"/>
    </row>
    <row r="2506" spans="1:10" x14ac:dyDescent="0.2">
      <c r="A2506" s="467" t="str">
        <f t="shared" si="271"/>
        <v/>
      </c>
      <c r="B2506" s="1421"/>
      <c r="C2506" s="1421" t="str">
        <f t="shared" si="272"/>
        <v/>
      </c>
      <c r="D2506" s="860" t="s">
        <v>5333</v>
      </c>
      <c r="E2506" s="1073"/>
      <c r="F2506" s="1073"/>
      <c r="G2506" s="1686" t="s">
        <v>5334</v>
      </c>
      <c r="J2506" s="1804" t="s">
        <v>5156</v>
      </c>
    </row>
    <row r="2507" spans="1:10" x14ac:dyDescent="0.2">
      <c r="A2507" s="467" t="str">
        <f t="shared" si="271"/>
        <v/>
      </c>
      <c r="B2507" s="1421"/>
      <c r="C2507" s="1421" t="str">
        <f t="shared" si="272"/>
        <v/>
      </c>
      <c r="D2507" s="169"/>
      <c r="E2507" s="1072"/>
      <c r="F2507" s="1072"/>
      <c r="G2507" s="1688"/>
      <c r="J2507" s="1805"/>
    </row>
    <row r="2508" spans="1:10" x14ac:dyDescent="0.2">
      <c r="A2508" s="467" t="str">
        <f t="shared" si="271"/>
        <v/>
      </c>
      <c r="B2508" s="1421"/>
      <c r="C2508" s="1421" t="str">
        <f t="shared" si="272"/>
        <v/>
      </c>
      <c r="D2508" s="860" t="s">
        <v>5335</v>
      </c>
      <c r="E2508" s="1073"/>
      <c r="F2508" s="1073"/>
      <c r="G2508" s="1686" t="s">
        <v>5336</v>
      </c>
      <c r="J2508" s="1453" t="s">
        <v>5609</v>
      </c>
    </row>
    <row r="2509" spans="1:10" x14ac:dyDescent="0.2">
      <c r="A2509" s="467" t="str">
        <f t="shared" si="271"/>
        <v/>
      </c>
      <c r="B2509" s="1421"/>
      <c r="C2509" s="1421" t="str">
        <f t="shared" si="272"/>
        <v/>
      </c>
      <c r="D2509" s="169"/>
      <c r="E2509" s="1072"/>
      <c r="F2509" s="1072"/>
      <c r="G2509" s="1688"/>
      <c r="J2509" s="1453"/>
    </row>
    <row r="2510" spans="1:10" x14ac:dyDescent="0.2">
      <c r="A2510" s="467" t="str">
        <f t="shared" si="271"/>
        <v/>
      </c>
      <c r="B2510" s="1421"/>
      <c r="C2510" s="1421" t="str">
        <f t="shared" si="272"/>
        <v/>
      </c>
      <c r="D2510" s="860" t="s">
        <v>5337</v>
      </c>
      <c r="E2510" s="1073"/>
      <c r="F2510" s="1073"/>
      <c r="G2510" s="1686" t="s">
        <v>5338</v>
      </c>
      <c r="J2510" s="1453" t="s">
        <v>5158</v>
      </c>
    </row>
    <row r="2511" spans="1:10" x14ac:dyDescent="0.2">
      <c r="A2511" s="467" t="str">
        <f t="shared" si="271"/>
        <v/>
      </c>
      <c r="B2511" s="1421"/>
      <c r="C2511" s="1421" t="str">
        <f t="shared" si="272"/>
        <v/>
      </c>
      <c r="D2511" s="89"/>
      <c r="E2511" s="873"/>
      <c r="F2511" s="873"/>
      <c r="G2511" s="1807"/>
      <c r="J2511" s="1453"/>
    </row>
    <row r="2512" spans="1:10" x14ac:dyDescent="0.2">
      <c r="B2512" s="1421"/>
      <c r="C2512" s="1421" t="str">
        <f t="shared" si="272"/>
        <v/>
      </c>
      <c r="D2512" s="169"/>
      <c r="E2512" s="1072"/>
      <c r="F2512" s="1072"/>
      <c r="G2512" s="1431" t="s">
        <v>5340</v>
      </c>
      <c r="J2512" s="1453"/>
    </row>
    <row r="2513" spans="1:10" x14ac:dyDescent="0.2">
      <c r="A2513" s="467" t="str">
        <f t="shared" ref="A2513:A2518" si="273">IF(dstCommercial="Yes","P","")</f>
        <v/>
      </c>
      <c r="B2513" s="1421"/>
      <c r="C2513" s="1421" t="str">
        <f t="shared" si="272"/>
        <v/>
      </c>
      <c r="D2513" s="89" t="s">
        <v>5341</v>
      </c>
      <c r="E2513" s="873"/>
      <c r="F2513" s="873"/>
      <c r="G2513" s="1807" t="s">
        <v>5342</v>
      </c>
      <c r="J2513" s="1453" t="s">
        <v>5159</v>
      </c>
    </row>
    <row r="2514" spans="1:10" x14ac:dyDescent="0.2">
      <c r="A2514" s="467" t="str">
        <f t="shared" si="273"/>
        <v/>
      </c>
      <c r="B2514" s="1421"/>
      <c r="C2514" s="1421" t="str">
        <f t="shared" si="272"/>
        <v/>
      </c>
      <c r="D2514" s="89"/>
      <c r="E2514" s="873"/>
      <c r="F2514" s="873"/>
      <c r="G2514" s="1807"/>
      <c r="J2514" s="1453"/>
    </row>
    <row r="2515" spans="1:10" x14ac:dyDescent="0.2">
      <c r="A2515" s="467" t="str">
        <f t="shared" si="273"/>
        <v/>
      </c>
      <c r="B2515" s="1421"/>
      <c r="C2515" s="1421" t="str">
        <f t="shared" si="272"/>
        <v/>
      </c>
      <c r="D2515" s="89"/>
      <c r="E2515" s="873"/>
      <c r="F2515" s="873"/>
      <c r="G2515" s="1807"/>
      <c r="J2515" s="1453"/>
    </row>
    <row r="2516" spans="1:10" x14ac:dyDescent="0.2">
      <c r="A2516" s="467" t="str">
        <f t="shared" si="273"/>
        <v/>
      </c>
      <c r="B2516" s="1421"/>
      <c r="C2516" s="1421" t="str">
        <f t="shared" si="272"/>
        <v/>
      </c>
      <c r="D2516" s="89"/>
      <c r="E2516" s="873"/>
      <c r="F2516" s="873"/>
      <c r="G2516" s="1807"/>
      <c r="J2516" s="1453"/>
    </row>
    <row r="2517" spans="1:10" x14ac:dyDescent="0.2">
      <c r="A2517" s="467" t="str">
        <f t="shared" si="273"/>
        <v/>
      </c>
      <c r="B2517" s="1421"/>
      <c r="C2517" s="1421" t="str">
        <f t="shared" si="272"/>
        <v/>
      </c>
      <c r="D2517" s="89"/>
      <c r="E2517" s="873"/>
      <c r="F2517" s="873"/>
      <c r="G2517" s="1807"/>
      <c r="J2517" s="1453"/>
    </row>
    <row r="2518" spans="1:10" x14ac:dyDescent="0.2">
      <c r="A2518" s="467" t="str">
        <f t="shared" si="273"/>
        <v/>
      </c>
      <c r="B2518" s="1421"/>
      <c r="C2518" s="1421" t="str">
        <f t="shared" si="272"/>
        <v/>
      </c>
      <c r="D2518" s="89"/>
      <c r="E2518" s="873"/>
      <c r="F2518" s="873"/>
      <c r="G2518" s="1807"/>
      <c r="J2518" s="1453"/>
    </row>
    <row r="2519" spans="1:10" x14ac:dyDescent="0.2">
      <c r="B2519" s="1421"/>
      <c r="C2519" s="1421" t="str">
        <f t="shared" si="272"/>
        <v/>
      </c>
      <c r="D2519" s="89"/>
      <c r="E2519" s="1072" t="s">
        <v>254</v>
      </c>
      <c r="F2519" s="1072"/>
      <c r="G2519" s="1438" t="s">
        <v>5343</v>
      </c>
      <c r="J2519" s="1453"/>
    </row>
    <row r="2520" spans="1:10" x14ac:dyDescent="0.2">
      <c r="B2520" s="1421"/>
      <c r="C2520" s="1421" t="str">
        <f t="shared" si="272"/>
        <v/>
      </c>
      <c r="D2520" s="89"/>
      <c r="E2520" s="1074" t="s">
        <v>255</v>
      </c>
      <c r="F2520" s="1074"/>
      <c r="G2520" s="1075" t="s">
        <v>5344</v>
      </c>
      <c r="J2520" s="1453"/>
    </row>
    <row r="2521" spans="1:10" x14ac:dyDescent="0.2">
      <c r="B2521" s="1421"/>
      <c r="C2521" s="1421" t="str">
        <f t="shared" si="272"/>
        <v/>
      </c>
      <c r="D2521" s="89"/>
      <c r="E2521" s="1074" t="s">
        <v>256</v>
      </c>
      <c r="F2521" s="1074"/>
      <c r="G2521" s="1075" t="s">
        <v>5345</v>
      </c>
      <c r="J2521" s="1453"/>
    </row>
    <row r="2522" spans="1:10" x14ac:dyDescent="0.2">
      <c r="B2522" s="1421"/>
      <c r="C2522" s="1421" t="str">
        <f t="shared" si="272"/>
        <v/>
      </c>
      <c r="D2522" s="89"/>
      <c r="E2522" s="1073" t="s">
        <v>259</v>
      </c>
      <c r="F2522" s="1073"/>
      <c r="G2522" s="1633" t="s">
        <v>5346</v>
      </c>
      <c r="J2522" s="1453"/>
    </row>
    <row r="2523" spans="1:10" x14ac:dyDescent="0.2">
      <c r="B2523" s="1421"/>
      <c r="C2523" s="1421" t="str">
        <f t="shared" si="272"/>
        <v/>
      </c>
      <c r="D2523" s="89"/>
      <c r="E2523" s="1072"/>
      <c r="F2523" s="1072"/>
      <c r="G2523" s="1639"/>
      <c r="J2523" s="1453"/>
    </row>
    <row r="2524" spans="1:10" x14ac:dyDescent="0.2">
      <c r="B2524" s="1421"/>
      <c r="C2524" s="1421" t="str">
        <f t="shared" si="272"/>
        <v/>
      </c>
      <c r="D2524" s="89"/>
      <c r="E2524" s="1074" t="s">
        <v>263</v>
      </c>
      <c r="F2524" s="1074"/>
      <c r="G2524" s="1075" t="s">
        <v>5347</v>
      </c>
      <c r="J2524" s="1453"/>
    </row>
    <row r="2525" spans="1:10" x14ac:dyDescent="0.2">
      <c r="B2525" s="1421"/>
      <c r="C2525" s="1421" t="str">
        <f t="shared" si="272"/>
        <v/>
      </c>
      <c r="D2525" s="89"/>
      <c r="E2525" s="1074" t="s">
        <v>264</v>
      </c>
      <c r="F2525" s="1074"/>
      <c r="G2525" s="1075" t="s">
        <v>5348</v>
      </c>
      <c r="J2525" s="1453"/>
    </row>
    <row r="2526" spans="1:10" x14ac:dyDescent="0.2">
      <c r="B2526" s="1421"/>
      <c r="C2526" s="1421" t="str">
        <f t="shared" si="272"/>
        <v/>
      </c>
      <c r="D2526" s="89"/>
      <c r="E2526" s="1074" t="s">
        <v>356</v>
      </c>
      <c r="F2526" s="1074"/>
      <c r="G2526" s="1075" t="s">
        <v>5349</v>
      </c>
      <c r="J2526" s="1453"/>
    </row>
    <row r="2527" spans="1:10" x14ac:dyDescent="0.2">
      <c r="B2527" s="1421"/>
      <c r="C2527" s="1421" t="str">
        <f t="shared" si="272"/>
        <v/>
      </c>
      <c r="D2527" s="89"/>
      <c r="E2527" s="1074" t="s">
        <v>389</v>
      </c>
      <c r="F2527" s="1074"/>
      <c r="G2527" s="1075" t="s">
        <v>5350</v>
      </c>
      <c r="J2527" s="1453"/>
    </row>
    <row r="2528" spans="1:10" x14ac:dyDescent="0.2">
      <c r="B2528" s="1421"/>
      <c r="C2528" s="1421" t="str">
        <f t="shared" si="272"/>
        <v/>
      </c>
      <c r="D2528" s="89"/>
      <c r="E2528" s="1074" t="s">
        <v>391</v>
      </c>
      <c r="F2528" s="1074"/>
      <c r="G2528" s="1075" t="s">
        <v>5351</v>
      </c>
      <c r="J2528" s="1453"/>
    </row>
    <row r="2529" spans="1:10" x14ac:dyDescent="0.2">
      <c r="B2529" s="1421"/>
      <c r="C2529" s="1421" t="str">
        <f t="shared" si="272"/>
        <v/>
      </c>
      <c r="D2529" s="89"/>
      <c r="E2529" s="1074" t="s">
        <v>392</v>
      </c>
      <c r="F2529" s="1074"/>
      <c r="G2529" s="1075" t="s">
        <v>5352</v>
      </c>
      <c r="J2529" s="1453"/>
    </row>
    <row r="2530" spans="1:10" x14ac:dyDescent="0.2">
      <c r="B2530" s="1421"/>
      <c r="C2530" s="1421" t="str">
        <f t="shared" si="272"/>
        <v/>
      </c>
      <c r="D2530" s="89"/>
      <c r="E2530" s="1073" t="s">
        <v>394</v>
      </c>
      <c r="F2530" s="1073"/>
      <c r="G2530" s="1633" t="s">
        <v>5353</v>
      </c>
      <c r="J2530" s="1453"/>
    </row>
    <row r="2531" spans="1:10" x14ac:dyDescent="0.2">
      <c r="B2531" s="1421"/>
      <c r="C2531" s="1421" t="str">
        <f t="shared" si="272"/>
        <v/>
      </c>
      <c r="D2531" s="89"/>
      <c r="E2531" s="1072"/>
      <c r="F2531" s="1072"/>
      <c r="G2531" s="1639"/>
      <c r="J2531" s="1453"/>
    </row>
    <row r="2532" spans="1:10" x14ac:dyDescent="0.2">
      <c r="B2532" s="1421"/>
      <c r="C2532" s="1421" t="str">
        <f t="shared" si="272"/>
        <v/>
      </c>
      <c r="D2532" s="169"/>
      <c r="E2532" s="1072" t="s">
        <v>396</v>
      </c>
      <c r="F2532" s="1072"/>
      <c r="G2532" s="1438" t="s">
        <v>5354</v>
      </c>
      <c r="J2532" s="1453"/>
    </row>
    <row r="2533" spans="1:10" x14ac:dyDescent="0.2">
      <c r="A2533" s="467" t="str">
        <f t="shared" ref="A2533:A2541" si="274">IF(dstCommercial="Yes","P","")</f>
        <v/>
      </c>
      <c r="B2533" s="1421"/>
      <c r="C2533" s="1421" t="str">
        <f t="shared" si="272"/>
        <v/>
      </c>
      <c r="D2533" s="860" t="s">
        <v>5355</v>
      </c>
      <c r="E2533" s="1073"/>
      <c r="F2533" s="1073"/>
      <c r="G2533" s="1686" t="s">
        <v>5356</v>
      </c>
      <c r="J2533" s="1804" t="s">
        <v>5610</v>
      </c>
    </row>
    <row r="2534" spans="1:10" x14ac:dyDescent="0.2">
      <c r="A2534" s="467" t="str">
        <f t="shared" si="274"/>
        <v/>
      </c>
      <c r="B2534" s="1421"/>
      <c r="C2534" s="1421" t="str">
        <f t="shared" si="272"/>
        <v/>
      </c>
      <c r="D2534" s="89"/>
      <c r="E2534" s="873"/>
      <c r="F2534" s="873"/>
      <c r="G2534" s="1807"/>
      <c r="J2534" s="1805"/>
    </row>
    <row r="2535" spans="1:10" x14ac:dyDescent="0.2">
      <c r="A2535" s="467" t="str">
        <f t="shared" si="274"/>
        <v/>
      </c>
      <c r="B2535" s="1421"/>
      <c r="C2535" s="1421" t="str">
        <f t="shared" si="272"/>
        <v/>
      </c>
      <c r="D2535" s="169"/>
      <c r="E2535" s="1072"/>
      <c r="F2535" s="1072"/>
      <c r="G2535" s="1688"/>
      <c r="J2535" s="1453"/>
    </row>
    <row r="2536" spans="1:10" x14ac:dyDescent="0.2">
      <c r="A2536" s="467" t="str">
        <f t="shared" si="274"/>
        <v/>
      </c>
      <c r="B2536" s="1421"/>
      <c r="C2536" s="1421" t="str">
        <f t="shared" si="272"/>
        <v/>
      </c>
      <c r="D2536" s="860" t="s">
        <v>5357</v>
      </c>
      <c r="E2536" s="1073"/>
      <c r="F2536" s="1073"/>
      <c r="G2536" s="1686" t="s">
        <v>5358</v>
      </c>
      <c r="J2536" s="1453" t="s">
        <v>5161</v>
      </c>
    </row>
    <row r="2537" spans="1:10" x14ac:dyDescent="0.2">
      <c r="A2537" s="467" t="str">
        <f t="shared" si="274"/>
        <v/>
      </c>
      <c r="B2537" s="1421"/>
      <c r="C2537" s="1421" t="str">
        <f t="shared" si="272"/>
        <v/>
      </c>
      <c r="D2537" s="89"/>
      <c r="E2537" s="873"/>
      <c r="F2537" s="873"/>
      <c r="G2537" s="1807"/>
      <c r="J2537" s="1453"/>
    </row>
    <row r="2538" spans="1:10" x14ac:dyDescent="0.2">
      <c r="A2538" s="467" t="str">
        <f t="shared" si="274"/>
        <v/>
      </c>
      <c r="B2538" s="1421"/>
      <c r="C2538" s="1421" t="str">
        <f t="shared" si="272"/>
        <v/>
      </c>
      <c r="D2538" s="89"/>
      <c r="E2538" s="873"/>
      <c r="F2538" s="873"/>
      <c r="G2538" s="1807"/>
      <c r="J2538" s="1453"/>
    </row>
    <row r="2539" spans="1:10" x14ac:dyDescent="0.2">
      <c r="A2539" s="467" t="str">
        <f t="shared" si="274"/>
        <v/>
      </c>
      <c r="B2539" s="1421"/>
      <c r="C2539" s="1421" t="str">
        <f t="shared" si="272"/>
        <v/>
      </c>
      <c r="D2539" s="169"/>
      <c r="E2539" s="1072"/>
      <c r="F2539" s="1072"/>
      <c r="G2539" s="1688"/>
      <c r="J2539" s="1453"/>
    </row>
    <row r="2540" spans="1:10" x14ac:dyDescent="0.2">
      <c r="A2540" s="467" t="str">
        <f t="shared" si="274"/>
        <v/>
      </c>
      <c r="B2540" s="1421"/>
      <c r="C2540" s="1421" t="str">
        <f t="shared" si="272"/>
        <v/>
      </c>
      <c r="D2540" s="89" t="s">
        <v>5359</v>
      </c>
      <c r="E2540" s="873"/>
      <c r="F2540" s="873"/>
      <c r="G2540" s="1807" t="s">
        <v>5360</v>
      </c>
      <c r="J2540" s="1453" t="s">
        <v>3120</v>
      </c>
    </row>
    <row r="2541" spans="1:10" x14ac:dyDescent="0.2">
      <c r="A2541" s="467" t="str">
        <f t="shared" si="274"/>
        <v/>
      </c>
      <c r="B2541" s="1421"/>
      <c r="C2541" s="1421" t="str">
        <f t="shared" si="272"/>
        <v/>
      </c>
      <c r="D2541" s="89"/>
      <c r="E2541" s="873"/>
      <c r="F2541" s="873"/>
      <c r="G2541" s="1807"/>
      <c r="J2541" s="1453"/>
    </row>
    <row r="2542" spans="1:10" x14ac:dyDescent="0.2">
      <c r="B2542" s="1421"/>
      <c r="C2542" s="1421" t="str">
        <f t="shared" si="272"/>
        <v/>
      </c>
      <c r="D2542" s="89"/>
      <c r="E2542" s="873" t="s">
        <v>254</v>
      </c>
      <c r="F2542" s="873"/>
      <c r="G2542" s="1808" t="s">
        <v>5361</v>
      </c>
      <c r="J2542" s="1453"/>
    </row>
    <row r="2543" spans="1:10" x14ac:dyDescent="0.2">
      <c r="B2543" s="1421"/>
      <c r="C2543" s="1421" t="str">
        <f t="shared" si="272"/>
        <v/>
      </c>
      <c r="D2543" s="89"/>
      <c r="E2543" s="1072"/>
      <c r="F2543" s="1072"/>
      <c r="G2543" s="1639"/>
      <c r="J2543" s="1453"/>
    </row>
    <row r="2544" spans="1:10" x14ac:dyDescent="0.2">
      <c r="B2544" s="1421"/>
      <c r="C2544" s="1421" t="str">
        <f t="shared" si="272"/>
        <v/>
      </c>
      <c r="D2544" s="89"/>
      <c r="E2544" s="1073" t="s">
        <v>255</v>
      </c>
      <c r="F2544" s="1073"/>
      <c r="G2544" s="1633" t="s">
        <v>5362</v>
      </c>
      <c r="J2544" s="1453"/>
    </row>
    <row r="2545" spans="1:10" x14ac:dyDescent="0.2">
      <c r="B2545" s="1421"/>
      <c r="C2545" s="1421" t="str">
        <f t="shared" si="272"/>
        <v/>
      </c>
      <c r="D2545" s="89"/>
      <c r="E2545" s="1072"/>
      <c r="F2545" s="1072"/>
      <c r="G2545" s="1639"/>
      <c r="J2545" s="1453"/>
    </row>
    <row r="2546" spans="1:10" x14ac:dyDescent="0.2">
      <c r="B2546" s="1421"/>
      <c r="C2546" s="1421" t="str">
        <f t="shared" si="272"/>
        <v/>
      </c>
      <c r="D2546" s="169"/>
      <c r="E2546" s="1072" t="s">
        <v>256</v>
      </c>
      <c r="F2546" s="1072"/>
      <c r="G2546" s="1438" t="s">
        <v>5363</v>
      </c>
      <c r="J2546" s="1453"/>
    </row>
    <row r="2547" spans="1:10" x14ac:dyDescent="0.2">
      <c r="A2547" s="467" t="str">
        <f>IF(dstCommercial="Yes","P","")</f>
        <v/>
      </c>
      <c r="B2547" s="1421"/>
      <c r="C2547" s="1421" t="str">
        <f t="shared" si="272"/>
        <v/>
      </c>
      <c r="D2547" s="89" t="s">
        <v>5364</v>
      </c>
      <c r="E2547" s="873"/>
      <c r="F2547" s="873"/>
      <c r="G2547" s="1807" t="s">
        <v>5365</v>
      </c>
      <c r="J2547" s="1453" t="s">
        <v>5611</v>
      </c>
    </row>
    <row r="2548" spans="1:10" x14ac:dyDescent="0.2">
      <c r="A2548" s="467" t="str">
        <f>IF(dstCommercial="Yes","P","")</f>
        <v/>
      </c>
      <c r="B2548" s="1421"/>
      <c r="C2548" s="1421" t="str">
        <f t="shared" si="272"/>
        <v/>
      </c>
      <c r="D2548" s="89"/>
      <c r="E2548" s="873"/>
      <c r="F2548" s="873"/>
      <c r="G2548" s="1807"/>
      <c r="J2548" s="1453"/>
    </row>
    <row r="2549" spans="1:10" x14ac:dyDescent="0.2">
      <c r="B2549" s="1421"/>
      <c r="C2549" s="1421" t="str">
        <f t="shared" si="272"/>
        <v/>
      </c>
      <c r="D2549" s="89"/>
      <c r="E2549" s="873" t="s">
        <v>254</v>
      </c>
      <c r="F2549" s="873"/>
      <c r="G2549" s="1808" t="s">
        <v>5366</v>
      </c>
      <c r="J2549" s="1453"/>
    </row>
    <row r="2550" spans="1:10" x14ac:dyDescent="0.2">
      <c r="B2550" s="1421"/>
      <c r="C2550" s="1421" t="str">
        <f t="shared" si="272"/>
        <v/>
      </c>
      <c r="D2550" s="89"/>
      <c r="E2550" s="1072"/>
      <c r="F2550" s="1072"/>
      <c r="G2550" s="1639"/>
      <c r="J2550" s="1453"/>
    </row>
    <row r="2551" spans="1:10" x14ac:dyDescent="0.2">
      <c r="B2551" s="1421"/>
      <c r="C2551" s="1421" t="str">
        <f t="shared" si="272"/>
        <v/>
      </c>
      <c r="D2551" s="89"/>
      <c r="E2551" s="873" t="s">
        <v>255</v>
      </c>
      <c r="F2551" s="873"/>
      <c r="G2551" s="1808" t="s">
        <v>5367</v>
      </c>
      <c r="J2551" s="1453"/>
    </row>
    <row r="2552" spans="1:10" ht="16" thickBot="1" x14ac:dyDescent="0.25">
      <c r="B2552" s="1421"/>
      <c r="C2552" s="1421" t="str">
        <f t="shared" si="272"/>
        <v/>
      </c>
      <c r="D2552" s="98"/>
      <c r="E2552" s="1069"/>
      <c r="F2552" s="1069"/>
      <c r="G2552" s="1635"/>
      <c r="J2552" s="1453"/>
    </row>
    <row r="2553" spans="1:10" ht="16" thickTop="1" x14ac:dyDescent="0.2">
      <c r="A2553" s="467" t="str">
        <f t="shared" ref="A2553:A2568" si="275">IF(dstCommercial="Yes","P","")</f>
        <v/>
      </c>
      <c r="B2553" s="1421"/>
      <c r="C2553" s="1421" t="str">
        <f t="shared" si="272"/>
        <v/>
      </c>
      <c r="D2553" s="115" t="s">
        <v>5368</v>
      </c>
      <c r="E2553" s="1070"/>
      <c r="F2553" s="1070"/>
      <c r="G2553" s="1740" t="s">
        <v>5369</v>
      </c>
      <c r="J2553" s="1453" t="s">
        <v>5612</v>
      </c>
    </row>
    <row r="2554" spans="1:10" ht="16" thickBot="1" x14ac:dyDescent="0.25">
      <c r="A2554" s="467" t="str">
        <f t="shared" si="275"/>
        <v/>
      </c>
      <c r="B2554" s="1421"/>
      <c r="C2554" s="1421" t="str">
        <f t="shared" si="272"/>
        <v/>
      </c>
      <c r="D2554" s="98"/>
      <c r="E2554" s="1069"/>
      <c r="F2554" s="1069"/>
      <c r="G2554" s="1738"/>
      <c r="J2554" s="1453"/>
    </row>
    <row r="2555" spans="1:10" ht="16" thickTop="1" x14ac:dyDescent="0.2">
      <c r="A2555" s="467" t="str">
        <f t="shared" si="275"/>
        <v/>
      </c>
      <c r="B2555" s="1421"/>
      <c r="C2555" s="1421" t="str">
        <f t="shared" si="272"/>
        <v/>
      </c>
      <c r="D2555" s="115" t="s">
        <v>5370</v>
      </c>
      <c r="E2555" s="1070"/>
      <c r="F2555" s="1070"/>
      <c r="G2555" s="1740" t="s">
        <v>5371</v>
      </c>
      <c r="J2555" s="1453"/>
    </row>
    <row r="2556" spans="1:10" x14ac:dyDescent="0.2">
      <c r="A2556" s="467" t="str">
        <f t="shared" si="275"/>
        <v/>
      </c>
      <c r="B2556" s="1421"/>
      <c r="C2556" s="1421" t="str">
        <f t="shared" si="272"/>
        <v/>
      </c>
      <c r="D2556" s="89"/>
      <c r="E2556" s="873"/>
      <c r="F2556" s="873"/>
      <c r="G2556" s="1807"/>
      <c r="J2556" s="1453"/>
    </row>
    <row r="2557" spans="1:10" x14ac:dyDescent="0.2">
      <c r="A2557" s="467" t="str">
        <f t="shared" si="275"/>
        <v/>
      </c>
      <c r="B2557" s="1421"/>
      <c r="C2557" s="1421" t="str">
        <f t="shared" si="272"/>
        <v/>
      </c>
      <c r="D2557" s="169"/>
      <c r="E2557" s="1072"/>
      <c r="F2557" s="1072"/>
      <c r="G2557" s="1688"/>
      <c r="J2557" s="1453"/>
    </row>
    <row r="2558" spans="1:10" ht="15" customHeight="1" x14ac:dyDescent="0.2">
      <c r="A2558" s="467" t="str">
        <f t="shared" si="275"/>
        <v/>
      </c>
      <c r="B2558" s="1421"/>
      <c r="C2558" s="1421" t="str">
        <f t="shared" si="272"/>
        <v/>
      </c>
      <c r="D2558" s="169" t="s">
        <v>5372</v>
      </c>
      <c r="E2558" s="1072"/>
      <c r="F2558" s="1072"/>
      <c r="G2558" s="1446" t="s">
        <v>5373</v>
      </c>
      <c r="J2558" s="1453" t="s">
        <v>5613</v>
      </c>
    </row>
    <row r="2559" spans="1:10" x14ac:dyDescent="0.2">
      <c r="A2559" s="467" t="str">
        <f t="shared" si="275"/>
        <v/>
      </c>
      <c r="B2559" s="1421"/>
      <c r="C2559" s="1421" t="str">
        <f t="shared" si="272"/>
        <v/>
      </c>
      <c r="D2559" s="67">
        <v>606.1</v>
      </c>
      <c r="E2559" s="69"/>
      <c r="F2559" s="87"/>
      <c r="G2559" s="87" t="s">
        <v>5374</v>
      </c>
      <c r="J2559" s="1453"/>
    </row>
    <row r="2560" spans="1:10" x14ac:dyDescent="0.2">
      <c r="A2560" s="467" t="str">
        <f t="shared" si="275"/>
        <v/>
      </c>
      <c r="B2560" s="1421"/>
      <c r="C2560" s="1421" t="str">
        <f t="shared" si="272"/>
        <v/>
      </c>
      <c r="D2560" s="67"/>
      <c r="E2560" s="69"/>
      <c r="F2560" s="89" t="s">
        <v>121</v>
      </c>
      <c r="G2560" s="85" t="s">
        <v>5375</v>
      </c>
      <c r="J2560" s="1453"/>
    </row>
    <row r="2561" spans="1:10" x14ac:dyDescent="0.2">
      <c r="A2561" s="467" t="str">
        <f t="shared" si="275"/>
        <v/>
      </c>
      <c r="B2561" s="1421"/>
      <c r="C2561" s="1421" t="str">
        <f t="shared" si="272"/>
        <v/>
      </c>
      <c r="D2561" s="67"/>
      <c r="E2561" s="69"/>
      <c r="F2561" s="89" t="s">
        <v>122</v>
      </c>
      <c r="G2561" s="85" t="s">
        <v>550</v>
      </c>
      <c r="J2561" s="1453"/>
    </row>
    <row r="2562" spans="1:10" x14ac:dyDescent="0.2">
      <c r="A2562" s="467" t="str">
        <f t="shared" si="275"/>
        <v/>
      </c>
      <c r="B2562" s="1421"/>
      <c r="C2562" s="1421" t="str">
        <f t="shared" si="272"/>
        <v/>
      </c>
      <c r="D2562" s="67"/>
      <c r="E2562" s="69"/>
      <c r="F2562" s="91" t="s">
        <v>123</v>
      </c>
      <c r="G2562" s="85" t="s">
        <v>551</v>
      </c>
      <c r="J2562" s="1453"/>
    </row>
    <row r="2563" spans="1:10" x14ac:dyDescent="0.2">
      <c r="A2563" s="467" t="str">
        <f t="shared" si="275"/>
        <v/>
      </c>
      <c r="B2563" s="1421"/>
      <c r="C2563" s="1421" t="str">
        <f t="shared" si="272"/>
        <v/>
      </c>
      <c r="D2563" s="67"/>
      <c r="E2563" s="69"/>
      <c r="F2563" s="87" t="s">
        <v>366</v>
      </c>
      <c r="G2563" s="85" t="s">
        <v>552</v>
      </c>
      <c r="J2563" s="1453"/>
    </row>
    <row r="2564" spans="1:10" x14ac:dyDescent="0.2">
      <c r="A2564" s="467" t="str">
        <f t="shared" si="275"/>
        <v/>
      </c>
      <c r="B2564" s="1421"/>
      <c r="C2564" s="1421" t="str">
        <f t="shared" si="272"/>
        <v/>
      </c>
      <c r="D2564" s="67"/>
      <c r="E2564" s="69"/>
      <c r="F2564" s="89" t="s">
        <v>472</v>
      </c>
      <c r="G2564" s="85" t="s">
        <v>553</v>
      </c>
      <c r="J2564" s="1453"/>
    </row>
    <row r="2565" spans="1:10" x14ac:dyDescent="0.2">
      <c r="A2565" s="467" t="str">
        <f t="shared" si="275"/>
        <v/>
      </c>
      <c r="B2565" s="1421"/>
      <c r="C2565" s="1421" t="str">
        <f t="shared" si="272"/>
        <v/>
      </c>
      <c r="D2565" s="67"/>
      <c r="E2565" s="69"/>
      <c r="F2565" s="89" t="s">
        <v>510</v>
      </c>
      <c r="G2565" s="85" t="s">
        <v>554</v>
      </c>
      <c r="J2565" s="1453"/>
    </row>
    <row r="2566" spans="1:10" x14ac:dyDescent="0.2">
      <c r="A2566" s="467" t="str">
        <f t="shared" si="275"/>
        <v/>
      </c>
      <c r="B2566" s="1421"/>
      <c r="C2566" s="1421" t="str">
        <f t="shared" si="272"/>
        <v/>
      </c>
      <c r="D2566" s="67"/>
      <c r="E2566" s="69"/>
      <c r="F2566" s="91" t="s">
        <v>512</v>
      </c>
      <c r="G2566" s="85" t="s">
        <v>555</v>
      </c>
      <c r="J2566" s="1453"/>
    </row>
    <row r="2567" spans="1:10" x14ac:dyDescent="0.2">
      <c r="A2567" s="467" t="str">
        <f t="shared" si="275"/>
        <v/>
      </c>
      <c r="B2567" s="1421"/>
      <c r="C2567" s="1421" t="str">
        <f t="shared" si="272"/>
        <v/>
      </c>
      <c r="D2567" s="67"/>
      <c r="E2567" s="69"/>
      <c r="F2567" s="87" t="s">
        <v>514</v>
      </c>
      <c r="G2567" s="1611" t="s">
        <v>556</v>
      </c>
      <c r="J2567" s="1453"/>
    </row>
    <row r="2568" spans="1:10" x14ac:dyDescent="0.2">
      <c r="A2568" s="467" t="str">
        <f t="shared" si="275"/>
        <v/>
      </c>
      <c r="B2568" s="1421"/>
      <c r="C2568" s="1421" t="str">
        <f t="shared" ref="C2568:C2631" si="276">IF(LEN(B2568)=0,IF(A2568="P","P",""),B2568)</f>
        <v/>
      </c>
      <c r="D2568" s="67"/>
      <c r="E2568" s="69"/>
      <c r="F2568" s="87"/>
      <c r="G2568" s="1611"/>
      <c r="J2568" s="1453"/>
    </row>
    <row r="2569" spans="1:10" x14ac:dyDescent="0.2">
      <c r="B2569" s="1421"/>
      <c r="C2569" s="1421" t="str">
        <f t="shared" si="276"/>
        <v/>
      </c>
      <c r="D2569" s="67"/>
      <c r="E2569" s="69"/>
      <c r="F2569" s="87"/>
      <c r="G2569" s="1431" t="s">
        <v>679</v>
      </c>
      <c r="J2569" s="1453"/>
    </row>
    <row r="2570" spans="1:10" x14ac:dyDescent="0.2">
      <c r="A2570" s="467" t="str">
        <f t="shared" ref="A2570:A2592" si="277">IF(dstCommercial="Yes","P","")</f>
        <v/>
      </c>
      <c r="B2570" s="1421"/>
      <c r="C2570" s="1421" t="str">
        <f t="shared" si="276"/>
        <v/>
      </c>
      <c r="D2570" s="67"/>
      <c r="E2570" s="29" t="s">
        <v>254</v>
      </c>
      <c r="F2570" s="87"/>
      <c r="G2570" s="1611" t="s">
        <v>557</v>
      </c>
      <c r="J2570" s="1453"/>
    </row>
    <row r="2571" spans="1:10" x14ac:dyDescent="0.2">
      <c r="A2571" s="467" t="str">
        <f t="shared" si="277"/>
        <v/>
      </c>
      <c r="B2571" s="1421"/>
      <c r="C2571" s="1421" t="str">
        <f t="shared" si="276"/>
        <v/>
      </c>
      <c r="D2571" s="67"/>
      <c r="E2571" s="447"/>
      <c r="F2571" s="221"/>
      <c r="G2571" s="1612"/>
      <c r="J2571" s="1453"/>
    </row>
    <row r="2572" spans="1:10" x14ac:dyDescent="0.2">
      <c r="A2572" s="467" t="str">
        <f t="shared" si="277"/>
        <v/>
      </c>
      <c r="B2572" s="1421"/>
      <c r="C2572" s="1421" t="str">
        <f t="shared" si="276"/>
        <v/>
      </c>
      <c r="D2572" s="67"/>
      <c r="E2572" s="212" t="s">
        <v>255</v>
      </c>
      <c r="F2572" s="218"/>
      <c r="G2572" s="1613" t="s">
        <v>558</v>
      </c>
      <c r="J2572" s="1453"/>
    </row>
    <row r="2573" spans="1:10" x14ac:dyDescent="0.2">
      <c r="A2573" s="467" t="str">
        <f t="shared" si="277"/>
        <v/>
      </c>
      <c r="B2573" s="1421"/>
      <c r="C2573" s="1421" t="str">
        <f t="shared" si="276"/>
        <v/>
      </c>
      <c r="D2573" s="67"/>
      <c r="E2573" s="447"/>
      <c r="F2573" s="221"/>
      <c r="G2573" s="1612"/>
      <c r="J2573" s="1453"/>
    </row>
    <row r="2574" spans="1:10" x14ac:dyDescent="0.2">
      <c r="A2574" s="467" t="str">
        <f t="shared" si="277"/>
        <v/>
      </c>
      <c r="B2574" s="1421"/>
      <c r="C2574" s="1421" t="str">
        <f t="shared" si="276"/>
        <v/>
      </c>
      <c r="D2574" s="67"/>
      <c r="E2574" s="29" t="s">
        <v>256</v>
      </c>
      <c r="F2574" s="87"/>
      <c r="G2574" s="1611" t="s">
        <v>559</v>
      </c>
      <c r="J2574" s="1453"/>
    </row>
    <row r="2575" spans="1:10" ht="16" thickBot="1" x14ac:dyDescent="0.25">
      <c r="A2575" s="467" t="str">
        <f t="shared" si="277"/>
        <v/>
      </c>
      <c r="B2575" s="1421"/>
      <c r="C2575" s="1421" t="str">
        <f t="shared" si="276"/>
        <v/>
      </c>
      <c r="D2575" s="67"/>
      <c r="E2575" s="69"/>
      <c r="F2575" s="87"/>
      <c r="G2575" s="1611"/>
      <c r="J2575" s="1453"/>
    </row>
    <row r="2576" spans="1:10" ht="16" thickTop="1" x14ac:dyDescent="0.2">
      <c r="A2576" s="467" t="str">
        <f t="shared" si="277"/>
        <v/>
      </c>
      <c r="B2576" s="1421"/>
      <c r="C2576" s="1421" t="str">
        <f t="shared" si="276"/>
        <v/>
      </c>
      <c r="D2576" s="177">
        <v>606.20000000000005</v>
      </c>
      <c r="E2576" s="429"/>
      <c r="F2576" s="125"/>
      <c r="G2576" s="1683" t="s">
        <v>5376</v>
      </c>
      <c r="J2576" s="1453"/>
    </row>
    <row r="2577" spans="1:10" x14ac:dyDescent="0.2">
      <c r="A2577" s="467" t="str">
        <f t="shared" si="277"/>
        <v/>
      </c>
      <c r="B2577" s="1421"/>
      <c r="C2577" s="1421" t="str">
        <f t="shared" si="276"/>
        <v/>
      </c>
      <c r="D2577" s="67"/>
      <c r="E2577" s="69"/>
      <c r="F2577" s="87"/>
      <c r="G2577" s="1631"/>
      <c r="J2577" s="1453"/>
    </row>
    <row r="2578" spans="1:10" x14ac:dyDescent="0.2">
      <c r="A2578" s="467" t="str">
        <f t="shared" si="277"/>
        <v/>
      </c>
      <c r="B2578" s="1421"/>
      <c r="C2578" s="1421" t="str">
        <f t="shared" si="276"/>
        <v/>
      </c>
      <c r="D2578" s="67"/>
      <c r="E2578" s="69"/>
      <c r="F2578" s="89" t="s">
        <v>121</v>
      </c>
      <c r="G2578" s="1441" t="s">
        <v>560</v>
      </c>
      <c r="J2578" s="1453"/>
    </row>
    <row r="2579" spans="1:10" x14ac:dyDescent="0.2">
      <c r="A2579" s="467" t="str">
        <f t="shared" si="277"/>
        <v/>
      </c>
      <c r="B2579" s="1421"/>
      <c r="C2579" s="1421" t="str">
        <f t="shared" si="276"/>
        <v/>
      </c>
      <c r="D2579" s="67"/>
      <c r="E2579" s="69"/>
      <c r="F2579" s="89" t="s">
        <v>122</v>
      </c>
      <c r="G2579" s="1611" t="s">
        <v>561</v>
      </c>
      <c r="J2579" s="1453"/>
    </row>
    <row r="2580" spans="1:10" x14ac:dyDescent="0.2">
      <c r="A2580" s="467" t="str">
        <f t="shared" si="277"/>
        <v/>
      </c>
      <c r="B2580" s="1421"/>
      <c r="C2580" s="1421" t="str">
        <f t="shared" si="276"/>
        <v/>
      </c>
      <c r="D2580" s="67"/>
      <c r="E2580" s="69"/>
      <c r="F2580" s="89"/>
      <c r="G2580" s="1611"/>
      <c r="J2580" s="1453"/>
    </row>
    <row r="2581" spans="1:10" x14ac:dyDescent="0.2">
      <c r="A2581" s="467" t="str">
        <f t="shared" si="277"/>
        <v/>
      </c>
      <c r="B2581" s="1421"/>
      <c r="C2581" s="1421" t="str">
        <f t="shared" si="276"/>
        <v/>
      </c>
      <c r="D2581" s="67"/>
      <c r="E2581" s="69"/>
      <c r="F2581" s="89" t="s">
        <v>123</v>
      </c>
      <c r="G2581" s="236" t="s">
        <v>562</v>
      </c>
      <c r="J2581" s="1453"/>
    </row>
    <row r="2582" spans="1:10" x14ac:dyDescent="0.2">
      <c r="A2582" s="467" t="str">
        <f t="shared" si="277"/>
        <v/>
      </c>
      <c r="B2582" s="1421"/>
      <c r="C2582" s="1421" t="str">
        <f t="shared" si="276"/>
        <v/>
      </c>
      <c r="D2582" s="67"/>
      <c r="E2582" s="69"/>
      <c r="F2582" s="91" t="s">
        <v>366</v>
      </c>
      <c r="G2582" s="236" t="s">
        <v>563</v>
      </c>
      <c r="J2582" s="1453"/>
    </row>
    <row r="2583" spans="1:10" x14ac:dyDescent="0.2">
      <c r="A2583" s="467" t="str">
        <f t="shared" si="277"/>
        <v/>
      </c>
      <c r="B2583" s="1421"/>
      <c r="C2583" s="1421" t="str">
        <f t="shared" si="276"/>
        <v/>
      </c>
      <c r="D2583" s="67"/>
      <c r="E2583" s="69"/>
      <c r="F2583" s="87" t="s">
        <v>472</v>
      </c>
      <c r="G2583" s="236" t="s">
        <v>564</v>
      </c>
      <c r="J2583" s="1453"/>
    </row>
    <row r="2584" spans="1:10" x14ac:dyDescent="0.2">
      <c r="A2584" s="467" t="str">
        <f t="shared" si="277"/>
        <v/>
      </c>
      <c r="B2584" s="1421"/>
      <c r="C2584" s="1421" t="str">
        <f t="shared" si="276"/>
        <v/>
      </c>
      <c r="D2584" s="67"/>
      <c r="E2584" s="69"/>
      <c r="F2584" s="89" t="s">
        <v>510</v>
      </c>
      <c r="G2584" s="1441" t="s">
        <v>565</v>
      </c>
      <c r="J2584" s="1453"/>
    </row>
    <row r="2585" spans="1:10" x14ac:dyDescent="0.2">
      <c r="A2585" s="467" t="str">
        <f t="shared" si="277"/>
        <v/>
      </c>
      <c r="B2585" s="1421"/>
      <c r="C2585" s="1421" t="str">
        <f t="shared" si="276"/>
        <v/>
      </c>
      <c r="D2585" s="67"/>
      <c r="E2585" s="69"/>
      <c r="F2585" s="89" t="s">
        <v>512</v>
      </c>
      <c r="G2585" s="1441" t="s">
        <v>566</v>
      </c>
      <c r="J2585" s="1453"/>
    </row>
    <row r="2586" spans="1:10" x14ac:dyDescent="0.2">
      <c r="A2586" s="467" t="str">
        <f t="shared" si="277"/>
        <v/>
      </c>
      <c r="B2586" s="1421"/>
      <c r="C2586" s="1421" t="str">
        <f t="shared" si="276"/>
        <v/>
      </c>
      <c r="D2586" s="67"/>
      <c r="E2586" s="69"/>
      <c r="F2586" s="89" t="s">
        <v>514</v>
      </c>
      <c r="G2586" s="1808" t="s">
        <v>5377</v>
      </c>
      <c r="J2586" s="1453"/>
    </row>
    <row r="2587" spans="1:10" x14ac:dyDescent="0.2">
      <c r="A2587" s="467" t="str">
        <f t="shared" si="277"/>
        <v/>
      </c>
      <c r="B2587" s="1421"/>
      <c r="C2587" s="1421" t="str">
        <f t="shared" si="276"/>
        <v/>
      </c>
      <c r="D2587" s="67"/>
      <c r="E2587" s="69"/>
      <c r="F2587" s="89"/>
      <c r="G2587" s="1808"/>
      <c r="J2587" s="1453"/>
    </row>
    <row r="2588" spans="1:10" x14ac:dyDescent="0.2">
      <c r="A2588" s="467" t="str">
        <f t="shared" si="277"/>
        <v/>
      </c>
      <c r="B2588" s="1421"/>
      <c r="C2588" s="1421" t="str">
        <f t="shared" si="276"/>
        <v/>
      </c>
      <c r="D2588" s="67"/>
      <c r="E2588" s="69"/>
      <c r="F2588" s="89"/>
      <c r="G2588" s="1808"/>
      <c r="J2588" s="1453"/>
    </row>
    <row r="2589" spans="1:10" x14ac:dyDescent="0.2">
      <c r="A2589" s="467" t="str">
        <f t="shared" si="277"/>
        <v/>
      </c>
      <c r="B2589" s="1421"/>
      <c r="C2589" s="1421" t="str">
        <f t="shared" si="276"/>
        <v/>
      </c>
      <c r="D2589" s="67"/>
      <c r="E2589" s="69"/>
      <c r="F2589" s="89"/>
      <c r="G2589" s="1808"/>
      <c r="J2589" s="1453"/>
    </row>
    <row r="2590" spans="1:10" x14ac:dyDescent="0.2">
      <c r="A2590" s="467" t="str">
        <f t="shared" si="277"/>
        <v/>
      </c>
      <c r="B2590" s="1421"/>
      <c r="C2590" s="1421" t="str">
        <f t="shared" si="276"/>
        <v/>
      </c>
      <c r="D2590" s="67"/>
      <c r="E2590" s="69"/>
      <c r="F2590" s="89"/>
      <c r="G2590" s="1808"/>
      <c r="J2590" s="1453"/>
    </row>
    <row r="2591" spans="1:10" x14ac:dyDescent="0.2">
      <c r="A2591" s="467" t="str">
        <f t="shared" si="277"/>
        <v/>
      </c>
      <c r="B2591" s="1421"/>
      <c r="C2591" s="1421" t="str">
        <f t="shared" si="276"/>
        <v/>
      </c>
      <c r="D2591" s="67"/>
      <c r="E2591" s="29" t="s">
        <v>254</v>
      </c>
      <c r="F2591" s="87"/>
      <c r="G2591" s="1611" t="s">
        <v>5378</v>
      </c>
      <c r="J2591" s="1453"/>
    </row>
    <row r="2592" spans="1:10" x14ac:dyDescent="0.2">
      <c r="A2592" s="467" t="str">
        <f t="shared" si="277"/>
        <v/>
      </c>
      <c r="B2592" s="1421"/>
      <c r="C2592" s="1421" t="str">
        <f t="shared" si="276"/>
        <v/>
      </c>
      <c r="D2592" s="67"/>
      <c r="E2592" s="29"/>
      <c r="F2592" s="87"/>
      <c r="G2592" s="1611"/>
      <c r="J2592" s="1453"/>
    </row>
    <row r="2593" spans="1:10" x14ac:dyDescent="0.2">
      <c r="B2593" s="1421"/>
      <c r="C2593" s="1421" t="str">
        <f t="shared" si="276"/>
        <v/>
      </c>
      <c r="D2593" s="67"/>
      <c r="E2593" s="207"/>
      <c r="F2593" s="221"/>
      <c r="G2593" s="1450" t="s">
        <v>2628</v>
      </c>
      <c r="J2593" s="1453"/>
    </row>
    <row r="2594" spans="1:10" x14ac:dyDescent="0.2">
      <c r="A2594" s="467" t="str">
        <f>IF(dstCommercial="Yes","P","")</f>
        <v/>
      </c>
      <c r="B2594" s="1421"/>
      <c r="C2594" s="1421" t="str">
        <f t="shared" si="276"/>
        <v/>
      </c>
      <c r="D2594" s="67"/>
      <c r="E2594" s="29" t="s">
        <v>255</v>
      </c>
      <c r="F2594" s="87"/>
      <c r="G2594" s="1611" t="s">
        <v>5379</v>
      </c>
      <c r="J2594" s="1453"/>
    </row>
    <row r="2595" spans="1:10" x14ac:dyDescent="0.2">
      <c r="A2595" s="467" t="str">
        <f>IF(dstCommercial="Yes","P","")</f>
        <v/>
      </c>
      <c r="B2595" s="1421"/>
      <c r="C2595" s="1421" t="str">
        <f t="shared" si="276"/>
        <v/>
      </c>
      <c r="D2595" s="67"/>
      <c r="E2595" s="69"/>
      <c r="F2595" s="87"/>
      <c r="G2595" s="1611"/>
      <c r="J2595" s="1453"/>
    </row>
    <row r="2596" spans="1:10" ht="16" thickBot="1" x14ac:dyDescent="0.25">
      <c r="B2596" s="1421"/>
      <c r="C2596" s="1421" t="str">
        <f t="shared" si="276"/>
        <v/>
      </c>
      <c r="D2596" s="67"/>
      <c r="E2596" s="69"/>
      <c r="F2596" s="87"/>
      <c r="G2596" s="1460" t="s">
        <v>2628</v>
      </c>
      <c r="J2596" s="1453"/>
    </row>
    <row r="2597" spans="1:10" ht="16" thickTop="1" x14ac:dyDescent="0.2">
      <c r="A2597" s="467" t="str">
        <f>IF(dstCommercial="Yes","P","")</f>
        <v/>
      </c>
      <c r="B2597" s="1421"/>
      <c r="C2597" s="1421" t="str">
        <f t="shared" si="276"/>
        <v/>
      </c>
      <c r="D2597" s="177">
        <v>606.29999999999995</v>
      </c>
      <c r="E2597" s="429"/>
      <c r="F2597" s="125"/>
      <c r="G2597" s="1683" t="s">
        <v>5380</v>
      </c>
      <c r="J2597" s="1453"/>
    </row>
    <row r="2598" spans="1:10" x14ac:dyDescent="0.2">
      <c r="A2598" s="467" t="str">
        <f>IF(dstCommercial="Yes","P","")</f>
        <v/>
      </c>
      <c r="B2598" s="1421"/>
      <c r="C2598" s="1421" t="str">
        <f t="shared" si="276"/>
        <v/>
      </c>
      <c r="D2598" s="67"/>
      <c r="E2598" s="69"/>
      <c r="F2598" s="87"/>
      <c r="G2598" s="1631"/>
      <c r="J2598" s="1453"/>
    </row>
    <row r="2599" spans="1:10" x14ac:dyDescent="0.2">
      <c r="A2599" s="467" t="str">
        <f>IF(dstCommercial="Yes","P","")</f>
        <v/>
      </c>
      <c r="B2599" s="1421"/>
      <c r="C2599" s="1421" t="str">
        <f t="shared" si="276"/>
        <v/>
      </c>
      <c r="D2599" s="67"/>
      <c r="E2599" s="69"/>
      <c r="F2599" s="87"/>
      <c r="G2599" s="1631"/>
      <c r="J2599" s="1453"/>
    </row>
    <row r="2600" spans="1:10" x14ac:dyDescent="0.2">
      <c r="A2600" s="467" t="str">
        <f>IF(dstCommercial="Yes","P","")</f>
        <v/>
      </c>
      <c r="B2600" s="1421"/>
      <c r="C2600" s="1421" t="str">
        <f t="shared" si="276"/>
        <v/>
      </c>
      <c r="D2600" s="67"/>
      <c r="E2600" s="69"/>
      <c r="F2600" s="87"/>
      <c r="G2600" s="1631"/>
      <c r="J2600" s="1453"/>
    </row>
    <row r="2601" spans="1:10" x14ac:dyDescent="0.2">
      <c r="A2601" s="467" t="str">
        <f>IF(dstCommercial="Yes","P","")</f>
        <v/>
      </c>
      <c r="B2601" s="1421"/>
      <c r="C2601" s="1421" t="str">
        <f t="shared" si="276"/>
        <v/>
      </c>
      <c r="D2601" s="67"/>
      <c r="E2601" s="69"/>
      <c r="F2601" s="87"/>
      <c r="G2601" s="1474" t="s">
        <v>567</v>
      </c>
      <c r="J2601" s="1453"/>
    </row>
    <row r="2602" spans="1:10" ht="16" thickBot="1" x14ac:dyDescent="0.25">
      <c r="B2602" s="1421"/>
      <c r="C2602" s="1421" t="str">
        <f t="shared" si="276"/>
        <v/>
      </c>
      <c r="D2602" s="189"/>
      <c r="E2602" s="1082"/>
      <c r="F2602" s="105"/>
      <c r="G2602" s="1451" t="s">
        <v>2632</v>
      </c>
      <c r="J2602" s="1453"/>
    </row>
    <row r="2603" spans="1:10" ht="16" thickTop="1" x14ac:dyDescent="0.2">
      <c r="A2603" s="467" t="str">
        <f t="shared" ref="A2603:A2609" si="278">IF(dstCommercial="Yes","P","")</f>
        <v/>
      </c>
      <c r="B2603" s="1421"/>
      <c r="C2603" s="1421" t="str">
        <f t="shared" si="276"/>
        <v/>
      </c>
      <c r="D2603" s="67">
        <v>608.1</v>
      </c>
      <c r="E2603" s="69"/>
      <c r="F2603" s="87"/>
      <c r="G2603" s="1631" t="s">
        <v>5381</v>
      </c>
      <c r="J2603" s="1453"/>
    </row>
    <row r="2604" spans="1:10" x14ac:dyDescent="0.2">
      <c r="A2604" s="467" t="str">
        <f t="shared" si="278"/>
        <v/>
      </c>
      <c r="B2604" s="1421"/>
      <c r="C2604" s="1421" t="str">
        <f t="shared" si="276"/>
        <v/>
      </c>
      <c r="D2604" s="67"/>
      <c r="E2604" s="69"/>
      <c r="F2604" s="87"/>
      <c r="G2604" s="1631"/>
      <c r="J2604" s="1453"/>
    </row>
    <row r="2605" spans="1:10" x14ac:dyDescent="0.2">
      <c r="A2605" s="467" t="str">
        <f t="shared" si="278"/>
        <v/>
      </c>
      <c r="B2605" s="1421"/>
      <c r="C2605" s="1421" t="str">
        <f t="shared" si="276"/>
        <v/>
      </c>
      <c r="D2605" s="67"/>
      <c r="E2605" s="69"/>
      <c r="F2605" s="87"/>
      <c r="G2605" s="1631"/>
      <c r="J2605" s="1453"/>
    </row>
    <row r="2606" spans="1:10" x14ac:dyDescent="0.2">
      <c r="A2606" s="467" t="str">
        <f t="shared" si="278"/>
        <v/>
      </c>
      <c r="B2606" s="1421"/>
      <c r="C2606" s="1421" t="str">
        <f t="shared" si="276"/>
        <v/>
      </c>
      <c r="D2606" s="67"/>
      <c r="E2606" s="29" t="s">
        <v>254</v>
      </c>
      <c r="F2606" s="87"/>
      <c r="G2606" s="1611" t="s">
        <v>568</v>
      </c>
      <c r="J2606" s="1453"/>
    </row>
    <row r="2607" spans="1:10" x14ac:dyDescent="0.2">
      <c r="A2607" s="467" t="str">
        <f t="shared" si="278"/>
        <v/>
      </c>
      <c r="B2607" s="1421"/>
      <c r="C2607" s="1421" t="str">
        <f t="shared" si="276"/>
        <v/>
      </c>
      <c r="D2607" s="67"/>
      <c r="E2607" s="29"/>
      <c r="F2607" s="87"/>
      <c r="G2607" s="1611"/>
      <c r="J2607" s="1453"/>
    </row>
    <row r="2608" spans="1:10" x14ac:dyDescent="0.2">
      <c r="A2608" s="467" t="str">
        <f t="shared" si="278"/>
        <v/>
      </c>
      <c r="B2608" s="1421"/>
      <c r="C2608" s="1421" t="str">
        <f t="shared" si="276"/>
        <v/>
      </c>
      <c r="D2608" s="67"/>
      <c r="E2608" s="29" t="s">
        <v>255</v>
      </c>
      <c r="F2608" s="87"/>
      <c r="G2608" s="85" t="s">
        <v>569</v>
      </c>
      <c r="J2608" s="1453"/>
    </row>
    <row r="2609" spans="1:10" x14ac:dyDescent="0.2">
      <c r="A2609" s="467" t="str">
        <f t="shared" si="278"/>
        <v/>
      </c>
      <c r="B2609" s="1421"/>
      <c r="C2609" s="1421" t="str">
        <f t="shared" si="276"/>
        <v/>
      </c>
      <c r="D2609" s="67"/>
      <c r="E2609" s="29" t="s">
        <v>256</v>
      </c>
      <c r="F2609" s="87"/>
      <c r="G2609" s="85" t="s">
        <v>570</v>
      </c>
      <c r="J2609" s="1453"/>
    </row>
    <row r="2610" spans="1:10" ht="15" customHeight="1" thickBot="1" x14ac:dyDescent="0.25">
      <c r="B2610" s="1421"/>
      <c r="C2610" s="1421" t="str">
        <f t="shared" si="276"/>
        <v/>
      </c>
      <c r="D2610" s="189"/>
      <c r="E2610" s="190"/>
      <c r="F2610" s="105"/>
      <c r="G2610" s="1451" t="s">
        <v>5382</v>
      </c>
      <c r="J2610" s="1453"/>
    </row>
    <row r="2611" spans="1:10" ht="16" thickTop="1" x14ac:dyDescent="0.2">
      <c r="A2611" s="467" t="str">
        <f>IF(dstCommercial="Yes","P","")</f>
        <v/>
      </c>
      <c r="B2611" s="1421"/>
      <c r="C2611" s="1421" t="str">
        <f t="shared" si="276"/>
        <v/>
      </c>
      <c r="D2611" s="67">
        <v>609.1</v>
      </c>
      <c r="E2611" s="69"/>
      <c r="F2611" s="87"/>
      <c r="G2611" s="1631" t="s">
        <v>5383</v>
      </c>
      <c r="J2611" s="1453"/>
    </row>
    <row r="2612" spans="1:10" x14ac:dyDescent="0.2">
      <c r="A2612" s="467" t="str">
        <f>IF(dstCommercial="Yes","P","")</f>
        <v/>
      </c>
      <c r="B2612" s="1421"/>
      <c r="C2612" s="1421" t="str">
        <f t="shared" si="276"/>
        <v/>
      </c>
      <c r="D2612" s="67"/>
      <c r="E2612" s="69"/>
      <c r="F2612" s="87"/>
      <c r="G2612" s="1631"/>
      <c r="J2612" s="1453"/>
    </row>
    <row r="2613" spans="1:10" x14ac:dyDescent="0.2">
      <c r="A2613" s="467" t="str">
        <f>IF(dstCommercial="Yes","P","")</f>
        <v/>
      </c>
      <c r="B2613" s="1421"/>
      <c r="C2613" s="1421" t="str">
        <f t="shared" si="276"/>
        <v/>
      </c>
      <c r="D2613" s="67"/>
      <c r="E2613" s="69"/>
      <c r="F2613" s="87"/>
      <c r="G2613" s="1707" t="s">
        <v>5385</v>
      </c>
      <c r="J2613" s="1453"/>
    </row>
    <row r="2614" spans="1:10" x14ac:dyDescent="0.2">
      <c r="A2614" s="467" t="str">
        <f>IF(dstCommercial="Yes","P","")</f>
        <v/>
      </c>
      <c r="B2614" s="1421"/>
      <c r="C2614" s="1421" t="str">
        <f t="shared" si="276"/>
        <v/>
      </c>
      <c r="D2614" s="67"/>
      <c r="E2614" s="69"/>
      <c r="F2614" s="87"/>
      <c r="G2614" s="1707"/>
      <c r="J2614" s="1453"/>
    </row>
    <row r="2615" spans="1:10" x14ac:dyDescent="0.2">
      <c r="A2615" s="467" t="str">
        <f>IF(dstCommercial="Yes","P","")</f>
        <v/>
      </c>
      <c r="B2615" s="1421"/>
      <c r="C2615" s="1421" t="str">
        <f t="shared" si="276"/>
        <v/>
      </c>
      <c r="D2615" s="67"/>
      <c r="E2615" s="69"/>
      <c r="F2615" s="87"/>
      <c r="G2615" s="1707"/>
      <c r="J2615" s="1453"/>
    </row>
    <row r="2616" spans="1:10" x14ac:dyDescent="0.2">
      <c r="B2616" s="1421"/>
      <c r="C2616" s="1421" t="str">
        <f t="shared" si="276"/>
        <v/>
      </c>
      <c r="D2616" s="67"/>
      <c r="E2616" s="69"/>
      <c r="F2616" s="87"/>
      <c r="G2616" s="1810" t="s">
        <v>5386</v>
      </c>
      <c r="J2616" s="1453"/>
    </row>
    <row r="2617" spans="1:10" ht="16" thickBot="1" x14ac:dyDescent="0.25">
      <c r="B2617" s="1421"/>
      <c r="C2617" s="1421" t="str">
        <f t="shared" si="276"/>
        <v/>
      </c>
      <c r="D2617" s="67"/>
      <c r="E2617" s="69"/>
      <c r="F2617" s="87"/>
      <c r="G2617" s="1811"/>
      <c r="J2617" s="1453"/>
    </row>
    <row r="2618" spans="1:10" ht="16" thickTop="1" x14ac:dyDescent="0.2">
      <c r="A2618" s="467" t="str">
        <f t="shared" ref="A2618:A2633" si="279">IF(dstCommercial="Yes","P","")</f>
        <v/>
      </c>
      <c r="B2618" s="1421"/>
      <c r="C2618" s="1421" t="str">
        <f t="shared" si="276"/>
        <v/>
      </c>
      <c r="D2618" s="177" t="s">
        <v>582</v>
      </c>
      <c r="E2618" s="429"/>
      <c r="F2618" s="125"/>
      <c r="G2618" s="1683" t="s">
        <v>5387</v>
      </c>
      <c r="J2618" s="1453"/>
    </row>
    <row r="2619" spans="1:10" x14ac:dyDescent="0.2">
      <c r="A2619" s="467" t="str">
        <f t="shared" si="279"/>
        <v/>
      </c>
      <c r="B2619" s="1421"/>
      <c r="C2619" s="1421" t="str">
        <f t="shared" si="276"/>
        <v/>
      </c>
      <c r="D2619" s="67"/>
      <c r="E2619" s="69"/>
      <c r="F2619" s="87"/>
      <c r="G2619" s="1631"/>
      <c r="J2619" s="1453"/>
    </row>
    <row r="2620" spans="1:10" x14ac:dyDescent="0.2">
      <c r="A2620" s="467" t="str">
        <f t="shared" si="279"/>
        <v/>
      </c>
      <c r="B2620" s="1421"/>
      <c r="C2620" s="1421" t="str">
        <f t="shared" si="276"/>
        <v/>
      </c>
      <c r="D2620" s="67"/>
      <c r="E2620" s="69"/>
      <c r="F2620" s="87"/>
      <c r="G2620" s="1631"/>
      <c r="J2620" s="1453"/>
    </row>
    <row r="2621" spans="1:10" x14ac:dyDescent="0.2">
      <c r="A2621" s="467" t="str">
        <f t="shared" si="279"/>
        <v/>
      </c>
      <c r="B2621" s="1421"/>
      <c r="C2621" s="1421" t="str">
        <f t="shared" si="276"/>
        <v/>
      </c>
      <c r="D2621" s="219"/>
      <c r="E2621" s="447"/>
      <c r="F2621" s="221"/>
      <c r="G2621" s="1696"/>
      <c r="J2621" s="1453"/>
    </row>
    <row r="2622" spans="1:10" x14ac:dyDescent="0.2">
      <c r="A2622" s="467" t="str">
        <f t="shared" si="279"/>
        <v/>
      </c>
      <c r="B2622" s="1421"/>
      <c r="C2622" s="1421" t="str">
        <f t="shared" si="276"/>
        <v/>
      </c>
      <c r="D2622" s="192" t="s">
        <v>584</v>
      </c>
      <c r="E2622" s="446"/>
      <c r="F2622" s="218"/>
      <c r="G2622" s="1712" t="s">
        <v>5388</v>
      </c>
      <c r="J2622" s="1453"/>
    </row>
    <row r="2623" spans="1:10" x14ac:dyDescent="0.2">
      <c r="A2623" s="467" t="str">
        <f t="shared" si="279"/>
        <v/>
      </c>
      <c r="B2623" s="1421"/>
      <c r="C2623" s="1421" t="str">
        <f t="shared" si="276"/>
        <v/>
      </c>
      <c r="D2623" s="67"/>
      <c r="E2623" s="69"/>
      <c r="F2623" s="87"/>
      <c r="G2623" s="1631"/>
      <c r="J2623" s="1453"/>
    </row>
    <row r="2624" spans="1:10" x14ac:dyDescent="0.2">
      <c r="A2624" s="467" t="str">
        <f t="shared" si="279"/>
        <v/>
      </c>
      <c r="B2624" s="1421"/>
      <c r="C2624" s="1421" t="str">
        <f t="shared" si="276"/>
        <v/>
      </c>
      <c r="D2624" s="67"/>
      <c r="E2624" s="69"/>
      <c r="F2624" s="87"/>
      <c r="G2624" s="1631"/>
      <c r="J2624" s="1453"/>
    </row>
    <row r="2625" spans="1:10" x14ac:dyDescent="0.2">
      <c r="A2625" s="467" t="str">
        <f t="shared" si="279"/>
        <v/>
      </c>
      <c r="B2625" s="1421"/>
      <c r="C2625" s="1421" t="str">
        <f t="shared" si="276"/>
        <v/>
      </c>
      <c r="D2625" s="67"/>
      <c r="E2625" s="69"/>
      <c r="F2625" s="89" t="s">
        <v>121</v>
      </c>
      <c r="G2625" s="85" t="s">
        <v>574</v>
      </c>
      <c r="J2625" s="1453"/>
    </row>
    <row r="2626" spans="1:10" x14ac:dyDescent="0.2">
      <c r="A2626" s="467" t="str">
        <f t="shared" si="279"/>
        <v/>
      </c>
      <c r="B2626" s="1421"/>
      <c r="C2626" s="1421" t="str">
        <f t="shared" si="276"/>
        <v/>
      </c>
      <c r="D2626" s="67"/>
      <c r="E2626" s="69"/>
      <c r="F2626" s="89" t="s">
        <v>122</v>
      </c>
      <c r="G2626" s="85" t="s">
        <v>575</v>
      </c>
      <c r="J2626" s="1453"/>
    </row>
    <row r="2627" spans="1:10" x14ac:dyDescent="0.2">
      <c r="A2627" s="467" t="str">
        <f t="shared" si="279"/>
        <v/>
      </c>
      <c r="B2627" s="1421"/>
      <c r="C2627" s="1421" t="str">
        <f t="shared" si="276"/>
        <v/>
      </c>
      <c r="D2627" s="67"/>
      <c r="E2627" s="69"/>
      <c r="F2627" s="89" t="s">
        <v>123</v>
      </c>
      <c r="G2627" s="85" t="s">
        <v>576</v>
      </c>
      <c r="J2627" s="1453"/>
    </row>
    <row r="2628" spans="1:10" x14ac:dyDescent="0.2">
      <c r="A2628" s="467" t="str">
        <f t="shared" si="279"/>
        <v/>
      </c>
      <c r="B2628" s="1421"/>
      <c r="C2628" s="1421" t="str">
        <f t="shared" si="276"/>
        <v/>
      </c>
      <c r="D2628" s="67"/>
      <c r="E2628" s="69"/>
      <c r="F2628" s="91" t="s">
        <v>366</v>
      </c>
      <c r="G2628" s="85" t="s">
        <v>577</v>
      </c>
      <c r="J2628" s="1453"/>
    </row>
    <row r="2629" spans="1:10" x14ac:dyDescent="0.2">
      <c r="A2629" s="467" t="str">
        <f t="shared" si="279"/>
        <v/>
      </c>
      <c r="B2629" s="1421"/>
      <c r="C2629" s="1421" t="str">
        <f t="shared" si="276"/>
        <v/>
      </c>
      <c r="D2629" s="67"/>
      <c r="E2629" s="69"/>
      <c r="F2629" s="87" t="s">
        <v>472</v>
      </c>
      <c r="G2629" s="85" t="s">
        <v>578</v>
      </c>
      <c r="J2629" s="1453"/>
    </row>
    <row r="2630" spans="1:10" x14ac:dyDescent="0.2">
      <c r="A2630" s="467" t="str">
        <f t="shared" si="279"/>
        <v/>
      </c>
      <c r="B2630" s="1421"/>
      <c r="C2630" s="1421" t="str">
        <f t="shared" si="276"/>
        <v/>
      </c>
      <c r="D2630" s="67"/>
      <c r="E2630" s="69"/>
      <c r="F2630" s="89" t="s">
        <v>510</v>
      </c>
      <c r="G2630" s="85" t="s">
        <v>579</v>
      </c>
      <c r="J2630" s="1453"/>
    </row>
    <row r="2631" spans="1:10" x14ac:dyDescent="0.2">
      <c r="A2631" s="467" t="str">
        <f t="shared" si="279"/>
        <v/>
      </c>
      <c r="B2631" s="1421"/>
      <c r="C2631" s="1421" t="str">
        <f t="shared" si="276"/>
        <v/>
      </c>
      <c r="D2631" s="67"/>
      <c r="E2631" s="69"/>
      <c r="F2631" s="1420"/>
      <c r="G2631" s="1707" t="s">
        <v>585</v>
      </c>
      <c r="J2631" s="1453"/>
    </row>
    <row r="2632" spans="1:10" x14ac:dyDescent="0.2">
      <c r="A2632" s="467" t="str">
        <f t="shared" si="279"/>
        <v/>
      </c>
      <c r="B2632" s="1421"/>
      <c r="C2632" s="1421" t="str">
        <f t="shared" ref="C2632:C2695" si="280">IF(LEN(B2632)=0,IF(A2632="P","P",""),B2632)</f>
        <v/>
      </c>
      <c r="D2632" s="67"/>
      <c r="E2632" s="69"/>
      <c r="F2632" s="1443"/>
      <c r="G2632" s="1707"/>
      <c r="J2632" s="1453"/>
    </row>
    <row r="2633" spans="1:10" x14ac:dyDescent="0.2">
      <c r="A2633" s="467" t="str">
        <f t="shared" si="279"/>
        <v/>
      </c>
      <c r="B2633" s="1421"/>
      <c r="C2633" s="1421" t="str">
        <f t="shared" si="280"/>
        <v/>
      </c>
      <c r="D2633" s="67"/>
      <c r="E2633" s="69"/>
      <c r="F2633" s="1443"/>
      <c r="G2633" s="1707"/>
      <c r="J2633" s="1453"/>
    </row>
    <row r="2634" spans="1:10" x14ac:dyDescent="0.2">
      <c r="B2634" s="1421"/>
      <c r="C2634" s="1421" t="str">
        <f t="shared" si="280"/>
        <v/>
      </c>
      <c r="D2634" s="67"/>
      <c r="E2634" s="69"/>
      <c r="F2634" s="1443"/>
      <c r="G2634" s="1673" t="s">
        <v>2650</v>
      </c>
      <c r="J2634" s="1453"/>
    </row>
    <row r="2635" spans="1:10" x14ac:dyDescent="0.2">
      <c r="B2635" s="1421"/>
      <c r="C2635" s="1421" t="str">
        <f t="shared" si="280"/>
        <v/>
      </c>
      <c r="D2635" s="219"/>
      <c r="E2635" s="447"/>
      <c r="F2635" s="1445"/>
      <c r="G2635" s="1731"/>
      <c r="J2635" s="1453"/>
    </row>
    <row r="2636" spans="1:10" x14ac:dyDescent="0.2">
      <c r="A2636" s="467" t="str">
        <f t="shared" ref="A2636:A2657" si="281">IF(dstCommercial="Yes","P","")</f>
        <v/>
      </c>
      <c r="B2636" s="1421"/>
      <c r="C2636" s="1421" t="str">
        <f t="shared" si="280"/>
        <v/>
      </c>
      <c r="D2636" s="67" t="s">
        <v>586</v>
      </c>
      <c r="E2636" s="69"/>
      <c r="F2636" s="87"/>
      <c r="G2636" s="1631" t="s">
        <v>5390</v>
      </c>
      <c r="J2636" s="1453"/>
    </row>
    <row r="2637" spans="1:10" x14ac:dyDescent="0.2">
      <c r="A2637" s="467" t="str">
        <f t="shared" si="281"/>
        <v/>
      </c>
      <c r="B2637" s="1421"/>
      <c r="C2637" s="1421" t="str">
        <f t="shared" si="280"/>
        <v/>
      </c>
      <c r="D2637" s="67"/>
      <c r="E2637" s="69"/>
      <c r="F2637" s="87"/>
      <c r="G2637" s="1631"/>
      <c r="J2637" s="1453"/>
    </row>
    <row r="2638" spans="1:10" x14ac:dyDescent="0.2">
      <c r="A2638" s="467" t="str">
        <f t="shared" si="281"/>
        <v/>
      </c>
      <c r="B2638" s="1421"/>
      <c r="C2638" s="1421" t="str">
        <f t="shared" si="280"/>
        <v/>
      </c>
      <c r="D2638" s="67"/>
      <c r="E2638" s="69"/>
      <c r="F2638" s="87"/>
      <c r="G2638" s="1631"/>
      <c r="J2638" s="1453"/>
    </row>
    <row r="2639" spans="1:10" x14ac:dyDescent="0.2">
      <c r="A2639" s="467" t="str">
        <f t="shared" si="281"/>
        <v/>
      </c>
      <c r="B2639" s="1421"/>
      <c r="C2639" s="1421" t="str">
        <f t="shared" si="280"/>
        <v/>
      </c>
      <c r="D2639" s="67"/>
      <c r="E2639" s="69"/>
      <c r="F2639" s="87"/>
      <c r="G2639" s="1631"/>
      <c r="J2639" s="1453"/>
    </row>
    <row r="2640" spans="1:10" x14ac:dyDescent="0.2">
      <c r="A2640" s="467" t="str">
        <f t="shared" si="281"/>
        <v/>
      </c>
      <c r="B2640" s="1421"/>
      <c r="C2640" s="1421" t="str">
        <f t="shared" si="280"/>
        <v/>
      </c>
      <c r="D2640" s="67"/>
      <c r="E2640" s="69"/>
      <c r="F2640" s="87"/>
      <c r="G2640" s="1631"/>
      <c r="J2640" s="1453"/>
    </row>
    <row r="2641" spans="1:10" x14ac:dyDescent="0.2">
      <c r="A2641" s="467" t="str">
        <f t="shared" si="281"/>
        <v/>
      </c>
      <c r="B2641" s="1421"/>
      <c r="C2641" s="1421" t="str">
        <f t="shared" si="280"/>
        <v/>
      </c>
      <c r="D2641" s="67"/>
      <c r="E2641" s="69"/>
      <c r="F2641" s="87"/>
      <c r="G2641" s="1631"/>
      <c r="J2641" s="1453"/>
    </row>
    <row r="2642" spans="1:10" x14ac:dyDescent="0.2">
      <c r="A2642" s="467" t="str">
        <f t="shared" si="281"/>
        <v/>
      </c>
      <c r="B2642" s="1421"/>
      <c r="C2642" s="1421" t="str">
        <f t="shared" si="280"/>
        <v/>
      </c>
      <c r="D2642" s="67"/>
      <c r="E2642" s="69"/>
      <c r="F2642" s="87"/>
      <c r="G2642" s="1631"/>
      <c r="J2642" s="1453"/>
    </row>
    <row r="2643" spans="1:10" x14ac:dyDescent="0.2">
      <c r="A2643" s="467" t="str">
        <f t="shared" si="281"/>
        <v/>
      </c>
      <c r="B2643" s="1421"/>
      <c r="C2643" s="1421" t="str">
        <f t="shared" si="280"/>
        <v/>
      </c>
      <c r="D2643" s="67"/>
      <c r="E2643" s="69"/>
      <c r="F2643" s="87"/>
      <c r="G2643" s="1631"/>
      <c r="J2643" s="1453"/>
    </row>
    <row r="2644" spans="1:10" x14ac:dyDescent="0.2">
      <c r="A2644" s="467" t="str">
        <f t="shared" si="281"/>
        <v/>
      </c>
      <c r="B2644" s="1421"/>
      <c r="C2644" s="1421" t="str">
        <f t="shared" si="280"/>
        <v/>
      </c>
      <c r="D2644" s="67"/>
      <c r="E2644" s="69"/>
      <c r="F2644" s="89" t="s">
        <v>121</v>
      </c>
      <c r="G2644" s="85" t="s">
        <v>587</v>
      </c>
      <c r="J2644" s="1453"/>
    </row>
    <row r="2645" spans="1:10" x14ac:dyDescent="0.2">
      <c r="A2645" s="467" t="str">
        <f t="shared" si="281"/>
        <v/>
      </c>
      <c r="B2645" s="1421"/>
      <c r="C2645" s="1421" t="str">
        <f t="shared" si="280"/>
        <v/>
      </c>
      <c r="D2645" s="67"/>
      <c r="E2645" s="69"/>
      <c r="F2645" s="89" t="s">
        <v>122</v>
      </c>
      <c r="G2645" s="85" t="s">
        <v>588</v>
      </c>
      <c r="J2645" s="1453"/>
    </row>
    <row r="2646" spans="1:10" x14ac:dyDescent="0.2">
      <c r="A2646" s="467" t="str">
        <f t="shared" si="281"/>
        <v/>
      </c>
      <c r="B2646" s="1421"/>
      <c r="C2646" s="1421" t="str">
        <f t="shared" si="280"/>
        <v/>
      </c>
      <c r="D2646" s="67"/>
      <c r="E2646" s="69"/>
      <c r="F2646" s="89" t="s">
        <v>123</v>
      </c>
      <c r="G2646" s="85" t="s">
        <v>589</v>
      </c>
      <c r="J2646" s="1453"/>
    </row>
    <row r="2647" spans="1:10" x14ac:dyDescent="0.2">
      <c r="A2647" s="467" t="str">
        <f t="shared" si="281"/>
        <v/>
      </c>
      <c r="B2647" s="1421"/>
      <c r="C2647" s="1421" t="str">
        <f t="shared" si="280"/>
        <v/>
      </c>
      <c r="D2647" s="67"/>
      <c r="E2647" s="69"/>
      <c r="F2647" s="91" t="s">
        <v>366</v>
      </c>
      <c r="G2647" s="85" t="s">
        <v>590</v>
      </c>
      <c r="J2647" s="1453"/>
    </row>
    <row r="2648" spans="1:10" x14ac:dyDescent="0.2">
      <c r="A2648" s="467" t="str">
        <f t="shared" si="281"/>
        <v/>
      </c>
      <c r="B2648" s="1421"/>
      <c r="C2648" s="1421" t="str">
        <f t="shared" si="280"/>
        <v/>
      </c>
      <c r="D2648" s="67"/>
      <c r="E2648" s="69"/>
      <c r="F2648" s="87"/>
      <c r="G2648" s="1717" t="s">
        <v>591</v>
      </c>
      <c r="J2648" s="1453"/>
    </row>
    <row r="2649" spans="1:10" x14ac:dyDescent="0.2">
      <c r="A2649" s="467" t="str">
        <f t="shared" si="281"/>
        <v/>
      </c>
      <c r="B2649" s="1421"/>
      <c r="C2649" s="1421" t="str">
        <f t="shared" si="280"/>
        <v/>
      </c>
      <c r="D2649" s="67"/>
      <c r="E2649" s="69"/>
      <c r="F2649" s="87"/>
      <c r="G2649" s="1717"/>
      <c r="J2649" s="1453"/>
    </row>
    <row r="2650" spans="1:10" x14ac:dyDescent="0.2">
      <c r="A2650" s="467" t="str">
        <f t="shared" si="281"/>
        <v/>
      </c>
      <c r="B2650" s="1421"/>
      <c r="C2650" s="1421" t="str">
        <f t="shared" si="280"/>
        <v/>
      </c>
      <c r="D2650" s="67"/>
      <c r="E2650" s="69"/>
      <c r="F2650" s="89" t="s">
        <v>121</v>
      </c>
      <c r="G2650" s="85" t="s">
        <v>574</v>
      </c>
      <c r="J2650" s="1453"/>
    </row>
    <row r="2651" spans="1:10" x14ac:dyDescent="0.2">
      <c r="A2651" s="467" t="str">
        <f t="shared" si="281"/>
        <v/>
      </c>
      <c r="B2651" s="1421"/>
      <c r="C2651" s="1421" t="str">
        <f t="shared" si="280"/>
        <v/>
      </c>
      <c r="D2651" s="67"/>
      <c r="E2651" s="69"/>
      <c r="F2651" s="89" t="s">
        <v>122</v>
      </c>
      <c r="G2651" s="85" t="s">
        <v>575</v>
      </c>
      <c r="J2651" s="1453"/>
    </row>
    <row r="2652" spans="1:10" x14ac:dyDescent="0.2">
      <c r="A2652" s="467" t="str">
        <f t="shared" si="281"/>
        <v/>
      </c>
      <c r="B2652" s="1421"/>
      <c r="C2652" s="1421" t="str">
        <f t="shared" si="280"/>
        <v/>
      </c>
      <c r="D2652" s="67"/>
      <c r="E2652" s="69"/>
      <c r="F2652" s="89" t="s">
        <v>123</v>
      </c>
      <c r="G2652" s="85" t="s">
        <v>576</v>
      </c>
      <c r="J2652" s="1453"/>
    </row>
    <row r="2653" spans="1:10" x14ac:dyDescent="0.2">
      <c r="A2653" s="467" t="str">
        <f t="shared" si="281"/>
        <v/>
      </c>
      <c r="B2653" s="1421"/>
      <c r="C2653" s="1421" t="str">
        <f t="shared" si="280"/>
        <v/>
      </c>
      <c r="D2653" s="67"/>
      <c r="E2653" s="69"/>
      <c r="F2653" s="91" t="s">
        <v>366</v>
      </c>
      <c r="G2653" s="85" t="s">
        <v>577</v>
      </c>
      <c r="J2653" s="1453"/>
    </row>
    <row r="2654" spans="1:10" x14ac:dyDescent="0.2">
      <c r="A2654" s="467" t="str">
        <f t="shared" si="281"/>
        <v/>
      </c>
      <c r="B2654" s="1421"/>
      <c r="C2654" s="1421" t="str">
        <f t="shared" si="280"/>
        <v/>
      </c>
      <c r="D2654" s="67"/>
      <c r="E2654" s="69"/>
      <c r="F2654" s="87" t="s">
        <v>472</v>
      </c>
      <c r="G2654" s="85" t="s">
        <v>578</v>
      </c>
      <c r="J2654" s="1453"/>
    </row>
    <row r="2655" spans="1:10" x14ac:dyDescent="0.2">
      <c r="A2655" s="467" t="str">
        <f t="shared" si="281"/>
        <v/>
      </c>
      <c r="B2655" s="1421"/>
      <c r="C2655" s="1421" t="str">
        <f t="shared" si="280"/>
        <v/>
      </c>
      <c r="D2655" s="67"/>
      <c r="E2655" s="69"/>
      <c r="F2655" s="89" t="s">
        <v>510</v>
      </c>
      <c r="G2655" s="85" t="s">
        <v>579</v>
      </c>
      <c r="J2655" s="1453"/>
    </row>
    <row r="2656" spans="1:10" x14ac:dyDescent="0.2">
      <c r="A2656" s="467" t="str">
        <f t="shared" si="281"/>
        <v/>
      </c>
      <c r="B2656" s="1421"/>
      <c r="C2656" s="1421" t="str">
        <f t="shared" si="280"/>
        <v/>
      </c>
      <c r="D2656" s="67"/>
      <c r="E2656" s="69"/>
      <c r="F2656" s="87"/>
      <c r="G2656" s="1707" t="s">
        <v>5392</v>
      </c>
      <c r="J2656" s="1453"/>
    </row>
    <row r="2657" spans="1:10" x14ac:dyDescent="0.2">
      <c r="A2657" s="467" t="str">
        <f t="shared" si="281"/>
        <v/>
      </c>
      <c r="B2657" s="1421"/>
      <c r="C2657" s="1421" t="str">
        <f t="shared" si="280"/>
        <v/>
      </c>
      <c r="D2657" s="67"/>
      <c r="E2657" s="69"/>
      <c r="F2657" s="87"/>
      <c r="G2657" s="1707"/>
      <c r="J2657" s="1453"/>
    </row>
    <row r="2658" spans="1:10" x14ac:dyDescent="0.2">
      <c r="B2658" s="1421"/>
      <c r="C2658" s="1421" t="str">
        <f t="shared" si="280"/>
        <v/>
      </c>
      <c r="D2658" s="67"/>
      <c r="E2658" s="69"/>
      <c r="F2658" s="87"/>
      <c r="G2658" s="1810" t="s">
        <v>2658</v>
      </c>
      <c r="J2658" s="1453"/>
    </row>
    <row r="2659" spans="1:10" ht="16" thickBot="1" x14ac:dyDescent="0.25">
      <c r="B2659" s="1421"/>
      <c r="C2659" s="1421" t="str">
        <f t="shared" si="280"/>
        <v/>
      </c>
      <c r="D2659" s="189"/>
      <c r="E2659" s="1082"/>
      <c r="F2659" s="105"/>
      <c r="G2659" s="1812"/>
      <c r="J2659" s="1453"/>
    </row>
    <row r="2660" spans="1:10" ht="16" thickTop="1" x14ac:dyDescent="0.2">
      <c r="A2660" s="467" t="str">
        <f t="shared" ref="A2660:A2665" si="282">IF(dstCommercial="Yes","P","")</f>
        <v/>
      </c>
      <c r="B2660" s="1421"/>
      <c r="C2660" s="1421" t="str">
        <f t="shared" si="280"/>
        <v/>
      </c>
      <c r="D2660" s="67">
        <v>612.1</v>
      </c>
      <c r="E2660" s="69"/>
      <c r="F2660" s="87"/>
      <c r="G2660" s="1631" t="s">
        <v>5393</v>
      </c>
      <c r="J2660" s="1453"/>
    </row>
    <row r="2661" spans="1:10" x14ac:dyDescent="0.2">
      <c r="A2661" s="467" t="str">
        <f t="shared" si="282"/>
        <v/>
      </c>
      <c r="B2661" s="1421"/>
      <c r="C2661" s="1421" t="str">
        <f t="shared" si="280"/>
        <v/>
      </c>
      <c r="D2661" s="67"/>
      <c r="E2661" s="69"/>
      <c r="F2661" s="87"/>
      <c r="G2661" s="1631"/>
      <c r="J2661" s="1453"/>
    </row>
    <row r="2662" spans="1:10" x14ac:dyDescent="0.2">
      <c r="A2662" s="467" t="str">
        <f t="shared" si="282"/>
        <v/>
      </c>
      <c r="B2662" s="1421"/>
      <c r="C2662" s="1421" t="str">
        <f t="shared" si="280"/>
        <v/>
      </c>
      <c r="D2662" s="67"/>
      <c r="E2662" s="69"/>
      <c r="F2662" s="87"/>
      <c r="G2662" s="1631"/>
      <c r="J2662" s="1453"/>
    </row>
    <row r="2663" spans="1:10" x14ac:dyDescent="0.2">
      <c r="A2663" s="467" t="str">
        <f t="shared" si="282"/>
        <v/>
      </c>
      <c r="B2663" s="1421"/>
      <c r="C2663" s="1421" t="str">
        <f t="shared" si="280"/>
        <v/>
      </c>
      <c r="D2663" s="67"/>
      <c r="E2663" s="69"/>
      <c r="F2663" s="87"/>
      <c r="G2663" s="1631"/>
      <c r="J2663" s="1453"/>
    </row>
    <row r="2664" spans="1:10" x14ac:dyDescent="0.2">
      <c r="A2664" s="467" t="str">
        <f t="shared" si="282"/>
        <v/>
      </c>
      <c r="B2664" s="1421"/>
      <c r="C2664" s="1421" t="str">
        <f t="shared" si="280"/>
        <v/>
      </c>
      <c r="D2664" s="67"/>
      <c r="E2664" s="69"/>
      <c r="F2664" s="87"/>
      <c r="G2664" s="1631"/>
      <c r="J2664" s="1453"/>
    </row>
    <row r="2665" spans="1:10" x14ac:dyDescent="0.2">
      <c r="A2665" s="467" t="str">
        <f t="shared" si="282"/>
        <v/>
      </c>
      <c r="B2665" s="1421"/>
      <c r="C2665" s="1421" t="str">
        <f t="shared" si="280"/>
        <v/>
      </c>
      <c r="D2665" s="67"/>
      <c r="E2665" s="69"/>
      <c r="F2665" s="87"/>
      <c r="G2665" s="303" t="s">
        <v>592</v>
      </c>
      <c r="J2665" s="1453"/>
    </row>
    <row r="2666" spans="1:10" x14ac:dyDescent="0.2">
      <c r="B2666" s="1421"/>
      <c r="C2666" s="1421" t="str">
        <f t="shared" si="280"/>
        <v/>
      </c>
      <c r="D2666" s="67"/>
      <c r="E2666" s="69"/>
      <c r="F2666" s="87"/>
      <c r="G2666" s="1673" t="s">
        <v>2675</v>
      </c>
      <c r="J2666" s="1453"/>
    </row>
    <row r="2667" spans="1:10" ht="16" thickBot="1" x14ac:dyDescent="0.25">
      <c r="B2667" s="1421"/>
      <c r="C2667" s="1421" t="str">
        <f t="shared" si="280"/>
        <v/>
      </c>
      <c r="D2667" s="67"/>
      <c r="E2667" s="69"/>
      <c r="F2667" s="87"/>
      <c r="G2667" s="1810"/>
      <c r="J2667" s="1453"/>
    </row>
    <row r="2668" spans="1:10" ht="16" thickTop="1" x14ac:dyDescent="0.2">
      <c r="A2668" s="467" t="str">
        <f t="shared" ref="A2668:A2687" si="283">IF(dstCommercial="Yes","P","")</f>
        <v/>
      </c>
      <c r="B2668" s="1421"/>
      <c r="C2668" s="1421" t="str">
        <f t="shared" si="280"/>
        <v/>
      </c>
      <c r="D2668" s="177">
        <v>612.20000000000005</v>
      </c>
      <c r="E2668" s="429"/>
      <c r="F2668" s="125"/>
      <c r="G2668" s="1683" t="s">
        <v>5394</v>
      </c>
      <c r="J2668" s="1453"/>
    </row>
    <row r="2669" spans="1:10" x14ac:dyDescent="0.2">
      <c r="A2669" s="467" t="str">
        <f t="shared" si="283"/>
        <v/>
      </c>
      <c r="B2669" s="1421"/>
      <c r="C2669" s="1421" t="str">
        <f t="shared" si="280"/>
        <v/>
      </c>
      <c r="D2669" s="67"/>
      <c r="E2669" s="69"/>
      <c r="F2669" s="87"/>
      <c r="G2669" s="1631"/>
      <c r="J2669" s="1453"/>
    </row>
    <row r="2670" spans="1:10" x14ac:dyDescent="0.2">
      <c r="A2670" s="467" t="str">
        <f t="shared" si="283"/>
        <v/>
      </c>
      <c r="B2670" s="1421"/>
      <c r="C2670" s="1421" t="str">
        <f t="shared" si="280"/>
        <v/>
      </c>
      <c r="D2670" s="67"/>
      <c r="E2670" s="69"/>
      <c r="F2670" s="87"/>
      <c r="G2670" s="1631"/>
      <c r="J2670" s="1453"/>
    </row>
    <row r="2671" spans="1:10" x14ac:dyDescent="0.2">
      <c r="A2671" s="467" t="str">
        <f t="shared" si="283"/>
        <v/>
      </c>
      <c r="B2671" s="1421"/>
      <c r="C2671" s="1421" t="str">
        <f t="shared" si="280"/>
        <v/>
      </c>
      <c r="D2671" s="67"/>
      <c r="E2671" s="207" t="s">
        <v>254</v>
      </c>
      <c r="F2671" s="221"/>
      <c r="G2671" s="1438" t="s">
        <v>5395</v>
      </c>
      <c r="J2671" s="1453"/>
    </row>
    <row r="2672" spans="1:10" x14ac:dyDescent="0.2">
      <c r="A2672" s="467" t="str">
        <f t="shared" si="283"/>
        <v/>
      </c>
      <c r="B2672" s="1421"/>
      <c r="C2672" s="1421" t="str">
        <f t="shared" si="280"/>
        <v/>
      </c>
      <c r="D2672" s="67"/>
      <c r="E2672" s="212" t="s">
        <v>255</v>
      </c>
      <c r="F2672" s="218"/>
      <c r="G2672" s="1633" t="s">
        <v>4015</v>
      </c>
      <c r="J2672" s="1453"/>
    </row>
    <row r="2673" spans="1:10" x14ac:dyDescent="0.2">
      <c r="A2673" s="467" t="str">
        <f t="shared" si="283"/>
        <v/>
      </c>
      <c r="B2673" s="1421"/>
      <c r="C2673" s="1421" t="str">
        <f t="shared" si="280"/>
        <v/>
      </c>
      <c r="D2673" s="1420"/>
      <c r="E2673" s="1492"/>
      <c r="F2673" s="1492"/>
      <c r="G2673" s="1639"/>
      <c r="J2673" s="1453"/>
    </row>
    <row r="2674" spans="1:10" x14ac:dyDescent="0.2">
      <c r="A2674" s="467" t="str">
        <f t="shared" si="283"/>
        <v/>
      </c>
      <c r="B2674" s="1421"/>
      <c r="C2674" s="1421" t="str">
        <f t="shared" si="280"/>
        <v/>
      </c>
      <c r="D2674" s="67"/>
      <c r="E2674" s="212" t="s">
        <v>256</v>
      </c>
      <c r="F2674" s="218"/>
      <c r="G2674" s="1633" t="s">
        <v>4016</v>
      </c>
      <c r="J2674" s="1453"/>
    </row>
    <row r="2675" spans="1:10" x14ac:dyDescent="0.2">
      <c r="A2675" s="467" t="str">
        <f t="shared" si="283"/>
        <v/>
      </c>
      <c r="B2675" s="1421"/>
      <c r="C2675" s="1421" t="str">
        <f t="shared" si="280"/>
        <v/>
      </c>
      <c r="D2675" s="1420"/>
      <c r="E2675" s="1492"/>
      <c r="F2675" s="1492"/>
      <c r="G2675" s="1639"/>
      <c r="J2675" s="1453"/>
    </row>
    <row r="2676" spans="1:10" x14ac:dyDescent="0.2">
      <c r="A2676" s="467" t="str">
        <f t="shared" si="283"/>
        <v/>
      </c>
      <c r="B2676" s="1421"/>
      <c r="C2676" s="1421" t="str">
        <f t="shared" si="280"/>
        <v/>
      </c>
      <c r="D2676" s="67"/>
      <c r="E2676" s="212" t="s">
        <v>259</v>
      </c>
      <c r="F2676" s="218"/>
      <c r="G2676" s="1633" t="s">
        <v>4017</v>
      </c>
      <c r="J2676" s="1453"/>
    </row>
    <row r="2677" spans="1:10" x14ac:dyDescent="0.2">
      <c r="A2677" s="467" t="str">
        <f t="shared" si="283"/>
        <v/>
      </c>
      <c r="B2677" s="1421"/>
      <c r="C2677" s="1421" t="str">
        <f t="shared" si="280"/>
        <v/>
      </c>
      <c r="D2677" s="1420"/>
      <c r="E2677" s="1492"/>
      <c r="F2677" s="1492"/>
      <c r="G2677" s="1639"/>
      <c r="J2677" s="1453"/>
    </row>
    <row r="2678" spans="1:10" x14ac:dyDescent="0.2">
      <c r="A2678" s="467" t="str">
        <f t="shared" si="283"/>
        <v/>
      </c>
      <c r="B2678" s="1421"/>
      <c r="C2678" s="1421" t="str">
        <f t="shared" si="280"/>
        <v/>
      </c>
      <c r="D2678" s="67"/>
      <c r="E2678" s="212" t="s">
        <v>263</v>
      </c>
      <c r="F2678" s="218"/>
      <c r="G2678" s="1633" t="s">
        <v>4018</v>
      </c>
      <c r="J2678" s="1453"/>
    </row>
    <row r="2679" spans="1:10" x14ac:dyDescent="0.2">
      <c r="A2679" s="467" t="str">
        <f t="shared" si="283"/>
        <v/>
      </c>
      <c r="B2679" s="1421"/>
      <c r="C2679" s="1421" t="str">
        <f t="shared" si="280"/>
        <v/>
      </c>
      <c r="D2679" s="1420"/>
      <c r="E2679" s="1492"/>
      <c r="F2679" s="1492"/>
      <c r="G2679" s="1639"/>
      <c r="J2679" s="1453"/>
    </row>
    <row r="2680" spans="1:10" x14ac:dyDescent="0.2">
      <c r="A2680" s="467" t="str">
        <f t="shared" si="283"/>
        <v/>
      </c>
      <c r="B2680" s="1421"/>
      <c r="C2680" s="1421" t="str">
        <f t="shared" si="280"/>
        <v/>
      </c>
      <c r="D2680" s="67"/>
      <c r="E2680" s="212" t="s">
        <v>264</v>
      </c>
      <c r="F2680" s="218"/>
      <c r="G2680" s="1633" t="s">
        <v>4019</v>
      </c>
      <c r="J2680" s="1453"/>
    </row>
    <row r="2681" spans="1:10" x14ac:dyDescent="0.2">
      <c r="A2681" s="467" t="str">
        <f t="shared" si="283"/>
        <v/>
      </c>
      <c r="B2681" s="1421"/>
      <c r="C2681" s="1421" t="str">
        <f t="shared" si="280"/>
        <v/>
      </c>
      <c r="D2681" s="1420"/>
      <c r="E2681" s="1492"/>
      <c r="F2681" s="1492"/>
      <c r="G2681" s="1639"/>
      <c r="J2681" s="1453"/>
    </row>
    <row r="2682" spans="1:10" x14ac:dyDescent="0.2">
      <c r="A2682" s="467" t="str">
        <f t="shared" si="283"/>
        <v/>
      </c>
      <c r="B2682" s="1421"/>
      <c r="C2682" s="1421" t="str">
        <f t="shared" si="280"/>
        <v/>
      </c>
      <c r="D2682" s="67"/>
      <c r="E2682" s="29" t="s">
        <v>356</v>
      </c>
      <c r="F2682" s="87"/>
      <c r="G2682" s="1633" t="s">
        <v>4020</v>
      </c>
      <c r="J2682" s="1453"/>
    </row>
    <row r="2683" spans="1:10" ht="16" thickBot="1" x14ac:dyDescent="0.25">
      <c r="A2683" s="467" t="str">
        <f t="shared" si="283"/>
        <v/>
      </c>
      <c r="B2683" s="1421"/>
      <c r="C2683" s="1421" t="str">
        <f t="shared" si="280"/>
        <v/>
      </c>
      <c r="D2683" s="67"/>
      <c r="E2683" s="29"/>
      <c r="F2683" s="87"/>
      <c r="G2683" s="1635"/>
      <c r="J2683" s="1453"/>
    </row>
    <row r="2684" spans="1:10" ht="16" thickTop="1" x14ac:dyDescent="0.2">
      <c r="A2684" s="467" t="str">
        <f t="shared" si="283"/>
        <v/>
      </c>
      <c r="B2684" s="1421"/>
      <c r="C2684" s="1421" t="str">
        <f t="shared" si="280"/>
        <v/>
      </c>
      <c r="D2684" s="177">
        <v>603.20000000000005</v>
      </c>
      <c r="E2684" s="429"/>
      <c r="F2684" s="125"/>
      <c r="G2684" s="1683" t="s">
        <v>5396</v>
      </c>
      <c r="J2684" s="1453"/>
    </row>
    <row r="2685" spans="1:10" x14ac:dyDescent="0.2">
      <c r="A2685" s="467" t="str">
        <f t="shared" si="283"/>
        <v/>
      </c>
      <c r="B2685" s="1421"/>
      <c r="C2685" s="1421" t="str">
        <f t="shared" si="280"/>
        <v/>
      </c>
      <c r="D2685" s="67"/>
      <c r="E2685" s="69"/>
      <c r="F2685" s="87"/>
      <c r="G2685" s="1631"/>
      <c r="J2685" s="1453"/>
    </row>
    <row r="2686" spans="1:10" x14ac:dyDescent="0.2">
      <c r="A2686" s="467" t="str">
        <f t="shared" si="283"/>
        <v/>
      </c>
      <c r="B2686" s="1421"/>
      <c r="C2686" s="1421" t="str">
        <f t="shared" si="280"/>
        <v/>
      </c>
      <c r="D2686" s="67"/>
      <c r="E2686" s="69"/>
      <c r="F2686" s="87"/>
      <c r="G2686" s="1631"/>
      <c r="J2686" s="1453"/>
    </row>
    <row r="2687" spans="1:10" ht="15" customHeight="1" x14ac:dyDescent="0.2">
      <c r="A2687" s="467" t="str">
        <f t="shared" si="283"/>
        <v/>
      </c>
      <c r="B2687" s="1421"/>
      <c r="C2687" s="1421" t="str">
        <f t="shared" si="280"/>
        <v/>
      </c>
      <c r="D2687" s="67"/>
      <c r="E2687" s="69"/>
      <c r="F2687" s="87"/>
      <c r="G2687" s="1476" t="s">
        <v>2605</v>
      </c>
      <c r="J2687" s="1453"/>
    </row>
    <row r="2688" spans="1:10" x14ac:dyDescent="0.2">
      <c r="B2688" s="1421"/>
      <c r="C2688" s="1421" t="str">
        <f t="shared" si="280"/>
        <v/>
      </c>
      <c r="D2688" s="67"/>
      <c r="E2688" s="69"/>
      <c r="F2688" s="87"/>
      <c r="G2688" s="1810" t="s">
        <v>5397</v>
      </c>
      <c r="J2688" s="1453"/>
    </row>
    <row r="2689" spans="1:10" x14ac:dyDescent="0.2">
      <c r="B2689" s="1421"/>
      <c r="C2689" s="1421" t="str">
        <f t="shared" si="280"/>
        <v/>
      </c>
      <c r="D2689" s="67"/>
      <c r="E2689" s="69"/>
      <c r="F2689" s="87"/>
      <c r="G2689" s="1813"/>
      <c r="J2689" s="1453"/>
    </row>
    <row r="2690" spans="1:10" ht="16" thickBot="1" x14ac:dyDescent="0.25">
      <c r="B2690" s="1421"/>
      <c r="C2690" s="1421" t="str">
        <f t="shared" si="280"/>
        <v/>
      </c>
      <c r="D2690" s="189"/>
      <c r="E2690" s="1082"/>
      <c r="F2690" s="105"/>
      <c r="G2690" s="1812"/>
      <c r="J2690" s="1453"/>
    </row>
    <row r="2691" spans="1:10" ht="16" thickTop="1" x14ac:dyDescent="0.2">
      <c r="A2691" s="467" t="str">
        <f t="shared" ref="A2691:A2722" si="284">IF(dstCommercial="Yes","P","")</f>
        <v/>
      </c>
      <c r="B2691" s="1421"/>
      <c r="C2691" s="1421" t="str">
        <f t="shared" si="280"/>
        <v/>
      </c>
      <c r="D2691" s="67">
        <v>611.1</v>
      </c>
      <c r="E2691" s="69"/>
      <c r="F2691" s="87"/>
      <c r="G2691" s="1631" t="s">
        <v>5398</v>
      </c>
      <c r="J2691" s="1453"/>
    </row>
    <row r="2692" spans="1:10" x14ac:dyDescent="0.2">
      <c r="A2692" s="467" t="str">
        <f t="shared" si="284"/>
        <v/>
      </c>
      <c r="B2692" s="1421"/>
      <c r="C2692" s="1421" t="str">
        <f t="shared" si="280"/>
        <v/>
      </c>
      <c r="D2692" s="67"/>
      <c r="E2692" s="69"/>
      <c r="F2692" s="87"/>
      <c r="G2692" s="1631"/>
      <c r="J2692" s="1453"/>
    </row>
    <row r="2693" spans="1:10" x14ac:dyDescent="0.2">
      <c r="A2693" s="467" t="str">
        <f t="shared" si="284"/>
        <v/>
      </c>
      <c r="B2693" s="1421"/>
      <c r="C2693" s="1421" t="str">
        <f t="shared" si="280"/>
        <v/>
      </c>
      <c r="D2693" s="67"/>
      <c r="E2693" s="69"/>
      <c r="F2693" s="87"/>
      <c r="G2693" s="1631"/>
      <c r="J2693" s="1453"/>
    </row>
    <row r="2694" spans="1:10" x14ac:dyDescent="0.2">
      <c r="A2694" s="467" t="str">
        <f t="shared" si="284"/>
        <v/>
      </c>
      <c r="B2694" s="1421"/>
      <c r="C2694" s="1421" t="str">
        <f t="shared" si="280"/>
        <v/>
      </c>
      <c r="D2694" s="67"/>
      <c r="E2694" s="69"/>
      <c r="F2694" s="87"/>
      <c r="G2694" s="1631"/>
      <c r="J2694" s="1453"/>
    </row>
    <row r="2695" spans="1:10" x14ac:dyDescent="0.2">
      <c r="A2695" s="467" t="str">
        <f t="shared" si="284"/>
        <v/>
      </c>
      <c r="B2695" s="1421"/>
      <c r="C2695" s="1421" t="str">
        <f t="shared" si="280"/>
        <v/>
      </c>
      <c r="D2695" s="219"/>
      <c r="E2695" s="447"/>
      <c r="F2695" s="221"/>
      <c r="G2695" s="1696"/>
      <c r="J2695" s="1453"/>
    </row>
    <row r="2696" spans="1:10" x14ac:dyDescent="0.2">
      <c r="A2696" s="467" t="str">
        <f t="shared" si="284"/>
        <v/>
      </c>
      <c r="B2696" s="1421"/>
      <c r="C2696" s="1421" t="str">
        <f t="shared" ref="C2696:C2759" si="285">IF(LEN(B2696)=0,IF(A2696="P","P",""),B2696)</f>
        <v/>
      </c>
      <c r="D2696" s="67" t="s">
        <v>3998</v>
      </c>
      <c r="E2696" s="69"/>
      <c r="F2696" s="87"/>
      <c r="G2696" s="1725" t="s">
        <v>5399</v>
      </c>
      <c r="J2696" s="1453"/>
    </row>
    <row r="2697" spans="1:10" x14ac:dyDescent="0.2">
      <c r="A2697" s="467" t="str">
        <f t="shared" si="284"/>
        <v/>
      </c>
      <c r="B2697" s="1421"/>
      <c r="C2697" s="1421" t="str">
        <f t="shared" si="285"/>
        <v/>
      </c>
      <c r="D2697" s="67"/>
      <c r="E2697" s="69"/>
      <c r="F2697" s="87"/>
      <c r="G2697" s="1725"/>
      <c r="J2697" s="1453"/>
    </row>
    <row r="2698" spans="1:10" x14ac:dyDescent="0.2">
      <c r="A2698" s="467" t="str">
        <f t="shared" si="284"/>
        <v/>
      </c>
      <c r="B2698" s="1421"/>
      <c r="C2698" s="1421" t="str">
        <f t="shared" si="285"/>
        <v/>
      </c>
      <c r="D2698" s="67"/>
      <c r="E2698" s="69"/>
      <c r="F2698" s="87"/>
      <c r="G2698" s="1725"/>
      <c r="J2698" s="1453"/>
    </row>
    <row r="2699" spans="1:10" x14ac:dyDescent="0.2">
      <c r="A2699" s="467" t="str">
        <f t="shared" si="284"/>
        <v/>
      </c>
      <c r="B2699" s="1421"/>
      <c r="C2699" s="1421" t="str">
        <f t="shared" si="285"/>
        <v/>
      </c>
      <c r="D2699" s="67"/>
      <c r="E2699" s="69"/>
      <c r="F2699" s="87"/>
      <c r="G2699" s="1725"/>
      <c r="J2699" s="1453"/>
    </row>
    <row r="2700" spans="1:10" x14ac:dyDescent="0.2">
      <c r="A2700" s="467" t="str">
        <f t="shared" si="284"/>
        <v/>
      </c>
      <c r="B2700" s="1421"/>
      <c r="C2700" s="1421" t="str">
        <f t="shared" si="285"/>
        <v/>
      </c>
      <c r="D2700" s="67"/>
      <c r="E2700" s="69"/>
      <c r="F2700" s="87"/>
      <c r="G2700" s="1725"/>
      <c r="J2700" s="1453"/>
    </row>
    <row r="2701" spans="1:10" x14ac:dyDescent="0.2">
      <c r="A2701" s="467" t="str">
        <f t="shared" si="284"/>
        <v/>
      </c>
      <c r="B2701" s="1421"/>
      <c r="C2701" s="1421" t="str">
        <f t="shared" si="285"/>
        <v/>
      </c>
      <c r="D2701" s="67"/>
      <c r="E2701" s="69"/>
      <c r="F2701" s="87"/>
      <c r="G2701" s="1725"/>
      <c r="J2701" s="1453"/>
    </row>
    <row r="2702" spans="1:10" x14ac:dyDescent="0.2">
      <c r="A2702" s="467" t="str">
        <f t="shared" si="284"/>
        <v/>
      </c>
      <c r="B2702" s="1421"/>
      <c r="C2702" s="1421" t="str">
        <f t="shared" si="285"/>
        <v/>
      </c>
      <c r="D2702" s="67"/>
      <c r="E2702" s="69"/>
      <c r="F2702" s="87"/>
      <c r="G2702" s="1725"/>
      <c r="J2702" s="1453"/>
    </row>
    <row r="2703" spans="1:10" x14ac:dyDescent="0.2">
      <c r="A2703" s="467" t="str">
        <f t="shared" si="284"/>
        <v/>
      </c>
      <c r="B2703" s="1421"/>
      <c r="C2703" s="1421" t="str">
        <f t="shared" si="285"/>
        <v/>
      </c>
      <c r="D2703" s="67"/>
      <c r="E2703" s="69"/>
      <c r="F2703" s="87"/>
      <c r="G2703" s="1725"/>
      <c r="J2703" s="1453"/>
    </row>
    <row r="2704" spans="1:10" x14ac:dyDescent="0.2">
      <c r="A2704" s="467" t="str">
        <f t="shared" si="284"/>
        <v/>
      </c>
      <c r="B2704" s="1421"/>
      <c r="C2704" s="1421" t="str">
        <f t="shared" si="285"/>
        <v/>
      </c>
      <c r="D2704" s="219"/>
      <c r="E2704" s="447"/>
      <c r="F2704" s="221"/>
      <c r="G2704" s="1450" t="s">
        <v>2678</v>
      </c>
      <c r="J2704" s="1453"/>
    </row>
    <row r="2705" spans="1:10" x14ac:dyDescent="0.2">
      <c r="A2705" s="467" t="str">
        <f t="shared" si="284"/>
        <v/>
      </c>
      <c r="B2705" s="1421"/>
      <c r="C2705" s="1421" t="str">
        <f t="shared" si="285"/>
        <v/>
      </c>
      <c r="D2705" s="67" t="s">
        <v>3999</v>
      </c>
      <c r="E2705" s="69"/>
      <c r="F2705" s="87"/>
      <c r="G2705" s="1725" t="s">
        <v>5400</v>
      </c>
      <c r="J2705" s="1453"/>
    </row>
    <row r="2706" spans="1:10" x14ac:dyDescent="0.2">
      <c r="A2706" s="467" t="str">
        <f t="shared" si="284"/>
        <v/>
      </c>
      <c r="B2706" s="1421"/>
      <c r="C2706" s="1421" t="str">
        <f t="shared" si="285"/>
        <v/>
      </c>
      <c r="D2706" s="67"/>
      <c r="E2706" s="69"/>
      <c r="F2706" s="87"/>
      <c r="G2706" s="1725"/>
      <c r="J2706" s="1453"/>
    </row>
    <row r="2707" spans="1:10" x14ac:dyDescent="0.2">
      <c r="A2707" s="467" t="str">
        <f t="shared" si="284"/>
        <v/>
      </c>
      <c r="B2707" s="1421"/>
      <c r="C2707" s="1421" t="str">
        <f t="shared" si="285"/>
        <v/>
      </c>
      <c r="D2707" s="67"/>
      <c r="E2707" s="69"/>
      <c r="F2707" s="87"/>
      <c r="G2707" s="1725"/>
      <c r="J2707" s="1453"/>
    </row>
    <row r="2708" spans="1:10" x14ac:dyDescent="0.2">
      <c r="A2708" s="467" t="str">
        <f t="shared" si="284"/>
        <v/>
      </c>
      <c r="B2708" s="1421"/>
      <c r="C2708" s="1421" t="str">
        <f t="shared" si="285"/>
        <v/>
      </c>
      <c r="D2708" s="67"/>
      <c r="E2708" s="69"/>
      <c r="F2708" s="87"/>
      <c r="G2708" s="1725"/>
      <c r="J2708" s="1453"/>
    </row>
    <row r="2709" spans="1:10" x14ac:dyDescent="0.2">
      <c r="A2709" s="467" t="str">
        <f t="shared" si="284"/>
        <v/>
      </c>
      <c r="B2709" s="1421"/>
      <c r="C2709" s="1421" t="str">
        <f t="shared" si="285"/>
        <v/>
      </c>
      <c r="D2709" s="67"/>
      <c r="E2709" s="69"/>
      <c r="F2709" s="87"/>
      <c r="G2709" s="1725"/>
      <c r="J2709" s="1453"/>
    </row>
    <row r="2710" spans="1:10" x14ac:dyDescent="0.2">
      <c r="A2710" s="467" t="str">
        <f t="shared" si="284"/>
        <v/>
      </c>
      <c r="B2710" s="1421"/>
      <c r="C2710" s="1421" t="str">
        <f t="shared" si="285"/>
        <v/>
      </c>
      <c r="D2710" s="67"/>
      <c r="E2710" s="69"/>
      <c r="F2710" s="87"/>
      <c r="G2710" s="1725"/>
      <c r="J2710" s="1453"/>
    </row>
    <row r="2711" spans="1:10" ht="16" thickBot="1" x14ac:dyDescent="0.25">
      <c r="A2711" s="467" t="str">
        <f t="shared" si="284"/>
        <v/>
      </c>
      <c r="B2711" s="1421"/>
      <c r="C2711" s="1421" t="str">
        <f t="shared" si="285"/>
        <v/>
      </c>
      <c r="D2711" s="1493"/>
      <c r="E2711" s="1493"/>
      <c r="F2711" s="1493"/>
      <c r="G2711" s="1451" t="s">
        <v>2678</v>
      </c>
      <c r="J2711" s="1453"/>
    </row>
    <row r="2712" spans="1:10" ht="16" thickTop="1" x14ac:dyDescent="0.2">
      <c r="A2712" s="467" t="str">
        <f t="shared" si="284"/>
        <v/>
      </c>
      <c r="B2712" s="1421"/>
      <c r="C2712" s="1421" t="str">
        <f t="shared" si="285"/>
        <v/>
      </c>
      <c r="D2712" s="67">
        <v>604.1</v>
      </c>
      <c r="E2712" s="69"/>
      <c r="F2712" s="87"/>
      <c r="G2712" s="1631" t="s">
        <v>5401</v>
      </c>
      <c r="J2712" s="1453"/>
    </row>
    <row r="2713" spans="1:10" x14ac:dyDescent="0.2">
      <c r="A2713" s="467" t="str">
        <f t="shared" si="284"/>
        <v/>
      </c>
      <c r="B2713" s="1421"/>
      <c r="C2713" s="1421" t="str">
        <f t="shared" si="285"/>
        <v/>
      </c>
      <c r="D2713" s="67"/>
      <c r="E2713" s="69"/>
      <c r="F2713" s="87"/>
      <c r="G2713" s="1631"/>
      <c r="J2713" s="1453"/>
    </row>
    <row r="2714" spans="1:10" x14ac:dyDescent="0.2">
      <c r="A2714" s="467" t="str">
        <f t="shared" si="284"/>
        <v/>
      </c>
      <c r="B2714" s="1421"/>
      <c r="C2714" s="1421" t="str">
        <f t="shared" si="285"/>
        <v/>
      </c>
      <c r="D2714" s="67"/>
      <c r="E2714" s="69"/>
      <c r="F2714" s="87"/>
      <c r="G2714" s="1431" t="s">
        <v>2614</v>
      </c>
      <c r="J2714" s="1453"/>
    </row>
    <row r="2715" spans="1:10" x14ac:dyDescent="0.2">
      <c r="A2715" s="467" t="str">
        <f t="shared" si="284"/>
        <v/>
      </c>
      <c r="B2715" s="1421"/>
      <c r="C2715" s="1421" t="str">
        <f t="shared" si="285"/>
        <v/>
      </c>
      <c r="D2715" s="67"/>
      <c r="E2715" s="69"/>
      <c r="F2715" s="87"/>
      <c r="G2715" s="281" t="s">
        <v>2612</v>
      </c>
      <c r="J2715" s="1453"/>
    </row>
    <row r="2716" spans="1:10" x14ac:dyDescent="0.2">
      <c r="A2716" s="467" t="str">
        <f t="shared" si="284"/>
        <v/>
      </c>
      <c r="B2716" s="1421"/>
      <c r="C2716" s="1421" t="str">
        <f t="shared" si="285"/>
        <v/>
      </c>
      <c r="D2716" s="67"/>
      <c r="E2716" s="69"/>
      <c r="F2716" s="87"/>
      <c r="G2716" s="1673" t="s">
        <v>2613</v>
      </c>
      <c r="J2716" s="1453"/>
    </row>
    <row r="2717" spans="1:10" x14ac:dyDescent="0.2">
      <c r="A2717" s="467" t="str">
        <f t="shared" si="284"/>
        <v/>
      </c>
      <c r="B2717" s="1421"/>
      <c r="C2717" s="1421" t="str">
        <f t="shared" si="285"/>
        <v/>
      </c>
      <c r="D2717" s="67"/>
      <c r="E2717" s="69"/>
      <c r="F2717" s="87"/>
      <c r="G2717" s="1673"/>
      <c r="J2717" s="1453"/>
    </row>
    <row r="2718" spans="1:10" x14ac:dyDescent="0.2">
      <c r="A2718" s="467" t="str">
        <f t="shared" si="284"/>
        <v/>
      </c>
      <c r="B2718" s="1421"/>
      <c r="C2718" s="1421" t="str">
        <f t="shared" si="285"/>
        <v/>
      </c>
      <c r="D2718" s="67"/>
      <c r="E2718" s="69"/>
      <c r="F2718" s="87"/>
      <c r="G2718" s="1421"/>
      <c r="J2718" s="1453"/>
    </row>
    <row r="2719" spans="1:10" ht="16" thickBot="1" x14ac:dyDescent="0.25">
      <c r="A2719" s="467" t="str">
        <f t="shared" si="284"/>
        <v/>
      </c>
      <c r="B2719" s="1421"/>
      <c r="C2719" s="1421" t="str">
        <f t="shared" si="285"/>
        <v/>
      </c>
      <c r="D2719" s="67"/>
      <c r="E2719" s="69"/>
      <c r="F2719" s="87"/>
      <c r="G2719" s="1421"/>
      <c r="J2719" s="1453"/>
    </row>
    <row r="2720" spans="1:10" ht="16" thickTop="1" x14ac:dyDescent="0.2">
      <c r="A2720" s="467" t="str">
        <f t="shared" si="284"/>
        <v/>
      </c>
      <c r="B2720" s="1421"/>
      <c r="C2720" s="1421" t="str">
        <f t="shared" si="285"/>
        <v/>
      </c>
      <c r="D2720" s="115" t="s">
        <v>5402</v>
      </c>
      <c r="E2720" s="1070"/>
      <c r="F2720" s="1070"/>
      <c r="G2720" s="1740" t="s">
        <v>5403</v>
      </c>
      <c r="J2720" s="1453" t="s">
        <v>5607</v>
      </c>
    </row>
    <row r="2721" spans="1:10" x14ac:dyDescent="0.2">
      <c r="A2721" s="467" t="str">
        <f t="shared" si="284"/>
        <v/>
      </c>
      <c r="B2721" s="1421"/>
      <c r="C2721" s="1421" t="str">
        <f t="shared" si="285"/>
        <v/>
      </c>
      <c r="D2721" s="89"/>
      <c r="E2721" s="873"/>
      <c r="F2721" s="873"/>
      <c r="G2721" s="1807"/>
      <c r="J2721" s="1453"/>
    </row>
    <row r="2722" spans="1:10" ht="16" thickBot="1" x14ac:dyDescent="0.25">
      <c r="A2722" s="467" t="str">
        <f t="shared" si="284"/>
        <v/>
      </c>
      <c r="B2722" s="1421"/>
      <c r="C2722" s="1421" t="str">
        <f t="shared" si="285"/>
        <v/>
      </c>
      <c r="D2722" s="98"/>
      <c r="E2722" s="1069"/>
      <c r="F2722" s="1069"/>
      <c r="G2722" s="1738"/>
      <c r="J2722" s="1453"/>
    </row>
    <row r="2723" spans="1:10" ht="16" thickTop="1" x14ac:dyDescent="0.2">
      <c r="A2723" s="467" t="str">
        <f t="shared" ref="A2723:A2740" si="286">IF(dstCommercial="Yes","P","")</f>
        <v/>
      </c>
      <c r="B2723" s="1421"/>
      <c r="C2723" s="1421" t="str">
        <f t="shared" si="285"/>
        <v/>
      </c>
      <c r="D2723" s="89" t="s">
        <v>5404</v>
      </c>
      <c r="E2723" s="873"/>
      <c r="F2723" s="873"/>
      <c r="G2723" s="1470" t="s">
        <v>5405</v>
      </c>
      <c r="J2723" s="1453"/>
    </row>
    <row r="2724" spans="1:10" x14ac:dyDescent="0.2">
      <c r="A2724" s="467" t="str">
        <f t="shared" si="286"/>
        <v/>
      </c>
      <c r="B2724" s="1421"/>
      <c r="C2724" s="1421" t="str">
        <f t="shared" si="285"/>
        <v/>
      </c>
      <c r="D2724" s="89" t="s">
        <v>5406</v>
      </c>
      <c r="E2724" s="873"/>
      <c r="F2724" s="873"/>
      <c r="G2724" s="1807" t="s">
        <v>5407</v>
      </c>
      <c r="J2724" s="1453" t="s">
        <v>5614</v>
      </c>
    </row>
    <row r="2725" spans="1:10" x14ac:dyDescent="0.2">
      <c r="A2725" s="467" t="str">
        <f t="shared" si="286"/>
        <v/>
      </c>
      <c r="B2725" s="1421"/>
      <c r="C2725" s="1421" t="str">
        <f t="shared" si="285"/>
        <v/>
      </c>
      <c r="D2725" s="89"/>
      <c r="E2725" s="873"/>
      <c r="F2725" s="873"/>
      <c r="G2725" s="1807"/>
      <c r="J2725" s="1453"/>
    </row>
    <row r="2726" spans="1:10" x14ac:dyDescent="0.2">
      <c r="A2726" s="467" t="str">
        <f t="shared" si="286"/>
        <v/>
      </c>
      <c r="B2726" s="1421"/>
      <c r="C2726" s="1421" t="str">
        <f t="shared" si="285"/>
        <v/>
      </c>
      <c r="D2726" s="89"/>
      <c r="E2726" s="873"/>
      <c r="F2726" s="873"/>
      <c r="G2726" s="1807"/>
      <c r="J2726" s="1453"/>
    </row>
    <row r="2727" spans="1:10" x14ac:dyDescent="0.2">
      <c r="A2727" s="467" t="str">
        <f t="shared" si="286"/>
        <v/>
      </c>
      <c r="B2727" s="1421"/>
      <c r="C2727" s="1421" t="str">
        <f t="shared" si="285"/>
        <v/>
      </c>
      <c r="D2727" s="89"/>
      <c r="E2727" s="873"/>
      <c r="F2727" s="873"/>
      <c r="G2727" s="1807"/>
      <c r="J2727" s="1453"/>
    </row>
    <row r="2728" spans="1:10" x14ac:dyDescent="0.2">
      <c r="A2728" s="467" t="str">
        <f t="shared" si="286"/>
        <v/>
      </c>
      <c r="B2728" s="1421"/>
      <c r="C2728" s="1421" t="str">
        <f t="shared" si="285"/>
        <v/>
      </c>
      <c r="D2728" s="89"/>
      <c r="E2728" s="873"/>
      <c r="F2728" s="873"/>
      <c r="G2728" s="1807" t="s">
        <v>5408</v>
      </c>
      <c r="J2728" s="1453" t="s">
        <v>5615</v>
      </c>
    </row>
    <row r="2729" spans="1:10" x14ac:dyDescent="0.2">
      <c r="A2729" s="467" t="str">
        <f t="shared" si="286"/>
        <v/>
      </c>
      <c r="B2729" s="1421"/>
      <c r="C2729" s="1421" t="str">
        <f t="shared" si="285"/>
        <v/>
      </c>
      <c r="D2729" s="89"/>
      <c r="E2729" s="873"/>
      <c r="F2729" s="873"/>
      <c r="G2729" s="1807"/>
      <c r="J2729" s="1453"/>
    </row>
    <row r="2730" spans="1:10" x14ac:dyDescent="0.2">
      <c r="A2730" s="467" t="str">
        <f t="shared" si="286"/>
        <v/>
      </c>
      <c r="B2730" s="1421"/>
      <c r="C2730" s="1421" t="str">
        <f t="shared" si="285"/>
        <v/>
      </c>
      <c r="D2730" s="89"/>
      <c r="E2730" s="873"/>
      <c r="F2730" s="873"/>
      <c r="G2730" s="1807"/>
      <c r="J2730" s="1453"/>
    </row>
    <row r="2731" spans="1:10" x14ac:dyDescent="0.2">
      <c r="A2731" s="467" t="str">
        <f t="shared" si="286"/>
        <v/>
      </c>
      <c r="B2731" s="1421"/>
      <c r="C2731" s="1421" t="str">
        <f t="shared" si="285"/>
        <v/>
      </c>
      <c r="D2731" s="89"/>
      <c r="E2731" s="873"/>
      <c r="F2731" s="873"/>
      <c r="G2731" s="1807"/>
      <c r="J2731" s="1453"/>
    </row>
    <row r="2732" spans="1:10" x14ac:dyDescent="0.2">
      <c r="A2732" s="467" t="str">
        <f t="shared" si="286"/>
        <v/>
      </c>
      <c r="B2732" s="1421"/>
      <c r="C2732" s="1421" t="str">
        <f t="shared" si="285"/>
        <v/>
      </c>
      <c r="D2732" s="89"/>
      <c r="E2732" s="873"/>
      <c r="F2732" s="873"/>
      <c r="G2732" s="1807"/>
      <c r="J2732" s="1453"/>
    </row>
    <row r="2733" spans="1:10" x14ac:dyDescent="0.2">
      <c r="A2733" s="467" t="str">
        <f t="shared" si="286"/>
        <v/>
      </c>
      <c r="B2733" s="1421"/>
      <c r="C2733" s="1421" t="str">
        <f t="shared" si="285"/>
        <v/>
      </c>
      <c r="D2733" s="169"/>
      <c r="E2733" s="1072"/>
      <c r="F2733" s="1072"/>
      <c r="G2733" s="1688"/>
      <c r="J2733" s="1453"/>
    </row>
    <row r="2734" spans="1:10" x14ac:dyDescent="0.2">
      <c r="A2734" s="467" t="str">
        <f t="shared" si="286"/>
        <v/>
      </c>
      <c r="B2734" s="1421"/>
      <c r="C2734" s="1421" t="str">
        <f t="shared" si="285"/>
        <v/>
      </c>
      <c r="D2734" s="89" t="s">
        <v>5409</v>
      </c>
      <c r="E2734" s="873"/>
      <c r="F2734" s="873"/>
      <c r="G2734" s="1807" t="s">
        <v>5410</v>
      </c>
      <c r="J2734" s="1453" t="s">
        <v>5611</v>
      </c>
    </row>
    <row r="2735" spans="1:10" x14ac:dyDescent="0.2">
      <c r="A2735" s="467" t="str">
        <f t="shared" si="286"/>
        <v/>
      </c>
      <c r="B2735" s="1421"/>
      <c r="C2735" s="1421" t="str">
        <f t="shared" si="285"/>
        <v/>
      </c>
      <c r="D2735" s="89"/>
      <c r="E2735" s="873"/>
      <c r="F2735" s="873"/>
      <c r="G2735" s="1807"/>
      <c r="J2735" s="1453"/>
    </row>
    <row r="2736" spans="1:10" x14ac:dyDescent="0.2">
      <c r="A2736" s="467" t="str">
        <f t="shared" si="286"/>
        <v/>
      </c>
      <c r="B2736" s="1421"/>
      <c r="C2736" s="1421" t="str">
        <f t="shared" si="285"/>
        <v/>
      </c>
      <c r="D2736" s="89"/>
      <c r="E2736" s="873"/>
      <c r="F2736" s="873"/>
      <c r="G2736" s="1807"/>
      <c r="J2736" s="1453"/>
    </row>
    <row r="2737" spans="1:10" ht="16" thickBot="1" x14ac:dyDescent="0.25">
      <c r="A2737" s="467" t="str">
        <f t="shared" si="286"/>
        <v/>
      </c>
      <c r="B2737" s="1421"/>
      <c r="C2737" s="1421" t="str">
        <f t="shared" si="285"/>
        <v/>
      </c>
      <c r="D2737" s="98"/>
      <c r="E2737" s="1069"/>
      <c r="F2737" s="1069"/>
      <c r="G2737" s="1738"/>
      <c r="J2737" s="1453"/>
    </row>
    <row r="2738" spans="1:10" ht="16" thickTop="1" x14ac:dyDescent="0.2">
      <c r="A2738" s="467" t="str">
        <f t="shared" si="286"/>
        <v/>
      </c>
      <c r="B2738" s="1421"/>
      <c r="C2738" s="1421" t="str">
        <f t="shared" si="285"/>
        <v/>
      </c>
      <c r="D2738" s="115" t="s">
        <v>5411</v>
      </c>
      <c r="E2738" s="1070"/>
      <c r="F2738" s="1070"/>
      <c r="G2738" s="1740" t="s">
        <v>5412</v>
      </c>
      <c r="J2738" s="1814" t="s">
        <v>5616</v>
      </c>
    </row>
    <row r="2739" spans="1:10" x14ac:dyDescent="0.2">
      <c r="A2739" s="467" t="str">
        <f t="shared" si="286"/>
        <v/>
      </c>
      <c r="B2739" s="1421"/>
      <c r="C2739" s="1421" t="str">
        <f t="shared" si="285"/>
        <v/>
      </c>
      <c r="D2739" s="89"/>
      <c r="E2739" s="873"/>
      <c r="F2739" s="873"/>
      <c r="G2739" s="1807"/>
      <c r="J2739" s="1815"/>
    </row>
    <row r="2740" spans="1:10" x14ac:dyDescent="0.2">
      <c r="A2740" s="467" t="str">
        <f t="shared" si="286"/>
        <v/>
      </c>
      <c r="B2740" s="1421"/>
      <c r="C2740" s="1421" t="str">
        <f t="shared" si="285"/>
        <v/>
      </c>
      <c r="D2740" s="89"/>
      <c r="E2740" s="873"/>
      <c r="F2740" s="873"/>
      <c r="G2740" s="1807"/>
      <c r="J2740" s="1453"/>
    </row>
    <row r="2741" spans="1:10" ht="16" thickBot="1" x14ac:dyDescent="0.25">
      <c r="B2741" s="1421"/>
      <c r="C2741" s="1421" t="str">
        <f t="shared" si="285"/>
        <v/>
      </c>
      <c r="D2741" s="98"/>
      <c r="E2741" s="1069"/>
      <c r="F2741" s="1069"/>
      <c r="G2741" s="408" t="s">
        <v>5413</v>
      </c>
      <c r="J2741" s="1454"/>
    </row>
    <row r="2742" spans="1:10" ht="16" thickTop="1" x14ac:dyDescent="0.2">
      <c r="A2742" s="467" t="str">
        <f t="shared" ref="A2742:A2766" si="287">IF(dstCommercial="Yes","P","")</f>
        <v/>
      </c>
      <c r="B2742" s="1421"/>
      <c r="C2742" s="1421" t="str">
        <f t="shared" si="285"/>
        <v/>
      </c>
      <c r="D2742" s="89" t="s">
        <v>5414</v>
      </c>
      <c r="E2742" s="873"/>
      <c r="F2742" s="873"/>
      <c r="G2742" s="1807" t="s">
        <v>5415</v>
      </c>
      <c r="J2742" s="1804" t="s">
        <v>5617</v>
      </c>
    </row>
    <row r="2743" spans="1:10" x14ac:dyDescent="0.2">
      <c r="A2743" s="467" t="str">
        <f t="shared" si="287"/>
        <v/>
      </c>
      <c r="B2743" s="1421"/>
      <c r="C2743" s="1421" t="str">
        <f t="shared" si="285"/>
        <v/>
      </c>
      <c r="D2743" s="89"/>
      <c r="E2743" s="873"/>
      <c r="F2743" s="873"/>
      <c r="G2743" s="1807"/>
      <c r="J2743" s="1805"/>
    </row>
    <row r="2744" spans="1:10" x14ac:dyDescent="0.2">
      <c r="A2744" s="467" t="str">
        <f t="shared" si="287"/>
        <v/>
      </c>
      <c r="B2744" s="1421"/>
      <c r="C2744" s="1421" t="str">
        <f t="shared" si="285"/>
        <v/>
      </c>
      <c r="D2744" s="89"/>
      <c r="E2744" s="873"/>
      <c r="F2744" s="873"/>
      <c r="G2744" s="1807"/>
      <c r="J2744" s="1453"/>
    </row>
    <row r="2745" spans="1:10" x14ac:dyDescent="0.2">
      <c r="A2745" s="467" t="str">
        <f t="shared" si="287"/>
        <v/>
      </c>
      <c r="B2745" s="1421"/>
      <c r="C2745" s="1421" t="str">
        <f t="shared" si="285"/>
        <v/>
      </c>
      <c r="D2745" s="89"/>
      <c r="E2745" s="873"/>
      <c r="F2745" s="873"/>
      <c r="G2745" s="1807"/>
      <c r="J2745" s="1453"/>
    </row>
    <row r="2746" spans="1:10" x14ac:dyDescent="0.2">
      <c r="A2746" s="467" t="str">
        <f t="shared" si="287"/>
        <v/>
      </c>
      <c r="B2746" s="1421"/>
      <c r="C2746" s="1421" t="str">
        <f t="shared" si="285"/>
        <v/>
      </c>
      <c r="D2746" s="89"/>
      <c r="E2746" s="1072" t="s">
        <v>254</v>
      </c>
      <c r="F2746" s="1072"/>
      <c r="G2746" s="1438" t="s">
        <v>5416</v>
      </c>
      <c r="J2746" s="1453"/>
    </row>
    <row r="2747" spans="1:10" x14ac:dyDescent="0.2">
      <c r="A2747" s="467" t="str">
        <f t="shared" si="287"/>
        <v/>
      </c>
      <c r="B2747" s="1421"/>
      <c r="C2747" s="1421" t="str">
        <f t="shared" si="285"/>
        <v/>
      </c>
      <c r="D2747" s="89"/>
      <c r="E2747" s="1074" t="s">
        <v>255</v>
      </c>
      <c r="F2747" s="1074"/>
      <c r="G2747" s="1075" t="s">
        <v>5417</v>
      </c>
      <c r="J2747" s="1453"/>
    </row>
    <row r="2748" spans="1:10" ht="15" customHeight="1" x14ac:dyDescent="0.2">
      <c r="A2748" s="467" t="str">
        <f t="shared" si="287"/>
        <v/>
      </c>
      <c r="B2748" s="1421"/>
      <c r="C2748" s="1421" t="str">
        <f t="shared" si="285"/>
        <v/>
      </c>
      <c r="D2748" s="89"/>
      <c r="E2748" s="1074" t="s">
        <v>256</v>
      </c>
      <c r="F2748" s="1074"/>
      <c r="G2748" s="1075" t="s">
        <v>5418</v>
      </c>
      <c r="J2748" s="1453"/>
    </row>
    <row r="2749" spans="1:10" x14ac:dyDescent="0.2">
      <c r="A2749" s="467" t="str">
        <f t="shared" si="287"/>
        <v/>
      </c>
      <c r="B2749" s="1421"/>
      <c r="C2749" s="1421" t="str">
        <f t="shared" si="285"/>
        <v/>
      </c>
      <c r="D2749" s="89"/>
      <c r="E2749" s="1074" t="s">
        <v>259</v>
      </c>
      <c r="F2749" s="1074"/>
      <c r="G2749" s="1075" t="s">
        <v>5419</v>
      </c>
      <c r="J2749" s="1453"/>
    </row>
    <row r="2750" spans="1:10" x14ac:dyDescent="0.2">
      <c r="A2750" s="467" t="str">
        <f t="shared" si="287"/>
        <v/>
      </c>
      <c r="B2750" s="1421"/>
      <c r="C2750" s="1421" t="str">
        <f t="shared" si="285"/>
        <v/>
      </c>
      <c r="D2750" s="89"/>
      <c r="E2750" s="1074" t="s">
        <v>263</v>
      </c>
      <c r="F2750" s="1074"/>
      <c r="G2750" s="1075" t="s">
        <v>5420</v>
      </c>
      <c r="J2750" s="1453"/>
    </row>
    <row r="2751" spans="1:10" x14ac:dyDescent="0.2">
      <c r="A2751" s="467" t="str">
        <f t="shared" si="287"/>
        <v/>
      </c>
      <c r="B2751" s="1421"/>
      <c r="C2751" s="1421" t="str">
        <f t="shared" si="285"/>
        <v/>
      </c>
      <c r="D2751" s="89"/>
      <c r="E2751" s="1074" t="s">
        <v>264</v>
      </c>
      <c r="F2751" s="1074"/>
      <c r="G2751" s="1075" t="s">
        <v>5421</v>
      </c>
      <c r="J2751" s="1453"/>
    </row>
    <row r="2752" spans="1:10" x14ac:dyDescent="0.2">
      <c r="A2752" s="467" t="str">
        <f t="shared" si="287"/>
        <v/>
      </c>
      <c r="B2752" s="1421"/>
      <c r="C2752" s="1421" t="str">
        <f t="shared" si="285"/>
        <v/>
      </c>
      <c r="D2752" s="89"/>
      <c r="E2752" s="1074" t="s">
        <v>356</v>
      </c>
      <c r="F2752" s="1074"/>
      <c r="G2752" s="1075" t="s">
        <v>5422</v>
      </c>
      <c r="J2752" s="1453"/>
    </row>
    <row r="2753" spans="1:10" x14ac:dyDescent="0.2">
      <c r="A2753" s="467" t="str">
        <f t="shared" si="287"/>
        <v/>
      </c>
      <c r="B2753" s="1421"/>
      <c r="C2753" s="1421" t="str">
        <f t="shared" si="285"/>
        <v/>
      </c>
      <c r="D2753" s="89"/>
      <c r="E2753" s="1074" t="s">
        <v>389</v>
      </c>
      <c r="F2753" s="1074"/>
      <c r="G2753" s="1075" t="s">
        <v>5423</v>
      </c>
      <c r="J2753" s="1453"/>
    </row>
    <row r="2754" spans="1:10" x14ac:dyDescent="0.2">
      <c r="A2754" s="467" t="str">
        <f t="shared" si="287"/>
        <v/>
      </c>
      <c r="B2754" s="1421"/>
      <c r="C2754" s="1421" t="str">
        <f t="shared" si="285"/>
        <v/>
      </c>
      <c r="D2754" s="89"/>
      <c r="E2754" s="1074" t="s">
        <v>391</v>
      </c>
      <c r="F2754" s="1074"/>
      <c r="G2754" s="1075" t="s">
        <v>5424</v>
      </c>
      <c r="J2754" s="1453"/>
    </row>
    <row r="2755" spans="1:10" x14ac:dyDescent="0.2">
      <c r="A2755" s="467" t="str">
        <f t="shared" si="287"/>
        <v/>
      </c>
      <c r="B2755" s="1421"/>
      <c r="C2755" s="1421" t="str">
        <f t="shared" si="285"/>
        <v/>
      </c>
      <c r="D2755" s="89"/>
      <c r="E2755" s="1074" t="s">
        <v>392</v>
      </c>
      <c r="F2755" s="1074"/>
      <c r="G2755" s="1075" t="s">
        <v>5425</v>
      </c>
      <c r="J2755" s="1453"/>
    </row>
    <row r="2756" spans="1:10" x14ac:dyDescent="0.2">
      <c r="A2756" s="467" t="str">
        <f t="shared" si="287"/>
        <v/>
      </c>
      <c r="B2756" s="1421"/>
      <c r="C2756" s="1421" t="str">
        <f t="shared" si="285"/>
        <v/>
      </c>
      <c r="D2756" s="89"/>
      <c r="E2756" s="1074" t="s">
        <v>394</v>
      </c>
      <c r="F2756" s="1074"/>
      <c r="G2756" s="1075" t="s">
        <v>5426</v>
      </c>
      <c r="J2756" s="1453"/>
    </row>
    <row r="2757" spans="1:10" x14ac:dyDescent="0.2">
      <c r="A2757" s="467" t="str">
        <f t="shared" si="287"/>
        <v/>
      </c>
      <c r="B2757" s="1421"/>
      <c r="C2757" s="1421" t="str">
        <f t="shared" si="285"/>
        <v/>
      </c>
      <c r="D2757" s="169"/>
      <c r="E2757" s="1072" t="s">
        <v>396</v>
      </c>
      <c r="F2757" s="1072"/>
      <c r="G2757" s="1438" t="s">
        <v>5427</v>
      </c>
      <c r="J2757" s="1453"/>
    </row>
    <row r="2758" spans="1:10" x14ac:dyDescent="0.2">
      <c r="A2758" s="467" t="str">
        <f t="shared" si="287"/>
        <v/>
      </c>
      <c r="B2758" s="1421"/>
      <c r="C2758" s="1421" t="str">
        <f t="shared" si="285"/>
        <v/>
      </c>
      <c r="D2758" s="89" t="s">
        <v>5428</v>
      </c>
      <c r="E2758" s="873"/>
      <c r="F2758" s="873"/>
      <c r="G2758" s="1807" t="s">
        <v>5429</v>
      </c>
      <c r="J2758" s="1453" t="s">
        <v>5618</v>
      </c>
    </row>
    <row r="2759" spans="1:10" x14ac:dyDescent="0.2">
      <c r="A2759" s="467" t="str">
        <f t="shared" si="287"/>
        <v/>
      </c>
      <c r="B2759" s="1421"/>
      <c r="C2759" s="1421" t="str">
        <f t="shared" si="285"/>
        <v/>
      </c>
      <c r="D2759" s="89"/>
      <c r="E2759" s="873"/>
      <c r="F2759" s="873"/>
      <c r="G2759" s="1807"/>
      <c r="J2759" s="1453"/>
    </row>
    <row r="2760" spans="1:10" ht="16" thickBot="1" x14ac:dyDescent="0.25">
      <c r="A2760" s="467" t="str">
        <f t="shared" si="287"/>
        <v/>
      </c>
      <c r="B2760" s="1421"/>
      <c r="C2760" s="1421" t="str">
        <f t="shared" ref="C2760:C2823" si="288">IF(LEN(B2760)=0,IF(A2760="P","P",""),B2760)</f>
        <v/>
      </c>
      <c r="D2760" s="98"/>
      <c r="E2760" s="1069"/>
      <c r="F2760" s="1069"/>
      <c r="G2760" s="1738"/>
      <c r="J2760" s="1453"/>
    </row>
    <row r="2761" spans="1:10" ht="16" thickTop="1" x14ac:dyDescent="0.2">
      <c r="A2761" s="467" t="str">
        <f t="shared" si="287"/>
        <v/>
      </c>
      <c r="B2761" s="1421"/>
      <c r="C2761" s="1421" t="str">
        <f t="shared" si="288"/>
        <v/>
      </c>
      <c r="D2761" s="89" t="s">
        <v>5430</v>
      </c>
      <c r="E2761" s="873"/>
      <c r="F2761" s="873"/>
      <c r="G2761" s="1807" t="s">
        <v>5431</v>
      </c>
      <c r="J2761" s="1453" t="s">
        <v>5607</v>
      </c>
    </row>
    <row r="2762" spans="1:10" x14ac:dyDescent="0.2">
      <c r="A2762" s="467" t="str">
        <f t="shared" si="287"/>
        <v/>
      </c>
      <c r="B2762" s="1421"/>
      <c r="C2762" s="1421" t="str">
        <f t="shared" si="288"/>
        <v/>
      </c>
      <c r="D2762" s="89"/>
      <c r="E2762" s="873"/>
      <c r="F2762" s="873"/>
      <c r="G2762" s="1807"/>
      <c r="J2762" s="1453"/>
    </row>
    <row r="2763" spans="1:10" ht="16" thickBot="1" x14ac:dyDescent="0.25">
      <c r="A2763" s="467" t="str">
        <f t="shared" si="287"/>
        <v/>
      </c>
      <c r="B2763" s="1421"/>
      <c r="C2763" s="1421" t="str">
        <f t="shared" si="288"/>
        <v/>
      </c>
      <c r="D2763" s="98"/>
      <c r="E2763" s="1069"/>
      <c r="F2763" s="1069"/>
      <c r="G2763" s="1738"/>
      <c r="J2763" s="1453"/>
    </row>
    <row r="2764" spans="1:10" ht="16" thickTop="1" x14ac:dyDescent="0.2">
      <c r="A2764" s="467" t="str">
        <f t="shared" si="287"/>
        <v/>
      </c>
      <c r="B2764" s="1421"/>
      <c r="C2764" s="1421" t="str">
        <f t="shared" si="288"/>
        <v/>
      </c>
      <c r="D2764" s="115" t="s">
        <v>5432</v>
      </c>
      <c r="E2764" s="1070"/>
      <c r="F2764" s="1070"/>
      <c r="G2764" s="1740" t="s">
        <v>5433</v>
      </c>
      <c r="J2764" s="1453" t="s">
        <v>5619</v>
      </c>
    </row>
    <row r="2765" spans="1:10" x14ac:dyDescent="0.2">
      <c r="A2765" s="467" t="str">
        <f t="shared" si="287"/>
        <v/>
      </c>
      <c r="B2765" s="1421"/>
      <c r="C2765" s="1421" t="str">
        <f t="shared" si="288"/>
        <v/>
      </c>
      <c r="D2765" s="89"/>
      <c r="E2765" s="873"/>
      <c r="F2765" s="873"/>
      <c r="G2765" s="1807"/>
      <c r="J2765" s="1453"/>
    </row>
    <row r="2766" spans="1:10" x14ac:dyDescent="0.2">
      <c r="A2766" s="467" t="str">
        <f t="shared" si="287"/>
        <v/>
      </c>
      <c r="B2766" s="1421"/>
      <c r="C2766" s="1421" t="str">
        <f t="shared" si="288"/>
        <v/>
      </c>
      <c r="D2766" s="89"/>
      <c r="E2766" s="873"/>
      <c r="F2766" s="873"/>
      <c r="G2766" s="1807"/>
      <c r="J2766" s="1453"/>
    </row>
    <row r="2767" spans="1:10" ht="16" thickBot="1" x14ac:dyDescent="0.25">
      <c r="B2767" s="1421"/>
      <c r="C2767" s="1421" t="str">
        <f t="shared" si="288"/>
        <v/>
      </c>
      <c r="D2767" s="98"/>
      <c r="E2767" s="1069"/>
      <c r="F2767" s="1069"/>
      <c r="G2767" s="1431" t="s">
        <v>5434</v>
      </c>
      <c r="J2767" s="1453"/>
    </row>
    <row r="2768" spans="1:10" ht="16" thickTop="1" x14ac:dyDescent="0.2">
      <c r="A2768" s="467" t="str">
        <f>IF(dstCommercial="Yes","P","")</f>
        <v/>
      </c>
      <c r="B2768" s="1421"/>
      <c r="C2768" s="1421" t="str">
        <f t="shared" si="288"/>
        <v/>
      </c>
      <c r="D2768" s="115" t="s">
        <v>5435</v>
      </c>
      <c r="E2768" s="1070"/>
      <c r="F2768" s="1070"/>
      <c r="G2768" s="1740" t="s">
        <v>5436</v>
      </c>
      <c r="J2768" s="1453" t="s">
        <v>5607</v>
      </c>
    </row>
    <row r="2769" spans="1:10" x14ac:dyDescent="0.2">
      <c r="A2769" s="467" t="str">
        <f>IF(dstCommercial="Yes","P","")</f>
        <v/>
      </c>
      <c r="B2769" s="1421"/>
      <c r="C2769" s="1421" t="str">
        <f t="shared" si="288"/>
        <v/>
      </c>
      <c r="D2769" s="89"/>
      <c r="E2769" s="873"/>
      <c r="F2769" s="873"/>
      <c r="G2769" s="1807"/>
      <c r="J2769" s="1453"/>
    </row>
    <row r="2770" spans="1:10" ht="16" thickBot="1" x14ac:dyDescent="0.25">
      <c r="B2770" s="1421"/>
      <c r="C2770" s="1421" t="str">
        <f t="shared" si="288"/>
        <v/>
      </c>
      <c r="D2770" s="98"/>
      <c r="E2770" s="1069"/>
      <c r="F2770" s="1069"/>
      <c r="G2770" s="1431" t="s">
        <v>5434</v>
      </c>
      <c r="J2770" s="1453"/>
    </row>
    <row r="2771" spans="1:10" ht="16" thickTop="1" x14ac:dyDescent="0.2">
      <c r="A2771" s="467" t="str">
        <f t="shared" ref="A2771:A2784" si="289">IF(dstCommercial="Yes","P","")</f>
        <v/>
      </c>
      <c r="B2771" s="1421"/>
      <c r="C2771" s="1421" t="str">
        <f t="shared" si="288"/>
        <v/>
      </c>
      <c r="D2771" s="115" t="s">
        <v>5437</v>
      </c>
      <c r="E2771" s="1070"/>
      <c r="F2771" s="1070"/>
      <c r="G2771" s="1740" t="s">
        <v>5438</v>
      </c>
      <c r="J2771" s="1453" t="s">
        <v>5607</v>
      </c>
    </row>
    <row r="2772" spans="1:10" x14ac:dyDescent="0.2">
      <c r="A2772" s="467" t="str">
        <f t="shared" si="289"/>
        <v/>
      </c>
      <c r="B2772" s="1421"/>
      <c r="C2772" s="1421" t="str">
        <f t="shared" si="288"/>
        <v/>
      </c>
      <c r="D2772" s="89"/>
      <c r="E2772" s="873"/>
      <c r="F2772" s="873"/>
      <c r="G2772" s="1807"/>
      <c r="J2772" s="1453"/>
    </row>
    <row r="2773" spans="1:10" ht="16" thickBot="1" x14ac:dyDescent="0.25">
      <c r="A2773" s="467" t="str">
        <f t="shared" si="289"/>
        <v/>
      </c>
      <c r="B2773" s="1421"/>
      <c r="C2773" s="1421" t="str">
        <f t="shared" si="288"/>
        <v/>
      </c>
      <c r="D2773" s="98"/>
      <c r="E2773" s="1069"/>
      <c r="F2773" s="1069"/>
      <c r="G2773" s="1738"/>
      <c r="J2773" s="1453"/>
    </row>
    <row r="2774" spans="1:10" ht="16" thickTop="1" x14ac:dyDescent="0.2">
      <c r="A2774" s="467" t="str">
        <f t="shared" si="289"/>
        <v/>
      </c>
      <c r="B2774" s="1421"/>
      <c r="C2774" s="1421" t="str">
        <f t="shared" si="288"/>
        <v/>
      </c>
      <c r="D2774" s="89" t="s">
        <v>5439</v>
      </c>
      <c r="E2774" s="873"/>
      <c r="F2774" s="873"/>
      <c r="G2774" s="1470" t="s">
        <v>5440</v>
      </c>
      <c r="J2774" s="1453"/>
    </row>
    <row r="2775" spans="1:10" x14ac:dyDescent="0.2">
      <c r="A2775" s="467" t="str">
        <f t="shared" si="289"/>
        <v/>
      </c>
      <c r="B2775" s="1421"/>
      <c r="C2775" s="1421" t="str">
        <f t="shared" si="288"/>
        <v/>
      </c>
      <c r="D2775" s="89" t="s">
        <v>5441</v>
      </c>
      <c r="E2775" s="873"/>
      <c r="F2775" s="873"/>
      <c r="G2775" s="1807" t="s">
        <v>5442</v>
      </c>
      <c r="J2775" s="1453" t="s">
        <v>5607</v>
      </c>
    </row>
    <row r="2776" spans="1:10" ht="16" thickBot="1" x14ac:dyDescent="0.25">
      <c r="A2776" s="467" t="str">
        <f t="shared" si="289"/>
        <v/>
      </c>
      <c r="B2776" s="1421"/>
      <c r="C2776" s="1421" t="str">
        <f t="shared" si="288"/>
        <v/>
      </c>
      <c r="D2776" s="98"/>
      <c r="E2776" s="1069"/>
      <c r="F2776" s="1069"/>
      <c r="G2776" s="1738"/>
      <c r="J2776" s="1453"/>
    </row>
    <row r="2777" spans="1:10" ht="16" thickTop="1" x14ac:dyDescent="0.2">
      <c r="A2777" s="467" t="str">
        <f t="shared" si="289"/>
        <v/>
      </c>
      <c r="B2777" s="1421"/>
      <c r="C2777" s="1421" t="str">
        <f t="shared" si="288"/>
        <v/>
      </c>
      <c r="D2777" s="115" t="s">
        <v>5443</v>
      </c>
      <c r="E2777" s="1070"/>
      <c r="F2777" s="1070"/>
      <c r="G2777" s="1740" t="s">
        <v>5444</v>
      </c>
      <c r="J2777" s="1453" t="s">
        <v>5620</v>
      </c>
    </row>
    <row r="2778" spans="1:10" x14ac:dyDescent="0.2">
      <c r="A2778" s="467" t="str">
        <f t="shared" si="289"/>
        <v/>
      </c>
      <c r="B2778" s="1421"/>
      <c r="C2778" s="1421" t="str">
        <f t="shared" si="288"/>
        <v/>
      </c>
      <c r="D2778" s="89"/>
      <c r="E2778" s="873"/>
      <c r="F2778" s="873"/>
      <c r="G2778" s="1807"/>
      <c r="J2778" s="1453"/>
    </row>
    <row r="2779" spans="1:10" x14ac:dyDescent="0.2">
      <c r="A2779" s="467" t="str">
        <f t="shared" si="289"/>
        <v/>
      </c>
      <c r="B2779" s="1421"/>
      <c r="C2779" s="1421" t="str">
        <f t="shared" si="288"/>
        <v/>
      </c>
      <c r="D2779" s="89"/>
      <c r="E2779" s="873"/>
      <c r="F2779" s="873"/>
      <c r="G2779" s="1807"/>
      <c r="J2779" s="1453"/>
    </row>
    <row r="2780" spans="1:10" x14ac:dyDescent="0.2">
      <c r="A2780" s="467" t="str">
        <f t="shared" si="289"/>
        <v/>
      </c>
      <c r="B2780" s="1421"/>
      <c r="C2780" s="1421" t="str">
        <f t="shared" si="288"/>
        <v/>
      </c>
      <c r="D2780" s="89"/>
      <c r="E2780" s="873"/>
      <c r="F2780" s="873"/>
      <c r="G2780" s="1807"/>
      <c r="J2780" s="1453"/>
    </row>
    <row r="2781" spans="1:10" x14ac:dyDescent="0.2">
      <c r="A2781" s="467" t="str">
        <f t="shared" si="289"/>
        <v/>
      </c>
      <c r="B2781" s="1421"/>
      <c r="C2781" s="1421" t="str">
        <f t="shared" si="288"/>
        <v/>
      </c>
      <c r="D2781" s="89"/>
      <c r="E2781" s="873"/>
      <c r="F2781" s="873"/>
      <c r="G2781" s="1807"/>
      <c r="J2781" s="1453"/>
    </row>
    <row r="2782" spans="1:10" x14ac:dyDescent="0.2">
      <c r="A2782" s="467" t="str">
        <f t="shared" si="289"/>
        <v/>
      </c>
      <c r="B2782" s="1421"/>
      <c r="C2782" s="1421" t="str">
        <f t="shared" si="288"/>
        <v/>
      </c>
      <c r="D2782" s="89"/>
      <c r="E2782" s="873"/>
      <c r="F2782" s="873"/>
      <c r="G2782" s="1807"/>
      <c r="J2782" s="1453"/>
    </row>
    <row r="2783" spans="1:10" ht="16" thickBot="1" x14ac:dyDescent="0.25">
      <c r="A2783" s="467" t="str">
        <f t="shared" si="289"/>
        <v/>
      </c>
      <c r="B2783" s="1421"/>
      <c r="C2783" s="1421" t="str">
        <f t="shared" si="288"/>
        <v/>
      </c>
      <c r="D2783" s="98"/>
      <c r="E2783" s="1069"/>
      <c r="F2783" s="1069"/>
      <c r="G2783" s="1738"/>
      <c r="J2783" s="1453"/>
    </row>
    <row r="2784" spans="1:10" ht="15" customHeight="1" thickTop="1" x14ac:dyDescent="0.2">
      <c r="A2784" s="467" t="str">
        <f t="shared" si="289"/>
        <v/>
      </c>
      <c r="B2784" s="1421"/>
      <c r="C2784" s="1421" t="str">
        <f t="shared" si="288"/>
        <v/>
      </c>
      <c r="D2784" s="115" t="s">
        <v>5445</v>
      </c>
      <c r="E2784" s="1070"/>
      <c r="F2784" s="1070"/>
      <c r="G2784" s="1449" t="s">
        <v>5446</v>
      </c>
      <c r="J2784" s="1453" t="s">
        <v>5621</v>
      </c>
    </row>
    <row r="2785" spans="1:10" ht="16" thickBot="1" x14ac:dyDescent="0.25">
      <c r="B2785" s="1421"/>
      <c r="C2785" s="1421" t="str">
        <f t="shared" si="288"/>
        <v/>
      </c>
      <c r="D2785" s="1420"/>
      <c r="E2785" s="1420"/>
      <c r="F2785" s="1420"/>
      <c r="G2785" s="1431" t="s">
        <v>5447</v>
      </c>
      <c r="J2785" s="1453"/>
    </row>
    <row r="2786" spans="1:10" ht="16" thickTop="1" x14ac:dyDescent="0.2">
      <c r="A2786" s="467" t="str">
        <f t="shared" ref="A2786:A2830" si="290">IF(dstCommercial="Yes","P","")</f>
        <v/>
      </c>
      <c r="B2786" s="1421"/>
      <c r="C2786" s="1421" t="str">
        <f t="shared" si="288"/>
        <v/>
      </c>
      <c r="D2786" s="115" t="s">
        <v>5448</v>
      </c>
      <c r="E2786" s="1070"/>
      <c r="F2786" s="1070"/>
      <c r="G2786" s="1740" t="s">
        <v>5449</v>
      </c>
      <c r="J2786" s="1453"/>
    </row>
    <row r="2787" spans="1:10" x14ac:dyDescent="0.2">
      <c r="A2787" s="467" t="str">
        <f t="shared" si="290"/>
        <v/>
      </c>
      <c r="B2787" s="1421"/>
      <c r="C2787" s="1421" t="str">
        <f t="shared" si="288"/>
        <v/>
      </c>
      <c r="D2787" s="89"/>
      <c r="E2787" s="873"/>
      <c r="F2787" s="873"/>
      <c r="G2787" s="1807"/>
      <c r="J2787" s="1453"/>
    </row>
    <row r="2788" spans="1:10" x14ac:dyDescent="0.2">
      <c r="A2788" s="467" t="str">
        <f t="shared" si="290"/>
        <v/>
      </c>
      <c r="B2788" s="1421"/>
      <c r="C2788" s="1421" t="str">
        <f t="shared" si="288"/>
        <v/>
      </c>
      <c r="D2788" s="89"/>
      <c r="E2788" s="873"/>
      <c r="F2788" s="873"/>
      <c r="G2788" s="1807"/>
      <c r="J2788" s="1453"/>
    </row>
    <row r="2789" spans="1:10" x14ac:dyDescent="0.2">
      <c r="A2789" s="467" t="str">
        <f t="shared" si="290"/>
        <v/>
      </c>
      <c r="B2789" s="1421"/>
      <c r="C2789" s="1421" t="str">
        <f t="shared" si="288"/>
        <v/>
      </c>
      <c r="D2789" s="89"/>
      <c r="E2789" s="873"/>
      <c r="F2789" s="873"/>
      <c r="G2789" s="1807"/>
      <c r="J2789" s="1453"/>
    </row>
    <row r="2790" spans="1:10" x14ac:dyDescent="0.2">
      <c r="A2790" s="467" t="str">
        <f t="shared" si="290"/>
        <v/>
      </c>
      <c r="B2790" s="1421"/>
      <c r="C2790" s="1421" t="str">
        <f t="shared" si="288"/>
        <v/>
      </c>
      <c r="D2790" s="89"/>
      <c r="E2790" s="873"/>
      <c r="F2790" s="873"/>
      <c r="G2790" s="1807"/>
      <c r="J2790" s="1453"/>
    </row>
    <row r="2791" spans="1:10" x14ac:dyDescent="0.2">
      <c r="A2791" s="467" t="str">
        <f t="shared" si="290"/>
        <v/>
      </c>
      <c r="B2791" s="1421"/>
      <c r="C2791" s="1421" t="str">
        <f t="shared" si="288"/>
        <v/>
      </c>
      <c r="D2791" s="169"/>
      <c r="E2791" s="1072"/>
      <c r="F2791" s="1072"/>
      <c r="G2791" s="1688"/>
      <c r="J2791" s="1453"/>
    </row>
    <row r="2792" spans="1:10" x14ac:dyDescent="0.2">
      <c r="A2792" s="467" t="str">
        <f t="shared" si="290"/>
        <v/>
      </c>
      <c r="B2792" s="1421"/>
      <c r="C2792" s="1421" t="str">
        <f t="shared" si="288"/>
        <v/>
      </c>
      <c r="D2792" s="860" t="s">
        <v>5450</v>
      </c>
      <c r="E2792" s="1073"/>
      <c r="F2792" s="1073"/>
      <c r="G2792" s="1686" t="s">
        <v>5451</v>
      </c>
      <c r="J2792" s="1453" t="s">
        <v>5607</v>
      </c>
    </row>
    <row r="2793" spans="1:10" x14ac:dyDescent="0.2">
      <c r="A2793" s="467" t="str">
        <f t="shared" si="290"/>
        <v/>
      </c>
      <c r="B2793" s="1421"/>
      <c r="C2793" s="1421" t="str">
        <f t="shared" si="288"/>
        <v/>
      </c>
      <c r="D2793" s="89"/>
      <c r="E2793" s="873"/>
      <c r="F2793" s="873"/>
      <c r="G2793" s="1807"/>
      <c r="J2793" s="1453"/>
    </row>
    <row r="2794" spans="1:10" x14ac:dyDescent="0.2">
      <c r="A2794" s="467" t="str">
        <f t="shared" si="290"/>
        <v/>
      </c>
      <c r="B2794" s="1421"/>
      <c r="C2794" s="1421" t="str">
        <f t="shared" si="288"/>
        <v/>
      </c>
      <c r="D2794" s="89"/>
      <c r="E2794" s="873"/>
      <c r="F2794" s="873"/>
      <c r="G2794" s="1807"/>
      <c r="J2794" s="1453"/>
    </row>
    <row r="2795" spans="1:10" x14ac:dyDescent="0.2">
      <c r="A2795" s="467" t="str">
        <f t="shared" si="290"/>
        <v/>
      </c>
      <c r="B2795" s="1421"/>
      <c r="C2795" s="1421" t="str">
        <f t="shared" si="288"/>
        <v/>
      </c>
      <c r="D2795" s="89"/>
      <c r="E2795" s="873"/>
      <c r="F2795" s="873"/>
      <c r="G2795" s="1807"/>
      <c r="J2795" s="1453"/>
    </row>
    <row r="2796" spans="1:10" x14ac:dyDescent="0.2">
      <c r="A2796" s="467" t="str">
        <f t="shared" si="290"/>
        <v/>
      </c>
      <c r="B2796" s="1421"/>
      <c r="C2796" s="1421" t="str">
        <f t="shared" si="288"/>
        <v/>
      </c>
      <c r="D2796" s="89"/>
      <c r="E2796" s="873"/>
      <c r="F2796" s="873"/>
      <c r="G2796" s="1807"/>
      <c r="J2796" s="1453"/>
    </row>
    <row r="2797" spans="1:10" x14ac:dyDescent="0.2">
      <c r="A2797" s="467" t="str">
        <f t="shared" si="290"/>
        <v/>
      </c>
      <c r="B2797" s="1421"/>
      <c r="C2797" s="1421" t="str">
        <f t="shared" si="288"/>
        <v/>
      </c>
      <c r="D2797" s="89"/>
      <c r="E2797" s="873"/>
      <c r="F2797" s="873"/>
      <c r="G2797" s="1807"/>
      <c r="J2797" s="1453"/>
    </row>
    <row r="2798" spans="1:10" x14ac:dyDescent="0.2">
      <c r="A2798" s="467" t="str">
        <f t="shared" si="290"/>
        <v/>
      </c>
      <c r="B2798" s="1421"/>
      <c r="C2798" s="1421" t="str">
        <f t="shared" si="288"/>
        <v/>
      </c>
      <c r="D2798" s="169"/>
      <c r="E2798" s="1072"/>
      <c r="F2798" s="1072"/>
      <c r="G2798" s="1688"/>
      <c r="J2798" s="1453"/>
    </row>
    <row r="2799" spans="1:10" x14ac:dyDescent="0.2">
      <c r="A2799" s="467" t="str">
        <f t="shared" si="290"/>
        <v/>
      </c>
      <c r="B2799" s="1421"/>
      <c r="C2799" s="1421" t="str">
        <f t="shared" si="288"/>
        <v/>
      </c>
      <c r="D2799" s="860" t="s">
        <v>5452</v>
      </c>
      <c r="E2799" s="1073"/>
      <c r="F2799" s="1073"/>
      <c r="G2799" s="1686" t="s">
        <v>5453</v>
      </c>
      <c r="J2799" s="1453" t="s">
        <v>5607</v>
      </c>
    </row>
    <row r="2800" spans="1:10" x14ac:dyDescent="0.2">
      <c r="A2800" s="467" t="str">
        <f t="shared" si="290"/>
        <v/>
      </c>
      <c r="B2800" s="1421"/>
      <c r="C2800" s="1421" t="str">
        <f t="shared" si="288"/>
        <v/>
      </c>
      <c r="D2800" s="89"/>
      <c r="E2800" s="873"/>
      <c r="F2800" s="873"/>
      <c r="G2800" s="1807"/>
      <c r="J2800" s="1453"/>
    </row>
    <row r="2801" spans="1:10" x14ac:dyDescent="0.2">
      <c r="A2801" s="467" t="str">
        <f t="shared" si="290"/>
        <v/>
      </c>
      <c r="B2801" s="1421"/>
      <c r="C2801" s="1421" t="str">
        <f t="shared" si="288"/>
        <v/>
      </c>
      <c r="D2801" s="89"/>
      <c r="E2801" s="873"/>
      <c r="F2801" s="873"/>
      <c r="G2801" s="1807"/>
      <c r="J2801" s="1453"/>
    </row>
    <row r="2802" spans="1:10" x14ac:dyDescent="0.2">
      <c r="A2802" s="467" t="str">
        <f t="shared" si="290"/>
        <v/>
      </c>
      <c r="B2802" s="1421"/>
      <c r="C2802" s="1421" t="str">
        <f t="shared" si="288"/>
        <v/>
      </c>
      <c r="D2802" s="89"/>
      <c r="E2802" s="873"/>
      <c r="F2802" s="873"/>
      <c r="G2802" s="1807"/>
      <c r="J2802" s="1453"/>
    </row>
    <row r="2803" spans="1:10" x14ac:dyDescent="0.2">
      <c r="A2803" s="467" t="str">
        <f t="shared" si="290"/>
        <v/>
      </c>
      <c r="B2803" s="1421"/>
      <c r="C2803" s="1421" t="str">
        <f t="shared" si="288"/>
        <v/>
      </c>
      <c r="D2803" s="169"/>
      <c r="E2803" s="1072"/>
      <c r="F2803" s="1072"/>
      <c r="G2803" s="1688"/>
      <c r="J2803" s="1453"/>
    </row>
    <row r="2804" spans="1:10" x14ac:dyDescent="0.2">
      <c r="A2804" s="467" t="str">
        <f t="shared" si="290"/>
        <v/>
      </c>
      <c r="B2804" s="1421"/>
      <c r="C2804" s="1421" t="str">
        <f t="shared" si="288"/>
        <v/>
      </c>
      <c r="D2804" s="89" t="s">
        <v>5454</v>
      </c>
      <c r="E2804" s="873"/>
      <c r="F2804" s="873"/>
      <c r="G2804" s="1807" t="s">
        <v>5455</v>
      </c>
      <c r="J2804" s="1453" t="s">
        <v>5607</v>
      </c>
    </row>
    <row r="2805" spans="1:10" x14ac:dyDescent="0.2">
      <c r="A2805" s="467" t="str">
        <f t="shared" si="290"/>
        <v/>
      </c>
      <c r="B2805" s="1421"/>
      <c r="C2805" s="1421" t="str">
        <f t="shared" si="288"/>
        <v/>
      </c>
      <c r="D2805" s="89"/>
      <c r="E2805" s="873"/>
      <c r="F2805" s="873"/>
      <c r="G2805" s="1807"/>
      <c r="J2805" s="1453"/>
    </row>
    <row r="2806" spans="1:10" ht="16" thickBot="1" x14ac:dyDescent="0.25">
      <c r="A2806" s="467" t="str">
        <f t="shared" si="290"/>
        <v/>
      </c>
      <c r="B2806" s="1421"/>
      <c r="C2806" s="1421" t="str">
        <f t="shared" si="288"/>
        <v/>
      </c>
      <c r="D2806" s="98"/>
      <c r="E2806" s="1069"/>
      <c r="F2806" s="1069"/>
      <c r="G2806" s="1738"/>
      <c r="J2806" s="1453"/>
    </row>
    <row r="2807" spans="1:10" ht="16" thickTop="1" x14ac:dyDescent="0.2">
      <c r="A2807" s="467" t="str">
        <f t="shared" si="290"/>
        <v/>
      </c>
      <c r="B2807" s="1421"/>
      <c r="C2807" s="1421" t="str">
        <f t="shared" si="288"/>
        <v/>
      </c>
      <c r="D2807" s="89" t="s">
        <v>5456</v>
      </c>
      <c r="E2807" s="873"/>
      <c r="F2807" s="873"/>
      <c r="G2807" s="1807" t="s">
        <v>5457</v>
      </c>
      <c r="J2807" s="1453"/>
    </row>
    <row r="2808" spans="1:10" x14ac:dyDescent="0.2">
      <c r="A2808" s="467" t="str">
        <f t="shared" si="290"/>
        <v/>
      </c>
      <c r="B2808" s="1421"/>
      <c r="C2808" s="1421" t="str">
        <f t="shared" si="288"/>
        <v/>
      </c>
      <c r="D2808" s="89"/>
      <c r="E2808" s="873"/>
      <c r="F2808" s="873"/>
      <c r="G2808" s="1807"/>
      <c r="J2808" s="1453"/>
    </row>
    <row r="2809" spans="1:10" x14ac:dyDescent="0.2">
      <c r="A2809" s="467" t="str">
        <f t="shared" si="290"/>
        <v/>
      </c>
      <c r="B2809" s="1421"/>
      <c r="C2809" s="1421" t="str">
        <f t="shared" si="288"/>
        <v/>
      </c>
      <c r="D2809" s="89" t="s">
        <v>5458</v>
      </c>
      <c r="E2809" s="873"/>
      <c r="F2809" s="873"/>
      <c r="G2809" s="1807" t="s">
        <v>5459</v>
      </c>
      <c r="J2809" s="1804" t="s">
        <v>5622</v>
      </c>
    </row>
    <row r="2810" spans="1:10" x14ac:dyDescent="0.2">
      <c r="A2810" s="467" t="str">
        <f t="shared" si="290"/>
        <v/>
      </c>
      <c r="B2810" s="1421"/>
      <c r="C2810" s="1421" t="str">
        <f t="shared" si="288"/>
        <v/>
      </c>
      <c r="D2810" s="169"/>
      <c r="E2810" s="1072"/>
      <c r="F2810" s="1072"/>
      <c r="G2810" s="1688"/>
      <c r="J2810" s="1805"/>
    </row>
    <row r="2811" spans="1:10" x14ac:dyDescent="0.2">
      <c r="A2811" s="467" t="str">
        <f t="shared" si="290"/>
        <v/>
      </c>
      <c r="B2811" s="1421"/>
      <c r="C2811" s="1421" t="str">
        <f t="shared" si="288"/>
        <v/>
      </c>
      <c r="D2811" s="860" t="s">
        <v>5460</v>
      </c>
      <c r="E2811" s="1073"/>
      <c r="F2811" s="1073"/>
      <c r="G2811" s="1686" t="s">
        <v>5461</v>
      </c>
      <c r="J2811" s="1453" t="s">
        <v>5623</v>
      </c>
    </row>
    <row r="2812" spans="1:10" x14ac:dyDescent="0.2">
      <c r="A2812" s="467" t="str">
        <f t="shared" si="290"/>
        <v/>
      </c>
      <c r="B2812" s="1421"/>
      <c r="C2812" s="1421" t="str">
        <f t="shared" si="288"/>
        <v/>
      </c>
      <c r="D2812" s="169"/>
      <c r="E2812" s="1072"/>
      <c r="F2812" s="1072"/>
      <c r="G2812" s="1688"/>
      <c r="J2812" s="1453"/>
    </row>
    <row r="2813" spans="1:10" x14ac:dyDescent="0.2">
      <c r="A2813" s="467" t="str">
        <f t="shared" si="290"/>
        <v/>
      </c>
      <c r="B2813" s="1421"/>
      <c r="C2813" s="1421" t="str">
        <f t="shared" si="288"/>
        <v/>
      </c>
      <c r="D2813" s="89" t="s">
        <v>5462</v>
      </c>
      <c r="E2813" s="873"/>
      <c r="F2813" s="873"/>
      <c r="G2813" s="1686" t="s">
        <v>5463</v>
      </c>
      <c r="J2813" s="1453" t="s">
        <v>5607</v>
      </c>
    </row>
    <row r="2814" spans="1:10" x14ac:dyDescent="0.2">
      <c r="A2814" s="467" t="str">
        <f t="shared" si="290"/>
        <v/>
      </c>
      <c r="B2814" s="1421"/>
      <c r="C2814" s="1421" t="str">
        <f t="shared" si="288"/>
        <v/>
      </c>
      <c r="D2814" s="89"/>
      <c r="E2814" s="873"/>
      <c r="F2814" s="873"/>
      <c r="G2814" s="1807"/>
      <c r="J2814" s="1453"/>
    </row>
    <row r="2815" spans="1:10" ht="16" thickBot="1" x14ac:dyDescent="0.25">
      <c r="A2815" s="467" t="str">
        <f t="shared" si="290"/>
        <v/>
      </c>
      <c r="B2815" s="1421"/>
      <c r="C2815" s="1421" t="str">
        <f t="shared" si="288"/>
        <v/>
      </c>
      <c r="D2815" s="98"/>
      <c r="E2815" s="1069"/>
      <c r="F2815" s="1069"/>
      <c r="G2815" s="1451" t="s">
        <v>5464</v>
      </c>
      <c r="J2815" s="1453"/>
    </row>
    <row r="2816" spans="1:10" ht="16" thickTop="1" x14ac:dyDescent="0.2">
      <c r="A2816" s="467" t="str">
        <f t="shared" si="290"/>
        <v/>
      </c>
      <c r="B2816" s="1421"/>
      <c r="C2816" s="1421" t="str">
        <f t="shared" si="288"/>
        <v/>
      </c>
      <c r="D2816" s="89" t="s">
        <v>5465</v>
      </c>
      <c r="E2816" s="873"/>
      <c r="F2816" s="873"/>
      <c r="G2816" s="1470" t="s">
        <v>5466</v>
      </c>
      <c r="J2816" s="1453"/>
    </row>
    <row r="2817" spans="1:10" x14ac:dyDescent="0.2">
      <c r="A2817" s="467" t="str">
        <f t="shared" si="290"/>
        <v/>
      </c>
      <c r="B2817" s="1421"/>
      <c r="C2817" s="1421" t="str">
        <f t="shared" si="288"/>
        <v/>
      </c>
      <c r="D2817" s="89" t="s">
        <v>5467</v>
      </c>
      <c r="E2817" s="873"/>
      <c r="F2817" s="873"/>
      <c r="G2817" s="1807" t="s">
        <v>5468</v>
      </c>
      <c r="J2817" s="1453" t="s">
        <v>5624</v>
      </c>
    </row>
    <row r="2818" spans="1:10" x14ac:dyDescent="0.2">
      <c r="A2818" s="467" t="str">
        <f t="shared" si="290"/>
        <v/>
      </c>
      <c r="B2818" s="1421"/>
      <c r="C2818" s="1421" t="str">
        <f t="shared" si="288"/>
        <v/>
      </c>
      <c r="D2818" s="89"/>
      <c r="E2818" s="873"/>
      <c r="F2818" s="873"/>
      <c r="G2818" s="1807"/>
      <c r="J2818" s="1453"/>
    </row>
    <row r="2819" spans="1:10" x14ac:dyDescent="0.2">
      <c r="A2819" s="467" t="str">
        <f t="shared" si="290"/>
        <v/>
      </c>
      <c r="B2819" s="1421"/>
      <c r="C2819" s="1421" t="str">
        <f t="shared" si="288"/>
        <v/>
      </c>
      <c r="D2819" s="89"/>
      <c r="E2819" s="873"/>
      <c r="F2819" s="873"/>
      <c r="G2819" s="1807"/>
      <c r="J2819" s="1453"/>
    </row>
    <row r="2820" spans="1:10" x14ac:dyDescent="0.2">
      <c r="A2820" s="467" t="str">
        <f t="shared" si="290"/>
        <v/>
      </c>
      <c r="B2820" s="1421"/>
      <c r="C2820" s="1421" t="str">
        <f t="shared" si="288"/>
        <v/>
      </c>
      <c r="D2820" s="89"/>
      <c r="E2820" s="873"/>
      <c r="F2820" s="873"/>
      <c r="G2820" s="1807"/>
      <c r="J2820" s="1453"/>
    </row>
    <row r="2821" spans="1:10" x14ac:dyDescent="0.2">
      <c r="A2821" s="467" t="str">
        <f t="shared" si="290"/>
        <v/>
      </c>
      <c r="B2821" s="1421"/>
      <c r="C2821" s="1421" t="str">
        <f t="shared" si="288"/>
        <v/>
      </c>
      <c r="D2821" s="89"/>
      <c r="E2821" s="873"/>
      <c r="F2821" s="873"/>
      <c r="G2821" s="1807"/>
      <c r="J2821" s="1453"/>
    </row>
    <row r="2822" spans="1:10" x14ac:dyDescent="0.2">
      <c r="A2822" s="467" t="str">
        <f t="shared" si="290"/>
        <v/>
      </c>
      <c r="B2822" s="1421"/>
      <c r="C2822" s="1421" t="str">
        <f t="shared" si="288"/>
        <v/>
      </c>
      <c r="D2822" s="89"/>
      <c r="E2822" s="1072" t="s">
        <v>254</v>
      </c>
      <c r="F2822" s="1072"/>
      <c r="G2822" s="1438" t="s">
        <v>5469</v>
      </c>
      <c r="J2822" s="1453"/>
    </row>
    <row r="2823" spans="1:10" x14ac:dyDescent="0.2">
      <c r="A2823" s="467" t="str">
        <f t="shared" si="290"/>
        <v/>
      </c>
      <c r="B2823" s="1421"/>
      <c r="C2823" s="1421" t="str">
        <f t="shared" si="288"/>
        <v/>
      </c>
      <c r="D2823" s="89"/>
      <c r="E2823" s="1073" t="s">
        <v>255</v>
      </c>
      <c r="F2823" s="1073"/>
      <c r="G2823" s="1633" t="s">
        <v>5470</v>
      </c>
      <c r="J2823" s="1453"/>
    </row>
    <row r="2824" spans="1:10" x14ac:dyDescent="0.2">
      <c r="A2824" s="467" t="str">
        <f t="shared" si="290"/>
        <v/>
      </c>
      <c r="B2824" s="1421"/>
      <c r="C2824" s="1421" t="str">
        <f t="shared" ref="C2824:C2887" si="291">IF(LEN(B2824)=0,IF(A2824="P","P",""),B2824)</f>
        <v/>
      </c>
      <c r="D2824" s="89"/>
      <c r="E2824" s="1072"/>
      <c r="F2824" s="1072"/>
      <c r="G2824" s="1639"/>
      <c r="J2824" s="1453"/>
    </row>
    <row r="2825" spans="1:10" ht="16" thickBot="1" x14ac:dyDescent="0.25">
      <c r="A2825" s="467" t="str">
        <f t="shared" si="290"/>
        <v/>
      </c>
      <c r="B2825" s="1421"/>
      <c r="C2825" s="1421" t="str">
        <f t="shared" si="291"/>
        <v/>
      </c>
      <c r="D2825" s="98"/>
      <c r="E2825" s="1069" t="s">
        <v>256</v>
      </c>
      <c r="F2825" s="1069"/>
      <c r="G2825" s="1439" t="s">
        <v>5471</v>
      </c>
      <c r="J2825" s="1453"/>
    </row>
    <row r="2826" spans="1:10" ht="16" thickTop="1" x14ac:dyDescent="0.2">
      <c r="A2826" s="467" t="str">
        <f t="shared" si="290"/>
        <v/>
      </c>
      <c r="B2826" s="1421"/>
      <c r="C2826" s="1421" t="str">
        <f t="shared" si="291"/>
        <v/>
      </c>
      <c r="D2826" s="115" t="s">
        <v>5472</v>
      </c>
      <c r="E2826" s="1070"/>
      <c r="F2826" s="1070"/>
      <c r="G2826" s="1740" t="s">
        <v>5473</v>
      </c>
      <c r="J2826" s="1453" t="s">
        <v>5607</v>
      </c>
    </row>
    <row r="2827" spans="1:10" ht="16" thickBot="1" x14ac:dyDescent="0.25">
      <c r="A2827" s="467" t="str">
        <f t="shared" si="290"/>
        <v/>
      </c>
      <c r="B2827" s="1421"/>
      <c r="C2827" s="1421" t="str">
        <f t="shared" si="291"/>
        <v/>
      </c>
      <c r="D2827" s="98"/>
      <c r="E2827" s="1069"/>
      <c r="F2827" s="1069"/>
      <c r="G2827" s="1738"/>
      <c r="J2827" s="1453"/>
    </row>
    <row r="2828" spans="1:10" ht="16" thickTop="1" x14ac:dyDescent="0.2">
      <c r="A2828" s="467" t="str">
        <f t="shared" si="290"/>
        <v/>
      </c>
      <c r="B2828" s="1421"/>
      <c r="C2828" s="1421" t="str">
        <f t="shared" si="291"/>
        <v/>
      </c>
      <c r="D2828" s="89" t="s">
        <v>5474</v>
      </c>
      <c r="E2828" s="873"/>
      <c r="F2828" s="873"/>
      <c r="G2828" s="1807" t="s">
        <v>5475</v>
      </c>
      <c r="J2828" s="1453" t="s">
        <v>5625</v>
      </c>
    </row>
    <row r="2829" spans="1:10" x14ac:dyDescent="0.2">
      <c r="A2829" s="467" t="str">
        <f t="shared" si="290"/>
        <v/>
      </c>
      <c r="B2829" s="1421"/>
      <c r="C2829" s="1421" t="str">
        <f t="shared" si="291"/>
        <v/>
      </c>
      <c r="D2829" s="89"/>
      <c r="E2829" s="873"/>
      <c r="F2829" s="873"/>
      <c r="G2829" s="1807"/>
      <c r="J2829" s="1453"/>
    </row>
    <row r="2830" spans="1:10" x14ac:dyDescent="0.2">
      <c r="A2830" s="467" t="str">
        <f t="shared" si="290"/>
        <v/>
      </c>
      <c r="B2830" s="1421"/>
      <c r="C2830" s="1421" t="str">
        <f t="shared" si="291"/>
        <v/>
      </c>
      <c r="D2830" s="89"/>
      <c r="E2830" s="873"/>
      <c r="F2830" s="873"/>
      <c r="G2830" s="1807"/>
      <c r="J2830" s="1453"/>
    </row>
    <row r="2831" spans="1:10" x14ac:dyDescent="0.2">
      <c r="B2831" s="1421"/>
      <c r="C2831" s="1421" t="str">
        <f t="shared" si="291"/>
        <v/>
      </c>
      <c r="D2831" s="89"/>
      <c r="E2831" s="873" t="s">
        <v>254</v>
      </c>
      <c r="F2831" s="873"/>
      <c r="G2831" s="1808" t="s">
        <v>5476</v>
      </c>
      <c r="J2831" s="1453"/>
    </row>
    <row r="2832" spans="1:10" x14ac:dyDescent="0.2">
      <c r="B2832" s="1421"/>
      <c r="C2832" s="1421" t="str">
        <f t="shared" si="291"/>
        <v/>
      </c>
      <c r="D2832" s="89"/>
      <c r="E2832" s="1072"/>
      <c r="F2832" s="1072"/>
      <c r="G2832" s="1639"/>
      <c r="J2832" s="1453"/>
    </row>
    <row r="2833" spans="1:10" x14ac:dyDescent="0.2">
      <c r="B2833" s="1421"/>
      <c r="C2833" s="1421" t="str">
        <f t="shared" si="291"/>
        <v/>
      </c>
      <c r="D2833" s="89"/>
      <c r="E2833" s="1073" t="s">
        <v>255</v>
      </c>
      <c r="F2833" s="1073"/>
      <c r="G2833" s="1633" t="s">
        <v>5477</v>
      </c>
      <c r="J2833" s="1453"/>
    </row>
    <row r="2834" spans="1:10" x14ac:dyDescent="0.2">
      <c r="B2834" s="1421"/>
      <c r="C2834" s="1421" t="str">
        <f t="shared" si="291"/>
        <v/>
      </c>
      <c r="D2834" s="89"/>
      <c r="E2834" s="1072"/>
      <c r="F2834" s="1072"/>
      <c r="G2834" s="1639"/>
      <c r="J2834" s="1453"/>
    </row>
    <row r="2835" spans="1:10" x14ac:dyDescent="0.2">
      <c r="B2835" s="1421"/>
      <c r="C2835" s="1421" t="str">
        <f t="shared" si="291"/>
        <v/>
      </c>
      <c r="D2835" s="89"/>
      <c r="E2835" s="1073" t="s">
        <v>256</v>
      </c>
      <c r="F2835" s="1073"/>
      <c r="G2835" s="1633" t="s">
        <v>5478</v>
      </c>
      <c r="J2835" s="1453"/>
    </row>
    <row r="2836" spans="1:10" x14ac:dyDescent="0.2">
      <c r="B2836" s="1421"/>
      <c r="C2836" s="1421" t="str">
        <f t="shared" si="291"/>
        <v/>
      </c>
      <c r="D2836" s="89"/>
      <c r="E2836" s="1072"/>
      <c r="F2836" s="1072"/>
      <c r="G2836" s="1639"/>
      <c r="J2836" s="1453"/>
    </row>
    <row r="2837" spans="1:10" x14ac:dyDescent="0.2">
      <c r="B2837" s="1421"/>
      <c r="C2837" s="1421" t="str">
        <f t="shared" si="291"/>
        <v/>
      </c>
      <c r="D2837" s="89"/>
      <c r="E2837" s="873" t="s">
        <v>259</v>
      </c>
      <c r="F2837" s="873"/>
      <c r="G2837" s="1808" t="s">
        <v>5479</v>
      </c>
      <c r="J2837" s="1453"/>
    </row>
    <row r="2838" spans="1:10" ht="16" thickBot="1" x14ac:dyDescent="0.25">
      <c r="B2838" s="1421"/>
      <c r="C2838" s="1421" t="str">
        <f t="shared" si="291"/>
        <v/>
      </c>
      <c r="D2838" s="98"/>
      <c r="E2838" s="1069"/>
      <c r="F2838" s="1069"/>
      <c r="G2838" s="1635"/>
      <c r="J2838" s="1453"/>
    </row>
    <row r="2839" spans="1:10" ht="16" thickTop="1" x14ac:dyDescent="0.2">
      <c r="A2839" s="467" t="str">
        <f t="shared" ref="A2839:A2870" si="292">IF(dstCommercial="Yes","P","")</f>
        <v/>
      </c>
      <c r="B2839" s="1421"/>
      <c r="C2839" s="1421" t="str">
        <f t="shared" si="291"/>
        <v/>
      </c>
      <c r="D2839" s="89" t="s">
        <v>5480</v>
      </c>
      <c r="E2839" s="873"/>
      <c r="F2839" s="873"/>
      <c r="G2839" s="1470" t="s">
        <v>5481</v>
      </c>
      <c r="J2839" s="1453"/>
    </row>
    <row r="2840" spans="1:10" x14ac:dyDescent="0.2">
      <c r="A2840" s="467" t="str">
        <f t="shared" si="292"/>
        <v/>
      </c>
      <c r="B2840" s="1421"/>
      <c r="C2840" s="1421" t="str">
        <f t="shared" si="291"/>
        <v/>
      </c>
      <c r="D2840" s="89" t="s">
        <v>5482</v>
      </c>
      <c r="E2840" s="873"/>
      <c r="F2840" s="873"/>
      <c r="G2840" s="1807" t="s">
        <v>5483</v>
      </c>
      <c r="J2840" s="1453" t="s">
        <v>5625</v>
      </c>
    </row>
    <row r="2841" spans="1:10" x14ac:dyDescent="0.2">
      <c r="A2841" s="467" t="str">
        <f t="shared" si="292"/>
        <v/>
      </c>
      <c r="B2841" s="1421"/>
      <c r="C2841" s="1421" t="str">
        <f t="shared" si="291"/>
        <v/>
      </c>
      <c r="D2841" s="89"/>
      <c r="E2841" s="873"/>
      <c r="F2841" s="873"/>
      <c r="G2841" s="1807"/>
      <c r="J2841" s="1453"/>
    </row>
    <row r="2842" spans="1:10" x14ac:dyDescent="0.2">
      <c r="A2842" s="467" t="str">
        <f t="shared" si="292"/>
        <v/>
      </c>
      <c r="B2842" s="1421"/>
      <c r="C2842" s="1421" t="str">
        <f t="shared" si="291"/>
        <v/>
      </c>
      <c r="D2842" s="89"/>
      <c r="E2842" s="873"/>
      <c r="F2842" s="873"/>
      <c r="G2842" s="1807"/>
      <c r="J2842" s="1453"/>
    </row>
    <row r="2843" spans="1:10" x14ac:dyDescent="0.2">
      <c r="A2843" s="467" t="str">
        <f t="shared" si="292"/>
        <v/>
      </c>
      <c r="B2843" s="1421"/>
      <c r="C2843" s="1421" t="str">
        <f t="shared" si="291"/>
        <v/>
      </c>
      <c r="D2843" s="169"/>
      <c r="E2843" s="1072"/>
      <c r="F2843" s="1072"/>
      <c r="G2843" s="1688"/>
      <c r="J2843" s="1453"/>
    </row>
    <row r="2844" spans="1:10" x14ac:dyDescent="0.2">
      <c r="A2844" s="467" t="str">
        <f t="shared" si="292"/>
        <v/>
      </c>
      <c r="B2844" s="1421"/>
      <c r="C2844" s="1421" t="str">
        <f t="shared" si="291"/>
        <v/>
      </c>
      <c r="D2844" s="89" t="s">
        <v>5484</v>
      </c>
      <c r="E2844" s="873"/>
      <c r="F2844" s="873"/>
      <c r="G2844" s="1807" t="s">
        <v>5485</v>
      </c>
      <c r="J2844" s="1453" t="s">
        <v>5625</v>
      </c>
    </row>
    <row r="2845" spans="1:10" x14ac:dyDescent="0.2">
      <c r="A2845" s="467" t="str">
        <f t="shared" si="292"/>
        <v/>
      </c>
      <c r="B2845" s="1421"/>
      <c r="C2845" s="1421" t="str">
        <f t="shared" si="291"/>
        <v/>
      </c>
      <c r="D2845" s="89"/>
      <c r="E2845" s="873"/>
      <c r="F2845" s="873"/>
      <c r="G2845" s="1807"/>
      <c r="J2845" s="1453"/>
    </row>
    <row r="2846" spans="1:10" x14ac:dyDescent="0.2">
      <c r="A2846" s="467" t="str">
        <f t="shared" si="292"/>
        <v/>
      </c>
      <c r="B2846" s="1421"/>
      <c r="C2846" s="1421" t="str">
        <f t="shared" si="291"/>
        <v/>
      </c>
      <c r="D2846" s="89"/>
      <c r="E2846" s="1072" t="s">
        <v>254</v>
      </c>
      <c r="F2846" s="1072"/>
      <c r="G2846" s="1438" t="s">
        <v>5486</v>
      </c>
      <c r="J2846" s="1453"/>
    </row>
    <row r="2847" spans="1:10" x14ac:dyDescent="0.2">
      <c r="A2847" s="467" t="str">
        <f t="shared" si="292"/>
        <v/>
      </c>
      <c r="B2847" s="1421"/>
      <c r="C2847" s="1421" t="str">
        <f t="shared" si="291"/>
        <v/>
      </c>
      <c r="D2847" s="89"/>
      <c r="E2847" s="1073" t="s">
        <v>255</v>
      </c>
      <c r="F2847" s="1073"/>
      <c r="G2847" s="1633" t="s">
        <v>5487</v>
      </c>
      <c r="J2847" s="1453"/>
    </row>
    <row r="2848" spans="1:10" x14ac:dyDescent="0.2">
      <c r="A2848" s="467" t="str">
        <f t="shared" si="292"/>
        <v/>
      </c>
      <c r="B2848" s="1421"/>
      <c r="C2848" s="1421" t="str">
        <f t="shared" si="291"/>
        <v/>
      </c>
      <c r="D2848" s="89"/>
      <c r="E2848" s="873"/>
      <c r="F2848" s="873"/>
      <c r="G2848" s="1808"/>
      <c r="J2848" s="1453"/>
    </row>
    <row r="2849" spans="1:10" x14ac:dyDescent="0.2">
      <c r="A2849" s="467" t="str">
        <f t="shared" si="292"/>
        <v/>
      </c>
      <c r="B2849" s="1421"/>
      <c r="C2849" s="1421" t="str">
        <f t="shared" si="291"/>
        <v/>
      </c>
      <c r="D2849" s="89"/>
      <c r="E2849" s="1072"/>
      <c r="F2849" s="1072"/>
      <c r="G2849" s="1639"/>
      <c r="J2849" s="1453"/>
    </row>
    <row r="2850" spans="1:10" x14ac:dyDescent="0.2">
      <c r="A2850" s="467" t="str">
        <f t="shared" si="292"/>
        <v/>
      </c>
      <c r="B2850" s="1421"/>
      <c r="C2850" s="1421" t="str">
        <f t="shared" si="291"/>
        <v/>
      </c>
      <c r="D2850" s="169"/>
      <c r="E2850" s="1072" t="s">
        <v>256</v>
      </c>
      <c r="F2850" s="1072"/>
      <c r="G2850" s="1438" t="s">
        <v>5488</v>
      </c>
      <c r="J2850" s="1453"/>
    </row>
    <row r="2851" spans="1:10" x14ac:dyDescent="0.2">
      <c r="A2851" s="467" t="str">
        <f t="shared" si="292"/>
        <v/>
      </c>
      <c r="B2851" s="1421"/>
      <c r="C2851" s="1421" t="str">
        <f t="shared" si="291"/>
        <v/>
      </c>
      <c r="D2851" s="860" t="s">
        <v>5489</v>
      </c>
      <c r="E2851" s="1073"/>
      <c r="F2851" s="1073"/>
      <c r="G2851" s="1686" t="s">
        <v>5490</v>
      </c>
      <c r="J2851" s="1453" t="s">
        <v>5625</v>
      </c>
    </row>
    <row r="2852" spans="1:10" x14ac:dyDescent="0.2">
      <c r="A2852" s="467" t="str">
        <f t="shared" si="292"/>
        <v/>
      </c>
      <c r="B2852" s="1421"/>
      <c r="C2852" s="1421" t="str">
        <f t="shared" si="291"/>
        <v/>
      </c>
      <c r="D2852" s="89"/>
      <c r="E2852" s="873"/>
      <c r="F2852" s="873"/>
      <c r="G2852" s="1807"/>
      <c r="J2852" s="1453"/>
    </row>
    <row r="2853" spans="1:10" x14ac:dyDescent="0.2">
      <c r="A2853" s="467" t="str">
        <f t="shared" si="292"/>
        <v/>
      </c>
      <c r="B2853" s="1421"/>
      <c r="C2853" s="1421" t="str">
        <f t="shared" si="291"/>
        <v/>
      </c>
      <c r="D2853" s="169"/>
      <c r="E2853" s="1072"/>
      <c r="F2853" s="1072"/>
      <c r="G2853" s="1688"/>
      <c r="J2853" s="1453"/>
    </row>
    <row r="2854" spans="1:10" x14ac:dyDescent="0.2">
      <c r="A2854" s="467" t="str">
        <f t="shared" si="292"/>
        <v/>
      </c>
      <c r="B2854" s="1421"/>
      <c r="C2854" s="1421" t="str">
        <f t="shared" si="291"/>
        <v/>
      </c>
      <c r="D2854" s="89" t="s">
        <v>5491</v>
      </c>
      <c r="E2854" s="873"/>
      <c r="F2854" s="873"/>
      <c r="G2854" s="1807" t="s">
        <v>5492</v>
      </c>
      <c r="J2854" s="1453" t="s">
        <v>3120</v>
      </c>
    </row>
    <row r="2855" spans="1:10" ht="16" thickBot="1" x14ac:dyDescent="0.25">
      <c r="A2855" s="467" t="str">
        <f t="shared" si="292"/>
        <v/>
      </c>
      <c r="B2855" s="1421"/>
      <c r="C2855" s="1421" t="str">
        <f t="shared" si="291"/>
        <v/>
      </c>
      <c r="D2855" s="98"/>
      <c r="E2855" s="1069"/>
      <c r="F2855" s="1069"/>
      <c r="G2855" s="1738"/>
      <c r="J2855" s="1453"/>
    </row>
    <row r="2856" spans="1:10" ht="16" thickTop="1" x14ac:dyDescent="0.2">
      <c r="A2856" s="467" t="str">
        <f t="shared" si="292"/>
        <v/>
      </c>
      <c r="B2856" s="1421"/>
      <c r="C2856" s="1421" t="str">
        <f t="shared" si="291"/>
        <v/>
      </c>
      <c r="D2856" s="115" t="s">
        <v>5493</v>
      </c>
      <c r="E2856" s="1070"/>
      <c r="F2856" s="1070"/>
      <c r="G2856" s="1740" t="s">
        <v>5494</v>
      </c>
      <c r="J2856" s="1453"/>
    </row>
    <row r="2857" spans="1:10" x14ac:dyDescent="0.2">
      <c r="A2857" s="467" t="str">
        <f t="shared" si="292"/>
        <v/>
      </c>
      <c r="B2857" s="1421"/>
      <c r="C2857" s="1421" t="str">
        <f t="shared" si="291"/>
        <v/>
      </c>
      <c r="D2857" s="169"/>
      <c r="E2857" s="1072"/>
      <c r="F2857" s="1072"/>
      <c r="G2857" s="1688"/>
      <c r="J2857" s="1453"/>
    </row>
    <row r="2858" spans="1:10" x14ac:dyDescent="0.2">
      <c r="A2858" s="467" t="str">
        <f t="shared" si="292"/>
        <v/>
      </c>
      <c r="B2858" s="1421"/>
      <c r="C2858" s="1421" t="str">
        <f t="shared" si="291"/>
        <v/>
      </c>
      <c r="D2858" s="860" t="s">
        <v>5495</v>
      </c>
      <c r="E2858" s="1073"/>
      <c r="F2858" s="1073"/>
      <c r="G2858" s="1686" t="s">
        <v>5496</v>
      </c>
      <c r="J2858" s="1453" t="s">
        <v>5625</v>
      </c>
    </row>
    <row r="2859" spans="1:10" x14ac:dyDescent="0.2">
      <c r="A2859" s="467" t="str">
        <f t="shared" si="292"/>
        <v/>
      </c>
      <c r="B2859" s="1421"/>
      <c r="C2859" s="1421" t="str">
        <f t="shared" si="291"/>
        <v/>
      </c>
      <c r="D2859" s="89"/>
      <c r="E2859" s="873"/>
      <c r="F2859" s="873"/>
      <c r="G2859" s="1807"/>
      <c r="J2859" s="1453"/>
    </row>
    <row r="2860" spans="1:10" x14ac:dyDescent="0.2">
      <c r="A2860" s="467" t="str">
        <f t="shared" si="292"/>
        <v/>
      </c>
      <c r="B2860" s="1421"/>
      <c r="C2860" s="1421" t="str">
        <f t="shared" si="291"/>
        <v/>
      </c>
      <c r="D2860" s="89"/>
      <c r="E2860" s="873"/>
      <c r="F2860" s="873"/>
      <c r="G2860" s="1807"/>
      <c r="J2860" s="1453"/>
    </row>
    <row r="2861" spans="1:10" x14ac:dyDescent="0.2">
      <c r="A2861" s="467" t="str">
        <f t="shared" si="292"/>
        <v/>
      </c>
      <c r="B2861" s="1421"/>
      <c r="C2861" s="1421" t="str">
        <f t="shared" si="291"/>
        <v/>
      </c>
      <c r="D2861" s="169"/>
      <c r="E2861" s="1072"/>
      <c r="F2861" s="1072"/>
      <c r="G2861" s="1688"/>
      <c r="J2861" s="1453"/>
    </row>
    <row r="2862" spans="1:10" x14ac:dyDescent="0.2">
      <c r="A2862" s="467" t="str">
        <f t="shared" si="292"/>
        <v/>
      </c>
      <c r="B2862" s="1421"/>
      <c r="C2862" s="1421" t="str">
        <f t="shared" si="291"/>
        <v/>
      </c>
      <c r="D2862" s="860" t="s">
        <v>5497</v>
      </c>
      <c r="E2862" s="1073"/>
      <c r="F2862" s="1073"/>
      <c r="G2862" s="1686" t="s">
        <v>5498</v>
      </c>
      <c r="J2862" s="1453" t="s">
        <v>5625</v>
      </c>
    </row>
    <row r="2863" spans="1:10" x14ac:dyDescent="0.2">
      <c r="A2863" s="467" t="str">
        <f t="shared" si="292"/>
        <v/>
      </c>
      <c r="B2863" s="1421"/>
      <c r="C2863" s="1421" t="str">
        <f t="shared" si="291"/>
        <v/>
      </c>
      <c r="D2863" s="89"/>
      <c r="E2863" s="873"/>
      <c r="F2863" s="873"/>
      <c r="G2863" s="1807"/>
      <c r="J2863" s="1453"/>
    </row>
    <row r="2864" spans="1:10" x14ac:dyDescent="0.2">
      <c r="A2864" s="467" t="str">
        <f t="shared" si="292"/>
        <v/>
      </c>
      <c r="B2864" s="1421"/>
      <c r="C2864" s="1421" t="str">
        <f t="shared" si="291"/>
        <v/>
      </c>
      <c r="D2864" s="169"/>
      <c r="E2864" s="1072"/>
      <c r="F2864" s="1072"/>
      <c r="G2864" s="1688"/>
      <c r="J2864" s="1453"/>
    </row>
    <row r="2865" spans="1:10" x14ac:dyDescent="0.2">
      <c r="A2865" s="467" t="str">
        <f t="shared" si="292"/>
        <v/>
      </c>
      <c r="B2865" s="1421"/>
      <c r="C2865" s="1421" t="str">
        <f t="shared" si="291"/>
        <v/>
      </c>
      <c r="D2865" s="89" t="s">
        <v>5499</v>
      </c>
      <c r="E2865" s="873"/>
      <c r="F2865" s="873"/>
      <c r="G2865" s="1807" t="s">
        <v>5500</v>
      </c>
      <c r="J2865" s="1453" t="s">
        <v>5607</v>
      </c>
    </row>
    <row r="2866" spans="1:10" x14ac:dyDescent="0.2">
      <c r="A2866" s="467" t="str">
        <f t="shared" si="292"/>
        <v/>
      </c>
      <c r="B2866" s="1421"/>
      <c r="C2866" s="1421" t="str">
        <f t="shared" si="291"/>
        <v/>
      </c>
      <c r="D2866" s="89"/>
      <c r="E2866" s="873"/>
      <c r="F2866" s="873"/>
      <c r="G2866" s="1807"/>
      <c r="J2866" s="1453"/>
    </row>
    <row r="2867" spans="1:10" ht="16" thickBot="1" x14ac:dyDescent="0.25">
      <c r="A2867" s="467" t="str">
        <f t="shared" si="292"/>
        <v/>
      </c>
      <c r="B2867" s="1421"/>
      <c r="C2867" s="1421" t="str">
        <f t="shared" si="291"/>
        <v/>
      </c>
      <c r="D2867" s="98"/>
      <c r="E2867" s="1069"/>
      <c r="F2867" s="1069"/>
      <c r="G2867" s="1738"/>
      <c r="J2867" s="1453"/>
    </row>
    <row r="2868" spans="1:10" ht="16" thickTop="1" x14ac:dyDescent="0.2">
      <c r="A2868" s="467" t="str">
        <f t="shared" si="292"/>
        <v/>
      </c>
      <c r="B2868" s="1421"/>
      <c r="C2868" s="1421" t="str">
        <f t="shared" si="291"/>
        <v/>
      </c>
      <c r="D2868" s="115" t="s">
        <v>5501</v>
      </c>
      <c r="E2868" s="1070"/>
      <c r="F2868" s="1070"/>
      <c r="G2868" s="1740" t="s">
        <v>5502</v>
      </c>
      <c r="J2868" s="1453" t="s">
        <v>5607</v>
      </c>
    </row>
    <row r="2869" spans="1:10" x14ac:dyDescent="0.2">
      <c r="A2869" s="467" t="str">
        <f t="shared" si="292"/>
        <v/>
      </c>
      <c r="B2869" s="1421"/>
      <c r="C2869" s="1421" t="str">
        <f t="shared" si="291"/>
        <v/>
      </c>
      <c r="D2869" s="89"/>
      <c r="E2869" s="873"/>
      <c r="F2869" s="873"/>
      <c r="G2869" s="1807"/>
      <c r="J2869" s="1453"/>
    </row>
    <row r="2870" spans="1:10" ht="16" thickBot="1" x14ac:dyDescent="0.25">
      <c r="A2870" s="467" t="str">
        <f t="shared" si="292"/>
        <v/>
      </c>
      <c r="B2870" s="1421"/>
      <c r="C2870" s="1421" t="str">
        <f t="shared" si="291"/>
        <v/>
      </c>
      <c r="D2870" s="98"/>
      <c r="E2870" s="1069"/>
      <c r="F2870" s="1069"/>
      <c r="G2870" s="1738"/>
      <c r="J2870" s="1453"/>
    </row>
    <row r="2871" spans="1:10" ht="16" thickTop="1" x14ac:dyDescent="0.2">
      <c r="A2871" s="467" t="str">
        <f t="shared" ref="A2871:A2889" si="293">IF(dstCommercial="Yes","P","")</f>
        <v/>
      </c>
      <c r="B2871" s="1421"/>
      <c r="C2871" s="1421" t="str">
        <f t="shared" si="291"/>
        <v/>
      </c>
      <c r="D2871" s="89" t="s">
        <v>5503</v>
      </c>
      <c r="E2871" s="873"/>
      <c r="F2871" s="873"/>
      <c r="G2871" s="1470" t="s">
        <v>5504</v>
      </c>
      <c r="J2871" s="1453"/>
    </row>
    <row r="2872" spans="1:10" x14ac:dyDescent="0.2">
      <c r="A2872" s="467" t="str">
        <f t="shared" si="293"/>
        <v/>
      </c>
      <c r="B2872" s="1421"/>
      <c r="C2872" s="1421" t="str">
        <f t="shared" si="291"/>
        <v/>
      </c>
      <c r="D2872" s="89" t="s">
        <v>5505</v>
      </c>
      <c r="E2872" s="873"/>
      <c r="F2872" s="873"/>
      <c r="G2872" s="1807" t="s">
        <v>5506</v>
      </c>
      <c r="J2872" s="1453" t="s">
        <v>3120</v>
      </c>
    </row>
    <row r="2873" spans="1:10" x14ac:dyDescent="0.2">
      <c r="A2873" s="467" t="str">
        <f t="shared" si="293"/>
        <v/>
      </c>
      <c r="B2873" s="1421"/>
      <c r="C2873" s="1421" t="str">
        <f t="shared" si="291"/>
        <v/>
      </c>
      <c r="D2873" s="169"/>
      <c r="E2873" s="1072"/>
      <c r="F2873" s="1072"/>
      <c r="G2873" s="1688"/>
      <c r="J2873" s="1453"/>
    </row>
    <row r="2874" spans="1:10" x14ac:dyDescent="0.2">
      <c r="A2874" s="467" t="str">
        <f t="shared" si="293"/>
        <v/>
      </c>
      <c r="B2874" s="1421"/>
      <c r="C2874" s="1421" t="str">
        <f t="shared" si="291"/>
        <v/>
      </c>
      <c r="D2874" s="89" t="s">
        <v>5507</v>
      </c>
      <c r="E2874" s="873"/>
      <c r="F2874" s="873"/>
      <c r="G2874" s="1807" t="s">
        <v>5508</v>
      </c>
      <c r="J2874" s="1453" t="s">
        <v>5626</v>
      </c>
    </row>
    <row r="2875" spans="1:10" x14ac:dyDescent="0.2">
      <c r="A2875" s="467" t="str">
        <f t="shared" si="293"/>
        <v/>
      </c>
      <c r="B2875" s="1421"/>
      <c r="C2875" s="1421" t="str">
        <f t="shared" si="291"/>
        <v/>
      </c>
      <c r="D2875" s="89"/>
      <c r="E2875" s="873"/>
      <c r="F2875" s="873"/>
      <c r="G2875" s="1807"/>
      <c r="J2875" s="1453"/>
    </row>
    <row r="2876" spans="1:10" ht="15" customHeight="1" x14ac:dyDescent="0.2">
      <c r="A2876" s="467" t="str">
        <f t="shared" si="293"/>
        <v/>
      </c>
      <c r="B2876" s="1421"/>
      <c r="C2876" s="1421" t="str">
        <f t="shared" si="291"/>
        <v/>
      </c>
      <c r="D2876" s="89"/>
      <c r="E2876" s="1072" t="s">
        <v>254</v>
      </c>
      <c r="F2876" s="1072"/>
      <c r="G2876" s="1438" t="s">
        <v>5509</v>
      </c>
      <c r="J2876" s="1453"/>
    </row>
    <row r="2877" spans="1:10" ht="16" thickBot="1" x14ac:dyDescent="0.25">
      <c r="A2877" s="467" t="str">
        <f t="shared" si="293"/>
        <v/>
      </c>
      <c r="B2877" s="1421"/>
      <c r="C2877" s="1421" t="str">
        <f t="shared" si="291"/>
        <v/>
      </c>
      <c r="D2877" s="98"/>
      <c r="E2877" s="1069" t="s">
        <v>255</v>
      </c>
      <c r="F2877" s="1069"/>
      <c r="G2877" s="1439" t="s">
        <v>5510</v>
      </c>
      <c r="J2877" s="1453"/>
    </row>
    <row r="2878" spans="1:10" ht="16" thickTop="1" x14ac:dyDescent="0.2">
      <c r="A2878" s="467" t="str">
        <f t="shared" si="293"/>
        <v/>
      </c>
      <c r="B2878" s="1421"/>
      <c r="C2878" s="1421" t="str">
        <f t="shared" si="291"/>
        <v/>
      </c>
      <c r="D2878" s="89" t="s">
        <v>5511</v>
      </c>
      <c r="E2878" s="873"/>
      <c r="F2878" s="873"/>
      <c r="G2878" s="1470" t="s">
        <v>5512</v>
      </c>
      <c r="J2878" s="1453" t="s">
        <v>5627</v>
      </c>
    </row>
    <row r="2879" spans="1:10" x14ac:dyDescent="0.2">
      <c r="A2879" s="467" t="str">
        <f t="shared" si="293"/>
        <v/>
      </c>
      <c r="B2879" s="1421"/>
      <c r="C2879" s="1421" t="str">
        <f t="shared" si="291"/>
        <v/>
      </c>
      <c r="D2879" s="89"/>
      <c r="E2879" s="1072" t="s">
        <v>254</v>
      </c>
      <c r="F2879" s="1072"/>
      <c r="G2879" s="1438" t="s">
        <v>5513</v>
      </c>
      <c r="J2879" s="1453"/>
    </row>
    <row r="2880" spans="1:10" ht="16" thickBot="1" x14ac:dyDescent="0.25">
      <c r="A2880" s="467" t="str">
        <f t="shared" si="293"/>
        <v/>
      </c>
      <c r="B2880" s="1421"/>
      <c r="C2880" s="1421" t="str">
        <f t="shared" si="291"/>
        <v/>
      </c>
      <c r="D2880" s="98"/>
      <c r="E2880" s="1069" t="s">
        <v>255</v>
      </c>
      <c r="F2880" s="1069"/>
      <c r="G2880" s="1439" t="s">
        <v>5514</v>
      </c>
      <c r="J2880" s="1453"/>
    </row>
    <row r="2881" spans="1:10" ht="16" thickTop="1" x14ac:dyDescent="0.2">
      <c r="A2881" s="467" t="str">
        <f t="shared" si="293"/>
        <v/>
      </c>
      <c r="B2881" s="1421"/>
      <c r="C2881" s="1421" t="str">
        <f t="shared" si="291"/>
        <v/>
      </c>
      <c r="D2881" s="115" t="s">
        <v>5515</v>
      </c>
      <c r="E2881" s="1070"/>
      <c r="F2881" s="1070"/>
      <c r="G2881" s="1740" t="s">
        <v>5516</v>
      </c>
      <c r="J2881" s="1453" t="s">
        <v>5628</v>
      </c>
    </row>
    <row r="2882" spans="1:10" x14ac:dyDescent="0.2">
      <c r="A2882" s="467" t="str">
        <f t="shared" si="293"/>
        <v/>
      </c>
      <c r="B2882" s="1421"/>
      <c r="C2882" s="1421" t="str">
        <f t="shared" si="291"/>
        <v/>
      </c>
      <c r="D2882" s="169"/>
      <c r="E2882" s="1072"/>
      <c r="F2882" s="1072"/>
      <c r="G2882" s="1688"/>
      <c r="J2882" s="1453"/>
    </row>
    <row r="2883" spans="1:10" x14ac:dyDescent="0.2">
      <c r="A2883" s="467" t="str">
        <f t="shared" si="293"/>
        <v/>
      </c>
      <c r="B2883" s="1421"/>
      <c r="C2883" s="1421" t="str">
        <f t="shared" si="291"/>
        <v/>
      </c>
      <c r="D2883" s="67">
        <v>901.4</v>
      </c>
      <c r="E2883" s="69"/>
      <c r="F2883" s="69"/>
      <c r="G2883" s="1611" t="s">
        <v>5517</v>
      </c>
      <c r="J2883" s="1453"/>
    </row>
    <row r="2884" spans="1:10" x14ac:dyDescent="0.2">
      <c r="A2884" s="467" t="str">
        <f t="shared" si="293"/>
        <v/>
      </c>
      <c r="B2884" s="1421"/>
      <c r="C2884" s="1421" t="str">
        <f t="shared" si="291"/>
        <v/>
      </c>
      <c r="D2884" s="67"/>
      <c r="E2884" s="69"/>
      <c r="F2884" s="69"/>
      <c r="G2884" s="1611"/>
      <c r="J2884" s="1453"/>
    </row>
    <row r="2885" spans="1:10" x14ac:dyDescent="0.2">
      <c r="A2885" s="467" t="str">
        <f t="shared" si="293"/>
        <v/>
      </c>
      <c r="B2885" s="1421"/>
      <c r="C2885" s="1421" t="str">
        <f t="shared" si="291"/>
        <v/>
      </c>
      <c r="D2885" s="67"/>
      <c r="E2885" s="69"/>
      <c r="F2885" s="69"/>
      <c r="G2885" s="1611"/>
      <c r="J2885" s="1453"/>
    </row>
    <row r="2886" spans="1:10" x14ac:dyDescent="0.2">
      <c r="A2886" s="467" t="str">
        <f t="shared" si="293"/>
        <v/>
      </c>
      <c r="B2886" s="1421"/>
      <c r="C2886" s="1421" t="str">
        <f t="shared" si="291"/>
        <v/>
      </c>
      <c r="D2886" s="67"/>
      <c r="E2886" s="29" t="s">
        <v>254</v>
      </c>
      <c r="F2886" s="69"/>
      <c r="G2886" s="1611" t="s">
        <v>2705</v>
      </c>
      <c r="J2886" s="1453"/>
    </row>
    <row r="2887" spans="1:10" x14ac:dyDescent="0.2">
      <c r="A2887" s="467" t="str">
        <f t="shared" si="293"/>
        <v/>
      </c>
      <c r="B2887" s="1421"/>
      <c r="C2887" s="1421" t="str">
        <f t="shared" si="291"/>
        <v/>
      </c>
      <c r="D2887" s="67"/>
      <c r="E2887" s="69"/>
      <c r="F2887" s="69"/>
      <c r="G2887" s="1611"/>
      <c r="J2887" s="1453"/>
    </row>
    <row r="2888" spans="1:10" x14ac:dyDescent="0.2">
      <c r="A2888" s="467" t="str">
        <f t="shared" si="293"/>
        <v/>
      </c>
      <c r="B2888" s="1421"/>
      <c r="C2888" s="1421" t="str">
        <f t="shared" ref="C2888:C2951" si="294">IF(LEN(B2888)=0,IF(A2888="P","P",""),B2888)</f>
        <v/>
      </c>
      <c r="D2888" s="67"/>
      <c r="E2888" s="69"/>
      <c r="F2888" s="69"/>
      <c r="G2888" s="1611"/>
      <c r="J2888" s="1453"/>
    </row>
    <row r="2889" spans="1:10" x14ac:dyDescent="0.2">
      <c r="A2889" s="467" t="str">
        <f t="shared" si="293"/>
        <v/>
      </c>
      <c r="B2889" s="1421"/>
      <c r="C2889" s="1421" t="str">
        <f t="shared" si="294"/>
        <v/>
      </c>
      <c r="D2889" s="67"/>
      <c r="E2889" s="69"/>
      <c r="F2889" s="69"/>
      <c r="G2889" s="1611"/>
      <c r="J2889" s="1453"/>
    </row>
    <row r="2890" spans="1:10" x14ac:dyDescent="0.2">
      <c r="B2890" s="1421"/>
      <c r="C2890" s="1421" t="str">
        <f t="shared" si="294"/>
        <v/>
      </c>
      <c r="D2890" s="67"/>
      <c r="E2890" s="447"/>
      <c r="F2890" s="447"/>
      <c r="G2890" s="1450" t="s">
        <v>3194</v>
      </c>
      <c r="J2890" s="1453"/>
    </row>
    <row r="2891" spans="1:10" x14ac:dyDescent="0.2">
      <c r="A2891" s="467" t="str">
        <f t="shared" ref="A2891:A2922" si="295">IF(dstCommercial="Yes","P","")</f>
        <v/>
      </c>
      <c r="B2891" s="1421"/>
      <c r="C2891" s="1421" t="str">
        <f t="shared" si="294"/>
        <v/>
      </c>
      <c r="D2891" s="67"/>
      <c r="E2891" s="69"/>
      <c r="F2891" s="69"/>
      <c r="G2891" s="1441" t="s">
        <v>2923</v>
      </c>
      <c r="J2891" s="1453"/>
    </row>
    <row r="2892" spans="1:10" x14ac:dyDescent="0.2">
      <c r="A2892" s="467" t="str">
        <f t="shared" si="295"/>
        <v/>
      </c>
      <c r="B2892" s="1421"/>
      <c r="C2892" s="1421" t="str">
        <f t="shared" si="294"/>
        <v/>
      </c>
      <c r="D2892" s="67"/>
      <c r="E2892" s="69"/>
      <c r="F2892" s="69"/>
      <c r="G2892" s="1441" t="s">
        <v>2924</v>
      </c>
      <c r="J2892" s="1453"/>
    </row>
    <row r="2893" spans="1:10" x14ac:dyDescent="0.2">
      <c r="A2893" s="467" t="str">
        <f t="shared" si="295"/>
        <v/>
      </c>
      <c r="B2893" s="1421"/>
      <c r="C2893" s="1421" t="str">
        <f t="shared" si="294"/>
        <v/>
      </c>
      <c r="D2893" s="67"/>
      <c r="E2893" s="69"/>
      <c r="F2893" s="69"/>
      <c r="G2893" s="1441" t="s">
        <v>2925</v>
      </c>
      <c r="J2893" s="1453"/>
    </row>
    <row r="2894" spans="1:10" x14ac:dyDescent="0.2">
      <c r="A2894" s="467" t="str">
        <f t="shared" si="295"/>
        <v/>
      </c>
      <c r="B2894" s="1421"/>
      <c r="C2894" s="1421" t="str">
        <f t="shared" si="294"/>
        <v/>
      </c>
      <c r="D2894" s="67"/>
      <c r="E2894" s="69"/>
      <c r="F2894" s="69"/>
      <c r="G2894" s="1441" t="s">
        <v>2926</v>
      </c>
      <c r="J2894" s="1453"/>
    </row>
    <row r="2895" spans="1:10" x14ac:dyDescent="0.2">
      <c r="A2895" s="467" t="str">
        <f t="shared" si="295"/>
        <v/>
      </c>
      <c r="B2895" s="1421"/>
      <c r="C2895" s="1421" t="str">
        <f t="shared" si="294"/>
        <v/>
      </c>
      <c r="D2895" s="67"/>
      <c r="E2895" s="29" t="s">
        <v>255</v>
      </c>
      <c r="F2895" s="69"/>
      <c r="G2895" s="1611" t="s">
        <v>2706</v>
      </c>
      <c r="J2895" s="1453"/>
    </row>
    <row r="2896" spans="1:10" x14ac:dyDescent="0.2">
      <c r="A2896" s="467" t="str">
        <f t="shared" si="295"/>
        <v/>
      </c>
      <c r="B2896" s="1421"/>
      <c r="C2896" s="1421" t="str">
        <f t="shared" si="294"/>
        <v/>
      </c>
      <c r="D2896" s="67"/>
      <c r="E2896" s="447"/>
      <c r="F2896" s="447"/>
      <c r="G2896" s="1612"/>
      <c r="J2896" s="1453"/>
    </row>
    <row r="2897" spans="1:10" x14ac:dyDescent="0.2">
      <c r="A2897" s="467" t="str">
        <f t="shared" si="295"/>
        <v/>
      </c>
      <c r="B2897" s="1421"/>
      <c r="C2897" s="1421" t="str">
        <f t="shared" si="294"/>
        <v/>
      </c>
      <c r="D2897" s="67"/>
      <c r="E2897" s="207" t="s">
        <v>256</v>
      </c>
      <c r="F2897" s="447"/>
      <c r="G2897" s="1430" t="s">
        <v>2707</v>
      </c>
      <c r="J2897" s="1453"/>
    </row>
    <row r="2898" spans="1:10" x14ac:dyDescent="0.2">
      <c r="A2898" s="467" t="str">
        <f t="shared" si="295"/>
        <v/>
      </c>
      <c r="B2898" s="1421"/>
      <c r="C2898" s="1421" t="str">
        <f t="shared" si="294"/>
        <v/>
      </c>
      <c r="D2898" s="67"/>
      <c r="E2898" s="207" t="s">
        <v>259</v>
      </c>
      <c r="F2898" s="447"/>
      <c r="G2898" s="1430" t="s">
        <v>2708</v>
      </c>
      <c r="J2898" s="1453"/>
    </row>
    <row r="2899" spans="1:10" x14ac:dyDescent="0.2">
      <c r="A2899" s="467" t="str">
        <f t="shared" si="295"/>
        <v/>
      </c>
      <c r="B2899" s="1421"/>
      <c r="C2899" s="1421" t="str">
        <f t="shared" si="294"/>
        <v/>
      </c>
      <c r="D2899" s="67"/>
      <c r="E2899" s="29" t="s">
        <v>263</v>
      </c>
      <c r="F2899" s="69"/>
      <c r="G2899" s="1611" t="s">
        <v>2709</v>
      </c>
      <c r="J2899" s="1453"/>
    </row>
    <row r="2900" spans="1:10" x14ac:dyDescent="0.2">
      <c r="A2900" s="467" t="str">
        <f t="shared" si="295"/>
        <v/>
      </c>
      <c r="B2900" s="1421"/>
      <c r="C2900" s="1421" t="str">
        <f t="shared" si="294"/>
        <v/>
      </c>
      <c r="D2900" s="67"/>
      <c r="E2900" s="207"/>
      <c r="F2900" s="447"/>
      <c r="G2900" s="1612"/>
      <c r="J2900" s="1453"/>
    </row>
    <row r="2901" spans="1:10" ht="16" thickBot="1" x14ac:dyDescent="0.25">
      <c r="A2901" s="467" t="str">
        <f t="shared" si="295"/>
        <v/>
      </c>
      <c r="B2901" s="1421"/>
      <c r="C2901" s="1421" t="str">
        <f t="shared" si="294"/>
        <v/>
      </c>
      <c r="D2901" s="189"/>
      <c r="E2901" s="190" t="s">
        <v>264</v>
      </c>
      <c r="F2901" s="1082"/>
      <c r="G2901" s="1442" t="s">
        <v>2710</v>
      </c>
      <c r="J2901" s="1453"/>
    </row>
    <row r="2902" spans="1:10" ht="16" thickTop="1" x14ac:dyDescent="0.2">
      <c r="A2902" s="467" t="str">
        <f t="shared" si="295"/>
        <v/>
      </c>
      <c r="B2902" s="1421"/>
      <c r="C2902" s="1421" t="str">
        <f t="shared" si="294"/>
        <v/>
      </c>
      <c r="D2902" s="67">
        <v>901.5</v>
      </c>
      <c r="E2902" s="69"/>
      <c r="F2902" s="69"/>
      <c r="G2902" s="1631" t="s">
        <v>5518</v>
      </c>
      <c r="J2902" s="1453"/>
    </row>
    <row r="2903" spans="1:10" x14ac:dyDescent="0.2">
      <c r="A2903" s="467" t="str">
        <f t="shared" si="295"/>
        <v/>
      </c>
      <c r="B2903" s="1421"/>
      <c r="C2903" s="1421" t="str">
        <f t="shared" si="294"/>
        <v/>
      </c>
      <c r="D2903" s="67"/>
      <c r="E2903" s="69"/>
      <c r="F2903" s="69"/>
      <c r="G2903" s="1631"/>
      <c r="J2903" s="1453"/>
    </row>
    <row r="2904" spans="1:10" x14ac:dyDescent="0.2">
      <c r="A2904" s="467" t="str">
        <f t="shared" si="295"/>
        <v/>
      </c>
      <c r="B2904" s="1421"/>
      <c r="C2904" s="1421" t="str">
        <f t="shared" si="294"/>
        <v/>
      </c>
      <c r="D2904" s="67"/>
      <c r="E2904" s="69"/>
      <c r="F2904" s="69"/>
      <c r="G2904" s="1443" t="s">
        <v>2711</v>
      </c>
      <c r="J2904" s="1453"/>
    </row>
    <row r="2905" spans="1:10" x14ac:dyDescent="0.2">
      <c r="A2905" s="467" t="str">
        <f t="shared" si="295"/>
        <v/>
      </c>
      <c r="B2905" s="1421"/>
      <c r="C2905" s="1421" t="str">
        <f t="shared" si="294"/>
        <v/>
      </c>
      <c r="D2905" s="67"/>
      <c r="E2905" s="29" t="s">
        <v>254</v>
      </c>
      <c r="F2905" s="69"/>
      <c r="G2905" s="1611" t="s">
        <v>2712</v>
      </c>
      <c r="J2905" s="1453"/>
    </row>
    <row r="2906" spans="1:10" x14ac:dyDescent="0.2">
      <c r="A2906" s="467" t="str">
        <f t="shared" si="295"/>
        <v/>
      </c>
      <c r="B2906" s="1421"/>
      <c r="C2906" s="1421" t="str">
        <f t="shared" si="294"/>
        <v/>
      </c>
      <c r="D2906" s="67"/>
      <c r="E2906" s="447"/>
      <c r="F2906" s="447"/>
      <c r="G2906" s="1612"/>
      <c r="J2906" s="1453"/>
    </row>
    <row r="2907" spans="1:10" x14ac:dyDescent="0.2">
      <c r="A2907" s="467" t="str">
        <f t="shared" si="295"/>
        <v/>
      </c>
      <c r="B2907" s="1421"/>
      <c r="C2907" s="1421" t="str">
        <f t="shared" si="294"/>
        <v/>
      </c>
      <c r="D2907" s="67"/>
      <c r="E2907" s="29" t="s">
        <v>255</v>
      </c>
      <c r="F2907" s="69"/>
      <c r="G2907" s="1611" t="s">
        <v>2713</v>
      </c>
      <c r="J2907" s="1453"/>
    </row>
    <row r="2908" spans="1:10" x14ac:dyDescent="0.2">
      <c r="A2908" s="467" t="str">
        <f t="shared" si="295"/>
        <v/>
      </c>
      <c r="B2908" s="1421"/>
      <c r="C2908" s="1421" t="str">
        <f t="shared" si="294"/>
        <v/>
      </c>
      <c r="D2908" s="67"/>
      <c r="E2908" s="69"/>
      <c r="F2908" s="69"/>
      <c r="G2908" s="1611"/>
      <c r="J2908" s="1453"/>
    </row>
    <row r="2909" spans="1:10" ht="16" thickBot="1" x14ac:dyDescent="0.25">
      <c r="A2909" s="467" t="str">
        <f t="shared" si="295"/>
        <v/>
      </c>
      <c r="B2909" s="1421"/>
      <c r="C2909" s="1421" t="str">
        <f t="shared" si="294"/>
        <v/>
      </c>
      <c r="D2909" s="189"/>
      <c r="E2909" s="1082"/>
      <c r="F2909" s="1082"/>
      <c r="G2909" s="1610"/>
      <c r="J2909" s="1453"/>
    </row>
    <row r="2910" spans="1:10" ht="16" thickTop="1" x14ac:dyDescent="0.2">
      <c r="A2910" s="467" t="str">
        <f t="shared" si="295"/>
        <v/>
      </c>
      <c r="B2910" s="1421"/>
      <c r="C2910" s="1421" t="str">
        <f t="shared" si="294"/>
        <v/>
      </c>
      <c r="D2910" s="67">
        <v>901.7</v>
      </c>
      <c r="E2910" s="69"/>
      <c r="F2910" s="69"/>
      <c r="G2910" s="1631" t="s">
        <v>5519</v>
      </c>
      <c r="J2910" s="1453"/>
    </row>
    <row r="2911" spans="1:10" x14ac:dyDescent="0.2">
      <c r="A2911" s="467" t="str">
        <f t="shared" si="295"/>
        <v/>
      </c>
      <c r="B2911" s="1421"/>
      <c r="C2911" s="1421" t="str">
        <f t="shared" si="294"/>
        <v/>
      </c>
      <c r="D2911" s="67"/>
      <c r="E2911" s="69"/>
      <c r="F2911" s="69"/>
      <c r="G2911" s="1631"/>
      <c r="J2911" s="1453"/>
    </row>
    <row r="2912" spans="1:10" x14ac:dyDescent="0.2">
      <c r="A2912" s="467" t="str">
        <f t="shared" si="295"/>
        <v/>
      </c>
      <c r="B2912" s="1421"/>
      <c r="C2912" s="1421" t="str">
        <f t="shared" si="294"/>
        <v/>
      </c>
      <c r="D2912" s="67"/>
      <c r="E2912" s="69"/>
      <c r="F2912" s="69"/>
      <c r="G2912" s="1631"/>
      <c r="J2912" s="1453"/>
    </row>
    <row r="2913" spans="1:10" x14ac:dyDescent="0.2">
      <c r="A2913" s="467" t="str">
        <f t="shared" si="295"/>
        <v/>
      </c>
      <c r="B2913" s="1421"/>
      <c r="C2913" s="1421" t="str">
        <f t="shared" si="294"/>
        <v/>
      </c>
      <c r="D2913" s="67"/>
      <c r="E2913" s="69"/>
      <c r="F2913" s="69"/>
      <c r="G2913" s="1631"/>
      <c r="J2913" s="1453"/>
    </row>
    <row r="2914" spans="1:10" x14ac:dyDescent="0.2">
      <c r="A2914" s="467" t="str">
        <f t="shared" si="295"/>
        <v/>
      </c>
      <c r="B2914" s="1421"/>
      <c r="C2914" s="1421" t="str">
        <f t="shared" si="294"/>
        <v/>
      </c>
      <c r="D2914" s="67"/>
      <c r="E2914" s="69"/>
      <c r="F2914" s="69"/>
      <c r="G2914" s="1631"/>
      <c r="J2914" s="1453"/>
    </row>
    <row r="2915" spans="1:10" x14ac:dyDescent="0.2">
      <c r="A2915" s="467" t="str">
        <f t="shared" si="295"/>
        <v/>
      </c>
      <c r="B2915" s="1421"/>
      <c r="C2915" s="1421" t="str">
        <f t="shared" si="294"/>
        <v/>
      </c>
      <c r="D2915" s="67"/>
      <c r="E2915" s="69"/>
      <c r="F2915" s="69"/>
      <c r="G2915" s="1707" t="s">
        <v>2714</v>
      </c>
      <c r="J2915" s="1453"/>
    </row>
    <row r="2916" spans="1:10" x14ac:dyDescent="0.2">
      <c r="A2916" s="467" t="str">
        <f t="shared" si="295"/>
        <v/>
      </c>
      <c r="B2916" s="1421"/>
      <c r="C2916" s="1421" t="str">
        <f t="shared" si="294"/>
        <v/>
      </c>
      <c r="D2916" s="67"/>
      <c r="E2916" s="69"/>
      <c r="F2916" s="69"/>
      <c r="G2916" s="1707"/>
      <c r="J2916" s="1453"/>
    </row>
    <row r="2917" spans="1:10" x14ac:dyDescent="0.2">
      <c r="A2917" s="467" t="str">
        <f t="shared" si="295"/>
        <v/>
      </c>
      <c r="B2917" s="1421"/>
      <c r="C2917" s="1421" t="str">
        <f t="shared" si="294"/>
        <v/>
      </c>
      <c r="D2917" s="67"/>
      <c r="E2917" s="29" t="s">
        <v>254</v>
      </c>
      <c r="F2917" s="69"/>
      <c r="G2917" s="1611" t="s">
        <v>2715</v>
      </c>
      <c r="J2917" s="1453"/>
    </row>
    <row r="2918" spans="1:10" x14ac:dyDescent="0.2">
      <c r="A2918" s="467" t="str">
        <f t="shared" si="295"/>
        <v/>
      </c>
      <c r="B2918" s="1421"/>
      <c r="C2918" s="1421" t="str">
        <f t="shared" si="294"/>
        <v/>
      </c>
      <c r="D2918" s="67"/>
      <c r="E2918" s="69"/>
      <c r="F2918" s="69"/>
      <c r="G2918" s="1611"/>
      <c r="J2918" s="1453"/>
    </row>
    <row r="2919" spans="1:10" x14ac:dyDescent="0.2">
      <c r="A2919" s="467" t="str">
        <f t="shared" si="295"/>
        <v/>
      </c>
      <c r="B2919" s="1421"/>
      <c r="C2919" s="1421" t="str">
        <f t="shared" si="294"/>
        <v/>
      </c>
      <c r="D2919" s="67"/>
      <c r="E2919" s="69"/>
      <c r="F2919" s="69"/>
      <c r="G2919" s="1611"/>
      <c r="J2919" s="1453"/>
    </row>
    <row r="2920" spans="1:10" x14ac:dyDescent="0.2">
      <c r="A2920" s="467" t="str">
        <f t="shared" si="295"/>
        <v/>
      </c>
      <c r="B2920" s="1421"/>
      <c r="C2920" s="1421" t="str">
        <f t="shared" si="294"/>
        <v/>
      </c>
      <c r="D2920" s="67"/>
      <c r="E2920" s="69"/>
      <c r="F2920" s="69"/>
      <c r="G2920" s="1611"/>
      <c r="J2920" s="1453"/>
    </row>
    <row r="2921" spans="1:10" x14ac:dyDescent="0.2">
      <c r="A2921" s="467" t="str">
        <f t="shared" si="295"/>
        <v/>
      </c>
      <c r="B2921" s="1421"/>
      <c r="C2921" s="1421" t="str">
        <f t="shared" si="294"/>
        <v/>
      </c>
      <c r="D2921" s="67"/>
      <c r="E2921" s="69"/>
      <c r="F2921" s="29" t="s">
        <v>121</v>
      </c>
      <c r="G2921" s="1441" t="s">
        <v>2716</v>
      </c>
      <c r="J2921" s="1453"/>
    </row>
    <row r="2922" spans="1:10" x14ac:dyDescent="0.2">
      <c r="A2922" s="467" t="str">
        <f t="shared" si="295"/>
        <v/>
      </c>
      <c r="B2922" s="1421"/>
      <c r="C2922" s="1421" t="str">
        <f t="shared" si="294"/>
        <v/>
      </c>
      <c r="D2922" s="67"/>
      <c r="E2922" s="69"/>
      <c r="F2922" s="29" t="s">
        <v>122</v>
      </c>
      <c r="G2922" s="1441" t="s">
        <v>2717</v>
      </c>
      <c r="J2922" s="1453"/>
    </row>
    <row r="2923" spans="1:10" x14ac:dyDescent="0.2">
      <c r="A2923" s="467" t="str">
        <f t="shared" ref="A2923:A2945" si="296">IF(dstCommercial="Yes","P","")</f>
        <v/>
      </c>
      <c r="B2923" s="1421"/>
      <c r="C2923" s="1421" t="str">
        <f t="shared" si="294"/>
        <v/>
      </c>
      <c r="D2923" s="67"/>
      <c r="E2923" s="69"/>
      <c r="F2923" s="29" t="s">
        <v>123</v>
      </c>
      <c r="G2923" s="1441" t="s">
        <v>2718</v>
      </c>
      <c r="J2923" s="1453"/>
    </row>
    <row r="2924" spans="1:10" x14ac:dyDescent="0.2">
      <c r="A2924" s="467" t="str">
        <f t="shared" si="296"/>
        <v/>
      </c>
      <c r="B2924" s="1421"/>
      <c r="C2924" s="1421" t="str">
        <f t="shared" si="294"/>
        <v/>
      </c>
      <c r="D2924" s="67"/>
      <c r="E2924" s="69"/>
      <c r="F2924" s="29" t="s">
        <v>366</v>
      </c>
      <c r="G2924" s="1441" t="s">
        <v>2719</v>
      </c>
      <c r="J2924" s="1453"/>
    </row>
    <row r="2925" spans="1:10" x14ac:dyDescent="0.2">
      <c r="A2925" s="467" t="str">
        <f t="shared" si="296"/>
        <v/>
      </c>
      <c r="B2925" s="1421"/>
      <c r="C2925" s="1421" t="str">
        <f t="shared" si="294"/>
        <v/>
      </c>
      <c r="D2925" s="67"/>
      <c r="E2925" s="69"/>
      <c r="F2925" s="29" t="s">
        <v>472</v>
      </c>
      <c r="G2925" s="1441" t="s">
        <v>2720</v>
      </c>
      <c r="J2925" s="1453"/>
    </row>
    <row r="2926" spans="1:10" x14ac:dyDescent="0.2">
      <c r="A2926" s="467" t="str">
        <f t="shared" si="296"/>
        <v/>
      </c>
      <c r="B2926" s="1421"/>
      <c r="C2926" s="1421" t="str">
        <f t="shared" si="294"/>
        <v/>
      </c>
      <c r="D2926" s="67"/>
      <c r="E2926" s="447"/>
      <c r="F2926" s="207" t="s">
        <v>510</v>
      </c>
      <c r="G2926" s="1430" t="s">
        <v>2721</v>
      </c>
      <c r="J2926" s="1453"/>
    </row>
    <row r="2927" spans="1:10" x14ac:dyDescent="0.2">
      <c r="A2927" s="467" t="str">
        <f t="shared" si="296"/>
        <v/>
      </c>
      <c r="B2927" s="1421"/>
      <c r="C2927" s="1421" t="str">
        <f t="shared" si="294"/>
        <v/>
      </c>
      <c r="D2927" s="67"/>
      <c r="E2927" s="207" t="s">
        <v>255</v>
      </c>
      <c r="F2927" s="447"/>
      <c r="G2927" s="1430" t="s">
        <v>3045</v>
      </c>
      <c r="J2927" s="1453"/>
    </row>
    <row r="2928" spans="1:10" x14ac:dyDescent="0.2">
      <c r="A2928" s="467" t="str">
        <f t="shared" si="296"/>
        <v/>
      </c>
      <c r="B2928" s="1421"/>
      <c r="C2928" s="1421" t="str">
        <f t="shared" si="294"/>
        <v/>
      </c>
      <c r="D2928" s="67"/>
      <c r="E2928" s="29" t="s">
        <v>256</v>
      </c>
      <c r="F2928" s="69"/>
      <c r="G2928" s="1441" t="s">
        <v>2927</v>
      </c>
      <c r="J2928" s="1453"/>
    </row>
    <row r="2929" spans="1:10" x14ac:dyDescent="0.2">
      <c r="A2929" s="467" t="str">
        <f t="shared" si="296"/>
        <v/>
      </c>
      <c r="B2929" s="1421"/>
      <c r="C2929" s="1421" t="str">
        <f t="shared" si="294"/>
        <v/>
      </c>
      <c r="D2929" s="67"/>
      <c r="E2929" s="69"/>
      <c r="F2929" s="69"/>
      <c r="G2929" s="1707" t="s">
        <v>2722</v>
      </c>
      <c r="J2929" s="1453"/>
    </row>
    <row r="2930" spans="1:10" ht="16" thickBot="1" x14ac:dyDescent="0.25">
      <c r="A2930" s="467" t="str">
        <f t="shared" si="296"/>
        <v/>
      </c>
      <c r="B2930" s="1421"/>
      <c r="C2930" s="1421" t="str">
        <f t="shared" si="294"/>
        <v/>
      </c>
      <c r="D2930" s="189"/>
      <c r="E2930" s="1082"/>
      <c r="F2930" s="1082"/>
      <c r="G2930" s="1706"/>
      <c r="J2930" s="1453"/>
    </row>
    <row r="2931" spans="1:10" ht="16" thickTop="1" x14ac:dyDescent="0.2">
      <c r="A2931" s="467" t="str">
        <f t="shared" si="296"/>
        <v/>
      </c>
      <c r="B2931" s="1421"/>
      <c r="C2931" s="1421" t="str">
        <f t="shared" si="294"/>
        <v/>
      </c>
      <c r="D2931" s="177">
        <v>901.8</v>
      </c>
      <c r="E2931" s="429"/>
      <c r="F2931" s="429"/>
      <c r="G2931" s="1683" t="s">
        <v>5520</v>
      </c>
      <c r="J2931" s="1453"/>
    </row>
    <row r="2932" spans="1:10" x14ac:dyDescent="0.2">
      <c r="A2932" s="467" t="str">
        <f t="shared" si="296"/>
        <v/>
      </c>
      <c r="B2932" s="1421"/>
      <c r="C2932" s="1421" t="str">
        <f t="shared" si="294"/>
        <v/>
      </c>
      <c r="D2932" s="67"/>
      <c r="E2932" s="69"/>
      <c r="F2932" s="69"/>
      <c r="G2932" s="1631"/>
      <c r="J2932" s="1453"/>
    </row>
    <row r="2933" spans="1:10" x14ac:dyDescent="0.2">
      <c r="A2933" s="467" t="str">
        <f t="shared" si="296"/>
        <v/>
      </c>
      <c r="B2933" s="1421"/>
      <c r="C2933" s="1421" t="str">
        <f t="shared" si="294"/>
        <v/>
      </c>
      <c r="D2933" s="67"/>
      <c r="E2933" s="69"/>
      <c r="F2933" s="69"/>
      <c r="G2933" s="1631"/>
      <c r="J2933" s="1453"/>
    </row>
    <row r="2934" spans="1:10" x14ac:dyDescent="0.2">
      <c r="A2934" s="467" t="str">
        <f t="shared" si="296"/>
        <v/>
      </c>
      <c r="B2934" s="1421"/>
      <c r="C2934" s="1421" t="str">
        <f t="shared" si="294"/>
        <v/>
      </c>
      <c r="D2934" s="67"/>
      <c r="E2934" s="69"/>
      <c r="F2934" s="69"/>
      <c r="G2934" s="1631"/>
      <c r="J2934" s="1453"/>
    </row>
    <row r="2935" spans="1:10" x14ac:dyDescent="0.2">
      <c r="A2935" s="467" t="str">
        <f t="shared" si="296"/>
        <v/>
      </c>
      <c r="B2935" s="1421"/>
      <c r="C2935" s="1421" t="str">
        <f t="shared" si="294"/>
        <v/>
      </c>
      <c r="D2935" s="67"/>
      <c r="E2935" s="69"/>
      <c r="F2935" s="69"/>
      <c r="G2935" s="1631"/>
      <c r="J2935" s="1453"/>
    </row>
    <row r="2936" spans="1:10" ht="16" thickBot="1" x14ac:dyDescent="0.25">
      <c r="A2936" s="467" t="str">
        <f t="shared" si="296"/>
        <v/>
      </c>
      <c r="B2936" s="1421"/>
      <c r="C2936" s="1421" t="str">
        <f t="shared" si="294"/>
        <v/>
      </c>
      <c r="D2936" s="189"/>
      <c r="E2936" s="1082"/>
      <c r="F2936" s="1082"/>
      <c r="G2936" s="1630"/>
      <c r="J2936" s="1453"/>
    </row>
    <row r="2937" spans="1:10" ht="16" thickTop="1" x14ac:dyDescent="0.2">
      <c r="A2937" s="467" t="str">
        <f t="shared" si="296"/>
        <v/>
      </c>
      <c r="B2937" s="1421"/>
      <c r="C2937" s="1421" t="str">
        <f t="shared" si="294"/>
        <v/>
      </c>
      <c r="D2937" s="177">
        <v>901.9</v>
      </c>
      <c r="E2937" s="429"/>
      <c r="F2937" s="429"/>
      <c r="G2937" s="1683" t="s">
        <v>5521</v>
      </c>
      <c r="J2937" s="1453"/>
    </row>
    <row r="2938" spans="1:10" x14ac:dyDescent="0.2">
      <c r="A2938" s="467" t="str">
        <f t="shared" si="296"/>
        <v/>
      </c>
      <c r="B2938" s="1421"/>
      <c r="C2938" s="1421" t="str">
        <f t="shared" si="294"/>
        <v/>
      </c>
      <c r="D2938" s="67"/>
      <c r="E2938" s="69"/>
      <c r="F2938" s="69"/>
      <c r="G2938" s="1631"/>
      <c r="J2938" s="1453"/>
    </row>
    <row r="2939" spans="1:10" x14ac:dyDescent="0.2">
      <c r="A2939" s="467" t="str">
        <f t="shared" si="296"/>
        <v/>
      </c>
      <c r="B2939" s="1421"/>
      <c r="C2939" s="1421" t="str">
        <f t="shared" si="294"/>
        <v/>
      </c>
      <c r="D2939" s="67"/>
      <c r="E2939" s="69"/>
      <c r="F2939" s="69"/>
      <c r="G2939" s="1631"/>
      <c r="J2939" s="1453"/>
    </row>
    <row r="2940" spans="1:10" x14ac:dyDescent="0.2">
      <c r="A2940" s="467" t="str">
        <f t="shared" si="296"/>
        <v/>
      </c>
      <c r="B2940" s="1421"/>
      <c r="C2940" s="1421" t="str">
        <f t="shared" si="294"/>
        <v/>
      </c>
      <c r="D2940" s="67" t="s">
        <v>2723</v>
      </c>
      <c r="E2940" s="69"/>
      <c r="F2940" s="69"/>
      <c r="G2940" s="1631" t="s">
        <v>5522</v>
      </c>
      <c r="J2940" s="1453"/>
    </row>
    <row r="2941" spans="1:10" x14ac:dyDescent="0.2">
      <c r="A2941" s="467" t="str">
        <f t="shared" si="296"/>
        <v/>
      </c>
      <c r="B2941" s="1421"/>
      <c r="C2941" s="1421" t="str">
        <f t="shared" si="294"/>
        <v/>
      </c>
      <c r="D2941" s="67"/>
      <c r="E2941" s="69"/>
      <c r="F2941" s="69"/>
      <c r="G2941" s="1631"/>
      <c r="J2941" s="1453"/>
    </row>
    <row r="2942" spans="1:10" x14ac:dyDescent="0.2">
      <c r="A2942" s="467" t="str">
        <f t="shared" si="296"/>
        <v/>
      </c>
      <c r="B2942" s="1421"/>
      <c r="C2942" s="1421" t="str">
        <f t="shared" si="294"/>
        <v/>
      </c>
      <c r="D2942" s="67"/>
      <c r="E2942" s="29" t="s">
        <v>254</v>
      </c>
      <c r="F2942" s="69"/>
      <c r="G2942" s="1611" t="s">
        <v>2724</v>
      </c>
      <c r="J2942" s="1453"/>
    </row>
    <row r="2943" spans="1:10" x14ac:dyDescent="0.2">
      <c r="A2943" s="467" t="str">
        <f t="shared" si="296"/>
        <v/>
      </c>
      <c r="B2943" s="1421"/>
      <c r="C2943" s="1421" t="str">
        <f t="shared" si="294"/>
        <v/>
      </c>
      <c r="D2943" s="67"/>
      <c r="E2943" s="447"/>
      <c r="F2943" s="447"/>
      <c r="G2943" s="1612"/>
      <c r="J2943" s="1453"/>
    </row>
    <row r="2944" spans="1:10" x14ac:dyDescent="0.2">
      <c r="A2944" s="467" t="str">
        <f t="shared" si="296"/>
        <v/>
      </c>
      <c r="B2944" s="1421"/>
      <c r="C2944" s="1421" t="str">
        <f t="shared" si="294"/>
        <v/>
      </c>
      <c r="D2944" s="67"/>
      <c r="E2944" s="207" t="s">
        <v>255</v>
      </c>
      <c r="F2944" s="447"/>
      <c r="G2944" s="1430" t="s">
        <v>2725</v>
      </c>
      <c r="J2944" s="1453"/>
    </row>
    <row r="2945" spans="1:10" x14ac:dyDescent="0.2">
      <c r="A2945" s="467" t="str">
        <f t="shared" si="296"/>
        <v/>
      </c>
      <c r="B2945" s="1421"/>
      <c r="C2945" s="1421" t="str">
        <f t="shared" si="294"/>
        <v/>
      </c>
      <c r="D2945" s="67"/>
      <c r="E2945" s="29" t="s">
        <v>256</v>
      </c>
      <c r="F2945" s="69"/>
      <c r="G2945" s="1441" t="s">
        <v>5523</v>
      </c>
      <c r="J2945" s="1453"/>
    </row>
    <row r="2946" spans="1:10" x14ac:dyDescent="0.2">
      <c r="B2946" s="1421"/>
      <c r="C2946" s="1421" t="str">
        <f t="shared" si="294"/>
        <v/>
      </c>
      <c r="D2946" s="1492"/>
      <c r="E2946" s="1492"/>
      <c r="F2946" s="1492"/>
      <c r="G2946" s="441" t="s">
        <v>5524</v>
      </c>
      <c r="J2946" s="1453"/>
    </row>
    <row r="2947" spans="1:10" x14ac:dyDescent="0.2">
      <c r="A2947" s="467" t="str">
        <f>IF(dstCommercial="Yes","P","")</f>
        <v/>
      </c>
      <c r="B2947" s="1421"/>
      <c r="C2947" s="1421" t="str">
        <f t="shared" si="294"/>
        <v/>
      </c>
      <c r="D2947" s="192" t="s">
        <v>2726</v>
      </c>
      <c r="E2947" s="446"/>
      <c r="F2947" s="446"/>
      <c r="G2947" s="1712" t="s">
        <v>5525</v>
      </c>
      <c r="J2947" s="1453"/>
    </row>
    <row r="2948" spans="1:10" x14ac:dyDescent="0.2">
      <c r="A2948" s="467" t="str">
        <f>IF(dstCommercial="Yes","P","")</f>
        <v/>
      </c>
      <c r="B2948" s="1421"/>
      <c r="C2948" s="1421" t="str">
        <f t="shared" si="294"/>
        <v/>
      </c>
      <c r="D2948" s="67"/>
      <c r="E2948" s="69"/>
      <c r="F2948" s="69"/>
      <c r="G2948" s="1631"/>
      <c r="J2948" s="1453"/>
    </row>
    <row r="2949" spans="1:10" x14ac:dyDescent="0.2">
      <c r="A2949" s="467" t="str">
        <f>IF(dstCommercial="Yes","P","")</f>
        <v/>
      </c>
      <c r="B2949" s="1421"/>
      <c r="C2949" s="1421" t="str">
        <f t="shared" si="294"/>
        <v/>
      </c>
      <c r="D2949" s="67"/>
      <c r="E2949" s="69"/>
      <c r="F2949" s="69"/>
      <c r="G2949" s="1816" t="s">
        <v>5526</v>
      </c>
      <c r="J2949" s="1453"/>
    </row>
    <row r="2950" spans="1:10" x14ac:dyDescent="0.2">
      <c r="A2950" s="467" t="str">
        <f>IF(dstCommercial="Yes","P","")</f>
        <v/>
      </c>
      <c r="B2950" s="1421"/>
      <c r="C2950" s="1421" t="str">
        <f t="shared" si="294"/>
        <v/>
      </c>
      <c r="D2950" s="67"/>
      <c r="E2950" s="69"/>
      <c r="F2950" s="69"/>
      <c r="G2950" s="1816"/>
      <c r="J2950" s="1453"/>
    </row>
    <row r="2951" spans="1:10" x14ac:dyDescent="0.2">
      <c r="B2951" s="1421"/>
      <c r="C2951" s="1421" t="str">
        <f t="shared" si="294"/>
        <v/>
      </c>
      <c r="D2951" s="219"/>
      <c r="E2951" s="447"/>
      <c r="F2951" s="447"/>
      <c r="G2951" s="441" t="s">
        <v>5527</v>
      </c>
      <c r="J2951" s="1453"/>
    </row>
    <row r="2952" spans="1:10" x14ac:dyDescent="0.2">
      <c r="A2952" s="467" t="str">
        <f t="shared" ref="A2952:A2969" si="297">IF(dstCommercial="Yes","P","")</f>
        <v/>
      </c>
      <c r="B2952" s="1421"/>
      <c r="C2952" s="1421" t="str">
        <f t="shared" ref="C2952:C3015" si="298">IF(LEN(B2952)=0,IF(A2952="P","P",""),B2952)</f>
        <v/>
      </c>
      <c r="D2952" s="67" t="s">
        <v>2727</v>
      </c>
      <c r="E2952" s="69"/>
      <c r="F2952" s="69"/>
      <c r="G2952" s="1631" t="s">
        <v>5528</v>
      </c>
      <c r="J2952" s="1453"/>
    </row>
    <row r="2953" spans="1:10" x14ac:dyDescent="0.2">
      <c r="A2953" s="467" t="str">
        <f t="shared" si="297"/>
        <v/>
      </c>
      <c r="B2953" s="1421"/>
      <c r="C2953" s="1421" t="str">
        <f t="shared" si="298"/>
        <v/>
      </c>
      <c r="D2953" s="67"/>
      <c r="E2953" s="69"/>
      <c r="F2953" s="69"/>
      <c r="G2953" s="1631"/>
      <c r="J2953" s="1453"/>
    </row>
    <row r="2954" spans="1:10" x14ac:dyDescent="0.2">
      <c r="A2954" s="467" t="str">
        <f t="shared" si="297"/>
        <v/>
      </c>
      <c r="B2954" s="1421"/>
      <c r="C2954" s="1421" t="str">
        <f t="shared" si="298"/>
        <v/>
      </c>
      <c r="D2954" s="67"/>
      <c r="E2954" s="69"/>
      <c r="F2954" s="69"/>
      <c r="G2954" s="1631"/>
      <c r="J2954" s="1453"/>
    </row>
    <row r="2955" spans="1:10" x14ac:dyDescent="0.2">
      <c r="A2955" s="467" t="str">
        <f t="shared" si="297"/>
        <v/>
      </c>
      <c r="B2955" s="1421"/>
      <c r="C2955" s="1421" t="str">
        <f t="shared" si="298"/>
        <v/>
      </c>
      <c r="D2955" s="67"/>
      <c r="E2955" s="69"/>
      <c r="F2955" s="69"/>
      <c r="G2955" s="1631"/>
      <c r="J2955" s="1453"/>
    </row>
    <row r="2956" spans="1:10" x14ac:dyDescent="0.2">
      <c r="A2956" s="467" t="str">
        <f t="shared" si="297"/>
        <v/>
      </c>
      <c r="B2956" s="1421"/>
      <c r="C2956" s="1421" t="str">
        <f t="shared" si="298"/>
        <v/>
      </c>
      <c r="D2956" s="67"/>
      <c r="E2956" s="69"/>
      <c r="F2956" s="69"/>
      <c r="G2956" s="1631"/>
      <c r="J2956" s="1453"/>
    </row>
    <row r="2957" spans="1:10" ht="16" thickBot="1" x14ac:dyDescent="0.25">
      <c r="A2957" s="467" t="str">
        <f t="shared" si="297"/>
        <v/>
      </c>
      <c r="B2957" s="1421"/>
      <c r="C2957" s="1421" t="str">
        <f t="shared" si="298"/>
        <v/>
      </c>
      <c r="D2957" s="189"/>
      <c r="E2957" s="1082"/>
      <c r="F2957" s="1082"/>
      <c r="G2957" s="1630"/>
      <c r="J2957" s="1453"/>
    </row>
    <row r="2958" spans="1:10" ht="16" thickTop="1" x14ac:dyDescent="0.2">
      <c r="A2958" s="467" t="str">
        <f t="shared" si="297"/>
        <v/>
      </c>
      <c r="B2958" s="1421"/>
      <c r="C2958" s="1421" t="str">
        <f t="shared" si="298"/>
        <v/>
      </c>
      <c r="D2958" s="226">
        <v>901.1</v>
      </c>
      <c r="E2958" s="69"/>
      <c r="F2958" s="69"/>
      <c r="G2958" s="1631" t="s">
        <v>5529</v>
      </c>
      <c r="J2958" s="1453"/>
    </row>
    <row r="2959" spans="1:10" x14ac:dyDescent="0.2">
      <c r="A2959" s="467" t="str">
        <f t="shared" si="297"/>
        <v/>
      </c>
      <c r="B2959" s="1421"/>
      <c r="C2959" s="1421" t="str">
        <f t="shared" si="298"/>
        <v/>
      </c>
      <c r="D2959" s="67"/>
      <c r="E2959" s="69"/>
      <c r="F2959" s="69"/>
      <c r="G2959" s="1631"/>
      <c r="J2959" s="1453"/>
    </row>
    <row r="2960" spans="1:10" x14ac:dyDescent="0.2">
      <c r="A2960" s="467" t="str">
        <f t="shared" si="297"/>
        <v/>
      </c>
      <c r="B2960" s="1421"/>
      <c r="C2960" s="1421" t="str">
        <f t="shared" si="298"/>
        <v/>
      </c>
      <c r="D2960" s="67"/>
      <c r="E2960" s="69"/>
      <c r="F2960" s="69"/>
      <c r="G2960" s="1631"/>
      <c r="J2960" s="1453"/>
    </row>
    <row r="2961" spans="1:10" x14ac:dyDescent="0.2">
      <c r="A2961" s="467" t="str">
        <f t="shared" si="297"/>
        <v/>
      </c>
      <c r="B2961" s="1421"/>
      <c r="C2961" s="1421" t="str">
        <f t="shared" si="298"/>
        <v/>
      </c>
      <c r="D2961" s="67"/>
      <c r="E2961" s="29" t="s">
        <v>254</v>
      </c>
      <c r="F2961" s="69"/>
      <c r="G2961" s="1611" t="s">
        <v>5530</v>
      </c>
      <c r="J2961" s="1453"/>
    </row>
    <row r="2962" spans="1:10" x14ac:dyDescent="0.2">
      <c r="A2962" s="467" t="str">
        <f t="shared" si="297"/>
        <v/>
      </c>
      <c r="B2962" s="1421"/>
      <c r="C2962" s="1421" t="str">
        <f t="shared" si="298"/>
        <v/>
      </c>
      <c r="D2962" s="67"/>
      <c r="E2962" s="69"/>
      <c r="F2962" s="69"/>
      <c r="G2962" s="1611"/>
      <c r="J2962" s="1453"/>
    </row>
    <row r="2963" spans="1:10" x14ac:dyDescent="0.2">
      <c r="A2963" s="467" t="str">
        <f t="shared" si="297"/>
        <v/>
      </c>
      <c r="B2963" s="1421"/>
      <c r="C2963" s="1421" t="str">
        <f t="shared" si="298"/>
        <v/>
      </c>
      <c r="D2963" s="67"/>
      <c r="E2963" s="69"/>
      <c r="F2963" s="69"/>
      <c r="G2963" s="1611"/>
      <c r="J2963" s="1453"/>
    </row>
    <row r="2964" spans="1:10" x14ac:dyDescent="0.2">
      <c r="A2964" s="467" t="str">
        <f t="shared" si="297"/>
        <v/>
      </c>
      <c r="B2964" s="1421"/>
      <c r="C2964" s="1421" t="str">
        <f t="shared" si="298"/>
        <v/>
      </c>
      <c r="D2964" s="67"/>
      <c r="E2964" s="69"/>
      <c r="F2964" s="69"/>
      <c r="G2964" s="1611"/>
      <c r="J2964" s="1453"/>
    </row>
    <row r="2965" spans="1:10" x14ac:dyDescent="0.2">
      <c r="A2965" s="467" t="str">
        <f t="shared" si="297"/>
        <v/>
      </c>
      <c r="B2965" s="1421"/>
      <c r="C2965" s="1421" t="str">
        <f t="shared" si="298"/>
        <v/>
      </c>
      <c r="D2965" s="67"/>
      <c r="E2965" s="447"/>
      <c r="F2965" s="447"/>
      <c r="G2965" s="1612"/>
      <c r="J2965" s="1453"/>
    </row>
    <row r="2966" spans="1:10" x14ac:dyDescent="0.2">
      <c r="A2966" s="467" t="str">
        <f t="shared" si="297"/>
        <v/>
      </c>
      <c r="B2966" s="1421"/>
      <c r="C2966" s="1421" t="str">
        <f t="shared" si="298"/>
        <v/>
      </c>
      <c r="D2966" s="67"/>
      <c r="E2966" s="207" t="s">
        <v>255</v>
      </c>
      <c r="F2966" s="447"/>
      <c r="G2966" s="1430" t="s">
        <v>2728</v>
      </c>
      <c r="J2966" s="1453"/>
    </row>
    <row r="2967" spans="1:10" x14ac:dyDescent="0.2">
      <c r="A2967" s="467" t="str">
        <f t="shared" si="297"/>
        <v/>
      </c>
      <c r="B2967" s="1421"/>
      <c r="C2967" s="1421" t="str">
        <f t="shared" si="298"/>
        <v/>
      </c>
      <c r="D2967" s="67"/>
      <c r="E2967" s="29" t="s">
        <v>256</v>
      </c>
      <c r="F2967" s="69"/>
      <c r="G2967" s="1611" t="s">
        <v>5531</v>
      </c>
      <c r="J2967" s="1453"/>
    </row>
    <row r="2968" spans="1:10" x14ac:dyDescent="0.2">
      <c r="A2968" s="467" t="str">
        <f t="shared" si="297"/>
        <v/>
      </c>
      <c r="B2968" s="1421"/>
      <c r="C2968" s="1421" t="str">
        <f t="shared" si="298"/>
        <v/>
      </c>
      <c r="D2968" s="67"/>
      <c r="E2968" s="69"/>
      <c r="F2968" s="69"/>
      <c r="G2968" s="1611"/>
      <c r="J2968" s="1453"/>
    </row>
    <row r="2969" spans="1:10" x14ac:dyDescent="0.2">
      <c r="A2969" s="467" t="str">
        <f t="shared" si="297"/>
        <v/>
      </c>
      <c r="B2969" s="1421"/>
      <c r="C2969" s="1421" t="str">
        <f t="shared" si="298"/>
        <v/>
      </c>
      <c r="D2969" s="67"/>
      <c r="E2969" s="69"/>
      <c r="F2969" s="69"/>
      <c r="G2969" s="1611"/>
      <c r="J2969" s="1453"/>
    </row>
    <row r="2970" spans="1:10" ht="16" thickBot="1" x14ac:dyDescent="0.25">
      <c r="B2970" s="1421"/>
      <c r="C2970" s="1421" t="str">
        <f t="shared" si="298"/>
        <v/>
      </c>
      <c r="D2970" s="189"/>
      <c r="E2970" s="1082"/>
      <c r="F2970" s="1082"/>
      <c r="G2970" s="408" t="s">
        <v>5532</v>
      </c>
      <c r="J2970" s="1453"/>
    </row>
    <row r="2971" spans="1:10" ht="16" thickTop="1" x14ac:dyDescent="0.2">
      <c r="A2971" s="467" t="str">
        <f t="shared" ref="A2971:A3002" si="299">IF(dstCommercial="Yes","P","")</f>
        <v/>
      </c>
      <c r="B2971" s="1421"/>
      <c r="C2971" s="1421" t="str">
        <f t="shared" si="298"/>
        <v/>
      </c>
      <c r="D2971" s="177">
        <v>901.11</v>
      </c>
      <c r="E2971" s="429"/>
      <c r="F2971" s="429"/>
      <c r="G2971" s="1683" t="s">
        <v>5533</v>
      </c>
      <c r="J2971" s="1453"/>
    </row>
    <row r="2972" spans="1:10" x14ac:dyDescent="0.2">
      <c r="A2972" s="467" t="str">
        <f t="shared" si="299"/>
        <v/>
      </c>
      <c r="B2972" s="1421"/>
      <c r="C2972" s="1421" t="str">
        <f t="shared" si="298"/>
        <v/>
      </c>
      <c r="D2972" s="67"/>
      <c r="E2972" s="69"/>
      <c r="F2972" s="69"/>
      <c r="G2972" s="1631"/>
      <c r="J2972" s="1453"/>
    </row>
    <row r="2973" spans="1:10" x14ac:dyDescent="0.2">
      <c r="A2973" s="467" t="str">
        <f t="shared" si="299"/>
        <v/>
      </c>
      <c r="B2973" s="1421"/>
      <c r="C2973" s="1421" t="str">
        <f t="shared" si="298"/>
        <v/>
      </c>
      <c r="D2973" s="67"/>
      <c r="E2973" s="69"/>
      <c r="F2973" s="69"/>
      <c r="G2973" s="1631"/>
      <c r="J2973" s="1453"/>
    </row>
    <row r="2974" spans="1:10" x14ac:dyDescent="0.2">
      <c r="A2974" s="467" t="str">
        <f t="shared" si="299"/>
        <v/>
      </c>
      <c r="B2974" s="1421"/>
      <c r="C2974" s="1421" t="str">
        <f t="shared" si="298"/>
        <v/>
      </c>
      <c r="D2974" s="67"/>
      <c r="E2974" s="69"/>
      <c r="F2974" s="69"/>
      <c r="G2974" s="1631"/>
      <c r="J2974" s="1453"/>
    </row>
    <row r="2975" spans="1:10" ht="16" thickBot="1" x14ac:dyDescent="0.25">
      <c r="A2975" s="467" t="str">
        <f t="shared" si="299"/>
        <v/>
      </c>
      <c r="B2975" s="1421"/>
      <c r="C2975" s="1421" t="str">
        <f t="shared" si="298"/>
        <v/>
      </c>
      <c r="D2975" s="189"/>
      <c r="E2975" s="1082"/>
      <c r="F2975" s="1082"/>
      <c r="G2975" s="1630"/>
      <c r="J2975" s="1453"/>
    </row>
    <row r="2976" spans="1:10" ht="16" thickTop="1" x14ac:dyDescent="0.2">
      <c r="A2976" s="467" t="str">
        <f t="shared" si="299"/>
        <v/>
      </c>
      <c r="B2976" s="1421"/>
      <c r="C2976" s="1421" t="str">
        <f t="shared" si="298"/>
        <v/>
      </c>
      <c r="D2976" s="115" t="s">
        <v>5534</v>
      </c>
      <c r="E2976" s="1070"/>
      <c r="F2976" s="1070"/>
      <c r="G2976" s="1740" t="s">
        <v>5535</v>
      </c>
      <c r="J2976" s="1453"/>
    </row>
    <row r="2977" spans="1:10" x14ac:dyDescent="0.2">
      <c r="A2977" s="467" t="str">
        <f t="shared" si="299"/>
        <v/>
      </c>
      <c r="B2977" s="1421"/>
      <c r="C2977" s="1421" t="str">
        <f t="shared" si="298"/>
        <v/>
      </c>
      <c r="D2977" s="89"/>
      <c r="E2977" s="873"/>
      <c r="F2977" s="873"/>
      <c r="G2977" s="1807"/>
      <c r="J2977" s="1453"/>
    </row>
    <row r="2978" spans="1:10" x14ac:dyDescent="0.2">
      <c r="A2978" s="467" t="str">
        <f t="shared" si="299"/>
        <v/>
      </c>
      <c r="B2978" s="1421"/>
      <c r="C2978" s="1421" t="str">
        <f t="shared" si="298"/>
        <v/>
      </c>
      <c r="D2978" s="89"/>
      <c r="E2978" s="873"/>
      <c r="F2978" s="873"/>
      <c r="G2978" s="1807"/>
      <c r="J2978" s="1453"/>
    </row>
    <row r="2979" spans="1:10" x14ac:dyDescent="0.2">
      <c r="A2979" s="467" t="str">
        <f t="shared" si="299"/>
        <v/>
      </c>
      <c r="B2979" s="1421"/>
      <c r="C2979" s="1421" t="str">
        <f t="shared" si="298"/>
        <v/>
      </c>
      <c r="D2979" s="169"/>
      <c r="E2979" s="1072"/>
      <c r="F2979" s="1072"/>
      <c r="G2979" s="1688"/>
      <c r="J2979" s="1453"/>
    </row>
    <row r="2980" spans="1:10" x14ac:dyDescent="0.2">
      <c r="A2980" s="467" t="str">
        <f t="shared" si="299"/>
        <v/>
      </c>
      <c r="B2980" s="1421"/>
      <c r="C2980" s="1421" t="str">
        <f t="shared" si="298"/>
        <v/>
      </c>
      <c r="D2980" s="860" t="s">
        <v>5536</v>
      </c>
      <c r="E2980" s="1073"/>
      <c r="F2980" s="1073"/>
      <c r="G2980" s="1686" t="s">
        <v>5537</v>
      </c>
      <c r="J2980" s="1453" t="s">
        <v>3120</v>
      </c>
    </row>
    <row r="2981" spans="1:10" x14ac:dyDescent="0.2">
      <c r="A2981" s="467" t="str">
        <f t="shared" si="299"/>
        <v/>
      </c>
      <c r="B2981" s="1421"/>
      <c r="C2981" s="1421" t="str">
        <f t="shared" si="298"/>
        <v/>
      </c>
      <c r="D2981" s="89"/>
      <c r="E2981" s="873"/>
      <c r="F2981" s="873"/>
      <c r="G2981" s="1807"/>
      <c r="J2981" s="1453"/>
    </row>
    <row r="2982" spans="1:10" x14ac:dyDescent="0.2">
      <c r="A2982" s="467" t="str">
        <f t="shared" si="299"/>
        <v/>
      </c>
      <c r="B2982" s="1421"/>
      <c r="C2982" s="1421" t="str">
        <f t="shared" si="298"/>
        <v/>
      </c>
      <c r="D2982" s="89"/>
      <c r="E2982" s="873"/>
      <c r="F2982" s="873"/>
      <c r="G2982" s="1807"/>
      <c r="J2982" s="1453"/>
    </row>
    <row r="2983" spans="1:10" x14ac:dyDescent="0.2">
      <c r="A2983" s="467" t="str">
        <f t="shared" si="299"/>
        <v/>
      </c>
      <c r="B2983" s="1421"/>
      <c r="C2983" s="1421" t="str">
        <f t="shared" si="298"/>
        <v/>
      </c>
      <c r="D2983" s="89"/>
      <c r="E2983" s="873"/>
      <c r="F2983" s="873"/>
      <c r="G2983" s="1807"/>
      <c r="J2983" s="1453"/>
    </row>
    <row r="2984" spans="1:10" x14ac:dyDescent="0.2">
      <c r="A2984" s="467" t="str">
        <f t="shared" si="299"/>
        <v/>
      </c>
      <c r="B2984" s="1421"/>
      <c r="C2984" s="1421" t="str">
        <f t="shared" si="298"/>
        <v/>
      </c>
      <c r="D2984" s="169"/>
      <c r="E2984" s="1072"/>
      <c r="F2984" s="1072"/>
      <c r="G2984" s="1688"/>
      <c r="J2984" s="1453"/>
    </row>
    <row r="2985" spans="1:10" x14ac:dyDescent="0.2">
      <c r="A2985" s="467" t="str">
        <f t="shared" si="299"/>
        <v/>
      </c>
      <c r="B2985" s="1421"/>
      <c r="C2985" s="1421" t="str">
        <f t="shared" si="298"/>
        <v/>
      </c>
      <c r="D2985" s="89" t="s">
        <v>5538</v>
      </c>
      <c r="E2985" s="1073"/>
      <c r="F2985" s="1073"/>
      <c r="G2985" s="1686" t="s">
        <v>5539</v>
      </c>
      <c r="J2985" s="1453" t="s">
        <v>5625</v>
      </c>
    </row>
    <row r="2986" spans="1:10" x14ac:dyDescent="0.2">
      <c r="A2986" s="467" t="str">
        <f t="shared" si="299"/>
        <v/>
      </c>
      <c r="B2986" s="1421"/>
      <c r="C2986" s="1421" t="str">
        <f t="shared" si="298"/>
        <v/>
      </c>
      <c r="D2986" s="89"/>
      <c r="E2986" s="873"/>
      <c r="F2986" s="873"/>
      <c r="G2986" s="1807"/>
      <c r="J2986" s="1453"/>
    </row>
    <row r="2987" spans="1:10" x14ac:dyDescent="0.2">
      <c r="A2987" s="467" t="str">
        <f t="shared" si="299"/>
        <v/>
      </c>
      <c r="B2987" s="1421"/>
      <c r="C2987" s="1421" t="str">
        <f t="shared" si="298"/>
        <v/>
      </c>
      <c r="D2987" s="89"/>
      <c r="E2987" s="1072"/>
      <c r="F2987" s="1072"/>
      <c r="G2987" s="1688"/>
      <c r="J2987" s="1453"/>
    </row>
    <row r="2988" spans="1:10" x14ac:dyDescent="0.2">
      <c r="A2988" s="467" t="str">
        <f t="shared" si="299"/>
        <v/>
      </c>
      <c r="B2988" s="1421"/>
      <c r="C2988" s="1421" t="str">
        <f t="shared" si="298"/>
        <v/>
      </c>
      <c r="D2988" s="89"/>
      <c r="E2988" s="873" t="s">
        <v>254</v>
      </c>
      <c r="F2988" s="873"/>
      <c r="G2988" s="1808" t="s">
        <v>2697</v>
      </c>
      <c r="J2988" s="1453"/>
    </row>
    <row r="2989" spans="1:10" x14ac:dyDescent="0.2">
      <c r="A2989" s="467" t="str">
        <f t="shared" si="299"/>
        <v/>
      </c>
      <c r="B2989" s="1421"/>
      <c r="C2989" s="1421" t="str">
        <f t="shared" si="298"/>
        <v/>
      </c>
      <c r="D2989" s="89"/>
      <c r="E2989" s="873"/>
      <c r="F2989" s="873"/>
      <c r="G2989" s="1808"/>
      <c r="J2989" s="1453"/>
    </row>
    <row r="2990" spans="1:10" x14ac:dyDescent="0.2">
      <c r="A2990" s="467" t="str">
        <f t="shared" si="299"/>
        <v/>
      </c>
      <c r="B2990" s="1421"/>
      <c r="C2990" s="1421" t="str">
        <f t="shared" si="298"/>
        <v/>
      </c>
      <c r="D2990" s="89"/>
      <c r="E2990" s="1072"/>
      <c r="F2990" s="1072"/>
      <c r="G2990" s="1639"/>
      <c r="J2990" s="1453"/>
    </row>
    <row r="2991" spans="1:10" x14ac:dyDescent="0.2">
      <c r="A2991" s="467" t="str">
        <f t="shared" si="299"/>
        <v/>
      </c>
      <c r="B2991" s="1421"/>
      <c r="C2991" s="1421" t="str">
        <f t="shared" si="298"/>
        <v/>
      </c>
      <c r="D2991" s="89"/>
      <c r="E2991" s="1073" t="s">
        <v>255</v>
      </c>
      <c r="F2991" s="1073"/>
      <c r="G2991" s="1633" t="s">
        <v>5540</v>
      </c>
      <c r="J2991" s="1453"/>
    </row>
    <row r="2992" spans="1:10" x14ac:dyDescent="0.2">
      <c r="A2992" s="467" t="str">
        <f t="shared" si="299"/>
        <v/>
      </c>
      <c r="B2992" s="1421"/>
      <c r="C2992" s="1421" t="str">
        <f t="shared" si="298"/>
        <v/>
      </c>
      <c r="D2992" s="89"/>
      <c r="E2992" s="1072"/>
      <c r="F2992" s="1072"/>
      <c r="G2992" s="1639"/>
      <c r="J2992" s="1453"/>
    </row>
    <row r="2993" spans="1:10" x14ac:dyDescent="0.2">
      <c r="A2993" s="467" t="str">
        <f t="shared" si="299"/>
        <v/>
      </c>
      <c r="B2993" s="1421"/>
      <c r="C2993" s="1421" t="str">
        <f t="shared" si="298"/>
        <v/>
      </c>
      <c r="D2993" s="89"/>
      <c r="E2993" s="873" t="s">
        <v>256</v>
      </c>
      <c r="F2993" s="873"/>
      <c r="G2993" s="1808" t="s">
        <v>5541</v>
      </c>
      <c r="J2993" s="1453"/>
    </row>
    <row r="2994" spans="1:10" x14ac:dyDescent="0.2">
      <c r="A2994" s="467" t="str">
        <f t="shared" si="299"/>
        <v/>
      </c>
      <c r="B2994" s="1421"/>
      <c r="C2994" s="1421" t="str">
        <f t="shared" si="298"/>
        <v/>
      </c>
      <c r="D2994" s="169"/>
      <c r="E2994" s="1072"/>
      <c r="F2994" s="1072"/>
      <c r="G2994" s="1639"/>
      <c r="J2994" s="1453"/>
    </row>
    <row r="2995" spans="1:10" x14ac:dyDescent="0.2">
      <c r="A2995" s="467" t="str">
        <f t="shared" si="299"/>
        <v/>
      </c>
      <c r="B2995" s="1421"/>
      <c r="C2995" s="1421" t="str">
        <f t="shared" si="298"/>
        <v/>
      </c>
      <c r="D2995" s="860" t="s">
        <v>5542</v>
      </c>
      <c r="E2995" s="1073"/>
      <c r="F2995" s="1073"/>
      <c r="G2995" s="1686" t="s">
        <v>5543</v>
      </c>
      <c r="J2995" s="1453" t="s">
        <v>5625</v>
      </c>
    </row>
    <row r="2996" spans="1:10" x14ac:dyDescent="0.2">
      <c r="A2996" s="467" t="str">
        <f t="shared" si="299"/>
        <v/>
      </c>
      <c r="B2996" s="1421"/>
      <c r="C2996" s="1421" t="str">
        <f t="shared" si="298"/>
        <v/>
      </c>
      <c r="D2996" s="89"/>
      <c r="E2996" s="873"/>
      <c r="F2996" s="873"/>
      <c r="G2996" s="1807"/>
      <c r="J2996" s="1453"/>
    </row>
    <row r="2997" spans="1:10" x14ac:dyDescent="0.2">
      <c r="A2997" s="467" t="str">
        <f t="shared" si="299"/>
        <v/>
      </c>
      <c r="B2997" s="1421"/>
      <c r="C2997" s="1421" t="str">
        <f t="shared" si="298"/>
        <v/>
      </c>
      <c r="D2997" s="89"/>
      <c r="E2997" s="873"/>
      <c r="F2997" s="873"/>
      <c r="G2997" s="1807"/>
      <c r="J2997" s="1453"/>
    </row>
    <row r="2998" spans="1:10" x14ac:dyDescent="0.2">
      <c r="A2998" s="467" t="str">
        <f t="shared" si="299"/>
        <v/>
      </c>
      <c r="B2998" s="1421"/>
      <c r="C2998" s="1421" t="str">
        <f t="shared" si="298"/>
        <v/>
      </c>
      <c r="D2998" s="169"/>
      <c r="E2998" s="1072"/>
      <c r="F2998" s="1072"/>
      <c r="G2998" s="1688"/>
      <c r="J2998" s="1453"/>
    </row>
    <row r="2999" spans="1:10" x14ac:dyDescent="0.2">
      <c r="A2999" s="467" t="str">
        <f t="shared" si="299"/>
        <v/>
      </c>
      <c r="B2999" s="1421"/>
      <c r="C2999" s="1421" t="str">
        <f t="shared" si="298"/>
        <v/>
      </c>
      <c r="D2999" s="860" t="s">
        <v>5544</v>
      </c>
      <c r="E2999" s="1073"/>
      <c r="F2999" s="1073"/>
      <c r="G2999" s="1686" t="s">
        <v>5545</v>
      </c>
      <c r="J2999" s="1453" t="s">
        <v>5625</v>
      </c>
    </row>
    <row r="3000" spans="1:10" x14ac:dyDescent="0.2">
      <c r="A3000" s="467" t="str">
        <f t="shared" si="299"/>
        <v/>
      </c>
      <c r="B3000" s="1421"/>
      <c r="C3000" s="1421" t="str">
        <f t="shared" si="298"/>
        <v/>
      </c>
      <c r="D3000" s="89"/>
      <c r="E3000" s="873"/>
      <c r="F3000" s="873"/>
      <c r="G3000" s="1807"/>
      <c r="J3000" s="1453"/>
    </row>
    <row r="3001" spans="1:10" x14ac:dyDescent="0.2">
      <c r="A3001" s="467" t="str">
        <f t="shared" si="299"/>
        <v/>
      </c>
      <c r="B3001" s="1421"/>
      <c r="C3001" s="1421" t="str">
        <f t="shared" si="298"/>
        <v/>
      </c>
      <c r="D3001" s="89"/>
      <c r="E3001" s="873"/>
      <c r="F3001" s="873"/>
      <c r="G3001" s="1807"/>
      <c r="J3001" s="1453"/>
    </row>
    <row r="3002" spans="1:10" x14ac:dyDescent="0.2">
      <c r="A3002" s="467" t="str">
        <f t="shared" si="299"/>
        <v/>
      </c>
      <c r="B3002" s="1421"/>
      <c r="C3002" s="1421" t="str">
        <f t="shared" si="298"/>
        <v/>
      </c>
      <c r="D3002" s="169"/>
      <c r="E3002" s="1072"/>
      <c r="F3002" s="1072"/>
      <c r="G3002" s="1688"/>
      <c r="J3002" s="1453"/>
    </row>
    <row r="3003" spans="1:10" x14ac:dyDescent="0.2">
      <c r="A3003" s="467" t="str">
        <f t="shared" ref="A3003:A3034" si="300">IF(dstCommercial="Yes","P","")</f>
        <v/>
      </c>
      <c r="B3003" s="1421"/>
      <c r="C3003" s="1421" t="str">
        <f t="shared" si="298"/>
        <v/>
      </c>
      <c r="D3003" s="89" t="s">
        <v>5546</v>
      </c>
      <c r="E3003" s="873"/>
      <c r="F3003" s="873"/>
      <c r="G3003" s="1807" t="s">
        <v>5547</v>
      </c>
      <c r="J3003" s="1453" t="s">
        <v>3120</v>
      </c>
    </row>
    <row r="3004" spans="1:10" ht="16" thickBot="1" x14ac:dyDescent="0.25">
      <c r="A3004" s="467" t="str">
        <f t="shared" si="300"/>
        <v/>
      </c>
      <c r="B3004" s="1421"/>
      <c r="C3004" s="1421" t="str">
        <f t="shared" si="298"/>
        <v/>
      </c>
      <c r="D3004" s="98"/>
      <c r="E3004" s="1069"/>
      <c r="F3004" s="1069"/>
      <c r="G3004" s="1738"/>
      <c r="J3004" s="1453"/>
    </row>
    <row r="3005" spans="1:10" ht="16" thickTop="1" x14ac:dyDescent="0.2">
      <c r="A3005" s="467" t="str">
        <f t="shared" si="300"/>
        <v/>
      </c>
      <c r="B3005" s="1421"/>
      <c r="C3005" s="1421" t="str">
        <f t="shared" si="298"/>
        <v/>
      </c>
      <c r="D3005" s="115" t="s">
        <v>5548</v>
      </c>
      <c r="E3005" s="1070"/>
      <c r="F3005" s="1070"/>
      <c r="G3005" s="1740" t="s">
        <v>5549</v>
      </c>
      <c r="J3005" s="1453" t="s">
        <v>5607</v>
      </c>
    </row>
    <row r="3006" spans="1:10" ht="16" thickBot="1" x14ac:dyDescent="0.25">
      <c r="A3006" s="467" t="str">
        <f t="shared" si="300"/>
        <v/>
      </c>
      <c r="B3006" s="1421"/>
      <c r="C3006" s="1421" t="str">
        <f t="shared" si="298"/>
        <v/>
      </c>
      <c r="D3006" s="98"/>
      <c r="E3006" s="1069"/>
      <c r="F3006" s="1069"/>
      <c r="G3006" s="1738"/>
      <c r="J3006" s="1453"/>
    </row>
    <row r="3007" spans="1:10" ht="16" thickTop="1" x14ac:dyDescent="0.2">
      <c r="A3007" s="467" t="str">
        <f t="shared" si="300"/>
        <v/>
      </c>
      <c r="B3007" s="1421"/>
      <c r="C3007" s="1421" t="str">
        <f t="shared" si="298"/>
        <v/>
      </c>
      <c r="D3007" s="89" t="s">
        <v>5550</v>
      </c>
      <c r="E3007" s="873"/>
      <c r="F3007" s="873"/>
      <c r="G3007" s="1470" t="s">
        <v>5551</v>
      </c>
      <c r="J3007" s="1453" t="s">
        <v>3120</v>
      </c>
    </row>
    <row r="3008" spans="1:10" x14ac:dyDescent="0.2">
      <c r="A3008" s="467" t="str">
        <f t="shared" si="300"/>
        <v/>
      </c>
      <c r="B3008" s="1421"/>
      <c r="C3008" s="1421" t="str">
        <f t="shared" si="298"/>
        <v/>
      </c>
      <c r="D3008" s="89"/>
      <c r="E3008" s="873" t="s">
        <v>254</v>
      </c>
      <c r="F3008" s="873"/>
      <c r="G3008" s="1808" t="s">
        <v>5552</v>
      </c>
      <c r="J3008" s="1453"/>
    </row>
    <row r="3009" spans="1:10" x14ac:dyDescent="0.2">
      <c r="A3009" s="467" t="str">
        <f t="shared" si="300"/>
        <v/>
      </c>
      <c r="B3009" s="1421"/>
      <c r="C3009" s="1421" t="str">
        <f t="shared" si="298"/>
        <v/>
      </c>
      <c r="D3009" s="89"/>
      <c r="E3009" s="1072"/>
      <c r="F3009" s="1072"/>
      <c r="G3009" s="1639"/>
      <c r="J3009" s="1453"/>
    </row>
    <row r="3010" spans="1:10" x14ac:dyDescent="0.2">
      <c r="A3010" s="467" t="str">
        <f t="shared" si="300"/>
        <v/>
      </c>
      <c r="B3010" s="1421"/>
      <c r="C3010" s="1421" t="str">
        <f t="shared" si="298"/>
        <v/>
      </c>
      <c r="D3010" s="89"/>
      <c r="E3010" s="873" t="s">
        <v>255</v>
      </c>
      <c r="F3010" s="873"/>
      <c r="G3010" s="1808" t="s">
        <v>5553</v>
      </c>
      <c r="J3010" s="1453"/>
    </row>
    <row r="3011" spans="1:10" ht="16" thickBot="1" x14ac:dyDescent="0.25">
      <c r="A3011" s="467" t="str">
        <f t="shared" si="300"/>
        <v/>
      </c>
      <c r="B3011" s="1421"/>
      <c r="C3011" s="1421" t="str">
        <f t="shared" si="298"/>
        <v/>
      </c>
      <c r="D3011" s="98"/>
      <c r="E3011" s="1069"/>
      <c r="F3011" s="1069"/>
      <c r="G3011" s="1635"/>
      <c r="J3011" s="1453"/>
    </row>
    <row r="3012" spans="1:10" ht="16" thickTop="1" x14ac:dyDescent="0.2">
      <c r="A3012" s="467" t="str">
        <f t="shared" si="300"/>
        <v/>
      </c>
      <c r="B3012" s="1421"/>
      <c r="C3012" s="1421" t="str">
        <f t="shared" si="298"/>
        <v/>
      </c>
      <c r="D3012" s="115" t="s">
        <v>5554</v>
      </c>
      <c r="E3012" s="1070"/>
      <c r="F3012" s="1070"/>
      <c r="G3012" s="1740" t="s">
        <v>5555</v>
      </c>
      <c r="J3012" s="1453" t="s">
        <v>5607</v>
      </c>
    </row>
    <row r="3013" spans="1:10" ht="16" thickBot="1" x14ac:dyDescent="0.25">
      <c r="A3013" s="467" t="str">
        <f t="shared" si="300"/>
        <v/>
      </c>
      <c r="B3013" s="1421"/>
      <c r="C3013" s="1421" t="str">
        <f t="shared" si="298"/>
        <v/>
      </c>
      <c r="D3013" s="98"/>
      <c r="E3013" s="1069"/>
      <c r="F3013" s="1069"/>
      <c r="G3013" s="1738"/>
      <c r="J3013" s="1453"/>
    </row>
    <row r="3014" spans="1:10" ht="16" thickTop="1" x14ac:dyDescent="0.2">
      <c r="A3014" s="467" t="str">
        <f t="shared" si="300"/>
        <v/>
      </c>
      <c r="B3014" s="1421"/>
      <c r="C3014" s="1421" t="str">
        <f t="shared" si="298"/>
        <v/>
      </c>
      <c r="D3014" s="89" t="s">
        <v>5556</v>
      </c>
      <c r="E3014" s="873"/>
      <c r="F3014" s="873"/>
      <c r="G3014" s="1470" t="s">
        <v>5557</v>
      </c>
      <c r="J3014" s="1453"/>
    </row>
    <row r="3015" spans="1:10" x14ac:dyDescent="0.2">
      <c r="A3015" s="467" t="str">
        <f t="shared" si="300"/>
        <v/>
      </c>
      <c r="B3015" s="1421"/>
      <c r="C3015" s="1421" t="str">
        <f t="shared" si="298"/>
        <v/>
      </c>
      <c r="D3015" s="89" t="s">
        <v>5558</v>
      </c>
      <c r="E3015" s="873"/>
      <c r="F3015" s="873"/>
      <c r="G3015" s="1807" t="s">
        <v>5559</v>
      </c>
      <c r="J3015" s="1453" t="s">
        <v>5607</v>
      </c>
    </row>
    <row r="3016" spans="1:10" x14ac:dyDescent="0.2">
      <c r="A3016" s="467" t="str">
        <f t="shared" si="300"/>
        <v/>
      </c>
      <c r="B3016" s="1421"/>
      <c r="C3016" s="1421" t="str">
        <f t="shared" ref="C3016:C3079" si="301">IF(LEN(B3016)=0,IF(A3016="P","P",""),B3016)</f>
        <v/>
      </c>
      <c r="D3016" s="169"/>
      <c r="E3016" s="1072"/>
      <c r="F3016" s="1072"/>
      <c r="G3016" s="1688"/>
      <c r="J3016" s="1453"/>
    </row>
    <row r="3017" spans="1:10" x14ac:dyDescent="0.2">
      <c r="A3017" s="467" t="str">
        <f t="shared" si="300"/>
        <v/>
      </c>
      <c r="B3017" s="1421"/>
      <c r="C3017" s="1421" t="str">
        <f t="shared" si="301"/>
        <v/>
      </c>
      <c r="D3017" s="89" t="s">
        <v>5560</v>
      </c>
      <c r="E3017" s="873"/>
      <c r="F3017" s="873"/>
      <c r="G3017" s="1807" t="s">
        <v>5561</v>
      </c>
      <c r="J3017" s="1453" t="s">
        <v>5607</v>
      </c>
    </row>
    <row r="3018" spans="1:10" ht="16" thickBot="1" x14ac:dyDescent="0.25">
      <c r="A3018" s="467" t="str">
        <f t="shared" si="300"/>
        <v/>
      </c>
      <c r="B3018" s="1421"/>
      <c r="C3018" s="1421" t="str">
        <f t="shared" si="301"/>
        <v/>
      </c>
      <c r="D3018" s="98"/>
      <c r="E3018" s="1069"/>
      <c r="F3018" s="1069"/>
      <c r="G3018" s="1738"/>
      <c r="J3018" s="1453"/>
    </row>
    <row r="3019" spans="1:10" ht="16" thickTop="1" x14ac:dyDescent="0.2">
      <c r="A3019" s="467" t="str">
        <f t="shared" si="300"/>
        <v/>
      </c>
      <c r="B3019" s="1421"/>
      <c r="C3019" s="1421" t="str">
        <f t="shared" si="301"/>
        <v/>
      </c>
      <c r="D3019" s="115" t="s">
        <v>5562</v>
      </c>
      <c r="E3019" s="1070"/>
      <c r="F3019" s="1070"/>
      <c r="G3019" s="1740" t="s">
        <v>5563</v>
      </c>
      <c r="J3019" s="1453"/>
    </row>
    <row r="3020" spans="1:10" x14ac:dyDescent="0.2">
      <c r="A3020" s="467" t="str">
        <f t="shared" si="300"/>
        <v/>
      </c>
      <c r="B3020" s="1421"/>
      <c r="C3020" s="1421" t="str">
        <f t="shared" si="301"/>
        <v/>
      </c>
      <c r="D3020" s="169"/>
      <c r="E3020" s="1072"/>
      <c r="F3020" s="1072"/>
      <c r="G3020" s="1688"/>
      <c r="J3020" s="1453"/>
    </row>
    <row r="3021" spans="1:10" x14ac:dyDescent="0.2">
      <c r="A3021" s="467" t="str">
        <f t="shared" si="300"/>
        <v/>
      </c>
      <c r="B3021" s="1421"/>
      <c r="C3021" s="1421" t="str">
        <f t="shared" si="301"/>
        <v/>
      </c>
      <c r="D3021" s="80" t="s">
        <v>5564</v>
      </c>
      <c r="E3021" s="589"/>
      <c r="F3021" s="589"/>
      <c r="G3021" s="1817" t="s">
        <v>5565</v>
      </c>
      <c r="J3021" s="1453" t="s">
        <v>5629</v>
      </c>
    </row>
    <row r="3022" spans="1:10" x14ac:dyDescent="0.2">
      <c r="A3022" s="467" t="str">
        <f t="shared" si="300"/>
        <v/>
      </c>
      <c r="B3022" s="1421"/>
      <c r="C3022" s="1421" t="str">
        <f t="shared" si="301"/>
        <v/>
      </c>
      <c r="D3022" s="589"/>
      <c r="E3022" s="589"/>
      <c r="F3022" s="589"/>
      <c r="G3022" s="1817"/>
      <c r="J3022" s="1453"/>
    </row>
    <row r="3023" spans="1:10" x14ac:dyDescent="0.2">
      <c r="A3023" s="467" t="str">
        <f t="shared" si="300"/>
        <v/>
      </c>
      <c r="B3023" s="1421"/>
      <c r="C3023" s="1421" t="str">
        <f t="shared" si="301"/>
        <v/>
      </c>
      <c r="D3023" s="589"/>
      <c r="E3023" s="589"/>
      <c r="F3023" s="589"/>
      <c r="G3023" s="1817"/>
      <c r="J3023" s="1453"/>
    </row>
    <row r="3024" spans="1:10" x14ac:dyDescent="0.2">
      <c r="A3024" s="467" t="str">
        <f t="shared" si="300"/>
        <v/>
      </c>
      <c r="B3024" s="1421"/>
      <c r="C3024" s="1421" t="str">
        <f t="shared" si="301"/>
        <v/>
      </c>
      <c r="D3024" s="589"/>
      <c r="E3024" s="589" t="s">
        <v>254</v>
      </c>
      <c r="F3024" s="589"/>
      <c r="G3024" s="1480" t="s">
        <v>2756</v>
      </c>
      <c r="J3024" s="1453"/>
    </row>
    <row r="3025" spans="1:10" x14ac:dyDescent="0.2">
      <c r="A3025" s="467" t="str">
        <f t="shared" si="300"/>
        <v/>
      </c>
      <c r="B3025" s="1421"/>
      <c r="C3025" s="1421" t="str">
        <f t="shared" si="301"/>
        <v/>
      </c>
      <c r="D3025" s="589"/>
      <c r="E3025" s="589"/>
      <c r="F3025" s="589" t="s">
        <v>121</v>
      </c>
      <c r="G3025" s="1480" t="s">
        <v>4884</v>
      </c>
      <c r="J3025" s="1453"/>
    </row>
    <row r="3026" spans="1:10" x14ac:dyDescent="0.2">
      <c r="A3026" s="467" t="str">
        <f t="shared" si="300"/>
        <v/>
      </c>
      <c r="B3026" s="1421"/>
      <c r="C3026" s="1421" t="str">
        <f t="shared" si="301"/>
        <v/>
      </c>
      <c r="D3026" s="606"/>
      <c r="E3026" s="606"/>
      <c r="F3026" s="606" t="s">
        <v>122</v>
      </c>
      <c r="G3026" s="1481" t="s">
        <v>4885</v>
      </c>
      <c r="J3026" s="1453"/>
    </row>
    <row r="3027" spans="1:10" ht="15" customHeight="1" x14ac:dyDescent="0.2">
      <c r="A3027" s="467" t="str">
        <f t="shared" si="300"/>
        <v/>
      </c>
      <c r="B3027" s="1421"/>
      <c r="C3027" s="1421" t="str">
        <f t="shared" si="301"/>
        <v/>
      </c>
      <c r="D3027" s="589" t="s">
        <v>4957</v>
      </c>
      <c r="E3027" s="589"/>
      <c r="F3027" s="589"/>
      <c r="G3027" s="1482" t="s">
        <v>5566</v>
      </c>
      <c r="J3027" s="1453"/>
    </row>
    <row r="3028" spans="1:10" x14ac:dyDescent="0.2">
      <c r="A3028" s="467" t="str">
        <f t="shared" si="300"/>
        <v/>
      </c>
      <c r="B3028" s="1421"/>
      <c r="C3028" s="1421" t="str">
        <f t="shared" si="301"/>
        <v/>
      </c>
      <c r="D3028" s="589" t="s">
        <v>5038</v>
      </c>
      <c r="E3028" s="589"/>
      <c r="F3028" s="589"/>
      <c r="G3028" s="1817" t="s">
        <v>5567</v>
      </c>
      <c r="J3028" s="1453"/>
    </row>
    <row r="3029" spans="1:10" x14ac:dyDescent="0.2">
      <c r="A3029" s="467" t="str">
        <f t="shared" si="300"/>
        <v/>
      </c>
      <c r="B3029" s="1421"/>
      <c r="C3029" s="1421" t="str">
        <f t="shared" si="301"/>
        <v/>
      </c>
      <c r="D3029" s="589"/>
      <c r="E3029" s="589"/>
      <c r="F3029" s="589"/>
      <c r="G3029" s="1817"/>
      <c r="J3029" s="1453"/>
    </row>
    <row r="3030" spans="1:10" x14ac:dyDescent="0.2">
      <c r="A3030" s="467" t="str">
        <f t="shared" si="300"/>
        <v/>
      </c>
      <c r="B3030" s="1421"/>
      <c r="C3030" s="1421" t="str">
        <f t="shared" si="301"/>
        <v/>
      </c>
      <c r="D3030" s="589"/>
      <c r="E3030" s="589"/>
      <c r="F3030" s="589"/>
      <c r="G3030" s="1817"/>
      <c r="J3030" s="1453"/>
    </row>
    <row r="3031" spans="1:10" x14ac:dyDescent="0.2">
      <c r="A3031" s="467" t="str">
        <f t="shared" si="300"/>
        <v/>
      </c>
      <c r="B3031" s="1421"/>
      <c r="C3031" s="1421" t="str">
        <f t="shared" si="301"/>
        <v/>
      </c>
      <c r="D3031" s="589"/>
      <c r="E3031" s="589"/>
      <c r="F3031" s="589"/>
      <c r="G3031" s="1817"/>
      <c r="J3031" s="1453"/>
    </row>
    <row r="3032" spans="1:10" x14ac:dyDescent="0.2">
      <c r="A3032" s="467" t="str">
        <f t="shared" si="300"/>
        <v/>
      </c>
      <c r="B3032" s="1421"/>
      <c r="C3032" s="1421" t="str">
        <f t="shared" si="301"/>
        <v/>
      </c>
      <c r="D3032" s="589"/>
      <c r="E3032" s="589"/>
      <c r="F3032" s="589"/>
      <c r="G3032" s="1817"/>
      <c r="J3032" s="1453"/>
    </row>
    <row r="3033" spans="1:10" x14ac:dyDescent="0.2">
      <c r="A3033" s="467" t="str">
        <f t="shared" si="300"/>
        <v/>
      </c>
      <c r="B3033" s="1421"/>
      <c r="C3033" s="1421" t="str">
        <f t="shared" si="301"/>
        <v/>
      </c>
      <c r="D3033" s="589"/>
      <c r="E3033" s="589"/>
      <c r="F3033" s="589"/>
      <c r="G3033" s="1817"/>
      <c r="J3033" s="1453"/>
    </row>
    <row r="3034" spans="1:10" x14ac:dyDescent="0.2">
      <c r="A3034" s="467" t="str">
        <f t="shared" si="300"/>
        <v/>
      </c>
      <c r="B3034" s="1421"/>
      <c r="C3034" s="1421" t="str">
        <f t="shared" si="301"/>
        <v/>
      </c>
      <c r="D3034" s="606"/>
      <c r="E3034" s="606"/>
      <c r="F3034" s="606"/>
      <c r="G3034" s="1818"/>
      <c r="J3034" s="1453"/>
    </row>
    <row r="3035" spans="1:10" x14ac:dyDescent="0.2">
      <c r="A3035" s="467" t="str">
        <f t="shared" ref="A3035:A3066" si="302">IF(dstCommercial="Yes","P","")</f>
        <v/>
      </c>
      <c r="B3035" s="1421"/>
      <c r="C3035" s="1421" t="str">
        <f t="shared" si="301"/>
        <v/>
      </c>
      <c r="D3035" s="608" t="s">
        <v>5039</v>
      </c>
      <c r="E3035" s="608"/>
      <c r="F3035" s="608"/>
      <c r="G3035" s="1819" t="s">
        <v>5568</v>
      </c>
      <c r="J3035" s="1453"/>
    </row>
    <row r="3036" spans="1:10" x14ac:dyDescent="0.2">
      <c r="A3036" s="467" t="str">
        <f t="shared" si="302"/>
        <v/>
      </c>
      <c r="B3036" s="1421"/>
      <c r="C3036" s="1421" t="str">
        <f t="shared" si="301"/>
        <v/>
      </c>
      <c r="D3036" s="589"/>
      <c r="E3036" s="589"/>
      <c r="F3036" s="589"/>
      <c r="G3036" s="1817"/>
      <c r="J3036" s="1453"/>
    </row>
    <row r="3037" spans="1:10" x14ac:dyDescent="0.2">
      <c r="A3037" s="467" t="str">
        <f t="shared" si="302"/>
        <v/>
      </c>
      <c r="B3037" s="1421"/>
      <c r="C3037" s="1421" t="str">
        <f t="shared" si="301"/>
        <v/>
      </c>
      <c r="D3037" s="589"/>
      <c r="E3037" s="589"/>
      <c r="F3037" s="589"/>
      <c r="G3037" s="1817"/>
      <c r="J3037" s="1453"/>
    </row>
    <row r="3038" spans="1:10" x14ac:dyDescent="0.2">
      <c r="A3038" s="467" t="str">
        <f t="shared" si="302"/>
        <v/>
      </c>
      <c r="B3038" s="1421"/>
      <c r="C3038" s="1421" t="str">
        <f t="shared" si="301"/>
        <v/>
      </c>
      <c r="D3038" s="589"/>
      <c r="E3038" s="589"/>
      <c r="F3038" s="589"/>
      <c r="G3038" s="1817"/>
      <c r="J3038" s="1453"/>
    </row>
    <row r="3039" spans="1:10" x14ac:dyDescent="0.2">
      <c r="A3039" s="467" t="str">
        <f t="shared" si="302"/>
        <v/>
      </c>
      <c r="B3039" s="1421"/>
      <c r="C3039" s="1421" t="str">
        <f t="shared" si="301"/>
        <v/>
      </c>
      <c r="D3039" s="589"/>
      <c r="E3039" s="589"/>
      <c r="F3039" s="589"/>
      <c r="G3039" s="1817"/>
      <c r="J3039" s="1453"/>
    </row>
    <row r="3040" spans="1:10" x14ac:dyDescent="0.2">
      <c r="A3040" s="467" t="str">
        <f t="shared" si="302"/>
        <v/>
      </c>
      <c r="B3040" s="1421"/>
      <c r="C3040" s="1421" t="str">
        <f t="shared" si="301"/>
        <v/>
      </c>
      <c r="D3040" s="589"/>
      <c r="E3040" s="589"/>
      <c r="F3040" s="589"/>
      <c r="G3040" s="1817"/>
      <c r="J3040" s="1453"/>
    </row>
    <row r="3041" spans="1:10" x14ac:dyDescent="0.2">
      <c r="A3041" s="467" t="str">
        <f t="shared" si="302"/>
        <v/>
      </c>
      <c r="B3041" s="1421"/>
      <c r="C3041" s="1421" t="str">
        <f t="shared" si="301"/>
        <v/>
      </c>
      <c r="D3041" s="606"/>
      <c r="E3041" s="606"/>
      <c r="F3041" s="606"/>
      <c r="G3041" s="1818"/>
      <c r="J3041" s="1453"/>
    </row>
    <row r="3042" spans="1:10" x14ac:dyDescent="0.2">
      <c r="A3042" s="467" t="str">
        <f t="shared" si="302"/>
        <v/>
      </c>
      <c r="B3042" s="1421"/>
      <c r="C3042" s="1421" t="str">
        <f t="shared" si="301"/>
        <v/>
      </c>
      <c r="D3042" s="608" t="s">
        <v>5040</v>
      </c>
      <c r="E3042" s="608"/>
      <c r="F3042" s="608"/>
      <c r="G3042" s="1819" t="s">
        <v>5569</v>
      </c>
      <c r="J3042" s="1453"/>
    </row>
    <row r="3043" spans="1:10" x14ac:dyDescent="0.2">
      <c r="A3043" s="467" t="str">
        <f t="shared" si="302"/>
        <v/>
      </c>
      <c r="B3043" s="1421"/>
      <c r="C3043" s="1421" t="str">
        <f t="shared" si="301"/>
        <v/>
      </c>
      <c r="D3043" s="589"/>
      <c r="E3043" s="589"/>
      <c r="F3043" s="589"/>
      <c r="G3043" s="1817"/>
      <c r="J3043" s="1453"/>
    </row>
    <row r="3044" spans="1:10" x14ac:dyDescent="0.2">
      <c r="A3044" s="467" t="str">
        <f t="shared" si="302"/>
        <v/>
      </c>
      <c r="B3044" s="1421"/>
      <c r="C3044" s="1421" t="str">
        <f t="shared" si="301"/>
        <v/>
      </c>
      <c r="D3044" s="589"/>
      <c r="E3044" s="589"/>
      <c r="F3044" s="589"/>
      <c r="G3044" s="1817"/>
      <c r="J3044" s="1453"/>
    </row>
    <row r="3045" spans="1:10" x14ac:dyDescent="0.2">
      <c r="A3045" s="467" t="str">
        <f t="shared" si="302"/>
        <v/>
      </c>
      <c r="B3045" s="1421"/>
      <c r="C3045" s="1421" t="str">
        <f t="shared" si="301"/>
        <v/>
      </c>
      <c r="D3045" s="589"/>
      <c r="E3045" s="589"/>
      <c r="F3045" s="589"/>
      <c r="G3045" s="1817"/>
      <c r="J3045" s="1453"/>
    </row>
    <row r="3046" spans="1:10" x14ac:dyDescent="0.2">
      <c r="A3046" s="467" t="str">
        <f t="shared" si="302"/>
        <v/>
      </c>
      <c r="B3046" s="1421"/>
      <c r="C3046" s="1421" t="str">
        <f t="shared" si="301"/>
        <v/>
      </c>
      <c r="D3046" s="589"/>
      <c r="E3046" s="589"/>
      <c r="F3046" s="589"/>
      <c r="G3046" s="1817"/>
      <c r="J3046" s="1453"/>
    </row>
    <row r="3047" spans="1:10" x14ac:dyDescent="0.2">
      <c r="A3047" s="467" t="str">
        <f t="shared" si="302"/>
        <v/>
      </c>
      <c r="B3047" s="1421"/>
      <c r="C3047" s="1421" t="str">
        <f t="shared" si="301"/>
        <v/>
      </c>
      <c r="D3047" s="589"/>
      <c r="E3047" s="589"/>
      <c r="F3047" s="589"/>
      <c r="G3047" s="1817"/>
      <c r="J3047" s="1453"/>
    </row>
    <row r="3048" spans="1:10" x14ac:dyDescent="0.2">
      <c r="A3048" s="467" t="str">
        <f t="shared" si="302"/>
        <v/>
      </c>
      <c r="B3048" s="1421"/>
      <c r="C3048" s="1421" t="str">
        <f t="shared" si="301"/>
        <v/>
      </c>
      <c r="D3048" s="606"/>
      <c r="E3048" s="606"/>
      <c r="F3048" s="606"/>
      <c r="G3048" s="1818"/>
      <c r="J3048" s="1453"/>
    </row>
    <row r="3049" spans="1:10" x14ac:dyDescent="0.2">
      <c r="A3049" s="467" t="str">
        <f t="shared" si="302"/>
        <v/>
      </c>
      <c r="B3049" s="1421"/>
      <c r="C3049" s="1421" t="str">
        <f t="shared" si="301"/>
        <v/>
      </c>
      <c r="D3049" s="608" t="s">
        <v>5041</v>
      </c>
      <c r="E3049" s="608"/>
      <c r="F3049" s="608"/>
      <c r="G3049" s="1819" t="s">
        <v>5570</v>
      </c>
      <c r="J3049" s="1453"/>
    </row>
    <row r="3050" spans="1:10" x14ac:dyDescent="0.2">
      <c r="A3050" s="467" t="str">
        <f t="shared" si="302"/>
        <v/>
      </c>
      <c r="B3050" s="1421"/>
      <c r="C3050" s="1421" t="str">
        <f t="shared" si="301"/>
        <v/>
      </c>
      <c r="D3050" s="589"/>
      <c r="E3050" s="589"/>
      <c r="F3050" s="589"/>
      <c r="G3050" s="1817"/>
      <c r="J3050" s="1453"/>
    </row>
    <row r="3051" spans="1:10" x14ac:dyDescent="0.2">
      <c r="A3051" s="467" t="str">
        <f t="shared" si="302"/>
        <v/>
      </c>
      <c r="B3051" s="1421"/>
      <c r="C3051" s="1421" t="str">
        <f t="shared" si="301"/>
        <v/>
      </c>
      <c r="D3051" s="589"/>
      <c r="E3051" s="589"/>
      <c r="F3051" s="589"/>
      <c r="G3051" s="1817"/>
      <c r="J3051" s="1453"/>
    </row>
    <row r="3052" spans="1:10" x14ac:dyDescent="0.2">
      <c r="A3052" s="467" t="str">
        <f t="shared" si="302"/>
        <v/>
      </c>
      <c r="B3052" s="1421"/>
      <c r="C3052" s="1421" t="str">
        <f t="shared" si="301"/>
        <v/>
      </c>
      <c r="D3052" s="589"/>
      <c r="E3052" s="589"/>
      <c r="F3052" s="589"/>
      <c r="G3052" s="1817"/>
      <c r="J3052" s="1453"/>
    </row>
    <row r="3053" spans="1:10" x14ac:dyDescent="0.2">
      <c r="A3053" s="467" t="str">
        <f t="shared" si="302"/>
        <v/>
      </c>
      <c r="B3053" s="1421"/>
      <c r="C3053" s="1421" t="str">
        <f t="shared" si="301"/>
        <v/>
      </c>
      <c r="D3053" s="606"/>
      <c r="E3053" s="606"/>
      <c r="F3053" s="606"/>
      <c r="G3053" s="1818"/>
      <c r="J3053" s="1453"/>
    </row>
    <row r="3054" spans="1:10" x14ac:dyDescent="0.2">
      <c r="A3054" s="467" t="str">
        <f t="shared" si="302"/>
        <v/>
      </c>
      <c r="B3054" s="1421"/>
      <c r="C3054" s="1421" t="str">
        <f t="shared" si="301"/>
        <v/>
      </c>
      <c r="D3054" s="608" t="s">
        <v>5042</v>
      </c>
      <c r="E3054" s="608"/>
      <c r="F3054" s="608"/>
      <c r="G3054" s="1819" t="s">
        <v>5571</v>
      </c>
      <c r="J3054" s="1453"/>
    </row>
    <row r="3055" spans="1:10" x14ac:dyDescent="0.2">
      <c r="A3055" s="467" t="str">
        <f t="shared" si="302"/>
        <v/>
      </c>
      <c r="B3055" s="1421"/>
      <c r="C3055" s="1421" t="str">
        <f t="shared" si="301"/>
        <v/>
      </c>
      <c r="D3055" s="606"/>
      <c r="E3055" s="606"/>
      <c r="F3055" s="606"/>
      <c r="G3055" s="1818"/>
      <c r="J3055" s="1453"/>
    </row>
    <row r="3056" spans="1:10" x14ac:dyDescent="0.2">
      <c r="A3056" s="467" t="str">
        <f t="shared" si="302"/>
        <v/>
      </c>
      <c r="B3056" s="1421"/>
      <c r="C3056" s="1421" t="str">
        <f t="shared" si="301"/>
        <v/>
      </c>
      <c r="D3056" s="608" t="s">
        <v>5043</v>
      </c>
      <c r="E3056" s="608"/>
      <c r="F3056" s="608"/>
      <c r="G3056" s="1819" t="s">
        <v>5572</v>
      </c>
      <c r="J3056" s="1453"/>
    </row>
    <row r="3057" spans="1:10" x14ac:dyDescent="0.2">
      <c r="A3057" s="467" t="str">
        <f t="shared" si="302"/>
        <v/>
      </c>
      <c r="B3057" s="1421"/>
      <c r="C3057" s="1421" t="str">
        <f t="shared" si="301"/>
        <v/>
      </c>
      <c r="D3057" s="589"/>
      <c r="E3057" s="589"/>
      <c r="F3057" s="589"/>
      <c r="G3057" s="1817"/>
      <c r="J3057" s="1453"/>
    </row>
    <row r="3058" spans="1:10" x14ac:dyDescent="0.2">
      <c r="A3058" s="467" t="str">
        <f t="shared" si="302"/>
        <v/>
      </c>
      <c r="B3058" s="1421"/>
      <c r="C3058" s="1421" t="str">
        <f t="shared" si="301"/>
        <v/>
      </c>
      <c r="D3058" s="589"/>
      <c r="E3058" s="589"/>
      <c r="F3058" s="589"/>
      <c r="G3058" s="1817"/>
      <c r="J3058" s="1453"/>
    </row>
    <row r="3059" spans="1:10" x14ac:dyDescent="0.2">
      <c r="A3059" s="467" t="str">
        <f t="shared" si="302"/>
        <v/>
      </c>
      <c r="B3059" s="1421"/>
      <c r="C3059" s="1421" t="str">
        <f t="shared" si="301"/>
        <v/>
      </c>
      <c r="D3059" s="606"/>
      <c r="E3059" s="606"/>
      <c r="F3059" s="606"/>
      <c r="G3059" s="1818"/>
      <c r="J3059" s="1453"/>
    </row>
    <row r="3060" spans="1:10" x14ac:dyDescent="0.2">
      <c r="A3060" s="467" t="str">
        <f t="shared" si="302"/>
        <v/>
      </c>
      <c r="B3060" s="1421"/>
      <c r="C3060" s="1421" t="str">
        <f t="shared" si="301"/>
        <v/>
      </c>
      <c r="D3060" s="608" t="s">
        <v>5044</v>
      </c>
      <c r="E3060" s="608"/>
      <c r="F3060" s="608"/>
      <c r="G3060" s="1819" t="s">
        <v>5573</v>
      </c>
      <c r="J3060" s="1453"/>
    </row>
    <row r="3061" spans="1:10" x14ac:dyDescent="0.2">
      <c r="A3061" s="467" t="str">
        <f t="shared" si="302"/>
        <v/>
      </c>
      <c r="B3061" s="1421"/>
      <c r="C3061" s="1421" t="str">
        <f t="shared" si="301"/>
        <v/>
      </c>
      <c r="D3061" s="589"/>
      <c r="E3061" s="589"/>
      <c r="F3061" s="589"/>
      <c r="G3061" s="1817"/>
      <c r="J3061" s="1453"/>
    </row>
    <row r="3062" spans="1:10" x14ac:dyDescent="0.2">
      <c r="A3062" s="467" t="str">
        <f t="shared" si="302"/>
        <v/>
      </c>
      <c r="B3062" s="1421"/>
      <c r="C3062" s="1421" t="str">
        <f t="shared" si="301"/>
        <v/>
      </c>
      <c r="D3062" s="606"/>
      <c r="E3062" s="606"/>
      <c r="F3062" s="606"/>
      <c r="G3062" s="1818"/>
      <c r="J3062" s="1453"/>
    </row>
    <row r="3063" spans="1:10" x14ac:dyDescent="0.2">
      <c r="A3063" s="467" t="str">
        <f t="shared" si="302"/>
        <v/>
      </c>
      <c r="B3063" s="1421"/>
      <c r="C3063" s="1421" t="str">
        <f t="shared" si="301"/>
        <v/>
      </c>
      <c r="D3063" s="589" t="s">
        <v>4958</v>
      </c>
      <c r="E3063" s="589"/>
      <c r="F3063" s="589"/>
      <c r="G3063" s="1482" t="s">
        <v>5574</v>
      </c>
      <c r="J3063" s="1453"/>
    </row>
    <row r="3064" spans="1:10" x14ac:dyDescent="0.2">
      <c r="A3064" s="467" t="str">
        <f t="shared" si="302"/>
        <v/>
      </c>
      <c r="B3064" s="1421"/>
      <c r="C3064" s="1421" t="str">
        <f t="shared" si="301"/>
        <v/>
      </c>
      <c r="D3064" s="589"/>
      <c r="E3064" s="589"/>
      <c r="F3064" s="589"/>
      <c r="G3064" s="1482" t="s">
        <v>5321</v>
      </c>
      <c r="J3064" s="1453"/>
    </row>
    <row r="3065" spans="1:10" x14ac:dyDescent="0.2">
      <c r="A3065" s="467" t="str">
        <f t="shared" si="302"/>
        <v/>
      </c>
      <c r="B3065" s="1421"/>
      <c r="C3065" s="1421" t="str">
        <f t="shared" si="301"/>
        <v/>
      </c>
      <c r="D3065" s="589"/>
      <c r="E3065" s="589"/>
      <c r="F3065" s="589"/>
      <c r="G3065" s="1820" t="s">
        <v>5575</v>
      </c>
      <c r="J3065" s="1453"/>
    </row>
    <row r="3066" spans="1:10" x14ac:dyDescent="0.2">
      <c r="A3066" s="467" t="str">
        <f t="shared" si="302"/>
        <v/>
      </c>
      <c r="B3066" s="1421"/>
      <c r="C3066" s="1421" t="str">
        <f t="shared" si="301"/>
        <v/>
      </c>
      <c r="D3066" s="589"/>
      <c r="E3066" s="589"/>
      <c r="F3066" s="589"/>
      <c r="G3066" s="1820"/>
      <c r="J3066" s="1453"/>
    </row>
    <row r="3067" spans="1:10" x14ac:dyDescent="0.2">
      <c r="A3067" s="467" t="str">
        <f t="shared" ref="A3067:A3088" si="303">IF(dstCommercial="Yes","P","")</f>
        <v/>
      </c>
      <c r="B3067" s="1421"/>
      <c r="C3067" s="1421" t="str">
        <f t="shared" si="301"/>
        <v/>
      </c>
      <c r="D3067" s="589"/>
      <c r="E3067" s="589" t="s">
        <v>254</v>
      </c>
      <c r="F3067" s="589"/>
      <c r="G3067" s="1480" t="s">
        <v>5576</v>
      </c>
      <c r="J3067" s="1453"/>
    </row>
    <row r="3068" spans="1:10" x14ac:dyDescent="0.2">
      <c r="A3068" s="467" t="str">
        <f t="shared" si="303"/>
        <v/>
      </c>
      <c r="B3068" s="1421"/>
      <c r="C3068" s="1421" t="str">
        <f t="shared" si="301"/>
        <v/>
      </c>
      <c r="D3068" s="589"/>
      <c r="E3068" s="589"/>
      <c r="F3068" s="589" t="s">
        <v>121</v>
      </c>
      <c r="G3068" s="1480" t="s">
        <v>4887</v>
      </c>
      <c r="J3068" s="1453"/>
    </row>
    <row r="3069" spans="1:10" x14ac:dyDescent="0.2">
      <c r="A3069" s="467" t="str">
        <f t="shared" si="303"/>
        <v/>
      </c>
      <c r="B3069" s="1421"/>
      <c r="C3069" s="1421" t="str">
        <f t="shared" si="301"/>
        <v/>
      </c>
      <c r="D3069" s="589"/>
      <c r="E3069" s="589"/>
      <c r="F3069" s="589" t="s">
        <v>122</v>
      </c>
      <c r="G3069" s="1820" t="s">
        <v>4888</v>
      </c>
      <c r="J3069" s="1453"/>
    </row>
    <row r="3070" spans="1:10" x14ac:dyDescent="0.2">
      <c r="A3070" s="467" t="str">
        <f t="shared" si="303"/>
        <v/>
      </c>
      <c r="B3070" s="1421"/>
      <c r="C3070" s="1421" t="str">
        <f t="shared" si="301"/>
        <v/>
      </c>
      <c r="D3070" s="589"/>
      <c r="E3070" s="589"/>
      <c r="F3070" s="589"/>
      <c r="G3070" s="1820"/>
      <c r="J3070" s="1453"/>
    </row>
    <row r="3071" spans="1:10" x14ac:dyDescent="0.2">
      <c r="A3071" s="467" t="str">
        <f t="shared" si="303"/>
        <v/>
      </c>
      <c r="B3071" s="1421"/>
      <c r="C3071" s="1421" t="str">
        <f t="shared" si="301"/>
        <v/>
      </c>
      <c r="D3071" s="1420"/>
      <c r="E3071" s="1420"/>
      <c r="F3071" s="589" t="s">
        <v>123</v>
      </c>
      <c r="G3071" s="1820" t="s">
        <v>4889</v>
      </c>
      <c r="J3071" s="1453"/>
    </row>
    <row r="3072" spans="1:10" x14ac:dyDescent="0.2">
      <c r="A3072" s="467" t="str">
        <f t="shared" si="303"/>
        <v/>
      </c>
      <c r="B3072" s="1421"/>
      <c r="C3072" s="1421" t="str">
        <f t="shared" si="301"/>
        <v/>
      </c>
      <c r="D3072" s="1420"/>
      <c r="E3072" s="1420"/>
      <c r="F3072" s="589"/>
      <c r="G3072" s="1820"/>
      <c r="J3072" s="1453"/>
    </row>
    <row r="3073" spans="1:10" x14ac:dyDescent="0.2">
      <c r="A3073" s="467" t="str">
        <f t="shared" si="303"/>
        <v/>
      </c>
      <c r="B3073" s="1421"/>
      <c r="C3073" s="1421" t="str">
        <f t="shared" si="301"/>
        <v/>
      </c>
      <c r="D3073" s="1420"/>
      <c r="E3073" s="1420"/>
      <c r="F3073" s="136" t="s">
        <v>366</v>
      </c>
      <c r="G3073" s="1820" t="s">
        <v>5577</v>
      </c>
      <c r="J3073" s="1453"/>
    </row>
    <row r="3074" spans="1:10" x14ac:dyDescent="0.2">
      <c r="A3074" s="467" t="str">
        <f t="shared" si="303"/>
        <v/>
      </c>
      <c r="B3074" s="1421"/>
      <c r="C3074" s="1421" t="str">
        <f t="shared" si="301"/>
        <v/>
      </c>
      <c r="D3074" s="1420"/>
      <c r="E3074" s="1420"/>
      <c r="F3074" s="136"/>
      <c r="G3074" s="1820"/>
      <c r="J3074" s="1453"/>
    </row>
    <row r="3075" spans="1:10" x14ac:dyDescent="0.2">
      <c r="A3075" s="467" t="str">
        <f t="shared" si="303"/>
        <v/>
      </c>
      <c r="B3075" s="1421"/>
      <c r="C3075" s="1421" t="str">
        <f t="shared" si="301"/>
        <v/>
      </c>
      <c r="D3075" s="1420"/>
      <c r="E3075" s="1420"/>
      <c r="F3075" s="136" t="s">
        <v>472</v>
      </c>
      <c r="G3075" s="1820" t="s">
        <v>4891</v>
      </c>
      <c r="J3075" s="1453"/>
    </row>
    <row r="3076" spans="1:10" x14ac:dyDescent="0.2">
      <c r="A3076" s="467" t="str">
        <f t="shared" si="303"/>
        <v/>
      </c>
      <c r="B3076" s="1421"/>
      <c r="C3076" s="1421" t="str">
        <f t="shared" si="301"/>
        <v/>
      </c>
      <c r="D3076" s="1420"/>
      <c r="E3076" s="1420"/>
      <c r="F3076" s="136"/>
      <c r="G3076" s="1820"/>
      <c r="J3076" s="1453"/>
    </row>
    <row r="3077" spans="1:10" x14ac:dyDescent="0.2">
      <c r="A3077" s="467" t="str">
        <f t="shared" si="303"/>
        <v/>
      </c>
      <c r="B3077" s="1421"/>
      <c r="C3077" s="1421" t="str">
        <f t="shared" si="301"/>
        <v/>
      </c>
      <c r="D3077" s="1420"/>
      <c r="E3077" s="1420"/>
      <c r="F3077" s="136"/>
      <c r="G3077" s="1820"/>
      <c r="J3077" s="1453"/>
    </row>
    <row r="3078" spans="1:10" x14ac:dyDescent="0.2">
      <c r="A3078" s="467" t="str">
        <f t="shared" si="303"/>
        <v/>
      </c>
      <c r="B3078" s="1421"/>
      <c r="C3078" s="1421" t="str">
        <f t="shared" si="301"/>
        <v/>
      </c>
      <c r="D3078" s="1420"/>
      <c r="E3078" s="1420"/>
      <c r="F3078" s="136" t="s">
        <v>510</v>
      </c>
      <c r="G3078" s="1820" t="s">
        <v>4892</v>
      </c>
      <c r="J3078" s="1453"/>
    </row>
    <row r="3079" spans="1:10" x14ac:dyDescent="0.2">
      <c r="A3079" s="467" t="str">
        <f t="shared" si="303"/>
        <v/>
      </c>
      <c r="B3079" s="1421"/>
      <c r="C3079" s="1421" t="str">
        <f t="shared" si="301"/>
        <v/>
      </c>
      <c r="D3079" s="1420"/>
      <c r="E3079" s="1420"/>
      <c r="F3079" s="136"/>
      <c r="G3079" s="1820"/>
      <c r="J3079" s="1453"/>
    </row>
    <row r="3080" spans="1:10" x14ac:dyDescent="0.2">
      <c r="A3080" s="467" t="str">
        <f t="shared" si="303"/>
        <v/>
      </c>
      <c r="B3080" s="1421"/>
      <c r="C3080" s="1421" t="str">
        <f t="shared" ref="C3080:C3115" si="304">IF(LEN(B3080)=0,IF(A3080="P","P",""),B3080)</f>
        <v/>
      </c>
      <c r="D3080" s="1420"/>
      <c r="E3080" s="1420"/>
      <c r="F3080" s="589" t="s">
        <v>512</v>
      </c>
      <c r="G3080" s="1820" t="s">
        <v>4893</v>
      </c>
      <c r="J3080" s="1453"/>
    </row>
    <row r="3081" spans="1:10" x14ac:dyDescent="0.2">
      <c r="A3081" s="467" t="str">
        <f t="shared" si="303"/>
        <v/>
      </c>
      <c r="B3081" s="1421"/>
      <c r="C3081" s="1421" t="str">
        <f t="shared" si="304"/>
        <v/>
      </c>
      <c r="D3081" s="1420"/>
      <c r="E3081" s="1420"/>
      <c r="F3081" s="589"/>
      <c r="G3081" s="1820"/>
      <c r="J3081" s="1453"/>
    </row>
    <row r="3082" spans="1:10" x14ac:dyDescent="0.2">
      <c r="A3082" s="467" t="str">
        <f t="shared" si="303"/>
        <v/>
      </c>
      <c r="B3082" s="1421"/>
      <c r="C3082" s="1421" t="str">
        <f t="shared" si="304"/>
        <v/>
      </c>
      <c r="D3082" s="1420"/>
      <c r="E3082" s="1420"/>
      <c r="F3082" s="589" t="s">
        <v>514</v>
      </c>
      <c r="G3082" s="1820" t="s">
        <v>4894</v>
      </c>
      <c r="J3082" s="1453"/>
    </row>
    <row r="3083" spans="1:10" x14ac:dyDescent="0.2">
      <c r="A3083" s="467" t="str">
        <f t="shared" si="303"/>
        <v/>
      </c>
      <c r="B3083" s="1421"/>
      <c r="C3083" s="1421" t="str">
        <f t="shared" si="304"/>
        <v/>
      </c>
      <c r="D3083" s="1420"/>
      <c r="E3083" s="1420"/>
      <c r="F3083" s="589"/>
      <c r="G3083" s="1820"/>
      <c r="J3083" s="1453"/>
    </row>
    <row r="3084" spans="1:10" x14ac:dyDescent="0.2">
      <c r="A3084" s="467" t="str">
        <f t="shared" si="303"/>
        <v/>
      </c>
      <c r="B3084" s="1421"/>
      <c r="C3084" s="1421" t="str">
        <f t="shared" si="304"/>
        <v/>
      </c>
      <c r="D3084" s="1420"/>
      <c r="E3084" s="1420"/>
      <c r="F3084" s="589" t="s">
        <v>648</v>
      </c>
      <c r="G3084" s="1820" t="s">
        <v>4895</v>
      </c>
      <c r="J3084" s="1453"/>
    </row>
    <row r="3085" spans="1:10" x14ac:dyDescent="0.2">
      <c r="A3085" s="467" t="str">
        <f t="shared" si="303"/>
        <v/>
      </c>
      <c r="B3085" s="1421"/>
      <c r="C3085" s="1421" t="str">
        <f t="shared" si="304"/>
        <v/>
      </c>
      <c r="D3085" s="1420"/>
      <c r="E3085" s="1420"/>
      <c r="F3085" s="589"/>
      <c r="G3085" s="1820"/>
      <c r="J3085" s="1453"/>
    </row>
    <row r="3086" spans="1:10" x14ac:dyDescent="0.2">
      <c r="A3086" s="467" t="str">
        <f t="shared" si="303"/>
        <v/>
      </c>
      <c r="B3086" s="1421"/>
      <c r="C3086" s="1421" t="str">
        <f t="shared" si="304"/>
        <v/>
      </c>
      <c r="D3086" s="1420"/>
      <c r="E3086" s="1420"/>
      <c r="F3086" s="589"/>
      <c r="G3086" s="1820"/>
      <c r="J3086" s="1453"/>
    </row>
    <row r="3087" spans="1:10" x14ac:dyDescent="0.2">
      <c r="A3087" s="467" t="str">
        <f t="shared" si="303"/>
        <v/>
      </c>
      <c r="B3087" s="1421"/>
      <c r="C3087" s="1421" t="str">
        <f t="shared" si="304"/>
        <v/>
      </c>
      <c r="D3087" s="1420"/>
      <c r="E3087" s="1420"/>
      <c r="F3087" s="589" t="s">
        <v>649</v>
      </c>
      <c r="G3087" s="1820" t="s">
        <v>4896</v>
      </c>
      <c r="J3087" s="1453"/>
    </row>
    <row r="3088" spans="1:10" ht="16" thickBot="1" x14ac:dyDescent="0.25">
      <c r="A3088" s="467" t="str">
        <f t="shared" si="303"/>
        <v/>
      </c>
      <c r="B3088" s="1421"/>
      <c r="C3088" s="1421" t="str">
        <f t="shared" si="304"/>
        <v/>
      </c>
      <c r="D3088" s="1493"/>
      <c r="E3088" s="594"/>
      <c r="F3088" s="594"/>
      <c r="G3088" s="1821"/>
      <c r="J3088" s="1453"/>
    </row>
    <row r="3089" spans="1:10" ht="16" thickTop="1" x14ac:dyDescent="0.2">
      <c r="B3089" s="1421"/>
      <c r="C3089" s="1421" t="str">
        <f t="shared" si="304"/>
        <v/>
      </c>
      <c r="D3089" s="89" t="s">
        <v>5578</v>
      </c>
      <c r="E3089" s="873"/>
      <c r="F3089" s="873"/>
      <c r="G3089" s="1470" t="s">
        <v>5579</v>
      </c>
      <c r="J3089" s="1453"/>
    </row>
    <row r="3090" spans="1:10" x14ac:dyDescent="0.2">
      <c r="B3090" s="1421"/>
      <c r="C3090" s="1421" t="str">
        <f t="shared" si="304"/>
        <v/>
      </c>
      <c r="D3090" s="89" t="s">
        <v>5580</v>
      </c>
      <c r="E3090" s="873"/>
      <c r="F3090" s="873"/>
      <c r="G3090" s="1807" t="s">
        <v>5581</v>
      </c>
      <c r="J3090" s="1453"/>
    </row>
    <row r="3091" spans="1:10" x14ac:dyDescent="0.2">
      <c r="B3091" s="1421"/>
      <c r="C3091" s="1421" t="str">
        <f t="shared" si="304"/>
        <v/>
      </c>
      <c r="D3091" s="89"/>
      <c r="E3091" s="873"/>
      <c r="F3091" s="873"/>
      <c r="G3091" s="1807"/>
      <c r="J3091" s="1453"/>
    </row>
    <row r="3092" spans="1:10" x14ac:dyDescent="0.2">
      <c r="B3092" s="1421"/>
      <c r="C3092" s="1421" t="str">
        <f t="shared" si="304"/>
        <v/>
      </c>
      <c r="D3092" s="89"/>
      <c r="E3092" s="873"/>
      <c r="F3092" s="873"/>
      <c r="G3092" s="1807"/>
      <c r="J3092" s="1453"/>
    </row>
    <row r="3093" spans="1:10" x14ac:dyDescent="0.2">
      <c r="B3093" s="1421"/>
      <c r="C3093" s="1421" t="str">
        <f t="shared" si="304"/>
        <v/>
      </c>
      <c r="D3093" s="89"/>
      <c r="E3093" s="873"/>
      <c r="F3093" s="873"/>
      <c r="G3093" s="1807"/>
      <c r="J3093" s="1453"/>
    </row>
    <row r="3094" spans="1:10" x14ac:dyDescent="0.2">
      <c r="B3094" s="1421"/>
      <c r="C3094" s="1421" t="str">
        <f t="shared" si="304"/>
        <v/>
      </c>
      <c r="D3094" s="89"/>
      <c r="E3094" s="873"/>
      <c r="F3094" s="873"/>
      <c r="G3094" s="1807"/>
      <c r="J3094" s="1453"/>
    </row>
    <row r="3095" spans="1:10" x14ac:dyDescent="0.2">
      <c r="B3095" s="1421"/>
      <c r="C3095" s="1421" t="str">
        <f t="shared" si="304"/>
        <v/>
      </c>
      <c r="D3095" s="89"/>
      <c r="E3095" s="873"/>
      <c r="F3095" s="873"/>
      <c r="G3095" s="1807"/>
      <c r="J3095" s="1453"/>
    </row>
    <row r="3096" spans="1:10" x14ac:dyDescent="0.2">
      <c r="B3096" s="1421"/>
      <c r="C3096" s="1421" t="str">
        <f t="shared" si="304"/>
        <v/>
      </c>
      <c r="D3096" s="89"/>
      <c r="E3096" s="873" t="s">
        <v>254</v>
      </c>
      <c r="F3096" s="873"/>
      <c r="G3096" s="1808" t="s">
        <v>5582</v>
      </c>
      <c r="J3096" s="1453"/>
    </row>
    <row r="3097" spans="1:10" x14ac:dyDescent="0.2">
      <c r="B3097" s="1421"/>
      <c r="C3097" s="1421" t="str">
        <f t="shared" si="304"/>
        <v/>
      </c>
      <c r="D3097" s="89"/>
      <c r="E3097" s="1072"/>
      <c r="F3097" s="1072"/>
      <c r="G3097" s="1639"/>
      <c r="J3097" s="1453"/>
    </row>
    <row r="3098" spans="1:10" x14ac:dyDescent="0.2">
      <c r="B3098" s="1421"/>
      <c r="C3098" s="1421" t="str">
        <f t="shared" si="304"/>
        <v/>
      </c>
      <c r="D3098" s="89"/>
      <c r="E3098" s="1074" t="s">
        <v>255</v>
      </c>
      <c r="F3098" s="1074"/>
      <c r="G3098" s="1075" t="s">
        <v>5583</v>
      </c>
      <c r="J3098" s="1453"/>
    </row>
    <row r="3099" spans="1:10" x14ac:dyDescent="0.2">
      <c r="B3099" s="1421"/>
      <c r="C3099" s="1421" t="str">
        <f t="shared" si="304"/>
        <v/>
      </c>
      <c r="D3099" s="89"/>
      <c r="E3099" s="1073" t="s">
        <v>256</v>
      </c>
      <c r="F3099" s="1073"/>
      <c r="G3099" s="1633" t="s">
        <v>5584</v>
      </c>
      <c r="J3099" s="1453"/>
    </row>
    <row r="3100" spans="1:10" x14ac:dyDescent="0.2">
      <c r="B3100" s="1421"/>
      <c r="C3100" s="1421" t="str">
        <f t="shared" si="304"/>
        <v/>
      </c>
      <c r="D3100" s="89"/>
      <c r="E3100" s="1072"/>
      <c r="F3100" s="1072"/>
      <c r="G3100" s="1639"/>
      <c r="J3100" s="1453"/>
    </row>
    <row r="3101" spans="1:10" x14ac:dyDescent="0.2">
      <c r="B3101" s="1421"/>
      <c r="C3101" s="1421" t="str">
        <f t="shared" si="304"/>
        <v/>
      </c>
      <c r="D3101" s="89"/>
      <c r="E3101" s="1074" t="s">
        <v>259</v>
      </c>
      <c r="F3101" s="1074"/>
      <c r="G3101" s="1075" t="s">
        <v>5585</v>
      </c>
      <c r="J3101" s="1453"/>
    </row>
    <row r="3102" spans="1:10" ht="16" thickBot="1" x14ac:dyDescent="0.25">
      <c r="B3102" s="1421"/>
      <c r="C3102" s="1421" t="str">
        <f t="shared" si="304"/>
        <v/>
      </c>
      <c r="D3102" s="98"/>
      <c r="E3102" s="1069" t="s">
        <v>263</v>
      </c>
      <c r="F3102" s="1069"/>
      <c r="G3102" s="1439" t="s">
        <v>5586</v>
      </c>
      <c r="J3102" s="1453"/>
    </row>
    <row r="3103" spans="1:10" ht="16" thickTop="1" x14ac:dyDescent="0.2">
      <c r="A3103" s="467" t="str">
        <f t="shared" ref="A3103:A3115" si="305">IF(dstCommercial="Yes","P","")</f>
        <v/>
      </c>
      <c r="B3103" s="1421"/>
      <c r="C3103" s="1421" t="str">
        <f t="shared" si="304"/>
        <v/>
      </c>
      <c r="D3103" s="89" t="s">
        <v>5587</v>
      </c>
      <c r="E3103" s="873"/>
      <c r="F3103" s="873"/>
      <c r="G3103" s="1807" t="s">
        <v>5588</v>
      </c>
      <c r="J3103" s="1453" t="s">
        <v>5630</v>
      </c>
    </row>
    <row r="3104" spans="1:10" x14ac:dyDescent="0.2">
      <c r="A3104" s="467" t="str">
        <f t="shared" si="305"/>
        <v/>
      </c>
      <c r="B3104" s="1421"/>
      <c r="C3104" s="1421" t="str">
        <f t="shared" si="304"/>
        <v/>
      </c>
      <c r="D3104" s="89"/>
      <c r="E3104" s="873"/>
      <c r="F3104" s="873"/>
      <c r="G3104" s="1807"/>
      <c r="J3104" s="1453"/>
    </row>
    <row r="3105" spans="1:10" x14ac:dyDescent="0.2">
      <c r="A3105" s="467" t="str">
        <f t="shared" si="305"/>
        <v/>
      </c>
      <c r="B3105" s="1421"/>
      <c r="C3105" s="1421" t="str">
        <f t="shared" si="304"/>
        <v/>
      </c>
      <c r="D3105" s="89"/>
      <c r="E3105" s="873"/>
      <c r="F3105" s="873"/>
      <c r="G3105" s="1807"/>
      <c r="J3105" s="1453"/>
    </row>
    <row r="3106" spans="1:10" x14ac:dyDescent="0.2">
      <c r="A3106" s="467" t="str">
        <f t="shared" si="305"/>
        <v/>
      </c>
      <c r="B3106" s="1421"/>
      <c r="C3106" s="1421" t="str">
        <f t="shared" si="304"/>
        <v/>
      </c>
      <c r="D3106" s="89"/>
      <c r="E3106" s="873"/>
      <c r="F3106" s="873"/>
      <c r="G3106" s="1807"/>
      <c r="J3106" s="1453"/>
    </row>
    <row r="3107" spans="1:10" x14ac:dyDescent="0.2">
      <c r="A3107" s="467" t="str">
        <f t="shared" si="305"/>
        <v/>
      </c>
      <c r="B3107" s="1421"/>
      <c r="C3107" s="1421" t="str">
        <f t="shared" si="304"/>
        <v/>
      </c>
      <c r="D3107" s="89"/>
      <c r="E3107" s="873"/>
      <c r="F3107" s="873"/>
      <c r="G3107" s="1807"/>
      <c r="J3107" s="1453"/>
    </row>
    <row r="3108" spans="1:10" x14ac:dyDescent="0.2">
      <c r="A3108" s="467" t="str">
        <f t="shared" si="305"/>
        <v/>
      </c>
      <c r="B3108" s="1421"/>
      <c r="C3108" s="1421" t="str">
        <f t="shared" si="304"/>
        <v/>
      </c>
      <c r="D3108" s="89"/>
      <c r="E3108" s="873"/>
      <c r="F3108" s="873"/>
      <c r="G3108" s="1807"/>
      <c r="J3108" s="1453"/>
    </row>
    <row r="3109" spans="1:10" x14ac:dyDescent="0.2">
      <c r="A3109" s="467" t="str">
        <f t="shared" si="305"/>
        <v/>
      </c>
      <c r="B3109" s="1421"/>
      <c r="C3109" s="1421" t="str">
        <f t="shared" si="304"/>
        <v/>
      </c>
      <c r="D3109" s="89"/>
      <c r="E3109" s="873" t="s">
        <v>254</v>
      </c>
      <c r="F3109" s="873"/>
      <c r="G3109" s="1808" t="s">
        <v>5589</v>
      </c>
      <c r="J3109" s="1453"/>
    </row>
    <row r="3110" spans="1:10" x14ac:dyDescent="0.2">
      <c r="A3110" s="467" t="str">
        <f t="shared" si="305"/>
        <v/>
      </c>
      <c r="B3110" s="1421"/>
      <c r="C3110" s="1421" t="str">
        <f t="shared" si="304"/>
        <v/>
      </c>
      <c r="D3110" s="89"/>
      <c r="E3110" s="1072"/>
      <c r="F3110" s="1072"/>
      <c r="G3110" s="1639"/>
      <c r="J3110" s="1453"/>
    </row>
    <row r="3111" spans="1:10" x14ac:dyDescent="0.2">
      <c r="A3111" s="467" t="str">
        <f t="shared" si="305"/>
        <v/>
      </c>
      <c r="B3111" s="1421"/>
      <c r="C3111" s="1421" t="str">
        <f t="shared" si="304"/>
        <v/>
      </c>
      <c r="D3111" s="89"/>
      <c r="E3111" s="873" t="s">
        <v>255</v>
      </c>
      <c r="F3111" s="873"/>
      <c r="G3111" s="1808" t="s">
        <v>5590</v>
      </c>
      <c r="J3111" s="1453"/>
    </row>
    <row r="3112" spans="1:10" x14ac:dyDescent="0.2">
      <c r="A3112" s="467" t="str">
        <f t="shared" si="305"/>
        <v/>
      </c>
      <c r="B3112" s="1421"/>
      <c r="C3112" s="1421" t="str">
        <f t="shared" si="304"/>
        <v/>
      </c>
      <c r="D3112" s="89"/>
      <c r="E3112" s="1072"/>
      <c r="F3112" s="1072"/>
      <c r="G3112" s="1639"/>
      <c r="J3112" s="1453"/>
    </row>
    <row r="3113" spans="1:10" x14ac:dyDescent="0.2">
      <c r="A3113" s="467" t="str">
        <f t="shared" si="305"/>
        <v/>
      </c>
      <c r="B3113" s="1421"/>
      <c r="C3113" s="1421" t="str">
        <f t="shared" si="304"/>
        <v/>
      </c>
      <c r="D3113" s="89"/>
      <c r="E3113" s="873" t="s">
        <v>256</v>
      </c>
      <c r="F3113" s="873"/>
      <c r="G3113" s="1808" t="s">
        <v>5591</v>
      </c>
      <c r="J3113" s="1453"/>
    </row>
    <row r="3114" spans="1:10" x14ac:dyDescent="0.2">
      <c r="A3114" s="467" t="str">
        <f t="shared" si="305"/>
        <v/>
      </c>
      <c r="B3114" s="1421"/>
      <c r="C3114" s="1421" t="str">
        <f t="shared" si="304"/>
        <v/>
      </c>
      <c r="D3114" s="89"/>
      <c r="E3114" s="873"/>
      <c r="F3114" s="873"/>
      <c r="G3114" s="1808"/>
      <c r="J3114" s="1453"/>
    </row>
    <row r="3115" spans="1:10" x14ac:dyDescent="0.2">
      <c r="A3115" s="467" t="str">
        <f t="shared" si="305"/>
        <v/>
      </c>
      <c r="B3115" s="1421"/>
      <c r="C3115" s="1421" t="str">
        <f t="shared" si="304"/>
        <v/>
      </c>
      <c r="D3115" s="89"/>
      <c r="E3115" s="873"/>
      <c r="F3115" s="873"/>
      <c r="G3115" s="1808"/>
      <c r="J3115" s="1453"/>
    </row>
  </sheetData>
  <sheetProtection algorithmName="SHA-512" hashValue="uZwS8KGD7D3Ss0gWwdXLrhbhYXaq2tjRqgzIAy/k+j8Mdy8oeZn8ANrWGHAa32G7ZPzOFELwh85BYWTYr+fr8g==" saltValue="P26aJAmCmUMBkePfsT3ozw==" spinCount="100000" sheet="1" objects="1" scenarios="1" selectLockedCells="1" autoFilter="0" selectUnlockedCells="1"/>
  <autoFilter ref="A6:C3115" xr:uid="{00000000-0009-0000-0000-000009000000}"/>
  <mergeCells count="995">
    <mergeCell ref="G3087:G3088"/>
    <mergeCell ref="G3090:G3095"/>
    <mergeCell ref="G3096:G3097"/>
    <mergeCell ref="G3099:G3100"/>
    <mergeCell ref="G3103:G3108"/>
    <mergeCell ref="G3109:G3110"/>
    <mergeCell ref="G3111:G3112"/>
    <mergeCell ref="G3113:G3115"/>
    <mergeCell ref="G3065:G3066"/>
    <mergeCell ref="G3069:G3070"/>
    <mergeCell ref="G3071:G3072"/>
    <mergeCell ref="G3073:G3074"/>
    <mergeCell ref="G3075:G3077"/>
    <mergeCell ref="G3078:G3079"/>
    <mergeCell ref="G3080:G3081"/>
    <mergeCell ref="G3082:G3083"/>
    <mergeCell ref="G3084:G3086"/>
    <mergeCell ref="G3019:G3020"/>
    <mergeCell ref="G3021:G3023"/>
    <mergeCell ref="G3028:G3034"/>
    <mergeCell ref="G3035:G3041"/>
    <mergeCell ref="G3042:G3048"/>
    <mergeCell ref="G3049:G3053"/>
    <mergeCell ref="G3054:G3055"/>
    <mergeCell ref="G3056:G3059"/>
    <mergeCell ref="G3060:G3062"/>
    <mergeCell ref="G2995:G2998"/>
    <mergeCell ref="G2999:G3002"/>
    <mergeCell ref="G3003:G3004"/>
    <mergeCell ref="G3005:G3006"/>
    <mergeCell ref="G3008:G3009"/>
    <mergeCell ref="G3010:G3011"/>
    <mergeCell ref="G3012:G3013"/>
    <mergeCell ref="G3015:G3016"/>
    <mergeCell ref="G3017:G3018"/>
    <mergeCell ref="G2961:G2965"/>
    <mergeCell ref="G2967:G2969"/>
    <mergeCell ref="G2971:G2975"/>
    <mergeCell ref="G2976:G2979"/>
    <mergeCell ref="G2980:G2984"/>
    <mergeCell ref="G2985:G2987"/>
    <mergeCell ref="G2988:G2990"/>
    <mergeCell ref="G2991:G2992"/>
    <mergeCell ref="G2993:G2994"/>
    <mergeCell ref="G2929:G2930"/>
    <mergeCell ref="G2931:G2936"/>
    <mergeCell ref="G2937:G2939"/>
    <mergeCell ref="G2940:G2941"/>
    <mergeCell ref="G2942:G2943"/>
    <mergeCell ref="G2947:G2948"/>
    <mergeCell ref="G2949:G2950"/>
    <mergeCell ref="G2952:G2957"/>
    <mergeCell ref="G2958:G2960"/>
    <mergeCell ref="G2886:G2889"/>
    <mergeCell ref="G2895:G2896"/>
    <mergeCell ref="G2899:G2900"/>
    <mergeCell ref="G2902:G2903"/>
    <mergeCell ref="G2905:G2906"/>
    <mergeCell ref="G2907:G2909"/>
    <mergeCell ref="G2910:G2914"/>
    <mergeCell ref="G2915:G2916"/>
    <mergeCell ref="G2917:G2920"/>
    <mergeCell ref="G2856:G2857"/>
    <mergeCell ref="G2858:G2861"/>
    <mergeCell ref="G2862:G2864"/>
    <mergeCell ref="G2865:G2867"/>
    <mergeCell ref="G2868:G2870"/>
    <mergeCell ref="G2872:G2873"/>
    <mergeCell ref="G2874:G2875"/>
    <mergeCell ref="G2881:G2882"/>
    <mergeCell ref="G2883:G2885"/>
    <mergeCell ref="G2831:G2832"/>
    <mergeCell ref="G2833:G2834"/>
    <mergeCell ref="G2835:G2836"/>
    <mergeCell ref="G2837:G2838"/>
    <mergeCell ref="G2840:G2843"/>
    <mergeCell ref="G2844:G2845"/>
    <mergeCell ref="G2847:G2849"/>
    <mergeCell ref="G2851:G2853"/>
    <mergeCell ref="G2854:G2855"/>
    <mergeCell ref="G2807:G2808"/>
    <mergeCell ref="G2809:G2810"/>
    <mergeCell ref="J2809:J2810"/>
    <mergeCell ref="G2811:G2812"/>
    <mergeCell ref="G2813:G2814"/>
    <mergeCell ref="G2817:G2821"/>
    <mergeCell ref="G2823:G2824"/>
    <mergeCell ref="G2826:G2827"/>
    <mergeCell ref="G2828:G2830"/>
    <mergeCell ref="G2764:G2766"/>
    <mergeCell ref="G2768:G2769"/>
    <mergeCell ref="G2771:G2773"/>
    <mergeCell ref="G2775:G2776"/>
    <mergeCell ref="G2777:G2783"/>
    <mergeCell ref="G2786:G2791"/>
    <mergeCell ref="G2792:G2798"/>
    <mergeCell ref="G2799:G2803"/>
    <mergeCell ref="G2804:G2806"/>
    <mergeCell ref="G2724:G2727"/>
    <mergeCell ref="G2728:G2733"/>
    <mergeCell ref="G2734:G2737"/>
    <mergeCell ref="G2738:G2740"/>
    <mergeCell ref="J2738:J2739"/>
    <mergeCell ref="G2742:G2745"/>
    <mergeCell ref="J2742:J2743"/>
    <mergeCell ref="G2758:G2760"/>
    <mergeCell ref="G2761:G2763"/>
    <mergeCell ref="G2682:G2683"/>
    <mergeCell ref="G2684:G2686"/>
    <mergeCell ref="G2688:G2690"/>
    <mergeCell ref="G2691:G2695"/>
    <mergeCell ref="G2696:G2703"/>
    <mergeCell ref="G2705:G2710"/>
    <mergeCell ref="G2712:G2713"/>
    <mergeCell ref="G2716:G2717"/>
    <mergeCell ref="G2720:G2722"/>
    <mergeCell ref="G2658:G2659"/>
    <mergeCell ref="G2660:G2664"/>
    <mergeCell ref="G2666:G2667"/>
    <mergeCell ref="G2668:G2670"/>
    <mergeCell ref="G2672:G2673"/>
    <mergeCell ref="G2674:G2675"/>
    <mergeCell ref="G2676:G2677"/>
    <mergeCell ref="G2678:G2679"/>
    <mergeCell ref="G2680:G2681"/>
    <mergeCell ref="G2613:G2615"/>
    <mergeCell ref="G2616:G2617"/>
    <mergeCell ref="G2618:G2621"/>
    <mergeCell ref="G2622:G2624"/>
    <mergeCell ref="G2631:G2633"/>
    <mergeCell ref="G2634:G2635"/>
    <mergeCell ref="G2636:G2643"/>
    <mergeCell ref="G2648:G2649"/>
    <mergeCell ref="G2656:G2657"/>
    <mergeCell ref="G2576:G2577"/>
    <mergeCell ref="G2579:G2580"/>
    <mergeCell ref="G2586:G2590"/>
    <mergeCell ref="G2591:G2592"/>
    <mergeCell ref="G2594:G2595"/>
    <mergeCell ref="G2597:G2600"/>
    <mergeCell ref="G2603:G2605"/>
    <mergeCell ref="G2606:G2607"/>
    <mergeCell ref="G2611:G2612"/>
    <mergeCell ref="G2547:G2548"/>
    <mergeCell ref="G2549:G2550"/>
    <mergeCell ref="G2551:G2552"/>
    <mergeCell ref="G2553:G2554"/>
    <mergeCell ref="G2555:G2557"/>
    <mergeCell ref="G2567:G2568"/>
    <mergeCell ref="G2570:G2571"/>
    <mergeCell ref="G2572:G2573"/>
    <mergeCell ref="G2574:G2575"/>
    <mergeCell ref="G2513:G2518"/>
    <mergeCell ref="G2522:G2523"/>
    <mergeCell ref="G2530:G2531"/>
    <mergeCell ref="G2533:G2535"/>
    <mergeCell ref="J2533:J2534"/>
    <mergeCell ref="G2536:G2539"/>
    <mergeCell ref="G2540:G2541"/>
    <mergeCell ref="G2542:G2543"/>
    <mergeCell ref="G2544:G2545"/>
    <mergeCell ref="G2493:G2494"/>
    <mergeCell ref="G2495:G2497"/>
    <mergeCell ref="G2498:G2500"/>
    <mergeCell ref="G2503:G2505"/>
    <mergeCell ref="J2503:J2505"/>
    <mergeCell ref="G2506:G2507"/>
    <mergeCell ref="J2506:J2507"/>
    <mergeCell ref="G2508:G2509"/>
    <mergeCell ref="G2510:G2511"/>
    <mergeCell ref="G2469:G2470"/>
    <mergeCell ref="G2471:G2472"/>
    <mergeCell ref="G2473:G2475"/>
    <mergeCell ref="G2476:G2477"/>
    <mergeCell ref="G2478:G2482"/>
    <mergeCell ref="G2483:G2485"/>
    <mergeCell ref="G2486:G2487"/>
    <mergeCell ref="G2488:G2489"/>
    <mergeCell ref="G2491:G2492"/>
    <mergeCell ref="J2446:J2448"/>
    <mergeCell ref="J18:J19"/>
    <mergeCell ref="J43:J44"/>
    <mergeCell ref="G67:G68"/>
    <mergeCell ref="J67:J68"/>
    <mergeCell ref="J148:J149"/>
    <mergeCell ref="J261:J262"/>
    <mergeCell ref="J768:J769"/>
    <mergeCell ref="J240:J241"/>
    <mergeCell ref="J910:J911"/>
    <mergeCell ref="J1995:J1997"/>
    <mergeCell ref="J2197:J2198"/>
    <mergeCell ref="J2327:J2329"/>
    <mergeCell ref="J2345:J2346"/>
    <mergeCell ref="J2372:J2373"/>
    <mergeCell ref="J2400:J2402"/>
    <mergeCell ref="J2413:J2414"/>
    <mergeCell ref="J2441:J2442"/>
    <mergeCell ref="J2443:J2445"/>
    <mergeCell ref="J2183:J2184"/>
    <mergeCell ref="J2185:J2186"/>
    <mergeCell ref="J2226:J2230"/>
    <mergeCell ref="J2231:J2232"/>
    <mergeCell ref="J2237:J2238"/>
    <mergeCell ref="J2242:J2243"/>
    <mergeCell ref="J2258:J2259"/>
    <mergeCell ref="J2308:J2311"/>
    <mergeCell ref="J2050:J2051"/>
    <mergeCell ref="J2054:J2055"/>
    <mergeCell ref="J2063:J2064"/>
    <mergeCell ref="J2076:J2079"/>
    <mergeCell ref="J2087:J2088"/>
    <mergeCell ref="J2089:J2091"/>
    <mergeCell ref="J2092:J2094"/>
    <mergeCell ref="J2144:J2146"/>
    <mergeCell ref="J2177:J2179"/>
    <mergeCell ref="J1998:J2001"/>
    <mergeCell ref="J2012:J2016"/>
    <mergeCell ref="J2023:J2024"/>
    <mergeCell ref="J2025:J2026"/>
    <mergeCell ref="J2029:J2030"/>
    <mergeCell ref="J2035:J2036"/>
    <mergeCell ref="J2045:J2046"/>
    <mergeCell ref="J2047:J2049"/>
    <mergeCell ref="J1932:J1933"/>
    <mergeCell ref="J1938:J1939"/>
    <mergeCell ref="J1940:J1942"/>
    <mergeCell ref="J1964:J1965"/>
    <mergeCell ref="J1967:J1972"/>
    <mergeCell ref="J1977:J1978"/>
    <mergeCell ref="J1984:J1986"/>
    <mergeCell ref="J1989:J1994"/>
    <mergeCell ref="J1889:J1891"/>
    <mergeCell ref="J1892:J1893"/>
    <mergeCell ref="J1894:J1896"/>
    <mergeCell ref="J1897:J1898"/>
    <mergeCell ref="J1899:J1900"/>
    <mergeCell ref="J1908:J1913"/>
    <mergeCell ref="J1919:J1922"/>
    <mergeCell ref="J1625:J1626"/>
    <mergeCell ref="J1655:J1656"/>
    <mergeCell ref="J1758:J1759"/>
    <mergeCell ref="J1836:J1837"/>
    <mergeCell ref="J1842:J1843"/>
    <mergeCell ref="J1858:J1861"/>
    <mergeCell ref="J1867:J1868"/>
    <mergeCell ref="J1175:J1178"/>
    <mergeCell ref="J1253:J1254"/>
    <mergeCell ref="J1278:J1279"/>
    <mergeCell ref="J1322:J1323"/>
    <mergeCell ref="J1349:J1350"/>
    <mergeCell ref="J1455:J1456"/>
    <mergeCell ref="J1500:J1501"/>
    <mergeCell ref="J1505:J1506"/>
    <mergeCell ref="J1604:J1606"/>
    <mergeCell ref="J1033:J1035"/>
    <mergeCell ref="J1036:J1037"/>
    <mergeCell ref="J1045:J1046"/>
    <mergeCell ref="J1051:J1053"/>
    <mergeCell ref="J698:J699"/>
    <mergeCell ref="J701:J703"/>
    <mergeCell ref="J711:J712"/>
    <mergeCell ref="J730:J731"/>
    <mergeCell ref="J754:J756"/>
    <mergeCell ref="J808:J813"/>
    <mergeCell ref="J816:J820"/>
    <mergeCell ref="J824:J826"/>
    <mergeCell ref="J907:J908"/>
    <mergeCell ref="J867:J871"/>
    <mergeCell ref="J892:J894"/>
    <mergeCell ref="J895:J899"/>
    <mergeCell ref="J901:J903"/>
    <mergeCell ref="J531:J534"/>
    <mergeCell ref="J535:J536"/>
    <mergeCell ref="J554:J556"/>
    <mergeCell ref="J563:J564"/>
    <mergeCell ref="J565:J566"/>
    <mergeCell ref="J570:J571"/>
    <mergeCell ref="J576:J578"/>
    <mergeCell ref="J583:J584"/>
    <mergeCell ref="J457:J458"/>
    <mergeCell ref="J459:J460"/>
    <mergeCell ref="J462:J463"/>
    <mergeCell ref="J464:J465"/>
    <mergeCell ref="J466:J469"/>
    <mergeCell ref="J470:J472"/>
    <mergeCell ref="J474:J478"/>
    <mergeCell ref="J511:J516"/>
    <mergeCell ref="J528:J529"/>
    <mergeCell ref="J524:J525"/>
    <mergeCell ref="J363:J364"/>
    <mergeCell ref="J382:J386"/>
    <mergeCell ref="J395:J397"/>
    <mergeCell ref="J399:J401"/>
    <mergeCell ref="J402:J404"/>
    <mergeCell ref="J408:J409"/>
    <mergeCell ref="J428:J429"/>
    <mergeCell ref="J430:J431"/>
    <mergeCell ref="J441:J442"/>
    <mergeCell ref="J411:J413"/>
    <mergeCell ref="J232:J233"/>
    <mergeCell ref="J250:J252"/>
    <mergeCell ref="J311:J314"/>
    <mergeCell ref="J329:J331"/>
    <mergeCell ref="J332:J334"/>
    <mergeCell ref="J346:J348"/>
    <mergeCell ref="J358:J360"/>
    <mergeCell ref="J181:J182"/>
    <mergeCell ref="J183:J184"/>
    <mergeCell ref="J188:J191"/>
    <mergeCell ref="J196:J197"/>
    <mergeCell ref="J198:J199"/>
    <mergeCell ref="J203:J204"/>
    <mergeCell ref="J208:J209"/>
    <mergeCell ref="J210:J213"/>
    <mergeCell ref="J214:J216"/>
    <mergeCell ref="J206:J207"/>
    <mergeCell ref="J336:J338"/>
    <mergeCell ref="J131:J132"/>
    <mergeCell ref="J141:J142"/>
    <mergeCell ref="J143:J144"/>
    <mergeCell ref="J156:J160"/>
    <mergeCell ref="J161:J162"/>
    <mergeCell ref="J163:J165"/>
    <mergeCell ref="J166:J167"/>
    <mergeCell ref="J168:J169"/>
    <mergeCell ref="J218:J224"/>
    <mergeCell ref="J135:J136"/>
    <mergeCell ref="J170:J171"/>
    <mergeCell ref="J172:J173"/>
    <mergeCell ref="G2437:G2439"/>
    <mergeCell ref="G2441:G2442"/>
    <mergeCell ref="G2443:G2445"/>
    <mergeCell ref="G2446:G2448"/>
    <mergeCell ref="G2451:G2453"/>
    <mergeCell ref="G2454:G2457"/>
    <mergeCell ref="J28:J32"/>
    <mergeCell ref="J33:J35"/>
    <mergeCell ref="J36:J37"/>
    <mergeCell ref="J50:J53"/>
    <mergeCell ref="J60:J61"/>
    <mergeCell ref="J63:J64"/>
    <mergeCell ref="J65:J66"/>
    <mergeCell ref="J72:J73"/>
    <mergeCell ref="J82:J83"/>
    <mergeCell ref="J84:J85"/>
    <mergeCell ref="J89:J90"/>
    <mergeCell ref="J95:J96"/>
    <mergeCell ref="J104:J107"/>
    <mergeCell ref="J111:J113"/>
    <mergeCell ref="J114:J117"/>
    <mergeCell ref="G2376:G2377"/>
    <mergeCell ref="G2378:G2381"/>
    <mergeCell ref="J121:J122"/>
    <mergeCell ref="G2417:G2418"/>
    <mergeCell ref="G2425:G2428"/>
    <mergeCell ref="G2351:G2353"/>
    <mergeCell ref="G2354:G2355"/>
    <mergeCell ref="G2356:G2358"/>
    <mergeCell ref="G2359:G2360"/>
    <mergeCell ref="G2362:G2363"/>
    <mergeCell ref="G2364:G2365"/>
    <mergeCell ref="G2367:G2369"/>
    <mergeCell ref="G2370:G2371"/>
    <mergeCell ref="G2372:G2374"/>
    <mergeCell ref="G2339:G2340"/>
    <mergeCell ref="G2343:G2344"/>
    <mergeCell ref="G2345:G2347"/>
    <mergeCell ref="G2349:G2350"/>
    <mergeCell ref="G2389:G2390"/>
    <mergeCell ref="G2392:G2393"/>
    <mergeCell ref="G2398:G2399"/>
    <mergeCell ref="G2400:G2404"/>
    <mergeCell ref="G2413:G2414"/>
    <mergeCell ref="G2300:G2301"/>
    <mergeCell ref="G2302:G2303"/>
    <mergeCell ref="G2304:G2305"/>
    <mergeCell ref="G2308:G2311"/>
    <mergeCell ref="G2321:G2326"/>
    <mergeCell ref="G2327:G2328"/>
    <mergeCell ref="G2330:G2332"/>
    <mergeCell ref="G2333:G2335"/>
    <mergeCell ref="G2336:G2337"/>
    <mergeCell ref="G2274:G2275"/>
    <mergeCell ref="G2278:G2279"/>
    <mergeCell ref="G2282:G2283"/>
    <mergeCell ref="G2284:G2287"/>
    <mergeCell ref="G2288:G2289"/>
    <mergeCell ref="G2290:G2291"/>
    <mergeCell ref="G2293:G2294"/>
    <mergeCell ref="G2295:G2296"/>
    <mergeCell ref="G2298:G2299"/>
    <mergeCell ref="G2246:G2247"/>
    <mergeCell ref="G2248:G2249"/>
    <mergeCell ref="G2250:G2252"/>
    <mergeCell ref="G2253:G2254"/>
    <mergeCell ref="G2256:G2257"/>
    <mergeCell ref="G2258:G2259"/>
    <mergeCell ref="G2263:G2266"/>
    <mergeCell ref="G2269:G2270"/>
    <mergeCell ref="G2271:G2272"/>
    <mergeCell ref="G2210:G2212"/>
    <mergeCell ref="G2213:G2214"/>
    <mergeCell ref="G2215:G2221"/>
    <mergeCell ref="G2222:G2224"/>
    <mergeCell ref="G2226:G2230"/>
    <mergeCell ref="G2231:G2232"/>
    <mergeCell ref="G2235:G2236"/>
    <mergeCell ref="G2237:G2239"/>
    <mergeCell ref="G2242:G2245"/>
    <mergeCell ref="G2180:G2182"/>
    <mergeCell ref="G2183:G2184"/>
    <mergeCell ref="G2185:G2186"/>
    <mergeCell ref="G2190:G2191"/>
    <mergeCell ref="G2195:G2196"/>
    <mergeCell ref="G2197:G2198"/>
    <mergeCell ref="G2200:G2201"/>
    <mergeCell ref="G2203:G2204"/>
    <mergeCell ref="G2205:G2209"/>
    <mergeCell ref="G2160:G2161"/>
    <mergeCell ref="G2162:G2163"/>
    <mergeCell ref="G2164:G2165"/>
    <mergeCell ref="G2166:G2168"/>
    <mergeCell ref="G2169:G2170"/>
    <mergeCell ref="G2171:G2172"/>
    <mergeCell ref="G2173:G2174"/>
    <mergeCell ref="G2175:G2176"/>
    <mergeCell ref="G2177:G2179"/>
    <mergeCell ref="G2135:G2136"/>
    <mergeCell ref="G2137:G2140"/>
    <mergeCell ref="G2141:G2143"/>
    <mergeCell ref="G2144:G2147"/>
    <mergeCell ref="G2148:G2149"/>
    <mergeCell ref="G2151:G2152"/>
    <mergeCell ref="G2153:G2154"/>
    <mergeCell ref="G2155:G2156"/>
    <mergeCell ref="G2157:G2159"/>
    <mergeCell ref="G2089:G2091"/>
    <mergeCell ref="G2092:G2094"/>
    <mergeCell ref="G2095:G2096"/>
    <mergeCell ref="G2097:G2101"/>
    <mergeCell ref="G2108:G2109"/>
    <mergeCell ref="G2110:G2116"/>
    <mergeCell ref="G2117:G2123"/>
    <mergeCell ref="G2124:G2129"/>
    <mergeCell ref="G2130:G2134"/>
    <mergeCell ref="G2063:G2064"/>
    <mergeCell ref="G2065:G2066"/>
    <mergeCell ref="G2067:G2068"/>
    <mergeCell ref="G2069:G2071"/>
    <mergeCell ref="G2072:G2074"/>
    <mergeCell ref="G2076:G2079"/>
    <mergeCell ref="G2080:G2081"/>
    <mergeCell ref="G2082:G2083"/>
    <mergeCell ref="G2087:G2088"/>
    <mergeCell ref="G2031:G2032"/>
    <mergeCell ref="G2033:G2034"/>
    <mergeCell ref="G2035:G2036"/>
    <mergeCell ref="G2041:G2042"/>
    <mergeCell ref="G2043:G2044"/>
    <mergeCell ref="G2045:G2046"/>
    <mergeCell ref="G2047:G2049"/>
    <mergeCell ref="G2050:G2051"/>
    <mergeCell ref="G2054:G2055"/>
    <mergeCell ref="G1995:G1997"/>
    <mergeCell ref="G1998:G2001"/>
    <mergeCell ref="G2002:G2006"/>
    <mergeCell ref="G2008:G2010"/>
    <mergeCell ref="G2012:G2016"/>
    <mergeCell ref="G2017:G2022"/>
    <mergeCell ref="G2023:G2024"/>
    <mergeCell ref="G2025:G2026"/>
    <mergeCell ref="G2029:G2030"/>
    <mergeCell ref="G1952:G1955"/>
    <mergeCell ref="G1965:G1966"/>
    <mergeCell ref="G1967:G1972"/>
    <mergeCell ref="G1973:G1976"/>
    <mergeCell ref="G1977:G1978"/>
    <mergeCell ref="G1979:G1980"/>
    <mergeCell ref="G1984:G1985"/>
    <mergeCell ref="G1986:G1987"/>
    <mergeCell ref="G1989:G1994"/>
    <mergeCell ref="G1919:G1922"/>
    <mergeCell ref="G1928:G1929"/>
    <mergeCell ref="G1932:G1933"/>
    <mergeCell ref="G1935:G1936"/>
    <mergeCell ref="G1938:G1939"/>
    <mergeCell ref="G1940:G1942"/>
    <mergeCell ref="G1943:G1944"/>
    <mergeCell ref="G1945:G1949"/>
    <mergeCell ref="G1950:G1951"/>
    <mergeCell ref="G1889:G1891"/>
    <mergeCell ref="G1892:G1893"/>
    <mergeCell ref="G1894:G1896"/>
    <mergeCell ref="G1897:G1898"/>
    <mergeCell ref="G1899:G1900"/>
    <mergeCell ref="G1904:G1905"/>
    <mergeCell ref="G1906:G1907"/>
    <mergeCell ref="G1908:G1913"/>
    <mergeCell ref="G1915:G1918"/>
    <mergeCell ref="G1850:G1851"/>
    <mergeCell ref="G1852:G1854"/>
    <mergeCell ref="G1858:G1861"/>
    <mergeCell ref="G1862:G1863"/>
    <mergeCell ref="G1864:G1865"/>
    <mergeCell ref="G1867:G1868"/>
    <mergeCell ref="G1875:G1879"/>
    <mergeCell ref="G1880:G1882"/>
    <mergeCell ref="G1887:G1888"/>
    <mergeCell ref="G1810:G1811"/>
    <mergeCell ref="G1813:G1818"/>
    <mergeCell ref="G1821:G1823"/>
    <mergeCell ref="G1827:G1829"/>
    <mergeCell ref="G1832:G1835"/>
    <mergeCell ref="G1836:G1837"/>
    <mergeCell ref="G1839:G1841"/>
    <mergeCell ref="G1842:G1844"/>
    <mergeCell ref="G1847:G1849"/>
    <mergeCell ref="G1782:G1784"/>
    <mergeCell ref="G1785:G1786"/>
    <mergeCell ref="G1787:G1790"/>
    <mergeCell ref="G1791:G1793"/>
    <mergeCell ref="G1794:G1795"/>
    <mergeCell ref="G1797:G1800"/>
    <mergeCell ref="G1803:G1804"/>
    <mergeCell ref="G1805:G1806"/>
    <mergeCell ref="G1808:G1809"/>
    <mergeCell ref="G1756:G1757"/>
    <mergeCell ref="G1760:G1761"/>
    <mergeCell ref="G1762:G1763"/>
    <mergeCell ref="G1765:G1766"/>
    <mergeCell ref="G1767:G1768"/>
    <mergeCell ref="G1769:G1770"/>
    <mergeCell ref="G1773:G1774"/>
    <mergeCell ref="G1777:G1778"/>
    <mergeCell ref="G1779:G1781"/>
    <mergeCell ref="G1731:G1732"/>
    <mergeCell ref="G1733:G1736"/>
    <mergeCell ref="G1737:G1738"/>
    <mergeCell ref="G1739:G1740"/>
    <mergeCell ref="G1742:G1743"/>
    <mergeCell ref="G1744:G1746"/>
    <mergeCell ref="G1750:G1751"/>
    <mergeCell ref="G1752:G1753"/>
    <mergeCell ref="G1754:G1755"/>
    <mergeCell ref="G1696:G1698"/>
    <mergeCell ref="G1700:G1702"/>
    <mergeCell ref="G1704:G1706"/>
    <mergeCell ref="G1709:G1710"/>
    <mergeCell ref="G1712:G1714"/>
    <mergeCell ref="G1717:G1718"/>
    <mergeCell ref="G1719:G1720"/>
    <mergeCell ref="G1721:G1722"/>
    <mergeCell ref="G1723:G1729"/>
    <mergeCell ref="G1660:G1661"/>
    <mergeCell ref="G1664:G1665"/>
    <mergeCell ref="G1666:G1669"/>
    <mergeCell ref="G1670:G1672"/>
    <mergeCell ref="G1673:G1674"/>
    <mergeCell ref="G1675:G1678"/>
    <mergeCell ref="G1680:G1687"/>
    <mergeCell ref="G1688:G1690"/>
    <mergeCell ref="G1691:G1693"/>
    <mergeCell ref="G1625:G1635"/>
    <mergeCell ref="G1636:G1637"/>
    <mergeCell ref="G1638:G1639"/>
    <mergeCell ref="G1640:G1641"/>
    <mergeCell ref="G1642:G1644"/>
    <mergeCell ref="G1645:G1646"/>
    <mergeCell ref="G1647:G1651"/>
    <mergeCell ref="G1652:G1654"/>
    <mergeCell ref="G1655:G1656"/>
    <mergeCell ref="G1587:G1588"/>
    <mergeCell ref="G1589:G1591"/>
    <mergeCell ref="G1595:G1597"/>
    <mergeCell ref="G1598:G1603"/>
    <mergeCell ref="G1604:G1606"/>
    <mergeCell ref="G1608:G1611"/>
    <mergeCell ref="G1612:G1613"/>
    <mergeCell ref="G1614:G1619"/>
    <mergeCell ref="G1620:G1623"/>
    <mergeCell ref="G1551:G1552"/>
    <mergeCell ref="G1553:G1556"/>
    <mergeCell ref="G1559:G1561"/>
    <mergeCell ref="G1562:G1566"/>
    <mergeCell ref="G1567:G1571"/>
    <mergeCell ref="G1572:G1573"/>
    <mergeCell ref="G1574:G1577"/>
    <mergeCell ref="G1578:G1579"/>
    <mergeCell ref="G1583:G1586"/>
    <mergeCell ref="G1512:G1513"/>
    <mergeCell ref="G1524:G1525"/>
    <mergeCell ref="G1526:G1527"/>
    <mergeCell ref="G1530:G1531"/>
    <mergeCell ref="G1532:G1533"/>
    <mergeCell ref="G1534:G1535"/>
    <mergeCell ref="G1541:G1542"/>
    <mergeCell ref="G1543:G1548"/>
    <mergeCell ref="G1549:G1550"/>
    <mergeCell ref="G1483:G1484"/>
    <mergeCell ref="G1485:G1488"/>
    <mergeCell ref="G1490:G1491"/>
    <mergeCell ref="G1495:G1496"/>
    <mergeCell ref="G1498:G1499"/>
    <mergeCell ref="G1500:G1504"/>
    <mergeCell ref="G1505:G1507"/>
    <mergeCell ref="G1508:G1509"/>
    <mergeCell ref="G1510:G1511"/>
    <mergeCell ref="G1453:G1454"/>
    <mergeCell ref="G1455:G1457"/>
    <mergeCell ref="G1458:G1459"/>
    <mergeCell ref="G1461:G1462"/>
    <mergeCell ref="G1463:G1465"/>
    <mergeCell ref="G1467:G1468"/>
    <mergeCell ref="G1469:G1471"/>
    <mergeCell ref="G1478:G1479"/>
    <mergeCell ref="G1481:G1482"/>
    <mergeCell ref="G1405:G1407"/>
    <mergeCell ref="G1409:G1411"/>
    <mergeCell ref="G1414:G1416"/>
    <mergeCell ref="G1417:G1418"/>
    <mergeCell ref="G1419:G1420"/>
    <mergeCell ref="G1428:G1429"/>
    <mergeCell ref="G1432:G1437"/>
    <mergeCell ref="G1441:G1442"/>
    <mergeCell ref="G1444:G1448"/>
    <mergeCell ref="G1370:G1371"/>
    <mergeCell ref="G1375:G1377"/>
    <mergeCell ref="G1378:G1379"/>
    <mergeCell ref="G1382:G1384"/>
    <mergeCell ref="G1386:G1387"/>
    <mergeCell ref="G1390:G1392"/>
    <mergeCell ref="G1395:G1397"/>
    <mergeCell ref="G1400:G1402"/>
    <mergeCell ref="G1403:G1404"/>
    <mergeCell ref="G1349:G1351"/>
    <mergeCell ref="G1352:G1353"/>
    <mergeCell ref="G1354:G1355"/>
    <mergeCell ref="G1356:G1358"/>
    <mergeCell ref="G1359:G1360"/>
    <mergeCell ref="G1361:G1362"/>
    <mergeCell ref="G1363:G1364"/>
    <mergeCell ref="G1365:G1366"/>
    <mergeCell ref="G1367:G1369"/>
    <mergeCell ref="G1322:G1323"/>
    <mergeCell ref="G1326:G1327"/>
    <mergeCell ref="G1328:G1329"/>
    <mergeCell ref="G1332:G1333"/>
    <mergeCell ref="G1334:G1335"/>
    <mergeCell ref="G1336:G1337"/>
    <mergeCell ref="G1343:G1344"/>
    <mergeCell ref="G1345:G1346"/>
    <mergeCell ref="G1347:G1348"/>
    <mergeCell ref="G1292:G1293"/>
    <mergeCell ref="G1294:G1295"/>
    <mergeCell ref="G1296:G1298"/>
    <mergeCell ref="G1301:G1302"/>
    <mergeCell ref="G1303:G1304"/>
    <mergeCell ref="G1308:G1309"/>
    <mergeCell ref="G1310:G1311"/>
    <mergeCell ref="G1314:G1319"/>
    <mergeCell ref="G1320:G1321"/>
    <mergeCell ref="G1194:G1199"/>
    <mergeCell ref="G1204:G1210"/>
    <mergeCell ref="G1263:G1264"/>
    <mergeCell ref="G1270:G1271"/>
    <mergeCell ref="G1278:G1279"/>
    <mergeCell ref="G1280:G1281"/>
    <mergeCell ref="G1257:G1258"/>
    <mergeCell ref="G1259:G1262"/>
    <mergeCell ref="G1284:G1285"/>
    <mergeCell ref="G1118:G1122"/>
    <mergeCell ref="G1141:G1143"/>
    <mergeCell ref="G1153:G1155"/>
    <mergeCell ref="G1162:G1163"/>
    <mergeCell ref="G1165:G1167"/>
    <mergeCell ref="G1168:G1171"/>
    <mergeCell ref="G1175:G1180"/>
    <mergeCell ref="G1184:G1185"/>
    <mergeCell ref="G1191:G1192"/>
    <mergeCell ref="G1064:G1067"/>
    <mergeCell ref="G1069:G1075"/>
    <mergeCell ref="G1076:G1083"/>
    <mergeCell ref="G1085:G1089"/>
    <mergeCell ref="G932:G936"/>
    <mergeCell ref="G937:G939"/>
    <mergeCell ref="G1093:G1094"/>
    <mergeCell ref="G1095:G1103"/>
    <mergeCell ref="G1105:G1112"/>
    <mergeCell ref="G1058:G1059"/>
    <mergeCell ref="G1026:G1030"/>
    <mergeCell ref="G1033:G1034"/>
    <mergeCell ref="G1036:G1041"/>
    <mergeCell ref="G1042:G1044"/>
    <mergeCell ref="G1045:G1046"/>
    <mergeCell ref="G1048:G1049"/>
    <mergeCell ref="G1051:G1056"/>
    <mergeCell ref="G972:G974"/>
    <mergeCell ref="G975:G976"/>
    <mergeCell ref="G977:G979"/>
    <mergeCell ref="G980:G986"/>
    <mergeCell ref="G1006:G1009"/>
    <mergeCell ref="G1010:G1012"/>
    <mergeCell ref="G1014:G1018"/>
    <mergeCell ref="G874:G877"/>
    <mergeCell ref="G885:G890"/>
    <mergeCell ref="G892:G894"/>
    <mergeCell ref="G895:G899"/>
    <mergeCell ref="G851:G852"/>
    <mergeCell ref="G857:G860"/>
    <mergeCell ref="G861:G862"/>
    <mergeCell ref="G863:G865"/>
    <mergeCell ref="G867:G871"/>
    <mergeCell ref="G872:G873"/>
    <mergeCell ref="G853:G854"/>
    <mergeCell ref="G766:G767"/>
    <mergeCell ref="G730:G731"/>
    <mergeCell ref="G768:G775"/>
    <mergeCell ref="G780:G781"/>
    <mergeCell ref="G788:G789"/>
    <mergeCell ref="G790:G791"/>
    <mergeCell ref="G793:G797"/>
    <mergeCell ref="G842:G846"/>
    <mergeCell ref="G847:G850"/>
    <mergeCell ref="G834:G835"/>
    <mergeCell ref="G708:G709"/>
    <mergeCell ref="G720:G721"/>
    <mergeCell ref="G723:G728"/>
    <mergeCell ref="G732:G734"/>
    <mergeCell ref="G741:G747"/>
    <mergeCell ref="G748:G749"/>
    <mergeCell ref="G750:G753"/>
    <mergeCell ref="G754:G756"/>
    <mergeCell ref="G763:G765"/>
    <mergeCell ref="G470:G472"/>
    <mergeCell ref="G474:G478"/>
    <mergeCell ref="G678:G681"/>
    <mergeCell ref="G685:G686"/>
    <mergeCell ref="G687:G691"/>
    <mergeCell ref="G692:G697"/>
    <mergeCell ref="G698:G699"/>
    <mergeCell ref="G701:G703"/>
    <mergeCell ref="G704:G705"/>
    <mergeCell ref="G648:G649"/>
    <mergeCell ref="G651:G652"/>
    <mergeCell ref="G653:G654"/>
    <mergeCell ref="G655:G656"/>
    <mergeCell ref="G657:G658"/>
    <mergeCell ref="G660:G661"/>
    <mergeCell ref="G667:G671"/>
    <mergeCell ref="G672:G673"/>
    <mergeCell ref="G675:G676"/>
    <mergeCell ref="G624:G625"/>
    <mergeCell ref="G597:G599"/>
    <mergeCell ref="G600:G605"/>
    <mergeCell ref="G606:G609"/>
    <mergeCell ref="G611:G612"/>
    <mergeCell ref="G613:G614"/>
    <mergeCell ref="G462:G463"/>
    <mergeCell ref="G464:G465"/>
    <mergeCell ref="G466:G469"/>
    <mergeCell ref="G411:G413"/>
    <mergeCell ref="G402:G404"/>
    <mergeCell ref="G408:G409"/>
    <mergeCell ref="G415:G418"/>
    <mergeCell ref="G419:G420"/>
    <mergeCell ref="G423:G427"/>
    <mergeCell ref="G428:G429"/>
    <mergeCell ref="G430:G431"/>
    <mergeCell ref="G432:G433"/>
    <mergeCell ref="G436:G437"/>
    <mergeCell ref="G438:G440"/>
    <mergeCell ref="G441:G442"/>
    <mergeCell ref="G378:G379"/>
    <mergeCell ref="G380:G381"/>
    <mergeCell ref="G448:G451"/>
    <mergeCell ref="G452:G454"/>
    <mergeCell ref="G391:G392"/>
    <mergeCell ref="G395:G397"/>
    <mergeCell ref="G399:G401"/>
    <mergeCell ref="G457:G458"/>
    <mergeCell ref="G459:G460"/>
    <mergeCell ref="G444:G447"/>
    <mergeCell ref="G363:G364"/>
    <mergeCell ref="G368:G369"/>
    <mergeCell ref="G372:G373"/>
    <mergeCell ref="G374:G375"/>
    <mergeCell ref="G376:G377"/>
    <mergeCell ref="G336:G338"/>
    <mergeCell ref="G327:G328"/>
    <mergeCell ref="G329:G331"/>
    <mergeCell ref="G332:G334"/>
    <mergeCell ref="G301:G302"/>
    <mergeCell ref="G303:G305"/>
    <mergeCell ref="G307:G310"/>
    <mergeCell ref="G311:G314"/>
    <mergeCell ref="G323:G324"/>
    <mergeCell ref="G325:G326"/>
    <mergeCell ref="G321:G322"/>
    <mergeCell ref="G352:G353"/>
    <mergeCell ref="G358:G360"/>
    <mergeCell ref="G265:G267"/>
    <mergeCell ref="G270:G273"/>
    <mergeCell ref="G274:G280"/>
    <mergeCell ref="G281:G284"/>
    <mergeCell ref="G286:G287"/>
    <mergeCell ref="G292:G293"/>
    <mergeCell ref="G294:G296"/>
    <mergeCell ref="G297:G298"/>
    <mergeCell ref="G299:G300"/>
    <mergeCell ref="J1:J6"/>
    <mergeCell ref="G28:G30"/>
    <mergeCell ref="G33:G35"/>
    <mergeCell ref="G36:G37"/>
    <mergeCell ref="G41:G42"/>
    <mergeCell ref="G43:G44"/>
    <mergeCell ref="G50:G53"/>
    <mergeCell ref="G55:G58"/>
    <mergeCell ref="G60:G61"/>
    <mergeCell ref="J16:J17"/>
    <mergeCell ref="J14:J15"/>
    <mergeCell ref="G8:G10"/>
    <mergeCell ref="G12:G13"/>
    <mergeCell ref="G14:G15"/>
    <mergeCell ref="G16:G17"/>
    <mergeCell ref="G18:G21"/>
    <mergeCell ref="G46:G47"/>
    <mergeCell ref="J46:J47"/>
    <mergeCell ref="G506:G507"/>
    <mergeCell ref="G508:G509"/>
    <mergeCell ref="G511:G516"/>
    <mergeCell ref="G615:G616"/>
    <mergeCell ref="G617:G619"/>
    <mergeCell ref="G621:G623"/>
    <mergeCell ref="G591:G592"/>
    <mergeCell ref="G548:G549"/>
    <mergeCell ref="G551:G553"/>
    <mergeCell ref="G554:G556"/>
    <mergeCell ref="G558:G562"/>
    <mergeCell ref="G563:G564"/>
    <mergeCell ref="G565:G566"/>
    <mergeCell ref="G568:G569"/>
    <mergeCell ref="G570:G571"/>
    <mergeCell ref="G573:G575"/>
    <mergeCell ref="G576:G578"/>
    <mergeCell ref="G580:G582"/>
    <mergeCell ref="G583:G584"/>
    <mergeCell ref="G587:G588"/>
    <mergeCell ref="G535:G536"/>
    <mergeCell ref="G537:G538"/>
    <mergeCell ref="G541:G542"/>
    <mergeCell ref="G524:G525"/>
    <mergeCell ref="G492:G493"/>
    <mergeCell ref="G494:G496"/>
    <mergeCell ref="G498:G501"/>
    <mergeCell ref="G503:G505"/>
    <mergeCell ref="G181:G182"/>
    <mergeCell ref="G183:G184"/>
    <mergeCell ref="G186:G187"/>
    <mergeCell ref="G188:G191"/>
    <mergeCell ref="G193:G194"/>
    <mergeCell ref="G196:G197"/>
    <mergeCell ref="G198:G199"/>
    <mergeCell ref="G200:G202"/>
    <mergeCell ref="G203:G204"/>
    <mergeCell ref="G208:G209"/>
    <mergeCell ref="G210:G213"/>
    <mergeCell ref="G214:G216"/>
    <mergeCell ref="G227:G229"/>
    <mergeCell ref="G230:G231"/>
    <mergeCell ref="G232:G233"/>
    <mergeCell ref="G240:G241"/>
    <mergeCell ref="G242:G244"/>
    <mergeCell ref="G245:G248"/>
    <mergeCell ref="G250:G252"/>
    <mergeCell ref="G261:G262"/>
    <mergeCell ref="A1:A5"/>
    <mergeCell ref="D1:G5"/>
    <mergeCell ref="G146:G147"/>
    <mergeCell ref="G135:G136"/>
    <mergeCell ref="G70:G71"/>
    <mergeCell ref="G206:G207"/>
    <mergeCell ref="G288:G290"/>
    <mergeCell ref="G263:G264"/>
    <mergeCell ref="B1:B5"/>
    <mergeCell ref="C1:C5"/>
    <mergeCell ref="G63:G64"/>
    <mergeCell ref="G65:G66"/>
    <mergeCell ref="G72:G73"/>
    <mergeCell ref="G74:G78"/>
    <mergeCell ref="G82:G83"/>
    <mergeCell ref="G84:G85"/>
    <mergeCell ref="G89:G90"/>
    <mergeCell ref="G92:G93"/>
    <mergeCell ref="G95:G96"/>
    <mergeCell ref="G99:G100"/>
    <mergeCell ref="G104:G107"/>
    <mergeCell ref="G108:G110"/>
    <mergeCell ref="G111:G113"/>
    <mergeCell ref="G114:G117"/>
    <mergeCell ref="J70:J71"/>
    <mergeCell ref="G170:G171"/>
    <mergeCell ref="G172:G173"/>
    <mergeCell ref="G176:G177"/>
    <mergeCell ref="G339:G340"/>
    <mergeCell ref="G346:G348"/>
    <mergeCell ref="G349:G351"/>
    <mergeCell ref="G382:G386"/>
    <mergeCell ref="G387:G389"/>
    <mergeCell ref="J146:J147"/>
    <mergeCell ref="G161:G162"/>
    <mergeCell ref="G163:G165"/>
    <mergeCell ref="G166:G167"/>
    <mergeCell ref="G121:G122"/>
    <mergeCell ref="G126:G127"/>
    <mergeCell ref="G128:G130"/>
    <mergeCell ref="G131:G132"/>
    <mergeCell ref="G133:G134"/>
    <mergeCell ref="G141:G142"/>
    <mergeCell ref="G143:G145"/>
    <mergeCell ref="G148:G149"/>
    <mergeCell ref="G156:G160"/>
    <mergeCell ref="G168:G169"/>
    <mergeCell ref="G179:G180"/>
    <mergeCell ref="J1118:J1119"/>
    <mergeCell ref="H761:H762"/>
    <mergeCell ref="H808:H809"/>
    <mergeCell ref="G1019:G1020"/>
    <mergeCell ref="G1021:G1025"/>
    <mergeCell ref="G901:G903"/>
    <mergeCell ref="G904:G906"/>
    <mergeCell ref="G907:G908"/>
    <mergeCell ref="G910:G914"/>
    <mergeCell ref="G928:G931"/>
    <mergeCell ref="J932:J936"/>
    <mergeCell ref="J951:J952"/>
    <mergeCell ref="J1010:J1012"/>
    <mergeCell ref="G798:G806"/>
    <mergeCell ref="G808:G813"/>
    <mergeCell ref="G816:G820"/>
    <mergeCell ref="G822:G823"/>
    <mergeCell ref="G824:G826"/>
    <mergeCell ref="G828:G829"/>
    <mergeCell ref="G830:G831"/>
    <mergeCell ref="G832:G833"/>
    <mergeCell ref="G836:G837"/>
    <mergeCell ref="G838:G839"/>
    <mergeCell ref="G840:G841"/>
    <mergeCell ref="G528:G529"/>
    <mergeCell ref="G544:G547"/>
    <mergeCell ref="G522:G523"/>
    <mergeCell ref="G526:G527"/>
    <mergeCell ref="G531:G534"/>
    <mergeCell ref="H1432:H1437"/>
    <mergeCell ref="G987:G989"/>
    <mergeCell ref="G990:G996"/>
    <mergeCell ref="G997:G998"/>
    <mergeCell ref="G999:G1001"/>
    <mergeCell ref="G1002:G1004"/>
    <mergeCell ref="G941:G942"/>
    <mergeCell ref="G944:G945"/>
    <mergeCell ref="G949:G950"/>
    <mergeCell ref="G951:G952"/>
    <mergeCell ref="G954:G957"/>
    <mergeCell ref="G959:G962"/>
    <mergeCell ref="G963:G964"/>
    <mergeCell ref="G965:G967"/>
    <mergeCell ref="G968:G969"/>
    <mergeCell ref="G1182:G1183"/>
    <mergeCell ref="H754:H755"/>
    <mergeCell ref="G711:G712"/>
    <mergeCell ref="G717:G719"/>
    <mergeCell ref="G486:G487"/>
    <mergeCell ref="G479:G481"/>
    <mergeCell ref="G2458:G2460"/>
    <mergeCell ref="J587:J588"/>
    <mergeCell ref="J600:J605"/>
    <mergeCell ref="J615:J616"/>
    <mergeCell ref="J657:J658"/>
    <mergeCell ref="J678:J681"/>
    <mergeCell ref="G1226:G1227"/>
    <mergeCell ref="G1250:G1251"/>
    <mergeCell ref="G1282:G1283"/>
    <mergeCell ref="G1338:G1339"/>
    <mergeCell ref="G1340:G1342"/>
    <mergeCell ref="G1212:G1213"/>
    <mergeCell ref="G1299:G1300"/>
    <mergeCell ref="G1216:G1217"/>
    <mergeCell ref="G1221:G1223"/>
    <mergeCell ref="G1231:G1232"/>
    <mergeCell ref="G1240:G1241"/>
    <mergeCell ref="G1246:G1247"/>
    <mergeCell ref="G1248:G1249"/>
    <mergeCell ref="G1253:G1254"/>
    <mergeCell ref="J624:J625"/>
    <mergeCell ref="G1060:G1063"/>
  </mergeCells>
  <conditionalFormatting sqref="G321:G322">
    <cfRule type="expression" dxfId="3291" priority="2378">
      <formula>AT320&gt;4099</formula>
    </cfRule>
  </conditionalFormatting>
  <hyperlinks>
    <hyperlink ref="G443" location="'Figure 6(3)'!A1" display="See Figure 6(3)" xr:uid="{E198EBDF-1935-412E-9EFD-939876150F4E}"/>
    <hyperlink ref="G435" location="'Figure 6(3)'!A1" display="See Figure 6(3)" xr:uid="{4C0267EC-E9B9-4150-8AE0-525B344B47C6}"/>
    <hyperlink ref="G530" location="'Table 602.1.12'!A1" display="See Table 602.1.12" xr:uid="{CA4637C2-C926-4E09-A58A-C92D1D142C04}"/>
    <hyperlink ref="G590" location="'Table 604.1'!A1" display="See Table 604.1" xr:uid="{42BB988F-D87E-4286-AB26-BEA61C5A5AB7}"/>
    <hyperlink ref="G953" location="'Table 701.4.3.2(2)'!A1" display="See Table 701.4.3.2(2)" xr:uid="{C9C20DA4-D921-43D0-9161-A1A84FC2B06A}"/>
    <hyperlink ref="G1983" location="'Table 901.9.1'!A1" display="See Table 901.9.1" xr:uid="{C2BE15F3-D761-4893-BB86-FE65D038286E}"/>
    <hyperlink ref="G1988" location="'Table 901.9.2'!A1" display="See Table 901.9.2" xr:uid="{514F18E4-0976-44BC-B1E0-89077C43F831}"/>
    <hyperlink ref="G2011" location="'Table 901.10(3)'!A1" display="See Table 901.10(3)" xr:uid="{FA92420D-D413-4193-9FAF-AC4EEFF83964}"/>
    <hyperlink ref="G1057" location="'Table 11.703.2.1(a)'!A1" display="See Table 11.703.2.1(a)" xr:uid="{B0E31DE8-7512-4560-933A-A09CBC92DD5F}"/>
    <hyperlink ref="G1013" location="'Table 305.2.5.1'!A1" display="See Table Table 305.2.5.1" xr:uid="{1AD68EB7-159A-4BF0-AE17-5FD6AA704CF0}"/>
    <hyperlink ref="G1607" location="'Table 305.2.6.1'!A1" display="See Table Table 305.2.6.1" xr:uid="{7C0A41C2-E184-4B28-AD95-D67951DF8F3B}"/>
    <hyperlink ref="G1084" location="'Table 11.703.2.5.1'!A1" display="See Table 11.703.2.5.1" xr:uid="{2344BABB-76F9-4660-B8F7-80665913D701}"/>
    <hyperlink ref="G1005" location="'Table 11.703.2.5.1'!A1" display="See Table 11.703.2.5.1" xr:uid="{62F1A5F8-62E5-43A7-BECB-407AB17E37F8}"/>
    <hyperlink ref="G2715" location="'Table 604.1'!A1" display="See Table 604.1" xr:uid="{2CD69F1C-F15A-4A0D-B130-E31963661BB7}"/>
    <hyperlink ref="G2946" location="'Table 901.9.1'!A1" display="See Table 901.9.1" xr:uid="{49D5B2C8-926A-4F6E-96D0-9DE91CD98F85}"/>
    <hyperlink ref="G2951" location="'Table 901.9.2'!A1" display="See Table 901.9.2" xr:uid="{ED2914C8-C5BB-4783-8CCC-F8C14F65FDE6}"/>
    <hyperlink ref="G2970" location="'Table 901.10(3)'!A1" display="See Table 901.10(3)" xr:uid="{2E3CCA29-FE1E-40AD-8772-1DCAE4A68C2D}"/>
    <hyperlink ref="G2741" r:id="rId1" location="C402.4" xr:uid="{E20AAAF7-2854-4737-9DFE-A0638646E99A}"/>
  </hyperlinks>
  <pageMargins left="0.7" right="0.7" top="0.75" bottom="0.75" header="0.3" footer="0.3"/>
  <pageSetup scale="52" fitToHeight="0" orientation="portrait" r:id="rId2"/>
  <drawing r:id="rId3"/>
  <extLst>
    <ext xmlns:x14="http://schemas.microsoft.com/office/spreadsheetml/2009/9/main" uri="{78C0D931-6437-407d-A8EE-F0AAD7539E65}">
      <x14:conditionalFormattings>
        <x14:conditionalFormatting xmlns:xm="http://schemas.microsoft.com/office/excel/2006/main">
          <x14:cfRule type="expression" priority="1" id="{51690369-FFB4-448E-95D9-50D543C12E8A}">
            <xm:f>'/Users/dianasacks/Library/Containers/com.microsoft.Excel/Data/Documents/Users\Matt\Documents\working\[working 20191201.xlsx]Ch9'!#REF!=TRUE</xm:f>
            <x14:dxf>
              <fill>
                <patternFill>
                  <bgColor rgb="FF92D050"/>
                </patternFill>
              </fill>
            </x14:dxf>
          </x14:cfRule>
          <xm:sqref>G2905 G2907 G2931 G2942:G2945 G2947 G2952 G2961 G2966:G2967 G2971</xm:sqref>
        </x14:conditionalFormatting>
      </x14:conditionalFormattings>
    </ext>
  </extLs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3">
    <tabColor theme="1"/>
  </sheetPr>
  <dimension ref="A2:HT25"/>
  <sheetViews>
    <sheetView topLeftCell="EK1" zoomScaleNormal="100" workbookViewId="0">
      <selection activeCell="EK5" sqref="EK5:EK7"/>
    </sheetView>
  </sheetViews>
  <sheetFormatPr baseColWidth="10" defaultColWidth="8.83203125" defaultRowHeight="15" x14ac:dyDescent="0.2"/>
  <cols>
    <col min="1" max="1" width="6.33203125" hidden="1" customWidth="1"/>
    <col min="2" max="2" width="10.5" hidden="1" customWidth="1"/>
    <col min="3" max="3" width="8.6640625" hidden="1" customWidth="1"/>
    <col min="4" max="4" width="15.6640625" hidden="1" customWidth="1"/>
    <col min="5" max="5" width="15.6640625" style="1421" hidden="1" customWidth="1"/>
    <col min="6" max="7" width="15.6640625" style="1168" hidden="1" customWidth="1"/>
    <col min="8" max="8" width="25.83203125" hidden="1" customWidth="1"/>
    <col min="9" max="11" width="24.5" hidden="1" customWidth="1"/>
    <col min="12" max="12" width="13.33203125" hidden="1" customWidth="1"/>
    <col min="13" max="13" width="13.33203125" style="289" hidden="1" customWidth="1"/>
    <col min="14" max="16" width="24.5" style="287" hidden="1" customWidth="1"/>
    <col min="17" max="17" width="21.83203125" style="289" hidden="1" customWidth="1"/>
    <col min="18" max="18" width="13.6640625" hidden="1" customWidth="1"/>
    <col min="19" max="19" width="20.33203125" hidden="1" customWidth="1"/>
    <col min="20" max="20" width="7.5" hidden="1" customWidth="1"/>
    <col min="21" max="21" width="17.6640625" hidden="1" customWidth="1"/>
    <col min="22" max="22" width="18.83203125" hidden="1" customWidth="1"/>
    <col min="23" max="23" width="14.5" hidden="1" customWidth="1"/>
    <col min="24" max="24" width="12.5" hidden="1" customWidth="1"/>
    <col min="25" max="25" width="18.1640625" style="9" hidden="1" customWidth="1"/>
    <col min="26" max="26" width="8.33203125" style="9" hidden="1" customWidth="1"/>
    <col min="27" max="27" width="9.5" hidden="1" customWidth="1"/>
    <col min="28" max="28" width="14" hidden="1" customWidth="1"/>
    <col min="29" max="29" width="15.33203125" hidden="1" customWidth="1"/>
    <col min="30" max="30" width="18.5" style="1223" hidden="1" customWidth="1"/>
    <col min="31" max="31" width="15.33203125" style="823" hidden="1" customWidth="1"/>
    <col min="32" max="32" width="10.6640625" hidden="1" customWidth="1"/>
    <col min="33" max="35" width="10.33203125" hidden="1" customWidth="1"/>
    <col min="36" max="36" width="9.6640625" hidden="1" customWidth="1"/>
    <col min="37" max="39" width="10.33203125" hidden="1" customWidth="1"/>
    <col min="40" max="40" width="8.33203125" hidden="1" customWidth="1"/>
    <col min="41" max="41" width="12.6640625" hidden="1" customWidth="1"/>
    <col min="42" max="42" width="10.33203125" hidden="1" customWidth="1"/>
    <col min="43" max="43" width="10.5" hidden="1" customWidth="1"/>
    <col min="44" max="44" width="10.1640625" hidden="1" customWidth="1"/>
    <col min="45" max="46" width="10.5" hidden="1" customWidth="1"/>
    <col min="47" max="48" width="12.33203125" style="751" hidden="1" customWidth="1"/>
    <col min="49" max="49" width="14.5" hidden="1" customWidth="1"/>
    <col min="50" max="50" width="14.5" style="137" hidden="1" customWidth="1"/>
    <col min="51" max="51" width="18" style="137" hidden="1" customWidth="1"/>
    <col min="52" max="52" width="14.5" style="137" hidden="1" customWidth="1"/>
    <col min="53" max="53" width="10.33203125" style="137" hidden="1" customWidth="1"/>
    <col min="54" max="54" width="12.33203125" style="755" hidden="1" customWidth="1"/>
    <col min="55" max="55" width="12.33203125" style="137" hidden="1" customWidth="1"/>
    <col min="56" max="56" width="15.33203125" style="137" hidden="1" customWidth="1"/>
    <col min="57" max="58" width="11.33203125" style="137" hidden="1" customWidth="1"/>
    <col min="59" max="59" width="13.5" style="137" hidden="1" customWidth="1"/>
    <col min="60" max="60" width="13.5" style="1267" hidden="1" customWidth="1"/>
    <col min="61" max="62" width="13.83203125" style="137" hidden="1" customWidth="1"/>
    <col min="63" max="68" width="13.83203125" style="151" hidden="1" customWidth="1"/>
    <col min="69" max="72" width="21.5" style="151" hidden="1" customWidth="1"/>
    <col min="73" max="74" width="11.6640625" style="151" hidden="1" customWidth="1"/>
    <col min="75" max="76" width="15.5" style="151" hidden="1" customWidth="1"/>
    <col min="77" max="77" width="14.6640625" style="151" hidden="1" customWidth="1"/>
    <col min="78" max="78" width="13.5" style="151" hidden="1" customWidth="1"/>
    <col min="79" max="82" width="18.6640625" style="151" hidden="1" customWidth="1"/>
    <col min="83" max="83" width="8.33203125" style="151" hidden="1" customWidth="1"/>
    <col min="84" max="84" width="10.5" style="823" hidden="1" customWidth="1"/>
    <col min="85" max="85" width="8.33203125" style="823" hidden="1" customWidth="1"/>
    <col min="86" max="86" width="16.1640625" style="843" hidden="1" customWidth="1"/>
    <col min="87" max="87" width="21.6640625" hidden="1" customWidth="1"/>
    <col min="88" max="89" width="14.5" style="905" hidden="1" customWidth="1"/>
    <col min="90" max="90" width="14.33203125" style="905" hidden="1" customWidth="1"/>
    <col min="91" max="92" width="14.5" style="905" hidden="1" customWidth="1"/>
    <col min="93" max="93" width="14.1640625" style="905" hidden="1" customWidth="1"/>
    <col min="94" max="95" width="14.5" style="905" hidden="1" customWidth="1"/>
    <col min="96" max="97" width="14" style="905" hidden="1" customWidth="1"/>
    <col min="98" max="98" width="14.5" style="905" hidden="1" customWidth="1"/>
    <col min="99" max="99" width="14" style="905" hidden="1" customWidth="1"/>
    <col min="100" max="100" width="15.1640625" style="905" hidden="1" customWidth="1"/>
    <col min="101" max="101" width="14.5" style="1198" hidden="1" customWidth="1"/>
    <col min="102" max="102" width="14.5" hidden="1" customWidth="1"/>
    <col min="103" max="104" width="10.33203125" style="1198" hidden="1" customWidth="1"/>
    <col min="105" max="107" width="12.5" style="1498" hidden="1" customWidth="1"/>
    <col min="108" max="108" width="22.5" style="1278" hidden="1" customWidth="1"/>
    <col min="109" max="109" width="14.5" style="881" hidden="1" customWidth="1"/>
    <col min="110" max="110" width="12.33203125" style="881" hidden="1" customWidth="1"/>
    <col min="111" max="111" width="14.5" style="881" hidden="1" customWidth="1"/>
    <col min="112" max="113" width="12.33203125" style="881" hidden="1" customWidth="1"/>
    <col min="114" max="116" width="10.33203125" style="881" hidden="1" customWidth="1"/>
    <col min="117" max="117" width="12.33203125" style="881" hidden="1" customWidth="1"/>
    <col min="118" max="119" width="14.5" style="881" hidden="1" customWidth="1"/>
    <col min="120" max="121" width="12.33203125" style="881" hidden="1" customWidth="1"/>
    <col min="122" max="122" width="10.33203125" style="881" hidden="1" customWidth="1"/>
    <col min="123" max="123" width="9.33203125" style="881" hidden="1" customWidth="1"/>
    <col min="124" max="124" width="17" style="881" hidden="1" customWidth="1"/>
    <col min="125" max="125" width="8.33203125" style="881" hidden="1" customWidth="1"/>
    <col min="126" max="126" width="10.33203125" style="881" hidden="1" customWidth="1"/>
    <col min="127" max="127" width="16.5" style="881" hidden="1" customWidth="1"/>
    <col min="128" max="128" width="10.33203125" style="881" hidden="1" customWidth="1"/>
    <col min="129" max="129" width="10.5" style="881" hidden="1" customWidth="1"/>
    <col min="130" max="130" width="10.33203125" style="881" hidden="1" customWidth="1"/>
    <col min="131" max="131" width="12.33203125" style="881" hidden="1" customWidth="1"/>
    <col min="132" max="133" width="10.33203125" style="881" hidden="1" customWidth="1"/>
    <col min="134" max="134" width="12.33203125" style="881" hidden="1" customWidth="1"/>
    <col min="135" max="135" width="14.5" style="881" hidden="1" customWidth="1"/>
    <col min="136" max="137" width="10.33203125" style="881" hidden="1" customWidth="1"/>
    <col min="138" max="138" width="15.6640625" style="881" hidden="1" customWidth="1"/>
    <col min="139" max="140" width="10.33203125" style="881" hidden="1" customWidth="1"/>
    <col min="141" max="141" width="11.33203125" style="1498" bestFit="1" customWidth="1"/>
    <col min="142" max="142" width="15.6640625" style="881" bestFit="1" customWidth="1"/>
    <col min="143" max="143" width="8.33203125" style="881" bestFit="1" customWidth="1"/>
    <col min="144" max="144" width="15.6640625" bestFit="1" customWidth="1"/>
    <col min="145" max="146" width="12.33203125" bestFit="1" customWidth="1"/>
    <col min="147" max="148" width="10.33203125" bestFit="1" customWidth="1"/>
    <col min="149" max="154" width="12.33203125" bestFit="1" customWidth="1"/>
    <col min="155" max="155" width="12.5" bestFit="1" customWidth="1"/>
    <col min="156" max="156" width="10.33203125" bestFit="1" customWidth="1"/>
    <col min="157" max="157" width="10.33203125" style="337" customWidth="1"/>
    <col min="158" max="158" width="10.5" style="337" bestFit="1" customWidth="1"/>
    <col min="159" max="159" width="10.1640625" style="337" bestFit="1" customWidth="1"/>
    <col min="160" max="160" width="10.1640625" style="794" customWidth="1"/>
    <col min="161" max="161" width="10.5" style="337" bestFit="1" customWidth="1"/>
    <col min="162" max="162" width="12.33203125" style="521" bestFit="1" customWidth="1"/>
    <col min="163" max="163" width="11.33203125" bestFit="1" customWidth="1"/>
    <col min="164" max="164" width="16.1640625" style="905" bestFit="1" customWidth="1"/>
    <col min="165" max="165" width="10.33203125" bestFit="1" customWidth="1"/>
    <col min="166" max="167" width="8.33203125" bestFit="1" customWidth="1"/>
    <col min="168" max="168" width="11.83203125" style="1421" bestFit="1" customWidth="1"/>
    <col min="169" max="172" width="13.5" style="1421" bestFit="1" customWidth="1"/>
    <col min="173" max="181" width="15.5" style="1421" bestFit="1" customWidth="1"/>
    <col min="182" max="184" width="16.5" style="1421" bestFit="1" customWidth="1"/>
    <col min="185" max="195" width="13.5" style="1421" bestFit="1" customWidth="1"/>
    <col min="196" max="198" width="14.5" style="1421" bestFit="1" customWidth="1"/>
    <col min="199" max="199" width="11.33203125" style="1421" bestFit="1" customWidth="1"/>
    <col min="200" max="201" width="12.33203125" style="1421" bestFit="1" customWidth="1"/>
    <col min="202" max="204" width="14.5" style="1421" bestFit="1" customWidth="1"/>
    <col min="205" max="205" width="12.33203125" style="1421" bestFit="1" customWidth="1"/>
    <col min="206" max="216" width="13.5" style="1421" bestFit="1" customWidth="1"/>
    <col min="217" max="217" width="13.5" style="1421" customWidth="1"/>
    <col min="218" max="218" width="13.5" style="1421" bestFit="1" customWidth="1"/>
    <col min="219" max="219" width="11.33203125" style="1421" bestFit="1" customWidth="1"/>
    <col min="220" max="221" width="13.5" style="1421" bestFit="1" customWidth="1"/>
    <col min="222" max="224" width="15.5" style="1421" bestFit="1" customWidth="1"/>
    <col min="225" max="228" width="13.5" style="1421" bestFit="1" customWidth="1"/>
  </cols>
  <sheetData>
    <row r="2" spans="1:228" x14ac:dyDescent="0.2">
      <c r="A2" t="s">
        <v>90</v>
      </c>
      <c r="B2" t="s">
        <v>189</v>
      </c>
      <c r="AE2" t="s">
        <v>268</v>
      </c>
      <c r="AO2" t="s">
        <v>2552</v>
      </c>
      <c r="BX2"/>
      <c r="CH2" t="s">
        <v>2556</v>
      </c>
      <c r="DT2" s="881" t="s">
        <v>4674</v>
      </c>
      <c r="EN2" t="s">
        <v>2932</v>
      </c>
      <c r="EZ2" s="337"/>
      <c r="FE2" s="521"/>
      <c r="FF2"/>
      <c r="FL2" s="1421" t="s">
        <v>5600</v>
      </c>
    </row>
    <row r="3" spans="1:228" x14ac:dyDescent="0.2">
      <c r="AB3" s="9"/>
      <c r="BX3"/>
      <c r="EZ3" s="337"/>
      <c r="FF3"/>
    </row>
    <row r="4" spans="1:228" x14ac:dyDescent="0.2">
      <c r="A4" t="s">
        <v>232</v>
      </c>
      <c r="B4" s="1" t="s">
        <v>257</v>
      </c>
      <c r="C4" s="1"/>
      <c r="D4" t="str">
        <f>'Overview (Design)'!E18</f>
        <v>ddSingleOrMulti</v>
      </c>
      <c r="E4" s="1421" t="str">
        <f>'Overview (Design)'!E20</f>
        <v>ddCommercial</v>
      </c>
      <c r="F4" s="1168" t="str">
        <f>'Overview (Design)'!E34</f>
        <v>ddEnergyPath</v>
      </c>
      <c r="G4" s="1168" t="str">
        <f>'Overview (Design)'!E35</f>
        <v>ddWaterPath</v>
      </c>
      <c r="H4" t="str">
        <f>'Overview (Design)'!E36</f>
        <v>ddFoundation</v>
      </c>
      <c r="I4" t="str">
        <f>'Overview (Design)'!E38</f>
        <v>ddHeat1</v>
      </c>
      <c r="J4" t="str">
        <f>'Overview (Design)'!E39</f>
        <v>ddHeat2</v>
      </c>
      <c r="K4" t="str">
        <f>'Overview (Design)'!E40</f>
        <v>ddHeat3</v>
      </c>
      <c r="L4" t="str">
        <f>'Overview (Design)'!E41</f>
        <v>ddFuel</v>
      </c>
      <c r="M4" s="289" t="str">
        <f>'Overview (Design)'!E42</f>
        <v>ddHDucts</v>
      </c>
      <c r="N4" s="287" t="str">
        <f>'Overview (Design)'!E43</f>
        <v>ddCool1</v>
      </c>
      <c r="O4" s="287" t="str">
        <f>'Overview (Design)'!E44</f>
        <v>ddCool2</v>
      </c>
      <c r="P4" s="287" t="str">
        <f>'Overview (Design)'!E45</f>
        <v>ddCool3</v>
      </c>
      <c r="Q4" s="289" t="str">
        <f>'Overview (Design)'!E46</f>
        <v>ddCDucts</v>
      </c>
      <c r="R4" t="str">
        <f>'Overview (Design)'!E52</f>
        <v>ddRenewable</v>
      </c>
      <c r="S4" t="str">
        <f>'Overview (Design)'!E53</f>
        <v>ddTEInsulation</v>
      </c>
      <c r="T4" t="str">
        <f>'Overview (Design)'!E54</f>
        <v>ddAttic</v>
      </c>
      <c r="U4" t="str">
        <f>'Overview (Design)'!E55</f>
        <v>ddAttachedGarage</v>
      </c>
      <c r="V4" t="str">
        <f>'Overview (Design)'!E56</f>
        <v>ddRecessedLighting</v>
      </c>
      <c r="W4" t="str">
        <f>'Overview (Design)'!E59</f>
        <v>ddPassiveSolar</v>
      </c>
      <c r="X4" t="str">
        <f>'Overview (Design)'!E60</f>
        <v>ddMassWalls</v>
      </c>
      <c r="Y4" s="9" t="str">
        <f>'Overview (Design)'!E61</f>
        <v>ddRadiantHydronic</v>
      </c>
      <c r="Z4" s="9" t="str">
        <f>'Overview (Design)'!E62</f>
        <v>ddTLWH</v>
      </c>
      <c r="AA4" t="str">
        <f>'Overview (Design)'!E63</f>
        <v>ddCToilet</v>
      </c>
      <c r="AB4" t="str">
        <f>'Overview (Design)'!E65</f>
        <v>ddEnergyCode</v>
      </c>
      <c r="AC4" s="1" t="s">
        <v>188</v>
      </c>
      <c r="AD4" s="1" t="s">
        <v>5031</v>
      </c>
      <c r="AE4" s="823" t="str">
        <f>'11.500'!U30</f>
        <v>dd501_2_3_</v>
      </c>
      <c r="AF4" t="str">
        <f>'11.500'!U38</f>
        <v>dd501_2_5</v>
      </c>
      <c r="AG4" t="str">
        <f>'11.500'!U86</f>
        <v>dd503_2_3</v>
      </c>
      <c r="AH4" s="78" t="str">
        <f>'11.500'!U116</f>
        <v>dd503_4_2</v>
      </c>
      <c r="AI4" s="78" t="str">
        <f>'11.500'!U123</f>
        <v>dd503_4_3</v>
      </c>
      <c r="AJ4" s="78" t="str">
        <f>'11.500'!U135</f>
        <v>dd503_5</v>
      </c>
      <c r="AK4" s="78" t="str">
        <f>'11.500'!U137</f>
        <v>dd503_5_1</v>
      </c>
      <c r="AL4" s="78" t="str">
        <f>'11.500'!U152</f>
        <v>dd503_5_6</v>
      </c>
      <c r="AM4" s="78" t="str">
        <f>'11.500'!U237</f>
        <v>dd505_1_3</v>
      </c>
      <c r="AN4" s="78" t="str">
        <f>'11.500'!U255</f>
        <v>dd505_3</v>
      </c>
      <c r="AO4" t="str">
        <f>'11.600'!U62</f>
        <v>dd601_6</v>
      </c>
      <c r="AP4" s="133" t="str">
        <f>'11.600'!U69</f>
        <v>dd601_7_a</v>
      </c>
      <c r="AQ4" s="133" t="str">
        <f>'11.600'!U70</f>
        <v>dd601_7_b</v>
      </c>
      <c r="AR4" s="133" t="str">
        <f>'11.600'!U71</f>
        <v>dd601_7_c</v>
      </c>
      <c r="AS4" s="133" t="str">
        <f>'11.600'!U75</f>
        <v>dd601_7_d</v>
      </c>
      <c r="AT4" s="133" t="str">
        <f>'11.600'!U77</f>
        <v>dd601_7_e</v>
      </c>
      <c r="AU4" s="751" t="str">
        <f>'11.600'!U98</f>
        <v>dd602_1_1_1</v>
      </c>
      <c r="AV4" s="751" t="str">
        <f>'11.600'!U111</f>
        <v>dd602_1_3_1</v>
      </c>
      <c r="AW4" s="137" t="str">
        <f>'11.600'!U124</f>
        <v>dd602_1_4_1_2</v>
      </c>
      <c r="AX4" s="137" t="str">
        <f>'11.600'!U133</f>
        <v>dd602_1_4_2_2</v>
      </c>
      <c r="AY4" s="137" t="str">
        <f>'11.600'!U138</f>
        <v>dd602_1_5</v>
      </c>
      <c r="AZ4" s="137" t="str">
        <f>'11.600'!U162</f>
        <v>dd602_1_7_1_2</v>
      </c>
      <c r="BA4" s="137" t="str">
        <f>'11.600'!U173</f>
        <v>dd602_1_8</v>
      </c>
      <c r="BB4" s="755" t="str">
        <f>'11.600'!U185</f>
        <v>dd602_1_9_1</v>
      </c>
      <c r="BC4" s="137" t="str">
        <f>'11.600'!U205</f>
        <v>dd602_1_9_5</v>
      </c>
      <c r="BD4" s="137" t="str">
        <f>'11.600'!U215</f>
        <v>dd602_1_10</v>
      </c>
      <c r="BE4" s="137" t="str">
        <f>'11.600'!U227</f>
        <v>dd602_1_11</v>
      </c>
      <c r="BF4" s="137" t="str">
        <f>'11.600'!U234</f>
        <v>dd602_1_13</v>
      </c>
      <c r="BG4" s="137" t="str">
        <f>'11.600'!U240</f>
        <v>dd602_1_14_1</v>
      </c>
      <c r="BH4" s="1267" t="str">
        <f>'11.600'!U261</f>
        <v>dd602_4_1</v>
      </c>
      <c r="BI4" s="151" t="str">
        <f>'11.600'!U344</f>
        <v>dd606_1_a</v>
      </c>
      <c r="BJ4" s="151" t="str">
        <f>'11.600'!U345</f>
        <v>dd606_1_b</v>
      </c>
      <c r="BK4" s="151" t="str">
        <f>'11.600'!U346</f>
        <v>dd606_1_c</v>
      </c>
      <c r="BL4" s="151" t="str">
        <f>'11.600'!U347</f>
        <v>dd606_1_d</v>
      </c>
      <c r="BM4" s="151" t="str">
        <f>'11.600'!U348</f>
        <v>dd606_1_e</v>
      </c>
      <c r="BN4" s="151" t="str">
        <f>'11.600'!U349</f>
        <v>dd606_1_f</v>
      </c>
      <c r="BO4" s="151" t="str">
        <f>'11.600'!U350</f>
        <v>dd606_1_g</v>
      </c>
      <c r="BP4" s="151" t="str">
        <f>'11.600'!U351</f>
        <v>dd606_1_h</v>
      </c>
      <c r="BQ4" s="151" t="str">
        <f>'11.600'!U375</f>
        <v>dd606_2_1a</v>
      </c>
      <c r="BR4" s="151" t="str">
        <f>'11.600'!U376</f>
        <v>dd606_2_1b</v>
      </c>
      <c r="BS4" s="151" t="str">
        <f>'11.600'!U378</f>
        <v>dd606_2_2a</v>
      </c>
      <c r="BT4" s="151" t="str">
        <f>'11.600'!U379</f>
        <v>dd606_2_2b</v>
      </c>
      <c r="BU4" s="151" t="str">
        <f>'11.600'!U381</f>
        <v>dd606_3</v>
      </c>
      <c r="BV4" s="151" t="str">
        <f>'11.600'!U404</f>
        <v>dd608_1</v>
      </c>
      <c r="BW4" s="151" t="str">
        <f>'11.600'!U416</f>
        <v>dd609_1_1</v>
      </c>
      <c r="BX4" s="151" t="str">
        <f>'11.600'!U418</f>
        <v>dd609_1_2</v>
      </c>
      <c r="BY4" s="151" t="str">
        <f>'11.600'!U459</f>
        <v>dd610_1_2_1a</v>
      </c>
      <c r="BZ4" s="151" t="str">
        <f>'11.600'!U466</f>
        <v>dd610_1_2_1b</v>
      </c>
      <c r="CA4" s="151" t="str">
        <f>'11.600'!U472</f>
        <v>dd610_1_2_2a</v>
      </c>
      <c r="CB4" s="151" t="str">
        <f>'11.600'!U478</f>
        <v>dd610_1_2_2b</v>
      </c>
      <c r="CC4" s="151" t="str">
        <f>'11.600'!U484</f>
        <v>dd610_1_2_2c</v>
      </c>
      <c r="CD4" s="151" t="str">
        <f>'11.600'!U490</f>
        <v>dd610_1_2_2_f</v>
      </c>
      <c r="CE4" s="155" t="str">
        <f>'11.600'!U519</f>
        <v>dd612_1</v>
      </c>
      <c r="CF4" s="823" t="str">
        <f>'11.600'!U566</f>
        <v>dd612_3_9</v>
      </c>
      <c r="CG4" s="823" t="str">
        <f>'11.600'!U570</f>
        <v>dd613_1</v>
      </c>
      <c r="CH4" s="843" t="str">
        <f>'11.700'!U10</f>
        <v>dd305_2_5</v>
      </c>
      <c r="CI4" s="287" t="str">
        <f>'11.700'!U22</f>
        <v>dd701_4_1_2</v>
      </c>
      <c r="CJ4" s="905" t="str">
        <f>'11.700'!U42</f>
        <v>dd701_4_3_1_a</v>
      </c>
      <c r="CK4" s="905" t="str">
        <f>'11.700'!U43</f>
        <v>dd701_4_3_1_b</v>
      </c>
      <c r="CL4" s="905" t="str">
        <f>'11.700'!U44</f>
        <v>dd701_4_3_1_c</v>
      </c>
      <c r="CM4" s="905" t="str">
        <f>'11.700'!U45</f>
        <v>dd701_4_3_1_d</v>
      </c>
      <c r="CN4" s="905" t="str">
        <f>'11.700'!U46</f>
        <v>dd701_4_3_1_e</v>
      </c>
      <c r="CO4" s="905" t="str">
        <f>'11.700'!U47</f>
        <v>dd701_4_3_1_f</v>
      </c>
      <c r="CP4" s="905" t="str">
        <f>'11.700'!U48</f>
        <v>dd701_4_3_1_g</v>
      </c>
      <c r="CQ4" s="905" t="str">
        <f>'11.700'!U49</f>
        <v>dd701_4_3_1_h</v>
      </c>
      <c r="CR4" s="905" t="str">
        <f>'11.700'!U50</f>
        <v>dd701_4_3_1_i</v>
      </c>
      <c r="CS4" s="905" t="str">
        <f>'11.700'!U51</f>
        <v>dd701_4_3_1_j</v>
      </c>
      <c r="CT4" s="905" t="str">
        <f>'11.700'!U52</f>
        <v>dd701_4_3_1_k</v>
      </c>
      <c r="CU4" s="905" t="str">
        <f>'11.700'!U53</f>
        <v>dd701_4_3_1_l</v>
      </c>
      <c r="CV4" s="905" t="str">
        <f>'11.700'!U54</f>
        <v>dd701_4_3_1_m</v>
      </c>
      <c r="CW4" s="1198" t="str">
        <f>'11.700'!U107</f>
        <v>dd701_4_3_4</v>
      </c>
      <c r="CX4" s="327" t="str">
        <f>'11.700'!U117</f>
        <v>dd701_4_3_5</v>
      </c>
      <c r="CY4" s="1198" t="str">
        <f>'11.700'!U129</f>
        <v>dd701_4_6</v>
      </c>
      <c r="CZ4" s="1198" t="str">
        <f>'11.700'!U133</f>
        <v>dd701_4_7</v>
      </c>
      <c r="DA4" s="1498" t="str">
        <f>'11.700'!U160</f>
        <v>dd703_1_1</v>
      </c>
      <c r="DB4" s="1498" t="str">
        <f>'11.700'!U172</f>
        <v>dd703_1_2</v>
      </c>
      <c r="DC4" s="1498" t="str">
        <f>'11.700'!U175</f>
        <v>dd703_1_3</v>
      </c>
      <c r="DD4" s="1278" t="str">
        <f>'11.700'!U196</f>
        <v>dd703_2_5_1</v>
      </c>
      <c r="DE4" s="881" t="str">
        <f>'11.700'!U203</f>
        <v>dd703_2_5_1_1</v>
      </c>
      <c r="DF4" s="881" t="str">
        <f>'11.700'!U212</f>
        <v>dd703_2_5_2</v>
      </c>
      <c r="DG4" s="881" t="str">
        <f>'11.700'!U222</f>
        <v>dd703_2_5_2_1</v>
      </c>
      <c r="DH4" s="881" t="str">
        <f>'11.700'!U233</f>
        <v>dd703_3_0_1</v>
      </c>
      <c r="DI4" s="881" t="str">
        <f>'11.700'!U239</f>
        <v>dd703_3_0_2</v>
      </c>
      <c r="DJ4" s="881" t="str">
        <f>'11.700'!U321</f>
        <v>dd703_4_4</v>
      </c>
      <c r="DK4" s="881" t="str">
        <f>'11.700'!U332</f>
        <v>dd703_5_1</v>
      </c>
      <c r="DL4" s="881" t="str">
        <f>'11.700'!U386</f>
        <v>dd703_5_5</v>
      </c>
      <c r="DM4" s="881" t="str">
        <f>'11.700'!U505</f>
        <v>dd705_2_1_1</v>
      </c>
      <c r="DN4" s="881" t="str">
        <f>'11.700'!U513</f>
        <v>dd705_2_1_3_1</v>
      </c>
      <c r="DO4" s="881" t="str">
        <f>'11.700'!U517</f>
        <v>dd705_2_1_3_2</v>
      </c>
      <c r="DP4" s="881" t="str">
        <f>'11.700'!U522</f>
        <v>dd705_2_1_4</v>
      </c>
      <c r="DQ4" s="881" t="str">
        <f>'11.700'!U590</f>
        <v>dd705_6_2_3</v>
      </c>
      <c r="DR4" s="881" t="str">
        <f>'11.700'!U632</f>
        <v>dd706_2_2</v>
      </c>
      <c r="DS4" s="881" t="str">
        <f>'11.700'!U705</f>
        <v>dd706_13</v>
      </c>
      <c r="DT4" s="881" t="str">
        <f>'11.800'!U13</f>
        <v>dd801_1</v>
      </c>
      <c r="DU4" s="881" t="str">
        <f>'11.800'!U41</f>
        <v>dd802_1</v>
      </c>
      <c r="DV4" s="881" t="str">
        <f>'11.800'!U73</f>
        <v>dd802_2_2</v>
      </c>
      <c r="DW4" s="881" t="str">
        <f>'11.800'!U95</f>
        <v>dd802_4_1</v>
      </c>
      <c r="DX4" s="881" t="str">
        <f>'11.800'!U106</f>
        <v>dd802_4_2</v>
      </c>
      <c r="DY4" s="881" t="str">
        <f>'11.800'!U111</f>
        <v>dd802_4_3</v>
      </c>
      <c r="DZ4" s="881" t="str">
        <f>'11.800'!U115</f>
        <v>dd802_5_1</v>
      </c>
      <c r="EA4" s="881" t="str">
        <f>'11.800'!U117</f>
        <v>dd802_5_1_1</v>
      </c>
      <c r="EB4" s="881" t="str">
        <f>'11.800'!U127</f>
        <v>dd802_5_2</v>
      </c>
      <c r="EC4" s="881" t="str">
        <f>'11.800'!U132</f>
        <v>dd802_5_3</v>
      </c>
      <c r="ED4" s="881" t="str">
        <f>'11.800'!U138</f>
        <v>dd802_5_4_2</v>
      </c>
      <c r="EE4" s="881" t="str">
        <f>'11.800'!U148</f>
        <v>dd802_5_4_4_a</v>
      </c>
      <c r="EF4" s="881" t="str">
        <f>'11.800'!U157</f>
        <v>dd802_6_1</v>
      </c>
      <c r="EG4" s="881" t="str">
        <f>'11.800'!U186</f>
        <v>dd802_7_1</v>
      </c>
      <c r="EH4" s="881" t="str">
        <f>'11.800'!U200</f>
        <v>dd802_7_2_1</v>
      </c>
      <c r="EI4" s="881" t="str">
        <f>'11.800'!U228</f>
        <v>dd802_9_1</v>
      </c>
      <c r="EJ4" s="881" t="str">
        <f>'11.800'!U236</f>
        <v>dd802_9_2</v>
      </c>
      <c r="EK4" s="1498" t="str">
        <f>'11.800'!U242</f>
        <v>dd802_10_1</v>
      </c>
      <c r="EL4" s="881" t="str">
        <f>'11.800'!U251</f>
        <v>dd803_1_1</v>
      </c>
      <c r="EM4" s="881" t="str">
        <f>'11.800'!U257</f>
        <v>dd803_3</v>
      </c>
      <c r="EN4" t="str">
        <f>'11.900'!U23</f>
        <v>dd901_1_3_1</v>
      </c>
      <c r="EO4" s="337" t="str">
        <f>'11.900'!U26</f>
        <v>dd901_1_3_2</v>
      </c>
      <c r="EP4" s="337" t="str">
        <f>'11.900'!U29</f>
        <v>dd901_1_4</v>
      </c>
      <c r="EQ4" s="337" t="str">
        <f>'11.900'!U37</f>
        <v>dd901_1_6</v>
      </c>
      <c r="ER4" s="337" t="str">
        <f>'11.900'!U43</f>
        <v>dd901_2_1_1_m</v>
      </c>
      <c r="ES4" s="337" t="str">
        <f>'11.900'!U46</f>
        <v>dd901_2_1_2_m</v>
      </c>
      <c r="ET4" s="337" t="str">
        <f>'11.900'!U48</f>
        <v>dd901_2_1_3_m</v>
      </c>
      <c r="EU4" s="337" t="str">
        <f>'11.900'!U51</f>
        <v>dd901_2_1_4_m</v>
      </c>
      <c r="EV4" s="337" t="str">
        <f>'11.900'!U53</f>
        <v>dd901_2_1_5_m</v>
      </c>
      <c r="EW4" s="337" t="str">
        <f>'11.900'!U58</f>
        <v>dd901_3_1_a_m</v>
      </c>
      <c r="EX4" s="337" t="str">
        <f>'11.900'!U60</f>
        <v>dd901_3_1_b_m</v>
      </c>
      <c r="EY4" s="337" t="str">
        <f>'11.900'!U73</f>
        <v>dd901_4_1</v>
      </c>
      <c r="EZ4" s="337" t="str">
        <f>'11.900'!U78</f>
        <v>dd901_4_a</v>
      </c>
      <c r="FA4" s="337" t="str">
        <f>'11.900'!U79</f>
        <v>dd901_4_b</v>
      </c>
      <c r="FB4" s="337" t="str">
        <f>'11.900'!U80</f>
        <v>dd901_4_c</v>
      </c>
      <c r="FC4" s="337" t="str">
        <f>'11.900'!U81</f>
        <v>dd901_4_d</v>
      </c>
      <c r="FD4" s="794" t="str">
        <f>'11.900'!U149</f>
        <v>dd901_9_4</v>
      </c>
      <c r="FE4" s="521" t="str">
        <f>'11.900'!U177</f>
        <v>dd901_13</v>
      </c>
      <c r="FF4" s="337" t="str">
        <f>'11.900'!U199</f>
        <v>dd902_1_1_2</v>
      </c>
      <c r="FG4" s="337" t="str">
        <f>'11.900'!U230</f>
        <v>dd902_2_1</v>
      </c>
      <c r="FH4" s="905" t="str">
        <f>'11.900'!U251</f>
        <v>dd902_3</v>
      </c>
      <c r="FI4" s="337" t="str">
        <f>'11.900'!U343</f>
        <v>dd903_1</v>
      </c>
      <c r="FJ4" s="337" t="str">
        <f>'11.900'!U347</f>
        <v>dd903_2</v>
      </c>
      <c r="FK4" s="905" t="str">
        <f>'11.900'!U400</f>
        <v>dd905_6</v>
      </c>
      <c r="FL4" s="1421" t="str">
        <f>'Ver. Rpt. (Commercial)'!U13</f>
        <v>dd13_102_1</v>
      </c>
      <c r="FM4" s="1421" t="str">
        <f>'Ver. Rpt. (Commercial)'!U43</f>
        <v>dd13_104_1_1</v>
      </c>
      <c r="FN4" s="1421" t="str">
        <f>'Ver. Rpt. (Commercial)'!U46</f>
        <v>dd13_104_1_2</v>
      </c>
      <c r="FO4" s="1421" t="str">
        <f>'Ver. Rpt. (Commercial)'!U48</f>
        <v>dd13_104_1_3</v>
      </c>
      <c r="FP4" s="1421" t="str">
        <f>'Ver. Rpt. (Commercial)'!U50</f>
        <v>dd13_104_1_4</v>
      </c>
      <c r="FQ4" s="1421" t="str">
        <f>'Ver. Rpt. (Commercial)'!U59</f>
        <v>dd13_104_1_5_1</v>
      </c>
      <c r="FR4" s="1421" t="str">
        <f>'Ver. Rpt. (Commercial)'!U60</f>
        <v>dd13_104_1_5_2</v>
      </c>
      <c r="FS4" s="1421" t="str">
        <f>'Ver. Rpt. (Commercial)'!U61</f>
        <v>dd13_104_1_5_3</v>
      </c>
      <c r="FT4" s="1421" t="str">
        <f>'Ver. Rpt. (Commercial)'!U62</f>
        <v>dd13_104_1_5_4</v>
      </c>
      <c r="FU4" s="1421" t="str">
        <f>'Ver. Rpt. (Commercial)'!U64</f>
        <v>dd13_104_1_5_5</v>
      </c>
      <c r="FV4" s="1421" t="str">
        <f>'Ver. Rpt. (Commercial)'!U65</f>
        <v>dd13_104_1_5_6</v>
      </c>
      <c r="FW4" s="1421" t="str">
        <f>'Ver. Rpt. (Commercial)'!U66</f>
        <v>dd13_104_1_5_7</v>
      </c>
      <c r="FX4" s="1421" t="str">
        <f>'Ver. Rpt. (Commercial)'!U67</f>
        <v>dd13_104_1_5_8</v>
      </c>
      <c r="FY4" s="1421" t="str">
        <f>'Ver. Rpt. (Commercial)'!U68</f>
        <v>dd13_104_1_5_9</v>
      </c>
      <c r="FZ4" s="1421" t="str">
        <f>'Ver. Rpt. (Commercial)'!U69</f>
        <v>dd13_104_1_5_10</v>
      </c>
      <c r="GA4" s="1421" t="str">
        <f>'Ver. Rpt. (Commercial)'!U70</f>
        <v>dd13_104_1_5_11</v>
      </c>
      <c r="GB4" s="1421" t="str">
        <f>'Ver. Rpt. (Commercial)'!U72</f>
        <v>dd13_104_1_5_12</v>
      </c>
      <c r="GC4" s="1421" t="str">
        <f>'Ver. Rpt. (Commercial)'!U73</f>
        <v>dd13_104_1_6</v>
      </c>
      <c r="GD4" s="1421" t="str">
        <f>'Ver. Rpt. (Commercial)'!U76</f>
        <v>dd13_104_1_7</v>
      </c>
      <c r="GE4" s="1421" t="str">
        <f>'Ver. Rpt. (Commercial)'!U286</f>
        <v>dd13_105_3_1</v>
      </c>
      <c r="GF4" s="1421" t="str">
        <f>'Ver. Rpt. (Commercial)'!U287</f>
        <v>dd13_105_3_2</v>
      </c>
      <c r="GG4" s="1421" t="str">
        <f>'Ver. Rpt. (Commercial)'!U288</f>
        <v>dd13_105_3_3</v>
      </c>
      <c r="GH4" s="1421" t="str">
        <f>'Ver. Rpt. (Commercial)'!U289</f>
        <v>dd13_105_3_4</v>
      </c>
      <c r="GI4" s="1421" t="str">
        <f>'Ver. Rpt. (Commercial)'!U290</f>
        <v>dd13_105_3_5</v>
      </c>
      <c r="GJ4" s="1421" t="str">
        <f>'Ver. Rpt. (Commercial)'!U291</f>
        <v>dd13_105_3_6</v>
      </c>
      <c r="GK4" s="1421" t="str">
        <f>'Ver. Rpt. (Commercial)'!U292</f>
        <v>dd13_105_3_7</v>
      </c>
      <c r="GL4" s="1421" t="str">
        <f>'Ver. Rpt. (Commercial)'!U293</f>
        <v>dd13_105_3_8</v>
      </c>
      <c r="GM4" s="1421" t="str">
        <f>'Ver. Rpt. (Commercial)'!U294</f>
        <v>dd13_105_3_9</v>
      </c>
      <c r="GN4" s="1421" t="str">
        <f>'Ver. Rpt. (Commercial)'!U295</f>
        <v>dd13_105_3_10</v>
      </c>
      <c r="GO4" s="1421" t="str">
        <f>'Ver. Rpt. (Commercial)'!U296</f>
        <v>dd13_105_3_11</v>
      </c>
      <c r="GP4" s="1421" t="str">
        <f>'Ver. Rpt. (Commercial)'!U297</f>
        <v>dd13_105_3_12</v>
      </c>
      <c r="GQ4" s="1421" t="str">
        <f>'Ver. Rpt. (Commercial)'!U301</f>
        <v>dd13_105_4</v>
      </c>
      <c r="GR4" s="1421" t="str">
        <f>'Ver. Rpt. (Commercial)'!U324</f>
        <v>dd13_105_10</v>
      </c>
      <c r="GS4" s="1421" t="str">
        <f>'Ver. Rpt. (Commercial)'!U326</f>
        <v>dd13_105_11</v>
      </c>
      <c r="GT4" s="1421" t="str">
        <f>'Ver. Rpt. (Commercial)'!U332</f>
        <v>dd13_105_11_1</v>
      </c>
      <c r="GU4" s="1421" t="str">
        <f>'Ver. Rpt. (Commercial)'!U339</f>
        <v>dd13_105_11_2</v>
      </c>
      <c r="GV4" s="1421" t="str">
        <f>'Ver. Rpt. (Commercial)'!U344</f>
        <v>dd13_105_11_3</v>
      </c>
      <c r="GW4" s="1421" t="str">
        <f>'Ver. Rpt. (Commercial)'!U347</f>
        <v>dd13_105_12</v>
      </c>
      <c r="GX4" s="1421" t="str">
        <f>'Ver. Rpt. (Commercial)'!U371</f>
        <v>dd13_106_3_1</v>
      </c>
      <c r="GY4" s="1421" t="str">
        <f>'Ver. Rpt. (Commercial)'!U373</f>
        <v>dd13_106_3_2</v>
      </c>
      <c r="GZ4" s="1421" t="str">
        <f>'Ver. Rpt. (Commercial)'!U375</f>
        <v>dd13_106_3_3</v>
      </c>
      <c r="HA4" s="1421" t="str">
        <f>'Ver. Rpt. (Commercial)'!U377</f>
        <v>dd13_106_3_4</v>
      </c>
      <c r="HB4" s="1421" t="str">
        <f>'Ver. Rpt. (Commercial)'!U380</f>
        <v>dd13_106_4_1</v>
      </c>
      <c r="HC4" s="1421" t="str">
        <f>'Ver. Rpt. (Commercial)'!U384</f>
        <v>dd13_106_4_2</v>
      </c>
      <c r="HD4" s="1421" t="str">
        <f>'Ver. Rpt. (Commercial)'!U391</f>
        <v>dd13_106_4_3</v>
      </c>
      <c r="HE4" s="1421" t="str">
        <f>'Ver. Rpt. (Commercial)'!U394</f>
        <v>dd13_106_4_4</v>
      </c>
      <c r="HF4" s="1421" t="str">
        <f>'Ver. Rpt. (Commercial)'!U398</f>
        <v>dd13_106_5_1</v>
      </c>
      <c r="HG4" s="1421" t="str">
        <f>'Ver. Rpt. (Commercial)'!U402</f>
        <v>dd13_106_5_2</v>
      </c>
      <c r="HH4" s="1421" t="str">
        <f>'Ver. Rpt. (Commercial)'!U405</f>
        <v>dd13_106_5_3</v>
      </c>
      <c r="HI4" s="1421" t="str">
        <f>'Ver. Rpt. (Commercial)'!U408</f>
        <v>dd13_106_6</v>
      </c>
      <c r="HJ4" s="1421" t="str">
        <f>'Ver. Rpt. (Commercial)'!U414</f>
        <v>dd13_107_1_1</v>
      </c>
      <c r="HK4" s="1421" t="str">
        <f>'Ver. Rpt. (Commercial)'!U516</f>
        <v>dd13_107_4</v>
      </c>
      <c r="HL4" s="1421" t="str">
        <f>'Ver. Rpt. (Commercial)'!U520</f>
        <v>dd13_107_4_1</v>
      </c>
      <c r="HM4" s="1421" t="str">
        <f>'Ver. Rpt. (Commercial)'!U525</f>
        <v>dd13_107_4_2</v>
      </c>
      <c r="HN4" s="1421" t="str">
        <f>'Ver. Rpt. (Commercial)'!U528</f>
        <v>dd13_107_4_2_1</v>
      </c>
      <c r="HO4" s="1421" t="str">
        <f>'Ver. Rpt. (Commercial)'!U531</f>
        <v>dd13_107_4_2_2</v>
      </c>
      <c r="HP4" s="1421" t="str">
        <f>'Ver. Rpt. (Commercial)'!U533</f>
        <v>dd13_107_4_2_3</v>
      </c>
      <c r="HQ4" s="1421" t="str">
        <f>'Ver. Rpt. (Commercial)'!U535</f>
        <v>dd13_107_4_3</v>
      </c>
      <c r="HR4" s="1421" t="str">
        <f>'Ver. Rpt. (Commercial)'!U539</f>
        <v>dd13_107_4_4</v>
      </c>
      <c r="HS4" s="1421" t="str">
        <f>'Ver. Rpt. (Commercial)'!U548</f>
        <v>dd13_107_6_1</v>
      </c>
      <c r="HT4" s="1421" t="str">
        <f>'Ver. Rpt. (Commercial)'!U550</f>
        <v>dd13_107_6_2</v>
      </c>
    </row>
    <row r="5" spans="1:228" s="1495" customFormat="1" x14ac:dyDescent="0.2">
      <c r="B5" s="1495" t="b">
        <v>1</v>
      </c>
      <c r="D5" s="4" t="s">
        <v>190</v>
      </c>
      <c r="E5" s="1495" t="s">
        <v>224</v>
      </c>
      <c r="F5" s="4" t="s">
        <v>4989</v>
      </c>
      <c r="G5" s="4" t="s">
        <v>4989</v>
      </c>
      <c r="H5" s="4" t="s">
        <v>191</v>
      </c>
      <c r="I5" s="4" t="s">
        <v>199</v>
      </c>
      <c r="J5" s="4" t="s">
        <v>199</v>
      </c>
      <c r="K5" s="4" t="s">
        <v>199</v>
      </c>
      <c r="L5" s="4" t="s">
        <v>204</v>
      </c>
      <c r="M5" s="4" t="s">
        <v>2878</v>
      </c>
      <c r="N5" s="4" t="s">
        <v>201</v>
      </c>
      <c r="O5" s="4" t="s">
        <v>201</v>
      </c>
      <c r="P5" s="4" t="s">
        <v>201</v>
      </c>
      <c r="Q5" s="4" t="s">
        <v>2878</v>
      </c>
      <c r="R5" s="4" t="s">
        <v>209</v>
      </c>
      <c r="S5" s="4" t="s">
        <v>214</v>
      </c>
      <c r="T5" s="4" t="s">
        <v>209</v>
      </c>
      <c r="U5" s="4" t="s">
        <v>224</v>
      </c>
      <c r="V5" s="4" t="s">
        <v>224</v>
      </c>
      <c r="W5" s="4" t="s">
        <v>224</v>
      </c>
      <c r="X5" s="4" t="s">
        <v>224</v>
      </c>
      <c r="Y5" s="4" t="s">
        <v>224</v>
      </c>
      <c r="Z5" s="4" t="s">
        <v>224</v>
      </c>
      <c r="AA5" s="4" t="s">
        <v>224</v>
      </c>
      <c r="AB5" s="4" t="s">
        <v>226</v>
      </c>
      <c r="AC5" s="4" t="s">
        <v>229</v>
      </c>
      <c r="AD5" s="4" t="s">
        <v>229</v>
      </c>
      <c r="AE5" s="1495" t="s">
        <v>121</v>
      </c>
      <c r="AF5" s="1495" t="s">
        <v>121</v>
      </c>
      <c r="AG5" s="1495" t="s">
        <v>121</v>
      </c>
      <c r="AH5" s="1495" t="s">
        <v>121</v>
      </c>
      <c r="AI5" s="1495" t="s">
        <v>121</v>
      </c>
      <c r="AJ5" s="1495" t="s">
        <v>626</v>
      </c>
      <c r="AK5" s="1495" t="s">
        <v>121</v>
      </c>
      <c r="AL5" s="1495" t="s">
        <v>121</v>
      </c>
      <c r="AM5" s="1495" t="s">
        <v>121</v>
      </c>
      <c r="AN5" s="121" t="s">
        <v>254</v>
      </c>
      <c r="AO5" s="1495" t="s">
        <v>2553</v>
      </c>
      <c r="AP5" s="1495" t="s">
        <v>2897</v>
      </c>
      <c r="AQ5" s="1495" t="s">
        <v>2897</v>
      </c>
      <c r="AR5" s="1495" t="s">
        <v>2897</v>
      </c>
      <c r="AS5" s="1495" t="s">
        <v>2897</v>
      </c>
      <c r="AT5" s="1495" t="s">
        <v>2897</v>
      </c>
      <c r="AU5" s="1495" t="s">
        <v>2588</v>
      </c>
      <c r="AV5" s="1495" t="s">
        <v>2588</v>
      </c>
      <c r="AW5" s="1495" t="s">
        <v>2588</v>
      </c>
      <c r="AX5" s="1495" t="s">
        <v>2588</v>
      </c>
      <c r="AY5" s="1495" t="s">
        <v>2593</v>
      </c>
      <c r="AZ5" s="1495" t="s">
        <v>2588</v>
      </c>
      <c r="BA5" s="1495" t="s">
        <v>2588</v>
      </c>
      <c r="BB5" s="1495" t="s">
        <v>2588</v>
      </c>
      <c r="BC5" s="1495" t="s">
        <v>121</v>
      </c>
      <c r="BD5" s="1495" t="s">
        <v>2597</v>
      </c>
      <c r="BE5" s="1495" t="s">
        <v>2588</v>
      </c>
      <c r="BF5" s="1495" t="s">
        <v>2588</v>
      </c>
      <c r="BG5" s="1495" t="s">
        <v>2588</v>
      </c>
      <c r="BH5" s="1495" t="s">
        <v>2588</v>
      </c>
      <c r="BI5" s="1495" t="s">
        <v>2624</v>
      </c>
      <c r="BJ5" s="1495" t="s">
        <v>2624</v>
      </c>
      <c r="BK5" s="1495" t="s">
        <v>2624</v>
      </c>
      <c r="BL5" s="1495" t="s">
        <v>2624</v>
      </c>
      <c r="BM5" s="1495" t="s">
        <v>2624</v>
      </c>
      <c r="BN5" s="1495" t="s">
        <v>2624</v>
      </c>
      <c r="BO5" s="1495" t="s">
        <v>2624</v>
      </c>
      <c r="BP5" s="1495" t="s">
        <v>2624</v>
      </c>
      <c r="BQ5" s="1495" t="s">
        <v>2891</v>
      </c>
      <c r="BR5" s="1495" t="s">
        <v>2891</v>
      </c>
      <c r="BS5" s="1495" t="s">
        <v>2891</v>
      </c>
      <c r="BT5" s="1495" t="s">
        <v>2891</v>
      </c>
      <c r="BU5" s="1495" t="s">
        <v>2629</v>
      </c>
      <c r="BV5" s="1495" t="s">
        <v>2634</v>
      </c>
      <c r="BW5" s="1495" t="s">
        <v>2639</v>
      </c>
      <c r="BX5" s="1495" t="s">
        <v>2639</v>
      </c>
      <c r="BY5" s="1495" t="s">
        <v>2653</v>
      </c>
      <c r="BZ5" s="1495" t="s">
        <v>2653</v>
      </c>
      <c r="CA5" s="1495" t="s">
        <v>2659</v>
      </c>
      <c r="CB5" s="1495" t="s">
        <v>2659</v>
      </c>
      <c r="CC5" s="1495" t="s">
        <v>2659</v>
      </c>
      <c r="CD5" s="1495" t="s">
        <v>2659</v>
      </c>
      <c r="CE5" s="167" t="s">
        <v>2665</v>
      </c>
      <c r="CF5" s="167" t="s">
        <v>4023</v>
      </c>
      <c r="CG5" s="20" t="s">
        <v>4031</v>
      </c>
      <c r="CH5" s="1495" t="s">
        <v>4047</v>
      </c>
      <c r="CI5" s="1495" t="s">
        <v>2588</v>
      </c>
      <c r="CJ5" s="1495" t="s">
        <v>2588</v>
      </c>
      <c r="CK5" s="1495" t="s">
        <v>2588</v>
      </c>
      <c r="CL5" s="1495" t="s">
        <v>2588</v>
      </c>
      <c r="CM5" s="1495" t="s">
        <v>2588</v>
      </c>
      <c r="CN5" s="1495" t="s">
        <v>2588</v>
      </c>
      <c r="CO5" s="1495" t="s">
        <v>2588</v>
      </c>
      <c r="CP5" s="1495" t="s">
        <v>2588</v>
      </c>
      <c r="CQ5" s="1495" t="s">
        <v>2588</v>
      </c>
      <c r="CR5" s="1495" t="s">
        <v>2588</v>
      </c>
      <c r="CS5" s="1495" t="s">
        <v>2588</v>
      </c>
      <c r="CT5" s="1495" t="s">
        <v>2588</v>
      </c>
      <c r="CU5" s="1495" t="s">
        <v>2588</v>
      </c>
      <c r="CV5" s="1495" t="s">
        <v>2588</v>
      </c>
      <c r="CW5" s="1495" t="s">
        <v>2588</v>
      </c>
      <c r="CX5" s="1495" t="s">
        <v>2588</v>
      </c>
      <c r="CY5" s="1495" t="s">
        <v>2588</v>
      </c>
      <c r="CZ5" s="1495" t="s">
        <v>2588</v>
      </c>
      <c r="DA5" s="1498" t="s">
        <v>2588</v>
      </c>
      <c r="DB5" s="1498" t="s">
        <v>2588</v>
      </c>
      <c r="DC5" s="1498" t="s">
        <v>2588</v>
      </c>
      <c r="DD5" s="1495" t="s">
        <v>2588</v>
      </c>
      <c r="DE5" s="1495" t="s">
        <v>2588</v>
      </c>
      <c r="DF5" s="1495" t="s">
        <v>121</v>
      </c>
      <c r="DG5" s="1495" t="s">
        <v>2588</v>
      </c>
      <c r="DH5" s="1495" t="s">
        <v>224</v>
      </c>
      <c r="DI5" s="1495" t="s">
        <v>224</v>
      </c>
      <c r="DJ5" s="20" t="s">
        <v>254</v>
      </c>
      <c r="DK5" s="1495" t="s">
        <v>4483</v>
      </c>
      <c r="DL5" s="1495" t="s">
        <v>121</v>
      </c>
      <c r="DM5" s="20" t="s">
        <v>254</v>
      </c>
      <c r="DN5" s="1495" t="s">
        <v>121</v>
      </c>
      <c r="DO5" s="1495" t="s">
        <v>121</v>
      </c>
      <c r="DP5" s="20" t="s">
        <v>254</v>
      </c>
      <c r="DQ5" s="20" t="s">
        <v>254</v>
      </c>
      <c r="DR5" s="1495" t="s">
        <v>121</v>
      </c>
      <c r="DS5" s="20" t="s">
        <v>254</v>
      </c>
      <c r="DT5" s="1495" t="s">
        <v>4046</v>
      </c>
      <c r="DU5" s="20" t="s">
        <v>254</v>
      </c>
      <c r="DV5" s="20" t="s">
        <v>255</v>
      </c>
      <c r="DW5" s="1495" t="s">
        <v>4676</v>
      </c>
      <c r="DX5" s="1495" t="s">
        <v>121</v>
      </c>
      <c r="DY5" s="1495" t="s">
        <v>4684</v>
      </c>
      <c r="DZ5" s="1495" t="s">
        <v>4687</v>
      </c>
      <c r="EA5" s="20" t="s">
        <v>254</v>
      </c>
      <c r="EB5" s="20" t="s">
        <v>254</v>
      </c>
      <c r="EC5" s="1495" t="s">
        <v>4687</v>
      </c>
      <c r="ED5" s="1495" t="s">
        <v>4687</v>
      </c>
      <c r="EE5" s="1495" t="s">
        <v>4687</v>
      </c>
      <c r="EF5" s="1495" t="s">
        <v>2588</v>
      </c>
      <c r="EG5" s="20" t="s">
        <v>254</v>
      </c>
      <c r="EH5" s="1495" t="s">
        <v>4690</v>
      </c>
      <c r="EI5" s="20" t="s">
        <v>254</v>
      </c>
      <c r="EJ5" s="20" t="s">
        <v>254</v>
      </c>
      <c r="EK5" s="1498" t="s">
        <v>2588</v>
      </c>
      <c r="EL5" s="1495" t="s">
        <v>4690</v>
      </c>
      <c r="EM5" s="20" t="s">
        <v>254</v>
      </c>
      <c r="EN5" s="1495" t="s">
        <v>121</v>
      </c>
      <c r="EO5" s="1495" t="s">
        <v>121</v>
      </c>
      <c r="EP5" s="1495" t="s">
        <v>2588</v>
      </c>
      <c r="EQ5" s="20" t="s">
        <v>254</v>
      </c>
      <c r="ER5" s="1495" t="s">
        <v>2588</v>
      </c>
      <c r="ES5" s="1495" t="s">
        <v>2588</v>
      </c>
      <c r="ET5" s="1495" t="s">
        <v>2588</v>
      </c>
      <c r="EU5" s="1495" t="s">
        <v>2588</v>
      </c>
      <c r="EV5" s="1495" t="s">
        <v>2588</v>
      </c>
      <c r="EW5" s="1495" t="s">
        <v>2588</v>
      </c>
      <c r="EX5" s="1495" t="s">
        <v>2588</v>
      </c>
      <c r="EY5" s="1495" t="s">
        <v>2588</v>
      </c>
      <c r="EZ5" s="121" t="s">
        <v>255</v>
      </c>
      <c r="FA5" s="121" t="s">
        <v>255</v>
      </c>
      <c r="FB5" s="121" t="s">
        <v>255</v>
      </c>
      <c r="FC5" s="121" t="s">
        <v>255</v>
      </c>
      <c r="FD5" s="1495" t="s">
        <v>2588</v>
      </c>
      <c r="FE5" s="1495" t="s">
        <v>2588</v>
      </c>
      <c r="FF5" s="1495" t="s">
        <v>2588</v>
      </c>
      <c r="FG5" s="20" t="s">
        <v>254</v>
      </c>
      <c r="FH5" s="20" t="s">
        <v>4882</v>
      </c>
      <c r="FI5" s="20" t="s">
        <v>254</v>
      </c>
      <c r="FJ5" s="20" t="s">
        <v>254</v>
      </c>
      <c r="FK5" s="20" t="s">
        <v>254</v>
      </c>
      <c r="FL5" s="1495" t="s">
        <v>5601</v>
      </c>
      <c r="FM5" s="1495" t="s">
        <v>2588</v>
      </c>
      <c r="FN5" s="1495" t="s">
        <v>2588</v>
      </c>
      <c r="FO5" s="1495" t="s">
        <v>2588</v>
      </c>
      <c r="FP5" s="1495" t="s">
        <v>2588</v>
      </c>
      <c r="FQ5" s="1495" t="s">
        <v>2588</v>
      </c>
      <c r="FR5" s="1495" t="s">
        <v>2588</v>
      </c>
      <c r="FS5" s="1495" t="s">
        <v>2588</v>
      </c>
      <c r="FT5" s="1495" t="s">
        <v>2588</v>
      </c>
      <c r="FU5" s="1495" t="s">
        <v>2588</v>
      </c>
      <c r="FV5" s="1495" t="s">
        <v>2588</v>
      </c>
      <c r="FW5" s="1495" t="s">
        <v>2588</v>
      </c>
      <c r="FX5" s="1495" t="s">
        <v>2588</v>
      </c>
      <c r="FY5" s="1495" t="s">
        <v>2588</v>
      </c>
      <c r="FZ5" s="1495" t="s">
        <v>2588</v>
      </c>
      <c r="GA5" s="1495" t="s">
        <v>2588</v>
      </c>
      <c r="GB5" s="1495" t="s">
        <v>2588</v>
      </c>
      <c r="GC5" s="1495" t="s">
        <v>2588</v>
      </c>
      <c r="GD5" s="1495" t="s">
        <v>2588</v>
      </c>
      <c r="GE5" s="1495" t="s">
        <v>2588</v>
      </c>
      <c r="GF5" s="1495" t="s">
        <v>2588</v>
      </c>
      <c r="GG5" s="1495" t="s">
        <v>2588</v>
      </c>
      <c r="GH5" s="1495" t="s">
        <v>2588</v>
      </c>
      <c r="GI5" s="1495" t="s">
        <v>2588</v>
      </c>
      <c r="GJ5" s="1495" t="s">
        <v>2588</v>
      </c>
      <c r="GK5" s="1495" t="s">
        <v>2588</v>
      </c>
      <c r="GL5" s="1495" t="s">
        <v>2588</v>
      </c>
      <c r="GM5" s="1495" t="s">
        <v>2588</v>
      </c>
      <c r="GN5" s="1495" t="s">
        <v>2588</v>
      </c>
      <c r="GO5" s="1495" t="s">
        <v>2588</v>
      </c>
      <c r="GP5" s="1495" t="s">
        <v>2588</v>
      </c>
      <c r="GQ5" s="1495" t="s">
        <v>2588</v>
      </c>
      <c r="GR5" s="1495" t="s">
        <v>2588</v>
      </c>
      <c r="GS5" s="1495" t="s">
        <v>2588</v>
      </c>
      <c r="GT5" s="1495" t="s">
        <v>2588</v>
      </c>
      <c r="GU5" s="1495" t="s">
        <v>2588</v>
      </c>
      <c r="GV5" s="1495" t="s">
        <v>2588</v>
      </c>
      <c r="GW5" s="20" t="s">
        <v>254</v>
      </c>
      <c r="GX5" s="1495" t="s">
        <v>2588</v>
      </c>
      <c r="GY5" s="1495" t="s">
        <v>2588</v>
      </c>
      <c r="GZ5" s="1495" t="s">
        <v>2588</v>
      </c>
      <c r="HA5" s="1495" t="s">
        <v>2588</v>
      </c>
      <c r="HB5" s="1495" t="s">
        <v>2588</v>
      </c>
      <c r="HC5" s="1495" t="s">
        <v>2588</v>
      </c>
      <c r="HD5" s="1495" t="s">
        <v>2588</v>
      </c>
      <c r="HE5" s="1495" t="s">
        <v>2588</v>
      </c>
      <c r="HF5" s="1495" t="s">
        <v>2588</v>
      </c>
      <c r="HG5" s="1495" t="s">
        <v>2588</v>
      </c>
      <c r="HH5" s="1495" t="s">
        <v>2588</v>
      </c>
      <c r="HI5" s="1495" t="s">
        <v>2588</v>
      </c>
      <c r="HJ5" s="20" t="s">
        <v>254</v>
      </c>
      <c r="HK5" s="1495" t="s">
        <v>2588</v>
      </c>
      <c r="HL5" s="1495" t="s">
        <v>2588</v>
      </c>
      <c r="HM5" s="1495" t="s">
        <v>2588</v>
      </c>
      <c r="HN5" s="1495" t="s">
        <v>2588</v>
      </c>
      <c r="HO5" s="1495" t="s">
        <v>2588</v>
      </c>
      <c r="HP5" s="1495" t="s">
        <v>2588</v>
      </c>
      <c r="HQ5" s="1495" t="s">
        <v>2588</v>
      </c>
      <c r="HR5" s="1495" t="s">
        <v>2588</v>
      </c>
      <c r="HS5" s="1495" t="s">
        <v>2588</v>
      </c>
      <c r="HT5" s="1495" t="s">
        <v>2588</v>
      </c>
    </row>
    <row r="6" spans="1:228" s="1495" customFormat="1" x14ac:dyDescent="0.2">
      <c r="B6" s="1495" t="b">
        <v>0</v>
      </c>
      <c r="D6" s="4" t="s">
        <v>340</v>
      </c>
      <c r="E6" s="1495" t="s">
        <v>225</v>
      </c>
      <c r="F6" s="4" t="s">
        <v>4988</v>
      </c>
      <c r="G6" s="4" t="s">
        <v>4988</v>
      </c>
      <c r="H6" s="4" t="s">
        <v>192</v>
      </c>
      <c r="I6" s="4" t="s">
        <v>200</v>
      </c>
      <c r="J6" s="4" t="s">
        <v>200</v>
      </c>
      <c r="K6" s="4" t="s">
        <v>200</v>
      </c>
      <c r="L6" s="4" t="s">
        <v>205</v>
      </c>
      <c r="M6" s="4" t="s">
        <v>2879</v>
      </c>
      <c r="N6" s="4" t="s">
        <v>2882</v>
      </c>
      <c r="O6" s="4" t="s">
        <v>2882</v>
      </c>
      <c r="P6" s="4" t="s">
        <v>2882</v>
      </c>
      <c r="Q6" s="4" t="s">
        <v>2879</v>
      </c>
      <c r="R6" s="4" t="s">
        <v>210</v>
      </c>
      <c r="S6" s="4" t="s">
        <v>215</v>
      </c>
      <c r="T6" s="4" t="s">
        <v>222</v>
      </c>
      <c r="U6" s="4" t="s">
        <v>225</v>
      </c>
      <c r="V6" s="4" t="s">
        <v>225</v>
      </c>
      <c r="W6" s="4" t="s">
        <v>225</v>
      </c>
      <c r="X6" s="4" t="s">
        <v>225</v>
      </c>
      <c r="Y6" s="4" t="s">
        <v>225</v>
      </c>
      <c r="Z6" s="4" t="s">
        <v>225</v>
      </c>
      <c r="AA6" s="4" t="s">
        <v>225</v>
      </c>
      <c r="AB6" s="4" t="s">
        <v>227</v>
      </c>
      <c r="AC6" s="4" t="s">
        <v>230</v>
      </c>
      <c r="AD6" s="4" t="s">
        <v>230</v>
      </c>
      <c r="AE6" s="1495" t="s">
        <v>122</v>
      </c>
      <c r="AF6" s="1495" t="s">
        <v>122</v>
      </c>
      <c r="AG6" s="1495" t="s">
        <v>122</v>
      </c>
      <c r="AH6" s="1495" t="s">
        <v>122</v>
      </c>
      <c r="AI6" s="1495" t="s">
        <v>122</v>
      </c>
      <c r="AJ6" s="1495" t="s">
        <v>627</v>
      </c>
      <c r="AK6" s="1495" t="s">
        <v>122</v>
      </c>
      <c r="AL6" s="1495" t="s">
        <v>122</v>
      </c>
      <c r="AM6" s="1495" t="s">
        <v>122</v>
      </c>
      <c r="AN6" s="121" t="s">
        <v>255</v>
      </c>
      <c r="AO6" s="1495" t="s">
        <v>2554</v>
      </c>
      <c r="AP6" s="1495" t="s">
        <v>2898</v>
      </c>
      <c r="AQ6" s="1495" t="s">
        <v>2898</v>
      </c>
      <c r="AR6" s="1495" t="s">
        <v>2898</v>
      </c>
      <c r="AS6" s="1495" t="s">
        <v>2898</v>
      </c>
      <c r="AT6" s="1495" t="s">
        <v>2898</v>
      </c>
      <c r="AU6" s="1495" t="s">
        <v>2589</v>
      </c>
      <c r="AV6" s="1495" t="s">
        <v>2589</v>
      </c>
      <c r="AW6" s="1495" t="s">
        <v>2589</v>
      </c>
      <c r="AX6" s="1495" t="s">
        <v>2589</v>
      </c>
      <c r="AY6" s="1495" t="s">
        <v>2594</v>
      </c>
      <c r="AZ6" s="1495" t="s">
        <v>2589</v>
      </c>
      <c r="BA6" s="1495" t="s">
        <v>2589</v>
      </c>
      <c r="BB6" s="1495" t="s">
        <v>2589</v>
      </c>
      <c r="BC6" s="1495" t="s">
        <v>122</v>
      </c>
      <c r="BD6" s="1495" t="s">
        <v>2598</v>
      </c>
      <c r="BE6" s="1495" t="s">
        <v>2589</v>
      </c>
      <c r="BF6" s="1495" t="s">
        <v>2589</v>
      </c>
      <c r="BG6" s="1495" t="s">
        <v>2589</v>
      </c>
      <c r="BH6" s="1495" t="s">
        <v>2589</v>
      </c>
      <c r="BI6" s="1495" t="s">
        <v>2625</v>
      </c>
      <c r="BJ6" s="1495" t="s">
        <v>2625</v>
      </c>
      <c r="BK6" s="1495" t="s">
        <v>2625</v>
      </c>
      <c r="BL6" s="1495" t="s">
        <v>2625</v>
      </c>
      <c r="BM6" s="1495" t="s">
        <v>2625</v>
      </c>
      <c r="BN6" s="1495" t="s">
        <v>2625</v>
      </c>
      <c r="BO6" s="1495" t="s">
        <v>2625</v>
      </c>
      <c r="BP6" s="1495" t="s">
        <v>2625</v>
      </c>
      <c r="BQ6" s="1495" t="s">
        <v>2892</v>
      </c>
      <c r="BR6" s="1495" t="s">
        <v>2892</v>
      </c>
      <c r="BS6" s="1495" t="s">
        <v>2892</v>
      </c>
      <c r="BT6" s="1495" t="s">
        <v>2892</v>
      </c>
      <c r="BU6" s="1495" t="s">
        <v>2630</v>
      </c>
      <c r="BV6" s="1495" t="s">
        <v>2635</v>
      </c>
      <c r="BW6" s="1495" t="s">
        <v>2640</v>
      </c>
      <c r="BX6" s="1495" t="s">
        <v>2640</v>
      </c>
      <c r="BY6" s="1495" t="s">
        <v>2654</v>
      </c>
      <c r="BZ6" s="1495" t="s">
        <v>2654</v>
      </c>
      <c r="CA6" s="1495" t="s">
        <v>2660</v>
      </c>
      <c r="CB6" s="1495" t="s">
        <v>2660</v>
      </c>
      <c r="CC6" s="1495" t="s">
        <v>2660</v>
      </c>
      <c r="CD6" s="1495" t="s">
        <v>2660</v>
      </c>
      <c r="CE6" s="167" t="s">
        <v>2666</v>
      </c>
      <c r="CF6" s="167" t="s">
        <v>4024</v>
      </c>
      <c r="CG6" s="20" t="s">
        <v>4032</v>
      </c>
      <c r="CH6" s="1495" t="s">
        <v>4046</v>
      </c>
      <c r="CI6" s="1495" t="s">
        <v>2589</v>
      </c>
      <c r="CJ6" s="1495" t="s">
        <v>2589</v>
      </c>
      <c r="CK6" s="1495" t="s">
        <v>2589</v>
      </c>
      <c r="CL6" s="1495" t="s">
        <v>2589</v>
      </c>
      <c r="CM6" s="1495" t="s">
        <v>2589</v>
      </c>
      <c r="CN6" s="1495" t="s">
        <v>2589</v>
      </c>
      <c r="CO6" s="1495" t="s">
        <v>2589</v>
      </c>
      <c r="CP6" s="1495" t="s">
        <v>2589</v>
      </c>
      <c r="CQ6" s="1495" t="s">
        <v>2589</v>
      </c>
      <c r="CR6" s="1495" t="s">
        <v>2589</v>
      </c>
      <c r="CS6" s="1495" t="s">
        <v>2589</v>
      </c>
      <c r="CT6" s="1495" t="s">
        <v>2589</v>
      </c>
      <c r="CU6" s="1495" t="s">
        <v>2589</v>
      </c>
      <c r="CV6" s="1495" t="s">
        <v>2589</v>
      </c>
      <c r="CW6" s="1495" t="s">
        <v>2589</v>
      </c>
      <c r="CX6" s="1495" t="s">
        <v>2589</v>
      </c>
      <c r="CY6" s="1495" t="s">
        <v>2589</v>
      </c>
      <c r="CZ6" s="1495" t="s">
        <v>2589</v>
      </c>
      <c r="DA6" s="1498" t="s">
        <v>2589</v>
      </c>
      <c r="DB6" s="1498" t="s">
        <v>2589</v>
      </c>
      <c r="DC6" s="1498" t="s">
        <v>2589</v>
      </c>
      <c r="DD6" s="1495" t="s">
        <v>2589</v>
      </c>
      <c r="DE6" s="1495" t="s">
        <v>2589</v>
      </c>
      <c r="DF6" s="1495" t="s">
        <v>122</v>
      </c>
      <c r="DG6" s="1495" t="s">
        <v>2589</v>
      </c>
      <c r="DH6" s="1495" t="s">
        <v>225</v>
      </c>
      <c r="DI6" s="1495" t="s">
        <v>225</v>
      </c>
      <c r="DJ6" s="20" t="s">
        <v>255</v>
      </c>
      <c r="DK6" s="1495" t="s">
        <v>4484</v>
      </c>
      <c r="DL6" s="1495" t="s">
        <v>122</v>
      </c>
      <c r="DM6" s="20" t="s">
        <v>255</v>
      </c>
      <c r="DN6" s="1495" t="s">
        <v>122</v>
      </c>
      <c r="DO6" s="1495" t="s">
        <v>122</v>
      </c>
      <c r="DP6" s="20" t="s">
        <v>255</v>
      </c>
      <c r="DQ6" s="20" t="s">
        <v>255</v>
      </c>
      <c r="DR6" s="1495" t="s">
        <v>122</v>
      </c>
      <c r="DS6" s="20" t="s">
        <v>255</v>
      </c>
      <c r="DT6" s="1495" t="s">
        <v>4683</v>
      </c>
      <c r="DU6" s="20" t="s">
        <v>255</v>
      </c>
      <c r="DV6" s="20" t="s">
        <v>256</v>
      </c>
      <c r="DW6" s="1495" t="s">
        <v>4677</v>
      </c>
      <c r="DX6" s="1495" t="s">
        <v>122</v>
      </c>
      <c r="DY6" s="1495" t="s">
        <v>4685</v>
      </c>
      <c r="DZ6" s="1495" t="s">
        <v>4688</v>
      </c>
      <c r="EA6" s="20" t="s">
        <v>255</v>
      </c>
      <c r="EB6" s="20" t="s">
        <v>255</v>
      </c>
      <c r="EC6" s="1495" t="s">
        <v>4688</v>
      </c>
      <c r="ED6" s="1495" t="s">
        <v>4688</v>
      </c>
      <c r="EE6" s="1495" t="s">
        <v>4688</v>
      </c>
      <c r="EF6" s="1495" t="s">
        <v>2589</v>
      </c>
      <c r="EG6" s="20" t="s">
        <v>4488</v>
      </c>
      <c r="EH6" s="1495" t="s">
        <v>4691</v>
      </c>
      <c r="EI6" s="20" t="s">
        <v>255</v>
      </c>
      <c r="EJ6" s="20" t="s">
        <v>255</v>
      </c>
      <c r="EK6" s="1498" t="s">
        <v>2589</v>
      </c>
      <c r="EL6" s="1495" t="s">
        <v>4691</v>
      </c>
      <c r="EM6" s="20" t="s">
        <v>255</v>
      </c>
      <c r="EN6" s="1495" t="s">
        <v>122</v>
      </c>
      <c r="EO6" s="1495" t="s">
        <v>122</v>
      </c>
      <c r="EP6" s="1495" t="s">
        <v>2589</v>
      </c>
      <c r="EQ6" s="20" t="s">
        <v>255</v>
      </c>
      <c r="ER6" s="1495" t="s">
        <v>2589</v>
      </c>
      <c r="ES6" s="1495" t="s">
        <v>2589</v>
      </c>
      <c r="ET6" s="1495" t="s">
        <v>2589</v>
      </c>
      <c r="EU6" s="1495" t="s">
        <v>2589</v>
      </c>
      <c r="EV6" s="1495" t="s">
        <v>2589</v>
      </c>
      <c r="EW6" s="1495" t="s">
        <v>2589</v>
      </c>
      <c r="EX6" s="1495" t="s">
        <v>2589</v>
      </c>
      <c r="EY6" s="1495" t="s">
        <v>2589</v>
      </c>
      <c r="EZ6" s="121" t="s">
        <v>256</v>
      </c>
      <c r="FA6" s="121" t="s">
        <v>256</v>
      </c>
      <c r="FB6" s="121" t="s">
        <v>256</v>
      </c>
      <c r="FC6" s="121" t="s">
        <v>256</v>
      </c>
      <c r="FD6" s="1495" t="s">
        <v>2589</v>
      </c>
      <c r="FE6" s="1495" t="s">
        <v>2589</v>
      </c>
      <c r="FF6" s="1495" t="s">
        <v>2589</v>
      </c>
      <c r="FG6" s="20" t="s">
        <v>255</v>
      </c>
      <c r="FH6" s="20" t="s">
        <v>5033</v>
      </c>
      <c r="FI6" s="20" t="s">
        <v>255</v>
      </c>
      <c r="FJ6" s="20" t="s">
        <v>255</v>
      </c>
      <c r="FK6" s="20" t="s">
        <v>255</v>
      </c>
      <c r="FL6" s="1495" t="s">
        <v>5602</v>
      </c>
      <c r="FM6" s="1495" t="s">
        <v>2589</v>
      </c>
      <c r="FN6" s="1495" t="s">
        <v>2589</v>
      </c>
      <c r="FO6" s="1495" t="s">
        <v>2589</v>
      </c>
      <c r="FP6" s="1495" t="s">
        <v>2589</v>
      </c>
      <c r="FQ6" s="1495" t="s">
        <v>2589</v>
      </c>
      <c r="FR6" s="1495" t="s">
        <v>2589</v>
      </c>
      <c r="FS6" s="1495" t="s">
        <v>2589</v>
      </c>
      <c r="FT6" s="1495" t="s">
        <v>2589</v>
      </c>
      <c r="FU6" s="1495" t="s">
        <v>2589</v>
      </c>
      <c r="FV6" s="1495" t="s">
        <v>2589</v>
      </c>
      <c r="FW6" s="1495" t="s">
        <v>2589</v>
      </c>
      <c r="FX6" s="1495" t="s">
        <v>2589</v>
      </c>
      <c r="FY6" s="1495" t="s">
        <v>2589</v>
      </c>
      <c r="FZ6" s="1495" t="s">
        <v>2589</v>
      </c>
      <c r="GA6" s="1495" t="s">
        <v>2589</v>
      </c>
      <c r="GB6" s="1495" t="s">
        <v>2589</v>
      </c>
      <c r="GC6" s="1495" t="s">
        <v>2589</v>
      </c>
      <c r="GD6" s="1495" t="s">
        <v>2589</v>
      </c>
      <c r="GE6" s="1495" t="s">
        <v>2589</v>
      </c>
      <c r="GF6" s="1495" t="s">
        <v>2589</v>
      </c>
      <c r="GG6" s="1495" t="s">
        <v>2589</v>
      </c>
      <c r="GH6" s="1495" t="s">
        <v>2589</v>
      </c>
      <c r="GI6" s="1495" t="s">
        <v>2589</v>
      </c>
      <c r="GJ6" s="1495" t="s">
        <v>2589</v>
      </c>
      <c r="GK6" s="1495" t="s">
        <v>2589</v>
      </c>
      <c r="GL6" s="1495" t="s">
        <v>2589</v>
      </c>
      <c r="GM6" s="1495" t="s">
        <v>2589</v>
      </c>
      <c r="GN6" s="1495" t="s">
        <v>2589</v>
      </c>
      <c r="GO6" s="1495" t="s">
        <v>2589</v>
      </c>
      <c r="GP6" s="1495" t="s">
        <v>2589</v>
      </c>
      <c r="GQ6" s="1495" t="s">
        <v>2589</v>
      </c>
      <c r="GR6" s="1495" t="s">
        <v>2589</v>
      </c>
      <c r="GS6" s="1495" t="s">
        <v>2589</v>
      </c>
      <c r="GT6" s="1495" t="s">
        <v>2589</v>
      </c>
      <c r="GU6" s="1495" t="s">
        <v>2589</v>
      </c>
      <c r="GV6" s="1495" t="s">
        <v>2589</v>
      </c>
      <c r="GW6" s="20" t="s">
        <v>255</v>
      </c>
      <c r="GX6" s="1495" t="s">
        <v>2589</v>
      </c>
      <c r="GY6" s="1495" t="s">
        <v>2589</v>
      </c>
      <c r="GZ6" s="1495" t="s">
        <v>2589</v>
      </c>
      <c r="HA6" s="1495" t="s">
        <v>2589</v>
      </c>
      <c r="HB6" s="1495" t="s">
        <v>2589</v>
      </c>
      <c r="HC6" s="1495" t="s">
        <v>2589</v>
      </c>
      <c r="HD6" s="1495" t="s">
        <v>2589</v>
      </c>
      <c r="HE6" s="1495" t="s">
        <v>2589</v>
      </c>
      <c r="HF6" s="1495" t="s">
        <v>2589</v>
      </c>
      <c r="HG6" s="1495" t="s">
        <v>2589</v>
      </c>
      <c r="HH6" s="1495" t="s">
        <v>2589</v>
      </c>
      <c r="HI6" s="1495" t="s">
        <v>2589</v>
      </c>
      <c r="HJ6" s="20" t="s">
        <v>255</v>
      </c>
      <c r="HK6" s="1495" t="s">
        <v>2589</v>
      </c>
      <c r="HL6" s="1495" t="s">
        <v>2589</v>
      </c>
      <c r="HM6" s="1495" t="s">
        <v>2589</v>
      </c>
      <c r="HN6" s="1495" t="s">
        <v>2589</v>
      </c>
      <c r="HO6" s="1495" t="s">
        <v>2589</v>
      </c>
      <c r="HP6" s="1495" t="s">
        <v>2589</v>
      </c>
      <c r="HQ6" s="1495" t="s">
        <v>2589</v>
      </c>
      <c r="HR6" s="1495" t="s">
        <v>2589</v>
      </c>
      <c r="HS6" s="1495" t="s">
        <v>2589</v>
      </c>
      <c r="HT6" s="1495" t="s">
        <v>2589</v>
      </c>
    </row>
    <row r="7" spans="1:228" s="1495" customFormat="1" x14ac:dyDescent="0.2">
      <c r="H7" s="4" t="s">
        <v>193</v>
      </c>
      <c r="I7" s="4" t="s">
        <v>201</v>
      </c>
      <c r="J7" s="4" t="s">
        <v>201</v>
      </c>
      <c r="K7" s="4" t="s">
        <v>201</v>
      </c>
      <c r="L7" s="4" t="s">
        <v>206</v>
      </c>
      <c r="M7" s="4" t="s">
        <v>2880</v>
      </c>
      <c r="N7" s="4" t="s">
        <v>203</v>
      </c>
      <c r="O7" s="4" t="s">
        <v>203</v>
      </c>
      <c r="P7" s="4" t="s">
        <v>203</v>
      </c>
      <c r="Q7" s="4" t="s">
        <v>2880</v>
      </c>
      <c r="R7" s="4" t="s">
        <v>211</v>
      </c>
      <c r="S7" s="4" t="s">
        <v>216</v>
      </c>
      <c r="T7" s="4" t="s">
        <v>223</v>
      </c>
      <c r="AB7" s="4" t="s">
        <v>228</v>
      </c>
      <c r="AC7" s="4" t="s">
        <v>231</v>
      </c>
      <c r="AD7" s="4" t="s">
        <v>231</v>
      </c>
      <c r="AE7" s="4"/>
      <c r="AF7" s="1495" t="s">
        <v>123</v>
      </c>
      <c r="AG7" s="1495" t="s">
        <v>123</v>
      </c>
      <c r="AH7" s="1495" t="s">
        <v>123</v>
      </c>
      <c r="AI7" s="1495" t="s">
        <v>123</v>
      </c>
      <c r="AJ7" s="1495" t="s">
        <v>628</v>
      </c>
      <c r="AK7" s="1495" t="s">
        <v>123</v>
      </c>
      <c r="AL7" s="1495" t="s">
        <v>123</v>
      </c>
      <c r="AM7" s="1495" t="s">
        <v>123</v>
      </c>
      <c r="AN7" s="121" t="s">
        <v>256</v>
      </c>
      <c r="AO7" s="1495" t="s">
        <v>2555</v>
      </c>
      <c r="AP7" s="1495" t="s">
        <v>2899</v>
      </c>
      <c r="AQ7" s="1495" t="s">
        <v>2899</v>
      </c>
      <c r="AR7" s="1495" t="s">
        <v>2899</v>
      </c>
      <c r="AS7" s="1495" t="s">
        <v>2899</v>
      </c>
      <c r="AT7" s="1495" t="s">
        <v>2899</v>
      </c>
      <c r="AU7" s="1495" t="s">
        <v>2590</v>
      </c>
      <c r="AV7" s="1495" t="s">
        <v>2590</v>
      </c>
      <c r="AW7" s="1495" t="s">
        <v>2590</v>
      </c>
      <c r="AX7" s="1495" t="s">
        <v>2590</v>
      </c>
      <c r="AY7" s="1495" t="s">
        <v>2595</v>
      </c>
      <c r="AZ7" s="1495" t="s">
        <v>2590</v>
      </c>
      <c r="BA7" s="1495" t="s">
        <v>2590</v>
      </c>
      <c r="BB7" s="1495" t="s">
        <v>2590</v>
      </c>
      <c r="BD7" s="1495" t="s">
        <v>2599</v>
      </c>
      <c r="BE7" s="1495" t="s">
        <v>2590</v>
      </c>
      <c r="BF7" s="1495" t="s">
        <v>2590</v>
      </c>
      <c r="BG7" s="1495" t="s">
        <v>2590</v>
      </c>
      <c r="BH7" s="1495" t="s">
        <v>2590</v>
      </c>
      <c r="BQ7" s="1495" t="s">
        <v>2893</v>
      </c>
      <c r="BR7" s="1495" t="s">
        <v>2893</v>
      </c>
      <c r="BS7" s="1495" t="s">
        <v>2893</v>
      </c>
      <c r="BT7" s="1495" t="s">
        <v>2893</v>
      </c>
      <c r="BU7" s="1495" t="s">
        <v>2631</v>
      </c>
      <c r="BV7" s="1495" t="s">
        <v>2636</v>
      </c>
      <c r="BW7" s="1495" t="s">
        <v>2641</v>
      </c>
      <c r="BX7" s="1495" t="s">
        <v>2641</v>
      </c>
      <c r="BY7" s="1495" t="s">
        <v>2655</v>
      </c>
      <c r="BZ7" s="1495" t="s">
        <v>2655</v>
      </c>
      <c r="CE7" s="167" t="s">
        <v>2667</v>
      </c>
      <c r="CF7" s="167" t="s">
        <v>4025</v>
      </c>
      <c r="CG7" s="20" t="s">
        <v>4033</v>
      </c>
      <c r="CI7" s="1495" t="s">
        <v>2852</v>
      </c>
      <c r="CJ7" s="1495" t="s">
        <v>2590</v>
      </c>
      <c r="CK7" s="1495" t="s">
        <v>2590</v>
      </c>
      <c r="CL7" s="1495" t="s">
        <v>2590</v>
      </c>
      <c r="CM7" s="1495" t="s">
        <v>2590</v>
      </c>
      <c r="CN7" s="1495" t="s">
        <v>2590</v>
      </c>
      <c r="CO7" s="1495" t="s">
        <v>2590</v>
      </c>
      <c r="CP7" s="1495" t="s">
        <v>2590</v>
      </c>
      <c r="CQ7" s="1495" t="s">
        <v>2590</v>
      </c>
      <c r="CR7" s="1495" t="s">
        <v>2590</v>
      </c>
      <c r="CS7" s="1495" t="s">
        <v>2590</v>
      </c>
      <c r="CT7" s="1495" t="s">
        <v>2590</v>
      </c>
      <c r="CU7" s="1495" t="s">
        <v>2590</v>
      </c>
      <c r="CV7" s="1495" t="s">
        <v>2590</v>
      </c>
      <c r="CW7" s="1495" t="s">
        <v>2590</v>
      </c>
      <c r="CX7" s="1495" t="s">
        <v>2590</v>
      </c>
      <c r="CY7" s="1495" t="s">
        <v>2590</v>
      </c>
      <c r="CZ7" s="1495" t="s">
        <v>2590</v>
      </c>
      <c r="DA7" s="1498" t="s">
        <v>5634</v>
      </c>
      <c r="DB7" s="1498" t="s">
        <v>5634</v>
      </c>
      <c r="DC7" s="1498" t="s">
        <v>5634</v>
      </c>
      <c r="DD7" s="1495" t="s">
        <v>5108</v>
      </c>
      <c r="DE7" s="1495" t="s">
        <v>2590</v>
      </c>
      <c r="DF7" s="1495" t="s">
        <v>123</v>
      </c>
      <c r="DG7" s="1495" t="s">
        <v>2590</v>
      </c>
      <c r="DJ7" s="20" t="s">
        <v>256</v>
      </c>
      <c r="DK7" s="1495" t="s">
        <v>4485</v>
      </c>
      <c r="DU7" s="20" t="s">
        <v>256</v>
      </c>
      <c r="DW7" s="1495" t="s">
        <v>4678</v>
      </c>
      <c r="DY7" s="1495" t="s">
        <v>4686</v>
      </c>
      <c r="DZ7" s="1495" t="s">
        <v>4689</v>
      </c>
      <c r="EA7" s="20" t="s">
        <v>256</v>
      </c>
      <c r="EC7" s="1495" t="s">
        <v>4689</v>
      </c>
      <c r="ED7" s="1495" t="s">
        <v>4689</v>
      </c>
      <c r="EE7" s="1495" t="s">
        <v>4689</v>
      </c>
      <c r="EF7" s="1495" t="s">
        <v>2590</v>
      </c>
      <c r="EG7" s="20" t="s">
        <v>4489</v>
      </c>
      <c r="EH7" s="1495" t="s">
        <v>4692</v>
      </c>
      <c r="EK7" s="1498" t="s">
        <v>2590</v>
      </c>
      <c r="EL7" s="1495" t="s">
        <v>4693</v>
      </c>
      <c r="EP7" s="1495" t="s">
        <v>2590</v>
      </c>
      <c r="ER7" s="1495" t="s">
        <v>2590</v>
      </c>
      <c r="ES7" s="1495" t="s">
        <v>2590</v>
      </c>
      <c r="ET7" s="1495" t="s">
        <v>2590</v>
      </c>
      <c r="EU7" s="1495" t="s">
        <v>2590</v>
      </c>
      <c r="EV7" s="1495" t="s">
        <v>2590</v>
      </c>
      <c r="EW7" s="1495" t="s">
        <v>2590</v>
      </c>
      <c r="EX7" s="1495" t="s">
        <v>2590</v>
      </c>
      <c r="EY7" s="1495" t="s">
        <v>2590</v>
      </c>
      <c r="EZ7" s="121" t="s">
        <v>259</v>
      </c>
      <c r="FA7" s="121" t="s">
        <v>259</v>
      </c>
      <c r="FB7" s="121" t="s">
        <v>259</v>
      </c>
      <c r="FC7" s="121" t="s">
        <v>259</v>
      </c>
      <c r="FD7" s="1495" t="s">
        <v>2590</v>
      </c>
      <c r="FE7" s="1495" t="s">
        <v>3195</v>
      </c>
      <c r="FF7" s="1495" t="s">
        <v>2590</v>
      </c>
      <c r="FG7" s="121" t="s">
        <v>256</v>
      </c>
      <c r="FH7" s="20" t="s">
        <v>4897</v>
      </c>
      <c r="FK7" s="121" t="s">
        <v>256</v>
      </c>
      <c r="FM7" s="1495" t="s">
        <v>2590</v>
      </c>
      <c r="FN7" s="1495" t="s">
        <v>2590</v>
      </c>
      <c r="FO7" s="1495" t="s">
        <v>2590</v>
      </c>
      <c r="FP7" s="1495" t="s">
        <v>2590</v>
      </c>
      <c r="FQ7" s="1495" t="s">
        <v>2590</v>
      </c>
      <c r="FR7" s="1495" t="s">
        <v>2590</v>
      </c>
      <c r="FS7" s="1495" t="s">
        <v>2590</v>
      </c>
      <c r="FT7" s="1495" t="s">
        <v>2590</v>
      </c>
      <c r="FU7" s="1495" t="s">
        <v>2590</v>
      </c>
      <c r="FV7" s="1495" t="s">
        <v>2590</v>
      </c>
      <c r="FW7" s="1495" t="s">
        <v>2590</v>
      </c>
      <c r="FX7" s="1495" t="s">
        <v>2590</v>
      </c>
      <c r="FY7" s="1495" t="s">
        <v>2590</v>
      </c>
      <c r="FZ7" s="1495" t="s">
        <v>2590</v>
      </c>
      <c r="GA7" s="1495" t="s">
        <v>2590</v>
      </c>
      <c r="GB7" s="1495" t="s">
        <v>2590</v>
      </c>
      <c r="GC7" s="1495" t="s">
        <v>2590</v>
      </c>
      <c r="GD7" s="1495" t="s">
        <v>2590</v>
      </c>
      <c r="GE7" s="1495" t="s">
        <v>2590</v>
      </c>
      <c r="GF7" s="1495" t="s">
        <v>2590</v>
      </c>
      <c r="GG7" s="1495" t="s">
        <v>2590</v>
      </c>
      <c r="GH7" s="1495" t="s">
        <v>2590</v>
      </c>
      <c r="GI7" s="1495" t="s">
        <v>2590</v>
      </c>
      <c r="GJ7" s="1495" t="s">
        <v>2590</v>
      </c>
      <c r="GK7" s="1495" t="s">
        <v>2590</v>
      </c>
      <c r="GL7" s="1495" t="s">
        <v>2590</v>
      </c>
      <c r="GM7" s="1495" t="s">
        <v>2590</v>
      </c>
      <c r="GN7" s="1495" t="s">
        <v>2590</v>
      </c>
      <c r="GO7" s="1495" t="s">
        <v>2590</v>
      </c>
      <c r="GP7" s="1495" t="s">
        <v>2590</v>
      </c>
      <c r="GQ7" s="1495" t="s">
        <v>2590</v>
      </c>
      <c r="GR7" s="1495" t="s">
        <v>2590</v>
      </c>
      <c r="GS7" s="1495" t="s">
        <v>2590</v>
      </c>
      <c r="GT7" s="1495" t="s">
        <v>2590</v>
      </c>
      <c r="GU7" s="1495" t="s">
        <v>2590</v>
      </c>
      <c r="GV7" s="1495" t="s">
        <v>2590</v>
      </c>
      <c r="GW7" s="20" t="s">
        <v>256</v>
      </c>
      <c r="GX7" s="1495" t="s">
        <v>2590</v>
      </c>
      <c r="GY7" s="1495" t="s">
        <v>2590</v>
      </c>
      <c r="GZ7" s="1495" t="s">
        <v>2590</v>
      </c>
      <c r="HA7" s="1495" t="s">
        <v>2590</v>
      </c>
      <c r="HB7" s="1495" t="s">
        <v>2590</v>
      </c>
      <c r="HC7" s="1495" t="s">
        <v>2590</v>
      </c>
      <c r="HD7" s="1495" t="s">
        <v>2590</v>
      </c>
      <c r="HE7" s="1495" t="s">
        <v>2590</v>
      </c>
      <c r="HF7" s="1495" t="s">
        <v>2590</v>
      </c>
      <c r="HG7" s="1495" t="s">
        <v>2590</v>
      </c>
      <c r="HH7" s="1495" t="s">
        <v>2590</v>
      </c>
      <c r="HI7" s="1495" t="s">
        <v>2590</v>
      </c>
      <c r="HJ7" s="20"/>
      <c r="HK7" s="1495" t="s">
        <v>2590</v>
      </c>
      <c r="HL7" s="1495" t="s">
        <v>2590</v>
      </c>
      <c r="HM7" s="1495" t="s">
        <v>2590</v>
      </c>
      <c r="HN7" s="1495" t="s">
        <v>2590</v>
      </c>
      <c r="HO7" s="1495" t="s">
        <v>2590</v>
      </c>
      <c r="HP7" s="1495" t="s">
        <v>2590</v>
      </c>
      <c r="HQ7" s="1495" t="s">
        <v>2590</v>
      </c>
      <c r="HR7" s="1495" t="s">
        <v>2590</v>
      </c>
      <c r="HS7" s="1495" t="s">
        <v>2590</v>
      </c>
      <c r="HT7" s="1495" t="s">
        <v>2590</v>
      </c>
    </row>
    <row r="8" spans="1:228" s="1495" customFormat="1" x14ac:dyDescent="0.2">
      <c r="H8" s="4" t="s">
        <v>194</v>
      </c>
      <c r="I8" s="4" t="s">
        <v>202</v>
      </c>
      <c r="J8" s="4" t="s">
        <v>202</v>
      </c>
      <c r="K8" s="4" t="s">
        <v>202</v>
      </c>
      <c r="L8" s="4" t="s">
        <v>207</v>
      </c>
      <c r="M8" s="4"/>
      <c r="N8" s="4" t="s">
        <v>2881</v>
      </c>
      <c r="O8" s="4" t="s">
        <v>2881</v>
      </c>
      <c r="P8" s="4" t="s">
        <v>2881</v>
      </c>
      <c r="Q8" s="4"/>
      <c r="R8" s="4" t="s">
        <v>212</v>
      </c>
      <c r="S8" s="4" t="s">
        <v>217</v>
      </c>
      <c r="T8" s="4" t="s">
        <v>198</v>
      </c>
      <c r="AB8" s="4" t="s">
        <v>4978</v>
      </c>
      <c r="AC8" s="4" t="s">
        <v>4980</v>
      </c>
      <c r="AD8" s="4" t="s">
        <v>4980</v>
      </c>
      <c r="AE8" s="4"/>
      <c r="AK8" s="1495" t="s">
        <v>366</v>
      </c>
      <c r="AL8" s="1495" t="s">
        <v>366</v>
      </c>
      <c r="AN8" s="121" t="s">
        <v>259</v>
      </c>
      <c r="AY8" s="1495" t="s">
        <v>2596</v>
      </c>
      <c r="BQ8" s="1495" t="s">
        <v>3991</v>
      </c>
      <c r="BR8" s="1495" t="s">
        <v>3991</v>
      </c>
      <c r="BS8" s="1495" t="s">
        <v>3991</v>
      </c>
      <c r="BT8" s="1495" t="s">
        <v>3991</v>
      </c>
      <c r="BW8" s="1495" t="s">
        <v>2642</v>
      </c>
      <c r="BX8" s="1495" t="s">
        <v>2642</v>
      </c>
      <c r="BY8" s="1495" t="s">
        <v>2656</v>
      </c>
      <c r="BZ8" s="1495" t="s">
        <v>2656</v>
      </c>
      <c r="CE8" s="167" t="s">
        <v>2668</v>
      </c>
      <c r="CF8" s="167" t="s">
        <v>4026</v>
      </c>
      <c r="CG8" s="20" t="s">
        <v>4034</v>
      </c>
      <c r="CI8" s="1495" t="s">
        <v>2853</v>
      </c>
      <c r="DA8" s="1498"/>
      <c r="DB8" s="1498"/>
      <c r="DC8" s="1498"/>
      <c r="DJ8" s="20" t="s">
        <v>5635</v>
      </c>
      <c r="DK8" s="1495" t="s">
        <v>4486</v>
      </c>
      <c r="DU8" s="20" t="s">
        <v>259</v>
      </c>
      <c r="DW8" s="1495" t="s">
        <v>4679</v>
      </c>
      <c r="EA8" s="20" t="s">
        <v>259</v>
      </c>
      <c r="EG8" s="20" t="s">
        <v>4490</v>
      </c>
      <c r="EK8" s="1498"/>
      <c r="EL8" s="1495" t="s">
        <v>4694</v>
      </c>
      <c r="EZ8" s="121" t="s">
        <v>263</v>
      </c>
      <c r="FA8" s="121" t="s">
        <v>263</v>
      </c>
      <c r="FB8" s="121" t="s">
        <v>263</v>
      </c>
      <c r="FC8" s="121" t="s">
        <v>263</v>
      </c>
      <c r="FG8" s="121" t="s">
        <v>259</v>
      </c>
      <c r="FH8" s="121" t="s">
        <v>4883</v>
      </c>
    </row>
    <row r="9" spans="1:228" s="1495" customFormat="1" x14ac:dyDescent="0.2">
      <c r="H9" s="4" t="s">
        <v>195</v>
      </c>
      <c r="I9" s="4" t="s">
        <v>203</v>
      </c>
      <c r="J9" s="4" t="s">
        <v>203</v>
      </c>
      <c r="K9" s="4" t="s">
        <v>203</v>
      </c>
      <c r="L9" s="4" t="s">
        <v>208</v>
      </c>
      <c r="M9" s="4"/>
      <c r="N9" s="4" t="s">
        <v>198</v>
      </c>
      <c r="O9" s="4" t="s">
        <v>198</v>
      </c>
      <c r="P9" s="4" t="s">
        <v>198</v>
      </c>
      <c r="Q9" s="4"/>
      <c r="R9" s="4" t="s">
        <v>213</v>
      </c>
      <c r="S9" s="4" t="s">
        <v>218</v>
      </c>
      <c r="AB9" s="4" t="s">
        <v>4979</v>
      </c>
      <c r="AC9" s="4" t="s">
        <v>4981</v>
      </c>
      <c r="AD9" s="4" t="s">
        <v>4981</v>
      </c>
      <c r="AE9" s="4"/>
      <c r="AN9" s="121" t="s">
        <v>263</v>
      </c>
      <c r="BQ9" s="1495" t="s">
        <v>2894</v>
      </c>
      <c r="BR9" s="1495" t="s">
        <v>2894</v>
      </c>
      <c r="BS9" s="1495" t="s">
        <v>2894</v>
      </c>
      <c r="BT9" s="1495" t="s">
        <v>2894</v>
      </c>
      <c r="BW9" s="1495" t="s">
        <v>2649</v>
      </c>
      <c r="BX9" s="1495" t="s">
        <v>2643</v>
      </c>
      <c r="BY9" s="1495" t="s">
        <v>2657</v>
      </c>
      <c r="BZ9" s="1495" t="s">
        <v>2657</v>
      </c>
      <c r="CE9" s="167" t="s">
        <v>2669</v>
      </c>
      <c r="CF9" s="167" t="s">
        <v>4027</v>
      </c>
      <c r="CG9" s="20" t="s">
        <v>4035</v>
      </c>
      <c r="DA9" s="1498"/>
      <c r="DB9" s="1498"/>
      <c r="DC9" s="1498"/>
      <c r="DK9" s="1495" t="s">
        <v>4487</v>
      </c>
      <c r="DU9" s="20" t="s">
        <v>4675</v>
      </c>
      <c r="EA9" s="20" t="s">
        <v>263</v>
      </c>
      <c r="EG9" s="20" t="s">
        <v>4491</v>
      </c>
      <c r="EK9" s="1498"/>
      <c r="EZ9" s="121" t="s">
        <v>264</v>
      </c>
      <c r="FA9" s="121" t="s">
        <v>264</v>
      </c>
      <c r="FB9" s="121" t="s">
        <v>264</v>
      </c>
      <c r="FC9" s="121" t="s">
        <v>264</v>
      </c>
      <c r="FG9" s="121" t="s">
        <v>263</v>
      </c>
      <c r="FH9" s="1495" t="s">
        <v>2590</v>
      </c>
    </row>
    <row r="10" spans="1:228" s="1495" customFormat="1" x14ac:dyDescent="0.2">
      <c r="H10" s="4" t="s">
        <v>196</v>
      </c>
      <c r="I10" s="4" t="s">
        <v>2881</v>
      </c>
      <c r="J10" s="4" t="s">
        <v>2881</v>
      </c>
      <c r="K10" s="4" t="s">
        <v>2881</v>
      </c>
      <c r="L10" s="4" t="s">
        <v>198</v>
      </c>
      <c r="M10" s="4"/>
      <c r="N10" s="4" t="s">
        <v>209</v>
      </c>
      <c r="O10" s="4" t="s">
        <v>209</v>
      </c>
      <c r="P10" s="4" t="s">
        <v>209</v>
      </c>
      <c r="Q10" s="4"/>
      <c r="R10" s="4" t="s">
        <v>198</v>
      </c>
      <c r="S10" s="4" t="s">
        <v>219</v>
      </c>
      <c r="AB10" s="4" t="s">
        <v>198</v>
      </c>
      <c r="AC10" s="4" t="s">
        <v>198</v>
      </c>
      <c r="AD10" s="4" t="s">
        <v>5027</v>
      </c>
      <c r="AE10" s="4"/>
      <c r="BQ10" s="1495" t="s">
        <v>2895</v>
      </c>
      <c r="BR10" s="1495" t="s">
        <v>2895</v>
      </c>
      <c r="BS10" s="1495" t="s">
        <v>2895</v>
      </c>
      <c r="BT10" s="1495" t="s">
        <v>2895</v>
      </c>
      <c r="BX10" s="1495" t="s">
        <v>2644</v>
      </c>
      <c r="CE10" s="167" t="s">
        <v>2670</v>
      </c>
      <c r="CF10" s="167"/>
      <c r="CG10" s="20" t="s">
        <v>4036</v>
      </c>
      <c r="DA10" s="1498"/>
      <c r="DB10" s="1498"/>
      <c r="DC10" s="1498"/>
      <c r="DK10" s="1495" t="s">
        <v>4488</v>
      </c>
      <c r="DU10" s="20" t="s">
        <v>263</v>
      </c>
      <c r="EK10" s="1498"/>
    </row>
    <row r="11" spans="1:228" s="1495" customFormat="1" x14ac:dyDescent="0.2">
      <c r="H11" s="4" t="s">
        <v>197</v>
      </c>
      <c r="I11" s="4" t="s">
        <v>198</v>
      </c>
      <c r="J11" s="4" t="s">
        <v>198</v>
      </c>
      <c r="K11" s="4" t="s">
        <v>198</v>
      </c>
      <c r="O11" s="4"/>
      <c r="P11" s="4"/>
      <c r="Q11" s="4"/>
      <c r="S11" s="4" t="s">
        <v>220</v>
      </c>
      <c r="AD11" s="4" t="s">
        <v>5028</v>
      </c>
      <c r="AE11" s="4"/>
      <c r="BQ11" s="1495" t="s">
        <v>2896</v>
      </c>
      <c r="BR11" s="1495" t="s">
        <v>2896</v>
      </c>
      <c r="BS11" s="1495" t="s">
        <v>2896</v>
      </c>
      <c r="BT11" s="1495" t="s">
        <v>2896</v>
      </c>
      <c r="BX11" s="1495" t="s">
        <v>2645</v>
      </c>
      <c r="CE11" s="167" t="s">
        <v>2671</v>
      </c>
      <c r="CF11" s="167"/>
      <c r="DA11" s="1498"/>
      <c r="DB11" s="1498"/>
      <c r="DC11" s="1498"/>
      <c r="DK11" s="1495" t="s">
        <v>4489</v>
      </c>
      <c r="EK11" s="1498"/>
    </row>
    <row r="12" spans="1:228" s="1495" customFormat="1" x14ac:dyDescent="0.2">
      <c r="H12" s="4" t="s">
        <v>198</v>
      </c>
      <c r="I12" s="4" t="s">
        <v>209</v>
      </c>
      <c r="J12" s="4" t="s">
        <v>209</v>
      </c>
      <c r="K12" s="4" t="s">
        <v>209</v>
      </c>
      <c r="S12" s="4" t="s">
        <v>221</v>
      </c>
      <c r="AD12" s="4" t="s">
        <v>5029</v>
      </c>
      <c r="BQ12" s="1495" t="s">
        <v>198</v>
      </c>
      <c r="BR12" s="1495" t="s">
        <v>198</v>
      </c>
      <c r="BS12" s="1495" t="s">
        <v>198</v>
      </c>
      <c r="BT12" s="1495" t="s">
        <v>198</v>
      </c>
      <c r="BX12" s="1495" t="s">
        <v>2646</v>
      </c>
      <c r="CE12" s="167" t="s">
        <v>2672</v>
      </c>
      <c r="CF12" s="167"/>
      <c r="DA12" s="1498"/>
      <c r="DB12" s="1498"/>
      <c r="DC12" s="1498"/>
      <c r="DK12" s="1495" t="s">
        <v>4490</v>
      </c>
      <c r="EK12" s="1498"/>
    </row>
    <row r="13" spans="1:228" s="1495" customFormat="1" x14ac:dyDescent="0.2">
      <c r="S13" s="4" t="s">
        <v>198</v>
      </c>
      <c r="AD13" s="4" t="s">
        <v>5030</v>
      </c>
      <c r="BX13" s="1495" t="s">
        <v>2647</v>
      </c>
      <c r="CE13" s="167" t="s">
        <v>2673</v>
      </c>
      <c r="CF13" s="167"/>
      <c r="DA13" s="1498"/>
      <c r="DB13" s="1498"/>
      <c r="DC13" s="1498"/>
      <c r="DK13" s="1495" t="s">
        <v>4491</v>
      </c>
      <c r="EK13" s="1498"/>
    </row>
    <row r="14" spans="1:228" s="1495" customFormat="1" x14ac:dyDescent="0.2">
      <c r="AD14" s="4" t="s">
        <v>198</v>
      </c>
      <c r="BX14" s="1495" t="s">
        <v>2648</v>
      </c>
      <c r="CE14" s="167" t="s">
        <v>2674</v>
      </c>
      <c r="CF14" s="167"/>
      <c r="DA14" s="1498"/>
      <c r="DB14" s="1498"/>
      <c r="DC14" s="1498"/>
      <c r="DK14" s="1495" t="s">
        <v>4492</v>
      </c>
      <c r="EK14" s="1498"/>
    </row>
    <row r="15" spans="1:228" s="1495" customFormat="1" x14ac:dyDescent="0.2">
      <c r="DA15" s="1498"/>
      <c r="DB15" s="1498"/>
      <c r="DC15" s="1498"/>
      <c r="DK15" s="20" t="s">
        <v>256</v>
      </c>
      <c r="EK15" s="1498"/>
    </row>
    <row r="16" spans="1:228" x14ac:dyDescent="0.2">
      <c r="DE16"/>
      <c r="DG16"/>
      <c r="DH16"/>
      <c r="DI16"/>
      <c r="DJ16" s="1495"/>
      <c r="DK16"/>
      <c r="DL16"/>
      <c r="DM16"/>
      <c r="DP16"/>
      <c r="DQ16"/>
      <c r="DR16"/>
      <c r="DS16"/>
      <c r="DU16"/>
      <c r="DV16"/>
      <c r="DW16"/>
      <c r="DX16"/>
      <c r="DY16"/>
      <c r="DZ16"/>
      <c r="EC16"/>
      <c r="ED16"/>
      <c r="EE16"/>
      <c r="EF16"/>
      <c r="EG16"/>
      <c r="EH16"/>
      <c r="EL16"/>
      <c r="EZ16" s="337"/>
      <c r="FD16"/>
      <c r="FE16" s="521"/>
      <c r="FF16"/>
    </row>
    <row r="17" spans="109:162" x14ac:dyDescent="0.2">
      <c r="DE17"/>
      <c r="DG17"/>
      <c r="DH17"/>
      <c r="DI17"/>
      <c r="DJ17"/>
      <c r="DK17"/>
      <c r="DL17"/>
      <c r="DM17"/>
      <c r="DP17"/>
      <c r="DQ17"/>
      <c r="DR17"/>
      <c r="DS17"/>
      <c r="DU17"/>
      <c r="DV17"/>
      <c r="DW17"/>
      <c r="DX17"/>
      <c r="DY17"/>
      <c r="DZ17"/>
      <c r="EC17"/>
      <c r="ED17"/>
      <c r="EE17"/>
      <c r="EF17"/>
      <c r="EG17"/>
      <c r="EH17"/>
      <c r="EL17"/>
      <c r="EZ17" s="337"/>
      <c r="FD17"/>
      <c r="FE17" s="521"/>
      <c r="FF17"/>
    </row>
    <row r="18" spans="109:162" x14ac:dyDescent="0.2">
      <c r="DE18"/>
      <c r="DG18"/>
      <c r="DH18"/>
      <c r="DI18"/>
      <c r="DJ18"/>
      <c r="DK18"/>
      <c r="DL18"/>
      <c r="DM18"/>
      <c r="DP18"/>
      <c r="DQ18"/>
      <c r="DR18"/>
      <c r="DS18"/>
      <c r="DU18"/>
      <c r="DV18"/>
      <c r="DW18"/>
      <c r="DX18"/>
      <c r="DY18"/>
      <c r="DZ18"/>
      <c r="EC18"/>
      <c r="ED18"/>
      <c r="EE18"/>
      <c r="EF18"/>
      <c r="EG18"/>
      <c r="EH18"/>
      <c r="EL18"/>
      <c r="EZ18" s="337"/>
      <c r="FD18"/>
      <c r="FE18" s="521"/>
      <c r="FF18"/>
    </row>
    <row r="19" spans="109:162" x14ac:dyDescent="0.2">
      <c r="DE19"/>
      <c r="DG19"/>
      <c r="DH19"/>
      <c r="DI19"/>
      <c r="DJ19"/>
      <c r="DK19"/>
      <c r="DL19"/>
      <c r="DM19"/>
      <c r="DP19"/>
      <c r="DQ19"/>
      <c r="DR19"/>
      <c r="DS19"/>
      <c r="DU19"/>
      <c r="DV19"/>
      <c r="DW19"/>
      <c r="DX19"/>
      <c r="DY19"/>
      <c r="DZ19"/>
      <c r="EC19"/>
      <c r="ED19"/>
      <c r="EE19"/>
      <c r="EF19"/>
      <c r="EG19"/>
      <c r="EH19"/>
      <c r="EL19"/>
      <c r="EZ19" s="337"/>
      <c r="FD19"/>
      <c r="FE19" s="521"/>
      <c r="FF19"/>
    </row>
    <row r="20" spans="109:162" x14ac:dyDescent="0.2">
      <c r="DG20"/>
      <c r="DH20"/>
      <c r="DI20"/>
      <c r="DK20"/>
      <c r="DL20"/>
      <c r="DM20"/>
      <c r="DP20"/>
      <c r="DQ20"/>
      <c r="DR20"/>
      <c r="DS20"/>
      <c r="DU20"/>
      <c r="DV20"/>
      <c r="DW20"/>
      <c r="DX20"/>
      <c r="DY20"/>
      <c r="DZ20"/>
      <c r="EC20"/>
      <c r="ED20"/>
      <c r="EE20"/>
      <c r="EF20"/>
      <c r="EG20"/>
      <c r="EH20"/>
      <c r="EL20"/>
      <c r="EZ20" s="337"/>
      <c r="FD20"/>
      <c r="FE20" s="521"/>
      <c r="FF20"/>
    </row>
    <row r="21" spans="109:162" x14ac:dyDescent="0.2">
      <c r="DK21"/>
      <c r="DL21"/>
      <c r="DM21"/>
      <c r="DP21"/>
      <c r="DQ21"/>
      <c r="DR21"/>
      <c r="DS21"/>
      <c r="DU21"/>
      <c r="DV21"/>
      <c r="DW21"/>
      <c r="DX21"/>
      <c r="DY21"/>
      <c r="DZ21"/>
      <c r="EC21"/>
      <c r="ED21"/>
      <c r="EE21"/>
      <c r="EF21"/>
      <c r="EG21"/>
      <c r="EH21"/>
      <c r="EL21"/>
      <c r="EZ21" s="337"/>
      <c r="FD21"/>
      <c r="FE21" s="521"/>
      <c r="FF21"/>
    </row>
    <row r="22" spans="109:162" x14ac:dyDescent="0.2">
      <c r="DP22"/>
      <c r="DQ22"/>
      <c r="DR22"/>
      <c r="DS22"/>
      <c r="DU22"/>
      <c r="DV22"/>
      <c r="DW22"/>
      <c r="DX22"/>
      <c r="DY22"/>
      <c r="DZ22"/>
      <c r="EC22"/>
      <c r="ED22"/>
      <c r="EE22"/>
      <c r="EF22"/>
      <c r="EG22"/>
      <c r="EH22"/>
      <c r="EL22"/>
      <c r="EZ22" s="337"/>
      <c r="FE22" s="521"/>
      <c r="FF22"/>
    </row>
    <row r="23" spans="109:162" x14ac:dyDescent="0.2">
      <c r="EZ23" s="337"/>
      <c r="FE23" s="521"/>
      <c r="FF23"/>
    </row>
    <row r="24" spans="109:162" x14ac:dyDescent="0.2">
      <c r="EZ24" s="337"/>
      <c r="FE24" s="521"/>
      <c r="FF24"/>
    </row>
    <row r="25" spans="109:162" x14ac:dyDescent="0.2">
      <c r="EZ25" s="337"/>
      <c r="FE25" s="521"/>
      <c r="FF25"/>
    </row>
  </sheetData>
  <sheetProtection algorithmName="SHA-512" hashValue="095OXbTKdy2Hm92F370EBcHeyaAcwXB7NCJE1myS3dFuPQdsD8dEAF1BYkXOOcR38970Mwg+kpMMCKIiRKGp/w==" saltValue="k478yAIzi4pKfnwLYdaZZw==" spinCount="100000" sheet="1" objects="1" scenarios="1" selectLockedCells="1" selectUnlockedCells="1"/>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Sheet4">
    <tabColor theme="1"/>
  </sheetPr>
  <dimension ref="A3:R32"/>
  <sheetViews>
    <sheetView topLeftCell="AD1" workbookViewId="0"/>
  </sheetViews>
  <sheetFormatPr baseColWidth="10" defaultColWidth="8.83203125" defaultRowHeight="15" x14ac:dyDescent="0.2"/>
  <cols>
    <col min="1" max="7" width="0" hidden="1" customWidth="1"/>
    <col min="8" max="8" width="0" style="17" hidden="1" customWidth="1"/>
    <col min="9" max="10" width="0" hidden="1" customWidth="1"/>
    <col min="11" max="11" width="0" style="17" hidden="1" customWidth="1"/>
    <col min="12" max="12" width="0" style="735" hidden="1" customWidth="1"/>
    <col min="13" max="13" width="13.6640625" hidden="1" customWidth="1"/>
    <col min="14" max="14" width="0" hidden="1" customWidth="1"/>
    <col min="15" max="15" width="0" style="42" hidden="1" customWidth="1"/>
    <col min="16" max="16" width="13.5" style="42" hidden="1" customWidth="1"/>
    <col min="17" max="29" width="0" hidden="1" customWidth="1"/>
  </cols>
  <sheetData>
    <row r="3" spans="1:16" x14ac:dyDescent="0.2">
      <c r="A3" t="s">
        <v>270</v>
      </c>
      <c r="B3" t="b">
        <f>OR(dstState="",dstCounty="",dstSingleOrMulti="",AND(dstSingleOrMulti=INDEX(ddSingleOrMulti,2),OR(dstUnits="",dstProjectName="")),dstYearBuilt="",dstAGFloorArea="",dstTCFloorArea="",dstFloors="",dstFoundation="",dstHeat1="",dstHDucts="",dstCool1="",dstCDucts="",dstwdSHGC="",dstwdUV="",dstAttic="",'Overview (Design)'!L11="!!")</f>
        <v>0</v>
      </c>
    </row>
    <row r="4" spans="1:16" x14ac:dyDescent="0.2">
      <c r="A4" t="s">
        <v>292</v>
      </c>
      <c r="B4" t="b">
        <f>OR('Overview (Verification)'!P14="",'Overview (Verification)'!P15="",'Overview (Verification)'!P18="",'Overview (Verification)'!P25="",'Overview (Verification)'!P26="",'Overview (Verification)'!P27="",'Overview (Verification)'!P36="",'Overview (Verification)'!P38="",'Overview (Verification)'!P42="",'Overview (Verification)'!P43="",'Overview (Verification)'!P46="",'Overview (Verification)'!P48="",'Overview (Verification)'!P50="",'Overview (Verification)'!P54="")</f>
        <v>0</v>
      </c>
    </row>
    <row r="8" spans="1:16" x14ac:dyDescent="0.2">
      <c r="G8" s="17"/>
      <c r="H8"/>
      <c r="J8" s="17"/>
      <c r="K8"/>
    </row>
    <row r="9" spans="1:16" x14ac:dyDescent="0.2">
      <c r="G9" s="17"/>
      <c r="H9"/>
      <c r="J9" s="17"/>
      <c r="K9"/>
    </row>
    <row r="10" spans="1:16" x14ac:dyDescent="0.2">
      <c r="G10" s="41" t="s">
        <v>302</v>
      </c>
      <c r="H10" s="42" t="s">
        <v>278</v>
      </c>
      <c r="J10" s="17"/>
      <c r="K10"/>
      <c r="M10" s="41" t="s">
        <v>301</v>
      </c>
      <c r="N10" t="str">
        <f>IF(LEN('Verification Report'!L1)=0,"None Chosen",'Verification Report'!L1)</f>
        <v>Bronze</v>
      </c>
      <c r="P10"/>
    </row>
    <row r="11" spans="1:16" x14ac:dyDescent="0.2">
      <c r="G11" s="17"/>
      <c r="H11"/>
      <c r="J11" s="17"/>
      <c r="K11"/>
      <c r="P11"/>
    </row>
    <row r="12" spans="1:16" x14ac:dyDescent="0.2">
      <c r="C12" t="s">
        <v>279</v>
      </c>
      <c r="G12" s="17" t="s">
        <v>289</v>
      </c>
      <c r="H12"/>
      <c r="J12" s="17"/>
      <c r="K12"/>
      <c r="M12" t="s">
        <v>290</v>
      </c>
    </row>
    <row r="13" spans="1:16" x14ac:dyDescent="0.2">
      <c r="G13" s="17"/>
      <c r="H13"/>
      <c r="J13" s="17"/>
      <c r="K13"/>
    </row>
    <row r="14" spans="1:16" x14ac:dyDescent="0.2">
      <c r="C14" t="s">
        <v>276</v>
      </c>
      <c r="D14" t="s">
        <v>277</v>
      </c>
      <c r="E14" t="s">
        <v>278</v>
      </c>
      <c r="F14" t="s">
        <v>275</v>
      </c>
      <c r="G14" s="17"/>
      <c r="H14" t="s">
        <v>280</v>
      </c>
      <c r="J14" s="17"/>
      <c r="K14"/>
      <c r="M14" s="22"/>
      <c r="N14" s="22" t="s">
        <v>280</v>
      </c>
      <c r="O14"/>
      <c r="P14"/>
    </row>
    <row r="15" spans="1:16" x14ac:dyDescent="0.2">
      <c r="A15">
        <v>5</v>
      </c>
      <c r="B15" t="s">
        <v>281</v>
      </c>
      <c r="G15" s="7" t="str">
        <f>"Ch"&amp;$A15&amp;"Points"</f>
        <v>Ch5Points</v>
      </c>
      <c r="H15" s="1">
        <f ca="1">ROUNDDOWN(SUM('11.500'!O:O),0)</f>
        <v>14</v>
      </c>
      <c r="J15" s="7"/>
      <c r="K15"/>
      <c r="M15" s="21" t="str">
        <f t="shared" ref="M15:M24" si="0">"Ch"&amp;$A15&amp;"PointsFinal"</f>
        <v>Ch5PointsFinal</v>
      </c>
      <c r="N15" s="1">
        <f ca="1">ROUNDDOWN(SUMIFS('Verification Report'!O:O,'Verification Report'!A:A, 5),0)</f>
        <v>14</v>
      </c>
      <c r="O15"/>
      <c r="P15"/>
    </row>
    <row r="16" spans="1:16" x14ac:dyDescent="0.2">
      <c r="A16">
        <v>6</v>
      </c>
      <c r="B16" s="17" t="s">
        <v>282</v>
      </c>
      <c r="G16" s="7" t="str">
        <f>"Ch"&amp;$A16&amp;"Points"</f>
        <v>Ch6Points</v>
      </c>
      <c r="H16" s="78">
        <f ca="1">SUM('11.600'!O:O)</f>
        <v>45</v>
      </c>
      <c r="J16" s="7"/>
      <c r="K16"/>
      <c r="M16" s="21" t="str">
        <f t="shared" si="0"/>
        <v>Ch6PointsFinal</v>
      </c>
      <c r="N16" s="248">
        <f ca="1">SUMIFS('Verification Report'!O:O,'Verification Report'!A:A, 6)</f>
        <v>45</v>
      </c>
      <c r="O16"/>
      <c r="P16"/>
    </row>
    <row r="17" spans="1:18" x14ac:dyDescent="0.2">
      <c r="A17">
        <v>7</v>
      </c>
      <c r="B17" s="17" t="s">
        <v>283</v>
      </c>
      <c r="C17" s="739">
        <v>0.15</v>
      </c>
      <c r="D17" s="739">
        <v>0.25</v>
      </c>
      <c r="E17" s="739">
        <v>0.35</v>
      </c>
      <c r="F17" s="739">
        <v>0.45</v>
      </c>
      <c r="I17" s="741">
        <f>'11.700'!W146</f>
        <v>0.39600000000000002</v>
      </c>
      <c r="K17" s="905" t="str">
        <f>IFERROR(INDEX($C$14:$F$14,L17),"None")</f>
        <v>Gold</v>
      </c>
      <c r="L17" s="735">
        <f>IFERROR(MATCH(I17,C17:F17,1),0)</f>
        <v>3</v>
      </c>
      <c r="M17" s="21" t="str">
        <f t="shared" si="0"/>
        <v>Ch7PointsFinal</v>
      </c>
      <c r="N17" s="248"/>
      <c r="O17" s="803">
        <f>'Verification Report'!W1020</f>
        <v>0.39600000000000002</v>
      </c>
      <c r="Q17" s="905" t="str">
        <f>IFERROR(INDEX($C$14:$F$14,R17),"None")</f>
        <v>Gold</v>
      </c>
      <c r="R17" s="735">
        <f>IFERROR(MATCH(O17,C17:F17,1),0)</f>
        <v>3</v>
      </c>
    </row>
    <row r="18" spans="1:18" s="905" customFormat="1" x14ac:dyDescent="0.2">
      <c r="C18">
        <v>30</v>
      </c>
      <c r="D18" s="57">
        <v>45</v>
      </c>
      <c r="E18" s="57">
        <v>60</v>
      </c>
      <c r="F18" s="57">
        <v>70</v>
      </c>
      <c r="G18" s="7" t="str">
        <f>"Ch"&amp;$A17&amp;"Points"</f>
        <v>Ch7Points</v>
      </c>
      <c r="I18" s="78">
        <f ca="1">SUM('11.700'!O:O)</f>
        <v>0</v>
      </c>
      <c r="K18" s="905" t="str">
        <f ca="1">IFERROR(INDEX($C$14:$F$14,L18),"None")</f>
        <v>None</v>
      </c>
      <c r="L18" s="905">
        <f ca="1">IFERROR(MATCH(I18,C18:F18,1),0)</f>
        <v>0</v>
      </c>
      <c r="M18" s="904"/>
      <c r="O18" s="905">
        <f ca="1">SUMIFS('Verification Report'!O:O,'Verification Report'!A:A, 7)</f>
        <v>0</v>
      </c>
      <c r="Q18" s="905" t="str">
        <f ca="1">IFERROR(INDEX($C$14:$F$14,R18),"None")</f>
        <v>None</v>
      </c>
      <c r="R18" s="905">
        <f ca="1">IFERROR(MATCH(O18,C18:F18,1),0)</f>
        <v>0</v>
      </c>
    </row>
    <row r="19" spans="1:18" s="905" customFormat="1" x14ac:dyDescent="0.2">
      <c r="G19" s="904"/>
      <c r="J19" t="s">
        <v>606</v>
      </c>
      <c r="K19" s="735" t="str">
        <f ca="1">IFERROR(INDEX(K17:K18,MATCH('11.700'!W10,INDIRECT('11.700'!U10),0)),"None")</f>
        <v>Gold</v>
      </c>
      <c r="M19" s="904"/>
      <c r="P19" s="735" t="s">
        <v>3467</v>
      </c>
      <c r="Q19" s="735" t="str">
        <f ca="1">IFERROR(INDEX(Q17:Q18,MATCH('Verification Report'!W884,INDIRECT('11.700'!U10),0)),"None")</f>
        <v>Gold</v>
      </c>
    </row>
    <row r="20" spans="1:18" s="905" customFormat="1" x14ac:dyDescent="0.2">
      <c r="A20">
        <v>8</v>
      </c>
      <c r="B20" s="17" t="s">
        <v>284</v>
      </c>
      <c r="C20" s="905">
        <v>25</v>
      </c>
      <c r="D20" s="905">
        <v>39</v>
      </c>
      <c r="E20" s="905">
        <v>67</v>
      </c>
      <c r="F20" s="905">
        <v>92</v>
      </c>
      <c r="G20" s="7" t="str">
        <f>"Ch"&amp;$A20&amp;"Points"</f>
        <v>Ch8Points</v>
      </c>
      <c r="I20" s="78">
        <f ca="1">SUM('11.800'!O:O)</f>
        <v>42</v>
      </c>
      <c r="K20" s="905" t="str">
        <f ca="1">IFERROR(INDEX($C$14:$F$14,L20),"None")</f>
        <v>Silver</v>
      </c>
      <c r="L20" s="905">
        <f ca="1">IFERROR(MATCH(I20,C20:F20,1),0)</f>
        <v>2</v>
      </c>
      <c r="M20" s="21" t="str">
        <f>"Ch"&amp;$A20&amp;"PointsFinal"</f>
        <v>Ch8PointsFinal</v>
      </c>
      <c r="O20" s="905">
        <f ca="1">SUMIFS('Verification Report'!O:O,'Verification Report'!A:A, 8)</f>
        <v>22</v>
      </c>
      <c r="Q20" s="905" t="str">
        <f ca="1">IFERROR(INDEX($C$14:$F$14,R20),"None")</f>
        <v>None</v>
      </c>
      <c r="R20" s="905">
        <f ca="1">IFERROR(MATCH(O20,C20:F20,1),0)</f>
        <v>0</v>
      </c>
    </row>
    <row r="21" spans="1:18" x14ac:dyDescent="0.2">
      <c r="C21" s="739">
        <v>0.2</v>
      </c>
      <c r="D21" s="739">
        <v>0.3</v>
      </c>
      <c r="E21" s="739">
        <v>0.4</v>
      </c>
      <c r="F21" s="739">
        <v>0.5</v>
      </c>
      <c r="I21" s="741">
        <f>'11.800'!W27</f>
        <v>0</v>
      </c>
      <c r="K21" s="905" t="str">
        <f>IFERROR(INDEX($C$14:$F$14,L21),"None")</f>
        <v>None</v>
      </c>
      <c r="L21" s="735">
        <f>IFERROR(MATCH(I21,C21:F21,1),0)</f>
        <v>0</v>
      </c>
      <c r="N21" s="248"/>
      <c r="O21" s="803">
        <f>'Verification Report'!W1613</f>
        <v>0</v>
      </c>
      <c r="Q21" s="905" t="str">
        <f>IFERROR(INDEX($C$14:$F$14,R21),"None")</f>
        <v>None</v>
      </c>
      <c r="R21" s="735">
        <f>IFERROR(MATCH(O21,C21:F21,1),0)</f>
        <v>0</v>
      </c>
    </row>
    <row r="22" spans="1:18" s="905" customFormat="1" x14ac:dyDescent="0.2">
      <c r="G22" s="904"/>
      <c r="J22" t="s">
        <v>610</v>
      </c>
      <c r="K22" s="735" t="str">
        <f ca="1">IFERROR(INDEX(K20:K21,MATCH('11.800'!W13,INDIRECT('11.800'!U13),0)),"None")</f>
        <v>Silver</v>
      </c>
      <c r="M22" s="904"/>
      <c r="P22" s="735" t="s">
        <v>3468</v>
      </c>
      <c r="Q22" s="735" t="str">
        <f ca="1">IFERROR(INDEX(Q20:Q21,MATCH('Verification Report'!W1599,INDIRECT('11.800'!U13),0)),"None")</f>
        <v>None</v>
      </c>
    </row>
    <row r="23" spans="1:18" x14ac:dyDescent="0.2">
      <c r="A23">
        <v>9</v>
      </c>
      <c r="B23" s="17" t="s">
        <v>285</v>
      </c>
      <c r="G23" s="7" t="str">
        <f>"Ch"&amp;$A23&amp;"Points"</f>
        <v>Ch9Points</v>
      </c>
      <c r="H23" s="78">
        <f ca="1">SUM('11.900'!O:O)</f>
        <v>34</v>
      </c>
      <c r="J23" s="7"/>
      <c r="K23"/>
      <c r="M23" s="21" t="str">
        <f t="shared" si="0"/>
        <v>Ch9PointsFinal</v>
      </c>
      <c r="N23" s="248">
        <f ca="1">SUMIFS('Verification Report'!O:O,'Verification Report'!A:A, 9)</f>
        <v>34</v>
      </c>
      <c r="O23"/>
      <c r="P23"/>
    </row>
    <row r="24" spans="1:18" x14ac:dyDescent="0.2">
      <c r="A24">
        <v>10</v>
      </c>
      <c r="B24" s="17" t="s">
        <v>286</v>
      </c>
      <c r="G24" s="7" t="str">
        <f>"Ch"&amp;$A24&amp;"Points"</f>
        <v>Ch10Points</v>
      </c>
      <c r="H24" s="78">
        <f>SUM('11.1000'!O:O)</f>
        <v>23</v>
      </c>
      <c r="J24" s="7"/>
      <c r="K24"/>
      <c r="M24" s="21" t="str">
        <f t="shared" si="0"/>
        <v>Ch10PointsFinal</v>
      </c>
      <c r="N24" s="248">
        <f>SUMIFS('Verification Report'!O:O,'Verification Report'!A:A, 10)</f>
        <v>23</v>
      </c>
      <c r="O24"/>
      <c r="P24"/>
    </row>
    <row r="25" spans="1:18" x14ac:dyDescent="0.2">
      <c r="A25" s="57">
        <f>'Overview (Design)'!$G$25</f>
        <v>1184</v>
      </c>
      <c r="B25" t="s">
        <v>342</v>
      </c>
      <c r="C25" s="57">
        <f>88+MAX(0,ROUNDDOWN(($A25-4000)/100,0))</f>
        <v>88</v>
      </c>
      <c r="D25" s="57">
        <f>125+MAX(0,ROUNDDOWN(($A25-4000)/100,0))</f>
        <v>125</v>
      </c>
      <c r="E25" s="57">
        <f>181+MAX(0,ROUNDDOWN(($A25-4000)/100,0))</f>
        <v>181</v>
      </c>
      <c r="F25" s="57">
        <f>225+MAX(0,ROUNDDOWN(($A25-4000)/100,0))</f>
        <v>225</v>
      </c>
      <c r="G25" s="17" t="s">
        <v>3462</v>
      </c>
      <c r="H25" s="17">
        <f ca="1">SUM(H15:H24)</f>
        <v>116</v>
      </c>
      <c r="M25" s="22" t="s">
        <v>3465</v>
      </c>
      <c r="N25">
        <f ca="1">SUM(N15:N24)</f>
        <v>116</v>
      </c>
    </row>
    <row r="26" spans="1:18" x14ac:dyDescent="0.2">
      <c r="A26" s="57">
        <f>IF(LEN('Overview (Verification)'!$P$25)=0,0,'Overview (Verification)'!$P$25)</f>
        <v>1184</v>
      </c>
      <c r="B26" t="s">
        <v>343</v>
      </c>
      <c r="C26" s="57">
        <f>88+MAX(0,ROUNDDOWN(($A26-4000)/100,0))</f>
        <v>88</v>
      </c>
      <c r="D26" s="57">
        <f>125+MAX(0,ROUNDDOWN(($A26-4000)/100,0))</f>
        <v>125</v>
      </c>
      <c r="E26" s="57">
        <f>181+MAX(0,ROUNDDOWN(($A26-4000)/100,0))</f>
        <v>181</v>
      </c>
      <c r="F26" s="57">
        <f>225+MAX(0,ROUNDDOWN(($A26-4000)/100,0))</f>
        <v>225</v>
      </c>
      <c r="G26" s="17" t="s">
        <v>3463</v>
      </c>
      <c r="H26" s="735" t="str">
        <f ca="1">IFERROR(INDEX($C$14:$F$14,I26),"None")</f>
        <v>Bronze</v>
      </c>
      <c r="I26" s="735">
        <f ca="1">MIN(IFERROR(MATCH(H25,C25:F25,1),0),MATCH(Ch7Level,C14:F14,0),MATCH(Ch8Level,C14:F14,0))</f>
        <v>1</v>
      </c>
      <c r="J26" s="17"/>
      <c r="K26" s="735"/>
      <c r="M26" t="s">
        <v>3464</v>
      </c>
      <c r="N26" s="22" t="str">
        <f ca="1">IFERROR(INDEX($C$14:$F$14,O26),"None")</f>
        <v>None</v>
      </c>
      <c r="O26" s="735">
        <f ca="1">MIN(IFERROR(MATCH(N25,C26:F26,1),0),R17,R21)</f>
        <v>0</v>
      </c>
    </row>
    <row r="27" spans="1:18" x14ac:dyDescent="0.2">
      <c r="G27" t="s">
        <v>5024</v>
      </c>
      <c r="H27" s="17">
        <f ca="1">IFERROR(INDEX(G29:G32,MATCH(H25+1,G29:G32,-1))-H25,"N/A, Emerald Achieved!")</f>
        <v>9</v>
      </c>
      <c r="J27" s="17"/>
      <c r="M27" s="1198" t="s">
        <v>5025</v>
      </c>
      <c r="N27" s="1198">
        <f ca="1">IFERROR(INDEX(G29:G32,MATCH(N25+1,G29:G32,-1))-N25,"N/A, Emerald Achieved!")</f>
        <v>9</v>
      </c>
    </row>
    <row r="28" spans="1:18" x14ac:dyDescent="0.2">
      <c r="G28" s="17"/>
      <c r="H28"/>
      <c r="J28" s="17"/>
      <c r="K28"/>
    </row>
    <row r="29" spans="1:18" x14ac:dyDescent="0.2">
      <c r="C29" s="57"/>
      <c r="D29" s="57"/>
      <c r="E29" s="57"/>
      <c r="F29" s="57"/>
      <c r="G29">
        <f>F26</f>
        <v>225</v>
      </c>
    </row>
    <row r="30" spans="1:18" x14ac:dyDescent="0.2">
      <c r="G30">
        <f>E26</f>
        <v>181</v>
      </c>
    </row>
    <row r="31" spans="1:18" x14ac:dyDescent="0.2">
      <c r="G31">
        <f>D26</f>
        <v>125</v>
      </c>
    </row>
    <row r="32" spans="1:18" x14ac:dyDescent="0.2">
      <c r="G32">
        <f>C26</f>
        <v>88</v>
      </c>
    </row>
  </sheetData>
  <sheetProtection algorithmName="SHA-512" hashValue="pxrpZBdkyYrp71hKSOApACfe14G4i7LknEvJFXxQR5EP3+fyft+TAbOQ9nErFN5lR5FktZ1LznJEKlnrFDY7jg==" saltValue="XQ0FMl//9Rh7ixGnDMLvJA==" spinCount="100000" sheet="1" objects="1" scenarios="1" selectLockedCells="1" selectUnlockedCells="1"/>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F05540A-5ECF-4828-8CB2-66500D0301AC}">
  <sheetPr codeName="Sheet30">
    <tabColor theme="1"/>
  </sheetPr>
  <dimension ref="A1:AN38"/>
  <sheetViews>
    <sheetView topLeftCell="V1" workbookViewId="0"/>
  </sheetViews>
  <sheetFormatPr baseColWidth="10" defaultColWidth="9.1640625" defaultRowHeight="15" x14ac:dyDescent="0.2"/>
  <cols>
    <col min="1" max="1" width="0" style="881" hidden="1" customWidth="1"/>
    <col min="2" max="2" width="8.33203125" style="881" hidden="1" customWidth="1"/>
    <col min="3" max="3" width="3.5" style="881" hidden="1" customWidth="1"/>
    <col min="4" max="11" width="3" style="881" hidden="1" customWidth="1"/>
    <col min="12" max="12" width="0" style="881" hidden="1" customWidth="1"/>
    <col min="13" max="13" width="7.33203125" style="881" hidden="1" customWidth="1"/>
    <col min="14" max="21" width="4.6640625" style="881" hidden="1" customWidth="1"/>
    <col min="22" max="16384" width="9.1640625" style="881"/>
  </cols>
  <sheetData>
    <row r="1" spans="1:40" x14ac:dyDescent="0.2">
      <c r="B1" s="881" t="s">
        <v>4414</v>
      </c>
      <c r="M1" s="881" t="s">
        <v>4417</v>
      </c>
    </row>
    <row r="3" spans="1:40" x14ac:dyDescent="0.2">
      <c r="B3" s="880" t="s">
        <v>333</v>
      </c>
    </row>
    <row r="5" spans="1:40" x14ac:dyDescent="0.2">
      <c r="B5" s="881" t="s">
        <v>4472</v>
      </c>
      <c r="C5" s="881">
        <f>'Overview (Design)'!N15</f>
        <v>3</v>
      </c>
      <c r="M5" s="881" t="s">
        <v>4472</v>
      </c>
      <c r="N5" s="881">
        <f>'Overview (Design)'!N15</f>
        <v>3</v>
      </c>
      <c r="O5" s="740"/>
    </row>
    <row r="6" spans="1:40" x14ac:dyDescent="0.2">
      <c r="B6" s="881" t="s">
        <v>4473</v>
      </c>
      <c r="C6" s="881" t="str">
        <f>'Overview (Design)'!Q15</f>
        <v xml:space="preserve"> </v>
      </c>
      <c r="M6" s="881" t="s">
        <v>3029</v>
      </c>
      <c r="N6" s="740">
        <f>'11.700'!W59</f>
        <v>7</v>
      </c>
      <c r="O6" s="740">
        <f>'11.700'!W62</f>
        <v>0</v>
      </c>
      <c r="X6" s="1549" t="s">
        <v>5297</v>
      </c>
      <c r="Y6" s="1549"/>
      <c r="Z6" s="1549"/>
      <c r="AA6" s="1549"/>
      <c r="AB6" s="1549"/>
      <c r="AC6" s="1549"/>
      <c r="AD6" s="1549"/>
      <c r="AE6" s="1549"/>
      <c r="AF6" s="1549"/>
      <c r="AG6" s="1549"/>
      <c r="AH6" s="1549"/>
      <c r="AI6" s="1549"/>
      <c r="AJ6" s="1549"/>
      <c r="AK6" s="1549"/>
      <c r="AL6" s="1549"/>
      <c r="AM6" s="1549"/>
      <c r="AN6" s="1549"/>
    </row>
    <row r="7" spans="1:40" x14ac:dyDescent="0.2">
      <c r="B7" s="881" t="s">
        <v>4474</v>
      </c>
      <c r="C7" s="881">
        <f>'11.700'!W180</f>
        <v>0</v>
      </c>
      <c r="D7" s="739"/>
      <c r="M7" s="881" t="s">
        <v>4475</v>
      </c>
      <c r="N7" s="881">
        <f>IF(N6&lt;=1,1,IF(N6&lt;=2,2,IF(N6&lt;=3,3,IF(N6&lt;=4,4,0))))</f>
        <v>0</v>
      </c>
      <c r="O7" s="881">
        <f>IF(O6&lt;=0.13,1,IF(O6&lt;=0.18,2,IF(O6&lt;=0.23,3,IF(O6&lt;=0.28,4,0))))</f>
        <v>1</v>
      </c>
      <c r="X7" s="1549"/>
      <c r="Y7" s="1549"/>
      <c r="Z7" s="1549"/>
      <c r="AA7" s="1549"/>
      <c r="AB7" s="1549"/>
      <c r="AC7" s="1549"/>
      <c r="AD7" s="1549"/>
      <c r="AE7" s="1549"/>
      <c r="AF7" s="1549"/>
      <c r="AG7" s="1549"/>
      <c r="AH7" s="1549"/>
      <c r="AI7" s="1549"/>
      <c r="AJ7" s="1549"/>
      <c r="AK7" s="1549"/>
      <c r="AL7" s="1549"/>
      <c r="AM7" s="1549"/>
      <c r="AN7" s="1549"/>
    </row>
    <row r="8" spans="1:40" x14ac:dyDescent="0.2">
      <c r="X8" s="1549"/>
      <c r="Y8" s="1549"/>
      <c r="Z8" s="1549"/>
      <c r="AA8" s="1549"/>
      <c r="AB8" s="1549"/>
      <c r="AC8" s="1549"/>
      <c r="AD8" s="1549"/>
      <c r="AE8" s="1549"/>
      <c r="AF8" s="1549"/>
      <c r="AG8" s="1549"/>
      <c r="AH8" s="1549"/>
      <c r="AI8" s="1549"/>
      <c r="AJ8" s="1549"/>
      <c r="AK8" s="1549"/>
      <c r="AL8" s="1549"/>
      <c r="AM8" s="1549"/>
      <c r="AN8" s="1549"/>
    </row>
    <row r="9" spans="1:40" x14ac:dyDescent="0.2">
      <c r="C9" s="881" t="s">
        <v>4476</v>
      </c>
      <c r="D9" s="881">
        <v>1</v>
      </c>
      <c r="E9" s="881">
        <v>2</v>
      </c>
      <c r="F9" s="881">
        <v>3</v>
      </c>
      <c r="G9" s="881">
        <v>4</v>
      </c>
      <c r="H9" s="881">
        <v>5</v>
      </c>
      <c r="I9" s="881">
        <v>6</v>
      </c>
      <c r="J9" s="881">
        <v>7</v>
      </c>
      <c r="K9" s="881">
        <v>8</v>
      </c>
      <c r="N9" s="881">
        <v>1</v>
      </c>
      <c r="O9" s="881">
        <v>2</v>
      </c>
      <c r="P9" s="881">
        <v>3</v>
      </c>
      <c r="Q9" s="881">
        <v>4</v>
      </c>
      <c r="R9" s="881">
        <v>5</v>
      </c>
      <c r="S9" s="881">
        <v>6</v>
      </c>
      <c r="T9" s="881">
        <v>7</v>
      </c>
      <c r="U9" s="881">
        <v>8</v>
      </c>
      <c r="X9" s="1549"/>
      <c r="Y9" s="1549"/>
      <c r="Z9" s="1549"/>
      <c r="AA9" s="1549"/>
      <c r="AB9" s="1549"/>
      <c r="AC9" s="1549"/>
      <c r="AD9" s="1549"/>
      <c r="AE9" s="1549"/>
      <c r="AF9" s="1549"/>
      <c r="AG9" s="1549"/>
      <c r="AH9" s="1549"/>
      <c r="AI9" s="1549"/>
      <c r="AJ9" s="1549"/>
      <c r="AK9" s="1549"/>
      <c r="AL9" s="1549"/>
      <c r="AM9" s="1549"/>
      <c r="AN9" s="1549"/>
    </row>
    <row r="10" spans="1:40" x14ac:dyDescent="0.2">
      <c r="A10" s="881">
        <v>1</v>
      </c>
      <c r="B10" s="739">
        <v>0</v>
      </c>
      <c r="C10" s="881">
        <v>0</v>
      </c>
      <c r="D10" s="881">
        <v>0</v>
      </c>
      <c r="E10" s="881">
        <v>0</v>
      </c>
      <c r="F10" s="881">
        <v>0</v>
      </c>
      <c r="G10" s="881">
        <v>0</v>
      </c>
      <c r="H10" s="881">
        <v>0</v>
      </c>
      <c r="I10" s="881">
        <v>0</v>
      </c>
      <c r="J10" s="881">
        <v>0</v>
      </c>
      <c r="K10" s="881">
        <v>0</v>
      </c>
      <c r="M10" s="881">
        <v>1</v>
      </c>
      <c r="N10" s="881">
        <v>4</v>
      </c>
      <c r="O10" s="881">
        <v>7</v>
      </c>
      <c r="P10" s="881">
        <v>5</v>
      </c>
      <c r="Q10" s="881">
        <v>7</v>
      </c>
      <c r="R10" s="881">
        <v>7</v>
      </c>
      <c r="S10" s="881">
        <v>10</v>
      </c>
      <c r="T10" s="881">
        <v>15</v>
      </c>
      <c r="U10" s="881">
        <v>11</v>
      </c>
    </row>
    <row r="11" spans="1:40" x14ac:dyDescent="0.2">
      <c r="A11" s="881">
        <v>2</v>
      </c>
      <c r="B11" s="739">
        <v>0.05</v>
      </c>
      <c r="C11" s="881">
        <v>1</v>
      </c>
      <c r="D11" s="881">
        <v>2</v>
      </c>
      <c r="E11" s="881">
        <v>3</v>
      </c>
      <c r="F11" s="881">
        <v>3</v>
      </c>
      <c r="G11" s="881">
        <v>3</v>
      </c>
      <c r="H11" s="881">
        <v>3</v>
      </c>
      <c r="I11" s="881">
        <v>3</v>
      </c>
      <c r="J11" s="881">
        <v>3</v>
      </c>
      <c r="K11" s="881">
        <v>3</v>
      </c>
      <c r="M11" s="881">
        <v>2</v>
      </c>
      <c r="N11" s="881">
        <v>3</v>
      </c>
      <c r="O11" s="881">
        <v>5</v>
      </c>
      <c r="P11" s="881">
        <v>3</v>
      </c>
      <c r="Q11" s="881">
        <v>4</v>
      </c>
      <c r="R11" s="881">
        <v>4</v>
      </c>
      <c r="S11" s="881">
        <v>6</v>
      </c>
      <c r="T11" s="881">
        <v>8</v>
      </c>
      <c r="U11" s="881">
        <v>7</v>
      </c>
    </row>
    <row r="12" spans="1:40" x14ac:dyDescent="0.2">
      <c r="A12" s="881">
        <v>3</v>
      </c>
      <c r="B12" s="739">
        <v>0.1</v>
      </c>
      <c r="C12" s="881">
        <v>1</v>
      </c>
      <c r="D12" s="881">
        <v>3</v>
      </c>
      <c r="E12" s="881">
        <v>6</v>
      </c>
      <c r="F12" s="881">
        <v>5</v>
      </c>
      <c r="G12" s="881">
        <v>6</v>
      </c>
      <c r="H12" s="881">
        <v>6</v>
      </c>
      <c r="I12" s="881">
        <v>6</v>
      </c>
      <c r="J12" s="881">
        <v>5</v>
      </c>
      <c r="K12" s="881">
        <v>7</v>
      </c>
      <c r="M12" s="881">
        <v>3</v>
      </c>
      <c r="N12" s="881">
        <v>2</v>
      </c>
      <c r="O12" s="881">
        <v>4</v>
      </c>
      <c r="X12" s="1549" t="s">
        <v>5298</v>
      </c>
      <c r="Y12" s="1549"/>
      <c r="Z12" s="1549"/>
      <c r="AA12" s="1549"/>
      <c r="AB12" s="1549"/>
      <c r="AC12" s="1549"/>
      <c r="AD12" s="1549"/>
      <c r="AE12" s="1549"/>
      <c r="AF12" s="1549"/>
      <c r="AG12" s="1549"/>
      <c r="AH12" s="1549"/>
      <c r="AI12" s="1549"/>
      <c r="AJ12" s="1549"/>
      <c r="AK12" s="1549"/>
      <c r="AL12" s="1549"/>
      <c r="AM12" s="1549"/>
      <c r="AN12" s="1549"/>
    </row>
    <row r="13" spans="1:40" x14ac:dyDescent="0.2">
      <c r="A13" s="881">
        <v>4</v>
      </c>
      <c r="B13" s="739">
        <v>0.15</v>
      </c>
      <c r="C13" s="881">
        <v>2</v>
      </c>
      <c r="D13" s="881">
        <v>5</v>
      </c>
      <c r="E13" s="881">
        <v>9</v>
      </c>
      <c r="F13" s="881">
        <v>8</v>
      </c>
      <c r="G13" s="881">
        <v>9</v>
      </c>
      <c r="H13" s="881">
        <v>9</v>
      </c>
      <c r="I13" s="881">
        <v>9</v>
      </c>
      <c r="J13" s="881">
        <v>8</v>
      </c>
      <c r="K13" s="881">
        <v>10</v>
      </c>
      <c r="M13" s="881">
        <v>4</v>
      </c>
      <c r="N13" s="881">
        <v>1</v>
      </c>
      <c r="O13" s="881">
        <v>2</v>
      </c>
      <c r="X13" s="1549"/>
      <c r="Y13" s="1549"/>
      <c r="Z13" s="1549"/>
      <c r="AA13" s="1549"/>
      <c r="AB13" s="1549"/>
      <c r="AC13" s="1549"/>
      <c r="AD13" s="1549"/>
      <c r="AE13" s="1549"/>
      <c r="AF13" s="1549"/>
      <c r="AG13" s="1549"/>
      <c r="AH13" s="1549"/>
      <c r="AI13" s="1549"/>
      <c r="AJ13" s="1549"/>
      <c r="AK13" s="1549"/>
      <c r="AL13" s="1549"/>
      <c r="AM13" s="1549"/>
      <c r="AN13" s="1549"/>
    </row>
    <row r="14" spans="1:40" x14ac:dyDescent="0.2">
      <c r="A14" s="881">
        <v>5</v>
      </c>
      <c r="B14" s="739">
        <v>0.2</v>
      </c>
      <c r="C14" s="881">
        <v>3</v>
      </c>
      <c r="D14" s="881">
        <v>6</v>
      </c>
      <c r="E14" s="881">
        <v>12</v>
      </c>
      <c r="F14" s="881">
        <v>10</v>
      </c>
      <c r="G14" s="881">
        <v>12</v>
      </c>
      <c r="H14" s="881">
        <v>12</v>
      </c>
      <c r="I14" s="881">
        <v>12</v>
      </c>
      <c r="J14" s="881">
        <v>11</v>
      </c>
      <c r="K14" s="881">
        <v>13</v>
      </c>
      <c r="X14" s="1549"/>
      <c r="Y14" s="1549"/>
      <c r="Z14" s="1549"/>
      <c r="AA14" s="1549"/>
      <c r="AB14" s="1549"/>
      <c r="AC14" s="1549"/>
      <c r="AD14" s="1549"/>
      <c r="AE14" s="1549"/>
      <c r="AF14" s="1549"/>
      <c r="AG14" s="1549"/>
      <c r="AH14" s="1549"/>
      <c r="AI14" s="1549"/>
      <c r="AJ14" s="1549"/>
      <c r="AK14" s="1549"/>
      <c r="AL14" s="1549"/>
      <c r="AM14" s="1549"/>
      <c r="AN14" s="1549"/>
    </row>
    <row r="15" spans="1:40" x14ac:dyDescent="0.2">
      <c r="A15" s="881">
        <v>6</v>
      </c>
      <c r="B15" s="739">
        <v>0.25</v>
      </c>
      <c r="C15" s="881">
        <v>4</v>
      </c>
      <c r="D15" s="881">
        <v>8</v>
      </c>
      <c r="E15" s="881">
        <v>15</v>
      </c>
      <c r="F15" s="881">
        <v>13</v>
      </c>
      <c r="G15" s="881">
        <v>16</v>
      </c>
      <c r="H15" s="881">
        <v>14</v>
      </c>
      <c r="I15" s="881">
        <v>15</v>
      </c>
      <c r="J15" s="881">
        <v>14</v>
      </c>
      <c r="K15" s="881">
        <v>17</v>
      </c>
      <c r="X15" s="1549"/>
      <c r="Y15" s="1549"/>
      <c r="Z15" s="1549"/>
      <c r="AA15" s="1549"/>
      <c r="AB15" s="1549"/>
      <c r="AC15" s="1549"/>
      <c r="AD15" s="1549"/>
      <c r="AE15" s="1549"/>
      <c r="AF15" s="1549"/>
      <c r="AG15" s="1549"/>
      <c r="AH15" s="1549"/>
      <c r="AI15" s="1549"/>
      <c r="AJ15" s="1549"/>
      <c r="AK15" s="1549"/>
      <c r="AL15" s="1549"/>
      <c r="AM15" s="1549"/>
      <c r="AN15" s="1549"/>
    </row>
    <row r="16" spans="1:40" x14ac:dyDescent="0.2">
      <c r="A16" s="881">
        <v>7</v>
      </c>
      <c r="B16" s="739">
        <v>0.3</v>
      </c>
      <c r="C16" s="881">
        <v>5</v>
      </c>
      <c r="D16" s="881">
        <v>10</v>
      </c>
      <c r="E16" s="881">
        <v>18</v>
      </c>
      <c r="F16" s="881">
        <v>16</v>
      </c>
      <c r="G16" s="881">
        <v>19</v>
      </c>
      <c r="H16" s="881">
        <v>17</v>
      </c>
      <c r="I16" s="881">
        <v>18</v>
      </c>
      <c r="J16" s="881">
        <v>16</v>
      </c>
      <c r="K16" s="881">
        <v>20</v>
      </c>
    </row>
    <row r="17" spans="1:21" x14ac:dyDescent="0.2">
      <c r="A17" s="881">
        <v>8</v>
      </c>
      <c r="B17" s="739">
        <v>0.35</v>
      </c>
      <c r="C17" s="881">
        <v>5</v>
      </c>
      <c r="D17" s="881">
        <v>11</v>
      </c>
      <c r="E17" s="881">
        <v>21</v>
      </c>
      <c r="F17" s="881">
        <v>18</v>
      </c>
      <c r="G17" s="881">
        <v>22</v>
      </c>
      <c r="H17" s="881">
        <v>20</v>
      </c>
      <c r="I17" s="881">
        <v>21</v>
      </c>
      <c r="J17" s="881">
        <v>19</v>
      </c>
      <c r="K17" s="881">
        <v>23</v>
      </c>
    </row>
    <row r="19" spans="1:21" x14ac:dyDescent="0.2">
      <c r="B19" s="881" t="s">
        <v>4477</v>
      </c>
      <c r="C19" s="881">
        <f>IF(C6="Tropical",INDEX(C10:C17,MATCH(C7,B10:B17,1)),INDEX(D10:K17,MATCH(C7,B10:B17,1),MATCH(C5,D9:K9,1)))</f>
        <v>0</v>
      </c>
      <c r="M19" s="881" t="s">
        <v>4477</v>
      </c>
      <c r="N19" s="881">
        <f>IF(N6=0,0,IFERROR(INDEX($N$10:$U$13,N7,$N$5),0))</f>
        <v>0</v>
      </c>
      <c r="O19" s="881">
        <f>IF(O6=0,0,IFERROR(INDEX($N$10:$U$13,O7,$N$5),0))</f>
        <v>0</v>
      </c>
    </row>
    <row r="22" spans="1:21" x14ac:dyDescent="0.2">
      <c r="B22" s="880" t="s">
        <v>2915</v>
      </c>
    </row>
    <row r="24" spans="1:21" x14ac:dyDescent="0.2">
      <c r="B24" s="881" t="s">
        <v>4472</v>
      </c>
      <c r="C24" s="330">
        <f>'Overview (Verification)'!W15</f>
        <v>3</v>
      </c>
      <c r="M24" s="881" t="s">
        <v>4472</v>
      </c>
      <c r="N24" s="881">
        <f>'Overview (Verification)'!W15</f>
        <v>3</v>
      </c>
    </row>
    <row r="25" spans="1:21" x14ac:dyDescent="0.2">
      <c r="B25" s="881" t="s">
        <v>4473</v>
      </c>
      <c r="C25" s="330" t="str">
        <f>'Overview (Verification)'!Z15</f>
        <v xml:space="preserve"> </v>
      </c>
      <c r="M25" s="881" t="s">
        <v>3029</v>
      </c>
      <c r="N25" s="976">
        <f>'Verification Report'!W933</f>
        <v>7</v>
      </c>
      <c r="O25" s="976">
        <f>'Verification Report'!W936</f>
        <v>1</v>
      </c>
    </row>
    <row r="26" spans="1:21" x14ac:dyDescent="0.2">
      <c r="B26" s="881" t="s">
        <v>4474</v>
      </c>
      <c r="C26" s="330">
        <f>'Verification Report'!W1054</f>
        <v>0</v>
      </c>
      <c r="D26" s="739"/>
      <c r="M26" s="881" t="s">
        <v>4475</v>
      </c>
      <c r="N26" s="881">
        <f>IF(N25&lt;=1,1,IF(N25&lt;=2,2,IF(N25&lt;=3,3,IF(N25&lt;=4,4,0))))</f>
        <v>0</v>
      </c>
      <c r="O26" s="881">
        <f>IF(O25&lt;=0.13,1,IF(O25&lt;=0.18,2,IF(O25&lt;=0.23,3,IF(O25&lt;=0.28,4,0))))</f>
        <v>0</v>
      </c>
    </row>
    <row r="28" spans="1:21" x14ac:dyDescent="0.2">
      <c r="C28" s="881" t="s">
        <v>4476</v>
      </c>
      <c r="D28" s="881">
        <v>1</v>
      </c>
      <c r="E28" s="881">
        <v>2</v>
      </c>
      <c r="F28" s="881">
        <v>3</v>
      </c>
      <c r="G28" s="881">
        <v>4</v>
      </c>
      <c r="H28" s="881">
        <v>5</v>
      </c>
      <c r="I28" s="881">
        <v>6</v>
      </c>
      <c r="J28" s="881">
        <v>7</v>
      </c>
      <c r="K28" s="881">
        <v>8</v>
      </c>
      <c r="N28" s="881">
        <v>1</v>
      </c>
      <c r="O28" s="881">
        <v>2</v>
      </c>
      <c r="P28" s="881">
        <v>3</v>
      </c>
      <c r="Q28" s="881">
        <v>4</v>
      </c>
      <c r="R28" s="881">
        <v>5</v>
      </c>
      <c r="S28" s="881">
        <v>6</v>
      </c>
      <c r="T28" s="881">
        <v>7</v>
      </c>
      <c r="U28" s="881">
        <v>8</v>
      </c>
    </row>
    <row r="29" spans="1:21" x14ac:dyDescent="0.2">
      <c r="A29" s="881">
        <v>1</v>
      </c>
      <c r="B29" s="739">
        <v>0</v>
      </c>
      <c r="C29" s="881">
        <v>0</v>
      </c>
      <c r="D29" s="881">
        <v>0</v>
      </c>
      <c r="E29" s="881">
        <v>0</v>
      </c>
      <c r="F29" s="881">
        <v>0</v>
      </c>
      <c r="G29" s="881">
        <v>0</v>
      </c>
      <c r="H29" s="881">
        <v>0</v>
      </c>
      <c r="I29" s="881">
        <v>0</v>
      </c>
      <c r="J29" s="881">
        <v>0</v>
      </c>
      <c r="K29" s="881">
        <v>0</v>
      </c>
      <c r="M29" s="881">
        <v>1</v>
      </c>
      <c r="N29" s="881">
        <v>4</v>
      </c>
      <c r="O29" s="881">
        <v>7</v>
      </c>
      <c r="P29" s="881">
        <v>5</v>
      </c>
      <c r="Q29" s="881">
        <v>7</v>
      </c>
      <c r="R29" s="881">
        <v>7</v>
      </c>
      <c r="S29" s="881">
        <v>10</v>
      </c>
      <c r="T29" s="881">
        <v>15</v>
      </c>
      <c r="U29" s="881">
        <v>11</v>
      </c>
    </row>
    <row r="30" spans="1:21" x14ac:dyDescent="0.2">
      <c r="A30" s="881">
        <v>2</v>
      </c>
      <c r="B30" s="739">
        <v>0.05</v>
      </c>
      <c r="C30" s="881">
        <v>1</v>
      </c>
      <c r="D30" s="881">
        <v>2</v>
      </c>
      <c r="E30" s="881">
        <v>3</v>
      </c>
      <c r="F30" s="881">
        <v>3</v>
      </c>
      <c r="G30" s="881">
        <v>3</v>
      </c>
      <c r="H30" s="881">
        <v>3</v>
      </c>
      <c r="I30" s="881">
        <v>3</v>
      </c>
      <c r="J30" s="881">
        <v>3</v>
      </c>
      <c r="K30" s="881">
        <v>3</v>
      </c>
      <c r="M30" s="881">
        <v>2</v>
      </c>
      <c r="N30" s="881">
        <v>3</v>
      </c>
      <c r="O30" s="881">
        <v>5</v>
      </c>
      <c r="P30" s="881">
        <v>3</v>
      </c>
      <c r="Q30" s="881">
        <v>4</v>
      </c>
      <c r="R30" s="881">
        <v>4</v>
      </c>
      <c r="S30" s="881">
        <v>6</v>
      </c>
      <c r="T30" s="881">
        <v>8</v>
      </c>
      <c r="U30" s="881">
        <v>7</v>
      </c>
    </row>
    <row r="31" spans="1:21" x14ac:dyDescent="0.2">
      <c r="A31" s="881">
        <v>3</v>
      </c>
      <c r="B31" s="739">
        <v>0.1</v>
      </c>
      <c r="C31" s="881">
        <v>1</v>
      </c>
      <c r="D31" s="881">
        <v>3</v>
      </c>
      <c r="E31" s="881">
        <v>6</v>
      </c>
      <c r="F31" s="881">
        <v>5</v>
      </c>
      <c r="G31" s="881">
        <v>6</v>
      </c>
      <c r="H31" s="881">
        <v>6</v>
      </c>
      <c r="I31" s="881">
        <v>6</v>
      </c>
      <c r="J31" s="881">
        <v>5</v>
      </c>
      <c r="K31" s="881">
        <v>7</v>
      </c>
      <c r="M31" s="881">
        <v>3</v>
      </c>
      <c r="N31" s="881">
        <v>2</v>
      </c>
      <c r="O31" s="881">
        <v>4</v>
      </c>
    </row>
    <row r="32" spans="1:21" x14ac:dyDescent="0.2">
      <c r="A32" s="881">
        <v>4</v>
      </c>
      <c r="B32" s="739">
        <v>0.15</v>
      </c>
      <c r="C32" s="881">
        <v>2</v>
      </c>
      <c r="D32" s="881">
        <v>5</v>
      </c>
      <c r="E32" s="881">
        <v>9</v>
      </c>
      <c r="F32" s="881">
        <v>8</v>
      </c>
      <c r="G32" s="881">
        <v>9</v>
      </c>
      <c r="H32" s="881">
        <v>9</v>
      </c>
      <c r="I32" s="881">
        <v>9</v>
      </c>
      <c r="J32" s="881">
        <v>8</v>
      </c>
      <c r="K32" s="881">
        <v>10</v>
      </c>
      <c r="M32" s="881">
        <v>4</v>
      </c>
      <c r="N32" s="881">
        <v>1</v>
      </c>
      <c r="O32" s="881">
        <v>2</v>
      </c>
    </row>
    <row r="33" spans="1:15" x14ac:dyDescent="0.2">
      <c r="A33" s="881">
        <v>5</v>
      </c>
      <c r="B33" s="739">
        <v>0.2</v>
      </c>
      <c r="C33" s="881">
        <v>3</v>
      </c>
      <c r="D33" s="881">
        <v>6</v>
      </c>
      <c r="E33" s="881">
        <v>12</v>
      </c>
      <c r="F33" s="881">
        <v>10</v>
      </c>
      <c r="G33" s="881">
        <v>12</v>
      </c>
      <c r="H33" s="881">
        <v>12</v>
      </c>
      <c r="I33" s="881">
        <v>12</v>
      </c>
      <c r="J33" s="881">
        <v>11</v>
      </c>
      <c r="K33" s="881">
        <v>13</v>
      </c>
    </row>
    <row r="34" spans="1:15" x14ac:dyDescent="0.2">
      <c r="A34" s="881">
        <v>6</v>
      </c>
      <c r="B34" s="739">
        <v>0.25</v>
      </c>
      <c r="C34" s="881">
        <v>4</v>
      </c>
      <c r="D34" s="881">
        <v>8</v>
      </c>
      <c r="E34" s="881">
        <v>15</v>
      </c>
      <c r="F34" s="881">
        <v>13</v>
      </c>
      <c r="G34" s="881">
        <v>16</v>
      </c>
      <c r="H34" s="881">
        <v>14</v>
      </c>
      <c r="I34" s="881">
        <v>15</v>
      </c>
      <c r="J34" s="881">
        <v>14</v>
      </c>
      <c r="K34" s="881">
        <v>17</v>
      </c>
    </row>
    <row r="35" spans="1:15" x14ac:dyDescent="0.2">
      <c r="A35" s="881">
        <v>7</v>
      </c>
      <c r="B35" s="739">
        <v>0.3</v>
      </c>
      <c r="C35" s="881">
        <v>5</v>
      </c>
      <c r="D35" s="881">
        <v>10</v>
      </c>
      <c r="E35" s="881">
        <v>18</v>
      </c>
      <c r="F35" s="881">
        <v>16</v>
      </c>
      <c r="G35" s="881">
        <v>19</v>
      </c>
      <c r="H35" s="881">
        <v>17</v>
      </c>
      <c r="I35" s="881">
        <v>18</v>
      </c>
      <c r="J35" s="881">
        <v>16</v>
      </c>
      <c r="K35" s="881">
        <v>20</v>
      </c>
    </row>
    <row r="36" spans="1:15" x14ac:dyDescent="0.2">
      <c r="A36" s="881">
        <v>8</v>
      </c>
      <c r="B36" s="739">
        <v>0.35</v>
      </c>
      <c r="C36" s="881">
        <v>5</v>
      </c>
      <c r="D36" s="881">
        <v>11</v>
      </c>
      <c r="E36" s="881">
        <v>21</v>
      </c>
      <c r="F36" s="881">
        <v>18</v>
      </c>
      <c r="G36" s="881">
        <v>22</v>
      </c>
      <c r="H36" s="881">
        <v>20</v>
      </c>
      <c r="I36" s="881">
        <v>21</v>
      </c>
      <c r="J36" s="881">
        <v>19</v>
      </c>
      <c r="K36" s="881">
        <v>23</v>
      </c>
    </row>
    <row r="38" spans="1:15" x14ac:dyDescent="0.2">
      <c r="B38" s="881" t="s">
        <v>4477</v>
      </c>
      <c r="C38" s="881">
        <f>IF(C25="Tropical",INDEX(C29:C36,MATCH(C26,B29:B36,1)),INDEX(D29:K36,MATCH(C26,B29:B36,1),MATCH(C24,D28:K28,1)))</f>
        <v>0</v>
      </c>
      <c r="M38" s="881" t="s">
        <v>4477</v>
      </c>
      <c r="N38" s="881">
        <f>IF(N25=0,0,IFERROR(INDEX($N$29:$U$32,N26,$N$24),0))</f>
        <v>0</v>
      </c>
      <c r="O38" s="881">
        <f>IF(O25=0,0,IFERROR(INDEX($N$29:$U$32,O26,$N$24),0))</f>
        <v>0</v>
      </c>
    </row>
  </sheetData>
  <sheetProtection algorithmName="SHA-512" hashValue="KoxQ1k8cgEb3EM3u/D9X0DcvgcIuGk7RFNUb+3xKTBk2dhSJyHS4gaH2ns2co/4roCIdYuz0adccYtL4Jxpagw==" saltValue="OB3+eoXhl/+RSLbXmJPSKA==" spinCount="100000" sheet="1" objects="1" scenarios="1" selectLockedCells="1" selectUnlockedCells="1"/>
  <mergeCells count="2">
    <mergeCell ref="X12:AN15"/>
    <mergeCell ref="X6:AN9"/>
  </mergeCells>
  <pageMargins left="0.7" right="0.7" top="0.75" bottom="0.75" header="0.3" footer="0.3"/>
  <pageSetup paperSize="185" orientation="portrait" r:id="rId1"/>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codeName="Sheet20">
    <pageSetUpPr fitToPage="1"/>
  </sheetPr>
  <dimension ref="A1:Z68"/>
  <sheetViews>
    <sheetView showGridLines="0" zoomScaleNormal="100" workbookViewId="0">
      <pane ySplit="6" topLeftCell="A20" activePane="bottomLeft" state="frozen"/>
      <selection pane="bottomLeft" activeCell="J8" sqref="J8:K8"/>
    </sheetView>
  </sheetViews>
  <sheetFormatPr baseColWidth="10" defaultColWidth="9.1640625" defaultRowHeight="15" x14ac:dyDescent="0.2"/>
  <cols>
    <col min="1" max="4" width="9.1640625" style="42"/>
    <col min="5" max="13" width="9.1640625" style="46" customWidth="1"/>
    <col min="14" max="14" width="16.83203125" style="42" hidden="1" customWidth="1"/>
    <col min="15" max="15" width="17.5" style="42" hidden="1" customWidth="1"/>
    <col min="16" max="16384" width="9.1640625" style="42"/>
  </cols>
  <sheetData>
    <row r="1" spans="1:26" x14ac:dyDescent="0.2">
      <c r="A1" s="1758"/>
      <c r="B1" s="1758"/>
      <c r="C1" s="1758"/>
      <c r="D1" s="1848" t="s">
        <v>5034</v>
      </c>
      <c r="E1" s="1758"/>
      <c r="F1" s="1758"/>
      <c r="G1" s="1758"/>
      <c r="H1" s="1758"/>
      <c r="I1" s="1758"/>
      <c r="J1" s="1758"/>
      <c r="K1" s="1758"/>
      <c r="L1" s="1758"/>
      <c r="M1" s="1758"/>
      <c r="N1" s="1758"/>
      <c r="O1" s="1758"/>
      <c r="P1" s="1758"/>
      <c r="Q1" s="1758"/>
      <c r="R1" s="1758"/>
      <c r="S1" s="1758"/>
      <c r="T1" s="1758"/>
      <c r="U1" s="1758"/>
      <c r="V1" s="1758"/>
      <c r="W1" s="1758"/>
      <c r="X1" s="1758"/>
      <c r="Y1" s="1849"/>
    </row>
    <row r="2" spans="1:26" x14ac:dyDescent="0.2">
      <c r="A2" s="1755"/>
      <c r="B2" s="1755"/>
      <c r="C2" s="1755"/>
      <c r="D2" s="1850"/>
      <c r="E2" s="1755"/>
      <c r="F2" s="1755"/>
      <c r="G2" s="1755"/>
      <c r="H2" s="1755"/>
      <c r="I2" s="1755"/>
      <c r="J2" s="1755"/>
      <c r="K2" s="1755"/>
      <c r="L2" s="1755"/>
      <c r="M2" s="1755"/>
      <c r="N2" s="1755"/>
      <c r="O2" s="1755"/>
      <c r="P2" s="1755"/>
      <c r="Q2" s="1755"/>
      <c r="R2" s="1755"/>
      <c r="S2" s="1755"/>
      <c r="T2" s="1755"/>
      <c r="U2" s="1755"/>
      <c r="V2" s="1755"/>
      <c r="W2" s="1755"/>
      <c r="X2" s="1755"/>
      <c r="Y2" s="1851"/>
    </row>
    <row r="3" spans="1:26" ht="15" customHeight="1" x14ac:dyDescent="0.2">
      <c r="A3" s="1755"/>
      <c r="B3" s="1755"/>
      <c r="C3" s="1755"/>
      <c r="D3" s="1852"/>
      <c r="E3" s="1756"/>
      <c r="F3" s="1756"/>
      <c r="G3" s="1756"/>
      <c r="H3" s="1756"/>
      <c r="I3" s="1756"/>
      <c r="J3" s="1756"/>
      <c r="K3" s="1756"/>
      <c r="L3" s="1756"/>
      <c r="M3" s="1756"/>
      <c r="N3" s="1756"/>
      <c r="O3" s="1756"/>
      <c r="P3" s="1756"/>
      <c r="Q3" s="1756"/>
      <c r="R3" s="1756"/>
      <c r="S3" s="1756"/>
      <c r="T3" s="1756"/>
      <c r="U3" s="1756"/>
      <c r="V3" s="1756"/>
      <c r="W3" s="1756"/>
      <c r="X3" s="1756"/>
      <c r="Y3" s="1853"/>
    </row>
    <row r="4" spans="1:26" s="59" customFormat="1" x14ac:dyDescent="0.2">
      <c r="A4" s="1755"/>
      <c r="B4" s="1755"/>
      <c r="C4" s="1755"/>
      <c r="D4" s="1836" t="s">
        <v>336</v>
      </c>
      <c r="E4" s="1837"/>
      <c r="F4" s="1837"/>
      <c r="G4" s="1837"/>
      <c r="H4" s="1837"/>
      <c r="I4" s="1837"/>
      <c r="J4" s="1837"/>
      <c r="K4" s="1837"/>
      <c r="L4" s="1837"/>
      <c r="M4" s="1838"/>
      <c r="P4" s="1842" t="s">
        <v>3424</v>
      </c>
      <c r="Q4" s="1843"/>
      <c r="R4" s="1843"/>
      <c r="S4" s="1843"/>
      <c r="T4" s="1843"/>
      <c r="U4" s="1843"/>
      <c r="V4" s="1843"/>
      <c r="W4" s="1843"/>
      <c r="X4" s="1843"/>
      <c r="Y4" s="1844"/>
    </row>
    <row r="5" spans="1:26" s="59" customFormat="1" x14ac:dyDescent="0.2">
      <c r="A5" s="1755"/>
      <c r="B5" s="1755"/>
      <c r="C5" s="1755"/>
      <c r="D5" s="1839"/>
      <c r="E5" s="1840"/>
      <c r="F5" s="1840"/>
      <c r="G5" s="1840"/>
      <c r="H5" s="1840"/>
      <c r="I5" s="1840"/>
      <c r="J5" s="1840"/>
      <c r="K5" s="1840"/>
      <c r="L5" s="1840"/>
      <c r="M5" s="1841"/>
      <c r="P5" s="1845"/>
      <c r="Q5" s="1846"/>
      <c r="R5" s="1846"/>
      <c r="S5" s="1846"/>
      <c r="T5" s="1846"/>
      <c r="U5" s="1846"/>
      <c r="V5" s="1846"/>
      <c r="W5" s="1846"/>
      <c r="X5" s="1846"/>
      <c r="Y5" s="1847"/>
    </row>
    <row r="6" spans="1:26" ht="19" x14ac:dyDescent="0.25">
      <c r="A6" s="15" t="s">
        <v>3179</v>
      </c>
      <c r="B6" s="15"/>
      <c r="C6" s="15"/>
      <c r="D6" s="15"/>
      <c r="E6" s="1856" t="s">
        <v>333</v>
      </c>
      <c r="F6" s="1857"/>
      <c r="G6" s="1857"/>
      <c r="H6" s="1858"/>
      <c r="I6" s="56" t="s">
        <v>335</v>
      </c>
      <c r="J6" s="1856" t="s">
        <v>334</v>
      </c>
      <c r="K6" s="1857"/>
      <c r="L6" s="1857"/>
      <c r="M6" s="1858"/>
      <c r="N6" s="42" t="s">
        <v>246</v>
      </c>
      <c r="O6" s="42" t="s">
        <v>246</v>
      </c>
      <c r="P6" s="15" t="s">
        <v>296</v>
      </c>
      <c r="Q6" s="15"/>
      <c r="R6" s="15"/>
      <c r="S6" s="15"/>
      <c r="T6" s="15"/>
      <c r="U6" s="15"/>
      <c r="V6" s="15"/>
      <c r="W6" s="15"/>
      <c r="X6" s="15"/>
      <c r="Y6" s="15"/>
    </row>
    <row r="7" spans="1:26" x14ac:dyDescent="0.2">
      <c r="N7" s="42" t="s">
        <v>233</v>
      </c>
      <c r="O7" s="42" t="s">
        <v>234</v>
      </c>
    </row>
    <row r="8" spans="1:26" s="512" customFormat="1" x14ac:dyDescent="0.2">
      <c r="A8" s="1563" t="s">
        <v>3047</v>
      </c>
      <c r="B8" s="1563"/>
      <c r="C8" s="1563"/>
      <c r="D8" s="1563"/>
      <c r="E8" s="470"/>
      <c r="F8" s="470"/>
      <c r="G8" s="470"/>
      <c r="H8" s="470"/>
      <c r="I8"/>
      <c r="J8" s="1824" t="s">
        <v>5677</v>
      </c>
      <c r="K8" s="1824"/>
      <c r="L8"/>
      <c r="M8"/>
      <c r="N8"/>
      <c r="O8" s="328" t="s">
        <v>3452</v>
      </c>
      <c r="P8" s="1825" t="str">
        <f>IF(LEN(J8)&gt;0,J8,"")</f>
        <v>PRJEPKDMnz</v>
      </c>
      <c r="Q8" s="1826"/>
      <c r="R8" s="1214" t="s">
        <v>5019</v>
      </c>
      <c r="S8" s="47"/>
      <c r="T8" s="47"/>
      <c r="U8" s="47"/>
      <c r="V8" s="47"/>
      <c r="W8" s="47"/>
    </row>
    <row r="10" spans="1:26" x14ac:dyDescent="0.2">
      <c r="A10" s="1563" t="s">
        <v>124</v>
      </c>
      <c r="B10" s="1563"/>
      <c r="C10" s="1563"/>
      <c r="D10" s="1563"/>
      <c r="E10" s="1828" t="str">
        <f>IF(LEN('Overview (Design)'!G10)=0,"",'Overview (Design)'!G10)</f>
        <v>TWG Development</v>
      </c>
      <c r="F10" s="1829"/>
      <c r="G10" s="1829"/>
      <c r="H10" s="1830"/>
      <c r="I10" s="55" t="b">
        <v>1</v>
      </c>
      <c r="J10" s="1568"/>
      <c r="K10" s="1568"/>
      <c r="L10" s="1568"/>
      <c r="M10" s="1568"/>
      <c r="N10" s="40"/>
      <c r="O10" s="40" t="s">
        <v>303</v>
      </c>
      <c r="P10" s="1827" t="str">
        <f t="shared" ref="P10:P16" si="0">IF(LEN(IF(I10,E10,J10))=0,"",IF(I10,E10,J10))</f>
        <v>TWG Development</v>
      </c>
      <c r="Q10" s="1827"/>
      <c r="R10" s="1827"/>
      <c r="S10" s="1827"/>
      <c r="T10" s="47"/>
      <c r="U10" s="1597" t="s">
        <v>2920</v>
      </c>
      <c r="V10" s="1598"/>
      <c r="W10" s="515"/>
      <c r="X10" s="331"/>
      <c r="Y10" s="331"/>
    </row>
    <row r="11" spans="1:26" x14ac:dyDescent="0.2">
      <c r="A11" s="1563" t="s">
        <v>125</v>
      </c>
      <c r="B11" s="1563"/>
      <c r="C11" s="1563"/>
      <c r="D11" s="1563"/>
      <c r="E11" s="1828" t="str">
        <f>IF(LEN('Overview (Design)'!G11)=0,"",'Overview (Design)'!G11)</f>
        <v>330 Brownlee Road SW</v>
      </c>
      <c r="F11" s="1829"/>
      <c r="G11" s="1829"/>
      <c r="H11" s="1830"/>
      <c r="I11" s="55" t="b">
        <v>1</v>
      </c>
      <c r="J11" s="1568"/>
      <c r="K11" s="1568"/>
      <c r="L11" s="1568"/>
      <c r="M11" s="1568"/>
      <c r="N11" s="40"/>
      <c r="O11" s="40" t="s">
        <v>304</v>
      </c>
      <c r="P11" s="1827" t="str">
        <f t="shared" si="0"/>
        <v>330 Brownlee Road SW</v>
      </c>
      <c r="Q11" s="1827" t="str">
        <f t="shared" ref="Q11:S15" si="1">IF(LEN(IF(J11,F11,K11))=0,"",IF(J11,F11,K11))</f>
        <v/>
      </c>
      <c r="R11" s="1827" t="str">
        <f t="shared" si="1"/>
        <v/>
      </c>
      <c r="S11" s="1827" t="str">
        <f t="shared" si="1"/>
        <v/>
      </c>
      <c r="T11" s="47"/>
      <c r="U11" s="517">
        <f>W15</f>
        <v>3</v>
      </c>
      <c r="V11" s="518" t="str">
        <f>X15</f>
        <v>Moist</v>
      </c>
      <c r="W11" s="518" t="str">
        <f>Y15</f>
        <v xml:space="preserve"> </v>
      </c>
      <c r="X11" s="518"/>
      <c r="Y11" s="519" t="str">
        <f>Z15</f>
        <v xml:space="preserve"> </v>
      </c>
    </row>
    <row r="12" spans="1:26" x14ac:dyDescent="0.2">
      <c r="A12" s="1563" t="s">
        <v>130</v>
      </c>
      <c r="B12" s="1563"/>
      <c r="C12" s="1563"/>
      <c r="D12" s="1563"/>
      <c r="E12" s="1828" t="str">
        <f>IF(LEN('Overview (Design)'!G12)=0,"",'Overview (Design)'!G12)</f>
        <v/>
      </c>
      <c r="F12" s="1829"/>
      <c r="G12" s="1829"/>
      <c r="H12" s="1830"/>
      <c r="I12" s="55" t="b">
        <v>1</v>
      </c>
      <c r="J12" s="1568"/>
      <c r="K12" s="1568"/>
      <c r="L12" s="1568"/>
      <c r="M12" s="1568"/>
      <c r="N12" s="40"/>
      <c r="O12" s="40" t="s">
        <v>305</v>
      </c>
      <c r="P12" s="1827" t="str">
        <f t="shared" si="0"/>
        <v/>
      </c>
      <c r="Q12" s="1827" t="str">
        <f t="shared" si="1"/>
        <v/>
      </c>
      <c r="R12" s="1827" t="str">
        <f t="shared" si="1"/>
        <v/>
      </c>
      <c r="S12" s="1827" t="str">
        <f t="shared" si="1"/>
        <v/>
      </c>
      <c r="T12" s="47"/>
      <c r="U12" s="47"/>
      <c r="V12" s="47"/>
      <c r="W12" s="47"/>
    </row>
    <row r="13" spans="1:26" x14ac:dyDescent="0.2">
      <c r="A13" s="1563" t="s">
        <v>126</v>
      </c>
      <c r="B13" s="1563"/>
      <c r="C13" s="1563"/>
      <c r="D13" s="1563"/>
      <c r="E13" s="1828" t="str">
        <f>IF(LEN('Overview (Design)'!G13)=0,"",'Overview (Design)'!G13)</f>
        <v>Atlanta</v>
      </c>
      <c r="F13" s="1829"/>
      <c r="G13" s="1829"/>
      <c r="H13" s="1830"/>
      <c r="I13" s="55" t="b">
        <v>1</v>
      </c>
      <c r="J13" s="1568"/>
      <c r="K13" s="1568"/>
      <c r="L13" s="1568"/>
      <c r="M13" s="1568"/>
      <c r="N13" s="40"/>
      <c r="O13" s="40" t="s">
        <v>306</v>
      </c>
      <c r="P13" s="1827" t="str">
        <f t="shared" si="0"/>
        <v>Atlanta</v>
      </c>
      <c r="Q13" s="1827" t="str">
        <f t="shared" si="1"/>
        <v/>
      </c>
      <c r="R13" s="1827" t="str">
        <f t="shared" si="1"/>
        <v/>
      </c>
      <c r="S13" s="1827" t="str">
        <f t="shared" si="1"/>
        <v/>
      </c>
      <c r="T13" s="1214" t="s">
        <v>5019</v>
      </c>
      <c r="U13" s="47"/>
      <c r="V13" s="47"/>
      <c r="W13" s="47"/>
    </row>
    <row r="14" spans="1:26" x14ac:dyDescent="0.2">
      <c r="A14" s="1563" t="s">
        <v>128</v>
      </c>
      <c r="B14" s="1563"/>
      <c r="C14" s="1563"/>
      <c r="D14" s="1563"/>
      <c r="E14" s="1828" t="str">
        <f>IF(LEN('Overview (Design)'!G14)=0,"",'Overview (Design)'!G14)</f>
        <v>Georgia</v>
      </c>
      <c r="F14" s="1829"/>
      <c r="G14" s="1829"/>
      <c r="H14" s="1830"/>
      <c r="I14" s="55" t="b">
        <v>1</v>
      </c>
      <c r="J14" s="1568"/>
      <c r="K14" s="1568"/>
      <c r="L14" s="1568"/>
      <c r="M14" s="1568"/>
      <c r="N14" s="6" t="s">
        <v>174</v>
      </c>
      <c r="O14" s="40" t="s">
        <v>307</v>
      </c>
      <c r="P14" s="1835" t="str">
        <f t="shared" si="0"/>
        <v>Georgia</v>
      </c>
      <c r="Q14" s="1835" t="str">
        <f t="shared" si="1"/>
        <v/>
      </c>
      <c r="R14" s="1835" t="str">
        <f t="shared" si="1"/>
        <v/>
      </c>
      <c r="S14" s="1835" t="str">
        <f t="shared" si="1"/>
        <v/>
      </c>
      <c r="T14" s="48" t="s">
        <v>2</v>
      </c>
      <c r="U14" s="48" t="s">
        <v>4</v>
      </c>
      <c r="V14" s="463" t="str">
        <f>Geography!D1</f>
        <v>Radon</v>
      </c>
      <c r="W14" s="48" t="str">
        <f>Geography!E1</f>
        <v>Climate</v>
      </c>
      <c r="X14" s="18" t="str">
        <f>Geography!F1</f>
        <v>Moist</v>
      </c>
      <c r="Y14" s="18" t="str">
        <f>Geography!G1</f>
        <v>WarmHumid</v>
      </c>
      <c r="Z14" s="18" t="str">
        <f>Geography!H1</f>
        <v>Tropical</v>
      </c>
    </row>
    <row r="15" spans="1:26" x14ac:dyDescent="0.2">
      <c r="A15" s="1563" t="s">
        <v>127</v>
      </c>
      <c r="B15" s="1563"/>
      <c r="C15" s="1563"/>
      <c r="D15" s="1563"/>
      <c r="E15" s="1828" t="str">
        <f>IF(LEN('Overview (Design)'!G15)=0,"",'Overview (Design)'!G15)</f>
        <v xml:space="preserve">Fulton  </v>
      </c>
      <c r="F15" s="1829"/>
      <c r="G15" s="1829"/>
      <c r="H15" s="1830"/>
      <c r="I15" s="55" t="b">
        <v>1</v>
      </c>
      <c r="J15" s="1568"/>
      <c r="K15" s="1568"/>
      <c r="L15" s="1568"/>
      <c r="M15" s="1568"/>
      <c r="N15" s="6" t="s">
        <v>175</v>
      </c>
      <c r="O15" s="40" t="s">
        <v>308</v>
      </c>
      <c r="P15" s="1835" t="str">
        <f t="shared" si="0"/>
        <v xml:space="preserve">Fulton  </v>
      </c>
      <c r="Q15" s="1835" t="str">
        <f t="shared" si="1"/>
        <v/>
      </c>
      <c r="R15" s="1835" t="str">
        <f t="shared" si="1"/>
        <v/>
      </c>
      <c r="S15" s="1835" t="str">
        <f t="shared" si="1"/>
        <v/>
      </c>
      <c r="T15" s="49" t="str">
        <f>P14</f>
        <v>Georgia</v>
      </c>
      <c r="U15" s="49" t="str">
        <f>P15</f>
        <v xml:space="preserve">Fulton  </v>
      </c>
      <c r="V15" s="463">
        <f>IFERROR(DGET(dbState,V14,$T$14:$U$15),"!!")</f>
        <v>1</v>
      </c>
      <c r="W15" s="48">
        <f>IFERROR(DGET(dbState,W14,$T$14:$U$15),"!!")</f>
        <v>3</v>
      </c>
      <c r="X15" s="18" t="str">
        <f>IFERROR(DGET(dbState,X14,$T$14:$U$15),"!!")</f>
        <v>Moist</v>
      </c>
      <c r="Y15" s="18" t="str">
        <f>IFERROR(DGET(dbState,Y14,$T$14:$U$15),"!!")</f>
        <v xml:space="preserve"> </v>
      </c>
      <c r="Z15" s="18" t="str">
        <f>IFERROR(DGET(dbState,Z14,$T$14:$U$15),"!!")</f>
        <v xml:space="preserve"> </v>
      </c>
    </row>
    <row r="16" spans="1:26" x14ac:dyDescent="0.2">
      <c r="A16" s="1563" t="s">
        <v>129</v>
      </c>
      <c r="B16" s="1563"/>
      <c r="C16" s="1563"/>
      <c r="D16" s="1563"/>
      <c r="E16" s="1828" t="str">
        <f>IF(LEN('Overview (Design)'!G16)=0,"",'Overview (Design)'!G16)</f>
        <v>30311</v>
      </c>
      <c r="F16" s="1829"/>
      <c r="G16" s="1829"/>
      <c r="H16" s="1830"/>
      <c r="I16" s="55" t="b">
        <v>1</v>
      </c>
      <c r="J16" s="666"/>
      <c r="K16" s="44"/>
      <c r="L16" s="44"/>
      <c r="M16" s="44"/>
      <c r="N16" s="40"/>
      <c r="O16" s="40" t="s">
        <v>309</v>
      </c>
      <c r="P16" s="50" t="str">
        <f t="shared" si="0"/>
        <v>30311</v>
      </c>
      <c r="Q16" s="1214" t="s">
        <v>5019</v>
      </c>
      <c r="R16" s="51"/>
      <c r="S16" s="51"/>
      <c r="T16" s="47"/>
      <c r="U16" s="47"/>
      <c r="V16" s="47"/>
      <c r="W16" s="47"/>
    </row>
    <row r="17" spans="1:25" x14ac:dyDescent="0.2">
      <c r="A17" s="1563"/>
      <c r="B17" s="1563"/>
      <c r="C17" s="1563"/>
      <c r="D17" s="1563"/>
      <c r="E17" s="44"/>
      <c r="F17" s="44"/>
      <c r="G17" s="44"/>
      <c r="H17" s="44"/>
      <c r="I17" s="45"/>
      <c r="J17" s="44"/>
      <c r="K17" s="44"/>
      <c r="L17" s="44"/>
      <c r="M17" s="44"/>
      <c r="N17" s="40"/>
      <c r="O17" s="40"/>
      <c r="P17" s="51"/>
      <c r="Q17" s="51"/>
      <c r="R17" s="51"/>
      <c r="S17" s="51"/>
      <c r="T17" s="47"/>
      <c r="U17" s="47"/>
      <c r="V17" s="47"/>
      <c r="W17" s="47"/>
    </row>
    <row r="18" spans="1:25" x14ac:dyDescent="0.2">
      <c r="A18" s="1563" t="s">
        <v>338</v>
      </c>
      <c r="B18" s="1563"/>
      <c r="C18" s="1563"/>
      <c r="D18" s="1563"/>
      <c r="E18" s="1828" t="str">
        <f>IF(LEN('Overview (Design)'!G18)=0,"",'Overview (Design)'!G18)</f>
        <v>Multifamily</v>
      </c>
      <c r="F18" s="1829"/>
      <c r="G18" s="1829"/>
      <c r="H18" s="1830"/>
      <c r="I18" s="55" t="b">
        <v>1</v>
      </c>
      <c r="J18" s="1833"/>
      <c r="K18" s="1833"/>
      <c r="L18" s="44"/>
      <c r="M18" s="44"/>
      <c r="N18" s="40" t="s">
        <v>176</v>
      </c>
      <c r="O18" s="40" t="s">
        <v>310</v>
      </c>
      <c r="P18" s="1854" t="str">
        <f>IF(LEN(IF(I18,E18,J18))=0,"",IF(I18,E18,J18))</f>
        <v>Multifamily</v>
      </c>
      <c r="Q18" s="1855" t="str">
        <f>IF(LEN(IF(J18,F18,K18))=0,"",IF(J18,F18,K18))</f>
        <v/>
      </c>
      <c r="R18" s="51"/>
      <c r="S18" s="51"/>
      <c r="T18" s="47"/>
      <c r="U18" s="47"/>
      <c r="V18" s="47"/>
      <c r="W18" s="47"/>
    </row>
    <row r="19" spans="1:25" x14ac:dyDescent="0.2">
      <c r="A19" s="1831" t="s">
        <v>155</v>
      </c>
      <c r="B19" s="1831"/>
      <c r="C19" s="1831"/>
      <c r="D19" s="1832"/>
      <c r="E19" s="1828">
        <f>IF(LEN('Overview (Design)'!G19)=0,"",'Overview (Design)'!G19)</f>
        <v>48</v>
      </c>
      <c r="F19" s="1829"/>
      <c r="G19" s="1829"/>
      <c r="H19" s="1830"/>
      <c r="I19" s="55" t="b">
        <v>1</v>
      </c>
      <c r="J19" s="663"/>
      <c r="K19"/>
      <c r="L19" s="44"/>
      <c r="M19" s="44"/>
      <c r="N19" s="40"/>
      <c r="O19" s="40" t="s">
        <v>311</v>
      </c>
      <c r="P19" s="50">
        <f>IF(LEN(IF(I19,E19,J19))=0,"",IF(I19,E19,J19))</f>
        <v>48</v>
      </c>
      <c r="Q19" s="51"/>
      <c r="R19" s="51"/>
      <c r="S19" s="51"/>
      <c r="T19" s="47"/>
      <c r="U19" s="47"/>
      <c r="V19" s="47"/>
      <c r="W19" s="47"/>
    </row>
    <row r="20" spans="1:25" customFormat="1" x14ac:dyDescent="0.2">
      <c r="A20" s="1579" t="s">
        <v>5603</v>
      </c>
      <c r="B20" s="1579"/>
      <c r="C20" s="1579"/>
      <c r="D20" s="1579"/>
      <c r="E20" s="1828" t="str">
        <f>IF(LEN('Overview (Design)'!G20)=0,"",'Overview (Design)'!G20)</f>
        <v>No</v>
      </c>
      <c r="F20" s="1829"/>
      <c r="G20" s="1829"/>
      <c r="H20" s="1830"/>
      <c r="I20" s="55" t="b">
        <v>1</v>
      </c>
      <c r="J20" s="1418"/>
      <c r="K20" s="1421"/>
      <c r="L20" s="1421"/>
      <c r="M20" s="1421"/>
      <c r="N20" s="1421" t="s">
        <v>5604</v>
      </c>
      <c r="O20" s="1415" t="s">
        <v>5606</v>
      </c>
      <c r="P20" s="1456" t="str">
        <f>IF(LEN(IF(I20,E20,J20))=0,"",IF(I20,E20,J20))</f>
        <v>No</v>
      </c>
    </row>
    <row r="21" spans="1:25" customFormat="1" x14ac:dyDescent="0.2">
      <c r="A21" s="1579"/>
      <c r="B21" s="1579"/>
      <c r="C21" s="1579"/>
      <c r="D21" s="1579"/>
      <c r="E21" s="1421"/>
      <c r="F21" s="1421"/>
      <c r="G21" s="1421"/>
      <c r="H21" s="1421"/>
    </row>
    <row r="22" spans="1:25" customFormat="1" x14ac:dyDescent="0.2">
      <c r="A22" s="1579"/>
      <c r="B22" s="1579"/>
      <c r="C22" s="1579"/>
      <c r="D22" s="1579"/>
      <c r="E22" s="1421"/>
      <c r="F22" s="1421"/>
      <c r="G22" s="1421"/>
      <c r="H22" s="1421"/>
    </row>
    <row r="23" spans="1:25" x14ac:dyDescent="0.2">
      <c r="A23" s="1831" t="s">
        <v>156</v>
      </c>
      <c r="B23" s="1831"/>
      <c r="C23" s="1831"/>
      <c r="D23" s="1832"/>
      <c r="E23" s="1828" t="str">
        <f>IF(LEN('Overview (Design)'!G23)=0,"",'Overview (Design)'!G23)</f>
        <v>Towne West Manor</v>
      </c>
      <c r="F23" s="1829"/>
      <c r="G23" s="1829"/>
      <c r="H23" s="1830"/>
      <c r="I23" s="55" t="b">
        <v>1</v>
      </c>
      <c r="J23" s="1568"/>
      <c r="K23" s="1568"/>
      <c r="L23" s="1568"/>
      <c r="M23" s="1568"/>
      <c r="N23" s="40"/>
      <c r="O23" s="40" t="s">
        <v>312</v>
      </c>
      <c r="P23" s="1827" t="str">
        <f>IF(LEN(IF(I23,E23,J23))=0,"",IF(I23,E23,J23))</f>
        <v>Towne West Manor</v>
      </c>
      <c r="Q23" s="1827" t="str">
        <f>IF(LEN(IF(J23,F23,K23))=0,"",IF(J23,F23,K23))</f>
        <v/>
      </c>
      <c r="R23" s="1827" t="str">
        <f>IF(LEN(IF(K23,G23,L23))=0,"",IF(K23,G23,L23))</f>
        <v/>
      </c>
      <c r="S23" s="1827" t="str">
        <f>IF(LEN(IF(L23,H23,M23))=0,"",IF(L23,H23,M23))</f>
        <v/>
      </c>
      <c r="T23" s="47"/>
      <c r="U23" s="47"/>
      <c r="V23" s="47"/>
      <c r="W23" s="47"/>
    </row>
    <row r="24" spans="1:25" x14ac:dyDescent="0.2">
      <c r="A24" s="1586"/>
      <c r="B24" s="1586"/>
      <c r="C24" s="1586"/>
      <c r="D24" s="1586"/>
      <c r="E24" s="44"/>
      <c r="F24" s="44"/>
      <c r="G24" s="44"/>
      <c r="H24" s="44"/>
      <c r="N24" s="40"/>
      <c r="O24" s="40"/>
      <c r="P24" s="47"/>
      <c r="Q24" s="47"/>
      <c r="R24" s="47"/>
      <c r="S24" s="47"/>
      <c r="T24" s="47"/>
      <c r="U24" s="47"/>
      <c r="V24" s="47"/>
      <c r="W24" s="47"/>
    </row>
    <row r="25" spans="1:25" ht="15" customHeight="1" x14ac:dyDescent="0.2">
      <c r="A25" s="1563" t="s">
        <v>131</v>
      </c>
      <c r="B25" s="1563"/>
      <c r="C25" s="1563"/>
      <c r="D25" s="1563"/>
      <c r="E25" s="1828">
        <f>IF(LEN('Overview (Design)'!G25)=0,"",'Overview (Design)'!G25)</f>
        <v>1184</v>
      </c>
      <c r="F25" s="1829"/>
      <c r="G25" s="1829"/>
      <c r="H25" s="1830"/>
      <c r="I25" s="55" t="b">
        <v>1</v>
      </c>
      <c r="J25" s="663"/>
      <c r="K25" s="3" t="s">
        <v>145</v>
      </c>
      <c r="L25" s="45"/>
      <c r="M25" s="45"/>
      <c r="N25" s="40"/>
      <c r="O25" s="40" t="s">
        <v>313</v>
      </c>
      <c r="P25" s="52">
        <f>IF(LEN(IF(I25,E25,J25))=0,"",IF(I25,E25,J25))</f>
        <v>1184</v>
      </c>
      <c r="Q25" s="53" t="s">
        <v>145</v>
      </c>
      <c r="R25" s="1872" t="s">
        <v>339</v>
      </c>
      <c r="S25" s="1872"/>
      <c r="T25" s="1872"/>
      <c r="U25" s="1872"/>
      <c r="V25" s="1872"/>
      <c r="W25" s="1872"/>
      <c r="X25" s="44"/>
      <c r="Y25" s="44"/>
    </row>
    <row r="26" spans="1:25" x14ac:dyDescent="0.2">
      <c r="A26" s="1563" t="s">
        <v>132</v>
      </c>
      <c r="B26" s="1563"/>
      <c r="C26" s="1563"/>
      <c r="D26" s="1563"/>
      <c r="E26" s="1828">
        <f>IF(LEN('Overview (Design)'!G26)=0,"",'Overview (Design)'!G26)</f>
        <v>20128</v>
      </c>
      <c r="F26" s="1829"/>
      <c r="G26" s="1829"/>
      <c r="H26" s="1830"/>
      <c r="I26" s="55" t="b">
        <v>1</v>
      </c>
      <c r="J26" s="663"/>
      <c r="K26" s="3" t="s">
        <v>146</v>
      </c>
      <c r="L26" s="45"/>
      <c r="M26" s="45"/>
      <c r="N26" s="40"/>
      <c r="O26" s="40" t="s">
        <v>314</v>
      </c>
      <c r="P26" s="50">
        <f>IF(LEN(IF(I26,E26,J26))=0,"",IF(I26,E26,J26))</f>
        <v>20128</v>
      </c>
      <c r="Q26" s="53" t="s">
        <v>146</v>
      </c>
      <c r="R26" s="1872"/>
      <c r="S26" s="1872"/>
      <c r="T26" s="1872"/>
      <c r="U26" s="1872"/>
      <c r="V26" s="1872"/>
      <c r="W26" s="1872"/>
    </row>
    <row r="27" spans="1:25" s="382" customFormat="1" x14ac:dyDescent="0.2">
      <c r="A27" s="1563" t="s">
        <v>2905</v>
      </c>
      <c r="B27" s="1563"/>
      <c r="C27" s="1563"/>
      <c r="D27" s="1563"/>
      <c r="E27" s="1828">
        <f>IF(LEN('Overview (Design)'!G27)=0,"",'Overview (Design)'!G27)</f>
        <v>2</v>
      </c>
      <c r="F27" s="1829"/>
      <c r="G27" s="1829"/>
      <c r="H27" s="1830"/>
      <c r="I27" s="55" t="b">
        <v>1</v>
      </c>
      <c r="J27" s="663"/>
      <c r="K27" s="3"/>
      <c r="L27" s="381"/>
      <c r="M27" s="381"/>
      <c r="N27" s="380"/>
      <c r="O27" s="432" t="s">
        <v>3033</v>
      </c>
      <c r="P27" s="400">
        <f>IF(LEN(IF(I27,E27,J27))=0,"",IF(I27,E27,J27))</f>
        <v>2</v>
      </c>
      <c r="Q27" s="53"/>
      <c r="R27" s="401"/>
      <c r="S27" s="401"/>
      <c r="T27" s="401"/>
      <c r="U27" s="401"/>
      <c r="V27" s="401"/>
      <c r="W27" s="401"/>
    </row>
    <row r="28" spans="1:25" x14ac:dyDescent="0.2">
      <c r="A28" s="1570"/>
      <c r="B28" s="1570"/>
      <c r="C28" s="1570"/>
      <c r="D28" s="1570"/>
      <c r="E28" s="44"/>
      <c r="F28" s="44"/>
      <c r="G28" s="44"/>
      <c r="H28" s="44"/>
      <c r="N28" s="40"/>
      <c r="O28" s="40"/>
      <c r="P28" s="47"/>
      <c r="Q28" s="47"/>
      <c r="R28" s="47"/>
      <c r="S28" s="47"/>
      <c r="T28" s="47"/>
      <c r="U28" s="47"/>
      <c r="V28" s="47"/>
      <c r="W28" s="47"/>
    </row>
    <row r="29" spans="1:25" s="808" customFormat="1" x14ac:dyDescent="0.2">
      <c r="A29" s="1563" t="s">
        <v>3914</v>
      </c>
      <c r="B29" s="1563"/>
      <c r="C29" s="1563"/>
      <c r="D29" s="1563"/>
      <c r="E29" s="1828">
        <f>IF(LEN('Overview (Design)'!G29)=0,"",'Overview (Design)'!G29)</f>
        <v>1969</v>
      </c>
      <c r="F29" s="1829"/>
      <c r="G29" s="1829"/>
      <c r="H29" s="1830"/>
      <c r="I29" s="55" t="b">
        <v>1</v>
      </c>
      <c r="J29" s="806"/>
      <c r="K29" s="808" t="s">
        <v>3916</v>
      </c>
      <c r="N29" s="805"/>
      <c r="O29" s="805" t="s">
        <v>3917</v>
      </c>
      <c r="P29" s="809">
        <f>IF(LEN(IF(I29,E29,J29))=0,"",IF(I29,E29,J29))</f>
        <v>1969</v>
      </c>
      <c r="Q29" s="808" t="s">
        <v>3916</v>
      </c>
      <c r="R29" s="47"/>
      <c r="S29" s="47"/>
      <c r="T29" s="47"/>
      <c r="U29" s="47"/>
      <c r="V29" s="47"/>
      <c r="W29" s="47"/>
    </row>
    <row r="30" spans="1:25" s="1168" customFormat="1" x14ac:dyDescent="0.2">
      <c r="A30" s="1563" t="s">
        <v>4971</v>
      </c>
      <c r="B30" s="1563"/>
      <c r="C30" s="1563"/>
      <c r="D30" s="1563"/>
      <c r="E30" s="1828">
        <f>IF(LEN('Overview (Design)'!G30)=0,"",'Overview (Design)'!G30)</f>
        <v>2020</v>
      </c>
      <c r="F30" s="1829"/>
      <c r="G30" s="1829"/>
      <c r="H30" s="1830"/>
      <c r="I30" s="55" t="b">
        <v>1</v>
      </c>
      <c r="J30" s="1166"/>
      <c r="K30" s="1168" t="s">
        <v>3916</v>
      </c>
      <c r="N30" s="1164"/>
      <c r="O30" s="1164" t="s">
        <v>4992</v>
      </c>
      <c r="P30" s="1176">
        <f>IF(LEN(IF(I30,E30,J30))=0,"",IF(I30,E30,J30))</f>
        <v>2020</v>
      </c>
      <c r="Q30" s="1168" t="s">
        <v>3916</v>
      </c>
      <c r="R30" s="47"/>
      <c r="S30" s="47"/>
      <c r="T30" s="47"/>
      <c r="U30" s="47"/>
      <c r="V30" s="47"/>
      <c r="W30" s="47"/>
    </row>
    <row r="31" spans="1:25" s="1168" customFormat="1" x14ac:dyDescent="0.2">
      <c r="A31" s="1563" t="s">
        <v>4972</v>
      </c>
      <c r="B31" s="1563"/>
      <c r="C31" s="1563"/>
      <c r="D31" s="1563"/>
      <c r="E31" s="1828">
        <f>IF(LEN('Overview (Design)'!G31)=0,"",'Overview (Design)'!G31)</f>
        <v>2020</v>
      </c>
      <c r="F31" s="1829"/>
      <c r="G31" s="1829"/>
      <c r="H31" s="1830"/>
      <c r="I31" s="55" t="b">
        <v>1</v>
      </c>
      <c r="J31" s="1166"/>
      <c r="K31" s="1168" t="s">
        <v>3916</v>
      </c>
      <c r="N31" s="1164"/>
      <c r="O31" s="1164" t="s">
        <v>4993</v>
      </c>
      <c r="P31" s="1176">
        <f>IF(LEN(IF(I31,E31,J31))=0,"",IF(I31,E31,J31))</f>
        <v>2020</v>
      </c>
      <c r="Q31" s="1168" t="s">
        <v>3916</v>
      </c>
      <c r="R31" s="47"/>
      <c r="S31" s="47"/>
      <c r="T31" s="47"/>
      <c r="U31" s="47"/>
      <c r="V31" s="47"/>
      <c r="W31" s="47"/>
    </row>
    <row r="32" spans="1:25" x14ac:dyDescent="0.2">
      <c r="A32" s="1563" t="s">
        <v>4976</v>
      </c>
      <c r="B32" s="1563"/>
      <c r="C32" s="1563"/>
      <c r="D32" s="1563"/>
      <c r="E32" s="1860" t="str">
        <f>IF(LEN('Overview (Design)'!G32)=0,"",'Overview (Design)'!G32)</f>
        <v>n/a</v>
      </c>
      <c r="F32" s="1861"/>
      <c r="G32" s="1861"/>
      <c r="H32" s="1862"/>
      <c r="I32" s="55" t="b">
        <v>1</v>
      </c>
      <c r="J32" s="1859"/>
      <c r="K32" s="1859"/>
      <c r="L32" s="1859"/>
      <c r="M32" s="1859"/>
      <c r="N32" s="40"/>
      <c r="O32" s="40" t="s">
        <v>315</v>
      </c>
      <c r="P32" s="1866" t="str">
        <f t="shared" ref="P32:P56" si="2">IF(LEN(IF(I32,E32,J32))=0,"",IF(I32,E32,J32))</f>
        <v>n/a</v>
      </c>
      <c r="Q32" s="1867" t="str">
        <f t="shared" ref="Q32:S33" si="3">IF(LEN(IF(J32,F32,K32))=0,"",IF(J32,F32,K32))</f>
        <v/>
      </c>
      <c r="R32" s="1867" t="str">
        <f t="shared" si="3"/>
        <v/>
      </c>
      <c r="S32" s="1868" t="str">
        <f t="shared" si="3"/>
        <v/>
      </c>
      <c r="T32" s="47"/>
      <c r="U32" s="47"/>
      <c r="V32" s="47"/>
      <c r="W32" s="47"/>
      <c r="X32" s="46"/>
      <c r="Y32" s="46"/>
    </row>
    <row r="33" spans="1:25" s="46" customFormat="1" x14ac:dyDescent="0.2">
      <c r="A33" s="1165"/>
      <c r="B33" s="1165"/>
      <c r="C33" s="1165"/>
      <c r="D33" s="1165"/>
      <c r="E33" s="1863"/>
      <c r="F33" s="1864"/>
      <c r="G33" s="1864"/>
      <c r="H33" s="1865"/>
      <c r="I33" s="60"/>
      <c r="J33" s="1859"/>
      <c r="K33" s="1859"/>
      <c r="L33" s="1859"/>
      <c r="M33" s="1859"/>
      <c r="N33" s="44"/>
      <c r="O33" s="44"/>
      <c r="P33" s="1869" t="str">
        <f t="shared" si="2"/>
        <v/>
      </c>
      <c r="Q33" s="1870" t="str">
        <f t="shared" si="3"/>
        <v/>
      </c>
      <c r="R33" s="1870" t="str">
        <f t="shared" si="3"/>
        <v/>
      </c>
      <c r="S33" s="1871" t="str">
        <f t="shared" si="3"/>
        <v/>
      </c>
      <c r="T33" s="47"/>
      <c r="U33" s="47"/>
      <c r="V33" s="47"/>
      <c r="W33" s="47"/>
    </row>
    <row r="34" spans="1:25" customFormat="1" x14ac:dyDescent="0.2">
      <c r="A34" s="1563" t="s">
        <v>4982</v>
      </c>
      <c r="B34" s="1563"/>
      <c r="C34" s="1563"/>
      <c r="D34" s="1563"/>
      <c r="E34" s="1828" t="str">
        <f>IF(LEN('Overview (Design)'!G34)=0,"",'Overview (Design)'!G34)</f>
        <v>Performance</v>
      </c>
      <c r="F34" s="1829"/>
      <c r="G34" s="1829"/>
      <c r="H34" s="1830"/>
      <c r="I34" s="55" t="b">
        <v>1</v>
      </c>
      <c r="J34" s="1833"/>
      <c r="K34" s="1833"/>
      <c r="N34" s="1164" t="s">
        <v>4986</v>
      </c>
      <c r="O34" s="1164" t="s">
        <v>4990</v>
      </c>
      <c r="P34" s="1854" t="str">
        <f>IF(LEN(IF(I34,E34,J34))=0,"",IF(I34,E34,J34))</f>
        <v>Performance</v>
      </c>
      <c r="Q34" s="1855" t="str">
        <f>IF(LEN(IF(J34,F34,K34))=0,"",IF(J34,F34,K34))</f>
        <v/>
      </c>
    </row>
    <row r="35" spans="1:25" customFormat="1" x14ac:dyDescent="0.2">
      <c r="A35" s="1563" t="s">
        <v>4983</v>
      </c>
      <c r="B35" s="1563"/>
      <c r="C35" s="1563"/>
      <c r="D35" s="1563"/>
      <c r="E35" s="1828" t="str">
        <f>IF(LEN('Overview (Design)'!G35)=0,"",'Overview (Design)'!G35)</f>
        <v>Prescriptive</v>
      </c>
      <c r="F35" s="1829"/>
      <c r="G35" s="1829"/>
      <c r="H35" s="1830"/>
      <c r="I35" s="55" t="b">
        <v>1</v>
      </c>
      <c r="J35" s="1833"/>
      <c r="K35" s="1833"/>
      <c r="N35" s="1164" t="s">
        <v>4987</v>
      </c>
      <c r="O35" s="1164" t="s">
        <v>4991</v>
      </c>
      <c r="P35" s="1854" t="str">
        <f>IF(LEN(IF(I35,E35,J35))=0,"",IF(I35,E35,J35))</f>
        <v>Prescriptive</v>
      </c>
      <c r="Q35" s="1855" t="str">
        <f>IF(LEN(IF(J35,F35,K35))=0,"",IF(J35,F35,K35))</f>
        <v/>
      </c>
    </row>
    <row r="36" spans="1:25" x14ac:dyDescent="0.2">
      <c r="A36" s="1563" t="s">
        <v>133</v>
      </c>
      <c r="B36" s="1563"/>
      <c r="C36" s="1563"/>
      <c r="D36" s="1834"/>
      <c r="E36" s="1828" t="str">
        <f>IF(LEN('Overview (Design)'!G36)=0,"",'Overview (Design)'!G36)</f>
        <v>Slab on grade</v>
      </c>
      <c r="F36" s="1829"/>
      <c r="G36" s="1829"/>
      <c r="H36" s="1830"/>
      <c r="I36" s="55" t="b">
        <v>1</v>
      </c>
      <c r="J36" s="1568"/>
      <c r="K36" s="1568"/>
      <c r="L36" s="1568"/>
      <c r="M36" s="1568"/>
      <c r="N36" s="40" t="s">
        <v>177</v>
      </c>
      <c r="O36" s="40" t="s">
        <v>316</v>
      </c>
      <c r="P36" s="1873" t="str">
        <f t="shared" si="2"/>
        <v>Slab on grade</v>
      </c>
      <c r="Q36" s="1873" t="str">
        <f>IF(LEN(IF(J36,F36,K36))=0,"",IF(J36,F36,K36))</f>
        <v/>
      </c>
      <c r="R36" s="1873" t="str">
        <f>IF(LEN(IF(K36,G36,L36))=0,"",IF(K36,G36,L36))</f>
        <v/>
      </c>
      <c r="S36" s="1873" t="str">
        <f>IF(LEN(IF(L36,H36,M36))=0,"",IF(L36,H36,M36))</f>
        <v/>
      </c>
    </row>
    <row r="37" spans="1:25" s="382" customFormat="1" x14ac:dyDescent="0.2">
      <c r="A37" s="331"/>
      <c r="B37" s="331"/>
      <c r="C37" s="331"/>
      <c r="D37" s="331"/>
      <c r="E37" s="397"/>
      <c r="F37" s="398"/>
      <c r="G37" s="398"/>
      <c r="H37" s="399"/>
      <c r="I37"/>
      <c r="J37"/>
      <c r="K37"/>
      <c r="L37"/>
      <c r="M37"/>
      <c r="N37"/>
      <c r="O37"/>
      <c r="P37"/>
      <c r="Q37"/>
      <c r="R37"/>
      <c r="S37" s="96"/>
      <c r="T37" s="1823" t="s">
        <v>344</v>
      </c>
      <c r="U37" s="1823"/>
      <c r="V37" s="1823"/>
      <c r="W37" s="1823"/>
      <c r="X37" s="1823"/>
      <c r="Y37" s="1823"/>
    </row>
    <row r="38" spans="1:25" x14ac:dyDescent="0.2">
      <c r="A38" s="1563" t="s">
        <v>2854</v>
      </c>
      <c r="B38" s="1563"/>
      <c r="C38" s="1563"/>
      <c r="D38" s="1834"/>
      <c r="E38" s="1828" t="str">
        <f>IF(LEN('Overview (Design)'!G38)=0,"",'Overview (Design)'!G38)</f>
        <v>Heat Pump</v>
      </c>
      <c r="F38" s="1829"/>
      <c r="G38" s="1829"/>
      <c r="H38" s="1830"/>
      <c r="I38" s="55" t="b">
        <v>1</v>
      </c>
      <c r="J38" s="1568"/>
      <c r="K38" s="1568"/>
      <c r="L38" s="1568"/>
      <c r="N38" s="432" t="s">
        <v>2858</v>
      </c>
      <c r="O38" s="40" t="s">
        <v>317</v>
      </c>
      <c r="P38" s="1835" t="str">
        <f t="shared" si="2"/>
        <v>Heat Pump</v>
      </c>
      <c r="Q38" s="1835" t="str">
        <f t="shared" ref="Q38:R40" si="4">IF(LEN(IF(J38,F38,K38))=0,"",IF(J38,F38,K38))</f>
        <v/>
      </c>
      <c r="R38" s="1835" t="str">
        <f t="shared" si="4"/>
        <v/>
      </c>
      <c r="S38" s="47"/>
      <c r="T38" s="1822"/>
      <c r="U38" s="1822"/>
      <c r="V38" s="1822"/>
      <c r="W38" s="1822"/>
      <c r="X38" s="1822"/>
      <c r="Y38" s="1822"/>
    </row>
    <row r="39" spans="1:25" x14ac:dyDescent="0.2">
      <c r="A39" s="1563" t="s">
        <v>2861</v>
      </c>
      <c r="B39" s="1563"/>
      <c r="C39" s="1563"/>
      <c r="D39" s="1834"/>
      <c r="E39" s="1828" t="str">
        <f>IF(LEN('Overview (Design)'!G39)=0,"",'Overview (Design)'!G39)</f>
        <v/>
      </c>
      <c r="F39" s="1829"/>
      <c r="G39" s="1829"/>
      <c r="H39" s="1830"/>
      <c r="I39" s="55" t="b">
        <v>1</v>
      </c>
      <c r="J39" s="1568"/>
      <c r="K39" s="1568"/>
      <c r="L39" s="1568"/>
      <c r="N39" s="432" t="s">
        <v>2859</v>
      </c>
      <c r="O39" s="40" t="s">
        <v>318</v>
      </c>
      <c r="P39" s="1827" t="str">
        <f t="shared" si="2"/>
        <v/>
      </c>
      <c r="Q39" s="1827" t="str">
        <f t="shared" si="4"/>
        <v/>
      </c>
      <c r="R39" s="1827" t="str">
        <f t="shared" si="4"/>
        <v/>
      </c>
      <c r="S39" s="47"/>
      <c r="T39" s="1822"/>
      <c r="U39" s="1822"/>
      <c r="V39" s="1822"/>
      <c r="W39" s="1822"/>
      <c r="X39" s="1822"/>
      <c r="Y39" s="1822"/>
    </row>
    <row r="40" spans="1:25" x14ac:dyDescent="0.2">
      <c r="A40" s="1563" t="s">
        <v>2862</v>
      </c>
      <c r="B40" s="1563"/>
      <c r="C40" s="1563"/>
      <c r="D40" s="1834"/>
      <c r="E40" s="1828" t="str">
        <f>IF(LEN('Overview (Design)'!G40)=0,"",'Overview (Design)'!G40)</f>
        <v/>
      </c>
      <c r="F40" s="1829"/>
      <c r="G40" s="1829"/>
      <c r="H40" s="1830"/>
      <c r="I40" s="55" t="b">
        <v>1</v>
      </c>
      <c r="J40" s="1568"/>
      <c r="K40" s="1568"/>
      <c r="L40" s="1568"/>
      <c r="N40" s="432" t="s">
        <v>2860</v>
      </c>
      <c r="O40" s="40" t="s">
        <v>319</v>
      </c>
      <c r="P40" s="1827" t="str">
        <f t="shared" si="2"/>
        <v/>
      </c>
      <c r="Q40" s="1827" t="str">
        <f t="shared" si="4"/>
        <v/>
      </c>
      <c r="R40" s="1827" t="str">
        <f t="shared" si="4"/>
        <v/>
      </c>
      <c r="S40" s="47"/>
      <c r="T40" s="1822"/>
      <c r="U40" s="1822"/>
      <c r="V40" s="1822"/>
      <c r="W40" s="1822"/>
      <c r="X40" s="1822"/>
      <c r="Y40" s="1822"/>
    </row>
    <row r="41" spans="1:25" x14ac:dyDescent="0.2">
      <c r="A41" s="1563" t="s">
        <v>4994</v>
      </c>
      <c r="B41" s="1563"/>
      <c r="C41" s="1563"/>
      <c r="D41" s="1834"/>
      <c r="E41" s="1828" t="str">
        <f>IF(LEN('Overview (Design)'!G41)=0,"",'Overview (Design)'!G41)</f>
        <v/>
      </c>
      <c r="F41" s="1829"/>
      <c r="G41" s="1829"/>
      <c r="H41" s="1830"/>
      <c r="I41" s="55" t="b">
        <v>1</v>
      </c>
      <c r="J41" s="1568"/>
      <c r="K41" s="1568"/>
      <c r="L41" s="1568"/>
      <c r="N41" s="432" t="s">
        <v>178</v>
      </c>
      <c r="O41" s="432" t="s">
        <v>320</v>
      </c>
      <c r="P41" s="1827" t="str">
        <f t="shared" si="2"/>
        <v/>
      </c>
      <c r="Q41" s="1827" t="str">
        <f t="shared" ref="Q41:Q46" si="5">IF(LEN(IF(J41,F41,K41))=0,"",IF(J41,F41,K41))</f>
        <v/>
      </c>
      <c r="R41" s="47"/>
      <c r="S41" s="47"/>
      <c r="T41" s="1822"/>
      <c r="U41" s="1822"/>
      <c r="V41" s="1822"/>
      <c r="W41" s="1822"/>
      <c r="X41" s="1822"/>
      <c r="Y41" s="1822"/>
    </row>
    <row r="42" spans="1:25" s="382" customFormat="1" x14ac:dyDescent="0.2">
      <c r="A42" s="1563" t="s">
        <v>2872</v>
      </c>
      <c r="B42" s="1563"/>
      <c r="C42" s="1563"/>
      <c r="D42" s="1834"/>
      <c r="E42" s="1828" t="str">
        <f>IF(LEN('Overview (Design)'!G42)=0,"",'Overview (Design)'!G42)</f>
        <v>Ducted</v>
      </c>
      <c r="F42" s="1829"/>
      <c r="G42" s="1829"/>
      <c r="H42" s="1830"/>
      <c r="I42" s="55" t="b">
        <v>1</v>
      </c>
      <c r="J42" s="1568"/>
      <c r="K42" s="1568"/>
      <c r="L42" s="1568"/>
      <c r="N42" s="432" t="s">
        <v>2873</v>
      </c>
      <c r="O42" s="432" t="s">
        <v>3034</v>
      </c>
      <c r="P42" s="1827" t="str">
        <f t="shared" ref="P42:P51" si="6">IF(LEN(IF(I42,E42,J42))=0,"",IF(I42,E42,J42))</f>
        <v>Ducted</v>
      </c>
      <c r="Q42" s="1827" t="str">
        <f t="shared" si="5"/>
        <v/>
      </c>
      <c r="R42" s="47"/>
      <c r="S42" s="47"/>
      <c r="T42" s="47"/>
      <c r="U42" s="47"/>
      <c r="V42" s="47"/>
      <c r="W42" s="47"/>
    </row>
    <row r="43" spans="1:25" s="382" customFormat="1" x14ac:dyDescent="0.2">
      <c r="A43" s="1563" t="s">
        <v>2863</v>
      </c>
      <c r="B43" s="1563"/>
      <c r="C43" s="1563"/>
      <c r="D43" s="1834"/>
      <c r="E43" s="1828" t="str">
        <f>IF(LEN('Overview (Design)'!G43)=0,"",'Overview (Design)'!G43)</f>
        <v>Heat Pump</v>
      </c>
      <c r="F43" s="1829"/>
      <c r="G43" s="1829"/>
      <c r="H43" s="1830"/>
      <c r="I43" s="55" t="b">
        <v>1</v>
      </c>
      <c r="J43" s="1568"/>
      <c r="K43" s="1568"/>
      <c r="L43" s="1568"/>
      <c r="N43" s="432" t="s">
        <v>2866</v>
      </c>
      <c r="O43" s="432" t="s">
        <v>3035</v>
      </c>
      <c r="P43" s="1827" t="str">
        <f t="shared" si="6"/>
        <v>Heat Pump</v>
      </c>
      <c r="Q43" s="1827" t="str">
        <f t="shared" si="5"/>
        <v/>
      </c>
      <c r="R43" s="47"/>
      <c r="S43" s="47"/>
      <c r="T43" s="1822"/>
      <c r="U43" s="1822"/>
      <c r="V43" s="1822"/>
      <c r="W43" s="1822"/>
      <c r="X43" s="1822"/>
      <c r="Y43" s="1822"/>
    </row>
    <row r="44" spans="1:25" s="382" customFormat="1" x14ac:dyDescent="0.2">
      <c r="A44" s="1563" t="s">
        <v>2864</v>
      </c>
      <c r="B44" s="1563"/>
      <c r="C44" s="1563"/>
      <c r="D44" s="1834"/>
      <c r="E44" s="1828" t="str">
        <f>IF(LEN('Overview (Design)'!G44)=0,"",'Overview (Design)'!G44)</f>
        <v/>
      </c>
      <c r="F44" s="1829"/>
      <c r="G44" s="1829"/>
      <c r="H44" s="1830"/>
      <c r="I44" s="55" t="b">
        <v>1</v>
      </c>
      <c r="J44" s="1568"/>
      <c r="K44" s="1568"/>
      <c r="L44" s="1568"/>
      <c r="N44" s="432" t="s">
        <v>2868</v>
      </c>
      <c r="O44" s="432" t="s">
        <v>3036</v>
      </c>
      <c r="P44" s="1827" t="str">
        <f t="shared" si="6"/>
        <v/>
      </c>
      <c r="Q44" s="1827" t="str">
        <f t="shared" si="5"/>
        <v/>
      </c>
      <c r="R44" s="47"/>
      <c r="S44" s="47"/>
      <c r="T44" s="1822"/>
      <c r="U44" s="1822"/>
      <c r="V44" s="1822"/>
      <c r="W44" s="1822"/>
      <c r="X44" s="1822"/>
      <c r="Y44" s="1822"/>
    </row>
    <row r="45" spans="1:25" s="382" customFormat="1" x14ac:dyDescent="0.2">
      <c r="A45" s="1563" t="s">
        <v>2865</v>
      </c>
      <c r="B45" s="1563"/>
      <c r="C45" s="1563"/>
      <c r="D45" s="1834"/>
      <c r="E45" s="1828" t="str">
        <f>IF(LEN('Overview (Design)'!G45)=0,"",'Overview (Design)'!G45)</f>
        <v/>
      </c>
      <c r="F45" s="1829"/>
      <c r="G45" s="1829"/>
      <c r="H45" s="1830"/>
      <c r="I45" s="55" t="b">
        <v>1</v>
      </c>
      <c r="J45" s="1568"/>
      <c r="K45" s="1568"/>
      <c r="L45" s="1568"/>
      <c r="N45" s="432" t="s">
        <v>2870</v>
      </c>
      <c r="O45" s="432" t="s">
        <v>3037</v>
      </c>
      <c r="P45" s="1827" t="str">
        <f t="shared" si="6"/>
        <v/>
      </c>
      <c r="Q45" s="1827" t="str">
        <f t="shared" si="5"/>
        <v/>
      </c>
      <c r="R45" s="47"/>
      <c r="S45" s="47"/>
      <c r="T45" s="1822"/>
      <c r="U45" s="1822"/>
      <c r="V45" s="1822"/>
      <c r="W45" s="1822"/>
      <c r="X45" s="1822"/>
      <c r="Y45" s="1822"/>
    </row>
    <row r="46" spans="1:25" s="382" customFormat="1" x14ac:dyDescent="0.2">
      <c r="A46" s="1563" t="s">
        <v>2875</v>
      </c>
      <c r="B46" s="1563"/>
      <c r="C46" s="1563"/>
      <c r="D46" s="1834"/>
      <c r="E46" s="1828" t="str">
        <f>IF(LEN('Overview (Design)'!G46)=0,"",'Overview (Design)'!G46)</f>
        <v>Ducted</v>
      </c>
      <c r="F46" s="1829"/>
      <c r="G46" s="1829"/>
      <c r="H46" s="1830"/>
      <c r="I46" s="55" t="b">
        <v>1</v>
      </c>
      <c r="J46" s="1568"/>
      <c r="K46" s="1568"/>
      <c r="L46"/>
      <c r="N46" s="432" t="s">
        <v>2876</v>
      </c>
      <c r="O46" s="432" t="s">
        <v>3038</v>
      </c>
      <c r="P46" s="1827" t="str">
        <f t="shared" si="6"/>
        <v>Ducted</v>
      </c>
      <c r="Q46" s="1827" t="str">
        <f t="shared" si="5"/>
        <v/>
      </c>
      <c r="R46" s="47"/>
      <c r="S46" s="47"/>
      <c r="T46" s="47"/>
      <c r="U46" s="47"/>
      <c r="V46" s="47"/>
      <c r="W46" s="47"/>
    </row>
    <row r="47" spans="1:25" customFormat="1" x14ac:dyDescent="0.2">
      <c r="A47" s="331"/>
      <c r="B47" s="331"/>
      <c r="C47" s="331"/>
      <c r="D47" s="331"/>
      <c r="O47" s="434"/>
    </row>
    <row r="48" spans="1:25" s="382" customFormat="1" x14ac:dyDescent="0.2">
      <c r="A48" s="1563" t="s">
        <v>2910</v>
      </c>
      <c r="B48" s="1563"/>
      <c r="C48" s="1563"/>
      <c r="D48" s="1834"/>
      <c r="E48" s="1828">
        <f>IF(LEN('Overview (Design)'!G48)=0,"",'Overview (Design)'!G48)</f>
        <v>0.22</v>
      </c>
      <c r="F48" s="1829"/>
      <c r="G48" s="1829"/>
      <c r="H48" s="1830"/>
      <c r="I48" s="55" t="b">
        <v>1</v>
      </c>
      <c r="J48" s="663"/>
      <c r="K48"/>
      <c r="N48" s="434"/>
      <c r="O48" s="328" t="s">
        <v>3039</v>
      </c>
      <c r="P48" s="435">
        <f t="shared" si="6"/>
        <v>0.22</v>
      </c>
      <c r="Q48"/>
      <c r="R48" s="47"/>
      <c r="S48" s="47"/>
      <c r="T48" s="47"/>
      <c r="U48" s="47"/>
      <c r="V48" s="47"/>
      <c r="W48" s="47"/>
    </row>
    <row r="49" spans="1:25" s="382" customFormat="1" x14ac:dyDescent="0.2">
      <c r="A49" s="1563" t="s">
        <v>2906</v>
      </c>
      <c r="B49" s="1563"/>
      <c r="C49" s="1563"/>
      <c r="D49" s="1834"/>
      <c r="E49" s="1828" t="str">
        <f>IF(LEN('Overview (Design)'!G49)=0,"",'Overview (Design)'!G49)</f>
        <v/>
      </c>
      <c r="F49" s="1829"/>
      <c r="G49" s="1829"/>
      <c r="H49" s="1830"/>
      <c r="I49" s="55" t="b">
        <v>1</v>
      </c>
      <c r="J49" s="663"/>
      <c r="K49"/>
      <c r="N49" s="434"/>
      <c r="O49" s="328" t="s">
        <v>3040</v>
      </c>
      <c r="P49" s="435" t="str">
        <f t="shared" si="6"/>
        <v/>
      </c>
      <c r="Q49"/>
      <c r="R49" s="47"/>
      <c r="S49" s="47"/>
      <c r="T49" s="47"/>
      <c r="U49" s="47"/>
      <c r="V49" s="47"/>
      <c r="W49" s="47"/>
    </row>
    <row r="50" spans="1:25" s="382" customFormat="1" x14ac:dyDescent="0.2">
      <c r="A50" s="1563" t="s">
        <v>2911</v>
      </c>
      <c r="B50" s="1563"/>
      <c r="C50" s="1563"/>
      <c r="D50" s="1834"/>
      <c r="E50" s="1828">
        <f>IF(LEN('Overview (Design)'!G50)=0,"",'Overview (Design)'!G50)</f>
        <v>0.28999999999999998</v>
      </c>
      <c r="F50" s="1829"/>
      <c r="G50" s="1829"/>
      <c r="H50" s="1830"/>
      <c r="I50" s="55" t="b">
        <v>1</v>
      </c>
      <c r="J50" s="663"/>
      <c r="K50"/>
      <c r="N50" s="434"/>
      <c r="O50" s="328" t="s">
        <v>3041</v>
      </c>
      <c r="P50" s="435">
        <f t="shared" si="6"/>
        <v>0.28999999999999998</v>
      </c>
      <c r="Q50"/>
      <c r="R50" s="47"/>
      <c r="S50" s="47"/>
      <c r="T50" s="47"/>
      <c r="U50" s="47"/>
      <c r="V50" s="47"/>
      <c r="W50" s="47"/>
    </row>
    <row r="51" spans="1:25" s="382" customFormat="1" x14ac:dyDescent="0.2">
      <c r="A51" s="1563" t="s">
        <v>2907</v>
      </c>
      <c r="B51" s="1563"/>
      <c r="C51" s="1563"/>
      <c r="D51" s="1834"/>
      <c r="E51" s="1828" t="str">
        <f>IF(LEN('Overview (Design)'!G51)=0,"",'Overview (Design)'!G51)</f>
        <v/>
      </c>
      <c r="F51" s="1829"/>
      <c r="G51" s="1829"/>
      <c r="H51" s="1830"/>
      <c r="I51" s="55" t="b">
        <v>1</v>
      </c>
      <c r="J51" s="663"/>
      <c r="K51"/>
      <c r="N51" s="434"/>
      <c r="O51" s="328" t="s">
        <v>3042</v>
      </c>
      <c r="P51" s="435" t="str">
        <f t="shared" si="6"/>
        <v/>
      </c>
      <c r="Q51"/>
      <c r="R51" s="47"/>
      <c r="S51" s="47"/>
      <c r="T51" s="1823" t="s">
        <v>344</v>
      </c>
      <c r="U51" s="1823"/>
      <c r="V51" s="1823"/>
      <c r="W51" s="1823"/>
      <c r="X51" s="1823"/>
      <c r="Y51" s="1823"/>
    </row>
    <row r="52" spans="1:25" x14ac:dyDescent="0.2">
      <c r="A52" s="1563" t="s">
        <v>134</v>
      </c>
      <c r="B52" s="1563"/>
      <c r="C52" s="1563"/>
      <c r="D52" s="1563"/>
      <c r="E52" s="1828" t="str">
        <f>IF(LEN('Overview (Design)'!G52)=0,"",'Overview (Design)'!G52)</f>
        <v/>
      </c>
      <c r="F52" s="1829"/>
      <c r="G52" s="1829"/>
      <c r="H52" s="1830"/>
      <c r="I52" s="55" t="b">
        <v>1</v>
      </c>
      <c r="J52" s="1568"/>
      <c r="K52" s="1568"/>
      <c r="N52" s="432" t="s">
        <v>179</v>
      </c>
      <c r="O52" s="40" t="s">
        <v>321</v>
      </c>
      <c r="P52" s="1827" t="str">
        <f t="shared" si="2"/>
        <v/>
      </c>
      <c r="Q52" s="1827" t="str">
        <f>IF(LEN(IF(J52,F52,K52))=0,"",IF(J52,F52,K52))</f>
        <v/>
      </c>
      <c r="R52" s="47"/>
      <c r="S52" s="47"/>
      <c r="T52" s="1822"/>
      <c r="U52" s="1822"/>
      <c r="V52" s="1822"/>
      <c r="W52" s="1822"/>
      <c r="X52" s="1822"/>
      <c r="Y52" s="1822"/>
    </row>
    <row r="53" spans="1:25" x14ac:dyDescent="0.2">
      <c r="A53" s="1563" t="s">
        <v>135</v>
      </c>
      <c r="B53" s="1563"/>
      <c r="C53" s="1563"/>
      <c r="D53" s="1563"/>
      <c r="E53" s="1828" t="str">
        <f>IF(LEN('Overview (Design)'!G53)=0,"",'Overview (Design)'!G53)</f>
        <v/>
      </c>
      <c r="F53" s="1829"/>
      <c r="G53" s="1829"/>
      <c r="H53" s="1830"/>
      <c r="I53" s="55" t="b">
        <v>1</v>
      </c>
      <c r="J53" s="1568"/>
      <c r="K53" s="1568"/>
      <c r="L53" s="1568"/>
      <c r="N53" s="432" t="s">
        <v>180</v>
      </c>
      <c r="O53" s="40" t="s">
        <v>322</v>
      </c>
      <c r="P53" s="1827" t="str">
        <f t="shared" si="2"/>
        <v/>
      </c>
      <c r="Q53" s="1827" t="str">
        <f>IF(LEN(IF(J53,F53,K53))=0,"",IF(J53,F53,K53))</f>
        <v/>
      </c>
      <c r="R53" s="1827" t="str">
        <f>IF(LEN(IF(K53,G53,L53))=0,"",IF(K53,G53,L53))</f>
        <v/>
      </c>
      <c r="S53" s="47"/>
      <c r="T53" s="1822"/>
      <c r="U53" s="1822"/>
      <c r="V53" s="1822"/>
      <c r="W53" s="1822"/>
      <c r="X53" s="1822"/>
      <c r="Y53" s="1822"/>
    </row>
    <row r="54" spans="1:25" x14ac:dyDescent="0.2">
      <c r="A54" s="1563" t="s">
        <v>136</v>
      </c>
      <c r="B54" s="1563"/>
      <c r="C54" s="1563"/>
      <c r="D54" s="1563"/>
      <c r="E54" s="1828" t="str">
        <f>IF(LEN('Overview (Design)'!G54)=0,"",'Overview (Design)'!G54)</f>
        <v>Vented</v>
      </c>
      <c r="F54" s="1829"/>
      <c r="G54" s="1829"/>
      <c r="H54" s="1830"/>
      <c r="I54" s="55" t="b">
        <v>1</v>
      </c>
      <c r="J54" s="1568"/>
      <c r="K54" s="1568"/>
      <c r="N54" s="432" t="s">
        <v>181</v>
      </c>
      <c r="O54" s="40" t="s">
        <v>323</v>
      </c>
      <c r="P54" s="1835" t="str">
        <f t="shared" si="2"/>
        <v>Vented</v>
      </c>
      <c r="Q54" s="1835" t="str">
        <f>IF(LEN(IF(J54,F54,K54))=0,"",IF(J54,F54,K54))</f>
        <v/>
      </c>
      <c r="R54" s="47"/>
      <c r="S54" s="47"/>
      <c r="T54" s="1822"/>
      <c r="U54" s="1822"/>
      <c r="V54" s="1822"/>
      <c r="W54" s="1822"/>
      <c r="X54" s="1822"/>
      <c r="Y54" s="1822"/>
    </row>
    <row r="55" spans="1:25" x14ac:dyDescent="0.2">
      <c r="A55" s="1563" t="s">
        <v>137</v>
      </c>
      <c r="B55" s="1563"/>
      <c r="C55" s="1563"/>
      <c r="D55" s="1563"/>
      <c r="E55" s="1828" t="str">
        <f>IF(LEN('Overview (Design)'!G55)=0,"",'Overview (Design)'!G55)</f>
        <v>No</v>
      </c>
      <c r="F55" s="1829"/>
      <c r="G55" s="1829"/>
      <c r="H55" s="1830"/>
      <c r="I55" s="55" t="b">
        <v>1</v>
      </c>
      <c r="J55" s="663"/>
      <c r="N55" s="432" t="s">
        <v>182</v>
      </c>
      <c r="O55" s="40" t="s">
        <v>324</v>
      </c>
      <c r="P55" s="50" t="str">
        <f t="shared" si="2"/>
        <v>No</v>
      </c>
      <c r="Q55" s="47"/>
      <c r="R55" s="47"/>
      <c r="S55" s="47"/>
      <c r="T55" s="47"/>
      <c r="U55" s="47"/>
      <c r="V55" s="47"/>
      <c r="W55" s="47"/>
    </row>
    <row r="56" spans="1:25" x14ac:dyDescent="0.2">
      <c r="A56" s="1563" t="s">
        <v>138</v>
      </c>
      <c r="B56" s="1563"/>
      <c r="C56" s="1563"/>
      <c r="D56" s="1563"/>
      <c r="E56" s="1828" t="str">
        <f>IF(LEN('Overview (Design)'!G56)=0,"",'Overview (Design)'!G56)</f>
        <v/>
      </c>
      <c r="F56" s="1829"/>
      <c r="G56" s="1829"/>
      <c r="H56" s="1830"/>
      <c r="I56" s="55" t="b">
        <v>1</v>
      </c>
      <c r="J56" s="663"/>
      <c r="N56" s="432" t="s">
        <v>183</v>
      </c>
      <c r="O56" s="40" t="s">
        <v>325</v>
      </c>
      <c r="P56" s="50" t="str">
        <f t="shared" si="2"/>
        <v/>
      </c>
      <c r="Q56" s="47"/>
      <c r="R56" s="47"/>
      <c r="S56" s="47"/>
      <c r="T56" s="47"/>
      <c r="U56" s="47"/>
      <c r="V56" s="47"/>
      <c r="W56" s="47"/>
    </row>
    <row r="57" spans="1:25" x14ac:dyDescent="0.2">
      <c r="A57" s="1586"/>
      <c r="B57" s="1586"/>
      <c r="C57" s="1586"/>
      <c r="D57" s="1586"/>
      <c r="E57" s="44"/>
      <c r="F57" s="44"/>
      <c r="G57" s="44"/>
      <c r="H57" s="44"/>
      <c r="J57" s="44"/>
      <c r="N57" s="432"/>
      <c r="O57" s="40"/>
      <c r="P57" s="51"/>
      <c r="Q57" s="47"/>
      <c r="R57" s="47"/>
      <c r="S57" s="47"/>
      <c r="T57" s="47"/>
      <c r="U57" s="47"/>
      <c r="V57" s="47"/>
      <c r="W57" s="47"/>
    </row>
    <row r="58" spans="1:25" x14ac:dyDescent="0.2">
      <c r="A58" s="1563" t="s">
        <v>139</v>
      </c>
      <c r="B58" s="1563"/>
      <c r="C58" s="1563"/>
      <c r="D58" s="516"/>
      <c r="E58" s="44"/>
      <c r="F58" s="44"/>
      <c r="G58" s="44"/>
      <c r="H58" s="44"/>
      <c r="I58" s="8"/>
      <c r="J58" s="44"/>
      <c r="N58" s="432"/>
      <c r="O58" s="40"/>
      <c r="P58" s="51"/>
      <c r="Q58" s="47"/>
      <c r="R58" s="47"/>
      <c r="S58" s="47"/>
      <c r="T58" s="47"/>
      <c r="U58" s="47"/>
      <c r="V58" s="47"/>
      <c r="W58" s="47"/>
    </row>
    <row r="59" spans="1:25" x14ac:dyDescent="0.2">
      <c r="A59" s="1563" t="s">
        <v>140</v>
      </c>
      <c r="B59" s="1563"/>
      <c r="C59" s="1563"/>
      <c r="D59" s="1563"/>
      <c r="E59" s="1828" t="str">
        <f>IF(LEN('Overview (Design)'!G59)=0,"",'Overview (Design)'!G59)</f>
        <v/>
      </c>
      <c r="F59" s="1829"/>
      <c r="G59" s="1829"/>
      <c r="H59" s="1830"/>
      <c r="I59" s="55" t="b">
        <v>1</v>
      </c>
      <c r="J59" s="665"/>
      <c r="N59" s="432" t="s">
        <v>184</v>
      </c>
      <c r="O59" s="40" t="s">
        <v>326</v>
      </c>
      <c r="P59" s="54" t="str">
        <f t="shared" ref="P59:P63" si="7">IF(LEN(IF(I59,E59,J59))=0,"",IF(I59,E59,J59))</f>
        <v/>
      </c>
      <c r="Q59" s="47"/>
      <c r="R59" s="47"/>
      <c r="S59" s="47"/>
      <c r="T59" s="47"/>
      <c r="U59" s="47"/>
      <c r="V59" s="47"/>
      <c r="W59" s="47"/>
    </row>
    <row r="60" spans="1:25" x14ac:dyDescent="0.2">
      <c r="A60" s="1563" t="s">
        <v>141</v>
      </c>
      <c r="B60" s="1563"/>
      <c r="C60" s="1563"/>
      <c r="D60" s="1563"/>
      <c r="E60" s="1828" t="str">
        <f>IF(LEN('Overview (Design)'!G60)=0,"",'Overview (Design)'!G60)</f>
        <v/>
      </c>
      <c r="F60" s="1829"/>
      <c r="G60" s="1829"/>
      <c r="H60" s="1830"/>
      <c r="I60" s="55" t="b">
        <v>1</v>
      </c>
      <c r="J60" s="663"/>
      <c r="N60" s="432" t="s">
        <v>185</v>
      </c>
      <c r="O60" s="40" t="s">
        <v>327</v>
      </c>
      <c r="P60" s="50" t="str">
        <f t="shared" si="7"/>
        <v/>
      </c>
      <c r="Q60" s="47"/>
      <c r="R60" s="47"/>
      <c r="S60" s="47"/>
      <c r="T60" s="47"/>
      <c r="U60" s="47"/>
      <c r="V60" s="47"/>
      <c r="W60" s="47"/>
    </row>
    <row r="61" spans="1:25" x14ac:dyDescent="0.2">
      <c r="A61" s="1563" t="s">
        <v>142</v>
      </c>
      <c r="B61" s="1563"/>
      <c r="C61" s="1563"/>
      <c r="D61" s="1563"/>
      <c r="E61" s="1828" t="str">
        <f>IF(LEN('Overview (Design)'!G61)=0,"",'Overview (Design)'!G61)</f>
        <v/>
      </c>
      <c r="F61" s="1829"/>
      <c r="G61" s="1829"/>
      <c r="H61" s="1830"/>
      <c r="I61" s="55" t="b">
        <v>1</v>
      </c>
      <c r="J61" s="663"/>
      <c r="N61" s="432" t="s">
        <v>186</v>
      </c>
      <c r="O61" s="40" t="s">
        <v>328</v>
      </c>
      <c r="P61" s="50" t="str">
        <f t="shared" si="7"/>
        <v/>
      </c>
      <c r="Q61" s="47"/>
      <c r="R61" s="47"/>
      <c r="S61" s="47"/>
      <c r="T61" s="47"/>
      <c r="U61" s="47"/>
      <c r="V61" s="47"/>
      <c r="W61" s="47"/>
    </row>
    <row r="62" spans="1:25" x14ac:dyDescent="0.2">
      <c r="A62" s="1569" t="s">
        <v>235</v>
      </c>
      <c r="B62" s="1569"/>
      <c r="C62" s="1569"/>
      <c r="D62" s="1569"/>
      <c r="E62" s="1828" t="str">
        <f>IF(LEN('Overview (Design)'!G62)=0,"",'Overview (Design)'!G62)</f>
        <v/>
      </c>
      <c r="F62" s="1829"/>
      <c r="G62" s="1829"/>
      <c r="H62" s="1830"/>
      <c r="I62" s="55" t="b">
        <v>1</v>
      </c>
      <c r="J62" s="663"/>
      <c r="N62" s="432" t="s">
        <v>239</v>
      </c>
      <c r="O62" s="40" t="s">
        <v>329</v>
      </c>
      <c r="P62" s="50" t="str">
        <f t="shared" si="7"/>
        <v/>
      </c>
      <c r="Q62" s="47"/>
      <c r="R62" s="47"/>
      <c r="S62" s="47"/>
      <c r="T62" s="47"/>
      <c r="U62" s="47"/>
      <c r="V62" s="47"/>
      <c r="W62" s="47"/>
    </row>
    <row r="63" spans="1:25" ht="14.5" customHeight="1" x14ac:dyDescent="0.2">
      <c r="A63" s="1571" t="s">
        <v>236</v>
      </c>
      <c r="B63" s="1571"/>
      <c r="C63" s="1571"/>
      <c r="D63" s="1571"/>
      <c r="E63" s="1828" t="str">
        <f>IF(LEN('Overview (Design)'!G63)=0,"",'Overview (Design)'!G63)</f>
        <v/>
      </c>
      <c r="F63" s="1829"/>
      <c r="G63" s="1829"/>
      <c r="H63" s="1830"/>
      <c r="I63" s="55" t="b">
        <v>1</v>
      </c>
      <c r="J63" s="663"/>
      <c r="N63" s="432" t="s">
        <v>240</v>
      </c>
      <c r="O63" s="40" t="s">
        <v>330</v>
      </c>
      <c r="P63" s="50" t="str">
        <f t="shared" si="7"/>
        <v/>
      </c>
      <c r="Q63" s="47"/>
      <c r="R63" s="47"/>
      <c r="S63" s="47"/>
      <c r="T63" s="47"/>
      <c r="U63" s="47"/>
      <c r="V63" s="47"/>
      <c r="W63" s="47"/>
    </row>
    <row r="64" spans="1:25" x14ac:dyDescent="0.2">
      <c r="A64" s="1570"/>
      <c r="B64" s="1570"/>
      <c r="C64" s="1570"/>
      <c r="D64" s="1570"/>
      <c r="E64" s="44"/>
      <c r="F64" s="44"/>
      <c r="G64" s="44"/>
      <c r="H64" s="44"/>
      <c r="J64" s="44"/>
      <c r="N64" s="432"/>
      <c r="O64" s="40"/>
      <c r="P64" s="51"/>
      <c r="Q64" s="47"/>
      <c r="R64" s="47"/>
      <c r="S64" s="47"/>
      <c r="T64" s="1823" t="s">
        <v>344</v>
      </c>
      <c r="U64" s="1823"/>
      <c r="V64" s="1823"/>
      <c r="W64" s="1823"/>
      <c r="X64" s="1823"/>
      <c r="Y64" s="1823"/>
    </row>
    <row r="65" spans="1:25" x14ac:dyDescent="0.2">
      <c r="A65" s="1563" t="s">
        <v>143</v>
      </c>
      <c r="B65" s="1563"/>
      <c r="C65" s="1563"/>
      <c r="D65" s="1563"/>
      <c r="E65" s="1828" t="str">
        <f>IF(LEN('Overview (Design)'!G65)=0,"",'Overview (Design)'!G65)</f>
        <v>2015 IECC</v>
      </c>
      <c r="F65" s="1829"/>
      <c r="G65" s="1829"/>
      <c r="H65" s="1830"/>
      <c r="I65" s="55" t="b">
        <v>1</v>
      </c>
      <c r="J65" s="1568"/>
      <c r="K65" s="1568"/>
      <c r="N65" s="432" t="s">
        <v>187</v>
      </c>
      <c r="O65" s="40" t="s">
        <v>331</v>
      </c>
      <c r="P65" s="1827" t="str">
        <f>IF(LEN(IF(I65,E65,J65))=0,"",IF(I65,E65,J65))</f>
        <v>2015 IECC</v>
      </c>
      <c r="Q65" s="1827" t="str">
        <f>IF(LEN(IF(J65,F65,K65))=0,"",IF(J65,F65,K65))</f>
        <v/>
      </c>
      <c r="R65" s="47"/>
      <c r="S65" s="47"/>
      <c r="T65" s="1822"/>
      <c r="U65" s="1822"/>
      <c r="V65" s="1822"/>
      <c r="W65" s="1822"/>
      <c r="X65" s="1822"/>
      <c r="Y65" s="1822"/>
    </row>
    <row r="66" spans="1:25" x14ac:dyDescent="0.2">
      <c r="A66" s="1563" t="s">
        <v>144</v>
      </c>
      <c r="B66" s="1563"/>
      <c r="C66" s="1563"/>
      <c r="D66" s="1563"/>
      <c r="E66" s="1828" t="str">
        <f>IF(LEN('Overview (Design)'!G66)=0,"",'Overview (Design)'!G66)</f>
        <v>2018 IBC</v>
      </c>
      <c r="F66" s="1829"/>
      <c r="G66" s="1829"/>
      <c r="H66" s="1830"/>
      <c r="I66" s="55" t="b">
        <v>1</v>
      </c>
      <c r="J66" s="1568"/>
      <c r="K66" s="1568"/>
      <c r="N66" s="1222" t="str">
        <f>IF($P$18=INDEX(ddSingleOrMulti,2),"ddBuildingCodeMF","ddBuildingCode")</f>
        <v>ddBuildingCodeMF</v>
      </c>
      <c r="O66" s="40" t="s">
        <v>332</v>
      </c>
      <c r="P66" s="1827" t="str">
        <f>IF(LEN(IF(I66,E66,J66))=0,"",IF(I66,E66,J66))</f>
        <v>2018 IBC</v>
      </c>
      <c r="Q66" s="1827" t="str">
        <f>IF(LEN(IF(J66,F66,K66))=0,"",IF(J66,F66,K66))</f>
        <v/>
      </c>
      <c r="R66" s="47"/>
      <c r="S66" s="47"/>
      <c r="T66" s="1822"/>
      <c r="U66" s="1822"/>
      <c r="V66" s="1822"/>
      <c r="W66" s="1822"/>
      <c r="X66" s="1822"/>
      <c r="Y66" s="1822"/>
    </row>
    <row r="67" spans="1:25" s="512" customFormat="1" x14ac:dyDescent="0.2">
      <c r="A67" s="515"/>
      <c r="B67" s="515"/>
      <c r="C67" s="515"/>
      <c r="D67" s="515"/>
      <c r="E67" s="470"/>
      <c r="F67" s="470"/>
      <c r="G67" s="470"/>
      <c r="H67" s="470"/>
      <c r="I67"/>
      <c r="J67"/>
      <c r="K67"/>
      <c r="L67"/>
      <c r="M67"/>
      <c r="N67"/>
      <c r="O67"/>
      <c r="P67"/>
      <c r="Q67"/>
      <c r="R67" s="47"/>
      <c r="S67" s="47"/>
      <c r="T67" s="47"/>
      <c r="U67" s="47"/>
      <c r="V67" s="47"/>
      <c r="W67" s="47"/>
    </row>
    <row r="68" spans="1:25" ht="19" x14ac:dyDescent="0.25">
      <c r="A68" s="15"/>
      <c r="B68" s="15"/>
      <c r="C68" s="15"/>
      <c r="D68" s="15"/>
      <c r="E68" s="15"/>
      <c r="F68" s="15"/>
      <c r="G68" s="15"/>
      <c r="H68" s="15"/>
      <c r="I68" s="15"/>
      <c r="J68" s="15"/>
      <c r="K68" s="15"/>
      <c r="L68" s="15"/>
      <c r="M68" s="15"/>
      <c r="N68" s="15"/>
      <c r="O68" s="15"/>
      <c r="P68" s="15"/>
      <c r="Q68" s="15"/>
      <c r="R68" s="15"/>
      <c r="S68" s="15"/>
      <c r="T68" s="15"/>
      <c r="U68" s="15"/>
      <c r="V68" s="15"/>
      <c r="W68" s="15"/>
      <c r="X68" s="15"/>
      <c r="Y68" s="15"/>
    </row>
  </sheetData>
  <sheetProtection algorithmName="SHA-512" hashValue="gp1txGty5KKUuzJNDeG4ezpXLPiBDsLd4Tfs8IpRtTjlBOLLQXkPVV9dLYuB/fXxPDy8DaJsWbh50Kuxq3PDiw==" saltValue="vfAwUxKfOe9Nj+v5uIbJEQ==" spinCount="100000" sheet="1" objects="1" scenarios="1" selectLockedCells="1"/>
  <mergeCells count="176">
    <mergeCell ref="J39:L39"/>
    <mergeCell ref="R25:W26"/>
    <mergeCell ref="T38:Y38"/>
    <mergeCell ref="P36:S36"/>
    <mergeCell ref="P38:R38"/>
    <mergeCell ref="P34:Q34"/>
    <mergeCell ref="P35:Q35"/>
    <mergeCell ref="T37:Y37"/>
    <mergeCell ref="T39:Y39"/>
    <mergeCell ref="A29:D29"/>
    <mergeCell ref="E29:H29"/>
    <mergeCell ref="A27:D27"/>
    <mergeCell ref="E27:H27"/>
    <mergeCell ref="E42:H42"/>
    <mergeCell ref="E43:H43"/>
    <mergeCell ref="E44:H44"/>
    <mergeCell ref="E45:H45"/>
    <mergeCell ref="E46:H46"/>
    <mergeCell ref="E39:H39"/>
    <mergeCell ref="A28:D28"/>
    <mergeCell ref="A32:D32"/>
    <mergeCell ref="A36:D36"/>
    <mergeCell ref="A38:D38"/>
    <mergeCell ref="A41:D41"/>
    <mergeCell ref="A30:D30"/>
    <mergeCell ref="A31:D31"/>
    <mergeCell ref="A34:D34"/>
    <mergeCell ref="A35:D35"/>
    <mergeCell ref="E36:H36"/>
    <mergeCell ref="A42:D42"/>
    <mergeCell ref="A43:D43"/>
    <mergeCell ref="A45:D45"/>
    <mergeCell ref="A46:D46"/>
    <mergeCell ref="E6:H6"/>
    <mergeCell ref="J6:M6"/>
    <mergeCell ref="J10:M10"/>
    <mergeCell ref="J11:M11"/>
    <mergeCell ref="P13:S13"/>
    <mergeCell ref="E11:H11"/>
    <mergeCell ref="E38:H38"/>
    <mergeCell ref="E12:H12"/>
    <mergeCell ref="E13:H13"/>
    <mergeCell ref="J32:M33"/>
    <mergeCell ref="J36:M36"/>
    <mergeCell ref="J38:L38"/>
    <mergeCell ref="E26:H26"/>
    <mergeCell ref="E25:H25"/>
    <mergeCell ref="J34:K34"/>
    <mergeCell ref="J35:K35"/>
    <mergeCell ref="E30:H30"/>
    <mergeCell ref="E31:H31"/>
    <mergeCell ref="E34:H34"/>
    <mergeCell ref="E35:H35"/>
    <mergeCell ref="E32:H33"/>
    <mergeCell ref="J15:M15"/>
    <mergeCell ref="P32:S33"/>
    <mergeCell ref="E20:H20"/>
    <mergeCell ref="A10:D10"/>
    <mergeCell ref="P10:S10"/>
    <mergeCell ref="E10:H10"/>
    <mergeCell ref="A24:D24"/>
    <mergeCell ref="A14:D14"/>
    <mergeCell ref="P14:S14"/>
    <mergeCell ref="A15:D15"/>
    <mergeCell ref="P15:S15"/>
    <mergeCell ref="A16:D16"/>
    <mergeCell ref="A17:D17"/>
    <mergeCell ref="E14:H14"/>
    <mergeCell ref="E15:H15"/>
    <mergeCell ref="E16:H16"/>
    <mergeCell ref="A18:D18"/>
    <mergeCell ref="P18:Q18"/>
    <mergeCell ref="J12:M12"/>
    <mergeCell ref="J13:M13"/>
    <mergeCell ref="J14:M14"/>
    <mergeCell ref="A11:D11"/>
    <mergeCell ref="P11:S11"/>
    <mergeCell ref="A12:D12"/>
    <mergeCell ref="P12:S12"/>
    <mergeCell ref="A13:D13"/>
    <mergeCell ref="A20:D22"/>
    <mergeCell ref="A59:D59"/>
    <mergeCell ref="A60:D60"/>
    <mergeCell ref="E55:H55"/>
    <mergeCell ref="E56:H56"/>
    <mergeCell ref="E59:H59"/>
    <mergeCell ref="E60:H60"/>
    <mergeCell ref="J52:K52"/>
    <mergeCell ref="J54:K54"/>
    <mergeCell ref="E53:H53"/>
    <mergeCell ref="A53:D53"/>
    <mergeCell ref="A54:D54"/>
    <mergeCell ref="A55:D55"/>
    <mergeCell ref="E54:H54"/>
    <mergeCell ref="A56:D56"/>
    <mergeCell ref="A57:D57"/>
    <mergeCell ref="A58:C58"/>
    <mergeCell ref="A1:C5"/>
    <mergeCell ref="D4:M5"/>
    <mergeCell ref="P4:Y5"/>
    <mergeCell ref="D1:Y3"/>
    <mergeCell ref="A66:D66"/>
    <mergeCell ref="P66:Q66"/>
    <mergeCell ref="A61:D61"/>
    <mergeCell ref="A62:D62"/>
    <mergeCell ref="A63:D63"/>
    <mergeCell ref="A64:D64"/>
    <mergeCell ref="A65:D65"/>
    <mergeCell ref="P65:Q65"/>
    <mergeCell ref="E66:H66"/>
    <mergeCell ref="E62:H62"/>
    <mergeCell ref="E63:H63"/>
    <mergeCell ref="E65:H65"/>
    <mergeCell ref="J66:K66"/>
    <mergeCell ref="J65:K65"/>
    <mergeCell ref="E61:H61"/>
    <mergeCell ref="A40:D40"/>
    <mergeCell ref="J44:L44"/>
    <mergeCell ref="J45:L45"/>
    <mergeCell ref="J46:K46"/>
    <mergeCell ref="P42:Q42"/>
    <mergeCell ref="E40:H40"/>
    <mergeCell ref="E41:H41"/>
    <mergeCell ref="E52:H52"/>
    <mergeCell ref="P40:R40"/>
    <mergeCell ref="J40:L40"/>
    <mergeCell ref="E50:H50"/>
    <mergeCell ref="A44:D44"/>
    <mergeCell ref="A52:D52"/>
    <mergeCell ref="A50:D50"/>
    <mergeCell ref="A51:D51"/>
    <mergeCell ref="E48:H48"/>
    <mergeCell ref="E49:H49"/>
    <mergeCell ref="A48:D48"/>
    <mergeCell ref="A49:D49"/>
    <mergeCell ref="T54:Y54"/>
    <mergeCell ref="T65:Y65"/>
    <mergeCell ref="T52:Y52"/>
    <mergeCell ref="T43:Y43"/>
    <mergeCell ref="T44:Y44"/>
    <mergeCell ref="T45:Y45"/>
    <mergeCell ref="J41:L41"/>
    <mergeCell ref="J42:L42"/>
    <mergeCell ref="J43:L43"/>
    <mergeCell ref="J53:L53"/>
    <mergeCell ref="P41:Q41"/>
    <mergeCell ref="P46:Q46"/>
    <mergeCell ref="P43:Q43"/>
    <mergeCell ref="P44:Q44"/>
    <mergeCell ref="P45:Q45"/>
    <mergeCell ref="P53:R53"/>
    <mergeCell ref="P54:Q54"/>
    <mergeCell ref="T66:Y66"/>
    <mergeCell ref="T51:Y51"/>
    <mergeCell ref="T64:Y64"/>
    <mergeCell ref="A8:D8"/>
    <mergeCell ref="J8:K8"/>
    <mergeCell ref="P8:Q8"/>
    <mergeCell ref="U10:V10"/>
    <mergeCell ref="P52:Q52"/>
    <mergeCell ref="T40:Y40"/>
    <mergeCell ref="E51:H51"/>
    <mergeCell ref="A19:D19"/>
    <mergeCell ref="A23:D23"/>
    <mergeCell ref="P23:S23"/>
    <mergeCell ref="E18:H18"/>
    <mergeCell ref="E19:H19"/>
    <mergeCell ref="E23:H23"/>
    <mergeCell ref="J18:K18"/>
    <mergeCell ref="J23:M23"/>
    <mergeCell ref="A39:D39"/>
    <mergeCell ref="P39:R39"/>
    <mergeCell ref="A25:D25"/>
    <mergeCell ref="A26:D26"/>
    <mergeCell ref="T53:Y53"/>
    <mergeCell ref="T41:Y41"/>
  </mergeCells>
  <conditionalFormatting sqref="J10:M16 J18:M18 J25:J27 J32 J65:K66 J52:L56 J38:L45 J46 J48:J51 J19 L19:M19 J8 T38:Y40 T43:Y45 J36:M36 J59:J63 J23">
    <cfRule type="notContainsBlanks" dxfId="3289" priority="7">
      <formula>LEN(TRIM(J8))&gt;0</formula>
    </cfRule>
  </conditionalFormatting>
  <conditionalFormatting sqref="T38:T40">
    <cfRule type="expression" dxfId="3288" priority="111" stopIfTrue="1">
      <formula>OR(AND(E38="Other",I38),J38="Other")</formula>
    </cfRule>
    <cfRule type="expression" dxfId="3287" priority="112">
      <formula>TRUE</formula>
    </cfRule>
  </conditionalFormatting>
  <conditionalFormatting sqref="P4:Y5">
    <cfRule type="expression" dxfId="3286" priority="110">
      <formula>startError</formula>
    </cfRule>
  </conditionalFormatting>
  <conditionalFormatting sqref="I10">
    <cfRule type="expression" dxfId="3285" priority="109">
      <formula>LEN(TRIM($I$10))&gt;0</formula>
    </cfRule>
  </conditionalFormatting>
  <conditionalFormatting sqref="I11">
    <cfRule type="expression" dxfId="3284" priority="108">
      <formula>LEN(TRIM($I$11))&gt;0</formula>
    </cfRule>
  </conditionalFormatting>
  <conditionalFormatting sqref="I12">
    <cfRule type="expression" dxfId="3283" priority="107">
      <formula>LEN(TRIM($I$12))&gt;0</formula>
    </cfRule>
  </conditionalFormatting>
  <conditionalFormatting sqref="I13">
    <cfRule type="expression" dxfId="3282" priority="106">
      <formula>LEN(TRIM($I$13))&gt;0</formula>
    </cfRule>
  </conditionalFormatting>
  <conditionalFormatting sqref="I14">
    <cfRule type="expression" dxfId="3281" priority="105">
      <formula>LEN(TRIM($I$14))&gt;0</formula>
    </cfRule>
  </conditionalFormatting>
  <conditionalFormatting sqref="I15">
    <cfRule type="expression" dxfId="3280" priority="104">
      <formula>LEN(TRIM($I$15))&gt;0</formula>
    </cfRule>
  </conditionalFormatting>
  <conditionalFormatting sqref="I16">
    <cfRule type="expression" dxfId="3279" priority="103">
      <formula>LEN(TRIM($I$16))&gt;0</formula>
    </cfRule>
  </conditionalFormatting>
  <conditionalFormatting sqref="I18">
    <cfRule type="expression" dxfId="3278" priority="102">
      <formula>LEN(TRIM($I$18))&gt;0</formula>
    </cfRule>
  </conditionalFormatting>
  <conditionalFormatting sqref="I19">
    <cfRule type="expression" dxfId="3277" priority="101">
      <formula>LEN(TRIM($I$19))&gt;0</formula>
    </cfRule>
  </conditionalFormatting>
  <conditionalFormatting sqref="I23">
    <cfRule type="expression" dxfId="3276" priority="100">
      <formula>LEN(TRIM($I$23))&gt;0</formula>
    </cfRule>
  </conditionalFormatting>
  <conditionalFormatting sqref="I25">
    <cfRule type="expression" dxfId="3275" priority="99">
      <formula>LEN(TRIM($I$25))&gt;0</formula>
    </cfRule>
  </conditionalFormatting>
  <conditionalFormatting sqref="I26">
    <cfRule type="expression" dxfId="3274" priority="98">
      <formula>LEN(TRIM($I$26))&gt;0</formula>
    </cfRule>
  </conditionalFormatting>
  <conditionalFormatting sqref="I32">
    <cfRule type="expression" dxfId="3273" priority="97">
      <formula>LEN(TRIM($I$32))&gt;0</formula>
    </cfRule>
  </conditionalFormatting>
  <conditionalFormatting sqref="I36">
    <cfRule type="expression" dxfId="3272" priority="95">
      <formula>LEN(TRIM($I$36))&gt;0</formula>
    </cfRule>
  </conditionalFormatting>
  <conditionalFormatting sqref="I38">
    <cfRule type="expression" dxfId="3271" priority="94">
      <formula>LEN(TRIM($I$38))&gt;0</formula>
    </cfRule>
  </conditionalFormatting>
  <conditionalFormatting sqref="I39">
    <cfRule type="expression" dxfId="3270" priority="93">
      <formula>LEN(TRIM($I$39))&gt;0</formula>
    </cfRule>
  </conditionalFormatting>
  <conditionalFormatting sqref="I40">
    <cfRule type="expression" dxfId="3269" priority="92">
      <formula>LEN(TRIM($I$40))&gt;0</formula>
    </cfRule>
  </conditionalFormatting>
  <conditionalFormatting sqref="I41">
    <cfRule type="expression" dxfId="3268" priority="91">
      <formula>LEN(TRIM($I$41))&gt;0</formula>
    </cfRule>
  </conditionalFormatting>
  <conditionalFormatting sqref="I52">
    <cfRule type="expression" dxfId="3267" priority="90">
      <formula>LEN(TRIM($I$52))&gt;0</formula>
    </cfRule>
  </conditionalFormatting>
  <conditionalFormatting sqref="I53">
    <cfRule type="expression" dxfId="3266" priority="89">
      <formula>LEN(TRIM($I$53))&gt;0</formula>
    </cfRule>
  </conditionalFormatting>
  <conditionalFormatting sqref="I54">
    <cfRule type="expression" dxfId="3265" priority="88">
      <formula>LEN(TRIM($I$54))&gt;0</formula>
    </cfRule>
  </conditionalFormatting>
  <conditionalFormatting sqref="I55">
    <cfRule type="expression" dxfId="3264" priority="87">
      <formula>LEN(TRIM($I$55))&gt;0</formula>
    </cfRule>
  </conditionalFormatting>
  <conditionalFormatting sqref="I56">
    <cfRule type="expression" dxfId="3263" priority="86">
      <formula>LEN(TRIM($I$56))&gt;0</formula>
    </cfRule>
  </conditionalFormatting>
  <conditionalFormatting sqref="I59">
    <cfRule type="expression" dxfId="3262" priority="85">
      <formula>LEN(TRIM($I$59))&gt;0</formula>
    </cfRule>
  </conditionalFormatting>
  <conditionalFormatting sqref="I60">
    <cfRule type="expression" dxfId="3261" priority="84">
      <formula>LEN(TRIM($I$60))&gt;0</formula>
    </cfRule>
  </conditionalFormatting>
  <conditionalFormatting sqref="I61">
    <cfRule type="expression" dxfId="3260" priority="82">
      <formula>LEN(TRIM($I$61))&gt;0</formula>
    </cfRule>
  </conditionalFormatting>
  <conditionalFormatting sqref="I62">
    <cfRule type="expression" dxfId="3259" priority="81">
      <formula>LEN(TRIM($I$62))&gt;0</formula>
    </cfRule>
  </conditionalFormatting>
  <conditionalFormatting sqref="I63">
    <cfRule type="expression" dxfId="3258" priority="80">
      <formula>LEN(TRIM($I$63))&gt;0</formula>
    </cfRule>
  </conditionalFormatting>
  <conditionalFormatting sqref="I65">
    <cfRule type="expression" dxfId="3257" priority="79">
      <formula>LEN(TRIM($I$65))&gt;0</formula>
    </cfRule>
  </conditionalFormatting>
  <conditionalFormatting sqref="I66">
    <cfRule type="expression" dxfId="3256" priority="78">
      <formula>LEN(TRIM($I$66))&gt;0</formula>
    </cfRule>
  </conditionalFormatting>
  <conditionalFormatting sqref="I27">
    <cfRule type="expression" dxfId="3255" priority="77">
      <formula>LEN(TRIM($I$27))&gt;0</formula>
    </cfRule>
  </conditionalFormatting>
  <conditionalFormatting sqref="I42">
    <cfRule type="expression" dxfId="3254" priority="76">
      <formula>LEN(TRIM($I$42))&gt;0</formula>
    </cfRule>
  </conditionalFormatting>
  <conditionalFormatting sqref="I43">
    <cfRule type="expression" dxfId="3253" priority="75">
      <formula>LEN(TRIM($I$43))&gt;0</formula>
    </cfRule>
  </conditionalFormatting>
  <conditionalFormatting sqref="I44">
    <cfRule type="expression" dxfId="3252" priority="74">
      <formula>LEN(TRIM($I$44))&gt;0</formula>
    </cfRule>
  </conditionalFormatting>
  <conditionalFormatting sqref="I45">
    <cfRule type="expression" dxfId="3251" priority="73">
      <formula>LEN(TRIM($I$45))&gt;0</formula>
    </cfRule>
  </conditionalFormatting>
  <conditionalFormatting sqref="I46">
    <cfRule type="expression" dxfId="3250" priority="72">
      <formula>LEN(TRIM($I$46))&gt;0</formula>
    </cfRule>
  </conditionalFormatting>
  <conditionalFormatting sqref="I48">
    <cfRule type="expression" dxfId="3249" priority="70">
      <formula>LEN(TRIM($I$48))&gt;0</formula>
    </cfRule>
  </conditionalFormatting>
  <conditionalFormatting sqref="I49">
    <cfRule type="expression" dxfId="3248" priority="69">
      <formula>LEN(TRIM($I$49))&gt;0</formula>
    </cfRule>
  </conditionalFormatting>
  <conditionalFormatting sqref="I50">
    <cfRule type="expression" dxfId="3247" priority="68">
      <formula>LEN(TRIM($I$50))&gt;0</formula>
    </cfRule>
  </conditionalFormatting>
  <conditionalFormatting sqref="I51">
    <cfRule type="expression" dxfId="3246" priority="67">
      <formula>LEN(TRIM($I$51))&gt;0</formula>
    </cfRule>
  </conditionalFormatting>
  <conditionalFormatting sqref="J42">
    <cfRule type="expression" dxfId="3245" priority="55">
      <formula>I42</formula>
    </cfRule>
    <cfRule type="notContainsBlanks" dxfId="3244" priority="56">
      <formula>LEN(TRIM(J42))&gt;0</formula>
    </cfRule>
  </conditionalFormatting>
  <conditionalFormatting sqref="J43">
    <cfRule type="expression" dxfId="3243" priority="53">
      <formula>I43</formula>
    </cfRule>
    <cfRule type="notContainsBlanks" dxfId="3242" priority="54">
      <formula>LEN(TRIM(J43))&gt;0</formula>
    </cfRule>
  </conditionalFormatting>
  <conditionalFormatting sqref="J44">
    <cfRule type="expression" dxfId="3241" priority="51">
      <formula>I44</formula>
    </cfRule>
    <cfRule type="notContainsBlanks" dxfId="3240" priority="52">
      <formula>LEN(TRIM(J44))&gt;0</formula>
    </cfRule>
  </conditionalFormatting>
  <conditionalFormatting sqref="J45">
    <cfRule type="expression" dxfId="3239" priority="49">
      <formula>I45</formula>
    </cfRule>
    <cfRule type="notContainsBlanks" dxfId="3238" priority="50">
      <formula>LEN(TRIM(J45))&gt;0</formula>
    </cfRule>
  </conditionalFormatting>
  <conditionalFormatting sqref="J46">
    <cfRule type="expression" dxfId="3237" priority="47">
      <formula>I46</formula>
    </cfRule>
    <cfRule type="notContainsBlanks" dxfId="3236" priority="48">
      <formula>LEN(TRIM(J46))&gt;0</formula>
    </cfRule>
  </conditionalFormatting>
  <conditionalFormatting sqref="J48">
    <cfRule type="notContainsBlanks" dxfId="3235" priority="46">
      <formula>LEN(TRIM(J48))&gt;0</formula>
    </cfRule>
  </conditionalFormatting>
  <conditionalFormatting sqref="J49">
    <cfRule type="notContainsBlanks" dxfId="3234" priority="45">
      <formula>LEN(TRIM(J49))&gt;0</formula>
    </cfRule>
  </conditionalFormatting>
  <conditionalFormatting sqref="J50">
    <cfRule type="notContainsBlanks" dxfId="3233" priority="44">
      <formula>LEN(TRIM(J50))&gt;0</formula>
    </cfRule>
  </conditionalFormatting>
  <conditionalFormatting sqref="J51">
    <cfRule type="notContainsBlanks" dxfId="3232" priority="43">
      <formula>LEN(TRIM(J51))&gt;0</formula>
    </cfRule>
  </conditionalFormatting>
  <conditionalFormatting sqref="J10:M16 J18:M18 J25:J27 J32 J65:K66 J52:L56 J38:L45 J46 J48:J51 J23:M23 J19 L19:M19 J36:M36 J59:J63">
    <cfRule type="expression" dxfId="3231" priority="113">
      <formula>I10</formula>
    </cfRule>
  </conditionalFormatting>
  <conditionalFormatting sqref="T43:T45">
    <cfRule type="expression" dxfId="3230" priority="41" stopIfTrue="1">
      <formula>OR(AND(E43="Other",I43),J43="Other")</formula>
    </cfRule>
    <cfRule type="expression" dxfId="3229" priority="42">
      <formula>TRUE</formula>
    </cfRule>
  </conditionalFormatting>
  <conditionalFormatting sqref="J29:J31">
    <cfRule type="notContainsBlanks" dxfId="3228" priority="39">
      <formula>LEN(TRIM(J29))&gt;0</formula>
    </cfRule>
  </conditionalFormatting>
  <conditionalFormatting sqref="J29:J31">
    <cfRule type="expression" dxfId="3227" priority="38">
      <formula>I29</formula>
    </cfRule>
  </conditionalFormatting>
  <conditionalFormatting sqref="I29">
    <cfRule type="expression" dxfId="3226" priority="37">
      <formula>LEN(TRIM($I$29))&gt;0</formula>
    </cfRule>
  </conditionalFormatting>
  <conditionalFormatting sqref="T41:Y41">
    <cfRule type="notContainsBlanks" dxfId="3225" priority="36">
      <formula>LEN(TRIM(T41))&gt;0</formula>
    </cfRule>
  </conditionalFormatting>
  <conditionalFormatting sqref="T41">
    <cfRule type="expression" dxfId="3224" priority="34" stopIfTrue="1">
      <formula>OR(AND(E41="Other",I41),J41="Other")</formula>
    </cfRule>
    <cfRule type="expression" dxfId="3223" priority="35">
      <formula>TRUE</formula>
    </cfRule>
  </conditionalFormatting>
  <conditionalFormatting sqref="T52:Y52">
    <cfRule type="notContainsBlanks" dxfId="3222" priority="33">
      <formula>LEN(TRIM(T52))&gt;0</formula>
    </cfRule>
  </conditionalFormatting>
  <conditionalFormatting sqref="T52">
    <cfRule type="expression" dxfId="3221" priority="31" stopIfTrue="1">
      <formula>OR(AND(E52="Other",I52),J52="Other")</formula>
    </cfRule>
    <cfRule type="expression" dxfId="3220" priority="32">
      <formula>TRUE</formula>
    </cfRule>
  </conditionalFormatting>
  <conditionalFormatting sqref="T53:Y53">
    <cfRule type="notContainsBlanks" dxfId="3219" priority="30">
      <formula>LEN(TRIM(T53))&gt;0</formula>
    </cfRule>
  </conditionalFormatting>
  <conditionalFormatting sqref="T53">
    <cfRule type="expression" dxfId="3218" priority="28" stopIfTrue="1">
      <formula>OR(AND(E53="Other",I53),J53="Other")</formula>
    </cfRule>
    <cfRule type="expression" dxfId="3217" priority="29">
      <formula>TRUE</formula>
    </cfRule>
  </conditionalFormatting>
  <conditionalFormatting sqref="T54:Y54">
    <cfRule type="notContainsBlanks" dxfId="3216" priority="27">
      <formula>LEN(TRIM(T54))&gt;0</formula>
    </cfRule>
  </conditionalFormatting>
  <conditionalFormatting sqref="T54">
    <cfRule type="expression" dxfId="3215" priority="25" stopIfTrue="1">
      <formula>OR(AND(E54="Other",I54),J54="Other")</formula>
    </cfRule>
    <cfRule type="expression" dxfId="3214" priority="26">
      <formula>TRUE</formula>
    </cfRule>
  </conditionalFormatting>
  <conditionalFormatting sqref="T65:Y65">
    <cfRule type="notContainsBlanks" dxfId="3213" priority="24">
      <formula>LEN(TRIM(T65))&gt;0</formula>
    </cfRule>
  </conditionalFormatting>
  <conditionalFormatting sqref="T65">
    <cfRule type="expression" dxfId="3212" priority="22" stopIfTrue="1">
      <formula>OR(AND(E65="Other",I65),J65="Other")</formula>
    </cfRule>
    <cfRule type="expression" dxfId="3211" priority="23">
      <formula>TRUE</formula>
    </cfRule>
  </conditionalFormatting>
  <conditionalFormatting sqref="T66:Y66">
    <cfRule type="notContainsBlanks" dxfId="3210" priority="21">
      <formula>LEN(TRIM(T66))&gt;0</formula>
    </cfRule>
  </conditionalFormatting>
  <conditionalFormatting sqref="T66">
    <cfRule type="expression" dxfId="3209" priority="19" stopIfTrue="1">
      <formula>OR(AND(E66="Other",I66),J66="Other")</formula>
    </cfRule>
    <cfRule type="expression" dxfId="3208" priority="20">
      <formula>TRUE</formula>
    </cfRule>
  </conditionalFormatting>
  <conditionalFormatting sqref="I34">
    <cfRule type="expression" dxfId="3207" priority="18">
      <formula>LEN(TRIM($I$34))&gt;0</formula>
    </cfRule>
  </conditionalFormatting>
  <conditionalFormatting sqref="I35">
    <cfRule type="expression" dxfId="3206" priority="17">
      <formula>LEN(TRIM($I$35))&gt;0</formula>
    </cfRule>
  </conditionalFormatting>
  <conditionalFormatting sqref="I30">
    <cfRule type="expression" dxfId="3205" priority="16">
      <formula>LEN(TRIM($I$30))&gt;0</formula>
    </cfRule>
  </conditionalFormatting>
  <conditionalFormatting sqref="I31">
    <cfRule type="expression" dxfId="3204" priority="15">
      <formula>LEN(TRIM($I$31))&gt;0</formula>
    </cfRule>
  </conditionalFormatting>
  <conditionalFormatting sqref="J34:K34">
    <cfRule type="notContainsBlanks" dxfId="3203" priority="14">
      <formula>LEN(TRIM(J34))&gt;0</formula>
    </cfRule>
  </conditionalFormatting>
  <conditionalFormatting sqref="J34:K34">
    <cfRule type="expression" dxfId="3202" priority="13">
      <formula>I34</formula>
    </cfRule>
  </conditionalFormatting>
  <conditionalFormatting sqref="J35:K35">
    <cfRule type="notContainsBlanks" dxfId="3201" priority="12">
      <formula>LEN(TRIM(J35))&gt;0</formula>
    </cfRule>
  </conditionalFormatting>
  <conditionalFormatting sqref="J35:K35">
    <cfRule type="expression" dxfId="3200" priority="11">
      <formula>I35</formula>
    </cfRule>
  </conditionalFormatting>
  <conditionalFormatting sqref="T13">
    <cfRule type="expression" dxfId="3199" priority="10">
      <formula>dstBatch=TRUE</formula>
    </cfRule>
  </conditionalFormatting>
  <conditionalFormatting sqref="Q16">
    <cfRule type="expression" dxfId="3198" priority="9">
      <formula>dstBatch=TRUE</formula>
    </cfRule>
  </conditionalFormatting>
  <conditionalFormatting sqref="R8">
    <cfRule type="expression" dxfId="3197" priority="8">
      <formula>dstBatch=TRUE</formula>
    </cfRule>
  </conditionalFormatting>
  <conditionalFormatting sqref="J8:K8">
    <cfRule type="expression" dxfId="3196" priority="6">
      <formula>AND(dstBatch=TRUE,LEN(J8)&gt;0)</formula>
    </cfRule>
    <cfRule type="expression" dxfId="3195" priority="114">
      <formula>dstBatch</formula>
    </cfRule>
  </conditionalFormatting>
  <conditionalFormatting sqref="J20">
    <cfRule type="notContainsBlanks" dxfId="3194" priority="2">
      <formula>LEN(TRIM(J20))&gt;0</formula>
    </cfRule>
  </conditionalFormatting>
  <conditionalFormatting sqref="J20">
    <cfRule type="expression" dxfId="3193" priority="3">
      <formula>I20</formula>
    </cfRule>
  </conditionalFormatting>
  <conditionalFormatting sqref="I20">
    <cfRule type="expression" dxfId="3192" priority="1">
      <formula>LEN(TRIM($I$20))&gt;0</formula>
    </cfRule>
  </conditionalFormatting>
  <dataValidations xWindow="570" yWindow="734" count="27">
    <dataValidation type="whole" allowBlank="1" showInputMessage="1" showErrorMessage="1" error="Must enter a whole number." sqref="J19 P19:P20" xr:uid="{00000000-0002-0000-0C00-000000000000}">
      <formula1>0</formula1>
      <formula2>100000000000</formula2>
    </dataValidation>
    <dataValidation type="list" allowBlank="1" showInputMessage="1" showErrorMessage="1" error="Please use the dropdown." sqref="P59 J59" xr:uid="{00000000-0002-0000-0C00-000001000000}">
      <formula1>INDIRECT($N$59)</formula1>
    </dataValidation>
    <dataValidation type="list" allowBlank="1" showInputMessage="1" showErrorMessage="1" error="Please use the dropdown." sqref="J66:K66 P66:Q66" xr:uid="{00000000-0002-0000-0C00-000002000000}">
      <formula1>INDIRECT($N$66)</formula1>
    </dataValidation>
    <dataValidation type="list" allowBlank="1" showInputMessage="1" showErrorMessage="1" error="Please use the dropdown." sqref="P65:Q65 J65:K65" xr:uid="{00000000-0002-0000-0C00-000003000000}">
      <formula1>INDIRECT($N$65)</formula1>
    </dataValidation>
    <dataValidation type="list" allowBlank="1" showInputMessage="1" showErrorMessage="1" error="Please use the dropdown." sqref="P63 J63" xr:uid="{00000000-0002-0000-0C00-000004000000}">
      <formula1>INDIRECT($N$63)</formula1>
    </dataValidation>
    <dataValidation type="list" allowBlank="1" showInputMessage="1" showErrorMessage="1" error="Please use the dropdown." sqref="P62 J62" xr:uid="{00000000-0002-0000-0C00-000005000000}">
      <formula1>INDIRECT($N$62)</formula1>
    </dataValidation>
    <dataValidation type="list" allowBlank="1" showInputMessage="1" showErrorMessage="1" error="Please use the dropdown." sqref="P61 J61" xr:uid="{00000000-0002-0000-0C00-000006000000}">
      <formula1>INDIRECT($N$61)</formula1>
    </dataValidation>
    <dataValidation type="list" allowBlank="1" showInputMessage="1" showErrorMessage="1" error="Please use the dropdown." sqref="P60 J60" xr:uid="{00000000-0002-0000-0C00-000008000000}">
      <formula1>INDIRECT($N$60)</formula1>
    </dataValidation>
    <dataValidation type="list" allowBlank="1" showInputMessage="1" showErrorMessage="1" error="Please use the dropdown." sqref="P56 J56" xr:uid="{00000000-0002-0000-0C00-000009000000}">
      <formula1>INDIRECT($N$56)</formula1>
    </dataValidation>
    <dataValidation type="list" allowBlank="1" showInputMessage="1" showErrorMessage="1" error="Please use the dropdown." sqref="P55 J55" xr:uid="{00000000-0002-0000-0C00-00000A000000}">
      <formula1>INDIRECT($N$55)</formula1>
    </dataValidation>
    <dataValidation type="list" allowBlank="1" showInputMessage="1" showErrorMessage="1" error="Please use the dropdown." sqref="P54:Q54 J54:K54" xr:uid="{00000000-0002-0000-0C00-00000B000000}">
      <formula1>INDIRECT($N$54)</formula1>
    </dataValidation>
    <dataValidation type="list" allowBlank="1" showInputMessage="1" showErrorMessage="1" error="Please use the dropdown." sqref="P53:R53 J53:L53" xr:uid="{00000000-0002-0000-0C00-00000C000000}">
      <formula1>INDIRECT($N$53)</formula1>
    </dataValidation>
    <dataValidation type="list" allowBlank="1" showInputMessage="1" showErrorMessage="1" error="Please use the dropdown." sqref="P52:Q52 J52:K52" xr:uid="{00000000-0002-0000-0C00-00000D000000}">
      <formula1>INDIRECT($N$52)</formula1>
    </dataValidation>
    <dataValidation type="list" allowBlank="1" showInputMessage="1" showErrorMessage="1" error="Please use the dropdown." sqref="P48:P51 P41:Q46" xr:uid="{00000000-0002-0000-0C00-00000E000000}">
      <formula1>INDIRECT($N$41)</formula1>
    </dataValidation>
    <dataValidation type="list" allowBlank="1" showInputMessage="1" showErrorMessage="1" error="Please use the dropdown." sqref="P40:R40 J40:L40" xr:uid="{00000000-0002-0000-0C00-00000F000000}">
      <formula1>INDIRECT($N$40)</formula1>
    </dataValidation>
    <dataValidation type="list" allowBlank="1" showInputMessage="1" showErrorMessage="1" error="Please use the dropdown." sqref="P39:R39 J39:L39" xr:uid="{00000000-0002-0000-0C00-000010000000}">
      <formula1>INDIRECT($N$39)</formula1>
    </dataValidation>
    <dataValidation type="list" allowBlank="1" showInputMessage="1" showErrorMessage="1" error="Please use the dropdown." sqref="P38:R38 J38:L38" xr:uid="{00000000-0002-0000-0C00-000011000000}">
      <formula1>INDIRECT($N$38)</formula1>
    </dataValidation>
    <dataValidation type="list" allowBlank="1" showInputMessage="1" showErrorMessage="1" error="Please use the dropdown." sqref="J36:M36 P36:S36" xr:uid="{00000000-0002-0000-0C00-000012000000}">
      <formula1>INDIRECT($N$36)</formula1>
    </dataValidation>
    <dataValidation type="list" allowBlank="1" showInputMessage="1" showErrorMessage="1" error="Please use the dropdown." sqref="P18:Q18 P34:Q35 J18:K18" xr:uid="{00000000-0002-0000-0C00-000013000000}">
      <formula1>INDIRECT($N$18)</formula1>
    </dataValidation>
    <dataValidation type="list" allowBlank="1" showDropDown="1" showInputMessage="1" showErrorMessage="1" error="Use Checkbox" prompt="Use Checkbox" sqref="I38:I46 I65:I66 I10:I16 I59:I63 I48:I56 I25:I27 I29:I32 I34:I36 I23 I18:I20" xr:uid="{00000000-0002-0000-0C00-000014000000}">
      <formula1>TorF</formula1>
    </dataValidation>
    <dataValidation type="list" allowBlank="1" showInputMessage="1" showErrorMessage="1" error="Please use the dropdown." sqref="J41:L45 J46:K46" xr:uid="{00000000-0002-0000-0C00-000015000000}">
      <formula1>INDIRECT(N41)</formula1>
    </dataValidation>
    <dataValidation type="decimal" allowBlank="1" showInputMessage="1" showErrorMessage="1" error="Enter a decimal between 0 and 1." prompt="Enter the U-value." sqref="J50:J51" xr:uid="{00000000-0002-0000-0C00-000016000000}">
      <formula1>0</formula1>
      <formula2>1</formula2>
    </dataValidation>
    <dataValidation type="decimal" allowBlank="1" showInputMessage="1" showErrorMessage="1" error="Enter a decimal between 0 and 1." prompt="Enter the SHGC value." sqref="J48:J49" xr:uid="{00000000-0002-0000-0C00-000017000000}">
      <formula1>0</formula1>
      <formula2>1</formula2>
    </dataValidation>
    <dataValidation type="whole" allowBlank="1" showInputMessage="1" showErrorMessage="1" error="Enter a whole number between 1 and 1000." prompt="Enter the number of stories above grade." sqref="J27" xr:uid="{00000000-0002-0000-0C00-000018000000}">
      <formula1>1</formula1>
      <formula2>1000</formula2>
    </dataValidation>
    <dataValidation type="list" allowBlank="1" showInputMessage="1" showErrorMessage="1" error="Please use the dropdown." sqref="J34:K34" xr:uid="{7FA0964C-CC18-434B-BC9D-F5D0C60C2017}">
      <formula1>INDIRECT($N$34)</formula1>
    </dataValidation>
    <dataValidation type="list" allowBlank="1" showInputMessage="1" showErrorMessage="1" error="Please use the dropdown." sqref="J35:K35" xr:uid="{BE9845E5-A272-472E-AC75-537744A4ED38}">
      <formula1>INDIRECT($N$35)</formula1>
    </dataValidation>
    <dataValidation type="list" allowBlank="1" showInputMessage="1" showErrorMessage="1" error="Choose from the list" sqref="J20" xr:uid="{0FC67581-8450-45E3-891A-E30C26820655}">
      <formula1>INDIRECT(N20)</formula1>
    </dataValidation>
  </dataValidations>
  <pageMargins left="0.7" right="0.7" top="0.75" bottom="0.75" header="0.3" footer="0.3"/>
  <pageSetup scale="70" orientation="landscape" r:id="rId1"/>
  <drawing r:id="rId2"/>
  <legacyDrawing r:id="rId3"/>
  <mc:AlternateContent xmlns:mc="http://schemas.openxmlformats.org/markup-compatibility/2006">
    <mc:Choice Requires="x14">
      <controls>
        <mc:AlternateContent xmlns:mc="http://schemas.openxmlformats.org/markup-compatibility/2006">
          <mc:Choice Requires="x14">
            <control shapeId="27692" r:id="rId4" name="Check Box 44">
              <controlPr locked="0" defaultSize="0" autoFill="0" autoLine="0" autoPict="0">
                <anchor moveWithCells="1">
                  <from>
                    <xdr:col>8</xdr:col>
                    <xdr:colOff>0</xdr:colOff>
                    <xdr:row>9</xdr:row>
                    <xdr:rowOff>0</xdr:rowOff>
                  </from>
                  <to>
                    <xdr:col>8</xdr:col>
                    <xdr:colOff>177800</xdr:colOff>
                    <xdr:row>9</xdr:row>
                    <xdr:rowOff>177800</xdr:rowOff>
                  </to>
                </anchor>
              </controlPr>
            </control>
          </mc:Choice>
        </mc:AlternateContent>
        <mc:AlternateContent xmlns:mc="http://schemas.openxmlformats.org/markup-compatibility/2006">
          <mc:Choice Requires="x14">
            <control shapeId="27693" r:id="rId5" name="Check Box 45">
              <controlPr locked="0" defaultSize="0" autoFill="0" autoLine="0" autoPict="0">
                <anchor moveWithCells="1">
                  <from>
                    <xdr:col>8</xdr:col>
                    <xdr:colOff>0</xdr:colOff>
                    <xdr:row>10</xdr:row>
                    <xdr:rowOff>0</xdr:rowOff>
                  </from>
                  <to>
                    <xdr:col>8</xdr:col>
                    <xdr:colOff>177800</xdr:colOff>
                    <xdr:row>10</xdr:row>
                    <xdr:rowOff>177800</xdr:rowOff>
                  </to>
                </anchor>
              </controlPr>
            </control>
          </mc:Choice>
        </mc:AlternateContent>
        <mc:AlternateContent xmlns:mc="http://schemas.openxmlformats.org/markup-compatibility/2006">
          <mc:Choice Requires="x14">
            <control shapeId="27694" r:id="rId6" name="Check Box 46">
              <controlPr locked="0" defaultSize="0" autoFill="0" autoLine="0" autoPict="0">
                <anchor moveWithCells="1">
                  <from>
                    <xdr:col>8</xdr:col>
                    <xdr:colOff>0</xdr:colOff>
                    <xdr:row>11</xdr:row>
                    <xdr:rowOff>0</xdr:rowOff>
                  </from>
                  <to>
                    <xdr:col>8</xdr:col>
                    <xdr:colOff>177800</xdr:colOff>
                    <xdr:row>11</xdr:row>
                    <xdr:rowOff>177800</xdr:rowOff>
                  </to>
                </anchor>
              </controlPr>
            </control>
          </mc:Choice>
        </mc:AlternateContent>
        <mc:AlternateContent xmlns:mc="http://schemas.openxmlformats.org/markup-compatibility/2006">
          <mc:Choice Requires="x14">
            <control shapeId="27695" r:id="rId7" name="Check Box 47">
              <controlPr locked="0" defaultSize="0" autoFill="0" autoLine="0" autoPict="0">
                <anchor moveWithCells="1">
                  <from>
                    <xdr:col>8</xdr:col>
                    <xdr:colOff>0</xdr:colOff>
                    <xdr:row>12</xdr:row>
                    <xdr:rowOff>0</xdr:rowOff>
                  </from>
                  <to>
                    <xdr:col>8</xdr:col>
                    <xdr:colOff>177800</xdr:colOff>
                    <xdr:row>12</xdr:row>
                    <xdr:rowOff>177800</xdr:rowOff>
                  </to>
                </anchor>
              </controlPr>
            </control>
          </mc:Choice>
        </mc:AlternateContent>
        <mc:AlternateContent xmlns:mc="http://schemas.openxmlformats.org/markup-compatibility/2006">
          <mc:Choice Requires="x14">
            <control shapeId="27696" r:id="rId8" name="Check Box 48">
              <controlPr locked="0" defaultSize="0" autoFill="0" autoLine="0" autoPict="0">
                <anchor moveWithCells="1">
                  <from>
                    <xdr:col>8</xdr:col>
                    <xdr:colOff>0</xdr:colOff>
                    <xdr:row>13</xdr:row>
                    <xdr:rowOff>0</xdr:rowOff>
                  </from>
                  <to>
                    <xdr:col>8</xdr:col>
                    <xdr:colOff>177800</xdr:colOff>
                    <xdr:row>13</xdr:row>
                    <xdr:rowOff>177800</xdr:rowOff>
                  </to>
                </anchor>
              </controlPr>
            </control>
          </mc:Choice>
        </mc:AlternateContent>
        <mc:AlternateContent xmlns:mc="http://schemas.openxmlformats.org/markup-compatibility/2006">
          <mc:Choice Requires="x14">
            <control shapeId="27697" r:id="rId9" name="Check Box 49">
              <controlPr locked="0" defaultSize="0" autoFill="0" autoLine="0" autoPict="0">
                <anchor moveWithCells="1">
                  <from>
                    <xdr:col>8</xdr:col>
                    <xdr:colOff>0</xdr:colOff>
                    <xdr:row>14</xdr:row>
                    <xdr:rowOff>0</xdr:rowOff>
                  </from>
                  <to>
                    <xdr:col>8</xdr:col>
                    <xdr:colOff>177800</xdr:colOff>
                    <xdr:row>14</xdr:row>
                    <xdr:rowOff>177800</xdr:rowOff>
                  </to>
                </anchor>
              </controlPr>
            </control>
          </mc:Choice>
        </mc:AlternateContent>
        <mc:AlternateContent xmlns:mc="http://schemas.openxmlformats.org/markup-compatibility/2006">
          <mc:Choice Requires="x14">
            <control shapeId="27698" r:id="rId10" name="Check Box 50">
              <controlPr locked="0" defaultSize="0" autoFill="0" autoLine="0" autoPict="0">
                <anchor moveWithCells="1">
                  <from>
                    <xdr:col>8</xdr:col>
                    <xdr:colOff>0</xdr:colOff>
                    <xdr:row>15</xdr:row>
                    <xdr:rowOff>0</xdr:rowOff>
                  </from>
                  <to>
                    <xdr:col>8</xdr:col>
                    <xdr:colOff>177800</xdr:colOff>
                    <xdr:row>15</xdr:row>
                    <xdr:rowOff>177800</xdr:rowOff>
                  </to>
                </anchor>
              </controlPr>
            </control>
          </mc:Choice>
        </mc:AlternateContent>
        <mc:AlternateContent xmlns:mc="http://schemas.openxmlformats.org/markup-compatibility/2006">
          <mc:Choice Requires="x14">
            <control shapeId="27699" r:id="rId11" name="Check Box 51">
              <controlPr locked="0" defaultSize="0" autoFill="0" autoLine="0" autoPict="0">
                <anchor moveWithCells="1">
                  <from>
                    <xdr:col>8</xdr:col>
                    <xdr:colOff>0</xdr:colOff>
                    <xdr:row>17</xdr:row>
                    <xdr:rowOff>0</xdr:rowOff>
                  </from>
                  <to>
                    <xdr:col>8</xdr:col>
                    <xdr:colOff>177800</xdr:colOff>
                    <xdr:row>17</xdr:row>
                    <xdr:rowOff>177800</xdr:rowOff>
                  </to>
                </anchor>
              </controlPr>
            </control>
          </mc:Choice>
        </mc:AlternateContent>
        <mc:AlternateContent xmlns:mc="http://schemas.openxmlformats.org/markup-compatibility/2006">
          <mc:Choice Requires="x14">
            <control shapeId="27700" r:id="rId12" name="Check Box 52">
              <controlPr locked="0" defaultSize="0" autoFill="0" autoLine="0" autoPict="0">
                <anchor moveWithCells="1">
                  <from>
                    <xdr:col>8</xdr:col>
                    <xdr:colOff>0</xdr:colOff>
                    <xdr:row>18</xdr:row>
                    <xdr:rowOff>0</xdr:rowOff>
                  </from>
                  <to>
                    <xdr:col>8</xdr:col>
                    <xdr:colOff>177800</xdr:colOff>
                    <xdr:row>18</xdr:row>
                    <xdr:rowOff>177800</xdr:rowOff>
                  </to>
                </anchor>
              </controlPr>
            </control>
          </mc:Choice>
        </mc:AlternateContent>
        <mc:AlternateContent xmlns:mc="http://schemas.openxmlformats.org/markup-compatibility/2006">
          <mc:Choice Requires="x14">
            <control shapeId="27701" r:id="rId13" name="Check Box 53">
              <controlPr locked="0" defaultSize="0" autoFill="0" autoLine="0" autoPict="0">
                <anchor moveWithCells="1">
                  <from>
                    <xdr:col>8</xdr:col>
                    <xdr:colOff>0</xdr:colOff>
                    <xdr:row>22</xdr:row>
                    <xdr:rowOff>0</xdr:rowOff>
                  </from>
                  <to>
                    <xdr:col>8</xdr:col>
                    <xdr:colOff>177800</xdr:colOff>
                    <xdr:row>22</xdr:row>
                    <xdr:rowOff>177800</xdr:rowOff>
                  </to>
                </anchor>
              </controlPr>
            </control>
          </mc:Choice>
        </mc:AlternateContent>
        <mc:AlternateContent xmlns:mc="http://schemas.openxmlformats.org/markup-compatibility/2006">
          <mc:Choice Requires="x14">
            <control shapeId="27702" r:id="rId14" name="Check Box 54">
              <controlPr locked="0" defaultSize="0" autoFill="0" autoLine="0" autoPict="0">
                <anchor moveWithCells="1">
                  <from>
                    <xdr:col>8</xdr:col>
                    <xdr:colOff>0</xdr:colOff>
                    <xdr:row>24</xdr:row>
                    <xdr:rowOff>0</xdr:rowOff>
                  </from>
                  <to>
                    <xdr:col>8</xdr:col>
                    <xdr:colOff>177800</xdr:colOff>
                    <xdr:row>24</xdr:row>
                    <xdr:rowOff>177800</xdr:rowOff>
                  </to>
                </anchor>
              </controlPr>
            </control>
          </mc:Choice>
        </mc:AlternateContent>
        <mc:AlternateContent xmlns:mc="http://schemas.openxmlformats.org/markup-compatibility/2006">
          <mc:Choice Requires="x14">
            <control shapeId="27703" r:id="rId15" name="Check Box 55">
              <controlPr locked="0" defaultSize="0" autoFill="0" autoLine="0" autoPict="0">
                <anchor moveWithCells="1">
                  <from>
                    <xdr:col>8</xdr:col>
                    <xdr:colOff>0</xdr:colOff>
                    <xdr:row>25</xdr:row>
                    <xdr:rowOff>0</xdr:rowOff>
                  </from>
                  <to>
                    <xdr:col>8</xdr:col>
                    <xdr:colOff>177800</xdr:colOff>
                    <xdr:row>25</xdr:row>
                    <xdr:rowOff>177800</xdr:rowOff>
                  </to>
                </anchor>
              </controlPr>
            </control>
          </mc:Choice>
        </mc:AlternateContent>
        <mc:AlternateContent xmlns:mc="http://schemas.openxmlformats.org/markup-compatibility/2006">
          <mc:Choice Requires="x14">
            <control shapeId="27704" r:id="rId16" name="Check Box 56">
              <controlPr locked="0" defaultSize="0" autoFill="0" autoLine="0" autoPict="0">
                <anchor moveWithCells="1">
                  <from>
                    <xdr:col>8</xdr:col>
                    <xdr:colOff>0</xdr:colOff>
                    <xdr:row>31</xdr:row>
                    <xdr:rowOff>0</xdr:rowOff>
                  </from>
                  <to>
                    <xdr:col>8</xdr:col>
                    <xdr:colOff>177800</xdr:colOff>
                    <xdr:row>31</xdr:row>
                    <xdr:rowOff>177800</xdr:rowOff>
                  </to>
                </anchor>
              </controlPr>
            </control>
          </mc:Choice>
        </mc:AlternateContent>
        <mc:AlternateContent xmlns:mc="http://schemas.openxmlformats.org/markup-compatibility/2006">
          <mc:Choice Requires="x14">
            <control shapeId="27706" r:id="rId17" name="Check Box 58">
              <controlPr locked="0" defaultSize="0" autoFill="0" autoLine="0" autoPict="0">
                <anchor moveWithCells="1">
                  <from>
                    <xdr:col>8</xdr:col>
                    <xdr:colOff>0</xdr:colOff>
                    <xdr:row>35</xdr:row>
                    <xdr:rowOff>0</xdr:rowOff>
                  </from>
                  <to>
                    <xdr:col>8</xdr:col>
                    <xdr:colOff>177800</xdr:colOff>
                    <xdr:row>35</xdr:row>
                    <xdr:rowOff>177800</xdr:rowOff>
                  </to>
                </anchor>
              </controlPr>
            </control>
          </mc:Choice>
        </mc:AlternateContent>
        <mc:AlternateContent xmlns:mc="http://schemas.openxmlformats.org/markup-compatibility/2006">
          <mc:Choice Requires="x14">
            <control shapeId="27707" r:id="rId18" name="Check Box 59">
              <controlPr locked="0" defaultSize="0" autoFill="0" autoLine="0" autoPict="0">
                <anchor moveWithCells="1">
                  <from>
                    <xdr:col>8</xdr:col>
                    <xdr:colOff>0</xdr:colOff>
                    <xdr:row>37</xdr:row>
                    <xdr:rowOff>0</xdr:rowOff>
                  </from>
                  <to>
                    <xdr:col>8</xdr:col>
                    <xdr:colOff>177800</xdr:colOff>
                    <xdr:row>37</xdr:row>
                    <xdr:rowOff>177800</xdr:rowOff>
                  </to>
                </anchor>
              </controlPr>
            </control>
          </mc:Choice>
        </mc:AlternateContent>
        <mc:AlternateContent xmlns:mc="http://schemas.openxmlformats.org/markup-compatibility/2006">
          <mc:Choice Requires="x14">
            <control shapeId="27708" r:id="rId19" name="Check Box 60">
              <controlPr locked="0" defaultSize="0" autoFill="0" autoLine="0" autoPict="0">
                <anchor moveWithCells="1">
                  <from>
                    <xdr:col>8</xdr:col>
                    <xdr:colOff>0</xdr:colOff>
                    <xdr:row>38</xdr:row>
                    <xdr:rowOff>0</xdr:rowOff>
                  </from>
                  <to>
                    <xdr:col>8</xdr:col>
                    <xdr:colOff>177800</xdr:colOff>
                    <xdr:row>38</xdr:row>
                    <xdr:rowOff>177800</xdr:rowOff>
                  </to>
                </anchor>
              </controlPr>
            </control>
          </mc:Choice>
        </mc:AlternateContent>
        <mc:AlternateContent xmlns:mc="http://schemas.openxmlformats.org/markup-compatibility/2006">
          <mc:Choice Requires="x14">
            <control shapeId="27709" r:id="rId20" name="Check Box 61">
              <controlPr locked="0" defaultSize="0" autoFill="0" autoLine="0" autoPict="0">
                <anchor moveWithCells="1">
                  <from>
                    <xdr:col>8</xdr:col>
                    <xdr:colOff>0</xdr:colOff>
                    <xdr:row>39</xdr:row>
                    <xdr:rowOff>0</xdr:rowOff>
                  </from>
                  <to>
                    <xdr:col>8</xdr:col>
                    <xdr:colOff>177800</xdr:colOff>
                    <xdr:row>39</xdr:row>
                    <xdr:rowOff>177800</xdr:rowOff>
                  </to>
                </anchor>
              </controlPr>
            </control>
          </mc:Choice>
        </mc:AlternateContent>
        <mc:AlternateContent xmlns:mc="http://schemas.openxmlformats.org/markup-compatibility/2006">
          <mc:Choice Requires="x14">
            <control shapeId="27710" r:id="rId21" name="Check Box 62">
              <controlPr locked="0" defaultSize="0" autoFill="0" autoLine="0" autoPict="0">
                <anchor moveWithCells="1">
                  <from>
                    <xdr:col>8</xdr:col>
                    <xdr:colOff>0</xdr:colOff>
                    <xdr:row>40</xdr:row>
                    <xdr:rowOff>0</xdr:rowOff>
                  </from>
                  <to>
                    <xdr:col>8</xdr:col>
                    <xdr:colOff>177800</xdr:colOff>
                    <xdr:row>40</xdr:row>
                    <xdr:rowOff>177800</xdr:rowOff>
                  </to>
                </anchor>
              </controlPr>
            </control>
          </mc:Choice>
        </mc:AlternateContent>
        <mc:AlternateContent xmlns:mc="http://schemas.openxmlformats.org/markup-compatibility/2006">
          <mc:Choice Requires="x14">
            <control shapeId="27711" r:id="rId22" name="Check Box 63">
              <controlPr locked="0" defaultSize="0" autoFill="0" autoLine="0" autoPict="0">
                <anchor moveWithCells="1">
                  <from>
                    <xdr:col>8</xdr:col>
                    <xdr:colOff>0</xdr:colOff>
                    <xdr:row>51</xdr:row>
                    <xdr:rowOff>0</xdr:rowOff>
                  </from>
                  <to>
                    <xdr:col>8</xdr:col>
                    <xdr:colOff>177800</xdr:colOff>
                    <xdr:row>51</xdr:row>
                    <xdr:rowOff>177800</xdr:rowOff>
                  </to>
                </anchor>
              </controlPr>
            </control>
          </mc:Choice>
        </mc:AlternateContent>
        <mc:AlternateContent xmlns:mc="http://schemas.openxmlformats.org/markup-compatibility/2006">
          <mc:Choice Requires="x14">
            <control shapeId="27712" r:id="rId23" name="Check Box 64">
              <controlPr locked="0" defaultSize="0" autoFill="0" autoLine="0" autoPict="0">
                <anchor moveWithCells="1">
                  <from>
                    <xdr:col>8</xdr:col>
                    <xdr:colOff>0</xdr:colOff>
                    <xdr:row>52</xdr:row>
                    <xdr:rowOff>0</xdr:rowOff>
                  </from>
                  <to>
                    <xdr:col>8</xdr:col>
                    <xdr:colOff>177800</xdr:colOff>
                    <xdr:row>52</xdr:row>
                    <xdr:rowOff>177800</xdr:rowOff>
                  </to>
                </anchor>
              </controlPr>
            </control>
          </mc:Choice>
        </mc:AlternateContent>
        <mc:AlternateContent xmlns:mc="http://schemas.openxmlformats.org/markup-compatibility/2006">
          <mc:Choice Requires="x14">
            <control shapeId="27713" r:id="rId24" name="Check Box 65">
              <controlPr locked="0" defaultSize="0" autoFill="0" autoLine="0" autoPict="0">
                <anchor moveWithCells="1">
                  <from>
                    <xdr:col>8</xdr:col>
                    <xdr:colOff>0</xdr:colOff>
                    <xdr:row>53</xdr:row>
                    <xdr:rowOff>0</xdr:rowOff>
                  </from>
                  <to>
                    <xdr:col>8</xdr:col>
                    <xdr:colOff>177800</xdr:colOff>
                    <xdr:row>53</xdr:row>
                    <xdr:rowOff>177800</xdr:rowOff>
                  </to>
                </anchor>
              </controlPr>
            </control>
          </mc:Choice>
        </mc:AlternateContent>
        <mc:AlternateContent xmlns:mc="http://schemas.openxmlformats.org/markup-compatibility/2006">
          <mc:Choice Requires="x14">
            <control shapeId="27714" r:id="rId25" name="Check Box 66">
              <controlPr locked="0" defaultSize="0" autoFill="0" autoLine="0" autoPict="0">
                <anchor moveWithCells="1">
                  <from>
                    <xdr:col>8</xdr:col>
                    <xdr:colOff>0</xdr:colOff>
                    <xdr:row>54</xdr:row>
                    <xdr:rowOff>0</xdr:rowOff>
                  </from>
                  <to>
                    <xdr:col>8</xdr:col>
                    <xdr:colOff>177800</xdr:colOff>
                    <xdr:row>54</xdr:row>
                    <xdr:rowOff>177800</xdr:rowOff>
                  </to>
                </anchor>
              </controlPr>
            </control>
          </mc:Choice>
        </mc:AlternateContent>
        <mc:AlternateContent xmlns:mc="http://schemas.openxmlformats.org/markup-compatibility/2006">
          <mc:Choice Requires="x14">
            <control shapeId="27715" r:id="rId26" name="Check Box 67">
              <controlPr locked="0" defaultSize="0" autoFill="0" autoLine="0" autoPict="0">
                <anchor moveWithCells="1">
                  <from>
                    <xdr:col>8</xdr:col>
                    <xdr:colOff>0</xdr:colOff>
                    <xdr:row>55</xdr:row>
                    <xdr:rowOff>0</xdr:rowOff>
                  </from>
                  <to>
                    <xdr:col>8</xdr:col>
                    <xdr:colOff>177800</xdr:colOff>
                    <xdr:row>55</xdr:row>
                    <xdr:rowOff>177800</xdr:rowOff>
                  </to>
                </anchor>
              </controlPr>
            </control>
          </mc:Choice>
        </mc:AlternateContent>
        <mc:AlternateContent xmlns:mc="http://schemas.openxmlformats.org/markup-compatibility/2006">
          <mc:Choice Requires="x14">
            <control shapeId="27716" r:id="rId27" name="Check Box 68">
              <controlPr locked="0" defaultSize="0" autoFill="0" autoLine="0" autoPict="0">
                <anchor moveWithCells="1">
                  <from>
                    <xdr:col>8</xdr:col>
                    <xdr:colOff>0</xdr:colOff>
                    <xdr:row>58</xdr:row>
                    <xdr:rowOff>0</xdr:rowOff>
                  </from>
                  <to>
                    <xdr:col>8</xdr:col>
                    <xdr:colOff>177800</xdr:colOff>
                    <xdr:row>58</xdr:row>
                    <xdr:rowOff>177800</xdr:rowOff>
                  </to>
                </anchor>
              </controlPr>
            </control>
          </mc:Choice>
        </mc:AlternateContent>
        <mc:AlternateContent xmlns:mc="http://schemas.openxmlformats.org/markup-compatibility/2006">
          <mc:Choice Requires="x14">
            <control shapeId="27717" r:id="rId28" name="Check Box 69">
              <controlPr locked="0" defaultSize="0" autoFill="0" autoLine="0" autoPict="0">
                <anchor moveWithCells="1">
                  <from>
                    <xdr:col>8</xdr:col>
                    <xdr:colOff>0</xdr:colOff>
                    <xdr:row>59</xdr:row>
                    <xdr:rowOff>0</xdr:rowOff>
                  </from>
                  <to>
                    <xdr:col>8</xdr:col>
                    <xdr:colOff>177800</xdr:colOff>
                    <xdr:row>59</xdr:row>
                    <xdr:rowOff>177800</xdr:rowOff>
                  </to>
                </anchor>
              </controlPr>
            </control>
          </mc:Choice>
        </mc:AlternateContent>
        <mc:AlternateContent xmlns:mc="http://schemas.openxmlformats.org/markup-compatibility/2006">
          <mc:Choice Requires="x14">
            <control shapeId="27719" r:id="rId29" name="Check Box 71">
              <controlPr locked="0" defaultSize="0" autoFill="0" autoLine="0" autoPict="0">
                <anchor moveWithCells="1">
                  <from>
                    <xdr:col>8</xdr:col>
                    <xdr:colOff>0</xdr:colOff>
                    <xdr:row>60</xdr:row>
                    <xdr:rowOff>0</xdr:rowOff>
                  </from>
                  <to>
                    <xdr:col>8</xdr:col>
                    <xdr:colOff>177800</xdr:colOff>
                    <xdr:row>60</xdr:row>
                    <xdr:rowOff>177800</xdr:rowOff>
                  </to>
                </anchor>
              </controlPr>
            </control>
          </mc:Choice>
        </mc:AlternateContent>
        <mc:AlternateContent xmlns:mc="http://schemas.openxmlformats.org/markup-compatibility/2006">
          <mc:Choice Requires="x14">
            <control shapeId="27720" r:id="rId30" name="Check Box 72">
              <controlPr locked="0" defaultSize="0" autoFill="0" autoLine="0" autoPict="0">
                <anchor moveWithCells="1">
                  <from>
                    <xdr:col>8</xdr:col>
                    <xdr:colOff>0</xdr:colOff>
                    <xdr:row>61</xdr:row>
                    <xdr:rowOff>0</xdr:rowOff>
                  </from>
                  <to>
                    <xdr:col>8</xdr:col>
                    <xdr:colOff>177800</xdr:colOff>
                    <xdr:row>61</xdr:row>
                    <xdr:rowOff>177800</xdr:rowOff>
                  </to>
                </anchor>
              </controlPr>
            </control>
          </mc:Choice>
        </mc:AlternateContent>
        <mc:AlternateContent xmlns:mc="http://schemas.openxmlformats.org/markup-compatibility/2006">
          <mc:Choice Requires="x14">
            <control shapeId="27721" r:id="rId31" name="Check Box 73">
              <controlPr locked="0" defaultSize="0" autoFill="0" autoLine="0" autoPict="0">
                <anchor moveWithCells="1">
                  <from>
                    <xdr:col>8</xdr:col>
                    <xdr:colOff>0</xdr:colOff>
                    <xdr:row>62</xdr:row>
                    <xdr:rowOff>0</xdr:rowOff>
                  </from>
                  <to>
                    <xdr:col>8</xdr:col>
                    <xdr:colOff>177800</xdr:colOff>
                    <xdr:row>63</xdr:row>
                    <xdr:rowOff>0</xdr:rowOff>
                  </to>
                </anchor>
              </controlPr>
            </control>
          </mc:Choice>
        </mc:AlternateContent>
        <mc:AlternateContent xmlns:mc="http://schemas.openxmlformats.org/markup-compatibility/2006">
          <mc:Choice Requires="x14">
            <control shapeId="27722" r:id="rId32" name="Check Box 74">
              <controlPr locked="0" defaultSize="0" autoFill="0" autoLine="0" autoPict="0">
                <anchor moveWithCells="1">
                  <from>
                    <xdr:col>8</xdr:col>
                    <xdr:colOff>0</xdr:colOff>
                    <xdr:row>64</xdr:row>
                    <xdr:rowOff>0</xdr:rowOff>
                  </from>
                  <to>
                    <xdr:col>8</xdr:col>
                    <xdr:colOff>177800</xdr:colOff>
                    <xdr:row>64</xdr:row>
                    <xdr:rowOff>177800</xdr:rowOff>
                  </to>
                </anchor>
              </controlPr>
            </control>
          </mc:Choice>
        </mc:AlternateContent>
        <mc:AlternateContent xmlns:mc="http://schemas.openxmlformats.org/markup-compatibility/2006">
          <mc:Choice Requires="x14">
            <control shapeId="27723" r:id="rId33" name="Check Box 75">
              <controlPr locked="0" defaultSize="0" autoFill="0" autoLine="0" autoPict="0">
                <anchor moveWithCells="1">
                  <from>
                    <xdr:col>8</xdr:col>
                    <xdr:colOff>0</xdr:colOff>
                    <xdr:row>65</xdr:row>
                    <xdr:rowOff>0</xdr:rowOff>
                  </from>
                  <to>
                    <xdr:col>8</xdr:col>
                    <xdr:colOff>177800</xdr:colOff>
                    <xdr:row>65</xdr:row>
                    <xdr:rowOff>177800</xdr:rowOff>
                  </to>
                </anchor>
              </controlPr>
            </control>
          </mc:Choice>
        </mc:AlternateContent>
        <mc:AlternateContent xmlns:mc="http://schemas.openxmlformats.org/markup-compatibility/2006">
          <mc:Choice Requires="x14">
            <control shapeId="27725" r:id="rId34" name="Check Box 77">
              <controlPr locked="0" defaultSize="0" autoFill="0" autoLine="0" autoPict="0">
                <anchor moveWithCells="1">
                  <from>
                    <xdr:col>8</xdr:col>
                    <xdr:colOff>0</xdr:colOff>
                    <xdr:row>26</xdr:row>
                    <xdr:rowOff>0</xdr:rowOff>
                  </from>
                  <to>
                    <xdr:col>8</xdr:col>
                    <xdr:colOff>177800</xdr:colOff>
                    <xdr:row>26</xdr:row>
                    <xdr:rowOff>177800</xdr:rowOff>
                  </to>
                </anchor>
              </controlPr>
            </control>
          </mc:Choice>
        </mc:AlternateContent>
        <mc:AlternateContent xmlns:mc="http://schemas.openxmlformats.org/markup-compatibility/2006">
          <mc:Choice Requires="x14">
            <control shapeId="27727" r:id="rId35" name="Check Box 79">
              <controlPr locked="0" defaultSize="0" autoFill="0" autoLine="0" autoPict="0">
                <anchor moveWithCells="1">
                  <from>
                    <xdr:col>8</xdr:col>
                    <xdr:colOff>0</xdr:colOff>
                    <xdr:row>41</xdr:row>
                    <xdr:rowOff>0</xdr:rowOff>
                  </from>
                  <to>
                    <xdr:col>8</xdr:col>
                    <xdr:colOff>177800</xdr:colOff>
                    <xdr:row>41</xdr:row>
                    <xdr:rowOff>177800</xdr:rowOff>
                  </to>
                </anchor>
              </controlPr>
            </control>
          </mc:Choice>
        </mc:AlternateContent>
        <mc:AlternateContent xmlns:mc="http://schemas.openxmlformats.org/markup-compatibility/2006">
          <mc:Choice Requires="x14">
            <control shapeId="27728" r:id="rId36" name="Check Box 80">
              <controlPr locked="0" defaultSize="0" autoFill="0" autoLine="0" autoPict="0">
                <anchor moveWithCells="1">
                  <from>
                    <xdr:col>8</xdr:col>
                    <xdr:colOff>0</xdr:colOff>
                    <xdr:row>42</xdr:row>
                    <xdr:rowOff>0</xdr:rowOff>
                  </from>
                  <to>
                    <xdr:col>8</xdr:col>
                    <xdr:colOff>177800</xdr:colOff>
                    <xdr:row>42</xdr:row>
                    <xdr:rowOff>177800</xdr:rowOff>
                  </to>
                </anchor>
              </controlPr>
            </control>
          </mc:Choice>
        </mc:AlternateContent>
        <mc:AlternateContent xmlns:mc="http://schemas.openxmlformats.org/markup-compatibility/2006">
          <mc:Choice Requires="x14">
            <control shapeId="27729" r:id="rId37" name="Check Box 81">
              <controlPr locked="0" defaultSize="0" autoFill="0" autoLine="0" autoPict="0">
                <anchor moveWithCells="1">
                  <from>
                    <xdr:col>8</xdr:col>
                    <xdr:colOff>0</xdr:colOff>
                    <xdr:row>43</xdr:row>
                    <xdr:rowOff>0</xdr:rowOff>
                  </from>
                  <to>
                    <xdr:col>8</xdr:col>
                    <xdr:colOff>177800</xdr:colOff>
                    <xdr:row>43</xdr:row>
                    <xdr:rowOff>177800</xdr:rowOff>
                  </to>
                </anchor>
              </controlPr>
            </control>
          </mc:Choice>
        </mc:AlternateContent>
        <mc:AlternateContent xmlns:mc="http://schemas.openxmlformats.org/markup-compatibility/2006">
          <mc:Choice Requires="x14">
            <control shapeId="27730" r:id="rId38" name="Check Box 82">
              <controlPr locked="0" defaultSize="0" autoFill="0" autoLine="0" autoPict="0">
                <anchor moveWithCells="1">
                  <from>
                    <xdr:col>8</xdr:col>
                    <xdr:colOff>0</xdr:colOff>
                    <xdr:row>44</xdr:row>
                    <xdr:rowOff>0</xdr:rowOff>
                  </from>
                  <to>
                    <xdr:col>8</xdr:col>
                    <xdr:colOff>177800</xdr:colOff>
                    <xdr:row>44</xdr:row>
                    <xdr:rowOff>177800</xdr:rowOff>
                  </to>
                </anchor>
              </controlPr>
            </control>
          </mc:Choice>
        </mc:AlternateContent>
        <mc:AlternateContent xmlns:mc="http://schemas.openxmlformats.org/markup-compatibility/2006">
          <mc:Choice Requires="x14">
            <control shapeId="27731" r:id="rId39" name="Check Box 83">
              <controlPr locked="0" defaultSize="0" autoFill="0" autoLine="0" autoPict="0">
                <anchor moveWithCells="1">
                  <from>
                    <xdr:col>8</xdr:col>
                    <xdr:colOff>0</xdr:colOff>
                    <xdr:row>45</xdr:row>
                    <xdr:rowOff>0</xdr:rowOff>
                  </from>
                  <to>
                    <xdr:col>8</xdr:col>
                    <xdr:colOff>177800</xdr:colOff>
                    <xdr:row>45</xdr:row>
                    <xdr:rowOff>177800</xdr:rowOff>
                  </to>
                </anchor>
              </controlPr>
            </control>
          </mc:Choice>
        </mc:AlternateContent>
        <mc:AlternateContent xmlns:mc="http://schemas.openxmlformats.org/markup-compatibility/2006">
          <mc:Choice Requires="x14">
            <control shapeId="27733" r:id="rId40" name="Check Box 85">
              <controlPr locked="0" defaultSize="0" autoFill="0" autoLine="0" autoPict="0">
                <anchor moveWithCells="1">
                  <from>
                    <xdr:col>8</xdr:col>
                    <xdr:colOff>0</xdr:colOff>
                    <xdr:row>47</xdr:row>
                    <xdr:rowOff>0</xdr:rowOff>
                  </from>
                  <to>
                    <xdr:col>8</xdr:col>
                    <xdr:colOff>177800</xdr:colOff>
                    <xdr:row>47</xdr:row>
                    <xdr:rowOff>177800</xdr:rowOff>
                  </to>
                </anchor>
              </controlPr>
            </control>
          </mc:Choice>
        </mc:AlternateContent>
        <mc:AlternateContent xmlns:mc="http://schemas.openxmlformats.org/markup-compatibility/2006">
          <mc:Choice Requires="x14">
            <control shapeId="27734" r:id="rId41" name="Check Box 86">
              <controlPr locked="0" defaultSize="0" autoFill="0" autoLine="0" autoPict="0">
                <anchor moveWithCells="1">
                  <from>
                    <xdr:col>8</xdr:col>
                    <xdr:colOff>0</xdr:colOff>
                    <xdr:row>48</xdr:row>
                    <xdr:rowOff>0</xdr:rowOff>
                  </from>
                  <to>
                    <xdr:col>8</xdr:col>
                    <xdr:colOff>177800</xdr:colOff>
                    <xdr:row>48</xdr:row>
                    <xdr:rowOff>177800</xdr:rowOff>
                  </to>
                </anchor>
              </controlPr>
            </control>
          </mc:Choice>
        </mc:AlternateContent>
        <mc:AlternateContent xmlns:mc="http://schemas.openxmlformats.org/markup-compatibility/2006">
          <mc:Choice Requires="x14">
            <control shapeId="27735" r:id="rId42" name="Check Box 87">
              <controlPr locked="0" defaultSize="0" autoFill="0" autoLine="0" autoPict="0">
                <anchor moveWithCells="1">
                  <from>
                    <xdr:col>8</xdr:col>
                    <xdr:colOff>0</xdr:colOff>
                    <xdr:row>49</xdr:row>
                    <xdr:rowOff>0</xdr:rowOff>
                  </from>
                  <to>
                    <xdr:col>8</xdr:col>
                    <xdr:colOff>177800</xdr:colOff>
                    <xdr:row>49</xdr:row>
                    <xdr:rowOff>177800</xdr:rowOff>
                  </to>
                </anchor>
              </controlPr>
            </control>
          </mc:Choice>
        </mc:AlternateContent>
        <mc:AlternateContent xmlns:mc="http://schemas.openxmlformats.org/markup-compatibility/2006">
          <mc:Choice Requires="x14">
            <control shapeId="27736" r:id="rId43" name="Check Box 88">
              <controlPr locked="0" defaultSize="0" autoFill="0" autoLine="0" autoPict="0">
                <anchor moveWithCells="1">
                  <from>
                    <xdr:col>8</xdr:col>
                    <xdr:colOff>0</xdr:colOff>
                    <xdr:row>50</xdr:row>
                    <xdr:rowOff>0</xdr:rowOff>
                  </from>
                  <to>
                    <xdr:col>8</xdr:col>
                    <xdr:colOff>177800</xdr:colOff>
                    <xdr:row>50</xdr:row>
                    <xdr:rowOff>177800</xdr:rowOff>
                  </to>
                </anchor>
              </controlPr>
            </control>
          </mc:Choice>
        </mc:AlternateContent>
        <mc:AlternateContent xmlns:mc="http://schemas.openxmlformats.org/markup-compatibility/2006">
          <mc:Choice Requires="x14">
            <control shapeId="27739" r:id="rId44" name="Check Box 91">
              <controlPr locked="0" defaultSize="0" autoFill="0" autoLine="0" autoPict="0">
                <anchor moveWithCells="1">
                  <from>
                    <xdr:col>8</xdr:col>
                    <xdr:colOff>0</xdr:colOff>
                    <xdr:row>28</xdr:row>
                    <xdr:rowOff>0</xdr:rowOff>
                  </from>
                  <to>
                    <xdr:col>8</xdr:col>
                    <xdr:colOff>177800</xdr:colOff>
                    <xdr:row>28</xdr:row>
                    <xdr:rowOff>177800</xdr:rowOff>
                  </to>
                </anchor>
              </controlPr>
            </control>
          </mc:Choice>
        </mc:AlternateContent>
        <mc:AlternateContent xmlns:mc="http://schemas.openxmlformats.org/markup-compatibility/2006">
          <mc:Choice Requires="x14">
            <control shapeId="27741" r:id="rId45" name="Check Box 93">
              <controlPr locked="0" defaultSize="0" autoFill="0" autoLine="0" autoPict="0">
                <anchor moveWithCells="1">
                  <from>
                    <xdr:col>8</xdr:col>
                    <xdr:colOff>0</xdr:colOff>
                    <xdr:row>33</xdr:row>
                    <xdr:rowOff>0</xdr:rowOff>
                  </from>
                  <to>
                    <xdr:col>8</xdr:col>
                    <xdr:colOff>177800</xdr:colOff>
                    <xdr:row>33</xdr:row>
                    <xdr:rowOff>177800</xdr:rowOff>
                  </to>
                </anchor>
              </controlPr>
            </control>
          </mc:Choice>
        </mc:AlternateContent>
        <mc:AlternateContent xmlns:mc="http://schemas.openxmlformats.org/markup-compatibility/2006">
          <mc:Choice Requires="x14">
            <control shapeId="27742" r:id="rId46" name="Check Box 94">
              <controlPr locked="0" defaultSize="0" autoFill="0" autoLine="0" autoPict="0">
                <anchor moveWithCells="1">
                  <from>
                    <xdr:col>8</xdr:col>
                    <xdr:colOff>0</xdr:colOff>
                    <xdr:row>34</xdr:row>
                    <xdr:rowOff>0</xdr:rowOff>
                  </from>
                  <to>
                    <xdr:col>8</xdr:col>
                    <xdr:colOff>177800</xdr:colOff>
                    <xdr:row>34</xdr:row>
                    <xdr:rowOff>177800</xdr:rowOff>
                  </to>
                </anchor>
              </controlPr>
            </control>
          </mc:Choice>
        </mc:AlternateContent>
        <mc:AlternateContent xmlns:mc="http://schemas.openxmlformats.org/markup-compatibility/2006">
          <mc:Choice Requires="x14">
            <control shapeId="27743" r:id="rId47" name="Check Box 95">
              <controlPr locked="0" defaultSize="0" autoFill="0" autoLine="0" autoPict="0">
                <anchor moveWithCells="1">
                  <from>
                    <xdr:col>8</xdr:col>
                    <xdr:colOff>0</xdr:colOff>
                    <xdr:row>29</xdr:row>
                    <xdr:rowOff>0</xdr:rowOff>
                  </from>
                  <to>
                    <xdr:col>8</xdr:col>
                    <xdr:colOff>177800</xdr:colOff>
                    <xdr:row>29</xdr:row>
                    <xdr:rowOff>177800</xdr:rowOff>
                  </to>
                </anchor>
              </controlPr>
            </control>
          </mc:Choice>
        </mc:AlternateContent>
        <mc:AlternateContent xmlns:mc="http://schemas.openxmlformats.org/markup-compatibility/2006">
          <mc:Choice Requires="x14">
            <control shapeId="27744" r:id="rId48" name="Check Box 96">
              <controlPr locked="0" defaultSize="0" autoFill="0" autoLine="0" autoPict="0">
                <anchor moveWithCells="1">
                  <from>
                    <xdr:col>8</xdr:col>
                    <xdr:colOff>0</xdr:colOff>
                    <xdr:row>30</xdr:row>
                    <xdr:rowOff>0</xdr:rowOff>
                  </from>
                  <to>
                    <xdr:col>8</xdr:col>
                    <xdr:colOff>177800</xdr:colOff>
                    <xdr:row>30</xdr:row>
                    <xdr:rowOff>177800</xdr:rowOff>
                  </to>
                </anchor>
              </controlPr>
            </control>
          </mc:Choice>
        </mc:AlternateContent>
        <mc:AlternateContent xmlns:mc="http://schemas.openxmlformats.org/markup-compatibility/2006">
          <mc:Choice Requires="x14">
            <control shapeId="27746" r:id="rId49" name="Check Box 98">
              <controlPr locked="0" defaultSize="0" autoFill="0" autoLine="0" autoPict="0">
                <anchor moveWithCells="1">
                  <from>
                    <xdr:col>8</xdr:col>
                    <xdr:colOff>0</xdr:colOff>
                    <xdr:row>19</xdr:row>
                    <xdr:rowOff>0</xdr:rowOff>
                  </from>
                  <to>
                    <xdr:col>8</xdr:col>
                    <xdr:colOff>177800</xdr:colOff>
                    <xdr:row>19</xdr:row>
                    <xdr:rowOff>177800</xdr:rowOff>
                  </to>
                </anchor>
              </controlPr>
            </control>
          </mc:Choice>
        </mc:AlternateContent>
      </controls>
    </mc:Choice>
  </mc:AlternateContent>
  <extLst>
    <ext xmlns:x14="http://schemas.microsoft.com/office/spreadsheetml/2009/9/main" uri="{78C0D931-6437-407d-A8EE-F0AAD7539E65}">
      <x14:conditionalFormattings>
        <x14:conditionalFormatting xmlns:xm="http://schemas.microsoft.com/office/excel/2006/main">
          <x14:cfRule type="expression" priority="11865" id="{31A7DF45-F348-433F-99A6-7A5E293585E0}">
            <xm:f>IF($P$18=Dropdowns!#REF!,TRUE,FALSE)</xm:f>
            <x14:dxf>
              <font>
                <color theme="1"/>
              </font>
            </x14:dxf>
          </x14:cfRule>
          <xm:sqref>A19:D23</xm:sqref>
        </x14:conditionalFormatting>
        <x14:conditionalFormatting xmlns:xm="http://schemas.microsoft.com/office/excel/2006/main">
          <x14:cfRule type="expression" priority="11867" id="{294FD1A7-26E7-438F-9BCA-B17EC9906DAF}">
            <xm:f>NOT($P$18=Dropdowns!#REF!)</xm:f>
            <x14:dxf>
              <fill>
                <patternFill patternType="darkGrid">
                  <bgColor theme="0"/>
                </patternFill>
              </fill>
            </x14:dxf>
          </x14:cfRule>
          <xm:sqref>J23 J19:J20</xm:sqref>
        </x14:conditionalFormatting>
      </x14:conditionalFormattings>
    </ext>
    <ext xmlns:x14="http://schemas.microsoft.com/office/spreadsheetml/2009/9/main" uri="{CCE6A557-97BC-4b89-ADB6-D9C93CAAB3DF}">
      <x14:dataValidations xmlns:xm="http://schemas.microsoft.com/office/excel/2006/main" xWindow="570" yWindow="734" count="3">
        <x14:dataValidation type="list" allowBlank="1" showInputMessage="1" showErrorMessage="1" xr:uid="{00000000-0002-0000-0C00-00001A000000}">
          <x14:formula1>
            <xm:f>OFFSET(Geography!$C$2,MATCH($P$14,Geography!$A$2:$A$3146,0)-1,0,COUNTIF(Geography!$A$2:$A$3146,$P$14),1)</xm:f>
          </x14:formula1>
          <xm:sqref>P15</xm:sqref>
        </x14:dataValidation>
        <x14:dataValidation type="list" allowBlank="1" showInputMessage="1" showErrorMessage="1" xr:uid="{00000000-0002-0000-0C00-00001B000000}">
          <x14:formula1>
            <xm:f>Geography!$J$2:$J$57</xm:f>
          </x14:formula1>
          <xm:sqref>P14 J14:M14</xm:sqref>
        </x14:dataValidation>
        <x14:dataValidation type="list" allowBlank="1" showInputMessage="1" showErrorMessage="1" xr:uid="{00000000-0002-0000-0C00-00001C000000}">
          <x14:formula1>
            <xm:f>OFFSET(Geography!$C$2,MATCH($J$14,Geography!$A$2:$A$3146,0)-1,0,COUNTIF(Geography!$A$2:$A$3146,$J$14),1)</xm:f>
          </x14:formula1>
          <xm:sqref>J15:M15</xm:sqref>
        </x14:dataValidation>
      </x14:dataValidations>
    </ext>
  </extLst>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codeName="Sheet13" filterMode="1">
    <pageSetUpPr fitToPage="1"/>
  </sheetPr>
  <dimension ref="A1:BM2469"/>
  <sheetViews>
    <sheetView showGridLines="0" zoomScaleNormal="100" workbookViewId="0">
      <pane ySplit="7" topLeftCell="A990" activePane="bottomLeft" state="frozen"/>
      <selection activeCell="G1" sqref="G1"/>
      <selection pane="bottomLeft" activeCell="W1020" sqref="W1020"/>
    </sheetView>
  </sheetViews>
  <sheetFormatPr baseColWidth="10" defaultColWidth="8.83203125" defaultRowHeight="15" x14ac:dyDescent="0.2"/>
  <cols>
    <col min="1" max="1" width="3.33203125" style="467" bestFit="1" customWidth="1"/>
    <col min="2" max="2" width="9.6640625" style="467" hidden="1" customWidth="1"/>
    <col min="3" max="6" width="4.5" style="467" hidden="1" customWidth="1"/>
    <col min="7" max="7" width="3.1640625" style="1539" bestFit="1" customWidth="1"/>
    <col min="8" max="8" width="3.1640625" style="467" bestFit="1" customWidth="1"/>
    <col min="9" max="9" width="10.5" style="34" customWidth="1"/>
    <col min="10" max="11" width="3.83203125" style="34" customWidth="1"/>
    <col min="12" max="12" width="71.6640625" style="34" customWidth="1"/>
    <col min="13" max="13" width="13.5" style="34" customWidth="1"/>
    <col min="14" max="15" width="7.6640625" style="34" customWidth="1"/>
    <col min="16" max="17" width="8.83203125" style="37" hidden="1" customWidth="1"/>
    <col min="18" max="21" width="8.83203125" style="34" hidden="1" customWidth="1"/>
    <col min="22" max="22" width="3" style="34" hidden="1" customWidth="1"/>
    <col min="23" max="23" width="21.5" style="34" customWidth="1"/>
    <col min="24" max="25" width="34.83203125" style="34" customWidth="1"/>
    <col min="26" max="26" width="34.83203125" style="704" hidden="1" customWidth="1"/>
    <col min="27" max="27" width="9.1640625" style="707" hidden="1" customWidth="1"/>
    <col min="28" max="28" width="9.1640625" hidden="1" customWidth="1"/>
    <col min="29" max="37" width="9.1640625" style="34" hidden="1" customWidth="1"/>
    <col min="38" max="38" width="19" style="34" hidden="1" customWidth="1"/>
    <col min="39" max="39" width="3.5" style="34" hidden="1" customWidth="1"/>
    <col min="40" max="40" width="16.1640625" style="34" hidden="1" customWidth="1"/>
    <col min="41" max="41" width="3.5" style="34" hidden="1" customWidth="1"/>
    <col min="42" max="42" width="16.5" style="34" hidden="1" customWidth="1"/>
    <col min="43" max="43" width="3.5" style="34" hidden="1" customWidth="1"/>
    <col min="44" max="44" width="18.5" style="34" hidden="1" customWidth="1"/>
    <col min="45" max="45" width="4.5" style="34" hidden="1" customWidth="1"/>
    <col min="46" max="46" width="9.1640625" style="34" hidden="1" customWidth="1"/>
    <col min="47" max="61" width="9.1640625" hidden="1" customWidth="1"/>
  </cols>
  <sheetData>
    <row r="1" spans="1:61" ht="15" customHeight="1" x14ac:dyDescent="0.2">
      <c r="A1" s="1902" t="s">
        <v>3449</v>
      </c>
      <c r="B1" s="1902"/>
      <c r="C1" s="1902"/>
      <c r="D1" s="1902"/>
      <c r="E1" s="1902"/>
      <c r="F1" s="1902"/>
      <c r="G1" s="1902"/>
      <c r="H1" s="1903"/>
      <c r="I1" s="1911" t="s">
        <v>337</v>
      </c>
      <c r="J1" s="1911"/>
      <c r="K1" s="1911"/>
      <c r="L1" s="62" t="s">
        <v>276</v>
      </c>
      <c r="M1" s="1912"/>
      <c r="N1" s="1913"/>
      <c r="O1" s="1914"/>
      <c r="P1" s="30"/>
      <c r="Q1" s="30"/>
      <c r="R1" s="30"/>
      <c r="S1" s="30"/>
      <c r="T1" s="30"/>
      <c r="U1" s="30"/>
      <c r="V1" s="30"/>
      <c r="W1" s="1898" t="s">
        <v>5034</v>
      </c>
      <c r="X1" s="1900" t="s">
        <v>3425</v>
      </c>
      <c r="Y1" s="1901"/>
      <c r="Z1" s="712"/>
      <c r="AF1" s="33" t="s">
        <v>3466</v>
      </c>
      <c r="AG1" s="34">
        <f ca="1">Ch5PointsFinal</f>
        <v>14</v>
      </c>
      <c r="AH1" s="42">
        <f ca="1">Ch6PointsFinal</f>
        <v>45</v>
      </c>
      <c r="AI1" s="42" t="str">
        <f ca="1">Points!Q19</f>
        <v>Gold</v>
      </c>
      <c r="AJ1" s="42" t="str">
        <f ca="1">Points!Q22</f>
        <v>None</v>
      </c>
      <c r="AK1" s="42">
        <f ca="1">Ch9PointsFinal</f>
        <v>34</v>
      </c>
      <c r="AL1" s="42">
        <f>Ch10PointsFinal</f>
        <v>23</v>
      </c>
      <c r="AM1" s="34" t="s">
        <v>297</v>
      </c>
    </row>
    <row r="2" spans="1:61" x14ac:dyDescent="0.2">
      <c r="A2" s="1902"/>
      <c r="B2" s="1902"/>
      <c r="C2" s="1902"/>
      <c r="D2" s="1902"/>
      <c r="E2" s="1902"/>
      <c r="F2" s="1902"/>
      <c r="G2" s="1902"/>
      <c r="H2" s="1903"/>
      <c r="I2" s="1921" t="str">
        <f ca="1">"           Overall Points: "&amp;Points!N25&amp;",                                        Overall Level: "&amp; AM2</f>
        <v xml:space="preserve">           Overall Points: 116,                                        Overall Level: None</v>
      </c>
      <c r="J2" s="1921"/>
      <c r="K2" s="1921"/>
      <c r="L2" s="1921"/>
      <c r="M2" s="1915"/>
      <c r="N2" s="1916"/>
      <c r="O2" s="1917"/>
      <c r="P2" s="30"/>
      <c r="Q2" s="30"/>
      <c r="R2" s="30"/>
      <c r="S2" s="30"/>
      <c r="T2" s="30"/>
      <c r="U2" s="30"/>
      <c r="V2" s="30"/>
      <c r="W2" s="1898"/>
      <c r="X2" s="1900" t="s">
        <v>3919</v>
      </c>
      <c r="Y2" s="1901"/>
      <c r="Z2" s="712"/>
      <c r="AF2" s="33"/>
      <c r="AG2"/>
      <c r="AH2"/>
      <c r="AI2"/>
      <c r="AJ2"/>
      <c r="AK2"/>
      <c r="AL2"/>
      <c r="AM2" s="34" t="str">
        <f ca="1">Points!N26</f>
        <v>None</v>
      </c>
    </row>
    <row r="3" spans="1:61" x14ac:dyDescent="0.2">
      <c r="A3" s="1902"/>
      <c r="B3" s="1902"/>
      <c r="C3" s="1902"/>
      <c r="D3" s="1902"/>
      <c r="E3" s="1902"/>
      <c r="F3" s="1902"/>
      <c r="G3" s="1902"/>
      <c r="H3" s="1903"/>
      <c r="I3" s="1922" t="str">
        <f ca="1" xml:space="preserve"> "                          Points: Ch5:  "&amp;AG1&amp;",    Ch6:  "&amp;AH1&amp;",    Ch7:  "&amp;AI1&amp;",    Ch8:  "&amp;AJ1&amp;",    Ch9:  "&amp;AK1&amp;",    Ch10:  "&amp;AL1</f>
        <v xml:space="preserve">                          Points: Ch5:  14,    Ch6:  45,    Ch7:  Gold,    Ch8:  None,    Ch9:  34,    Ch10:  23</v>
      </c>
      <c r="J3" s="1922"/>
      <c r="K3" s="1922"/>
      <c r="L3" s="1922"/>
      <c r="M3" s="1915"/>
      <c r="N3" s="1916"/>
      <c r="O3" s="1917"/>
      <c r="P3" s="30"/>
      <c r="Q3" s="30"/>
      <c r="R3" s="30"/>
      <c r="S3" s="30"/>
      <c r="T3" s="30"/>
      <c r="U3" s="30"/>
      <c r="V3" s="30"/>
      <c r="W3" s="1899"/>
      <c r="X3" s="1900" t="s">
        <v>3920</v>
      </c>
      <c r="Y3" s="1901"/>
      <c r="Z3" s="712"/>
      <c r="AF3" s="33" t="s">
        <v>293</v>
      </c>
      <c r="AG3" s="34" t="b">
        <f ca="1">OR(ReportType="",IF(ReportType="Rough",OR(AF:AF),OR(AE:AE)))</f>
        <v>0</v>
      </c>
      <c r="AH3" s="33" t="s">
        <v>294</v>
      </c>
      <c r="AI3" s="34" t="b">
        <f ca="1">OR(AD:AD)</f>
        <v>1</v>
      </c>
    </row>
    <row r="4" spans="1:61" s="59" customFormat="1" ht="15" customHeight="1" x14ac:dyDescent="0.2">
      <c r="A4" s="1788" t="s">
        <v>3052</v>
      </c>
      <c r="B4" s="467"/>
      <c r="C4" s="1504"/>
      <c r="D4" s="1504"/>
      <c r="E4" s="1504"/>
      <c r="F4" s="467"/>
      <c r="G4" s="1904" t="s">
        <v>298</v>
      </c>
      <c r="H4" s="1788" t="s">
        <v>3209</v>
      </c>
      <c r="I4" s="1922"/>
      <c r="J4" s="1922"/>
      <c r="K4" s="1922"/>
      <c r="L4" s="1922"/>
      <c r="M4" s="1915"/>
      <c r="N4" s="1916"/>
      <c r="O4" s="1917"/>
      <c r="P4" s="30"/>
      <c r="Q4" s="30"/>
      <c r="R4" s="30"/>
      <c r="S4" s="30"/>
      <c r="T4" s="30"/>
      <c r="U4" s="30"/>
      <c r="V4" s="30"/>
      <c r="W4" s="325" t="s">
        <v>2888</v>
      </c>
      <c r="X4" s="1906" t="str">
        <f>IF(verCity="","",IF(dstBatch, "Various ", verHomeAddress)&amp;", "&amp;verCity&amp;", "&amp;verState&amp;"  "&amp;verZIP)</f>
        <v>Various , Atlanta, Georgia  30311</v>
      </c>
      <c r="Y4" s="1907"/>
      <c r="Z4" s="713"/>
      <c r="AA4" s="707"/>
      <c r="AF4" s="58"/>
      <c r="AH4" s="58"/>
    </row>
    <row r="5" spans="1:61" s="59" customFormat="1" ht="15" customHeight="1" x14ac:dyDescent="0.2">
      <c r="A5" s="1788"/>
      <c r="B5" s="467"/>
      <c r="C5" s="1505"/>
      <c r="D5" s="1505"/>
      <c r="E5" s="1505"/>
      <c r="F5" s="467"/>
      <c r="G5" s="1904"/>
      <c r="H5" s="1788"/>
      <c r="I5" s="1910" t="s">
        <v>3190</v>
      </c>
      <c r="J5" s="1910"/>
      <c r="K5" s="1910"/>
      <c r="L5" s="61" t="s">
        <v>296</v>
      </c>
      <c r="M5" s="1918"/>
      <c r="N5" s="1919"/>
      <c r="O5" s="1920"/>
      <c r="P5" s="30"/>
      <c r="Q5" s="30"/>
      <c r="R5" s="30"/>
      <c r="S5" s="30"/>
      <c r="T5" s="30"/>
      <c r="U5" s="30"/>
      <c r="V5" s="30"/>
      <c r="W5" s="324" t="s">
        <v>130</v>
      </c>
      <c r="X5" s="1908" t="str">
        <f>IF('Overview (Verification)'!P12="","",'Overview (Verification)'!P12)</f>
        <v/>
      </c>
      <c r="Y5" s="1909"/>
      <c r="Z5" s="713"/>
      <c r="AA5" s="707"/>
      <c r="AF5" s="58"/>
      <c r="AH5" s="58"/>
    </row>
    <row r="6" spans="1:61" ht="15" customHeight="1" x14ac:dyDescent="0.2">
      <c r="A6" s="1788"/>
      <c r="C6" s="1505"/>
      <c r="D6" s="1505"/>
      <c r="E6" s="1505"/>
      <c r="G6" s="1904"/>
      <c r="H6" s="1788"/>
      <c r="I6" s="1667" t="s">
        <v>247</v>
      </c>
      <c r="J6" s="1667"/>
      <c r="K6" s="1668"/>
      <c r="L6" s="1664" t="s">
        <v>291</v>
      </c>
      <c r="M6" s="1664" t="s">
        <v>248</v>
      </c>
      <c r="N6" s="1905" t="s">
        <v>252</v>
      </c>
      <c r="O6" s="1905" t="s">
        <v>300</v>
      </c>
      <c r="P6" s="38" t="s">
        <v>295</v>
      </c>
      <c r="Q6" s="38" t="s">
        <v>296</v>
      </c>
      <c r="R6" s="35" t="s">
        <v>249</v>
      </c>
      <c r="S6" s="35" t="s">
        <v>250</v>
      </c>
      <c r="T6" s="35" t="s">
        <v>0</v>
      </c>
      <c r="U6" s="35" t="s">
        <v>341</v>
      </c>
      <c r="V6" s="35"/>
      <c r="W6" s="1664" t="s">
        <v>251</v>
      </c>
      <c r="X6" s="1664" t="s">
        <v>3433</v>
      </c>
      <c r="Y6" s="1653" t="s">
        <v>3432</v>
      </c>
      <c r="Z6" s="1924" t="s">
        <v>3458</v>
      </c>
      <c r="AC6" s="32" t="s">
        <v>288</v>
      </c>
      <c r="AD6" s="32" t="s">
        <v>0</v>
      </c>
      <c r="AE6" s="32" t="s">
        <v>287</v>
      </c>
      <c r="AF6" s="619" t="s">
        <v>3225</v>
      </c>
    </row>
    <row r="7" spans="1:61" s="34" customFormat="1" x14ac:dyDescent="0.2">
      <c r="A7" s="467"/>
      <c r="B7" s="1506"/>
      <c r="C7" s="1506"/>
      <c r="D7" s="1506"/>
      <c r="E7" s="1506"/>
      <c r="F7" s="467"/>
      <c r="G7" s="467"/>
      <c r="H7" s="467"/>
      <c r="I7" s="1667"/>
      <c r="J7" s="1667"/>
      <c r="K7" s="1668"/>
      <c r="L7" s="1665"/>
      <c r="M7" s="1665"/>
      <c r="N7" s="1905"/>
      <c r="O7" s="1905"/>
      <c r="P7" s="38"/>
      <c r="Q7" s="38"/>
      <c r="R7" s="35"/>
      <c r="S7" s="35"/>
      <c r="T7" s="35"/>
      <c r="U7" s="35"/>
      <c r="V7" s="35"/>
      <c r="W7" s="1665"/>
      <c r="X7" s="1665"/>
      <c r="Y7" s="1654"/>
      <c r="Z7" s="1925"/>
      <c r="AA7" s="707"/>
      <c r="AB7"/>
      <c r="AC7" s="32"/>
      <c r="AD7" s="32"/>
      <c r="AE7" s="32"/>
    </row>
    <row r="8" spans="1:61" s="576" customFormat="1" ht="19" hidden="1" x14ac:dyDescent="0.25">
      <c r="A8" s="1507">
        <v>5</v>
      </c>
      <c r="B8" s="1508"/>
      <c r="C8" s="1508"/>
      <c r="D8" s="1508"/>
      <c r="E8" s="1508"/>
      <c r="F8" s="1508"/>
      <c r="G8" s="1509"/>
      <c r="H8" s="1510" t="s">
        <v>3197</v>
      </c>
      <c r="I8" s="24" t="s">
        <v>3479</v>
      </c>
      <c r="J8" s="24"/>
      <c r="K8" s="24"/>
      <c r="L8" s="25"/>
      <c r="M8" s="26"/>
      <c r="N8" s="26"/>
      <c r="O8" s="26"/>
      <c r="P8" s="576" t="s">
        <v>246</v>
      </c>
      <c r="Q8" s="576" t="s">
        <v>246</v>
      </c>
      <c r="R8" s="576" t="s">
        <v>246</v>
      </c>
      <c r="S8" s="576" t="s">
        <v>246</v>
      </c>
      <c r="T8" s="576" t="s">
        <v>246</v>
      </c>
      <c r="U8" s="576" t="s">
        <v>246</v>
      </c>
      <c r="V8" s="576" t="s">
        <v>246</v>
      </c>
      <c r="W8" s="25"/>
      <c r="X8" s="25"/>
      <c r="Y8" s="25"/>
      <c r="Z8" s="719" t="s">
        <v>246</v>
      </c>
      <c r="AA8" s="706" t="s">
        <v>246</v>
      </c>
      <c r="AB8" s="698" t="s">
        <v>246</v>
      </c>
      <c r="AC8" s="698" t="s">
        <v>246</v>
      </c>
      <c r="AD8" s="698" t="s">
        <v>246</v>
      </c>
      <c r="AE8" s="698" t="s">
        <v>246</v>
      </c>
      <c r="AF8" s="698" t="s">
        <v>246</v>
      </c>
      <c r="AG8" s="698" t="s">
        <v>246</v>
      </c>
      <c r="AH8" s="698" t="s">
        <v>246</v>
      </c>
      <c r="AI8" s="698" t="s">
        <v>246</v>
      </c>
      <c r="AJ8" s="698" t="s">
        <v>246</v>
      </c>
      <c r="AK8" s="698" t="s">
        <v>246</v>
      </c>
      <c r="AL8" s="698" t="s">
        <v>246</v>
      </c>
      <c r="AM8" s="698" t="s">
        <v>246</v>
      </c>
      <c r="AN8" s="698" t="s">
        <v>246</v>
      </c>
      <c r="AO8" s="698" t="s">
        <v>246</v>
      </c>
      <c r="AP8" s="698" t="s">
        <v>246</v>
      </c>
      <c r="AQ8" s="698" t="s">
        <v>246</v>
      </c>
      <c r="AR8" s="698" t="s">
        <v>246</v>
      </c>
      <c r="AS8" s="698" t="s">
        <v>246</v>
      </c>
      <c r="AT8" s="698" t="s">
        <v>246</v>
      </c>
      <c r="AU8" s="698" t="s">
        <v>246</v>
      </c>
      <c r="AV8" s="698" t="s">
        <v>246</v>
      </c>
      <c r="AW8" s="698" t="s">
        <v>246</v>
      </c>
      <c r="AX8" s="698" t="s">
        <v>246</v>
      </c>
      <c r="AY8" s="698" t="s">
        <v>246</v>
      </c>
      <c r="AZ8" s="698" t="s">
        <v>246</v>
      </c>
      <c r="BA8" s="698" t="s">
        <v>246</v>
      </c>
      <c r="BB8" s="698" t="s">
        <v>246</v>
      </c>
      <c r="BC8" s="698" t="s">
        <v>246</v>
      </c>
      <c r="BD8" s="698" t="s">
        <v>246</v>
      </c>
      <c r="BE8" s="698" t="s">
        <v>246</v>
      </c>
      <c r="BF8" s="698" t="s">
        <v>246</v>
      </c>
      <c r="BG8" s="698" t="s">
        <v>246</v>
      </c>
      <c r="BH8" s="698" t="s">
        <v>246</v>
      </c>
      <c r="BI8" s="698" t="s">
        <v>246</v>
      </c>
    </row>
    <row r="9" spans="1:61" ht="15" hidden="1" customHeight="1" x14ac:dyDescent="0.2">
      <c r="A9" s="1507">
        <v>5</v>
      </c>
      <c r="B9" s="1511" t="s">
        <v>253</v>
      </c>
      <c r="C9" s="1511"/>
      <c r="D9" s="1511"/>
      <c r="E9" s="1511"/>
      <c r="F9" s="1511"/>
      <c r="G9" s="1509"/>
      <c r="H9" s="1512"/>
      <c r="I9" s="89" t="s">
        <v>3480</v>
      </c>
      <c r="J9" s="89"/>
      <c r="K9" s="89"/>
      <c r="L9" s="1631" t="s">
        <v>3768</v>
      </c>
      <c r="M9" s="414"/>
      <c r="N9" s="930"/>
      <c r="O9" s="930"/>
      <c r="P9" s="905"/>
      <c r="Q9" s="905"/>
      <c r="R9" s="905" t="b">
        <v>0</v>
      </c>
      <c r="S9" s="905" t="b">
        <v>1</v>
      </c>
      <c r="T9" s="905" t="b">
        <v>0</v>
      </c>
      <c r="U9" s="905"/>
      <c r="V9" s="905"/>
      <c r="W9" s="248"/>
      <c r="X9" s="248"/>
      <c r="AC9" s="248"/>
      <c r="AD9" s="248"/>
      <c r="AE9" s="248"/>
      <c r="AF9" s="248"/>
      <c r="AG9" s="248"/>
      <c r="AH9" s="248"/>
      <c r="AI9" s="248"/>
      <c r="AJ9" s="248"/>
      <c r="AK9" s="248"/>
      <c r="AL9" s="248"/>
      <c r="AM9" s="20"/>
      <c r="AN9" s="248"/>
      <c r="AO9" s="20"/>
      <c r="AP9" s="248"/>
      <c r="AQ9" s="248"/>
      <c r="AR9" s="248"/>
      <c r="AS9" s="248"/>
    </row>
    <row r="10" spans="1:61" hidden="1" x14ac:dyDescent="0.2">
      <c r="A10" s="1507">
        <v>5</v>
      </c>
      <c r="B10" s="1511" t="s">
        <v>253</v>
      </c>
      <c r="C10" s="1511"/>
      <c r="D10" s="1511"/>
      <c r="E10" s="1511"/>
      <c r="F10" s="1511"/>
      <c r="G10" s="1509"/>
      <c r="H10" s="1512"/>
      <c r="I10" s="89"/>
      <c r="J10" s="89"/>
      <c r="K10" s="89"/>
      <c r="L10" s="1631"/>
      <c r="M10" s="414"/>
      <c r="N10" s="930"/>
      <c r="O10" s="930"/>
      <c r="P10" s="905"/>
      <c r="Q10" s="905"/>
      <c r="R10" s="905"/>
      <c r="S10" s="905"/>
      <c r="T10" s="905"/>
      <c r="U10" s="905"/>
      <c r="V10" s="905"/>
      <c r="W10" s="248"/>
      <c r="X10" s="248"/>
      <c r="AC10" s="248"/>
      <c r="AD10" s="248"/>
      <c r="AE10" s="248"/>
      <c r="AF10" s="248"/>
      <c r="AG10" s="248"/>
      <c r="AH10" s="248"/>
      <c r="AI10" s="248"/>
      <c r="AJ10" s="248"/>
      <c r="AK10" s="248"/>
      <c r="AL10" s="248"/>
      <c r="AM10" s="248"/>
      <c r="AN10" s="248"/>
      <c r="AO10" s="248"/>
      <c r="AP10" s="248"/>
      <c r="AQ10" s="248"/>
      <c r="AR10" s="248"/>
      <c r="AS10" s="248"/>
      <c r="AX10" s="41" t="str">
        <f>'Overview (Verification)'!A10</f>
        <v>Builder Name:</v>
      </c>
      <c r="AY10" s="42" t="str">
        <f>IF(LEN('Overview (Verification)'!P10)=0,0,'Overview (Verification)'!P10)</f>
        <v>TWG Development</v>
      </c>
    </row>
    <row r="11" spans="1:61" hidden="1" x14ac:dyDescent="0.2">
      <c r="A11" s="1507">
        <v>5</v>
      </c>
      <c r="B11" s="1511" t="s">
        <v>253</v>
      </c>
      <c r="C11" s="1511"/>
      <c r="D11" s="1511"/>
      <c r="E11" s="1511"/>
      <c r="F11" s="1511"/>
      <c r="G11" s="1509"/>
      <c r="H11" s="1512"/>
      <c r="I11" s="89"/>
      <c r="J11" s="89"/>
      <c r="K11" s="89"/>
      <c r="L11" s="1631"/>
      <c r="M11" s="414"/>
      <c r="N11" s="930"/>
      <c r="O11" s="930"/>
      <c r="P11" s="905"/>
      <c r="Q11" s="905"/>
      <c r="R11" s="905"/>
      <c r="S11" s="905"/>
      <c r="T11" s="905"/>
      <c r="U11" s="905"/>
      <c r="V11" s="905"/>
      <c r="W11" s="248"/>
      <c r="X11" s="248"/>
      <c r="AC11" s="248"/>
      <c r="AD11" s="248"/>
      <c r="AE11" s="248"/>
      <c r="AF11" s="248"/>
      <c r="AG11" s="248"/>
      <c r="AH11" s="248"/>
      <c r="AI11" s="248"/>
      <c r="AJ11" s="248"/>
      <c r="AK11" s="248"/>
      <c r="AL11" s="248"/>
      <c r="AM11" s="248"/>
      <c r="AN11" s="248"/>
      <c r="AO11" s="248"/>
      <c r="AP11" s="248"/>
      <c r="AQ11" s="248"/>
      <c r="AR11" s="248"/>
      <c r="AS11" s="248"/>
      <c r="AX11" s="41" t="str">
        <f>'Overview (Verification)'!A11</f>
        <v>Physical Address of Home:</v>
      </c>
      <c r="AY11" s="272" t="str">
        <f>IF(LEN('Overview (Verification)'!P11)=0,0,'Overview (Verification)'!P11)</f>
        <v>330 Brownlee Road SW</v>
      </c>
    </row>
    <row r="12" spans="1:61" ht="19" x14ac:dyDescent="0.25">
      <c r="A12" s="1507">
        <v>5</v>
      </c>
      <c r="B12" s="1511" t="s">
        <v>603</v>
      </c>
      <c r="C12" s="1511"/>
      <c r="D12" s="1511"/>
      <c r="E12" s="1511"/>
      <c r="F12" s="1511"/>
      <c r="G12" s="1509" t="s">
        <v>3200</v>
      </c>
      <c r="H12" s="1510" t="s">
        <v>3197</v>
      </c>
      <c r="I12" s="90" t="s">
        <v>3481</v>
      </c>
      <c r="J12" s="90"/>
      <c r="K12" s="90"/>
      <c r="L12" s="84"/>
      <c r="M12" s="415"/>
      <c r="N12" s="71"/>
      <c r="O12" s="71"/>
      <c r="P12" s="25"/>
      <c r="Q12" s="25"/>
      <c r="R12" s="25"/>
      <c r="S12" s="25"/>
      <c r="T12" s="25"/>
      <c r="U12" s="25"/>
      <c r="V12" s="25"/>
      <c r="W12" s="25"/>
      <c r="X12" s="25"/>
      <c r="Y12" s="25"/>
      <c r="Z12" s="25"/>
      <c r="AC12" s="248"/>
      <c r="AD12" s="248"/>
      <c r="AE12" s="248"/>
      <c r="AF12" s="248"/>
      <c r="AG12" s="248"/>
      <c r="AH12" s="248"/>
      <c r="AI12" s="248"/>
      <c r="AJ12" s="248"/>
      <c r="AK12" s="248"/>
      <c r="AL12" s="248"/>
      <c r="AM12" s="248"/>
      <c r="AN12" s="248"/>
      <c r="AO12" s="248"/>
      <c r="AP12" s="248"/>
      <c r="AQ12" s="248"/>
      <c r="AR12" s="248"/>
      <c r="AS12" s="248"/>
      <c r="AX12" s="41" t="str">
        <f>'Overview (Verification)'!A12</f>
        <v>Community/Lot #:</v>
      </c>
      <c r="AY12" s="272">
        <f>IF(LEN('Overview (Verification)'!P12)=0,0,'Overview (Verification)'!P12)</f>
        <v>0</v>
      </c>
    </row>
    <row r="13" spans="1:61" ht="15" customHeight="1" x14ac:dyDescent="0.2">
      <c r="A13" s="1507">
        <v>5</v>
      </c>
      <c r="B13" s="1511" t="s">
        <v>258</v>
      </c>
      <c r="C13" s="1511"/>
      <c r="D13" s="1511"/>
      <c r="E13" s="1511"/>
      <c r="F13" s="1511"/>
      <c r="G13" s="1513" t="str">
        <f ca="1">IF(COUNTIF(G15:G47,"P")&gt;0,"P","")</f>
        <v>P</v>
      </c>
      <c r="H13" s="1510" t="s">
        <v>3197</v>
      </c>
      <c r="I13" s="89" t="s">
        <v>3482</v>
      </c>
      <c r="J13" s="89"/>
      <c r="K13" s="89"/>
      <c r="L13" s="1631" t="s">
        <v>3507</v>
      </c>
      <c r="M13" s="1655"/>
      <c r="N13" s="940"/>
      <c r="O13" s="1676"/>
      <c r="P13" s="266"/>
      <c r="Q13" s="266"/>
      <c r="R13" s="905"/>
      <c r="S13" s="905"/>
      <c r="T13" s="905"/>
      <c r="U13" s="905"/>
      <c r="V13" s="905"/>
      <c r="W13" s="114"/>
      <c r="X13" s="1599"/>
      <c r="Y13" s="1877" t="str">
        <f>IF(LEN('11.500'!X14)=0,"None",'11.500'!X14)</f>
        <v>None</v>
      </c>
      <c r="Z13" s="1880"/>
      <c r="AC13" s="248"/>
      <c r="AD13" s="248"/>
      <c r="AE13" s="248"/>
      <c r="AF13" s="248"/>
      <c r="AG13" s="248"/>
      <c r="AH13" s="248"/>
      <c r="AI13" s="248"/>
      <c r="AJ13" s="248"/>
      <c r="AK13" s="248"/>
      <c r="AL13" s="1352"/>
      <c r="AM13" s="1352"/>
      <c r="AN13" s="1352"/>
      <c r="AO13" s="1352"/>
      <c r="AP13" s="1352"/>
      <c r="AQ13" s="1352"/>
      <c r="AR13" s="1352" t="str">
        <f>SUBSTITUTE(SUBSTITUTE(SUBSTITUTE("vnt"&amp;$B13&amp;$C13&amp;$D13&amp;$E13&amp;$F13,".","_"),"(","_"),")","")</f>
        <v>vnt501_2</v>
      </c>
      <c r="AS13" s="1352" t="str">
        <f>IF(LEN(X13)=0,"",X13)</f>
        <v/>
      </c>
      <c r="AX13" s="41" t="str">
        <f>'Overview (Verification)'!A13</f>
        <v>City:</v>
      </c>
      <c r="AY13" s="272" t="str">
        <f>IF(LEN('Overview (Verification)'!P13)=0,0,'Overview (Verification)'!P13)</f>
        <v>Atlanta</v>
      </c>
    </row>
    <row r="14" spans="1:61" x14ac:dyDescent="0.2">
      <c r="A14" s="1507">
        <v>5</v>
      </c>
      <c r="B14" s="1511" t="s">
        <v>258</v>
      </c>
      <c r="C14" s="1511"/>
      <c r="D14" s="1511"/>
      <c r="E14" s="1511"/>
      <c r="F14" s="1511"/>
      <c r="G14" s="1509" t="str">
        <f ca="1">G13</f>
        <v>P</v>
      </c>
      <c r="H14" s="1510" t="s">
        <v>3197</v>
      </c>
      <c r="I14" s="89"/>
      <c r="J14" s="89"/>
      <c r="K14" s="89"/>
      <c r="L14" s="1631"/>
      <c r="M14" s="1655"/>
      <c r="N14" s="940"/>
      <c r="O14" s="1676"/>
      <c r="P14" s="266"/>
      <c r="Q14" s="266"/>
      <c r="R14" s="905"/>
      <c r="S14" s="905"/>
      <c r="T14" s="905"/>
      <c r="U14" s="905"/>
      <c r="V14" s="905"/>
      <c r="W14" s="248"/>
      <c r="X14" s="1600"/>
      <c r="Y14" s="1874"/>
      <c r="Z14" s="1889"/>
      <c r="AC14" s="248"/>
      <c r="AD14" s="248"/>
      <c r="AE14" s="248"/>
      <c r="AF14" s="248"/>
      <c r="AG14" s="248"/>
      <c r="AH14" s="248"/>
      <c r="AI14" s="248"/>
      <c r="AJ14" s="248"/>
      <c r="AK14" s="248"/>
      <c r="AL14" s="1352"/>
      <c r="AM14" s="1352"/>
      <c r="AN14" s="1352"/>
      <c r="AO14" s="1352"/>
      <c r="AP14" s="1352"/>
      <c r="AQ14" s="1352"/>
      <c r="AR14" s="1352"/>
      <c r="AS14" s="1352"/>
      <c r="AX14" s="41" t="str">
        <f>'Overview (Verification)'!A14</f>
        <v>State:</v>
      </c>
      <c r="AY14" s="272" t="str">
        <f>IF(LEN('Overview (Verification)'!P14)=0,0,'Overview (Verification)'!P14)</f>
        <v>Georgia</v>
      </c>
      <c r="AZ14" s="42"/>
      <c r="BA14" s="42"/>
      <c r="BB14" s="42"/>
      <c r="BC14" s="42" t="str">
        <f>'Overview (Verification)'!T14</f>
        <v>State</v>
      </c>
      <c r="BD14" s="42" t="str">
        <f>'Overview (Verification)'!U14</f>
        <v>County</v>
      </c>
      <c r="BE14" s="42" t="str">
        <f>'Overview (Verification)'!V14</f>
        <v>Radon</v>
      </c>
      <c r="BF14" s="42" t="str">
        <f>'Overview (Verification)'!W14</f>
        <v>Climate</v>
      </c>
      <c r="BG14" s="42" t="str">
        <f>'Overview (Verification)'!X14</f>
        <v>Moist</v>
      </c>
      <c r="BH14" s="42" t="str">
        <f>'Overview (Verification)'!Y14</f>
        <v>WarmHumid</v>
      </c>
    </row>
    <row r="15" spans="1:61" ht="15" hidden="1" customHeight="1" x14ac:dyDescent="0.2">
      <c r="A15" s="1507">
        <v>5</v>
      </c>
      <c r="B15" s="1511" t="s">
        <v>258</v>
      </c>
      <c r="C15" s="1511" t="s">
        <v>254</v>
      </c>
      <c r="D15" s="1511"/>
      <c r="E15" s="1511"/>
      <c r="F15" s="1514"/>
      <c r="G15" s="1509" t="str">
        <f>IF(N15&gt;0,"P","")</f>
        <v/>
      </c>
      <c r="H15" s="1510" t="s">
        <v>3197</v>
      </c>
      <c r="I15" s="89"/>
      <c r="J15" s="93" t="s">
        <v>254</v>
      </c>
      <c r="K15" s="93"/>
      <c r="L15" s="1657" t="s">
        <v>3769</v>
      </c>
      <c r="M15" s="1641">
        <v>6</v>
      </c>
      <c r="N15" s="1677">
        <f>'11.500'!O16</f>
        <v>0</v>
      </c>
      <c r="O15" s="1677">
        <f>M15*W15</f>
        <v>0</v>
      </c>
      <c r="P15" s="95" t="b">
        <v>1</v>
      </c>
      <c r="Q15" s="95" t="b">
        <v>1</v>
      </c>
      <c r="R15" s="905" t="b">
        <v>0</v>
      </c>
      <c r="S15" s="905" t="b">
        <v>1</v>
      </c>
      <c r="T15" s="905" t="b">
        <v>0</v>
      </c>
      <c r="U15" s="905"/>
      <c r="V15" s="905"/>
      <c r="W15" s="27"/>
      <c r="X15" s="1600"/>
      <c r="Y15" s="1874" t="str">
        <f>IF(LEN('11.500'!X16)=0,"None",'11.500'!X16)</f>
        <v>None</v>
      </c>
      <c r="Z15" s="1889"/>
      <c r="AC15" s="248"/>
      <c r="AD15" s="248"/>
      <c r="AE15" s="248"/>
      <c r="AF15" s="248"/>
      <c r="AG15" s="248"/>
      <c r="AH15" s="248"/>
      <c r="AI15" s="248"/>
      <c r="AJ15" s="248"/>
      <c r="AK15" s="248"/>
      <c r="AL15" s="1352" t="str">
        <f>SUBSTITUTE(SUBSTITUTE(SUBSTITUTE("vpa"&amp;$B15&amp;$C15&amp;$D15&amp;$E15&amp;$F15,".","_"),"(","_"),")","")</f>
        <v>vpa501_2_1</v>
      </c>
      <c r="AM15" s="1352">
        <f>M15</f>
        <v>6</v>
      </c>
      <c r="AN15" s="1352" t="str">
        <f>SUBSTITUTE(SUBSTITUTE(SUBSTITUTE("vpc"&amp;$B15&amp;$C15&amp;$D15&amp;$E15&amp;$F15,".","_"),"(","_"),")","")</f>
        <v>vpc501_2_1</v>
      </c>
      <c r="AO15" s="1352">
        <f>O15</f>
        <v>0</v>
      </c>
      <c r="AP15" s="1352" t="str">
        <f>SUBSTITUTE(SUBSTITUTE(SUBSTITUTE("vch"&amp;$B15&amp;$C15&amp;$D15&amp;$E15&amp;$F15,".","_"),"(","_"),")","")</f>
        <v>vch501_2_1</v>
      </c>
      <c r="AQ15" s="1352" t="str">
        <f>IF(LEN(W15)=0,"",W15)</f>
        <v/>
      </c>
      <c r="AR15" s="1352" t="str">
        <f>SUBSTITUTE(SUBSTITUTE(SUBSTITUTE("vnt"&amp;$B15&amp;$C15&amp;$D15&amp;$E15&amp;$F15,".","_"),"(","_"),")","")</f>
        <v>vnt501_2_1</v>
      </c>
      <c r="AS15" s="1352" t="str">
        <f>IF(LEN(X15)=0,"",X15)</f>
        <v/>
      </c>
      <c r="AX15" s="41" t="str">
        <f>'Overview (Verification)'!A15</f>
        <v>County:</v>
      </c>
      <c r="AY15" s="272" t="str">
        <f>IF(LEN('Overview (Verification)'!P15)=0,0,'Overview (Verification)'!P15)</f>
        <v xml:space="preserve">Fulton  </v>
      </c>
      <c r="AZ15" s="42"/>
      <c r="BA15" s="42"/>
      <c r="BB15" s="42"/>
      <c r="BC15" s="42" t="str">
        <f>'Overview (Verification)'!T15</f>
        <v>Georgia</v>
      </c>
      <c r="BD15" s="42" t="str">
        <f>'Overview (Verification)'!U15</f>
        <v xml:space="preserve">Fulton  </v>
      </c>
      <c r="BE15" s="42">
        <f>'Overview (Verification)'!V15</f>
        <v>1</v>
      </c>
      <c r="BF15" s="42">
        <f>'Overview (Verification)'!W15</f>
        <v>3</v>
      </c>
      <c r="BG15" s="42" t="str">
        <f>'Overview (Verification)'!X15</f>
        <v>Moist</v>
      </c>
      <c r="BH15" s="42" t="str">
        <f>'Overview (Verification)'!Y15</f>
        <v xml:space="preserve"> </v>
      </c>
    </row>
    <row r="16" spans="1:61" hidden="1" x14ac:dyDescent="0.2">
      <c r="A16" s="1507">
        <v>5</v>
      </c>
      <c r="B16" s="1511" t="s">
        <v>258</v>
      </c>
      <c r="C16" s="1511" t="s">
        <v>254</v>
      </c>
      <c r="D16" s="1511"/>
      <c r="E16" s="1511"/>
      <c r="F16" s="1514"/>
      <c r="G16" s="1509" t="str">
        <f>G15</f>
        <v/>
      </c>
      <c r="H16" s="1510" t="s">
        <v>3197</v>
      </c>
      <c r="I16" s="89"/>
      <c r="J16" s="169"/>
      <c r="K16" s="169"/>
      <c r="L16" s="1650"/>
      <c r="M16" s="1656"/>
      <c r="N16" s="1678"/>
      <c r="O16" s="1678"/>
      <c r="P16" s="265"/>
      <c r="Q16" s="265"/>
      <c r="R16" s="905"/>
      <c r="S16" s="905"/>
      <c r="T16" s="905"/>
      <c r="U16" s="905"/>
      <c r="V16" s="905"/>
      <c r="W16" s="248"/>
      <c r="X16" s="1600"/>
      <c r="Y16" s="1874"/>
      <c r="Z16" s="1889"/>
      <c r="AC16" s="248"/>
      <c r="AD16" s="248"/>
      <c r="AE16" s="248"/>
      <c r="AF16" s="248"/>
      <c r="AG16" s="248"/>
      <c r="AH16" s="248"/>
      <c r="AI16" s="248"/>
      <c r="AJ16" s="248"/>
      <c r="AK16" s="248"/>
      <c r="AL16" s="1352"/>
      <c r="AM16" s="1352"/>
      <c r="AN16" s="1352"/>
      <c r="AO16" s="1352"/>
      <c r="AP16" s="1352"/>
      <c r="AQ16" s="1352"/>
      <c r="AR16" s="1352"/>
      <c r="AS16" s="1352"/>
      <c r="AX16" s="41" t="str">
        <f>'Overview (Verification)'!A16</f>
        <v>Zip:</v>
      </c>
      <c r="AY16" s="272" t="str">
        <f>IF(LEN('Overview (Verification)'!P16)=0,0,'Overview (Verification)'!P16)</f>
        <v>30311</v>
      </c>
    </row>
    <row r="17" spans="1:51" ht="15" customHeight="1" x14ac:dyDescent="0.2">
      <c r="A17" s="1507">
        <v>5</v>
      </c>
      <c r="B17" s="1511" t="s">
        <v>258</v>
      </c>
      <c r="C17" s="1511" t="s">
        <v>255</v>
      </c>
      <c r="D17" s="1511"/>
      <c r="E17" s="1511"/>
      <c r="F17" s="1514"/>
      <c r="G17" s="1509" t="str">
        <f>IF(N17&gt;0,"P","")</f>
        <v>P</v>
      </c>
      <c r="H17" s="1510" t="s">
        <v>3197</v>
      </c>
      <c r="I17" s="89"/>
      <c r="J17" s="93" t="s">
        <v>255</v>
      </c>
      <c r="K17" s="93"/>
      <c r="L17" s="1613" t="s">
        <v>3770</v>
      </c>
      <c r="M17" s="1641">
        <v>3</v>
      </c>
      <c r="N17" s="1681">
        <f>'11.500'!O18</f>
        <v>3</v>
      </c>
      <c r="O17" s="1677">
        <f>M17*W17</f>
        <v>3</v>
      </c>
      <c r="P17" s="95" t="b">
        <v>1</v>
      </c>
      <c r="Q17" s="95" t="b">
        <v>1</v>
      </c>
      <c r="R17" s="905" t="b">
        <v>0</v>
      </c>
      <c r="S17" s="905" t="b">
        <v>1</v>
      </c>
      <c r="T17" s="905" t="b">
        <v>0</v>
      </c>
      <c r="U17" s="905"/>
      <c r="V17" s="905"/>
      <c r="W17" s="27" t="b">
        <v>1</v>
      </c>
      <c r="X17" s="1600"/>
      <c r="Y17" s="1874" t="str">
        <f>IF(LEN('11.500'!X18)=0,"None",'11.500'!X18)</f>
        <v>Hamilton E. Holmes MARTA Station</v>
      </c>
      <c r="Z17" s="1889"/>
      <c r="AC17" s="248"/>
      <c r="AD17" s="248"/>
      <c r="AE17" s="248"/>
      <c r="AF17" s="248"/>
      <c r="AG17" s="248"/>
      <c r="AH17" s="248"/>
      <c r="AI17" s="248"/>
      <c r="AJ17" s="248"/>
      <c r="AK17" s="248"/>
      <c r="AL17" s="1352" t="str">
        <f>SUBSTITUTE(SUBSTITUTE(SUBSTITUTE("vpa"&amp;$B17&amp;$C17&amp;$D17&amp;$E17&amp;$F17,".","_"),"(","_"),")","")</f>
        <v>vpa501_2_2</v>
      </c>
      <c r="AM17" s="1352">
        <f>M17</f>
        <v>3</v>
      </c>
      <c r="AN17" s="1352" t="str">
        <f>SUBSTITUTE(SUBSTITUTE(SUBSTITUTE("vpc"&amp;$B17&amp;$C17&amp;$D17&amp;$E17&amp;$F17,".","_"),"(","_"),")","")</f>
        <v>vpc501_2_2</v>
      </c>
      <c r="AO17" s="1352">
        <f>O17</f>
        <v>3</v>
      </c>
      <c r="AP17" s="1352" t="str">
        <f>SUBSTITUTE(SUBSTITUTE(SUBSTITUTE("vch"&amp;$B17&amp;$C17&amp;$D17&amp;$E17&amp;$F17,".","_"),"(","_"),")","")</f>
        <v>vch501_2_2</v>
      </c>
      <c r="AQ17" s="1352" t="b">
        <f>IF(LEN(W17)=0,"",W17)</f>
        <v>1</v>
      </c>
      <c r="AR17" s="1352" t="str">
        <f>SUBSTITUTE(SUBSTITUTE(SUBSTITUTE("vnt"&amp;$B17&amp;$C17&amp;$D17&amp;$E17&amp;$F17,".","_"),"(","_"),")","")</f>
        <v>vnt501_2_2</v>
      </c>
      <c r="AS17" s="1352" t="str">
        <f>IF(LEN(X17)=0,"",X17)</f>
        <v/>
      </c>
      <c r="AX17" s="41"/>
      <c r="AY17" s="42"/>
    </row>
    <row r="18" spans="1:51" x14ac:dyDescent="0.2">
      <c r="A18" s="1507">
        <v>5</v>
      </c>
      <c r="B18" s="1511" t="s">
        <v>258</v>
      </c>
      <c r="C18" s="1511" t="s">
        <v>255</v>
      </c>
      <c r="D18" s="1511"/>
      <c r="E18" s="1511"/>
      <c r="F18" s="1514"/>
      <c r="G18" s="1509" t="str">
        <f>G17</f>
        <v>P</v>
      </c>
      <c r="H18" s="1510" t="s">
        <v>3197</v>
      </c>
      <c r="I18" s="89"/>
      <c r="J18" s="169"/>
      <c r="K18" s="169"/>
      <c r="L18" s="1612"/>
      <c r="M18" s="1656"/>
      <c r="N18" s="1678"/>
      <c r="O18" s="1678"/>
      <c r="P18" s="265"/>
      <c r="Q18" s="265"/>
      <c r="R18" s="905"/>
      <c r="S18" s="905"/>
      <c r="T18" s="905"/>
      <c r="U18" s="905"/>
      <c r="V18" s="905"/>
      <c r="W18" s="248"/>
      <c r="X18" s="1600"/>
      <c r="Y18" s="1874"/>
      <c r="Z18" s="1889"/>
      <c r="AC18" s="248"/>
      <c r="AD18" s="248"/>
      <c r="AE18" s="248"/>
      <c r="AF18" s="248"/>
      <c r="AG18" s="248"/>
      <c r="AH18" s="248"/>
      <c r="AI18" s="248"/>
      <c r="AJ18" s="248"/>
      <c r="AK18" s="248"/>
      <c r="AL18" s="1352"/>
      <c r="AM18" s="1352"/>
      <c r="AN18" s="1352"/>
      <c r="AO18" s="1352"/>
      <c r="AP18" s="1352"/>
      <c r="AQ18" s="1352"/>
      <c r="AR18" s="1352"/>
      <c r="AS18" s="1352"/>
      <c r="AX18" s="41" t="str">
        <f>'Overview (Verification)'!A18</f>
        <v>Single-Family or Multifamily:</v>
      </c>
      <c r="AY18" s="272" t="str">
        <f>IF(LEN('Overview (Verification)'!P18)=0,0,'Overview (Verification)'!P18)</f>
        <v>Multifamily</v>
      </c>
    </row>
    <row r="19" spans="1:51" ht="15" hidden="1" customHeight="1" x14ac:dyDescent="0.2">
      <c r="A19" s="1507">
        <v>5</v>
      </c>
      <c r="B19" s="1511" t="s">
        <v>258</v>
      </c>
      <c r="C19" s="1511" t="s">
        <v>256</v>
      </c>
      <c r="D19" s="1511"/>
      <c r="E19" s="1511"/>
      <c r="F19" s="1514"/>
      <c r="G19" s="1509" t="str">
        <f>IF(N19&gt;0,"P","")</f>
        <v/>
      </c>
      <c r="H19" s="1510" t="s">
        <v>3197</v>
      </c>
      <c r="I19" s="89"/>
      <c r="J19" s="93" t="s">
        <v>256</v>
      </c>
      <c r="K19" s="93"/>
      <c r="L19" s="1613" t="s">
        <v>3771</v>
      </c>
      <c r="M19" s="1640">
        <v>4</v>
      </c>
      <c r="N19" s="1681">
        <f>'11.500'!O20</f>
        <v>0</v>
      </c>
      <c r="O19" s="1681">
        <f>M19*W19</f>
        <v>0</v>
      </c>
      <c r="P19" s="95" t="b">
        <v>1</v>
      </c>
      <c r="Q19" s="95" t="b">
        <v>1</v>
      </c>
      <c r="R19" s="905" t="b">
        <v>0</v>
      </c>
      <c r="S19" s="905" t="b">
        <f>LEN(W29)&lt;1</f>
        <v>1</v>
      </c>
      <c r="T19" s="905" t="b">
        <f>AND(LEN(W29)&gt;0,W19=TRUE)</f>
        <v>0</v>
      </c>
      <c r="U19" s="905"/>
      <c r="V19" s="905"/>
      <c r="W19" s="27"/>
      <c r="X19" s="1600"/>
      <c r="Y19" s="1874" t="str">
        <f>IF(LEN('11.500'!X20)=0,"None",'11.500'!X20)</f>
        <v>None</v>
      </c>
      <c r="Z19" s="1889"/>
      <c r="AC19" s="248" t="b">
        <f>OR(AD19:AE19)</f>
        <v>0</v>
      </c>
      <c r="AD19" s="617" t="b">
        <f>T19</f>
        <v>0</v>
      </c>
      <c r="AE19" s="248" t="b">
        <f>AND(W19=TRUE,LEN(X19)=0)</f>
        <v>0</v>
      </c>
      <c r="AF19" s="248" t="b">
        <f>AND(AE19,NOT(Q19))</f>
        <v>0</v>
      </c>
      <c r="AG19" s="248"/>
      <c r="AH19" s="248"/>
      <c r="AI19" s="248"/>
      <c r="AJ19" s="248"/>
      <c r="AK19" s="248"/>
      <c r="AL19" s="1352" t="str">
        <f>SUBSTITUTE(SUBSTITUTE(SUBSTITUTE("vpa"&amp;$B19&amp;$C19&amp;$D19&amp;$E19&amp;$F19,".","_"),"(","_"),")","")</f>
        <v>vpa501_2_3</v>
      </c>
      <c r="AM19" s="1352">
        <f>M19</f>
        <v>4</v>
      </c>
      <c r="AN19" s="1352" t="str">
        <f>SUBSTITUTE(SUBSTITUTE(SUBSTITUTE("vpc"&amp;$B19&amp;$C19&amp;$D19&amp;$E19&amp;$F19,".","_"),"(","_"),")","")</f>
        <v>vpc501_2_3</v>
      </c>
      <c r="AO19" s="1352">
        <f>O19</f>
        <v>0</v>
      </c>
      <c r="AP19" s="1352" t="str">
        <f>SUBSTITUTE(SUBSTITUTE(SUBSTITUTE("vch"&amp;$B19&amp;$C19&amp;$D19&amp;$E19&amp;$F19,".","_"),"(","_"),")","")</f>
        <v>vch501_2_3</v>
      </c>
      <c r="AQ19" s="1352" t="str">
        <f>IF(LEN(W19)=0,"",W19)</f>
        <v/>
      </c>
      <c r="AR19" s="1352" t="str">
        <f>SUBSTITUTE(SUBSTITUTE(SUBSTITUTE("vnt"&amp;$B19&amp;$C19&amp;$D19&amp;$E19&amp;$F19,".","_"),"(","_"),")","")</f>
        <v>vnt501_2_3</v>
      </c>
      <c r="AS19" s="1352" t="str">
        <f>IF(LEN(X19)=0,"",X19)</f>
        <v/>
      </c>
      <c r="AX19" s="41" t="str">
        <f>'Overview (Verification)'!A19</f>
        <v>Number of Units:</v>
      </c>
      <c r="AY19" s="272">
        <f>IF(LEN('Overview (Verification)'!P19)=0,0,'Overview (Verification)'!P19)</f>
        <v>48</v>
      </c>
    </row>
    <row r="20" spans="1:51" hidden="1" x14ac:dyDescent="0.2">
      <c r="A20" s="1507">
        <v>5</v>
      </c>
      <c r="B20" s="1511" t="s">
        <v>258</v>
      </c>
      <c r="C20" s="1511" t="s">
        <v>256</v>
      </c>
      <c r="D20" s="1511"/>
      <c r="E20" s="1511"/>
      <c r="F20" s="1514"/>
      <c r="G20" s="1509" t="str">
        <f t="shared" ref="G20:G33" si="0">G19</f>
        <v/>
      </c>
      <c r="H20" s="1510" t="s">
        <v>3197</v>
      </c>
      <c r="I20" s="89"/>
      <c r="J20" s="93"/>
      <c r="K20" s="93"/>
      <c r="L20" s="1609"/>
      <c r="M20" s="1641"/>
      <c r="N20" s="1677"/>
      <c r="O20" s="1677"/>
      <c r="P20" s="265"/>
      <c r="Q20" s="265"/>
      <c r="R20" s="905"/>
      <c r="S20" s="905"/>
      <c r="T20" s="905"/>
      <c r="U20" s="905"/>
      <c r="V20" s="905"/>
      <c r="W20" s="248"/>
      <c r="X20" s="1600"/>
      <c r="Y20" s="1874" t="str">
        <f>IF(LEN('11.500'!X21)=0,"None",'11.500'!X21:X25)</f>
        <v>None</v>
      </c>
      <c r="Z20" s="1889"/>
      <c r="AC20" s="248"/>
      <c r="AD20" s="248"/>
      <c r="AE20" s="248"/>
      <c r="AF20" s="248"/>
      <c r="AG20" s="248"/>
      <c r="AH20" s="248"/>
      <c r="AI20" s="248"/>
      <c r="AJ20" s="248"/>
      <c r="AK20" s="248"/>
      <c r="AL20" s="1352"/>
      <c r="AM20" s="1352"/>
      <c r="AN20" s="1352"/>
      <c r="AO20" s="1352"/>
      <c r="AP20" s="1352"/>
      <c r="AQ20" s="1352"/>
      <c r="AR20" s="1352"/>
      <c r="AS20" s="1352"/>
      <c r="AX20" s="41" t="str">
        <f>'Overview (Verification)'!A23</f>
        <v>Project Name:</v>
      </c>
      <c r="AY20" s="272" t="str">
        <f>IF(LEN('Overview (Verification)'!P23)=0,0,'Overview (Verification)'!P23)</f>
        <v>Towne West Manor</v>
      </c>
    </row>
    <row r="21" spans="1:51" hidden="1" x14ac:dyDescent="0.2">
      <c r="A21" s="1507">
        <v>5</v>
      </c>
      <c r="B21" s="1511" t="s">
        <v>258</v>
      </c>
      <c r="C21" s="1511" t="s">
        <v>256</v>
      </c>
      <c r="D21" s="1511"/>
      <c r="E21" s="1511"/>
      <c r="F21" s="1514"/>
      <c r="G21" s="1509" t="str">
        <f t="shared" si="0"/>
        <v/>
      </c>
      <c r="H21" s="1510" t="s">
        <v>3197</v>
      </c>
      <c r="I21" s="89"/>
      <c r="J21" s="93"/>
      <c r="K21" s="93"/>
      <c r="L21" s="1609"/>
      <c r="M21" s="1641"/>
      <c r="N21" s="1677"/>
      <c r="O21" s="1677"/>
      <c r="P21" s="265"/>
      <c r="Q21" s="265"/>
      <c r="R21" s="905"/>
      <c r="S21" s="905"/>
      <c r="T21" s="905"/>
      <c r="U21" s="905"/>
      <c r="V21" s="905"/>
      <c r="W21" s="248"/>
      <c r="X21" s="1600"/>
      <c r="Y21" s="1874" t="str">
        <f>IF(LEN('11.500'!X22)=0,"None",'11.500'!X22:X26)</f>
        <v>None</v>
      </c>
      <c r="Z21" s="1889"/>
      <c r="AC21" s="248"/>
      <c r="AD21" s="248"/>
      <c r="AE21" s="248"/>
      <c r="AF21" s="248"/>
      <c r="AG21" s="248"/>
      <c r="AH21" s="248"/>
      <c r="AI21" s="248"/>
      <c r="AJ21" s="248"/>
      <c r="AK21" s="248"/>
      <c r="AL21" s="1352"/>
      <c r="AM21" s="1352"/>
      <c r="AN21" s="1352"/>
      <c r="AO21" s="1352"/>
      <c r="AP21" s="1352"/>
      <c r="AQ21" s="1352"/>
      <c r="AR21" s="1352"/>
      <c r="AS21" s="1352"/>
    </row>
    <row r="22" spans="1:51" hidden="1" x14ac:dyDescent="0.2">
      <c r="A22" s="1507">
        <v>5</v>
      </c>
      <c r="B22" s="1511" t="s">
        <v>258</v>
      </c>
      <c r="C22" s="1511" t="s">
        <v>256</v>
      </c>
      <c r="D22" s="1511"/>
      <c r="E22" s="1511"/>
      <c r="F22" s="1514"/>
      <c r="G22" s="1509" t="str">
        <f t="shared" si="0"/>
        <v/>
      </c>
      <c r="H22" s="1510" t="s">
        <v>3197</v>
      </c>
      <c r="I22" s="89"/>
      <c r="J22" s="93"/>
      <c r="K22" s="93"/>
      <c r="L22" s="1609"/>
      <c r="M22" s="1641"/>
      <c r="N22" s="1677"/>
      <c r="O22" s="1677"/>
      <c r="P22" s="265"/>
      <c r="Q22" s="265"/>
      <c r="R22" s="905"/>
      <c r="S22" s="905"/>
      <c r="T22" s="905"/>
      <c r="U22" s="905"/>
      <c r="V22" s="905"/>
      <c r="W22" s="248"/>
      <c r="X22" s="1600"/>
      <c r="Y22" s="1874" t="str">
        <f>IF(LEN('11.500'!X23)=0,"None",'11.500'!X23:X27)</f>
        <v>None</v>
      </c>
      <c r="Z22" s="1889"/>
      <c r="AC22" s="248"/>
      <c r="AD22" s="248"/>
      <c r="AE22" s="248"/>
      <c r="AF22" s="248"/>
      <c r="AG22" s="248"/>
      <c r="AH22" s="248"/>
      <c r="AI22" s="248"/>
      <c r="AJ22" s="248"/>
      <c r="AK22" s="248"/>
      <c r="AL22" s="1352"/>
      <c r="AM22" s="1352"/>
      <c r="AN22" s="1352"/>
      <c r="AO22" s="1352"/>
      <c r="AP22" s="1352"/>
      <c r="AQ22" s="1352"/>
      <c r="AR22" s="1352"/>
      <c r="AS22" s="1352"/>
      <c r="AX22" s="41" t="str">
        <f>'Overview (Verification)'!A25</f>
        <v>Above grade plane finished floor area:</v>
      </c>
      <c r="AY22" s="272">
        <f>IF(LEN('Overview (Verification)'!P25)=0,0,'Overview (Verification)'!P25)</f>
        <v>1184</v>
      </c>
    </row>
    <row r="23" spans="1:51" hidden="1" x14ac:dyDescent="0.2">
      <c r="A23" s="1507">
        <v>5</v>
      </c>
      <c r="B23" s="1511" t="s">
        <v>258</v>
      </c>
      <c r="C23" s="1511" t="s">
        <v>256</v>
      </c>
      <c r="D23" s="1511"/>
      <c r="E23" s="1511"/>
      <c r="F23" s="1514"/>
      <c r="G23" s="1509" t="str">
        <f t="shared" si="0"/>
        <v/>
      </c>
      <c r="H23" s="1510" t="s">
        <v>3197</v>
      </c>
      <c r="I23" s="89"/>
      <c r="J23" s="93"/>
      <c r="K23" s="93"/>
      <c r="L23" s="97" t="s">
        <v>260</v>
      </c>
      <c r="M23" s="1641"/>
      <c r="N23" s="1677"/>
      <c r="O23" s="1677"/>
      <c r="P23" s="265"/>
      <c r="Q23" s="265"/>
      <c r="R23" s="905"/>
      <c r="S23" s="905"/>
      <c r="T23" s="905"/>
      <c r="U23" s="905"/>
      <c r="V23" s="905"/>
      <c r="W23" s="248"/>
      <c r="X23" s="1600"/>
      <c r="Y23" s="1874" t="str">
        <f>IF(LEN('11.500'!X24)=0,"None",'11.500'!X24:X28)</f>
        <v>None</v>
      </c>
      <c r="Z23" s="1889"/>
      <c r="AC23" s="248"/>
      <c r="AD23" s="248"/>
      <c r="AE23" s="248"/>
      <c r="AF23" s="248"/>
      <c r="AG23" s="248"/>
      <c r="AH23" s="248"/>
      <c r="AI23" s="248"/>
      <c r="AJ23" s="248"/>
      <c r="AK23" s="248"/>
      <c r="AL23" s="1352"/>
      <c r="AM23" s="1352"/>
      <c r="AN23" s="1352"/>
      <c r="AO23" s="1352"/>
      <c r="AP23" s="1352"/>
      <c r="AQ23" s="1352"/>
      <c r="AR23" s="1352"/>
      <c r="AS23" s="1352"/>
      <c r="AX23" s="41" t="str">
        <f>'Overview (Verification)'!A26</f>
        <v>Total conditioned floor area:</v>
      </c>
      <c r="AY23" s="272">
        <f>IF(LEN('Overview (Verification)'!P26)=0,0,'Overview (Verification)'!P26)</f>
        <v>20128</v>
      </c>
    </row>
    <row r="24" spans="1:51" hidden="1" x14ac:dyDescent="0.2">
      <c r="A24" s="1507">
        <v>5</v>
      </c>
      <c r="B24" s="1511" t="s">
        <v>258</v>
      </c>
      <c r="C24" s="1511" t="s">
        <v>256</v>
      </c>
      <c r="D24" s="1511"/>
      <c r="E24" s="1511"/>
      <c r="F24" s="1514"/>
      <c r="G24" s="1509" t="str">
        <f t="shared" si="0"/>
        <v/>
      </c>
      <c r="H24" s="1510" t="s">
        <v>3197</v>
      </c>
      <c r="I24" s="89"/>
      <c r="J24" s="93"/>
      <c r="K24" s="93"/>
      <c r="L24" s="97" t="s">
        <v>261</v>
      </c>
      <c r="M24" s="1641"/>
      <c r="N24" s="1677"/>
      <c r="O24" s="1677"/>
      <c r="P24" s="265"/>
      <c r="Q24" s="265"/>
      <c r="R24" s="905"/>
      <c r="S24" s="905"/>
      <c r="T24" s="905"/>
      <c r="U24" s="905"/>
      <c r="V24" s="905"/>
      <c r="W24" s="248"/>
      <c r="X24" s="1600"/>
      <c r="Y24" s="1874" t="str">
        <f>IF(LEN('11.500'!X25)=0,"None",'11.500'!X25:X35)</f>
        <v>None</v>
      </c>
      <c r="Z24" s="1889"/>
      <c r="AC24" s="248"/>
      <c r="AD24" s="248"/>
      <c r="AE24" s="248"/>
      <c r="AF24" s="248"/>
      <c r="AG24" s="248"/>
      <c r="AH24" s="248"/>
      <c r="AI24" s="248"/>
      <c r="AJ24" s="248"/>
      <c r="AK24" s="248"/>
      <c r="AL24" s="1352"/>
      <c r="AM24" s="1352"/>
      <c r="AN24" s="1352"/>
      <c r="AO24" s="1352"/>
      <c r="AP24" s="1352"/>
      <c r="AQ24" s="1352"/>
      <c r="AR24" s="1352"/>
      <c r="AS24" s="1352"/>
      <c r="AX24" s="433" t="str">
        <f>'Overview (Verification)'!A27</f>
        <v>Stories above grade:</v>
      </c>
      <c r="AY24" s="434">
        <f>IF(LEN('Overview (Verification)'!P27)=0,0,'Overview (Verification)'!P27)</f>
        <v>2</v>
      </c>
    </row>
    <row r="25" spans="1:51" hidden="1" x14ac:dyDescent="0.2">
      <c r="A25" s="1507">
        <v>5</v>
      </c>
      <c r="B25" s="1511" t="s">
        <v>258</v>
      </c>
      <c r="C25" s="1511" t="s">
        <v>256</v>
      </c>
      <c r="D25" s="1511"/>
      <c r="E25" s="1511"/>
      <c r="F25" s="1514"/>
      <c r="G25" s="1509" t="str">
        <f t="shared" si="0"/>
        <v/>
      </c>
      <c r="H25" s="1510" t="s">
        <v>3197</v>
      </c>
      <c r="I25" s="89"/>
      <c r="J25" s="93"/>
      <c r="K25" s="93"/>
      <c r="L25" s="97" t="s">
        <v>262</v>
      </c>
      <c r="M25" s="1641"/>
      <c r="N25" s="1677"/>
      <c r="O25" s="1677"/>
      <c r="P25" s="265"/>
      <c r="Q25" s="265"/>
      <c r="R25" s="905"/>
      <c r="S25" s="905"/>
      <c r="T25" s="905"/>
      <c r="U25" s="905"/>
      <c r="V25" s="905"/>
      <c r="W25" s="248"/>
      <c r="X25" s="1600"/>
      <c r="Y25" s="1874" t="str">
        <f>IF(LEN('11.500'!X26)=0,"None",'11.500'!X26:X36)</f>
        <v>None</v>
      </c>
      <c r="Z25" s="1889"/>
      <c r="AC25" s="248"/>
      <c r="AD25" s="248"/>
      <c r="AE25" s="248"/>
      <c r="AF25" s="248"/>
      <c r="AG25" s="248"/>
      <c r="AH25" s="248"/>
      <c r="AI25" s="248"/>
      <c r="AJ25" s="248"/>
      <c r="AK25" s="248"/>
      <c r="AL25" s="1352"/>
      <c r="AM25" s="1352"/>
      <c r="AN25" s="1352"/>
      <c r="AO25" s="1352"/>
      <c r="AP25" s="1352"/>
      <c r="AQ25" s="1352"/>
      <c r="AR25" s="1352"/>
      <c r="AS25" s="1352"/>
      <c r="AX25" s="1167"/>
      <c r="AY25" s="1168"/>
    </row>
    <row r="26" spans="1:51" hidden="1" x14ac:dyDescent="0.2">
      <c r="A26" s="1507">
        <v>5</v>
      </c>
      <c r="B26" s="1511" t="s">
        <v>258</v>
      </c>
      <c r="C26" s="1511" t="s">
        <v>256</v>
      </c>
      <c r="D26" s="1511"/>
      <c r="E26" s="1511"/>
      <c r="F26" s="1514"/>
      <c r="G26" s="1509" t="str">
        <f t="shared" si="0"/>
        <v/>
      </c>
      <c r="H26" s="1510" t="s">
        <v>3197</v>
      </c>
      <c r="I26" s="89"/>
      <c r="J26" s="93"/>
      <c r="K26" s="93"/>
      <c r="L26" s="97" t="s">
        <v>3772</v>
      </c>
      <c r="M26" s="1641"/>
      <c r="N26" s="1677"/>
      <c r="O26" s="1677"/>
      <c r="P26" s="265"/>
      <c r="Q26" s="265"/>
      <c r="R26" s="905"/>
      <c r="S26" s="905"/>
      <c r="T26" s="905"/>
      <c r="U26" s="905"/>
      <c r="V26" s="905"/>
      <c r="W26" s="248"/>
      <c r="X26" s="1600"/>
      <c r="Y26" s="1874" t="str">
        <f>IF(LEN('11.500'!X27)=0,"None",'11.500'!X27:X37)</f>
        <v>None</v>
      </c>
      <c r="Z26" s="1889"/>
      <c r="AC26" s="248"/>
      <c r="AD26" s="248"/>
      <c r="AE26" s="248"/>
      <c r="AF26" s="248"/>
      <c r="AG26" s="248"/>
      <c r="AH26" s="248"/>
      <c r="AI26" s="248"/>
      <c r="AJ26" s="248"/>
      <c r="AK26" s="248"/>
      <c r="AL26" s="1352"/>
      <c r="AM26" s="1352"/>
      <c r="AN26" s="1352"/>
      <c r="AO26" s="1352"/>
      <c r="AP26" s="1352"/>
      <c r="AQ26" s="1352"/>
      <c r="AR26" s="1352"/>
      <c r="AS26" s="1352"/>
      <c r="AX26" s="1167" t="str">
        <f>'Overview (Verification)'!A29</f>
        <v>Year Built:</v>
      </c>
      <c r="AY26" s="1168">
        <f>IF(LEN('Overview (Verification)'!P29)=0,0,'Overview (Verification)'!P29)</f>
        <v>1969</v>
      </c>
    </row>
    <row r="27" spans="1:51" hidden="1" x14ac:dyDescent="0.2">
      <c r="A27" s="1507">
        <v>5</v>
      </c>
      <c r="B27" s="1511" t="s">
        <v>258</v>
      </c>
      <c r="C27" s="1511" t="s">
        <v>256</v>
      </c>
      <c r="D27" s="1511"/>
      <c r="E27" s="1511"/>
      <c r="F27" s="1514"/>
      <c r="G27" s="1509" t="str">
        <f t="shared" si="0"/>
        <v/>
      </c>
      <c r="H27" s="1510" t="s">
        <v>3197</v>
      </c>
      <c r="I27" s="89"/>
      <c r="J27" s="93"/>
      <c r="K27" s="93"/>
      <c r="L27" s="925" t="s">
        <v>269</v>
      </c>
      <c r="M27" s="1641"/>
      <c r="N27" s="1677"/>
      <c r="O27" s="1677"/>
      <c r="P27" s="265"/>
      <c r="Q27" s="265"/>
      <c r="R27" s="905"/>
      <c r="S27" s="905"/>
      <c r="T27" s="905"/>
      <c r="U27" s="905"/>
      <c r="V27" s="905"/>
      <c r="W27" s="248"/>
      <c r="X27" s="1600"/>
      <c r="Y27" s="1874" t="str">
        <f>IF(LEN('11.500'!X28)=0,"None",'11.500'!X28:X38)</f>
        <v>None</v>
      </c>
      <c r="Z27" s="1889"/>
      <c r="AC27" s="248"/>
      <c r="AD27" s="248"/>
      <c r="AE27" s="248"/>
      <c r="AF27" s="248"/>
      <c r="AG27" s="248"/>
      <c r="AH27" s="248"/>
      <c r="AI27" s="248"/>
      <c r="AJ27" s="248"/>
      <c r="AK27" s="248"/>
      <c r="AL27" s="1352"/>
      <c r="AM27" s="1352"/>
      <c r="AN27" s="1352"/>
      <c r="AO27" s="1352"/>
      <c r="AP27" s="1352"/>
      <c r="AQ27" s="1352"/>
      <c r="AR27" s="1352"/>
      <c r="AS27" s="1352"/>
      <c r="AX27" s="1167" t="str">
        <f>'Overview (Verification)'!A30</f>
        <v>Energy Baseline Year:</v>
      </c>
      <c r="AY27" s="1168">
        <f>IF(LEN('Overview (Verification)'!P30)=0,0,'Overview (Verification)'!P30)</f>
        <v>2020</v>
      </c>
    </row>
    <row r="28" spans="1:51" hidden="1" x14ac:dyDescent="0.2">
      <c r="A28" s="1515">
        <v>5</v>
      </c>
      <c r="B28" s="1511" t="s">
        <v>258</v>
      </c>
      <c r="C28" s="1516" t="s">
        <v>256</v>
      </c>
      <c r="D28" s="1517" t="s">
        <v>3931</v>
      </c>
      <c r="E28" s="1511"/>
      <c r="F28" s="1514"/>
      <c r="G28" s="1509" t="str">
        <f t="shared" si="0"/>
        <v/>
      </c>
      <c r="H28" s="1510" t="s">
        <v>3197</v>
      </c>
      <c r="I28" s="905"/>
      <c r="J28" s="93"/>
      <c r="K28" s="93"/>
      <c r="L28" s="934" t="s">
        <v>101</v>
      </c>
      <c r="M28" s="924"/>
      <c r="N28" s="941"/>
      <c r="O28" s="941"/>
      <c r="P28" s="265"/>
      <c r="Q28" s="265"/>
      <c r="R28" s="905"/>
      <c r="S28" s="905"/>
      <c r="T28" s="905"/>
      <c r="U28" s="905"/>
      <c r="V28" s="905"/>
      <c r="W28"/>
      <c r="X28" s="1600"/>
      <c r="Y28" s="1874" t="str">
        <f>IF(LEN('11.500'!X29)=0,"None",'11.500'!X29)</f>
        <v>None</v>
      </c>
      <c r="Z28" s="1600"/>
      <c r="AA28"/>
      <c r="AC28"/>
      <c r="AD28"/>
      <c r="AE28"/>
      <c r="AF28"/>
      <c r="AG28"/>
      <c r="AH28"/>
      <c r="AI28"/>
      <c r="AJ28"/>
      <c r="AK28"/>
      <c r="AL28" s="1352"/>
      <c r="AM28" s="1352"/>
      <c r="AN28" s="1352"/>
      <c r="AO28" s="1352"/>
      <c r="AP28" s="1352"/>
      <c r="AQ28" s="1352"/>
      <c r="AR28" s="1352" t="str">
        <f>SUBSTITUTE(SUBSTITUTE(SUBSTITUTE("vnt"&amp;$B28&amp;$C28&amp;$D28&amp;$E28&amp;$F28,".","_"),"(","_"),")","")</f>
        <v>vnt501_2_3_</v>
      </c>
      <c r="AS28" s="1352" t="str">
        <f>IF(LEN(X28)=0,"",X28)</f>
        <v/>
      </c>
      <c r="AT28"/>
      <c r="AX28" s="1167" t="str">
        <f>'Overview (Verification)'!A31</f>
        <v>Water Baseline Year:</v>
      </c>
      <c r="AY28" s="1168">
        <f>IF(LEN('Overview (Verification)'!P31)=0,0,'Overview (Verification)'!P31)</f>
        <v>2020</v>
      </c>
    </row>
    <row r="29" spans="1:51" ht="15" hidden="1" customHeight="1" x14ac:dyDescent="0.2">
      <c r="A29" s="1515">
        <v>5</v>
      </c>
      <c r="B29" s="1511" t="s">
        <v>258</v>
      </c>
      <c r="C29" s="1516" t="s">
        <v>256</v>
      </c>
      <c r="D29" s="1517" t="s">
        <v>3931</v>
      </c>
      <c r="E29" s="1511"/>
      <c r="F29" s="1514"/>
      <c r="G29" s="1509" t="str">
        <f ca="1">IF(N29&gt;0,"P","")</f>
        <v/>
      </c>
      <c r="H29" s="1510" t="s">
        <v>3197</v>
      </c>
      <c r="I29" s="905"/>
      <c r="J29" s="93"/>
      <c r="K29" s="93"/>
      <c r="L29" s="1680" t="s">
        <v>3929</v>
      </c>
      <c r="M29" s="924"/>
      <c r="N29" s="1677">
        <f ca="1">'11.500'!O30</f>
        <v>0</v>
      </c>
      <c r="O29" s="1677">
        <f ca="1">IFERROR(INDEX({5,2},MATCH(W29,INDIRECT(U29),0)),0)*S29</f>
        <v>0</v>
      </c>
      <c r="P29" s="265" t="b">
        <v>1</v>
      </c>
      <c r="Q29" s="265" t="b">
        <v>1</v>
      </c>
      <c r="R29" s="905" t="b">
        <v>0</v>
      </c>
      <c r="S29" s="905" t="b">
        <f>NOT(W19)</f>
        <v>1</v>
      </c>
      <c r="T29" s="905" t="b">
        <f>AND(LEN(W29)&gt;0,W19=TRUE)</f>
        <v>0</v>
      </c>
      <c r="U29" s="905" t="str">
        <f>SUBSTITUTE(SUBSTITUTE(SUBSTITUTE("dd"&amp;$B29&amp;$C29&amp;$D29&amp;$E29&amp;$F29,".","_"),"(","_"),")","")</f>
        <v>dd501_2_3_</v>
      </c>
      <c r="V29" s="905"/>
      <c r="W29" s="12"/>
      <c r="X29" s="1600"/>
      <c r="Y29" s="1874"/>
      <c r="Z29" s="1600"/>
      <c r="AA29"/>
      <c r="AC29" s="1150" t="b">
        <f>OR(AD29:AE29)</f>
        <v>0</v>
      </c>
      <c r="AD29" s="1150" t="b">
        <f>T29</f>
        <v>0</v>
      </c>
      <c r="AE29"/>
      <c r="AF29"/>
      <c r="AG29"/>
      <c r="AH29"/>
      <c r="AI29"/>
      <c r="AJ29"/>
      <c r="AK29"/>
      <c r="AL29" s="1352"/>
      <c r="AM29" s="1352"/>
      <c r="AN29" s="1352" t="str">
        <f>SUBSTITUTE(SUBSTITUTE(SUBSTITUTE("vpc"&amp;$B29&amp;$C29&amp;$D29&amp;$E29&amp;$F29,".","_"),"(","_"),")","")</f>
        <v>vpc501_2_3_</v>
      </c>
      <c r="AO29" s="1352">
        <f ca="1">O29</f>
        <v>0</v>
      </c>
      <c r="AP29" s="1352" t="str">
        <f>SUBSTITUTE(SUBSTITUTE(SUBSTITUTE("vch"&amp;$B29&amp;$C29&amp;$D29&amp;$E29&amp;$F29,".","_"),"(","_"),")","")</f>
        <v>vch501_2_3_</v>
      </c>
      <c r="AQ29" s="1352" t="str">
        <f>IF(LEN(W29)=0,"",W29)</f>
        <v/>
      </c>
      <c r="AR29" s="1352"/>
      <c r="AS29" s="1352"/>
      <c r="AT29"/>
      <c r="AX29" s="41" t="str">
        <f>'Overview (Verification)'!A32</f>
        <v xml:space="preserve">Project Description: </v>
      </c>
      <c r="AY29" s="272" t="str">
        <f>IF(LEN('Overview (Verification)'!P32)=0,0,'Overview (Verification)'!P32)</f>
        <v>n/a</v>
      </c>
    </row>
    <row r="30" spans="1:51" hidden="1" x14ac:dyDescent="0.2">
      <c r="A30" s="1515">
        <v>5</v>
      </c>
      <c r="B30" s="1511" t="s">
        <v>258</v>
      </c>
      <c r="C30" s="1516" t="s">
        <v>256</v>
      </c>
      <c r="D30" s="1517"/>
      <c r="E30" s="1511"/>
      <c r="F30" s="1514"/>
      <c r="G30" s="1509" t="str">
        <f t="shared" ca="1" si="0"/>
        <v/>
      </c>
      <c r="H30" s="1510" t="s">
        <v>3197</v>
      </c>
      <c r="I30" s="905"/>
      <c r="J30" s="93"/>
      <c r="K30" s="93"/>
      <c r="L30" s="1680"/>
      <c r="M30" s="924"/>
      <c r="N30" s="1677"/>
      <c r="O30" s="1677"/>
      <c r="P30" s="265"/>
      <c r="Q30" s="265"/>
      <c r="R30" s="905"/>
      <c r="S30" s="905"/>
      <c r="T30" s="905"/>
      <c r="U30" s="905"/>
      <c r="V30" s="905"/>
      <c r="W30"/>
      <c r="X30" s="1600"/>
      <c r="Y30" s="1874"/>
      <c r="Z30" s="1600"/>
      <c r="AA30"/>
      <c r="AC30"/>
      <c r="AD30"/>
      <c r="AE30"/>
      <c r="AF30"/>
      <c r="AG30"/>
      <c r="AH30"/>
      <c r="AI30"/>
      <c r="AJ30"/>
      <c r="AK30"/>
      <c r="AL30" s="1352"/>
      <c r="AM30" s="1352"/>
      <c r="AN30" s="1352"/>
      <c r="AO30" s="1352"/>
      <c r="AP30" s="1352"/>
      <c r="AQ30" s="1352"/>
      <c r="AR30" s="1352"/>
      <c r="AS30" s="1352"/>
      <c r="AT30"/>
      <c r="AX30" s="1167"/>
      <c r="AY30" s="1168"/>
    </row>
    <row r="31" spans="1:51" hidden="1" x14ac:dyDescent="0.2">
      <c r="A31" s="1515">
        <v>5</v>
      </c>
      <c r="B31" s="1511" t="s">
        <v>258</v>
      </c>
      <c r="C31" s="1516" t="s">
        <v>256</v>
      </c>
      <c r="D31" s="1517"/>
      <c r="E31" s="1511"/>
      <c r="F31" s="1514"/>
      <c r="G31" s="1509" t="str">
        <f t="shared" ca="1" si="0"/>
        <v/>
      </c>
      <c r="H31" s="1510" t="s">
        <v>3197</v>
      </c>
      <c r="I31" s="905"/>
      <c r="J31" s="93"/>
      <c r="K31" s="93"/>
      <c r="L31" s="1680"/>
      <c r="M31" s="924"/>
      <c r="N31" s="1677"/>
      <c r="O31" s="1677"/>
      <c r="P31" s="265"/>
      <c r="Q31" s="265"/>
      <c r="R31" s="905"/>
      <c r="S31" s="905"/>
      <c r="T31" s="905"/>
      <c r="U31" s="905"/>
      <c r="V31" s="905"/>
      <c r="W31"/>
      <c r="X31" s="1600"/>
      <c r="Y31" s="1874"/>
      <c r="Z31" s="1600"/>
      <c r="AA31"/>
      <c r="AC31"/>
      <c r="AD31"/>
      <c r="AE31"/>
      <c r="AF31"/>
      <c r="AG31"/>
      <c r="AH31"/>
      <c r="AI31"/>
      <c r="AJ31"/>
      <c r="AK31"/>
      <c r="AL31" s="1352"/>
      <c r="AM31" s="1352"/>
      <c r="AN31" s="1352"/>
      <c r="AO31" s="1352"/>
      <c r="AP31" s="1352"/>
      <c r="AQ31" s="1352"/>
      <c r="AR31" s="1352"/>
      <c r="AS31" s="1352"/>
      <c r="AT31"/>
      <c r="AX31" s="1167" t="str">
        <f>'Overview (Verification)'!A34</f>
        <v>Selected Energy Compliance Path:</v>
      </c>
      <c r="AY31" s="1168" t="str">
        <f>IF(LEN('Overview (Verification)'!P34)=0,0,'Overview (Verification)'!P34)</f>
        <v>Performance</v>
      </c>
    </row>
    <row r="32" spans="1:51" hidden="1" x14ac:dyDescent="0.2">
      <c r="A32" s="1515">
        <v>5</v>
      </c>
      <c r="B32" s="1511" t="s">
        <v>258</v>
      </c>
      <c r="C32" s="1516" t="s">
        <v>256</v>
      </c>
      <c r="D32" s="1516" t="s">
        <v>121</v>
      </c>
      <c r="E32" s="1511"/>
      <c r="F32" s="1514"/>
      <c r="G32" s="1509" t="str">
        <f t="shared" ca="1" si="0"/>
        <v/>
      </c>
      <c r="H32" s="1510" t="s">
        <v>3197</v>
      </c>
      <c r="I32" s="905"/>
      <c r="J32" s="93"/>
      <c r="K32" s="89" t="s">
        <v>121</v>
      </c>
      <c r="L32" s="934" t="s">
        <v>3930</v>
      </c>
      <c r="M32" s="924">
        <v>5</v>
      </c>
      <c r="N32" s="941"/>
      <c r="O32" s="941"/>
      <c r="P32" s="265"/>
      <c r="Q32" s="265"/>
      <c r="R32" s="905"/>
      <c r="S32" s="905"/>
      <c r="T32" s="905"/>
      <c r="U32" s="905"/>
      <c r="V32" s="905"/>
      <c r="W32"/>
      <c r="X32" s="1600"/>
      <c r="Y32" s="1874"/>
      <c r="Z32" s="1600"/>
      <c r="AA32"/>
      <c r="AC32"/>
      <c r="AD32"/>
      <c r="AE32"/>
      <c r="AF32"/>
      <c r="AG32"/>
      <c r="AH32"/>
      <c r="AI32"/>
      <c r="AJ32"/>
      <c r="AK32"/>
      <c r="AL32" s="1352" t="str">
        <f>SUBSTITUTE(SUBSTITUTE(SUBSTITUTE("vpa"&amp;$B32&amp;$C32&amp;$D32&amp;$E32&amp;$F32,".","_"),"(","_"),")","")</f>
        <v>vpa501_2_3_a</v>
      </c>
      <c r="AM32" s="1352">
        <f>M32</f>
        <v>5</v>
      </c>
      <c r="AN32" s="1352"/>
      <c r="AO32" s="1352"/>
      <c r="AP32" s="1352"/>
      <c r="AQ32" s="1352"/>
      <c r="AR32" s="1352"/>
      <c r="AS32" s="1352"/>
      <c r="AT32"/>
      <c r="AX32" s="1167" t="str">
        <f>'Overview (Verification)'!A35</f>
        <v>Selected Water Compliance Path:</v>
      </c>
      <c r="AY32" s="1168" t="str">
        <f>IF(LEN('Overview (Verification)'!P35)=0,0,'Overview (Verification)'!P35)</f>
        <v>Prescriptive</v>
      </c>
    </row>
    <row r="33" spans="1:52" hidden="1" x14ac:dyDescent="0.2">
      <c r="A33" s="1515">
        <v>5</v>
      </c>
      <c r="B33" s="1511" t="s">
        <v>258</v>
      </c>
      <c r="C33" s="1516" t="s">
        <v>256</v>
      </c>
      <c r="D33" s="1516" t="s">
        <v>122</v>
      </c>
      <c r="E33" s="1511"/>
      <c r="F33" s="1514"/>
      <c r="G33" s="1509" t="str">
        <f t="shared" ca="1" si="0"/>
        <v/>
      </c>
      <c r="H33" s="1510" t="s">
        <v>3197</v>
      </c>
      <c r="I33" s="905"/>
      <c r="J33" s="169"/>
      <c r="K33" s="169" t="s">
        <v>122</v>
      </c>
      <c r="L33" s="170" t="s">
        <v>265</v>
      </c>
      <c r="M33" s="927">
        <v>2</v>
      </c>
      <c r="N33" s="942"/>
      <c r="O33" s="942"/>
      <c r="P33" s="265"/>
      <c r="Q33" s="265"/>
      <c r="R33" s="905"/>
      <c r="S33" s="905"/>
      <c r="T33" s="905"/>
      <c r="U33" s="905"/>
      <c r="V33" s="905"/>
      <c r="W33"/>
      <c r="X33" s="1600"/>
      <c r="Y33" s="1874"/>
      <c r="Z33" s="1600"/>
      <c r="AA33"/>
      <c r="AC33"/>
      <c r="AD33"/>
      <c r="AE33"/>
      <c r="AF33"/>
      <c r="AG33"/>
      <c r="AH33"/>
      <c r="AI33"/>
      <c r="AJ33"/>
      <c r="AK33"/>
      <c r="AL33" s="1352" t="str">
        <f>SUBSTITUTE(SUBSTITUTE(SUBSTITUTE("vpa"&amp;$B33&amp;$C33&amp;$D33&amp;$E33&amp;$F33,".","_"),"(","_"),")","")</f>
        <v>vpa501_2_3_b</v>
      </c>
      <c r="AM33" s="1352">
        <f>M33</f>
        <v>2</v>
      </c>
      <c r="AN33" s="1352"/>
      <c r="AO33" s="1352"/>
      <c r="AP33" s="1352"/>
      <c r="AQ33" s="1352"/>
      <c r="AR33" s="1352"/>
      <c r="AS33" s="1352"/>
      <c r="AT33"/>
      <c r="AX33" s="41" t="str">
        <f>'Overview (Verification)'!A36</f>
        <v>Foundation Type:</v>
      </c>
      <c r="AY33" s="272" t="str">
        <f>IF(LEN('Overview (Verification)'!P36)=0,0,'Overview (Verification)'!P36)</f>
        <v>Slab on grade</v>
      </c>
      <c r="AZ33" s="1">
        <f>IFERROR(MATCH(AY33,ddFoundation,0),0)</f>
        <v>4</v>
      </c>
    </row>
    <row r="34" spans="1:52" ht="15" hidden="1" customHeight="1" x14ac:dyDescent="0.2">
      <c r="A34" s="1507">
        <v>5</v>
      </c>
      <c r="B34" s="1511" t="s">
        <v>258</v>
      </c>
      <c r="C34" s="1511" t="s">
        <v>259</v>
      </c>
      <c r="D34" s="1511"/>
      <c r="E34" s="1511"/>
      <c r="F34" s="1514"/>
      <c r="G34" s="1509" t="str">
        <f>IF(N34&gt;0,"P","")</f>
        <v/>
      </c>
      <c r="H34" s="1510" t="s">
        <v>3197</v>
      </c>
      <c r="I34" s="89"/>
      <c r="J34" s="93" t="s">
        <v>259</v>
      </c>
      <c r="K34" s="93"/>
      <c r="L34" s="1609" t="s">
        <v>3773</v>
      </c>
      <c r="M34" s="1641">
        <v>5</v>
      </c>
      <c r="N34" s="1681">
        <f>'11.500'!O35</f>
        <v>0</v>
      </c>
      <c r="O34" s="1677">
        <f>M34*W34</f>
        <v>0</v>
      </c>
      <c r="P34" s="95" t="b">
        <v>1</v>
      </c>
      <c r="Q34" s="95" t="b">
        <v>1</v>
      </c>
      <c r="R34" s="905" t="b">
        <v>0</v>
      </c>
      <c r="S34" s="905" t="b">
        <v>1</v>
      </c>
      <c r="T34" s="905" t="b">
        <v>0</v>
      </c>
      <c r="U34" s="905"/>
      <c r="V34" s="905"/>
      <c r="W34" s="27"/>
      <c r="X34" s="1600"/>
      <c r="Y34" s="1874" t="str">
        <f>IF(LEN('11.500'!X35)=0,"None",'11.500'!X35)</f>
        <v>None</v>
      </c>
      <c r="Z34" s="1889"/>
      <c r="AC34" s="248"/>
      <c r="AD34" s="248"/>
      <c r="AE34" s="248"/>
      <c r="AF34" s="248"/>
      <c r="AG34" s="248"/>
      <c r="AH34" s="248"/>
      <c r="AI34" s="248"/>
      <c r="AJ34" s="248"/>
      <c r="AK34" s="248"/>
      <c r="AL34" s="1352" t="str">
        <f>SUBSTITUTE(SUBSTITUTE(SUBSTITUTE("vpa"&amp;$B34&amp;$C34&amp;$D34&amp;$E34&amp;$F34,".","_"),"(","_"),")","")</f>
        <v>vpa501_2_4</v>
      </c>
      <c r="AM34" s="1352">
        <f>M34</f>
        <v>5</v>
      </c>
      <c r="AN34" s="1352" t="str">
        <f>SUBSTITUTE(SUBSTITUTE(SUBSTITUTE("vpc"&amp;$B34&amp;$C34&amp;$D34&amp;$E34&amp;$F34,".","_"),"(","_"),")","")</f>
        <v>vpc501_2_4</v>
      </c>
      <c r="AO34" s="1352">
        <f>O34</f>
        <v>0</v>
      </c>
      <c r="AP34" s="1352" t="str">
        <f>SUBSTITUTE(SUBSTITUTE(SUBSTITUTE("vch"&amp;$B34&amp;$C34&amp;$D34&amp;$E34&amp;$F34,".","_"),"(","_"),")","")</f>
        <v>vch501_2_4</v>
      </c>
      <c r="AQ34" s="1352" t="str">
        <f>IF(LEN(W34)=0,"",W34)</f>
        <v/>
      </c>
      <c r="AR34" s="1352" t="str">
        <f>SUBSTITUTE(SUBSTITUTE(SUBSTITUTE("vnt"&amp;$B34&amp;$C34&amp;$D34&amp;$E34&amp;$F34,".","_"),"(","_"),")","")</f>
        <v>vnt501_2_4</v>
      </c>
      <c r="AS34" s="1352" t="str">
        <f>IF(LEN(X34)=0,"",X34)</f>
        <v/>
      </c>
      <c r="AX34" s="433"/>
      <c r="AY34" s="434"/>
    </row>
    <row r="35" spans="1:52" hidden="1" x14ac:dyDescent="0.2">
      <c r="A35" s="1507">
        <v>5</v>
      </c>
      <c r="B35" s="1511" t="s">
        <v>258</v>
      </c>
      <c r="C35" s="1511" t="s">
        <v>259</v>
      </c>
      <c r="D35" s="1511"/>
      <c r="E35" s="1511"/>
      <c r="F35" s="1514"/>
      <c r="G35" s="1509" t="str">
        <f>G34</f>
        <v/>
      </c>
      <c r="H35" s="1510" t="s">
        <v>3197</v>
      </c>
      <c r="I35" s="89"/>
      <c r="J35" s="93"/>
      <c r="K35" s="93"/>
      <c r="L35" s="1609"/>
      <c r="M35" s="1641"/>
      <c r="N35" s="1677"/>
      <c r="O35" s="1677"/>
      <c r="P35" s="265"/>
      <c r="Q35" s="265"/>
      <c r="R35" s="905"/>
      <c r="S35" s="905"/>
      <c r="T35" s="905"/>
      <c r="U35" s="905"/>
      <c r="V35" s="905"/>
      <c r="W35" s="248"/>
      <c r="X35" s="1600"/>
      <c r="Y35" s="1874" t="str">
        <f>IF(LEN('11.500'!X36)=0,"None",'11.500'!X36:X40)</f>
        <v>None</v>
      </c>
      <c r="Z35" s="1889"/>
      <c r="AC35" s="248"/>
      <c r="AD35" s="248"/>
      <c r="AE35" s="248"/>
      <c r="AF35" s="248"/>
      <c r="AG35" s="248"/>
      <c r="AH35" s="248"/>
      <c r="AI35" s="248"/>
      <c r="AJ35" s="248"/>
      <c r="AK35" s="248"/>
      <c r="AL35" s="1352"/>
      <c r="AM35" s="1352"/>
      <c r="AN35" s="1352"/>
      <c r="AO35" s="1352"/>
      <c r="AP35" s="1352"/>
      <c r="AQ35" s="1352"/>
      <c r="AR35" s="1352"/>
      <c r="AS35" s="1352"/>
      <c r="AX35" s="433" t="str">
        <f>'Overview (Verification)'!A38</f>
        <v>Type of Heating System (main system):</v>
      </c>
      <c r="AY35" s="434" t="str">
        <f>IF(LEN('Overview (Verification)'!P38)=0,0,'Overview (Verification)'!P38)</f>
        <v>Heat Pump</v>
      </c>
    </row>
    <row r="36" spans="1:52" hidden="1" x14ac:dyDescent="0.2">
      <c r="A36" s="1507">
        <v>5</v>
      </c>
      <c r="B36" s="1511" t="s">
        <v>258</v>
      </c>
      <c r="C36" s="1511" t="s">
        <v>259</v>
      </c>
      <c r="D36" s="1511"/>
      <c r="E36" s="1511"/>
      <c r="F36" s="1514"/>
      <c r="G36" s="1509" t="str">
        <f>G35</f>
        <v/>
      </c>
      <c r="H36" s="1510" t="s">
        <v>3197</v>
      </c>
      <c r="I36" s="89"/>
      <c r="J36" s="169"/>
      <c r="K36" s="169"/>
      <c r="L36" s="1612"/>
      <c r="M36" s="1656"/>
      <c r="N36" s="1678"/>
      <c r="O36" s="1678"/>
      <c r="P36" s="265"/>
      <c r="Q36" s="265"/>
      <c r="R36" s="905"/>
      <c r="S36" s="905"/>
      <c r="T36" s="905"/>
      <c r="U36" s="905"/>
      <c r="V36" s="905"/>
      <c r="W36" s="248"/>
      <c r="X36" s="1600"/>
      <c r="Y36" s="1874" t="str">
        <f>IF(LEN('11.500'!X37)=0,"None",'11.500'!X37:X41)</f>
        <v>None</v>
      </c>
      <c r="Z36" s="1889"/>
      <c r="AC36" s="248"/>
      <c r="AD36" s="248"/>
      <c r="AE36" s="248"/>
      <c r="AF36" s="248"/>
      <c r="AG36" s="248"/>
      <c r="AH36" s="248"/>
      <c r="AI36" s="248"/>
      <c r="AJ36" s="248"/>
      <c r="AK36" s="248"/>
      <c r="AL36" s="1352"/>
      <c r="AM36" s="1352"/>
      <c r="AN36" s="1352"/>
      <c r="AO36" s="1352"/>
      <c r="AP36" s="1352"/>
      <c r="AQ36" s="1352"/>
      <c r="AR36" s="1352"/>
      <c r="AS36" s="1352"/>
      <c r="AX36" s="433" t="str">
        <f>'Overview (Verification)'!A39</f>
        <v>Type of Heating System (system 2):</v>
      </c>
      <c r="AY36" s="434">
        <f>IF(LEN('Overview (Verification)'!P39)=0,0,'Overview (Verification)'!P39)</f>
        <v>0</v>
      </c>
    </row>
    <row r="37" spans="1:52" ht="15" hidden="1" customHeight="1" x14ac:dyDescent="0.2">
      <c r="A37" s="1507">
        <v>5</v>
      </c>
      <c r="B37" s="1511" t="s">
        <v>258</v>
      </c>
      <c r="C37" s="1511" t="s">
        <v>263</v>
      </c>
      <c r="D37" s="1511"/>
      <c r="E37" s="1511"/>
      <c r="F37" s="1514"/>
      <c r="G37" s="1509" t="str">
        <f ca="1">IF(N37&gt;0,"P","")</f>
        <v/>
      </c>
      <c r="H37" s="1510" t="s">
        <v>3197</v>
      </c>
      <c r="I37" s="89"/>
      <c r="J37" s="89" t="s">
        <v>263</v>
      </c>
      <c r="K37" s="89"/>
      <c r="L37" s="1613" t="s">
        <v>3774</v>
      </c>
      <c r="M37" s="1655"/>
      <c r="N37" s="1681">
        <f ca="1">'11.500'!O38</f>
        <v>0</v>
      </c>
      <c r="O37" s="1679">
        <f ca="1">IFERROR(INDEX({2,4,6},MATCH(W37,INDIRECT(U37),0))+2*W42,0)*S37</f>
        <v>0</v>
      </c>
      <c r="P37" s="95" t="b">
        <v>1</v>
      </c>
      <c r="Q37" s="95" t="b">
        <v>1</v>
      </c>
      <c r="R37" s="905" t="b">
        <v>0</v>
      </c>
      <c r="S37" s="905" t="b">
        <f ca="1">IF($AY$19=INDEX(INDIRECT("ddSingleOrMulti"),2),TRUE,FALSE)</f>
        <v>0</v>
      </c>
      <c r="T37" s="991" t="b">
        <f ca="1">AND(NOT(S37),LEN(W37)&gt;0)</f>
        <v>0</v>
      </c>
      <c r="U37" s="905" t="str">
        <f>SUBSTITUTE(SUBSTITUTE(SUBSTITUTE("dd"&amp;$B37&amp;$C37&amp;$D37&amp;$E37&amp;$F37,".","_"),"(","_"),")","")</f>
        <v>dd501_2_5</v>
      </c>
      <c r="V37" s="905"/>
      <c r="W37" s="12"/>
      <c r="X37" s="1600"/>
      <c r="Y37" s="1874" t="str">
        <f>IF(LEN('11.500'!X38)=0,"None",'11.500'!X38)</f>
        <v>None</v>
      </c>
      <c r="Z37" s="1889"/>
      <c r="AC37" s="248" t="b">
        <f ca="1">OR(AD37:AE37)</f>
        <v>0</v>
      </c>
      <c r="AD37" s="248" t="b">
        <f ca="1">T37</f>
        <v>0</v>
      </c>
      <c r="AE37" s="248"/>
      <c r="AF37" s="248"/>
      <c r="AG37" s="248"/>
      <c r="AH37" s="248"/>
      <c r="AI37" s="248"/>
      <c r="AJ37" s="248"/>
      <c r="AK37" s="248"/>
      <c r="AL37" s="1352"/>
      <c r="AM37" s="1352"/>
      <c r="AN37" s="1352" t="str">
        <f>SUBSTITUTE(SUBSTITUTE(SUBSTITUTE("vpc"&amp;$B37&amp;$C37&amp;$D37&amp;$E37&amp;$F37,".","_"),"(","_"),")","")</f>
        <v>vpc501_2_5</v>
      </c>
      <c r="AO37" s="1352">
        <f ca="1">O37</f>
        <v>0</v>
      </c>
      <c r="AP37" s="1352" t="str">
        <f>SUBSTITUTE(SUBSTITUTE(SUBSTITUTE("vch"&amp;$B37&amp;$C37&amp;$D37&amp;$E37&amp;$F37,".","_"),"(","_"),")","")</f>
        <v>vch501_2_5</v>
      </c>
      <c r="AQ37" s="1352" t="str">
        <f>IF(LEN(W37)=0,"",W37)</f>
        <v/>
      </c>
      <c r="AR37" s="1352" t="str">
        <f>SUBSTITUTE(SUBSTITUTE(SUBSTITUTE("vnt"&amp;$B37&amp;$C37&amp;$D37&amp;$E37&amp;$F37,".","_"),"(","_"),")","")</f>
        <v>vnt501_2_5</v>
      </c>
      <c r="AS37" s="1352" t="str">
        <f>IF(LEN(X37)=0,"",X37)</f>
        <v/>
      </c>
      <c r="AX37" s="433" t="str">
        <f>'Overview (Verification)'!A40</f>
        <v>Type of Heating System (system 3):</v>
      </c>
      <c r="AY37" s="434">
        <f>IF(LEN('Overview (Verification)'!P40)=0,0,'Overview (Verification)'!P40)</f>
        <v>0</v>
      </c>
    </row>
    <row r="38" spans="1:52" hidden="1" x14ac:dyDescent="0.2">
      <c r="A38" s="1507">
        <v>5</v>
      </c>
      <c r="B38" s="1511" t="s">
        <v>258</v>
      </c>
      <c r="C38" s="1511" t="s">
        <v>263</v>
      </c>
      <c r="D38" s="1511"/>
      <c r="E38" s="1511"/>
      <c r="F38" s="1514"/>
      <c r="G38" s="1509" t="str">
        <f t="shared" ref="G38:G49" ca="1" si="1">G37</f>
        <v/>
      </c>
      <c r="H38" s="1510" t="s">
        <v>3197</v>
      </c>
      <c r="I38" s="89"/>
      <c r="J38" s="89"/>
      <c r="K38" s="89"/>
      <c r="L38" s="1611"/>
      <c r="M38" s="1655"/>
      <c r="N38" s="1679"/>
      <c r="O38" s="1679"/>
      <c r="P38" s="265"/>
      <c r="Q38" s="265"/>
      <c r="R38" s="905"/>
      <c r="S38" s="905"/>
      <c r="T38" s="905"/>
      <c r="U38" s="905"/>
      <c r="V38" s="905"/>
      <c r="W38" s="248"/>
      <c r="X38" s="1600"/>
      <c r="Y38" s="1874" t="str">
        <f>IF(LEN('11.500'!X39)=0,"None",'11.500'!X39:X51)</f>
        <v>None</v>
      </c>
      <c r="Z38" s="1889"/>
      <c r="AC38" s="248"/>
      <c r="AD38" s="248"/>
      <c r="AE38" s="248"/>
      <c r="AF38" s="248"/>
      <c r="AG38" s="248"/>
      <c r="AH38" s="248"/>
      <c r="AI38" s="248"/>
      <c r="AJ38" s="248"/>
      <c r="AK38" s="248"/>
      <c r="AL38" s="1352"/>
      <c r="AM38" s="1352"/>
      <c r="AN38" s="1352"/>
      <c r="AO38" s="1352"/>
      <c r="AP38" s="1352"/>
      <c r="AQ38" s="1352"/>
      <c r="AR38" s="1352"/>
      <c r="AS38" s="1352"/>
      <c r="AX38" s="433" t="str">
        <f>'Overview (Verification)'!A41</f>
        <v>Primary Heating Fuel:</v>
      </c>
      <c r="AY38" s="434">
        <f>IF(LEN('Overview (Verification)'!P41)=0,0,'Overview (Verification)'!P41)</f>
        <v>0</v>
      </c>
    </row>
    <row r="39" spans="1:52" hidden="1" x14ac:dyDescent="0.2">
      <c r="A39" s="1507">
        <v>5</v>
      </c>
      <c r="B39" s="1511" t="s">
        <v>258</v>
      </c>
      <c r="C39" s="1511" t="s">
        <v>263</v>
      </c>
      <c r="D39" s="1511" t="s">
        <v>121</v>
      </c>
      <c r="E39" s="1511"/>
      <c r="F39" s="1514"/>
      <c r="G39" s="1509" t="str">
        <f t="shared" ca="1" si="1"/>
        <v/>
      </c>
      <c r="H39" s="1510" t="s">
        <v>3197</v>
      </c>
      <c r="I39" s="89"/>
      <c r="J39" s="89"/>
      <c r="K39" s="89" t="s">
        <v>121</v>
      </c>
      <c r="L39" s="85" t="s">
        <v>265</v>
      </c>
      <c r="M39" s="926">
        <v>2</v>
      </c>
      <c r="N39" s="935"/>
      <c r="O39" s="935"/>
      <c r="P39" s="905"/>
      <c r="Q39" s="905"/>
      <c r="R39" s="905"/>
      <c r="S39" s="905"/>
      <c r="T39" s="905"/>
      <c r="U39" s="905"/>
      <c r="V39" s="905"/>
      <c r="W39" s="248"/>
      <c r="X39" s="1600"/>
      <c r="Y39" s="1874" t="str">
        <f>IF(LEN('11.500'!X40)=0,"None",'11.500'!X40:X52)</f>
        <v>None</v>
      </c>
      <c r="Z39" s="1889"/>
      <c r="AC39" s="248"/>
      <c r="AD39" s="248"/>
      <c r="AE39" s="248"/>
      <c r="AF39" s="248"/>
      <c r="AG39" s="248"/>
      <c r="AH39" s="248"/>
      <c r="AI39" s="248"/>
      <c r="AJ39" s="248"/>
      <c r="AK39" s="248"/>
      <c r="AL39" s="1352" t="str">
        <f>SUBSTITUTE(SUBSTITUTE(SUBSTITUTE("vpa"&amp;$B39&amp;$C39&amp;$D39&amp;$E39&amp;$F39,".","_"),"(","_"),")","")</f>
        <v>vpa501_2_5_a</v>
      </c>
      <c r="AM39" s="1352">
        <f>M39</f>
        <v>2</v>
      </c>
      <c r="AN39" s="1352"/>
      <c r="AO39" s="1352"/>
      <c r="AP39" s="1352"/>
      <c r="AQ39" s="1352"/>
      <c r="AR39" s="1352"/>
      <c r="AS39" s="1352"/>
      <c r="AX39" s="433" t="str">
        <f>'Overview (Verification)'!A42</f>
        <v>Heating Ducts:</v>
      </c>
      <c r="AY39" s="434" t="str">
        <f>IF(LEN('Overview (Verification)'!P42)=0,0,'Overview (Verification)'!P42)</f>
        <v>Ducted</v>
      </c>
    </row>
    <row r="40" spans="1:52" hidden="1" x14ac:dyDescent="0.2">
      <c r="A40" s="1507">
        <v>5</v>
      </c>
      <c r="B40" s="1511" t="s">
        <v>258</v>
      </c>
      <c r="C40" s="1511" t="s">
        <v>263</v>
      </c>
      <c r="D40" s="1511" t="s">
        <v>122</v>
      </c>
      <c r="E40" s="1511"/>
      <c r="F40" s="1514"/>
      <c r="G40" s="1509" t="str">
        <f t="shared" ca="1" si="1"/>
        <v/>
      </c>
      <c r="H40" s="1510" t="s">
        <v>3197</v>
      </c>
      <c r="I40" s="89"/>
      <c r="J40" s="89"/>
      <c r="K40" s="89" t="s">
        <v>122</v>
      </c>
      <c r="L40" s="85" t="s">
        <v>266</v>
      </c>
      <c r="M40" s="926">
        <v>4</v>
      </c>
      <c r="N40" s="935"/>
      <c r="O40" s="935"/>
      <c r="P40" s="905"/>
      <c r="Q40" s="905"/>
      <c r="R40" s="905"/>
      <c r="S40" s="905"/>
      <c r="T40" s="905"/>
      <c r="U40" s="905"/>
      <c r="V40" s="905"/>
      <c r="W40" s="248"/>
      <c r="X40" s="1600"/>
      <c r="Y40" s="1874" t="str">
        <f>IF(LEN('11.500'!X41)=0,"None",'11.500'!X41:X53)</f>
        <v>None</v>
      </c>
      <c r="Z40" s="1889"/>
      <c r="AC40" s="248"/>
      <c r="AD40" s="248"/>
      <c r="AE40" s="248"/>
      <c r="AF40" s="248"/>
      <c r="AG40" s="248"/>
      <c r="AH40" s="248"/>
      <c r="AI40" s="248"/>
      <c r="AJ40" s="248"/>
      <c r="AK40" s="248"/>
      <c r="AL40" s="1352" t="str">
        <f>SUBSTITUTE(SUBSTITUTE(SUBSTITUTE("vpa"&amp;$B40&amp;$C40&amp;$D40&amp;$E40&amp;$F40,".","_"),"(","_"),")","")</f>
        <v>vpa501_2_5_b</v>
      </c>
      <c r="AM40" s="1352">
        <f t="shared" ref="AM40:AM42" si="2">M40</f>
        <v>4</v>
      </c>
      <c r="AN40" s="1352"/>
      <c r="AO40" s="1352"/>
      <c r="AP40" s="1352"/>
      <c r="AQ40" s="1352"/>
      <c r="AR40" s="1352"/>
      <c r="AS40" s="1352"/>
      <c r="AX40" s="433" t="str">
        <f>'Overview (Verification)'!A43</f>
        <v>Type of Cooling System (main system):</v>
      </c>
      <c r="AY40" s="434" t="str">
        <f>IF(LEN('Overview (Verification)'!P43)=0,0,'Overview (Verification)'!P43)</f>
        <v>Heat Pump</v>
      </c>
    </row>
    <row r="41" spans="1:52" hidden="1" x14ac:dyDescent="0.2">
      <c r="A41" s="1507">
        <v>5</v>
      </c>
      <c r="B41" s="1511" t="s">
        <v>258</v>
      </c>
      <c r="C41" s="1511" t="s">
        <v>263</v>
      </c>
      <c r="D41" s="1518" t="s">
        <v>123</v>
      </c>
      <c r="E41" s="1518"/>
      <c r="F41" s="1519"/>
      <c r="G41" s="1509" t="str">
        <f t="shared" ca="1" si="1"/>
        <v/>
      </c>
      <c r="H41" s="1510" t="s">
        <v>3197</v>
      </c>
      <c r="I41" s="89"/>
      <c r="J41" s="89"/>
      <c r="K41" s="91" t="s">
        <v>123</v>
      </c>
      <c r="L41" s="85" t="s">
        <v>267</v>
      </c>
      <c r="M41" s="926">
        <v>6</v>
      </c>
      <c r="N41" s="935"/>
      <c r="O41" s="935"/>
      <c r="P41" s="905"/>
      <c r="Q41" s="905"/>
      <c r="R41" s="905"/>
      <c r="S41" s="905"/>
      <c r="T41" s="905"/>
      <c r="U41" s="905"/>
      <c r="V41" s="905"/>
      <c r="W41" s="248"/>
      <c r="X41" s="1600"/>
      <c r="Y41" s="1874" t="str">
        <f>IF(LEN('11.500'!X42)=0,"None",'11.500'!X42:X54)</f>
        <v>None</v>
      </c>
      <c r="Z41" s="1889"/>
      <c r="AC41" s="248"/>
      <c r="AD41" s="248"/>
      <c r="AE41" s="248"/>
      <c r="AF41" s="248"/>
      <c r="AG41" s="248"/>
      <c r="AH41" s="248"/>
      <c r="AI41" s="248"/>
      <c r="AJ41" s="248"/>
      <c r="AK41" s="248"/>
      <c r="AL41" s="1352" t="str">
        <f>SUBSTITUTE(SUBSTITUTE(SUBSTITUTE("vpa"&amp;$B41&amp;$C41&amp;$D41&amp;$E41&amp;$F41,".","_"),"(","_"),")","")</f>
        <v>vpa501_2_5_c</v>
      </c>
      <c r="AM41" s="1352">
        <f t="shared" si="2"/>
        <v>6</v>
      </c>
      <c r="AN41" s="1352"/>
      <c r="AO41" s="1352"/>
      <c r="AP41" s="1352"/>
      <c r="AQ41" s="1352"/>
      <c r="AR41" s="1352"/>
      <c r="AS41" s="1352"/>
      <c r="AX41" s="433" t="str">
        <f>'Overview (Verification)'!A44</f>
        <v>Type of Cooling System (system 2):</v>
      </c>
      <c r="AY41" s="434">
        <f>IF(LEN('Overview (Verification)'!P44)=0,0,'Overview (Verification)'!P44)</f>
        <v>0</v>
      </c>
    </row>
    <row r="42" spans="1:52" ht="15" hidden="1" customHeight="1" x14ac:dyDescent="0.2">
      <c r="A42" s="1515">
        <v>5</v>
      </c>
      <c r="B42" s="1511" t="s">
        <v>258</v>
      </c>
      <c r="C42" s="1511" t="s">
        <v>263</v>
      </c>
      <c r="D42" s="1518" t="s">
        <v>366</v>
      </c>
      <c r="E42" s="1518"/>
      <c r="F42" s="1519"/>
      <c r="G42" s="1509" t="str">
        <f t="shared" ca="1" si="1"/>
        <v/>
      </c>
      <c r="H42" s="1510" t="s">
        <v>3197</v>
      </c>
      <c r="I42" s="905"/>
      <c r="J42" s="89"/>
      <c r="K42" s="91" t="s">
        <v>366</v>
      </c>
      <c r="L42" s="1634" t="s">
        <v>3932</v>
      </c>
      <c r="M42" s="1642" t="s">
        <v>3937</v>
      </c>
      <c r="N42" s="935"/>
      <c r="O42" s="935"/>
      <c r="P42" s="95" t="b">
        <v>1</v>
      </c>
      <c r="Q42" s="95" t="b">
        <v>1</v>
      </c>
      <c r="R42" s="905" t="b">
        <v>0</v>
      </c>
      <c r="S42" s="905" t="b">
        <f>LEN(W37)&gt;0</f>
        <v>0</v>
      </c>
      <c r="T42" s="905" t="b">
        <f>AND(W42=TRUE,NOT(S42))</f>
        <v>0</v>
      </c>
      <c r="U42" s="905"/>
      <c r="V42" s="905"/>
      <c r="W42" s="27"/>
      <c r="X42" s="1621"/>
      <c r="Y42" s="1874" t="str">
        <f>IF(LEN('11.500'!X43)=0,"None",'11.500'!X43)</f>
        <v>None</v>
      </c>
      <c r="Z42" s="1621"/>
      <c r="AA42"/>
      <c r="AC42" s="1150" t="b">
        <f>OR(AD42:AE42)</f>
        <v>0</v>
      </c>
      <c r="AD42" s="1150" t="b">
        <f>T42</f>
        <v>0</v>
      </c>
      <c r="AE42" s="1150"/>
      <c r="AF42"/>
      <c r="AG42"/>
      <c r="AH42"/>
      <c r="AI42"/>
      <c r="AJ42"/>
      <c r="AK42"/>
      <c r="AL42" s="1352" t="str">
        <f>SUBSTITUTE(SUBSTITUTE(SUBSTITUTE("vpa"&amp;$B42&amp;$C42&amp;$D42&amp;$E42&amp;$F42,".","_"),"(","_"),")","")</f>
        <v>vpa501_2_5_d</v>
      </c>
      <c r="AM42" s="1352" t="str">
        <f t="shared" si="2"/>
        <v>2 points per
(a) – (c)</v>
      </c>
      <c r="AN42" s="1352"/>
      <c r="AO42" s="1352"/>
      <c r="AP42" s="1352" t="str">
        <f>SUBSTITUTE(SUBSTITUTE(SUBSTITUTE("vch"&amp;$B42&amp;$C42&amp;$D42&amp;$E42&amp;$F42,".","_"),"(","_"),")","")</f>
        <v>vch501_2_5_d</v>
      </c>
      <c r="AQ42" s="1352" t="str">
        <f>IF(LEN(W42)=0,"",W42)</f>
        <v/>
      </c>
      <c r="AR42" s="1352" t="str">
        <f>SUBSTITUTE(SUBSTITUTE(SUBSTITUTE("vnt"&amp;$B42&amp;$C42&amp;$D42&amp;$E42&amp;$F42,".","_"),"(","_"),")","")</f>
        <v>vnt501_2_5_d</v>
      </c>
      <c r="AS42" s="1352" t="str">
        <f>IF(LEN(X42)=0,"",X42)</f>
        <v/>
      </c>
      <c r="AT42"/>
      <c r="AX42" s="433" t="str">
        <f>'Overview (Verification)'!A45</f>
        <v>Type of Cooling System (system 3):</v>
      </c>
      <c r="AY42" s="434">
        <f>IF(LEN('Overview (Verification)'!P45)=0,0,'Overview (Verification)'!P45)</f>
        <v>0</v>
      </c>
    </row>
    <row r="43" spans="1:52" hidden="1" x14ac:dyDescent="0.2">
      <c r="A43" s="1515">
        <v>5</v>
      </c>
      <c r="B43" s="1511" t="s">
        <v>258</v>
      </c>
      <c r="C43" s="1511" t="s">
        <v>263</v>
      </c>
      <c r="D43" s="1518" t="s">
        <v>366</v>
      </c>
      <c r="E43" s="1518"/>
      <c r="F43" s="1519"/>
      <c r="G43" s="1509" t="str">
        <f t="shared" ca="1" si="1"/>
        <v/>
      </c>
      <c r="H43" s="1510" t="s">
        <v>3197</v>
      </c>
      <c r="I43" s="905"/>
      <c r="J43" s="89"/>
      <c r="K43" s="91"/>
      <c r="L43" s="1639"/>
      <c r="M43" s="1643"/>
      <c r="N43" s="935"/>
      <c r="O43" s="935"/>
      <c r="P43" s="905"/>
      <c r="Q43" s="905"/>
      <c r="R43" s="905"/>
      <c r="S43" s="905"/>
      <c r="T43" s="905"/>
      <c r="U43" s="905"/>
      <c r="V43" s="905"/>
      <c r="W43"/>
      <c r="X43" s="1599"/>
      <c r="Y43" s="1874"/>
      <c r="Z43" s="1599"/>
      <c r="AA43"/>
      <c r="AC43" s="1150"/>
      <c r="AD43" s="1150"/>
      <c r="AE43" s="1150"/>
      <c r="AF43"/>
      <c r="AG43"/>
      <c r="AH43"/>
      <c r="AI43"/>
      <c r="AJ43"/>
      <c r="AK43"/>
      <c r="AL43" s="1352"/>
      <c r="AM43" s="1352"/>
      <c r="AN43" s="1352"/>
      <c r="AO43" s="1352"/>
      <c r="AP43" s="1352"/>
      <c r="AQ43" s="1352"/>
      <c r="AR43" s="1352"/>
      <c r="AS43" s="1352"/>
      <c r="AT43"/>
      <c r="AX43" s="433" t="str">
        <f>'Overview (Verification)'!A46</f>
        <v>Cooling Ducts:</v>
      </c>
      <c r="AY43" s="434" t="str">
        <f>IF(LEN('Overview (Verification)'!P46)=0,0,'Overview (Verification)'!P46)</f>
        <v>Ducted</v>
      </c>
    </row>
    <row r="44" spans="1:52" ht="15" hidden="1" customHeight="1" x14ac:dyDescent="0.2">
      <c r="A44" s="1515">
        <v>5</v>
      </c>
      <c r="B44" s="1511" t="s">
        <v>258</v>
      </c>
      <c r="C44" s="1511" t="s">
        <v>264</v>
      </c>
      <c r="D44" s="1518"/>
      <c r="E44" s="1518"/>
      <c r="F44" s="1519"/>
      <c r="G44" s="1509" t="str">
        <f>IF(N44&gt;0,"P","")</f>
        <v/>
      </c>
      <c r="H44" s="1510" t="s">
        <v>3197</v>
      </c>
      <c r="I44" s="905"/>
      <c r="J44" s="860" t="s">
        <v>264</v>
      </c>
      <c r="K44" s="217"/>
      <c r="L44" s="1633" t="s">
        <v>3933</v>
      </c>
      <c r="M44" s="1640">
        <v>3</v>
      </c>
      <c r="N44" s="1637">
        <f>'11.500'!O45</f>
        <v>0</v>
      </c>
      <c r="O44" s="1637">
        <f>M44*S44*W44</f>
        <v>0</v>
      </c>
      <c r="P44" s="95" t="b">
        <v>1</v>
      </c>
      <c r="Q44" s="95" t="b">
        <v>1</v>
      </c>
      <c r="R44" s="905" t="b">
        <v>0</v>
      </c>
      <c r="S44" s="864" t="b">
        <v>1</v>
      </c>
      <c r="T44" s="905" t="b">
        <v>0</v>
      </c>
      <c r="U44" s="905"/>
      <c r="V44" s="905"/>
      <c r="W44" s="27"/>
      <c r="X44" s="1621"/>
      <c r="Y44" s="1874" t="str">
        <f>IF(LEN('11.500'!X45)=0,"None",'11.500'!X45)</f>
        <v>None</v>
      </c>
      <c r="Z44" s="1621"/>
      <c r="AA44"/>
      <c r="AC44" s="1150" t="b">
        <f>OR(AD44:AE44)</f>
        <v>0</v>
      </c>
      <c r="AD44" s="1150" t="b">
        <v>0</v>
      </c>
      <c r="AE44" s="1" t="b">
        <f>AND(W44=TRUE,LEN(X44)=0)</f>
        <v>0</v>
      </c>
      <c r="AF44"/>
      <c r="AG44"/>
      <c r="AH44"/>
      <c r="AI44"/>
      <c r="AJ44"/>
      <c r="AK44"/>
      <c r="AL44" s="1352" t="str">
        <f>SUBSTITUTE(SUBSTITUTE(SUBSTITUTE("vpa"&amp;$B44&amp;$C44&amp;$D44&amp;$E44&amp;$F44,".","_"),"(","_"),")","")</f>
        <v>vpa501_2_6</v>
      </c>
      <c r="AM44" s="1352">
        <f>M44</f>
        <v>3</v>
      </c>
      <c r="AN44" s="1352" t="str">
        <f>SUBSTITUTE(SUBSTITUTE(SUBSTITUTE("vpc"&amp;$B44&amp;$C44&amp;$D44&amp;$E44&amp;$F44,".","_"),"(","_"),")","")</f>
        <v>vpc501_2_6</v>
      </c>
      <c r="AO44" s="1352">
        <f>O44</f>
        <v>0</v>
      </c>
      <c r="AP44" s="1352" t="str">
        <f>SUBSTITUTE(SUBSTITUTE(SUBSTITUTE("vch"&amp;$B44&amp;$C44&amp;$D44&amp;$E44&amp;$F44,".","_"),"(","_"),")","")</f>
        <v>vch501_2_6</v>
      </c>
      <c r="AQ44" s="1352" t="str">
        <f>IF(LEN(W44)=0,"",W44)</f>
        <v/>
      </c>
      <c r="AR44" s="1352" t="str">
        <f>SUBSTITUTE(SUBSTITUTE(SUBSTITUTE("vnt"&amp;$B44&amp;$C44&amp;$D44&amp;$E44&amp;$F44,".","_"),"(","_"),")","")</f>
        <v>vnt501_2_6</v>
      </c>
      <c r="AS44" s="1352" t="str">
        <f>IF(LEN(X44)=0,"",X44)</f>
        <v/>
      </c>
      <c r="AT44"/>
      <c r="AX44" s="433"/>
      <c r="AY44" s="434"/>
    </row>
    <row r="45" spans="1:52" hidden="1" x14ac:dyDescent="0.2">
      <c r="A45" s="1515">
        <v>5</v>
      </c>
      <c r="B45" s="1511" t="s">
        <v>258</v>
      </c>
      <c r="C45" s="1511" t="s">
        <v>264</v>
      </c>
      <c r="D45" s="1518"/>
      <c r="E45" s="1518"/>
      <c r="F45" s="1519"/>
      <c r="G45" s="1509" t="str">
        <f t="shared" si="1"/>
        <v/>
      </c>
      <c r="H45" s="1510" t="s">
        <v>3197</v>
      </c>
      <c r="I45" s="905"/>
      <c r="J45" s="93"/>
      <c r="K45" s="111"/>
      <c r="L45" s="1634"/>
      <c r="M45" s="1641"/>
      <c r="N45" s="1619"/>
      <c r="O45" s="1619"/>
      <c r="P45" s="905"/>
      <c r="Q45" s="905"/>
      <c r="R45" s="905"/>
      <c r="S45" s="905"/>
      <c r="T45" s="905"/>
      <c r="U45" s="905"/>
      <c r="V45" s="905"/>
      <c r="W45"/>
      <c r="X45" s="1632"/>
      <c r="Y45" s="1874"/>
      <c r="Z45" s="1632"/>
      <c r="AA45"/>
      <c r="AC45" s="1150"/>
      <c r="AD45" s="1150"/>
      <c r="AE45" s="1150"/>
      <c r="AF45"/>
      <c r="AG45"/>
      <c r="AH45"/>
      <c r="AI45"/>
      <c r="AJ45"/>
      <c r="AK45"/>
      <c r="AL45" s="1352"/>
      <c r="AM45" s="1352"/>
      <c r="AN45" s="1352"/>
      <c r="AO45" s="1352"/>
      <c r="AP45" s="1352"/>
      <c r="AQ45" s="1352"/>
      <c r="AR45" s="1352"/>
      <c r="AS45" s="1352"/>
      <c r="AT45"/>
      <c r="AX45" s="433" t="str">
        <f>'Overview (Verification)'!A48</f>
        <v>Maximum window and door SHGC:</v>
      </c>
      <c r="AY45" s="434">
        <f>IF(LEN('Overview (Verification)'!P48)=0,0,'Overview (Verification)'!P48)</f>
        <v>0.22</v>
      </c>
    </row>
    <row r="46" spans="1:52" hidden="1" x14ac:dyDescent="0.2">
      <c r="A46" s="1515">
        <v>5</v>
      </c>
      <c r="B46" s="1511" t="s">
        <v>258</v>
      </c>
      <c r="C46" s="1511" t="s">
        <v>264</v>
      </c>
      <c r="D46" s="1518"/>
      <c r="E46" s="1518"/>
      <c r="F46" s="1519"/>
      <c r="G46" s="1509" t="str">
        <f t="shared" si="1"/>
        <v/>
      </c>
      <c r="H46" s="1510" t="s">
        <v>3197</v>
      </c>
      <c r="I46" s="905"/>
      <c r="J46" s="93"/>
      <c r="K46" s="111"/>
      <c r="L46" s="970" t="s">
        <v>3935</v>
      </c>
      <c r="M46" s="1641"/>
      <c r="N46" s="1620"/>
      <c r="O46" s="1620"/>
      <c r="P46" s="905"/>
      <c r="Q46" s="905"/>
      <c r="R46" s="905"/>
      <c r="S46" s="905"/>
      <c r="T46" s="905"/>
      <c r="U46" s="905"/>
      <c r="V46" s="905"/>
      <c r="W46"/>
      <c r="X46" s="1599"/>
      <c r="Y46" s="1874"/>
      <c r="Z46" s="1599"/>
      <c r="AA46"/>
      <c r="AC46" s="1150"/>
      <c r="AD46" s="1150"/>
      <c r="AE46" s="1150"/>
      <c r="AF46"/>
      <c r="AG46"/>
      <c r="AH46"/>
      <c r="AI46"/>
      <c r="AJ46"/>
      <c r="AK46"/>
      <c r="AL46" s="1352"/>
      <c r="AM46" s="1352"/>
      <c r="AN46" s="1352"/>
      <c r="AO46" s="1352"/>
      <c r="AP46" s="1352"/>
      <c r="AQ46" s="1352"/>
      <c r="AR46" s="1352"/>
      <c r="AS46" s="1352"/>
      <c r="AT46"/>
      <c r="AX46" s="433" t="str">
        <f>'Overview (Verification)'!A49</f>
        <v>Maximum skylight SHGC:</v>
      </c>
      <c r="AY46" s="434">
        <f>IF(LEN('Overview (Verification)'!P49)=0,0,'Overview (Verification)'!P49)</f>
        <v>0</v>
      </c>
    </row>
    <row r="47" spans="1:52" ht="15" hidden="1" customHeight="1" x14ac:dyDescent="0.2">
      <c r="A47" s="1515">
        <v>5</v>
      </c>
      <c r="B47" s="1511" t="s">
        <v>258</v>
      </c>
      <c r="C47" s="1511" t="s">
        <v>356</v>
      </c>
      <c r="D47" s="1518"/>
      <c r="E47" s="1518"/>
      <c r="F47" s="1519"/>
      <c r="G47" s="1509" t="str">
        <f>IF(N47&gt;0,"P","")</f>
        <v/>
      </c>
      <c r="H47" s="1510" t="s">
        <v>3197</v>
      </c>
      <c r="I47" s="905"/>
      <c r="J47" s="860" t="s">
        <v>356</v>
      </c>
      <c r="K47" s="195"/>
      <c r="L47" s="1633" t="s">
        <v>3934</v>
      </c>
      <c r="M47" s="1640">
        <v>5</v>
      </c>
      <c r="N47" s="1637">
        <f>'11.500'!O48</f>
        <v>0</v>
      </c>
      <c r="O47" s="1637">
        <f>M47*S47*W47</f>
        <v>0</v>
      </c>
      <c r="P47" s="95" t="b">
        <v>1</v>
      </c>
      <c r="Q47" s="95" t="b">
        <v>1</v>
      </c>
      <c r="R47" s="905" t="b">
        <v>0</v>
      </c>
      <c r="S47" s="864" t="b">
        <v>1</v>
      </c>
      <c r="T47" s="905" t="b">
        <v>0</v>
      </c>
      <c r="U47" s="905"/>
      <c r="V47" s="905"/>
      <c r="W47" s="27"/>
      <c r="X47" s="1621"/>
      <c r="Y47" s="1874" t="str">
        <f>IF(LEN('11.500'!X48)=0,"None",'11.500'!X48)</f>
        <v>None</v>
      </c>
      <c r="Z47" s="1621"/>
      <c r="AA47"/>
      <c r="AC47" s="1150" t="b">
        <f>OR(AD47:AE47)</f>
        <v>0</v>
      </c>
      <c r="AD47" s="1150" t="b">
        <v>0</v>
      </c>
      <c r="AE47" s="1" t="b">
        <f>AND(W47=TRUE,LEN(X47)=0)</f>
        <v>0</v>
      </c>
      <c r="AF47"/>
      <c r="AG47"/>
      <c r="AH47"/>
      <c r="AI47"/>
      <c r="AJ47"/>
      <c r="AK47"/>
      <c r="AL47" s="1352" t="str">
        <f>SUBSTITUTE(SUBSTITUTE(SUBSTITUTE("vpa"&amp;$B47&amp;$C47&amp;$D47&amp;$E47&amp;$F47,".","_"),"(","_"),")","")</f>
        <v>vpa501_2_7</v>
      </c>
      <c r="AM47" s="1352">
        <f>M47</f>
        <v>5</v>
      </c>
      <c r="AN47" s="1352" t="str">
        <f>SUBSTITUTE(SUBSTITUTE(SUBSTITUTE("vpc"&amp;$B47&amp;$C47&amp;$D47&amp;$E47&amp;$F47,".","_"),"(","_"),")","")</f>
        <v>vpc501_2_7</v>
      </c>
      <c r="AO47" s="1352">
        <f>O47</f>
        <v>0</v>
      </c>
      <c r="AP47" s="1352" t="str">
        <f>SUBSTITUTE(SUBSTITUTE(SUBSTITUTE("vch"&amp;$B47&amp;$C47&amp;$D47&amp;$E47&amp;$F47,".","_"),"(","_"),")","")</f>
        <v>vch501_2_7</v>
      </c>
      <c r="AQ47" s="1352" t="str">
        <f>IF(LEN(W47)=0,"",W47)</f>
        <v/>
      </c>
      <c r="AR47" s="1352" t="str">
        <f>SUBSTITUTE(SUBSTITUTE(SUBSTITUTE("vnt"&amp;$B47&amp;$C47&amp;$D47&amp;$E47&amp;$F47,".","_"),"(","_"),")","")</f>
        <v>vnt501_2_7</v>
      </c>
      <c r="AS47" s="1352" t="str">
        <f>IF(LEN(X47)=0,"",X47)</f>
        <v/>
      </c>
      <c r="AT47"/>
      <c r="AX47" s="433" t="str">
        <f>'Overview (Verification)'!A50</f>
        <v>Maximum window and door U-value:</v>
      </c>
      <c r="AY47" s="434">
        <f>IF(LEN('Overview (Verification)'!P50)=0,0,'Overview (Verification)'!P50)</f>
        <v>0.28999999999999998</v>
      </c>
    </row>
    <row r="48" spans="1:52" hidden="1" x14ac:dyDescent="0.2">
      <c r="A48" s="1515">
        <v>5</v>
      </c>
      <c r="B48" s="1511" t="s">
        <v>258</v>
      </c>
      <c r="C48" s="1511" t="s">
        <v>356</v>
      </c>
      <c r="D48" s="1518"/>
      <c r="E48" s="1518"/>
      <c r="F48" s="1519"/>
      <c r="G48" s="1509" t="str">
        <f t="shared" si="1"/>
        <v/>
      </c>
      <c r="H48" s="1510" t="s">
        <v>3197</v>
      </c>
      <c r="I48" s="905"/>
      <c r="J48" s="93"/>
      <c r="K48" s="991"/>
      <c r="L48" s="1634"/>
      <c r="M48" s="1641"/>
      <c r="N48" s="1619"/>
      <c r="O48" s="1619"/>
      <c r="P48" s="905"/>
      <c r="Q48" s="905"/>
      <c r="R48" s="905"/>
      <c r="S48" s="905"/>
      <c r="T48" s="905"/>
      <c r="U48" s="905"/>
      <c r="V48" s="905"/>
      <c r="W48"/>
      <c r="X48" s="1632"/>
      <c r="Y48" s="1874"/>
      <c r="Z48" s="1632"/>
      <c r="AA48"/>
      <c r="AC48"/>
      <c r="AD48"/>
      <c r="AE48"/>
      <c r="AF48"/>
      <c r="AG48"/>
      <c r="AH48"/>
      <c r="AI48"/>
      <c r="AJ48"/>
      <c r="AK48"/>
      <c r="AL48" s="1352"/>
      <c r="AM48" s="1352"/>
      <c r="AN48" s="1352"/>
      <c r="AO48" s="1352"/>
      <c r="AP48" s="1352"/>
      <c r="AQ48" s="1352"/>
      <c r="AR48" s="1352"/>
      <c r="AS48" s="1352"/>
      <c r="AT48"/>
      <c r="AX48" s="433" t="str">
        <f>'Overview (Verification)'!A51</f>
        <v>Maximum skylight U-value:</v>
      </c>
      <c r="AY48" s="434">
        <f>IF(LEN('Overview (Verification)'!P51)=0,0,'Overview (Verification)'!P51)</f>
        <v>0</v>
      </c>
    </row>
    <row r="49" spans="1:52" hidden="1" x14ac:dyDescent="0.2">
      <c r="A49" s="1515">
        <v>5</v>
      </c>
      <c r="B49" s="1511" t="s">
        <v>258</v>
      </c>
      <c r="C49" s="1511" t="s">
        <v>356</v>
      </c>
      <c r="D49" s="1518"/>
      <c r="E49" s="1518"/>
      <c r="F49" s="1519"/>
      <c r="G49" s="1509" t="str">
        <f t="shared" si="1"/>
        <v/>
      </c>
      <c r="H49" s="1510" t="s">
        <v>3197</v>
      </c>
      <c r="I49" s="905"/>
      <c r="J49" s="93"/>
      <c r="K49" s="991"/>
      <c r="L49" s="958" t="s">
        <v>3936</v>
      </c>
      <c r="M49" s="1641"/>
      <c r="N49" s="1620"/>
      <c r="O49" s="1620"/>
      <c r="P49" s="905"/>
      <c r="Q49" s="905"/>
      <c r="R49" s="905"/>
      <c r="S49" s="905"/>
      <c r="T49" s="905"/>
      <c r="U49" s="905"/>
      <c r="V49" s="905"/>
      <c r="W49"/>
      <c r="X49" s="1599"/>
      <c r="Y49" s="1874"/>
      <c r="Z49" s="1599"/>
      <c r="AA49"/>
      <c r="AC49"/>
      <c r="AD49"/>
      <c r="AE49"/>
      <c r="AF49"/>
      <c r="AG49"/>
      <c r="AH49"/>
      <c r="AI49"/>
      <c r="AJ49"/>
      <c r="AK49"/>
      <c r="AL49" s="1352"/>
      <c r="AM49" s="1352"/>
      <c r="AN49" s="1352"/>
      <c r="AO49" s="1352"/>
      <c r="AP49" s="1352"/>
      <c r="AQ49" s="1352"/>
      <c r="AR49" s="1352"/>
      <c r="AS49" s="1352"/>
      <c r="AT49"/>
      <c r="AX49" s="433" t="str">
        <f>'Overview (Verification)'!A52</f>
        <v>Renewable Energy:</v>
      </c>
      <c r="AY49" s="434">
        <f>IF(LEN('Overview (Verification)'!P52)=0,0,'Overview (Verification)'!P52)</f>
        <v>0</v>
      </c>
    </row>
    <row r="50" spans="1:52" ht="19" x14ac:dyDescent="0.25">
      <c r="A50" s="1507">
        <v>5</v>
      </c>
      <c r="B50" s="1511" t="s">
        <v>441</v>
      </c>
      <c r="C50" s="1511"/>
      <c r="D50" s="1511"/>
      <c r="E50" s="1511"/>
      <c r="F50" s="1514"/>
      <c r="G50" s="1509" t="s">
        <v>3200</v>
      </c>
      <c r="H50" s="1510" t="s">
        <v>3197</v>
      </c>
      <c r="I50" s="72" t="s">
        <v>3483</v>
      </c>
      <c r="J50" s="72"/>
      <c r="K50" s="72"/>
      <c r="L50" s="72"/>
      <c r="M50" s="339"/>
      <c r="N50" s="419"/>
      <c r="O50" s="419"/>
      <c r="P50" s="25"/>
      <c r="Q50" s="25"/>
      <c r="R50" s="25"/>
      <c r="S50" s="25"/>
      <c r="T50" s="25"/>
      <c r="U50" s="25"/>
      <c r="V50" s="25"/>
      <c r="W50" s="25"/>
      <c r="X50" s="25"/>
      <c r="Y50" s="25"/>
      <c r="Z50" s="714"/>
      <c r="AC50" s="248"/>
      <c r="AD50" s="248"/>
      <c r="AE50" s="248"/>
      <c r="AF50" s="248"/>
      <c r="AG50" s="248"/>
      <c r="AH50" s="248"/>
      <c r="AI50" s="248"/>
      <c r="AJ50" s="248"/>
      <c r="AK50" s="248"/>
      <c r="AL50" s="1352"/>
      <c r="AM50" s="1352"/>
      <c r="AN50" s="1352"/>
      <c r="AO50" s="1352"/>
      <c r="AP50" s="1352"/>
      <c r="AQ50" s="1352"/>
      <c r="AR50" s="1352"/>
      <c r="AS50" s="1352"/>
      <c r="AX50" s="433" t="str">
        <f>'Overview (Verification)'!A53</f>
        <v>Thermal Envelope Insulation:</v>
      </c>
      <c r="AY50" s="434">
        <f>IF(LEN('Overview (Verification)'!P53)=0,0,'Overview (Verification)'!P53)</f>
        <v>0</v>
      </c>
    </row>
    <row r="51" spans="1:52" ht="15" hidden="1" customHeight="1" x14ac:dyDescent="0.2">
      <c r="A51" s="1507">
        <v>5</v>
      </c>
      <c r="B51" s="1511" t="s">
        <v>345</v>
      </c>
      <c r="C51" s="1511"/>
      <c r="D51" s="1511"/>
      <c r="E51" s="1511"/>
      <c r="F51" s="1514"/>
      <c r="G51" s="1509" t="str">
        <f>IF(N51&gt;0,"P","")</f>
        <v/>
      </c>
      <c r="H51" s="1510" t="s">
        <v>3197</v>
      </c>
      <c r="I51" s="136" t="s">
        <v>3484</v>
      </c>
      <c r="J51" s="92"/>
      <c r="K51" s="92"/>
      <c r="L51" s="1631" t="s">
        <v>3508</v>
      </c>
      <c r="M51" s="1628">
        <v>4</v>
      </c>
      <c r="N51" s="1669">
        <f>'11.500'!O52</f>
        <v>0</v>
      </c>
      <c r="O51" s="1669">
        <f>M51*W51</f>
        <v>0</v>
      </c>
      <c r="P51" s="905" t="b">
        <v>1</v>
      </c>
      <c r="Q51" s="905" t="b">
        <v>1</v>
      </c>
      <c r="R51" s="905" t="b">
        <v>0</v>
      </c>
      <c r="S51" s="905" t="b">
        <v>1</v>
      </c>
      <c r="T51" s="905" t="b">
        <v>0</v>
      </c>
      <c r="U51" s="905"/>
      <c r="V51" s="905"/>
      <c r="W51" s="27"/>
      <c r="X51" s="1600"/>
      <c r="Y51" s="1874" t="str">
        <f>IF(LEN('11.500'!X52)=0,"None",'11.500'!X52)</f>
        <v>None</v>
      </c>
      <c r="Z51" s="1889"/>
      <c r="AC51" s="248"/>
      <c r="AD51" s="248"/>
      <c r="AE51" s="248"/>
      <c r="AF51" s="248"/>
      <c r="AG51" s="248"/>
      <c r="AH51" s="248"/>
      <c r="AI51" s="248"/>
      <c r="AJ51" s="248"/>
      <c r="AK51" s="248"/>
      <c r="AL51" s="1352" t="str">
        <f>SUBSTITUTE(SUBSTITUTE(SUBSTITUTE("vpa"&amp;$B51&amp;$C51&amp;$D51&amp;$E51&amp;$F51,".","_"),"(","_"),")","")</f>
        <v>vpa502_1</v>
      </c>
      <c r="AM51" s="1352">
        <f>M51</f>
        <v>4</v>
      </c>
      <c r="AN51" s="1352" t="str">
        <f>SUBSTITUTE(SUBSTITUTE(SUBSTITUTE("vpc"&amp;$B51&amp;$C51&amp;$D51&amp;$E51&amp;$F51,".","_"),"(","_"),")","")</f>
        <v>vpc502_1</v>
      </c>
      <c r="AO51" s="1352">
        <f>O51</f>
        <v>0</v>
      </c>
      <c r="AP51" s="1352" t="str">
        <f>SUBSTITUTE(SUBSTITUTE(SUBSTITUTE("vch"&amp;$B51&amp;$C51&amp;$D51&amp;$E51&amp;$F51,".","_"),"(","_"),")","")</f>
        <v>vch502_1</v>
      </c>
      <c r="AQ51" s="1352" t="str">
        <f>IF(LEN(W51)=0,"",W51)</f>
        <v/>
      </c>
      <c r="AR51" s="1352" t="str">
        <f>SUBSTITUTE(SUBSTITUTE(SUBSTITUTE("vnt"&amp;$B51&amp;$C51&amp;$D51&amp;$E51&amp;$F51,".","_"),"(","_"),")","")</f>
        <v>vnt502_1</v>
      </c>
      <c r="AS51" s="1352" t="str">
        <f>IF(LEN(X51)=0,"",X51)</f>
        <v/>
      </c>
      <c r="AX51" s="433" t="str">
        <f>'Overview (Verification)'!A54</f>
        <v>Attic Type:</v>
      </c>
      <c r="AY51" s="434" t="str">
        <f>IF(LEN('Overview (Verification)'!P54)=0,0,'Overview (Verification)'!P54)</f>
        <v>Vented</v>
      </c>
    </row>
    <row r="52" spans="1:52" hidden="1" x14ac:dyDescent="0.2">
      <c r="A52" s="1507">
        <v>5</v>
      </c>
      <c r="B52" s="1511" t="s">
        <v>345</v>
      </c>
      <c r="C52" s="1511"/>
      <c r="D52" s="1511"/>
      <c r="E52" s="1511"/>
      <c r="F52" s="1514"/>
      <c r="G52" s="1509" t="str">
        <f>G51</f>
        <v/>
      </c>
      <c r="H52" s="1510" t="s">
        <v>3197</v>
      </c>
      <c r="I52" s="92"/>
      <c r="J52" s="92"/>
      <c r="K52" s="92"/>
      <c r="L52" s="1631"/>
      <c r="M52" s="1628"/>
      <c r="N52" s="1669"/>
      <c r="O52" s="1669"/>
      <c r="P52" s="905"/>
      <c r="Q52" s="905"/>
      <c r="R52" s="905"/>
      <c r="S52" s="905"/>
      <c r="T52" s="905"/>
      <c r="U52" s="905"/>
      <c r="V52" s="905"/>
      <c r="W52" s="248"/>
      <c r="X52" s="1600"/>
      <c r="Y52" s="1874"/>
      <c r="Z52" s="1889"/>
      <c r="AC52" s="248"/>
      <c r="AD52" s="248"/>
      <c r="AE52" s="248"/>
      <c r="AF52" s="248"/>
      <c r="AG52" s="248"/>
      <c r="AH52" s="248"/>
      <c r="AI52" s="248"/>
      <c r="AJ52" s="248"/>
      <c r="AK52" s="248"/>
      <c r="AL52" s="1352"/>
      <c r="AM52" s="1352"/>
      <c r="AN52" s="1352"/>
      <c r="AO52" s="1352"/>
      <c r="AP52" s="1352"/>
      <c r="AQ52" s="1352"/>
      <c r="AR52" s="1352"/>
      <c r="AS52" s="1352"/>
      <c r="AX52" s="433" t="str">
        <f>'Overview (Verification)'!A55</f>
        <v>Attached Garage:</v>
      </c>
      <c r="AY52" s="434" t="str">
        <f>IF(LEN('Overview (Verification)'!P55)=0,0,'Overview (Verification)'!P55)</f>
        <v>No</v>
      </c>
    </row>
    <row r="53" spans="1:52" hidden="1" x14ac:dyDescent="0.2">
      <c r="A53" s="1507">
        <v>5</v>
      </c>
      <c r="B53" s="1511" t="s">
        <v>345</v>
      </c>
      <c r="C53" s="1511"/>
      <c r="D53" s="1511"/>
      <c r="E53" s="1511"/>
      <c r="F53" s="1514"/>
      <c r="G53" s="1509" t="str">
        <f>G52</f>
        <v/>
      </c>
      <c r="H53" s="1510" t="s">
        <v>3197</v>
      </c>
      <c r="I53" s="92"/>
      <c r="J53" s="92"/>
      <c r="K53" s="92"/>
      <c r="L53" s="1631"/>
      <c r="M53" s="1628"/>
      <c r="N53" s="1669"/>
      <c r="O53" s="1669"/>
      <c r="P53" s="905"/>
      <c r="Q53" s="905"/>
      <c r="R53" s="905"/>
      <c r="S53" s="905"/>
      <c r="T53" s="905"/>
      <c r="U53" s="905"/>
      <c r="V53" s="905"/>
      <c r="W53" s="248"/>
      <c r="X53" s="1600"/>
      <c r="Y53" s="1874"/>
      <c r="Z53" s="1889"/>
      <c r="AC53" s="248"/>
      <c r="AD53" s="248"/>
      <c r="AE53" s="248"/>
      <c r="AF53" s="248"/>
      <c r="AG53" s="248"/>
      <c r="AH53" s="248"/>
      <c r="AI53" s="248"/>
      <c r="AJ53" s="248"/>
      <c r="AK53" s="248"/>
      <c r="AL53" s="1352"/>
      <c r="AM53" s="1352"/>
      <c r="AN53" s="1352"/>
      <c r="AO53" s="1352"/>
      <c r="AP53" s="1352"/>
      <c r="AQ53" s="1352"/>
      <c r="AR53" s="1352"/>
      <c r="AS53" s="1352"/>
      <c r="AX53" s="433" t="str">
        <f>'Overview (Verification)'!A56</f>
        <v>Recessed Lighting:</v>
      </c>
      <c r="AY53" s="434">
        <f>IF(LEN('Overview (Verification)'!P56)=0,0,'Overview (Verification)'!P56)</f>
        <v>0</v>
      </c>
    </row>
    <row r="54" spans="1:52" hidden="1" x14ac:dyDescent="0.2">
      <c r="A54" s="1507">
        <v>5</v>
      </c>
      <c r="B54" s="1511" t="s">
        <v>345</v>
      </c>
      <c r="C54" s="1511"/>
      <c r="D54" s="1511"/>
      <c r="E54" s="1511"/>
      <c r="F54" s="1514"/>
      <c r="G54" s="1509" t="str">
        <f>G53</f>
        <v/>
      </c>
      <c r="H54" s="1510" t="s">
        <v>3197</v>
      </c>
      <c r="I54" s="92"/>
      <c r="J54" s="92"/>
      <c r="K54" s="92"/>
      <c r="L54" s="1631"/>
      <c r="M54" s="1628"/>
      <c r="N54" s="1669"/>
      <c r="O54" s="1669"/>
      <c r="P54" s="905"/>
      <c r="Q54" s="905"/>
      <c r="R54" s="905"/>
      <c r="S54" s="905"/>
      <c r="T54" s="905"/>
      <c r="U54" s="905"/>
      <c r="V54" s="905"/>
      <c r="W54" s="248"/>
      <c r="X54" s="1600"/>
      <c r="Y54" s="1874"/>
      <c r="Z54" s="1889"/>
      <c r="AC54" s="248"/>
      <c r="AD54" s="248"/>
      <c r="AE54" s="248"/>
      <c r="AF54" s="248"/>
      <c r="AG54" s="248"/>
      <c r="AH54" s="248"/>
      <c r="AI54" s="248"/>
      <c r="AJ54" s="248"/>
      <c r="AK54" s="248"/>
      <c r="AL54" s="1352"/>
      <c r="AM54" s="1352"/>
      <c r="AN54" s="1352"/>
      <c r="AO54" s="1352"/>
      <c r="AP54" s="1352"/>
      <c r="AQ54" s="1352"/>
      <c r="AR54" s="1352"/>
      <c r="AS54" s="1352"/>
      <c r="AX54" s="433"/>
      <c r="AY54" s="434"/>
    </row>
    <row r="55" spans="1:52" ht="20" thickBot="1" x14ac:dyDescent="0.3">
      <c r="A55" s="1507">
        <v>5</v>
      </c>
      <c r="B55" s="1511" t="s">
        <v>346</v>
      </c>
      <c r="C55" s="1511"/>
      <c r="D55" s="1511"/>
      <c r="E55" s="1511"/>
      <c r="F55" s="1514"/>
      <c r="G55" s="1509" t="s">
        <v>3200</v>
      </c>
      <c r="H55" s="1510" t="s">
        <v>3197</v>
      </c>
      <c r="I55" s="72" t="s">
        <v>3485</v>
      </c>
      <c r="J55" s="90"/>
      <c r="K55" s="90"/>
      <c r="L55" s="86"/>
      <c r="M55" s="339"/>
      <c r="N55" s="419"/>
      <c r="O55" s="419"/>
      <c r="P55" s="25"/>
      <c r="Q55" s="25"/>
      <c r="R55" s="25"/>
      <c r="S55" s="25"/>
      <c r="T55" s="25"/>
      <c r="U55" s="25"/>
      <c r="V55" s="25"/>
      <c r="W55" s="25"/>
      <c r="X55" s="25"/>
      <c r="Y55" s="25"/>
      <c r="Z55" s="714"/>
      <c r="AC55" s="248"/>
      <c r="AD55" s="248"/>
      <c r="AE55" s="248"/>
      <c r="AF55" s="248"/>
      <c r="AG55" s="248"/>
      <c r="AH55" s="248"/>
      <c r="AI55" s="248"/>
      <c r="AJ55" s="248"/>
      <c r="AK55" s="248"/>
      <c r="AL55" s="1352"/>
      <c r="AM55" s="1352"/>
      <c r="AN55" s="1352"/>
      <c r="AO55" s="1352"/>
      <c r="AP55" s="1352"/>
      <c r="AQ55" s="1352"/>
      <c r="AR55" s="1352"/>
      <c r="AS55" s="1352"/>
      <c r="AX55" s="433" t="str">
        <f>'Overview (Verification)'!A58</f>
        <v>Special Design Features:</v>
      </c>
      <c r="AY55" s="434"/>
    </row>
    <row r="56" spans="1:52" ht="15" hidden="1" customHeight="1" x14ac:dyDescent="0.2">
      <c r="A56" s="1507">
        <v>5</v>
      </c>
      <c r="B56" s="1511" t="s">
        <v>347</v>
      </c>
      <c r="C56" s="1511"/>
      <c r="D56" s="1511"/>
      <c r="E56" s="1511"/>
      <c r="F56" s="1514"/>
      <c r="G56" s="1512"/>
      <c r="H56" s="1512"/>
      <c r="I56" s="590" t="s">
        <v>3486</v>
      </c>
      <c r="J56" s="103"/>
      <c r="K56" s="103"/>
      <c r="L56" s="1629" t="s">
        <v>3509</v>
      </c>
      <c r="M56" s="913"/>
      <c r="N56" s="908"/>
      <c r="O56" s="908"/>
      <c r="P56" s="991"/>
      <c r="Q56" s="991"/>
      <c r="R56" s="991"/>
      <c r="S56" s="991"/>
      <c r="T56" s="991"/>
      <c r="U56" s="991"/>
      <c r="V56" s="991"/>
      <c r="W56" s="96"/>
      <c r="X56" s="1601"/>
      <c r="Y56" s="1881" t="str">
        <f>IF(LEN('11.500'!X57)=0,"None",'11.500'!X57)</f>
        <v>None</v>
      </c>
      <c r="Z56" s="1891"/>
      <c r="AC56" s="248"/>
      <c r="AD56" s="248"/>
      <c r="AE56" s="248"/>
      <c r="AF56" s="248"/>
      <c r="AG56" s="248"/>
      <c r="AH56" s="248"/>
      <c r="AI56" s="248"/>
      <c r="AJ56" s="248"/>
      <c r="AK56" s="248"/>
      <c r="AL56" s="1352"/>
      <c r="AM56" s="1352"/>
      <c r="AN56" s="1352"/>
      <c r="AO56" s="1352"/>
      <c r="AP56" s="1352"/>
      <c r="AQ56" s="1352"/>
      <c r="AR56" s="1352" t="str">
        <f>SUBSTITUTE(SUBSTITUTE(SUBSTITUTE("vnt"&amp;$B56&amp;$C56&amp;$D56&amp;$E56&amp;$F56,".","_"),"(","_"),")","")</f>
        <v>vnt503_0</v>
      </c>
      <c r="AS56" s="1352" t="str">
        <f>IF(LEN(X56)=0,"",X56)</f>
        <v/>
      </c>
      <c r="AX56" s="433" t="str">
        <f>'Overview (Verification)'!A59</f>
        <v>Passive Solar:</v>
      </c>
      <c r="AY56" s="434">
        <f>IF(LEN('Overview (Verification)'!P59)=0,0,'Overview (Verification)'!P59)</f>
        <v>0</v>
      </c>
    </row>
    <row r="57" spans="1:52" ht="16" hidden="1" thickBot="1" x14ac:dyDescent="0.25">
      <c r="A57" s="1507">
        <v>5</v>
      </c>
      <c r="B57" s="1511" t="s">
        <v>347</v>
      </c>
      <c r="C57" s="1511"/>
      <c r="D57" s="1511"/>
      <c r="E57" s="1511"/>
      <c r="F57" s="1514"/>
      <c r="G57" s="1512"/>
      <c r="H57" s="1512"/>
      <c r="I57" s="103"/>
      <c r="J57" s="103"/>
      <c r="K57" s="103"/>
      <c r="L57" s="1629"/>
      <c r="M57" s="913"/>
      <c r="N57" s="908"/>
      <c r="O57" s="908"/>
      <c r="P57" s="991"/>
      <c r="Q57" s="991"/>
      <c r="R57" s="991"/>
      <c r="S57" s="991"/>
      <c r="T57" s="991"/>
      <c r="U57" s="991"/>
      <c r="V57" s="991"/>
      <c r="W57" s="96"/>
      <c r="X57" s="1601"/>
      <c r="Y57" s="1881"/>
      <c r="Z57" s="1891"/>
      <c r="AC57" s="248"/>
      <c r="AD57" s="248"/>
      <c r="AE57" s="248"/>
      <c r="AF57" s="248"/>
      <c r="AG57" s="248"/>
      <c r="AH57" s="248"/>
      <c r="AI57" s="248"/>
      <c r="AJ57" s="248"/>
      <c r="AK57" s="248"/>
      <c r="AL57" s="1352"/>
      <c r="AM57" s="1352"/>
      <c r="AN57" s="1352"/>
      <c r="AO57" s="1352"/>
      <c r="AP57" s="1352"/>
      <c r="AQ57" s="1352"/>
      <c r="AR57" s="1352"/>
      <c r="AS57" s="1352"/>
      <c r="AX57" s="433" t="str">
        <f>'Overview (Verification)'!A60</f>
        <v>Mass Walls:</v>
      </c>
      <c r="AY57" s="434">
        <f>IF(LEN('Overview (Verification)'!P60)=0,0,'Overview (Verification)'!P60)</f>
        <v>0</v>
      </c>
    </row>
    <row r="58" spans="1:52" ht="16" hidden="1" thickBot="1" x14ac:dyDescent="0.25">
      <c r="A58" s="1507">
        <v>5</v>
      </c>
      <c r="B58" s="1511" t="s">
        <v>347</v>
      </c>
      <c r="C58" s="1511"/>
      <c r="D58" s="1511"/>
      <c r="E58" s="1511"/>
      <c r="F58" s="1514"/>
      <c r="G58" s="1512"/>
      <c r="H58" s="1512"/>
      <c r="I58" s="103"/>
      <c r="J58" s="103"/>
      <c r="K58" s="103"/>
      <c r="L58" s="1629"/>
      <c r="M58" s="913"/>
      <c r="N58" s="908"/>
      <c r="O58" s="908"/>
      <c r="P58" s="991"/>
      <c r="Q58" s="991"/>
      <c r="R58" s="991"/>
      <c r="S58" s="991"/>
      <c r="T58" s="991"/>
      <c r="U58" s="991"/>
      <c r="V58" s="991"/>
      <c r="W58" s="96"/>
      <c r="X58" s="1601"/>
      <c r="Y58" s="1881"/>
      <c r="Z58" s="1891"/>
      <c r="AC58" s="248"/>
      <c r="AD58" s="248"/>
      <c r="AE58" s="248"/>
      <c r="AF58" s="248"/>
      <c r="AG58" s="248"/>
      <c r="AH58" s="248"/>
      <c r="AI58" s="248"/>
      <c r="AJ58" s="248"/>
      <c r="AK58" s="248"/>
      <c r="AL58" s="1352"/>
      <c r="AM58" s="1352"/>
      <c r="AN58" s="1352"/>
      <c r="AO58" s="1352"/>
      <c r="AP58" s="1352"/>
      <c r="AQ58" s="1352"/>
      <c r="AR58" s="1352"/>
      <c r="AS58" s="1352"/>
      <c r="AX58" s="433" t="str">
        <f>'Overview (Verification)'!A61</f>
        <v>Radiant/Hydronic:</v>
      </c>
      <c r="AY58" s="434">
        <f>IF(LEN('Overview (Verification)'!P61)=0,0,'Overview (Verification)'!P61)</f>
        <v>0</v>
      </c>
    </row>
    <row r="59" spans="1:52" ht="16" hidden="1" thickBot="1" x14ac:dyDescent="0.25">
      <c r="A59" s="1507">
        <v>5</v>
      </c>
      <c r="B59" s="1511" t="s">
        <v>347</v>
      </c>
      <c r="C59" s="1511"/>
      <c r="D59" s="1511"/>
      <c r="E59" s="1511"/>
      <c r="F59" s="1514"/>
      <c r="G59" s="1512"/>
      <c r="H59" s="1512"/>
      <c r="I59" s="103"/>
      <c r="J59" s="103"/>
      <c r="K59" s="103"/>
      <c r="L59" s="1629"/>
      <c r="M59" s="913"/>
      <c r="N59" s="908"/>
      <c r="O59" s="908"/>
      <c r="P59" s="991"/>
      <c r="Q59" s="991"/>
      <c r="R59" s="991"/>
      <c r="S59" s="991"/>
      <c r="T59" s="991"/>
      <c r="U59" s="991"/>
      <c r="V59" s="991"/>
      <c r="W59" s="96"/>
      <c r="X59" s="1601"/>
      <c r="Y59" s="1881"/>
      <c r="Z59" s="1891"/>
      <c r="AC59" s="248"/>
      <c r="AD59" s="248"/>
      <c r="AE59" s="248"/>
      <c r="AF59" s="248"/>
      <c r="AG59" s="248"/>
      <c r="AH59" s="248"/>
      <c r="AI59" s="248"/>
      <c r="AJ59" s="248"/>
      <c r="AK59" s="248"/>
      <c r="AL59" s="1352"/>
      <c r="AM59" s="1352"/>
      <c r="AN59" s="1352"/>
      <c r="AO59" s="1352"/>
      <c r="AP59" s="1352"/>
      <c r="AQ59" s="1352"/>
      <c r="AR59" s="1352"/>
      <c r="AS59" s="1352"/>
      <c r="AX59" s="433" t="str">
        <f>'Overview (Verification)'!A62</f>
        <v>Tankless Water Heater:</v>
      </c>
      <c r="AY59" s="434">
        <f>IF(LEN('Overview (Verification)'!P62)=0,0,'Overview (Verification)'!P62)</f>
        <v>0</v>
      </c>
    </row>
    <row r="60" spans="1:52" ht="16" hidden="1" thickBot="1" x14ac:dyDescent="0.25">
      <c r="A60" s="1507">
        <v>5</v>
      </c>
      <c r="B60" s="1511" t="s">
        <v>347</v>
      </c>
      <c r="C60" s="1511"/>
      <c r="D60" s="1511"/>
      <c r="E60" s="1511"/>
      <c r="F60" s="1514"/>
      <c r="G60" s="1512"/>
      <c r="H60" s="1512"/>
      <c r="I60" s="104"/>
      <c r="J60" s="104"/>
      <c r="K60" s="104"/>
      <c r="L60" s="105" t="s">
        <v>348</v>
      </c>
      <c r="M60" s="914"/>
      <c r="N60" s="922"/>
      <c r="O60" s="922"/>
      <c r="P60" s="100"/>
      <c r="Q60" s="100"/>
      <c r="R60" s="100"/>
      <c r="S60" s="100"/>
      <c r="T60" s="100"/>
      <c r="U60" s="100"/>
      <c r="V60" s="100"/>
      <c r="W60" s="100"/>
      <c r="X60" s="1602"/>
      <c r="Y60" s="1882"/>
      <c r="Z60" s="1892"/>
      <c r="AC60" s="248"/>
      <c r="AD60" s="248"/>
      <c r="AE60" s="248"/>
      <c r="AF60" s="248"/>
      <c r="AG60" s="248"/>
      <c r="AH60" s="248"/>
      <c r="AI60" s="248"/>
      <c r="AJ60" s="248"/>
      <c r="AK60" s="248"/>
      <c r="AL60" s="1352"/>
      <c r="AM60" s="1352"/>
      <c r="AN60" s="1352"/>
      <c r="AO60" s="1352"/>
      <c r="AP60" s="1352"/>
      <c r="AQ60" s="1352"/>
      <c r="AR60" s="1352"/>
      <c r="AS60" s="1352"/>
      <c r="AX60" s="433" t="str">
        <f>'Overview (Verification)'!A63</f>
        <v>Composting Toilet:</v>
      </c>
      <c r="AY60" s="434">
        <f>IF(LEN('Overview (Verification)'!P63)=0,0,'Overview (Verification)'!P63)</f>
        <v>0</v>
      </c>
    </row>
    <row r="61" spans="1:52" ht="15.75" hidden="1" customHeight="1" thickTop="1" x14ac:dyDescent="0.2">
      <c r="A61" s="1507">
        <v>5</v>
      </c>
      <c r="B61" s="1511" t="s">
        <v>349</v>
      </c>
      <c r="C61" s="1511"/>
      <c r="D61" s="1511"/>
      <c r="E61" s="1511"/>
      <c r="F61" s="1514"/>
      <c r="G61" s="1513" t="str">
        <f>IF(COUNTIF(G63:G75,"P")&gt;0,"P","")</f>
        <v/>
      </c>
      <c r="H61" s="1512" t="s">
        <v>3198</v>
      </c>
      <c r="I61" s="932" t="s">
        <v>3487</v>
      </c>
      <c r="J61" s="932"/>
      <c r="K61" s="932"/>
      <c r="L61" s="1646" t="s">
        <v>3510</v>
      </c>
      <c r="M61" s="945"/>
      <c r="N61" s="943"/>
      <c r="O61" s="943"/>
      <c r="P61" s="106"/>
      <c r="Q61" s="106"/>
      <c r="R61" s="106"/>
      <c r="S61" s="106"/>
      <c r="T61" s="106"/>
      <c r="U61" s="106"/>
      <c r="V61" s="106"/>
      <c r="W61" s="106"/>
      <c r="X61" s="1600"/>
      <c r="Y61" s="1883" t="str">
        <f>IF(LEN('11.500'!X62)=0,"None",'11.500'!X62)</f>
        <v>None</v>
      </c>
      <c r="Z61" s="1600"/>
      <c r="AC61" s="248"/>
      <c r="AD61" s="248"/>
      <c r="AE61" s="248"/>
      <c r="AF61" s="248"/>
      <c r="AG61" s="248"/>
      <c r="AH61" s="248"/>
      <c r="AI61" s="248"/>
      <c r="AJ61" s="248"/>
      <c r="AK61" s="248"/>
      <c r="AL61" s="1352"/>
      <c r="AM61" s="1352"/>
      <c r="AN61" s="1352"/>
      <c r="AO61" s="1352"/>
      <c r="AP61" s="1352"/>
      <c r="AQ61" s="1352"/>
      <c r="AR61" s="1352" t="str">
        <f>SUBSTITUTE(SUBSTITUTE(SUBSTITUTE("vnt"&amp;$B61&amp;$C61&amp;$D61&amp;$E61&amp;$F61,".","_"),"(","_"),")","")</f>
        <v>vnt503_1</v>
      </c>
      <c r="AS61" s="1352" t="str">
        <f>IF(LEN(X61)=0,"",X61)</f>
        <v/>
      </c>
    </row>
    <row r="62" spans="1:52" s="812" customFormat="1" ht="15.75" hidden="1" customHeight="1" x14ac:dyDescent="0.2">
      <c r="A62" s="1507">
        <v>5</v>
      </c>
      <c r="B62" s="1511" t="s">
        <v>349</v>
      </c>
      <c r="C62" s="1511"/>
      <c r="D62" s="1511"/>
      <c r="E62" s="1511"/>
      <c r="F62" s="1514"/>
      <c r="G62" s="1509" t="str">
        <f>G61</f>
        <v/>
      </c>
      <c r="H62" s="1512" t="s">
        <v>3198</v>
      </c>
      <c r="I62" s="933"/>
      <c r="J62" s="933"/>
      <c r="K62" s="933"/>
      <c r="L62" s="1647"/>
      <c r="M62" s="913"/>
      <c r="N62" s="908"/>
      <c r="O62" s="908"/>
      <c r="P62" s="991"/>
      <c r="Q62" s="991"/>
      <c r="R62" s="991"/>
      <c r="S62" s="991"/>
      <c r="T62" s="991"/>
      <c r="U62" s="991"/>
      <c r="V62" s="991"/>
      <c r="W62" s="96"/>
      <c r="X62" s="1600"/>
      <c r="Y62" s="1881"/>
      <c r="Z62" s="1600"/>
      <c r="AL62" s="1352"/>
      <c r="AM62" s="1352"/>
      <c r="AN62" s="1352"/>
      <c r="AO62" s="1352"/>
      <c r="AP62" s="1352"/>
      <c r="AQ62" s="1352"/>
      <c r="AR62" s="1352"/>
      <c r="AS62" s="1352"/>
      <c r="AX62" s="433" t="str">
        <f>'Overview (Verification)'!A65</f>
        <v>Local Energy Code:</v>
      </c>
      <c r="AY62" s="434" t="str">
        <f>IF(LEN('Overview (Verification)'!P65)=0,0,'Overview (Verification)'!P65)</f>
        <v>2015 IECC</v>
      </c>
      <c r="AZ62"/>
    </row>
    <row r="63" spans="1:52" ht="16" hidden="1" thickBot="1" x14ac:dyDescent="0.25">
      <c r="A63" s="1507">
        <v>5</v>
      </c>
      <c r="B63" s="1511" t="s">
        <v>349</v>
      </c>
      <c r="C63" s="1511" t="s">
        <v>254</v>
      </c>
      <c r="D63" s="1511"/>
      <c r="E63" s="1511"/>
      <c r="F63" s="1514"/>
      <c r="G63" s="1509" t="str">
        <f>IF(N63&gt;0,"P","")</f>
        <v/>
      </c>
      <c r="H63" s="1512" t="s">
        <v>3198</v>
      </c>
      <c r="I63" s="103"/>
      <c r="J63" s="169" t="s">
        <v>254</v>
      </c>
      <c r="K63" s="172"/>
      <c r="L63" s="170" t="s">
        <v>350</v>
      </c>
      <c r="M63" s="937">
        <v>5</v>
      </c>
      <c r="N63" s="909">
        <f>'11.500'!O64</f>
        <v>0</v>
      </c>
      <c r="O63" s="909">
        <f>M63*W63</f>
        <v>0</v>
      </c>
      <c r="P63" s="905" t="b">
        <v>1</v>
      </c>
      <c r="Q63" s="905" t="b">
        <v>0</v>
      </c>
      <c r="R63" s="991" t="b">
        <v>0</v>
      </c>
      <c r="S63" s="991" t="b">
        <v>1</v>
      </c>
      <c r="T63" s="991" t="b">
        <v>0</v>
      </c>
      <c r="U63" s="991"/>
      <c r="V63" s="991"/>
      <c r="W63" s="27"/>
      <c r="X63" s="1600"/>
      <c r="Y63" s="1881"/>
      <c r="Z63" s="1600"/>
      <c r="AC63" s="248"/>
      <c r="AD63" s="248"/>
      <c r="AE63" s="248"/>
      <c r="AF63" s="248"/>
      <c r="AG63" s="248"/>
      <c r="AH63" s="248"/>
      <c r="AI63" s="248"/>
      <c r="AJ63" s="248"/>
      <c r="AK63" s="248"/>
      <c r="AL63" s="1352" t="str">
        <f>SUBSTITUTE(SUBSTITUTE(SUBSTITUTE("vpa"&amp;$B63&amp;$C63&amp;$D63&amp;$E63&amp;$F63,".","_"),"(","_"),")","")</f>
        <v>vpa503_1_1</v>
      </c>
      <c r="AM63" s="1352">
        <f>M63</f>
        <v>5</v>
      </c>
      <c r="AN63" s="1352" t="str">
        <f>SUBSTITUTE(SUBSTITUTE(SUBSTITUTE("vpc"&amp;$B63&amp;$C63&amp;$D63&amp;$E63&amp;$F63,".","_"),"(","_"),")","")</f>
        <v>vpc503_1_1</v>
      </c>
      <c r="AO63" s="1352">
        <f>O63</f>
        <v>0</v>
      </c>
      <c r="AP63" s="1352" t="str">
        <f>SUBSTITUTE(SUBSTITUTE(SUBSTITUTE("vch"&amp;$B63&amp;$C63&amp;$D63&amp;$E63&amp;$F63,".","_"),"(","_"),")","")</f>
        <v>vch503_1_1</v>
      </c>
      <c r="AQ63" s="1352" t="str">
        <f>IF(LEN(W63)=0,"",W63)</f>
        <v/>
      </c>
      <c r="AR63" s="1352"/>
      <c r="AS63" s="1352"/>
      <c r="AX63" s="433" t="str">
        <f>'Overview (Verification)'!A66</f>
        <v>Local Building Code:</v>
      </c>
      <c r="AY63" s="434" t="str">
        <f>IF(LEN('Overview (Verification)'!P66)=0,0,'Overview (Verification)'!P66)</f>
        <v>2018 IBC</v>
      </c>
    </row>
    <row r="64" spans="1:52" ht="15" hidden="1" customHeight="1" x14ac:dyDescent="0.2">
      <c r="A64" s="1507">
        <v>5</v>
      </c>
      <c r="B64" s="1511" t="s">
        <v>349</v>
      </c>
      <c r="C64" s="1511" t="s">
        <v>255</v>
      </c>
      <c r="D64" s="1511"/>
      <c r="E64" s="1511"/>
      <c r="F64" s="1514"/>
      <c r="G64" s="1509" t="str">
        <f>IF(N64&gt;0,"P","")</f>
        <v/>
      </c>
      <c r="H64" s="1512" t="s">
        <v>3198</v>
      </c>
      <c r="I64" s="103"/>
      <c r="J64" s="93" t="s">
        <v>255</v>
      </c>
      <c r="K64" s="103"/>
      <c r="L64" s="1613" t="s">
        <v>351</v>
      </c>
      <c r="M64" s="1623">
        <v>6</v>
      </c>
      <c r="N64" s="908">
        <f>'11.500'!O65</f>
        <v>0</v>
      </c>
      <c r="O64" s="1619">
        <f>M64*S64*W64</f>
        <v>0</v>
      </c>
      <c r="P64" s="905" t="b">
        <v>1</v>
      </c>
      <c r="Q64" s="905" t="b">
        <v>0</v>
      </c>
      <c r="R64" s="991" t="b">
        <v>0</v>
      </c>
      <c r="S64" s="991" t="b">
        <f>IF(W63=TRUE,TRUE,FALSE)</f>
        <v>0</v>
      </c>
      <c r="T64" s="991" t="b">
        <f>AND(NOT(S64),W64=TRUE)</f>
        <v>0</v>
      </c>
      <c r="U64" s="991"/>
      <c r="V64" s="991"/>
      <c r="W64" s="27"/>
      <c r="X64" s="1600"/>
      <c r="Y64" s="1881"/>
      <c r="Z64" s="1600"/>
      <c r="AC64" s="248" t="b">
        <f>OR(AD64:AE64)</f>
        <v>0</v>
      </c>
      <c r="AD64" s="248" t="b">
        <f>T64</f>
        <v>0</v>
      </c>
      <c r="AE64" s="248"/>
      <c r="AF64" s="248"/>
      <c r="AG64" s="248"/>
      <c r="AH64" s="248"/>
      <c r="AI64" s="248"/>
      <c r="AJ64" s="248"/>
      <c r="AK64" s="248"/>
      <c r="AL64" s="1352" t="str">
        <f>SUBSTITUTE(SUBSTITUTE(SUBSTITUTE("vpa"&amp;$B64&amp;$C64&amp;$D64&amp;$E64&amp;$F64,".","_"),"(","_"),")","")</f>
        <v>vpa503_1_2</v>
      </c>
      <c r="AM64" s="1352">
        <f>M64</f>
        <v>6</v>
      </c>
      <c r="AN64" s="1352" t="str">
        <f>SUBSTITUTE(SUBSTITUTE(SUBSTITUTE("vpc"&amp;$B64&amp;$C64&amp;$D64&amp;$E64&amp;$F64,".","_"),"(","_"),")","")</f>
        <v>vpc503_1_2</v>
      </c>
      <c r="AO64" s="1352">
        <f>O64</f>
        <v>0</v>
      </c>
      <c r="AP64" s="1352" t="str">
        <f>SUBSTITUTE(SUBSTITUTE(SUBSTITUTE("vch"&amp;$B64&amp;$C64&amp;$D64&amp;$E64&amp;$F64,".","_"),"(","_"),")","")</f>
        <v>vch503_1_2</v>
      </c>
      <c r="AQ64" s="1352" t="str">
        <f>IF(LEN(W64)=0,"",W64)</f>
        <v/>
      </c>
      <c r="AR64" s="1352"/>
      <c r="AS64" s="1352"/>
    </row>
    <row r="65" spans="1:51" ht="16" hidden="1" thickBot="1" x14ac:dyDescent="0.25">
      <c r="A65" s="1507">
        <v>5</v>
      </c>
      <c r="B65" s="1511" t="s">
        <v>349</v>
      </c>
      <c r="C65" s="1511" t="s">
        <v>255</v>
      </c>
      <c r="D65" s="1511"/>
      <c r="E65" s="1511"/>
      <c r="F65" s="1514"/>
      <c r="G65" s="1509" t="str">
        <f>G64</f>
        <v/>
      </c>
      <c r="H65" s="1512" t="s">
        <v>3198</v>
      </c>
      <c r="I65" s="103"/>
      <c r="J65" s="169"/>
      <c r="K65" s="172"/>
      <c r="L65" s="1612"/>
      <c r="M65" s="1624"/>
      <c r="N65" s="909"/>
      <c r="O65" s="1620"/>
      <c r="P65" s="991"/>
      <c r="Q65" s="991"/>
      <c r="R65" s="991"/>
      <c r="S65" s="991"/>
      <c r="T65" s="991"/>
      <c r="U65" s="991"/>
      <c r="V65" s="991"/>
      <c r="W65" s="96"/>
      <c r="X65" s="1600"/>
      <c r="Y65" s="1881"/>
      <c r="Z65" s="1600"/>
      <c r="AC65" s="248"/>
      <c r="AD65" s="248"/>
      <c r="AE65" s="248"/>
      <c r="AF65" s="248"/>
      <c r="AG65" s="248"/>
      <c r="AH65" s="248"/>
      <c r="AI65" s="248"/>
      <c r="AJ65" s="248"/>
      <c r="AK65" s="248"/>
      <c r="AL65" s="1352"/>
      <c r="AM65" s="1352"/>
      <c r="AN65" s="1352"/>
      <c r="AO65" s="1352"/>
      <c r="AP65" s="1352"/>
      <c r="AQ65" s="1352"/>
      <c r="AR65" s="1352"/>
      <c r="AS65" s="1352"/>
    </row>
    <row r="66" spans="1:51" ht="15" hidden="1" customHeight="1" x14ac:dyDescent="0.2">
      <c r="A66" s="1507">
        <v>5</v>
      </c>
      <c r="B66" s="1511" t="s">
        <v>349</v>
      </c>
      <c r="C66" s="1511" t="s">
        <v>256</v>
      </c>
      <c r="D66" s="1511"/>
      <c r="E66" s="1511"/>
      <c r="F66" s="1514"/>
      <c r="G66" s="1509" t="str">
        <f>IF(N66&gt;0,"P","")</f>
        <v/>
      </c>
      <c r="H66" s="1512" t="s">
        <v>3198</v>
      </c>
      <c r="I66" s="103"/>
      <c r="J66" s="93" t="s">
        <v>256</v>
      </c>
      <c r="K66" s="103"/>
      <c r="L66" s="1613" t="s">
        <v>352</v>
      </c>
      <c r="M66" s="1623">
        <v>4</v>
      </c>
      <c r="N66" s="908">
        <f>'11.500'!O67</f>
        <v>0</v>
      </c>
      <c r="O66" s="1619">
        <f>M66*S66*W66</f>
        <v>0</v>
      </c>
      <c r="P66" s="905" t="b">
        <v>1</v>
      </c>
      <c r="Q66" s="905" t="b">
        <v>0</v>
      </c>
      <c r="R66" s="991" t="b">
        <v>0</v>
      </c>
      <c r="S66" s="991" t="b">
        <f>IF(AND(W63=TRUE,W64=TRUE),TRUE,FALSE)</f>
        <v>0</v>
      </c>
      <c r="T66" s="991" t="b">
        <f>AND(NOT(S66),W66=TRUE)</f>
        <v>0</v>
      </c>
      <c r="U66" s="991"/>
      <c r="V66" s="991"/>
      <c r="W66" s="27"/>
      <c r="X66" s="1600"/>
      <c r="Y66" s="1881"/>
      <c r="Z66" s="1600"/>
      <c r="AC66" s="248" t="b">
        <f>OR(AD66:AE66)</f>
        <v>0</v>
      </c>
      <c r="AD66" s="248" t="b">
        <f>T66</f>
        <v>0</v>
      </c>
      <c r="AE66" s="248"/>
      <c r="AF66" s="248"/>
      <c r="AG66" s="248"/>
      <c r="AH66" s="248"/>
      <c r="AI66" s="248"/>
      <c r="AJ66" s="248"/>
      <c r="AK66" s="248"/>
      <c r="AL66" s="1352" t="str">
        <f>SUBSTITUTE(SUBSTITUTE(SUBSTITUTE("vpa"&amp;$B66&amp;$C66&amp;$D66&amp;$E66&amp;$F66,".","_"),"(","_"),")","")</f>
        <v>vpa503_1_3</v>
      </c>
      <c r="AM66" s="1352">
        <f>M66</f>
        <v>4</v>
      </c>
      <c r="AN66" s="1352" t="str">
        <f>SUBSTITUTE(SUBSTITUTE(SUBSTITUTE("vpc"&amp;$B66&amp;$C66&amp;$D66&amp;$E66&amp;$F66,".","_"),"(","_"),")","")</f>
        <v>vpc503_1_3</v>
      </c>
      <c r="AO66" s="1352">
        <f>O66</f>
        <v>0</v>
      </c>
      <c r="AP66" s="1352" t="str">
        <f>SUBSTITUTE(SUBSTITUTE(SUBSTITUTE("vch"&amp;$B66&amp;$C66&amp;$D66&amp;$E66&amp;$F66,".","_"),"(","_"),")","")</f>
        <v>vch503_1_3</v>
      </c>
      <c r="AQ66" s="1352" t="str">
        <f>IF(LEN(W66)=0,"",W66)</f>
        <v/>
      </c>
      <c r="AR66" s="1352"/>
      <c r="AS66" s="1352"/>
    </row>
    <row r="67" spans="1:51" ht="16" hidden="1" thickBot="1" x14ac:dyDescent="0.25">
      <c r="A67" s="1507">
        <v>5</v>
      </c>
      <c r="B67" s="1511" t="s">
        <v>349</v>
      </c>
      <c r="C67" s="1511" t="s">
        <v>256</v>
      </c>
      <c r="D67" s="1511"/>
      <c r="E67" s="1511"/>
      <c r="F67" s="1514"/>
      <c r="G67" s="1509" t="str">
        <f>G66</f>
        <v/>
      </c>
      <c r="H67" s="1512" t="s">
        <v>3198</v>
      </c>
      <c r="I67" s="103"/>
      <c r="J67" s="169"/>
      <c r="K67" s="172"/>
      <c r="L67" s="1612"/>
      <c r="M67" s="1624"/>
      <c r="N67" s="909"/>
      <c r="O67" s="1620"/>
      <c r="P67" s="991"/>
      <c r="Q67" s="991"/>
      <c r="R67" s="991"/>
      <c r="S67" s="991"/>
      <c r="T67" s="991"/>
      <c r="U67" s="991"/>
      <c r="V67" s="991"/>
      <c r="W67" s="96"/>
      <c r="X67" s="1600"/>
      <c r="Y67" s="1881"/>
      <c r="Z67" s="1600"/>
      <c r="AC67" s="248"/>
      <c r="AD67" s="248"/>
      <c r="AE67" s="248"/>
      <c r="AF67" s="248"/>
      <c r="AG67" s="248"/>
      <c r="AH67" s="248"/>
      <c r="AI67" s="248"/>
      <c r="AJ67" s="248"/>
      <c r="AK67" s="248"/>
      <c r="AL67" s="1352"/>
      <c r="AM67" s="1352"/>
      <c r="AN67" s="1352"/>
      <c r="AO67" s="1352"/>
      <c r="AP67" s="1352"/>
      <c r="AQ67" s="1352"/>
      <c r="AR67" s="1352"/>
      <c r="AS67" s="1352"/>
    </row>
    <row r="68" spans="1:51" ht="16" hidden="1" thickBot="1" x14ac:dyDescent="0.25">
      <c r="A68" s="1507">
        <v>5</v>
      </c>
      <c r="B68" s="1511" t="s">
        <v>349</v>
      </c>
      <c r="C68" s="1511" t="s">
        <v>259</v>
      </c>
      <c r="D68" s="1511"/>
      <c r="E68" s="1511"/>
      <c r="F68" s="1514"/>
      <c r="G68" s="1509" t="str">
        <f>IF(N68&gt;0,"P","")</f>
        <v/>
      </c>
      <c r="H68" s="1512" t="s">
        <v>3198</v>
      </c>
      <c r="I68" s="103"/>
      <c r="J68" s="860" t="s">
        <v>259</v>
      </c>
      <c r="K68" s="865"/>
      <c r="L68" s="1649" t="s">
        <v>353</v>
      </c>
      <c r="M68" s="1636">
        <v>4</v>
      </c>
      <c r="N68" s="1637">
        <f>'11.500'!O69</f>
        <v>0</v>
      </c>
      <c r="O68" s="1637">
        <f>M68*W68</f>
        <v>0</v>
      </c>
      <c r="P68" s="905" t="b">
        <v>1</v>
      </c>
      <c r="Q68" s="905" t="b">
        <v>0</v>
      </c>
      <c r="R68" s="991" t="b">
        <v>0</v>
      </c>
      <c r="S68" s="991" t="b">
        <v>1</v>
      </c>
      <c r="T68" s="991" t="b">
        <v>0</v>
      </c>
      <c r="U68" s="991"/>
      <c r="V68" s="991"/>
      <c r="W68" s="27"/>
      <c r="X68" s="1600"/>
      <c r="Y68" s="1881"/>
      <c r="Z68" s="1600"/>
      <c r="AC68" s="248"/>
      <c r="AD68" s="248"/>
      <c r="AE68" s="248"/>
      <c r="AF68" s="248"/>
      <c r="AG68" s="248"/>
      <c r="AH68" s="248"/>
      <c r="AI68" s="248"/>
      <c r="AJ68" s="248"/>
      <c r="AK68" s="248"/>
      <c r="AL68" s="1352" t="str">
        <f>SUBSTITUTE(SUBSTITUTE(SUBSTITUTE("vpa"&amp;$B68&amp;$C68&amp;$D68&amp;$E68&amp;$F68,".","_"),"(","_"),")","")</f>
        <v>vpa503_1_4</v>
      </c>
      <c r="AM68" s="1352">
        <f>M68</f>
        <v>4</v>
      </c>
      <c r="AN68" s="1352" t="str">
        <f>SUBSTITUTE(SUBSTITUTE(SUBSTITUTE("vpc"&amp;$B68&amp;$C68&amp;$D68&amp;$E68&amp;$F68,".","_"),"(","_"),")","")</f>
        <v>vpc503_1_4</v>
      </c>
      <c r="AO68" s="1352">
        <f>O68</f>
        <v>0</v>
      </c>
      <c r="AP68" s="1352" t="str">
        <f>SUBSTITUTE(SUBSTITUTE(SUBSTITUTE("vch"&amp;$B68&amp;$C68&amp;$D68&amp;$E68&amp;$F68,".","_"),"(","_"),")","")</f>
        <v>vch503_1_4</v>
      </c>
      <c r="AQ68" s="1352" t="str">
        <f>IF(LEN(W68)=0,"",W68)</f>
        <v/>
      </c>
      <c r="AR68" s="1352"/>
      <c r="AS68" s="1352"/>
    </row>
    <row r="69" spans="1:51" s="1280" customFormat="1" ht="16" hidden="1" thickBot="1" x14ac:dyDescent="0.25">
      <c r="A69" s="1507">
        <v>5</v>
      </c>
      <c r="B69" s="1511" t="s">
        <v>349</v>
      </c>
      <c r="C69" s="1511" t="s">
        <v>259</v>
      </c>
      <c r="D69" s="1511"/>
      <c r="E69" s="1511"/>
      <c r="F69" s="1514"/>
      <c r="G69" s="1509" t="str">
        <f>G68</f>
        <v/>
      </c>
      <c r="H69" s="1512" t="s">
        <v>3198</v>
      </c>
      <c r="I69" s="103"/>
      <c r="J69" s="169"/>
      <c r="K69" s="172"/>
      <c r="L69" s="1650"/>
      <c r="M69" s="1624"/>
      <c r="N69" s="1620"/>
      <c r="O69" s="1620"/>
      <c r="R69" s="1304"/>
      <c r="S69" s="1304"/>
      <c r="T69" s="1304"/>
      <c r="U69" s="1304"/>
      <c r="V69" s="1304"/>
      <c r="W69"/>
      <c r="X69" s="1600"/>
      <c r="Y69" s="1881"/>
      <c r="Z69" s="1600"/>
      <c r="AL69" s="1352"/>
      <c r="AM69" s="1352"/>
      <c r="AN69" s="1352"/>
      <c r="AO69" s="1352"/>
      <c r="AP69" s="1352"/>
      <c r="AQ69" s="1352"/>
      <c r="AR69" s="1352"/>
      <c r="AS69" s="1352"/>
    </row>
    <row r="70" spans="1:51" ht="16" hidden="1" thickBot="1" x14ac:dyDescent="0.25">
      <c r="A70" s="1507">
        <v>5</v>
      </c>
      <c r="B70" s="1511" t="s">
        <v>349</v>
      </c>
      <c r="C70" s="1511" t="s">
        <v>263</v>
      </c>
      <c r="D70" s="1511"/>
      <c r="E70" s="1511"/>
      <c r="F70" s="1514"/>
      <c r="G70" s="1509" t="str">
        <f>IF(N70&gt;0,"P","")</f>
        <v/>
      </c>
      <c r="H70" s="1512" t="s">
        <v>3198</v>
      </c>
      <c r="I70" s="103"/>
      <c r="J70" s="169" t="s">
        <v>263</v>
      </c>
      <c r="K70" s="172"/>
      <c r="L70" s="170" t="s">
        <v>354</v>
      </c>
      <c r="M70" s="937">
        <v>3</v>
      </c>
      <c r="N70" s="909">
        <f>'11.500'!O71</f>
        <v>0</v>
      </c>
      <c r="O70" s="909">
        <f>M70*W70</f>
        <v>0</v>
      </c>
      <c r="P70" s="905" t="b">
        <v>1</v>
      </c>
      <c r="Q70" s="905" t="b">
        <v>0</v>
      </c>
      <c r="R70" s="991" t="b">
        <v>0</v>
      </c>
      <c r="S70" s="991" t="b">
        <v>1</v>
      </c>
      <c r="T70" s="991" t="b">
        <v>0</v>
      </c>
      <c r="U70" s="991"/>
      <c r="V70" s="991"/>
      <c r="W70" s="27"/>
      <c r="X70" s="1600"/>
      <c r="Y70" s="1881"/>
      <c r="Z70" s="1600"/>
      <c r="AC70" s="248"/>
      <c r="AD70" s="248"/>
      <c r="AE70" s="248"/>
      <c r="AF70" s="248"/>
      <c r="AG70" s="248"/>
      <c r="AH70" s="248"/>
      <c r="AI70" s="248"/>
      <c r="AJ70" s="248"/>
      <c r="AK70" s="248"/>
      <c r="AL70" s="1352" t="str">
        <f>SUBSTITUTE(SUBSTITUTE(SUBSTITUTE("vpa"&amp;$B70&amp;$C70&amp;$D70&amp;$E70&amp;$F70,".","_"),"(","_"),")","")</f>
        <v>vpa503_1_5</v>
      </c>
      <c r="AM70" s="1352">
        <f>M70</f>
        <v>3</v>
      </c>
      <c r="AN70" s="1352" t="str">
        <f>SUBSTITUTE(SUBSTITUTE(SUBSTITUTE("vpc"&amp;$B70&amp;$C70&amp;$D70&amp;$E70&amp;$F70,".","_"),"(","_"),")","")</f>
        <v>vpc503_1_5</v>
      </c>
      <c r="AO70" s="1352">
        <f>O70</f>
        <v>0</v>
      </c>
      <c r="AP70" s="1352" t="str">
        <f>SUBSTITUTE(SUBSTITUTE(SUBSTITUTE("vch"&amp;$B70&amp;$C70&amp;$D70&amp;$E70&amp;$F70,".","_"),"(","_"),")","")</f>
        <v>vch503_1_5</v>
      </c>
      <c r="AQ70" s="1352" t="str">
        <f>IF(LEN(W70)=0,"",W70)</f>
        <v/>
      </c>
      <c r="AR70" s="1352"/>
      <c r="AS70" s="1352"/>
    </row>
    <row r="71" spans="1:51" ht="15" hidden="1" customHeight="1" x14ac:dyDescent="0.2">
      <c r="A71" s="1507">
        <v>5</v>
      </c>
      <c r="B71" s="1511" t="s">
        <v>349</v>
      </c>
      <c r="C71" s="1511" t="s">
        <v>264</v>
      </c>
      <c r="D71" s="1511"/>
      <c r="E71" s="1511"/>
      <c r="F71" s="1514"/>
      <c r="G71" s="1509" t="str">
        <f>IF(N71&gt;0,"P","")</f>
        <v/>
      </c>
      <c r="H71" s="1512" t="s">
        <v>3198</v>
      </c>
      <c r="I71" s="103"/>
      <c r="J71" s="93" t="s">
        <v>264</v>
      </c>
      <c r="K71" s="103"/>
      <c r="L71" s="1613" t="s">
        <v>355</v>
      </c>
      <c r="M71" s="1623">
        <v>4</v>
      </c>
      <c r="N71" s="1637">
        <f>'11.500'!O72</f>
        <v>0</v>
      </c>
      <c r="O71" s="1619">
        <f>M71*W71</f>
        <v>0</v>
      </c>
      <c r="P71" s="905" t="b">
        <v>1</v>
      </c>
      <c r="Q71" s="905" t="b">
        <v>0</v>
      </c>
      <c r="R71" s="991" t="b">
        <v>0</v>
      </c>
      <c r="S71" s="991" t="b">
        <v>1</v>
      </c>
      <c r="T71" s="991" t="b">
        <v>0</v>
      </c>
      <c r="U71" s="991"/>
      <c r="V71" s="991"/>
      <c r="W71" s="27"/>
      <c r="X71" s="1600"/>
      <c r="Y71" s="1881"/>
      <c r="Z71" s="1600"/>
      <c r="AC71" s="248"/>
      <c r="AD71" s="248"/>
      <c r="AE71" s="248"/>
      <c r="AF71" s="248"/>
      <c r="AG71" s="248"/>
      <c r="AH71" s="248"/>
      <c r="AI71" s="248"/>
      <c r="AJ71" s="248"/>
      <c r="AK71" s="248"/>
      <c r="AL71" s="1352" t="str">
        <f>SUBSTITUTE(SUBSTITUTE(SUBSTITUTE("vpa"&amp;$B71&amp;$C71&amp;$D71&amp;$E71&amp;$F71,".","_"),"(","_"),")","")</f>
        <v>vpa503_1_6</v>
      </c>
      <c r="AM71" s="1352">
        <f>M71</f>
        <v>4</v>
      </c>
      <c r="AN71" s="1352" t="str">
        <f>SUBSTITUTE(SUBSTITUTE(SUBSTITUTE("vpc"&amp;$B71&amp;$C71&amp;$D71&amp;$E71&amp;$F71,".","_"),"(","_"),")","")</f>
        <v>vpc503_1_6</v>
      </c>
      <c r="AO71" s="1352">
        <f>O71</f>
        <v>0</v>
      </c>
      <c r="AP71" s="1352" t="str">
        <f>SUBSTITUTE(SUBSTITUTE(SUBSTITUTE("vch"&amp;$B71&amp;$C71&amp;$D71&amp;$E71&amp;$F71,".","_"),"(","_"),")","")</f>
        <v>vch503_1_6</v>
      </c>
      <c r="AQ71" s="1352" t="str">
        <f>IF(LEN(W71)=0,"",W71)</f>
        <v/>
      </c>
      <c r="AR71" s="1352"/>
      <c r="AS71" s="1352"/>
    </row>
    <row r="72" spans="1:51" ht="16" hidden="1" thickBot="1" x14ac:dyDescent="0.25">
      <c r="A72" s="1507">
        <v>5</v>
      </c>
      <c r="B72" s="1511" t="s">
        <v>349</v>
      </c>
      <c r="C72" s="1511" t="s">
        <v>264</v>
      </c>
      <c r="D72" s="1511"/>
      <c r="E72" s="1511"/>
      <c r="F72" s="1514"/>
      <c r="G72" s="1509" t="str">
        <f>G71</f>
        <v/>
      </c>
      <c r="H72" s="1512" t="s">
        <v>3198</v>
      </c>
      <c r="I72" s="103"/>
      <c r="J72" s="169"/>
      <c r="K72" s="172"/>
      <c r="L72" s="1612"/>
      <c r="M72" s="1624"/>
      <c r="N72" s="1620"/>
      <c r="O72" s="1620"/>
      <c r="P72" s="991"/>
      <c r="Q72" s="991"/>
      <c r="R72" s="991"/>
      <c r="S72" s="991"/>
      <c r="T72" s="991"/>
      <c r="U72" s="991"/>
      <c r="V72" s="991"/>
      <c r="W72" s="96"/>
      <c r="X72" s="1600"/>
      <c r="Y72" s="1881"/>
      <c r="Z72" s="1600"/>
      <c r="AC72" s="248"/>
      <c r="AD72" s="248"/>
      <c r="AE72" s="248"/>
      <c r="AF72" s="248"/>
      <c r="AG72" s="248"/>
      <c r="AH72" s="248"/>
      <c r="AI72" s="248"/>
      <c r="AJ72" s="248"/>
      <c r="AK72" s="248"/>
      <c r="AL72" s="1352"/>
      <c r="AM72" s="1352"/>
      <c r="AN72" s="1352"/>
      <c r="AO72" s="1352"/>
      <c r="AP72" s="1352"/>
      <c r="AQ72" s="1352"/>
      <c r="AR72" s="1352"/>
      <c r="AS72" s="1352"/>
    </row>
    <row r="73" spans="1:51" ht="15" hidden="1" customHeight="1" x14ac:dyDescent="0.2">
      <c r="A73" s="1507">
        <v>5</v>
      </c>
      <c r="B73" s="1511" t="s">
        <v>349</v>
      </c>
      <c r="C73" s="1511" t="s">
        <v>356</v>
      </c>
      <c r="D73" s="1511"/>
      <c r="E73" s="1511"/>
      <c r="F73" s="1514"/>
      <c r="G73" s="1509" t="str">
        <f>IF(N73&gt;0,"P","")</f>
        <v/>
      </c>
      <c r="H73" s="1512" t="s">
        <v>3198</v>
      </c>
      <c r="I73" s="103"/>
      <c r="J73" s="93" t="s">
        <v>356</v>
      </c>
      <c r="K73" s="103"/>
      <c r="L73" s="1613" t="s">
        <v>3775</v>
      </c>
      <c r="M73" s="1636">
        <v>5</v>
      </c>
      <c r="N73" s="1637">
        <f>'11.500'!O74</f>
        <v>0</v>
      </c>
      <c r="O73" s="1637">
        <f>M73*W73</f>
        <v>0</v>
      </c>
      <c r="P73" s="905" t="b">
        <v>1</v>
      </c>
      <c r="Q73" s="905" t="b">
        <v>0</v>
      </c>
      <c r="R73" s="991" t="b">
        <v>0</v>
      </c>
      <c r="S73" s="991" t="b">
        <v>1</v>
      </c>
      <c r="T73" s="991" t="b">
        <v>0</v>
      </c>
      <c r="U73" s="991"/>
      <c r="V73" s="991"/>
      <c r="W73" s="27"/>
      <c r="X73" s="1600"/>
      <c r="Y73" s="1881"/>
      <c r="Z73" s="1600"/>
      <c r="AC73" s="248"/>
      <c r="AD73" s="248"/>
      <c r="AE73" s="248"/>
      <c r="AF73" s="248"/>
      <c r="AG73" s="248"/>
      <c r="AH73" s="248"/>
      <c r="AI73" s="248"/>
      <c r="AJ73" s="248"/>
      <c r="AK73" s="248"/>
      <c r="AL73" s="1352" t="str">
        <f>SUBSTITUTE(SUBSTITUTE(SUBSTITUTE("vpa"&amp;$B73&amp;$C73&amp;$D73&amp;$E73&amp;$F73,".","_"),"(","_"),")","")</f>
        <v>vpa503_1_7</v>
      </c>
      <c r="AM73" s="1352">
        <f>M73</f>
        <v>5</v>
      </c>
      <c r="AN73" s="1352" t="str">
        <f>SUBSTITUTE(SUBSTITUTE(SUBSTITUTE("vpc"&amp;$B73&amp;$C73&amp;$D73&amp;$E73&amp;$F73,".","_"),"(","_"),")","")</f>
        <v>vpc503_1_7</v>
      </c>
      <c r="AO73" s="1352">
        <f>O73</f>
        <v>0</v>
      </c>
      <c r="AP73" s="1352" t="str">
        <f>SUBSTITUTE(SUBSTITUTE(SUBSTITUTE("vch"&amp;$B73&amp;$C73&amp;$D73&amp;$E73&amp;$F73,".","_"),"(","_"),")","")</f>
        <v>vch503_1_7</v>
      </c>
      <c r="AQ73" s="1352" t="str">
        <f>IF(LEN(W73)=0,"",W73)</f>
        <v/>
      </c>
      <c r="AR73" s="1352"/>
      <c r="AS73" s="1352"/>
    </row>
    <row r="74" spans="1:51" ht="16" hidden="1" thickBot="1" x14ac:dyDescent="0.25">
      <c r="A74" s="1507">
        <v>5</v>
      </c>
      <c r="B74" s="1511" t="s">
        <v>349</v>
      </c>
      <c r="C74" s="1511" t="s">
        <v>356</v>
      </c>
      <c r="D74" s="1511"/>
      <c r="E74" s="1511"/>
      <c r="F74" s="1514"/>
      <c r="G74" s="1509" t="str">
        <f>G73</f>
        <v/>
      </c>
      <c r="H74" s="1512" t="s">
        <v>3198</v>
      </c>
      <c r="I74" s="103"/>
      <c r="J74" s="93"/>
      <c r="K74" s="103"/>
      <c r="L74" s="1609"/>
      <c r="M74" s="1623"/>
      <c r="N74" s="1620"/>
      <c r="O74" s="1619"/>
      <c r="P74" s="905"/>
      <c r="Q74" s="905"/>
      <c r="R74" s="991"/>
      <c r="S74" s="991"/>
      <c r="T74" s="991"/>
      <c r="U74" s="991"/>
      <c r="V74" s="991"/>
      <c r="W74" s="991"/>
      <c r="X74" s="1600"/>
      <c r="Y74" s="1881"/>
      <c r="Z74" s="1600"/>
      <c r="AC74" s="248"/>
      <c r="AD74" s="248"/>
      <c r="AE74" s="248"/>
      <c r="AF74" s="248"/>
      <c r="AG74" s="248"/>
      <c r="AH74" s="248"/>
      <c r="AI74" s="248"/>
      <c r="AJ74" s="248"/>
      <c r="AK74" s="248"/>
      <c r="AL74" s="1352"/>
      <c r="AM74" s="1352"/>
      <c r="AN74" s="1352"/>
      <c r="AO74" s="1352"/>
      <c r="AP74" s="1352"/>
      <c r="AQ74" s="1352"/>
      <c r="AR74" s="1352"/>
      <c r="AS74" s="1352"/>
      <c r="AX74" s="433"/>
      <c r="AY74" s="434"/>
    </row>
    <row r="75" spans="1:51" ht="15.75" hidden="1" customHeight="1" x14ac:dyDescent="0.2">
      <c r="A75" s="1515">
        <v>5</v>
      </c>
      <c r="B75" s="1511" t="s">
        <v>349</v>
      </c>
      <c r="C75" s="1511" t="s">
        <v>389</v>
      </c>
      <c r="D75" s="1511"/>
      <c r="E75" s="1511"/>
      <c r="F75" s="1514"/>
      <c r="G75" s="1509" t="str">
        <f>IF(N75&gt;0,"P","")</f>
        <v/>
      </c>
      <c r="H75" s="1512" t="s">
        <v>3198</v>
      </c>
      <c r="I75" s="103"/>
      <c r="J75" s="860" t="s">
        <v>389</v>
      </c>
      <c r="K75" s="865"/>
      <c r="L75" s="1633" t="s">
        <v>3938</v>
      </c>
      <c r="M75" s="1636">
        <v>6</v>
      </c>
      <c r="N75" s="1637">
        <f>'11.500'!O76</f>
        <v>0</v>
      </c>
      <c r="O75" s="1637">
        <f>M75*W75</f>
        <v>0</v>
      </c>
      <c r="P75" s="905" t="b">
        <v>1</v>
      </c>
      <c r="Q75" s="905" t="b">
        <v>0</v>
      </c>
      <c r="R75" s="991" t="b">
        <v>0</v>
      </c>
      <c r="S75" s="991" t="b">
        <v>1</v>
      </c>
      <c r="T75" s="991" t="b">
        <v>0</v>
      </c>
      <c r="U75" s="991"/>
      <c r="V75" s="991"/>
      <c r="W75" s="27"/>
      <c r="X75" s="1600"/>
      <c r="Y75" s="1881"/>
      <c r="Z75" s="1600"/>
      <c r="AA75"/>
      <c r="AC75"/>
      <c r="AD75"/>
      <c r="AE75"/>
      <c r="AF75"/>
      <c r="AG75"/>
      <c r="AH75"/>
      <c r="AI75"/>
      <c r="AJ75"/>
      <c r="AK75"/>
      <c r="AL75" s="1352" t="str">
        <f>SUBSTITUTE(SUBSTITUTE(SUBSTITUTE("vpa"&amp;$B75&amp;$C75&amp;$D75&amp;$E75&amp;$F75,".","_"),"(","_"),")","")</f>
        <v>vpa503_1_8</v>
      </c>
      <c r="AM75" s="1352">
        <f>M75</f>
        <v>6</v>
      </c>
      <c r="AN75" s="1352" t="str">
        <f>SUBSTITUTE(SUBSTITUTE(SUBSTITUTE("vpc"&amp;$B75&amp;$C75&amp;$D75&amp;$E75&amp;$F75,".","_"),"(","_"),")","")</f>
        <v>vpc503_1_8</v>
      </c>
      <c r="AO75" s="1352">
        <f>O75</f>
        <v>0</v>
      </c>
      <c r="AP75" s="1352" t="str">
        <f>SUBSTITUTE(SUBSTITUTE(SUBSTITUTE("vch"&amp;$B75&amp;$C75&amp;$D75&amp;$E75&amp;$F75,".","_"),"(","_"),")","")</f>
        <v>vch503_1_8</v>
      </c>
      <c r="AQ75" s="1352" t="str">
        <f>IF(LEN(W75)=0,"",W75)</f>
        <v/>
      </c>
      <c r="AR75" s="1352"/>
      <c r="AS75" s="1352"/>
      <c r="AT75"/>
    </row>
    <row r="76" spans="1:51" ht="16" hidden="1" thickBot="1" x14ac:dyDescent="0.25">
      <c r="A76" s="1515">
        <v>5</v>
      </c>
      <c r="B76" s="1511" t="s">
        <v>349</v>
      </c>
      <c r="C76" s="1511" t="s">
        <v>389</v>
      </c>
      <c r="D76" s="1511"/>
      <c r="E76" s="1511"/>
      <c r="F76" s="1514"/>
      <c r="G76" s="1509" t="str">
        <f>G75</f>
        <v/>
      </c>
      <c r="H76" s="1512" t="s">
        <v>3198</v>
      </c>
      <c r="I76" s="103"/>
      <c r="J76" s="93"/>
      <c r="K76" s="103"/>
      <c r="L76" s="1634"/>
      <c r="M76" s="1623"/>
      <c r="N76" s="1619"/>
      <c r="O76" s="1619"/>
      <c r="P76" s="905"/>
      <c r="Q76" s="905"/>
      <c r="R76" s="991"/>
      <c r="S76" s="991"/>
      <c r="T76" s="991"/>
      <c r="U76" s="991"/>
      <c r="V76" s="991"/>
      <c r="W76" s="991"/>
      <c r="X76" s="1600"/>
      <c r="Y76" s="1881"/>
      <c r="Z76" s="1600"/>
      <c r="AA76"/>
      <c r="AC76"/>
      <c r="AD76"/>
      <c r="AE76"/>
      <c r="AF76"/>
      <c r="AG76"/>
      <c r="AH76"/>
      <c r="AI76"/>
      <c r="AJ76"/>
      <c r="AK76"/>
      <c r="AL76" s="1352"/>
      <c r="AM76" s="1352"/>
      <c r="AN76" s="1352"/>
      <c r="AO76" s="1352"/>
      <c r="AP76" s="1352"/>
      <c r="AQ76" s="1352"/>
      <c r="AR76" s="1352"/>
      <c r="AS76" s="1352"/>
      <c r="AT76"/>
    </row>
    <row r="77" spans="1:51" ht="16" hidden="1" thickBot="1" x14ac:dyDescent="0.25">
      <c r="A77" s="1515">
        <v>5</v>
      </c>
      <c r="B77" s="1511" t="s">
        <v>349</v>
      </c>
      <c r="C77" s="1511" t="s">
        <v>389</v>
      </c>
      <c r="D77" s="1511"/>
      <c r="E77" s="1511"/>
      <c r="F77" s="1514"/>
      <c r="G77" s="1509" t="str">
        <f>G76</f>
        <v/>
      </c>
      <c r="H77" s="1512" t="s">
        <v>3198</v>
      </c>
      <c r="I77" s="103"/>
      <c r="J77" s="93"/>
      <c r="K77" s="103"/>
      <c r="L77" s="1634"/>
      <c r="M77" s="1623"/>
      <c r="N77" s="1619"/>
      <c r="O77" s="1619"/>
      <c r="P77" s="905"/>
      <c r="Q77" s="905"/>
      <c r="R77" s="991"/>
      <c r="S77" s="991"/>
      <c r="T77" s="991"/>
      <c r="U77" s="991"/>
      <c r="V77" s="991"/>
      <c r="W77"/>
      <c r="X77" s="1600"/>
      <c r="Y77" s="1881"/>
      <c r="Z77" s="1600"/>
      <c r="AA77"/>
      <c r="AC77"/>
      <c r="AD77"/>
      <c r="AE77"/>
      <c r="AF77"/>
      <c r="AG77"/>
      <c r="AH77"/>
      <c r="AI77"/>
      <c r="AJ77"/>
      <c r="AK77"/>
      <c r="AL77" s="1352"/>
      <c r="AM77" s="1352"/>
      <c r="AN77" s="1352"/>
      <c r="AO77" s="1352"/>
      <c r="AP77" s="1352"/>
      <c r="AQ77" s="1352"/>
      <c r="AR77" s="1352"/>
      <c r="AS77" s="1352"/>
      <c r="AT77"/>
    </row>
    <row r="78" spans="1:51" ht="16" hidden="1" thickBot="1" x14ac:dyDescent="0.25">
      <c r="A78" s="1515">
        <v>5</v>
      </c>
      <c r="B78" s="1511" t="s">
        <v>349</v>
      </c>
      <c r="C78" s="1511" t="s">
        <v>389</v>
      </c>
      <c r="D78" s="1511"/>
      <c r="E78" s="1511"/>
      <c r="F78" s="1514"/>
      <c r="G78" s="1509" t="str">
        <f>G77</f>
        <v/>
      </c>
      <c r="H78" s="1512" t="s">
        <v>3198</v>
      </c>
      <c r="I78" s="103"/>
      <c r="J78" s="93"/>
      <c r="K78" s="103"/>
      <c r="L78" s="1634"/>
      <c r="M78" s="1623"/>
      <c r="N78" s="1619"/>
      <c r="O78" s="1619"/>
      <c r="P78" s="905"/>
      <c r="Q78" s="905"/>
      <c r="R78" s="991"/>
      <c r="S78" s="991"/>
      <c r="T78" s="991"/>
      <c r="U78" s="991"/>
      <c r="V78" s="991"/>
      <c r="W78"/>
      <c r="X78" s="1600"/>
      <c r="Y78" s="1881"/>
      <c r="Z78" s="1600"/>
      <c r="AA78"/>
      <c r="AC78"/>
      <c r="AD78"/>
      <c r="AE78"/>
      <c r="AF78"/>
      <c r="AG78"/>
      <c r="AH78"/>
      <c r="AI78"/>
      <c r="AJ78"/>
      <c r="AK78"/>
      <c r="AL78" s="1352"/>
      <c r="AM78" s="1352"/>
      <c r="AN78" s="1352"/>
      <c r="AO78" s="1352"/>
      <c r="AP78" s="1352"/>
      <c r="AQ78" s="1352"/>
      <c r="AR78" s="1352"/>
      <c r="AS78" s="1352"/>
      <c r="AT78"/>
    </row>
    <row r="79" spans="1:51" ht="16" hidden="1" thickBot="1" x14ac:dyDescent="0.25">
      <c r="A79" s="1515">
        <v>5</v>
      </c>
      <c r="B79" s="1511" t="s">
        <v>349</v>
      </c>
      <c r="C79" s="1511" t="s">
        <v>389</v>
      </c>
      <c r="D79" s="1511"/>
      <c r="E79" s="1511"/>
      <c r="F79" s="1514"/>
      <c r="G79" s="1509" t="str">
        <f>G78</f>
        <v/>
      </c>
      <c r="H79" s="1512" t="s">
        <v>3198</v>
      </c>
      <c r="I79" s="103"/>
      <c r="J79" s="98"/>
      <c r="K79" s="104"/>
      <c r="L79" s="1635"/>
      <c r="M79" s="1627"/>
      <c r="N79" s="1638"/>
      <c r="O79" s="1638"/>
      <c r="P79" s="905"/>
      <c r="Q79" s="905"/>
      <c r="R79" s="991"/>
      <c r="S79" s="991"/>
      <c r="T79" s="991"/>
      <c r="U79" s="991"/>
      <c r="V79" s="991"/>
      <c r="W79"/>
      <c r="X79" s="1600"/>
      <c r="Y79" s="1882"/>
      <c r="Z79" s="1600"/>
      <c r="AA79"/>
      <c r="AC79"/>
      <c r="AD79"/>
      <c r="AE79"/>
      <c r="AF79"/>
      <c r="AG79"/>
      <c r="AH79"/>
      <c r="AI79"/>
      <c r="AJ79"/>
      <c r="AK79"/>
      <c r="AL79" s="1352"/>
      <c r="AM79" s="1352"/>
      <c r="AN79" s="1352"/>
      <c r="AO79" s="1352"/>
      <c r="AP79" s="1352"/>
      <c r="AQ79" s="1352"/>
      <c r="AR79" s="1352"/>
      <c r="AS79" s="1352"/>
      <c r="AT79"/>
    </row>
    <row r="80" spans="1:51" ht="17" hidden="1" thickTop="1" thickBot="1" x14ac:dyDescent="0.25">
      <c r="A80" s="1507">
        <v>5</v>
      </c>
      <c r="B80" s="1511" t="s">
        <v>357</v>
      </c>
      <c r="C80" s="1511"/>
      <c r="D80" s="1511"/>
      <c r="E80" s="1511"/>
      <c r="F80" s="1514"/>
      <c r="G80" s="1513" t="str">
        <f ca="1">IF(COUNTIF(G82:G92,"P")&gt;0,"P","")</f>
        <v/>
      </c>
      <c r="H80" s="1512" t="s">
        <v>3197</v>
      </c>
      <c r="I80" s="107" t="s">
        <v>3488</v>
      </c>
      <c r="J80" s="108"/>
      <c r="K80" s="108"/>
      <c r="L80" s="125" t="s">
        <v>3511</v>
      </c>
      <c r="M80" s="945"/>
      <c r="N80" s="943"/>
      <c r="O80" s="943"/>
      <c r="P80" s="106"/>
      <c r="Q80" s="106"/>
      <c r="R80" s="106"/>
      <c r="S80" s="106"/>
      <c r="T80" s="106"/>
      <c r="U80" s="106"/>
      <c r="V80" s="106"/>
      <c r="W80" s="106" t="s">
        <v>602</v>
      </c>
      <c r="X80" s="1603"/>
      <c r="Y80" s="1877" t="str">
        <f>IF(LEN('11.500'!X81)=0,"None",'11.500'!X81)</f>
        <v>None</v>
      </c>
      <c r="Z80" s="1896"/>
      <c r="AA80" s="707" t="e">
        <f>'Photo Review'!#REF!</f>
        <v>#REF!</v>
      </c>
      <c r="AC80" s="248"/>
      <c r="AD80" s="248"/>
      <c r="AE80" s="248"/>
      <c r="AF80" s="248"/>
      <c r="AG80" s="248"/>
      <c r="AH80" s="248"/>
      <c r="AI80" s="248"/>
      <c r="AJ80" s="248"/>
      <c r="AK80" s="248"/>
      <c r="AL80" s="1352"/>
      <c r="AM80" s="1352"/>
      <c r="AN80" s="1352"/>
      <c r="AO80" s="1352"/>
      <c r="AP80" s="1352"/>
      <c r="AQ80" s="1352"/>
      <c r="AR80" s="1352" t="str">
        <f>SUBSTITUTE(SUBSTITUTE(SUBSTITUTE("vnt"&amp;$B80&amp;$C80&amp;$D80&amp;$E80&amp;$F80,".","_"),"(","_"),")","")</f>
        <v>vnt503_2</v>
      </c>
      <c r="AS80" s="1352" t="str">
        <f>IF(LEN(X80)=0,"",X80)</f>
        <v/>
      </c>
    </row>
    <row r="81" spans="1:51" ht="16" hidden="1" thickBot="1" x14ac:dyDescent="0.25">
      <c r="A81" s="1507">
        <v>5</v>
      </c>
      <c r="B81" s="1511" t="s">
        <v>357</v>
      </c>
      <c r="C81" s="1511"/>
      <c r="D81" s="1511"/>
      <c r="E81" s="1511"/>
      <c r="F81" s="1514"/>
      <c r="G81" s="1509" t="str">
        <f ca="1">G80</f>
        <v/>
      </c>
      <c r="H81" s="1512" t="s">
        <v>3197</v>
      </c>
      <c r="I81" s="102"/>
      <c r="J81" s="103"/>
      <c r="K81" s="103"/>
      <c r="L81" s="925" t="s">
        <v>2851</v>
      </c>
      <c r="M81" s="913"/>
      <c r="N81" s="908"/>
      <c r="O81" s="908"/>
      <c r="P81" s="905" t="b">
        <v>1</v>
      </c>
      <c r="Q81" s="905" t="b">
        <v>1</v>
      </c>
      <c r="R81" s="991" t="b">
        <v>0</v>
      </c>
      <c r="S81" s="991" t="b">
        <v>1</v>
      </c>
      <c r="T81" s="991" t="b">
        <v>0</v>
      </c>
      <c r="U81" s="991"/>
      <c r="V81" s="991"/>
      <c r="W81" s="109"/>
      <c r="X81" s="1601"/>
      <c r="Y81" s="1881"/>
      <c r="Z81" s="1879"/>
      <c r="AC81" s="248"/>
      <c r="AD81" s="248"/>
      <c r="AE81" s="248"/>
      <c r="AF81" s="248"/>
      <c r="AG81" s="248"/>
      <c r="AH81" s="248"/>
      <c r="AI81" s="248"/>
      <c r="AJ81" s="248"/>
      <c r="AK81" s="248"/>
      <c r="AL81" s="1352"/>
      <c r="AM81" s="1352"/>
      <c r="AN81" s="1352"/>
      <c r="AO81" s="1352"/>
      <c r="AP81" s="1352" t="str">
        <f>SUBSTITUTE(SUBSTITUTE(SUBSTITUTE("vch"&amp;$B81&amp;$C81&amp;$D81&amp;$E81&amp;$F81,".","_"),"(","_"),")","")</f>
        <v>vch503_2</v>
      </c>
      <c r="AQ81" s="1352" t="str">
        <f>IF(LEN(W81)=0,"",W81)</f>
        <v/>
      </c>
      <c r="AR81" s="1352"/>
      <c r="AS81" s="1352"/>
    </row>
    <row r="82" spans="1:51" ht="16" hidden="1" thickBot="1" x14ac:dyDescent="0.25">
      <c r="A82" s="1507">
        <v>5</v>
      </c>
      <c r="B82" s="1511" t="s">
        <v>357</v>
      </c>
      <c r="C82" s="1511" t="s">
        <v>254</v>
      </c>
      <c r="D82" s="1511"/>
      <c r="E82" s="1511"/>
      <c r="F82" s="1514"/>
      <c r="G82" s="1509" t="str">
        <f>IF(N82&gt;0,"P","")</f>
        <v/>
      </c>
      <c r="H82" s="1512" t="s">
        <v>3197</v>
      </c>
      <c r="I82" s="103"/>
      <c r="J82" s="169" t="s">
        <v>254</v>
      </c>
      <c r="K82" s="172"/>
      <c r="L82" s="170" t="s">
        <v>3776</v>
      </c>
      <c r="M82" s="937">
        <v>5</v>
      </c>
      <c r="N82" s="909">
        <f>'11.500'!O83</f>
        <v>0</v>
      </c>
      <c r="O82" s="909">
        <f>M82*W82*S82</f>
        <v>0</v>
      </c>
      <c r="P82" s="905" t="b">
        <v>1</v>
      </c>
      <c r="Q82" s="905" t="b">
        <v>1</v>
      </c>
      <c r="R82" s="991" t="b">
        <v>0</v>
      </c>
      <c r="S82" s="991" t="b">
        <f>IF(W81&gt;=0.25,TRUE,FALSE)</f>
        <v>0</v>
      </c>
      <c r="T82" s="991" t="b">
        <f>AND(NOT(S82),W82=TRUE)</f>
        <v>0</v>
      </c>
      <c r="U82" s="991"/>
      <c r="V82" s="991"/>
      <c r="W82" s="27"/>
      <c r="X82" s="1601"/>
      <c r="Y82" s="1881"/>
      <c r="Z82" s="1879"/>
      <c r="AC82" s="248" t="b">
        <f>OR(AD82:AE82)</f>
        <v>0</v>
      </c>
      <c r="AD82" s="248" t="b">
        <f>T82</f>
        <v>0</v>
      </c>
      <c r="AE82" s="248"/>
      <c r="AF82" s="248"/>
      <c r="AG82" s="248"/>
      <c r="AH82" s="248"/>
      <c r="AI82" s="248"/>
      <c r="AJ82" s="248"/>
      <c r="AK82" s="248"/>
      <c r="AL82" s="1352" t="str">
        <f>SUBSTITUTE(SUBSTITUTE(SUBSTITUTE("vpa"&amp;$B82&amp;$C82&amp;$D82&amp;$E82&amp;$F82,".","_"),"(","_"),")","")</f>
        <v>vpa503_2_1</v>
      </c>
      <c r="AM82" s="1352">
        <f>M82</f>
        <v>5</v>
      </c>
      <c r="AN82" s="1352" t="str">
        <f>SUBSTITUTE(SUBSTITUTE(SUBSTITUTE("vpc"&amp;$B82&amp;$C82&amp;$D82&amp;$E82&amp;$F82,".","_"),"(","_"),")","")</f>
        <v>vpc503_2_1</v>
      </c>
      <c r="AO82" s="1352">
        <f>O82</f>
        <v>0</v>
      </c>
      <c r="AP82" s="1352" t="str">
        <f>SUBSTITUTE(SUBSTITUTE(SUBSTITUTE("vch"&amp;$B82&amp;$C82&amp;$D82&amp;$E82&amp;$F82,".","_"),"(","_"),")","")</f>
        <v>vch503_2_1</v>
      </c>
      <c r="AQ82" s="1352" t="str">
        <f>IF(LEN(W82)=0,"",W82)</f>
        <v/>
      </c>
      <c r="AR82" s="1352"/>
      <c r="AS82" s="1352"/>
      <c r="AX82" s="433"/>
      <c r="AY82" s="434"/>
    </row>
    <row r="83" spans="1:51" ht="15" hidden="1" customHeight="1" x14ac:dyDescent="0.2">
      <c r="A83" s="1507">
        <v>5</v>
      </c>
      <c r="B83" s="1511" t="s">
        <v>357</v>
      </c>
      <c r="C83" s="1511" t="s">
        <v>255</v>
      </c>
      <c r="D83" s="1511"/>
      <c r="E83" s="1511"/>
      <c r="F83" s="1514"/>
      <c r="G83" s="1509" t="str">
        <f>IF(N83&gt;0,"P","")</f>
        <v/>
      </c>
      <c r="H83" s="1512" t="s">
        <v>3197</v>
      </c>
      <c r="I83" s="103"/>
      <c r="J83" s="93" t="s">
        <v>255</v>
      </c>
      <c r="K83" s="103"/>
      <c r="L83" s="1613" t="s">
        <v>3777</v>
      </c>
      <c r="M83" s="1623">
        <v>5</v>
      </c>
      <c r="N83" s="1637">
        <f>'11.500'!O84</f>
        <v>0</v>
      </c>
      <c r="O83" s="1619">
        <f>M83*W83*S83</f>
        <v>0</v>
      </c>
      <c r="P83" s="905" t="b">
        <v>1</v>
      </c>
      <c r="Q83" s="905" t="b">
        <v>1</v>
      </c>
      <c r="R83" s="991" t="b">
        <v>0</v>
      </c>
      <c r="S83" s="991" t="b">
        <f>S82</f>
        <v>0</v>
      </c>
      <c r="T83" s="991" t="b">
        <f>AND(NOT(S83),W83=TRUE)</f>
        <v>0</v>
      </c>
      <c r="U83" s="991"/>
      <c r="V83" s="991"/>
      <c r="W83" s="27"/>
      <c r="X83" s="1601"/>
      <c r="Y83" s="1881"/>
      <c r="Z83" s="1879"/>
      <c r="AC83" s="248" t="b">
        <f>OR(AD83:AE83)</f>
        <v>0</v>
      </c>
      <c r="AD83" s="248" t="b">
        <f>T83</f>
        <v>0</v>
      </c>
      <c r="AE83" s="248"/>
      <c r="AF83" s="248"/>
      <c r="AG83" s="248"/>
      <c r="AH83" s="248"/>
      <c r="AI83" s="248"/>
      <c r="AJ83" s="248"/>
      <c r="AK83" s="248"/>
      <c r="AL83" s="1352" t="str">
        <f>SUBSTITUTE(SUBSTITUTE(SUBSTITUTE("vpa"&amp;$B83&amp;$C83&amp;$D83&amp;$E83&amp;$F83,".","_"),"(","_"),")","")</f>
        <v>vpa503_2_2</v>
      </c>
      <c r="AM83" s="1352">
        <f>M83</f>
        <v>5</v>
      </c>
      <c r="AN83" s="1352" t="str">
        <f>SUBSTITUTE(SUBSTITUTE(SUBSTITUTE("vpc"&amp;$B83&amp;$C83&amp;$D83&amp;$E83&amp;$F83,".","_"),"(","_"),")","")</f>
        <v>vpc503_2_2</v>
      </c>
      <c r="AO83" s="1352">
        <f>O83</f>
        <v>0</v>
      </c>
      <c r="AP83" s="1352" t="str">
        <f>SUBSTITUTE(SUBSTITUTE(SUBSTITUTE("vch"&amp;$B83&amp;$C83&amp;$D83&amp;$E83&amp;$F83,".","_"),"(","_"),")","")</f>
        <v>vch503_2_2</v>
      </c>
      <c r="AQ83" s="1352" t="str">
        <f>IF(LEN(W83)=0,"",W83)</f>
        <v/>
      </c>
      <c r="AR83" s="1352"/>
      <c r="AS83" s="1352"/>
    </row>
    <row r="84" spans="1:51" ht="16" hidden="1" thickBot="1" x14ac:dyDescent="0.25">
      <c r="A84" s="1507">
        <v>5</v>
      </c>
      <c r="B84" s="1511" t="s">
        <v>357</v>
      </c>
      <c r="C84" s="1511" t="s">
        <v>255</v>
      </c>
      <c r="D84" s="1511"/>
      <c r="E84" s="1511"/>
      <c r="F84" s="1514"/>
      <c r="G84" s="1509" t="str">
        <f>G83</f>
        <v/>
      </c>
      <c r="H84" s="1512" t="s">
        <v>3197</v>
      </c>
      <c r="I84" s="103"/>
      <c r="J84" s="172"/>
      <c r="K84" s="172"/>
      <c r="L84" s="1612"/>
      <c r="M84" s="1624"/>
      <c r="N84" s="1620"/>
      <c r="O84" s="1620"/>
      <c r="P84" s="991"/>
      <c r="Q84" s="991"/>
      <c r="R84" s="991"/>
      <c r="S84" s="991"/>
      <c r="T84" s="991"/>
      <c r="U84" s="991"/>
      <c r="V84" s="991"/>
      <c r="W84" s="96"/>
      <c r="X84" s="1601"/>
      <c r="Y84" s="1881"/>
      <c r="Z84" s="1879"/>
      <c r="AC84" s="248"/>
      <c r="AD84" s="248"/>
      <c r="AE84" s="248"/>
      <c r="AF84" s="248"/>
      <c r="AG84" s="248"/>
      <c r="AH84" s="248"/>
      <c r="AI84" s="248"/>
      <c r="AJ84" s="248"/>
      <c r="AK84" s="248"/>
      <c r="AL84" s="1352"/>
      <c r="AM84" s="1352"/>
      <c r="AN84" s="1352"/>
      <c r="AO84" s="1352"/>
      <c r="AP84" s="1352"/>
      <c r="AQ84" s="1352"/>
      <c r="AR84" s="1352"/>
      <c r="AS84" s="1352"/>
    </row>
    <row r="85" spans="1:51" ht="15" hidden="1" customHeight="1" x14ac:dyDescent="0.2">
      <c r="A85" s="1507">
        <v>5</v>
      </c>
      <c r="B85" s="1511" t="s">
        <v>357</v>
      </c>
      <c r="C85" s="1511" t="s">
        <v>256</v>
      </c>
      <c r="D85" s="1511"/>
      <c r="E85" s="1511"/>
      <c r="F85" s="1514"/>
      <c r="G85" s="1509" t="str">
        <f ca="1">IF(N85&gt;0,"P","")</f>
        <v/>
      </c>
      <c r="H85" s="1512" t="s">
        <v>3197</v>
      </c>
      <c r="I85" s="103"/>
      <c r="J85" s="93" t="s">
        <v>256</v>
      </c>
      <c r="K85" s="103"/>
      <c r="L85" s="1613" t="s">
        <v>3778</v>
      </c>
      <c r="M85" s="913"/>
      <c r="N85" s="1637">
        <f ca="1">'11.500'!O86</f>
        <v>0</v>
      </c>
      <c r="O85" s="1619">
        <f ca="1">S85*IFERROR(INDEX({1,4,6},MATCH(W85,INDIRECT(U85))),0)</f>
        <v>0</v>
      </c>
      <c r="P85" s="905" t="b">
        <v>1</v>
      </c>
      <c r="Q85" s="905" t="b">
        <v>1</v>
      </c>
      <c r="R85" s="991" t="b">
        <v>0</v>
      </c>
      <c r="S85" s="991" t="b">
        <f>S82</f>
        <v>0</v>
      </c>
      <c r="T85" s="991" t="b">
        <f>AND(NOT(S85),LEN(W85)&gt;0)</f>
        <v>0</v>
      </c>
      <c r="U85" s="991" t="str">
        <f>SUBSTITUTE(SUBSTITUTE(SUBSTITUTE("dd"&amp;B85&amp;C85&amp;D85&amp;E85&amp;F85,".","_"),"(","_"),")","")</f>
        <v>dd503_2_3</v>
      </c>
      <c r="V85" s="991"/>
      <c r="W85" s="12"/>
      <c r="X85" s="1601"/>
      <c r="Y85" s="1881"/>
      <c r="Z85" s="1879"/>
      <c r="AC85" s="248" t="b">
        <f>OR(AD85:AE85)</f>
        <v>0</v>
      </c>
      <c r="AD85" s="248" t="b">
        <f>T85</f>
        <v>0</v>
      </c>
      <c r="AE85" s="248"/>
      <c r="AF85" s="248"/>
      <c r="AG85" s="248"/>
      <c r="AH85" s="248"/>
      <c r="AI85" s="248"/>
      <c r="AJ85" s="248"/>
      <c r="AK85" s="248"/>
      <c r="AL85" s="1352"/>
      <c r="AM85" s="1352"/>
      <c r="AN85" s="1352" t="str">
        <f>SUBSTITUTE(SUBSTITUTE(SUBSTITUTE("vpc"&amp;$B85&amp;$C85&amp;$D85&amp;$E85&amp;$F85,".","_"),"(","_"),")","")</f>
        <v>vpc503_2_3</v>
      </c>
      <c r="AO85" s="1352">
        <f ca="1">O85</f>
        <v>0</v>
      </c>
      <c r="AP85" s="1352" t="str">
        <f>SUBSTITUTE(SUBSTITUTE(SUBSTITUTE("vch"&amp;$B85&amp;$C85&amp;$D85&amp;$E85&amp;$F85,".","_"),"(","_"),")","")</f>
        <v>vch503_2_3</v>
      </c>
      <c r="AQ85" s="1352" t="str">
        <f>IF(LEN(W85)=0,"",W85)</f>
        <v/>
      </c>
      <c r="AR85" s="1352"/>
      <c r="AS85" s="1352"/>
    </row>
    <row r="86" spans="1:51" ht="16" hidden="1" thickBot="1" x14ac:dyDescent="0.25">
      <c r="A86" s="1507">
        <v>5</v>
      </c>
      <c r="B86" s="1511" t="s">
        <v>357</v>
      </c>
      <c r="C86" s="1511" t="s">
        <v>256</v>
      </c>
      <c r="D86" s="1511"/>
      <c r="E86" s="1511"/>
      <c r="F86" s="1514"/>
      <c r="G86" s="1509" t="str">
        <f ca="1">G85</f>
        <v/>
      </c>
      <c r="H86" s="1512" t="s">
        <v>3197</v>
      </c>
      <c r="I86" s="103"/>
      <c r="J86" s="103"/>
      <c r="K86" s="103"/>
      <c r="L86" s="1609"/>
      <c r="M86" s="913"/>
      <c r="N86" s="1619"/>
      <c r="O86" s="1619"/>
      <c r="P86" s="991"/>
      <c r="Q86" s="991"/>
      <c r="R86" s="991"/>
      <c r="S86" s="991"/>
      <c r="T86" s="991"/>
      <c r="U86" s="991"/>
      <c r="V86" s="991"/>
      <c r="W86" s="96"/>
      <c r="X86" s="1601"/>
      <c r="Y86" s="1881"/>
      <c r="Z86" s="1879"/>
      <c r="AC86" s="248"/>
      <c r="AD86" s="248"/>
      <c r="AE86" s="248"/>
      <c r="AF86" s="248"/>
      <c r="AG86" s="248"/>
      <c r="AH86" s="248"/>
      <c r="AI86" s="248"/>
      <c r="AJ86" s="248"/>
      <c r="AK86" s="248"/>
      <c r="AL86" s="1352"/>
      <c r="AM86" s="1352"/>
      <c r="AN86" s="1352"/>
      <c r="AO86" s="1352"/>
      <c r="AP86" s="1352"/>
      <c r="AQ86" s="1352"/>
      <c r="AR86" s="1352"/>
      <c r="AS86" s="1352"/>
    </row>
    <row r="87" spans="1:51" ht="16" hidden="1" thickBot="1" x14ac:dyDescent="0.25">
      <c r="A87" s="1507">
        <v>5</v>
      </c>
      <c r="B87" s="1511" t="s">
        <v>357</v>
      </c>
      <c r="C87" s="1511" t="s">
        <v>256</v>
      </c>
      <c r="D87" s="1511" t="s">
        <v>121</v>
      </c>
      <c r="E87" s="1511"/>
      <c r="F87" s="1514"/>
      <c r="G87" s="1509" t="str">
        <f ca="1">G86</f>
        <v/>
      </c>
      <c r="H87" s="1512" t="s">
        <v>3197</v>
      </c>
      <c r="I87" s="103"/>
      <c r="J87" s="103"/>
      <c r="K87" s="93" t="s">
        <v>121</v>
      </c>
      <c r="L87" s="97" t="s">
        <v>629</v>
      </c>
      <c r="M87" s="913">
        <v>1</v>
      </c>
      <c r="N87" s="908"/>
      <c r="O87" s="908"/>
      <c r="P87" s="991"/>
      <c r="Q87" s="991"/>
      <c r="R87" s="991"/>
      <c r="S87" s="991"/>
      <c r="T87" s="991"/>
      <c r="U87" s="991"/>
      <c r="V87" s="991"/>
      <c r="W87" s="96"/>
      <c r="X87" s="1601"/>
      <c r="Y87" s="1881"/>
      <c r="Z87" s="1879"/>
      <c r="AC87" s="248"/>
      <c r="AD87" s="248"/>
      <c r="AE87" s="248"/>
      <c r="AF87" s="248"/>
      <c r="AG87" s="248"/>
      <c r="AH87" s="248"/>
      <c r="AI87" s="248"/>
      <c r="AJ87" s="248"/>
      <c r="AK87" s="248"/>
      <c r="AL87" s="1352" t="str">
        <f>SUBSTITUTE(SUBSTITUTE(SUBSTITUTE("vpa"&amp;$B87&amp;$C87&amp;$D87&amp;$E87&amp;$F87,".","_"),"(","_"),")","")</f>
        <v>vpa503_2_3_a</v>
      </c>
      <c r="AM87" s="1352">
        <f>M87</f>
        <v>1</v>
      </c>
      <c r="AN87" s="1352"/>
      <c r="AO87" s="1352"/>
      <c r="AP87" s="1352"/>
      <c r="AQ87" s="1352"/>
      <c r="AR87" s="1352"/>
      <c r="AS87" s="1352"/>
    </row>
    <row r="88" spans="1:51" ht="16" hidden="1" thickBot="1" x14ac:dyDescent="0.25">
      <c r="A88" s="1507">
        <v>5</v>
      </c>
      <c r="B88" s="1511" t="s">
        <v>357</v>
      </c>
      <c r="C88" s="1511" t="s">
        <v>256</v>
      </c>
      <c r="D88" s="1511" t="s">
        <v>122</v>
      </c>
      <c r="E88" s="1511"/>
      <c r="F88" s="1514"/>
      <c r="G88" s="1509" t="str">
        <f ca="1">G87</f>
        <v/>
      </c>
      <c r="H88" s="1512" t="s">
        <v>3197</v>
      </c>
      <c r="I88" s="103"/>
      <c r="J88" s="103"/>
      <c r="K88" s="93" t="s">
        <v>122</v>
      </c>
      <c r="L88" s="97" t="s">
        <v>358</v>
      </c>
      <c r="M88" s="913">
        <v>4</v>
      </c>
      <c r="N88" s="908"/>
      <c r="O88" s="908"/>
      <c r="P88" s="991"/>
      <c r="Q88" s="991"/>
      <c r="R88" s="991"/>
      <c r="S88" s="991"/>
      <c r="T88" s="991"/>
      <c r="U88" s="991"/>
      <c r="V88" s="991"/>
      <c r="W88" s="96"/>
      <c r="X88" s="1601"/>
      <c r="Y88" s="1881"/>
      <c r="Z88" s="1879"/>
      <c r="AC88" s="248"/>
      <c r="AD88" s="248"/>
      <c r="AE88" s="248"/>
      <c r="AF88" s="248"/>
      <c r="AG88" s="248"/>
      <c r="AH88" s="248"/>
      <c r="AI88" s="248"/>
      <c r="AJ88" s="248"/>
      <c r="AK88" s="248"/>
      <c r="AL88" s="1352" t="str">
        <f>SUBSTITUTE(SUBSTITUTE(SUBSTITUTE("vpa"&amp;$B88&amp;$C88&amp;$D88&amp;$E88&amp;$F88,".","_"),"(","_"),")","")</f>
        <v>vpa503_2_3_b</v>
      </c>
      <c r="AM88" s="1352">
        <f t="shared" ref="AM88:AM89" si="3">M88</f>
        <v>4</v>
      </c>
      <c r="AN88" s="1352"/>
      <c r="AO88" s="1352"/>
      <c r="AP88" s="1352"/>
      <c r="AQ88" s="1352"/>
      <c r="AR88" s="1352"/>
      <c r="AS88" s="1352"/>
    </row>
    <row r="89" spans="1:51" ht="16" hidden="1" thickBot="1" x14ac:dyDescent="0.25">
      <c r="A89" s="1507">
        <v>5</v>
      </c>
      <c r="B89" s="1511" t="s">
        <v>357</v>
      </c>
      <c r="C89" s="1511" t="s">
        <v>256</v>
      </c>
      <c r="D89" s="1518" t="s">
        <v>123</v>
      </c>
      <c r="E89" s="1518"/>
      <c r="F89" s="1519"/>
      <c r="G89" s="1509" t="str">
        <f ca="1">G88</f>
        <v/>
      </c>
      <c r="H89" s="1520" t="s">
        <v>3197</v>
      </c>
      <c r="I89" s="103"/>
      <c r="J89" s="172"/>
      <c r="K89" s="174" t="s">
        <v>123</v>
      </c>
      <c r="L89" s="170" t="s">
        <v>359</v>
      </c>
      <c r="M89" s="937">
        <v>6</v>
      </c>
      <c r="N89" s="909"/>
      <c r="O89" s="909"/>
      <c r="P89" s="991"/>
      <c r="Q89" s="991"/>
      <c r="R89" s="991"/>
      <c r="S89" s="991"/>
      <c r="T89" s="991"/>
      <c r="U89" s="991"/>
      <c r="V89" s="991"/>
      <c r="W89" s="96"/>
      <c r="X89" s="1601"/>
      <c r="Y89" s="1881"/>
      <c r="Z89" s="1879"/>
      <c r="AC89" s="248"/>
      <c r="AD89" s="248"/>
      <c r="AE89" s="248"/>
      <c r="AF89" s="248"/>
      <c r="AG89" s="248"/>
      <c r="AH89" s="248"/>
      <c r="AI89" s="248"/>
      <c r="AJ89" s="248"/>
      <c r="AK89" s="248"/>
      <c r="AL89" s="1352" t="str">
        <f>SUBSTITUTE(SUBSTITUTE(SUBSTITUTE("vpa"&amp;$B89&amp;$C89&amp;$D89&amp;$E89&amp;$F89,".","_"),"(","_"),")","")</f>
        <v>vpa503_2_3_c</v>
      </c>
      <c r="AM89" s="1352">
        <f t="shared" si="3"/>
        <v>6</v>
      </c>
      <c r="AN89" s="1352"/>
      <c r="AO89" s="1352"/>
      <c r="AP89" s="1352"/>
      <c r="AQ89" s="1352"/>
      <c r="AR89" s="1352"/>
      <c r="AS89" s="1352"/>
    </row>
    <row r="90" spans="1:51" ht="15" hidden="1" customHeight="1" x14ac:dyDescent="0.2">
      <c r="A90" s="1507">
        <v>5</v>
      </c>
      <c r="B90" s="1511" t="s">
        <v>357</v>
      </c>
      <c r="C90" s="1511" t="s">
        <v>259</v>
      </c>
      <c r="D90" s="1511"/>
      <c r="E90" s="1511"/>
      <c r="F90" s="1514"/>
      <c r="G90" s="1509" t="str">
        <f>IF(N90&gt;0,"P","")</f>
        <v/>
      </c>
      <c r="H90" s="1512" t="s">
        <v>3197</v>
      </c>
      <c r="I90" s="103"/>
      <c r="J90" s="93" t="s">
        <v>259</v>
      </c>
      <c r="K90" s="103"/>
      <c r="L90" s="1613" t="s">
        <v>360</v>
      </c>
      <c r="M90" s="1623">
        <v>6</v>
      </c>
      <c r="N90" s="1637">
        <f>'11.500'!O91</f>
        <v>0</v>
      </c>
      <c r="O90" s="1619">
        <f>M90*W90*S90</f>
        <v>0</v>
      </c>
      <c r="P90" s="905" t="b">
        <v>1</v>
      </c>
      <c r="Q90" s="905" t="b">
        <v>1</v>
      </c>
      <c r="R90" s="991" t="b">
        <v>0</v>
      </c>
      <c r="S90" s="991" t="b">
        <f>S82</f>
        <v>0</v>
      </c>
      <c r="T90" s="991" t="b">
        <f>AND(NOT(S90),W90=TRUE)</f>
        <v>0</v>
      </c>
      <c r="U90" s="991"/>
      <c r="V90" s="991"/>
      <c r="W90" s="27"/>
      <c r="X90" s="1601"/>
      <c r="Y90" s="1881"/>
      <c r="Z90" s="1879"/>
      <c r="AC90" s="248" t="b">
        <f>OR(AD90:AE90)</f>
        <v>0</v>
      </c>
      <c r="AD90" s="248" t="b">
        <f>T90</f>
        <v>0</v>
      </c>
      <c r="AE90" s="248"/>
      <c r="AF90" s="248"/>
      <c r="AG90" s="248"/>
      <c r="AH90" s="248"/>
      <c r="AI90" s="248"/>
      <c r="AJ90" s="248"/>
      <c r="AK90" s="248"/>
      <c r="AL90" s="1352" t="str">
        <f>SUBSTITUTE(SUBSTITUTE(SUBSTITUTE("vpa"&amp;$B90&amp;$C90&amp;$D90&amp;$E90&amp;$F90,".","_"),"(","_"),")","")</f>
        <v>vpa503_2_4</v>
      </c>
      <c r="AM90" s="1352">
        <f>M90</f>
        <v>6</v>
      </c>
      <c r="AN90" s="1352" t="str">
        <f>SUBSTITUTE(SUBSTITUTE(SUBSTITUTE("vpc"&amp;$B90&amp;$C90&amp;$D90&amp;$E90&amp;$F90,".","_"),"(","_"),")","")</f>
        <v>vpc503_2_4</v>
      </c>
      <c r="AO90" s="1352">
        <f>O90</f>
        <v>0</v>
      </c>
      <c r="AP90" s="1352" t="str">
        <f>SUBSTITUTE(SUBSTITUTE(SUBSTITUTE("vch"&amp;$B90&amp;$C90&amp;$D90&amp;$E90&amp;$F90,".","_"),"(","_"),")","")</f>
        <v>vch503_2_4</v>
      </c>
      <c r="AQ90" s="1352" t="str">
        <f>IF(LEN(W90)=0,"",W90)</f>
        <v/>
      </c>
      <c r="AR90" s="1352"/>
      <c r="AS90" s="1352"/>
    </row>
    <row r="91" spans="1:51" ht="16" hidden="1" thickBot="1" x14ac:dyDescent="0.25">
      <c r="A91" s="1507">
        <v>5</v>
      </c>
      <c r="B91" s="1511" t="s">
        <v>357</v>
      </c>
      <c r="C91" s="1511" t="s">
        <v>259</v>
      </c>
      <c r="D91" s="1511"/>
      <c r="E91" s="1511"/>
      <c r="F91" s="1514"/>
      <c r="G91" s="1509" t="str">
        <f>G90</f>
        <v/>
      </c>
      <c r="H91" s="1512" t="s">
        <v>3197</v>
      </c>
      <c r="I91" s="103"/>
      <c r="J91" s="172"/>
      <c r="K91" s="172"/>
      <c r="L91" s="1612"/>
      <c r="M91" s="1624"/>
      <c r="N91" s="1620"/>
      <c r="O91" s="1620"/>
      <c r="P91" s="991"/>
      <c r="Q91" s="991"/>
      <c r="R91" s="991"/>
      <c r="S91" s="991"/>
      <c r="T91" s="991"/>
      <c r="U91" s="991"/>
      <c r="V91" s="991"/>
      <c r="W91" s="96"/>
      <c r="X91" s="1601"/>
      <c r="Y91" s="1881"/>
      <c r="Z91" s="1879"/>
      <c r="AC91" s="248"/>
      <c r="AD91" s="248"/>
      <c r="AE91" s="248"/>
      <c r="AF91" s="248"/>
      <c r="AG91" s="248"/>
      <c r="AH91" s="248"/>
      <c r="AI91" s="248"/>
      <c r="AJ91" s="248"/>
      <c r="AK91" s="248"/>
      <c r="AL91" s="1352"/>
      <c r="AM91" s="1352"/>
      <c r="AN91" s="1352"/>
      <c r="AO91" s="1352"/>
      <c r="AP91" s="1352"/>
      <c r="AQ91" s="1352"/>
      <c r="AR91" s="1352"/>
      <c r="AS91" s="1352"/>
    </row>
    <row r="92" spans="1:51" ht="16" hidden="1" thickBot="1" x14ac:dyDescent="0.25">
      <c r="A92" s="1507">
        <v>5</v>
      </c>
      <c r="B92" s="1511" t="s">
        <v>357</v>
      </c>
      <c r="C92" s="1511" t="s">
        <v>263</v>
      </c>
      <c r="D92" s="1511"/>
      <c r="E92" s="1511"/>
      <c r="F92" s="1514"/>
      <c r="G92" s="1509" t="str">
        <f>IF(N92&gt;0,"P","")</f>
        <v/>
      </c>
      <c r="H92" s="1512" t="s">
        <v>3197</v>
      </c>
      <c r="I92" s="104"/>
      <c r="J92" s="98" t="s">
        <v>263</v>
      </c>
      <c r="K92" s="104"/>
      <c r="L92" s="99" t="s">
        <v>361</v>
      </c>
      <c r="M92" s="914">
        <v>5</v>
      </c>
      <c r="N92" s="922">
        <f>'11.500'!O93</f>
        <v>0</v>
      </c>
      <c r="O92" s="922">
        <f>M92*W92*S92</f>
        <v>0</v>
      </c>
      <c r="P92" s="905" t="b">
        <v>1</v>
      </c>
      <c r="Q92" s="905" t="b">
        <v>1</v>
      </c>
      <c r="R92" s="100" t="b">
        <v>0</v>
      </c>
      <c r="S92" s="100" t="b">
        <f>S82</f>
        <v>0</v>
      </c>
      <c r="T92" s="991" t="b">
        <f>AND(NOT(S92),W92=TRUE)</f>
        <v>0</v>
      </c>
      <c r="U92" s="100"/>
      <c r="V92" s="100"/>
      <c r="W92" s="27"/>
      <c r="X92" s="1602"/>
      <c r="Y92" s="1882"/>
      <c r="Z92" s="1897"/>
      <c r="AC92" s="248" t="b">
        <f>OR(AD92:AE92)</f>
        <v>0</v>
      </c>
      <c r="AD92" s="248" t="b">
        <f>T92</f>
        <v>0</v>
      </c>
      <c r="AE92" s="248"/>
      <c r="AF92" s="248"/>
      <c r="AG92" s="248"/>
      <c r="AH92" s="248"/>
      <c r="AI92" s="248"/>
      <c r="AJ92" s="248"/>
      <c r="AK92" s="248"/>
      <c r="AL92" s="1352" t="str">
        <f>SUBSTITUTE(SUBSTITUTE(SUBSTITUTE("vpa"&amp;$B92&amp;$C92&amp;$D92&amp;$E92&amp;$F92,".","_"),"(","_"),")","")</f>
        <v>vpa503_2_5</v>
      </c>
      <c r="AM92" s="1352">
        <f>M92</f>
        <v>5</v>
      </c>
      <c r="AN92" s="1352" t="str">
        <f>SUBSTITUTE(SUBSTITUTE(SUBSTITUTE("vpc"&amp;$B92&amp;$C92&amp;$D92&amp;$E92&amp;$F92,".","_"),"(","_"),")","")</f>
        <v>vpc503_2_5</v>
      </c>
      <c r="AO92" s="1352">
        <f>O92</f>
        <v>0</v>
      </c>
      <c r="AP92" s="1352" t="str">
        <f>SUBSTITUTE(SUBSTITUTE(SUBSTITUTE("vch"&amp;$B92&amp;$C92&amp;$D92&amp;$E92&amp;$F92,".","_"),"(","_"),")","")</f>
        <v>vch503_2_5</v>
      </c>
      <c r="AQ92" s="1352" t="str">
        <f>IF(LEN(W92)=0,"",W92)</f>
        <v/>
      </c>
      <c r="AR92" s="1352"/>
      <c r="AS92" s="1352"/>
    </row>
    <row r="93" spans="1:51" ht="15.75" hidden="1" customHeight="1" thickTop="1" x14ac:dyDescent="0.2">
      <c r="A93" s="1507">
        <v>5</v>
      </c>
      <c r="B93" s="1511" t="s">
        <v>362</v>
      </c>
      <c r="C93" s="1511"/>
      <c r="D93" s="1511"/>
      <c r="E93" s="1511"/>
      <c r="F93" s="1514"/>
      <c r="G93" s="1513" t="str">
        <f>IF(COUNTIF(G96:G104,"P")&gt;0,"P","")</f>
        <v/>
      </c>
      <c r="H93" s="1512" t="s">
        <v>3198</v>
      </c>
      <c r="I93" s="107" t="s">
        <v>3489</v>
      </c>
      <c r="J93" s="108"/>
      <c r="K93" s="108"/>
      <c r="L93" s="1683" t="s">
        <v>3779</v>
      </c>
      <c r="M93" s="945"/>
      <c r="N93" s="943"/>
      <c r="O93" s="943"/>
      <c r="P93" s="106"/>
      <c r="Q93" s="106"/>
      <c r="R93" s="106"/>
      <c r="S93" s="106"/>
      <c r="T93" s="106"/>
      <c r="U93" s="106"/>
      <c r="V93" s="106"/>
      <c r="W93" s="106"/>
      <c r="X93" s="1603"/>
      <c r="Y93" s="1877" t="str">
        <f>IF(LEN('11.500'!X94)=0,"None",'11.500'!X94)</f>
        <v>None</v>
      </c>
      <c r="Z93" s="1880"/>
      <c r="AC93" s="248"/>
      <c r="AD93" s="248"/>
      <c r="AE93" s="248"/>
      <c r="AF93" s="248"/>
      <c r="AG93" s="248"/>
      <c r="AH93" s="248"/>
      <c r="AI93" s="248"/>
      <c r="AJ93" s="248"/>
      <c r="AK93" s="248"/>
      <c r="AL93" s="1352"/>
      <c r="AM93" s="1352"/>
      <c r="AN93" s="1352"/>
      <c r="AO93" s="1352"/>
      <c r="AP93" s="1352"/>
      <c r="AQ93" s="1352"/>
      <c r="AR93" s="1352" t="str">
        <f>SUBSTITUTE(SUBSTITUTE(SUBSTITUTE("vnt"&amp;$B93&amp;$C93&amp;$D93&amp;$E93&amp;$F93,".","_"),"(","_"),")","")</f>
        <v>vnt503_3</v>
      </c>
      <c r="AS93" s="1352" t="str">
        <f>IF(LEN(X93)=0,"",X93)</f>
        <v/>
      </c>
    </row>
    <row r="94" spans="1:51" ht="16" hidden="1" thickBot="1" x14ac:dyDescent="0.25">
      <c r="A94" s="1507">
        <v>5</v>
      </c>
      <c r="B94" s="1511" t="s">
        <v>362</v>
      </c>
      <c r="C94" s="1511"/>
      <c r="D94" s="1511"/>
      <c r="E94" s="1511"/>
      <c r="F94" s="1514"/>
      <c r="G94" s="1509" t="str">
        <f>G93</f>
        <v/>
      </c>
      <c r="H94" s="1512" t="s">
        <v>3198</v>
      </c>
      <c r="I94" s="103"/>
      <c r="J94" s="103"/>
      <c r="K94" s="103"/>
      <c r="L94" s="1786"/>
      <c r="M94" s="913"/>
      <c r="N94" s="908"/>
      <c r="O94" s="908"/>
      <c r="P94" s="991"/>
      <c r="Q94" s="991"/>
      <c r="R94" s="991"/>
      <c r="S94" s="991"/>
      <c r="T94" s="991"/>
      <c r="U94" s="991"/>
      <c r="V94" s="991"/>
      <c r="W94" s="96"/>
      <c r="X94" s="1601"/>
      <c r="Y94" s="1881"/>
      <c r="Z94" s="1891"/>
      <c r="AC94" s="248"/>
      <c r="AD94" s="248"/>
      <c r="AE94" s="248"/>
      <c r="AF94" s="248"/>
      <c r="AG94" s="248"/>
      <c r="AH94" s="248"/>
      <c r="AI94" s="248"/>
      <c r="AJ94" s="248"/>
      <c r="AK94" s="248"/>
      <c r="AL94" s="1352"/>
      <c r="AM94" s="1352"/>
      <c r="AN94" s="1352"/>
      <c r="AO94" s="1352"/>
      <c r="AP94" s="1352"/>
      <c r="AQ94" s="1352"/>
      <c r="AR94" s="1352"/>
      <c r="AS94" s="1352"/>
    </row>
    <row r="95" spans="1:51" ht="16" hidden="1" thickBot="1" x14ac:dyDescent="0.25">
      <c r="A95" s="1507">
        <v>5</v>
      </c>
      <c r="B95" s="1511" t="s">
        <v>362</v>
      </c>
      <c r="C95" s="1511"/>
      <c r="D95" s="1511"/>
      <c r="E95" s="1511"/>
      <c r="F95" s="1514"/>
      <c r="G95" s="1509" t="str">
        <f>G94</f>
        <v/>
      </c>
      <c r="H95" s="1512" t="s">
        <v>3198</v>
      </c>
      <c r="I95" s="103"/>
      <c r="J95" s="103"/>
      <c r="K95" s="103"/>
      <c r="L95" s="925" t="s">
        <v>3780</v>
      </c>
      <c r="M95" s="913"/>
      <c r="N95" s="908"/>
      <c r="O95" s="908"/>
      <c r="P95" s="991"/>
      <c r="Q95" s="991"/>
      <c r="R95" s="991"/>
      <c r="S95" s="991"/>
      <c r="T95" s="991"/>
      <c r="U95" s="991"/>
      <c r="V95" s="991"/>
      <c r="W95" s="96"/>
      <c r="X95" s="1601"/>
      <c r="Y95" s="1881"/>
      <c r="Z95" s="1891"/>
      <c r="AC95" s="248"/>
      <c r="AD95" s="248"/>
      <c r="AE95" s="248"/>
      <c r="AF95" s="248"/>
      <c r="AG95" s="248"/>
      <c r="AH95" s="248"/>
      <c r="AI95" s="248"/>
      <c r="AJ95" s="248"/>
      <c r="AK95" s="248"/>
      <c r="AL95" s="1352"/>
      <c r="AM95" s="1352"/>
      <c r="AN95" s="1352"/>
      <c r="AO95" s="1352"/>
      <c r="AP95" s="1352"/>
      <c r="AQ95" s="1352"/>
      <c r="AR95" s="1352"/>
      <c r="AS95" s="1352"/>
    </row>
    <row r="96" spans="1:51" ht="15" hidden="1" customHeight="1" x14ac:dyDescent="0.2">
      <c r="A96" s="1507">
        <v>5</v>
      </c>
      <c r="B96" s="1511" t="s">
        <v>362</v>
      </c>
      <c r="C96" s="1511" t="s">
        <v>254</v>
      </c>
      <c r="D96" s="1511"/>
      <c r="E96" s="1511"/>
      <c r="F96" s="1514"/>
      <c r="G96" s="1509" t="str">
        <f>IF(N96&gt;0,"P","")</f>
        <v/>
      </c>
      <c r="H96" s="1512" t="s">
        <v>3198</v>
      </c>
      <c r="I96" s="103"/>
      <c r="J96" s="93" t="s">
        <v>254</v>
      </c>
      <c r="K96" s="103"/>
      <c r="L96" s="1789" t="s">
        <v>3781</v>
      </c>
      <c r="M96" s="1623">
        <v>2</v>
      </c>
      <c r="N96" s="1619">
        <f>'11.500'!O97</f>
        <v>0</v>
      </c>
      <c r="O96" s="1619">
        <f>M96*W96</f>
        <v>0</v>
      </c>
      <c r="P96" s="905" t="b">
        <v>1</v>
      </c>
      <c r="Q96" s="905" t="b">
        <v>0</v>
      </c>
      <c r="R96" s="991" t="b">
        <v>0</v>
      </c>
      <c r="S96" s="991" t="b">
        <v>1</v>
      </c>
      <c r="T96" s="991" t="b">
        <v>0</v>
      </c>
      <c r="U96" s="991"/>
      <c r="V96" s="991"/>
      <c r="W96" s="27"/>
      <c r="X96" s="1601"/>
      <c r="Y96" s="1881"/>
      <c r="Z96" s="1891"/>
      <c r="AC96" s="248"/>
      <c r="AD96" s="248"/>
      <c r="AE96" s="248"/>
      <c r="AF96" s="248"/>
      <c r="AG96" s="248"/>
      <c r="AH96" s="248"/>
      <c r="AI96" s="248"/>
      <c r="AJ96" s="248"/>
      <c r="AK96" s="248"/>
      <c r="AL96" s="1352" t="str">
        <f>SUBSTITUTE(SUBSTITUTE(SUBSTITUTE("vpa"&amp;$B96&amp;$C96&amp;$D96&amp;$E96&amp;$F96,".","_"),"(","_"),")","")</f>
        <v>vpa503_3_1</v>
      </c>
      <c r="AM96" s="1352">
        <f>M96</f>
        <v>2</v>
      </c>
      <c r="AN96" s="1352" t="str">
        <f>SUBSTITUTE(SUBSTITUTE(SUBSTITUTE("vpc"&amp;$B96&amp;$C96&amp;$D96&amp;$E96&amp;$F96,".","_"),"(","_"),")","")</f>
        <v>vpc503_3_1</v>
      </c>
      <c r="AO96" s="1352">
        <f>O96</f>
        <v>0</v>
      </c>
      <c r="AP96" s="1352" t="str">
        <f>SUBSTITUTE(SUBSTITUTE(SUBSTITUTE("vch"&amp;$B96&amp;$C96&amp;$D96&amp;$E96&amp;$F96,".","_"),"(","_"),")","")</f>
        <v>vch503_3_1</v>
      </c>
      <c r="AQ96" s="1352" t="str">
        <f>IF(LEN(W96)=0,"",W96)</f>
        <v/>
      </c>
      <c r="AR96" s="1352"/>
      <c r="AS96" s="1352"/>
    </row>
    <row r="97" spans="1:45" ht="16" hidden="1" thickBot="1" x14ac:dyDescent="0.25">
      <c r="A97" s="1507">
        <v>5</v>
      </c>
      <c r="B97" s="1511" t="s">
        <v>362</v>
      </c>
      <c r="C97" s="1511" t="s">
        <v>254</v>
      </c>
      <c r="D97" s="1511"/>
      <c r="E97" s="1511"/>
      <c r="F97" s="1514"/>
      <c r="G97" s="1509" t="str">
        <f>G96</f>
        <v/>
      </c>
      <c r="H97" s="1512" t="s">
        <v>3198</v>
      </c>
      <c r="I97" s="103"/>
      <c r="J97" s="169"/>
      <c r="K97" s="172"/>
      <c r="L97" s="1612"/>
      <c r="M97" s="1624"/>
      <c r="N97" s="1620"/>
      <c r="O97" s="1620"/>
      <c r="P97" s="991"/>
      <c r="Q97" s="991"/>
      <c r="R97" s="991"/>
      <c r="S97" s="991"/>
      <c r="T97" s="991"/>
      <c r="U97" s="991"/>
      <c r="V97" s="991"/>
      <c r="W97" s="96"/>
      <c r="X97" s="1601"/>
      <c r="Y97" s="1881"/>
      <c r="Z97" s="1891"/>
      <c r="AC97" s="248"/>
      <c r="AD97" s="248"/>
      <c r="AE97" s="248"/>
      <c r="AF97" s="248"/>
      <c r="AG97" s="248"/>
      <c r="AH97" s="248"/>
      <c r="AI97" s="248"/>
      <c r="AJ97" s="248"/>
      <c r="AK97" s="248"/>
      <c r="AL97" s="1352"/>
      <c r="AM97" s="1352"/>
      <c r="AN97" s="1352"/>
      <c r="AO97" s="1352"/>
      <c r="AP97" s="1352"/>
      <c r="AQ97" s="1352"/>
      <c r="AR97" s="1352"/>
      <c r="AS97" s="1352"/>
    </row>
    <row r="98" spans="1:45" ht="16" hidden="1" thickBot="1" x14ac:dyDescent="0.25">
      <c r="A98" s="1507">
        <v>5</v>
      </c>
      <c r="B98" s="1511" t="s">
        <v>362</v>
      </c>
      <c r="C98" s="1511" t="s">
        <v>255</v>
      </c>
      <c r="D98" s="1511"/>
      <c r="E98" s="1511"/>
      <c r="F98" s="1514"/>
      <c r="G98" s="1509" t="str">
        <f>IF(N98&gt;0,"P","")</f>
        <v/>
      </c>
      <c r="H98" s="1512" t="s">
        <v>3198</v>
      </c>
      <c r="I98" s="103"/>
      <c r="J98" s="93" t="s">
        <v>255</v>
      </c>
      <c r="K98" s="103"/>
      <c r="L98" s="1152" t="s">
        <v>3782</v>
      </c>
      <c r="M98" s="1157">
        <v>2</v>
      </c>
      <c r="N98" s="1158">
        <f>'11.500'!O99</f>
        <v>0</v>
      </c>
      <c r="O98" s="1158">
        <f>M98*MIN(W99+W100+W102+W103,1)*S99</f>
        <v>0</v>
      </c>
      <c r="P98" s="905"/>
      <c r="Q98" s="905"/>
      <c r="R98" s="991"/>
      <c r="S98" s="991"/>
      <c r="T98" s="991"/>
      <c r="U98" s="991"/>
      <c r="V98" s="991"/>
      <c r="W98" s="96"/>
      <c r="X98" s="1601"/>
      <c r="Y98" s="1881"/>
      <c r="Z98" s="1891"/>
      <c r="AC98" s="248"/>
      <c r="AD98" s="248"/>
      <c r="AE98" s="248"/>
      <c r="AF98" s="248"/>
      <c r="AG98" s="248"/>
      <c r="AH98" s="248"/>
      <c r="AI98" s="248"/>
      <c r="AJ98" s="248"/>
      <c r="AK98" s="248"/>
      <c r="AL98" s="1352" t="str">
        <f>SUBSTITUTE(SUBSTITUTE(SUBSTITUTE("vpa"&amp;$B98&amp;$C98&amp;$D98&amp;$E98&amp;$F98,".","_"),"(","_"),")","")</f>
        <v>vpa503_3_2</v>
      </c>
      <c r="AM98" s="1352">
        <f>M98</f>
        <v>2</v>
      </c>
      <c r="AN98" s="1352" t="str">
        <f>SUBSTITUTE(SUBSTITUTE(SUBSTITUTE("vpc"&amp;$B98&amp;$C98&amp;$D98&amp;$E98&amp;$F98,".","_"),"(","_"),")","")</f>
        <v>vpc503_3_2</v>
      </c>
      <c r="AO98" s="1352">
        <f>O98</f>
        <v>0</v>
      </c>
      <c r="AP98" s="1352"/>
      <c r="AQ98" s="1352"/>
      <c r="AR98" s="1352"/>
      <c r="AS98" s="1352"/>
    </row>
    <row r="99" spans="1:45" ht="16" hidden="1" thickBot="1" x14ac:dyDescent="0.25">
      <c r="A99" s="1507">
        <v>5</v>
      </c>
      <c r="B99" s="1511" t="s">
        <v>362</v>
      </c>
      <c r="C99" s="1511" t="s">
        <v>255</v>
      </c>
      <c r="D99" s="1511" t="s">
        <v>121</v>
      </c>
      <c r="E99" s="1511"/>
      <c r="F99" s="1514"/>
      <c r="G99" s="1509" t="str">
        <f>G98</f>
        <v/>
      </c>
      <c r="H99" s="1512" t="s">
        <v>3198</v>
      </c>
      <c r="I99" s="103"/>
      <c r="J99" s="103"/>
      <c r="K99" s="93" t="s">
        <v>121</v>
      </c>
      <c r="L99" s="97" t="s">
        <v>363</v>
      </c>
      <c r="M99" s="1155"/>
      <c r="N99" s="1153"/>
      <c r="O99" s="1153"/>
      <c r="P99" s="905" t="b">
        <v>1</v>
      </c>
      <c r="Q99" s="905" t="b">
        <v>0</v>
      </c>
      <c r="R99" s="991" t="b">
        <v>0</v>
      </c>
      <c r="S99" s="991" t="b">
        <v>1</v>
      </c>
      <c r="T99" s="991" t="b">
        <v>0</v>
      </c>
      <c r="U99" s="991"/>
      <c r="V99" s="991"/>
      <c r="W99" s="27"/>
      <c r="X99" s="1601"/>
      <c r="Y99" s="1881"/>
      <c r="Z99" s="1891"/>
      <c r="AC99" s="248"/>
      <c r="AD99" s="248"/>
      <c r="AE99" s="248"/>
      <c r="AF99" s="248"/>
      <c r="AG99" s="248"/>
      <c r="AH99" s="248"/>
      <c r="AI99" s="248"/>
      <c r="AJ99" s="248"/>
      <c r="AK99" s="248"/>
      <c r="AL99" s="1352"/>
      <c r="AM99" s="1352"/>
      <c r="AN99" s="1352"/>
      <c r="AO99" s="1352"/>
      <c r="AP99" s="1352" t="str">
        <f>SUBSTITUTE(SUBSTITUTE(SUBSTITUTE("vch"&amp;$B99&amp;$C99&amp;$D99&amp;$E99&amp;$F99,".","_"),"(","_"),")","")</f>
        <v>vch503_3_2_a</v>
      </c>
      <c r="AQ99" s="1352" t="str">
        <f>IF(LEN(W99)=0,"",W99)</f>
        <v/>
      </c>
      <c r="AR99" s="1352"/>
      <c r="AS99" s="1352"/>
    </row>
    <row r="100" spans="1:45" ht="15" hidden="1" customHeight="1" x14ac:dyDescent="0.2">
      <c r="A100" s="1507">
        <v>5</v>
      </c>
      <c r="B100" s="1511" t="s">
        <v>362</v>
      </c>
      <c r="C100" s="1511" t="s">
        <v>255</v>
      </c>
      <c r="D100" s="1511" t="s">
        <v>122</v>
      </c>
      <c r="E100" s="1511"/>
      <c r="F100" s="1514"/>
      <c r="G100" s="1509" t="str">
        <f>G99</f>
        <v/>
      </c>
      <c r="H100" s="1512" t="s">
        <v>3198</v>
      </c>
      <c r="I100" s="103"/>
      <c r="J100" s="103"/>
      <c r="K100" s="93" t="s">
        <v>122</v>
      </c>
      <c r="L100" s="1609" t="s">
        <v>364</v>
      </c>
      <c r="M100" s="1155"/>
      <c r="N100" s="1153"/>
      <c r="O100" s="1153"/>
      <c r="P100" s="905" t="b">
        <v>1</v>
      </c>
      <c r="Q100" s="905" t="b">
        <v>0</v>
      </c>
      <c r="R100" s="991" t="b">
        <v>0</v>
      </c>
      <c r="S100" s="991" t="b">
        <v>1</v>
      </c>
      <c r="T100" s="991" t="b">
        <v>0</v>
      </c>
      <c r="U100" s="991"/>
      <c r="V100" s="991"/>
      <c r="W100" s="27"/>
      <c r="X100" s="1601"/>
      <c r="Y100" s="1881"/>
      <c r="Z100" s="1891"/>
      <c r="AC100" s="248"/>
      <c r="AD100" s="248"/>
      <c r="AE100" s="248"/>
      <c r="AF100" s="248"/>
      <c r="AG100" s="248"/>
      <c r="AH100" s="248"/>
      <c r="AI100" s="248"/>
      <c r="AJ100" s="248"/>
      <c r="AK100" s="248"/>
      <c r="AL100" s="1352"/>
      <c r="AM100" s="1352"/>
      <c r="AN100" s="1352"/>
      <c r="AO100" s="1352"/>
      <c r="AP100" s="1352" t="str">
        <f>SUBSTITUTE(SUBSTITUTE(SUBSTITUTE("vch"&amp;$B100&amp;$C100&amp;$D100&amp;$E100&amp;$F100,".","_"),"(","_"),")","")</f>
        <v>vch503_3_2_b</v>
      </c>
      <c r="AQ100" s="1352" t="str">
        <f>IF(LEN(W100)=0,"",W100)</f>
        <v/>
      </c>
      <c r="AR100" s="1352"/>
      <c r="AS100" s="1352"/>
    </row>
    <row r="101" spans="1:45" ht="16" hidden="1" thickBot="1" x14ac:dyDescent="0.25">
      <c r="A101" s="1507">
        <v>5</v>
      </c>
      <c r="B101" s="1511" t="s">
        <v>362</v>
      </c>
      <c r="C101" s="1511" t="s">
        <v>255</v>
      </c>
      <c r="D101" s="1511" t="s">
        <v>122</v>
      </c>
      <c r="E101" s="1511"/>
      <c r="F101" s="1514"/>
      <c r="G101" s="1509" t="str">
        <f>G100</f>
        <v/>
      </c>
      <c r="H101" s="1512" t="s">
        <v>3198</v>
      </c>
      <c r="I101" s="103"/>
      <c r="J101" s="103"/>
      <c r="K101" s="103"/>
      <c r="L101" s="1609"/>
      <c r="M101" s="1155"/>
      <c r="N101" s="1153"/>
      <c r="O101" s="1153"/>
      <c r="P101" s="991"/>
      <c r="Q101" s="991"/>
      <c r="R101" s="991"/>
      <c r="S101" s="991"/>
      <c r="T101" s="991"/>
      <c r="U101" s="991"/>
      <c r="V101" s="991"/>
      <c r="W101" s="96"/>
      <c r="X101" s="1601"/>
      <c r="Y101" s="1881"/>
      <c r="Z101" s="1891"/>
      <c r="AC101" s="248"/>
      <c r="AD101" s="248"/>
      <c r="AE101" s="248"/>
      <c r="AF101" s="248"/>
      <c r="AG101" s="248"/>
      <c r="AH101" s="248"/>
      <c r="AI101" s="248"/>
      <c r="AJ101" s="248"/>
      <c r="AK101" s="248"/>
      <c r="AL101" s="1352"/>
      <c r="AM101" s="1352"/>
      <c r="AN101" s="1352"/>
      <c r="AO101" s="1352"/>
      <c r="AP101" s="1352"/>
      <c r="AQ101" s="1352"/>
      <c r="AR101" s="1352"/>
      <c r="AS101" s="1352"/>
    </row>
    <row r="102" spans="1:45" ht="16" hidden="1" thickBot="1" x14ac:dyDescent="0.25">
      <c r="A102" s="1507">
        <v>5</v>
      </c>
      <c r="B102" s="1511" t="s">
        <v>362</v>
      </c>
      <c r="C102" s="1511" t="s">
        <v>255</v>
      </c>
      <c r="D102" s="1518" t="s">
        <v>123</v>
      </c>
      <c r="E102" s="1518"/>
      <c r="F102" s="1519"/>
      <c r="G102" s="1509" t="str">
        <f>G101</f>
        <v/>
      </c>
      <c r="H102" s="1520" t="s">
        <v>3198</v>
      </c>
      <c r="I102" s="103"/>
      <c r="J102" s="103"/>
      <c r="K102" s="111" t="s">
        <v>123</v>
      </c>
      <c r="L102" s="97" t="s">
        <v>365</v>
      </c>
      <c r="M102" s="1155"/>
      <c r="N102" s="1153"/>
      <c r="O102" s="1153"/>
      <c r="P102" s="905" t="b">
        <v>1</v>
      </c>
      <c r="Q102" s="905" t="b">
        <v>0</v>
      </c>
      <c r="R102" s="991" t="b">
        <v>0</v>
      </c>
      <c r="S102" s="991" t="b">
        <v>1</v>
      </c>
      <c r="T102" s="991" t="b">
        <v>0</v>
      </c>
      <c r="U102" s="991"/>
      <c r="V102" s="991"/>
      <c r="W102" s="27"/>
      <c r="X102" s="1601"/>
      <c r="Y102" s="1881"/>
      <c r="Z102" s="1891"/>
      <c r="AC102" s="248"/>
      <c r="AD102" s="248"/>
      <c r="AE102" s="248"/>
      <c r="AF102" s="248"/>
      <c r="AG102" s="248"/>
      <c r="AH102" s="248"/>
      <c r="AI102" s="248"/>
      <c r="AJ102" s="248"/>
      <c r="AK102" s="248"/>
      <c r="AL102" s="1352"/>
      <c r="AM102" s="1352"/>
      <c r="AN102" s="1352"/>
      <c r="AO102" s="1352"/>
      <c r="AP102" s="1352" t="str">
        <f>SUBSTITUTE(SUBSTITUTE(SUBSTITUTE("vch"&amp;$B102&amp;$C102&amp;$D102&amp;$E102&amp;$F102,".","_"),"(","_"),")","")</f>
        <v>vch503_3_2_c</v>
      </c>
      <c r="AQ102" s="1352" t="str">
        <f>IF(LEN(W102)=0,"",W102)</f>
        <v/>
      </c>
      <c r="AR102" s="1352"/>
      <c r="AS102" s="1352"/>
    </row>
    <row r="103" spans="1:45" ht="16" hidden="1" thickBot="1" x14ac:dyDescent="0.25">
      <c r="A103" s="1507">
        <v>5</v>
      </c>
      <c r="B103" s="1511" t="s">
        <v>362</v>
      </c>
      <c r="C103" s="1511" t="s">
        <v>255</v>
      </c>
      <c r="D103" s="1518" t="s">
        <v>366</v>
      </c>
      <c r="E103" s="1518"/>
      <c r="F103" s="1519"/>
      <c r="G103" s="1509" t="str">
        <f>G102</f>
        <v/>
      </c>
      <c r="H103" s="1520" t="s">
        <v>3198</v>
      </c>
      <c r="I103" s="103"/>
      <c r="J103" s="172"/>
      <c r="K103" s="174" t="s">
        <v>366</v>
      </c>
      <c r="L103" s="170" t="s">
        <v>367</v>
      </c>
      <c r="M103" s="1156"/>
      <c r="N103" s="1154"/>
      <c r="O103" s="1154"/>
      <c r="P103" s="905" t="b">
        <v>1</v>
      </c>
      <c r="Q103" s="905" t="b">
        <v>0</v>
      </c>
      <c r="R103" s="991" t="b">
        <v>0</v>
      </c>
      <c r="S103" s="991" t="b">
        <v>1</v>
      </c>
      <c r="T103" s="991" t="b">
        <v>0</v>
      </c>
      <c r="U103" s="991"/>
      <c r="V103" s="991"/>
      <c r="W103" s="27"/>
      <c r="X103" s="1601"/>
      <c r="Y103" s="1881"/>
      <c r="Z103" s="1891"/>
      <c r="AC103" s="248"/>
      <c r="AD103" s="248"/>
      <c r="AE103" s="248"/>
      <c r="AF103" s="248"/>
      <c r="AG103" s="248"/>
      <c r="AH103" s="248"/>
      <c r="AI103" s="248"/>
      <c r="AJ103" s="248"/>
      <c r="AK103" s="248"/>
      <c r="AL103" s="1352"/>
      <c r="AM103" s="1352"/>
      <c r="AN103" s="1352"/>
      <c r="AO103" s="1352"/>
      <c r="AP103" s="1352" t="str">
        <f>SUBSTITUTE(SUBSTITUTE(SUBSTITUTE("vch"&amp;$B103&amp;$C103&amp;$D103&amp;$E103&amp;$F103,".","_"),"(","_"),")","")</f>
        <v>vch503_3_2_d</v>
      </c>
      <c r="AQ103" s="1352"/>
      <c r="AR103" s="1352"/>
      <c r="AS103" s="1352"/>
    </row>
    <row r="104" spans="1:45" ht="16" hidden="1" thickBot="1" x14ac:dyDescent="0.25">
      <c r="A104" s="1507">
        <v>5</v>
      </c>
      <c r="B104" s="1511" t="s">
        <v>362</v>
      </c>
      <c r="C104" s="1511" t="s">
        <v>256</v>
      </c>
      <c r="D104" s="1511"/>
      <c r="E104" s="1511"/>
      <c r="F104" s="1514"/>
      <c r="G104" s="1509" t="str">
        <f>IF(N104&gt;0,"P","")</f>
        <v/>
      </c>
      <c r="H104" s="1512" t="s">
        <v>3198</v>
      </c>
      <c r="I104" s="104"/>
      <c r="J104" s="98" t="s">
        <v>256</v>
      </c>
      <c r="K104" s="104"/>
      <c r="L104" s="99" t="s">
        <v>3783</v>
      </c>
      <c r="M104" s="914">
        <v>2</v>
      </c>
      <c r="N104" s="922">
        <f>'11.500'!O105</f>
        <v>0</v>
      </c>
      <c r="O104" s="922">
        <f>M104*W104</f>
        <v>0</v>
      </c>
      <c r="P104" s="905" t="b">
        <v>1</v>
      </c>
      <c r="Q104" s="905" t="b">
        <v>0</v>
      </c>
      <c r="R104" s="100" t="b">
        <v>0</v>
      </c>
      <c r="S104" s="100" t="b">
        <v>1</v>
      </c>
      <c r="T104" s="100" t="b">
        <v>0</v>
      </c>
      <c r="U104" s="100"/>
      <c r="V104" s="100"/>
      <c r="W104" s="184"/>
      <c r="X104" s="1602"/>
      <c r="Y104" s="1882"/>
      <c r="Z104" s="1892"/>
      <c r="AC104" s="248"/>
      <c r="AD104" s="248"/>
      <c r="AE104" s="248"/>
      <c r="AF104" s="248"/>
      <c r="AG104" s="248"/>
      <c r="AH104" s="248"/>
      <c r="AI104" s="248"/>
      <c r="AJ104" s="248"/>
      <c r="AK104" s="248"/>
      <c r="AL104" s="1352" t="str">
        <f>SUBSTITUTE(SUBSTITUTE(SUBSTITUTE("vpa"&amp;$B104&amp;$C104&amp;$D104&amp;$E104&amp;$F104,".","_"),"(","_"),")","")</f>
        <v>vpa503_3_3</v>
      </c>
      <c r="AM104" s="1352">
        <f>M104</f>
        <v>2</v>
      </c>
      <c r="AN104" s="1352" t="str">
        <f>SUBSTITUTE(SUBSTITUTE(SUBSTITUTE("vpc"&amp;$B104&amp;$C104&amp;$D104&amp;$E104&amp;$F104,".","_"),"(","_"),")","")</f>
        <v>vpc503_3_3</v>
      </c>
      <c r="AO104" s="1352">
        <f>O104</f>
        <v>0</v>
      </c>
      <c r="AP104" s="1352" t="str">
        <f>SUBSTITUTE(SUBSTITUTE(SUBSTITUTE("vch"&amp;$B104&amp;$C104&amp;$D104&amp;$E104&amp;$F104,".","_"),"(","_"),")","")</f>
        <v>vch503_3_3</v>
      </c>
      <c r="AQ104" s="1352" t="str">
        <f>IF(LEN(W104)=0,"",W104)</f>
        <v/>
      </c>
      <c r="AR104" s="1352"/>
      <c r="AS104" s="1352"/>
    </row>
    <row r="105" spans="1:45" ht="15.75" hidden="1" customHeight="1" thickTop="1" x14ac:dyDescent="0.2">
      <c r="A105" s="1507">
        <v>5</v>
      </c>
      <c r="B105" s="1511" t="s">
        <v>368</v>
      </c>
      <c r="C105" s="1511"/>
      <c r="D105" s="1511"/>
      <c r="E105" s="1511"/>
      <c r="F105" s="1514"/>
      <c r="G105" s="1513" t="str">
        <f ca="1">IF(COUNTIF(G112:G129,"P")&gt;0,"P","")</f>
        <v/>
      </c>
      <c r="H105" s="1512" t="s">
        <v>3197</v>
      </c>
      <c r="I105" s="136" t="s">
        <v>3490</v>
      </c>
      <c r="J105" s="92"/>
      <c r="K105" s="92"/>
      <c r="L105" s="1683" t="s">
        <v>3512</v>
      </c>
      <c r="M105" s="911"/>
      <c r="N105" s="935"/>
      <c r="O105" s="935"/>
      <c r="P105" s="905"/>
      <c r="Q105" s="905"/>
      <c r="R105" s="905"/>
      <c r="S105" s="905"/>
      <c r="T105" s="905"/>
      <c r="U105" s="905"/>
      <c r="V105" s="905"/>
      <c r="W105" s="183"/>
      <c r="X105" s="1670"/>
      <c r="Y105" s="1877" t="str">
        <f>IF(LEN('11.500'!X106)=0,"None",'11.500'!X106)</f>
        <v>None</v>
      </c>
      <c r="Z105" s="1880"/>
      <c r="AC105" s="248"/>
      <c r="AD105" s="248"/>
      <c r="AE105" s="248"/>
      <c r="AF105" s="248"/>
      <c r="AG105" s="248"/>
      <c r="AH105" s="248"/>
      <c r="AI105" s="248"/>
      <c r="AJ105" s="248"/>
      <c r="AK105" s="248"/>
      <c r="AL105" s="1352"/>
      <c r="AM105" s="1352"/>
      <c r="AN105" s="1352"/>
      <c r="AO105" s="1352"/>
      <c r="AP105" s="1352"/>
      <c r="AQ105" s="1352"/>
      <c r="AR105" s="1352" t="str">
        <f>SUBSTITUTE(SUBSTITUTE(SUBSTITUTE("vnt"&amp;$B105&amp;$C105&amp;$D105&amp;$E105&amp;$F105,".","_"),"(","_"),")","")</f>
        <v>vnt503_4</v>
      </c>
      <c r="AS105" s="1352" t="str">
        <f>IF(LEN(X105)=0,"",X105)</f>
        <v/>
      </c>
    </row>
    <row r="106" spans="1:45" ht="16" hidden="1" thickBot="1" x14ac:dyDescent="0.25">
      <c r="A106" s="1507">
        <v>5</v>
      </c>
      <c r="B106" s="1511" t="s">
        <v>368</v>
      </c>
      <c r="C106" s="1511"/>
      <c r="D106" s="1511"/>
      <c r="E106" s="1511"/>
      <c r="F106" s="1514"/>
      <c r="G106" s="1509" t="str">
        <f ca="1">G105</f>
        <v/>
      </c>
      <c r="H106" s="1512" t="s">
        <v>3197</v>
      </c>
      <c r="I106" s="92"/>
      <c r="J106" s="92"/>
      <c r="K106" s="92"/>
      <c r="L106" s="1629"/>
      <c r="M106" s="911"/>
      <c r="N106" s="935"/>
      <c r="O106" s="935"/>
      <c r="P106" s="905"/>
      <c r="Q106" s="905"/>
      <c r="R106" s="905"/>
      <c r="S106" s="905"/>
      <c r="T106" s="905"/>
      <c r="U106" s="905"/>
      <c r="V106" s="905"/>
      <c r="W106" s="248"/>
      <c r="X106" s="1632"/>
      <c r="Y106" s="1874"/>
      <c r="Z106" s="1889"/>
      <c r="AC106" s="248"/>
      <c r="AD106" s="248"/>
      <c r="AE106" s="248"/>
      <c r="AF106" s="248"/>
      <c r="AG106" s="248"/>
      <c r="AH106" s="248"/>
      <c r="AI106" s="248"/>
      <c r="AJ106" s="248"/>
      <c r="AK106" s="248"/>
      <c r="AL106" s="1352"/>
      <c r="AM106" s="1352"/>
      <c r="AN106" s="1352"/>
      <c r="AO106" s="1352"/>
      <c r="AP106" s="1352"/>
      <c r="AQ106" s="1352"/>
      <c r="AR106" s="1352"/>
      <c r="AS106" s="1352"/>
    </row>
    <row r="107" spans="1:45" ht="16" hidden="1" thickBot="1" x14ac:dyDescent="0.25">
      <c r="A107" s="1507">
        <v>5</v>
      </c>
      <c r="B107" s="1511" t="s">
        <v>368</v>
      </c>
      <c r="C107" s="1511"/>
      <c r="D107" s="1511"/>
      <c r="E107" s="1511"/>
      <c r="F107" s="1514"/>
      <c r="G107" s="1509" t="str">
        <f ca="1">G106</f>
        <v/>
      </c>
      <c r="H107" s="1512" t="s">
        <v>3197</v>
      </c>
      <c r="I107" s="92"/>
      <c r="J107" s="92"/>
      <c r="K107" s="92"/>
      <c r="L107" s="1629"/>
      <c r="M107" s="911"/>
      <c r="N107" s="935"/>
      <c r="O107" s="935"/>
      <c r="P107" s="905"/>
      <c r="Q107" s="905"/>
      <c r="R107" s="905"/>
      <c r="S107" s="905"/>
      <c r="T107" s="905"/>
      <c r="U107" s="905"/>
      <c r="V107" s="905"/>
      <c r="W107" s="248"/>
      <c r="X107" s="1632"/>
      <c r="Y107" s="1874"/>
      <c r="Z107" s="1889"/>
      <c r="AC107" s="248"/>
      <c r="AD107" s="248"/>
      <c r="AE107" s="248"/>
      <c r="AF107" s="248"/>
      <c r="AG107" s="248"/>
      <c r="AH107" s="248"/>
      <c r="AI107" s="248"/>
      <c r="AJ107" s="248"/>
      <c r="AK107" s="248"/>
      <c r="AL107" s="1352"/>
      <c r="AM107" s="1352"/>
      <c r="AN107" s="1352"/>
      <c r="AO107" s="1352"/>
      <c r="AP107" s="1352"/>
      <c r="AQ107" s="1352"/>
      <c r="AR107" s="1352"/>
      <c r="AS107" s="1352"/>
    </row>
    <row r="108" spans="1:45" ht="16" hidden="1" thickBot="1" x14ac:dyDescent="0.25">
      <c r="A108" s="1507">
        <v>5</v>
      </c>
      <c r="B108" s="1511" t="s">
        <v>368</v>
      </c>
      <c r="C108" s="1511"/>
      <c r="D108" s="1511"/>
      <c r="E108" s="1511"/>
      <c r="F108" s="1514"/>
      <c r="G108" s="1509" t="str">
        <f ca="1">G107</f>
        <v/>
      </c>
      <c r="H108" s="1512" t="s">
        <v>3197</v>
      </c>
      <c r="I108" s="92"/>
      <c r="J108" s="92"/>
      <c r="K108" s="92"/>
      <c r="L108" s="1786"/>
      <c r="M108" s="911"/>
      <c r="N108" s="935"/>
      <c r="O108" s="935"/>
      <c r="P108" s="905"/>
      <c r="Q108" s="905"/>
      <c r="R108" s="905"/>
      <c r="S108" s="905"/>
      <c r="T108" s="905"/>
      <c r="U108" s="905"/>
      <c r="V108" s="905"/>
      <c r="W108" s="248"/>
      <c r="X108" s="1632"/>
      <c r="Y108" s="1874"/>
      <c r="Z108" s="1889"/>
      <c r="AC108" s="248"/>
      <c r="AD108" s="248"/>
      <c r="AE108" s="248"/>
      <c r="AF108" s="248"/>
      <c r="AG108" s="248"/>
      <c r="AH108" s="248"/>
      <c r="AI108" s="248"/>
      <c r="AJ108" s="248"/>
      <c r="AK108" s="248"/>
      <c r="AL108" s="1352"/>
      <c r="AM108" s="1352"/>
      <c r="AN108" s="1352"/>
      <c r="AO108" s="1352"/>
      <c r="AP108" s="1352"/>
      <c r="AQ108" s="1352"/>
      <c r="AR108" s="1352"/>
      <c r="AS108" s="1352"/>
    </row>
    <row r="109" spans="1:45" ht="15" hidden="1" customHeight="1" x14ac:dyDescent="0.2">
      <c r="A109" s="1507">
        <v>5</v>
      </c>
      <c r="B109" s="1511" t="s">
        <v>368</v>
      </c>
      <c r="C109" s="1511"/>
      <c r="D109" s="1511"/>
      <c r="E109" s="1511"/>
      <c r="F109" s="1514"/>
      <c r="G109" s="1509"/>
      <c r="H109" s="1512"/>
      <c r="I109" s="92"/>
      <c r="J109" s="92"/>
      <c r="K109" s="92"/>
      <c r="L109" s="1810" t="s">
        <v>2538</v>
      </c>
      <c r="M109" s="911"/>
      <c r="N109" s="935"/>
      <c r="O109" s="935"/>
      <c r="P109" s="905"/>
      <c r="Q109" s="905"/>
      <c r="R109" s="905"/>
      <c r="S109" s="905"/>
      <c r="T109" s="905"/>
      <c r="U109" s="905"/>
      <c r="V109" s="905"/>
      <c r="W109" s="248"/>
      <c r="X109" s="1632"/>
      <c r="Y109" s="1874"/>
      <c r="Z109" s="1889"/>
      <c r="AC109" s="248"/>
      <c r="AD109" s="248"/>
      <c r="AE109" s="248"/>
      <c r="AF109" s="248"/>
      <c r="AG109" s="248"/>
      <c r="AH109" s="248"/>
      <c r="AI109" s="248"/>
      <c r="AJ109" s="248"/>
      <c r="AK109" s="248"/>
      <c r="AL109" s="1352"/>
      <c r="AM109" s="1352"/>
      <c r="AN109" s="1352"/>
      <c r="AO109" s="1352"/>
      <c r="AP109" s="1352"/>
      <c r="AQ109" s="1352"/>
      <c r="AR109" s="1352"/>
      <c r="AS109" s="1352"/>
    </row>
    <row r="110" spans="1:45" ht="16" hidden="1" thickBot="1" x14ac:dyDescent="0.25">
      <c r="A110" s="1507">
        <v>5</v>
      </c>
      <c r="B110" s="1511" t="s">
        <v>368</v>
      </c>
      <c r="C110" s="1511"/>
      <c r="D110" s="1511"/>
      <c r="E110" s="1511"/>
      <c r="F110" s="1514"/>
      <c r="G110" s="1509"/>
      <c r="H110" s="1512"/>
      <c r="I110" s="92"/>
      <c r="J110" s="92"/>
      <c r="K110" s="92"/>
      <c r="L110" s="1813"/>
      <c r="M110" s="911"/>
      <c r="N110" s="935"/>
      <c r="O110" s="935"/>
      <c r="P110" s="905"/>
      <c r="Q110" s="905"/>
      <c r="R110" s="905"/>
      <c r="S110" s="905"/>
      <c r="T110" s="905"/>
      <c r="U110" s="905"/>
      <c r="V110" s="905"/>
      <c r="W110" s="248"/>
      <c r="X110" s="1632"/>
      <c r="Y110" s="1874"/>
      <c r="Z110" s="1889"/>
      <c r="AC110" s="248"/>
      <c r="AD110" s="248"/>
      <c r="AE110" s="248"/>
      <c r="AF110" s="248"/>
      <c r="AG110" s="248"/>
      <c r="AH110" s="248"/>
      <c r="AI110" s="248"/>
      <c r="AJ110" s="248"/>
      <c r="AK110" s="248"/>
      <c r="AL110" s="1352"/>
      <c r="AM110" s="1352"/>
      <c r="AN110" s="1352"/>
      <c r="AO110" s="1352"/>
      <c r="AP110" s="1352"/>
      <c r="AQ110" s="1352"/>
      <c r="AR110" s="1352"/>
      <c r="AS110" s="1352"/>
    </row>
    <row r="111" spans="1:45" ht="16" hidden="1" thickBot="1" x14ac:dyDescent="0.25">
      <c r="A111" s="1507">
        <v>5</v>
      </c>
      <c r="B111" s="1511" t="s">
        <v>368</v>
      </c>
      <c r="C111" s="1511"/>
      <c r="D111" s="1511"/>
      <c r="E111" s="1511"/>
      <c r="F111" s="1514"/>
      <c r="G111" s="1509"/>
      <c r="H111" s="1512"/>
      <c r="I111" s="92"/>
      <c r="J111" s="92"/>
      <c r="K111" s="92"/>
      <c r="L111" s="1811"/>
      <c r="M111" s="911"/>
      <c r="N111" s="935"/>
      <c r="O111" s="935"/>
      <c r="P111" s="905"/>
      <c r="Q111" s="905"/>
      <c r="R111" s="905"/>
      <c r="S111" s="905"/>
      <c r="T111" s="905"/>
      <c r="U111" s="905"/>
      <c r="V111" s="905"/>
      <c r="W111" s="248"/>
      <c r="X111" s="1599"/>
      <c r="Y111" s="1874"/>
      <c r="Z111" s="1889"/>
      <c r="AC111" s="248"/>
      <c r="AD111" s="248"/>
      <c r="AE111" s="248"/>
      <c r="AF111" s="248"/>
      <c r="AG111" s="248"/>
      <c r="AH111" s="248"/>
      <c r="AI111" s="248"/>
      <c r="AJ111" s="248"/>
      <c r="AK111" s="248"/>
      <c r="AL111" s="1352"/>
      <c r="AM111" s="1352"/>
      <c r="AN111" s="1352"/>
      <c r="AO111" s="1352"/>
      <c r="AP111" s="1352"/>
      <c r="AQ111" s="1352"/>
      <c r="AR111" s="1352"/>
      <c r="AS111" s="1352"/>
    </row>
    <row r="112" spans="1:45" ht="15" hidden="1" customHeight="1" x14ac:dyDescent="0.2">
      <c r="A112" s="1507">
        <v>5</v>
      </c>
      <c r="B112" s="1511" t="s">
        <v>368</v>
      </c>
      <c r="C112" s="1511" t="s">
        <v>254</v>
      </c>
      <c r="D112" s="1511"/>
      <c r="E112" s="1511"/>
      <c r="F112" s="1514"/>
      <c r="G112" s="1509" t="str">
        <f>IF(N112&gt;0,"P","")</f>
        <v/>
      </c>
      <c r="H112" s="1512" t="s">
        <v>3198</v>
      </c>
      <c r="I112" s="92"/>
      <c r="J112" s="93" t="s">
        <v>254</v>
      </c>
      <c r="K112" s="103"/>
      <c r="L112" s="1789" t="s">
        <v>369</v>
      </c>
      <c r="M112" s="1623">
        <v>7</v>
      </c>
      <c r="N112" s="1619">
        <f>'11.500'!O113</f>
        <v>0</v>
      </c>
      <c r="O112" s="1619">
        <f>M112*W112</f>
        <v>0</v>
      </c>
      <c r="P112" s="905" t="b">
        <v>1</v>
      </c>
      <c r="Q112" s="905" t="b">
        <v>0</v>
      </c>
      <c r="R112" s="905" t="b">
        <v>0</v>
      </c>
      <c r="S112" s="905" t="b">
        <v>1</v>
      </c>
      <c r="T112" s="905" t="b">
        <v>0</v>
      </c>
      <c r="U112" s="905"/>
      <c r="V112" s="905"/>
      <c r="W112" s="27"/>
      <c r="X112" s="1600"/>
      <c r="Y112" s="1874" t="str">
        <f>IF(LEN('11.500'!X113)=0,"None",'11.500'!X113)</f>
        <v>None</v>
      </c>
      <c r="Z112" s="1889"/>
      <c r="AC112" s="248"/>
      <c r="AD112" s="248"/>
      <c r="AE112" s="248"/>
      <c r="AF112" s="248"/>
      <c r="AG112" s="248"/>
      <c r="AH112" s="248"/>
      <c r="AI112" s="248"/>
      <c r="AJ112" s="248"/>
      <c r="AK112" s="248"/>
      <c r="AL112" s="1352" t="str">
        <f>SUBSTITUTE(SUBSTITUTE(SUBSTITUTE("vpa"&amp;$B112&amp;$C112&amp;$D112&amp;$E112&amp;$F112,".","_"),"(","_"),")","")</f>
        <v>vpa503_4_1</v>
      </c>
      <c r="AM112" s="1352">
        <f>M112</f>
        <v>7</v>
      </c>
      <c r="AN112" s="1352" t="str">
        <f>SUBSTITUTE(SUBSTITUTE(SUBSTITUTE("vpc"&amp;$B112&amp;$C112&amp;$D112&amp;$E112&amp;$F112,".","_"),"(","_"),")","")</f>
        <v>vpc503_4_1</v>
      </c>
      <c r="AO112" s="1352">
        <f>O112</f>
        <v>0</v>
      </c>
      <c r="AP112" s="1352" t="str">
        <f>SUBSTITUTE(SUBSTITUTE(SUBSTITUTE("vch"&amp;$B112&amp;$C112&amp;$D112&amp;$E112&amp;$F112,".","_"),"(","_"),")","")</f>
        <v>vch503_4_1</v>
      </c>
      <c r="AQ112" s="1352" t="str">
        <f>IF(LEN(W112)=0,"",W112)</f>
        <v/>
      </c>
      <c r="AR112" s="1352" t="str">
        <f>SUBSTITUTE(SUBSTITUTE(SUBSTITUTE("vnt"&amp;$B112&amp;$C112&amp;$D112&amp;$E112&amp;$F112,".","_"),"(","_"),")","")</f>
        <v>vnt503_4_1</v>
      </c>
      <c r="AS112" s="1352" t="str">
        <f>IF(LEN(X112)=0,"",X112)</f>
        <v/>
      </c>
    </row>
    <row r="113" spans="1:46" ht="16" hidden="1" thickBot="1" x14ac:dyDescent="0.25">
      <c r="A113" s="1507">
        <v>5</v>
      </c>
      <c r="B113" s="1511" t="s">
        <v>368</v>
      </c>
      <c r="C113" s="1511" t="s">
        <v>254</v>
      </c>
      <c r="D113" s="1511"/>
      <c r="E113" s="1511"/>
      <c r="F113" s="1514"/>
      <c r="G113" s="1509" t="str">
        <f>G112</f>
        <v/>
      </c>
      <c r="H113" s="1512" t="s">
        <v>3198</v>
      </c>
      <c r="I113" s="92"/>
      <c r="J113" s="93"/>
      <c r="K113" s="103"/>
      <c r="L113" s="1609"/>
      <c r="M113" s="1623"/>
      <c r="N113" s="1619"/>
      <c r="O113" s="1619"/>
      <c r="P113" s="905"/>
      <c r="Q113" s="905"/>
      <c r="R113" s="905"/>
      <c r="S113" s="905"/>
      <c r="T113" s="905"/>
      <c r="U113" s="905"/>
      <c r="V113" s="905"/>
      <c r="W113" s="248"/>
      <c r="X113" s="1600"/>
      <c r="Y113" s="1874"/>
      <c r="Z113" s="1889"/>
      <c r="AC113" s="248"/>
      <c r="AD113" s="248"/>
      <c r="AE113" s="248"/>
      <c r="AF113" s="248"/>
      <c r="AG113" s="248"/>
      <c r="AH113" s="248"/>
      <c r="AI113" s="248"/>
      <c r="AJ113" s="248"/>
      <c r="AK113" s="248"/>
      <c r="AL113" s="1352"/>
      <c r="AM113" s="1352"/>
      <c r="AN113" s="1352"/>
      <c r="AO113" s="1352"/>
      <c r="AP113" s="1352"/>
      <c r="AQ113" s="1352"/>
      <c r="AR113" s="1352"/>
      <c r="AS113" s="1352"/>
    </row>
    <row r="114" spans="1:46" ht="16" hidden="1" thickBot="1" x14ac:dyDescent="0.25">
      <c r="A114" s="1507">
        <v>5</v>
      </c>
      <c r="B114" s="1511" t="s">
        <v>368</v>
      </c>
      <c r="C114" s="1511" t="s">
        <v>254</v>
      </c>
      <c r="D114" s="1511"/>
      <c r="E114" s="1511"/>
      <c r="F114" s="1514"/>
      <c r="G114" s="1509" t="str">
        <f>G113</f>
        <v/>
      </c>
      <c r="H114" s="1512" t="s">
        <v>3198</v>
      </c>
      <c r="I114" s="92"/>
      <c r="J114" s="172"/>
      <c r="K114" s="172"/>
      <c r="L114" s="1612"/>
      <c r="M114" s="1624"/>
      <c r="N114" s="1620"/>
      <c r="O114" s="1620"/>
      <c r="P114" s="905"/>
      <c r="Q114" s="905"/>
      <c r="R114" s="905"/>
      <c r="S114" s="905"/>
      <c r="T114" s="905"/>
      <c r="U114" s="905"/>
      <c r="V114" s="905"/>
      <c r="W114" s="248"/>
      <c r="X114" s="1600"/>
      <c r="Y114" s="1874"/>
      <c r="Z114" s="1889"/>
      <c r="AC114" s="248"/>
      <c r="AD114" s="248"/>
      <c r="AE114" s="248"/>
      <c r="AF114" s="248"/>
      <c r="AG114" s="248"/>
      <c r="AH114" s="248"/>
      <c r="AI114" s="248"/>
      <c r="AJ114" s="248"/>
      <c r="AK114" s="248"/>
      <c r="AL114" s="1352"/>
      <c r="AM114" s="1352"/>
      <c r="AN114" s="1352"/>
      <c r="AO114" s="1352"/>
      <c r="AP114" s="1352"/>
      <c r="AQ114" s="1352"/>
      <c r="AR114" s="1352"/>
      <c r="AS114" s="1352"/>
    </row>
    <row r="115" spans="1:46" ht="15" hidden="1" customHeight="1" x14ac:dyDescent="0.2">
      <c r="A115" s="1507">
        <v>5</v>
      </c>
      <c r="B115" s="1511" t="s">
        <v>368</v>
      </c>
      <c r="C115" s="1511" t="s">
        <v>255</v>
      </c>
      <c r="D115" s="1511"/>
      <c r="E115" s="1511"/>
      <c r="F115" s="1514"/>
      <c r="G115" s="1509" t="str">
        <f ca="1">IF(N115&gt;0,"P","")</f>
        <v/>
      </c>
      <c r="H115" s="1512" t="s">
        <v>3198</v>
      </c>
      <c r="I115" s="92"/>
      <c r="J115" s="89" t="s">
        <v>255</v>
      </c>
      <c r="K115" s="92"/>
      <c r="L115" s="1613" t="s">
        <v>370</v>
      </c>
      <c r="M115" s="911"/>
      <c r="N115" s="1637">
        <f ca="1">'11.500'!O116</f>
        <v>0</v>
      </c>
      <c r="O115" s="1669">
        <f ca="1">S115*IFERROR(INDEX({5,8,10},MATCH(W115,INDIRECT(U115))),0)</f>
        <v>0</v>
      </c>
      <c r="P115" s="905" t="b">
        <v>1</v>
      </c>
      <c r="Q115" s="905" t="b">
        <v>0</v>
      </c>
      <c r="R115" s="905" t="b">
        <v>0</v>
      </c>
      <c r="S115" s="905" t="b">
        <v>1</v>
      </c>
      <c r="T115" s="905" t="b">
        <v>0</v>
      </c>
      <c r="U115" s="905" t="str">
        <f>SUBSTITUTE(SUBSTITUTE(SUBSTITUTE("dd"&amp;B115&amp;C115&amp;D115&amp;E115&amp;F115,".","_"),"(","_"),")","")</f>
        <v>dd503_4_2</v>
      </c>
      <c r="V115" s="905"/>
      <c r="W115" s="12"/>
      <c r="X115" s="1600"/>
      <c r="Y115" s="1874" t="str">
        <f>IF(LEN('11.500'!X116)=0,"None",'11.500'!X116)</f>
        <v>None</v>
      </c>
      <c r="Z115" s="1889"/>
      <c r="AC115" s="248"/>
      <c r="AD115" s="248"/>
      <c r="AE115" s="248"/>
      <c r="AF115" s="248"/>
      <c r="AG115" s="248"/>
      <c r="AH115" s="248"/>
      <c r="AI115" s="248"/>
      <c r="AJ115" s="248"/>
      <c r="AK115" s="248"/>
      <c r="AL115" s="1352"/>
      <c r="AM115" s="1352"/>
      <c r="AN115" s="1352" t="str">
        <f>SUBSTITUTE(SUBSTITUTE(SUBSTITUTE("vpc"&amp;$B115&amp;$C115&amp;$D115&amp;$E115&amp;$F115,".","_"),"(","_"),")","")</f>
        <v>vpc503_4_2</v>
      </c>
      <c r="AO115" s="1352">
        <f ca="1">O115</f>
        <v>0</v>
      </c>
      <c r="AP115" s="1352" t="str">
        <f>SUBSTITUTE(SUBSTITUTE(SUBSTITUTE("vch"&amp;$B115&amp;$C115&amp;$D115&amp;$E115&amp;$F115,".","_"),"(","_"),")","")</f>
        <v>vch503_4_2</v>
      </c>
      <c r="AQ115" s="1352" t="str">
        <f>IF(LEN(W115)=0,"",W115)</f>
        <v/>
      </c>
      <c r="AR115" s="1352" t="str">
        <f>SUBSTITUTE(SUBSTITUTE(SUBSTITUTE("vnt"&amp;$B115&amp;$C115&amp;$D115&amp;$E115&amp;$F115,".","_"),"(","_"),")","")</f>
        <v>vnt503_4_2</v>
      </c>
      <c r="AS115" s="1352" t="str">
        <f>IF(LEN(X115)=0,"",X115)</f>
        <v/>
      </c>
    </row>
    <row r="116" spans="1:46" ht="16" hidden="1" thickBot="1" x14ac:dyDescent="0.25">
      <c r="A116" s="1507">
        <v>5</v>
      </c>
      <c r="B116" s="1511" t="s">
        <v>368</v>
      </c>
      <c r="C116" s="1511" t="s">
        <v>255</v>
      </c>
      <c r="D116" s="1511"/>
      <c r="E116" s="1511"/>
      <c r="F116" s="1514"/>
      <c r="G116" s="1509" t="str">
        <f t="shared" ref="G116:G121" ca="1" si="4">G115</f>
        <v/>
      </c>
      <c r="H116" s="1512" t="s">
        <v>3198</v>
      </c>
      <c r="I116" s="92"/>
      <c r="J116" s="92"/>
      <c r="K116" s="92"/>
      <c r="L116" s="1611"/>
      <c r="M116" s="911"/>
      <c r="N116" s="1669"/>
      <c r="O116" s="1669"/>
      <c r="P116" s="905"/>
      <c r="Q116" s="905"/>
      <c r="R116" s="905"/>
      <c r="S116" s="905"/>
      <c r="T116" s="905"/>
      <c r="U116" s="905"/>
      <c r="V116" s="905"/>
      <c r="W116" s="248"/>
      <c r="X116" s="1600"/>
      <c r="Y116" s="1874"/>
      <c r="Z116" s="1889"/>
      <c r="AC116" s="248"/>
      <c r="AD116" s="248"/>
      <c r="AE116" s="248"/>
      <c r="AF116" s="248"/>
      <c r="AG116" s="248"/>
      <c r="AH116" s="248"/>
      <c r="AI116" s="248"/>
      <c r="AJ116" s="248"/>
      <c r="AK116" s="248"/>
      <c r="AL116" s="1352"/>
      <c r="AM116" s="1352"/>
      <c r="AN116" s="1352"/>
      <c r="AO116" s="1352"/>
      <c r="AP116" s="1352"/>
      <c r="AQ116" s="1352"/>
      <c r="AR116" s="1352"/>
      <c r="AS116" s="1352"/>
    </row>
    <row r="117" spans="1:46" ht="16" hidden="1" thickBot="1" x14ac:dyDescent="0.25">
      <c r="A117" s="1507">
        <v>5</v>
      </c>
      <c r="B117" s="1511" t="s">
        <v>368</v>
      </c>
      <c r="C117" s="1511" t="s">
        <v>255</v>
      </c>
      <c r="D117" s="1511"/>
      <c r="E117" s="1511"/>
      <c r="F117" s="1514"/>
      <c r="G117" s="1509" t="str">
        <f t="shared" ca="1" si="4"/>
        <v/>
      </c>
      <c r="H117" s="1512" t="s">
        <v>3198</v>
      </c>
      <c r="I117" s="92"/>
      <c r="J117" s="92"/>
      <c r="K117" s="92"/>
      <c r="L117" s="1611"/>
      <c r="M117" s="911"/>
      <c r="N117" s="1669"/>
      <c r="O117" s="1669"/>
      <c r="P117" s="905"/>
      <c r="Q117" s="905"/>
      <c r="R117" s="905"/>
      <c r="S117" s="905"/>
      <c r="T117" s="905"/>
      <c r="U117" s="905"/>
      <c r="V117" s="905"/>
      <c r="W117" s="248"/>
      <c r="X117" s="1600"/>
      <c r="Y117" s="1874"/>
      <c r="Z117" s="1889"/>
      <c r="AC117" s="248"/>
      <c r="AD117" s="248"/>
      <c r="AE117" s="248"/>
      <c r="AF117" s="248"/>
      <c r="AG117" s="248"/>
      <c r="AH117" s="248"/>
      <c r="AI117" s="248"/>
      <c r="AJ117" s="248"/>
      <c r="AK117" s="248"/>
      <c r="AL117" s="1352"/>
      <c r="AM117" s="1352"/>
      <c r="AN117" s="1352"/>
      <c r="AO117" s="1352"/>
      <c r="AP117" s="1352"/>
      <c r="AQ117" s="1352"/>
      <c r="AR117" s="1352"/>
      <c r="AS117" s="1352"/>
    </row>
    <row r="118" spans="1:46" ht="16" hidden="1" thickBot="1" x14ac:dyDescent="0.25">
      <c r="A118" s="1507">
        <v>5</v>
      </c>
      <c r="B118" s="1511" t="s">
        <v>368</v>
      </c>
      <c r="C118" s="1511" t="s">
        <v>255</v>
      </c>
      <c r="D118" s="1511"/>
      <c r="E118" s="1511"/>
      <c r="F118" s="1514"/>
      <c r="G118" s="1509" t="str">
        <f t="shared" ca="1" si="4"/>
        <v/>
      </c>
      <c r="H118" s="1512" t="s">
        <v>3198</v>
      </c>
      <c r="I118" s="92"/>
      <c r="J118" s="92"/>
      <c r="K118" s="92"/>
      <c r="L118" s="1611"/>
      <c r="M118" s="911"/>
      <c r="N118" s="1669"/>
      <c r="O118" s="1669"/>
      <c r="P118" s="905"/>
      <c r="Q118" s="905"/>
      <c r="R118" s="905"/>
      <c r="S118" s="905"/>
      <c r="T118" s="905"/>
      <c r="U118" s="905"/>
      <c r="V118" s="905"/>
      <c r="W118" s="248"/>
      <c r="X118" s="1600"/>
      <c r="Y118" s="1874"/>
      <c r="Z118" s="1889"/>
      <c r="AC118" s="248"/>
      <c r="AD118" s="248"/>
      <c r="AE118" s="248"/>
      <c r="AF118" s="248"/>
      <c r="AG118" s="248"/>
      <c r="AH118" s="248"/>
      <c r="AI118" s="248"/>
      <c r="AJ118" s="248"/>
      <c r="AK118" s="248"/>
      <c r="AL118" s="1352"/>
      <c r="AM118" s="1352"/>
      <c r="AN118" s="1352"/>
      <c r="AO118" s="1352"/>
      <c r="AP118" s="1352"/>
      <c r="AQ118" s="1352"/>
      <c r="AR118" s="1352"/>
      <c r="AS118" s="1352"/>
    </row>
    <row r="119" spans="1:46" ht="16" hidden="1" thickBot="1" x14ac:dyDescent="0.25">
      <c r="A119" s="1507">
        <v>5</v>
      </c>
      <c r="B119" s="1511" t="s">
        <v>368</v>
      </c>
      <c r="C119" s="1511" t="s">
        <v>255</v>
      </c>
      <c r="D119" s="1511" t="s">
        <v>121</v>
      </c>
      <c r="E119" s="1511"/>
      <c r="F119" s="1514"/>
      <c r="G119" s="1509" t="str">
        <f t="shared" ca="1" si="4"/>
        <v/>
      </c>
      <c r="H119" s="1512" t="s">
        <v>3198</v>
      </c>
      <c r="I119" s="92"/>
      <c r="J119" s="92"/>
      <c r="K119" s="89" t="s">
        <v>121</v>
      </c>
      <c r="L119" s="85" t="s">
        <v>371</v>
      </c>
      <c r="M119" s="911">
        <v>5</v>
      </c>
      <c r="N119" s="935"/>
      <c r="O119" s="935"/>
      <c r="P119" s="905"/>
      <c r="Q119" s="905"/>
      <c r="R119" s="905"/>
      <c r="S119" s="905"/>
      <c r="T119" s="905"/>
      <c r="U119" s="905"/>
      <c r="V119" s="905"/>
      <c r="W119" s="248"/>
      <c r="X119" s="1600"/>
      <c r="Y119" s="1874"/>
      <c r="Z119" s="1889"/>
      <c r="AC119" s="248"/>
      <c r="AD119" s="248"/>
      <c r="AE119" s="248"/>
      <c r="AF119" s="248"/>
      <c r="AG119" s="248"/>
      <c r="AH119" s="248"/>
      <c r="AI119" s="248"/>
      <c r="AJ119" s="248"/>
      <c r="AK119" s="248"/>
      <c r="AL119" s="1352" t="str">
        <f>SUBSTITUTE(SUBSTITUTE(SUBSTITUTE("vpa"&amp;$B119&amp;$C119&amp;$D119&amp;$E119&amp;$F119,".","_"),"(","_"),")","")</f>
        <v>vpa503_4_2_a</v>
      </c>
      <c r="AM119" s="1352">
        <f>M119</f>
        <v>5</v>
      </c>
      <c r="AN119" s="1352"/>
      <c r="AO119" s="1352"/>
      <c r="AP119" s="1352"/>
      <c r="AQ119" s="1352"/>
      <c r="AR119" s="1352"/>
      <c r="AS119" s="1352"/>
    </row>
    <row r="120" spans="1:46" ht="16" hidden="1" thickBot="1" x14ac:dyDescent="0.25">
      <c r="A120" s="1507">
        <v>5</v>
      </c>
      <c r="B120" s="1511" t="s">
        <v>368</v>
      </c>
      <c r="C120" s="1511" t="s">
        <v>255</v>
      </c>
      <c r="D120" s="1511" t="s">
        <v>122</v>
      </c>
      <c r="E120" s="1511"/>
      <c r="F120" s="1514"/>
      <c r="G120" s="1509" t="str">
        <f t="shared" ca="1" si="4"/>
        <v/>
      </c>
      <c r="H120" s="1512" t="s">
        <v>3198</v>
      </c>
      <c r="I120" s="92"/>
      <c r="J120" s="92"/>
      <c r="K120" s="89" t="s">
        <v>122</v>
      </c>
      <c r="L120" s="85" t="s">
        <v>372</v>
      </c>
      <c r="M120" s="911">
        <v>8</v>
      </c>
      <c r="N120" s="935"/>
      <c r="O120" s="935"/>
      <c r="P120" s="905"/>
      <c r="Q120" s="905"/>
      <c r="R120" s="905"/>
      <c r="S120" s="905"/>
      <c r="T120" s="905"/>
      <c r="U120" s="905"/>
      <c r="V120" s="905"/>
      <c r="W120" s="248"/>
      <c r="X120" s="1600"/>
      <c r="Y120" s="1874"/>
      <c r="Z120" s="1889"/>
      <c r="AC120" s="248"/>
      <c r="AD120" s="248"/>
      <c r="AE120" s="248"/>
      <c r="AF120" s="248"/>
      <c r="AG120" s="248"/>
      <c r="AH120" s="248"/>
      <c r="AI120" s="248"/>
      <c r="AJ120" s="248"/>
      <c r="AK120" s="248"/>
      <c r="AL120" s="1352" t="str">
        <f>SUBSTITUTE(SUBSTITUTE(SUBSTITUTE("vpa"&amp;$B120&amp;$C120&amp;$D120&amp;$E120&amp;$F120,".","_"),"(","_"),")","")</f>
        <v>vpa503_4_2_b</v>
      </c>
      <c r="AM120" s="1352">
        <f>M120</f>
        <v>8</v>
      </c>
      <c r="AN120" s="1352"/>
      <c r="AO120" s="1352"/>
      <c r="AP120" s="1352"/>
      <c r="AQ120" s="1352"/>
      <c r="AR120" s="1352"/>
      <c r="AS120" s="1352"/>
    </row>
    <row r="121" spans="1:46" ht="16" hidden="1" thickBot="1" x14ac:dyDescent="0.25">
      <c r="A121" s="1507">
        <v>5</v>
      </c>
      <c r="B121" s="1511" t="s">
        <v>368</v>
      </c>
      <c r="C121" s="1511" t="s">
        <v>255</v>
      </c>
      <c r="D121" s="1511" t="s">
        <v>123</v>
      </c>
      <c r="E121" s="1511"/>
      <c r="F121" s="1514"/>
      <c r="G121" s="1509" t="str">
        <f t="shared" ca="1" si="4"/>
        <v/>
      </c>
      <c r="H121" s="1512" t="s">
        <v>3198</v>
      </c>
      <c r="I121" s="92"/>
      <c r="J121" s="172"/>
      <c r="K121" s="174" t="s">
        <v>123</v>
      </c>
      <c r="L121" s="170" t="s">
        <v>373</v>
      </c>
      <c r="M121" s="937">
        <v>10</v>
      </c>
      <c r="N121" s="909"/>
      <c r="O121" s="909"/>
      <c r="P121" s="905"/>
      <c r="Q121" s="905"/>
      <c r="R121" s="905"/>
      <c r="S121" s="905"/>
      <c r="T121" s="905"/>
      <c r="U121" s="905"/>
      <c r="V121" s="905"/>
      <c r="W121" s="248"/>
      <c r="X121" s="1600"/>
      <c r="Y121" s="1874"/>
      <c r="Z121" s="1889"/>
      <c r="AC121" s="248"/>
      <c r="AD121" s="248"/>
      <c r="AE121" s="248"/>
      <c r="AF121" s="248"/>
      <c r="AG121" s="248"/>
      <c r="AH121" s="248"/>
      <c r="AI121" s="248"/>
      <c r="AJ121" s="248"/>
      <c r="AK121" s="248"/>
      <c r="AL121" s="1352" t="str">
        <f>SUBSTITUTE(SUBSTITUTE(SUBSTITUTE("vpa"&amp;$B121&amp;$C121&amp;$D121&amp;$E121&amp;$F121,".","_"),"(","_"),")","")</f>
        <v>vpa503_4_2_c</v>
      </c>
      <c r="AM121" s="1352">
        <f>M121</f>
        <v>10</v>
      </c>
      <c r="AN121" s="1352"/>
      <c r="AO121" s="1352"/>
      <c r="AP121" s="1352"/>
      <c r="AQ121" s="1352"/>
      <c r="AR121" s="1352"/>
      <c r="AS121" s="1352"/>
    </row>
    <row r="122" spans="1:46" ht="15" hidden="1" customHeight="1" x14ac:dyDescent="0.2">
      <c r="A122" s="1507">
        <v>5</v>
      </c>
      <c r="B122" s="1511" t="s">
        <v>368</v>
      </c>
      <c r="C122" s="1511" t="s">
        <v>256</v>
      </c>
      <c r="D122" s="1511"/>
      <c r="E122" s="1511"/>
      <c r="F122" s="1514"/>
      <c r="G122" s="1509" t="str">
        <f ca="1">IF(N122&gt;0,"P","")</f>
        <v/>
      </c>
      <c r="H122" s="1512" t="s">
        <v>3197</v>
      </c>
      <c r="I122" s="103"/>
      <c r="J122" s="93" t="s">
        <v>256</v>
      </c>
      <c r="K122" s="111"/>
      <c r="L122" s="1613" t="s">
        <v>374</v>
      </c>
      <c r="M122" s="913"/>
      <c r="N122" s="1637">
        <f ca="1">'11.500'!O123</f>
        <v>0</v>
      </c>
      <c r="O122" s="1619">
        <f ca="1">S122*IFERROR(INDEX({5,8,10},MATCH(W122,INDIRECT(U122))),0)</f>
        <v>0</v>
      </c>
      <c r="P122" s="991" t="b">
        <v>1</v>
      </c>
      <c r="Q122" s="991" t="b">
        <v>1</v>
      </c>
      <c r="R122" s="991" t="b">
        <v>0</v>
      </c>
      <c r="S122" s="991" t="b">
        <v>1</v>
      </c>
      <c r="T122" s="991" t="b">
        <v>0</v>
      </c>
      <c r="U122" s="991" t="str">
        <f>SUBSTITUTE(SUBSTITUTE(SUBSTITUTE("dd"&amp;B122&amp;C122&amp;D122&amp;E122&amp;F122,".","_"),"(","_"),")","")</f>
        <v>dd503_4_3</v>
      </c>
      <c r="V122" s="991"/>
      <c r="W122" s="12"/>
      <c r="X122" s="1601"/>
      <c r="Y122" s="1881" t="str">
        <f>IF(LEN('11.500'!X123)=0,"None",'11.500'!X123)</f>
        <v>None</v>
      </c>
      <c r="Z122" s="1891"/>
      <c r="AA122" s="707" t="e">
        <f>'Photo Review'!#REF!</f>
        <v>#REF!</v>
      </c>
      <c r="AC122" s="248"/>
      <c r="AD122" s="248"/>
      <c r="AE122" s="248"/>
      <c r="AF122" s="248"/>
      <c r="AG122" s="248"/>
      <c r="AH122" s="248"/>
      <c r="AI122" s="248"/>
      <c r="AJ122" s="248"/>
      <c r="AK122" s="248"/>
      <c r="AL122" s="1352"/>
      <c r="AM122" s="1352"/>
      <c r="AN122" s="1352" t="str">
        <f>SUBSTITUTE(SUBSTITUTE(SUBSTITUTE("vpc"&amp;$B122&amp;$C122&amp;$D122&amp;$E122&amp;$F122,".","_"),"(","_"),")","")</f>
        <v>vpc503_4_3</v>
      </c>
      <c r="AO122" s="1352">
        <f ca="1">O122</f>
        <v>0</v>
      </c>
      <c r="AP122" s="1352" t="str">
        <f>SUBSTITUTE(SUBSTITUTE(SUBSTITUTE("vch"&amp;$B122&amp;$C122&amp;$D122&amp;$E122&amp;$F122,".","_"),"(","_"),")","")</f>
        <v>vch503_4_3</v>
      </c>
      <c r="AQ122" s="1352" t="str">
        <f>IF(LEN(W122)=0,"",W122)</f>
        <v/>
      </c>
      <c r="AR122" s="1352" t="str">
        <f>SUBSTITUTE(SUBSTITUTE(SUBSTITUTE("vnt"&amp;$B122&amp;$C122&amp;$D122&amp;$E122&amp;$F122,".","_"),"(","_"),")","")</f>
        <v>vnt503_4_3</v>
      </c>
      <c r="AS122" s="1352" t="str">
        <f>IF(LEN(X122)=0,"",X122)</f>
        <v/>
      </c>
    </row>
    <row r="123" spans="1:46" ht="16" hidden="1" thickBot="1" x14ac:dyDescent="0.25">
      <c r="A123" s="1507">
        <v>5</v>
      </c>
      <c r="B123" s="1511" t="s">
        <v>368</v>
      </c>
      <c r="C123" s="1511" t="s">
        <v>256</v>
      </c>
      <c r="D123" s="1511"/>
      <c r="E123" s="1511"/>
      <c r="F123" s="1514"/>
      <c r="G123" s="1509" t="str">
        <f t="shared" ref="G123:G131" ca="1" si="5">G122</f>
        <v/>
      </c>
      <c r="H123" s="1512" t="s">
        <v>3197</v>
      </c>
      <c r="I123" s="103"/>
      <c r="J123" s="103"/>
      <c r="K123" s="103"/>
      <c r="L123" s="1609"/>
      <c r="M123" s="913"/>
      <c r="N123" s="1619"/>
      <c r="O123" s="1619"/>
      <c r="P123" s="991"/>
      <c r="Q123" s="991"/>
      <c r="R123" s="991"/>
      <c r="S123" s="991"/>
      <c r="T123" s="991"/>
      <c r="U123" s="991"/>
      <c r="V123" s="991"/>
      <c r="W123" s="96"/>
      <c r="X123" s="1601"/>
      <c r="Y123" s="1881"/>
      <c r="Z123" s="1891"/>
      <c r="AC123" s="248"/>
      <c r="AD123" s="248"/>
      <c r="AE123" s="248"/>
      <c r="AF123" s="248"/>
      <c r="AG123" s="248"/>
      <c r="AH123" s="248"/>
      <c r="AI123" s="248"/>
      <c r="AJ123" s="248"/>
      <c r="AK123" s="248"/>
      <c r="AL123" s="1352"/>
      <c r="AM123" s="1352"/>
      <c r="AN123" s="1352"/>
      <c r="AO123" s="1352"/>
      <c r="AP123" s="1352"/>
      <c r="AQ123" s="1352"/>
      <c r="AR123" s="1352"/>
      <c r="AS123" s="1352"/>
    </row>
    <row r="124" spans="1:46" ht="16" hidden="1" thickBot="1" x14ac:dyDescent="0.25">
      <c r="A124" s="1507">
        <v>5</v>
      </c>
      <c r="B124" s="1511" t="s">
        <v>368</v>
      </c>
      <c r="C124" s="1511" t="s">
        <v>256</v>
      </c>
      <c r="D124" s="1511" t="s">
        <v>121</v>
      </c>
      <c r="E124" s="1511"/>
      <c r="F124" s="1514"/>
      <c r="G124" s="1509" t="str">
        <f t="shared" ca="1" si="5"/>
        <v/>
      </c>
      <c r="H124" s="1512" t="s">
        <v>3197</v>
      </c>
      <c r="I124" s="103"/>
      <c r="J124" s="103"/>
      <c r="K124" s="93" t="s">
        <v>121</v>
      </c>
      <c r="L124" s="917" t="s">
        <v>3939</v>
      </c>
      <c r="M124" s="913">
        <v>5</v>
      </c>
      <c r="N124" s="908"/>
      <c r="O124" s="908"/>
      <c r="P124" s="991"/>
      <c r="Q124" s="991"/>
      <c r="R124" s="991"/>
      <c r="S124" s="991"/>
      <c r="T124" s="991"/>
      <c r="U124" s="991"/>
      <c r="V124" s="991"/>
      <c r="W124" s="96"/>
      <c r="X124" s="1601"/>
      <c r="Y124" s="1881"/>
      <c r="Z124" s="1891"/>
      <c r="AC124" s="248"/>
      <c r="AD124" s="248"/>
      <c r="AE124" s="248"/>
      <c r="AF124" s="248"/>
      <c r="AG124" s="248"/>
      <c r="AH124" s="248"/>
      <c r="AI124" s="248"/>
      <c r="AJ124" s="248"/>
      <c r="AK124" s="248"/>
      <c r="AL124" s="1352" t="str">
        <f>SUBSTITUTE(SUBSTITUTE(SUBSTITUTE("vpa"&amp;$B124&amp;$C124&amp;$D124&amp;$E124&amp;$F124,".","_"),"(","_"),")","")</f>
        <v>vpa503_4_3_a</v>
      </c>
      <c r="AM124" s="1352">
        <f>M124</f>
        <v>5</v>
      </c>
      <c r="AN124" s="1352"/>
      <c r="AO124" s="1352"/>
      <c r="AP124" s="1352"/>
      <c r="AQ124" s="1352"/>
      <c r="AR124" s="1352"/>
      <c r="AS124" s="1352"/>
    </row>
    <row r="125" spans="1:46" ht="16" hidden="1" thickBot="1" x14ac:dyDescent="0.25">
      <c r="A125" s="1507">
        <v>5</v>
      </c>
      <c r="B125" s="1511" t="s">
        <v>368</v>
      </c>
      <c r="C125" s="1511" t="s">
        <v>256</v>
      </c>
      <c r="D125" s="1511" t="s">
        <v>122</v>
      </c>
      <c r="E125" s="1511"/>
      <c r="F125" s="1514"/>
      <c r="G125" s="1509" t="str">
        <f t="shared" ca="1" si="5"/>
        <v/>
      </c>
      <c r="H125" s="1512" t="s">
        <v>3197</v>
      </c>
      <c r="I125" s="103"/>
      <c r="J125" s="103"/>
      <c r="K125" s="93" t="s">
        <v>122</v>
      </c>
      <c r="L125" s="917" t="s">
        <v>3940</v>
      </c>
      <c r="M125" s="913">
        <v>8</v>
      </c>
      <c r="N125" s="908"/>
      <c r="O125" s="908"/>
      <c r="P125" s="991"/>
      <c r="Q125" s="991"/>
      <c r="R125" s="991"/>
      <c r="S125" s="991"/>
      <c r="T125" s="991"/>
      <c r="U125" s="991"/>
      <c r="V125" s="991"/>
      <c r="W125" s="96"/>
      <c r="X125" s="1601"/>
      <c r="Y125" s="1881"/>
      <c r="Z125" s="1891"/>
      <c r="AC125" s="248"/>
      <c r="AD125" s="248"/>
      <c r="AE125" s="248"/>
      <c r="AF125" s="248"/>
      <c r="AG125" s="248"/>
      <c r="AH125" s="248"/>
      <c r="AI125" s="248"/>
      <c r="AJ125" s="248"/>
      <c r="AK125" s="248"/>
      <c r="AL125" s="1352" t="str">
        <f>SUBSTITUTE(SUBSTITUTE(SUBSTITUTE("vpa"&amp;$B125&amp;$C125&amp;$D125&amp;$E125&amp;$F125,".","_"),"(","_"),")","")</f>
        <v>vpa503_4_3_b</v>
      </c>
      <c r="AM125" s="1352">
        <f>M125</f>
        <v>8</v>
      </c>
      <c r="AN125" s="1352"/>
      <c r="AO125" s="1352"/>
      <c r="AP125" s="1352"/>
      <c r="AQ125" s="1352"/>
      <c r="AR125" s="1352"/>
      <c r="AS125" s="1352"/>
    </row>
    <row r="126" spans="1:46" ht="16" hidden="1" thickBot="1" x14ac:dyDescent="0.25">
      <c r="A126" s="1507">
        <v>5</v>
      </c>
      <c r="B126" s="1511" t="s">
        <v>368</v>
      </c>
      <c r="C126" s="1511" t="s">
        <v>256</v>
      </c>
      <c r="D126" s="1511" t="s">
        <v>123</v>
      </c>
      <c r="E126" s="1511"/>
      <c r="F126" s="1514"/>
      <c r="G126" s="1509" t="str">
        <f t="shared" ca="1" si="5"/>
        <v/>
      </c>
      <c r="H126" s="1512" t="s">
        <v>3197</v>
      </c>
      <c r="I126" s="103"/>
      <c r="J126" s="103"/>
      <c r="K126" s="111" t="s">
        <v>123</v>
      </c>
      <c r="L126" s="917" t="s">
        <v>3941</v>
      </c>
      <c r="M126" s="913">
        <v>10</v>
      </c>
      <c r="N126" s="908"/>
      <c r="O126" s="908"/>
      <c r="P126" s="991"/>
      <c r="Q126" s="991"/>
      <c r="R126" s="991"/>
      <c r="S126" s="991"/>
      <c r="T126" s="991"/>
      <c r="U126" s="991"/>
      <c r="V126" s="991"/>
      <c r="W126" s="818"/>
      <c r="X126" s="1601"/>
      <c r="Y126" s="1881"/>
      <c r="Z126" s="1891"/>
      <c r="AC126" s="248"/>
      <c r="AD126" s="248"/>
      <c r="AE126" s="248"/>
      <c r="AF126" s="248"/>
      <c r="AG126" s="248"/>
      <c r="AH126" s="248"/>
      <c r="AI126" s="248"/>
      <c r="AJ126" s="248"/>
      <c r="AK126" s="248"/>
      <c r="AL126" s="1352" t="str">
        <f>SUBSTITUTE(SUBSTITUTE(SUBSTITUTE("vpa"&amp;$B126&amp;$C126&amp;$D126&amp;$E126&amp;$F126,".","_"),"(","_"),")","")</f>
        <v>vpa503_4_3_c</v>
      </c>
      <c r="AM126" s="1352">
        <f>M126</f>
        <v>10</v>
      </c>
      <c r="AN126" s="1352"/>
      <c r="AO126" s="1352"/>
      <c r="AP126" s="1352"/>
      <c r="AQ126" s="1352"/>
      <c r="AR126" s="1352"/>
      <c r="AS126" s="1352"/>
    </row>
    <row r="127" spans="1:46" ht="15.75" hidden="1" customHeight="1" x14ac:dyDescent="0.2">
      <c r="A127" s="1515">
        <v>5</v>
      </c>
      <c r="B127" s="1511" t="s">
        <v>368</v>
      </c>
      <c r="C127" s="1511" t="s">
        <v>256</v>
      </c>
      <c r="D127" s="1511" t="s">
        <v>3931</v>
      </c>
      <c r="E127" s="1511"/>
      <c r="F127" s="1514"/>
      <c r="G127" s="1509" t="str">
        <f ca="1">IF(N127&gt;0,"P","")</f>
        <v/>
      </c>
      <c r="H127" s="1512" t="s">
        <v>3197</v>
      </c>
      <c r="I127" s="103"/>
      <c r="J127" s="103"/>
      <c r="K127" s="111"/>
      <c r="L127" s="1634" t="s">
        <v>3943</v>
      </c>
      <c r="M127" s="1623">
        <f ca="1">S122*IFERROR(INDEX({2,4,6},MATCH(W122,INDIRECT(U122))),0)</f>
        <v>0</v>
      </c>
      <c r="N127" s="1619">
        <f ca="1">'11.500'!O128</f>
        <v>0</v>
      </c>
      <c r="O127" s="1619">
        <f ca="1">M127*S127*W127</f>
        <v>0</v>
      </c>
      <c r="P127" s="991" t="b">
        <v>1</v>
      </c>
      <c r="Q127" s="991" t="b">
        <v>1</v>
      </c>
      <c r="R127" s="991" t="b">
        <v>0</v>
      </c>
      <c r="S127" s="991" t="b">
        <f>LEN(W122)&gt;0</f>
        <v>0</v>
      </c>
      <c r="T127" s="991" t="b">
        <f>AND(W127=TRUE,LEN(W122)=0)</f>
        <v>0</v>
      </c>
      <c r="U127" s="991"/>
      <c r="V127" s="991"/>
      <c r="W127" s="119"/>
      <c r="X127" s="1599"/>
      <c r="Y127" s="1877" t="str">
        <f>IF(LEN('11.500'!X128)=0,"None",'11.500'!X128)</f>
        <v>None</v>
      </c>
      <c r="Z127" s="1599"/>
      <c r="AA127"/>
      <c r="AC127" s="1150" t="b">
        <f>OR(AD127:AE127)</f>
        <v>0</v>
      </c>
      <c r="AD127" s="1150" t="b">
        <f>T127</f>
        <v>0</v>
      </c>
      <c r="AE127"/>
      <c r="AF127"/>
      <c r="AG127"/>
      <c r="AH127"/>
      <c r="AI127"/>
      <c r="AJ127"/>
      <c r="AK127"/>
      <c r="AL127" s="1352" t="str">
        <f>SUBSTITUTE(SUBSTITUTE(SUBSTITUTE("vpa"&amp;$B127&amp;$C127&amp;$D127&amp;$E127&amp;$F127,".","_"),"(","_"),")","")</f>
        <v>vpa503_4_3_</v>
      </c>
      <c r="AM127" s="1352">
        <f ca="1">M127</f>
        <v>0</v>
      </c>
      <c r="AN127" s="1352" t="str">
        <f>SUBSTITUTE(SUBSTITUTE(SUBSTITUTE("vpc"&amp;$B127&amp;$C127&amp;$D127&amp;$E127&amp;$F127,".","_"),"(","_"),")","")</f>
        <v>vpc503_4_3_</v>
      </c>
      <c r="AO127" s="1352">
        <f ca="1">O127</f>
        <v>0</v>
      </c>
      <c r="AP127" s="1352" t="str">
        <f>SUBSTITUTE(SUBSTITUTE(SUBSTITUTE("vch"&amp;$B127&amp;$C127&amp;$D127&amp;$E127&amp;$F127,".","_"),"(","_"),")","")</f>
        <v>vch503_4_3_</v>
      </c>
      <c r="AQ127" s="1352" t="str">
        <f>IF(LEN(W127)=0,"",W127)</f>
        <v/>
      </c>
      <c r="AR127" s="1352" t="str">
        <f>SUBSTITUTE(SUBSTITUTE(SUBSTITUTE("vnt"&amp;$B127&amp;$C127&amp;$D127&amp;$E127&amp;$F127,".","_"),"(","_"),")","")</f>
        <v>vnt503_4_3_</v>
      </c>
      <c r="AS127" s="1352" t="str">
        <f>IF(LEN(X127)=0,"",X127)</f>
        <v/>
      </c>
      <c r="AT127"/>
    </row>
    <row r="128" spans="1:46" ht="16" hidden="1" thickBot="1" x14ac:dyDescent="0.25">
      <c r="A128" s="1515">
        <v>5</v>
      </c>
      <c r="B128" s="1511" t="s">
        <v>368</v>
      </c>
      <c r="C128" s="1511" t="s">
        <v>256</v>
      </c>
      <c r="D128" s="1511" t="s">
        <v>3931</v>
      </c>
      <c r="E128" s="1511"/>
      <c r="F128" s="1514"/>
      <c r="G128" s="1509" t="str">
        <f t="shared" ca="1" si="5"/>
        <v/>
      </c>
      <c r="H128" s="1512" t="s">
        <v>3197</v>
      </c>
      <c r="I128" s="103"/>
      <c r="J128" s="172"/>
      <c r="K128" s="174"/>
      <c r="L128" s="1639"/>
      <c r="M128" s="1624"/>
      <c r="N128" s="1620"/>
      <c r="O128" s="1620"/>
      <c r="P128" s="991"/>
      <c r="Q128" s="991"/>
      <c r="R128" s="991"/>
      <c r="S128" s="991"/>
      <c r="T128" s="991"/>
      <c r="U128" s="991"/>
      <c r="V128" s="991"/>
      <c r="W128" s="991"/>
      <c r="X128" s="1600"/>
      <c r="Y128" s="1874"/>
      <c r="Z128" s="1600"/>
      <c r="AA128"/>
      <c r="AC128"/>
      <c r="AD128"/>
      <c r="AE128"/>
      <c r="AF128"/>
      <c r="AG128"/>
      <c r="AH128"/>
      <c r="AI128"/>
      <c r="AJ128"/>
      <c r="AK128"/>
      <c r="AL128" s="1352"/>
      <c r="AM128" s="1352"/>
      <c r="AN128" s="1352"/>
      <c r="AO128" s="1352"/>
      <c r="AP128" s="1352"/>
      <c r="AQ128" s="1352"/>
      <c r="AR128" s="1352"/>
      <c r="AS128" s="1352"/>
      <c r="AT128"/>
    </row>
    <row r="129" spans="1:46" ht="15" hidden="1" customHeight="1" x14ac:dyDescent="0.2">
      <c r="A129" s="1515">
        <v>5</v>
      </c>
      <c r="B129" s="1511" t="s">
        <v>368</v>
      </c>
      <c r="C129" s="1511" t="s">
        <v>259</v>
      </c>
      <c r="D129" s="1511"/>
      <c r="E129" s="1511"/>
      <c r="F129" s="1514"/>
      <c r="G129" s="1509" t="str">
        <f>IF(N129&gt;0,"P","")</f>
        <v/>
      </c>
      <c r="H129" s="1512" t="s">
        <v>3197</v>
      </c>
      <c r="I129" s="103"/>
      <c r="J129" s="93" t="s">
        <v>259</v>
      </c>
      <c r="K129" s="111"/>
      <c r="L129" s="1609" t="s">
        <v>3942</v>
      </c>
      <c r="M129" s="1623">
        <v>8</v>
      </c>
      <c r="N129" s="1758">
        <f>'11.500'!O130</f>
        <v>0</v>
      </c>
      <c r="O129" s="1644">
        <f>M129*S129*W129</f>
        <v>0</v>
      </c>
      <c r="P129" s="991" t="b">
        <v>1</v>
      </c>
      <c r="Q129" s="991" t="b">
        <v>1</v>
      </c>
      <c r="R129" s="991" t="b">
        <v>0</v>
      </c>
      <c r="S129" s="464" t="b">
        <v>1</v>
      </c>
      <c r="T129" s="464" t="b">
        <v>0</v>
      </c>
      <c r="U129" s="991"/>
      <c r="V129" s="991"/>
      <c r="W129" s="27"/>
      <c r="X129" s="1632"/>
      <c r="Y129" s="1881" t="str">
        <f>IF(LEN('11.500'!X130)=0,"None",'11.500'!X130)</f>
        <v>None</v>
      </c>
      <c r="Z129" s="1632"/>
      <c r="AA129"/>
      <c r="AC129"/>
      <c r="AD129"/>
      <c r="AE129"/>
      <c r="AF129"/>
      <c r="AG129"/>
      <c r="AH129"/>
      <c r="AI129"/>
      <c r="AJ129"/>
      <c r="AK129"/>
      <c r="AL129" s="1352" t="str">
        <f>SUBSTITUTE(SUBSTITUTE(SUBSTITUTE("vpa"&amp;$B129&amp;$C129&amp;$D129&amp;$E129&amp;$F129,".","_"),"(","_"),")","")</f>
        <v>vpa503_4_4</v>
      </c>
      <c r="AM129" s="1352">
        <f>M129</f>
        <v>8</v>
      </c>
      <c r="AN129" s="1352" t="str">
        <f>SUBSTITUTE(SUBSTITUTE(SUBSTITUTE("vpc"&amp;$B129&amp;$C129&amp;$D129&amp;$E129&amp;$F129,".","_"),"(","_"),")","")</f>
        <v>vpc503_4_4</v>
      </c>
      <c r="AO129" s="1352">
        <f>O129</f>
        <v>0</v>
      </c>
      <c r="AP129" s="1352" t="str">
        <f>SUBSTITUTE(SUBSTITUTE(SUBSTITUTE("vch"&amp;$B129&amp;$C129&amp;$D129&amp;$E129&amp;$F129,".","_"),"(","_"),")","")</f>
        <v>vch503_4_4</v>
      </c>
      <c r="AQ129" s="1352" t="str">
        <f>IF(LEN(W129)=0,"",W129)</f>
        <v/>
      </c>
      <c r="AR129" s="1352" t="str">
        <f>SUBSTITUTE(SUBSTITUTE(SUBSTITUTE("vnt"&amp;$B129&amp;$C129&amp;$D129&amp;$E129&amp;$F129,".","_"),"(","_"),")","")</f>
        <v>vnt503_4_4</v>
      </c>
      <c r="AS129" s="1352" t="str">
        <f>IF(LEN(X129)=0,"",X129)</f>
        <v/>
      </c>
      <c r="AT129"/>
    </row>
    <row r="130" spans="1:46" ht="16" hidden="1" thickBot="1" x14ac:dyDescent="0.25">
      <c r="A130" s="1515">
        <v>5</v>
      </c>
      <c r="B130" s="1511" t="s">
        <v>368</v>
      </c>
      <c r="C130" s="1511" t="s">
        <v>259</v>
      </c>
      <c r="D130" s="1511"/>
      <c r="E130" s="1511"/>
      <c r="F130" s="1514"/>
      <c r="G130" s="1509" t="str">
        <f t="shared" si="5"/>
        <v/>
      </c>
      <c r="H130" s="1512" t="s">
        <v>3197</v>
      </c>
      <c r="I130" s="103"/>
      <c r="J130" s="103"/>
      <c r="K130" s="103"/>
      <c r="L130" s="1609"/>
      <c r="M130" s="1623"/>
      <c r="N130" s="1644"/>
      <c r="O130" s="1644"/>
      <c r="P130" s="991"/>
      <c r="Q130" s="991"/>
      <c r="R130" s="991"/>
      <c r="S130" s="991"/>
      <c r="T130" s="991"/>
      <c r="U130" s="991"/>
      <c r="V130" s="991"/>
      <c r="W130" s="991"/>
      <c r="X130" s="1632"/>
      <c r="Y130" s="1881"/>
      <c r="Z130" s="1632"/>
      <c r="AA130"/>
      <c r="AC130"/>
      <c r="AD130"/>
      <c r="AE130"/>
      <c r="AF130"/>
      <c r="AG130"/>
      <c r="AH130"/>
      <c r="AI130"/>
      <c r="AJ130"/>
      <c r="AK130"/>
      <c r="AL130" s="1352"/>
      <c r="AM130" s="1352"/>
      <c r="AN130" s="1352"/>
      <c r="AO130" s="1352"/>
      <c r="AP130" s="1352"/>
      <c r="AQ130" s="1352"/>
      <c r="AR130" s="1352"/>
      <c r="AS130" s="1352"/>
      <c r="AT130"/>
    </row>
    <row r="131" spans="1:46" ht="16" hidden="1" thickBot="1" x14ac:dyDescent="0.25">
      <c r="A131" s="1515">
        <v>5</v>
      </c>
      <c r="B131" s="1511" t="s">
        <v>368</v>
      </c>
      <c r="C131" s="1511" t="s">
        <v>259</v>
      </c>
      <c r="D131" s="1511"/>
      <c r="E131" s="1511"/>
      <c r="F131" s="1514"/>
      <c r="G131" s="1509" t="str">
        <f t="shared" si="5"/>
        <v/>
      </c>
      <c r="H131" s="1512" t="s">
        <v>3197</v>
      </c>
      <c r="I131" s="104"/>
      <c r="J131" s="104"/>
      <c r="K131" s="112"/>
      <c r="L131" s="1610"/>
      <c r="M131" s="1627"/>
      <c r="N131" s="1645"/>
      <c r="O131" s="1645"/>
      <c r="P131" s="100"/>
      <c r="Q131" s="100"/>
      <c r="R131" s="100"/>
      <c r="S131" s="100"/>
      <c r="T131" s="100"/>
      <c r="U131" s="100"/>
      <c r="V131" s="100"/>
      <c r="W131" s="100"/>
      <c r="X131" s="1648"/>
      <c r="Y131" s="1882"/>
      <c r="Z131" s="1648"/>
      <c r="AA131"/>
      <c r="AC131"/>
      <c r="AD131"/>
      <c r="AE131"/>
      <c r="AF131"/>
      <c r="AG131"/>
      <c r="AH131"/>
      <c r="AI131"/>
      <c r="AJ131"/>
      <c r="AK131"/>
      <c r="AL131" s="1352"/>
      <c r="AM131" s="1352"/>
      <c r="AN131" s="1352"/>
      <c r="AO131" s="1352"/>
      <c r="AP131" s="1352"/>
      <c r="AQ131" s="1352"/>
      <c r="AR131" s="1352"/>
      <c r="AS131" s="1352"/>
      <c r="AT131"/>
    </row>
    <row r="132" spans="1:46" ht="15" hidden="1" customHeight="1" thickTop="1" x14ac:dyDescent="0.2">
      <c r="A132" s="1507">
        <v>5</v>
      </c>
      <c r="B132" s="1511" t="s">
        <v>375</v>
      </c>
      <c r="C132" s="1511"/>
      <c r="D132" s="1511"/>
      <c r="E132" s="1511"/>
      <c r="F132" s="1514"/>
      <c r="G132" s="1513" t="str">
        <f ca="1">IF(COUNTIF(G136:G171,"P")&gt;0,"P","")</f>
        <v/>
      </c>
      <c r="H132" s="1512" t="s">
        <v>3199</v>
      </c>
      <c r="I132" s="136" t="s">
        <v>3491</v>
      </c>
      <c r="J132" s="92"/>
      <c r="K132" s="92"/>
      <c r="L132" s="1631" t="s">
        <v>3513</v>
      </c>
      <c r="M132" s="911"/>
      <c r="N132" s="4"/>
      <c r="O132" s="4"/>
      <c r="P132" s="905"/>
      <c r="Q132" s="905"/>
      <c r="R132" s="905"/>
      <c r="S132" s="905"/>
      <c r="T132" s="905"/>
      <c r="U132" s="905"/>
      <c r="V132" s="905"/>
      <c r="W132" s="248"/>
      <c r="X132" s="1599"/>
      <c r="Y132" s="1877" t="str">
        <f>IF(LEN('11.500'!X133)=0,"None",'11.500'!X133)</f>
        <v>None</v>
      </c>
      <c r="Z132" s="1880"/>
      <c r="AC132" s="248"/>
      <c r="AD132" s="248"/>
      <c r="AE132" s="248"/>
      <c r="AF132" s="248"/>
      <c r="AG132" s="248"/>
      <c r="AH132" s="248"/>
      <c r="AI132" s="248"/>
      <c r="AJ132" s="248"/>
      <c r="AK132" s="248"/>
      <c r="AL132" s="1352"/>
      <c r="AM132" s="1352"/>
      <c r="AN132" s="1352"/>
      <c r="AO132" s="1352"/>
      <c r="AP132" s="1352"/>
      <c r="AQ132" s="1352"/>
      <c r="AR132" s="1352" t="str">
        <f>SUBSTITUTE(SUBSTITUTE(SUBSTITUTE("vnt"&amp;$B132&amp;$C132&amp;$D132&amp;$E132&amp;$F132,".","_"),"(","_"),")","")</f>
        <v>vnt503_5</v>
      </c>
      <c r="AS132" s="1352" t="str">
        <f>IF(LEN(X132)=0,"",X132)</f>
        <v/>
      </c>
    </row>
    <row r="133" spans="1:46" ht="16" hidden="1" thickBot="1" x14ac:dyDescent="0.25">
      <c r="A133" s="1507">
        <v>5</v>
      </c>
      <c r="B133" s="1511" t="s">
        <v>375</v>
      </c>
      <c r="C133" s="1511"/>
      <c r="D133" s="1511"/>
      <c r="E133" s="1511"/>
      <c r="F133" s="1514"/>
      <c r="G133" s="1509" t="str">
        <f ca="1">G132</f>
        <v/>
      </c>
      <c r="H133" s="1512" t="s">
        <v>3199</v>
      </c>
      <c r="I133" s="92"/>
      <c r="J133" s="92"/>
      <c r="K133" s="92"/>
      <c r="L133" s="1786"/>
      <c r="M133" s="911"/>
      <c r="N133" s="4"/>
      <c r="O133" s="4"/>
      <c r="P133" s="905"/>
      <c r="Q133" s="905"/>
      <c r="R133" s="905"/>
      <c r="S133" s="905"/>
      <c r="T133" s="905"/>
      <c r="U133" s="905"/>
      <c r="V133" s="905"/>
      <c r="W133" s="248"/>
      <c r="X133" s="1600"/>
      <c r="Y133" s="1874"/>
      <c r="Z133" s="1889"/>
      <c r="AC133" s="248"/>
      <c r="AD133" s="248"/>
      <c r="AE133" s="248"/>
      <c r="AF133" s="248"/>
      <c r="AG133" s="248"/>
      <c r="AH133" s="248"/>
      <c r="AI133" s="248"/>
      <c r="AJ133" s="248"/>
      <c r="AK133" s="248"/>
      <c r="AL133" s="1352"/>
      <c r="AM133" s="1352"/>
      <c r="AN133" s="1352"/>
      <c r="AO133" s="1352"/>
      <c r="AP133" s="1352"/>
      <c r="AQ133" s="1352"/>
      <c r="AR133" s="1352"/>
      <c r="AS133" s="1352"/>
    </row>
    <row r="134" spans="1:46" ht="15" hidden="1" customHeight="1" x14ac:dyDescent="0.2">
      <c r="A134" s="1507">
        <v>5</v>
      </c>
      <c r="B134" s="1511" t="s">
        <v>375</v>
      </c>
      <c r="C134" s="1511"/>
      <c r="D134" s="1511"/>
      <c r="E134" s="1511"/>
      <c r="F134" s="1514"/>
      <c r="G134" s="1509" t="str">
        <f ca="1">G133</f>
        <v/>
      </c>
      <c r="H134" s="1512" t="s">
        <v>3199</v>
      </c>
      <c r="I134" s="92"/>
      <c r="J134" s="92"/>
      <c r="K134" s="92"/>
      <c r="L134" s="1810" t="s">
        <v>376</v>
      </c>
      <c r="M134" s="911"/>
      <c r="N134" s="4"/>
      <c r="O134" s="4"/>
      <c r="P134" s="991" t="b">
        <v>0</v>
      </c>
      <c r="Q134" s="991" t="b">
        <v>1</v>
      </c>
      <c r="R134" s="905" t="b">
        <v>0</v>
      </c>
      <c r="S134" s="905" t="b">
        <v>1</v>
      </c>
      <c r="T134" s="905" t="b">
        <v>0</v>
      </c>
      <c r="U134" s="905" t="str">
        <f>SUBSTITUTE(SUBSTITUTE(SUBSTITUTE("dd"&amp;B134&amp;C134&amp;D134&amp;E134&amp;F134,".","_"),"(","_"),")","")</f>
        <v>dd503_5</v>
      </c>
      <c r="V134" s="905"/>
      <c r="W134" s="12"/>
      <c r="X134" s="1600"/>
      <c r="Y134" s="1874"/>
      <c r="Z134" s="1889"/>
      <c r="AC134" s="248"/>
      <c r="AD134" s="248"/>
      <c r="AE134" s="248"/>
      <c r="AF134" s="248"/>
      <c r="AG134" s="248"/>
      <c r="AH134" s="248"/>
      <c r="AI134" s="248"/>
      <c r="AJ134" s="248"/>
      <c r="AK134" s="248"/>
      <c r="AL134" s="1352"/>
      <c r="AM134" s="1352"/>
      <c r="AN134" s="1352"/>
      <c r="AO134" s="1352"/>
      <c r="AP134" s="1352" t="str">
        <f>SUBSTITUTE(SUBSTITUTE(SUBSTITUTE("vch"&amp;$B134&amp;$C134&amp;$D134&amp;$E134&amp;$F134,".","_"),"(","_"),")","")</f>
        <v>vch503_5</v>
      </c>
      <c r="AQ134" s="1352" t="str">
        <f>IF(LEN(W134)=0,"",W134)</f>
        <v/>
      </c>
      <c r="AR134" s="1352"/>
      <c r="AS134" s="1352"/>
    </row>
    <row r="135" spans="1:46" ht="16" hidden="1" thickBot="1" x14ac:dyDescent="0.25">
      <c r="A135" s="1507">
        <v>5</v>
      </c>
      <c r="B135" s="1511" t="s">
        <v>375</v>
      </c>
      <c r="C135" s="1511"/>
      <c r="D135" s="1511"/>
      <c r="E135" s="1511"/>
      <c r="F135" s="1514"/>
      <c r="G135" s="1509" t="str">
        <f ca="1">G134</f>
        <v/>
      </c>
      <c r="H135" s="1512" t="s">
        <v>3199</v>
      </c>
      <c r="I135" s="92"/>
      <c r="J135" s="92"/>
      <c r="K135" s="92"/>
      <c r="L135" s="1811"/>
      <c r="M135" s="911"/>
      <c r="N135" s="4"/>
      <c r="O135" s="4"/>
      <c r="P135" s="905"/>
      <c r="Q135" s="905"/>
      <c r="R135" s="905"/>
      <c r="S135" s="905"/>
      <c r="T135" s="905"/>
      <c r="U135" s="905"/>
      <c r="V135" s="905"/>
      <c r="W135" s="248"/>
      <c r="X135" s="1600"/>
      <c r="Y135" s="1874"/>
      <c r="Z135" s="1889"/>
      <c r="AC135" s="248"/>
      <c r="AD135" s="248"/>
      <c r="AE135" s="248"/>
      <c r="AF135" s="248"/>
      <c r="AG135" s="248"/>
      <c r="AH135" s="248"/>
      <c r="AI135" s="248"/>
      <c r="AJ135" s="248"/>
      <c r="AK135" s="248"/>
      <c r="AL135" s="1352"/>
      <c r="AM135" s="1352"/>
      <c r="AN135" s="1352"/>
      <c r="AO135" s="1352"/>
      <c r="AP135" s="1352"/>
      <c r="AQ135" s="1352"/>
      <c r="AR135" s="1352"/>
      <c r="AS135" s="1352"/>
    </row>
    <row r="136" spans="1:46" ht="15" hidden="1" customHeight="1" x14ac:dyDescent="0.2">
      <c r="A136" s="1507">
        <v>5</v>
      </c>
      <c r="B136" s="1511" t="s">
        <v>375</v>
      </c>
      <c r="C136" s="1511" t="s">
        <v>254</v>
      </c>
      <c r="D136" s="1511"/>
      <c r="E136" s="1511"/>
      <c r="F136" s="1514"/>
      <c r="G136" s="1509" t="str">
        <f ca="1">IF(N136&gt;0,"P","")</f>
        <v/>
      </c>
      <c r="H136" s="1512" t="s">
        <v>3199</v>
      </c>
      <c r="I136" s="92"/>
      <c r="J136" s="89" t="s">
        <v>254</v>
      </c>
      <c r="K136" s="92"/>
      <c r="L136" s="1789" t="s">
        <v>377</v>
      </c>
      <c r="M136" s="911"/>
      <c r="N136" s="1669">
        <f ca="1">'11.500'!O137</f>
        <v>0</v>
      </c>
      <c r="O136" s="1669">
        <f ca="1">S136*IFERROR(INDEX(M138:M141,MATCH(W136,INDIRECT(U136))),0)</f>
        <v>0</v>
      </c>
      <c r="P136" s="991" t="b">
        <v>0</v>
      </c>
      <c r="Q136" s="991" t="b">
        <v>1</v>
      </c>
      <c r="R136" s="905" t="b">
        <v>0</v>
      </c>
      <c r="S136" s="905" t="b">
        <f>NOT(ISBLANK(W134))</f>
        <v>0</v>
      </c>
      <c r="T136" s="991" t="b">
        <f>AND(NOT(S136),LEN(W136)&gt;0)</f>
        <v>0</v>
      </c>
      <c r="U136" s="905" t="str">
        <f>SUBSTITUTE(SUBSTITUTE(SUBSTITUTE("dd"&amp;B136&amp;C136&amp;D136&amp;E136&amp;F136,".","_"),"(","_"),")","")</f>
        <v>dd503_5_1</v>
      </c>
      <c r="V136" s="905"/>
      <c r="W136" s="12"/>
      <c r="X136" s="1600"/>
      <c r="Y136" s="1874" t="str">
        <f>IF(LEN('11.500'!X137)=0,"None",'11.500'!X137)</f>
        <v>None</v>
      </c>
      <c r="Z136" s="1889"/>
      <c r="AC136" s="248" t="b">
        <f>OR(AD136:AE136)</f>
        <v>0</v>
      </c>
      <c r="AD136" s="248" t="b">
        <f>T136</f>
        <v>0</v>
      </c>
      <c r="AE136" s="248"/>
      <c r="AF136" s="248"/>
      <c r="AG136" s="248"/>
      <c r="AH136" s="248"/>
      <c r="AI136" s="248"/>
      <c r="AJ136" s="248"/>
      <c r="AK136" s="248"/>
      <c r="AL136" s="1352"/>
      <c r="AM136" s="1352"/>
      <c r="AN136" s="1352" t="str">
        <f>SUBSTITUTE(SUBSTITUTE(SUBSTITUTE("vpc"&amp;$B136&amp;$C136&amp;$D136&amp;$E136&amp;$F136,".","_"),"(","_"),")","")</f>
        <v>vpc503_5_1</v>
      </c>
      <c r="AO136" s="1352">
        <f ca="1">O136</f>
        <v>0</v>
      </c>
      <c r="AP136" s="1352" t="str">
        <f>SUBSTITUTE(SUBSTITUTE(SUBSTITUTE("vch"&amp;$B136&amp;$C136&amp;$D136&amp;$E136&amp;$F136,".","_"),"(","_"),")","")</f>
        <v>vch503_5_1</v>
      </c>
      <c r="AQ136" s="1352" t="str">
        <f>IF(LEN(W136)=0,"",W136)</f>
        <v/>
      </c>
      <c r="AR136" s="1352" t="str">
        <f>SUBSTITUTE(SUBSTITUTE(SUBSTITUTE("vnt"&amp;$B136&amp;$C136&amp;$D136&amp;$E136&amp;$F136,".","_"),"(","_"),")","")</f>
        <v>vnt503_5_1</v>
      </c>
      <c r="AS136" s="1352" t="str">
        <f>IF(LEN(X136)=0,"",X136)</f>
        <v/>
      </c>
    </row>
    <row r="137" spans="1:46" ht="16" hidden="1" thickBot="1" x14ac:dyDescent="0.25">
      <c r="A137" s="1507">
        <v>5</v>
      </c>
      <c r="B137" s="1511" t="s">
        <v>375</v>
      </c>
      <c r="C137" s="1511" t="s">
        <v>254</v>
      </c>
      <c r="D137" s="1511"/>
      <c r="E137" s="1511"/>
      <c r="F137" s="1514"/>
      <c r="G137" s="1509" t="str">
        <f ca="1">G136</f>
        <v/>
      </c>
      <c r="H137" s="1512" t="s">
        <v>3199</v>
      </c>
      <c r="I137" s="92"/>
      <c r="J137" s="89"/>
      <c r="K137" s="92"/>
      <c r="L137" s="1611"/>
      <c r="M137" s="911"/>
      <c r="N137" s="1669"/>
      <c r="O137" s="1669"/>
      <c r="P137" s="905"/>
      <c r="Q137" s="905"/>
      <c r="R137" s="905"/>
      <c r="S137" s="905"/>
      <c r="T137" s="905"/>
      <c r="U137" s="905"/>
      <c r="V137" s="905"/>
      <c r="W137" s="248"/>
      <c r="X137" s="1600"/>
      <c r="Y137" s="1874"/>
      <c r="Z137" s="1889"/>
      <c r="AC137" s="248"/>
      <c r="AD137" s="248"/>
      <c r="AE137" s="248"/>
      <c r="AF137" s="248"/>
      <c r="AG137" s="248"/>
      <c r="AH137" s="248"/>
      <c r="AI137" s="248"/>
      <c r="AJ137" s="248"/>
      <c r="AK137" s="248"/>
      <c r="AL137" s="1352"/>
      <c r="AM137" s="1352"/>
      <c r="AN137" s="1352"/>
      <c r="AO137" s="1352"/>
      <c r="AP137" s="1352"/>
      <c r="AQ137" s="1352"/>
      <c r="AR137" s="1352"/>
      <c r="AS137" s="1352"/>
    </row>
    <row r="138" spans="1:46" ht="16" hidden="1" thickBot="1" x14ac:dyDescent="0.25">
      <c r="A138" s="1507">
        <v>5</v>
      </c>
      <c r="B138" s="1511" t="s">
        <v>375</v>
      </c>
      <c r="C138" s="1511" t="s">
        <v>254</v>
      </c>
      <c r="D138" s="1511" t="s">
        <v>121</v>
      </c>
      <c r="E138" s="1511"/>
      <c r="F138" s="1514"/>
      <c r="G138" s="1509" t="str">
        <f ca="1">G137</f>
        <v/>
      </c>
      <c r="H138" s="1512" t="s">
        <v>3199</v>
      </c>
      <c r="I138" s="92"/>
      <c r="J138" s="92"/>
      <c r="K138" s="89" t="s">
        <v>121</v>
      </c>
      <c r="L138" s="85" t="s">
        <v>378</v>
      </c>
      <c r="M138" s="417">
        <f ca="1">4*IFERROR(INDEX({0.5,0.5,1},MATCH($W$135,INDIRECT($U$135),0)),0)</f>
        <v>0</v>
      </c>
      <c r="N138" s="935"/>
      <c r="O138" s="935"/>
      <c r="P138" s="905"/>
      <c r="Q138" s="905"/>
      <c r="R138" s="905"/>
      <c r="S138" s="905"/>
      <c r="T138" s="905"/>
      <c r="U138" s="905"/>
      <c r="V138" s="905"/>
      <c r="W138" s="248"/>
      <c r="X138" s="1600"/>
      <c r="Y138" s="1874"/>
      <c r="Z138" s="1889"/>
      <c r="AC138" s="248"/>
      <c r="AD138" s="248"/>
      <c r="AE138" s="248"/>
      <c r="AF138" s="248"/>
      <c r="AG138" s="248"/>
      <c r="AH138" s="248"/>
      <c r="AI138" s="248"/>
      <c r="AJ138" s="248"/>
      <c r="AK138" s="248"/>
      <c r="AL138" s="1352" t="str">
        <f>SUBSTITUTE(SUBSTITUTE(SUBSTITUTE("vpa"&amp;$B138&amp;$C138&amp;$D138&amp;$E138&amp;$F138,".","_"),"(","_"),")","")</f>
        <v>vpa503_5_1_a</v>
      </c>
      <c r="AM138" s="1352">
        <f ca="1">M138</f>
        <v>0</v>
      </c>
      <c r="AN138" s="1352"/>
      <c r="AO138" s="1352"/>
      <c r="AP138" s="1352"/>
      <c r="AQ138" s="1352"/>
      <c r="AR138" s="1352"/>
      <c r="AS138" s="1352"/>
    </row>
    <row r="139" spans="1:46" ht="16" hidden="1" thickBot="1" x14ac:dyDescent="0.25">
      <c r="A139" s="1507">
        <v>5</v>
      </c>
      <c r="B139" s="1511" t="s">
        <v>375</v>
      </c>
      <c r="C139" s="1511" t="s">
        <v>254</v>
      </c>
      <c r="D139" s="1511" t="s">
        <v>122</v>
      </c>
      <c r="E139" s="1511"/>
      <c r="F139" s="1514"/>
      <c r="G139" s="1509" t="str">
        <f ca="1">G138</f>
        <v/>
      </c>
      <c r="H139" s="1512" t="s">
        <v>3199</v>
      </c>
      <c r="I139" s="92"/>
      <c r="J139" s="92"/>
      <c r="K139" s="89" t="s">
        <v>122</v>
      </c>
      <c r="L139" s="85" t="s">
        <v>379</v>
      </c>
      <c r="M139" s="417">
        <f ca="1">3*IFERROR(INDEX({0.5,0.5,1},MATCH($W$135,INDIRECT($U$135),0)),0)</f>
        <v>0</v>
      </c>
      <c r="N139" s="935"/>
      <c r="O139" s="935"/>
      <c r="P139" s="905"/>
      <c r="Q139" s="905"/>
      <c r="R139" s="905"/>
      <c r="S139" s="905"/>
      <c r="T139" s="905"/>
      <c r="U139" s="905"/>
      <c r="V139" s="905"/>
      <c r="W139" s="248"/>
      <c r="X139" s="1600"/>
      <c r="Y139" s="1874"/>
      <c r="Z139" s="1889"/>
      <c r="AC139" s="248"/>
      <c r="AD139" s="248"/>
      <c r="AE139" s="248"/>
      <c r="AF139" s="248"/>
      <c r="AG139" s="248"/>
      <c r="AH139" s="248"/>
      <c r="AI139" s="248"/>
      <c r="AJ139" s="248"/>
      <c r="AK139" s="248"/>
      <c r="AL139" s="1352" t="str">
        <f>SUBSTITUTE(SUBSTITUTE(SUBSTITUTE("vpa"&amp;$B139&amp;$C139&amp;$D139&amp;$E139&amp;$F139,".","_"),"(","_"),")","")</f>
        <v>vpa503_5_1_b</v>
      </c>
      <c r="AM139" s="1352">
        <f ca="1">M139</f>
        <v>0</v>
      </c>
      <c r="AN139" s="1352"/>
      <c r="AO139" s="1352"/>
      <c r="AP139" s="1352"/>
      <c r="AQ139" s="1352"/>
      <c r="AR139" s="1352"/>
      <c r="AS139" s="1352"/>
    </row>
    <row r="140" spans="1:46" ht="16" hidden="1" thickBot="1" x14ac:dyDescent="0.25">
      <c r="A140" s="1507">
        <v>5</v>
      </c>
      <c r="B140" s="1511" t="s">
        <v>375</v>
      </c>
      <c r="C140" s="1511" t="s">
        <v>254</v>
      </c>
      <c r="D140" s="1511" t="s">
        <v>123</v>
      </c>
      <c r="E140" s="1511"/>
      <c r="F140" s="1514"/>
      <c r="G140" s="1509" t="str">
        <f ca="1">G139</f>
        <v/>
      </c>
      <c r="H140" s="1512" t="s">
        <v>3199</v>
      </c>
      <c r="I140" s="92"/>
      <c r="J140" s="92"/>
      <c r="K140" s="91" t="s">
        <v>123</v>
      </c>
      <c r="L140" s="85" t="s">
        <v>380</v>
      </c>
      <c r="M140" s="417">
        <f ca="1">2*IFERROR(INDEX({0.5,0.5,1},MATCH($W$135,INDIRECT($U$135),0)),0)</f>
        <v>0</v>
      </c>
      <c r="N140" s="935"/>
      <c r="O140" s="935"/>
      <c r="P140" s="905"/>
      <c r="Q140" s="905"/>
      <c r="R140" s="905"/>
      <c r="S140" s="905"/>
      <c r="T140" s="905"/>
      <c r="U140" s="905"/>
      <c r="V140" s="905"/>
      <c r="W140" s="248"/>
      <c r="X140" s="1600"/>
      <c r="Y140" s="1874"/>
      <c r="Z140" s="1889"/>
      <c r="AC140" s="248"/>
      <c r="AD140" s="248"/>
      <c r="AE140" s="248"/>
      <c r="AF140" s="248"/>
      <c r="AG140" s="248"/>
      <c r="AH140" s="248"/>
      <c r="AI140" s="248"/>
      <c r="AJ140" s="248"/>
      <c r="AK140" s="248"/>
      <c r="AL140" s="1352" t="str">
        <f>SUBSTITUTE(SUBSTITUTE(SUBSTITUTE("vpa"&amp;$B140&amp;$C140&amp;$D140&amp;$E140&amp;$F140,".","_"),"(","_"),")","")</f>
        <v>vpa503_5_1_c</v>
      </c>
      <c r="AM140" s="1352">
        <f ca="1">M140</f>
        <v>0</v>
      </c>
      <c r="AN140" s="1352"/>
      <c r="AO140" s="1352"/>
      <c r="AP140" s="1352"/>
      <c r="AQ140" s="1352"/>
      <c r="AR140" s="1352"/>
      <c r="AS140" s="1352"/>
    </row>
    <row r="141" spans="1:46" ht="16" hidden="1" thickBot="1" x14ac:dyDescent="0.25">
      <c r="A141" s="1507">
        <v>5</v>
      </c>
      <c r="B141" s="1511" t="s">
        <v>375</v>
      </c>
      <c r="C141" s="1511" t="s">
        <v>254</v>
      </c>
      <c r="D141" s="1511" t="s">
        <v>366</v>
      </c>
      <c r="E141" s="1511"/>
      <c r="F141" s="1514"/>
      <c r="G141" s="1509" t="str">
        <f ca="1">G140</f>
        <v/>
      </c>
      <c r="H141" s="1512" t="s">
        <v>3199</v>
      </c>
      <c r="I141" s="92"/>
      <c r="J141" s="172"/>
      <c r="K141" s="174" t="s">
        <v>366</v>
      </c>
      <c r="L141" s="170" t="s">
        <v>381</v>
      </c>
      <c r="M141" s="939">
        <f ca="1">1*IFERROR(INDEX({0.5,0.5,1},MATCH($W$135,INDIRECT($U$135),0)),0)</f>
        <v>0</v>
      </c>
      <c r="N141" s="909"/>
      <c r="O141" s="909"/>
      <c r="P141" s="905"/>
      <c r="Q141" s="905"/>
      <c r="R141" s="905"/>
      <c r="S141" s="905"/>
      <c r="T141" s="905"/>
      <c r="U141" s="905"/>
      <c r="V141" s="905"/>
      <c r="W141" s="248"/>
      <c r="X141" s="1600"/>
      <c r="Y141" s="1874"/>
      <c r="Z141" s="1889"/>
      <c r="AC141" s="248"/>
      <c r="AD141" s="248"/>
      <c r="AE141" s="248"/>
      <c r="AF141" s="248"/>
      <c r="AG141" s="248"/>
      <c r="AH141" s="248"/>
      <c r="AI141" s="248"/>
      <c r="AJ141" s="248"/>
      <c r="AK141" s="248"/>
      <c r="AL141" s="1352" t="str">
        <f>SUBSTITUTE(SUBSTITUTE(SUBSTITUTE("vpa"&amp;$B141&amp;$C141&amp;$D141&amp;$E141&amp;$F141,".","_"),"(","_"),")","")</f>
        <v>vpa503_5_1_d</v>
      </c>
      <c r="AM141" s="1352">
        <f ca="1">M141</f>
        <v>0</v>
      </c>
      <c r="AN141" s="1352"/>
      <c r="AO141" s="1352"/>
      <c r="AP141" s="1352"/>
      <c r="AQ141" s="1352"/>
      <c r="AR141" s="1352"/>
      <c r="AS141" s="1352"/>
    </row>
    <row r="142" spans="1:46" ht="15" hidden="1" customHeight="1" x14ac:dyDescent="0.2">
      <c r="A142" s="1507">
        <v>5</v>
      </c>
      <c r="B142" s="1511" t="s">
        <v>375</v>
      </c>
      <c r="C142" s="1511" t="s">
        <v>255</v>
      </c>
      <c r="D142" s="1511"/>
      <c r="E142" s="1511"/>
      <c r="F142" s="1514"/>
      <c r="G142" s="1509" t="str">
        <f ca="1">IF(N142&gt;0,"P","")</f>
        <v/>
      </c>
      <c r="H142" s="1512" t="s">
        <v>3199</v>
      </c>
      <c r="I142" s="92"/>
      <c r="J142" s="93" t="s">
        <v>255</v>
      </c>
      <c r="K142" s="103"/>
      <c r="L142" s="1613" t="s">
        <v>382</v>
      </c>
      <c r="M142" s="1671">
        <f ca="1">7*IFERROR(INDEX({0.5,0.5,1},MATCH($W$135,INDIRECT($U$135),0)),0)</f>
        <v>0</v>
      </c>
      <c r="N142" s="1637">
        <f ca="1">'11.500'!O143</f>
        <v>0</v>
      </c>
      <c r="O142" s="1619">
        <f ca="1">M142*S142*W142</f>
        <v>0</v>
      </c>
      <c r="P142" s="905" t="b">
        <v>0</v>
      </c>
      <c r="Q142" s="905" t="b">
        <v>1</v>
      </c>
      <c r="R142" s="905" t="b">
        <v>0</v>
      </c>
      <c r="S142" s="905" t="b">
        <f>NOT(ISBLANK(W134))</f>
        <v>0</v>
      </c>
      <c r="T142" s="991" t="b">
        <f>AND(NOT(S142),W142=TRUE)</f>
        <v>0</v>
      </c>
      <c r="U142" s="905"/>
      <c r="V142" s="905"/>
      <c r="W142" s="27"/>
      <c r="X142" s="1600"/>
      <c r="Y142" s="1874" t="str">
        <f>IF(LEN('11.500'!X143)=0,"None",'11.500'!X143)</f>
        <v>None</v>
      </c>
      <c r="Z142" s="1889"/>
      <c r="AA142" s="707" t="e">
        <f>'Photo Review'!#REF!</f>
        <v>#REF!</v>
      </c>
      <c r="AC142" s="248" t="b">
        <f>OR(AD142:AE142)</f>
        <v>0</v>
      </c>
      <c r="AD142" s="248" t="b">
        <f>T142</f>
        <v>0</v>
      </c>
      <c r="AE142" s="248"/>
      <c r="AF142" s="248"/>
      <c r="AG142" s="248"/>
      <c r="AH142" s="248"/>
      <c r="AI142" s="248"/>
      <c r="AJ142" s="248"/>
      <c r="AK142" s="248"/>
      <c r="AL142" s="1352" t="str">
        <f>SUBSTITUTE(SUBSTITUTE(SUBSTITUTE("vpa"&amp;$B142&amp;$C142&amp;$D142&amp;$E142&amp;$F142,".","_"),"(","_"),")","")</f>
        <v>vpa503_5_2</v>
      </c>
      <c r="AM142" s="1352">
        <f ca="1">M142</f>
        <v>0</v>
      </c>
      <c r="AN142" s="1352" t="str">
        <f>SUBSTITUTE(SUBSTITUTE(SUBSTITUTE("vpc"&amp;$B142&amp;$C142&amp;$D142&amp;$E142&amp;$F142,".","_"),"(","_"),")","")</f>
        <v>vpc503_5_2</v>
      </c>
      <c r="AO142" s="1352">
        <f ca="1">O142</f>
        <v>0</v>
      </c>
      <c r="AP142" s="1352" t="str">
        <f>SUBSTITUTE(SUBSTITUTE(SUBSTITUTE("vch"&amp;$B142&amp;$C142&amp;$D142&amp;$E142&amp;$F142,".","_"),"(","_"),")","")</f>
        <v>vch503_5_2</v>
      </c>
      <c r="AQ142" s="1352" t="str">
        <f>IF(LEN(W142)=0,"",W142)</f>
        <v/>
      </c>
      <c r="AR142" s="1352" t="str">
        <f>SUBSTITUTE(SUBSTITUTE(SUBSTITUTE("vnt"&amp;$B142&amp;$C142&amp;$D142&amp;$E142&amp;$F142,".","_"),"(","_"),")","")</f>
        <v>vnt503_5_2</v>
      </c>
      <c r="AS142" s="1352" t="str">
        <f>IF(LEN(X142)=0,"",X142)</f>
        <v/>
      </c>
    </row>
    <row r="143" spans="1:46" ht="16" hidden="1" thickBot="1" x14ac:dyDescent="0.25">
      <c r="A143" s="1507">
        <v>5</v>
      </c>
      <c r="B143" s="1511" t="s">
        <v>375</v>
      </c>
      <c r="C143" s="1511" t="s">
        <v>255</v>
      </c>
      <c r="D143" s="1511"/>
      <c r="E143" s="1511"/>
      <c r="F143" s="1514"/>
      <c r="G143" s="1509" t="str">
        <f ca="1">G142</f>
        <v/>
      </c>
      <c r="H143" s="1512" t="s">
        <v>3199</v>
      </c>
      <c r="I143" s="92"/>
      <c r="J143" s="172"/>
      <c r="K143" s="172"/>
      <c r="L143" s="1612"/>
      <c r="M143" s="1672"/>
      <c r="N143" s="1620"/>
      <c r="O143" s="1620"/>
      <c r="P143" s="905"/>
      <c r="Q143" s="905"/>
      <c r="R143" s="905"/>
      <c r="S143" s="905"/>
      <c r="T143" s="905"/>
      <c r="U143" s="905"/>
      <c r="V143" s="905"/>
      <c r="W143" s="248"/>
      <c r="X143" s="1600"/>
      <c r="Y143" s="1874"/>
      <c r="Z143" s="1889"/>
      <c r="AC143" s="248"/>
      <c r="AD143" s="248"/>
      <c r="AE143" s="248"/>
      <c r="AF143" s="248"/>
      <c r="AG143" s="248"/>
      <c r="AH143" s="248"/>
      <c r="AI143" s="248"/>
      <c r="AJ143" s="248"/>
      <c r="AK143" s="248"/>
      <c r="AL143" s="1352"/>
      <c r="AM143" s="1352"/>
      <c r="AN143" s="1352"/>
      <c r="AO143" s="1352"/>
      <c r="AP143" s="1352"/>
      <c r="AQ143" s="1352"/>
      <c r="AR143" s="1352"/>
      <c r="AS143" s="1352"/>
    </row>
    <row r="144" spans="1:46" ht="15" hidden="1" customHeight="1" x14ac:dyDescent="0.2">
      <c r="A144" s="1507">
        <v>5</v>
      </c>
      <c r="B144" s="1511" t="s">
        <v>375</v>
      </c>
      <c r="C144" s="1511" t="s">
        <v>256</v>
      </c>
      <c r="D144" s="1511"/>
      <c r="E144" s="1511"/>
      <c r="F144" s="1514"/>
      <c r="G144" s="1509" t="str">
        <f ca="1">IF(N144&gt;0,"P","")</f>
        <v/>
      </c>
      <c r="H144" s="1512" t="s">
        <v>3199</v>
      </c>
      <c r="I144" s="92"/>
      <c r="J144" s="93" t="s">
        <v>256</v>
      </c>
      <c r="K144" s="103"/>
      <c r="L144" s="1613" t="s">
        <v>3944</v>
      </c>
      <c r="M144" s="1671">
        <f ca="1">3*IFERROR(INDEX({0.5,0.5,1},MATCH($W$135,INDIRECT($U$135),0)),0)</f>
        <v>0</v>
      </c>
      <c r="N144" s="1637">
        <f ca="1">'11.500'!O145</f>
        <v>0</v>
      </c>
      <c r="O144" s="1619">
        <f ca="1">M144*S144*W144</f>
        <v>0</v>
      </c>
      <c r="P144" s="905" t="b">
        <v>0</v>
      </c>
      <c r="Q144" s="905" t="b">
        <v>1</v>
      </c>
      <c r="R144" s="905" t="b">
        <v>0</v>
      </c>
      <c r="S144" s="905" t="b">
        <f>NOT(ISBLANK(W134))</f>
        <v>0</v>
      </c>
      <c r="T144" s="991" t="b">
        <f>AND(NOT(S144),W144=TRUE)</f>
        <v>0</v>
      </c>
      <c r="U144" s="905"/>
      <c r="V144" s="905"/>
      <c r="W144" s="27"/>
      <c r="X144" s="1600"/>
      <c r="Y144" s="1874" t="str">
        <f>IF(LEN('11.500'!X145)=0,"None",'11.500'!X145)</f>
        <v>None</v>
      </c>
      <c r="Z144" s="1889"/>
      <c r="AC144" s="248" t="b">
        <f>OR(AD144:AE144)</f>
        <v>0</v>
      </c>
      <c r="AD144" s="248" t="b">
        <f>T144</f>
        <v>0</v>
      </c>
      <c r="AE144" s="248"/>
      <c r="AF144" s="248"/>
      <c r="AG144" s="248"/>
      <c r="AH144" s="248"/>
      <c r="AI144" s="248"/>
      <c r="AJ144" s="248"/>
      <c r="AK144" s="248"/>
      <c r="AL144" s="1352" t="str">
        <f>SUBSTITUTE(SUBSTITUTE(SUBSTITUTE("vpa"&amp;$B144&amp;$C144&amp;$D144&amp;$E144&amp;$F144,".","_"),"(","_"),")","")</f>
        <v>vpa503_5_3</v>
      </c>
      <c r="AM144" s="1352">
        <f ca="1">M144</f>
        <v>0</v>
      </c>
      <c r="AN144" s="1352" t="str">
        <f>SUBSTITUTE(SUBSTITUTE(SUBSTITUTE("vpc"&amp;$B144&amp;$C144&amp;$D144&amp;$E144&amp;$F144,".","_"),"(","_"),")","")</f>
        <v>vpc503_5_3</v>
      </c>
      <c r="AO144" s="1352">
        <f ca="1">O144</f>
        <v>0</v>
      </c>
      <c r="AP144" s="1352" t="str">
        <f>SUBSTITUTE(SUBSTITUTE(SUBSTITUTE("vch"&amp;$B144&amp;$C144&amp;$D144&amp;$E144&amp;$F144,".","_"),"(","_"),")","")</f>
        <v>vch503_5_3</v>
      </c>
      <c r="AQ144" s="1352" t="str">
        <f>IF(LEN(W144)=0,"",W144)</f>
        <v/>
      </c>
      <c r="AR144" s="1352" t="str">
        <f>SUBSTITUTE(SUBSTITUTE(SUBSTITUTE("vnt"&amp;$B144&amp;$C144&amp;$D144&amp;$E144&amp;$F144,".","_"),"(","_"),")","")</f>
        <v>vnt503_5_3</v>
      </c>
      <c r="AS144" s="1352" t="str">
        <f>IF(LEN(X144)=0,"",X144)</f>
        <v/>
      </c>
    </row>
    <row r="145" spans="1:46" s="905" customFormat="1" ht="16" hidden="1" thickBot="1" x14ac:dyDescent="0.25">
      <c r="A145" s="1507">
        <v>5</v>
      </c>
      <c r="B145" s="1511" t="s">
        <v>375</v>
      </c>
      <c r="C145" s="1511" t="s">
        <v>256</v>
      </c>
      <c r="D145" s="1511"/>
      <c r="E145" s="1511"/>
      <c r="F145" s="1514"/>
      <c r="G145" s="1509" t="str">
        <f ca="1">G144</f>
        <v/>
      </c>
      <c r="H145" s="1512" t="s">
        <v>3199</v>
      </c>
      <c r="I145" s="92"/>
      <c r="J145" s="93"/>
      <c r="K145" s="103"/>
      <c r="L145" s="1609"/>
      <c r="M145" s="1671"/>
      <c r="N145" s="1619"/>
      <c r="O145" s="1619"/>
      <c r="T145" s="991"/>
      <c r="W145"/>
      <c r="X145" s="1600"/>
      <c r="Y145" s="1874"/>
      <c r="Z145" s="1889"/>
      <c r="AL145" s="1352"/>
      <c r="AM145" s="1352"/>
      <c r="AN145" s="1352"/>
      <c r="AO145" s="1352"/>
      <c r="AP145" s="1352"/>
      <c r="AQ145" s="1352"/>
      <c r="AR145" s="1352"/>
      <c r="AS145" s="1352"/>
    </row>
    <row r="146" spans="1:46" ht="16" hidden="1" thickBot="1" x14ac:dyDescent="0.25">
      <c r="A146" s="1507">
        <v>5</v>
      </c>
      <c r="B146" s="1511" t="s">
        <v>375</v>
      </c>
      <c r="C146" s="1511" t="s">
        <v>256</v>
      </c>
      <c r="D146" s="1511"/>
      <c r="E146" s="1511"/>
      <c r="F146" s="1514"/>
      <c r="G146" s="1509" t="str">
        <f ca="1">G145</f>
        <v/>
      </c>
      <c r="H146" s="1512" t="s">
        <v>3199</v>
      </c>
      <c r="I146" s="92"/>
      <c r="J146" s="172"/>
      <c r="K146" s="172"/>
      <c r="L146" s="1612"/>
      <c r="M146" s="1672"/>
      <c r="N146" s="1620"/>
      <c r="O146" s="1620"/>
      <c r="P146" s="905"/>
      <c r="Q146" s="905"/>
      <c r="R146" s="905"/>
      <c r="S146" s="905"/>
      <c r="T146" s="905"/>
      <c r="U146" s="905"/>
      <c r="V146" s="905"/>
      <c r="W146" s="248"/>
      <c r="X146" s="1600"/>
      <c r="Y146" s="1874"/>
      <c r="Z146" s="1889"/>
      <c r="AC146" s="248"/>
      <c r="AD146" s="248"/>
      <c r="AE146" s="248"/>
      <c r="AF146" s="248"/>
      <c r="AG146" s="248"/>
      <c r="AH146" s="248"/>
      <c r="AI146" s="248"/>
      <c r="AJ146" s="248"/>
      <c r="AK146" s="248"/>
      <c r="AL146" s="1352"/>
      <c r="AM146" s="1352"/>
      <c r="AN146" s="1352"/>
      <c r="AO146" s="1352"/>
      <c r="AP146" s="1352"/>
      <c r="AQ146" s="1352"/>
      <c r="AR146" s="1352"/>
      <c r="AS146" s="1352"/>
    </row>
    <row r="147" spans="1:46" ht="15" hidden="1" customHeight="1" x14ac:dyDescent="0.2">
      <c r="A147" s="1507">
        <v>5</v>
      </c>
      <c r="B147" s="1511" t="s">
        <v>375</v>
      </c>
      <c r="C147" s="1511" t="s">
        <v>259</v>
      </c>
      <c r="D147" s="1511"/>
      <c r="E147" s="1511"/>
      <c r="F147" s="1514"/>
      <c r="G147" s="1509" t="str">
        <f ca="1">IF(N147&gt;0,"P","")</f>
        <v/>
      </c>
      <c r="H147" s="1512" t="s">
        <v>3199</v>
      </c>
      <c r="I147" s="92"/>
      <c r="J147" s="93" t="s">
        <v>259</v>
      </c>
      <c r="K147" s="103"/>
      <c r="L147" s="1613" t="s">
        <v>3945</v>
      </c>
      <c r="M147" s="1671">
        <f ca="1">5*IFERROR(INDEX({0.5,0.5,1},MATCH($W$135,INDIRECT($U$135),0)),0)</f>
        <v>0</v>
      </c>
      <c r="N147" s="1637">
        <f ca="1">'11.500'!O148</f>
        <v>0</v>
      </c>
      <c r="O147" s="1619">
        <f ca="1">M147*S147*W147</f>
        <v>0</v>
      </c>
      <c r="P147" s="905" t="b">
        <v>0</v>
      </c>
      <c r="Q147" s="905" t="b">
        <v>1</v>
      </c>
      <c r="R147" s="905" t="b">
        <v>0</v>
      </c>
      <c r="S147" s="905" t="b">
        <f>NOT(ISBLANK(W134))</f>
        <v>0</v>
      </c>
      <c r="T147" s="991" t="b">
        <f>AND(NOT(S147),W147=TRUE)</f>
        <v>0</v>
      </c>
      <c r="U147" s="905"/>
      <c r="V147" s="905"/>
      <c r="W147" s="27"/>
      <c r="X147" s="1600"/>
      <c r="Y147" s="1874" t="str">
        <f>IF(LEN('11.500'!X148)=0,"None",'11.500'!X148)</f>
        <v>None</v>
      </c>
      <c r="Z147" s="1889"/>
      <c r="AC147" s="248" t="b">
        <f>OR(AD147:AE147)</f>
        <v>0</v>
      </c>
      <c r="AD147" s="248" t="b">
        <f>T147</f>
        <v>0</v>
      </c>
      <c r="AE147" s="248"/>
      <c r="AF147" s="248"/>
      <c r="AG147" s="248"/>
      <c r="AH147" s="248"/>
      <c r="AI147" s="248"/>
      <c r="AJ147" s="248"/>
      <c r="AK147" s="248"/>
      <c r="AL147" s="1352" t="str">
        <f>SUBSTITUTE(SUBSTITUTE(SUBSTITUTE("vpa"&amp;$B147&amp;$C147&amp;$D147&amp;$E147&amp;$F147,".","_"),"(","_"),")","")</f>
        <v>vpa503_5_4</v>
      </c>
      <c r="AM147" s="1352">
        <f ca="1">M147</f>
        <v>0</v>
      </c>
      <c r="AN147" s="1352" t="str">
        <f>SUBSTITUTE(SUBSTITUTE(SUBSTITUTE("vpc"&amp;$B147&amp;$C147&amp;$D147&amp;$E147&amp;$F147,".","_"),"(","_"),")","")</f>
        <v>vpc503_5_4</v>
      </c>
      <c r="AO147" s="1352">
        <f ca="1">O147</f>
        <v>0</v>
      </c>
      <c r="AP147" s="1352" t="str">
        <f>SUBSTITUTE(SUBSTITUTE(SUBSTITUTE("vch"&amp;$B147&amp;$C147&amp;$D147&amp;$E147&amp;$F147,".","_"),"(","_"),")","")</f>
        <v>vch503_5_4</v>
      </c>
      <c r="AQ147" s="1352" t="str">
        <f>IF(LEN(W147)=0,"",W147)</f>
        <v/>
      </c>
      <c r="AR147" s="1352" t="str">
        <f>SUBSTITUTE(SUBSTITUTE(SUBSTITUTE("vnt"&amp;$B147&amp;$C147&amp;$D147&amp;$E147&amp;$F147,".","_"),"(","_"),")","")</f>
        <v>vnt503_5_4</v>
      </c>
      <c r="AS147" s="1352" t="str">
        <f>IF(LEN(X147)=0,"",X147)</f>
        <v/>
      </c>
    </row>
    <row r="148" spans="1:46" ht="16" hidden="1" thickBot="1" x14ac:dyDescent="0.25">
      <c r="A148" s="1507">
        <v>5</v>
      </c>
      <c r="B148" s="1511" t="s">
        <v>375</v>
      </c>
      <c r="C148" s="1511" t="s">
        <v>259</v>
      </c>
      <c r="D148" s="1511"/>
      <c r="E148" s="1511"/>
      <c r="F148" s="1514"/>
      <c r="G148" s="1509" t="str">
        <f ca="1">G147</f>
        <v/>
      </c>
      <c r="H148" s="1512" t="s">
        <v>3199</v>
      </c>
      <c r="I148" s="92"/>
      <c r="J148" s="172"/>
      <c r="K148" s="172"/>
      <c r="L148" s="1612"/>
      <c r="M148" s="1672"/>
      <c r="N148" s="1620"/>
      <c r="O148" s="1620"/>
      <c r="P148" s="905"/>
      <c r="Q148" s="905"/>
      <c r="R148" s="905"/>
      <c r="S148" s="905"/>
      <c r="T148" s="905"/>
      <c r="U148" s="905"/>
      <c r="V148" s="905"/>
      <c r="W148" s="248"/>
      <c r="X148" s="1600"/>
      <c r="Y148" s="1874"/>
      <c r="Z148" s="1889"/>
      <c r="AC148" s="248"/>
      <c r="AD148" s="248"/>
      <c r="AE148" s="248"/>
      <c r="AF148" s="248"/>
      <c r="AG148" s="248"/>
      <c r="AH148" s="248"/>
      <c r="AI148" s="248"/>
      <c r="AJ148" s="248"/>
      <c r="AK148" s="248"/>
      <c r="AL148" s="1352"/>
      <c r="AM148" s="1352"/>
      <c r="AN148" s="1352"/>
      <c r="AO148" s="1352"/>
      <c r="AP148" s="1352"/>
      <c r="AQ148" s="1352"/>
      <c r="AR148" s="1352"/>
      <c r="AS148" s="1352"/>
    </row>
    <row r="149" spans="1:46" ht="15" hidden="1" customHeight="1" x14ac:dyDescent="0.2">
      <c r="A149" s="1515">
        <v>5</v>
      </c>
      <c r="B149" s="1511" t="s">
        <v>375</v>
      </c>
      <c r="C149" s="1511" t="s">
        <v>263</v>
      </c>
      <c r="D149" s="1511"/>
      <c r="E149" s="1511"/>
      <c r="F149" s="1514"/>
      <c r="G149" s="1509" t="str">
        <f ca="1">IF(N149&gt;0,"P","")</f>
        <v/>
      </c>
      <c r="H149" s="1512" t="s">
        <v>3199</v>
      </c>
      <c r="I149" s="905"/>
      <c r="J149" s="860" t="s">
        <v>263</v>
      </c>
      <c r="K149" s="865"/>
      <c r="L149" s="1649" t="s">
        <v>3946</v>
      </c>
      <c r="M149" s="1684">
        <f ca="1">3*IFERROR(INDEX({0.5,0.5,1},MATCH($W$135,INDIRECT($U$135),0)),0)</f>
        <v>0</v>
      </c>
      <c r="N149" s="1637">
        <f ca="1">'11.500'!O150</f>
        <v>0</v>
      </c>
      <c r="O149" s="1619">
        <f ca="1">M149*S149*W149</f>
        <v>0</v>
      </c>
      <c r="P149" s="905" t="b">
        <v>0</v>
      </c>
      <c r="Q149" s="905" t="b">
        <v>1</v>
      </c>
      <c r="R149" s="905" t="b">
        <v>0</v>
      </c>
      <c r="S149" s="905" t="b">
        <f>NOT(ISBLANK(W134))</f>
        <v>0</v>
      </c>
      <c r="T149" s="991" t="b">
        <f>AND(NOT(S149),W149=TRUE)</f>
        <v>0</v>
      </c>
      <c r="U149" s="905"/>
      <c r="V149" s="905"/>
      <c r="W149" s="27"/>
      <c r="X149" s="1621"/>
      <c r="Y149" s="1874" t="str">
        <f>IF(LEN('11.500'!X150)=0,"None",'11.500'!X150)</f>
        <v>None</v>
      </c>
      <c r="Z149" s="1621"/>
      <c r="AA149"/>
      <c r="AC149" s="1150" t="b">
        <f>OR(AD149:AE149)</f>
        <v>0</v>
      </c>
      <c r="AD149" s="1150" t="b">
        <f>T149</f>
        <v>0</v>
      </c>
      <c r="AE149"/>
      <c r="AF149"/>
      <c r="AG149"/>
      <c r="AH149"/>
      <c r="AI149"/>
      <c r="AJ149"/>
      <c r="AK149"/>
      <c r="AL149" s="1352" t="str">
        <f>SUBSTITUTE(SUBSTITUTE(SUBSTITUTE("vpa"&amp;$B149&amp;$C149&amp;$D149&amp;$E149&amp;$F149,".","_"),"(","_"),")","")</f>
        <v>vpa503_5_5</v>
      </c>
      <c r="AM149" s="1352">
        <f ca="1">M149</f>
        <v>0</v>
      </c>
      <c r="AN149" s="1352" t="str">
        <f>SUBSTITUTE(SUBSTITUTE(SUBSTITUTE("vpc"&amp;$B149&amp;$C149&amp;$D149&amp;$E149&amp;$F149,".","_"),"(","_"),")","")</f>
        <v>vpc503_5_5</v>
      </c>
      <c r="AO149" s="1352">
        <f ca="1">O149</f>
        <v>0</v>
      </c>
      <c r="AP149" s="1352" t="str">
        <f>SUBSTITUTE(SUBSTITUTE(SUBSTITUTE("vch"&amp;$B149&amp;$C149&amp;$D149&amp;$E149&amp;$F149,".","_"),"(","_"),")","")</f>
        <v>vch503_5_5</v>
      </c>
      <c r="AQ149" s="1352" t="str">
        <f>IF(LEN(W149)=0,"",W149)</f>
        <v/>
      </c>
      <c r="AR149" s="1352" t="str">
        <f>SUBSTITUTE(SUBSTITUTE(SUBSTITUTE("vnt"&amp;$B149&amp;$C149&amp;$D149&amp;$E149&amp;$F149,".","_"),"(","_"),")","")</f>
        <v>vnt503_5_5</v>
      </c>
      <c r="AS149" s="1352" t="str">
        <f>IF(LEN(X149)=0,"",X149)</f>
        <v/>
      </c>
      <c r="AT149"/>
    </row>
    <row r="150" spans="1:46" ht="16" hidden="1" thickBot="1" x14ac:dyDescent="0.25">
      <c r="A150" s="1515">
        <v>5</v>
      </c>
      <c r="B150" s="1511" t="s">
        <v>375</v>
      </c>
      <c r="C150" s="1511" t="s">
        <v>263</v>
      </c>
      <c r="D150" s="1511"/>
      <c r="E150" s="1511"/>
      <c r="F150" s="1514"/>
      <c r="G150" s="1509" t="str">
        <f ca="1">G149</f>
        <v/>
      </c>
      <c r="H150" s="1512" t="s">
        <v>3199</v>
      </c>
      <c r="I150" s="905"/>
      <c r="J150" s="172"/>
      <c r="K150" s="172"/>
      <c r="L150" s="1650"/>
      <c r="M150" s="1672"/>
      <c r="N150" s="1620"/>
      <c r="O150" s="1620"/>
      <c r="P150" s="905"/>
      <c r="Q150" s="905"/>
      <c r="R150" s="905"/>
      <c r="S150" s="905"/>
      <c r="T150" s="905"/>
      <c r="U150" s="905"/>
      <c r="V150" s="905"/>
      <c r="W150"/>
      <c r="X150" s="1599"/>
      <c r="Y150" s="1874"/>
      <c r="Z150" s="1599"/>
      <c r="AA150"/>
      <c r="AC150"/>
      <c r="AD150"/>
      <c r="AE150"/>
      <c r="AF150"/>
      <c r="AG150"/>
      <c r="AH150"/>
      <c r="AI150"/>
      <c r="AJ150"/>
      <c r="AK150"/>
      <c r="AL150" s="1352"/>
      <c r="AM150" s="1352"/>
      <c r="AN150" s="1352"/>
      <c r="AO150" s="1352"/>
      <c r="AP150" s="1352"/>
      <c r="AQ150" s="1352"/>
      <c r="AR150" s="1352"/>
      <c r="AS150" s="1352"/>
      <c r="AT150"/>
    </row>
    <row r="151" spans="1:46" ht="16" hidden="1" thickBot="1" x14ac:dyDescent="0.25">
      <c r="A151" s="1507">
        <v>5</v>
      </c>
      <c r="B151" s="1511" t="s">
        <v>375</v>
      </c>
      <c r="C151" s="1511" t="s">
        <v>264</v>
      </c>
      <c r="D151" s="1511"/>
      <c r="E151" s="1511"/>
      <c r="F151" s="1514"/>
      <c r="G151" s="1509" t="str">
        <f ca="1">IF(N151&gt;0,"P","")</f>
        <v/>
      </c>
      <c r="H151" s="1512" t="s">
        <v>3199</v>
      </c>
      <c r="I151" s="92"/>
      <c r="J151" s="89" t="s">
        <v>264</v>
      </c>
      <c r="K151" s="92"/>
      <c r="L151" s="85" t="s">
        <v>3784</v>
      </c>
      <c r="M151" s="417"/>
      <c r="N151" s="935">
        <f ca="1">'11.500'!O152</f>
        <v>0</v>
      </c>
      <c r="O151" s="935">
        <f ca="1">S151*IFERROR(INDEX(M152:M155,MATCH(W151,INDIRECT(U151))),0)</f>
        <v>0</v>
      </c>
      <c r="P151" s="905" t="b">
        <v>0</v>
      </c>
      <c r="Q151" s="905" t="b">
        <v>1</v>
      </c>
      <c r="R151" s="905" t="b">
        <v>0</v>
      </c>
      <c r="S151" s="905" t="b">
        <f>NOT(ISBLANK(W134))</f>
        <v>0</v>
      </c>
      <c r="T151" s="991" t="b">
        <f>AND(NOT(S151),LEN(W151)&gt;0)</f>
        <v>0</v>
      </c>
      <c r="U151" s="905" t="str">
        <f>SUBSTITUTE(SUBSTITUTE(SUBSTITUTE("dd"&amp;B151&amp;C151&amp;D151&amp;E151&amp;F151,".","_"),"(","_"),")","")</f>
        <v>dd503_5_6</v>
      </c>
      <c r="V151" s="905"/>
      <c r="W151" s="12"/>
      <c r="X151" s="1600"/>
      <c r="Y151" s="1874" t="str">
        <f>IF(LEN('11.500'!X152)=0,"None",'11.500'!X152)</f>
        <v>None</v>
      </c>
      <c r="Z151" s="1889"/>
      <c r="AA151" s="707" t="e">
        <f>'Photo Review'!#REF!</f>
        <v>#REF!</v>
      </c>
      <c r="AC151" s="248" t="b">
        <f>OR(AD151:AE151)</f>
        <v>0</v>
      </c>
      <c r="AD151" s="248" t="b">
        <f>T151</f>
        <v>0</v>
      </c>
      <c r="AE151" s="248"/>
      <c r="AF151" s="248"/>
      <c r="AG151" s="248"/>
      <c r="AH151" s="248"/>
      <c r="AI151" s="248"/>
      <c r="AJ151" s="248"/>
      <c r="AK151" s="248"/>
      <c r="AL151" s="1352"/>
      <c r="AM151" s="1352"/>
      <c r="AN151" s="1352" t="str">
        <f>SUBSTITUTE(SUBSTITUTE(SUBSTITUTE("vpc"&amp;$B151&amp;$C151&amp;$D151&amp;$E151&amp;$F151,".","_"),"(","_"),")","")</f>
        <v>vpc503_5_6</v>
      </c>
      <c r="AO151" s="1352">
        <f ca="1">O151</f>
        <v>0</v>
      </c>
      <c r="AP151" s="1352" t="str">
        <f>SUBSTITUTE(SUBSTITUTE(SUBSTITUTE("vch"&amp;$B151&amp;$C151&amp;$D151&amp;$E151&amp;$F151,".","_"),"(","_"),")","")</f>
        <v>vch503_5_6</v>
      </c>
      <c r="AQ151" s="1352" t="str">
        <f>IF(LEN(W151)=0,"",W151)</f>
        <v/>
      </c>
      <c r="AR151" s="1352" t="str">
        <f>SUBSTITUTE(SUBSTITUTE(SUBSTITUTE("vnt"&amp;$B151&amp;$C151&amp;$D151&amp;$E151&amp;$F151,".","_"),"(","_"),")","")</f>
        <v>vnt503_5_6</v>
      </c>
      <c r="AS151" s="1352" t="str">
        <f>IF(LEN(X151)=0,"",X151)</f>
        <v/>
      </c>
    </row>
    <row r="152" spans="1:46" ht="16" hidden="1" thickBot="1" x14ac:dyDescent="0.25">
      <c r="A152" s="1507">
        <v>5</v>
      </c>
      <c r="B152" s="1511" t="s">
        <v>375</v>
      </c>
      <c r="C152" s="1511" t="s">
        <v>264</v>
      </c>
      <c r="D152" s="1511" t="s">
        <v>121</v>
      </c>
      <c r="E152" s="1511"/>
      <c r="F152" s="1514"/>
      <c r="G152" s="1509" t="str">
        <f ca="1">G151</f>
        <v/>
      </c>
      <c r="H152" s="1512" t="s">
        <v>3199</v>
      </c>
      <c r="I152" s="92"/>
      <c r="J152" s="92"/>
      <c r="K152" s="89" t="s">
        <v>121</v>
      </c>
      <c r="L152" s="85" t="s">
        <v>383</v>
      </c>
      <c r="M152" s="417">
        <f ca="1">5*IFERROR(INDEX({0.5,0.5,1},MATCH($W$135,INDIRECT($U$135),0)),0)</f>
        <v>0</v>
      </c>
      <c r="N152" s="935"/>
      <c r="O152" s="935"/>
      <c r="P152" s="905"/>
      <c r="Q152" s="905"/>
      <c r="R152" s="905"/>
      <c r="S152" s="905"/>
      <c r="T152" s="905"/>
      <c r="U152" s="905"/>
      <c r="V152" s="905"/>
      <c r="W152" s="248"/>
      <c r="X152" s="1600"/>
      <c r="Y152" s="1874"/>
      <c r="Z152" s="1889"/>
      <c r="AC152" s="248"/>
      <c r="AD152" s="248"/>
      <c r="AE152" s="248"/>
      <c r="AF152" s="248"/>
      <c r="AG152" s="248"/>
      <c r="AH152" s="248"/>
      <c r="AI152" s="248"/>
      <c r="AJ152" s="248"/>
      <c r="AK152" s="248"/>
      <c r="AL152" s="1352" t="str">
        <f t="shared" ref="AL152:AL157" si="6">SUBSTITUTE(SUBSTITUTE(SUBSTITUTE("vpa"&amp;$B152&amp;$C152&amp;$D152&amp;$E152&amp;$F152,".","_"),"(","_"),")","")</f>
        <v>vpa503_5_6_a</v>
      </c>
      <c r="AM152" s="1352">
        <f t="shared" ref="AM152:AM157" ca="1" si="7">M152</f>
        <v>0</v>
      </c>
      <c r="AN152" s="1352"/>
      <c r="AO152" s="1352"/>
      <c r="AP152" s="1352"/>
      <c r="AQ152" s="1352"/>
      <c r="AR152" s="1352"/>
      <c r="AS152" s="1352"/>
    </row>
    <row r="153" spans="1:46" ht="16" hidden="1" thickBot="1" x14ac:dyDescent="0.25">
      <c r="A153" s="1507">
        <v>5</v>
      </c>
      <c r="B153" s="1511" t="s">
        <v>375</v>
      </c>
      <c r="C153" s="1511" t="s">
        <v>264</v>
      </c>
      <c r="D153" s="1511" t="s">
        <v>122</v>
      </c>
      <c r="E153" s="1511"/>
      <c r="F153" s="1514"/>
      <c r="G153" s="1509" t="str">
        <f ca="1">G152</f>
        <v/>
      </c>
      <c r="H153" s="1512" t="s">
        <v>3199</v>
      </c>
      <c r="I153" s="92"/>
      <c r="J153" s="92"/>
      <c r="K153" s="89" t="s">
        <v>122</v>
      </c>
      <c r="L153" s="85" t="s">
        <v>384</v>
      </c>
      <c r="M153" s="417">
        <f ca="1">4*IFERROR(INDEX({0.5,0.5,1},MATCH($W$135,INDIRECT($U$135),0)),0)</f>
        <v>0</v>
      </c>
      <c r="N153" s="935"/>
      <c r="O153" s="935"/>
      <c r="P153" s="905"/>
      <c r="Q153" s="905"/>
      <c r="R153" s="905"/>
      <c r="S153" s="905"/>
      <c r="T153" s="905"/>
      <c r="U153" s="905"/>
      <c r="V153" s="905"/>
      <c r="W153" s="248"/>
      <c r="X153" s="1600"/>
      <c r="Y153" s="1874"/>
      <c r="Z153" s="1889"/>
      <c r="AC153" s="248"/>
      <c r="AD153" s="248"/>
      <c r="AE153" s="248"/>
      <c r="AF153" s="248"/>
      <c r="AG153" s="248"/>
      <c r="AH153" s="248"/>
      <c r="AI153" s="248"/>
      <c r="AJ153" s="248"/>
      <c r="AK153" s="248"/>
      <c r="AL153" s="1352" t="str">
        <f t="shared" si="6"/>
        <v>vpa503_5_6_b</v>
      </c>
      <c r="AM153" s="1352">
        <f t="shared" ca="1" si="7"/>
        <v>0</v>
      </c>
      <c r="AN153" s="1352"/>
      <c r="AO153" s="1352"/>
      <c r="AP153" s="1352"/>
      <c r="AQ153" s="1352"/>
      <c r="AR153" s="1352"/>
      <c r="AS153" s="1352"/>
    </row>
    <row r="154" spans="1:46" ht="16" hidden="1" thickBot="1" x14ac:dyDescent="0.25">
      <c r="A154" s="1507">
        <v>5</v>
      </c>
      <c r="B154" s="1511" t="s">
        <v>375</v>
      </c>
      <c r="C154" s="1511" t="s">
        <v>264</v>
      </c>
      <c r="D154" s="1511" t="s">
        <v>123</v>
      </c>
      <c r="E154" s="1511"/>
      <c r="F154" s="1514"/>
      <c r="G154" s="1509" t="str">
        <f ca="1">G153</f>
        <v/>
      </c>
      <c r="H154" s="1512" t="s">
        <v>3199</v>
      </c>
      <c r="I154" s="92"/>
      <c r="J154" s="92"/>
      <c r="K154" s="91" t="s">
        <v>123</v>
      </c>
      <c r="L154" s="85" t="s">
        <v>385</v>
      </c>
      <c r="M154" s="417">
        <f ca="1">3*IFERROR(INDEX({0.5,0.5,1},MATCH($W$135,INDIRECT($U$135),0)),0)</f>
        <v>0</v>
      </c>
      <c r="N154" s="935"/>
      <c r="O154" s="935"/>
      <c r="P154" s="905"/>
      <c r="Q154" s="905"/>
      <c r="R154" s="905"/>
      <c r="S154" s="905"/>
      <c r="T154" s="905"/>
      <c r="U154" s="905"/>
      <c r="V154" s="905"/>
      <c r="W154" s="248"/>
      <c r="X154" s="1600"/>
      <c r="Y154" s="1874"/>
      <c r="Z154" s="1889"/>
      <c r="AC154" s="248"/>
      <c r="AD154" s="248"/>
      <c r="AE154" s="248"/>
      <c r="AF154" s="248"/>
      <c r="AG154" s="248"/>
      <c r="AH154" s="248"/>
      <c r="AI154" s="248"/>
      <c r="AJ154" s="248"/>
      <c r="AK154" s="248"/>
      <c r="AL154" s="1352" t="str">
        <f t="shared" si="6"/>
        <v>vpa503_5_6_c</v>
      </c>
      <c r="AM154" s="1352">
        <f t="shared" ca="1" si="7"/>
        <v>0</v>
      </c>
      <c r="AN154" s="1352"/>
      <c r="AO154" s="1352"/>
      <c r="AP154" s="1352"/>
      <c r="AQ154" s="1352"/>
      <c r="AR154" s="1352"/>
      <c r="AS154" s="1352"/>
    </row>
    <row r="155" spans="1:46" ht="16" hidden="1" thickBot="1" x14ac:dyDescent="0.25">
      <c r="A155" s="1507">
        <v>5</v>
      </c>
      <c r="B155" s="1511" t="s">
        <v>375</v>
      </c>
      <c r="C155" s="1511" t="s">
        <v>264</v>
      </c>
      <c r="D155" s="1511" t="s">
        <v>366</v>
      </c>
      <c r="E155" s="1511"/>
      <c r="F155" s="1514"/>
      <c r="G155" s="1509" t="str">
        <f ca="1">G154</f>
        <v/>
      </c>
      <c r="H155" s="1512" t="s">
        <v>3199</v>
      </c>
      <c r="I155" s="92"/>
      <c r="J155" s="172"/>
      <c r="K155" s="174" t="s">
        <v>366</v>
      </c>
      <c r="L155" s="170" t="s">
        <v>386</v>
      </c>
      <c r="M155" s="939">
        <f ca="1">2*IFERROR(INDEX({0.5,0.5,1},MATCH($W$135,INDIRECT($U$135),0)),0)</f>
        <v>0</v>
      </c>
      <c r="N155" s="909"/>
      <c r="O155" s="909"/>
      <c r="P155" s="905"/>
      <c r="Q155" s="905"/>
      <c r="R155" s="905"/>
      <c r="S155" s="905"/>
      <c r="T155" s="905"/>
      <c r="U155" s="905"/>
      <c r="V155" s="905"/>
      <c r="W155" s="248"/>
      <c r="X155" s="1600"/>
      <c r="Y155" s="1874"/>
      <c r="Z155" s="1889"/>
      <c r="AC155" s="248"/>
      <c r="AD155" s="248"/>
      <c r="AE155" s="248"/>
      <c r="AF155" s="248"/>
      <c r="AG155" s="248"/>
      <c r="AH155" s="248"/>
      <c r="AI155" s="248"/>
      <c r="AJ155" s="248"/>
      <c r="AK155" s="248"/>
      <c r="AL155" s="1352" t="str">
        <f t="shared" si="6"/>
        <v>vpa503_5_6_d</v>
      </c>
      <c r="AM155" s="1352">
        <f t="shared" ca="1" si="7"/>
        <v>0</v>
      </c>
      <c r="AN155" s="1352"/>
      <c r="AO155" s="1352"/>
      <c r="AP155" s="1352"/>
      <c r="AQ155" s="1352"/>
      <c r="AR155" s="1352"/>
      <c r="AS155" s="1352"/>
    </row>
    <row r="156" spans="1:46" ht="17" hidden="1" thickBot="1" x14ac:dyDescent="0.25">
      <c r="A156" s="1507">
        <v>5</v>
      </c>
      <c r="B156" s="1511" t="s">
        <v>375</v>
      </c>
      <c r="C156" s="1511" t="s">
        <v>356</v>
      </c>
      <c r="D156" s="1511"/>
      <c r="E156" s="1511"/>
      <c r="F156" s="1514"/>
      <c r="G156" s="1509" t="str">
        <f ca="1">IF(N156&gt;0,"P","")</f>
        <v/>
      </c>
      <c r="H156" s="1512" t="s">
        <v>3199</v>
      </c>
      <c r="I156" s="92"/>
      <c r="J156" s="169" t="s">
        <v>356</v>
      </c>
      <c r="K156" s="172"/>
      <c r="L156" s="170" t="s">
        <v>387</v>
      </c>
      <c r="M156" s="939">
        <f ca="1">5*IFERROR(INDEX({0.5,0.5,1},MATCH($W$135,INDIRECT($U$135),0)),0)</f>
        <v>0</v>
      </c>
      <c r="N156" s="909">
        <f ca="1">'11.500'!O157</f>
        <v>0</v>
      </c>
      <c r="O156" s="909">
        <f ca="1">M156*S156*W156</f>
        <v>0</v>
      </c>
      <c r="P156" s="905" t="b">
        <v>0</v>
      </c>
      <c r="Q156" s="905" t="b">
        <v>1</v>
      </c>
      <c r="R156" s="905" t="b">
        <v>0</v>
      </c>
      <c r="S156" s="905" t="b">
        <f>NOT(ISBLANK(W134))</f>
        <v>0</v>
      </c>
      <c r="T156" s="991" t="b">
        <f>AND(NOT(S156),W156=TRUE)</f>
        <v>0</v>
      </c>
      <c r="U156" s="905"/>
      <c r="V156" s="905"/>
      <c r="W156" s="27"/>
      <c r="X156" s="249"/>
      <c r="Y156" s="267" t="str">
        <f>IF(LEN('11.500'!X157)=0,"None",'11.500'!X157)</f>
        <v>None</v>
      </c>
      <c r="Z156" s="715"/>
      <c r="AA156" s="707" t="e">
        <f>'Photo Review'!#REF!</f>
        <v>#REF!</v>
      </c>
      <c r="AC156" s="248" t="b">
        <f>OR(AD156:AE156)</f>
        <v>0</v>
      </c>
      <c r="AD156" s="248" t="b">
        <f>T156</f>
        <v>0</v>
      </c>
      <c r="AE156" s="248"/>
      <c r="AF156" s="248"/>
      <c r="AG156" s="248"/>
      <c r="AH156" s="248"/>
      <c r="AI156" s="248"/>
      <c r="AJ156" s="248"/>
      <c r="AK156" s="248"/>
      <c r="AL156" s="1352" t="str">
        <f t="shared" si="6"/>
        <v>vpa503_5_7</v>
      </c>
      <c r="AM156" s="1352">
        <f t="shared" ca="1" si="7"/>
        <v>0</v>
      </c>
      <c r="AN156" s="1352" t="str">
        <f>SUBSTITUTE(SUBSTITUTE(SUBSTITUTE("vpc"&amp;$B156&amp;$C156&amp;$D156&amp;$E156&amp;$F156,".","_"),"(","_"),")","")</f>
        <v>vpc503_5_7</v>
      </c>
      <c r="AO156" s="1352">
        <f ca="1">O156</f>
        <v>0</v>
      </c>
      <c r="AP156" s="1352" t="str">
        <f>SUBSTITUTE(SUBSTITUTE(SUBSTITUTE("vch"&amp;$B156&amp;$C156&amp;$D156&amp;$E156&amp;$F156,".","_"),"(","_"),")","")</f>
        <v>vch503_5_7</v>
      </c>
      <c r="AQ156" s="1352" t="str">
        <f>IF(LEN(W156)=0,"",W156)</f>
        <v/>
      </c>
      <c r="AR156" s="1352" t="str">
        <f>SUBSTITUTE(SUBSTITUTE(SUBSTITUTE("vnt"&amp;$B156&amp;$C156&amp;$D156&amp;$E156&amp;$F156,".","_"),"(","_"),")","")</f>
        <v>vnt503_5_7</v>
      </c>
      <c r="AS156" s="1352" t="str">
        <f>IF(LEN(X156)=0,"",X156)</f>
        <v/>
      </c>
    </row>
    <row r="157" spans="1:46" ht="15" hidden="1" customHeight="1" x14ac:dyDescent="0.2">
      <c r="A157" s="1507">
        <v>5</v>
      </c>
      <c r="B157" s="1511" t="s">
        <v>375</v>
      </c>
      <c r="C157" s="1511" t="s">
        <v>389</v>
      </c>
      <c r="D157" s="1511"/>
      <c r="E157" s="1511"/>
      <c r="F157" s="1514"/>
      <c r="G157" s="1509" t="str">
        <f ca="1">IF(N157&gt;0,"P","")</f>
        <v/>
      </c>
      <c r="H157" s="1512" t="s">
        <v>3199</v>
      </c>
      <c r="I157" s="92"/>
      <c r="J157" s="93" t="s">
        <v>389</v>
      </c>
      <c r="K157" s="103"/>
      <c r="L157" s="1613" t="s">
        <v>388</v>
      </c>
      <c r="M157" s="1671">
        <f ca="1">5*IFERROR(INDEX({0.5,0.5,1},MATCH($W$135,INDIRECT($U$135),0)),0)</f>
        <v>0</v>
      </c>
      <c r="N157" s="1637">
        <f ca="1">'11.500'!O158</f>
        <v>0</v>
      </c>
      <c r="O157" s="1619">
        <f ca="1">M157*S157*W157</f>
        <v>0</v>
      </c>
      <c r="P157" s="905" t="b">
        <v>0</v>
      </c>
      <c r="Q157" s="905" t="b">
        <v>1</v>
      </c>
      <c r="R157" s="905" t="b">
        <v>0</v>
      </c>
      <c r="S157" s="905" t="b">
        <f>NOT(ISBLANK(W134))</f>
        <v>0</v>
      </c>
      <c r="T157" s="991" t="b">
        <f>AND(NOT(S157),W157=TRUE)</f>
        <v>0</v>
      </c>
      <c r="U157" s="905"/>
      <c r="V157" s="905"/>
      <c r="W157" s="27"/>
      <c r="X157" s="1600"/>
      <c r="Y157" s="1874" t="str">
        <f>IF(LEN('11.500'!X158)=0,"None",'11.500'!X158)</f>
        <v>None</v>
      </c>
      <c r="Z157" s="1889"/>
      <c r="AA157" s="707" t="e">
        <f>'Photo Review'!#REF!</f>
        <v>#REF!</v>
      </c>
      <c r="AC157" s="248" t="b">
        <f>OR(AD157:AE157)</f>
        <v>0</v>
      </c>
      <c r="AD157" s="248" t="b">
        <f>T157</f>
        <v>0</v>
      </c>
      <c r="AE157" s="248"/>
      <c r="AF157" s="248"/>
      <c r="AG157" s="248"/>
      <c r="AH157" s="248"/>
      <c r="AI157" s="248"/>
      <c r="AJ157" s="248"/>
      <c r="AK157" s="248"/>
      <c r="AL157" s="1352" t="str">
        <f t="shared" si="6"/>
        <v>vpa503_5_8</v>
      </c>
      <c r="AM157" s="1352">
        <f t="shared" ca="1" si="7"/>
        <v>0</v>
      </c>
      <c r="AN157" s="1352" t="str">
        <f>SUBSTITUTE(SUBSTITUTE(SUBSTITUTE("vpc"&amp;$B157&amp;$C157&amp;$D157&amp;$E157&amp;$F157,".","_"),"(","_"),")","")</f>
        <v>vpc503_5_8</v>
      </c>
      <c r="AO157" s="1352">
        <f ca="1">O157</f>
        <v>0</v>
      </c>
      <c r="AP157" s="1352" t="str">
        <f>SUBSTITUTE(SUBSTITUTE(SUBSTITUTE("vch"&amp;$B157&amp;$C157&amp;$D157&amp;$E157&amp;$F157,".","_"),"(","_"),")","")</f>
        <v>vch503_5_8</v>
      </c>
      <c r="AQ157" s="1352" t="str">
        <f>IF(LEN(W157)=0,"",W157)</f>
        <v/>
      </c>
      <c r="AR157" s="1352" t="str">
        <f>SUBSTITUTE(SUBSTITUTE(SUBSTITUTE("vnt"&amp;$B157&amp;$C157&amp;$D157&amp;$E157&amp;$F157,".","_"),"(","_"),")","")</f>
        <v>vnt503_5_8</v>
      </c>
      <c r="AS157" s="1352" t="str">
        <f>IF(LEN(X157)=0,"",X157)</f>
        <v/>
      </c>
    </row>
    <row r="158" spans="1:46" ht="16" hidden="1" thickBot="1" x14ac:dyDescent="0.25">
      <c r="A158" s="1507">
        <v>5</v>
      </c>
      <c r="B158" s="1511" t="s">
        <v>375</v>
      </c>
      <c r="C158" s="1511" t="s">
        <v>389</v>
      </c>
      <c r="D158" s="1511"/>
      <c r="E158" s="1511"/>
      <c r="F158" s="1514"/>
      <c r="G158" s="1509" t="str">
        <f ca="1">G157</f>
        <v/>
      </c>
      <c r="H158" s="1512" t="s">
        <v>3199</v>
      </c>
      <c r="I158" s="92"/>
      <c r="J158" s="103"/>
      <c r="K158" s="103"/>
      <c r="L158" s="1609"/>
      <c r="M158" s="1671"/>
      <c r="N158" s="1619"/>
      <c r="O158" s="1619"/>
      <c r="P158" s="905"/>
      <c r="Q158" s="905"/>
      <c r="R158" s="905"/>
      <c r="S158" s="905"/>
      <c r="T158" s="905"/>
      <c r="U158" s="905"/>
      <c r="V158" s="905"/>
      <c r="W158" s="248"/>
      <c r="X158" s="1600"/>
      <c r="Y158" s="1874"/>
      <c r="Z158" s="1889"/>
      <c r="AC158" s="248"/>
      <c r="AD158" s="248"/>
      <c r="AE158" s="248"/>
      <c r="AF158" s="248"/>
      <c r="AG158" s="248"/>
      <c r="AH158" s="248"/>
      <c r="AI158" s="248"/>
      <c r="AJ158" s="248"/>
      <c r="AK158" s="248"/>
      <c r="AL158" s="1352"/>
      <c r="AM158" s="1352"/>
      <c r="AN158" s="1352"/>
      <c r="AO158" s="1352"/>
      <c r="AP158" s="1352"/>
      <c r="AQ158" s="1352"/>
      <c r="AR158" s="1352"/>
      <c r="AS158" s="1352"/>
    </row>
    <row r="159" spans="1:46" ht="16" hidden="1" thickBot="1" x14ac:dyDescent="0.25">
      <c r="A159" s="1507">
        <v>5</v>
      </c>
      <c r="B159" s="1511" t="s">
        <v>375</v>
      </c>
      <c r="C159" s="1511" t="s">
        <v>389</v>
      </c>
      <c r="D159" s="1511"/>
      <c r="E159" s="1511"/>
      <c r="F159" s="1514"/>
      <c r="G159" s="1509" t="str">
        <f ca="1">G158</f>
        <v/>
      </c>
      <c r="H159" s="1512" t="s">
        <v>3199</v>
      </c>
      <c r="I159" s="92"/>
      <c r="J159" s="103"/>
      <c r="K159" s="103"/>
      <c r="L159" s="1609"/>
      <c r="M159" s="1671"/>
      <c r="N159" s="1619"/>
      <c r="O159" s="1619"/>
      <c r="P159" s="905"/>
      <c r="Q159" s="905"/>
      <c r="R159" s="905"/>
      <c r="S159" s="905"/>
      <c r="T159" s="905"/>
      <c r="U159" s="905"/>
      <c r="V159" s="905"/>
      <c r="W159" s="248"/>
      <c r="X159" s="1600"/>
      <c r="Y159" s="1874"/>
      <c r="Z159" s="1889"/>
      <c r="AC159" s="248"/>
      <c r="AD159" s="248"/>
      <c r="AE159" s="248"/>
      <c r="AF159" s="248"/>
      <c r="AG159" s="248"/>
      <c r="AH159" s="248"/>
      <c r="AI159" s="248"/>
      <c r="AJ159" s="248"/>
      <c r="AK159" s="248"/>
      <c r="AL159" s="1352"/>
      <c r="AM159" s="1352"/>
      <c r="AN159" s="1352"/>
      <c r="AO159" s="1352"/>
      <c r="AP159" s="1352"/>
      <c r="AQ159" s="1352"/>
      <c r="AR159" s="1352"/>
      <c r="AS159" s="1352"/>
    </row>
    <row r="160" spans="1:46" ht="16" hidden="1" thickBot="1" x14ac:dyDescent="0.25">
      <c r="A160" s="1507">
        <v>5</v>
      </c>
      <c r="B160" s="1511" t="s">
        <v>375</v>
      </c>
      <c r="C160" s="1511" t="s">
        <v>389</v>
      </c>
      <c r="D160" s="1511"/>
      <c r="E160" s="1511"/>
      <c r="F160" s="1514"/>
      <c r="G160" s="1509" t="str">
        <f ca="1">G159</f>
        <v/>
      </c>
      <c r="H160" s="1512" t="s">
        <v>3199</v>
      </c>
      <c r="I160" s="92"/>
      <c r="J160" s="103"/>
      <c r="K160" s="103"/>
      <c r="L160" s="1609"/>
      <c r="M160" s="1671"/>
      <c r="N160" s="1619"/>
      <c r="O160" s="1619"/>
      <c r="P160" s="905"/>
      <c r="Q160" s="905"/>
      <c r="R160" s="905"/>
      <c r="S160" s="905"/>
      <c r="T160" s="905"/>
      <c r="U160" s="905"/>
      <c r="V160" s="905"/>
      <c r="W160" s="248"/>
      <c r="X160" s="1600"/>
      <c r="Y160" s="1874"/>
      <c r="Z160" s="1889"/>
      <c r="AC160" s="248"/>
      <c r="AD160" s="248"/>
      <c r="AE160" s="248"/>
      <c r="AF160" s="248"/>
      <c r="AG160" s="248"/>
      <c r="AH160" s="248"/>
      <c r="AI160" s="248"/>
      <c r="AJ160" s="248"/>
      <c r="AK160" s="248"/>
      <c r="AL160" s="1352"/>
      <c r="AM160" s="1352"/>
      <c r="AN160" s="1352"/>
      <c r="AO160" s="1352"/>
      <c r="AP160" s="1352"/>
      <c r="AQ160" s="1352"/>
      <c r="AR160" s="1352"/>
      <c r="AS160" s="1352"/>
    </row>
    <row r="161" spans="1:45" ht="16" hidden="1" thickBot="1" x14ac:dyDescent="0.25">
      <c r="A161" s="1507">
        <v>5</v>
      </c>
      <c r="B161" s="1511" t="s">
        <v>375</v>
      </c>
      <c r="C161" s="1511" t="s">
        <v>389</v>
      </c>
      <c r="D161" s="1511"/>
      <c r="E161" s="1511"/>
      <c r="F161" s="1514"/>
      <c r="G161" s="1509" t="str">
        <f ca="1">G160</f>
        <v/>
      </c>
      <c r="H161" s="1512" t="s">
        <v>3199</v>
      </c>
      <c r="I161" s="92"/>
      <c r="J161" s="172"/>
      <c r="K161" s="172"/>
      <c r="L161" s="1612"/>
      <c r="M161" s="1672"/>
      <c r="N161" s="1620"/>
      <c r="O161" s="1620"/>
      <c r="P161" s="905"/>
      <c r="Q161" s="905"/>
      <c r="R161" s="905"/>
      <c r="S161" s="905"/>
      <c r="T161" s="905"/>
      <c r="U161" s="905"/>
      <c r="V161" s="905"/>
      <c r="W161" s="248"/>
      <c r="X161" s="1600"/>
      <c r="Y161" s="1874"/>
      <c r="Z161" s="1889"/>
      <c r="AC161" s="248"/>
      <c r="AD161" s="248"/>
      <c r="AE161" s="248"/>
      <c r="AF161" s="248"/>
      <c r="AG161" s="248"/>
      <c r="AH161" s="248"/>
      <c r="AI161" s="248"/>
      <c r="AJ161" s="248"/>
      <c r="AK161" s="248"/>
      <c r="AL161" s="1352"/>
      <c r="AM161" s="1352"/>
      <c r="AN161" s="1352"/>
      <c r="AO161" s="1352"/>
      <c r="AP161" s="1352"/>
      <c r="AQ161" s="1352"/>
      <c r="AR161" s="1352"/>
      <c r="AS161" s="1352"/>
    </row>
    <row r="162" spans="1:45" ht="15" hidden="1" customHeight="1" x14ac:dyDescent="0.2">
      <c r="A162" s="1507">
        <v>5</v>
      </c>
      <c r="B162" s="1511" t="s">
        <v>375</v>
      </c>
      <c r="C162" s="1511" t="s">
        <v>391</v>
      </c>
      <c r="D162" s="1511"/>
      <c r="E162" s="1511"/>
      <c r="F162" s="1514"/>
      <c r="G162" s="1509" t="str">
        <f ca="1">IF(N162&gt;0,"P","")</f>
        <v/>
      </c>
      <c r="H162" s="1512" t="s">
        <v>3199</v>
      </c>
      <c r="I162" s="92"/>
      <c r="J162" s="93" t="s">
        <v>391</v>
      </c>
      <c r="K162" s="103"/>
      <c r="L162" s="1613" t="s">
        <v>390</v>
      </c>
      <c r="M162" s="1671">
        <f ca="1">5*IFERROR(INDEX({0.5,0.5,1},MATCH($W$135,INDIRECT($U$135),0)),0)</f>
        <v>0</v>
      </c>
      <c r="N162" s="1637">
        <f ca="1">'11.500'!O163</f>
        <v>0</v>
      </c>
      <c r="O162" s="1619">
        <f ca="1">M162*S162*W162</f>
        <v>0</v>
      </c>
      <c r="P162" s="991" t="b">
        <v>0</v>
      </c>
      <c r="Q162" s="991" t="b">
        <v>1</v>
      </c>
      <c r="R162" s="905" t="b">
        <v>0</v>
      </c>
      <c r="S162" s="905" t="b">
        <f>NOT(ISBLANK(W134))</f>
        <v>0</v>
      </c>
      <c r="T162" s="991" t="b">
        <f>AND(NOT(S162),W162=TRUE)</f>
        <v>0</v>
      </c>
      <c r="U162" s="905"/>
      <c r="V162" s="905"/>
      <c r="W162" s="27"/>
      <c r="X162" s="1600"/>
      <c r="Y162" s="1874" t="str">
        <f>IF(LEN('11.500'!X163)=0,"None",'11.500'!X163)</f>
        <v>None</v>
      </c>
      <c r="Z162" s="1889"/>
      <c r="AC162" s="248" t="b">
        <f>OR(AD162:AE162)</f>
        <v>0</v>
      </c>
      <c r="AD162" s="248" t="b">
        <f>T162</f>
        <v>0</v>
      </c>
      <c r="AE162" s="248"/>
      <c r="AF162" s="248"/>
      <c r="AG162" s="248"/>
      <c r="AH162" s="248"/>
      <c r="AI162" s="248"/>
      <c r="AJ162" s="248"/>
      <c r="AK162" s="248"/>
      <c r="AL162" s="1352" t="str">
        <f>SUBSTITUTE(SUBSTITUTE(SUBSTITUTE("vpa"&amp;$B162&amp;$C162&amp;$D162&amp;$E162&amp;$F162,".","_"),"(","_"),")","")</f>
        <v>vpa503_5_9</v>
      </c>
      <c r="AM162" s="1352">
        <f ca="1">M162</f>
        <v>0</v>
      </c>
      <c r="AN162" s="1352" t="str">
        <f>SUBSTITUTE(SUBSTITUTE(SUBSTITUTE("vpc"&amp;$B162&amp;$C162&amp;$D162&amp;$E162&amp;$F162,".","_"),"(","_"),")","")</f>
        <v>vpc503_5_9</v>
      </c>
      <c r="AO162" s="1352">
        <f ca="1">O162</f>
        <v>0</v>
      </c>
      <c r="AP162" s="1352" t="str">
        <f>SUBSTITUTE(SUBSTITUTE(SUBSTITUTE("vch"&amp;$B162&amp;$C162&amp;$D162&amp;$E162&amp;$F162,".","_"),"(","_"),")","")</f>
        <v>vch503_5_9</v>
      </c>
      <c r="AQ162" s="1352" t="str">
        <f>IF(LEN(W162)=0,"",W162)</f>
        <v/>
      </c>
      <c r="AR162" s="1352" t="str">
        <f>SUBSTITUTE(SUBSTITUTE(SUBSTITUTE("vnt"&amp;$B162&amp;$C162&amp;$D162&amp;$E162&amp;$F162,".","_"),"(","_"),")","")</f>
        <v>vnt503_5_9</v>
      </c>
      <c r="AS162" s="1352" t="str">
        <f>IF(LEN(X162)=0,"",X162)</f>
        <v/>
      </c>
    </row>
    <row r="163" spans="1:45" ht="16" hidden="1" thickBot="1" x14ac:dyDescent="0.25">
      <c r="A163" s="1507">
        <v>5</v>
      </c>
      <c r="B163" s="1511" t="s">
        <v>375</v>
      </c>
      <c r="C163" s="1511" t="s">
        <v>391</v>
      </c>
      <c r="D163" s="1511"/>
      <c r="E163" s="1511"/>
      <c r="F163" s="1514"/>
      <c r="G163" s="1509" t="str">
        <f ca="1">G162</f>
        <v/>
      </c>
      <c r="H163" s="1512" t="s">
        <v>3199</v>
      </c>
      <c r="I163" s="92"/>
      <c r="J163" s="172"/>
      <c r="K163" s="172"/>
      <c r="L163" s="1612"/>
      <c r="M163" s="1672"/>
      <c r="N163" s="1620"/>
      <c r="O163" s="1620"/>
      <c r="P163" s="905"/>
      <c r="Q163" s="905"/>
      <c r="R163" s="905"/>
      <c r="S163" s="905"/>
      <c r="T163" s="905"/>
      <c r="U163" s="905"/>
      <c r="V163" s="905"/>
      <c r="W163" s="248"/>
      <c r="X163" s="1600"/>
      <c r="Y163" s="1874"/>
      <c r="Z163" s="1889"/>
      <c r="AC163" s="248"/>
      <c r="AD163" s="248"/>
      <c r="AE163" s="248"/>
      <c r="AF163" s="248"/>
      <c r="AG163" s="248"/>
      <c r="AH163" s="248"/>
      <c r="AI163" s="248"/>
      <c r="AJ163" s="248"/>
      <c r="AK163" s="248"/>
      <c r="AL163" s="1352"/>
      <c r="AM163" s="1352"/>
      <c r="AN163" s="1352"/>
      <c r="AO163" s="1352"/>
      <c r="AP163" s="1352"/>
      <c r="AQ163" s="1352"/>
      <c r="AR163" s="1352"/>
      <c r="AS163" s="1352"/>
    </row>
    <row r="164" spans="1:45" ht="15" hidden="1" customHeight="1" x14ac:dyDescent="0.2">
      <c r="A164" s="1507">
        <v>5</v>
      </c>
      <c r="B164" s="1511" t="s">
        <v>375</v>
      </c>
      <c r="C164" s="1511" t="s">
        <v>392</v>
      </c>
      <c r="D164" s="1511"/>
      <c r="E164" s="1511"/>
      <c r="F164" s="1514"/>
      <c r="G164" s="1509" t="str">
        <f>IF(N164&gt;0,"P","")</f>
        <v/>
      </c>
      <c r="H164" s="1512" t="s">
        <v>3199</v>
      </c>
      <c r="I164" s="92"/>
      <c r="J164" s="93" t="s">
        <v>392</v>
      </c>
      <c r="K164" s="103"/>
      <c r="L164" s="1613" t="s">
        <v>3785</v>
      </c>
      <c r="M164" s="1636">
        <v>3</v>
      </c>
      <c r="N164" s="1637">
        <f>'11.500'!O165</f>
        <v>0</v>
      </c>
      <c r="O164" s="1637">
        <f>M164*S164*W164</f>
        <v>0</v>
      </c>
      <c r="P164" s="991" t="b">
        <v>0</v>
      </c>
      <c r="Q164" s="991" t="b">
        <v>1</v>
      </c>
      <c r="R164" s="905" t="b">
        <v>0</v>
      </c>
      <c r="S164" s="905" t="b">
        <f>NOT(ISBLANK(W134))</f>
        <v>0</v>
      </c>
      <c r="T164" s="991" t="b">
        <f>AND(NOT(S164),W164=TRUE)</f>
        <v>0</v>
      </c>
      <c r="U164" s="905"/>
      <c r="V164" s="905"/>
      <c r="W164" s="27"/>
      <c r="X164" s="1621"/>
      <c r="Y164" s="1874" t="str">
        <f>IF(LEN('11.500'!X165)=0,"None",'11.500'!X165)</f>
        <v>None</v>
      </c>
      <c r="Z164" s="1889"/>
      <c r="AC164" s="248" t="b">
        <f>OR(AD164:AE164)</f>
        <v>0</v>
      </c>
      <c r="AD164" s="248" t="b">
        <f>T164</f>
        <v>0</v>
      </c>
      <c r="AE164" s="248"/>
      <c r="AF164" s="248"/>
      <c r="AG164" s="248"/>
      <c r="AH164" s="248"/>
      <c r="AI164" s="248"/>
      <c r="AJ164" s="248"/>
      <c r="AK164" s="248"/>
      <c r="AL164" s="1352" t="str">
        <f>SUBSTITUTE(SUBSTITUTE(SUBSTITUTE("vpa"&amp;$B164&amp;$C164&amp;$D164&amp;$E164&amp;$F164,".","_"),"(","_"),")","")</f>
        <v>vpa503_5_10</v>
      </c>
      <c r="AM164" s="1352">
        <f>M164</f>
        <v>3</v>
      </c>
      <c r="AN164" s="1352" t="str">
        <f>SUBSTITUTE(SUBSTITUTE(SUBSTITUTE("vpc"&amp;$B164&amp;$C164&amp;$D164&amp;$E164&amp;$F164,".","_"),"(","_"),")","")</f>
        <v>vpc503_5_10</v>
      </c>
      <c r="AO164" s="1352">
        <f>O164</f>
        <v>0</v>
      </c>
      <c r="AP164" s="1352" t="str">
        <f>SUBSTITUTE(SUBSTITUTE(SUBSTITUTE("vch"&amp;$B164&amp;$C164&amp;$D164&amp;$E164&amp;$F164,".","_"),"(","_"),")","")</f>
        <v>vch503_5_10</v>
      </c>
      <c r="AQ164" s="1352" t="str">
        <f>IF(LEN(W164)=0,"",W164)</f>
        <v/>
      </c>
      <c r="AR164" s="1352" t="str">
        <f>SUBSTITUTE(SUBSTITUTE(SUBSTITUTE("vnt"&amp;$B164&amp;$C164&amp;$D164&amp;$E164&amp;$F164,".","_"),"(","_"),")","")</f>
        <v>vnt503_5_10</v>
      </c>
      <c r="AS164" s="1352" t="str">
        <f>IF(LEN(X164)=0,"",X164)</f>
        <v/>
      </c>
    </row>
    <row r="165" spans="1:45" ht="16" hidden="1" thickBot="1" x14ac:dyDescent="0.25">
      <c r="A165" s="1507">
        <v>5</v>
      </c>
      <c r="B165" s="1511" t="s">
        <v>375</v>
      </c>
      <c r="C165" s="1511" t="s">
        <v>392</v>
      </c>
      <c r="D165" s="1511"/>
      <c r="E165" s="1511"/>
      <c r="F165" s="1514"/>
      <c r="G165" s="1509" t="str">
        <f>G164</f>
        <v/>
      </c>
      <c r="H165" s="1512" t="s">
        <v>3199</v>
      </c>
      <c r="I165" s="92"/>
      <c r="J165" s="103"/>
      <c r="K165" s="103"/>
      <c r="L165" s="1609"/>
      <c r="M165" s="1623"/>
      <c r="N165" s="1619"/>
      <c r="O165" s="1619"/>
      <c r="P165" s="905"/>
      <c r="Q165" s="905"/>
      <c r="R165" s="905"/>
      <c r="S165" s="905"/>
      <c r="T165" s="905"/>
      <c r="U165" s="905"/>
      <c r="V165" s="905"/>
      <c r="W165" s="248"/>
      <c r="X165" s="1632"/>
      <c r="Y165" s="1874"/>
      <c r="Z165" s="1889"/>
      <c r="AC165" s="248"/>
      <c r="AD165" s="248"/>
      <c r="AE165" s="248"/>
      <c r="AF165" s="248"/>
      <c r="AG165" s="248"/>
      <c r="AH165" s="248"/>
      <c r="AI165" s="248"/>
      <c r="AJ165" s="248"/>
      <c r="AK165" s="248"/>
      <c r="AL165" s="1352"/>
      <c r="AM165" s="1352"/>
      <c r="AN165" s="1352"/>
      <c r="AO165" s="1352"/>
      <c r="AP165" s="1352"/>
      <c r="AQ165" s="1352"/>
      <c r="AR165" s="1352"/>
      <c r="AS165" s="1352"/>
    </row>
    <row r="166" spans="1:45" ht="16" hidden="1" thickBot="1" x14ac:dyDescent="0.25">
      <c r="A166" s="1507">
        <v>5</v>
      </c>
      <c r="B166" s="1511" t="s">
        <v>375</v>
      </c>
      <c r="C166" s="1511" t="s">
        <v>392</v>
      </c>
      <c r="D166" s="1511"/>
      <c r="E166" s="1511"/>
      <c r="F166" s="1514"/>
      <c r="G166" s="1509" t="str">
        <f>G165</f>
        <v/>
      </c>
      <c r="H166" s="1512" t="s">
        <v>3199</v>
      </c>
      <c r="I166" s="92"/>
      <c r="J166" s="172"/>
      <c r="K166" s="172"/>
      <c r="L166" s="1612"/>
      <c r="M166" s="1624"/>
      <c r="N166" s="1620"/>
      <c r="O166" s="1620"/>
      <c r="P166" s="905"/>
      <c r="Q166" s="905"/>
      <c r="R166" s="905"/>
      <c r="S166" s="905"/>
      <c r="T166" s="905"/>
      <c r="U166" s="905"/>
      <c r="V166" s="905"/>
      <c r="W166" s="248"/>
      <c r="X166" s="1599"/>
      <c r="Y166" s="1874"/>
      <c r="Z166" s="1889"/>
      <c r="AC166" s="248"/>
      <c r="AD166" s="248"/>
      <c r="AE166" s="248"/>
      <c r="AF166" s="248"/>
      <c r="AG166" s="248"/>
      <c r="AH166" s="248"/>
      <c r="AI166" s="248"/>
      <c r="AJ166" s="248"/>
      <c r="AK166" s="248"/>
      <c r="AL166" s="1352"/>
      <c r="AM166" s="1352"/>
      <c r="AN166" s="1352"/>
      <c r="AO166" s="1352"/>
      <c r="AP166" s="1352"/>
      <c r="AQ166" s="1352"/>
      <c r="AR166" s="1352"/>
      <c r="AS166" s="1352"/>
    </row>
    <row r="167" spans="1:45" ht="15" hidden="1" customHeight="1" x14ac:dyDescent="0.2">
      <c r="A167" s="1507">
        <v>5</v>
      </c>
      <c r="B167" s="1511" t="s">
        <v>375</v>
      </c>
      <c r="C167" s="1511" t="s">
        <v>394</v>
      </c>
      <c r="D167" s="1511"/>
      <c r="E167" s="1511"/>
      <c r="F167" s="1514"/>
      <c r="G167" s="1509" t="str">
        <f>IF(N167&gt;0,"P","")</f>
        <v/>
      </c>
      <c r="H167" s="1512" t="s">
        <v>3199</v>
      </c>
      <c r="I167" s="92"/>
      <c r="J167" s="93" t="s">
        <v>394</v>
      </c>
      <c r="K167" s="103"/>
      <c r="L167" s="1613" t="s">
        <v>393</v>
      </c>
      <c r="M167" s="1623">
        <v>4</v>
      </c>
      <c r="N167" s="1637">
        <f>'11.500'!O168</f>
        <v>0</v>
      </c>
      <c r="O167" s="1619">
        <f>M167*S167*W167</f>
        <v>0</v>
      </c>
      <c r="P167" s="991" t="b">
        <v>0</v>
      </c>
      <c r="Q167" s="991" t="b">
        <v>1</v>
      </c>
      <c r="R167" s="905" t="b">
        <v>0</v>
      </c>
      <c r="S167" s="905" t="b">
        <f>NOT(ISBLANK(W134))</f>
        <v>0</v>
      </c>
      <c r="T167" s="991" t="b">
        <f>AND(NOT(S167),W167=TRUE)</f>
        <v>0</v>
      </c>
      <c r="U167" s="905"/>
      <c r="V167" s="905"/>
      <c r="W167" s="27"/>
      <c r="X167" s="1600"/>
      <c r="Y167" s="1874" t="str">
        <f>IF(LEN('11.500'!X168)=0,"None",'11.500'!X168)</f>
        <v>None</v>
      </c>
      <c r="Z167" s="1889"/>
      <c r="AC167" s="248" t="b">
        <f>OR(AD167:AE167)</f>
        <v>0</v>
      </c>
      <c r="AD167" s="248" t="b">
        <f>T167</f>
        <v>0</v>
      </c>
      <c r="AE167" s="248"/>
      <c r="AF167" s="248"/>
      <c r="AG167" s="248"/>
      <c r="AH167" s="248"/>
      <c r="AI167" s="248"/>
      <c r="AJ167" s="248"/>
      <c r="AK167" s="248"/>
      <c r="AL167" s="1352" t="str">
        <f>SUBSTITUTE(SUBSTITUTE(SUBSTITUTE("vpa"&amp;$B167&amp;$C167&amp;$D167&amp;$E167&amp;$F167,".","_"),"(","_"),")","")</f>
        <v>vpa503_5_11</v>
      </c>
      <c r="AM167" s="1352">
        <f>M167</f>
        <v>4</v>
      </c>
      <c r="AN167" s="1352" t="str">
        <f>SUBSTITUTE(SUBSTITUTE(SUBSTITUTE("vpc"&amp;$B167&amp;$C167&amp;$D167&amp;$E167&amp;$F167,".","_"),"(","_"),")","")</f>
        <v>vpc503_5_11</v>
      </c>
      <c r="AO167" s="1352">
        <f>O167</f>
        <v>0</v>
      </c>
      <c r="AP167" s="1352" t="str">
        <f>SUBSTITUTE(SUBSTITUTE(SUBSTITUTE("vch"&amp;$B167&amp;$C167&amp;$D167&amp;$E167&amp;$F167,".","_"),"(","_"),")","")</f>
        <v>vch503_5_11</v>
      </c>
      <c r="AQ167" s="1352" t="str">
        <f>IF(LEN(W167)=0,"",W167)</f>
        <v/>
      </c>
      <c r="AR167" s="1352" t="str">
        <f>SUBSTITUTE(SUBSTITUTE(SUBSTITUTE("vnt"&amp;$B167&amp;$C167&amp;$D167&amp;$E167&amp;$F167,".","_"),"(","_"),")","")</f>
        <v>vnt503_5_11</v>
      </c>
      <c r="AS167" s="1352" t="str">
        <f>IF(LEN(X167)=0,"",X167)</f>
        <v/>
      </c>
    </row>
    <row r="168" spans="1:45" ht="16" hidden="1" thickBot="1" x14ac:dyDescent="0.25">
      <c r="A168" s="1507">
        <v>5</v>
      </c>
      <c r="B168" s="1511" t="s">
        <v>375</v>
      </c>
      <c r="C168" s="1511" t="s">
        <v>394</v>
      </c>
      <c r="D168" s="1511"/>
      <c r="E168" s="1511"/>
      <c r="F168" s="1514"/>
      <c r="G168" s="1509" t="str">
        <f>G167</f>
        <v/>
      </c>
      <c r="H168" s="1512" t="s">
        <v>3199</v>
      </c>
      <c r="I168" s="92"/>
      <c r="J168" s="172"/>
      <c r="K168" s="172"/>
      <c r="L168" s="1612"/>
      <c r="M168" s="1624"/>
      <c r="N168" s="1620"/>
      <c r="O168" s="1620"/>
      <c r="P168" s="905"/>
      <c r="Q168" s="905"/>
      <c r="R168" s="905"/>
      <c r="S168" s="905"/>
      <c r="T168" s="905"/>
      <c r="U168" s="905"/>
      <c r="V168" s="905"/>
      <c r="W168" s="248"/>
      <c r="X168" s="1600"/>
      <c r="Y168" s="1874"/>
      <c r="Z168" s="1889"/>
      <c r="AC168" s="248"/>
      <c r="AD168" s="248"/>
      <c r="AE168" s="248"/>
      <c r="AF168" s="248"/>
      <c r="AG168" s="248"/>
      <c r="AH168" s="248"/>
      <c r="AI168" s="248"/>
      <c r="AJ168" s="248"/>
      <c r="AK168" s="248"/>
      <c r="AL168" s="1352"/>
      <c r="AM168" s="1352"/>
      <c r="AN168" s="1352"/>
      <c r="AO168" s="1352"/>
      <c r="AP168" s="1352"/>
      <c r="AQ168" s="1352"/>
      <c r="AR168" s="1352"/>
      <c r="AS168" s="1352"/>
    </row>
    <row r="169" spans="1:45" ht="15" hidden="1" customHeight="1" x14ac:dyDescent="0.2">
      <c r="A169" s="1507">
        <v>5</v>
      </c>
      <c r="B169" s="1511" t="s">
        <v>375</v>
      </c>
      <c r="C169" s="1511" t="s">
        <v>396</v>
      </c>
      <c r="D169" s="1511"/>
      <c r="E169" s="1511"/>
      <c r="F169" s="1514"/>
      <c r="G169" s="1509" t="str">
        <f>IF(N169&gt;0,"P","")</f>
        <v/>
      </c>
      <c r="H169" s="1512" t="s">
        <v>3199</v>
      </c>
      <c r="I169" s="92"/>
      <c r="J169" s="93" t="s">
        <v>396</v>
      </c>
      <c r="K169" s="103"/>
      <c r="L169" s="1613" t="s">
        <v>395</v>
      </c>
      <c r="M169" s="1623">
        <v>3</v>
      </c>
      <c r="N169" s="1637">
        <f>'11.500'!O170</f>
        <v>0</v>
      </c>
      <c r="O169" s="1619">
        <f>M169*S169*W169</f>
        <v>0</v>
      </c>
      <c r="P169" s="991" t="b">
        <v>0</v>
      </c>
      <c r="Q169" s="991" t="b">
        <v>1</v>
      </c>
      <c r="R169" s="905" t="b">
        <v>0</v>
      </c>
      <c r="S169" s="905" t="b">
        <f>NOT(ISBLANK(W134))</f>
        <v>0</v>
      </c>
      <c r="T169" s="991" t="b">
        <f>AND(NOT(S169),W169=TRUE)</f>
        <v>0</v>
      </c>
      <c r="U169" s="905"/>
      <c r="V169" s="905"/>
      <c r="W169" s="27"/>
      <c r="X169" s="1600"/>
      <c r="Y169" s="1874" t="str">
        <f>IF(LEN('11.500'!X170)=0,"None",'11.500'!X170)</f>
        <v>None</v>
      </c>
      <c r="Z169" s="1889"/>
      <c r="AC169" s="248" t="b">
        <f>OR(AD169:AE169)</f>
        <v>0</v>
      </c>
      <c r="AD169" s="248" t="b">
        <f>T169</f>
        <v>0</v>
      </c>
      <c r="AE169" s="248"/>
      <c r="AF169" s="248"/>
      <c r="AG169" s="248"/>
      <c r="AH169" s="248"/>
      <c r="AI169" s="248"/>
      <c r="AJ169" s="248"/>
      <c r="AK169" s="248"/>
      <c r="AL169" s="1352" t="str">
        <f>SUBSTITUTE(SUBSTITUTE(SUBSTITUTE("vpa"&amp;$B169&amp;$C169&amp;$D169&amp;$E169&amp;$F169,".","_"),"(","_"),")","")</f>
        <v>vpa503_5_12</v>
      </c>
      <c r="AM169" s="1352">
        <f>M169</f>
        <v>3</v>
      </c>
      <c r="AN169" s="1352" t="str">
        <f>SUBSTITUTE(SUBSTITUTE(SUBSTITUTE("vpc"&amp;$B169&amp;$C169&amp;$D169&amp;$E169&amp;$F169,".","_"),"(","_"),")","")</f>
        <v>vpc503_5_12</v>
      </c>
      <c r="AO169" s="1352">
        <f>O169</f>
        <v>0</v>
      </c>
      <c r="AP169" s="1352" t="str">
        <f>SUBSTITUTE(SUBSTITUTE(SUBSTITUTE("vch"&amp;$B169&amp;$C169&amp;$D169&amp;$E169&amp;$F169,".","_"),"(","_"),")","")</f>
        <v>vch503_5_12</v>
      </c>
      <c r="AQ169" s="1352" t="str">
        <f>IF(LEN(W169)=0,"",W169)</f>
        <v/>
      </c>
      <c r="AR169" s="1352" t="str">
        <f>SUBSTITUTE(SUBSTITUTE(SUBSTITUTE("vnt"&amp;$B169&amp;$C169&amp;$D169&amp;$E169&amp;$F169,".","_"),"(","_"),")","")</f>
        <v>vnt503_5_12</v>
      </c>
      <c r="AS169" s="1352" t="str">
        <f>IF(LEN(X169)=0,"",X169)</f>
        <v/>
      </c>
    </row>
    <row r="170" spans="1:45" ht="16" hidden="1" thickBot="1" x14ac:dyDescent="0.25">
      <c r="A170" s="1507">
        <v>5</v>
      </c>
      <c r="B170" s="1511" t="s">
        <v>375</v>
      </c>
      <c r="C170" s="1511" t="s">
        <v>396</v>
      </c>
      <c r="D170" s="1511"/>
      <c r="E170" s="1511"/>
      <c r="F170" s="1514"/>
      <c r="G170" s="1509" t="str">
        <f>G169</f>
        <v/>
      </c>
      <c r="H170" s="1512" t="s">
        <v>3199</v>
      </c>
      <c r="I170" s="92"/>
      <c r="J170" s="172"/>
      <c r="K170" s="172"/>
      <c r="L170" s="1612"/>
      <c r="M170" s="1624"/>
      <c r="N170" s="1620"/>
      <c r="O170" s="1620"/>
      <c r="P170" s="905"/>
      <c r="Q170" s="905"/>
      <c r="R170" s="905"/>
      <c r="S170" s="905"/>
      <c r="T170" s="905"/>
      <c r="U170" s="905"/>
      <c r="V170" s="905"/>
      <c r="W170" s="248"/>
      <c r="X170" s="1600"/>
      <c r="Y170" s="1874"/>
      <c r="Z170" s="1889"/>
      <c r="AC170" s="248"/>
      <c r="AD170" s="248"/>
      <c r="AE170" s="248"/>
      <c r="AF170" s="248"/>
      <c r="AG170" s="248"/>
      <c r="AH170" s="248"/>
      <c r="AI170" s="248"/>
      <c r="AJ170" s="248"/>
      <c r="AK170" s="248"/>
      <c r="AL170" s="1352"/>
      <c r="AM170" s="1352"/>
      <c r="AN170" s="1352"/>
      <c r="AO170" s="1352"/>
      <c r="AP170" s="1352"/>
      <c r="AQ170" s="1352"/>
      <c r="AR170" s="1352"/>
      <c r="AS170" s="1352"/>
    </row>
    <row r="171" spans="1:45" ht="15" hidden="1" customHeight="1" x14ac:dyDescent="0.2">
      <c r="A171" s="1507">
        <v>5</v>
      </c>
      <c r="B171" s="1511" t="s">
        <v>375</v>
      </c>
      <c r="C171" s="1511" t="s">
        <v>2781</v>
      </c>
      <c r="D171" s="1511"/>
      <c r="E171" s="1511"/>
      <c r="F171" s="1514"/>
      <c r="G171" s="1509" t="str">
        <f>IF(N171&gt;0,"P","")</f>
        <v/>
      </c>
      <c r="H171" s="1512" t="s">
        <v>3199</v>
      </c>
      <c r="I171" s="103"/>
      <c r="J171" s="93" t="s">
        <v>2781</v>
      </c>
      <c r="K171" s="103"/>
      <c r="L171" s="1613" t="s">
        <v>397</v>
      </c>
      <c r="M171" s="1623">
        <v>6</v>
      </c>
      <c r="N171" s="1637">
        <f>'11.500'!O172</f>
        <v>0</v>
      </c>
      <c r="O171" s="1669">
        <f>M171*S171*W171</f>
        <v>0</v>
      </c>
      <c r="P171" s="991" t="b">
        <v>0</v>
      </c>
      <c r="Q171" s="991" t="b">
        <v>1</v>
      </c>
      <c r="R171" s="991" t="b">
        <v>0</v>
      </c>
      <c r="S171" s="905" t="b">
        <f>NOT(ISBLANK(W134))</f>
        <v>0</v>
      </c>
      <c r="T171" s="991" t="b">
        <f>AND(NOT(S171),W171=TRUE)</f>
        <v>0</v>
      </c>
      <c r="U171" s="991"/>
      <c r="V171" s="991"/>
      <c r="W171" s="27"/>
      <c r="X171" s="1601"/>
      <c r="Y171" s="1881" t="str">
        <f>IF(LEN('11.500'!X172)=0,"None",'11.500'!X172)</f>
        <v>None</v>
      </c>
      <c r="Z171" s="1891"/>
      <c r="AC171" s="248" t="b">
        <f>OR(AD171:AE171)</f>
        <v>0</v>
      </c>
      <c r="AD171" s="248" t="b">
        <f>T171</f>
        <v>0</v>
      </c>
      <c r="AE171" s="248"/>
      <c r="AF171" s="248"/>
      <c r="AG171" s="248"/>
      <c r="AH171" s="248"/>
      <c r="AI171" s="248"/>
      <c r="AJ171" s="248"/>
      <c r="AK171" s="248"/>
      <c r="AL171" s="1352" t="str">
        <f>SUBSTITUTE(SUBSTITUTE(SUBSTITUTE("vpa"&amp;$B171&amp;$C171&amp;$D171&amp;$E171&amp;$F171,".","_"),"(","_"),")","")</f>
        <v>vpa503_5_13</v>
      </c>
      <c r="AM171" s="1352">
        <f>M171</f>
        <v>6</v>
      </c>
      <c r="AN171" s="1352" t="str">
        <f>SUBSTITUTE(SUBSTITUTE(SUBSTITUTE("vpc"&amp;$B171&amp;$C171&amp;$D171&amp;$E171&amp;$F171,".","_"),"(","_"),")","")</f>
        <v>vpc503_5_13</v>
      </c>
      <c r="AO171" s="1352">
        <f>O171</f>
        <v>0</v>
      </c>
      <c r="AP171" s="1352" t="str">
        <f>SUBSTITUTE(SUBSTITUTE(SUBSTITUTE("vch"&amp;$B171&amp;$C171&amp;$D171&amp;$E171&amp;$F171,".","_"),"(","_"),")","")</f>
        <v>vch503_5_13</v>
      </c>
      <c r="AQ171" s="1352" t="str">
        <f>IF(LEN(W171)=0,"",W171)</f>
        <v/>
      </c>
      <c r="AR171" s="1352" t="str">
        <f>SUBSTITUTE(SUBSTITUTE(SUBSTITUTE("vnt"&amp;$B171&amp;$C171&amp;$D171&amp;$E171&amp;$F171,".","_"),"(","_"),")","")</f>
        <v>vnt503_5_13</v>
      </c>
      <c r="AS171" s="1352" t="str">
        <f>IF(LEN(X171)=0,"",X171)</f>
        <v/>
      </c>
    </row>
    <row r="172" spans="1:45" ht="16" hidden="1" thickBot="1" x14ac:dyDescent="0.25">
      <c r="A172" s="1507">
        <v>5</v>
      </c>
      <c r="B172" s="1511" t="s">
        <v>375</v>
      </c>
      <c r="C172" s="1511" t="s">
        <v>2781</v>
      </c>
      <c r="D172" s="1511"/>
      <c r="E172" s="1511"/>
      <c r="F172" s="1514"/>
      <c r="G172" s="1509" t="str">
        <f>G171</f>
        <v/>
      </c>
      <c r="H172" s="1512" t="s">
        <v>3199</v>
      </c>
      <c r="I172" s="104"/>
      <c r="J172" s="104"/>
      <c r="K172" s="104"/>
      <c r="L172" s="1610"/>
      <c r="M172" s="1627"/>
      <c r="N172" s="1638"/>
      <c r="O172" s="1638"/>
      <c r="P172" s="100"/>
      <c r="Q172" s="100"/>
      <c r="R172" s="100"/>
      <c r="S172" s="100"/>
      <c r="T172" s="100"/>
      <c r="U172" s="100"/>
      <c r="V172" s="100"/>
      <c r="W172" s="100"/>
      <c r="X172" s="1602"/>
      <c r="Y172" s="1882"/>
      <c r="Z172" s="1892"/>
      <c r="AC172" s="248"/>
      <c r="AD172" s="248"/>
      <c r="AE172" s="248"/>
      <c r="AF172" s="248"/>
      <c r="AG172" s="248"/>
      <c r="AH172" s="248"/>
      <c r="AI172" s="248"/>
      <c r="AJ172" s="248"/>
      <c r="AK172" s="248"/>
      <c r="AL172" s="1352"/>
      <c r="AM172" s="1352"/>
      <c r="AN172" s="1352"/>
      <c r="AO172" s="1352"/>
      <c r="AP172" s="1352"/>
      <c r="AQ172" s="1352"/>
      <c r="AR172" s="1352"/>
      <c r="AS172" s="1352"/>
    </row>
    <row r="173" spans="1:45" ht="15.75" hidden="1" customHeight="1" thickTop="1" x14ac:dyDescent="0.2">
      <c r="A173" s="1507">
        <v>5</v>
      </c>
      <c r="B173" s="1511" t="s">
        <v>398</v>
      </c>
      <c r="C173" s="1511"/>
      <c r="D173" s="1511"/>
      <c r="E173" s="1511"/>
      <c r="F173" s="1514"/>
      <c r="G173" s="1513" t="str">
        <f>IF(COUNTIF(G175:G179,"P")&gt;0,"P","")</f>
        <v/>
      </c>
      <c r="H173" s="1512" t="s">
        <v>3199</v>
      </c>
      <c r="I173" s="136" t="s">
        <v>3492</v>
      </c>
      <c r="J173" s="92"/>
      <c r="K173" s="92"/>
      <c r="L173" s="1683" t="s">
        <v>3514</v>
      </c>
      <c r="M173" s="911"/>
      <c r="N173" s="1682">
        <f>'11.500'!O174</f>
        <v>0</v>
      </c>
      <c r="O173" s="1682">
        <f>IF((M175*W175+M176*W176+M177*W177+M179*W179)&gt;=6,(M175*W175+M176*W176+M177*W177+M179*W179),0)</f>
        <v>0</v>
      </c>
      <c r="P173" s="905"/>
      <c r="Q173" s="905"/>
      <c r="R173" s="905"/>
      <c r="S173" s="905"/>
      <c r="T173" s="905"/>
      <c r="U173" s="905"/>
      <c r="V173" s="905"/>
      <c r="W173" s="248"/>
      <c r="X173" s="1603"/>
      <c r="Y173" s="1877" t="str">
        <f>IF(LEN('11.500'!X174)=0,"None",'11.500'!X174)</f>
        <v>None</v>
      </c>
      <c r="Z173" s="1880"/>
      <c r="AC173" s="248"/>
      <c r="AD173" s="248"/>
      <c r="AE173" s="248"/>
      <c r="AF173" s="248"/>
      <c r="AG173" s="248"/>
      <c r="AH173" s="248"/>
      <c r="AI173" s="248"/>
      <c r="AJ173" s="248"/>
      <c r="AK173" s="248"/>
      <c r="AL173" s="1352"/>
      <c r="AM173" s="1352"/>
      <c r="AN173" s="1352" t="str">
        <f>SUBSTITUTE(SUBSTITUTE(SUBSTITUTE("vpc"&amp;$B173&amp;$C173&amp;$D173&amp;$E173&amp;$F173,".","_"),"(","_"),")","")</f>
        <v>vpc503_6</v>
      </c>
      <c r="AO173" s="1352">
        <f>O173</f>
        <v>0</v>
      </c>
      <c r="AP173" s="1352"/>
      <c r="AQ173" s="1352"/>
      <c r="AR173" s="1352" t="str">
        <f>SUBSTITUTE(SUBSTITUTE(SUBSTITUTE("vnt"&amp;$B173&amp;$C173&amp;$D173&amp;$E173&amp;$F173,".","_"),"(","_"),")","")</f>
        <v>vnt503_6</v>
      </c>
      <c r="AS173" s="1352" t="str">
        <f>IF(LEN(X173)=0,"",X173)</f>
        <v/>
      </c>
    </row>
    <row r="174" spans="1:45" ht="16" hidden="1" thickBot="1" x14ac:dyDescent="0.25">
      <c r="A174" s="1507">
        <v>5</v>
      </c>
      <c r="B174" s="1511" t="s">
        <v>398</v>
      </c>
      <c r="C174" s="1511"/>
      <c r="D174" s="1511"/>
      <c r="E174" s="1511"/>
      <c r="F174" s="1514"/>
      <c r="G174" s="1509" t="str">
        <f>G173</f>
        <v/>
      </c>
      <c r="H174" s="1512" t="s">
        <v>3199</v>
      </c>
      <c r="I174" s="92"/>
      <c r="J174" s="92"/>
      <c r="K174" s="92"/>
      <c r="L174" s="1631"/>
      <c r="M174" s="911"/>
      <c r="N174" s="1619"/>
      <c r="O174" s="1669"/>
      <c r="P174" s="905"/>
      <c r="Q174" s="905"/>
      <c r="R174" s="905"/>
      <c r="S174" s="905"/>
      <c r="T174" s="905"/>
      <c r="U174" s="905"/>
      <c r="V174" s="905"/>
      <c r="W174" s="248"/>
      <c r="X174" s="1601"/>
      <c r="Y174" s="1881"/>
      <c r="Z174" s="1891"/>
      <c r="AC174" s="248"/>
      <c r="AD174" s="248"/>
      <c r="AE174" s="248"/>
      <c r="AF174" s="248"/>
      <c r="AG174" s="248"/>
      <c r="AH174" s="248"/>
      <c r="AI174" s="248"/>
      <c r="AJ174" s="248"/>
      <c r="AK174" s="248"/>
      <c r="AL174" s="1352"/>
      <c r="AM174" s="1352"/>
      <c r="AN174" s="1352"/>
      <c r="AO174" s="1352"/>
      <c r="AP174" s="1352"/>
      <c r="AQ174" s="1352"/>
      <c r="AR174" s="1352"/>
      <c r="AS174" s="1352"/>
    </row>
    <row r="175" spans="1:45" ht="16" hidden="1" thickBot="1" x14ac:dyDescent="0.25">
      <c r="A175" s="1507">
        <v>5</v>
      </c>
      <c r="B175" s="1511" t="s">
        <v>398</v>
      </c>
      <c r="C175" s="1511" t="s">
        <v>254</v>
      </c>
      <c r="D175" s="1511"/>
      <c r="E175" s="1511"/>
      <c r="F175" s="1514"/>
      <c r="G175" s="1509" t="str">
        <f>IF(N175&gt;0,"P","")</f>
        <v/>
      </c>
      <c r="H175" s="1512" t="s">
        <v>3199</v>
      </c>
      <c r="I175" s="92"/>
      <c r="J175" s="169" t="s">
        <v>254</v>
      </c>
      <c r="K175" s="172"/>
      <c r="L175" s="170" t="s">
        <v>399</v>
      </c>
      <c r="M175" s="937">
        <v>3</v>
      </c>
      <c r="N175" s="909"/>
      <c r="O175" s="909"/>
      <c r="P175" s="905" t="b">
        <v>0</v>
      </c>
      <c r="Q175" s="905" t="b">
        <v>1</v>
      </c>
      <c r="R175" s="905" t="b">
        <v>0</v>
      </c>
      <c r="S175" s="905" t="b">
        <v>1</v>
      </c>
      <c r="T175" s="905" t="b">
        <v>0</v>
      </c>
      <c r="U175" s="905"/>
      <c r="V175" s="905"/>
      <c r="W175" s="27"/>
      <c r="X175" s="1601"/>
      <c r="Y175" s="1881"/>
      <c r="Z175" s="1891"/>
      <c r="AC175" s="248"/>
      <c r="AD175" s="248"/>
      <c r="AE175" s="248"/>
      <c r="AF175" s="248"/>
      <c r="AG175" s="248"/>
      <c r="AH175" s="248"/>
      <c r="AI175" s="248"/>
      <c r="AJ175" s="248"/>
      <c r="AK175" s="248"/>
      <c r="AL175" s="1352" t="str">
        <f>SUBSTITUTE(SUBSTITUTE(SUBSTITUTE("vpa"&amp;$B175&amp;$C175&amp;$D175&amp;$E175&amp;$F175,".","_"),"(","_"),")","")</f>
        <v>vpa503_6_1</v>
      </c>
      <c r="AM175" s="1352">
        <f>M175</f>
        <v>3</v>
      </c>
      <c r="AN175" s="1352"/>
      <c r="AO175" s="1352"/>
      <c r="AP175" s="1352" t="str">
        <f>SUBSTITUTE(SUBSTITUTE(SUBSTITUTE("vch"&amp;$B175&amp;$C175&amp;$D175&amp;$E175&amp;$F175,".","_"),"(","_"),")","")</f>
        <v>vch503_6_1</v>
      </c>
      <c r="AQ175" s="1352" t="str">
        <f>IF(LEN(W175)=0,"",W175)</f>
        <v/>
      </c>
      <c r="AR175" s="1352"/>
      <c r="AS175" s="1352"/>
    </row>
    <row r="176" spans="1:45" ht="16" hidden="1" thickBot="1" x14ac:dyDescent="0.25">
      <c r="A176" s="1507">
        <v>5</v>
      </c>
      <c r="B176" s="1511" t="s">
        <v>398</v>
      </c>
      <c r="C176" s="1511" t="s">
        <v>255</v>
      </c>
      <c r="D176" s="1511"/>
      <c r="E176" s="1511"/>
      <c r="F176" s="1514"/>
      <c r="G176" s="1509" t="str">
        <f>IF(N176&gt;0,"P","")</f>
        <v/>
      </c>
      <c r="H176" s="1512" t="s">
        <v>3199</v>
      </c>
      <c r="I176" s="92"/>
      <c r="J176" s="169" t="s">
        <v>255</v>
      </c>
      <c r="K176" s="172"/>
      <c r="L176" s="170" t="s">
        <v>400</v>
      </c>
      <c r="M176" s="937">
        <v>3</v>
      </c>
      <c r="N176" s="909"/>
      <c r="O176" s="909"/>
      <c r="P176" s="905" t="b">
        <v>0</v>
      </c>
      <c r="Q176" s="905" t="b">
        <v>1</v>
      </c>
      <c r="R176" s="905" t="b">
        <v>0</v>
      </c>
      <c r="S176" s="905" t="b">
        <v>1</v>
      </c>
      <c r="T176" s="905" t="b">
        <v>0</v>
      </c>
      <c r="U176" s="905"/>
      <c r="V176" s="905"/>
      <c r="W176" s="27"/>
      <c r="X176" s="1601"/>
      <c r="Y176" s="1881"/>
      <c r="Z176" s="1891"/>
      <c r="AC176" s="248"/>
      <c r="AD176" s="248"/>
      <c r="AE176" s="248"/>
      <c r="AF176" s="248"/>
      <c r="AG176" s="248"/>
      <c r="AH176" s="248"/>
      <c r="AI176" s="248"/>
      <c r="AJ176" s="248"/>
      <c r="AK176" s="248"/>
      <c r="AL176" s="1352" t="str">
        <f>SUBSTITUTE(SUBSTITUTE(SUBSTITUTE("vpa"&amp;$B176&amp;$C176&amp;$D176&amp;$E176&amp;$F176,".","_"),"(","_"),")","")</f>
        <v>vpa503_6_2</v>
      </c>
      <c r="AM176" s="1352">
        <f>M176</f>
        <v>3</v>
      </c>
      <c r="AN176" s="1352"/>
      <c r="AO176" s="1352"/>
      <c r="AP176" s="1352" t="str">
        <f>SUBSTITUTE(SUBSTITUTE(SUBSTITUTE("vch"&amp;$B176&amp;$C176&amp;$D176&amp;$E176&amp;$F176,".","_"),"(","_"),")","")</f>
        <v>vch503_6_2</v>
      </c>
      <c r="AQ176" s="1352" t="str">
        <f>IF(LEN(W176)=0,"",W176)</f>
        <v/>
      </c>
      <c r="AR176" s="1352"/>
      <c r="AS176" s="1352"/>
    </row>
    <row r="177" spans="1:45" ht="15" hidden="1" customHeight="1" x14ac:dyDescent="0.2">
      <c r="A177" s="1507">
        <v>5</v>
      </c>
      <c r="B177" s="1511" t="s">
        <v>398</v>
      </c>
      <c r="C177" s="1511" t="s">
        <v>256</v>
      </c>
      <c r="D177" s="1511"/>
      <c r="E177" s="1511"/>
      <c r="F177" s="1514"/>
      <c r="G177" s="1509" t="str">
        <f>IF(N177&gt;0,"P","")</f>
        <v/>
      </c>
      <c r="H177" s="1512" t="s">
        <v>3199</v>
      </c>
      <c r="I177" s="92"/>
      <c r="J177" s="93" t="s">
        <v>256</v>
      </c>
      <c r="K177" s="103"/>
      <c r="L177" s="1613" t="s">
        <v>401</v>
      </c>
      <c r="M177" s="1623">
        <v>3</v>
      </c>
      <c r="N177" s="908"/>
      <c r="O177" s="908"/>
      <c r="P177" s="905" t="b">
        <v>0</v>
      </c>
      <c r="Q177" s="905" t="b">
        <v>1</v>
      </c>
      <c r="R177" s="905" t="b">
        <v>0</v>
      </c>
      <c r="S177" s="905" t="b">
        <v>1</v>
      </c>
      <c r="T177" s="905" t="b">
        <v>0</v>
      </c>
      <c r="U177" s="905"/>
      <c r="V177" s="905"/>
      <c r="W177" s="27"/>
      <c r="X177" s="1601"/>
      <c r="Y177" s="1881"/>
      <c r="Z177" s="1891"/>
      <c r="AC177" s="248"/>
      <c r="AD177" s="248"/>
      <c r="AE177" s="248"/>
      <c r="AF177" s="248"/>
      <c r="AG177" s="248"/>
      <c r="AH177" s="248"/>
      <c r="AI177" s="248"/>
      <c r="AJ177" s="248"/>
      <c r="AK177" s="248"/>
      <c r="AL177" s="1352" t="str">
        <f>SUBSTITUTE(SUBSTITUTE(SUBSTITUTE("vpa"&amp;$B177&amp;$C177&amp;$D177&amp;$E177&amp;$F177,".","_"),"(","_"),")","")</f>
        <v>vpa503_6_3</v>
      </c>
      <c r="AM177" s="1352">
        <f>M177</f>
        <v>3</v>
      </c>
      <c r="AN177" s="1352"/>
      <c r="AO177" s="1352"/>
      <c r="AP177" s="1352" t="str">
        <f>SUBSTITUTE(SUBSTITUTE(SUBSTITUTE("vch"&amp;$B177&amp;$C177&amp;$D177&amp;$E177&amp;$F177,".","_"),"(","_"),")","")</f>
        <v>vch503_6_3</v>
      </c>
      <c r="AQ177" s="1352" t="str">
        <f>IF(LEN(W177)=0,"",W177)</f>
        <v/>
      </c>
      <c r="AR177" s="1352"/>
      <c r="AS177" s="1352"/>
    </row>
    <row r="178" spans="1:45" ht="16" hidden="1" thickBot="1" x14ac:dyDescent="0.25">
      <c r="A178" s="1507">
        <v>5</v>
      </c>
      <c r="B178" s="1511" t="s">
        <v>398</v>
      </c>
      <c r="C178" s="1511" t="s">
        <v>256</v>
      </c>
      <c r="D178" s="1511"/>
      <c r="E178" s="1511"/>
      <c r="F178" s="1514"/>
      <c r="G178" s="1509" t="str">
        <f>G177</f>
        <v/>
      </c>
      <c r="H178" s="1512" t="s">
        <v>3199</v>
      </c>
      <c r="I178" s="92"/>
      <c r="J178" s="172"/>
      <c r="K178" s="172"/>
      <c r="L178" s="1612"/>
      <c r="M178" s="1624"/>
      <c r="N178" s="909"/>
      <c r="O178" s="909"/>
      <c r="P178" s="905"/>
      <c r="Q178" s="905"/>
      <c r="R178" s="905"/>
      <c r="S178" s="905"/>
      <c r="T178" s="905"/>
      <c r="U178" s="905"/>
      <c r="V178" s="905"/>
      <c r="W178" s="248"/>
      <c r="X178" s="1601"/>
      <c r="Y178" s="1881"/>
      <c r="Z178" s="1891"/>
      <c r="AC178" s="248"/>
      <c r="AD178" s="248"/>
      <c r="AE178" s="248"/>
      <c r="AF178" s="248"/>
      <c r="AG178" s="248"/>
      <c r="AH178" s="248"/>
      <c r="AI178" s="248"/>
      <c r="AJ178" s="248"/>
      <c r="AK178" s="248"/>
      <c r="AL178" s="1352"/>
      <c r="AM178" s="1352"/>
      <c r="AN178" s="1352"/>
      <c r="AO178" s="1352"/>
      <c r="AP178" s="1352"/>
      <c r="AQ178" s="1352"/>
      <c r="AR178" s="1352"/>
      <c r="AS178" s="1352"/>
    </row>
    <row r="179" spans="1:45" ht="16" hidden="1" thickBot="1" x14ac:dyDescent="0.25">
      <c r="A179" s="1507">
        <v>5</v>
      </c>
      <c r="B179" s="1511" t="s">
        <v>398</v>
      </c>
      <c r="C179" s="1511" t="s">
        <v>259</v>
      </c>
      <c r="D179" s="1511"/>
      <c r="E179" s="1511"/>
      <c r="F179" s="1514"/>
      <c r="G179" s="1509" t="str">
        <f>IF(N179&gt;0,"P","")</f>
        <v/>
      </c>
      <c r="H179" s="1512" t="s">
        <v>3199</v>
      </c>
      <c r="I179" s="104"/>
      <c r="J179" s="98" t="s">
        <v>259</v>
      </c>
      <c r="K179" s="104"/>
      <c r="L179" s="99" t="s">
        <v>402</v>
      </c>
      <c r="M179" s="914">
        <v>3</v>
      </c>
      <c r="N179" s="922"/>
      <c r="O179" s="922"/>
      <c r="P179" s="905" t="b">
        <v>0</v>
      </c>
      <c r="Q179" s="905" t="b">
        <v>1</v>
      </c>
      <c r="R179" s="100" t="b">
        <v>0</v>
      </c>
      <c r="S179" s="100" t="b">
        <v>1</v>
      </c>
      <c r="T179" s="100" t="b">
        <v>0</v>
      </c>
      <c r="U179" s="100"/>
      <c r="V179" s="100"/>
      <c r="W179" s="184"/>
      <c r="X179" s="1602"/>
      <c r="Y179" s="1882"/>
      <c r="Z179" s="1892"/>
      <c r="AC179" s="248"/>
      <c r="AD179" s="248"/>
      <c r="AE179" s="248"/>
      <c r="AF179" s="248"/>
      <c r="AG179" s="248"/>
      <c r="AH179" s="248"/>
      <c r="AI179" s="248"/>
      <c r="AJ179" s="248"/>
      <c r="AK179" s="248"/>
      <c r="AL179" s="1352" t="str">
        <f>SUBSTITUTE(SUBSTITUTE(SUBSTITUTE("vpa"&amp;$B179&amp;$C179&amp;$D179&amp;$E179&amp;$F179,".","_"),"(","_"),")","")</f>
        <v>vpa503_6_4</v>
      </c>
      <c r="AM179" s="1352">
        <f>M179</f>
        <v>3</v>
      </c>
      <c r="AN179" s="1352"/>
      <c r="AO179" s="1352"/>
      <c r="AP179" s="1352" t="str">
        <f>SUBSTITUTE(SUBSTITUTE(SUBSTITUTE("vch"&amp;$B179&amp;$C179&amp;$D179&amp;$E179&amp;$F179,".","_"),"(","_"),")","")</f>
        <v>vch503_6_4</v>
      </c>
      <c r="AQ179" s="1352" t="str">
        <f>IF(LEN(W179)=0,"",W179)</f>
        <v/>
      </c>
      <c r="AR179" s="1352"/>
      <c r="AS179" s="1352"/>
    </row>
    <row r="180" spans="1:45" ht="15.75" customHeight="1" thickTop="1" x14ac:dyDescent="0.2">
      <c r="A180" s="1507">
        <v>5</v>
      </c>
      <c r="B180" s="1511" t="s">
        <v>403</v>
      </c>
      <c r="C180" s="1511"/>
      <c r="D180" s="1511"/>
      <c r="E180" s="1511"/>
      <c r="F180" s="1514"/>
      <c r="G180" s="1513" t="str">
        <f>IF(COUNTIF(G182:G184,"P")&gt;0,"P","")</f>
        <v>P</v>
      </c>
      <c r="H180" s="1512" t="s">
        <v>3197</v>
      </c>
      <c r="I180" s="136" t="s">
        <v>3493</v>
      </c>
      <c r="J180" s="92"/>
      <c r="K180" s="92"/>
      <c r="L180" s="1683" t="s">
        <v>3515</v>
      </c>
      <c r="M180" s="911"/>
      <c r="N180" s="935"/>
      <c r="O180" s="935"/>
      <c r="P180" s="905"/>
      <c r="Q180" s="905"/>
      <c r="R180" s="905"/>
      <c r="S180" s="905"/>
      <c r="T180" s="905"/>
      <c r="U180" s="905"/>
      <c r="V180" s="905"/>
      <c r="W180" s="183"/>
      <c r="X180" s="1599"/>
      <c r="Y180" s="1877" t="str">
        <f>IF(LEN('11.500'!X181)=0,"None",'11.500'!X181)</f>
        <v>None</v>
      </c>
      <c r="Z180" s="1880"/>
      <c r="AC180" s="248"/>
      <c r="AD180" s="248"/>
      <c r="AE180" s="248"/>
      <c r="AF180" s="248"/>
      <c r="AG180" s="248"/>
      <c r="AH180" s="248"/>
      <c r="AI180" s="248"/>
      <c r="AJ180" s="248"/>
      <c r="AK180" s="248"/>
      <c r="AL180" s="1352"/>
      <c r="AM180" s="1352"/>
      <c r="AN180" s="1352"/>
      <c r="AO180" s="1352"/>
      <c r="AP180" s="1352"/>
      <c r="AQ180" s="1352"/>
      <c r="AR180" s="1352" t="str">
        <f>SUBSTITUTE(SUBSTITUTE(SUBSTITUTE("vnt"&amp;$B180&amp;$C180&amp;$D180&amp;$E180&amp;$F180,".","_"),"(","_"),")","")</f>
        <v>vnt503_7</v>
      </c>
      <c r="AS180" s="1352" t="str">
        <f>IF(LEN(X180)=0,"",X180)</f>
        <v/>
      </c>
    </row>
    <row r="181" spans="1:45" x14ac:dyDescent="0.2">
      <c r="A181" s="1507">
        <v>5</v>
      </c>
      <c r="B181" s="1511" t="s">
        <v>403</v>
      </c>
      <c r="C181" s="1511"/>
      <c r="D181" s="1511"/>
      <c r="E181" s="1511"/>
      <c r="F181" s="1514"/>
      <c r="G181" s="1509" t="str">
        <f>G180</f>
        <v>P</v>
      </c>
      <c r="H181" s="1512" t="s">
        <v>3197</v>
      </c>
      <c r="I181" s="92"/>
      <c r="J181" s="92"/>
      <c r="K181" s="92"/>
      <c r="L181" s="1631"/>
      <c r="M181" s="911"/>
      <c r="N181" s="935"/>
      <c r="O181" s="935"/>
      <c r="P181" s="905"/>
      <c r="Q181" s="905"/>
      <c r="R181" s="905"/>
      <c r="S181" s="905"/>
      <c r="T181" s="905"/>
      <c r="U181" s="905"/>
      <c r="V181" s="905"/>
      <c r="W181" s="248"/>
      <c r="X181" s="1601"/>
      <c r="Y181" s="1881"/>
      <c r="Z181" s="1891"/>
      <c r="AC181" s="248"/>
      <c r="AD181" s="248"/>
      <c r="AE181" s="248"/>
      <c r="AF181" s="248"/>
      <c r="AG181" s="248"/>
      <c r="AH181" s="248"/>
      <c r="AI181" s="248"/>
      <c r="AJ181" s="248"/>
      <c r="AK181" s="248"/>
      <c r="AL181" s="1352"/>
      <c r="AM181" s="1352"/>
      <c r="AN181" s="1352"/>
      <c r="AO181" s="1352"/>
      <c r="AP181" s="1352"/>
      <c r="AQ181" s="1352"/>
      <c r="AR181" s="1352"/>
      <c r="AS181" s="1352"/>
    </row>
    <row r="182" spans="1:45" ht="15" customHeight="1" x14ac:dyDescent="0.2">
      <c r="A182" s="1507">
        <v>5</v>
      </c>
      <c r="B182" s="1511" t="s">
        <v>403</v>
      </c>
      <c r="C182" s="1511" t="s">
        <v>254</v>
      </c>
      <c r="D182" s="1511"/>
      <c r="E182" s="1511"/>
      <c r="F182" s="1514"/>
      <c r="G182" s="1509" t="str">
        <f>IF(N182&gt;0,"P","")</f>
        <v>P</v>
      </c>
      <c r="H182" s="1512" t="s">
        <v>3197</v>
      </c>
      <c r="I182" s="92"/>
      <c r="J182" s="93" t="s">
        <v>254</v>
      </c>
      <c r="K182" s="103"/>
      <c r="L182" s="1609" t="s">
        <v>3786</v>
      </c>
      <c r="M182" s="1623">
        <v>4</v>
      </c>
      <c r="N182" s="1619">
        <f>'11.500'!O183</f>
        <v>4</v>
      </c>
      <c r="O182" s="1619">
        <f>M182*W182</f>
        <v>4</v>
      </c>
      <c r="P182" s="905" t="b">
        <v>1</v>
      </c>
      <c r="Q182" s="905" t="b">
        <v>1</v>
      </c>
      <c r="R182" s="905" t="b">
        <v>0</v>
      </c>
      <c r="S182" s="905" t="b">
        <v>1</v>
      </c>
      <c r="T182" s="905" t="b">
        <v>0</v>
      </c>
      <c r="U182" s="905"/>
      <c r="V182" s="905"/>
      <c r="W182" s="27" t="b">
        <v>1</v>
      </c>
      <c r="X182" s="1601"/>
      <c r="Y182" s="1881"/>
      <c r="Z182" s="1891"/>
      <c r="AC182" s="248"/>
      <c r="AD182" s="248"/>
      <c r="AE182" s="248"/>
      <c r="AF182" s="248"/>
      <c r="AG182" s="248"/>
      <c r="AH182" s="248"/>
      <c r="AI182" s="248"/>
      <c r="AJ182" s="248"/>
      <c r="AK182" s="248"/>
      <c r="AL182" s="1352" t="str">
        <f>SUBSTITUTE(SUBSTITUTE(SUBSTITUTE("vpa"&amp;$B182&amp;$C182&amp;$D182&amp;$E182&amp;$F182,".","_"),"(","_"),")","")</f>
        <v>vpa503_7_1</v>
      </c>
      <c r="AM182" s="1352">
        <f>M182</f>
        <v>4</v>
      </c>
      <c r="AN182" s="1352" t="str">
        <f>SUBSTITUTE(SUBSTITUTE(SUBSTITUTE("vpc"&amp;$B182&amp;$C182&amp;$D182&amp;$E182&amp;$F182,".","_"),"(","_"),")","")</f>
        <v>vpc503_7_1</v>
      </c>
      <c r="AO182" s="1352">
        <f>O182</f>
        <v>4</v>
      </c>
      <c r="AP182" s="1352" t="str">
        <f>SUBSTITUTE(SUBSTITUTE(SUBSTITUTE("vch"&amp;$B182&amp;$C182&amp;$D182&amp;$E182&amp;$F182,".","_"),"(","_"),")","")</f>
        <v>vch503_7_1</v>
      </c>
      <c r="AQ182" s="1352" t="b">
        <f>IF(LEN(W182)=0,"",W182)</f>
        <v>1</v>
      </c>
      <c r="AR182" s="1352"/>
      <c r="AS182" s="1352"/>
    </row>
    <row r="183" spans="1:45" x14ac:dyDescent="0.2">
      <c r="A183" s="1507">
        <v>5</v>
      </c>
      <c r="B183" s="1511" t="s">
        <v>403</v>
      </c>
      <c r="C183" s="1511" t="s">
        <v>254</v>
      </c>
      <c r="D183" s="1511"/>
      <c r="E183" s="1511"/>
      <c r="F183" s="1514"/>
      <c r="G183" s="1509" t="str">
        <f>G182</f>
        <v>P</v>
      </c>
      <c r="H183" s="1512" t="s">
        <v>3197</v>
      </c>
      <c r="I183" s="92"/>
      <c r="J183" s="169"/>
      <c r="K183" s="172"/>
      <c r="L183" s="1612"/>
      <c r="M183" s="1624"/>
      <c r="N183" s="1620"/>
      <c r="O183" s="1620"/>
      <c r="P183" s="905"/>
      <c r="Q183" s="905"/>
      <c r="R183" s="905"/>
      <c r="S183" s="905"/>
      <c r="T183" s="905"/>
      <c r="U183" s="905"/>
      <c r="V183" s="905"/>
      <c r="W183" s="248"/>
      <c r="X183" s="1601"/>
      <c r="Y183" s="1881"/>
      <c r="Z183" s="1891"/>
      <c r="AC183" s="248"/>
      <c r="AD183" s="248"/>
      <c r="AE183" s="248"/>
      <c r="AF183" s="248"/>
      <c r="AG183" s="248"/>
      <c r="AH183" s="248"/>
      <c r="AI183" s="248"/>
      <c r="AJ183" s="248"/>
      <c r="AK183" s="248"/>
      <c r="AL183" s="1352"/>
      <c r="AM183" s="1352"/>
      <c r="AN183" s="1352"/>
      <c r="AO183" s="1352"/>
      <c r="AP183" s="1352"/>
      <c r="AQ183" s="1352"/>
      <c r="AR183" s="1352"/>
      <c r="AS183" s="1352"/>
    </row>
    <row r="184" spans="1:45" ht="15" hidden="1" customHeight="1" x14ac:dyDescent="0.2">
      <c r="A184" s="1507">
        <v>5</v>
      </c>
      <c r="B184" s="1511" t="s">
        <v>403</v>
      </c>
      <c r="C184" s="1511" t="s">
        <v>255</v>
      </c>
      <c r="D184" s="1511"/>
      <c r="E184" s="1511"/>
      <c r="F184" s="1514"/>
      <c r="G184" s="1509" t="str">
        <f>IF(N184&gt;0,"P","")</f>
        <v/>
      </c>
      <c r="H184" s="1512" t="s">
        <v>3197</v>
      </c>
      <c r="I184" s="103"/>
      <c r="J184" s="93" t="s">
        <v>255</v>
      </c>
      <c r="K184" s="103"/>
      <c r="L184" s="1613" t="s">
        <v>3787</v>
      </c>
      <c r="M184" s="1623">
        <v>4</v>
      </c>
      <c r="N184" s="1637">
        <f>'11.500'!O185</f>
        <v>0</v>
      </c>
      <c r="O184" s="1669">
        <f>M184*W184</f>
        <v>0</v>
      </c>
      <c r="P184" s="905" t="b">
        <v>1</v>
      </c>
      <c r="Q184" s="905" t="b">
        <v>1</v>
      </c>
      <c r="R184" s="991" t="b">
        <v>0</v>
      </c>
      <c r="S184" s="991" t="b">
        <v>1</v>
      </c>
      <c r="T184" s="991" t="b">
        <v>0</v>
      </c>
      <c r="U184" s="991"/>
      <c r="V184" s="991"/>
      <c r="W184" s="27"/>
      <c r="X184" s="1601"/>
      <c r="Y184" s="1881"/>
      <c r="Z184" s="1891"/>
      <c r="AC184" s="248"/>
      <c r="AD184" s="248"/>
      <c r="AE184" s="248"/>
      <c r="AF184" s="248"/>
      <c r="AG184" s="248"/>
      <c r="AH184" s="248"/>
      <c r="AI184" s="248"/>
      <c r="AJ184" s="248"/>
      <c r="AK184" s="248"/>
      <c r="AL184" s="1352" t="str">
        <f>SUBSTITUTE(SUBSTITUTE(SUBSTITUTE("vpa"&amp;$B184&amp;$C184&amp;$D184&amp;$E184&amp;$F184,".","_"),"(","_"),")","")</f>
        <v>vpa503_7_2</v>
      </c>
      <c r="AM184" s="1352">
        <f>M184</f>
        <v>4</v>
      </c>
      <c r="AN184" s="1352" t="str">
        <f>SUBSTITUTE(SUBSTITUTE(SUBSTITUTE("vpc"&amp;$B184&amp;$C184&amp;$D184&amp;$E184&amp;$F184,".","_"),"(","_"),")","")</f>
        <v>vpc503_7_2</v>
      </c>
      <c r="AO184" s="1352">
        <f>O184</f>
        <v>0</v>
      </c>
      <c r="AP184" s="1352" t="str">
        <f>SUBSTITUTE(SUBSTITUTE(SUBSTITUTE("vch"&amp;$B184&amp;$C184&amp;$D184&amp;$E184&amp;$F184,".","_"),"(","_"),")","")</f>
        <v>vch503_7_2</v>
      </c>
      <c r="AQ184" s="1352" t="str">
        <f>IF(LEN(W184)=0,"",W184)</f>
        <v/>
      </c>
      <c r="AR184" s="1352"/>
      <c r="AS184" s="1352"/>
    </row>
    <row r="185" spans="1:45" ht="16" hidden="1" thickBot="1" x14ac:dyDescent="0.25">
      <c r="A185" s="1507">
        <v>5</v>
      </c>
      <c r="B185" s="1511" t="s">
        <v>403</v>
      </c>
      <c r="C185" s="1511" t="s">
        <v>255</v>
      </c>
      <c r="D185" s="1511"/>
      <c r="E185" s="1511"/>
      <c r="F185" s="1514"/>
      <c r="G185" s="1509" t="str">
        <f>G184</f>
        <v/>
      </c>
      <c r="H185" s="1512" t="s">
        <v>3197</v>
      </c>
      <c r="I185" s="104"/>
      <c r="J185" s="104"/>
      <c r="K185" s="104"/>
      <c r="L185" s="1610"/>
      <c r="M185" s="1627"/>
      <c r="N185" s="1638"/>
      <c r="O185" s="1638"/>
      <c r="P185" s="100"/>
      <c r="Q185" s="100"/>
      <c r="R185" s="100"/>
      <c r="S185" s="100"/>
      <c r="T185" s="100"/>
      <c r="U185" s="100"/>
      <c r="V185" s="100"/>
      <c r="W185" s="100"/>
      <c r="X185" s="1602"/>
      <c r="Y185" s="1882"/>
      <c r="Z185" s="1892"/>
      <c r="AC185" s="248"/>
      <c r="AD185" s="248"/>
      <c r="AE185" s="248"/>
      <c r="AF185" s="248"/>
      <c r="AG185" s="248"/>
      <c r="AH185" s="248"/>
      <c r="AI185" s="248"/>
      <c r="AJ185" s="248"/>
      <c r="AK185" s="248"/>
      <c r="AL185" s="1352"/>
      <c r="AM185" s="1352"/>
      <c r="AN185" s="1352"/>
      <c r="AO185" s="1352"/>
      <c r="AP185" s="1352"/>
      <c r="AQ185" s="1352"/>
      <c r="AR185" s="1352"/>
      <c r="AS185" s="1352"/>
    </row>
    <row r="186" spans="1:45" ht="19" x14ac:dyDescent="0.25">
      <c r="A186" s="1507">
        <v>5</v>
      </c>
      <c r="B186" s="1511" t="s">
        <v>5296</v>
      </c>
      <c r="C186" s="1511"/>
      <c r="D186" s="1511"/>
      <c r="E186" s="1511"/>
      <c r="F186" s="1514"/>
      <c r="G186" s="1509" t="s">
        <v>3200</v>
      </c>
      <c r="H186" s="1510" t="s">
        <v>3197</v>
      </c>
      <c r="I186" s="90" t="s">
        <v>3494</v>
      </c>
      <c r="J186" s="90"/>
      <c r="K186" s="90"/>
      <c r="L186" s="86"/>
      <c r="M186" s="339"/>
      <c r="N186" s="419"/>
      <c r="O186" s="419"/>
      <c r="P186" s="25"/>
      <c r="Q186" s="25"/>
      <c r="R186" s="25"/>
      <c r="S186" s="25"/>
      <c r="T186" s="25"/>
      <c r="U186" s="25"/>
      <c r="V186" s="25"/>
      <c r="W186" s="25"/>
      <c r="X186" s="25"/>
      <c r="Y186" s="25"/>
      <c r="Z186" s="714"/>
      <c r="AC186" s="248"/>
      <c r="AD186" s="248"/>
      <c r="AE186" s="248"/>
      <c r="AF186" s="248"/>
      <c r="AG186" s="248"/>
      <c r="AH186" s="248"/>
      <c r="AI186" s="248"/>
      <c r="AJ186" s="248"/>
      <c r="AK186" s="248"/>
      <c r="AL186" s="1352"/>
      <c r="AM186" s="1352"/>
      <c r="AN186" s="1352"/>
      <c r="AO186" s="1352"/>
      <c r="AP186" s="1352"/>
      <c r="AQ186" s="1352"/>
      <c r="AR186" s="1352"/>
      <c r="AS186" s="1352"/>
    </row>
    <row r="187" spans="1:45" ht="15" hidden="1" customHeight="1" x14ac:dyDescent="0.2">
      <c r="A187" s="1507">
        <v>5</v>
      </c>
      <c r="B187" s="1511" t="s">
        <v>404</v>
      </c>
      <c r="C187" s="1511"/>
      <c r="D187" s="1511"/>
      <c r="E187" s="1511"/>
      <c r="F187" s="1514"/>
      <c r="G187" s="1512"/>
      <c r="H187" s="1512"/>
      <c r="I187" s="93" t="s">
        <v>3495</v>
      </c>
      <c r="J187" s="103"/>
      <c r="K187" s="103"/>
      <c r="L187" s="1629" t="s">
        <v>3788</v>
      </c>
      <c r="M187" s="913"/>
      <c r="N187" s="908"/>
      <c r="O187" s="908"/>
      <c r="P187" s="991"/>
      <c r="Q187" s="991"/>
      <c r="R187" s="991"/>
      <c r="S187" s="991"/>
      <c r="T187" s="991"/>
      <c r="U187" s="991"/>
      <c r="V187" s="991"/>
      <c r="W187" s="96"/>
      <c r="X187" s="1135"/>
      <c r="Y187" s="1135"/>
      <c r="Z187" s="718"/>
      <c r="AC187" s="248"/>
      <c r="AD187" s="248"/>
      <c r="AE187" s="248"/>
      <c r="AF187" s="248"/>
      <c r="AG187" s="248"/>
      <c r="AH187" s="248"/>
      <c r="AI187" s="248"/>
      <c r="AJ187" s="248"/>
      <c r="AK187" s="248"/>
      <c r="AL187" s="1352"/>
      <c r="AM187" s="1352"/>
      <c r="AN187" s="1352"/>
      <c r="AO187" s="1352"/>
      <c r="AP187" s="1352"/>
      <c r="AQ187" s="1352"/>
      <c r="AR187" s="1352"/>
      <c r="AS187" s="1352"/>
    </row>
    <row r="188" spans="1:45" ht="16" hidden="1" thickBot="1" x14ac:dyDescent="0.25">
      <c r="A188" s="1507">
        <v>5</v>
      </c>
      <c r="B188" s="1511" t="s">
        <v>404</v>
      </c>
      <c r="C188" s="1511"/>
      <c r="D188" s="1511"/>
      <c r="E188" s="1511"/>
      <c r="F188" s="1514"/>
      <c r="G188" s="1512"/>
      <c r="H188" s="1512"/>
      <c r="I188" s="104"/>
      <c r="J188" s="104"/>
      <c r="K188" s="104"/>
      <c r="L188" s="1630"/>
      <c r="M188" s="914"/>
      <c r="N188" s="922"/>
      <c r="O188" s="922"/>
      <c r="P188" s="100"/>
      <c r="Q188" s="100"/>
      <c r="R188" s="100"/>
      <c r="S188" s="100"/>
      <c r="T188" s="100"/>
      <c r="U188" s="100"/>
      <c r="V188" s="100"/>
      <c r="W188" s="100"/>
      <c r="X188" s="100"/>
      <c r="Y188" s="100"/>
      <c r="Z188" s="716"/>
      <c r="AC188" s="248"/>
      <c r="AD188" s="248"/>
      <c r="AE188" s="248"/>
      <c r="AF188" s="248"/>
      <c r="AG188" s="248"/>
      <c r="AH188" s="248"/>
      <c r="AI188" s="248"/>
      <c r="AJ188" s="248"/>
      <c r="AK188" s="248"/>
      <c r="AL188" s="1352"/>
      <c r="AM188" s="1352"/>
      <c r="AN188" s="1352"/>
      <c r="AO188" s="1352"/>
      <c r="AP188" s="1352"/>
      <c r="AQ188" s="1352"/>
      <c r="AR188" s="1352"/>
      <c r="AS188" s="1352"/>
    </row>
    <row r="189" spans="1:45" ht="15.75" hidden="1" customHeight="1" thickTop="1" x14ac:dyDescent="0.2">
      <c r="A189" s="1507">
        <v>5</v>
      </c>
      <c r="B189" s="1511" t="s">
        <v>405</v>
      </c>
      <c r="C189" s="1511"/>
      <c r="D189" s="1511"/>
      <c r="E189" s="1511"/>
      <c r="F189" s="1514"/>
      <c r="G189" s="1509" t="str">
        <f>IF(N189&gt;0,"P","")</f>
        <v/>
      </c>
      <c r="H189" s="1512" t="s">
        <v>3197</v>
      </c>
      <c r="I189" s="115" t="s">
        <v>3496</v>
      </c>
      <c r="J189" s="108"/>
      <c r="K189" s="108"/>
      <c r="L189" s="1683" t="s">
        <v>3789</v>
      </c>
      <c r="M189" s="1685">
        <v>4</v>
      </c>
      <c r="N189" s="1682">
        <f>'11.500'!O190</f>
        <v>0</v>
      </c>
      <c r="O189" s="1682">
        <f>M189*W189*S189</f>
        <v>0</v>
      </c>
      <c r="P189" s="905" t="b">
        <v>1</v>
      </c>
      <c r="Q189" s="905" t="b">
        <v>1</v>
      </c>
      <c r="R189" s="106" t="b">
        <v>0</v>
      </c>
      <c r="S189" s="106" t="b">
        <f>IF((O96+O98+O104)&gt;0,TRUE,FALSE)</f>
        <v>0</v>
      </c>
      <c r="T189" s="991" t="b">
        <f>AND(NOT(S189),W189=TRUE)</f>
        <v>0</v>
      </c>
      <c r="U189" s="106"/>
      <c r="V189" s="106"/>
      <c r="W189" s="27"/>
      <c r="X189" s="1599"/>
      <c r="Y189" s="1877" t="str">
        <f>IF(LEN('11.500'!X190)=0,"None",'11.500'!X190)</f>
        <v>None</v>
      </c>
      <c r="Z189" s="1880"/>
      <c r="AC189" s="248" t="b">
        <f>OR(AD189:AE189)</f>
        <v>0</v>
      </c>
      <c r="AD189" s="248" t="b">
        <f>T189</f>
        <v>0</v>
      </c>
      <c r="AE189" s="248"/>
      <c r="AF189" s="248"/>
      <c r="AG189" s="248"/>
      <c r="AH189" s="248"/>
      <c r="AI189" s="248"/>
      <c r="AJ189" s="248"/>
      <c r="AK189" s="248"/>
      <c r="AL189" s="1352" t="str">
        <f>SUBSTITUTE(SUBSTITUTE(SUBSTITUTE("vpa"&amp;$B189&amp;$C189&amp;$D189&amp;$E189&amp;$F189,".","_"),"(","_"),")","")</f>
        <v>vpa504_1</v>
      </c>
      <c r="AM189" s="1352">
        <f>M189</f>
        <v>4</v>
      </c>
      <c r="AN189" s="1352" t="str">
        <f>SUBSTITUTE(SUBSTITUTE(SUBSTITUTE("vpc"&amp;$B189&amp;$C189&amp;$D189&amp;$E189&amp;$F189,".","_"),"(","_"),")","")</f>
        <v>vpc504_1</v>
      </c>
      <c r="AO189" s="1352">
        <f>O189</f>
        <v>0</v>
      </c>
      <c r="AP189" s="1352" t="str">
        <f>SUBSTITUTE(SUBSTITUTE(SUBSTITUTE("vch"&amp;$B189&amp;$C189&amp;$D189&amp;$E189&amp;$F189,".","_"),"(","_"),")","")</f>
        <v>vch504_1</v>
      </c>
      <c r="AQ189" s="1352" t="str">
        <f>IF(LEN(W189)=0,"",W189)</f>
        <v/>
      </c>
      <c r="AR189" s="1352" t="str">
        <f>SUBSTITUTE(SUBSTITUTE(SUBSTITUTE("vnt"&amp;$B189&amp;$C189&amp;$D189&amp;$E189&amp;$F189,".","_"),"(","_"),")","")</f>
        <v>vnt504_1</v>
      </c>
      <c r="AS189" s="1352" t="str">
        <f>IF(LEN(X189)=0,"",X189)</f>
        <v/>
      </c>
    </row>
    <row r="190" spans="1:45" hidden="1" x14ac:dyDescent="0.2">
      <c r="A190" s="1507">
        <v>5</v>
      </c>
      <c r="B190" s="1511" t="s">
        <v>405</v>
      </c>
      <c r="C190" s="1511"/>
      <c r="D190" s="1511"/>
      <c r="E190" s="1511"/>
      <c r="F190" s="1514"/>
      <c r="G190" s="1509" t="str">
        <f>G189</f>
        <v/>
      </c>
      <c r="H190" s="1512" t="s">
        <v>3197</v>
      </c>
      <c r="I190" s="103"/>
      <c r="J190" s="103"/>
      <c r="K190" s="103"/>
      <c r="L190" s="1629"/>
      <c r="M190" s="1623"/>
      <c r="N190" s="1619"/>
      <c r="O190" s="1619"/>
      <c r="P190" s="991"/>
      <c r="Q190" s="991"/>
      <c r="R190" s="991"/>
      <c r="S190" s="991"/>
      <c r="T190" s="991"/>
      <c r="U190" s="991"/>
      <c r="V190" s="991"/>
      <c r="W190" s="96"/>
      <c r="X190" s="1601"/>
      <c r="Y190" s="1881"/>
      <c r="Z190" s="1891"/>
      <c r="AC190" s="248"/>
      <c r="AD190" s="248"/>
      <c r="AE190" s="248"/>
      <c r="AF190" s="248"/>
      <c r="AG190" s="248"/>
      <c r="AH190" s="248"/>
      <c r="AI190" s="248"/>
      <c r="AJ190" s="248"/>
      <c r="AK190" s="248"/>
      <c r="AL190" s="1352"/>
      <c r="AM190" s="1352"/>
      <c r="AN190" s="1352"/>
      <c r="AO190" s="1352"/>
      <c r="AP190" s="1352"/>
      <c r="AQ190" s="1352"/>
      <c r="AR190" s="1352"/>
      <c r="AS190" s="1352"/>
    </row>
    <row r="191" spans="1:45" hidden="1" x14ac:dyDescent="0.2">
      <c r="A191" s="1507">
        <v>5</v>
      </c>
      <c r="B191" s="1511" t="s">
        <v>405</v>
      </c>
      <c r="C191" s="1511"/>
      <c r="D191" s="1511"/>
      <c r="E191" s="1511"/>
      <c r="F191" s="1514"/>
      <c r="G191" s="1509" t="str">
        <f>G190</f>
        <v/>
      </c>
      <c r="H191" s="1512" t="s">
        <v>3197</v>
      </c>
      <c r="I191" s="103"/>
      <c r="J191" s="103"/>
      <c r="K191" s="103"/>
      <c r="L191" s="1629"/>
      <c r="M191" s="1623"/>
      <c r="N191" s="1619"/>
      <c r="O191" s="1619"/>
      <c r="P191" s="991"/>
      <c r="Q191" s="991"/>
      <c r="R191" s="991"/>
      <c r="S191" s="991"/>
      <c r="T191" s="991"/>
      <c r="U191" s="991"/>
      <c r="V191" s="991"/>
      <c r="W191" s="96"/>
      <c r="X191" s="1601"/>
      <c r="Y191" s="1881"/>
      <c r="Z191" s="1891"/>
      <c r="AC191" s="248"/>
      <c r="AD191" s="248"/>
      <c r="AE191" s="248"/>
      <c r="AF191" s="248"/>
      <c r="AG191" s="248"/>
      <c r="AH191" s="248"/>
      <c r="AI191" s="248"/>
      <c r="AJ191" s="248"/>
      <c r="AK191" s="248"/>
      <c r="AL191" s="1352"/>
      <c r="AM191" s="1352"/>
      <c r="AN191" s="1352"/>
      <c r="AO191" s="1352"/>
      <c r="AP191" s="1352"/>
      <c r="AQ191" s="1352"/>
      <c r="AR191" s="1352"/>
      <c r="AS191" s="1352"/>
    </row>
    <row r="192" spans="1:45" hidden="1" x14ac:dyDescent="0.2">
      <c r="A192" s="1507">
        <v>5</v>
      </c>
      <c r="B192" s="1511" t="s">
        <v>405</v>
      </c>
      <c r="C192" s="1511"/>
      <c r="D192" s="1511"/>
      <c r="E192" s="1511"/>
      <c r="F192" s="1514"/>
      <c r="G192" s="1509" t="str">
        <f>G191</f>
        <v/>
      </c>
      <c r="H192" s="1512" t="s">
        <v>3197</v>
      </c>
      <c r="I192" s="103"/>
      <c r="J192" s="103"/>
      <c r="K192" s="103"/>
      <c r="L192" s="1786"/>
      <c r="M192" s="1623"/>
      <c r="N192" s="1619"/>
      <c r="O192" s="1619"/>
      <c r="P192" s="991"/>
      <c r="Q192" s="991"/>
      <c r="R192" s="991"/>
      <c r="S192" s="991"/>
      <c r="T192" s="991"/>
      <c r="U192" s="991"/>
      <c r="V192" s="991"/>
      <c r="W192" s="96"/>
      <c r="X192" s="1601"/>
      <c r="Y192" s="1881"/>
      <c r="Z192" s="1891"/>
      <c r="AC192" s="248"/>
      <c r="AD192" s="248"/>
      <c r="AE192" s="248"/>
      <c r="AF192" s="248"/>
      <c r="AG192" s="248"/>
      <c r="AH192" s="248"/>
      <c r="AI192" s="248"/>
      <c r="AJ192" s="248"/>
      <c r="AK192" s="248"/>
      <c r="AL192" s="1352"/>
      <c r="AM192" s="1352"/>
      <c r="AN192" s="1352"/>
      <c r="AO192" s="1352"/>
      <c r="AP192" s="1352"/>
      <c r="AQ192" s="1352"/>
      <c r="AR192" s="1352"/>
      <c r="AS192" s="1352"/>
    </row>
    <row r="193" spans="1:45" ht="16" hidden="1" thickBot="1" x14ac:dyDescent="0.25">
      <c r="A193" s="1507">
        <v>5</v>
      </c>
      <c r="B193" s="1511" t="s">
        <v>405</v>
      </c>
      <c r="C193" s="1511"/>
      <c r="D193" s="1511"/>
      <c r="E193" s="1511"/>
      <c r="F193" s="1514"/>
      <c r="G193" s="1509" t="str">
        <f>G192</f>
        <v/>
      </c>
      <c r="H193" s="1512" t="s">
        <v>3197</v>
      </c>
      <c r="I193" s="104"/>
      <c r="J193" s="104"/>
      <c r="K193" s="104"/>
      <c r="L193" s="709" t="s">
        <v>3790</v>
      </c>
      <c r="M193" s="1627"/>
      <c r="N193" s="1638"/>
      <c r="O193" s="1638"/>
      <c r="P193" s="100"/>
      <c r="Q193" s="100"/>
      <c r="R193" s="100"/>
      <c r="S193" s="100"/>
      <c r="T193" s="100"/>
      <c r="U193" s="100"/>
      <c r="V193" s="100"/>
      <c r="W193" s="100"/>
      <c r="X193" s="1602"/>
      <c r="Y193" s="1882"/>
      <c r="Z193" s="1892"/>
      <c r="AC193" s="248"/>
      <c r="AD193" s="248"/>
      <c r="AE193" s="248"/>
      <c r="AF193" s="248"/>
      <c r="AG193" s="248"/>
      <c r="AH193" s="248"/>
      <c r="AI193" s="248"/>
      <c r="AJ193" s="248"/>
      <c r="AK193" s="248"/>
      <c r="AL193" s="1352"/>
      <c r="AM193" s="1352"/>
      <c r="AN193" s="1352"/>
      <c r="AO193" s="1352"/>
      <c r="AP193" s="1352"/>
      <c r="AQ193" s="1352"/>
      <c r="AR193" s="1352"/>
      <c r="AS193" s="1352"/>
    </row>
    <row r="194" spans="1:45" ht="15.75" hidden="1" customHeight="1" thickTop="1" x14ac:dyDescent="0.2">
      <c r="A194" s="1507">
        <v>5</v>
      </c>
      <c r="B194" s="1511" t="s">
        <v>406</v>
      </c>
      <c r="C194" s="1511"/>
      <c r="D194" s="1511"/>
      <c r="E194" s="1511"/>
      <c r="F194" s="1514"/>
      <c r="G194" s="1513" t="str">
        <f>IF(COUNTIF(G196:G199,"P")&gt;0,"P","")</f>
        <v/>
      </c>
      <c r="H194" s="1512" t="s">
        <v>3198</v>
      </c>
      <c r="I194" s="89" t="s">
        <v>3497</v>
      </c>
      <c r="J194" s="92"/>
      <c r="K194" s="92"/>
      <c r="L194" s="1683" t="s">
        <v>3516</v>
      </c>
      <c r="M194" s="911"/>
      <c r="N194" s="935"/>
      <c r="O194" s="935"/>
      <c r="P194" s="905"/>
      <c r="Q194" s="905"/>
      <c r="R194" s="905"/>
      <c r="S194" s="905"/>
      <c r="T194" s="905"/>
      <c r="U194" s="905"/>
      <c r="V194" s="905"/>
      <c r="W194" s="248"/>
      <c r="X194" s="1599"/>
      <c r="Y194" s="1877" t="str">
        <f>IF(LEN('11.500'!X195)=0,"None",'11.500'!X195)</f>
        <v>None</v>
      </c>
      <c r="Z194" s="1880"/>
      <c r="AC194" s="248"/>
      <c r="AD194" s="248"/>
      <c r="AE194" s="248"/>
      <c r="AF194" s="248"/>
      <c r="AG194" s="248"/>
      <c r="AH194" s="248"/>
      <c r="AI194" s="248"/>
      <c r="AJ194" s="248"/>
      <c r="AK194" s="248"/>
      <c r="AL194" s="1352"/>
      <c r="AM194" s="1352"/>
      <c r="AN194" s="1352"/>
      <c r="AO194" s="1352"/>
      <c r="AP194" s="1352"/>
      <c r="AQ194" s="1352"/>
      <c r="AR194" s="1352" t="str">
        <f>SUBSTITUTE(SUBSTITUTE(SUBSTITUTE("vnt"&amp;$B194&amp;$C194&amp;$D194&amp;$E194&amp;$F194,".","_"),"(","_"),")","")</f>
        <v>vnt504_2</v>
      </c>
      <c r="AS194" s="1352" t="str">
        <f>IF(LEN(X194)=0,"",X194)</f>
        <v/>
      </c>
    </row>
    <row r="195" spans="1:45" hidden="1" x14ac:dyDescent="0.2">
      <c r="A195" s="1507">
        <v>5</v>
      </c>
      <c r="B195" s="1511" t="s">
        <v>406</v>
      </c>
      <c r="C195" s="1511"/>
      <c r="D195" s="1511"/>
      <c r="E195" s="1511"/>
      <c r="F195" s="1514"/>
      <c r="G195" s="1509" t="str">
        <f>G194</f>
        <v/>
      </c>
      <c r="H195" s="1512" t="s">
        <v>3198</v>
      </c>
      <c r="I195" s="92"/>
      <c r="J195" s="92"/>
      <c r="K195" s="92"/>
      <c r="L195" s="1631"/>
      <c r="M195" s="911"/>
      <c r="N195" s="935"/>
      <c r="O195" s="935"/>
      <c r="P195" s="905"/>
      <c r="Q195" s="905"/>
      <c r="R195" s="905"/>
      <c r="S195" s="905"/>
      <c r="T195" s="905"/>
      <c r="U195" s="905"/>
      <c r="V195" s="905"/>
      <c r="W195" s="248"/>
      <c r="X195" s="1601"/>
      <c r="Y195" s="1881"/>
      <c r="Z195" s="1891"/>
      <c r="AC195" s="248"/>
      <c r="AD195" s="248"/>
      <c r="AE195" s="248"/>
      <c r="AF195" s="248"/>
      <c r="AG195" s="248"/>
      <c r="AH195" s="248"/>
      <c r="AI195" s="248"/>
      <c r="AJ195" s="248"/>
      <c r="AK195" s="248"/>
      <c r="AL195" s="1352"/>
      <c r="AM195" s="1352"/>
      <c r="AN195" s="1352"/>
      <c r="AO195" s="1352"/>
      <c r="AP195" s="1352"/>
      <c r="AQ195" s="1352"/>
      <c r="AR195" s="1352"/>
      <c r="AS195" s="1352"/>
    </row>
    <row r="196" spans="1:45" hidden="1" x14ac:dyDescent="0.2">
      <c r="A196" s="1507">
        <v>5</v>
      </c>
      <c r="B196" s="1511" t="s">
        <v>406</v>
      </c>
      <c r="C196" s="1511" t="s">
        <v>254</v>
      </c>
      <c r="D196" s="1511"/>
      <c r="E196" s="1511"/>
      <c r="F196" s="1514"/>
      <c r="G196" s="1509" t="str">
        <f>IF(N196&gt;0,"P","")</f>
        <v/>
      </c>
      <c r="H196" s="1512" t="s">
        <v>3198</v>
      </c>
      <c r="I196" s="92"/>
      <c r="J196" s="169" t="s">
        <v>254</v>
      </c>
      <c r="K196" s="172"/>
      <c r="L196" s="170" t="s">
        <v>407</v>
      </c>
      <c r="M196" s="937">
        <v>3</v>
      </c>
      <c r="N196" s="909">
        <f>'11.500'!O197</f>
        <v>0</v>
      </c>
      <c r="O196" s="909">
        <f>M196*W196</f>
        <v>0</v>
      </c>
      <c r="P196" s="905" t="b">
        <v>1</v>
      </c>
      <c r="Q196" s="905" t="b">
        <v>0</v>
      </c>
      <c r="R196" s="905" t="b">
        <v>0</v>
      </c>
      <c r="S196" s="905" t="b">
        <v>1</v>
      </c>
      <c r="T196" s="905" t="b">
        <v>0</v>
      </c>
      <c r="U196" s="905"/>
      <c r="V196" s="905"/>
      <c r="W196" s="27"/>
      <c r="X196" s="1601"/>
      <c r="Y196" s="1881"/>
      <c r="Z196" s="1891"/>
      <c r="AC196" s="248"/>
      <c r="AD196" s="248"/>
      <c r="AE196" s="248"/>
      <c r="AF196" s="248"/>
      <c r="AG196" s="248"/>
      <c r="AH196" s="248"/>
      <c r="AI196" s="248"/>
      <c r="AJ196" s="248"/>
      <c r="AK196" s="248"/>
      <c r="AL196" s="1352" t="str">
        <f>SUBSTITUTE(SUBSTITUTE(SUBSTITUTE("vpa"&amp;$B196&amp;$C196&amp;$D196&amp;$E196&amp;$F196,".","_"),"(","_"),")","")</f>
        <v>vpa504_2_1</v>
      </c>
      <c r="AM196" s="1352">
        <f>M196</f>
        <v>3</v>
      </c>
      <c r="AN196" s="1352" t="str">
        <f>SUBSTITUTE(SUBSTITUTE(SUBSTITUTE("vpc"&amp;$B196&amp;$C196&amp;$D196&amp;$E196&amp;$F196,".","_"),"(","_"),")","")</f>
        <v>vpc504_2_1</v>
      </c>
      <c r="AO196" s="1352">
        <f>O196</f>
        <v>0</v>
      </c>
      <c r="AP196" s="1352" t="str">
        <f>SUBSTITUTE(SUBSTITUTE(SUBSTITUTE("vch"&amp;$B196&amp;$C196&amp;$D196&amp;$E196&amp;$F196,".","_"),"(","_"),")","")</f>
        <v>vch504_2_1</v>
      </c>
      <c r="AQ196" s="1352" t="str">
        <f>IF(LEN(W196)=0,"",W196)</f>
        <v/>
      </c>
      <c r="AR196" s="1352"/>
      <c r="AS196" s="1352"/>
    </row>
    <row r="197" spans="1:45" ht="15" hidden="1" customHeight="1" x14ac:dyDescent="0.2">
      <c r="A197" s="1507">
        <v>5</v>
      </c>
      <c r="B197" s="1511" t="s">
        <v>406</v>
      </c>
      <c r="C197" s="1511" t="s">
        <v>255</v>
      </c>
      <c r="D197" s="1511"/>
      <c r="E197" s="1511"/>
      <c r="F197" s="1514"/>
      <c r="G197" s="1509" t="str">
        <f>IF(N197&gt;0,"P","")</f>
        <v/>
      </c>
      <c r="H197" s="1512" t="s">
        <v>3198</v>
      </c>
      <c r="I197" s="92"/>
      <c r="J197" s="93" t="s">
        <v>255</v>
      </c>
      <c r="K197" s="103"/>
      <c r="L197" s="1613" t="s">
        <v>408</v>
      </c>
      <c r="M197" s="1623">
        <v>5</v>
      </c>
      <c r="N197" s="1637">
        <f>'11.500'!O198</f>
        <v>0</v>
      </c>
      <c r="O197" s="1619">
        <f>M197*W197</f>
        <v>0</v>
      </c>
      <c r="P197" s="905" t="b">
        <v>1</v>
      </c>
      <c r="Q197" s="905" t="b">
        <v>0</v>
      </c>
      <c r="R197" s="905" t="b">
        <v>0</v>
      </c>
      <c r="S197" s="905" t="b">
        <v>1</v>
      </c>
      <c r="T197" s="905" t="b">
        <v>0</v>
      </c>
      <c r="U197" s="905"/>
      <c r="V197" s="905"/>
      <c r="W197" s="27"/>
      <c r="X197" s="1601"/>
      <c r="Y197" s="1881"/>
      <c r="Z197" s="1891"/>
      <c r="AC197" s="248"/>
      <c r="AD197" s="248"/>
      <c r="AE197" s="248"/>
      <c r="AF197" s="248"/>
      <c r="AG197" s="248"/>
      <c r="AH197" s="248"/>
      <c r="AI197" s="248"/>
      <c r="AJ197" s="248"/>
      <c r="AK197" s="248"/>
      <c r="AL197" s="1352" t="str">
        <f>SUBSTITUTE(SUBSTITUTE(SUBSTITUTE("vpa"&amp;$B197&amp;$C197&amp;$D197&amp;$E197&amp;$F197,".","_"),"(","_"),")","")</f>
        <v>vpa504_2_2</v>
      </c>
      <c r="AM197" s="1352">
        <f>M197</f>
        <v>5</v>
      </c>
      <c r="AN197" s="1352" t="str">
        <f>SUBSTITUTE(SUBSTITUTE(SUBSTITUTE("vpc"&amp;$B197&amp;$C197&amp;$D197&amp;$E197&amp;$F197,".","_"),"(","_"),")","")</f>
        <v>vpc504_2_2</v>
      </c>
      <c r="AO197" s="1352">
        <f>O197</f>
        <v>0</v>
      </c>
      <c r="AP197" s="1352" t="str">
        <f>SUBSTITUTE(SUBSTITUTE(SUBSTITUTE("vch"&amp;$B197&amp;$C197&amp;$D197&amp;$E197&amp;$F197,".","_"),"(","_"),")","")</f>
        <v>vch504_2_2</v>
      </c>
      <c r="AQ197" s="1352" t="str">
        <f>IF(LEN(W197)=0,"",W197)</f>
        <v/>
      </c>
      <c r="AR197" s="1352"/>
      <c r="AS197" s="1352"/>
    </row>
    <row r="198" spans="1:45" hidden="1" x14ac:dyDescent="0.2">
      <c r="A198" s="1507">
        <v>5</v>
      </c>
      <c r="B198" s="1511" t="s">
        <v>406</v>
      </c>
      <c r="C198" s="1511" t="s">
        <v>255</v>
      </c>
      <c r="D198" s="1511"/>
      <c r="E198" s="1511"/>
      <c r="F198" s="1514"/>
      <c r="G198" s="1509" t="str">
        <f>G197</f>
        <v/>
      </c>
      <c r="H198" s="1512" t="s">
        <v>3198</v>
      </c>
      <c r="I198" s="92"/>
      <c r="J198" s="169"/>
      <c r="K198" s="172"/>
      <c r="L198" s="1612"/>
      <c r="M198" s="1624"/>
      <c r="N198" s="1620"/>
      <c r="O198" s="1620"/>
      <c r="P198" s="905"/>
      <c r="Q198" s="905"/>
      <c r="R198" s="905"/>
      <c r="S198" s="905"/>
      <c r="T198" s="905"/>
      <c r="U198" s="905"/>
      <c r="V198" s="905"/>
      <c r="W198" s="248"/>
      <c r="X198" s="1601"/>
      <c r="Y198" s="1881"/>
      <c r="Z198" s="1891"/>
      <c r="AC198" s="248"/>
      <c r="AD198" s="248"/>
      <c r="AE198" s="248"/>
      <c r="AF198" s="248"/>
      <c r="AG198" s="248"/>
      <c r="AH198" s="248"/>
      <c r="AI198" s="248"/>
      <c r="AJ198" s="248"/>
      <c r="AK198" s="248"/>
      <c r="AL198" s="1352"/>
      <c r="AM198" s="1352"/>
      <c r="AN198" s="1352"/>
      <c r="AO198" s="1352"/>
      <c r="AP198" s="1352"/>
      <c r="AQ198" s="1352"/>
      <c r="AR198" s="1352"/>
      <c r="AS198" s="1352"/>
    </row>
    <row r="199" spans="1:45" ht="15" hidden="1" customHeight="1" x14ac:dyDescent="0.2">
      <c r="A199" s="1507">
        <v>5</v>
      </c>
      <c r="B199" s="1511" t="s">
        <v>406</v>
      </c>
      <c r="C199" s="1511" t="s">
        <v>256</v>
      </c>
      <c r="D199" s="1511"/>
      <c r="E199" s="1511"/>
      <c r="F199" s="1514"/>
      <c r="G199" s="1509" t="str">
        <f>IF(N199&gt;0,"P","")</f>
        <v/>
      </c>
      <c r="H199" s="1512" t="s">
        <v>3198</v>
      </c>
      <c r="I199" s="103"/>
      <c r="J199" s="93" t="s">
        <v>256</v>
      </c>
      <c r="K199" s="103"/>
      <c r="L199" s="1613" t="s">
        <v>409</v>
      </c>
      <c r="M199" s="1623">
        <v>4</v>
      </c>
      <c r="N199" s="1637">
        <f>'11.500'!O200</f>
        <v>0</v>
      </c>
      <c r="O199" s="1669">
        <f>M199*W199</f>
        <v>0</v>
      </c>
      <c r="P199" s="905" t="b">
        <v>1</v>
      </c>
      <c r="Q199" s="905" t="b">
        <v>0</v>
      </c>
      <c r="R199" s="991" t="b">
        <v>0</v>
      </c>
      <c r="S199" s="991" t="b">
        <v>1</v>
      </c>
      <c r="T199" s="991" t="b">
        <v>0</v>
      </c>
      <c r="U199" s="991"/>
      <c r="V199" s="991"/>
      <c r="W199" s="27"/>
      <c r="X199" s="1601"/>
      <c r="Y199" s="1881"/>
      <c r="Z199" s="1891"/>
      <c r="AC199" s="248"/>
      <c r="AD199" s="248"/>
      <c r="AE199" s="248"/>
      <c r="AF199" s="248"/>
      <c r="AG199" s="248"/>
      <c r="AH199" s="248"/>
      <c r="AI199" s="248"/>
      <c r="AJ199" s="248"/>
      <c r="AK199" s="248"/>
      <c r="AL199" s="1352" t="str">
        <f>SUBSTITUTE(SUBSTITUTE(SUBSTITUTE("vpa"&amp;$B199&amp;$C199&amp;$D199&amp;$E199&amp;$F199,".","_"),"(","_"),")","")</f>
        <v>vpa504_2_3</v>
      </c>
      <c r="AM199" s="1352">
        <f>M199</f>
        <v>4</v>
      </c>
      <c r="AN199" s="1352" t="str">
        <f>SUBSTITUTE(SUBSTITUTE(SUBSTITUTE("vpc"&amp;$B199&amp;$C199&amp;$D199&amp;$E199&amp;$F199,".","_"),"(","_"),")","")</f>
        <v>vpc504_2_3</v>
      </c>
      <c r="AO199" s="1352">
        <f>O199</f>
        <v>0</v>
      </c>
      <c r="AP199" s="1352" t="str">
        <f>SUBSTITUTE(SUBSTITUTE(SUBSTITUTE("vch"&amp;$B199&amp;$C199&amp;$D199&amp;$E199&amp;$F199,".","_"),"(","_"),")","")</f>
        <v>vch504_2_3</v>
      </c>
      <c r="AQ199" s="1352" t="str">
        <f>IF(LEN(W199)=0,"",W199)</f>
        <v/>
      </c>
      <c r="AR199" s="1352"/>
      <c r="AS199" s="1352"/>
    </row>
    <row r="200" spans="1:45" ht="16" hidden="1" thickBot="1" x14ac:dyDescent="0.25">
      <c r="A200" s="1507">
        <v>5</v>
      </c>
      <c r="B200" s="1511" t="s">
        <v>406</v>
      </c>
      <c r="C200" s="1511" t="s">
        <v>256</v>
      </c>
      <c r="D200" s="1511"/>
      <c r="E200" s="1511"/>
      <c r="F200" s="1514"/>
      <c r="G200" s="1509" t="str">
        <f>G199</f>
        <v/>
      </c>
      <c r="H200" s="1512" t="s">
        <v>3198</v>
      </c>
      <c r="I200" s="104"/>
      <c r="J200" s="104"/>
      <c r="K200" s="104"/>
      <c r="L200" s="1610"/>
      <c r="M200" s="1627"/>
      <c r="N200" s="1638"/>
      <c r="O200" s="1638"/>
      <c r="P200" s="100"/>
      <c r="Q200" s="100"/>
      <c r="R200" s="100"/>
      <c r="S200" s="100"/>
      <c r="T200" s="100"/>
      <c r="U200" s="100"/>
      <c r="V200" s="100"/>
      <c r="W200" s="100"/>
      <c r="X200" s="1602"/>
      <c r="Y200" s="1882"/>
      <c r="Z200" s="1892"/>
      <c r="AC200" s="248"/>
      <c r="AD200" s="248"/>
      <c r="AE200" s="248"/>
      <c r="AF200" s="248"/>
      <c r="AG200" s="248"/>
      <c r="AH200" s="248"/>
      <c r="AI200" s="248"/>
      <c r="AJ200" s="248"/>
      <c r="AK200" s="248"/>
      <c r="AL200" s="1352"/>
      <c r="AM200" s="1352"/>
      <c r="AN200" s="1352"/>
      <c r="AO200" s="1352"/>
      <c r="AP200" s="1352"/>
      <c r="AQ200" s="1352"/>
      <c r="AR200" s="1352"/>
      <c r="AS200" s="1352"/>
    </row>
    <row r="201" spans="1:45" ht="15.75" hidden="1" customHeight="1" thickTop="1" x14ac:dyDescent="0.2">
      <c r="A201" s="1507">
        <v>5</v>
      </c>
      <c r="B201" s="1511" t="s">
        <v>410</v>
      </c>
      <c r="C201" s="1511"/>
      <c r="D201" s="1511"/>
      <c r="E201" s="1511"/>
      <c r="F201" s="1514"/>
      <c r="G201" s="1513" t="str">
        <f>IF(COUNTIF(G204:G226,"P")&gt;0,"P","")</f>
        <v/>
      </c>
      <c r="H201" s="1512" t="s">
        <v>3197</v>
      </c>
      <c r="I201" s="89" t="s">
        <v>3498</v>
      </c>
      <c r="J201" s="92"/>
      <c r="K201" s="92"/>
      <c r="L201" s="1683" t="s">
        <v>3791</v>
      </c>
      <c r="M201" s="911"/>
      <c r="N201" s="935"/>
      <c r="O201" s="935"/>
      <c r="P201" s="905"/>
      <c r="Q201" s="905"/>
      <c r="R201" s="905"/>
      <c r="S201" s="905"/>
      <c r="T201" s="905"/>
      <c r="U201" s="905"/>
      <c r="V201" s="905"/>
      <c r="W201" s="248"/>
      <c r="X201" s="1599"/>
      <c r="Y201" s="1877" t="str">
        <f>IF(LEN('11.500'!X202)=0,"None",'11.500'!X202)</f>
        <v>None</v>
      </c>
      <c r="Z201" s="1880"/>
      <c r="AC201" s="248"/>
      <c r="AD201" s="248"/>
      <c r="AE201" s="248"/>
      <c r="AF201" s="248"/>
      <c r="AG201" s="248"/>
      <c r="AH201" s="248"/>
      <c r="AI201" s="248"/>
      <c r="AJ201" s="248"/>
      <c r="AK201" s="248"/>
      <c r="AL201" s="1352"/>
      <c r="AM201" s="1352"/>
      <c r="AN201" s="1352"/>
      <c r="AO201" s="1352"/>
      <c r="AP201" s="1352"/>
      <c r="AQ201" s="1352"/>
      <c r="AR201" s="1352" t="str">
        <f>SUBSTITUTE(SUBSTITUTE(SUBSTITUTE("vnt"&amp;$B201&amp;$C201&amp;$D201&amp;$E201&amp;$F201,".","_"),"(","_"),")","")</f>
        <v>vnt504_3</v>
      </c>
      <c r="AS201" s="1352" t="str">
        <f>IF(LEN(X201)=0,"",X201)</f>
        <v/>
      </c>
    </row>
    <row r="202" spans="1:45" hidden="1" x14ac:dyDescent="0.2">
      <c r="A202" s="1507">
        <v>5</v>
      </c>
      <c r="B202" s="1511" t="s">
        <v>410</v>
      </c>
      <c r="C202" s="1511"/>
      <c r="D202" s="1511"/>
      <c r="E202" s="1511"/>
      <c r="F202" s="1514"/>
      <c r="G202" s="1509" t="str">
        <f>G201</f>
        <v/>
      </c>
      <c r="H202" s="1512" t="s">
        <v>3197</v>
      </c>
      <c r="I202" s="92"/>
      <c r="J202" s="92"/>
      <c r="K202" s="92"/>
      <c r="L202" s="1631"/>
      <c r="M202" s="911"/>
      <c r="N202" s="935"/>
      <c r="O202" s="935"/>
      <c r="P202" s="905"/>
      <c r="Q202" s="905"/>
      <c r="R202" s="905"/>
      <c r="S202" s="905"/>
      <c r="T202" s="905"/>
      <c r="U202" s="905"/>
      <c r="V202" s="905"/>
      <c r="W202" s="248"/>
      <c r="X202" s="1600"/>
      <c r="Y202" s="1874"/>
      <c r="Z202" s="1889"/>
      <c r="AC202" s="248"/>
      <c r="AD202" s="248"/>
      <c r="AE202" s="248"/>
      <c r="AF202" s="248"/>
      <c r="AG202" s="248"/>
      <c r="AH202" s="248"/>
      <c r="AI202" s="248"/>
      <c r="AJ202" s="248"/>
      <c r="AK202" s="248"/>
      <c r="AL202" s="1352"/>
      <c r="AM202" s="1352"/>
      <c r="AN202" s="1352"/>
      <c r="AO202" s="1352"/>
      <c r="AP202" s="1352"/>
      <c r="AQ202" s="1352"/>
      <c r="AR202" s="1352"/>
      <c r="AS202" s="1352"/>
    </row>
    <row r="203" spans="1:45" hidden="1" x14ac:dyDescent="0.2">
      <c r="A203" s="1507">
        <v>5</v>
      </c>
      <c r="B203" s="1511" t="s">
        <v>410</v>
      </c>
      <c r="C203" s="1511"/>
      <c r="D203" s="1511"/>
      <c r="E203" s="1511"/>
      <c r="F203" s="1514"/>
      <c r="G203" s="1509" t="str">
        <f>G202</f>
        <v/>
      </c>
      <c r="H203" s="1512" t="s">
        <v>3197</v>
      </c>
      <c r="I203" s="92"/>
      <c r="J203" s="92"/>
      <c r="K203" s="92"/>
      <c r="L203" s="1631"/>
      <c r="M203" s="911"/>
      <c r="N203" s="935"/>
      <c r="O203" s="935"/>
      <c r="P203" s="905"/>
      <c r="Q203" s="905"/>
      <c r="R203" s="905"/>
      <c r="S203" s="905"/>
      <c r="T203" s="905"/>
      <c r="U203" s="905"/>
      <c r="V203" s="905"/>
      <c r="W203" s="248"/>
      <c r="X203" s="1600"/>
      <c r="Y203" s="1874"/>
      <c r="Z203" s="1889"/>
      <c r="AC203" s="248"/>
      <c r="AD203" s="248"/>
      <c r="AE203" s="248"/>
      <c r="AF203" s="248"/>
      <c r="AG203" s="248"/>
      <c r="AH203" s="248"/>
      <c r="AI203" s="248"/>
      <c r="AJ203" s="248"/>
      <c r="AK203" s="248"/>
      <c r="AL203" s="1352"/>
      <c r="AM203" s="1352"/>
      <c r="AN203" s="1352"/>
      <c r="AO203" s="1352"/>
      <c r="AP203" s="1352"/>
      <c r="AQ203" s="1352"/>
      <c r="AR203" s="1352"/>
      <c r="AS203" s="1352"/>
    </row>
    <row r="204" spans="1:45" ht="15" hidden="1" customHeight="1" x14ac:dyDescent="0.2">
      <c r="A204" s="1507">
        <v>5</v>
      </c>
      <c r="B204" s="1511" t="s">
        <v>410</v>
      </c>
      <c r="C204" s="1511" t="s">
        <v>254</v>
      </c>
      <c r="D204" s="1511"/>
      <c r="E204" s="1511"/>
      <c r="F204" s="1514"/>
      <c r="G204" s="1509" t="str">
        <f>IF(N204&gt;0,"P","")</f>
        <v/>
      </c>
      <c r="H204" s="1512" t="s">
        <v>3198</v>
      </c>
      <c r="I204" s="92"/>
      <c r="J204" s="93" t="s">
        <v>254</v>
      </c>
      <c r="K204" s="103"/>
      <c r="L204" s="1609" t="s">
        <v>411</v>
      </c>
      <c r="M204" s="1623">
        <v>5</v>
      </c>
      <c r="N204" s="1619">
        <f>'11.500'!O205</f>
        <v>0</v>
      </c>
      <c r="O204" s="1619">
        <f>M204*W204</f>
        <v>0</v>
      </c>
      <c r="P204" s="905" t="b">
        <v>1</v>
      </c>
      <c r="Q204" s="905" t="b">
        <v>0</v>
      </c>
      <c r="R204" s="905" t="b">
        <v>0</v>
      </c>
      <c r="S204" s="905" t="b">
        <v>1</v>
      </c>
      <c r="T204" s="905" t="b">
        <v>0</v>
      </c>
      <c r="U204" s="905"/>
      <c r="V204" s="905"/>
      <c r="W204" s="27"/>
      <c r="X204" s="1600"/>
      <c r="Y204" s="1874" t="str">
        <f>IF(LEN('11.500'!X205)=0,"None",'11.500'!X205)</f>
        <v>None</v>
      </c>
      <c r="Z204" s="1889"/>
      <c r="AA204" s="707" t="e">
        <f>'Photo Review'!#REF!</f>
        <v>#REF!</v>
      </c>
      <c r="AC204" s="248"/>
      <c r="AD204" s="248"/>
      <c r="AE204" s="248"/>
      <c r="AF204" s="248"/>
      <c r="AG204" s="248"/>
      <c r="AH204" s="248"/>
      <c r="AI204" s="248"/>
      <c r="AJ204" s="248"/>
      <c r="AK204" s="248"/>
      <c r="AL204" s="1352" t="str">
        <f>SUBSTITUTE(SUBSTITUTE(SUBSTITUTE("vpa"&amp;$B204&amp;$C204&amp;$D204&amp;$E204&amp;$F204,".","_"),"(","_"),")","")</f>
        <v>vpa504_3_1</v>
      </c>
      <c r="AM204" s="1352">
        <f>M204</f>
        <v>5</v>
      </c>
      <c r="AN204" s="1352" t="str">
        <f>SUBSTITUTE(SUBSTITUTE(SUBSTITUTE("vpc"&amp;$B204&amp;$C204&amp;$D204&amp;$E204&amp;$F204,".","_"),"(","_"),")","")</f>
        <v>vpc504_3_1</v>
      </c>
      <c r="AO204" s="1352">
        <f>O204</f>
        <v>0</v>
      </c>
      <c r="AP204" s="1352" t="str">
        <f>SUBSTITUTE(SUBSTITUTE(SUBSTITUTE("vch"&amp;$B204&amp;$C204&amp;$D204&amp;$E204&amp;$F204,".","_"),"(","_"),")","")</f>
        <v>vch504_3_1</v>
      </c>
      <c r="AQ204" s="1352" t="str">
        <f>IF(LEN(W204)=0,"",W204)</f>
        <v/>
      </c>
      <c r="AR204" s="1352" t="str">
        <f>SUBSTITUTE(SUBSTITUTE(SUBSTITUTE("vnt"&amp;$B204&amp;$C204&amp;$D204&amp;$E204&amp;$F204,".","_"),"(","_"),")","")</f>
        <v>vnt504_3_1</v>
      </c>
      <c r="AS204" s="1352" t="str">
        <f>IF(LEN(X204)=0,"",X204)</f>
        <v/>
      </c>
    </row>
    <row r="205" spans="1:45" hidden="1" x14ac:dyDescent="0.2">
      <c r="A205" s="1507">
        <v>5</v>
      </c>
      <c r="B205" s="1511" t="s">
        <v>410</v>
      </c>
      <c r="C205" s="1511" t="s">
        <v>254</v>
      </c>
      <c r="D205" s="1511"/>
      <c r="E205" s="1511"/>
      <c r="F205" s="1514"/>
      <c r="G205" s="1509" t="str">
        <f>G204</f>
        <v/>
      </c>
      <c r="H205" s="1512" t="s">
        <v>3198</v>
      </c>
      <c r="I205" s="92"/>
      <c r="J205" s="169"/>
      <c r="K205" s="172"/>
      <c r="L205" s="1612"/>
      <c r="M205" s="1624"/>
      <c r="N205" s="1620"/>
      <c r="O205" s="1620"/>
      <c r="P205" s="905"/>
      <c r="Q205" s="905"/>
      <c r="R205" s="905"/>
      <c r="S205" s="905"/>
      <c r="T205" s="905"/>
      <c r="U205" s="905"/>
      <c r="V205" s="905"/>
      <c r="W205" s="248"/>
      <c r="X205" s="1600"/>
      <c r="Y205" s="1874"/>
      <c r="Z205" s="1889"/>
      <c r="AC205" s="248"/>
      <c r="AD205" s="248"/>
      <c r="AE205" s="248"/>
      <c r="AF205" s="248"/>
      <c r="AG205" s="248"/>
      <c r="AH205" s="248"/>
      <c r="AI205" s="248"/>
      <c r="AJ205" s="248"/>
      <c r="AK205" s="248"/>
      <c r="AL205" s="1352"/>
      <c r="AM205" s="1352"/>
      <c r="AN205" s="1352"/>
      <c r="AO205" s="1352"/>
      <c r="AP205" s="1352"/>
      <c r="AQ205" s="1352"/>
      <c r="AR205" s="1352"/>
      <c r="AS205" s="1352"/>
    </row>
    <row r="206" spans="1:45" ht="16" hidden="1" x14ac:dyDescent="0.2">
      <c r="A206" s="1507">
        <v>5</v>
      </c>
      <c r="B206" s="1511" t="s">
        <v>410</v>
      </c>
      <c r="C206" s="1511" t="s">
        <v>255</v>
      </c>
      <c r="D206" s="1511"/>
      <c r="E206" s="1511"/>
      <c r="F206" s="1514"/>
      <c r="G206" s="1509" t="str">
        <f>IF(N206&gt;0,"P","")</f>
        <v/>
      </c>
      <c r="H206" s="1512" t="s">
        <v>3198</v>
      </c>
      <c r="I206" s="92"/>
      <c r="J206" s="169" t="s">
        <v>255</v>
      </c>
      <c r="K206" s="172"/>
      <c r="L206" s="170" t="s">
        <v>412</v>
      </c>
      <c r="M206" s="937">
        <v>5</v>
      </c>
      <c r="N206" s="909">
        <f>'11.500'!O207</f>
        <v>0</v>
      </c>
      <c r="O206" s="909">
        <f>M206*W206</f>
        <v>0</v>
      </c>
      <c r="P206" s="905" t="b">
        <v>1</v>
      </c>
      <c r="Q206" s="905" t="b">
        <v>0</v>
      </c>
      <c r="R206" s="905" t="b">
        <v>0</v>
      </c>
      <c r="S206" s="905" t="b">
        <v>1</v>
      </c>
      <c r="T206" s="905" t="b">
        <v>0</v>
      </c>
      <c r="U206" s="905"/>
      <c r="V206" s="905"/>
      <c r="W206" s="27"/>
      <c r="X206" s="249"/>
      <c r="Y206" s="267" t="str">
        <f>IF(LEN('11.500'!X207)=0,"None",'11.500'!X207)</f>
        <v>None</v>
      </c>
      <c r="Z206" s="715"/>
      <c r="AA206" s="707" t="e">
        <f>'Photo Review'!#REF!</f>
        <v>#REF!</v>
      </c>
      <c r="AC206" s="248"/>
      <c r="AD206" s="248"/>
      <c r="AE206" s="248"/>
      <c r="AF206" s="248"/>
      <c r="AG206" s="248"/>
      <c r="AH206" s="248"/>
      <c r="AI206" s="248"/>
      <c r="AJ206" s="248"/>
      <c r="AK206" s="248"/>
      <c r="AL206" s="1352" t="str">
        <f>SUBSTITUTE(SUBSTITUTE(SUBSTITUTE("vpa"&amp;$B206&amp;$C206&amp;$D206&amp;$E206&amp;$F206,".","_"),"(","_"),")","")</f>
        <v>vpa504_3_2</v>
      </c>
      <c r="AM206" s="1352">
        <f>M206</f>
        <v>5</v>
      </c>
      <c r="AN206" s="1352" t="str">
        <f>SUBSTITUTE(SUBSTITUTE(SUBSTITUTE("vpc"&amp;$B206&amp;$C206&amp;$D206&amp;$E206&amp;$F206,".","_"),"(","_"),")","")</f>
        <v>vpc504_3_2</v>
      </c>
      <c r="AO206" s="1352">
        <f>O206</f>
        <v>0</v>
      </c>
      <c r="AP206" s="1352" t="str">
        <f>SUBSTITUTE(SUBSTITUTE(SUBSTITUTE("vch"&amp;$B206&amp;$C206&amp;$D206&amp;$E206&amp;$F206,".","_"),"(","_"),")","")</f>
        <v>vch504_3_2</v>
      </c>
      <c r="AQ206" s="1352" t="str">
        <f>IF(LEN(W206)=0,"",W206)</f>
        <v/>
      </c>
      <c r="AR206" s="1352" t="str">
        <f>SUBSTITUTE(SUBSTITUTE(SUBSTITUTE("vnt"&amp;$B206&amp;$C206&amp;$D206&amp;$E206&amp;$F206,".","_"),"(","_"),")","")</f>
        <v>vnt504_3_2</v>
      </c>
      <c r="AS206" s="1352" t="str">
        <f>IF(LEN(X206)=0,"",X206)</f>
        <v/>
      </c>
    </row>
    <row r="207" spans="1:45" ht="15" hidden="1" customHeight="1" x14ac:dyDescent="0.2">
      <c r="A207" s="1507">
        <v>5</v>
      </c>
      <c r="B207" s="1511" t="s">
        <v>410</v>
      </c>
      <c r="C207" s="1511" t="s">
        <v>256</v>
      </c>
      <c r="D207" s="1511"/>
      <c r="E207" s="1511"/>
      <c r="F207" s="1514"/>
      <c r="G207" s="1509" t="str">
        <f>IF(N207&gt;0,"P","")</f>
        <v/>
      </c>
      <c r="H207" s="1512" t="s">
        <v>3198</v>
      </c>
      <c r="I207" s="92"/>
      <c r="J207" s="93" t="s">
        <v>256</v>
      </c>
      <c r="K207" s="103"/>
      <c r="L207" s="1613" t="s">
        <v>413</v>
      </c>
      <c r="M207" s="1623">
        <v>5</v>
      </c>
      <c r="N207" s="1637">
        <f>'11.500'!O208</f>
        <v>0</v>
      </c>
      <c r="O207" s="1619">
        <f>M207*W207</f>
        <v>0</v>
      </c>
      <c r="P207" s="905" t="b">
        <v>1</v>
      </c>
      <c r="Q207" s="905" t="b">
        <v>0</v>
      </c>
      <c r="R207" s="905" t="b">
        <v>0</v>
      </c>
      <c r="S207" s="905" t="b">
        <v>1</v>
      </c>
      <c r="T207" s="905" t="b">
        <v>0</v>
      </c>
      <c r="U207" s="905"/>
      <c r="V207" s="905"/>
      <c r="W207" s="27"/>
      <c r="X207" s="1600"/>
      <c r="Y207" s="1874" t="str">
        <f>IF(LEN('11.500'!X208)=0,"None",'11.500'!X208)</f>
        <v>None</v>
      </c>
      <c r="Z207" s="1889"/>
      <c r="AA207" s="707" t="e">
        <f>'Photo Review'!#REF!</f>
        <v>#REF!</v>
      </c>
      <c r="AC207" s="248"/>
      <c r="AD207" s="248"/>
      <c r="AE207" s="248"/>
      <c r="AF207" s="248"/>
      <c r="AG207" s="248"/>
      <c r="AH207" s="248"/>
      <c r="AI207" s="248"/>
      <c r="AJ207" s="248"/>
      <c r="AK207" s="248"/>
      <c r="AL207" s="1352" t="str">
        <f>SUBSTITUTE(SUBSTITUTE(SUBSTITUTE("vpa"&amp;$B207&amp;$C207&amp;$D207&amp;$E207&amp;$F207,".","_"),"(","_"),")","")</f>
        <v>vpa504_3_3</v>
      </c>
      <c r="AM207" s="1352">
        <f>M207</f>
        <v>5</v>
      </c>
      <c r="AN207" s="1352" t="str">
        <f>SUBSTITUTE(SUBSTITUTE(SUBSTITUTE("vpc"&amp;$B207&amp;$C207&amp;$D207&amp;$E207&amp;$F207,".","_"),"(","_"),")","")</f>
        <v>vpc504_3_3</v>
      </c>
      <c r="AO207" s="1352">
        <f>O207</f>
        <v>0</v>
      </c>
      <c r="AP207" s="1352" t="str">
        <f>SUBSTITUTE(SUBSTITUTE(SUBSTITUTE("vch"&amp;$B207&amp;$C207&amp;$D207&amp;$E207&amp;$F207,".","_"),"(","_"),")","")</f>
        <v>vch504_3_3</v>
      </c>
      <c r="AQ207" s="1352" t="str">
        <f>IF(LEN(W207)=0,"",W207)</f>
        <v/>
      </c>
      <c r="AR207" s="1352" t="str">
        <f>SUBSTITUTE(SUBSTITUTE(SUBSTITUTE("vnt"&amp;$B207&amp;$C207&amp;$D207&amp;$E207&amp;$F207,".","_"),"(","_"),")","")</f>
        <v>vnt504_3_3</v>
      </c>
      <c r="AS207" s="1352" t="str">
        <f>IF(LEN(X207)=0,"",X207)</f>
        <v/>
      </c>
    </row>
    <row r="208" spans="1:45" hidden="1" x14ac:dyDescent="0.2">
      <c r="A208" s="1507">
        <v>5</v>
      </c>
      <c r="B208" s="1511" t="s">
        <v>410</v>
      </c>
      <c r="C208" s="1511" t="s">
        <v>256</v>
      </c>
      <c r="D208" s="1511"/>
      <c r="E208" s="1511"/>
      <c r="F208" s="1514"/>
      <c r="G208" s="1509" t="str">
        <f>G207</f>
        <v/>
      </c>
      <c r="H208" s="1512" t="s">
        <v>3198</v>
      </c>
      <c r="I208" s="92"/>
      <c r="J208" s="172"/>
      <c r="K208" s="172"/>
      <c r="L208" s="1612"/>
      <c r="M208" s="1624"/>
      <c r="N208" s="1620"/>
      <c r="O208" s="1620"/>
      <c r="P208" s="905"/>
      <c r="Q208" s="905"/>
      <c r="R208" s="905"/>
      <c r="S208" s="905"/>
      <c r="T208" s="905"/>
      <c r="U208" s="905"/>
      <c r="V208" s="905"/>
      <c r="W208" s="248"/>
      <c r="X208" s="1600"/>
      <c r="Y208" s="1874"/>
      <c r="Z208" s="1889"/>
      <c r="AC208" s="248"/>
      <c r="AD208" s="248"/>
      <c r="AE208" s="248"/>
      <c r="AF208" s="248"/>
      <c r="AG208" s="248"/>
      <c r="AH208" s="248"/>
      <c r="AI208" s="248"/>
      <c r="AJ208" s="248"/>
      <c r="AK208" s="248"/>
      <c r="AL208" s="1352"/>
      <c r="AM208" s="1352"/>
      <c r="AN208" s="1352"/>
      <c r="AO208" s="1352"/>
      <c r="AP208" s="1352"/>
      <c r="AQ208" s="1352"/>
      <c r="AR208" s="1352"/>
      <c r="AS208" s="1352"/>
    </row>
    <row r="209" spans="1:45" ht="15" hidden="1" customHeight="1" x14ac:dyDescent="0.2">
      <c r="A209" s="1507">
        <v>5</v>
      </c>
      <c r="B209" s="1511" t="s">
        <v>410</v>
      </c>
      <c r="C209" s="1511" t="s">
        <v>259</v>
      </c>
      <c r="D209" s="1511"/>
      <c r="E209" s="1511"/>
      <c r="F209" s="1514"/>
      <c r="G209" s="1509" t="str">
        <f>IF(N209&gt;0,"P","")</f>
        <v/>
      </c>
      <c r="H209" s="1512" t="s">
        <v>3198</v>
      </c>
      <c r="I209" s="92"/>
      <c r="J209" s="93" t="s">
        <v>259</v>
      </c>
      <c r="K209" s="103"/>
      <c r="L209" s="1613" t="s">
        <v>414</v>
      </c>
      <c r="M209" s="1623">
        <v>5</v>
      </c>
      <c r="N209" s="1637">
        <f>'11.500'!O210</f>
        <v>0</v>
      </c>
      <c r="O209" s="1619">
        <f>M209*W209</f>
        <v>0</v>
      </c>
      <c r="P209" s="905" t="b">
        <v>1</v>
      </c>
      <c r="Q209" s="905" t="b">
        <v>0</v>
      </c>
      <c r="R209" s="905" t="b">
        <v>0</v>
      </c>
      <c r="S209" s="905" t="b">
        <v>1</v>
      </c>
      <c r="T209" s="905" t="b">
        <v>0</v>
      </c>
      <c r="U209" s="905"/>
      <c r="V209" s="905"/>
      <c r="W209" s="27"/>
      <c r="X209" s="1600"/>
      <c r="Y209" s="1874" t="str">
        <f>IF(LEN('11.500'!X210)=0,"None",'11.500'!X210)</f>
        <v>None</v>
      </c>
      <c r="Z209" s="1889"/>
      <c r="AC209" s="248"/>
      <c r="AD209" s="248"/>
      <c r="AE209" s="248"/>
      <c r="AF209" s="248"/>
      <c r="AG209" s="248"/>
      <c r="AH209" s="248"/>
      <c r="AI209" s="248"/>
      <c r="AJ209" s="248"/>
      <c r="AK209" s="248"/>
      <c r="AL209" s="1352" t="str">
        <f>SUBSTITUTE(SUBSTITUTE(SUBSTITUTE("vpa"&amp;$B209&amp;$C209&amp;$D209&amp;$E209&amp;$F209,".","_"),"(","_"),")","")</f>
        <v>vpa504_3_4</v>
      </c>
      <c r="AM209" s="1352">
        <f>M209</f>
        <v>5</v>
      </c>
      <c r="AN209" s="1352" t="str">
        <f>SUBSTITUTE(SUBSTITUTE(SUBSTITUTE("vpc"&amp;$B209&amp;$C209&amp;$D209&amp;$E209&amp;$F209,".","_"),"(","_"),")","")</f>
        <v>vpc504_3_4</v>
      </c>
      <c r="AO209" s="1352">
        <f>O209</f>
        <v>0</v>
      </c>
      <c r="AP209" s="1352" t="str">
        <f>SUBSTITUTE(SUBSTITUTE(SUBSTITUTE("vch"&amp;$B209&amp;$C209&amp;$D209&amp;$E209&amp;$F209,".","_"),"(","_"),")","")</f>
        <v>vch504_3_4</v>
      </c>
      <c r="AQ209" s="1352" t="str">
        <f>IF(LEN(W209)=0,"",W209)</f>
        <v/>
      </c>
      <c r="AR209" s="1352" t="str">
        <f>SUBSTITUTE(SUBSTITUTE(SUBSTITUTE("vnt"&amp;$B209&amp;$C209&amp;$D209&amp;$E209&amp;$F209,".","_"),"(","_"),")","")</f>
        <v>vnt504_3_4</v>
      </c>
      <c r="AS209" s="1352" t="str">
        <f>IF(LEN(X209)=0,"",X209)</f>
        <v/>
      </c>
    </row>
    <row r="210" spans="1:45" hidden="1" x14ac:dyDescent="0.2">
      <c r="A210" s="1507">
        <v>5</v>
      </c>
      <c r="B210" s="1511" t="s">
        <v>410</v>
      </c>
      <c r="C210" s="1511" t="s">
        <v>259</v>
      </c>
      <c r="D210" s="1511"/>
      <c r="E210" s="1511"/>
      <c r="F210" s="1514"/>
      <c r="G210" s="1509" t="str">
        <f>G209</f>
        <v/>
      </c>
      <c r="H210" s="1512" t="s">
        <v>3198</v>
      </c>
      <c r="I210" s="92"/>
      <c r="J210" s="172"/>
      <c r="K210" s="172"/>
      <c r="L210" s="1612"/>
      <c r="M210" s="1624"/>
      <c r="N210" s="1620"/>
      <c r="O210" s="1620"/>
      <c r="P210" s="905"/>
      <c r="Q210" s="905"/>
      <c r="R210" s="905"/>
      <c r="S210" s="905"/>
      <c r="T210" s="905"/>
      <c r="U210" s="905"/>
      <c r="V210" s="905"/>
      <c r="W210" s="248"/>
      <c r="X210" s="1600"/>
      <c r="Y210" s="1874"/>
      <c r="Z210" s="1889"/>
      <c r="AC210" s="248"/>
      <c r="AD210" s="248"/>
      <c r="AE210" s="248"/>
      <c r="AF210" s="248"/>
      <c r="AG210" s="248"/>
      <c r="AH210" s="248"/>
      <c r="AI210" s="248"/>
      <c r="AJ210" s="248"/>
      <c r="AK210" s="248"/>
      <c r="AL210" s="1352"/>
      <c r="AM210" s="1352"/>
      <c r="AN210" s="1352"/>
      <c r="AO210" s="1352"/>
      <c r="AP210" s="1352"/>
      <c r="AQ210" s="1352"/>
      <c r="AR210" s="1352"/>
      <c r="AS210" s="1352"/>
    </row>
    <row r="211" spans="1:45" ht="15" hidden="1" customHeight="1" x14ac:dyDescent="0.2">
      <c r="A211" s="1507">
        <v>5</v>
      </c>
      <c r="B211" s="1511" t="s">
        <v>410</v>
      </c>
      <c r="C211" s="1511" t="s">
        <v>263</v>
      </c>
      <c r="D211" s="1511"/>
      <c r="E211" s="1511"/>
      <c r="F211" s="1514"/>
      <c r="G211" s="1509" t="str">
        <f>IF(N211&gt;0,"P","")</f>
        <v/>
      </c>
      <c r="H211" s="1512" t="s">
        <v>3198</v>
      </c>
      <c r="I211" s="92"/>
      <c r="J211" s="93" t="s">
        <v>263</v>
      </c>
      <c r="K211" s="103"/>
      <c r="L211" s="1613" t="s">
        <v>415</v>
      </c>
      <c r="M211" s="1623">
        <v>4</v>
      </c>
      <c r="N211" s="1637">
        <f>'11.500'!O212</f>
        <v>0</v>
      </c>
      <c r="O211" s="1619">
        <f>M211*W211</f>
        <v>0</v>
      </c>
      <c r="P211" s="905" t="b">
        <v>1</v>
      </c>
      <c r="Q211" s="905" t="b">
        <v>0</v>
      </c>
      <c r="R211" s="905" t="b">
        <v>0</v>
      </c>
      <c r="S211" s="905" t="b">
        <v>1</v>
      </c>
      <c r="T211" s="905" t="b">
        <v>0</v>
      </c>
      <c r="U211" s="905"/>
      <c r="V211" s="905"/>
      <c r="W211" s="27"/>
      <c r="X211" s="1600"/>
      <c r="Y211" s="1874" t="str">
        <f>IF(LEN('11.500'!X212)=0,"None",'11.500'!X212)</f>
        <v>None</v>
      </c>
      <c r="Z211" s="1889"/>
      <c r="AC211" s="248"/>
      <c r="AD211" s="248"/>
      <c r="AE211" s="248"/>
      <c r="AF211" s="248"/>
      <c r="AG211" s="248"/>
      <c r="AH211" s="248"/>
      <c r="AI211" s="248"/>
      <c r="AJ211" s="248"/>
      <c r="AK211" s="248"/>
      <c r="AL211" s="1352" t="str">
        <f>SUBSTITUTE(SUBSTITUTE(SUBSTITUTE("vpa"&amp;$B211&amp;$C211&amp;$D211&amp;$E211&amp;$F211,".","_"),"(","_"),")","")</f>
        <v>vpa504_3_5</v>
      </c>
      <c r="AM211" s="1352">
        <f>M211</f>
        <v>4</v>
      </c>
      <c r="AN211" s="1352" t="str">
        <f>SUBSTITUTE(SUBSTITUTE(SUBSTITUTE("vpc"&amp;$B211&amp;$C211&amp;$D211&amp;$E211&amp;$F211,".","_"),"(","_"),")","")</f>
        <v>vpc504_3_5</v>
      </c>
      <c r="AO211" s="1352">
        <f>O211</f>
        <v>0</v>
      </c>
      <c r="AP211" s="1352" t="str">
        <f>SUBSTITUTE(SUBSTITUTE(SUBSTITUTE("vch"&amp;$B211&amp;$C211&amp;$D211&amp;$E211&amp;$F211,".","_"),"(","_"),")","")</f>
        <v>vch504_3_5</v>
      </c>
      <c r="AQ211" s="1352" t="str">
        <f>IF(LEN(W211)=0,"",W211)</f>
        <v/>
      </c>
      <c r="AR211" s="1352" t="str">
        <f>SUBSTITUTE(SUBSTITUTE(SUBSTITUTE("vnt"&amp;$B211&amp;$C211&amp;$D211&amp;$E211&amp;$F211,".","_"),"(","_"),")","")</f>
        <v>vnt504_3_5</v>
      </c>
      <c r="AS211" s="1352" t="str">
        <f>IF(LEN(X211)=0,"",X211)</f>
        <v/>
      </c>
    </row>
    <row r="212" spans="1:45" hidden="1" x14ac:dyDescent="0.2">
      <c r="A212" s="1507">
        <v>5</v>
      </c>
      <c r="B212" s="1511" t="s">
        <v>410</v>
      </c>
      <c r="C212" s="1511" t="s">
        <v>263</v>
      </c>
      <c r="D212" s="1511"/>
      <c r="E212" s="1511"/>
      <c r="F212" s="1514"/>
      <c r="G212" s="1509" t="str">
        <f>G211</f>
        <v/>
      </c>
      <c r="H212" s="1512" t="s">
        <v>3198</v>
      </c>
      <c r="I212" s="92"/>
      <c r="J212" s="103"/>
      <c r="K212" s="103"/>
      <c r="L212" s="1609"/>
      <c r="M212" s="1623"/>
      <c r="N212" s="1619"/>
      <c r="O212" s="1619"/>
      <c r="P212" s="905"/>
      <c r="Q212" s="905"/>
      <c r="R212" s="905"/>
      <c r="S212" s="905"/>
      <c r="T212" s="905"/>
      <c r="U212" s="905"/>
      <c r="V212" s="905"/>
      <c r="W212" s="248"/>
      <c r="X212" s="1600"/>
      <c r="Y212" s="1874"/>
      <c r="Z212" s="1889"/>
      <c r="AC212" s="248"/>
      <c r="AD212" s="248"/>
      <c r="AE212" s="248"/>
      <c r="AF212" s="248"/>
      <c r="AG212" s="248"/>
      <c r="AH212" s="248"/>
      <c r="AI212" s="248"/>
      <c r="AJ212" s="248"/>
      <c r="AK212" s="248"/>
      <c r="AL212" s="1352"/>
      <c r="AM212" s="1352"/>
      <c r="AN212" s="1352"/>
      <c r="AO212" s="1352"/>
      <c r="AP212" s="1352"/>
      <c r="AQ212" s="1352"/>
      <c r="AR212" s="1352"/>
      <c r="AS212" s="1352"/>
    </row>
    <row r="213" spans="1:45" hidden="1" x14ac:dyDescent="0.2">
      <c r="A213" s="1507">
        <v>5</v>
      </c>
      <c r="B213" s="1511" t="s">
        <v>410</v>
      </c>
      <c r="C213" s="1511" t="s">
        <v>263</v>
      </c>
      <c r="D213" s="1511"/>
      <c r="E213" s="1511"/>
      <c r="F213" s="1514"/>
      <c r="G213" s="1509" t="str">
        <f>G212</f>
        <v/>
      </c>
      <c r="H213" s="1512" t="s">
        <v>3198</v>
      </c>
      <c r="I213" s="92"/>
      <c r="J213" s="103"/>
      <c r="K213" s="103"/>
      <c r="L213" s="1609"/>
      <c r="M213" s="1623"/>
      <c r="N213" s="1619"/>
      <c r="O213" s="1619"/>
      <c r="P213" s="905"/>
      <c r="Q213" s="905"/>
      <c r="R213" s="905"/>
      <c r="S213" s="905"/>
      <c r="T213" s="905"/>
      <c r="U213" s="905"/>
      <c r="V213" s="905"/>
      <c r="W213" s="248"/>
      <c r="X213" s="1600"/>
      <c r="Y213" s="1874"/>
      <c r="Z213" s="1889"/>
      <c r="AC213" s="248"/>
      <c r="AD213" s="248"/>
      <c r="AE213" s="248"/>
      <c r="AF213" s="248"/>
      <c r="AG213" s="248"/>
      <c r="AH213" s="248"/>
      <c r="AI213" s="248"/>
      <c r="AJ213" s="248"/>
      <c r="AK213" s="248"/>
      <c r="AL213" s="1352"/>
      <c r="AM213" s="1352"/>
      <c r="AN213" s="1352"/>
      <c r="AO213" s="1352"/>
      <c r="AP213" s="1352"/>
      <c r="AQ213" s="1352"/>
      <c r="AR213" s="1352"/>
      <c r="AS213" s="1352"/>
    </row>
    <row r="214" spans="1:45" hidden="1" x14ac:dyDescent="0.2">
      <c r="A214" s="1507">
        <v>5</v>
      </c>
      <c r="B214" s="1511" t="s">
        <v>410</v>
      </c>
      <c r="C214" s="1511" t="s">
        <v>263</v>
      </c>
      <c r="D214" s="1511"/>
      <c r="E214" s="1511"/>
      <c r="F214" s="1514"/>
      <c r="G214" s="1509" t="str">
        <f>G213</f>
        <v/>
      </c>
      <c r="H214" s="1512" t="s">
        <v>3198</v>
      </c>
      <c r="I214" s="92"/>
      <c r="J214" s="172"/>
      <c r="K214" s="172"/>
      <c r="L214" s="1612"/>
      <c r="M214" s="1624"/>
      <c r="N214" s="1620"/>
      <c r="O214" s="1620"/>
      <c r="P214" s="905"/>
      <c r="Q214" s="905"/>
      <c r="R214" s="905"/>
      <c r="S214" s="905"/>
      <c r="T214" s="905"/>
      <c r="U214" s="905"/>
      <c r="V214" s="905"/>
      <c r="W214" s="248"/>
      <c r="X214" s="1600"/>
      <c r="Y214" s="1874"/>
      <c r="Z214" s="1889"/>
      <c r="AC214" s="248"/>
      <c r="AD214" s="248"/>
      <c r="AE214" s="248"/>
      <c r="AF214" s="248"/>
      <c r="AG214" s="248"/>
      <c r="AH214" s="248"/>
      <c r="AI214" s="248"/>
      <c r="AJ214" s="248"/>
      <c r="AK214" s="248"/>
      <c r="AL214" s="1352"/>
      <c r="AM214" s="1352"/>
      <c r="AN214" s="1352"/>
      <c r="AO214" s="1352"/>
      <c r="AP214" s="1352"/>
      <c r="AQ214" s="1352"/>
      <c r="AR214" s="1352"/>
      <c r="AS214" s="1352"/>
    </row>
    <row r="215" spans="1:45" ht="15" hidden="1" customHeight="1" x14ac:dyDescent="0.2">
      <c r="A215" s="1507">
        <v>5</v>
      </c>
      <c r="B215" s="1511" t="s">
        <v>410</v>
      </c>
      <c r="C215" s="1511" t="s">
        <v>264</v>
      </c>
      <c r="D215" s="1511"/>
      <c r="E215" s="1511"/>
      <c r="F215" s="1514"/>
      <c r="G215" s="1509" t="str">
        <f>IF(N215&gt;0,"P","")</f>
        <v/>
      </c>
      <c r="H215" s="1512" t="s">
        <v>3198</v>
      </c>
      <c r="I215" s="92"/>
      <c r="J215" s="93" t="s">
        <v>264</v>
      </c>
      <c r="K215" s="103"/>
      <c r="L215" s="1613" t="s">
        <v>3792</v>
      </c>
      <c r="M215" s="1623">
        <v>3</v>
      </c>
      <c r="N215" s="1637">
        <f>'11.500'!O216</f>
        <v>0</v>
      </c>
      <c r="O215" s="1619">
        <f>M215*W215</f>
        <v>0</v>
      </c>
      <c r="P215" s="905" t="b">
        <v>1</v>
      </c>
      <c r="Q215" s="905" t="b">
        <v>0</v>
      </c>
      <c r="R215" s="905" t="b">
        <v>0</v>
      </c>
      <c r="S215" s="905" t="b">
        <v>1</v>
      </c>
      <c r="T215" s="905" t="b">
        <v>0</v>
      </c>
      <c r="U215" s="905"/>
      <c r="V215" s="905"/>
      <c r="W215" s="27"/>
      <c r="X215" s="1600"/>
      <c r="Y215" s="1874" t="str">
        <f>IF(LEN('11.500'!X216)=0,"None",'11.500'!X216)</f>
        <v>None</v>
      </c>
      <c r="Z215" s="1889"/>
      <c r="AC215" s="248"/>
      <c r="AD215" s="248"/>
      <c r="AE215" s="248"/>
      <c r="AF215" s="248"/>
      <c r="AG215" s="248"/>
      <c r="AH215" s="248"/>
      <c r="AI215" s="248"/>
      <c r="AJ215" s="248"/>
      <c r="AK215" s="248"/>
      <c r="AL215" s="1352" t="str">
        <f>SUBSTITUTE(SUBSTITUTE(SUBSTITUTE("vpa"&amp;$B215&amp;$C215&amp;$D215&amp;$E215&amp;$F215,".","_"),"(","_"),")","")</f>
        <v>vpa504_3_6</v>
      </c>
      <c r="AM215" s="1352">
        <f>M215</f>
        <v>3</v>
      </c>
      <c r="AN215" s="1352" t="str">
        <f>SUBSTITUTE(SUBSTITUTE(SUBSTITUTE("vpc"&amp;$B215&amp;$C215&amp;$D215&amp;$E215&amp;$F215,".","_"),"(","_"),")","")</f>
        <v>vpc504_3_6</v>
      </c>
      <c r="AO215" s="1352">
        <f>O215</f>
        <v>0</v>
      </c>
      <c r="AP215" s="1352" t="str">
        <f>SUBSTITUTE(SUBSTITUTE(SUBSTITUTE("vch"&amp;$B215&amp;$C215&amp;$D215&amp;$E215&amp;$F215,".","_"),"(","_"),")","")</f>
        <v>vch504_3_6</v>
      </c>
      <c r="AQ215" s="1352" t="str">
        <f>IF(LEN(W215)=0,"",W215)</f>
        <v/>
      </c>
      <c r="AR215" s="1352" t="str">
        <f>SUBSTITUTE(SUBSTITUTE(SUBSTITUTE("vnt"&amp;$B215&amp;$C215&amp;$D215&amp;$E215&amp;$F215,".","_"),"(","_"),")","")</f>
        <v>vnt504_3_6</v>
      </c>
      <c r="AS215" s="1352" t="str">
        <f>IF(LEN(X215)=0,"",X215)</f>
        <v/>
      </c>
    </row>
    <row r="216" spans="1:45" hidden="1" x14ac:dyDescent="0.2">
      <c r="A216" s="1507">
        <v>5</v>
      </c>
      <c r="B216" s="1511" t="s">
        <v>410</v>
      </c>
      <c r="C216" s="1511" t="s">
        <v>264</v>
      </c>
      <c r="D216" s="1511"/>
      <c r="E216" s="1511"/>
      <c r="F216" s="1514"/>
      <c r="G216" s="1509" t="str">
        <f>G215</f>
        <v/>
      </c>
      <c r="H216" s="1512" t="s">
        <v>3198</v>
      </c>
      <c r="I216" s="92"/>
      <c r="J216" s="103"/>
      <c r="K216" s="103"/>
      <c r="L216" s="1609"/>
      <c r="M216" s="1623"/>
      <c r="N216" s="1619"/>
      <c r="O216" s="1619"/>
      <c r="P216" s="905"/>
      <c r="Q216" s="905"/>
      <c r="R216" s="905"/>
      <c r="S216" s="905"/>
      <c r="T216" s="905"/>
      <c r="U216" s="905"/>
      <c r="V216" s="905"/>
      <c r="W216" s="248"/>
      <c r="X216" s="1600"/>
      <c r="Y216" s="1874"/>
      <c r="Z216" s="1889"/>
      <c r="AC216" s="248"/>
      <c r="AD216" s="248"/>
      <c r="AE216" s="248"/>
      <c r="AF216" s="248"/>
      <c r="AG216" s="248"/>
      <c r="AH216" s="248"/>
      <c r="AI216" s="248"/>
      <c r="AJ216" s="248"/>
      <c r="AK216" s="248"/>
      <c r="AL216" s="1352"/>
      <c r="AM216" s="1352"/>
      <c r="AN216" s="1352"/>
      <c r="AO216" s="1352"/>
      <c r="AP216" s="1352"/>
      <c r="AQ216" s="1352"/>
      <c r="AR216" s="1352"/>
      <c r="AS216" s="1352"/>
    </row>
    <row r="217" spans="1:45" hidden="1" x14ac:dyDescent="0.2">
      <c r="A217" s="1507">
        <v>5</v>
      </c>
      <c r="B217" s="1511" t="s">
        <v>410</v>
      </c>
      <c r="C217" s="1511" t="s">
        <v>264</v>
      </c>
      <c r="D217" s="1511"/>
      <c r="E217" s="1511"/>
      <c r="F217" s="1514"/>
      <c r="G217" s="1509" t="str">
        <f>G216</f>
        <v/>
      </c>
      <c r="H217" s="1512" t="s">
        <v>3198</v>
      </c>
      <c r="I217" s="92"/>
      <c r="J217" s="172"/>
      <c r="K217" s="172"/>
      <c r="L217" s="1612"/>
      <c r="M217" s="1624"/>
      <c r="N217" s="1620"/>
      <c r="O217" s="1620"/>
      <c r="P217" s="905"/>
      <c r="Q217" s="905"/>
      <c r="R217" s="905"/>
      <c r="S217" s="905"/>
      <c r="T217" s="905"/>
      <c r="U217" s="905"/>
      <c r="V217" s="905"/>
      <c r="W217" s="248"/>
      <c r="X217" s="1600"/>
      <c r="Y217" s="1874"/>
      <c r="Z217" s="1889"/>
      <c r="AC217" s="248"/>
      <c r="AD217" s="248"/>
      <c r="AE217" s="248"/>
      <c r="AF217" s="248"/>
      <c r="AG217" s="248"/>
      <c r="AH217" s="248"/>
      <c r="AI217" s="248"/>
      <c r="AJ217" s="248"/>
      <c r="AK217" s="248"/>
      <c r="AL217" s="1352"/>
      <c r="AM217" s="1352"/>
      <c r="AN217" s="1352"/>
      <c r="AO217" s="1352"/>
      <c r="AP217" s="1352"/>
      <c r="AQ217" s="1352"/>
      <c r="AR217" s="1352"/>
      <c r="AS217" s="1352"/>
    </row>
    <row r="218" spans="1:45" ht="16" hidden="1" x14ac:dyDescent="0.2">
      <c r="A218" s="1507">
        <v>5</v>
      </c>
      <c r="B218" s="1511" t="s">
        <v>410</v>
      </c>
      <c r="C218" s="1511" t="s">
        <v>356</v>
      </c>
      <c r="D218" s="1511"/>
      <c r="E218" s="1511"/>
      <c r="F218" s="1514"/>
      <c r="G218" s="1509" t="str">
        <f>IF(N218&gt;0,"P","")</f>
        <v/>
      </c>
      <c r="H218" s="1512" t="s">
        <v>3197</v>
      </c>
      <c r="I218" s="92"/>
      <c r="J218" s="169" t="s">
        <v>356</v>
      </c>
      <c r="K218" s="172"/>
      <c r="L218" s="170" t="s">
        <v>416</v>
      </c>
      <c r="M218" s="937">
        <v>3</v>
      </c>
      <c r="N218" s="909">
        <f>'11.500'!O219</f>
        <v>0</v>
      </c>
      <c r="O218" s="909">
        <f>M218*W218</f>
        <v>0</v>
      </c>
      <c r="P218" s="905" t="b">
        <v>1</v>
      </c>
      <c r="Q218" s="905" t="b">
        <v>1</v>
      </c>
      <c r="R218" s="905" t="b">
        <v>0</v>
      </c>
      <c r="S218" s="905" t="b">
        <v>1</v>
      </c>
      <c r="T218" s="905" t="b">
        <v>0</v>
      </c>
      <c r="U218" s="905"/>
      <c r="V218" s="905"/>
      <c r="W218" s="27"/>
      <c r="X218" s="249"/>
      <c r="Y218" s="267" t="str">
        <f>IF(LEN('11.500'!X219)=0,"None",'11.500'!X219)</f>
        <v>None</v>
      </c>
      <c r="Z218" s="715"/>
      <c r="AC218" s="248"/>
      <c r="AD218" s="248"/>
      <c r="AE218" s="248"/>
      <c r="AF218" s="248"/>
      <c r="AG218" s="248"/>
      <c r="AH218" s="248"/>
      <c r="AI218" s="248"/>
      <c r="AJ218" s="248"/>
      <c r="AK218" s="248"/>
      <c r="AL218" s="1352" t="str">
        <f>SUBSTITUTE(SUBSTITUTE(SUBSTITUTE("vpa"&amp;$B218&amp;$C218&amp;$D218&amp;$E218&amp;$F218,".","_"),"(","_"),")","")</f>
        <v>vpa504_3_7</v>
      </c>
      <c r="AM218" s="1352">
        <f>M218</f>
        <v>3</v>
      </c>
      <c r="AN218" s="1352" t="str">
        <f>SUBSTITUTE(SUBSTITUTE(SUBSTITUTE("vpc"&amp;$B218&amp;$C218&amp;$D218&amp;$E218&amp;$F218,".","_"),"(","_"),")","")</f>
        <v>vpc504_3_7</v>
      </c>
      <c r="AO218" s="1352">
        <f>O218</f>
        <v>0</v>
      </c>
      <c r="AP218" s="1352" t="str">
        <f>SUBSTITUTE(SUBSTITUTE(SUBSTITUTE("vch"&amp;$B218&amp;$C218&amp;$D218&amp;$E218&amp;$F218,".","_"),"(","_"),")","")</f>
        <v>vch504_3_7</v>
      </c>
      <c r="AQ218" s="1352" t="str">
        <f>IF(LEN(W218)=0,"",W218)</f>
        <v/>
      </c>
      <c r="AR218" s="1352" t="str">
        <f>SUBSTITUTE(SUBSTITUTE(SUBSTITUTE("vnt"&amp;$B218&amp;$C218&amp;$D218&amp;$E218&amp;$F218,".","_"),"(","_"),")","")</f>
        <v>vnt504_3_7</v>
      </c>
      <c r="AS218" s="1352" t="str">
        <f>IF(LEN(X218)=0,"",X218)</f>
        <v/>
      </c>
    </row>
    <row r="219" spans="1:45" hidden="1" x14ac:dyDescent="0.2">
      <c r="A219" s="1507">
        <v>5</v>
      </c>
      <c r="B219" s="1511" t="s">
        <v>410</v>
      </c>
      <c r="C219" s="1511" t="s">
        <v>389</v>
      </c>
      <c r="D219" s="1511"/>
      <c r="E219" s="1511"/>
      <c r="F219" s="1514"/>
      <c r="G219" s="1509" t="str">
        <f>IF(N219&gt;0,"P","")</f>
        <v/>
      </c>
      <c r="H219" s="1512" t="s">
        <v>3197</v>
      </c>
      <c r="I219" s="92"/>
      <c r="J219" s="93" t="s">
        <v>389</v>
      </c>
      <c r="K219" s="103"/>
      <c r="L219" s="915" t="s">
        <v>3793</v>
      </c>
      <c r="M219" s="1623">
        <v>5</v>
      </c>
      <c r="N219" s="1637">
        <f>'11.500'!O220</f>
        <v>0</v>
      </c>
      <c r="O219" s="1619">
        <f>M219*MIN(1,(W220+W221+W222+W223+W224+W225))</f>
        <v>0</v>
      </c>
      <c r="P219" s="905"/>
      <c r="Q219" s="905"/>
      <c r="R219" s="905"/>
      <c r="S219" s="905"/>
      <c r="T219" s="905"/>
      <c r="U219" s="905"/>
      <c r="V219" s="905"/>
      <c r="W219" s="248"/>
      <c r="X219" s="1600"/>
      <c r="Y219" s="1874" t="str">
        <f>IF(LEN('11.500'!X220)=0,"None",'11.500'!X220)</f>
        <v>None</v>
      </c>
      <c r="Z219" s="1889"/>
      <c r="AC219" s="1150"/>
      <c r="AD219" s="1150"/>
      <c r="AE219" s="1150"/>
      <c r="AF219" s="1150"/>
      <c r="AG219" s="1150"/>
      <c r="AH219" s="248"/>
      <c r="AI219" s="248"/>
      <c r="AJ219" s="248"/>
      <c r="AK219" s="248"/>
      <c r="AL219" s="1352" t="str">
        <f>SUBSTITUTE(SUBSTITUTE(SUBSTITUTE("vpa"&amp;$B219&amp;$C219&amp;$D219&amp;$E219&amp;$F219,".","_"),"(","_"),")","")</f>
        <v>vpa504_3_8</v>
      </c>
      <c r="AM219" s="1352">
        <f>M219</f>
        <v>5</v>
      </c>
      <c r="AN219" s="1352" t="str">
        <f>SUBSTITUTE(SUBSTITUTE(SUBSTITUTE("vpc"&amp;$B219&amp;$C219&amp;$D219&amp;$E219&amp;$F219,".","_"),"(","_"),")","")</f>
        <v>vpc504_3_8</v>
      </c>
      <c r="AO219" s="1352">
        <f>O219</f>
        <v>0</v>
      </c>
      <c r="AP219" s="1352"/>
      <c r="AQ219" s="1352"/>
      <c r="AR219" s="1352" t="str">
        <f>SUBSTITUTE(SUBSTITUTE(SUBSTITUTE("vnt"&amp;$B219&amp;$C219&amp;$D219&amp;$E219&amp;$F219,".","_"),"(","_"),")","")</f>
        <v>vnt504_3_8</v>
      </c>
      <c r="AS219" s="1352" t="str">
        <f>IF(LEN(X219)=0,"",X219)</f>
        <v/>
      </c>
    </row>
    <row r="220" spans="1:45" hidden="1" x14ac:dyDescent="0.2">
      <c r="A220" s="1507">
        <v>5</v>
      </c>
      <c r="B220" s="1511" t="s">
        <v>410</v>
      </c>
      <c r="C220" s="1511" t="s">
        <v>389</v>
      </c>
      <c r="D220" s="1511" t="s">
        <v>2539</v>
      </c>
      <c r="E220" s="1511"/>
      <c r="F220" s="1514"/>
      <c r="G220" s="1509" t="str">
        <f t="shared" ref="G220:G226" si="8">G219</f>
        <v/>
      </c>
      <c r="H220" s="1512" t="s">
        <v>3197</v>
      </c>
      <c r="I220" s="92"/>
      <c r="J220" s="103"/>
      <c r="K220" s="103"/>
      <c r="L220" s="915" t="s">
        <v>2551</v>
      </c>
      <c r="M220" s="1623"/>
      <c r="N220" s="1619"/>
      <c r="O220" s="1619"/>
      <c r="P220" s="905" t="b">
        <v>1</v>
      </c>
      <c r="Q220" s="905" t="b">
        <v>1</v>
      </c>
      <c r="R220" s="905" t="b">
        <v>0</v>
      </c>
      <c r="S220" s="905" t="b">
        <v>1</v>
      </c>
      <c r="T220" s="905" t="b">
        <v>0</v>
      </c>
      <c r="U220" s="905"/>
      <c r="V220" s="905"/>
      <c r="W220" s="27"/>
      <c r="X220" s="1600"/>
      <c r="Y220" s="1874"/>
      <c r="Z220" s="1889"/>
      <c r="AC220" s="1150"/>
      <c r="AD220" s="1150"/>
      <c r="AE220" s="1150"/>
      <c r="AF220" s="1150"/>
      <c r="AG220" s="1150"/>
      <c r="AH220" s="248"/>
      <c r="AI220" s="248"/>
      <c r="AJ220" s="248"/>
      <c r="AK220" s="248"/>
      <c r="AL220" s="1352"/>
      <c r="AM220" s="1352"/>
      <c r="AN220" s="1352"/>
      <c r="AO220" s="1352"/>
      <c r="AP220" s="1352" t="str">
        <f t="shared" ref="AP220:AP225" si="9">SUBSTITUTE(SUBSTITUTE(SUBSTITUTE("vch"&amp;$B220&amp;$C220&amp;$D220&amp;$E220&amp;$F220,".","_"),"(","_"),")","")</f>
        <v>vch504_3_8a</v>
      </c>
      <c r="AQ220" s="1352" t="str">
        <f t="shared" ref="AQ220:AQ225" si="10">IF(LEN(W220)=0,"",W220)</f>
        <v/>
      </c>
      <c r="AR220" s="1352"/>
      <c r="AS220" s="1352"/>
    </row>
    <row r="221" spans="1:45" hidden="1" x14ac:dyDescent="0.2">
      <c r="A221" s="1507">
        <v>5</v>
      </c>
      <c r="B221" s="1511" t="s">
        <v>410</v>
      </c>
      <c r="C221" s="1511" t="s">
        <v>389</v>
      </c>
      <c r="D221" s="1511" t="s">
        <v>2540</v>
      </c>
      <c r="E221" s="1511"/>
      <c r="F221" s="1514"/>
      <c r="G221" s="1509" t="str">
        <f t="shared" si="8"/>
        <v/>
      </c>
      <c r="H221" s="1512" t="s">
        <v>3197</v>
      </c>
      <c r="I221" s="92"/>
      <c r="J221" s="103"/>
      <c r="K221" s="103"/>
      <c r="L221" s="915" t="s">
        <v>2550</v>
      </c>
      <c r="M221" s="1623"/>
      <c r="N221" s="1619"/>
      <c r="O221" s="1619"/>
      <c r="P221" s="905" t="b">
        <v>1</v>
      </c>
      <c r="Q221" s="905" t="b">
        <v>1</v>
      </c>
      <c r="R221" s="905" t="b">
        <v>0</v>
      </c>
      <c r="S221" s="905" t="b">
        <v>1</v>
      </c>
      <c r="T221" s="905" t="b">
        <v>0</v>
      </c>
      <c r="U221" s="905"/>
      <c r="V221" s="905"/>
      <c r="W221" s="27"/>
      <c r="X221" s="1600"/>
      <c r="Y221" s="1874"/>
      <c r="Z221" s="1889"/>
      <c r="AC221" s="1150"/>
      <c r="AD221" s="1150"/>
      <c r="AE221" s="1150"/>
      <c r="AF221" s="1150"/>
      <c r="AG221" s="1150"/>
      <c r="AH221" s="248"/>
      <c r="AI221" s="248"/>
      <c r="AJ221" s="248"/>
      <c r="AK221" s="248"/>
      <c r="AL221" s="1352"/>
      <c r="AM221" s="1352"/>
      <c r="AN221" s="1352"/>
      <c r="AO221" s="1352"/>
      <c r="AP221" s="1352" t="str">
        <f t="shared" si="9"/>
        <v>vch504_3_8b</v>
      </c>
      <c r="AQ221" s="1352" t="str">
        <f t="shared" si="10"/>
        <v/>
      </c>
      <c r="AR221" s="1352"/>
      <c r="AS221" s="1352"/>
    </row>
    <row r="222" spans="1:45" hidden="1" x14ac:dyDescent="0.2">
      <c r="A222" s="1507">
        <v>5</v>
      </c>
      <c r="B222" s="1511" t="s">
        <v>410</v>
      </c>
      <c r="C222" s="1511" t="s">
        <v>389</v>
      </c>
      <c r="D222" s="1511" t="s">
        <v>2541</v>
      </c>
      <c r="E222" s="1511"/>
      <c r="F222" s="1514"/>
      <c r="G222" s="1509" t="str">
        <f t="shared" si="8"/>
        <v/>
      </c>
      <c r="H222" s="1512" t="s">
        <v>3197</v>
      </c>
      <c r="I222" s="92"/>
      <c r="J222" s="103"/>
      <c r="K222" s="103"/>
      <c r="L222" s="915" t="s">
        <v>2549</v>
      </c>
      <c r="M222" s="1623"/>
      <c r="N222" s="1619"/>
      <c r="O222" s="1619"/>
      <c r="P222" s="905" t="b">
        <v>1</v>
      </c>
      <c r="Q222" s="905" t="b">
        <v>1</v>
      </c>
      <c r="R222" s="905" t="b">
        <v>0</v>
      </c>
      <c r="S222" s="905" t="b">
        <v>1</v>
      </c>
      <c r="T222" s="905" t="b">
        <v>0</v>
      </c>
      <c r="U222" s="905"/>
      <c r="V222" s="905"/>
      <c r="W222" s="27"/>
      <c r="X222" s="1600"/>
      <c r="Y222" s="1874"/>
      <c r="Z222" s="1889"/>
      <c r="AC222" s="1150"/>
      <c r="AD222" s="1150"/>
      <c r="AE222" s="1150"/>
      <c r="AF222" s="1150"/>
      <c r="AG222" s="1150"/>
      <c r="AH222" s="248"/>
      <c r="AI222" s="248"/>
      <c r="AJ222" s="248"/>
      <c r="AK222" s="248"/>
      <c r="AL222" s="1352"/>
      <c r="AM222" s="1352"/>
      <c r="AN222" s="1352"/>
      <c r="AO222" s="1352"/>
      <c r="AP222" s="1352" t="str">
        <f t="shared" si="9"/>
        <v>vch504_3_8c</v>
      </c>
      <c r="AQ222" s="1352" t="str">
        <f t="shared" si="10"/>
        <v/>
      </c>
      <c r="AR222" s="1352"/>
      <c r="AS222" s="1352"/>
    </row>
    <row r="223" spans="1:45" hidden="1" x14ac:dyDescent="0.2">
      <c r="A223" s="1507">
        <v>5</v>
      </c>
      <c r="B223" s="1511" t="s">
        <v>410</v>
      </c>
      <c r="C223" s="1511" t="s">
        <v>389</v>
      </c>
      <c r="D223" s="1511" t="s">
        <v>2542</v>
      </c>
      <c r="E223" s="1511"/>
      <c r="F223" s="1514"/>
      <c r="G223" s="1509" t="str">
        <f t="shared" si="8"/>
        <v/>
      </c>
      <c r="H223" s="1512" t="s">
        <v>3197</v>
      </c>
      <c r="I223" s="92"/>
      <c r="J223" s="103"/>
      <c r="K223" s="103"/>
      <c r="L223" s="915" t="s">
        <v>2548</v>
      </c>
      <c r="M223" s="1623"/>
      <c r="N223" s="1619"/>
      <c r="O223" s="1619"/>
      <c r="P223" s="905" t="b">
        <v>1</v>
      </c>
      <c r="Q223" s="905" t="b">
        <v>1</v>
      </c>
      <c r="R223" s="905" t="b">
        <v>0</v>
      </c>
      <c r="S223" s="905" t="b">
        <v>1</v>
      </c>
      <c r="T223" s="905" t="b">
        <v>0</v>
      </c>
      <c r="U223" s="905"/>
      <c r="V223" s="905"/>
      <c r="W223" s="27"/>
      <c r="X223" s="1600"/>
      <c r="Y223" s="1874"/>
      <c r="Z223" s="1889"/>
      <c r="AC223" s="1150"/>
      <c r="AD223" s="1150"/>
      <c r="AE223" s="1150"/>
      <c r="AF223" s="1150"/>
      <c r="AG223" s="1150"/>
      <c r="AH223" s="248"/>
      <c r="AI223" s="248"/>
      <c r="AJ223" s="248"/>
      <c r="AK223" s="248"/>
      <c r="AL223" s="1352"/>
      <c r="AM223" s="1352"/>
      <c r="AN223" s="1352"/>
      <c r="AO223" s="1352"/>
      <c r="AP223" s="1352" t="str">
        <f t="shared" si="9"/>
        <v>vch504_3_8d</v>
      </c>
      <c r="AQ223" s="1352" t="str">
        <f t="shared" si="10"/>
        <v/>
      </c>
      <c r="AR223" s="1352"/>
      <c r="AS223" s="1352"/>
    </row>
    <row r="224" spans="1:45" hidden="1" x14ac:dyDescent="0.2">
      <c r="A224" s="1507">
        <v>5</v>
      </c>
      <c r="B224" s="1511" t="s">
        <v>410</v>
      </c>
      <c r="C224" s="1511" t="s">
        <v>389</v>
      </c>
      <c r="D224" s="1511" t="s">
        <v>2543</v>
      </c>
      <c r="E224" s="1511"/>
      <c r="F224" s="1514"/>
      <c r="G224" s="1509" t="str">
        <f t="shared" si="8"/>
        <v/>
      </c>
      <c r="H224" s="1512" t="s">
        <v>3197</v>
      </c>
      <c r="I224" s="92"/>
      <c r="J224" s="103"/>
      <c r="K224" s="103"/>
      <c r="L224" s="915" t="s">
        <v>2547</v>
      </c>
      <c r="M224" s="1623"/>
      <c r="N224" s="1619"/>
      <c r="O224" s="1619"/>
      <c r="P224" s="905" t="b">
        <v>1</v>
      </c>
      <c r="Q224" s="905" t="b">
        <v>1</v>
      </c>
      <c r="R224" s="905" t="b">
        <v>0</v>
      </c>
      <c r="S224" s="905" t="b">
        <v>1</v>
      </c>
      <c r="T224" s="905" t="b">
        <v>0</v>
      </c>
      <c r="U224" s="905"/>
      <c r="V224" s="905"/>
      <c r="W224" s="27"/>
      <c r="X224" s="1600"/>
      <c r="Y224" s="1874"/>
      <c r="Z224" s="1889"/>
      <c r="AC224" s="1150"/>
      <c r="AD224" s="1150"/>
      <c r="AE224" s="1150"/>
      <c r="AF224" s="1150"/>
      <c r="AG224" s="1150"/>
      <c r="AH224" s="248"/>
      <c r="AI224" s="248"/>
      <c r="AJ224" s="248"/>
      <c r="AK224" s="248"/>
      <c r="AL224" s="1352"/>
      <c r="AM224" s="1352"/>
      <c r="AN224" s="1352"/>
      <c r="AO224" s="1352"/>
      <c r="AP224" s="1352" t="str">
        <f t="shared" si="9"/>
        <v>vch504_3_8e</v>
      </c>
      <c r="AQ224" s="1352" t="str">
        <f t="shared" si="10"/>
        <v/>
      </c>
      <c r="AR224" s="1352"/>
      <c r="AS224" s="1352"/>
    </row>
    <row r="225" spans="1:45" hidden="1" x14ac:dyDescent="0.2">
      <c r="A225" s="1507">
        <v>5</v>
      </c>
      <c r="B225" s="1511" t="s">
        <v>410</v>
      </c>
      <c r="C225" s="1511" t="s">
        <v>389</v>
      </c>
      <c r="D225" s="1511" t="s">
        <v>2544</v>
      </c>
      <c r="E225" s="1511"/>
      <c r="F225" s="1514"/>
      <c r="G225" s="1509" t="str">
        <f t="shared" si="8"/>
        <v/>
      </c>
      <c r="H225" s="1512" t="s">
        <v>3197</v>
      </c>
      <c r="I225" s="92"/>
      <c r="J225" s="103"/>
      <c r="K225" s="103"/>
      <c r="L225" s="915" t="s">
        <v>2546</v>
      </c>
      <c r="M225" s="1623"/>
      <c r="N225" s="1619"/>
      <c r="O225" s="1619"/>
      <c r="P225" s="905" t="b">
        <v>1</v>
      </c>
      <c r="Q225" s="905" t="b">
        <v>1</v>
      </c>
      <c r="R225" s="905" t="b">
        <v>0</v>
      </c>
      <c r="S225" s="905" t="b">
        <v>1</v>
      </c>
      <c r="T225" s="905" t="b">
        <v>0</v>
      </c>
      <c r="U225" s="905"/>
      <c r="V225" s="905"/>
      <c r="W225" s="27"/>
      <c r="X225" s="1600"/>
      <c r="Y225" s="1874"/>
      <c r="Z225" s="1889"/>
      <c r="AC225" s="1150" t="b">
        <f>OR(AD225:AE225)</f>
        <v>0</v>
      </c>
      <c r="AD225" s="1150" t="b">
        <v>0</v>
      </c>
      <c r="AE225" s="1150" t="b">
        <f>AND(W225=TRUE,LEN(X219)=0)</f>
        <v>0</v>
      </c>
      <c r="AF225" s="1150"/>
      <c r="AG225" s="1150"/>
      <c r="AH225" s="248"/>
      <c r="AI225" s="248"/>
      <c r="AJ225" s="248"/>
      <c r="AK225" s="248"/>
      <c r="AL225" s="1352"/>
      <c r="AM225" s="1352"/>
      <c r="AN225" s="1352"/>
      <c r="AO225" s="1352"/>
      <c r="AP225" s="1352" t="str">
        <f t="shared" si="9"/>
        <v>vch504_3_8f</v>
      </c>
      <c r="AQ225" s="1352" t="str">
        <f t="shared" si="10"/>
        <v/>
      </c>
      <c r="AR225" s="1352"/>
      <c r="AS225" s="1352"/>
    </row>
    <row r="226" spans="1:45" hidden="1" x14ac:dyDescent="0.2">
      <c r="A226" s="1507">
        <v>5</v>
      </c>
      <c r="B226" s="1511" t="s">
        <v>410</v>
      </c>
      <c r="C226" s="1511" t="s">
        <v>389</v>
      </c>
      <c r="D226" s="1511"/>
      <c r="E226" s="1511"/>
      <c r="F226" s="1514"/>
      <c r="G226" s="1509" t="str">
        <f t="shared" si="8"/>
        <v/>
      </c>
      <c r="H226" s="1512" t="s">
        <v>3197</v>
      </c>
      <c r="I226" s="92"/>
      <c r="J226" s="172"/>
      <c r="K226" s="172"/>
      <c r="L226" s="959" t="s">
        <v>2545</v>
      </c>
      <c r="M226" s="1624"/>
      <c r="N226" s="1620"/>
      <c r="O226" s="1620"/>
      <c r="P226" s="905"/>
      <c r="Q226" s="905"/>
      <c r="R226" s="905"/>
      <c r="S226" s="905"/>
      <c r="T226" s="905"/>
      <c r="U226" s="905"/>
      <c r="V226" s="905"/>
      <c r="W226" s="248"/>
      <c r="X226" s="1600"/>
      <c r="Y226" s="1874"/>
      <c r="Z226" s="1889"/>
      <c r="AC226" s="248"/>
      <c r="AD226" s="248"/>
      <c r="AE226" s="248"/>
      <c r="AF226" s="248"/>
      <c r="AG226" s="248"/>
      <c r="AH226" s="248"/>
      <c r="AI226" s="248"/>
      <c r="AJ226" s="248"/>
      <c r="AK226" s="248"/>
      <c r="AL226" s="1352"/>
      <c r="AM226" s="1352"/>
      <c r="AN226" s="1352"/>
      <c r="AO226" s="1352"/>
      <c r="AP226" s="1352"/>
      <c r="AQ226" s="1352"/>
      <c r="AR226" s="1352"/>
      <c r="AS226" s="1352"/>
    </row>
    <row r="227" spans="1:45" ht="20" thickBot="1" x14ac:dyDescent="0.3">
      <c r="A227" s="1507">
        <v>5</v>
      </c>
      <c r="B227" s="1511" t="s">
        <v>417</v>
      </c>
      <c r="C227" s="1511"/>
      <c r="D227" s="1511"/>
      <c r="E227" s="1511"/>
      <c r="F227" s="1514"/>
      <c r="G227" s="1509" t="s">
        <v>3200</v>
      </c>
      <c r="H227" s="1510" t="s">
        <v>3197</v>
      </c>
      <c r="I227" s="72" t="s">
        <v>3499</v>
      </c>
      <c r="J227" s="72"/>
      <c r="K227" s="72"/>
      <c r="L227" s="86"/>
      <c r="M227" s="339"/>
      <c r="N227" s="419"/>
      <c r="O227" s="419"/>
      <c r="P227" s="25"/>
      <c r="Q227" s="25"/>
      <c r="R227" s="25"/>
      <c r="S227" s="25"/>
      <c r="T227" s="25"/>
      <c r="U227" s="25"/>
      <c r="V227" s="25"/>
      <c r="W227" s="25"/>
      <c r="X227" s="25"/>
      <c r="Y227" s="25"/>
      <c r="Z227" s="714"/>
      <c r="AC227" s="248"/>
      <c r="AD227" s="248"/>
      <c r="AE227" s="248"/>
      <c r="AF227" s="248"/>
      <c r="AG227" s="248"/>
      <c r="AH227" s="248"/>
      <c r="AI227" s="248"/>
      <c r="AJ227" s="248"/>
      <c r="AK227" s="248"/>
      <c r="AL227" s="1352"/>
      <c r="AM227" s="1352"/>
      <c r="AN227" s="1352"/>
      <c r="AO227" s="1352"/>
      <c r="AP227" s="1352"/>
      <c r="AQ227" s="1352"/>
      <c r="AR227" s="1352"/>
      <c r="AS227" s="1352"/>
    </row>
    <row r="228" spans="1:45" ht="15" hidden="1" customHeight="1" x14ac:dyDescent="0.2">
      <c r="A228" s="1507">
        <v>5</v>
      </c>
      <c r="B228" s="1511" t="s">
        <v>3213</v>
      </c>
      <c r="C228" s="1511"/>
      <c r="D228" s="1511"/>
      <c r="E228" s="1511"/>
      <c r="F228" s="1514"/>
      <c r="G228" s="1512"/>
      <c r="H228" s="1512"/>
      <c r="I228" s="93" t="s">
        <v>3500</v>
      </c>
      <c r="J228" s="103"/>
      <c r="K228" s="103"/>
      <c r="L228" s="1629" t="s">
        <v>3794</v>
      </c>
      <c r="M228" s="913"/>
      <c r="N228" s="908"/>
      <c r="O228" s="908"/>
      <c r="P228" s="991"/>
      <c r="Q228" s="991"/>
      <c r="R228" s="991"/>
      <c r="S228" s="991"/>
      <c r="T228" s="991"/>
      <c r="U228" s="991"/>
      <c r="V228" s="991"/>
      <c r="W228" s="96"/>
      <c r="X228" s="1135"/>
      <c r="Y228" s="1135"/>
      <c r="Z228" s="718"/>
      <c r="AC228" s="248"/>
      <c r="AD228" s="248"/>
      <c r="AE228" s="248"/>
      <c r="AF228" s="248"/>
      <c r="AG228" s="248"/>
      <c r="AH228" s="248"/>
      <c r="AI228" s="248"/>
      <c r="AJ228" s="248"/>
      <c r="AK228" s="248"/>
      <c r="AL228" s="1352"/>
      <c r="AM228" s="1352"/>
      <c r="AN228" s="1352"/>
      <c r="AO228" s="1352"/>
      <c r="AP228" s="1352"/>
      <c r="AQ228" s="1352"/>
      <c r="AR228" s="1352"/>
      <c r="AS228" s="1352"/>
    </row>
    <row r="229" spans="1:45" ht="16" hidden="1" thickBot="1" x14ac:dyDescent="0.25">
      <c r="A229" s="1507">
        <v>5</v>
      </c>
      <c r="B229" s="1511" t="s">
        <v>3213</v>
      </c>
      <c r="C229" s="1511"/>
      <c r="D229" s="1511"/>
      <c r="E229" s="1511"/>
      <c r="F229" s="1514"/>
      <c r="G229" s="1512"/>
      <c r="H229" s="1512"/>
      <c r="I229" s="103"/>
      <c r="J229" s="103"/>
      <c r="K229" s="103"/>
      <c r="L229" s="1629"/>
      <c r="M229" s="913"/>
      <c r="N229" s="908"/>
      <c r="O229" s="908"/>
      <c r="P229" s="991"/>
      <c r="Q229" s="991"/>
      <c r="R229" s="991"/>
      <c r="S229" s="991"/>
      <c r="T229" s="991"/>
      <c r="U229" s="991"/>
      <c r="V229" s="991"/>
      <c r="W229" s="96"/>
      <c r="X229" s="1135"/>
      <c r="Y229" s="1135"/>
      <c r="Z229" s="718"/>
      <c r="AC229" s="248"/>
      <c r="AD229" s="248"/>
      <c r="AE229" s="248"/>
      <c r="AF229" s="248"/>
      <c r="AG229" s="248"/>
      <c r="AH229" s="248"/>
      <c r="AI229" s="248"/>
      <c r="AJ229" s="248"/>
      <c r="AK229" s="248"/>
      <c r="AL229" s="1352"/>
      <c r="AM229" s="1352"/>
      <c r="AN229" s="1352"/>
      <c r="AO229" s="1352"/>
      <c r="AP229" s="1352"/>
      <c r="AQ229" s="1352"/>
      <c r="AR229" s="1352"/>
      <c r="AS229" s="1352"/>
    </row>
    <row r="230" spans="1:45" ht="16" hidden="1" thickBot="1" x14ac:dyDescent="0.25">
      <c r="A230" s="1507">
        <v>5</v>
      </c>
      <c r="B230" s="1511" t="s">
        <v>3213</v>
      </c>
      <c r="C230" s="1511"/>
      <c r="D230" s="1511"/>
      <c r="E230" s="1511"/>
      <c r="F230" s="1514"/>
      <c r="G230" s="1512"/>
      <c r="H230" s="1512"/>
      <c r="I230" s="104"/>
      <c r="J230" s="104"/>
      <c r="K230" s="104"/>
      <c r="L230" s="1630"/>
      <c r="M230" s="914"/>
      <c r="N230" s="922"/>
      <c r="O230" s="922"/>
      <c r="P230" s="100"/>
      <c r="Q230" s="100"/>
      <c r="R230" s="100"/>
      <c r="S230" s="100"/>
      <c r="T230" s="100"/>
      <c r="U230" s="100"/>
      <c r="V230" s="100"/>
      <c r="W230" s="100"/>
      <c r="X230" s="100"/>
      <c r="Y230" s="100"/>
      <c r="Z230" s="716"/>
      <c r="AC230" s="248"/>
      <c r="AD230" s="248"/>
      <c r="AE230" s="248"/>
      <c r="AF230" s="248"/>
      <c r="AG230" s="248"/>
      <c r="AH230" s="248"/>
      <c r="AI230" s="248"/>
      <c r="AJ230" s="248"/>
      <c r="AK230" s="248"/>
      <c r="AL230" s="1352"/>
      <c r="AM230" s="1352"/>
      <c r="AN230" s="1352"/>
      <c r="AO230" s="1352"/>
      <c r="AP230" s="1352"/>
      <c r="AQ230" s="1352"/>
      <c r="AR230" s="1352"/>
      <c r="AS230" s="1352"/>
    </row>
    <row r="231" spans="1:45" ht="15.75" hidden="1" customHeight="1" thickTop="1" x14ac:dyDescent="0.2">
      <c r="A231" s="1507">
        <v>5</v>
      </c>
      <c r="B231" s="1511" t="s">
        <v>418</v>
      </c>
      <c r="C231" s="1511"/>
      <c r="D231" s="1511"/>
      <c r="E231" s="1511"/>
      <c r="F231" s="1514"/>
      <c r="G231" s="1513" t="str">
        <f ca="1">IF(COUNTIF(G233:G239,"P")&gt;0,"P","")</f>
        <v/>
      </c>
      <c r="H231" s="1512" t="s">
        <v>3199</v>
      </c>
      <c r="I231" s="89" t="s">
        <v>3501</v>
      </c>
      <c r="J231" s="92"/>
      <c r="K231" s="92"/>
      <c r="L231" s="1683" t="s">
        <v>3517</v>
      </c>
      <c r="M231" s="911"/>
      <c r="N231" s="935"/>
      <c r="O231" s="935"/>
      <c r="P231" s="905"/>
      <c r="Q231" s="905"/>
      <c r="R231" s="905"/>
      <c r="S231" s="905"/>
      <c r="T231" s="905"/>
      <c r="U231" s="905"/>
      <c r="V231" s="905"/>
      <c r="W231" s="248"/>
      <c r="X231"/>
      <c r="Y231"/>
      <c r="Z231" s="670"/>
      <c r="AC231" s="248"/>
      <c r="AD231" s="248"/>
      <c r="AE231" s="248"/>
      <c r="AF231" s="248"/>
      <c r="AG231" s="248"/>
      <c r="AH231" s="248"/>
      <c r="AI231" s="248"/>
      <c r="AJ231" s="248"/>
      <c r="AK231" s="248"/>
      <c r="AL231" s="1352"/>
      <c r="AM231" s="1352"/>
      <c r="AN231" s="1352"/>
      <c r="AO231" s="1352"/>
      <c r="AP231" s="1352"/>
      <c r="AQ231" s="1352"/>
      <c r="AR231" s="1352"/>
      <c r="AS231" s="1352"/>
    </row>
    <row r="232" spans="1:45" ht="16" hidden="1" thickBot="1" x14ac:dyDescent="0.25">
      <c r="A232" s="1507">
        <v>5</v>
      </c>
      <c r="B232" s="1511" t="s">
        <v>418</v>
      </c>
      <c r="C232" s="1511"/>
      <c r="D232" s="1511"/>
      <c r="E232" s="1511"/>
      <c r="F232" s="1514"/>
      <c r="G232" s="1509" t="str">
        <f ca="1">G231</f>
        <v/>
      </c>
      <c r="H232" s="1512" t="s">
        <v>3199</v>
      </c>
      <c r="I232" s="92"/>
      <c r="J232" s="92"/>
      <c r="K232" s="92"/>
      <c r="L232" s="1631"/>
      <c r="M232" s="911"/>
      <c r="N232" s="935"/>
      <c r="O232" s="935"/>
      <c r="P232" s="905"/>
      <c r="Q232" s="905"/>
      <c r="R232" s="905"/>
      <c r="S232" s="905"/>
      <c r="T232" s="905"/>
      <c r="U232" s="905"/>
      <c r="V232" s="905"/>
      <c r="W232" s="248"/>
      <c r="X232"/>
      <c r="Y232"/>
      <c r="Z232" s="670"/>
      <c r="AC232" s="248"/>
      <c r="AD232" s="248"/>
      <c r="AE232" s="248"/>
      <c r="AF232" s="248"/>
      <c r="AG232" s="248"/>
      <c r="AH232" s="248"/>
      <c r="AI232" s="248"/>
      <c r="AJ232" s="248"/>
      <c r="AK232" s="248"/>
      <c r="AL232" s="1352"/>
      <c r="AM232" s="1352"/>
      <c r="AN232" s="1352"/>
      <c r="AO232" s="1352"/>
      <c r="AP232" s="1352"/>
      <c r="AQ232" s="1352"/>
      <c r="AR232" s="1352"/>
      <c r="AS232" s="1352"/>
    </row>
    <row r="233" spans="1:45" ht="15" hidden="1" customHeight="1" x14ac:dyDescent="0.2">
      <c r="A233" s="1507">
        <v>5</v>
      </c>
      <c r="B233" s="1511" t="s">
        <v>418</v>
      </c>
      <c r="C233" s="1511" t="s">
        <v>254</v>
      </c>
      <c r="D233" s="1511"/>
      <c r="E233" s="1511"/>
      <c r="F233" s="1514"/>
      <c r="G233" s="1509" t="str">
        <f>IF(N233&gt;0,"P","")</f>
        <v/>
      </c>
      <c r="H233" s="1512" t="s">
        <v>3199</v>
      </c>
      <c r="I233" s="92"/>
      <c r="J233" s="93" t="s">
        <v>254</v>
      </c>
      <c r="K233" s="103"/>
      <c r="L233" s="1609" t="s">
        <v>419</v>
      </c>
      <c r="M233" s="1623">
        <v>5</v>
      </c>
      <c r="N233" s="1619">
        <f>'11.500'!O234</f>
        <v>0</v>
      </c>
      <c r="O233" s="1619">
        <f>M233*S233*W233</f>
        <v>0</v>
      </c>
      <c r="P233" s="905" t="b">
        <v>0</v>
      </c>
      <c r="Q233" s="905" t="b">
        <v>1</v>
      </c>
      <c r="R233" s="905" t="b">
        <v>0</v>
      </c>
      <c r="S233" s="905" t="b">
        <v>1</v>
      </c>
      <c r="T233" s="905" t="b">
        <v>0</v>
      </c>
      <c r="U233" s="905"/>
      <c r="V233" s="905"/>
      <c r="W233" s="27"/>
      <c r="X233" s="1621"/>
      <c r="Y233" s="1875" t="str">
        <f>IF(LEN('11.500'!X234)=0,"None",'11.500'!X234)</f>
        <v>None</v>
      </c>
      <c r="Z233" s="1878"/>
      <c r="AA233" s="707" t="e">
        <f>'Photo Review'!#REF!</f>
        <v>#REF!</v>
      </c>
      <c r="AC233" s="248"/>
      <c r="AD233" s="248"/>
      <c r="AE233" s="248"/>
      <c r="AF233" s="248"/>
      <c r="AG233" s="248"/>
      <c r="AH233" s="248"/>
      <c r="AI233" s="248"/>
      <c r="AJ233" s="248"/>
      <c r="AK233" s="248"/>
      <c r="AL233" s="1352" t="str">
        <f>SUBSTITUTE(SUBSTITUTE(SUBSTITUTE("vpa"&amp;$B233&amp;$C233&amp;$D233&amp;$E233&amp;$F233,".","_"),"(","_"),")","")</f>
        <v>vpa505_1_1</v>
      </c>
      <c r="AM233" s="1352">
        <f>M233</f>
        <v>5</v>
      </c>
      <c r="AN233" s="1352" t="str">
        <f>SUBSTITUTE(SUBSTITUTE(SUBSTITUTE("vpc"&amp;$B233&amp;$C233&amp;$D233&amp;$E233&amp;$F233,".","_"),"(","_"),")","")</f>
        <v>vpc505_1_1</v>
      </c>
      <c r="AO233" s="1352">
        <f>O233</f>
        <v>0</v>
      </c>
      <c r="AP233" s="1352" t="str">
        <f>SUBSTITUTE(SUBSTITUTE(SUBSTITUTE("vch"&amp;$B233&amp;$C233&amp;$D233&amp;$E233&amp;$F233,".","_"),"(","_"),")","")</f>
        <v>vch505_1_1</v>
      </c>
      <c r="AQ233" s="1352" t="str">
        <f>IF(LEN(W233)=0,"",W233)</f>
        <v/>
      </c>
      <c r="AR233" s="1352" t="str">
        <f>SUBSTITUTE(SUBSTITUTE(SUBSTITUTE("vnt"&amp;$B233&amp;$C233&amp;$D233&amp;$E233&amp;$F233,".","_"),"(","_"),")","")</f>
        <v>vnt505_1_1</v>
      </c>
      <c r="AS233" s="1352" t="str">
        <f>IF(LEN(X233)=0,"",X233)</f>
        <v/>
      </c>
    </row>
    <row r="234" spans="1:45" ht="16" hidden="1" thickBot="1" x14ac:dyDescent="0.25">
      <c r="A234" s="1507">
        <v>5</v>
      </c>
      <c r="B234" s="1511" t="s">
        <v>418</v>
      </c>
      <c r="C234" s="1511" t="s">
        <v>254</v>
      </c>
      <c r="D234" s="1511"/>
      <c r="E234" s="1511"/>
      <c r="F234" s="1514"/>
      <c r="G234" s="1509" t="str">
        <f>G233</f>
        <v/>
      </c>
      <c r="H234" s="1512" t="s">
        <v>3199</v>
      </c>
      <c r="I234" s="92"/>
      <c r="J234" s="169"/>
      <c r="K234" s="172"/>
      <c r="L234" s="1612"/>
      <c r="M234" s="1624"/>
      <c r="N234" s="1620"/>
      <c r="O234" s="1620"/>
      <c r="P234" s="905"/>
      <c r="Q234" s="905"/>
      <c r="R234" s="905"/>
      <c r="S234" s="905"/>
      <c r="T234" s="905"/>
      <c r="U234" s="905"/>
      <c r="V234" s="905"/>
      <c r="W234" s="248"/>
      <c r="X234" s="1599"/>
      <c r="Y234" s="1877"/>
      <c r="Z234" s="1880"/>
      <c r="AC234" s="248"/>
      <c r="AD234" s="248"/>
      <c r="AE234" s="248"/>
      <c r="AF234" s="248"/>
      <c r="AG234" s="248"/>
      <c r="AH234" s="248"/>
      <c r="AI234" s="248"/>
      <c r="AJ234" s="248"/>
      <c r="AK234" s="248"/>
      <c r="AL234" s="1352"/>
      <c r="AM234" s="1352"/>
      <c r="AN234" s="1352"/>
      <c r="AO234" s="1352"/>
      <c r="AP234" s="1352"/>
      <c r="AQ234" s="1352"/>
      <c r="AR234" s="1352"/>
      <c r="AS234" s="1352"/>
    </row>
    <row r="235" spans="1:45" ht="17" hidden="1" thickBot="1" x14ac:dyDescent="0.25">
      <c r="A235" s="1507">
        <v>5</v>
      </c>
      <c r="B235" s="1511" t="s">
        <v>418</v>
      </c>
      <c r="C235" s="1511" t="s">
        <v>255</v>
      </c>
      <c r="D235" s="1511"/>
      <c r="E235" s="1511"/>
      <c r="F235" s="1514"/>
      <c r="G235" s="1509" t="str">
        <f ca="1">IF(N235&gt;0,"P","")</f>
        <v/>
      </c>
      <c r="H235" s="1512" t="s">
        <v>3199</v>
      </c>
      <c r="I235" s="92"/>
      <c r="J235" s="169" t="s">
        <v>255</v>
      </c>
      <c r="K235" s="172"/>
      <c r="L235" s="170" t="s">
        <v>420</v>
      </c>
      <c r="M235" s="937">
        <v>5</v>
      </c>
      <c r="N235" s="909">
        <f ca="1">'11.500'!O236</f>
        <v>0</v>
      </c>
      <c r="O235" s="909">
        <f ca="1">M235*S235*W235</f>
        <v>0</v>
      </c>
      <c r="P235" s="905" t="b">
        <v>0</v>
      </c>
      <c r="Q235" s="905" t="b">
        <v>1</v>
      </c>
      <c r="R235" s="905" t="b">
        <v>0</v>
      </c>
      <c r="S235" s="905" t="b">
        <f ca="1">IF($AY$19=INDEX(INDIRECT("ddSingleOrMulti"),2),TRUE,FALSE)</f>
        <v>0</v>
      </c>
      <c r="T235" s="991" t="b">
        <f ca="1">AND(NOT(S235),W235=TRUE)</f>
        <v>0</v>
      </c>
      <c r="U235" s="905"/>
      <c r="V235" s="905"/>
      <c r="W235" s="27"/>
      <c r="X235" s="276"/>
      <c r="Y235" s="277" t="str">
        <f>IF(LEN('11.500'!X236)=0,"None",'11.500'!X236)</f>
        <v>None</v>
      </c>
      <c r="Z235" s="715"/>
      <c r="AC235" s="248" t="b">
        <f ca="1">OR(AD235:AE235)</f>
        <v>0</v>
      </c>
      <c r="AD235" s="248" t="b">
        <f ca="1">T235</f>
        <v>0</v>
      </c>
      <c r="AE235" s="248"/>
      <c r="AF235" s="248"/>
      <c r="AG235" s="248"/>
      <c r="AH235" s="248"/>
      <c r="AI235" s="248"/>
      <c r="AJ235" s="248"/>
      <c r="AK235" s="248"/>
      <c r="AL235" s="1352" t="str">
        <f>SUBSTITUTE(SUBSTITUTE(SUBSTITUTE("vpa"&amp;$B235&amp;$C235&amp;$D235&amp;$E235&amp;$F235,".","_"),"(","_"),")","")</f>
        <v>vpa505_1_2</v>
      </c>
      <c r="AM235" s="1352">
        <f>M235</f>
        <v>5</v>
      </c>
      <c r="AN235" s="1352" t="str">
        <f>SUBSTITUTE(SUBSTITUTE(SUBSTITUTE("vpc"&amp;$B235&amp;$C235&amp;$D235&amp;$E235&amp;$F235,".","_"),"(","_"),")","")</f>
        <v>vpc505_1_2</v>
      </c>
      <c r="AO235" s="1352">
        <f ca="1">O235</f>
        <v>0</v>
      </c>
      <c r="AP235" s="1352" t="str">
        <f>SUBSTITUTE(SUBSTITUTE(SUBSTITUTE("vch"&amp;$B235&amp;$C235&amp;$D235&amp;$E235&amp;$F235,".","_"),"(","_"),")","")</f>
        <v>vch505_1_2</v>
      </c>
      <c r="AQ235" s="1352" t="str">
        <f>IF(LEN(W235)=0,"",W235)</f>
        <v/>
      </c>
      <c r="AR235" s="1352" t="str">
        <f>SUBSTITUTE(SUBSTITUTE(SUBSTITUTE("vnt"&amp;$B235&amp;$C235&amp;$D235&amp;$E235&amp;$F235,".","_"),"(","_"),")","")</f>
        <v>vnt505_1_2</v>
      </c>
      <c r="AS235" s="1352" t="str">
        <f>IF(LEN(X235)=0,"",X235)</f>
        <v/>
      </c>
    </row>
    <row r="236" spans="1:45" ht="16" hidden="1" thickBot="1" x14ac:dyDescent="0.25">
      <c r="A236" s="1507">
        <v>5</v>
      </c>
      <c r="B236" s="1511" t="s">
        <v>418</v>
      </c>
      <c r="C236" s="1511" t="s">
        <v>256</v>
      </c>
      <c r="D236" s="1511"/>
      <c r="E236" s="1511"/>
      <c r="F236" s="1514"/>
      <c r="G236" s="1509" t="str">
        <f ca="1">IF(N236&gt;0,"P","")</f>
        <v/>
      </c>
      <c r="H236" s="1512" t="s">
        <v>3199</v>
      </c>
      <c r="I236" s="92"/>
      <c r="J236" s="89" t="s">
        <v>256</v>
      </c>
      <c r="K236" s="92"/>
      <c r="L236" s="85" t="s">
        <v>421</v>
      </c>
      <c r="M236" s="1128"/>
      <c r="N236" s="1125">
        <f ca="1">'11.500'!O237</f>
        <v>0</v>
      </c>
      <c r="O236" s="1125">
        <f ca="1">S236*IFERROR(INDEX({4,5,6},MATCH(W236,INDIRECT(U236),0)),0)</f>
        <v>0</v>
      </c>
      <c r="P236" s="1135" t="b">
        <v>0</v>
      </c>
      <c r="Q236" s="1135" t="b">
        <v>1</v>
      </c>
      <c r="R236" s="1135" t="b">
        <v>0</v>
      </c>
      <c r="S236" s="1135" t="b">
        <v>1</v>
      </c>
      <c r="T236" s="1135" t="b">
        <v>0</v>
      </c>
      <c r="U236" s="1135" t="str">
        <f>SUBSTITUTE(SUBSTITUTE(SUBSTITUTE("dd"&amp;B236&amp;C236&amp;D236&amp;E236&amp;F236,".","_"),"(","_"),")","")</f>
        <v>dd505_1_3</v>
      </c>
      <c r="V236" s="1135"/>
      <c r="W236" s="110"/>
      <c r="X236" s="1621"/>
      <c r="Y236" s="1875" t="str">
        <f>IF(LEN('11.500'!X237)=0,"None",'11.500'!X237)</f>
        <v>None</v>
      </c>
      <c r="Z236" s="1878"/>
      <c r="AC236" s="248"/>
      <c r="AD236" s="248"/>
      <c r="AE236" s="248"/>
      <c r="AF236" s="248"/>
      <c r="AG236" s="248"/>
      <c r="AH236" s="248"/>
      <c r="AI236" s="248"/>
      <c r="AJ236" s="248"/>
      <c r="AK236" s="248"/>
      <c r="AL236" s="1352"/>
      <c r="AM236" s="1352"/>
      <c r="AN236" s="1352" t="str">
        <f>SUBSTITUTE(SUBSTITUTE(SUBSTITUTE("vpc"&amp;$B236&amp;$C236&amp;$D236&amp;$E236&amp;$F236,".","_"),"(","_"),")","")</f>
        <v>vpc505_1_3</v>
      </c>
      <c r="AO236" s="1352">
        <f ca="1">O236</f>
        <v>0</v>
      </c>
      <c r="AP236" s="1352" t="str">
        <f>SUBSTITUTE(SUBSTITUTE(SUBSTITUTE("vch"&amp;$B236&amp;$C236&amp;$D236&amp;$E236&amp;$F236,".","_"),"(","_"),")","")</f>
        <v>vch505_1_3</v>
      </c>
      <c r="AQ236" s="1352" t="str">
        <f>IF(LEN(W236)=0,"",W236)</f>
        <v/>
      </c>
      <c r="AR236" s="1352" t="str">
        <f>SUBSTITUTE(SUBSTITUTE(SUBSTITUTE("vnt"&amp;$B236&amp;$C236&amp;$D236&amp;$E236&amp;$F236,".","_"),"(","_"),")","")</f>
        <v>vnt505_1_3</v>
      </c>
      <c r="AS236" s="1352" t="str">
        <f>IF(LEN(X236)=0,"",X236)</f>
        <v/>
      </c>
    </row>
    <row r="237" spans="1:45" ht="16" hidden="1" thickBot="1" x14ac:dyDescent="0.25">
      <c r="A237" s="1507">
        <v>5</v>
      </c>
      <c r="B237" s="1511" t="s">
        <v>418</v>
      </c>
      <c r="C237" s="1511" t="s">
        <v>256</v>
      </c>
      <c r="D237" s="1521" t="s">
        <v>121</v>
      </c>
      <c r="E237" s="1521"/>
      <c r="F237" s="1522"/>
      <c r="G237" s="1509" t="str">
        <f ca="1">G236</f>
        <v/>
      </c>
      <c r="H237" s="1510" t="s">
        <v>3199</v>
      </c>
      <c r="I237" s="88"/>
      <c r="J237" s="92"/>
      <c r="K237" s="89" t="s">
        <v>121</v>
      </c>
      <c r="L237" s="85" t="s">
        <v>422</v>
      </c>
      <c r="M237" s="1128">
        <v>4</v>
      </c>
      <c r="N237" s="1125"/>
      <c r="O237" s="1125"/>
      <c r="P237" s="1135"/>
      <c r="Q237" s="1135"/>
      <c r="R237" s="1135" t="b">
        <v>0</v>
      </c>
      <c r="S237" s="1135" t="b">
        <v>1</v>
      </c>
      <c r="T237" s="1135" t="b">
        <v>0</v>
      </c>
      <c r="U237" s="1135"/>
      <c r="V237" s="1135"/>
      <c r="W237" s="1135"/>
      <c r="X237" s="1632"/>
      <c r="Y237" s="1876"/>
      <c r="Z237" s="1879"/>
      <c r="AC237" s="248"/>
      <c r="AD237" s="248"/>
      <c r="AE237" s="248"/>
      <c r="AF237" s="248"/>
      <c r="AG237" s="248"/>
      <c r="AH237" s="248"/>
      <c r="AI237" s="248"/>
      <c r="AJ237" s="248"/>
      <c r="AK237" s="248"/>
      <c r="AL237" s="1352" t="str">
        <f>SUBSTITUTE(SUBSTITUTE(SUBSTITUTE("vpa"&amp;$B237&amp;$C237&amp;$D237&amp;$E237&amp;$F237,".","_"),"(","_"),")","")</f>
        <v>vpa505_1_3_a</v>
      </c>
      <c r="AM237" s="1352">
        <f>M237</f>
        <v>4</v>
      </c>
      <c r="AN237" s="1352"/>
      <c r="AO237" s="1352"/>
      <c r="AP237" s="1352"/>
      <c r="AQ237" s="1352"/>
      <c r="AR237" s="1352"/>
      <c r="AS237" s="1352"/>
    </row>
    <row r="238" spans="1:45" ht="16" hidden="1" thickBot="1" x14ac:dyDescent="0.25">
      <c r="A238" s="1507">
        <v>5</v>
      </c>
      <c r="B238" s="1511" t="s">
        <v>418</v>
      </c>
      <c r="C238" s="1511" t="s">
        <v>256</v>
      </c>
      <c r="D238" s="1521" t="s">
        <v>122</v>
      </c>
      <c r="E238" s="1521"/>
      <c r="F238" s="1522"/>
      <c r="G238" s="1509" t="str">
        <f ca="1">G237</f>
        <v/>
      </c>
      <c r="H238" s="1510" t="s">
        <v>3199</v>
      </c>
      <c r="I238" s="88"/>
      <c r="J238" s="92"/>
      <c r="K238" s="89" t="s">
        <v>122</v>
      </c>
      <c r="L238" s="85" t="s">
        <v>423</v>
      </c>
      <c r="M238" s="1128">
        <v>5</v>
      </c>
      <c r="N238" s="1125"/>
      <c r="O238" s="1125"/>
      <c r="P238" s="1135"/>
      <c r="Q238" s="1135"/>
      <c r="R238" s="1135" t="b">
        <v>0</v>
      </c>
      <c r="S238" s="1135" t="b">
        <v>1</v>
      </c>
      <c r="T238" s="1135" t="b">
        <v>0</v>
      </c>
      <c r="U238" s="1135"/>
      <c r="V238" s="1135"/>
      <c r="W238" s="1135"/>
      <c r="X238" s="1632"/>
      <c r="Y238" s="1876"/>
      <c r="Z238" s="1879"/>
      <c r="AC238" s="248"/>
      <c r="AD238" s="248"/>
      <c r="AE238" s="248"/>
      <c r="AF238" s="248"/>
      <c r="AG238" s="248"/>
      <c r="AH238" s="248"/>
      <c r="AI238" s="248"/>
      <c r="AJ238" s="248"/>
      <c r="AK238" s="248"/>
      <c r="AL238" s="1352" t="str">
        <f>SUBSTITUTE(SUBSTITUTE(SUBSTITUTE("vpa"&amp;$B238&amp;$C238&amp;$D238&amp;$E238&amp;$F238,".","_"),"(","_"),")","")</f>
        <v>vpa505_1_3_b</v>
      </c>
      <c r="AM238" s="1352">
        <f>M238</f>
        <v>5</v>
      </c>
      <c r="AN238" s="1352"/>
      <c r="AO238" s="1352"/>
      <c r="AP238" s="1352"/>
      <c r="AQ238" s="1352"/>
      <c r="AR238" s="1352"/>
      <c r="AS238" s="1352"/>
    </row>
    <row r="239" spans="1:45" ht="16" hidden="1" thickBot="1" x14ac:dyDescent="0.25">
      <c r="A239" s="1507">
        <v>5</v>
      </c>
      <c r="B239" s="1511" t="s">
        <v>418</v>
      </c>
      <c r="C239" s="1511" t="s">
        <v>256</v>
      </c>
      <c r="D239" s="1521" t="s">
        <v>123</v>
      </c>
      <c r="E239" s="1521"/>
      <c r="F239" s="1522"/>
      <c r="G239" s="1509" t="str">
        <f ca="1">G238</f>
        <v/>
      </c>
      <c r="H239" s="1510" t="s">
        <v>3199</v>
      </c>
      <c r="I239" s="1140"/>
      <c r="J239" s="172"/>
      <c r="K239" s="174" t="s">
        <v>123</v>
      </c>
      <c r="L239" s="170" t="s">
        <v>359</v>
      </c>
      <c r="M239" s="1129">
        <v>6</v>
      </c>
      <c r="N239" s="1126"/>
      <c r="O239" s="1126"/>
      <c r="P239" s="173"/>
      <c r="Q239" s="173"/>
      <c r="R239" s="173" t="b">
        <v>0</v>
      </c>
      <c r="S239" s="173" t="b">
        <v>1</v>
      </c>
      <c r="T239" s="173" t="b">
        <v>0</v>
      </c>
      <c r="U239" s="173"/>
      <c r="V239" s="173"/>
      <c r="W239" s="173"/>
      <c r="X239" s="1599"/>
      <c r="Y239" s="1877"/>
      <c r="Z239" s="1880"/>
      <c r="AC239" s="248"/>
      <c r="AD239" s="248"/>
      <c r="AE239" s="248"/>
      <c r="AF239" s="248"/>
      <c r="AG239" s="248"/>
      <c r="AH239" s="248"/>
      <c r="AI239" s="248"/>
      <c r="AJ239" s="248"/>
      <c r="AK239" s="248"/>
      <c r="AL239" s="1352" t="str">
        <f>SUBSTITUTE(SUBSTITUTE(SUBSTITUTE("vpa"&amp;$B239&amp;$C239&amp;$D239&amp;$E239&amp;$F239,".","_"),"(","_"),")","")</f>
        <v>vpa505_1_3_c</v>
      </c>
      <c r="AM239" s="1352">
        <f>M239</f>
        <v>6</v>
      </c>
      <c r="AN239" s="1352"/>
      <c r="AO239" s="1352"/>
      <c r="AP239" s="1352"/>
      <c r="AQ239" s="1352"/>
      <c r="AR239" s="1352"/>
      <c r="AS239" s="1352"/>
    </row>
    <row r="240" spans="1:45" ht="16" hidden="1" thickBot="1" x14ac:dyDescent="0.25">
      <c r="A240" s="1507">
        <v>5</v>
      </c>
      <c r="B240" s="1511" t="s">
        <v>424</v>
      </c>
      <c r="C240" s="1511"/>
      <c r="D240" s="1511"/>
      <c r="E240" s="1511"/>
      <c r="F240" s="1514"/>
      <c r="G240" s="1513" t="str">
        <f>IF(COUNTIF(G241:G251,"P")&gt;0,"P","")</f>
        <v/>
      </c>
      <c r="H240" s="1512" t="s">
        <v>3199</v>
      </c>
      <c r="I240" s="89" t="s">
        <v>3502</v>
      </c>
      <c r="J240" s="92"/>
      <c r="K240" s="92"/>
      <c r="L240" s="87" t="s">
        <v>3795</v>
      </c>
      <c r="M240" s="911"/>
      <c r="N240" s="935"/>
      <c r="O240" s="935"/>
      <c r="P240" s="905"/>
      <c r="Q240" s="905"/>
      <c r="R240" s="905"/>
      <c r="S240" s="905"/>
      <c r="T240" s="905"/>
      <c r="U240" s="905"/>
      <c r="V240" s="905"/>
      <c r="W240" s="248"/>
      <c r="X240" s="275"/>
      <c r="Y240"/>
      <c r="Z240" s="670"/>
      <c r="AC240" s="248"/>
      <c r="AD240" s="248"/>
      <c r="AE240" s="248"/>
      <c r="AF240" s="248"/>
      <c r="AG240" s="248"/>
      <c r="AH240" s="248"/>
      <c r="AI240" s="248"/>
      <c r="AJ240" s="248"/>
      <c r="AK240" s="248"/>
      <c r="AL240" s="1352"/>
      <c r="AM240" s="1352"/>
      <c r="AN240" s="1352"/>
      <c r="AO240" s="1352"/>
      <c r="AP240" s="1352"/>
      <c r="AQ240" s="1352"/>
      <c r="AR240" s="1352"/>
      <c r="AS240" s="1352"/>
    </row>
    <row r="241" spans="1:45" ht="15" hidden="1" customHeight="1" x14ac:dyDescent="0.2">
      <c r="A241" s="1507">
        <v>5</v>
      </c>
      <c r="B241" s="1511" t="s">
        <v>424</v>
      </c>
      <c r="C241" s="1511" t="s">
        <v>254</v>
      </c>
      <c r="D241" s="1511"/>
      <c r="E241" s="1511"/>
      <c r="F241" s="1514"/>
      <c r="G241" s="1509" t="str">
        <f>IF(N241&gt;0,"P","")</f>
        <v/>
      </c>
      <c r="H241" s="1512" t="s">
        <v>3199</v>
      </c>
      <c r="I241" s="92"/>
      <c r="J241" s="89" t="s">
        <v>254</v>
      </c>
      <c r="K241" s="92"/>
      <c r="L241" s="1611" t="s">
        <v>425</v>
      </c>
      <c r="M241" s="1628">
        <v>5</v>
      </c>
      <c r="N241" s="1669">
        <f>'11.500'!O242</f>
        <v>0</v>
      </c>
      <c r="O241" s="1669">
        <f>M241*MIN(1,W243+W246+W250)</f>
        <v>0</v>
      </c>
      <c r="P241" s="905"/>
      <c r="Q241" s="905"/>
      <c r="R241" s="905" t="b">
        <v>0</v>
      </c>
      <c r="S241" s="905" t="b">
        <v>1</v>
      </c>
      <c r="T241" s="905" t="b">
        <v>0</v>
      </c>
      <c r="U241" s="905"/>
      <c r="V241" s="905"/>
      <c r="W241" s="248"/>
      <c r="X241" s="1621"/>
      <c r="Y241" s="1875" t="str">
        <f>IF(LEN('11.500'!X242)=0,"None",'11.500'!X242)</f>
        <v>None</v>
      </c>
      <c r="Z241" s="1878"/>
      <c r="AC241" s="248"/>
      <c r="AD241" s="248"/>
      <c r="AE241" s="248"/>
      <c r="AF241" s="248"/>
      <c r="AG241" s="248"/>
      <c r="AH241" s="248"/>
      <c r="AI241" s="248"/>
      <c r="AJ241" s="248"/>
      <c r="AK241" s="248"/>
      <c r="AL241" s="1352" t="str">
        <f>SUBSTITUTE(SUBSTITUTE(SUBSTITUTE("vpa"&amp;$B241&amp;$C241&amp;$D241&amp;$E241&amp;$F241,".","_"),"(","_"),")","")</f>
        <v>vpa505_2_1</v>
      </c>
      <c r="AM241" s="1352">
        <f>M241</f>
        <v>5</v>
      </c>
      <c r="AN241" s="1352" t="str">
        <f>SUBSTITUTE(SUBSTITUTE(SUBSTITUTE("vpc"&amp;$B241&amp;$C241&amp;$D241&amp;$E241&amp;$F241,".","_"),"(","_"),")","")</f>
        <v>vpc505_2_1</v>
      </c>
      <c r="AO241" s="1352">
        <f>O241</f>
        <v>0</v>
      </c>
      <c r="AP241" s="1352"/>
      <c r="AQ241" s="1352"/>
      <c r="AR241" s="1352" t="str">
        <f>SUBSTITUTE(SUBSTITUTE(SUBSTITUTE("vnt"&amp;$B241&amp;$C241&amp;$D241&amp;$E241&amp;$F241,".","_"),"(","_"),")","")</f>
        <v>vnt505_2_1</v>
      </c>
      <c r="AS241" s="1352" t="str">
        <f>IF(LEN(X241)=0,"",X241)</f>
        <v/>
      </c>
    </row>
    <row r="242" spans="1:45" ht="16" hidden="1" thickBot="1" x14ac:dyDescent="0.25">
      <c r="A242" s="1507">
        <v>5</v>
      </c>
      <c r="B242" s="1511" t="s">
        <v>424</v>
      </c>
      <c r="C242" s="1511" t="s">
        <v>254</v>
      </c>
      <c r="D242" s="1511"/>
      <c r="E242" s="1511"/>
      <c r="F242" s="1514"/>
      <c r="G242" s="1509" t="str">
        <f t="shared" ref="G242:G250" si="11">G241</f>
        <v/>
      </c>
      <c r="H242" s="1512" t="s">
        <v>3199</v>
      </c>
      <c r="I242" s="92"/>
      <c r="J242" s="92"/>
      <c r="K242" s="92"/>
      <c r="L242" s="1611"/>
      <c r="M242" s="1628"/>
      <c r="N242" s="1669"/>
      <c r="O242" s="1669"/>
      <c r="P242" s="905"/>
      <c r="Q242" s="905"/>
      <c r="R242" s="905"/>
      <c r="S242" s="905"/>
      <c r="T242" s="905"/>
      <c r="U242" s="905"/>
      <c r="V242" s="905"/>
      <c r="W242" s="248"/>
      <c r="X242" s="1632"/>
      <c r="Y242" s="1876"/>
      <c r="Z242" s="1879"/>
      <c r="AC242" s="248"/>
      <c r="AD242" s="248"/>
      <c r="AE242" s="248"/>
      <c r="AF242" s="248"/>
      <c r="AG242" s="248"/>
      <c r="AH242" s="248"/>
      <c r="AI242" s="248"/>
      <c r="AJ242" s="248"/>
      <c r="AK242" s="248"/>
      <c r="AL242" s="1352"/>
      <c r="AM242" s="1352"/>
      <c r="AN242" s="1352"/>
      <c r="AO242" s="1352"/>
      <c r="AP242" s="1352"/>
      <c r="AQ242" s="1352"/>
      <c r="AR242" s="1352"/>
      <c r="AS242" s="1352"/>
    </row>
    <row r="243" spans="1:45" ht="15" hidden="1" customHeight="1" x14ac:dyDescent="0.2">
      <c r="A243" s="1507">
        <v>5</v>
      </c>
      <c r="B243" s="1511" t="s">
        <v>424</v>
      </c>
      <c r="C243" s="1511" t="s">
        <v>254</v>
      </c>
      <c r="D243" s="1521" t="s">
        <v>121</v>
      </c>
      <c r="E243" s="1521"/>
      <c r="F243" s="1522"/>
      <c r="G243" s="1509" t="str">
        <f t="shared" si="11"/>
        <v/>
      </c>
      <c r="H243" s="1510" t="s">
        <v>3199</v>
      </c>
      <c r="I243" s="88"/>
      <c r="J243" s="92"/>
      <c r="K243" s="89" t="s">
        <v>121</v>
      </c>
      <c r="L243" s="1611" t="s">
        <v>426</v>
      </c>
      <c r="M243" s="911"/>
      <c r="N243" s="935"/>
      <c r="O243" s="935"/>
      <c r="P243" s="905" t="b">
        <v>0</v>
      </c>
      <c r="Q243" s="905" t="b">
        <v>1</v>
      </c>
      <c r="R243" s="905" t="b">
        <v>0</v>
      </c>
      <c r="S243" s="905" t="b">
        <v>1</v>
      </c>
      <c r="T243" s="905" t="b">
        <v>0</v>
      </c>
      <c r="U243" s="905"/>
      <c r="V243" s="905"/>
      <c r="W243" s="27"/>
      <c r="X243" s="1632"/>
      <c r="Y243" s="1876"/>
      <c r="Z243" s="1879"/>
      <c r="AA243" s="707" t="e">
        <f>'Photo Review'!#REF!</f>
        <v>#REF!</v>
      </c>
      <c r="AC243" s="248"/>
      <c r="AD243" s="248"/>
      <c r="AE243" s="248"/>
      <c r="AF243" s="248"/>
      <c r="AG243" s="248"/>
      <c r="AH243" s="248"/>
      <c r="AI243" s="248"/>
      <c r="AJ243" s="248"/>
      <c r="AK243" s="248"/>
      <c r="AL243" s="1352"/>
      <c r="AM243" s="1352"/>
      <c r="AN243" s="1352"/>
      <c r="AO243" s="1352"/>
      <c r="AP243" s="1352" t="str">
        <f>SUBSTITUTE(SUBSTITUTE(SUBSTITUTE("vch"&amp;$B243&amp;$C243&amp;$D243&amp;$E243&amp;$F243,".","_"),"(","_"),")","")</f>
        <v>vch505_2_1_a</v>
      </c>
      <c r="AQ243" s="1352" t="str">
        <f>IF(LEN(W243)=0,"",W243)</f>
        <v/>
      </c>
      <c r="AR243" s="1352"/>
      <c r="AS243" s="1352"/>
    </row>
    <row r="244" spans="1:45" ht="16" hidden="1" thickBot="1" x14ac:dyDescent="0.25">
      <c r="A244" s="1507">
        <v>5</v>
      </c>
      <c r="B244" s="1511" t="s">
        <v>424</v>
      </c>
      <c r="C244" s="1511" t="s">
        <v>254</v>
      </c>
      <c r="D244" s="1521" t="s">
        <v>121</v>
      </c>
      <c r="E244" s="1521"/>
      <c r="F244" s="1522"/>
      <c r="G244" s="1509" t="str">
        <f t="shared" si="11"/>
        <v/>
      </c>
      <c r="H244" s="1510" t="s">
        <v>3199</v>
      </c>
      <c r="I244" s="88"/>
      <c r="J244" s="92"/>
      <c r="K244" s="92"/>
      <c r="L244" s="1611"/>
      <c r="M244" s="911"/>
      <c r="N244" s="935"/>
      <c r="O244" s="935"/>
      <c r="P244" s="905"/>
      <c r="Q244" s="905"/>
      <c r="R244" s="905"/>
      <c r="S244" s="905"/>
      <c r="T244" s="905"/>
      <c r="U244" s="905"/>
      <c r="V244" s="905"/>
      <c r="W244" s="248"/>
      <c r="X244" s="1632"/>
      <c r="Y244" s="1876"/>
      <c r="Z244" s="1879"/>
      <c r="AC244" s="248"/>
      <c r="AD244" s="248"/>
      <c r="AE244" s="248"/>
      <c r="AF244" s="248"/>
      <c r="AG244" s="248"/>
      <c r="AH244" s="248"/>
      <c r="AI244" s="248"/>
      <c r="AJ244" s="248"/>
      <c r="AK244" s="248"/>
      <c r="AL244" s="1352"/>
      <c r="AM244" s="1352"/>
      <c r="AN244" s="1352"/>
      <c r="AO244" s="1352"/>
      <c r="AP244" s="1352"/>
      <c r="AQ244" s="1352"/>
      <c r="AR244" s="1352"/>
      <c r="AS244" s="1352"/>
    </row>
    <row r="245" spans="1:45" ht="16" hidden="1" thickBot="1" x14ac:dyDescent="0.25">
      <c r="A245" s="1507">
        <v>5</v>
      </c>
      <c r="B245" s="1511" t="s">
        <v>424</v>
      </c>
      <c r="C245" s="1511" t="s">
        <v>254</v>
      </c>
      <c r="D245" s="1521" t="s">
        <v>121</v>
      </c>
      <c r="E245" s="1521"/>
      <c r="F245" s="1522"/>
      <c r="G245" s="1509" t="str">
        <f t="shared" si="11"/>
        <v/>
      </c>
      <c r="H245" s="1510" t="s">
        <v>3199</v>
      </c>
      <c r="I245" s="88"/>
      <c r="J245" s="92"/>
      <c r="K245" s="92"/>
      <c r="L245" s="1611"/>
      <c r="M245" s="911"/>
      <c r="N245" s="935"/>
      <c r="O245" s="935"/>
      <c r="P245" s="905"/>
      <c r="Q245" s="905"/>
      <c r="R245" s="905"/>
      <c r="S245" s="905"/>
      <c r="T245" s="905"/>
      <c r="U245" s="905"/>
      <c r="V245" s="905"/>
      <c r="W245" s="248"/>
      <c r="X245" s="1632"/>
      <c r="Y245" s="1876"/>
      <c r="Z245" s="1879"/>
      <c r="AC245" s="248"/>
      <c r="AD245" s="248"/>
      <c r="AE245" s="248"/>
      <c r="AF245" s="248"/>
      <c r="AG245" s="248"/>
      <c r="AH245" s="248"/>
      <c r="AI245" s="248"/>
      <c r="AJ245" s="248"/>
      <c r="AK245" s="248"/>
      <c r="AL245" s="1352"/>
      <c r="AM245" s="1352"/>
      <c r="AN245" s="1352"/>
      <c r="AO245" s="1352"/>
      <c r="AP245" s="1352"/>
      <c r="AQ245" s="1352"/>
      <c r="AR245" s="1352"/>
      <c r="AS245" s="1352"/>
    </row>
    <row r="246" spans="1:45" ht="15" hidden="1" customHeight="1" x14ac:dyDescent="0.2">
      <c r="A246" s="1507">
        <v>5</v>
      </c>
      <c r="B246" s="1511" t="s">
        <v>424</v>
      </c>
      <c r="C246" s="1511" t="s">
        <v>254</v>
      </c>
      <c r="D246" s="1521" t="s">
        <v>122</v>
      </c>
      <c r="E246" s="1521"/>
      <c r="F246" s="1522"/>
      <c r="G246" s="1509" t="str">
        <f t="shared" si="11"/>
        <v/>
      </c>
      <c r="H246" s="1510" t="s">
        <v>3199</v>
      </c>
      <c r="I246" s="88"/>
      <c r="J246" s="92"/>
      <c r="K246" s="89" t="s">
        <v>122</v>
      </c>
      <c r="L246" s="1611" t="s">
        <v>427</v>
      </c>
      <c r="M246" s="911"/>
      <c r="N246" s="935"/>
      <c r="O246" s="935"/>
      <c r="P246" s="905" t="b">
        <v>0</v>
      </c>
      <c r="Q246" s="905" t="b">
        <v>1</v>
      </c>
      <c r="R246" s="905" t="b">
        <v>0</v>
      </c>
      <c r="S246" s="905" t="b">
        <v>1</v>
      </c>
      <c r="T246" s="905" t="b">
        <v>0</v>
      </c>
      <c r="U246" s="905"/>
      <c r="V246" s="905"/>
      <c r="W246" s="27"/>
      <c r="X246" s="1632"/>
      <c r="Y246" s="1876"/>
      <c r="Z246" s="1879"/>
      <c r="AA246" s="707" t="e">
        <f>'Photo Review'!#REF!</f>
        <v>#REF!</v>
      </c>
      <c r="AC246" s="248"/>
      <c r="AD246" s="248"/>
      <c r="AE246" s="248"/>
      <c r="AF246" s="248"/>
      <c r="AG246" s="248"/>
      <c r="AH246" s="248"/>
      <c r="AI246" s="248"/>
      <c r="AJ246" s="248"/>
      <c r="AK246" s="248"/>
      <c r="AL246" s="1352"/>
      <c r="AM246" s="1352"/>
      <c r="AN246" s="1352"/>
      <c r="AO246" s="1352"/>
      <c r="AP246" s="1352" t="str">
        <f>SUBSTITUTE(SUBSTITUTE(SUBSTITUTE("vch"&amp;$B246&amp;$C246&amp;$D246&amp;$E246&amp;$F246,".","_"),"(","_"),")","")</f>
        <v>vch505_2_1_b</v>
      </c>
      <c r="AQ246" s="1352" t="str">
        <f>IF(LEN(W246)=0,"",W246)</f>
        <v/>
      </c>
      <c r="AR246" s="1352"/>
      <c r="AS246" s="1352"/>
    </row>
    <row r="247" spans="1:45" ht="16" hidden="1" thickBot="1" x14ac:dyDescent="0.25">
      <c r="A247" s="1507">
        <v>5</v>
      </c>
      <c r="B247" s="1511" t="s">
        <v>424</v>
      </c>
      <c r="C247" s="1511" t="s">
        <v>254</v>
      </c>
      <c r="D247" s="1521" t="s">
        <v>122</v>
      </c>
      <c r="E247" s="1521"/>
      <c r="F247" s="1522"/>
      <c r="G247" s="1509" t="str">
        <f t="shared" si="11"/>
        <v/>
      </c>
      <c r="H247" s="1510" t="s">
        <v>3199</v>
      </c>
      <c r="I247" s="88"/>
      <c r="J247" s="92"/>
      <c r="K247" s="92"/>
      <c r="L247" s="1611"/>
      <c r="M247" s="911"/>
      <c r="N247" s="935"/>
      <c r="O247" s="935"/>
      <c r="P247" s="905"/>
      <c r="Q247" s="905"/>
      <c r="R247" s="905"/>
      <c r="S247" s="905"/>
      <c r="T247" s="905"/>
      <c r="U247" s="905"/>
      <c r="V247" s="905"/>
      <c r="W247" s="248"/>
      <c r="X247" s="1632"/>
      <c r="Y247" s="1876"/>
      <c r="Z247" s="1879"/>
      <c r="AC247" s="248"/>
      <c r="AD247" s="248"/>
      <c r="AE247" s="248"/>
      <c r="AF247" s="248"/>
      <c r="AG247" s="248"/>
      <c r="AH247" s="248"/>
      <c r="AI247" s="248"/>
      <c r="AJ247" s="248"/>
      <c r="AK247" s="248"/>
      <c r="AL247" s="1352"/>
      <c r="AM247" s="1352"/>
      <c r="AN247" s="1352"/>
      <c r="AO247" s="1352"/>
      <c r="AP247" s="1352"/>
      <c r="AQ247" s="1352"/>
      <c r="AR247" s="1352"/>
      <c r="AS247" s="1352"/>
    </row>
    <row r="248" spans="1:45" ht="16" hidden="1" thickBot="1" x14ac:dyDescent="0.25">
      <c r="A248" s="1507">
        <v>5</v>
      </c>
      <c r="B248" s="1511" t="s">
        <v>424</v>
      </c>
      <c r="C248" s="1511" t="s">
        <v>254</v>
      </c>
      <c r="D248" s="1521" t="s">
        <v>122</v>
      </c>
      <c r="E248" s="1521"/>
      <c r="F248" s="1522"/>
      <c r="G248" s="1509" t="str">
        <f t="shared" si="11"/>
        <v/>
      </c>
      <c r="H248" s="1510" t="s">
        <v>3199</v>
      </c>
      <c r="I248" s="88"/>
      <c r="J248" s="92"/>
      <c r="K248" s="92"/>
      <c r="L248" s="1611"/>
      <c r="M248" s="911"/>
      <c r="N248" s="935"/>
      <c r="O248" s="935"/>
      <c r="P248" s="905"/>
      <c r="Q248" s="905"/>
      <c r="R248" s="905"/>
      <c r="S248" s="905"/>
      <c r="T248" s="905"/>
      <c r="U248" s="905"/>
      <c r="V248" s="905"/>
      <c r="W248" s="248"/>
      <c r="X248" s="1632"/>
      <c r="Y248" s="1876"/>
      <c r="Z248" s="1879"/>
      <c r="AC248" s="248"/>
      <c r="AD248" s="248"/>
      <c r="AE248" s="248"/>
      <c r="AF248" s="248"/>
      <c r="AG248" s="248"/>
      <c r="AH248" s="248"/>
      <c r="AI248" s="248"/>
      <c r="AJ248" s="248"/>
      <c r="AK248" s="248"/>
      <c r="AL248" s="1352"/>
      <c r="AM248" s="1352"/>
      <c r="AN248" s="1352"/>
      <c r="AO248" s="1352"/>
      <c r="AP248" s="1352"/>
      <c r="AQ248" s="1352"/>
      <c r="AR248" s="1352"/>
      <c r="AS248" s="1352"/>
    </row>
    <row r="249" spans="1:45" ht="16" hidden="1" thickBot="1" x14ac:dyDescent="0.25">
      <c r="A249" s="1507">
        <v>5</v>
      </c>
      <c r="B249" s="1511" t="s">
        <v>424</v>
      </c>
      <c r="C249" s="1511" t="s">
        <v>254</v>
      </c>
      <c r="D249" s="1521" t="s">
        <v>122</v>
      </c>
      <c r="E249" s="1521"/>
      <c r="F249" s="1522"/>
      <c r="G249" s="1509" t="str">
        <f t="shared" si="11"/>
        <v/>
      </c>
      <c r="H249" s="1510" t="s">
        <v>3199</v>
      </c>
      <c r="I249" s="88"/>
      <c r="J249" s="92"/>
      <c r="K249" s="92"/>
      <c r="L249" s="1611"/>
      <c r="M249" s="911"/>
      <c r="N249" s="935"/>
      <c r="O249" s="935"/>
      <c r="P249" s="905"/>
      <c r="Q249" s="905"/>
      <c r="R249" s="905"/>
      <c r="S249" s="905"/>
      <c r="T249" s="905"/>
      <c r="U249" s="905"/>
      <c r="V249" s="905"/>
      <c r="W249" s="248"/>
      <c r="X249" s="1632"/>
      <c r="Y249" s="1876"/>
      <c r="Z249" s="1879"/>
      <c r="AC249" s="248"/>
      <c r="AD249" s="248"/>
      <c r="AE249" s="248"/>
      <c r="AF249" s="248"/>
      <c r="AG249" s="248"/>
      <c r="AH249" s="248"/>
      <c r="AI249" s="248"/>
      <c r="AJ249" s="248"/>
      <c r="AK249" s="248"/>
      <c r="AL249" s="1352"/>
      <c r="AM249" s="1352"/>
      <c r="AN249" s="1352"/>
      <c r="AO249" s="1352"/>
      <c r="AP249" s="1352"/>
      <c r="AQ249" s="1352"/>
      <c r="AR249" s="1352"/>
      <c r="AS249" s="1352"/>
    </row>
    <row r="250" spans="1:45" ht="16" hidden="1" thickBot="1" x14ac:dyDescent="0.25">
      <c r="A250" s="1507">
        <v>5</v>
      </c>
      <c r="B250" s="1511" t="s">
        <v>424</v>
      </c>
      <c r="C250" s="1511" t="s">
        <v>254</v>
      </c>
      <c r="D250" s="1521" t="s">
        <v>123</v>
      </c>
      <c r="E250" s="1521"/>
      <c r="F250" s="1522"/>
      <c r="G250" s="1509" t="str">
        <f t="shared" si="11"/>
        <v/>
      </c>
      <c r="H250" s="1510" t="s">
        <v>3199</v>
      </c>
      <c r="I250" s="88"/>
      <c r="J250" s="172"/>
      <c r="K250" s="174" t="s">
        <v>123</v>
      </c>
      <c r="L250" s="170" t="s">
        <v>428</v>
      </c>
      <c r="M250" s="937"/>
      <c r="N250" s="909"/>
      <c r="O250" s="909"/>
      <c r="P250" s="905" t="b">
        <v>0</v>
      </c>
      <c r="Q250" s="905" t="b">
        <v>1</v>
      </c>
      <c r="R250" s="905" t="b">
        <v>0</v>
      </c>
      <c r="S250" s="905" t="b">
        <v>1</v>
      </c>
      <c r="T250" s="905" t="b">
        <v>0</v>
      </c>
      <c r="U250" s="905"/>
      <c r="V250" s="905"/>
      <c r="W250" s="27"/>
      <c r="X250" s="1599"/>
      <c r="Y250" s="1877"/>
      <c r="Z250" s="1880"/>
      <c r="AC250" s="248"/>
      <c r="AD250" s="248"/>
      <c r="AE250" s="248"/>
      <c r="AF250" s="248"/>
      <c r="AG250" s="248"/>
      <c r="AH250" s="248"/>
      <c r="AI250" s="248"/>
      <c r="AJ250" s="248"/>
      <c r="AK250" s="248"/>
      <c r="AL250" s="1352"/>
      <c r="AM250" s="1352"/>
      <c r="AN250" s="1352"/>
      <c r="AO250" s="1352"/>
      <c r="AP250" s="1352" t="str">
        <f>SUBSTITUTE(SUBSTITUTE(SUBSTITUTE("vch"&amp;$B250&amp;$C250&amp;$D250&amp;$E250&amp;$F250,".","_"),"(","_"),")","")</f>
        <v>vch505_2_1_c</v>
      </c>
      <c r="AQ250" s="1352" t="str">
        <f>IF(LEN(W250)=0,"",W250)</f>
        <v/>
      </c>
      <c r="AR250" s="1352"/>
      <c r="AS250" s="1352"/>
    </row>
    <row r="251" spans="1:45" ht="15" hidden="1" customHeight="1" x14ac:dyDescent="0.2">
      <c r="A251" s="1507">
        <v>5</v>
      </c>
      <c r="B251" s="1511" t="s">
        <v>424</v>
      </c>
      <c r="C251" s="1511" t="s">
        <v>255</v>
      </c>
      <c r="D251" s="1511"/>
      <c r="E251" s="1511"/>
      <c r="F251" s="1514"/>
      <c r="G251" s="1509" t="str">
        <f>IF(N251&gt;0,"P","")</f>
        <v/>
      </c>
      <c r="H251" s="1512" t="s">
        <v>3199</v>
      </c>
      <c r="I251" s="103"/>
      <c r="J251" s="93" t="s">
        <v>255</v>
      </c>
      <c r="K251" s="103"/>
      <c r="L251" s="1613" t="s">
        <v>429</v>
      </c>
      <c r="M251" s="1623">
        <v>5</v>
      </c>
      <c r="N251" s="1637">
        <f>'11.500'!O252</f>
        <v>0</v>
      </c>
      <c r="O251" s="1619">
        <f>M251*W251</f>
        <v>0</v>
      </c>
      <c r="P251" s="905" t="b">
        <v>0</v>
      </c>
      <c r="Q251" s="905" t="b">
        <v>1</v>
      </c>
      <c r="R251" s="991" t="b">
        <v>0</v>
      </c>
      <c r="S251" s="991" t="b">
        <v>1</v>
      </c>
      <c r="T251" s="991" t="b">
        <v>0</v>
      </c>
      <c r="U251" s="991"/>
      <c r="V251" s="991"/>
      <c r="W251" s="27"/>
      <c r="X251" s="1621"/>
      <c r="Y251" s="1875" t="str">
        <f>IF(LEN('11.500'!X252)=0,"None",'11.500'!X252)</f>
        <v>None</v>
      </c>
      <c r="Z251" s="1878"/>
      <c r="AA251" s="707" t="e">
        <f>'Photo Review'!#REF!</f>
        <v>#REF!</v>
      </c>
      <c r="AC251" s="248"/>
      <c r="AD251" s="248"/>
      <c r="AE251" s="248"/>
      <c r="AF251" s="248"/>
      <c r="AG251" s="248"/>
      <c r="AH251" s="248"/>
      <c r="AI251" s="248"/>
      <c r="AJ251" s="248"/>
      <c r="AK251" s="248"/>
      <c r="AL251" s="1352" t="str">
        <f>SUBSTITUTE(SUBSTITUTE(SUBSTITUTE("vpa"&amp;$B251&amp;$C251&amp;$D251&amp;$E251&amp;$F251,".","_"),"(","_"),")","")</f>
        <v>vpa505_2_2</v>
      </c>
      <c r="AM251" s="1352">
        <f>M251</f>
        <v>5</v>
      </c>
      <c r="AN251" s="1352" t="str">
        <f>SUBSTITUTE(SUBSTITUTE(SUBSTITUTE("vpc"&amp;$B251&amp;$C251&amp;$D251&amp;$E251&amp;$F251,".","_"),"(","_"),")","")</f>
        <v>vpc505_2_2</v>
      </c>
      <c r="AO251" s="1352">
        <f>O251</f>
        <v>0</v>
      </c>
      <c r="AP251" s="1352" t="str">
        <f>SUBSTITUTE(SUBSTITUTE(SUBSTITUTE("vch"&amp;$B251&amp;$C251&amp;$D251&amp;$E251&amp;$F251,".","_"),"(","_"),")","")</f>
        <v>vch505_2_2</v>
      </c>
      <c r="AQ251" s="1352" t="str">
        <f>IF(LEN(W251)=0,"",W251)</f>
        <v/>
      </c>
      <c r="AR251" s="1352" t="str">
        <f>SUBSTITUTE(SUBSTITUTE(SUBSTITUTE("vnt"&amp;$B251&amp;$C251&amp;$D251&amp;$E251&amp;$F251,".","_"),"(","_"),")","")</f>
        <v>vnt505_2_2</v>
      </c>
      <c r="AS251" s="1352" t="str">
        <f>IF(LEN(X251)=0,"",X251)</f>
        <v/>
      </c>
    </row>
    <row r="252" spans="1:45" ht="16" hidden="1" thickBot="1" x14ac:dyDescent="0.25">
      <c r="A252" s="1507">
        <v>5</v>
      </c>
      <c r="B252" s="1511" t="s">
        <v>424</v>
      </c>
      <c r="C252" s="1511" t="s">
        <v>255</v>
      </c>
      <c r="D252" s="1511"/>
      <c r="E252" s="1511"/>
      <c r="F252" s="1514"/>
      <c r="G252" s="1509" t="str">
        <f>G251</f>
        <v/>
      </c>
      <c r="H252" s="1512" t="s">
        <v>3199</v>
      </c>
      <c r="I252" s="103"/>
      <c r="J252" s="103"/>
      <c r="K252" s="103"/>
      <c r="L252" s="1609"/>
      <c r="M252" s="1623"/>
      <c r="N252" s="1619"/>
      <c r="O252" s="1619"/>
      <c r="P252" s="991"/>
      <c r="Q252" s="991"/>
      <c r="R252" s="991"/>
      <c r="S252" s="991"/>
      <c r="T252" s="991"/>
      <c r="U252" s="991"/>
      <c r="V252" s="991"/>
      <c r="W252" s="96"/>
      <c r="X252" s="1632"/>
      <c r="Y252" s="1876"/>
      <c r="Z252" s="1879"/>
      <c r="AC252" s="248"/>
      <c r="AD252" s="248"/>
      <c r="AE252" s="248"/>
      <c r="AF252" s="248"/>
      <c r="AG252" s="248"/>
      <c r="AH252" s="248"/>
      <c r="AI252" s="248"/>
      <c r="AJ252" s="248"/>
      <c r="AK252" s="248"/>
      <c r="AL252" s="1352"/>
      <c r="AM252" s="1352"/>
      <c r="AN252" s="1352"/>
      <c r="AO252" s="1352"/>
      <c r="AP252" s="1352"/>
      <c r="AQ252" s="1352"/>
      <c r="AR252" s="1352"/>
      <c r="AS252" s="1352"/>
    </row>
    <row r="253" spans="1:45" ht="16" hidden="1" thickBot="1" x14ac:dyDescent="0.25">
      <c r="A253" s="1507">
        <v>5</v>
      </c>
      <c r="B253" s="1511" t="s">
        <v>424</v>
      </c>
      <c r="C253" s="1511" t="s">
        <v>255</v>
      </c>
      <c r="D253" s="1511"/>
      <c r="E253" s="1511"/>
      <c r="F253" s="1514"/>
      <c r="G253" s="1509" t="str">
        <f>G252</f>
        <v/>
      </c>
      <c r="H253" s="1512" t="s">
        <v>3199</v>
      </c>
      <c r="I253" s="104"/>
      <c r="J253" s="104"/>
      <c r="K253" s="104"/>
      <c r="L253" s="1610"/>
      <c r="M253" s="1627"/>
      <c r="N253" s="1638"/>
      <c r="O253" s="1638"/>
      <c r="P253" s="100"/>
      <c r="Q253" s="100"/>
      <c r="R253" s="100"/>
      <c r="S253" s="100"/>
      <c r="T253" s="100"/>
      <c r="U253" s="100"/>
      <c r="V253" s="100"/>
      <c r="W253" s="100"/>
      <c r="X253" s="1648"/>
      <c r="Y253" s="1885"/>
      <c r="Z253" s="1897"/>
      <c r="AC253" s="248"/>
      <c r="AD253" s="248"/>
      <c r="AE253" s="248"/>
      <c r="AF253" s="248"/>
      <c r="AG253" s="248"/>
      <c r="AH253" s="248"/>
      <c r="AI253" s="248"/>
      <c r="AJ253" s="248"/>
      <c r="AK253" s="248"/>
      <c r="AL253" s="1352"/>
      <c r="AM253" s="1352"/>
      <c r="AN253" s="1352"/>
      <c r="AO253" s="1352"/>
      <c r="AP253" s="1352"/>
      <c r="AQ253" s="1352"/>
      <c r="AR253" s="1352"/>
      <c r="AS253" s="1352"/>
    </row>
    <row r="254" spans="1:45" ht="16" thickTop="1" x14ac:dyDescent="0.2">
      <c r="A254" s="1507">
        <v>5</v>
      </c>
      <c r="B254" s="1511" t="s">
        <v>430</v>
      </c>
      <c r="C254" s="1511"/>
      <c r="D254" s="1511"/>
      <c r="E254" s="1511"/>
      <c r="F254" s="1514"/>
      <c r="G254" s="1509" t="str">
        <f ca="1">IF(N254&gt;0,"P","")</f>
        <v>P</v>
      </c>
      <c r="H254" s="1512" t="s">
        <v>3197</v>
      </c>
      <c r="I254" s="89" t="s">
        <v>3503</v>
      </c>
      <c r="J254" s="92"/>
      <c r="K254" s="92"/>
      <c r="L254" s="87" t="s">
        <v>3518</v>
      </c>
      <c r="M254" s="911"/>
      <c r="N254" s="935">
        <f ca="1">'11.500'!O255</f>
        <v>7</v>
      </c>
      <c r="O254" s="935">
        <f ca="1">S254*IFERROR(INDEX({4,5,6,7,8},MATCH(W254,INDIRECT(U254),0)),0)</f>
        <v>7</v>
      </c>
      <c r="P254" s="905" t="b">
        <v>1</v>
      </c>
      <c r="Q254" s="905" t="b">
        <v>1</v>
      </c>
      <c r="R254" s="905" t="b">
        <v>0</v>
      </c>
      <c r="S254" s="905" t="b">
        <v>1</v>
      </c>
      <c r="T254" s="905" t="b">
        <v>0</v>
      </c>
      <c r="U254" s="905" t="str">
        <f>SUBSTITUTE(SUBSTITUTE(SUBSTITUTE("dd"&amp;B254&amp;C254&amp;D254&amp;E254&amp;F254,".","_"),"(","_"),")","")</f>
        <v>dd505_3</v>
      </c>
      <c r="V254" s="905"/>
      <c r="W254" s="12" t="s">
        <v>259</v>
      </c>
      <c r="X254" s="1603"/>
      <c r="Y254" s="1877" t="str">
        <f>IF(LEN('11.500'!X255)=0,"None",'11.500'!X255)</f>
        <v>42 units per acre</v>
      </c>
      <c r="Z254" s="1880"/>
      <c r="AA254" s="707" t="e">
        <f>'Photo Review'!#REF!</f>
        <v>#REF!</v>
      </c>
      <c r="AC254" s="248"/>
      <c r="AD254" s="248"/>
      <c r="AE254" s="248"/>
      <c r="AF254" s="248"/>
      <c r="AG254" s="248"/>
      <c r="AH254" s="248"/>
      <c r="AI254" s="248"/>
      <c r="AJ254" s="248"/>
      <c r="AK254" s="248"/>
      <c r="AL254" s="1352"/>
      <c r="AM254" s="1352"/>
      <c r="AN254" s="1352" t="str">
        <f>SUBSTITUTE(SUBSTITUTE(SUBSTITUTE("vpc"&amp;$B254&amp;$C254&amp;$D254&amp;$E254&amp;$F254,".","_"),"(","_"),")","")</f>
        <v>vpc505_3</v>
      </c>
      <c r="AO254" s="1352">
        <f ca="1">O254</f>
        <v>7</v>
      </c>
      <c r="AP254" s="1352" t="str">
        <f>SUBSTITUTE(SUBSTITUTE(SUBSTITUTE("vch"&amp;$B254&amp;$C254&amp;$D254&amp;$E254&amp;$F254,".","_"),"(","_"),")","")</f>
        <v>vch505_3</v>
      </c>
      <c r="AQ254" s="1352" t="str">
        <f>IF(LEN(W254)=0,"",W254)</f>
        <v>(4)</v>
      </c>
      <c r="AR254" s="1352" t="str">
        <f>SUBSTITUTE(SUBSTITUTE(SUBSTITUTE("vnt"&amp;$B254&amp;$C254&amp;$D254&amp;$E254&amp;$F254,".","_"),"(","_"),")","")</f>
        <v>vnt505_3</v>
      </c>
      <c r="AS254" s="1352" t="str">
        <f>IF(LEN(X254)=0,"",X254)</f>
        <v/>
      </c>
    </row>
    <row r="255" spans="1:45" ht="16" x14ac:dyDescent="0.2">
      <c r="A255" s="1507">
        <v>5</v>
      </c>
      <c r="B255" s="1511" t="s">
        <v>430</v>
      </c>
      <c r="C255" s="1511" t="s">
        <v>254</v>
      </c>
      <c r="D255" s="1511"/>
      <c r="E255" s="1511"/>
      <c r="F255" s="1514"/>
      <c r="G255" s="1509" t="str">
        <f t="shared" ref="G255:G261" ca="1" si="12">G254</f>
        <v>P</v>
      </c>
      <c r="H255" s="1512" t="s">
        <v>3197</v>
      </c>
      <c r="I255" s="92"/>
      <c r="J255" s="169" t="s">
        <v>254</v>
      </c>
      <c r="K255" s="172"/>
      <c r="L255" s="170" t="s">
        <v>431</v>
      </c>
      <c r="M255" s="937">
        <v>4</v>
      </c>
      <c r="N255" s="935"/>
      <c r="O255" s="935"/>
      <c r="P255" s="905"/>
      <c r="Q255" s="905"/>
      <c r="R255" s="905"/>
      <c r="S255" s="905"/>
      <c r="T255" s="905"/>
      <c r="U255" s="905"/>
      <c r="V255" s="905"/>
      <c r="W255" s="248"/>
      <c r="X255" s="1601"/>
      <c r="Y255" s="1881"/>
      <c r="Z255" s="1891"/>
      <c r="AC255" s="248"/>
      <c r="AD255" s="248"/>
      <c r="AE255" s="248"/>
      <c r="AF255" s="248"/>
      <c r="AG255" s="248"/>
      <c r="AH255" s="248"/>
      <c r="AI255" s="248"/>
      <c r="AJ255" s="248"/>
      <c r="AK255" s="248"/>
      <c r="AL255" s="1352" t="str">
        <f>SUBSTITUTE(SUBSTITUTE(SUBSTITUTE("vpa"&amp;$B255&amp;$C255&amp;$D255&amp;$E255&amp;$F255,".","_"),"(","_"),")","")</f>
        <v>vpa505_3_1</v>
      </c>
      <c r="AM255" s="1352">
        <f>M255</f>
        <v>4</v>
      </c>
      <c r="AN255" s="1352"/>
      <c r="AO255" s="1352"/>
      <c r="AP255" s="1352"/>
      <c r="AQ255" s="1352"/>
      <c r="AR255" s="1352"/>
      <c r="AS255" s="1352"/>
    </row>
    <row r="256" spans="1:45" ht="16" x14ac:dyDescent="0.2">
      <c r="A256" s="1507">
        <v>5</v>
      </c>
      <c r="B256" s="1511" t="s">
        <v>430</v>
      </c>
      <c r="C256" s="1511" t="s">
        <v>255</v>
      </c>
      <c r="D256" s="1511"/>
      <c r="E256" s="1511"/>
      <c r="F256" s="1514"/>
      <c r="G256" s="1509" t="str">
        <f t="shared" ca="1" si="12"/>
        <v>P</v>
      </c>
      <c r="H256" s="1512" t="s">
        <v>3197</v>
      </c>
      <c r="I256" s="92"/>
      <c r="J256" s="169" t="s">
        <v>255</v>
      </c>
      <c r="K256" s="172"/>
      <c r="L256" s="170" t="s">
        <v>432</v>
      </c>
      <c r="M256" s="937">
        <v>5</v>
      </c>
      <c r="N256" s="935"/>
      <c r="O256" s="935"/>
      <c r="P256" s="905"/>
      <c r="Q256" s="905"/>
      <c r="R256" s="905"/>
      <c r="S256" s="905"/>
      <c r="T256" s="905"/>
      <c r="U256" s="905"/>
      <c r="V256" s="905"/>
      <c r="W256" s="248"/>
      <c r="X256" s="1601"/>
      <c r="Y256" s="1881"/>
      <c r="Z256" s="1891"/>
      <c r="AC256" s="248"/>
      <c r="AD256" s="248"/>
      <c r="AE256" s="248"/>
      <c r="AF256" s="248"/>
      <c r="AG256" s="248"/>
      <c r="AH256" s="248"/>
      <c r="AI256" s="248"/>
      <c r="AJ256" s="248"/>
      <c r="AK256" s="248"/>
      <c r="AL256" s="1352" t="str">
        <f>SUBSTITUTE(SUBSTITUTE(SUBSTITUTE("vpa"&amp;$B256&amp;$C256&amp;$D256&amp;$E256&amp;$F256,".","_"),"(","_"),")","")</f>
        <v>vpa505_3_2</v>
      </c>
      <c r="AM256" s="1352">
        <f>M256</f>
        <v>5</v>
      </c>
      <c r="AN256" s="1352"/>
      <c r="AO256" s="1352"/>
      <c r="AP256" s="1352"/>
      <c r="AQ256" s="1352"/>
      <c r="AR256" s="1352"/>
      <c r="AS256" s="1352"/>
    </row>
    <row r="257" spans="1:46" ht="16" x14ac:dyDescent="0.2">
      <c r="A257" s="1507">
        <v>5</v>
      </c>
      <c r="B257" s="1511" t="s">
        <v>430</v>
      </c>
      <c r="C257" s="1511" t="s">
        <v>256</v>
      </c>
      <c r="D257" s="1511"/>
      <c r="E257" s="1511"/>
      <c r="F257" s="1514"/>
      <c r="G257" s="1509" t="str">
        <f t="shared" ca="1" si="12"/>
        <v>P</v>
      </c>
      <c r="H257" s="1512" t="s">
        <v>3197</v>
      </c>
      <c r="I257" s="92"/>
      <c r="J257" s="169" t="s">
        <v>256</v>
      </c>
      <c r="K257" s="172"/>
      <c r="L257" s="170" t="s">
        <v>433</v>
      </c>
      <c r="M257" s="937">
        <v>6</v>
      </c>
      <c r="N257" s="935"/>
      <c r="O257" s="935"/>
      <c r="P257" s="905"/>
      <c r="Q257" s="905"/>
      <c r="R257" s="905"/>
      <c r="S257" s="905"/>
      <c r="T257" s="905"/>
      <c r="U257" s="905"/>
      <c r="V257" s="905"/>
      <c r="W257" s="248"/>
      <c r="X257" s="1601"/>
      <c r="Y257" s="1881"/>
      <c r="Z257" s="1891"/>
      <c r="AC257" s="248"/>
      <c r="AD257" s="248"/>
      <c r="AE257" s="248"/>
      <c r="AF257" s="248"/>
      <c r="AG257" s="248"/>
      <c r="AH257" s="248"/>
      <c r="AI257" s="248"/>
      <c r="AJ257" s="248"/>
      <c r="AK257" s="248"/>
      <c r="AL257" s="1352" t="str">
        <f>SUBSTITUTE(SUBSTITUTE(SUBSTITUTE("vpa"&amp;$B257&amp;$C257&amp;$D257&amp;$E257&amp;$F257,".","_"),"(","_"),")","")</f>
        <v>vpa505_3_3</v>
      </c>
      <c r="AM257" s="1352">
        <f>M257</f>
        <v>6</v>
      </c>
      <c r="AN257" s="1352"/>
      <c r="AO257" s="1352"/>
      <c r="AP257" s="1352"/>
      <c r="AQ257" s="1352"/>
      <c r="AR257" s="1352"/>
      <c r="AS257" s="1352"/>
    </row>
    <row r="258" spans="1:46" ht="16" x14ac:dyDescent="0.2">
      <c r="A258" s="1507">
        <v>5</v>
      </c>
      <c r="B258" s="1511" t="s">
        <v>430</v>
      </c>
      <c r="C258" s="1511" t="s">
        <v>259</v>
      </c>
      <c r="D258" s="1511"/>
      <c r="E258" s="1511"/>
      <c r="F258" s="1514"/>
      <c r="G258" s="1509" t="str">
        <f t="shared" ca="1" si="12"/>
        <v>P</v>
      </c>
      <c r="H258" s="1512" t="s">
        <v>3197</v>
      </c>
      <c r="I258" s="92"/>
      <c r="J258" s="169" t="s">
        <v>259</v>
      </c>
      <c r="K258" s="172"/>
      <c r="L258" s="170" t="s">
        <v>434</v>
      </c>
      <c r="M258" s="937">
        <v>7</v>
      </c>
      <c r="N258" s="935"/>
      <c r="O258" s="935"/>
      <c r="P258" s="905"/>
      <c r="Q258" s="905"/>
      <c r="R258" s="905"/>
      <c r="S258" s="905"/>
      <c r="T258" s="905"/>
      <c r="U258" s="905"/>
      <c r="V258" s="905"/>
      <c r="W258" s="248"/>
      <c r="X258" s="1601"/>
      <c r="Y258" s="1881"/>
      <c r="Z258" s="1891"/>
      <c r="AC258" s="248"/>
      <c r="AD258" s="248"/>
      <c r="AE258" s="248"/>
      <c r="AF258" s="248"/>
      <c r="AG258" s="248"/>
      <c r="AH258" s="248"/>
      <c r="AI258" s="248"/>
      <c r="AJ258" s="248"/>
      <c r="AK258" s="248"/>
      <c r="AL258" s="1352" t="str">
        <f>SUBSTITUTE(SUBSTITUTE(SUBSTITUTE("vpa"&amp;$B258&amp;$C258&amp;$D258&amp;$E258&amp;$F258,".","_"),"(","_"),")","")</f>
        <v>vpa505_3_4</v>
      </c>
      <c r="AM258" s="1352">
        <f>M258</f>
        <v>7</v>
      </c>
      <c r="AN258" s="1352"/>
      <c r="AO258" s="1352"/>
      <c r="AP258" s="1352"/>
      <c r="AQ258" s="1352"/>
      <c r="AR258" s="1352"/>
      <c r="AS258" s="1352"/>
    </row>
    <row r="259" spans="1:46" ht="17" thickBot="1" x14ac:dyDescent="0.25">
      <c r="A259" s="1507">
        <v>5</v>
      </c>
      <c r="B259" s="1511" t="s">
        <v>430</v>
      </c>
      <c r="C259" s="1511" t="s">
        <v>263</v>
      </c>
      <c r="D259" s="1511"/>
      <c r="E259" s="1511"/>
      <c r="F259" s="1514"/>
      <c r="G259" s="1509" t="str">
        <f t="shared" ca="1" si="12"/>
        <v>P</v>
      </c>
      <c r="H259" s="1512" t="s">
        <v>3197</v>
      </c>
      <c r="I259" s="104"/>
      <c r="J259" s="98" t="s">
        <v>263</v>
      </c>
      <c r="K259" s="104"/>
      <c r="L259" s="99" t="s">
        <v>435</v>
      </c>
      <c r="M259" s="914">
        <v>8</v>
      </c>
      <c r="N259" s="922"/>
      <c r="O259" s="922"/>
      <c r="P259" s="100"/>
      <c r="Q259" s="100"/>
      <c r="R259" s="100"/>
      <c r="S259" s="100"/>
      <c r="T259" s="100"/>
      <c r="U259" s="100"/>
      <c r="V259" s="100"/>
      <c r="W259" s="100"/>
      <c r="X259" s="1602"/>
      <c r="Y259" s="1882"/>
      <c r="Z259" s="1892"/>
      <c r="AC259" s="248"/>
      <c r="AD259" s="248"/>
      <c r="AE259" s="248"/>
      <c r="AF259" s="248"/>
      <c r="AG259" s="248"/>
      <c r="AH259" s="248"/>
      <c r="AI259" s="248"/>
      <c r="AJ259" s="248"/>
      <c r="AK259" s="248"/>
      <c r="AL259" s="1352" t="str">
        <f>SUBSTITUTE(SUBSTITUTE(SUBSTITUTE("vpa"&amp;$B259&amp;$C259&amp;$D259&amp;$E259&amp;$F259,".","_"),"(","_"),")","")</f>
        <v>vpa505_3_5</v>
      </c>
      <c r="AM259" s="1352">
        <f>M259</f>
        <v>8</v>
      </c>
      <c r="AN259" s="1352"/>
      <c r="AO259" s="1352"/>
      <c r="AP259" s="1352"/>
      <c r="AQ259" s="1352"/>
      <c r="AR259" s="1352"/>
      <c r="AS259" s="1352"/>
    </row>
    <row r="260" spans="1:46" ht="16" hidden="1" thickTop="1" x14ac:dyDescent="0.2">
      <c r="A260" s="1507">
        <v>5</v>
      </c>
      <c r="B260" s="1511">
        <v>505.4</v>
      </c>
      <c r="C260" s="1516"/>
      <c r="D260" s="1516"/>
      <c r="E260" s="1523"/>
      <c r="F260" s="1523"/>
      <c r="G260" s="1509" t="str">
        <f>IF(N260&gt;0,"P","")</f>
        <v/>
      </c>
      <c r="H260" s="1512" t="s">
        <v>3197</v>
      </c>
      <c r="I260" s="69" t="s">
        <v>3504</v>
      </c>
      <c r="J260" s="69"/>
      <c r="K260" s="69"/>
      <c r="L260" s="136" t="s">
        <v>3957</v>
      </c>
      <c r="M260" s="930"/>
      <c r="N260" s="905"/>
      <c r="O260" s="905"/>
      <c r="P260" s="905"/>
      <c r="Q260" s="905"/>
      <c r="R260" s="905"/>
      <c r="S260" s="905"/>
      <c r="T260" s="905"/>
      <c r="U260" s="905"/>
      <c r="V260" s="905"/>
      <c r="W260"/>
      <c r="X260"/>
      <c r="Y260"/>
      <c r="Z260"/>
      <c r="AC260" s="1150"/>
      <c r="AD260" s="1150"/>
      <c r="AE260" s="248"/>
      <c r="AF260" s="248"/>
      <c r="AG260" s="248"/>
      <c r="AH260" s="248"/>
      <c r="AI260" s="248"/>
      <c r="AJ260" s="248"/>
      <c r="AK260" s="248"/>
      <c r="AL260" s="1352"/>
      <c r="AM260" s="1352"/>
      <c r="AN260" s="1352"/>
      <c r="AO260" s="1352"/>
      <c r="AP260" s="1352"/>
      <c r="AQ260" s="1352"/>
      <c r="AR260" s="1352"/>
      <c r="AS260" s="1352"/>
    </row>
    <row r="261" spans="1:46" ht="18" hidden="1" thickTop="1" thickBot="1" x14ac:dyDescent="0.25">
      <c r="A261" s="1507">
        <v>5</v>
      </c>
      <c r="B261" s="1511">
        <v>505.4</v>
      </c>
      <c r="C261" s="1516" t="s">
        <v>254</v>
      </c>
      <c r="D261" s="1516"/>
      <c r="E261" s="1523"/>
      <c r="F261" s="1523"/>
      <c r="G261" s="1509" t="str">
        <f t="shared" si="12"/>
        <v/>
      </c>
      <c r="H261" s="1512" t="s">
        <v>3197</v>
      </c>
      <c r="I261" s="1082"/>
      <c r="J261" s="1082" t="s">
        <v>254</v>
      </c>
      <c r="K261" s="1082"/>
      <c r="L261" s="596" t="s">
        <v>3958</v>
      </c>
      <c r="M261" s="1083">
        <v>8</v>
      </c>
      <c r="N261" s="1084">
        <f>'11.500'!O262</f>
        <v>0</v>
      </c>
      <c r="O261" s="1084">
        <f>M261*S261*W261</f>
        <v>0</v>
      </c>
      <c r="P261" s="100" t="b">
        <v>1</v>
      </c>
      <c r="Q261" s="100" t="b">
        <v>1</v>
      </c>
      <c r="R261" s="100" t="b">
        <v>0</v>
      </c>
      <c r="S261" s="100" t="b">
        <v>1</v>
      </c>
      <c r="T261" s="100" t="b">
        <v>0</v>
      </c>
      <c r="U261" s="100"/>
      <c r="V261" s="100"/>
      <c r="W261" s="101"/>
      <c r="X261" s="1124"/>
      <c r="Y261" s="1209" t="str">
        <f>IF(LEN('11.500'!X262)=0,"None",'11.500'!X262)</f>
        <v>None</v>
      </c>
      <c r="Z261" s="1124"/>
      <c r="AA261"/>
      <c r="AC261" s="1150"/>
      <c r="AD261" s="1150"/>
      <c r="AE261"/>
      <c r="AF261"/>
      <c r="AG261"/>
      <c r="AH261"/>
      <c r="AI261"/>
      <c r="AJ261"/>
      <c r="AK261"/>
      <c r="AL261" s="1352" t="str">
        <f>SUBSTITUTE(SUBSTITUTE(SUBSTITUTE("vpa"&amp;$B261&amp;$C261&amp;$D261&amp;$E261&amp;$F261,".","_"),"(","_"),")","")</f>
        <v>vpa505_4_1</v>
      </c>
      <c r="AM261" s="1352">
        <f>M261</f>
        <v>8</v>
      </c>
      <c r="AN261" s="1352" t="str">
        <f>SUBSTITUTE(SUBSTITUTE(SUBSTITUTE("vpc"&amp;$B261&amp;$C261&amp;$D261&amp;$E261&amp;$F261,".","_"),"(","_"),")","")</f>
        <v>vpc505_4_1</v>
      </c>
      <c r="AO261" s="1352">
        <f>O261</f>
        <v>0</v>
      </c>
      <c r="AP261" s="1352" t="str">
        <f>SUBSTITUTE(SUBSTITUTE(SUBSTITUTE("vch"&amp;$B261&amp;$C261&amp;$D261&amp;$E261&amp;$F261,".","_"),"(","_"),")","")</f>
        <v>vch505_4_1</v>
      </c>
      <c r="AQ261" s="1352" t="str">
        <f>IF(LEN(W261)=0,"",W261)</f>
        <v/>
      </c>
      <c r="AR261" s="1352" t="str">
        <f>SUBSTITUTE(SUBSTITUTE(SUBSTITUTE("vnt"&amp;$B261&amp;$C261&amp;$D261&amp;$E261&amp;$F261,".","_"),"(","_"),")","")</f>
        <v>vnt505_4_1</v>
      </c>
      <c r="AS261" s="1352" t="str">
        <f>IF(LEN(X261)=0,"",X261)</f>
        <v/>
      </c>
      <c r="AT261"/>
    </row>
    <row r="262" spans="1:46" ht="15.75" hidden="1" customHeight="1" thickTop="1" x14ac:dyDescent="0.2">
      <c r="A262" s="1507">
        <v>5</v>
      </c>
      <c r="B262" s="1511">
        <v>505.5</v>
      </c>
      <c r="C262" s="1516"/>
      <c r="D262" s="1516"/>
      <c r="E262" s="1523"/>
      <c r="F262" s="1523"/>
      <c r="G262" s="1513" t="str">
        <f ca="1">IF(COUNTIF(G264:G270,"P")&gt;0,"P","")</f>
        <v/>
      </c>
      <c r="H262" s="1512" t="s">
        <v>3197</v>
      </c>
      <c r="I262" s="69" t="s">
        <v>3505</v>
      </c>
      <c r="J262" s="69"/>
      <c r="K262" s="69"/>
      <c r="L262" s="1611" t="s">
        <v>3969</v>
      </c>
      <c r="M262" s="930"/>
      <c r="N262" s="912"/>
      <c r="O262" s="912"/>
      <c r="P262" s="905"/>
      <c r="Q262" s="905"/>
      <c r="R262" s="905"/>
      <c r="S262" s="905"/>
      <c r="T262" s="905"/>
      <c r="U262" s="905"/>
      <c r="V262" s="905"/>
      <c r="W262"/>
      <c r="X262" s="1122"/>
      <c r="Y262" s="1198"/>
      <c r="Z262" s="1122"/>
      <c r="AC262" s="1150"/>
      <c r="AD262" s="1150"/>
      <c r="AE262" s="248"/>
      <c r="AF262" s="248"/>
      <c r="AG262" s="248"/>
      <c r="AH262" s="248"/>
      <c r="AI262" s="248"/>
      <c r="AJ262" s="248"/>
      <c r="AK262" s="248"/>
      <c r="AL262" s="1352"/>
      <c r="AM262" s="1352"/>
      <c r="AN262" s="1352"/>
      <c r="AO262" s="1352"/>
      <c r="AP262" s="1352"/>
      <c r="AQ262" s="1352"/>
      <c r="AR262" s="1352"/>
      <c r="AS262" s="1352"/>
    </row>
    <row r="263" spans="1:46" s="794" customFormat="1" ht="16" hidden="1" thickTop="1" x14ac:dyDescent="0.2">
      <c r="A263" s="1507">
        <v>5</v>
      </c>
      <c r="B263" s="1511" t="s">
        <v>436</v>
      </c>
      <c r="C263" s="1516"/>
      <c r="D263" s="1516"/>
      <c r="E263" s="1523"/>
      <c r="F263" s="1523"/>
      <c r="G263" s="1509" t="str">
        <f>G260</f>
        <v/>
      </c>
      <c r="H263" s="1512" t="s">
        <v>3197</v>
      </c>
      <c r="I263" s="69"/>
      <c r="J263" s="69"/>
      <c r="K263" s="69"/>
      <c r="L263" s="1611"/>
      <c r="M263" s="930"/>
      <c r="N263" s="912"/>
      <c r="O263" s="912"/>
      <c r="P263" s="905"/>
      <c r="Q263" s="905"/>
      <c r="R263" s="905"/>
      <c r="S263" s="905"/>
      <c r="T263" s="905"/>
      <c r="U263" s="905"/>
      <c r="V263" s="905"/>
      <c r="W263" s="905" t="s">
        <v>3977</v>
      </c>
      <c r="X263" s="1122"/>
      <c r="Y263" s="1198"/>
      <c r="Z263" s="1122"/>
      <c r="AC263" s="1150"/>
      <c r="AD263" s="1150"/>
      <c r="AL263" s="1352"/>
      <c r="AM263" s="1352"/>
      <c r="AN263" s="1352"/>
      <c r="AO263" s="1352"/>
      <c r="AP263" s="1352"/>
      <c r="AQ263" s="1352"/>
      <c r="AR263" s="1352"/>
      <c r="AS263" s="1352"/>
    </row>
    <row r="264" spans="1:46" ht="15.75" hidden="1" customHeight="1" x14ac:dyDescent="0.2">
      <c r="A264" s="1507">
        <v>5</v>
      </c>
      <c r="B264" s="1511" t="s">
        <v>436</v>
      </c>
      <c r="C264" s="1516"/>
      <c r="D264" s="1516" t="s">
        <v>121</v>
      </c>
      <c r="E264" s="1523"/>
      <c r="F264" s="1523"/>
      <c r="G264" s="1509" t="str">
        <f ca="1">IF(N264&gt;0,"P","")</f>
        <v/>
      </c>
      <c r="H264" s="1512" t="s">
        <v>3197</v>
      </c>
      <c r="I264" s="69"/>
      <c r="J264" s="69"/>
      <c r="K264" s="430" t="s">
        <v>121</v>
      </c>
      <c r="L264" s="1609" t="s">
        <v>3959</v>
      </c>
      <c r="M264" s="1623" t="s">
        <v>3978</v>
      </c>
      <c r="N264" s="1625">
        <f ca="1">'11.500'!O265</f>
        <v>0</v>
      </c>
      <c r="O264" s="1625">
        <f ca="1">IFERROR(INDEX({0,3,6,9},MATCH(W264,{0,250,500,750},1)),0)*S264</f>
        <v>0</v>
      </c>
      <c r="P264" s="905" t="b">
        <v>1</v>
      </c>
      <c r="Q264" s="905" t="b">
        <v>1</v>
      </c>
      <c r="R264" s="905" t="b">
        <v>0</v>
      </c>
      <c r="S264" s="905" t="b">
        <f ca="1">IF($AY$19=INDEX(INDIRECT("ddSingleOrMulti"),2),TRUE,FALSE)</f>
        <v>0</v>
      </c>
      <c r="T264" s="905" t="b">
        <f ca="1">AND(LEN(W264)&gt;0,NOT(S264))</f>
        <v>0</v>
      </c>
      <c r="U264" s="905"/>
      <c r="V264" s="905"/>
      <c r="W264" s="1108"/>
      <c r="X264" s="1600"/>
      <c r="Y264" s="1875" t="str">
        <f>IF(LEN('11.500'!X265)=0,"None",'11.500'!X265)</f>
        <v>None</v>
      </c>
      <c r="Z264" s="1600"/>
      <c r="AC264" s="1150" t="b">
        <f ca="1">OR(AD264:AE264)</f>
        <v>0</v>
      </c>
      <c r="AD264" s="1150" t="b">
        <f ca="1">T264</f>
        <v>0</v>
      </c>
      <c r="AE264" s="248"/>
      <c r="AF264" s="248"/>
      <c r="AG264" s="248"/>
      <c r="AH264" s="248"/>
      <c r="AI264" s="248"/>
      <c r="AJ264" s="248"/>
      <c r="AK264" s="248"/>
      <c r="AL264" s="1352" t="str">
        <f>SUBSTITUTE(SUBSTITUTE(SUBSTITUTE("vpa"&amp;$B264&amp;$C264&amp;$D264&amp;$E264&amp;$F264,".","_"),"(","_"),")","")</f>
        <v>vpa505_5_a</v>
      </c>
      <c r="AM264" s="1352" t="str">
        <f>M264</f>
        <v>9 max</v>
      </c>
      <c r="AN264" s="1352" t="str">
        <f>SUBSTITUTE(SUBSTITUTE(SUBSTITUTE("vpc"&amp;$B264&amp;$C264&amp;$D264&amp;$E264&amp;$F264,".","_"),"(","_"),")","")</f>
        <v>vpc505_5_a</v>
      </c>
      <c r="AO264" s="1352">
        <f ca="1">O264</f>
        <v>0</v>
      </c>
      <c r="AP264" s="1352" t="str">
        <f>SUBSTITUTE(SUBSTITUTE(SUBSTITUTE("vch"&amp;$B264&amp;$C264&amp;$D264&amp;$E264&amp;$F264,".","_"),"(","_"),")","")</f>
        <v>vch505_5_a</v>
      </c>
      <c r="AQ264" s="1352" t="str">
        <f>IF(LEN(W264)=0,"",W264)</f>
        <v/>
      </c>
      <c r="AR264" s="1352" t="str">
        <f>SUBSTITUTE(SUBSTITUTE(SUBSTITUTE("vnt"&amp;$B264&amp;$C264&amp;$D264&amp;$E264&amp;$F264,".","_"),"(","_"),")","")</f>
        <v>vnt505_5_a</v>
      </c>
      <c r="AS264" s="1352" t="str">
        <f>IF(LEN(X264)=0,"",X264)</f>
        <v/>
      </c>
    </row>
    <row r="265" spans="1:46" ht="16" hidden="1" thickTop="1" x14ac:dyDescent="0.2">
      <c r="A265" s="1515">
        <v>5</v>
      </c>
      <c r="B265" s="1511" t="s">
        <v>436</v>
      </c>
      <c r="C265" s="1516"/>
      <c r="D265" s="1516" t="s">
        <v>121</v>
      </c>
      <c r="E265" s="1523"/>
      <c r="F265" s="1523"/>
      <c r="G265" s="1509" t="str">
        <f ca="1">G264</f>
        <v/>
      </c>
      <c r="H265" s="1512" t="s">
        <v>3197</v>
      </c>
      <c r="I265" s="69"/>
      <c r="J265" s="69"/>
      <c r="K265" s="447"/>
      <c r="L265" s="1612"/>
      <c r="M265" s="1624"/>
      <c r="N265" s="1626"/>
      <c r="O265" s="1626"/>
      <c r="P265" s="905"/>
      <c r="Q265" s="905"/>
      <c r="R265" s="905"/>
      <c r="S265" s="905"/>
      <c r="T265" s="905"/>
      <c r="U265" s="905"/>
      <c r="V265" s="905"/>
      <c r="W265"/>
      <c r="X265" s="1600"/>
      <c r="Y265" s="1877"/>
      <c r="Z265" s="1600"/>
      <c r="AA265"/>
      <c r="AC265" s="1150"/>
      <c r="AD265" s="1150"/>
      <c r="AE265"/>
      <c r="AF265"/>
      <c r="AG265"/>
      <c r="AH265"/>
      <c r="AI265"/>
      <c r="AJ265"/>
      <c r="AK265"/>
      <c r="AL265" s="1352"/>
      <c r="AM265" s="1352"/>
      <c r="AN265" s="1352"/>
      <c r="AO265" s="1352"/>
      <c r="AP265" s="1352"/>
      <c r="AQ265" s="1352"/>
      <c r="AR265" s="1352"/>
      <c r="AS265" s="1352"/>
      <c r="AT265"/>
    </row>
    <row r="266" spans="1:46" ht="15" hidden="1" customHeight="1" x14ac:dyDescent="0.2">
      <c r="A266" s="1515">
        <v>5</v>
      </c>
      <c r="B266" s="1511" t="s">
        <v>436</v>
      </c>
      <c r="C266" s="1516"/>
      <c r="D266" s="1516" t="s">
        <v>122</v>
      </c>
      <c r="E266" s="1523"/>
      <c r="F266" s="1523"/>
      <c r="G266" s="1509" t="str">
        <f ca="1">IF(N266&gt;0,"P","")</f>
        <v/>
      </c>
      <c r="H266" s="1512" t="s">
        <v>3197</v>
      </c>
      <c r="I266" s="69"/>
      <c r="J266" s="69"/>
      <c r="K266" s="446" t="s">
        <v>122</v>
      </c>
      <c r="L266" s="1613" t="s">
        <v>3960</v>
      </c>
      <c r="M266" s="1614">
        <v>3</v>
      </c>
      <c r="N266" s="1607">
        <f ca="1">'11.500'!O267</f>
        <v>0</v>
      </c>
      <c r="O266" s="1607">
        <f ca="1">M266*S266*W266</f>
        <v>0</v>
      </c>
      <c r="P266" s="905" t="b">
        <v>1</v>
      </c>
      <c r="Q266" s="905" t="b">
        <v>1</v>
      </c>
      <c r="R266" s="905" t="b">
        <v>0</v>
      </c>
      <c r="S266" s="905" t="b">
        <f ca="1">IF($AY$19=INDEX(INDIRECT("ddSingleOrMulti"),2),TRUE,FALSE)</f>
        <v>0</v>
      </c>
      <c r="T266" s="905" t="b">
        <f ca="1">AND(W266=TRUE,NOT(S266))</f>
        <v>0</v>
      </c>
      <c r="U266" s="905"/>
      <c r="V266" s="905"/>
      <c r="W266" s="27"/>
      <c r="X266" s="1600"/>
      <c r="Y266" s="1875" t="str">
        <f>IF(LEN('11.500'!X267)=0,"None",'11.500'!X267)</f>
        <v>None</v>
      </c>
      <c r="Z266" s="1600"/>
      <c r="AA266"/>
      <c r="AC266" s="1150" t="b">
        <f ca="1">OR(AD266:AE266)</f>
        <v>0</v>
      </c>
      <c r="AD266" s="1150" t="b">
        <f ca="1">T266</f>
        <v>0</v>
      </c>
      <c r="AE266"/>
      <c r="AF266"/>
      <c r="AG266"/>
      <c r="AH266"/>
      <c r="AI266"/>
      <c r="AJ266"/>
      <c r="AK266"/>
      <c r="AL266" s="1352" t="str">
        <f>SUBSTITUTE(SUBSTITUTE(SUBSTITUTE("vpa"&amp;$B266&amp;$C266&amp;$D266&amp;$E266&amp;$F266,".","_"),"(","_"),")","")</f>
        <v>vpa505_5_b</v>
      </c>
      <c r="AM266" s="1352">
        <f>M266</f>
        <v>3</v>
      </c>
      <c r="AN266" s="1352" t="str">
        <f>SUBSTITUTE(SUBSTITUTE(SUBSTITUTE("vpc"&amp;$B266&amp;$C266&amp;$D266&amp;$E266&amp;$F266,".","_"),"(","_"),")","")</f>
        <v>vpc505_5_b</v>
      </c>
      <c r="AO266" s="1352">
        <f ca="1">O266</f>
        <v>0</v>
      </c>
      <c r="AP266" s="1352" t="str">
        <f>SUBSTITUTE(SUBSTITUTE(SUBSTITUTE("vch"&amp;$B266&amp;$C266&amp;$D266&amp;$E266&amp;$F266,".","_"),"(","_"),")","")</f>
        <v>vch505_5_b</v>
      </c>
      <c r="AQ266" s="1352" t="str">
        <f>IF(LEN(W266)=0,"",W266)</f>
        <v/>
      </c>
      <c r="AR266" s="1352" t="str">
        <f>SUBSTITUTE(SUBSTITUTE(SUBSTITUTE("vnt"&amp;$B266&amp;$C266&amp;$D266&amp;$E266&amp;$F266,".","_"),"(","_"),")","")</f>
        <v>vnt505_5_b</v>
      </c>
      <c r="AS266" s="1352" t="str">
        <f>IF(LEN(X266)=0,"",X266)</f>
        <v/>
      </c>
      <c r="AT266"/>
    </row>
    <row r="267" spans="1:46" ht="16" hidden="1" thickTop="1" x14ac:dyDescent="0.2">
      <c r="A267" s="1515">
        <v>5</v>
      </c>
      <c r="B267" s="1511" t="s">
        <v>436</v>
      </c>
      <c r="C267" s="1516"/>
      <c r="D267" s="1516" t="s">
        <v>122</v>
      </c>
      <c r="E267" s="1523"/>
      <c r="F267" s="1523"/>
      <c r="G267" s="1509" t="str">
        <f ca="1">G266</f>
        <v/>
      </c>
      <c r="H267" s="1512" t="s">
        <v>3197</v>
      </c>
      <c r="I267" s="69"/>
      <c r="J267" s="69"/>
      <c r="K267" s="430"/>
      <c r="L267" s="1609"/>
      <c r="M267" s="1615"/>
      <c r="N267" s="1604"/>
      <c r="O267" s="1604"/>
      <c r="P267" s="905"/>
      <c r="Q267" s="905"/>
      <c r="R267" s="905"/>
      <c r="S267" s="905"/>
      <c r="T267" s="905"/>
      <c r="U267" s="905"/>
      <c r="V267" s="905"/>
      <c r="W267"/>
      <c r="X267" s="1600"/>
      <c r="Y267" s="1876"/>
      <c r="Z267" s="1600"/>
      <c r="AA267"/>
      <c r="AC267" s="1150"/>
      <c r="AD267" s="1150"/>
      <c r="AE267"/>
      <c r="AF267"/>
      <c r="AG267"/>
      <c r="AH267"/>
      <c r="AI267"/>
      <c r="AJ267"/>
      <c r="AK267"/>
      <c r="AL267" s="1352"/>
      <c r="AM267" s="1352"/>
      <c r="AN267" s="1352"/>
      <c r="AO267" s="1352"/>
      <c r="AP267" s="1352"/>
      <c r="AQ267" s="1352"/>
      <c r="AR267" s="1352"/>
      <c r="AS267" s="1352"/>
      <c r="AT267"/>
    </row>
    <row r="268" spans="1:46" ht="16" hidden="1" thickTop="1" x14ac:dyDescent="0.2">
      <c r="A268" s="1515">
        <v>5</v>
      </c>
      <c r="B268" s="1511" t="s">
        <v>436</v>
      </c>
      <c r="C268" s="1516"/>
      <c r="D268" s="1516" t="s">
        <v>122</v>
      </c>
      <c r="E268" s="1523"/>
      <c r="F268" s="1523"/>
      <c r="G268" s="1509" t="str">
        <f ca="1">G267</f>
        <v/>
      </c>
      <c r="H268" s="1512" t="s">
        <v>3197</v>
      </c>
      <c r="I268" s="69"/>
      <c r="J268" s="69"/>
      <c r="K268" s="447"/>
      <c r="L268" s="1612"/>
      <c r="M268" s="1616"/>
      <c r="N268" s="1606"/>
      <c r="O268" s="1606"/>
      <c r="P268" s="905"/>
      <c r="Q268" s="905"/>
      <c r="R268" s="905"/>
      <c r="S268" s="905"/>
      <c r="T268" s="905"/>
      <c r="U268" s="905"/>
      <c r="V268" s="905"/>
      <c r="W268"/>
      <c r="X268" s="1600"/>
      <c r="Y268" s="1877"/>
      <c r="Z268" s="1600"/>
      <c r="AA268"/>
      <c r="AC268" s="1150"/>
      <c r="AD268" s="1150"/>
      <c r="AE268"/>
      <c r="AF268"/>
      <c r="AG268"/>
      <c r="AH268"/>
      <c r="AI268"/>
      <c r="AJ268"/>
      <c r="AK268"/>
      <c r="AL268" s="1352"/>
      <c r="AM268" s="1352"/>
      <c r="AN268" s="1352"/>
      <c r="AO268" s="1352"/>
      <c r="AP268" s="1352"/>
      <c r="AQ268" s="1352"/>
      <c r="AR268" s="1352"/>
      <c r="AS268" s="1352"/>
      <c r="AT268"/>
    </row>
    <row r="269" spans="1:46" ht="17" hidden="1" thickTop="1" x14ac:dyDescent="0.2">
      <c r="A269" s="1515">
        <v>5</v>
      </c>
      <c r="B269" s="1511" t="s">
        <v>436</v>
      </c>
      <c r="C269" s="1516"/>
      <c r="D269" s="1516" t="s">
        <v>123</v>
      </c>
      <c r="E269" s="1523"/>
      <c r="F269" s="1523"/>
      <c r="G269" s="1509" t="str">
        <f ca="1">IF(N269&gt;0,"P","")</f>
        <v/>
      </c>
      <c r="H269" s="1512" t="s">
        <v>3197</v>
      </c>
      <c r="I269" s="430"/>
      <c r="J269" s="430"/>
      <c r="K269" s="1091" t="s">
        <v>123</v>
      </c>
      <c r="L269" s="211" t="s">
        <v>3961</v>
      </c>
      <c r="M269" s="1092">
        <v>1</v>
      </c>
      <c r="N269" s="1093">
        <f ca="1">'11.500'!O270</f>
        <v>0</v>
      </c>
      <c r="O269" s="1093">
        <f ca="1">M269*S269*W269</f>
        <v>0</v>
      </c>
      <c r="P269" s="991" t="b">
        <v>1</v>
      </c>
      <c r="Q269" s="991" t="b">
        <v>1</v>
      </c>
      <c r="R269" s="991" t="b">
        <v>0</v>
      </c>
      <c r="S269" s="991" t="b">
        <f ca="1">IF($AY$19=INDEX(INDIRECT("ddSingleOrMulti"),2),TRUE,FALSE)</f>
        <v>0</v>
      </c>
      <c r="T269" s="991" t="b">
        <f ca="1">AND(W269=TRUE,NOT(S269))</f>
        <v>0</v>
      </c>
      <c r="U269" s="991"/>
      <c r="V269" s="991"/>
      <c r="W269" s="27"/>
      <c r="X269" s="1123"/>
      <c r="Y269" s="1210" t="str">
        <f>IF(LEN('11.500'!X270)=0,"None",'11.500'!X270)</f>
        <v>None</v>
      </c>
      <c r="Z269" s="1123"/>
      <c r="AA269"/>
      <c r="AC269" s="1150" t="b">
        <f ca="1">OR(AD269:AE269)</f>
        <v>0</v>
      </c>
      <c r="AD269" s="1150" t="b">
        <f ca="1">T269</f>
        <v>0</v>
      </c>
      <c r="AE269"/>
      <c r="AF269"/>
      <c r="AG269"/>
      <c r="AH269"/>
      <c r="AI269"/>
      <c r="AJ269"/>
      <c r="AK269"/>
      <c r="AL269" s="1352" t="str">
        <f>SUBSTITUTE(SUBSTITUTE(SUBSTITUTE("vpa"&amp;$B269&amp;$C269&amp;$D269&amp;$E269&amp;$F269,".","_"),"(","_"),")","")</f>
        <v>vpa505_5_c</v>
      </c>
      <c r="AM269" s="1352">
        <f>M269</f>
        <v>1</v>
      </c>
      <c r="AN269" s="1352" t="str">
        <f>SUBSTITUTE(SUBSTITUTE(SUBSTITUTE("vpc"&amp;$B269&amp;$C269&amp;$D269&amp;$E269&amp;$F269,".","_"),"(","_"),")","")</f>
        <v>vpc505_5_c</v>
      </c>
      <c r="AO269" s="1352">
        <f ca="1">O269</f>
        <v>0</v>
      </c>
      <c r="AP269" s="1352" t="str">
        <f>SUBSTITUTE(SUBSTITUTE(SUBSTITUTE("vch"&amp;$B269&amp;$C269&amp;$D269&amp;$E269&amp;$F269,".","_"),"(","_"),")","")</f>
        <v>vch505_5_c</v>
      </c>
      <c r="AQ269" s="1352" t="str">
        <f>IF(LEN(W269)=0,"",W269)</f>
        <v/>
      </c>
      <c r="AR269" s="1352" t="str">
        <f>SUBSTITUTE(SUBSTITUTE(SUBSTITUTE("vnt"&amp;$B269&amp;$C269&amp;$D269&amp;$E269&amp;$F269,".","_"),"(","_"),")","")</f>
        <v>vnt505_5_c</v>
      </c>
      <c r="AS269" s="1352" t="str">
        <f>IF(LEN(X269)=0,"",X269)</f>
        <v/>
      </c>
      <c r="AT269"/>
    </row>
    <row r="270" spans="1:46" ht="18" hidden="1" thickTop="1" thickBot="1" x14ac:dyDescent="0.25">
      <c r="A270" s="1515">
        <v>5</v>
      </c>
      <c r="B270" s="1511" t="s">
        <v>436</v>
      </c>
      <c r="C270" s="1516"/>
      <c r="D270" s="1516" t="s">
        <v>366</v>
      </c>
      <c r="E270" s="1523"/>
      <c r="F270" s="1523"/>
      <c r="G270" s="1509" t="str">
        <f ca="1">IF(N270&gt;0,"P","")</f>
        <v/>
      </c>
      <c r="H270" s="1512" t="s">
        <v>3197</v>
      </c>
      <c r="I270" s="1082"/>
      <c r="J270" s="1082"/>
      <c r="K270" s="1082" t="s">
        <v>366</v>
      </c>
      <c r="L270" s="596" t="s">
        <v>3962</v>
      </c>
      <c r="M270" s="1083">
        <v>1</v>
      </c>
      <c r="N270" s="1084">
        <f ca="1">'11.500'!O271</f>
        <v>0</v>
      </c>
      <c r="O270" s="1084">
        <f ca="1">M270*S270*W270</f>
        <v>0</v>
      </c>
      <c r="P270" s="100" t="b">
        <v>1</v>
      </c>
      <c r="Q270" s="100" t="b">
        <v>1</v>
      </c>
      <c r="R270" s="100" t="b">
        <v>0</v>
      </c>
      <c r="S270" s="100" t="b">
        <f ca="1">IF($AY$19=INDEX(INDIRECT("ddSingleOrMulti"),2),TRUE,FALSE)</f>
        <v>0</v>
      </c>
      <c r="T270" s="100" t="b">
        <f ca="1">AND(W270=TRUE,NOT(S270))</f>
        <v>0</v>
      </c>
      <c r="U270" s="100"/>
      <c r="V270" s="100"/>
      <c r="W270" s="101"/>
      <c r="X270" s="1124"/>
      <c r="Y270" s="1209" t="str">
        <f>IF(LEN('11.500'!X271)=0,"None",'11.500'!X271)</f>
        <v>None</v>
      </c>
      <c r="Z270" s="1124"/>
      <c r="AA270"/>
      <c r="AC270" s="1150" t="b">
        <f ca="1">OR(AD270:AE270)</f>
        <v>0</v>
      </c>
      <c r="AD270" s="1150" t="b">
        <f ca="1">T270</f>
        <v>0</v>
      </c>
      <c r="AE270"/>
      <c r="AF270"/>
      <c r="AG270"/>
      <c r="AH270"/>
      <c r="AI270"/>
      <c r="AJ270"/>
      <c r="AK270"/>
      <c r="AL270" s="1352" t="str">
        <f>SUBSTITUTE(SUBSTITUTE(SUBSTITUTE("vpa"&amp;$B270&amp;$C270&amp;$D270&amp;$E270&amp;$F270,".","_"),"(","_"),")","")</f>
        <v>vpa505_5_d</v>
      </c>
      <c r="AM270" s="1352">
        <f>M270</f>
        <v>1</v>
      </c>
      <c r="AN270" s="1352" t="str">
        <f>SUBSTITUTE(SUBSTITUTE(SUBSTITUTE("vpc"&amp;$B270&amp;$C270&amp;$D270&amp;$E270&amp;$F270,".","_"),"(","_"),")","")</f>
        <v>vpc505_5_d</v>
      </c>
      <c r="AO270" s="1352">
        <f ca="1">O270</f>
        <v>0</v>
      </c>
      <c r="AP270" s="1352" t="str">
        <f>SUBSTITUTE(SUBSTITUTE(SUBSTITUTE("vch"&amp;$B270&amp;$C270&amp;$D270&amp;$E270&amp;$F270,".","_"),"(","_"),")","")</f>
        <v>vch505_5_d</v>
      </c>
      <c r="AQ270" s="1352" t="str">
        <f>IF(LEN(W270)=0,"",W270)</f>
        <v/>
      </c>
      <c r="AR270" s="1352" t="str">
        <f>SUBSTITUTE(SUBSTITUTE(SUBSTITUTE("vnt"&amp;$B270&amp;$C270&amp;$D270&amp;$E270&amp;$F270,".","_"),"(","_"),")","")</f>
        <v>vnt505_5_d</v>
      </c>
      <c r="AS270" s="1352" t="str">
        <f>IF(LEN(X270)=0,"",X270)</f>
        <v/>
      </c>
      <c r="AT270"/>
    </row>
    <row r="271" spans="1:46" ht="15.75" hidden="1" customHeight="1" thickTop="1" x14ac:dyDescent="0.2">
      <c r="A271" s="1507">
        <v>5</v>
      </c>
      <c r="B271" s="1511" t="s">
        <v>437</v>
      </c>
      <c r="C271" s="1516"/>
      <c r="D271" s="1516"/>
      <c r="E271" s="1523"/>
      <c r="F271" s="1523"/>
      <c r="G271" s="1509" t="str">
        <f>IF(N271&gt;0,"P","")</f>
        <v/>
      </c>
      <c r="H271" s="1512" t="s">
        <v>3199</v>
      </c>
      <c r="I271" s="429" t="s">
        <v>3506</v>
      </c>
      <c r="J271" s="429"/>
      <c r="K271" s="429"/>
      <c r="L271" s="1608" t="s">
        <v>3975</v>
      </c>
      <c r="M271" s="1617" t="s">
        <v>3979</v>
      </c>
      <c r="N271" s="106"/>
      <c r="O271" s="106"/>
      <c r="P271" s="106"/>
      <c r="Q271" s="106"/>
      <c r="R271" s="106"/>
      <c r="S271" s="106"/>
      <c r="T271" s="106"/>
      <c r="U271" s="106"/>
      <c r="V271" s="106"/>
      <c r="W271"/>
      <c r="X271" s="1600"/>
      <c r="Y271" s="1876" t="str">
        <f>IF(LEN('11.500'!X272)=0,"None",'11.500'!X272)</f>
        <v>None</v>
      </c>
      <c r="Z271" s="1600"/>
      <c r="AC271" s="248"/>
      <c r="AD271" s="248"/>
      <c r="AE271" s="248"/>
      <c r="AF271" s="248"/>
      <c r="AG271" s="248"/>
      <c r="AH271" s="248"/>
      <c r="AI271" s="248"/>
      <c r="AJ271" s="248"/>
      <c r="AK271" s="248"/>
      <c r="AL271" s="1352" t="str">
        <f>SUBSTITUTE(SUBSTITUTE(SUBSTITUTE("vpa"&amp;$B271&amp;$C271&amp;$D271&amp;$E271&amp;$F271,".","_"),"(","_"),")","")</f>
        <v>vpa505_6</v>
      </c>
      <c r="AM271" s="1352" t="str">
        <f>M271</f>
        <v>4 (10 max)</v>
      </c>
      <c r="AN271" s="1352"/>
      <c r="AO271" s="1352"/>
      <c r="AP271" s="1352"/>
      <c r="AQ271" s="1352"/>
      <c r="AR271" s="1352" t="str">
        <f>SUBSTITUTE(SUBSTITUTE(SUBSTITUTE("vnt"&amp;$B271&amp;$C271&amp;$D271&amp;$E271&amp;$F271,".","_"),"(","_"),")","")</f>
        <v>vnt505_6</v>
      </c>
      <c r="AS271" s="1352" t="str">
        <f>IF(LEN(X271)=0,"",X271)</f>
        <v/>
      </c>
    </row>
    <row r="272" spans="1:46" ht="16" hidden="1" thickTop="1" x14ac:dyDescent="0.2">
      <c r="A272" s="1507">
        <v>5</v>
      </c>
      <c r="B272" s="1511" t="s">
        <v>437</v>
      </c>
      <c r="C272" s="1516"/>
      <c r="D272" s="1516"/>
      <c r="E272" s="1523"/>
      <c r="F272" s="1523"/>
      <c r="G272" s="1509" t="str">
        <f t="shared" ref="G272:G285" si="13">G271</f>
        <v/>
      </c>
      <c r="H272" s="1512" t="s">
        <v>3199</v>
      </c>
      <c r="I272" s="430"/>
      <c r="J272" s="430"/>
      <c r="K272" s="430"/>
      <c r="L272" s="1609"/>
      <c r="M272" s="1615"/>
      <c r="N272" s="907">
        <f>'11.500'!O273</f>
        <v>0</v>
      </c>
      <c r="O272" s="907">
        <f>IFERROR(INDEX({0,4,6,8,10},MATCH(W272,{0,0.02,0.03,0.04,0.05},1)),0)*S272</f>
        <v>0</v>
      </c>
      <c r="P272" s="991" t="b">
        <v>0</v>
      </c>
      <c r="Q272" s="991" t="b">
        <v>1</v>
      </c>
      <c r="R272" s="991" t="b">
        <v>0</v>
      </c>
      <c r="S272" s="991" t="b">
        <v>1</v>
      </c>
      <c r="T272" s="991" t="b">
        <v>0</v>
      </c>
      <c r="U272" s="991"/>
      <c r="V272" s="991"/>
      <c r="W272" s="1109"/>
      <c r="X272" s="1600"/>
      <c r="Y272" s="1876"/>
      <c r="Z272" s="1600"/>
      <c r="AL272" s="1352"/>
      <c r="AM272" s="1352"/>
      <c r="AN272" s="1352" t="str">
        <f>SUBSTITUTE(SUBSTITUTE(SUBSTITUTE("vpc"&amp;$B272&amp;$C272&amp;$D272&amp;$E272&amp;$F272,".","_"),"(","_"),")","")</f>
        <v>vpc505_6</v>
      </c>
      <c r="AO272" s="1352">
        <f>O272</f>
        <v>0</v>
      </c>
      <c r="AP272" s="1352" t="str">
        <f>SUBSTITUTE(SUBSTITUTE(SUBSTITUTE("vch"&amp;$B272&amp;$C272&amp;$D272&amp;$E272&amp;$F272,".","_"),"(","_"),")","")</f>
        <v>vch505_6</v>
      </c>
      <c r="AQ272" s="1352" t="str">
        <f>IF(LEN(W272)=0,"",W272)</f>
        <v/>
      </c>
      <c r="AR272" s="1352"/>
      <c r="AS272" s="1352"/>
    </row>
    <row r="273" spans="1:46" ht="16" hidden="1" thickTop="1" x14ac:dyDescent="0.2">
      <c r="A273" s="1507">
        <v>5</v>
      </c>
      <c r="B273" s="1511" t="s">
        <v>437</v>
      </c>
      <c r="C273" s="1516"/>
      <c r="D273" s="1516"/>
      <c r="E273" s="1523"/>
      <c r="F273" s="1523"/>
      <c r="G273" s="1509" t="str">
        <f t="shared" si="13"/>
        <v/>
      </c>
      <c r="H273" s="1512" t="s">
        <v>3199</v>
      </c>
      <c r="I273" s="430"/>
      <c r="J273" s="430"/>
      <c r="K273" s="430"/>
      <c r="L273" s="1609"/>
      <c r="M273" s="1615"/>
      <c r="N273" s="907"/>
      <c r="O273" s="907"/>
      <c r="P273" s="991"/>
      <c r="Q273" s="991"/>
      <c r="R273" s="991"/>
      <c r="S273" s="991"/>
      <c r="T273" s="991"/>
      <c r="U273" s="991"/>
      <c r="V273" s="991"/>
      <c r="W273" s="96"/>
      <c r="X273" s="1600"/>
      <c r="Y273" s="1876"/>
      <c r="Z273" s="1600"/>
      <c r="AL273" s="1352"/>
      <c r="AM273" s="1352"/>
      <c r="AN273" s="1352"/>
      <c r="AO273" s="1352"/>
      <c r="AP273" s="1352"/>
      <c r="AQ273" s="1352"/>
      <c r="AR273" s="1352"/>
      <c r="AS273" s="1352"/>
    </row>
    <row r="274" spans="1:46" ht="16" hidden="1" thickTop="1" x14ac:dyDescent="0.2">
      <c r="A274" s="1507">
        <v>5</v>
      </c>
      <c r="B274" s="1511" t="s">
        <v>437</v>
      </c>
      <c r="C274" s="1516"/>
      <c r="D274" s="1516"/>
      <c r="E274" s="1523"/>
      <c r="F274" s="1523"/>
      <c r="G274" s="1509" t="str">
        <f t="shared" si="13"/>
        <v/>
      </c>
      <c r="H274" s="1512" t="s">
        <v>3199</v>
      </c>
      <c r="I274" s="430"/>
      <c r="J274" s="430"/>
      <c r="K274" s="430"/>
      <c r="L274" s="1609"/>
      <c r="M274" s="966"/>
      <c r="N274" s="1085"/>
      <c r="O274" s="1085"/>
      <c r="P274" s="991"/>
      <c r="Q274" s="991"/>
      <c r="R274" s="991"/>
      <c r="S274" s="991"/>
      <c r="T274" s="991"/>
      <c r="U274" s="991"/>
      <c r="V274" s="991"/>
      <c r="W274" s="96"/>
      <c r="X274" s="1600"/>
      <c r="Y274" s="1876"/>
      <c r="Z274" s="1600"/>
      <c r="AL274" s="1352"/>
      <c r="AM274" s="1352"/>
      <c r="AN274" s="1352"/>
      <c r="AO274" s="1352"/>
      <c r="AP274" s="1352"/>
      <c r="AQ274" s="1352"/>
      <c r="AR274" s="1352"/>
      <c r="AS274" s="1352"/>
    </row>
    <row r="275" spans="1:46" ht="15" hidden="1" customHeight="1" x14ac:dyDescent="0.2">
      <c r="A275" s="1507">
        <v>5</v>
      </c>
      <c r="B275" s="1511" t="s">
        <v>437</v>
      </c>
      <c r="C275" s="1516"/>
      <c r="D275" s="1516"/>
      <c r="E275" s="1523"/>
      <c r="F275" s="1523"/>
      <c r="G275" s="1509" t="str">
        <f t="shared" si="13"/>
        <v/>
      </c>
      <c r="H275" s="1512" t="s">
        <v>3199</v>
      </c>
      <c r="I275" s="430"/>
      <c r="J275" s="430"/>
      <c r="K275" s="430"/>
      <c r="L275" s="1609" t="s">
        <v>3976</v>
      </c>
      <c r="M275" s="966"/>
      <c r="N275" s="1085"/>
      <c r="O275" s="1085"/>
      <c r="P275" s="991"/>
      <c r="Q275" s="991"/>
      <c r="R275" s="991"/>
      <c r="S275" s="991"/>
      <c r="T275" s="991"/>
      <c r="U275" s="991"/>
      <c r="V275" s="991"/>
      <c r="W275" s="96"/>
      <c r="X275" s="1600"/>
      <c r="Y275" s="1876"/>
      <c r="Z275" s="1600"/>
      <c r="AL275" s="1352"/>
      <c r="AM275" s="1352"/>
      <c r="AN275" s="1352"/>
      <c r="AO275" s="1352"/>
      <c r="AP275" s="1352"/>
      <c r="AQ275" s="1352"/>
      <c r="AR275" s="1352"/>
      <c r="AS275" s="1352"/>
    </row>
    <row r="276" spans="1:46" ht="16" hidden="1" thickTop="1" x14ac:dyDescent="0.2">
      <c r="A276" s="1507">
        <v>5</v>
      </c>
      <c r="B276" s="1511" t="s">
        <v>437</v>
      </c>
      <c r="C276" s="1516"/>
      <c r="D276" s="1516"/>
      <c r="E276" s="1523"/>
      <c r="F276" s="1523"/>
      <c r="G276" s="1509" t="str">
        <f t="shared" si="13"/>
        <v/>
      </c>
      <c r="H276" s="1512" t="s">
        <v>3199</v>
      </c>
      <c r="I276" s="430"/>
      <c r="J276" s="430"/>
      <c r="K276" s="430"/>
      <c r="L276" s="1609"/>
      <c r="M276" s="966"/>
      <c r="N276" s="1085"/>
      <c r="O276" s="1085"/>
      <c r="P276" s="991"/>
      <c r="Q276" s="991"/>
      <c r="R276" s="991"/>
      <c r="S276" s="991"/>
      <c r="T276" s="991"/>
      <c r="U276" s="991"/>
      <c r="V276" s="991"/>
      <c r="W276" s="1135"/>
      <c r="X276" s="1600"/>
      <c r="Y276" s="1876"/>
      <c r="Z276" s="1600"/>
      <c r="AL276" s="1352"/>
      <c r="AM276" s="1352"/>
      <c r="AN276" s="1352"/>
      <c r="AO276" s="1352"/>
      <c r="AP276" s="1352"/>
      <c r="AQ276" s="1352"/>
      <c r="AR276" s="1352"/>
      <c r="AS276" s="1352"/>
    </row>
    <row r="277" spans="1:46" ht="16" hidden="1" thickTop="1" x14ac:dyDescent="0.2">
      <c r="A277" s="1515">
        <v>5</v>
      </c>
      <c r="B277" s="1511" t="s">
        <v>437</v>
      </c>
      <c r="C277" s="1516"/>
      <c r="D277" s="1516"/>
      <c r="E277" s="1523"/>
      <c r="F277" s="1523"/>
      <c r="G277" s="1509" t="str">
        <f t="shared" si="13"/>
        <v/>
      </c>
      <c r="H277" s="1512" t="s">
        <v>3199</v>
      </c>
      <c r="I277" s="430"/>
      <c r="J277" s="430"/>
      <c r="K277" s="430"/>
      <c r="L277" s="1609"/>
      <c r="M277" s="966"/>
      <c r="N277" s="1085"/>
      <c r="O277" s="1085"/>
      <c r="P277" s="991"/>
      <c r="Q277" s="991"/>
      <c r="R277" s="991"/>
      <c r="S277" s="991"/>
      <c r="T277" s="991"/>
      <c r="U277" s="991"/>
      <c r="V277" s="991"/>
      <c r="W277"/>
      <c r="X277" s="1600"/>
      <c r="Y277" s="1876"/>
      <c r="Z277" s="1600"/>
      <c r="AA277"/>
      <c r="AC277"/>
      <c r="AD277"/>
      <c r="AE277"/>
      <c r="AF277"/>
      <c r="AG277"/>
      <c r="AH277"/>
      <c r="AI277"/>
      <c r="AJ277"/>
      <c r="AK277"/>
      <c r="AL277" s="1352"/>
      <c r="AM277" s="1352"/>
      <c r="AN277" s="1352"/>
      <c r="AO277" s="1352"/>
      <c r="AP277" s="1352"/>
      <c r="AQ277" s="1352"/>
      <c r="AR277" s="1352"/>
      <c r="AS277" s="1352"/>
      <c r="AT277"/>
    </row>
    <row r="278" spans="1:46" ht="16" hidden="1" thickTop="1" x14ac:dyDescent="0.2">
      <c r="A278" s="1515">
        <v>5</v>
      </c>
      <c r="B278" s="1511" t="s">
        <v>437</v>
      </c>
      <c r="C278" s="1516"/>
      <c r="D278" s="1516"/>
      <c r="E278" s="1523"/>
      <c r="F278" s="1523"/>
      <c r="G278" s="1509" t="str">
        <f t="shared" si="13"/>
        <v/>
      </c>
      <c r="H278" s="1512" t="s">
        <v>3199</v>
      </c>
      <c r="I278" s="430"/>
      <c r="J278" s="430"/>
      <c r="K278" s="430"/>
      <c r="L278" s="1609"/>
      <c r="M278" s="966"/>
      <c r="N278" s="1085"/>
      <c r="O278" s="1085"/>
      <c r="P278" s="991"/>
      <c r="Q278" s="991"/>
      <c r="R278" s="991"/>
      <c r="S278" s="991"/>
      <c r="T278" s="991"/>
      <c r="U278" s="991"/>
      <c r="V278" s="991"/>
      <c r="W278"/>
      <c r="X278" s="1600"/>
      <c r="Y278" s="1876"/>
      <c r="Z278" s="1600"/>
      <c r="AA278"/>
      <c r="AC278"/>
      <c r="AD278"/>
      <c r="AE278"/>
      <c r="AF278"/>
      <c r="AG278"/>
      <c r="AH278"/>
      <c r="AI278"/>
      <c r="AJ278"/>
      <c r="AK278"/>
      <c r="AL278" s="1352"/>
      <c r="AM278" s="1352"/>
      <c r="AN278" s="1352"/>
      <c r="AO278" s="1352"/>
      <c r="AP278" s="1352"/>
      <c r="AQ278" s="1352"/>
      <c r="AR278" s="1352"/>
      <c r="AS278" s="1352"/>
      <c r="AT278"/>
    </row>
    <row r="279" spans="1:46" ht="16" hidden="1" thickTop="1" x14ac:dyDescent="0.2">
      <c r="A279" s="1515">
        <v>5</v>
      </c>
      <c r="B279" s="1511" t="s">
        <v>437</v>
      </c>
      <c r="C279" s="1516"/>
      <c r="D279" s="1516"/>
      <c r="E279" s="1523"/>
      <c r="F279" s="1523"/>
      <c r="G279" s="1509" t="str">
        <f t="shared" si="13"/>
        <v/>
      </c>
      <c r="H279" s="1512" t="s">
        <v>3199</v>
      </c>
      <c r="I279" s="430"/>
      <c r="J279" s="430"/>
      <c r="K279" s="430"/>
      <c r="L279" s="1609"/>
      <c r="M279" s="966"/>
      <c r="N279" s="1085"/>
      <c r="O279" s="1085"/>
      <c r="P279" s="991"/>
      <c r="Q279" s="991"/>
      <c r="R279" s="991"/>
      <c r="S279" s="991"/>
      <c r="T279" s="991"/>
      <c r="U279" s="991"/>
      <c r="V279" s="991"/>
      <c r="W279"/>
      <c r="X279" s="1600"/>
      <c r="Y279" s="1876"/>
      <c r="Z279" s="1600"/>
      <c r="AA279"/>
      <c r="AC279"/>
      <c r="AD279"/>
      <c r="AE279"/>
      <c r="AF279"/>
      <c r="AG279"/>
      <c r="AH279"/>
      <c r="AI279"/>
      <c r="AJ279"/>
      <c r="AK279"/>
      <c r="AL279" s="1352"/>
      <c r="AM279" s="1352"/>
      <c r="AN279" s="1352"/>
      <c r="AO279" s="1352"/>
      <c r="AP279" s="1352"/>
      <c r="AQ279" s="1352"/>
      <c r="AR279" s="1352"/>
      <c r="AS279" s="1352"/>
      <c r="AT279"/>
    </row>
    <row r="280" spans="1:46" ht="16" hidden="1" thickTop="1" x14ac:dyDescent="0.2">
      <c r="A280" s="1515">
        <v>5</v>
      </c>
      <c r="B280" s="1511" t="s">
        <v>437</v>
      </c>
      <c r="C280" s="1516"/>
      <c r="D280" s="1516"/>
      <c r="E280" s="1523"/>
      <c r="F280" s="1523"/>
      <c r="G280" s="1509" t="str">
        <f t="shared" si="13"/>
        <v/>
      </c>
      <c r="H280" s="1512" t="s">
        <v>3199</v>
      </c>
      <c r="I280" s="430"/>
      <c r="J280" s="430"/>
      <c r="K280" s="430"/>
      <c r="L280" s="1609"/>
      <c r="M280" s="966"/>
      <c r="N280" s="1085"/>
      <c r="O280" s="1085"/>
      <c r="P280" s="991"/>
      <c r="Q280" s="991"/>
      <c r="R280" s="991"/>
      <c r="S280" s="991"/>
      <c r="T280" s="991"/>
      <c r="U280" s="991"/>
      <c r="V280" s="991"/>
      <c r="W280"/>
      <c r="X280" s="1600"/>
      <c r="Y280" s="1876"/>
      <c r="Z280" s="1600"/>
      <c r="AA280"/>
      <c r="AC280"/>
      <c r="AD280"/>
      <c r="AE280"/>
      <c r="AF280"/>
      <c r="AG280"/>
      <c r="AH280"/>
      <c r="AI280"/>
      <c r="AJ280"/>
      <c r="AK280"/>
      <c r="AL280" s="1352"/>
      <c r="AM280" s="1352"/>
      <c r="AN280" s="1352"/>
      <c r="AO280" s="1352"/>
      <c r="AP280" s="1352"/>
      <c r="AQ280" s="1352"/>
      <c r="AR280" s="1352"/>
      <c r="AS280" s="1352"/>
      <c r="AT280"/>
    </row>
    <row r="281" spans="1:46" ht="17" hidden="1" thickTop="1" thickBot="1" x14ac:dyDescent="0.25">
      <c r="A281" s="1515">
        <v>5</v>
      </c>
      <c r="B281" s="1511" t="s">
        <v>437</v>
      </c>
      <c r="C281" s="1516"/>
      <c r="D281" s="1516"/>
      <c r="E281" s="1523"/>
      <c r="F281" s="1523"/>
      <c r="G281" s="1509" t="str">
        <f t="shared" si="13"/>
        <v/>
      </c>
      <c r="H281" s="1512" t="s">
        <v>3199</v>
      </c>
      <c r="I281" s="1082"/>
      <c r="J281" s="1082"/>
      <c r="K281" s="1082"/>
      <c r="L281" s="1610"/>
      <c r="M281" s="931"/>
      <c r="N281" s="1086"/>
      <c r="O281" s="1086"/>
      <c r="P281" s="100"/>
      <c r="Q281" s="100"/>
      <c r="R281" s="100"/>
      <c r="S281" s="100"/>
      <c r="T281" s="100"/>
      <c r="U281" s="100"/>
      <c r="V281" s="100"/>
      <c r="W281" s="113"/>
      <c r="X281" s="1600"/>
      <c r="Y281" s="1885"/>
      <c r="Z281" s="1600"/>
      <c r="AA281"/>
      <c r="AC281"/>
      <c r="AD281"/>
      <c r="AE281"/>
      <c r="AF281"/>
      <c r="AG281"/>
      <c r="AH281"/>
      <c r="AI281"/>
      <c r="AJ281"/>
      <c r="AK281"/>
      <c r="AL281" s="1352"/>
      <c r="AM281" s="1352"/>
      <c r="AN281" s="1352"/>
      <c r="AO281" s="1352"/>
      <c r="AP281" s="1352"/>
      <c r="AQ281" s="1352"/>
      <c r="AR281" s="1352"/>
      <c r="AS281" s="1352"/>
      <c r="AT281"/>
    </row>
    <row r="282" spans="1:46" ht="15.75" hidden="1" customHeight="1" thickTop="1" x14ac:dyDescent="0.2">
      <c r="A282" s="1515">
        <v>5</v>
      </c>
      <c r="B282" s="1511" t="s">
        <v>3952</v>
      </c>
      <c r="C282" s="1516"/>
      <c r="D282" s="1516"/>
      <c r="E282" s="1523"/>
      <c r="F282" s="1523"/>
      <c r="G282" s="1509" t="str">
        <f ca="1">IF(N282&gt;0,"P","")</f>
        <v/>
      </c>
      <c r="H282" s="1512" t="s">
        <v>3199</v>
      </c>
      <c r="I282" s="429" t="s">
        <v>3947</v>
      </c>
      <c r="J282" s="429"/>
      <c r="K282" s="429"/>
      <c r="L282" s="1608" t="s">
        <v>3970</v>
      </c>
      <c r="M282" s="1617">
        <v>4</v>
      </c>
      <c r="N282" s="1622">
        <f ca="1">'11.500'!O283</f>
        <v>0</v>
      </c>
      <c r="O282" s="1622">
        <f ca="1">M282*S282*W282</f>
        <v>0</v>
      </c>
      <c r="P282" s="106" t="b">
        <v>0</v>
      </c>
      <c r="Q282" s="106" t="b">
        <v>1</v>
      </c>
      <c r="R282" s="106" t="b">
        <v>0</v>
      </c>
      <c r="S282" s="106" t="b">
        <f ca="1">IF($AY$19=INDEX(INDIRECT("ddSingleOrMulti"),2),TRUE,FALSE)</f>
        <v>0</v>
      </c>
      <c r="T282" s="106" t="b">
        <f ca="1">AND(W282=TRUE,NOT(S282))</f>
        <v>0</v>
      </c>
      <c r="U282" s="106"/>
      <c r="V282" s="106"/>
      <c r="W282" s="119"/>
      <c r="X282" s="1603"/>
      <c r="Y282" s="1883" t="str">
        <f>IF(LEN('11.500'!X319)=0,"None",'11.500'!X319)</f>
        <v>None</v>
      </c>
      <c r="Z282" s="1603"/>
      <c r="AA282"/>
      <c r="AC282" s="1150" t="b">
        <f ca="1">OR(AD282:AE282)</f>
        <v>0</v>
      </c>
      <c r="AD282" s="1150" t="b">
        <f ca="1">T282</f>
        <v>0</v>
      </c>
      <c r="AE282"/>
      <c r="AF282"/>
      <c r="AG282"/>
      <c r="AH282"/>
      <c r="AI282"/>
      <c r="AJ282"/>
      <c r="AK282"/>
      <c r="AL282" s="1352" t="str">
        <f>SUBSTITUTE(SUBSTITUTE(SUBSTITUTE("vpa"&amp;$B282&amp;$C282&amp;$D282&amp;$E282&amp;$F282,".","_"),"(","_"),")","")</f>
        <v>vpa505_7</v>
      </c>
      <c r="AM282" s="1352">
        <f>M282</f>
        <v>4</v>
      </c>
      <c r="AN282" s="1352" t="str">
        <f>SUBSTITUTE(SUBSTITUTE(SUBSTITUTE("vpc"&amp;$B282&amp;$C282&amp;$D282&amp;$E282&amp;$F282,".","_"),"(","_"),")","")</f>
        <v>vpc505_7</v>
      </c>
      <c r="AO282" s="1352">
        <f ca="1">O282</f>
        <v>0</v>
      </c>
      <c r="AP282" s="1352" t="str">
        <f>SUBSTITUTE(SUBSTITUTE(SUBSTITUTE("vch"&amp;$B282&amp;$C282&amp;$D282&amp;$E282&amp;$F282,".","_"),"(","_"),")","")</f>
        <v>vch505_7</v>
      </c>
      <c r="AQ282" s="1352" t="str">
        <f>IF(LEN(W282)=0,"",W282)</f>
        <v/>
      </c>
      <c r="AR282" s="1352" t="str">
        <f>SUBSTITUTE(SUBSTITUTE(SUBSTITUTE("vnt"&amp;$B282&amp;$C282&amp;$D282&amp;$E282&amp;$F282,".","_"),"(","_"),")","")</f>
        <v>vnt505_7</v>
      </c>
      <c r="AS282" s="1352" t="str">
        <f>IF(LEN(X282)=0,"",X282)</f>
        <v/>
      </c>
      <c r="AT282"/>
    </row>
    <row r="283" spans="1:46" ht="16" hidden="1" thickTop="1" x14ac:dyDescent="0.2">
      <c r="A283" s="1515">
        <v>5</v>
      </c>
      <c r="B283" s="1511" t="s">
        <v>3952</v>
      </c>
      <c r="C283" s="1516"/>
      <c r="D283" s="1516"/>
      <c r="E283" s="1523"/>
      <c r="F283" s="1523"/>
      <c r="G283" s="1509" t="str">
        <f t="shared" ca="1" si="13"/>
        <v/>
      </c>
      <c r="H283" s="1512" t="s">
        <v>3199</v>
      </c>
      <c r="I283" s="430"/>
      <c r="J283" s="430"/>
      <c r="K283" s="430"/>
      <c r="L283" s="1609"/>
      <c r="M283" s="1615"/>
      <c r="N283" s="1604"/>
      <c r="O283" s="1604"/>
      <c r="P283" s="991"/>
      <c r="Q283" s="991"/>
      <c r="R283" s="991"/>
      <c r="S283" s="991"/>
      <c r="T283" s="991"/>
      <c r="U283" s="991"/>
      <c r="V283" s="991"/>
      <c r="W283"/>
      <c r="X283" s="1600"/>
      <c r="Y283" s="1881"/>
      <c r="Z283" s="1600"/>
      <c r="AA283"/>
      <c r="AC283"/>
      <c r="AD283"/>
      <c r="AE283"/>
      <c r="AF283"/>
      <c r="AG283"/>
      <c r="AH283"/>
      <c r="AI283"/>
      <c r="AJ283"/>
      <c r="AK283"/>
      <c r="AL283" s="1352"/>
      <c r="AM283" s="1352"/>
      <c r="AN283" s="1352"/>
      <c r="AO283" s="1352"/>
      <c r="AP283" s="1352"/>
      <c r="AQ283" s="1352"/>
      <c r="AR283" s="1352"/>
      <c r="AS283" s="1352"/>
      <c r="AT283"/>
    </row>
    <row r="284" spans="1:46" ht="16" hidden="1" thickTop="1" x14ac:dyDescent="0.2">
      <c r="A284" s="1515">
        <v>5</v>
      </c>
      <c r="B284" s="1511" t="s">
        <v>3952</v>
      </c>
      <c r="C284" s="1516"/>
      <c r="D284" s="1516"/>
      <c r="E284" s="1523"/>
      <c r="F284" s="1523"/>
      <c r="G284" s="1509" t="str">
        <f t="shared" ca="1" si="13"/>
        <v/>
      </c>
      <c r="H284" s="1512" t="s">
        <v>3199</v>
      </c>
      <c r="I284" s="430"/>
      <c r="J284" s="430"/>
      <c r="K284" s="430"/>
      <c r="L284" s="1609"/>
      <c r="M284" s="1615"/>
      <c r="N284" s="1604"/>
      <c r="O284" s="1604"/>
      <c r="P284" s="991"/>
      <c r="Q284" s="991"/>
      <c r="R284" s="991"/>
      <c r="S284" s="991"/>
      <c r="T284" s="991"/>
      <c r="U284" s="991"/>
      <c r="V284" s="991"/>
      <c r="W284"/>
      <c r="X284" s="1600"/>
      <c r="Y284" s="1881"/>
      <c r="Z284" s="1600"/>
      <c r="AA284"/>
      <c r="AC284"/>
      <c r="AD284"/>
      <c r="AE284"/>
      <c r="AF284"/>
      <c r="AG284"/>
      <c r="AH284"/>
      <c r="AI284"/>
      <c r="AJ284"/>
      <c r="AK284"/>
      <c r="AL284" s="1352"/>
      <c r="AM284" s="1352"/>
      <c r="AN284" s="1352"/>
      <c r="AO284" s="1352"/>
      <c r="AP284" s="1352"/>
      <c r="AQ284" s="1352"/>
      <c r="AR284" s="1352"/>
      <c r="AS284" s="1352"/>
      <c r="AT284"/>
    </row>
    <row r="285" spans="1:46" ht="17" hidden="1" thickTop="1" thickBot="1" x14ac:dyDescent="0.25">
      <c r="A285" s="1515">
        <v>5</v>
      </c>
      <c r="B285" s="1511" t="s">
        <v>3952</v>
      </c>
      <c r="C285" s="1516"/>
      <c r="D285" s="1516"/>
      <c r="E285" s="1523"/>
      <c r="F285" s="1523"/>
      <c r="G285" s="1509" t="str">
        <f t="shared" ca="1" si="13"/>
        <v/>
      </c>
      <c r="H285" s="1512" t="s">
        <v>3199</v>
      </c>
      <c r="I285" s="1082"/>
      <c r="J285" s="1082"/>
      <c r="K285" s="1082"/>
      <c r="L285" s="1610"/>
      <c r="M285" s="931"/>
      <c r="N285" s="1086"/>
      <c r="O285" s="1086"/>
      <c r="P285" s="100"/>
      <c r="Q285" s="100"/>
      <c r="R285" s="100"/>
      <c r="S285" s="100"/>
      <c r="T285" s="100"/>
      <c r="U285" s="100"/>
      <c r="V285" s="100"/>
      <c r="W285" s="113"/>
      <c r="X285" s="1602"/>
      <c r="Y285" s="1882"/>
      <c r="Z285" s="1602"/>
      <c r="AA285"/>
      <c r="AC285"/>
      <c r="AD285"/>
      <c r="AE285"/>
      <c r="AF285"/>
      <c r="AG285"/>
      <c r="AH285"/>
      <c r="AI285"/>
      <c r="AJ285"/>
      <c r="AK285"/>
      <c r="AL285" s="1352"/>
      <c r="AM285" s="1352"/>
      <c r="AN285" s="1352"/>
      <c r="AO285" s="1352"/>
      <c r="AP285" s="1352"/>
      <c r="AQ285" s="1352"/>
      <c r="AR285" s="1352"/>
      <c r="AS285" s="1352"/>
      <c r="AT285"/>
    </row>
    <row r="286" spans="1:46" ht="18" hidden="1" thickTop="1" thickBot="1" x14ac:dyDescent="0.25">
      <c r="A286" s="1515">
        <v>5</v>
      </c>
      <c r="B286" s="1511" t="s">
        <v>3953</v>
      </c>
      <c r="C286" s="1516"/>
      <c r="D286" s="1516"/>
      <c r="E286" s="1523"/>
      <c r="F286" s="1523"/>
      <c r="G286" s="1509" t="str">
        <f>IF(N286&gt;0,"P","")</f>
        <v/>
      </c>
      <c r="H286" s="1512" t="s">
        <v>3197</v>
      </c>
      <c r="I286" s="1087" t="s">
        <v>3948</v>
      </c>
      <c r="J286" s="1087"/>
      <c r="K286" s="1087"/>
      <c r="L286" s="1088" t="s">
        <v>3971</v>
      </c>
      <c r="M286" s="1089">
        <v>5</v>
      </c>
      <c r="N286" s="1090">
        <f>'11.500'!O287</f>
        <v>0</v>
      </c>
      <c r="O286" s="1090">
        <f>M286*S286*W286</f>
        <v>0</v>
      </c>
      <c r="P286" s="118" t="b">
        <v>1</v>
      </c>
      <c r="Q286" s="118" t="b">
        <v>1</v>
      </c>
      <c r="R286" s="118" t="b">
        <v>0</v>
      </c>
      <c r="S286" s="118" t="b">
        <v>1</v>
      </c>
      <c r="T286" s="118" t="b">
        <v>0</v>
      </c>
      <c r="U286" s="118"/>
      <c r="V286" s="118"/>
      <c r="W286" s="120"/>
      <c r="X286" s="128"/>
      <c r="Y286" s="1141" t="str">
        <f>IF(LEN('11.500'!X323)=0,"None",'11.500'!X323)</f>
        <v>None</v>
      </c>
      <c r="Z286" s="128"/>
      <c r="AA286"/>
      <c r="AC286"/>
      <c r="AD286"/>
      <c r="AE286"/>
      <c r="AF286"/>
      <c r="AG286"/>
      <c r="AH286"/>
      <c r="AI286"/>
      <c r="AJ286"/>
      <c r="AK286"/>
      <c r="AL286" s="1352" t="str">
        <f>SUBSTITUTE(SUBSTITUTE(SUBSTITUTE("vpa"&amp;$B286&amp;$C286&amp;$D286&amp;$E286&amp;$F286,".","_"),"(","_"),")","")</f>
        <v>vpa505_8</v>
      </c>
      <c r="AM286" s="1352">
        <f>M286</f>
        <v>5</v>
      </c>
      <c r="AN286" s="1352" t="str">
        <f>SUBSTITUTE(SUBSTITUTE(SUBSTITUTE("vpc"&amp;$B286&amp;$C286&amp;$D286&amp;$E286&amp;$F286,".","_"),"(","_"),")","")</f>
        <v>vpc505_8</v>
      </c>
      <c r="AO286" s="1352">
        <f>O286</f>
        <v>0</v>
      </c>
      <c r="AP286" s="1352" t="str">
        <f>SUBSTITUTE(SUBSTITUTE(SUBSTITUTE("vch"&amp;$B286&amp;$C286&amp;$D286&amp;$E286&amp;$F286,".","_"),"(","_"),")","")</f>
        <v>vch505_8</v>
      </c>
      <c r="AQ286" s="1352" t="str">
        <f>IF(LEN(W286)=0,"",W286)</f>
        <v/>
      </c>
      <c r="AR286" s="1352" t="str">
        <f>SUBSTITUTE(SUBSTITUTE(SUBSTITUTE("vnt"&amp;$B286&amp;$C286&amp;$D286&amp;$E286&amp;$F286,".","_"),"(","_"),")","")</f>
        <v>vnt505_8</v>
      </c>
      <c r="AS286" s="1352" t="str">
        <f>IF(LEN(X286)=0,"",X286)</f>
        <v/>
      </c>
      <c r="AT286"/>
    </row>
    <row r="287" spans="1:46" ht="15.75" hidden="1" customHeight="1" thickTop="1" x14ac:dyDescent="0.2">
      <c r="A287" s="1515">
        <v>5</v>
      </c>
      <c r="B287" s="1511" t="s">
        <v>3954</v>
      </c>
      <c r="C287" s="1516"/>
      <c r="D287" s="1516"/>
      <c r="E287" s="1523"/>
      <c r="F287" s="1523"/>
      <c r="G287" s="1513" t="str">
        <f ca="1">IF(COUNTIF(G289:G293,"P")&gt;0,"P","")</f>
        <v/>
      </c>
      <c r="H287" s="1512" t="s">
        <v>3199</v>
      </c>
      <c r="I287" s="69" t="s">
        <v>3949</v>
      </c>
      <c r="J287" s="69"/>
      <c r="K287" s="69"/>
      <c r="L287" s="1611" t="s">
        <v>3972</v>
      </c>
      <c r="M287" s="930"/>
      <c r="N287" s="912"/>
      <c r="O287" s="912"/>
      <c r="P287" s="905"/>
      <c r="Q287" s="905"/>
      <c r="R287" s="905"/>
      <c r="S287" s="905"/>
      <c r="T287" s="905"/>
      <c r="U287" s="905"/>
      <c r="V287" s="905"/>
      <c r="W287"/>
      <c r="X287"/>
      <c r="Y287"/>
      <c r="Z287" s="1122"/>
      <c r="AA287"/>
      <c r="AC287"/>
      <c r="AD287"/>
      <c r="AE287"/>
      <c r="AF287"/>
      <c r="AG287"/>
      <c r="AH287"/>
      <c r="AI287"/>
      <c r="AJ287"/>
      <c r="AK287"/>
      <c r="AL287" s="1352"/>
      <c r="AM287" s="1352"/>
      <c r="AN287" s="1352"/>
      <c r="AO287" s="1352"/>
      <c r="AP287" s="1352"/>
      <c r="AQ287" s="1352"/>
      <c r="AR287" s="1352"/>
      <c r="AS287" s="1352"/>
      <c r="AT287"/>
    </row>
    <row r="288" spans="1:46" ht="16" hidden="1" thickTop="1" x14ac:dyDescent="0.2">
      <c r="A288" s="1515">
        <v>5</v>
      </c>
      <c r="B288" s="1511" t="s">
        <v>3954</v>
      </c>
      <c r="C288" s="1516"/>
      <c r="D288" s="1516"/>
      <c r="E288" s="1523"/>
      <c r="F288" s="1523"/>
      <c r="G288" s="1509" t="str">
        <f ca="1">G285</f>
        <v/>
      </c>
      <c r="H288" s="1512" t="s">
        <v>3199</v>
      </c>
      <c r="I288" s="69"/>
      <c r="J288" s="69"/>
      <c r="K288" s="69"/>
      <c r="L288" s="1611"/>
      <c r="M288" s="930"/>
      <c r="N288" s="912"/>
      <c r="O288" s="912"/>
      <c r="P288" s="905"/>
      <c r="Q288" s="905"/>
      <c r="R288" s="905"/>
      <c r="S288" s="905"/>
      <c r="T288" s="905"/>
      <c r="U288" s="905"/>
      <c r="V288" s="905"/>
      <c r="W288"/>
      <c r="X288"/>
      <c r="Y288"/>
      <c r="Z288" s="1122"/>
      <c r="AA288"/>
      <c r="AC288"/>
      <c r="AD288"/>
      <c r="AE288"/>
      <c r="AF288"/>
      <c r="AG288"/>
      <c r="AH288"/>
      <c r="AI288"/>
      <c r="AJ288"/>
      <c r="AK288"/>
      <c r="AL288" s="1352"/>
      <c r="AM288" s="1352"/>
      <c r="AN288" s="1352"/>
      <c r="AO288" s="1352"/>
      <c r="AP288" s="1352"/>
      <c r="AQ288" s="1352"/>
      <c r="AR288" s="1352"/>
      <c r="AS288" s="1352"/>
      <c r="AT288"/>
    </row>
    <row r="289" spans="1:46" ht="15" hidden="1" customHeight="1" x14ac:dyDescent="0.2">
      <c r="A289" s="1515">
        <v>5</v>
      </c>
      <c r="B289" s="1511" t="s">
        <v>3954</v>
      </c>
      <c r="C289" s="1516"/>
      <c r="D289" s="1516" t="s">
        <v>121</v>
      </c>
      <c r="E289" s="1523"/>
      <c r="F289" s="1523"/>
      <c r="G289" s="1509" t="str">
        <f ca="1">IF(N289&gt;0,"P","")</f>
        <v/>
      </c>
      <c r="H289" s="1512" t="s">
        <v>3199</v>
      </c>
      <c r="I289" s="69"/>
      <c r="J289" s="69"/>
      <c r="K289" s="430" t="s">
        <v>121</v>
      </c>
      <c r="L289" s="1609" t="s">
        <v>3963</v>
      </c>
      <c r="M289" s="1615">
        <v>3</v>
      </c>
      <c r="N289" s="1604">
        <f ca="1">'11.500'!O290</f>
        <v>0</v>
      </c>
      <c r="O289" s="1604">
        <f ca="1">M289*S289*W289</f>
        <v>0</v>
      </c>
      <c r="P289" s="905" t="b">
        <v>0</v>
      </c>
      <c r="Q289" s="905" t="b">
        <v>1</v>
      </c>
      <c r="R289" s="905" t="b">
        <v>0</v>
      </c>
      <c r="S289" s="905" t="b">
        <f ca="1">IF($AY$19=INDEX(INDIRECT("ddSingleOrMulti"),2),TRUE,FALSE)</f>
        <v>0</v>
      </c>
      <c r="T289" s="905" t="b">
        <f ca="1">AND(W289=TRUE,NOT(S289))</f>
        <v>0</v>
      </c>
      <c r="U289" s="905"/>
      <c r="V289" s="905"/>
      <c r="W289" s="27"/>
      <c r="X289" s="1600"/>
      <c r="Y289" s="1874" t="str">
        <f>IF(LEN('11.500'!X326)=0,"None",'11.500'!X326)</f>
        <v>None</v>
      </c>
      <c r="Z289" s="1600"/>
      <c r="AA289"/>
      <c r="AC289" s="1150" t="b">
        <f ca="1">OR(AD289:AE289)</f>
        <v>0</v>
      </c>
      <c r="AD289" s="1150" t="b">
        <f ca="1">T289</f>
        <v>0</v>
      </c>
      <c r="AE289"/>
      <c r="AF289"/>
      <c r="AG289"/>
      <c r="AH289"/>
      <c r="AI289"/>
      <c r="AJ289"/>
      <c r="AK289"/>
      <c r="AL289" s="1352" t="str">
        <f>SUBSTITUTE(SUBSTITUTE(SUBSTITUTE("vpa"&amp;$B289&amp;$C289&amp;$D289&amp;$E289&amp;$F289,".","_"),"(","_"),")","")</f>
        <v>vpa505_9_a</v>
      </c>
      <c r="AM289" s="1352">
        <f>M289</f>
        <v>3</v>
      </c>
      <c r="AN289" s="1352" t="str">
        <f>SUBSTITUTE(SUBSTITUTE(SUBSTITUTE("vpc"&amp;$B289&amp;$C289&amp;$D289&amp;$E289&amp;$F289,".","_"),"(","_"),")","")</f>
        <v>vpc505_9_a</v>
      </c>
      <c r="AO289" s="1352">
        <f ca="1">O289</f>
        <v>0</v>
      </c>
      <c r="AP289" s="1352" t="str">
        <f>SUBSTITUTE(SUBSTITUTE(SUBSTITUTE("vch"&amp;$B289&amp;$C289&amp;$D289&amp;$E289&amp;$F289,".","_"),"(","_"),")","")</f>
        <v>vch505_9_a</v>
      </c>
      <c r="AQ289" s="1352" t="str">
        <f>IF(LEN(W289)=0,"",W289)</f>
        <v/>
      </c>
      <c r="AR289" s="1352" t="str">
        <f>SUBSTITUTE(SUBSTITUTE(SUBSTITUTE("vnt"&amp;$B289&amp;$C289&amp;$D289&amp;$E289&amp;$F289,".","_"),"(","_"),")","")</f>
        <v>vnt505_9_a</v>
      </c>
      <c r="AS289" s="1352" t="str">
        <f>IF(LEN(X289)=0,"",X289)</f>
        <v/>
      </c>
      <c r="AT289"/>
    </row>
    <row r="290" spans="1:46" ht="16" hidden="1" thickTop="1" x14ac:dyDescent="0.2">
      <c r="A290" s="1515">
        <v>5</v>
      </c>
      <c r="B290" s="1511" t="s">
        <v>3954</v>
      </c>
      <c r="C290" s="1516"/>
      <c r="D290" s="1516" t="s">
        <v>121</v>
      </c>
      <c r="E290" s="1523"/>
      <c r="F290" s="1523"/>
      <c r="G290" s="1509" t="str">
        <f ca="1">G289</f>
        <v/>
      </c>
      <c r="H290" s="1512" t="s">
        <v>3199</v>
      </c>
      <c r="I290" s="69"/>
      <c r="J290" s="69"/>
      <c r="K290" s="430"/>
      <c r="L290" s="1609"/>
      <c r="M290" s="1615"/>
      <c r="N290" s="1604"/>
      <c r="O290" s="1604"/>
      <c r="P290" s="905"/>
      <c r="Q290" s="905"/>
      <c r="R290" s="905"/>
      <c r="S290" s="905"/>
      <c r="T290" s="905"/>
      <c r="U290" s="905"/>
      <c r="V290" s="905"/>
      <c r="W290"/>
      <c r="X290" s="1600"/>
      <c r="Y290" s="1874"/>
      <c r="Z290" s="1600"/>
      <c r="AA290"/>
      <c r="AC290" s="1150"/>
      <c r="AD290" s="1150"/>
      <c r="AE290"/>
      <c r="AF290"/>
      <c r="AG290"/>
      <c r="AH290"/>
      <c r="AI290"/>
      <c r="AJ290"/>
      <c r="AK290"/>
      <c r="AL290" s="1352"/>
      <c r="AM290" s="1352"/>
      <c r="AN290" s="1352"/>
      <c r="AO290" s="1352"/>
      <c r="AP290" s="1352"/>
      <c r="AQ290" s="1352"/>
      <c r="AR290" s="1352"/>
      <c r="AS290" s="1352"/>
      <c r="AT290"/>
    </row>
    <row r="291" spans="1:46" ht="16" hidden="1" thickTop="1" x14ac:dyDescent="0.2">
      <c r="A291" s="1515">
        <v>5</v>
      </c>
      <c r="B291" s="1511" t="s">
        <v>3954</v>
      </c>
      <c r="C291" s="1516"/>
      <c r="D291" s="1516" t="s">
        <v>121</v>
      </c>
      <c r="E291" s="1523"/>
      <c r="F291" s="1523"/>
      <c r="G291" s="1509" t="str">
        <f ca="1">G290</f>
        <v/>
      </c>
      <c r="H291" s="1512" t="s">
        <v>3199</v>
      </c>
      <c r="I291" s="69"/>
      <c r="J291" s="69"/>
      <c r="K291" s="447"/>
      <c r="L291" s="1612"/>
      <c r="M291" s="1616"/>
      <c r="N291" s="1606"/>
      <c r="O291" s="1606"/>
      <c r="P291" s="905"/>
      <c r="Q291" s="905"/>
      <c r="R291" s="905"/>
      <c r="S291" s="905"/>
      <c r="T291" s="905"/>
      <c r="U291" s="905"/>
      <c r="V291" s="905"/>
      <c r="W291"/>
      <c r="X291" s="1600"/>
      <c r="Y291" s="1874"/>
      <c r="Z291" s="1600"/>
      <c r="AA291"/>
      <c r="AC291" s="1150"/>
      <c r="AD291" s="1150"/>
      <c r="AE291"/>
      <c r="AF291"/>
      <c r="AG291"/>
      <c r="AH291"/>
      <c r="AI291"/>
      <c r="AJ291"/>
      <c r="AK291"/>
      <c r="AL291" s="1352"/>
      <c r="AM291" s="1352"/>
      <c r="AN291" s="1352"/>
      <c r="AO291" s="1352"/>
      <c r="AP291" s="1352"/>
      <c r="AQ291" s="1352"/>
      <c r="AR291" s="1352"/>
      <c r="AS291" s="1352"/>
      <c r="AT291"/>
    </row>
    <row r="292" spans="1:46" ht="17" hidden="1" thickTop="1" x14ac:dyDescent="0.2">
      <c r="A292" s="1515">
        <v>5</v>
      </c>
      <c r="B292" s="1511" t="s">
        <v>3954</v>
      </c>
      <c r="C292" s="1516"/>
      <c r="D292" s="1516" t="s">
        <v>122</v>
      </c>
      <c r="E292" s="1523"/>
      <c r="F292" s="1523"/>
      <c r="G292" s="1509" t="str">
        <f ca="1">IF(N292&gt;0,"P","")</f>
        <v/>
      </c>
      <c r="H292" s="1512" t="s">
        <v>3199</v>
      </c>
      <c r="I292" s="69"/>
      <c r="J292" s="69"/>
      <c r="K292" s="1091" t="s">
        <v>122</v>
      </c>
      <c r="L292" s="211" t="s">
        <v>3964</v>
      </c>
      <c r="M292" s="1092">
        <v>3</v>
      </c>
      <c r="N292" s="1093">
        <f ca="1">'11.500'!O293</f>
        <v>0</v>
      </c>
      <c r="O292" s="1093">
        <f ca="1">M292*S292*W292</f>
        <v>0</v>
      </c>
      <c r="P292" s="905" t="b">
        <v>0</v>
      </c>
      <c r="Q292" s="905" t="b">
        <v>1</v>
      </c>
      <c r="R292" s="905" t="b">
        <v>0</v>
      </c>
      <c r="S292" s="905" t="b">
        <f ca="1">IF($AY$19=INDEX(INDIRECT("ddSingleOrMulti"),2),TRUE,FALSE)</f>
        <v>0</v>
      </c>
      <c r="T292" s="905" t="b">
        <f ca="1">AND(W292=TRUE,NOT(S292))</f>
        <v>0</v>
      </c>
      <c r="U292" s="905"/>
      <c r="V292" s="905"/>
      <c r="W292" s="27"/>
      <c r="X292" s="1123"/>
      <c r="Y292" s="1139" t="str">
        <f>IF(LEN('11.500'!X329)=0,"None",'11.500'!X329)</f>
        <v>None</v>
      </c>
      <c r="Z292" s="1123"/>
      <c r="AA292"/>
      <c r="AC292" s="1150" t="b">
        <f ca="1">OR(AD292:AE292)</f>
        <v>0</v>
      </c>
      <c r="AD292" s="1150" t="b">
        <f ca="1">T292</f>
        <v>0</v>
      </c>
      <c r="AE292"/>
      <c r="AF292"/>
      <c r="AG292"/>
      <c r="AH292"/>
      <c r="AI292"/>
      <c r="AJ292"/>
      <c r="AK292"/>
      <c r="AL292" s="1352" t="str">
        <f>SUBSTITUTE(SUBSTITUTE(SUBSTITUTE("vpa"&amp;$B292&amp;$C292&amp;$D292&amp;$E292&amp;$F292,".","_"),"(","_"),")","")</f>
        <v>vpa505_9_b</v>
      </c>
      <c r="AM292" s="1352">
        <f>M292</f>
        <v>3</v>
      </c>
      <c r="AN292" s="1352" t="str">
        <f>SUBSTITUTE(SUBSTITUTE(SUBSTITUTE("vpc"&amp;$B292&amp;$C292&amp;$D292&amp;$E292&amp;$F292,".","_"),"(","_"),")","")</f>
        <v>vpc505_9_b</v>
      </c>
      <c r="AO292" s="1352">
        <f ca="1">O292</f>
        <v>0</v>
      </c>
      <c r="AP292" s="1352" t="str">
        <f>SUBSTITUTE(SUBSTITUTE(SUBSTITUTE("vch"&amp;$B292&amp;$C292&amp;$D292&amp;$E292&amp;$F292,".","_"),"(","_"),")","")</f>
        <v>vch505_9_b</v>
      </c>
      <c r="AQ292" s="1352" t="str">
        <f>IF(LEN(W292)=0,"",W292)</f>
        <v/>
      </c>
      <c r="AR292" s="1352" t="str">
        <f>SUBSTITUTE(SUBSTITUTE(SUBSTITUTE("vnt"&amp;$B292&amp;$C292&amp;$D292&amp;$E292&amp;$F292,".","_"),"(","_"),")","")</f>
        <v>vnt505_9_b</v>
      </c>
      <c r="AS292" s="1352" t="str">
        <f>IF(LEN(X292)=0,"",X292)</f>
        <v/>
      </c>
      <c r="AT292"/>
    </row>
    <row r="293" spans="1:46" ht="15" hidden="1" customHeight="1" x14ac:dyDescent="0.2">
      <c r="A293" s="1515">
        <v>5</v>
      </c>
      <c r="B293" s="1511" t="s">
        <v>3954</v>
      </c>
      <c r="C293" s="1516"/>
      <c r="D293" s="1516" t="s">
        <v>123</v>
      </c>
      <c r="E293" s="1523"/>
      <c r="F293" s="1523"/>
      <c r="G293" s="1509" t="str">
        <f ca="1">IF(N293&gt;0,"P","")</f>
        <v/>
      </c>
      <c r="H293" s="1512" t="s">
        <v>3199</v>
      </c>
      <c r="I293" s="430"/>
      <c r="J293" s="430"/>
      <c r="K293" s="430" t="s">
        <v>123</v>
      </c>
      <c r="L293" s="1609" t="s">
        <v>3965</v>
      </c>
      <c r="M293" s="1615">
        <v>3</v>
      </c>
      <c r="N293" s="1607">
        <f ca="1">'11.500'!O294</f>
        <v>0</v>
      </c>
      <c r="O293" s="1604">
        <f ca="1">M293*S293*W293</f>
        <v>0</v>
      </c>
      <c r="P293" s="991" t="b">
        <v>0</v>
      </c>
      <c r="Q293" s="991" t="b">
        <v>1</v>
      </c>
      <c r="R293" s="991" t="b">
        <v>0</v>
      </c>
      <c r="S293" s="991" t="b">
        <f ca="1">IF($AY$19=INDEX(INDIRECT("ddSingleOrMulti"),2),TRUE,FALSE)</f>
        <v>0</v>
      </c>
      <c r="T293" s="991" t="b">
        <f ca="1">AND(W293=TRUE,NOT(S293))</f>
        <v>0</v>
      </c>
      <c r="U293" s="991"/>
      <c r="V293" s="991"/>
      <c r="W293" s="27"/>
      <c r="X293" s="1600"/>
      <c r="Y293" s="1881" t="str">
        <f>IF(LEN('11.500'!X330)=0,"None",'11.500'!X330)</f>
        <v>None</v>
      </c>
      <c r="Z293" s="1600"/>
      <c r="AA293"/>
      <c r="AC293" s="1150" t="b">
        <f ca="1">OR(AD293:AE293)</f>
        <v>0</v>
      </c>
      <c r="AD293" s="1150" t="b">
        <f ca="1">T293</f>
        <v>0</v>
      </c>
      <c r="AE293"/>
      <c r="AF293"/>
      <c r="AG293"/>
      <c r="AH293"/>
      <c r="AI293"/>
      <c r="AJ293"/>
      <c r="AK293"/>
      <c r="AL293" s="1352" t="str">
        <f>SUBSTITUTE(SUBSTITUTE(SUBSTITUTE("vpa"&amp;$B293&amp;$C293&amp;$D293&amp;$E293&amp;$F293,".","_"),"(","_"),")","")</f>
        <v>vpa505_9_c</v>
      </c>
      <c r="AM293" s="1352">
        <f>M293</f>
        <v>3</v>
      </c>
      <c r="AN293" s="1352" t="str">
        <f>SUBSTITUTE(SUBSTITUTE(SUBSTITUTE("vpc"&amp;$B293&amp;$C293&amp;$D293&amp;$E293&amp;$F293,".","_"),"(","_"),")","")</f>
        <v>vpc505_9_c</v>
      </c>
      <c r="AO293" s="1352">
        <f ca="1">O293</f>
        <v>0</v>
      </c>
      <c r="AP293" s="1352" t="str">
        <f>SUBSTITUTE(SUBSTITUTE(SUBSTITUTE("vch"&amp;$B293&amp;$C293&amp;$D293&amp;$E293&amp;$F293,".","_"),"(","_"),")","")</f>
        <v>vch505_9_c</v>
      </c>
      <c r="AQ293" s="1352" t="str">
        <f>IF(LEN(W293)=0,"",W293)</f>
        <v/>
      </c>
      <c r="AR293" s="1352" t="str">
        <f>SUBSTITUTE(SUBSTITUTE(SUBSTITUTE("vnt"&amp;$B293&amp;$C293&amp;$D293&amp;$E293&amp;$F293,".","_"),"(","_"),")","")</f>
        <v>vnt505_9_c</v>
      </c>
      <c r="AS293" s="1352" t="str">
        <f>IF(LEN(X293)=0,"",X293)</f>
        <v/>
      </c>
      <c r="AT293"/>
    </row>
    <row r="294" spans="1:46" ht="17" hidden="1" thickTop="1" thickBot="1" x14ac:dyDescent="0.25">
      <c r="A294" s="1515">
        <v>5</v>
      </c>
      <c r="B294" s="1511" t="s">
        <v>3954</v>
      </c>
      <c r="C294" s="1516"/>
      <c r="D294" s="1516" t="s">
        <v>123</v>
      </c>
      <c r="E294" s="1523"/>
      <c r="F294" s="1523"/>
      <c r="G294" s="1509" t="str">
        <f ca="1">G293</f>
        <v/>
      </c>
      <c r="H294" s="1512" t="s">
        <v>3199</v>
      </c>
      <c r="I294" s="1082"/>
      <c r="J294" s="1082"/>
      <c r="K294" s="1082"/>
      <c r="L294" s="1610"/>
      <c r="M294" s="1618"/>
      <c r="N294" s="1605"/>
      <c r="O294" s="1605"/>
      <c r="P294" s="100"/>
      <c r="Q294" s="100"/>
      <c r="R294" s="100"/>
      <c r="S294" s="100"/>
      <c r="T294" s="100"/>
      <c r="U294" s="100"/>
      <c r="V294" s="100"/>
      <c r="W294" s="270"/>
      <c r="X294" s="1602"/>
      <c r="Y294" s="1882"/>
      <c r="Z294" s="1602"/>
      <c r="AA294"/>
      <c r="AC294" s="1150"/>
      <c r="AD294" s="1150"/>
      <c r="AE294"/>
      <c r="AF294"/>
      <c r="AG294"/>
      <c r="AH294"/>
      <c r="AI294"/>
      <c r="AJ294"/>
      <c r="AK294"/>
      <c r="AL294" s="1352"/>
      <c r="AM294" s="1352"/>
      <c r="AN294" s="1352"/>
      <c r="AO294" s="1352"/>
      <c r="AP294" s="1352"/>
      <c r="AQ294" s="1352"/>
      <c r="AR294" s="1352"/>
      <c r="AS294" s="1352"/>
      <c r="AT294"/>
    </row>
    <row r="295" spans="1:46" ht="15.75" hidden="1" customHeight="1" thickTop="1" x14ac:dyDescent="0.2">
      <c r="A295" s="1515">
        <v>5</v>
      </c>
      <c r="B295" s="1511" t="s">
        <v>3955</v>
      </c>
      <c r="C295" s="1516"/>
      <c r="D295" s="1516"/>
      <c r="E295" s="1523"/>
      <c r="F295" s="1523"/>
      <c r="G295" s="1513" t="str">
        <f ca="1">IF(COUNTIF(G298:G302,"P")&gt;0,"P","")</f>
        <v/>
      </c>
      <c r="H295" s="1512" t="s">
        <v>3199</v>
      </c>
      <c r="I295" s="69" t="s">
        <v>3950</v>
      </c>
      <c r="J295" s="69"/>
      <c r="K295" s="69"/>
      <c r="L295" s="1611" t="s">
        <v>3974</v>
      </c>
      <c r="M295" s="930"/>
      <c r="N295" s="912"/>
      <c r="O295" s="912"/>
      <c r="P295" s="905"/>
      <c r="Q295" s="905"/>
      <c r="R295" s="905"/>
      <c r="S295" s="905"/>
      <c r="T295" s="905"/>
      <c r="U295" s="905"/>
      <c r="V295" s="905"/>
      <c r="W295"/>
      <c r="X295"/>
      <c r="Y295"/>
      <c r="Z295" s="1122"/>
      <c r="AA295"/>
      <c r="AC295" s="1150"/>
      <c r="AD295" s="1150"/>
      <c r="AE295"/>
      <c r="AF295"/>
      <c r="AG295"/>
      <c r="AH295"/>
      <c r="AI295"/>
      <c r="AJ295"/>
      <c r="AK295"/>
      <c r="AL295" s="1352"/>
      <c r="AM295" s="1352"/>
      <c r="AN295" s="1352"/>
      <c r="AO295" s="1352"/>
      <c r="AP295" s="1352"/>
      <c r="AQ295" s="1352"/>
      <c r="AR295" s="1352"/>
      <c r="AS295" s="1352"/>
      <c r="AT295"/>
    </row>
    <row r="296" spans="1:46" s="905" customFormat="1" ht="16" hidden="1" thickTop="1" x14ac:dyDescent="0.2">
      <c r="A296" s="1515">
        <v>5</v>
      </c>
      <c r="B296" s="1511" t="s">
        <v>3955</v>
      </c>
      <c r="C296" s="1516"/>
      <c r="D296" s="1516"/>
      <c r="E296" s="1523"/>
      <c r="F296" s="1523"/>
      <c r="G296" s="1509" t="str">
        <f ca="1">G293</f>
        <v/>
      </c>
      <c r="H296" s="1512" t="s">
        <v>3199</v>
      </c>
      <c r="I296" s="69"/>
      <c r="J296" s="69"/>
      <c r="K296" s="69"/>
      <c r="L296" s="1611"/>
      <c r="M296" s="930"/>
      <c r="N296" s="912"/>
      <c r="O296" s="912"/>
      <c r="Z296" s="1122"/>
      <c r="AC296" s="1150"/>
      <c r="AD296" s="1150"/>
      <c r="AL296" s="1352"/>
      <c r="AM296" s="1352"/>
      <c r="AN296" s="1352"/>
      <c r="AO296" s="1352"/>
      <c r="AP296" s="1352"/>
      <c r="AQ296" s="1352"/>
      <c r="AR296" s="1352"/>
      <c r="AS296" s="1352"/>
    </row>
    <row r="297" spans="1:46" s="905" customFormat="1" ht="16" hidden="1" thickTop="1" x14ac:dyDescent="0.2">
      <c r="A297" s="1515">
        <v>5</v>
      </c>
      <c r="B297" s="1511" t="s">
        <v>3955</v>
      </c>
      <c r="C297" s="1516"/>
      <c r="D297" s="1516"/>
      <c r="E297" s="1523"/>
      <c r="F297" s="1523"/>
      <c r="G297" s="1509" t="str">
        <f ca="1">G294</f>
        <v/>
      </c>
      <c r="H297" s="1512" t="s">
        <v>3199</v>
      </c>
      <c r="I297" s="69"/>
      <c r="J297" s="69"/>
      <c r="K297" s="69"/>
      <c r="L297" s="1611"/>
      <c r="M297" s="930"/>
      <c r="N297" s="912"/>
      <c r="O297" s="912"/>
      <c r="Z297" s="1122"/>
      <c r="AC297" s="1150"/>
      <c r="AD297" s="1150"/>
      <c r="AL297" s="1352"/>
      <c r="AM297" s="1352"/>
      <c r="AN297" s="1352"/>
      <c r="AO297" s="1352"/>
      <c r="AP297" s="1352"/>
      <c r="AQ297" s="1352"/>
      <c r="AR297" s="1352"/>
      <c r="AS297" s="1352"/>
    </row>
    <row r="298" spans="1:46" s="905" customFormat="1" ht="15" hidden="1" customHeight="1" x14ac:dyDescent="0.2">
      <c r="A298" s="1515">
        <v>5</v>
      </c>
      <c r="B298" s="1511" t="s">
        <v>3955</v>
      </c>
      <c r="C298" s="1516"/>
      <c r="D298" s="1516" t="s">
        <v>121</v>
      </c>
      <c r="E298" s="1523"/>
      <c r="F298" s="1523"/>
      <c r="G298" s="1509" t="str">
        <f ca="1">IF(N298&gt;0,"P","")</f>
        <v/>
      </c>
      <c r="H298" s="1512" t="s">
        <v>3199</v>
      </c>
      <c r="I298" s="69"/>
      <c r="J298" s="69"/>
      <c r="K298" s="430" t="s">
        <v>121</v>
      </c>
      <c r="L298" s="1609" t="s">
        <v>3966</v>
      </c>
      <c r="M298" s="1615">
        <v>3</v>
      </c>
      <c r="N298" s="1604">
        <f ca="1">'11.500'!O299</f>
        <v>0</v>
      </c>
      <c r="O298" s="1604">
        <f ca="1">M298*S298*W298</f>
        <v>0</v>
      </c>
      <c r="P298" s="905" t="b">
        <v>0</v>
      </c>
      <c r="Q298" s="905" t="b">
        <v>1</v>
      </c>
      <c r="R298" s="905" t="b">
        <v>0</v>
      </c>
      <c r="S298" s="905" t="b">
        <f ca="1">IF($AY$19=INDEX(INDIRECT("ddSingleOrMulti"),2),TRUE,FALSE)</f>
        <v>0</v>
      </c>
      <c r="T298" s="905" t="b">
        <f ca="1">AND(W298=TRUE,NOT(S298))</f>
        <v>0</v>
      </c>
      <c r="W298" s="27"/>
      <c r="X298" s="1600"/>
      <c r="Y298" s="1874" t="str">
        <f>IF(LEN('11.500'!X335)=0,"None",'11.500'!X335)</f>
        <v>None</v>
      </c>
      <c r="Z298" s="1600"/>
      <c r="AC298" s="1150" t="b">
        <f ca="1">OR(AD298:AE298)</f>
        <v>0</v>
      </c>
      <c r="AD298" s="1150" t="b">
        <f ca="1">T298</f>
        <v>0</v>
      </c>
      <c r="AL298" s="1352" t="str">
        <f>SUBSTITUTE(SUBSTITUTE(SUBSTITUTE("vpa"&amp;$B298&amp;$C298&amp;$D298&amp;$E298&amp;$F298,".","_"),"(","_"),")","")</f>
        <v>vpa505_10_a</v>
      </c>
      <c r="AM298" s="1352">
        <f>M298</f>
        <v>3</v>
      </c>
      <c r="AN298" s="1352" t="str">
        <f>SUBSTITUTE(SUBSTITUTE(SUBSTITUTE("vpc"&amp;$B298&amp;$C298&amp;$D298&amp;$E298&amp;$F298,".","_"),"(","_"),")","")</f>
        <v>vpc505_10_a</v>
      </c>
      <c r="AO298" s="1352">
        <f ca="1">O298</f>
        <v>0</v>
      </c>
      <c r="AP298" s="1352" t="str">
        <f>SUBSTITUTE(SUBSTITUTE(SUBSTITUTE("vch"&amp;$B298&amp;$C298&amp;$D298&amp;$E298&amp;$F298,".","_"),"(","_"),")","")</f>
        <v>vch505_10_a</v>
      </c>
      <c r="AQ298" s="1352" t="str">
        <f>IF(LEN(W298)=0,"",W298)</f>
        <v/>
      </c>
      <c r="AR298" s="1352" t="str">
        <f>SUBSTITUTE(SUBSTITUTE(SUBSTITUTE("vnt"&amp;$B298&amp;$C298&amp;$D298&amp;$E298&amp;$F298,".","_"),"(","_"),")","")</f>
        <v>vnt505_10_a</v>
      </c>
      <c r="AS298" s="1352" t="str">
        <f>IF(LEN(X298)=0,"",X298)</f>
        <v/>
      </c>
    </row>
    <row r="299" spans="1:46" s="905" customFormat="1" ht="16" hidden="1" thickTop="1" x14ac:dyDescent="0.2">
      <c r="A299" s="1515">
        <v>5</v>
      </c>
      <c r="B299" s="1511" t="s">
        <v>3955</v>
      </c>
      <c r="C299" s="1516"/>
      <c r="D299" s="1516" t="s">
        <v>121</v>
      </c>
      <c r="E299" s="1523"/>
      <c r="F299" s="1523"/>
      <c r="G299" s="1509" t="str">
        <f t="shared" ref="G299:G306" ca="1" si="14">G298</f>
        <v/>
      </c>
      <c r="H299" s="1512" t="s">
        <v>3199</v>
      </c>
      <c r="I299" s="69"/>
      <c r="J299" s="69"/>
      <c r="K299" s="447"/>
      <c r="L299" s="1612"/>
      <c r="M299" s="1616"/>
      <c r="N299" s="1606"/>
      <c r="O299" s="1606"/>
      <c r="X299" s="1600"/>
      <c r="Y299" s="1874"/>
      <c r="Z299" s="1600"/>
      <c r="AC299" s="1150"/>
      <c r="AD299" s="1150"/>
      <c r="AL299" s="1352"/>
      <c r="AM299" s="1352"/>
      <c r="AN299" s="1352"/>
      <c r="AO299" s="1352"/>
      <c r="AP299" s="1352"/>
      <c r="AQ299" s="1352"/>
      <c r="AR299" s="1352"/>
      <c r="AS299" s="1352"/>
    </row>
    <row r="300" spans="1:46" s="905" customFormat="1" ht="15" hidden="1" customHeight="1" x14ac:dyDescent="0.2">
      <c r="A300" s="1515">
        <v>5</v>
      </c>
      <c r="B300" s="1511" t="s">
        <v>3955</v>
      </c>
      <c r="C300" s="1516"/>
      <c r="D300" s="1516" t="s">
        <v>122</v>
      </c>
      <c r="E300" s="1523"/>
      <c r="F300" s="1523"/>
      <c r="G300" s="1509" t="str">
        <f ca="1">IF(N300&gt;0,"P","")</f>
        <v/>
      </c>
      <c r="H300" s="1512" t="s">
        <v>3199</v>
      </c>
      <c r="I300" s="69"/>
      <c r="J300" s="69"/>
      <c r="K300" s="446" t="s">
        <v>122</v>
      </c>
      <c r="L300" s="1613" t="s">
        <v>3967</v>
      </c>
      <c r="M300" s="1614">
        <v>3</v>
      </c>
      <c r="N300" s="1607">
        <f ca="1">'11.500'!O301</f>
        <v>0</v>
      </c>
      <c r="O300" s="1607">
        <f ca="1">M300*S300*W300</f>
        <v>0</v>
      </c>
      <c r="P300" s="905" t="b">
        <v>0</v>
      </c>
      <c r="Q300" s="905" t="b">
        <v>1</v>
      </c>
      <c r="R300" s="905" t="b">
        <v>0</v>
      </c>
      <c r="S300" s="905" t="b">
        <f ca="1">IF($AY$19=INDEX(INDIRECT("ddSingleOrMulti"),2),TRUE,FALSE)</f>
        <v>0</v>
      </c>
      <c r="T300" s="905" t="b">
        <f ca="1">AND(W300=TRUE,NOT(S300))</f>
        <v>0</v>
      </c>
      <c r="W300" s="27"/>
      <c r="X300" s="1600"/>
      <c r="Y300" s="1874" t="str">
        <f>IF(LEN('11.500'!X337)=0,"None",'11.500'!X337)</f>
        <v>None</v>
      </c>
      <c r="Z300" s="1600"/>
      <c r="AC300" s="1150" t="b">
        <f ca="1">OR(AD300:AE300)</f>
        <v>0</v>
      </c>
      <c r="AD300" s="1150" t="b">
        <f ca="1">T300</f>
        <v>0</v>
      </c>
      <c r="AL300" s="1352" t="str">
        <f>SUBSTITUTE(SUBSTITUTE(SUBSTITUTE("vpa"&amp;$B300&amp;$C300&amp;$D300&amp;$E300&amp;$F300,".","_"),"(","_"),")","")</f>
        <v>vpa505_10_b</v>
      </c>
      <c r="AM300" s="1352">
        <f>M300</f>
        <v>3</v>
      </c>
      <c r="AN300" s="1352" t="str">
        <f>SUBSTITUTE(SUBSTITUTE(SUBSTITUTE("vpc"&amp;$B300&amp;$C300&amp;$D300&amp;$E300&amp;$F300,".","_"),"(","_"),")","")</f>
        <v>vpc505_10_b</v>
      </c>
      <c r="AO300" s="1352">
        <f ca="1">O300</f>
        <v>0</v>
      </c>
      <c r="AP300" s="1352" t="str">
        <f>SUBSTITUTE(SUBSTITUTE(SUBSTITUTE("vch"&amp;$B300&amp;$C300&amp;$D300&amp;$E300&amp;$F300,".","_"),"(","_"),")","")</f>
        <v>vch505_10_b</v>
      </c>
      <c r="AQ300" s="1352" t="str">
        <f>IF(LEN(W300)=0,"",W300)</f>
        <v/>
      </c>
      <c r="AR300" s="1352" t="str">
        <f>SUBSTITUTE(SUBSTITUTE(SUBSTITUTE("vnt"&amp;$B300&amp;$C300&amp;$D300&amp;$E300&amp;$F300,".","_"),"(","_"),")","")</f>
        <v>vnt505_10_b</v>
      </c>
      <c r="AS300" s="1352" t="str">
        <f>IF(LEN(X300)=0,"",X300)</f>
        <v/>
      </c>
    </row>
    <row r="301" spans="1:46" s="905" customFormat="1" ht="16" hidden="1" thickTop="1" x14ac:dyDescent="0.2">
      <c r="A301" s="1515">
        <v>5</v>
      </c>
      <c r="B301" s="1511" t="s">
        <v>3955</v>
      </c>
      <c r="C301" s="1516"/>
      <c r="D301" s="1516" t="s">
        <v>122</v>
      </c>
      <c r="E301" s="1523"/>
      <c r="F301" s="1523"/>
      <c r="G301" s="1509" t="str">
        <f t="shared" ca="1" si="14"/>
        <v/>
      </c>
      <c r="H301" s="1512" t="s">
        <v>3199</v>
      </c>
      <c r="I301" s="69"/>
      <c r="J301" s="69"/>
      <c r="K301" s="447"/>
      <c r="L301" s="1612"/>
      <c r="M301" s="1616"/>
      <c r="N301" s="1606"/>
      <c r="O301" s="1606"/>
      <c r="X301" s="1600"/>
      <c r="Y301" s="1874"/>
      <c r="Z301" s="1600"/>
      <c r="AC301" s="1150"/>
      <c r="AD301" s="1150"/>
      <c r="AL301" s="1352"/>
      <c r="AM301" s="1352"/>
      <c r="AN301" s="1352"/>
      <c r="AO301" s="1352"/>
      <c r="AP301" s="1352"/>
      <c r="AQ301" s="1352"/>
      <c r="AR301" s="1352"/>
      <c r="AS301" s="1352"/>
    </row>
    <row r="302" spans="1:46" s="905" customFormat="1" ht="15" hidden="1" customHeight="1" x14ac:dyDescent="0.2">
      <c r="A302" s="1515">
        <v>5</v>
      </c>
      <c r="B302" s="1511" t="s">
        <v>3955</v>
      </c>
      <c r="C302" s="1516"/>
      <c r="D302" s="1516" t="s">
        <v>123</v>
      </c>
      <c r="E302" s="1523"/>
      <c r="F302" s="1523"/>
      <c r="G302" s="1509" t="str">
        <f ca="1">IF(N302&gt;0,"P","")</f>
        <v/>
      </c>
      <c r="H302" s="1512" t="s">
        <v>3199</v>
      </c>
      <c r="I302" s="430"/>
      <c r="J302" s="430"/>
      <c r="K302" s="430" t="s">
        <v>123</v>
      </c>
      <c r="L302" s="1609" t="s">
        <v>3968</v>
      </c>
      <c r="M302" s="1615">
        <v>3</v>
      </c>
      <c r="N302" s="1607">
        <f ca="1">'11.500'!O303</f>
        <v>0</v>
      </c>
      <c r="O302" s="1604">
        <f ca="1">M302*S302*W302</f>
        <v>0</v>
      </c>
      <c r="P302" s="991" t="b">
        <v>0</v>
      </c>
      <c r="Q302" s="991" t="b">
        <v>1</v>
      </c>
      <c r="R302" s="991" t="b">
        <v>0</v>
      </c>
      <c r="S302" s="991" t="b">
        <f ca="1">IF($AY$19=INDEX(INDIRECT("ddSingleOrMulti"),2),TRUE,FALSE)</f>
        <v>0</v>
      </c>
      <c r="T302" s="991" t="b">
        <f ca="1">AND(W302=TRUE,NOT(S302))</f>
        <v>0</v>
      </c>
      <c r="U302" s="991"/>
      <c r="V302" s="991"/>
      <c r="W302" s="27"/>
      <c r="X302" s="1600"/>
      <c r="Y302" s="1881" t="str">
        <f>IF(LEN('11.500'!X339)=0,"None",'11.500'!X339)</f>
        <v>None</v>
      </c>
      <c r="Z302" s="1600"/>
      <c r="AC302" s="1150" t="b">
        <f ca="1">OR(AD302:AE302)</f>
        <v>0</v>
      </c>
      <c r="AD302" s="1150" t="b">
        <f ca="1">T302</f>
        <v>0</v>
      </c>
      <c r="AL302" s="1352" t="str">
        <f>SUBSTITUTE(SUBSTITUTE(SUBSTITUTE("vpa"&amp;$B302&amp;$C302&amp;$D302&amp;$E302&amp;$F302,".","_"),"(","_"),")","")</f>
        <v>vpa505_10_c</v>
      </c>
      <c r="AM302" s="1352">
        <f>M302</f>
        <v>3</v>
      </c>
      <c r="AN302" s="1352" t="str">
        <f>SUBSTITUTE(SUBSTITUTE(SUBSTITUTE("vpc"&amp;$B302&amp;$C302&amp;$D302&amp;$E302&amp;$F302,".","_"),"(","_"),")","")</f>
        <v>vpc505_10_c</v>
      </c>
      <c r="AO302" s="1352">
        <f ca="1">O302</f>
        <v>0</v>
      </c>
      <c r="AP302" s="1352" t="str">
        <f>SUBSTITUTE(SUBSTITUTE(SUBSTITUTE("vch"&amp;$B302&amp;$C302&amp;$D302&amp;$E302&amp;$F302,".","_"),"(","_"),")","")</f>
        <v>vch505_10_c</v>
      </c>
      <c r="AQ302" s="1352" t="str">
        <f>IF(LEN(W302)=0,"",W302)</f>
        <v/>
      </c>
      <c r="AR302" s="1352" t="str">
        <f>SUBSTITUTE(SUBSTITUTE(SUBSTITUTE("vnt"&amp;$B302&amp;$C302&amp;$D302&amp;$E302&amp;$F302,".","_"),"(","_"),")","")</f>
        <v>vnt505_10_c</v>
      </c>
      <c r="AS302" s="1352" t="str">
        <f>IF(LEN(X302)=0,"",X302)</f>
        <v/>
      </c>
    </row>
    <row r="303" spans="1:46" s="905" customFormat="1" ht="17" hidden="1" thickTop="1" thickBot="1" x14ac:dyDescent="0.25">
      <c r="A303" s="1515">
        <v>5</v>
      </c>
      <c r="B303" s="1511" t="s">
        <v>3955</v>
      </c>
      <c r="C303" s="1516"/>
      <c r="D303" s="1516" t="s">
        <v>123</v>
      </c>
      <c r="E303" s="1523"/>
      <c r="F303" s="1523"/>
      <c r="G303" s="1509" t="str">
        <f t="shared" ca="1" si="14"/>
        <v/>
      </c>
      <c r="H303" s="1512" t="s">
        <v>3199</v>
      </c>
      <c r="I303" s="1082"/>
      <c r="J303" s="1082"/>
      <c r="K303" s="1082"/>
      <c r="L303" s="1610"/>
      <c r="M303" s="1618"/>
      <c r="N303" s="1605"/>
      <c r="O303" s="1605"/>
      <c r="P303" s="100"/>
      <c r="Q303" s="100"/>
      <c r="R303" s="100"/>
      <c r="S303" s="100"/>
      <c r="T303" s="100"/>
      <c r="U303" s="100"/>
      <c r="V303" s="100"/>
      <c r="W303" s="270"/>
      <c r="X303" s="1602"/>
      <c r="Y303" s="1882"/>
      <c r="Z303" s="1602"/>
      <c r="AC303" s="1150"/>
      <c r="AD303" s="1150"/>
      <c r="AL303" s="1352"/>
      <c r="AM303" s="1352"/>
      <c r="AN303" s="1352"/>
      <c r="AO303" s="1352"/>
      <c r="AP303" s="1352"/>
      <c r="AQ303" s="1352"/>
      <c r="AR303" s="1352"/>
      <c r="AS303" s="1352"/>
    </row>
    <row r="304" spans="1:46" s="905" customFormat="1" ht="15.75" hidden="1" customHeight="1" thickTop="1" x14ac:dyDescent="0.2">
      <c r="A304" s="1515">
        <v>5</v>
      </c>
      <c r="B304" s="1511" t="s">
        <v>3956</v>
      </c>
      <c r="C304" s="1523"/>
      <c r="D304" s="1523"/>
      <c r="E304" s="1523"/>
      <c r="F304" s="1523"/>
      <c r="G304" s="1509" t="str">
        <f>IF(N304&gt;0,"P","")</f>
        <v/>
      </c>
      <c r="H304" s="1512" t="s">
        <v>3199</v>
      </c>
      <c r="I304" s="69" t="s">
        <v>3951</v>
      </c>
      <c r="J304" s="69"/>
      <c r="K304" s="69"/>
      <c r="L304" s="1611" t="s">
        <v>3973</v>
      </c>
      <c r="M304" s="1615">
        <v>2</v>
      </c>
      <c r="N304" s="1622">
        <f>'11.500'!O305</f>
        <v>0</v>
      </c>
      <c r="O304" s="1604">
        <f>M304*S304*W304</f>
        <v>0</v>
      </c>
      <c r="P304" s="905" t="b">
        <v>0</v>
      </c>
      <c r="Q304" s="905" t="b">
        <v>1</v>
      </c>
      <c r="R304" s="905" t="b">
        <v>0</v>
      </c>
      <c r="S304" s="905" t="b">
        <v>1</v>
      </c>
      <c r="T304" s="905" t="b">
        <v>0</v>
      </c>
      <c r="W304" s="119"/>
      <c r="X304" s="1599"/>
      <c r="Y304" s="1877" t="str">
        <f>IF(LEN('11.500'!X341)=0,"None",'11.500'!X341)</f>
        <v>None</v>
      </c>
      <c r="Z304" s="1599"/>
      <c r="AC304" s="1150" t="b">
        <f>OR(AD304:AE304)</f>
        <v>0</v>
      </c>
      <c r="AD304" s="1150" t="b">
        <f>T304</f>
        <v>0</v>
      </c>
      <c r="AL304" s="1352" t="str">
        <f>SUBSTITUTE(SUBSTITUTE(SUBSTITUTE("vpa"&amp;$B304&amp;$C304&amp;$D304&amp;$E304&amp;$F304,".","_"),"(","_"),")","")</f>
        <v>vpa505_11</v>
      </c>
      <c r="AM304" s="1352">
        <f>M304</f>
        <v>2</v>
      </c>
      <c r="AN304" s="1352" t="str">
        <f>SUBSTITUTE(SUBSTITUTE(SUBSTITUTE("vpc"&amp;$B304&amp;$C304&amp;$D304&amp;$E304&amp;$F304,".","_"),"(","_"),")","")</f>
        <v>vpc505_11</v>
      </c>
      <c r="AO304" s="1352">
        <f>O304</f>
        <v>0</v>
      </c>
      <c r="AP304" s="1352" t="str">
        <f>SUBSTITUTE(SUBSTITUTE(SUBSTITUTE("vch"&amp;$B304&amp;$C304&amp;$D304&amp;$E304&amp;$F304,".","_"),"(","_"),")","")</f>
        <v>vch505_11</v>
      </c>
      <c r="AQ304" s="1352" t="str">
        <f>IF(LEN(W304)=0,"",W304)</f>
        <v/>
      </c>
      <c r="AR304" s="1352" t="str">
        <f>SUBSTITUTE(SUBSTITUTE(SUBSTITUTE("vnt"&amp;$B304&amp;$C304&amp;$D304&amp;$E304&amp;$F304,".","_"),"(","_"),")","")</f>
        <v>vnt505_11</v>
      </c>
      <c r="AS304" s="1352" t="str">
        <f>IF(LEN(X304)=0,"",X304)</f>
        <v/>
      </c>
    </row>
    <row r="305" spans="1:62" s="905" customFormat="1" ht="16" hidden="1" thickTop="1" x14ac:dyDescent="0.2">
      <c r="A305" s="1515">
        <v>5</v>
      </c>
      <c r="B305" s="1511" t="s">
        <v>3956</v>
      </c>
      <c r="C305" s="1523"/>
      <c r="D305" s="1523"/>
      <c r="E305" s="1523"/>
      <c r="F305" s="1523"/>
      <c r="G305" s="1509" t="str">
        <f t="shared" si="14"/>
        <v/>
      </c>
      <c r="H305" s="1512" t="s">
        <v>3199</v>
      </c>
      <c r="I305" s="69"/>
      <c r="J305" s="69"/>
      <c r="K305" s="69"/>
      <c r="L305" s="1611"/>
      <c r="M305" s="1615"/>
      <c r="N305" s="1604"/>
      <c r="O305" s="1604"/>
      <c r="X305" s="1600"/>
      <c r="Y305" s="1874"/>
      <c r="Z305" s="1600"/>
    </row>
    <row r="306" spans="1:62" s="905" customFormat="1" ht="16" hidden="1" thickTop="1" x14ac:dyDescent="0.2">
      <c r="A306" s="1515">
        <v>5</v>
      </c>
      <c r="B306" s="1511" t="s">
        <v>3956</v>
      </c>
      <c r="C306" s="1523"/>
      <c r="D306" s="1523"/>
      <c r="E306" s="1523"/>
      <c r="F306" s="1523"/>
      <c r="G306" s="1509" t="str">
        <f t="shared" si="14"/>
        <v/>
      </c>
      <c r="H306" s="1512" t="s">
        <v>3199</v>
      </c>
      <c r="I306" s="69"/>
      <c r="J306" s="69"/>
      <c r="K306" s="69"/>
      <c r="L306" s="1611"/>
      <c r="M306" s="1615"/>
      <c r="N306" s="1604"/>
      <c r="O306" s="1604"/>
      <c r="X306" s="1600"/>
      <c r="Y306" s="1874"/>
      <c r="Z306" s="1600"/>
    </row>
    <row r="307" spans="1:62" ht="21" thickTop="1" thickBot="1" x14ac:dyDescent="0.3">
      <c r="A307" s="1507">
        <v>6</v>
      </c>
      <c r="B307" s="1524" t="s">
        <v>3440</v>
      </c>
      <c r="C307" s="1510"/>
      <c r="D307" s="1510"/>
      <c r="E307" s="1510"/>
      <c r="F307" s="1510"/>
      <c r="G307" s="1509" t="s">
        <v>3200</v>
      </c>
      <c r="H307" s="1510" t="s">
        <v>3197</v>
      </c>
      <c r="I307" s="24" t="s">
        <v>3519</v>
      </c>
      <c r="J307" s="24"/>
      <c r="K307" s="24"/>
      <c r="L307" s="25"/>
      <c r="M307" s="26"/>
      <c r="N307" s="26"/>
      <c r="O307" s="26"/>
      <c r="P307" s="248" t="s">
        <v>246</v>
      </c>
      <c r="Q307" s="248" t="s">
        <v>246</v>
      </c>
      <c r="R307" s="248" t="s">
        <v>246</v>
      </c>
      <c r="S307" s="248" t="s">
        <v>246</v>
      </c>
      <c r="T307" s="248" t="s">
        <v>246</v>
      </c>
      <c r="U307" s="248" t="s">
        <v>246</v>
      </c>
      <c r="V307" s="248" t="s">
        <v>246</v>
      </c>
      <c r="W307" s="25"/>
      <c r="X307" s="25"/>
      <c r="Y307" s="25"/>
      <c r="Z307" s="714"/>
    </row>
    <row r="308" spans="1:62" ht="16" hidden="1" thickBot="1" x14ac:dyDescent="0.25">
      <c r="A308" s="1507">
        <v>6</v>
      </c>
      <c r="B308" s="1524" t="s">
        <v>442</v>
      </c>
      <c r="C308" s="1511"/>
      <c r="D308" s="1511"/>
      <c r="E308" s="1511"/>
      <c r="F308" s="1511"/>
      <c r="G308" s="1512"/>
      <c r="H308" s="1512"/>
      <c r="I308" s="80" t="s">
        <v>3520</v>
      </c>
      <c r="J308" s="29"/>
      <c r="K308" s="89"/>
      <c r="L308" s="1631" t="s">
        <v>3636</v>
      </c>
      <c r="M308" s="911"/>
      <c r="N308" s="250"/>
      <c r="O308" s="930"/>
      <c r="P308" s="905"/>
      <c r="Q308" s="905"/>
      <c r="R308" s="905"/>
      <c r="S308" s="905"/>
      <c r="T308" s="905"/>
      <c r="U308" s="905"/>
      <c r="V308" s="905"/>
      <c r="W308" s="248"/>
      <c r="X308" s="248"/>
      <c r="Z308" s="670"/>
    </row>
    <row r="309" spans="1:62" ht="16" hidden="1" thickBot="1" x14ac:dyDescent="0.25">
      <c r="A309" s="1507">
        <v>6</v>
      </c>
      <c r="B309" s="1524" t="s">
        <v>442</v>
      </c>
      <c r="C309" s="1511"/>
      <c r="D309" s="1511"/>
      <c r="E309" s="1511"/>
      <c r="F309" s="1511"/>
      <c r="G309" s="1510"/>
      <c r="H309" s="1510"/>
      <c r="I309" s="67"/>
      <c r="J309" s="4"/>
      <c r="K309" s="85"/>
      <c r="L309" s="1631"/>
      <c r="M309" s="911"/>
      <c r="N309" s="250"/>
      <c r="O309" s="930"/>
      <c r="P309" s="905"/>
      <c r="Q309" s="905"/>
      <c r="R309" s="905"/>
      <c r="S309" s="905"/>
      <c r="T309" s="905"/>
      <c r="U309" s="905"/>
      <c r="V309" s="905"/>
      <c r="W309" s="248"/>
      <c r="X309" s="248"/>
      <c r="Z309" s="670"/>
      <c r="AX309" s="247" t="str">
        <f>'Overview (Verification)'!A10</f>
        <v>Builder Name:</v>
      </c>
      <c r="AY309" s="272" t="str">
        <f>IF(LEN('Overview (Verification)'!P10)=0,0,'Overview (Verification)'!P10)</f>
        <v>TWG Development</v>
      </c>
    </row>
    <row r="310" spans="1:62" s="794" customFormat="1" ht="16" hidden="1" thickBot="1" x14ac:dyDescent="0.25">
      <c r="A310" s="1507">
        <v>6</v>
      </c>
      <c r="B310" s="1524" t="s">
        <v>442</v>
      </c>
      <c r="C310" s="1511"/>
      <c r="D310" s="1511"/>
      <c r="E310" s="1511"/>
      <c r="F310" s="1511"/>
      <c r="G310" s="1510"/>
      <c r="H310" s="1510"/>
      <c r="I310" s="67"/>
      <c r="J310" s="4"/>
      <c r="K310" s="85"/>
      <c r="L310" s="1631"/>
      <c r="M310" s="911"/>
      <c r="N310" s="802"/>
      <c r="O310" s="930"/>
      <c r="P310" s="905"/>
      <c r="Q310" s="905"/>
      <c r="R310" s="905"/>
      <c r="S310" s="905"/>
      <c r="T310" s="905"/>
      <c r="U310" s="905"/>
      <c r="V310" s="905"/>
      <c r="Z310" s="670"/>
      <c r="AX310" s="247" t="str">
        <f>'Overview (Verification)'!A11</f>
        <v>Physical Address of Home:</v>
      </c>
      <c r="AY310" s="272" t="str">
        <f>IF(LEN('Overview (Verification)'!P11)=0,0,'Overview (Verification)'!P11)</f>
        <v>330 Brownlee Road SW</v>
      </c>
    </row>
    <row r="311" spans="1:62" ht="16" hidden="1" thickBot="1" x14ac:dyDescent="0.25">
      <c r="A311" s="1507">
        <v>6</v>
      </c>
      <c r="B311" s="1524" t="s">
        <v>442</v>
      </c>
      <c r="C311" s="1511"/>
      <c r="D311" s="1511"/>
      <c r="E311" s="1511"/>
      <c r="F311" s="1511"/>
      <c r="G311" s="1510"/>
      <c r="H311" s="1510"/>
      <c r="I311" s="67"/>
      <c r="J311" s="4"/>
      <c r="K311" s="85"/>
      <c r="L311" s="1631"/>
      <c r="M311" s="911"/>
      <c r="N311" s="250"/>
      <c r="O311" s="930"/>
      <c r="P311" s="905"/>
      <c r="Q311" s="905"/>
      <c r="R311" s="905"/>
      <c r="S311" s="905"/>
      <c r="T311" s="905"/>
      <c r="U311" s="905"/>
      <c r="V311" s="905"/>
      <c r="W311" s="248"/>
      <c r="X311" s="248"/>
      <c r="Y311" s="100"/>
      <c r="Z311" s="716"/>
      <c r="AX311" s="247" t="str">
        <f>'Overview (Verification)'!A12</f>
        <v>Community/Lot #:</v>
      </c>
      <c r="AY311" s="272">
        <f>IF(LEN('Overview (Verification)'!P12)=0,0,'Overview (Verification)'!P12)</f>
        <v>0</v>
      </c>
    </row>
    <row r="312" spans="1:62" ht="16" thickTop="1" x14ac:dyDescent="0.2">
      <c r="A312" s="1507">
        <v>6</v>
      </c>
      <c r="B312" s="1524">
        <v>601.1</v>
      </c>
      <c r="C312" s="1511"/>
      <c r="D312" s="1511"/>
      <c r="E312" s="1511"/>
      <c r="F312" s="1511"/>
      <c r="G312" s="1509" t="str">
        <f>IF(N312&gt;0,"P","")</f>
        <v>P</v>
      </c>
      <c r="H312" s="1510" t="s">
        <v>3198</v>
      </c>
      <c r="I312" s="177" t="s">
        <v>3521</v>
      </c>
      <c r="J312" s="178"/>
      <c r="K312" s="179"/>
      <c r="L312" s="1683" t="s">
        <v>3980</v>
      </c>
      <c r="M312" s="945"/>
      <c r="N312" s="1770">
        <f>'11.600'!O14</f>
        <v>9</v>
      </c>
      <c r="O312" s="1682">
        <f>IFERROR(INDEX({14,12,9,6,3,0},MATCH(AY321,{1,701,1001,1501,2001,2501,100000},1)),0)</f>
        <v>9</v>
      </c>
      <c r="P312" s="106"/>
      <c r="Q312" s="106"/>
      <c r="R312" s="106"/>
      <c r="S312" s="106"/>
      <c r="T312" s="106"/>
      <c r="U312" s="106"/>
      <c r="V312" s="106"/>
      <c r="W312" s="106"/>
      <c r="X312" s="1603"/>
      <c r="Y312" s="1877" t="str">
        <f>IF(LEN('11.600'!X14)=0,"None",'11.600'!X14)</f>
        <v>None</v>
      </c>
      <c r="Z312" s="1880"/>
      <c r="AA312" s="707" t="e">
        <f>'Photo Review'!#REF!</f>
        <v>#REF!</v>
      </c>
      <c r="AC312" s="248"/>
      <c r="AD312" s="248"/>
      <c r="AE312" s="248"/>
      <c r="AF312" s="248"/>
      <c r="AG312" s="248"/>
      <c r="AH312" s="248"/>
      <c r="AI312" s="248"/>
      <c r="AJ312" s="248"/>
      <c r="AK312" s="248"/>
      <c r="AL312" s="1352"/>
      <c r="AM312" s="1352"/>
      <c r="AN312" s="1352" t="str">
        <f>SUBSTITUTE(SUBSTITUTE(SUBSTITUTE("vpc"&amp;$B312&amp;$C312&amp;$D312&amp;$E312&amp;$F312,".","_"),"(","_"),")","")</f>
        <v>vpc601_1</v>
      </c>
      <c r="AO312" s="1352">
        <f>O312</f>
        <v>9</v>
      </c>
      <c r="AP312" s="1352"/>
      <c r="AQ312" s="1352"/>
      <c r="AR312" s="1352" t="str">
        <f>SUBSTITUTE(SUBSTITUTE(SUBSTITUTE("vnt"&amp;$B312&amp;$C312&amp;$D312&amp;$E312&amp;$F312,".","_"),"(","_"),")","")</f>
        <v>vnt601_1</v>
      </c>
      <c r="AS312" s="1352" t="str">
        <f>IF(LEN(X312)=0,"",X312)</f>
        <v/>
      </c>
      <c r="AX312" s="247" t="str">
        <f>'Overview (Verification)'!A13</f>
        <v>City:</v>
      </c>
      <c r="AY312" s="272" t="str">
        <f>IF(LEN('Overview (Verification)'!P13)=0,0,'Overview (Verification)'!P13)</f>
        <v>Atlanta</v>
      </c>
    </row>
    <row r="313" spans="1:62" x14ac:dyDescent="0.2">
      <c r="A313" s="1507">
        <v>6</v>
      </c>
      <c r="B313" s="1524">
        <v>601.1</v>
      </c>
      <c r="C313" s="1511"/>
      <c r="D313" s="1511"/>
      <c r="E313" s="1511"/>
      <c r="F313" s="1511"/>
      <c r="G313" s="1509" t="str">
        <f t="shared" ref="G313:G323" si="15">G312</f>
        <v>P</v>
      </c>
      <c r="H313" s="1510" t="s">
        <v>3198</v>
      </c>
      <c r="I313" s="130"/>
      <c r="J313" s="129"/>
      <c r="K313" s="97"/>
      <c r="L313" s="1629"/>
      <c r="M313" s="913"/>
      <c r="N313" s="1755"/>
      <c r="O313" s="1619"/>
      <c r="P313" s="991"/>
      <c r="Q313" s="991"/>
      <c r="R313" s="991"/>
      <c r="S313" s="991"/>
      <c r="T313" s="991"/>
      <c r="U313" s="991"/>
      <c r="V313" s="991"/>
      <c r="W313" s="96"/>
      <c r="X313" s="1601"/>
      <c r="Y313" s="1881"/>
      <c r="Z313" s="1891"/>
      <c r="AC313" s="248"/>
      <c r="AD313" s="248"/>
      <c r="AE313" s="248"/>
      <c r="AF313" s="248"/>
      <c r="AG313" s="248"/>
      <c r="AH313" s="248"/>
      <c r="AI313" s="248"/>
      <c r="AJ313" s="248"/>
      <c r="AK313" s="248"/>
      <c r="AL313" s="1352"/>
      <c r="AM313" s="1352"/>
      <c r="AN313" s="1352"/>
      <c r="AO313" s="1352"/>
      <c r="AP313" s="1352"/>
      <c r="AQ313" s="1352"/>
      <c r="AR313" s="1352"/>
      <c r="AS313" s="1352"/>
      <c r="AX313" s="247" t="str">
        <f>'Overview (Verification)'!A14</f>
        <v>State:</v>
      </c>
      <c r="AY313" s="272" t="str">
        <f>IF(LEN('Overview (Verification)'!P14)=0,0,'Overview (Verification)'!P14)</f>
        <v>Georgia</v>
      </c>
    </row>
    <row r="314" spans="1:62" x14ac:dyDescent="0.2">
      <c r="A314" s="1507">
        <v>6</v>
      </c>
      <c r="B314" s="1524">
        <v>601.1</v>
      </c>
      <c r="C314" s="1511"/>
      <c r="D314" s="1511"/>
      <c r="E314" s="1511"/>
      <c r="F314" s="1511"/>
      <c r="G314" s="1509" t="str">
        <f t="shared" si="15"/>
        <v>P</v>
      </c>
      <c r="H314" s="1510" t="s">
        <v>3198</v>
      </c>
      <c r="I314" s="130"/>
      <c r="J314" s="129"/>
      <c r="K314" s="97"/>
      <c r="L314" s="1629"/>
      <c r="M314" s="913"/>
      <c r="N314" s="1755"/>
      <c r="O314" s="1619"/>
      <c r="P314" s="991"/>
      <c r="Q314" s="991"/>
      <c r="R314" s="991"/>
      <c r="S314" s="991"/>
      <c r="T314" s="991"/>
      <c r="U314" s="991"/>
      <c r="V314" s="991"/>
      <c r="W314" s="96"/>
      <c r="X314" s="1601"/>
      <c r="Y314" s="1881"/>
      <c r="Z314" s="1891"/>
      <c r="AC314" s="248"/>
      <c r="AD314" s="248"/>
      <c r="AE314" s="248"/>
      <c r="AF314" s="248"/>
      <c r="AG314" s="248"/>
      <c r="AH314" s="248"/>
      <c r="AI314" s="248"/>
      <c r="AJ314" s="248"/>
      <c r="AK314" s="248"/>
      <c r="AL314" s="1352"/>
      <c r="AM314" s="1352"/>
      <c r="AN314" s="1352"/>
      <c r="AO314" s="1352"/>
      <c r="AP314" s="1352"/>
      <c r="AQ314" s="1352"/>
      <c r="AR314" s="1352"/>
      <c r="AS314" s="1352"/>
      <c r="AX314" s="247" t="str">
        <f>'Overview (Verification)'!A15</f>
        <v>County:</v>
      </c>
      <c r="AY314" s="272" t="str">
        <f>IF(LEN('Overview (Verification)'!P15)=0,0,'Overview (Verification)'!P15)</f>
        <v xml:space="preserve">Fulton  </v>
      </c>
      <c r="BC314" s="248" t="str">
        <f>'Overview (Verification)'!T14</f>
        <v>State</v>
      </c>
      <c r="BD314" s="248" t="str">
        <f>'Overview (Verification)'!U14</f>
        <v>County</v>
      </c>
      <c r="BE314" s="248" t="str">
        <f>'Overview (Verification)'!V14</f>
        <v>Radon</v>
      </c>
      <c r="BF314" s="248" t="str">
        <f>'Overview (Verification)'!W14</f>
        <v>Climate</v>
      </c>
      <c r="BG314" s="248" t="str">
        <f>'Overview (Verification)'!X14</f>
        <v>Moist</v>
      </c>
      <c r="BH314" s="248" t="str">
        <f>'Overview (Verification)'!Y14</f>
        <v>WarmHumid</v>
      </c>
    </row>
    <row r="315" spans="1:62" x14ac:dyDescent="0.2">
      <c r="A315" s="1507">
        <v>6</v>
      </c>
      <c r="B315" s="1524">
        <v>601.1</v>
      </c>
      <c r="C315" s="1511"/>
      <c r="D315" s="1511"/>
      <c r="E315" s="1511"/>
      <c r="F315" s="1511"/>
      <c r="G315" s="1509" t="str">
        <f t="shared" si="15"/>
        <v>P</v>
      </c>
      <c r="H315" s="1510" t="s">
        <v>3198</v>
      </c>
      <c r="I315" s="130"/>
      <c r="J315" s="129"/>
      <c r="K315" s="97"/>
      <c r="L315" s="1629"/>
      <c r="M315" s="913"/>
      <c r="N315" s="1755"/>
      <c r="O315" s="1619"/>
      <c r="P315" s="991"/>
      <c r="Q315" s="991"/>
      <c r="R315" s="991"/>
      <c r="S315" s="991"/>
      <c r="T315" s="991"/>
      <c r="U315" s="991"/>
      <c r="V315" s="991"/>
      <c r="W315" s="96"/>
      <c r="X315" s="1601"/>
      <c r="Y315" s="1881"/>
      <c r="Z315" s="1891"/>
      <c r="AC315" s="248"/>
      <c r="AD315" s="617"/>
      <c r="AE315" s="248"/>
      <c r="AF315" s="720"/>
      <c r="AG315" s="248"/>
      <c r="AH315" s="248"/>
      <c r="AI315" s="248"/>
      <c r="AJ315" s="248"/>
      <c r="AK315" s="248"/>
      <c r="AL315" s="1352"/>
      <c r="AM315" s="1352"/>
      <c r="AN315" s="1352"/>
      <c r="AO315" s="1352"/>
      <c r="AP315" s="1352"/>
      <c r="AQ315" s="1352"/>
      <c r="AR315" s="1352"/>
      <c r="AS315" s="1352"/>
      <c r="AX315" s="247" t="str">
        <f>'Overview (Verification)'!A16</f>
        <v>Zip:</v>
      </c>
      <c r="AY315" s="272" t="str">
        <f>IF(LEN('Overview (Verification)'!P16)=0,0,'Overview (Verification)'!P16)</f>
        <v>30311</v>
      </c>
      <c r="AZ315" s="248"/>
      <c r="BA315" s="248"/>
      <c r="BB315" s="248"/>
      <c r="BC315" s="248" t="str">
        <f>'Overview (Verification)'!T15</f>
        <v>Georgia</v>
      </c>
      <c r="BD315" s="248" t="str">
        <f>'Overview (Verification)'!U15</f>
        <v xml:space="preserve">Fulton  </v>
      </c>
      <c r="BE315" s="248">
        <f>'Overview (Verification)'!V15</f>
        <v>1</v>
      </c>
      <c r="BF315" s="248">
        <f>'Overview (Verification)'!W15</f>
        <v>3</v>
      </c>
      <c r="BG315" s="248" t="str">
        <f>'Overview (Verification)'!X15</f>
        <v>Moist</v>
      </c>
      <c r="BH315" s="248" t="str">
        <f>'Overview (Verification)'!Y15</f>
        <v xml:space="preserve"> </v>
      </c>
      <c r="BI315" s="248"/>
      <c r="BJ315" s="248"/>
    </row>
    <row r="316" spans="1:62" ht="16" x14ac:dyDescent="0.2">
      <c r="A316" s="1507">
        <v>6</v>
      </c>
      <c r="B316" s="1524">
        <v>601.1</v>
      </c>
      <c r="C316" s="1511" t="s">
        <v>254</v>
      </c>
      <c r="D316" s="1511"/>
      <c r="E316" s="1511"/>
      <c r="F316" s="1514"/>
      <c r="G316" s="1509" t="str">
        <f t="shared" si="15"/>
        <v>P</v>
      </c>
      <c r="H316" s="1510" t="s">
        <v>3198</v>
      </c>
      <c r="I316" s="130"/>
      <c r="J316" s="207" t="s">
        <v>254</v>
      </c>
      <c r="K316" s="170"/>
      <c r="L316" s="208" t="s">
        <v>443</v>
      </c>
      <c r="M316" s="937">
        <v>14</v>
      </c>
      <c r="N316" s="251"/>
      <c r="O316" s="908"/>
      <c r="P316" s="991"/>
      <c r="Q316" s="991"/>
      <c r="R316" s="991"/>
      <c r="S316" s="991"/>
      <c r="T316" s="991"/>
      <c r="U316" s="991"/>
      <c r="V316" s="991"/>
      <c r="W316" s="96"/>
      <c r="X316" s="1601"/>
      <c r="Y316" s="1881"/>
      <c r="Z316" s="1891"/>
      <c r="AC316" s="248"/>
      <c r="AD316" s="248"/>
      <c r="AE316" s="248"/>
      <c r="AF316" s="248"/>
      <c r="AG316" s="248"/>
      <c r="AH316" s="248"/>
      <c r="AI316" s="248"/>
      <c r="AJ316" s="248"/>
      <c r="AK316" s="248"/>
      <c r="AL316" s="1352" t="str">
        <f t="shared" ref="AL316:AL321" si="16">SUBSTITUTE(SUBSTITUTE(SUBSTITUTE("vpa"&amp;$B316&amp;$C316&amp;$D316&amp;$E316&amp;$F316,".","_"),"(","_"),")","")</f>
        <v>vpa601_1_1</v>
      </c>
      <c r="AM316" s="1352">
        <f t="shared" ref="AM316:AM321" si="17">M316</f>
        <v>14</v>
      </c>
      <c r="AN316" s="1352"/>
      <c r="AO316" s="1352"/>
      <c r="AP316" s="1352"/>
      <c r="AQ316" s="1352"/>
      <c r="AR316" s="1352"/>
      <c r="AS316" s="1352"/>
      <c r="AX316" s="247"/>
      <c r="AY316" s="248"/>
      <c r="AZ316" s="248"/>
      <c r="BA316" s="248"/>
      <c r="BB316" s="248"/>
      <c r="BC316" s="248"/>
      <c r="BD316" s="248"/>
      <c r="BE316" s="248"/>
      <c r="BF316" s="248"/>
      <c r="BG316" s="248"/>
      <c r="BH316" s="248"/>
      <c r="BI316" s="248"/>
      <c r="BJ316" s="248"/>
    </row>
    <row r="317" spans="1:62" ht="16" x14ac:dyDescent="0.2">
      <c r="A317" s="1507">
        <v>6</v>
      </c>
      <c r="B317" s="1524">
        <v>601.1</v>
      </c>
      <c r="C317" s="1511" t="s">
        <v>255</v>
      </c>
      <c r="D317" s="1511"/>
      <c r="E317" s="1511"/>
      <c r="F317" s="1514"/>
      <c r="G317" s="1509" t="str">
        <f t="shared" si="15"/>
        <v>P</v>
      </c>
      <c r="H317" s="1510" t="s">
        <v>3198</v>
      </c>
      <c r="I317" s="130"/>
      <c r="J317" s="209" t="s">
        <v>255</v>
      </c>
      <c r="K317" s="210"/>
      <c r="L317" s="211" t="s">
        <v>444</v>
      </c>
      <c r="M317" s="379">
        <v>12</v>
      </c>
      <c r="N317" s="251"/>
      <c r="O317" s="908"/>
      <c r="P317" s="991"/>
      <c r="Q317" s="991"/>
      <c r="R317" s="991"/>
      <c r="S317" s="991"/>
      <c r="T317" s="991"/>
      <c r="U317" s="991"/>
      <c r="V317" s="991"/>
      <c r="W317" s="96"/>
      <c r="X317" s="1601"/>
      <c r="Y317" s="1881"/>
      <c r="Z317" s="1891"/>
      <c r="AC317" s="248"/>
      <c r="AD317" s="248"/>
      <c r="AE317" s="248"/>
      <c r="AF317" s="248"/>
      <c r="AG317" s="248"/>
      <c r="AH317" s="248"/>
      <c r="AI317" s="248"/>
      <c r="AJ317" s="248"/>
      <c r="AK317" s="248"/>
      <c r="AL317" s="1352" t="str">
        <f t="shared" si="16"/>
        <v>vpa601_1_2</v>
      </c>
      <c r="AM317" s="1352">
        <f t="shared" si="17"/>
        <v>12</v>
      </c>
      <c r="AN317" s="1352"/>
      <c r="AO317" s="1352"/>
      <c r="AP317" s="1352"/>
      <c r="AQ317" s="1352"/>
      <c r="AR317" s="1352"/>
      <c r="AS317" s="1352"/>
      <c r="AX317" s="247" t="str">
        <f>'Overview (Verification)'!A18</f>
        <v>Single-Family or Multifamily:</v>
      </c>
      <c r="AY317" s="272" t="str">
        <f>IF(LEN('Overview (Verification)'!P18)=0,0,'Overview (Verification)'!P18)</f>
        <v>Multifamily</v>
      </c>
    </row>
    <row r="318" spans="1:62" ht="16" x14ac:dyDescent="0.2">
      <c r="A318" s="1507">
        <v>6</v>
      </c>
      <c r="B318" s="1524">
        <v>601.1</v>
      </c>
      <c r="C318" s="1511" t="s">
        <v>256</v>
      </c>
      <c r="D318" s="1511"/>
      <c r="E318" s="1511"/>
      <c r="F318" s="1514"/>
      <c r="G318" s="1509" t="str">
        <f t="shared" si="15"/>
        <v>P</v>
      </c>
      <c r="H318" s="1510" t="s">
        <v>3198</v>
      </c>
      <c r="I318" s="130"/>
      <c r="J318" s="209" t="s">
        <v>256</v>
      </c>
      <c r="K318" s="210"/>
      <c r="L318" s="211" t="s">
        <v>445</v>
      </c>
      <c r="M318" s="379">
        <v>9</v>
      </c>
      <c r="N318" s="251"/>
      <c r="O318" s="908"/>
      <c r="P318" s="991"/>
      <c r="Q318" s="991"/>
      <c r="R318" s="991"/>
      <c r="S318" s="991"/>
      <c r="T318" s="991"/>
      <c r="U318" s="991"/>
      <c r="V318" s="991"/>
      <c r="W318" s="96"/>
      <c r="X318" s="1601"/>
      <c r="Y318" s="1881"/>
      <c r="Z318" s="1891"/>
      <c r="AC318" s="248"/>
      <c r="AD318" s="248"/>
      <c r="AE318" s="248"/>
      <c r="AF318" s="248"/>
      <c r="AG318" s="248"/>
      <c r="AH318" s="248"/>
      <c r="AI318" s="248"/>
      <c r="AJ318" s="248"/>
      <c r="AK318" s="248"/>
      <c r="AL318" s="1352" t="str">
        <f t="shared" si="16"/>
        <v>vpa601_1_3</v>
      </c>
      <c r="AM318" s="1352">
        <f t="shared" si="17"/>
        <v>9</v>
      </c>
      <c r="AN318" s="1352"/>
      <c r="AO318" s="1352"/>
      <c r="AP318" s="1352"/>
      <c r="AQ318" s="1352"/>
      <c r="AR318" s="1352"/>
      <c r="AS318" s="1352"/>
      <c r="AX318" s="247" t="str">
        <f>'Overview (Verification)'!A19</f>
        <v>Number of Units:</v>
      </c>
      <c r="AY318" s="272">
        <f>IF(LEN('Overview (Verification)'!P19)=0,0,'Overview (Verification)'!P19)</f>
        <v>48</v>
      </c>
    </row>
    <row r="319" spans="1:62" ht="16" x14ac:dyDescent="0.2">
      <c r="A319" s="1507">
        <v>6</v>
      </c>
      <c r="B319" s="1524">
        <v>601.1</v>
      </c>
      <c r="C319" s="1511" t="s">
        <v>259</v>
      </c>
      <c r="D319" s="1511"/>
      <c r="E319" s="1511"/>
      <c r="F319" s="1514"/>
      <c r="G319" s="1509" t="str">
        <f t="shared" si="15"/>
        <v>P</v>
      </c>
      <c r="H319" s="1510" t="s">
        <v>3198</v>
      </c>
      <c r="I319" s="130"/>
      <c r="J319" s="209" t="s">
        <v>259</v>
      </c>
      <c r="K319" s="210"/>
      <c r="L319" s="211" t="s">
        <v>446</v>
      </c>
      <c r="M319" s="379">
        <v>6</v>
      </c>
      <c r="N319" s="251"/>
      <c r="O319" s="908"/>
      <c r="P319" s="991"/>
      <c r="Q319" s="991"/>
      <c r="R319" s="991"/>
      <c r="S319" s="991"/>
      <c r="T319" s="991"/>
      <c r="U319" s="991"/>
      <c r="V319" s="991"/>
      <c r="W319" s="96"/>
      <c r="X319" s="1601"/>
      <c r="Y319" s="1881"/>
      <c r="Z319" s="1891"/>
      <c r="AC319" s="248"/>
      <c r="AD319" s="248"/>
      <c r="AE319" s="248"/>
      <c r="AF319" s="248"/>
      <c r="AG319" s="248"/>
      <c r="AH319" s="248"/>
      <c r="AI319" s="248"/>
      <c r="AJ319" s="248"/>
      <c r="AK319" s="248"/>
      <c r="AL319" s="1352" t="str">
        <f t="shared" si="16"/>
        <v>vpa601_1_4</v>
      </c>
      <c r="AM319" s="1352">
        <f t="shared" si="17"/>
        <v>6</v>
      </c>
      <c r="AN319" s="1352"/>
      <c r="AO319" s="1352"/>
      <c r="AP319" s="1352"/>
      <c r="AQ319" s="1352"/>
      <c r="AR319" s="1352"/>
      <c r="AS319" s="1352"/>
      <c r="AX319" s="247" t="str">
        <f>'Overview (Verification)'!A23</f>
        <v>Project Name:</v>
      </c>
      <c r="AY319" s="272" t="str">
        <f>IF(LEN('Overview (Verification)'!P23)=0,0,'Overview (Verification)'!P23)</f>
        <v>Towne West Manor</v>
      </c>
    </row>
    <row r="320" spans="1:62" ht="16" x14ac:dyDescent="0.2">
      <c r="A320" s="1507">
        <v>6</v>
      </c>
      <c r="B320" s="1524">
        <v>601.1</v>
      </c>
      <c r="C320" s="1511" t="s">
        <v>263</v>
      </c>
      <c r="D320" s="1511"/>
      <c r="E320" s="1511"/>
      <c r="F320" s="1514"/>
      <c r="G320" s="1509" t="str">
        <f t="shared" si="15"/>
        <v>P</v>
      </c>
      <c r="H320" s="1510" t="s">
        <v>3198</v>
      </c>
      <c r="I320" s="130"/>
      <c r="J320" s="209" t="s">
        <v>263</v>
      </c>
      <c r="K320" s="210"/>
      <c r="L320" s="211" t="s">
        <v>447</v>
      </c>
      <c r="M320" s="379">
        <v>3</v>
      </c>
      <c r="N320" s="251"/>
      <c r="O320" s="908"/>
      <c r="P320" s="991"/>
      <c r="Q320" s="991"/>
      <c r="R320" s="991"/>
      <c r="S320" s="991"/>
      <c r="T320" s="991"/>
      <c r="U320" s="991"/>
      <c r="V320" s="991"/>
      <c r="W320" s="96"/>
      <c r="X320" s="1601"/>
      <c r="Y320" s="1881"/>
      <c r="Z320" s="1891"/>
      <c r="AC320" s="248"/>
      <c r="AD320" s="248"/>
      <c r="AE320" s="248"/>
      <c r="AF320" s="248"/>
      <c r="AG320" s="248"/>
      <c r="AH320" s="248"/>
      <c r="AI320" s="248"/>
      <c r="AJ320" s="248"/>
      <c r="AK320" s="248"/>
      <c r="AL320" s="1352" t="str">
        <f t="shared" si="16"/>
        <v>vpa601_1_5</v>
      </c>
      <c r="AM320" s="1352">
        <f t="shared" si="17"/>
        <v>3</v>
      </c>
      <c r="AN320" s="1352"/>
      <c r="AO320" s="1352"/>
      <c r="AP320" s="1352"/>
      <c r="AQ320" s="1352"/>
      <c r="AR320" s="1352"/>
      <c r="AS320" s="1352"/>
    </row>
    <row r="321" spans="1:52" ht="16" x14ac:dyDescent="0.2">
      <c r="A321" s="1507">
        <v>6</v>
      </c>
      <c r="B321" s="1524">
        <v>601.1</v>
      </c>
      <c r="C321" s="1511" t="s">
        <v>264</v>
      </c>
      <c r="D321" s="1511"/>
      <c r="E321" s="1511"/>
      <c r="F321" s="1514"/>
      <c r="G321" s="1509" t="str">
        <f t="shared" si="15"/>
        <v>P</v>
      </c>
      <c r="H321" s="1510" t="s">
        <v>3198</v>
      </c>
      <c r="I321" s="130"/>
      <c r="J321" s="180" t="s">
        <v>264</v>
      </c>
      <c r="K321" s="97"/>
      <c r="L321" s="181" t="s">
        <v>448</v>
      </c>
      <c r="M321" s="948" t="str">
        <f>IF(AY321&gt;4000,"Mandatory","N/A")</f>
        <v>N/A</v>
      </c>
      <c r="N321" s="251"/>
      <c r="O321" s="908"/>
      <c r="P321" s="991"/>
      <c r="Q321" s="991"/>
      <c r="R321" s="991"/>
      <c r="S321" s="991"/>
      <c r="T321" s="991"/>
      <c r="U321" s="991"/>
      <c r="V321" s="991"/>
      <c r="W321" s="96"/>
      <c r="X321" s="1601"/>
      <c r="Y321" s="1881"/>
      <c r="Z321" s="1891"/>
      <c r="AC321" s="248"/>
      <c r="AD321" s="248"/>
      <c r="AE321" s="248"/>
      <c r="AF321" s="248"/>
      <c r="AG321" s="248"/>
      <c r="AH321" s="248"/>
      <c r="AI321" s="248"/>
      <c r="AJ321" s="248"/>
      <c r="AK321" s="248"/>
      <c r="AL321" s="1352" t="str">
        <f t="shared" si="16"/>
        <v>vpa601_1_6</v>
      </c>
      <c r="AM321" s="1352" t="str">
        <f t="shared" si="17"/>
        <v>N/A</v>
      </c>
      <c r="AN321" s="1352"/>
      <c r="AO321" s="1352"/>
      <c r="AP321" s="1352"/>
      <c r="AQ321" s="1352"/>
      <c r="AR321" s="1352"/>
      <c r="AS321" s="1352"/>
      <c r="AX321" s="247" t="str">
        <f>'Overview (Verification)'!A25</f>
        <v>Above grade plane finished floor area:</v>
      </c>
      <c r="AY321" s="272">
        <f>IF(LEN('Overview (Verification)'!P25)=0,0,'Overview (Verification)'!P25)</f>
        <v>1184</v>
      </c>
    </row>
    <row r="322" spans="1:52" x14ac:dyDescent="0.2">
      <c r="A322" s="1507">
        <v>6</v>
      </c>
      <c r="B322" s="1524">
        <v>601.1</v>
      </c>
      <c r="C322" s="1511" t="s">
        <v>264</v>
      </c>
      <c r="D322" s="1511"/>
      <c r="E322" s="1511"/>
      <c r="F322" s="1514"/>
      <c r="G322" s="1509" t="str">
        <f t="shared" si="15"/>
        <v>P</v>
      </c>
      <c r="H322" s="1510" t="s">
        <v>3198</v>
      </c>
      <c r="I322" s="130"/>
      <c r="J322" s="129"/>
      <c r="K322" s="97"/>
      <c r="L322" s="1629" t="s">
        <v>3796</v>
      </c>
      <c r="M322" s="182" t="s">
        <v>675</v>
      </c>
      <c r="N322" s="251"/>
      <c r="O322" s="908"/>
      <c r="P322" s="991"/>
      <c r="Q322" s="991"/>
      <c r="R322" s="991"/>
      <c r="S322" s="991"/>
      <c r="T322" s="991"/>
      <c r="U322" s="991"/>
      <c r="V322" s="991"/>
      <c r="W322" s="96"/>
      <c r="X322" s="1601"/>
      <c r="Y322" s="1881"/>
      <c r="Z322" s="1891"/>
      <c r="AC322" s="248"/>
      <c r="AD322" s="248"/>
      <c r="AE322" s="248"/>
      <c r="AF322" s="248"/>
      <c r="AG322" s="248"/>
      <c r="AH322" s="248"/>
      <c r="AI322" s="248"/>
      <c r="AJ322" s="248"/>
      <c r="AK322" s="248"/>
      <c r="AL322" s="1352"/>
      <c r="AM322" s="1352"/>
      <c r="AN322" s="1352"/>
      <c r="AO322" s="1352"/>
      <c r="AP322" s="1352"/>
      <c r="AQ322" s="1352"/>
      <c r="AR322" s="1352"/>
      <c r="AS322" s="1352"/>
      <c r="AX322" s="247" t="str">
        <f>'Overview (Verification)'!A26</f>
        <v>Total conditioned floor area:</v>
      </c>
      <c r="AY322" s="272">
        <f>IF(LEN('Overview (Verification)'!P26)=0,0,'Overview (Verification)'!P26)</f>
        <v>20128</v>
      </c>
    </row>
    <row r="323" spans="1:52" ht="16" thickBot="1" x14ac:dyDescent="0.25">
      <c r="A323" s="1507">
        <v>6</v>
      </c>
      <c r="B323" s="1524">
        <v>601.1</v>
      </c>
      <c r="C323" s="1511" t="s">
        <v>264</v>
      </c>
      <c r="D323" s="1511"/>
      <c r="E323" s="1511"/>
      <c r="F323" s="1514"/>
      <c r="G323" s="1509" t="str">
        <f t="shared" si="15"/>
        <v>P</v>
      </c>
      <c r="H323" s="1510" t="s">
        <v>3198</v>
      </c>
      <c r="I323" s="130"/>
      <c r="J323" s="129"/>
      <c r="K323" s="97"/>
      <c r="L323" s="1629"/>
      <c r="M323" s="182">
        <f>MAX(0,ROUNDDOWN((AY321-4000)/100,0))</f>
        <v>0</v>
      </c>
      <c r="N323" s="251"/>
      <c r="O323" s="908"/>
      <c r="P323" s="991"/>
      <c r="Q323" s="991"/>
      <c r="R323" s="991"/>
      <c r="S323" s="991"/>
      <c r="T323" s="991"/>
      <c r="U323" s="991"/>
      <c r="V323" s="991"/>
      <c r="W323" s="96"/>
      <c r="X323" s="1601"/>
      <c r="Y323" s="1881"/>
      <c r="Z323" s="1891"/>
      <c r="AC323" s="248"/>
      <c r="AD323" s="248"/>
      <c r="AE323" s="248"/>
      <c r="AF323" s="248"/>
      <c r="AG323" s="248"/>
      <c r="AH323" s="248"/>
      <c r="AI323" s="248"/>
      <c r="AJ323" s="248"/>
      <c r="AK323" s="248"/>
      <c r="AL323" s="1352"/>
      <c r="AM323" s="1352"/>
      <c r="AN323" s="1352"/>
      <c r="AO323" s="1352"/>
      <c r="AP323" s="1352"/>
      <c r="AQ323" s="1352"/>
      <c r="AR323" s="1352"/>
      <c r="AS323" s="1352"/>
      <c r="AX323" s="904" t="str">
        <f>'Overview (Verification)'!A27</f>
        <v>Stories above grade:</v>
      </c>
      <c r="AY323" s="905">
        <f>IF(LEN('Overview (Verification)'!P27)=0,0,'Overview (Verification)'!P27)</f>
        <v>2</v>
      </c>
    </row>
    <row r="324" spans="1:52" ht="16" hidden="1" thickBot="1" x14ac:dyDescent="0.25">
      <c r="A324" s="1507">
        <v>6</v>
      </c>
      <c r="B324" s="1524">
        <v>601.1</v>
      </c>
      <c r="C324" s="1511" t="s">
        <v>264</v>
      </c>
      <c r="D324" s="1511"/>
      <c r="E324" s="1511"/>
      <c r="F324" s="1514"/>
      <c r="G324" s="1512"/>
      <c r="H324" s="1512"/>
      <c r="I324" s="130"/>
      <c r="J324" s="129"/>
      <c r="K324" s="248"/>
      <c r="L324" s="1673" t="s">
        <v>3044</v>
      </c>
      <c r="M324" s="913"/>
      <c r="N324" s="251"/>
      <c r="O324" s="908"/>
      <c r="P324" s="991"/>
      <c r="Q324" s="991"/>
      <c r="R324" s="991"/>
      <c r="S324" s="991"/>
      <c r="T324" s="991"/>
      <c r="U324" s="991"/>
      <c r="V324" s="991"/>
      <c r="W324" s="96"/>
      <c r="X324" s="1601"/>
      <c r="Y324" s="1881"/>
      <c r="Z324" s="1891"/>
      <c r="AC324" s="248"/>
      <c r="AD324" s="248"/>
      <c r="AE324" s="248"/>
      <c r="AF324" s="248"/>
      <c r="AG324" s="248"/>
      <c r="AH324" s="248"/>
      <c r="AI324" s="248"/>
      <c r="AJ324" s="248"/>
      <c r="AK324" s="248"/>
      <c r="AL324" s="1352"/>
      <c r="AM324" s="1352"/>
      <c r="AN324" s="1352"/>
      <c r="AO324" s="1352"/>
      <c r="AP324" s="1352"/>
      <c r="AQ324" s="1352"/>
      <c r="AR324" s="1352"/>
      <c r="AS324" s="1352"/>
      <c r="AX324" s="1167"/>
      <c r="AY324" s="1168"/>
    </row>
    <row r="325" spans="1:52" ht="16" hidden="1" thickBot="1" x14ac:dyDescent="0.25">
      <c r="A325" s="1507">
        <v>6</v>
      </c>
      <c r="B325" s="1524">
        <v>601.1</v>
      </c>
      <c r="C325" s="1511" t="s">
        <v>264</v>
      </c>
      <c r="D325" s="1511"/>
      <c r="E325" s="1511"/>
      <c r="F325" s="1514"/>
      <c r="G325" s="1512"/>
      <c r="H325" s="1512"/>
      <c r="I325" s="130"/>
      <c r="J325" s="129"/>
      <c r="K325" s="264"/>
      <c r="L325" s="1673"/>
      <c r="M325" s="913"/>
      <c r="N325" s="251"/>
      <c r="O325" s="908"/>
      <c r="P325" s="991"/>
      <c r="Q325" s="991"/>
      <c r="R325" s="991"/>
      <c r="S325" s="991"/>
      <c r="T325" s="991"/>
      <c r="U325" s="991"/>
      <c r="V325" s="991"/>
      <c r="W325" s="96"/>
      <c r="X325" s="1621"/>
      <c r="Y325" s="1882"/>
      <c r="Z325" s="1892"/>
      <c r="AC325" s="248"/>
      <c r="AD325" s="248"/>
      <c r="AE325" s="248"/>
      <c r="AF325" s="248"/>
      <c r="AG325" s="248"/>
      <c r="AH325" s="248"/>
      <c r="AI325" s="248"/>
      <c r="AJ325" s="248"/>
      <c r="AK325" s="248"/>
      <c r="AL325" s="1352"/>
      <c r="AM325" s="1352"/>
      <c r="AN325" s="1352"/>
      <c r="AO325" s="1352"/>
      <c r="AP325" s="1352"/>
      <c r="AQ325" s="1352"/>
      <c r="AR325" s="1352"/>
      <c r="AS325" s="1352"/>
      <c r="AX325" s="1167" t="str">
        <f>'Overview (Verification)'!A29</f>
        <v>Year Built:</v>
      </c>
      <c r="AY325" s="1168">
        <f>IF(LEN('Overview (Verification)'!P29)=0,0,'Overview (Verification)'!P29)</f>
        <v>1969</v>
      </c>
    </row>
    <row r="326" spans="1:52" ht="17" hidden="1" thickTop="1" thickBot="1" x14ac:dyDescent="0.25">
      <c r="A326" s="1507">
        <v>6</v>
      </c>
      <c r="B326" s="1524">
        <v>601.20000000000005</v>
      </c>
      <c r="C326" s="1511"/>
      <c r="D326" s="1511"/>
      <c r="E326" s="1511"/>
      <c r="F326" s="1514"/>
      <c r="G326" s="1513" t="str">
        <f>IF(COUNTIF(G330:G336,"P")&gt;0,"P","")</f>
        <v/>
      </c>
      <c r="H326" s="1510" t="s">
        <v>3198</v>
      </c>
      <c r="I326" s="177" t="s">
        <v>3522</v>
      </c>
      <c r="J326" s="178"/>
      <c r="K326" s="179"/>
      <c r="L326" s="1683" t="s">
        <v>3842</v>
      </c>
      <c r="M326" s="945"/>
      <c r="N326" s="256"/>
      <c r="O326" s="943"/>
      <c r="P326" s="106"/>
      <c r="Q326" s="106"/>
      <c r="R326" s="106"/>
      <c r="S326" s="106"/>
      <c r="T326" s="106"/>
      <c r="U326" s="106"/>
      <c r="V326" s="106"/>
      <c r="W326" s="106"/>
      <c r="X326" s="183"/>
      <c r="Y326"/>
      <c r="Z326" s="670"/>
      <c r="AC326" s="248"/>
      <c r="AD326" s="248"/>
      <c r="AE326" s="248"/>
      <c r="AF326" s="248"/>
      <c r="AG326" s="248"/>
      <c r="AH326" s="248"/>
      <c r="AI326" s="248"/>
      <c r="AJ326" s="248"/>
      <c r="AK326" s="248"/>
      <c r="AL326" s="1352"/>
      <c r="AM326" s="1352"/>
      <c r="AN326" s="1352"/>
      <c r="AO326" s="1352"/>
      <c r="AP326" s="1352"/>
      <c r="AQ326" s="1352"/>
      <c r="AR326" s="1352"/>
      <c r="AS326" s="1352"/>
      <c r="AX326" s="1167" t="str">
        <f>'Overview (Verification)'!A30</f>
        <v>Energy Baseline Year:</v>
      </c>
      <c r="AY326" s="1168">
        <f>IF(LEN('Overview (Verification)'!P30)=0,0,'Overview (Verification)'!P30)</f>
        <v>2020</v>
      </c>
    </row>
    <row r="327" spans="1:52" ht="16" hidden="1" thickBot="1" x14ac:dyDescent="0.25">
      <c r="A327" s="1507">
        <v>6</v>
      </c>
      <c r="B327" s="1524">
        <v>601.20000000000005</v>
      </c>
      <c r="C327" s="1511"/>
      <c r="D327" s="1511"/>
      <c r="E327" s="1511"/>
      <c r="F327" s="1514"/>
      <c r="G327" s="1509" t="str">
        <f>G326</f>
        <v/>
      </c>
      <c r="H327" s="1510" t="s">
        <v>3198</v>
      </c>
      <c r="I327" s="130"/>
      <c r="J327" s="129"/>
      <c r="K327" s="97"/>
      <c r="L327" s="1629"/>
      <c r="M327" s="913"/>
      <c r="N327" s="251"/>
      <c r="O327" s="908"/>
      <c r="P327" s="991"/>
      <c r="Q327" s="991"/>
      <c r="R327" s="991"/>
      <c r="S327" s="991"/>
      <c r="T327" s="991"/>
      <c r="U327" s="991"/>
      <c r="V327" s="991"/>
      <c r="W327" s="96"/>
      <c r="X327" s="114"/>
      <c r="Y327"/>
      <c r="Z327" s="670"/>
      <c r="AC327" s="248"/>
      <c r="AD327" s="248"/>
      <c r="AE327" s="248"/>
      <c r="AF327" s="248"/>
      <c r="AG327" s="248"/>
      <c r="AH327" s="248"/>
      <c r="AI327" s="248"/>
      <c r="AJ327" s="248"/>
      <c r="AK327" s="248"/>
      <c r="AL327" s="1352"/>
      <c r="AM327" s="1352"/>
      <c r="AN327" s="1352"/>
      <c r="AO327" s="1352"/>
      <c r="AP327" s="1352"/>
      <c r="AQ327" s="1352"/>
      <c r="AR327" s="1352"/>
      <c r="AS327" s="1352"/>
      <c r="AX327" s="1167" t="str">
        <f>'Overview (Verification)'!A31</f>
        <v>Water Baseline Year:</v>
      </c>
      <c r="AY327" s="1168">
        <f>IF(LEN('Overview (Verification)'!P31)=0,0,'Overview (Verification)'!P31)</f>
        <v>2020</v>
      </c>
    </row>
    <row r="328" spans="1:52" s="746" customFormat="1" ht="16" hidden="1" thickBot="1" x14ac:dyDescent="0.25">
      <c r="A328" s="1507">
        <v>6</v>
      </c>
      <c r="B328" s="1524">
        <v>601.20000000000005</v>
      </c>
      <c r="C328" s="1511"/>
      <c r="D328" s="1511"/>
      <c r="E328" s="1511"/>
      <c r="F328" s="1514"/>
      <c r="G328" s="1509" t="str">
        <f>G327</f>
        <v/>
      </c>
      <c r="H328" s="1510" t="s">
        <v>3198</v>
      </c>
      <c r="I328" s="130"/>
      <c r="J328" s="129"/>
      <c r="K328" s="97"/>
      <c r="L328" s="1705" t="s">
        <v>3814</v>
      </c>
      <c r="M328" s="913"/>
      <c r="N328" s="750"/>
      <c r="O328" s="908"/>
      <c r="P328" s="991"/>
      <c r="Q328" s="991"/>
      <c r="R328" s="991"/>
      <c r="S328" s="991"/>
      <c r="T328" s="991"/>
      <c r="U328" s="991"/>
      <c r="V328" s="991"/>
      <c r="W328" s="96"/>
      <c r="X328" s="114"/>
      <c r="Z328" s="670"/>
      <c r="AL328" s="1352"/>
      <c r="AM328" s="1352"/>
      <c r="AN328" s="1352"/>
      <c r="AO328" s="1352"/>
      <c r="AP328" s="1352"/>
      <c r="AQ328" s="1352"/>
      <c r="AR328" s="1352"/>
      <c r="AS328" s="1352"/>
      <c r="AX328" s="247" t="str">
        <f>'Overview (Verification)'!A32</f>
        <v xml:space="preserve">Project Description: </v>
      </c>
      <c r="AY328" s="272" t="str">
        <f>IF(LEN('Overview (Verification)'!P32)=0,0,'Overview (Verification)'!P32)</f>
        <v>n/a</v>
      </c>
    </row>
    <row r="329" spans="1:52" s="746" customFormat="1" ht="16" hidden="1" thickBot="1" x14ac:dyDescent="0.25">
      <c r="A329" s="1507">
        <v>6</v>
      </c>
      <c r="B329" s="1524">
        <v>601.20000000000005</v>
      </c>
      <c r="C329" s="1511"/>
      <c r="D329" s="1511"/>
      <c r="E329" s="1511"/>
      <c r="F329" s="1514"/>
      <c r="G329" s="1509" t="str">
        <f>G328</f>
        <v/>
      </c>
      <c r="H329" s="1510" t="s">
        <v>3198</v>
      </c>
      <c r="I329" s="130"/>
      <c r="J329" s="129"/>
      <c r="K329" s="97"/>
      <c r="L329" s="1705"/>
      <c r="M329" s="913"/>
      <c r="N329" s="750"/>
      <c r="O329" s="908"/>
      <c r="P329" s="991"/>
      <c r="Q329" s="991"/>
      <c r="R329" s="991"/>
      <c r="S329" s="991"/>
      <c r="T329" s="991"/>
      <c r="U329" s="991"/>
      <c r="V329" s="991"/>
      <c r="W329" s="96"/>
      <c r="X329" s="114"/>
      <c r="Z329" s="670"/>
      <c r="AL329" s="1352"/>
      <c r="AM329" s="1352"/>
      <c r="AN329" s="1352"/>
      <c r="AO329" s="1352"/>
      <c r="AP329" s="1352"/>
      <c r="AQ329" s="1352"/>
      <c r="AR329" s="1352"/>
      <c r="AS329" s="1352"/>
      <c r="AX329" s="1167"/>
      <c r="AY329" s="1168"/>
    </row>
    <row r="330" spans="1:52" ht="16" hidden="1" thickBot="1" x14ac:dyDescent="0.25">
      <c r="A330" s="1507">
        <v>6</v>
      </c>
      <c r="B330" s="1524">
        <v>601.20000000000005</v>
      </c>
      <c r="C330" s="1511" t="s">
        <v>254</v>
      </c>
      <c r="D330" s="1511"/>
      <c r="E330" s="1511"/>
      <c r="F330" s="1514"/>
      <c r="G330" s="1509" t="str">
        <f>IF(N330&gt;0,"P","")</f>
        <v/>
      </c>
      <c r="H330" s="1510" t="s">
        <v>3198</v>
      </c>
      <c r="I330" s="67"/>
      <c r="J330" s="180" t="s">
        <v>254</v>
      </c>
      <c r="K330" s="97"/>
      <c r="L330" s="1609" t="s">
        <v>450</v>
      </c>
      <c r="M330" s="1623">
        <v>3</v>
      </c>
      <c r="N330" s="1755">
        <f>'11.600'!O32</f>
        <v>0</v>
      </c>
      <c r="O330" s="1619">
        <f>M330*S330*W330</f>
        <v>0</v>
      </c>
      <c r="P330" s="905" t="b">
        <v>1</v>
      </c>
      <c r="Q330" s="905" t="b">
        <v>0</v>
      </c>
      <c r="R330" s="905" t="b">
        <v>0</v>
      </c>
      <c r="S330" s="905" t="b">
        <v>1</v>
      </c>
      <c r="T330" s="905" t="b">
        <v>0</v>
      </c>
      <c r="U330" s="905"/>
      <c r="V330" s="905"/>
      <c r="W330" s="27"/>
      <c r="X330" s="1600"/>
      <c r="Y330" s="1874" t="str">
        <f>IF(LEN('11.600'!X32)=0,"None",'11.600'!X32)</f>
        <v>None</v>
      </c>
      <c r="Z330" s="1889"/>
      <c r="AC330" s="248"/>
      <c r="AD330" s="248"/>
      <c r="AE330" s="248"/>
      <c r="AF330" s="248"/>
      <c r="AG330" s="248"/>
      <c r="AH330" s="248"/>
      <c r="AI330" s="248"/>
      <c r="AJ330" s="248"/>
      <c r="AK330" s="248"/>
      <c r="AL330" s="1352" t="str">
        <f>SUBSTITUTE(SUBSTITUTE(SUBSTITUTE("vpa"&amp;$B330&amp;$C330&amp;$D330&amp;$E330&amp;$F330,".","_"),"(","_"),")","")</f>
        <v>vpa601_2_1</v>
      </c>
      <c r="AM330" s="1352">
        <f>M330</f>
        <v>3</v>
      </c>
      <c r="AN330" s="1352" t="str">
        <f>SUBSTITUTE(SUBSTITUTE(SUBSTITUTE("vpc"&amp;$B330&amp;$C330&amp;$D330&amp;$E330&amp;$F330,".","_"),"(","_"),")","")</f>
        <v>vpc601_2_1</v>
      </c>
      <c r="AO330" s="1352">
        <f>O330</f>
        <v>0</v>
      </c>
      <c r="AP330" s="1352" t="str">
        <f>SUBSTITUTE(SUBSTITUTE(SUBSTITUTE("vch"&amp;$B330&amp;$C330&amp;$D330&amp;$E330&amp;$F330,".","_"),"(","_"),")","")</f>
        <v>vch601_2_1</v>
      </c>
      <c r="AQ330" s="1352" t="str">
        <f>IF(LEN(W330)=0,"",W330)</f>
        <v/>
      </c>
      <c r="AR330" s="1352" t="str">
        <f>SUBSTITUTE(SUBSTITUTE(SUBSTITUTE("vnt"&amp;$B330&amp;$C330&amp;$D330&amp;$E330&amp;$F330,".","_"),"(","_"),")","")</f>
        <v>vnt601_2_1</v>
      </c>
      <c r="AS330" s="1352" t="str">
        <f>IF(LEN(X330)=0,"",X330)</f>
        <v/>
      </c>
      <c r="AX330" s="1167" t="str">
        <f>'Overview (Verification)'!A34</f>
        <v>Selected Energy Compliance Path:</v>
      </c>
      <c r="AY330" s="1168" t="str">
        <f>IF(LEN('Overview (Verification)'!P34)=0,0,'Overview (Verification)'!P34)</f>
        <v>Performance</v>
      </c>
    </row>
    <row r="331" spans="1:52" ht="16" hidden="1" thickBot="1" x14ac:dyDescent="0.25">
      <c r="A331" s="1507">
        <v>6</v>
      </c>
      <c r="B331" s="1524">
        <v>601.20000000000005</v>
      </c>
      <c r="C331" s="1511" t="s">
        <v>254</v>
      </c>
      <c r="D331" s="1511"/>
      <c r="E331" s="1511"/>
      <c r="F331" s="1514"/>
      <c r="G331" s="1509" t="str">
        <f>G330</f>
        <v/>
      </c>
      <c r="H331" s="1510" t="s">
        <v>3198</v>
      </c>
      <c r="I331" s="67"/>
      <c r="J331" s="129"/>
      <c r="K331" s="97"/>
      <c r="L331" s="1609"/>
      <c r="M331" s="1623"/>
      <c r="N331" s="1755"/>
      <c r="O331" s="1619"/>
      <c r="P331" s="905"/>
      <c r="Q331" s="905"/>
      <c r="R331" s="905"/>
      <c r="S331" s="905"/>
      <c r="T331" s="905"/>
      <c r="U331" s="905"/>
      <c r="V331" s="905"/>
      <c r="W331" s="248"/>
      <c r="X331" s="1600"/>
      <c r="Y331" s="1874"/>
      <c r="Z331" s="1889"/>
      <c r="AC331" s="248"/>
      <c r="AD331" s="248"/>
      <c r="AE331" s="248"/>
      <c r="AF331" s="248"/>
      <c r="AG331" s="248"/>
      <c r="AH331" s="248"/>
      <c r="AI331" s="248"/>
      <c r="AJ331" s="248"/>
      <c r="AK331" s="248"/>
      <c r="AL331" s="1352"/>
      <c r="AM331" s="1352"/>
      <c r="AN331" s="1352"/>
      <c r="AO331" s="1352"/>
      <c r="AP331" s="1352"/>
      <c r="AQ331" s="1352"/>
      <c r="AR331" s="1352"/>
      <c r="AS331" s="1352"/>
      <c r="AX331" s="1167" t="str">
        <f>'Overview (Verification)'!A35</f>
        <v>Selected Water Compliance Path:</v>
      </c>
      <c r="AY331" s="1168" t="str">
        <f>IF(LEN('Overview (Verification)'!P35)=0,0,'Overview (Verification)'!P35)</f>
        <v>Prescriptive</v>
      </c>
    </row>
    <row r="332" spans="1:52" ht="16" hidden="1" thickBot="1" x14ac:dyDescent="0.25">
      <c r="A332" s="1507">
        <v>6</v>
      </c>
      <c r="B332" s="1524">
        <v>601.20000000000005</v>
      </c>
      <c r="C332" s="1511" t="s">
        <v>254</v>
      </c>
      <c r="D332" s="1511"/>
      <c r="E332" s="1511"/>
      <c r="F332" s="1514"/>
      <c r="G332" s="1509" t="str">
        <f>G331</f>
        <v/>
      </c>
      <c r="H332" s="1510" t="s">
        <v>3198</v>
      </c>
      <c r="I332" s="67"/>
      <c r="J332" s="213"/>
      <c r="K332" s="170"/>
      <c r="L332" s="1612"/>
      <c r="M332" s="1624"/>
      <c r="N332" s="1756"/>
      <c r="O332" s="1620"/>
      <c r="P332" s="905"/>
      <c r="Q332" s="905"/>
      <c r="R332" s="905"/>
      <c r="S332" s="905"/>
      <c r="T332" s="905"/>
      <c r="U332" s="905"/>
      <c r="V332" s="905"/>
      <c r="W332" s="248"/>
      <c r="X332" s="1600"/>
      <c r="Y332" s="1874"/>
      <c r="Z332" s="1889"/>
      <c r="AC332" s="248"/>
      <c r="AD332" s="248"/>
      <c r="AE332" s="248"/>
      <c r="AF332" s="248"/>
      <c r="AG332" s="248"/>
      <c r="AH332" s="248"/>
      <c r="AI332" s="248"/>
      <c r="AJ332" s="248"/>
      <c r="AK332" s="248"/>
      <c r="AL332" s="1352"/>
      <c r="AM332" s="1352"/>
      <c r="AN332" s="1352"/>
      <c r="AO332" s="1352"/>
      <c r="AP332" s="1352"/>
      <c r="AQ332" s="1352"/>
      <c r="AR332" s="1352"/>
      <c r="AS332" s="1352"/>
      <c r="AX332" s="273" t="str">
        <f>'Overview (Verification)'!A36</f>
        <v>Foundation Type:</v>
      </c>
      <c r="AY332" s="274" t="str">
        <f>IF(LEN('Overview (Verification)'!P36)=0,0,'Overview (Verification)'!P36)</f>
        <v>Slab on grade</v>
      </c>
      <c r="AZ332" s="1">
        <f>IFERROR(MATCH(AY332,ddFoundation,0),0)</f>
        <v>4</v>
      </c>
    </row>
    <row r="333" spans="1:52" ht="16" hidden="1" thickBot="1" x14ac:dyDescent="0.25">
      <c r="A333" s="1507">
        <v>6</v>
      </c>
      <c r="B333" s="1524">
        <v>601.20000000000005</v>
      </c>
      <c r="C333" s="1511" t="s">
        <v>255</v>
      </c>
      <c r="D333" s="1511"/>
      <c r="E333" s="1511"/>
      <c r="F333" s="1514"/>
      <c r="G333" s="1509" t="str">
        <f>IF(N333&gt;0,"P","")</f>
        <v/>
      </c>
      <c r="H333" s="1510" t="s">
        <v>3198</v>
      </c>
      <c r="I333" s="67"/>
      <c r="J333" s="180" t="s">
        <v>255</v>
      </c>
      <c r="K333" s="97"/>
      <c r="L333" s="1609" t="s">
        <v>451</v>
      </c>
      <c r="M333" s="1623">
        <v>3</v>
      </c>
      <c r="N333" s="1758">
        <f>'11.600'!O35</f>
        <v>0</v>
      </c>
      <c r="O333" s="1619">
        <f>M333*S333*W333</f>
        <v>0</v>
      </c>
      <c r="P333" s="905" t="b">
        <v>1</v>
      </c>
      <c r="Q333" s="905" t="b">
        <v>0</v>
      </c>
      <c r="R333" s="905" t="b">
        <v>0</v>
      </c>
      <c r="S333" s="905" t="b">
        <v>1</v>
      </c>
      <c r="T333" s="905" t="b">
        <v>0</v>
      </c>
      <c r="U333" s="905"/>
      <c r="V333" s="905"/>
      <c r="W333" s="27"/>
      <c r="X333" s="1600"/>
      <c r="Y333" s="1874" t="str">
        <f>IF(LEN('11.600'!X35)=0,"None",'11.600'!X35)</f>
        <v>None</v>
      </c>
      <c r="Z333" s="1889"/>
      <c r="AC333" s="248"/>
      <c r="AD333" s="248"/>
      <c r="AE333" s="248"/>
      <c r="AF333" s="248"/>
      <c r="AG333" s="248"/>
      <c r="AH333" s="248"/>
      <c r="AI333" s="248"/>
      <c r="AJ333" s="248"/>
      <c r="AK333" s="248"/>
      <c r="AL333" s="1352" t="str">
        <f>SUBSTITUTE(SUBSTITUTE(SUBSTITUTE("vpa"&amp;$B333&amp;$C333&amp;$D333&amp;$E333&amp;$F333,".","_"),"(","_"),")","")</f>
        <v>vpa601_2_2</v>
      </c>
      <c r="AM333" s="1352">
        <f>M333</f>
        <v>3</v>
      </c>
      <c r="AN333" s="1352" t="str">
        <f>SUBSTITUTE(SUBSTITUTE(SUBSTITUTE("vpc"&amp;$B333&amp;$C333&amp;$D333&amp;$E333&amp;$F333,".","_"),"(","_"),")","")</f>
        <v>vpc601_2_2</v>
      </c>
      <c r="AO333" s="1352">
        <f>O333</f>
        <v>0</v>
      </c>
      <c r="AP333" s="1352" t="str">
        <f>SUBSTITUTE(SUBSTITUTE(SUBSTITUTE("vch"&amp;$B333&amp;$C333&amp;$D333&amp;$E333&amp;$F333,".","_"),"(","_"),")","")</f>
        <v>vch601_2_2</v>
      </c>
      <c r="AQ333" s="1352" t="str">
        <f>IF(LEN(W333)=0,"",W333)</f>
        <v/>
      </c>
      <c r="AR333" s="1352" t="str">
        <f>SUBSTITUTE(SUBSTITUTE(SUBSTITUTE("vnt"&amp;$B333&amp;$C333&amp;$D333&amp;$E333&amp;$F333,".","_"),"(","_"),")","")</f>
        <v>vnt601_2_2</v>
      </c>
      <c r="AS333" s="1352" t="str">
        <f>IF(LEN(X333)=0,"",X333)</f>
        <v/>
      </c>
    </row>
    <row r="334" spans="1:52" ht="16" hidden="1" thickBot="1" x14ac:dyDescent="0.25">
      <c r="A334" s="1507">
        <v>6</v>
      </c>
      <c r="B334" s="1524">
        <v>601.20000000000005</v>
      </c>
      <c r="C334" s="1511" t="s">
        <v>255</v>
      </c>
      <c r="D334" s="1511"/>
      <c r="E334" s="1511"/>
      <c r="F334" s="1514"/>
      <c r="G334" s="1509" t="str">
        <f>G333</f>
        <v/>
      </c>
      <c r="H334" s="1510" t="s">
        <v>3198</v>
      </c>
      <c r="I334" s="67"/>
      <c r="J334" s="129"/>
      <c r="K334" s="97"/>
      <c r="L334" s="1609"/>
      <c r="M334" s="1623"/>
      <c r="N334" s="1755"/>
      <c r="O334" s="1619"/>
      <c r="P334" s="905"/>
      <c r="Q334" s="905"/>
      <c r="R334" s="905"/>
      <c r="S334" s="905"/>
      <c r="T334" s="905"/>
      <c r="U334" s="905"/>
      <c r="V334" s="905"/>
      <c r="W334" s="248"/>
      <c r="X334" s="1600"/>
      <c r="Y334" s="1874"/>
      <c r="Z334" s="1889"/>
      <c r="AC334" s="248"/>
      <c r="AD334" s="248"/>
      <c r="AE334" s="248"/>
      <c r="AF334" s="248"/>
      <c r="AG334" s="248"/>
      <c r="AH334" s="248"/>
      <c r="AI334" s="248"/>
      <c r="AJ334" s="248"/>
      <c r="AK334" s="248"/>
      <c r="AL334" s="1352"/>
      <c r="AM334" s="1352"/>
      <c r="AN334" s="1352"/>
      <c r="AO334" s="1352"/>
      <c r="AP334" s="1352"/>
      <c r="AQ334" s="1352"/>
      <c r="AR334" s="1352"/>
      <c r="AS334" s="1352"/>
      <c r="AX334" s="273" t="str">
        <f>'Overview (Verification)'!A38</f>
        <v>Type of Heating System (main system):</v>
      </c>
      <c r="AY334" s="274" t="str">
        <f>IF(LEN('Overview (Verification)'!P38)=0,0,'Overview (Verification)'!P38)</f>
        <v>Heat Pump</v>
      </c>
    </row>
    <row r="335" spans="1:52" ht="16" hidden="1" thickBot="1" x14ac:dyDescent="0.25">
      <c r="A335" s="1507">
        <v>6</v>
      </c>
      <c r="B335" s="1524">
        <v>601.20000000000005</v>
      </c>
      <c r="C335" s="1511" t="s">
        <v>255</v>
      </c>
      <c r="D335" s="1511"/>
      <c r="E335" s="1511"/>
      <c r="F335" s="1514"/>
      <c r="G335" s="1509" t="str">
        <f>G334</f>
        <v/>
      </c>
      <c r="H335" s="1510" t="s">
        <v>3198</v>
      </c>
      <c r="I335" s="67"/>
      <c r="J335" s="213"/>
      <c r="K335" s="170"/>
      <c r="L335" s="1612"/>
      <c r="M335" s="1624"/>
      <c r="N335" s="1756"/>
      <c r="O335" s="1620"/>
      <c r="P335" s="905"/>
      <c r="Q335" s="905"/>
      <c r="R335" s="905"/>
      <c r="S335" s="905"/>
      <c r="T335" s="905"/>
      <c r="U335" s="905"/>
      <c r="V335" s="905"/>
      <c r="W335" s="248"/>
      <c r="X335" s="1600"/>
      <c r="Y335" s="1874"/>
      <c r="Z335" s="1889"/>
      <c r="AC335" s="248"/>
      <c r="AD335" s="248"/>
      <c r="AE335" s="248"/>
      <c r="AF335" s="248"/>
      <c r="AG335" s="248"/>
      <c r="AH335" s="248"/>
      <c r="AI335" s="248"/>
      <c r="AJ335" s="248"/>
      <c r="AK335" s="248"/>
      <c r="AL335" s="1352"/>
      <c r="AM335" s="1352"/>
      <c r="AN335" s="1352"/>
      <c r="AO335" s="1352"/>
      <c r="AP335" s="1352"/>
      <c r="AQ335" s="1352"/>
      <c r="AR335" s="1352"/>
      <c r="AS335" s="1352"/>
      <c r="AX335" s="273" t="str">
        <f>'Overview (Verification)'!A39</f>
        <v>Type of Heating System (system 2):</v>
      </c>
      <c r="AY335" s="274">
        <f>IF(LEN('Overview (Verification)'!P39)=0,0,'Overview (Verification)'!P39)</f>
        <v>0</v>
      </c>
    </row>
    <row r="336" spans="1:52" ht="17" hidden="1" thickBot="1" x14ac:dyDescent="0.25">
      <c r="A336" s="1507">
        <v>6</v>
      </c>
      <c r="B336" s="1524">
        <v>601.20000000000005</v>
      </c>
      <c r="C336" s="1511" t="s">
        <v>256</v>
      </c>
      <c r="D336" s="1511"/>
      <c r="E336" s="1511"/>
      <c r="F336" s="1514"/>
      <c r="G336" s="1509" t="str">
        <f>IF(N336&gt;0,"P","")</f>
        <v/>
      </c>
      <c r="H336" s="1510" t="s">
        <v>3198</v>
      </c>
      <c r="I336" s="67"/>
      <c r="J336" s="29" t="s">
        <v>256</v>
      </c>
      <c r="K336" s="85"/>
      <c r="L336" s="85" t="s">
        <v>452</v>
      </c>
      <c r="M336" s="911">
        <v>3</v>
      </c>
      <c r="N336" s="250">
        <f>'11.600'!O38</f>
        <v>0</v>
      </c>
      <c r="O336" s="935">
        <f>M336*S336*W336</f>
        <v>0</v>
      </c>
      <c r="P336" s="905" t="b">
        <v>1</v>
      </c>
      <c r="Q336" s="905" t="b">
        <v>0</v>
      </c>
      <c r="R336" s="905" t="b">
        <v>0</v>
      </c>
      <c r="S336" s="905" t="b">
        <v>1</v>
      </c>
      <c r="T336" s="905" t="b">
        <v>0</v>
      </c>
      <c r="U336" s="905"/>
      <c r="V336" s="905"/>
      <c r="W336" s="27"/>
      <c r="X336" s="257"/>
      <c r="Y336" s="268" t="str">
        <f>IF(LEN('11.600'!X38)=0,"None",'11.600'!X38)</f>
        <v>None</v>
      </c>
      <c r="Z336" s="717"/>
      <c r="AC336" s="248"/>
      <c r="AD336" s="248"/>
      <c r="AE336" s="248"/>
      <c r="AF336" s="248"/>
      <c r="AG336" s="248"/>
      <c r="AH336" s="248"/>
      <c r="AI336" s="248"/>
      <c r="AJ336" s="248"/>
      <c r="AK336" s="248"/>
      <c r="AL336" s="1352" t="str">
        <f>SUBSTITUTE(SUBSTITUTE(SUBSTITUTE("vpa"&amp;$B336&amp;$C336&amp;$D336&amp;$E336&amp;$F336,".","_"),"(","_"),")","")</f>
        <v>vpa601_2_3</v>
      </c>
      <c r="AM336" s="1352">
        <f>M336</f>
        <v>3</v>
      </c>
      <c r="AN336" s="1352" t="str">
        <f>SUBSTITUTE(SUBSTITUTE(SUBSTITUTE("vpc"&amp;$B336&amp;$C336&amp;$D336&amp;$E336&amp;$F336,".","_"),"(","_"),")","")</f>
        <v>vpc601_2_3</v>
      </c>
      <c r="AO336" s="1352">
        <f>O336</f>
        <v>0</v>
      </c>
      <c r="AP336" s="1352" t="str">
        <f>SUBSTITUTE(SUBSTITUTE(SUBSTITUTE("vch"&amp;$B336&amp;$C336&amp;$D336&amp;$E336&amp;$F336,".","_"),"(","_"),")","")</f>
        <v>vch601_2_3</v>
      </c>
      <c r="AQ336" s="1352" t="str">
        <f>IF(LEN(W336)=0,"",W336)</f>
        <v/>
      </c>
      <c r="AR336" s="1352" t="str">
        <f>SUBSTITUTE(SUBSTITUTE(SUBSTITUTE("vnt"&amp;$B336&amp;$C336&amp;$D336&amp;$E336&amp;$F336,".","_"),"(","_"),")","")</f>
        <v>vnt601_2_3</v>
      </c>
      <c r="AS336" s="1352" t="str">
        <f>IF(LEN(X336)=0,"",X336)</f>
        <v/>
      </c>
      <c r="AX336" s="273" t="str">
        <f>'Overview (Verification)'!A40</f>
        <v>Type of Heating System (system 3):</v>
      </c>
      <c r="AY336" s="274">
        <f>IF(LEN('Overview (Verification)'!P40)=0,0,'Overview (Verification)'!P40)</f>
        <v>0</v>
      </c>
    </row>
    <row r="337" spans="1:52" ht="17" hidden="1" thickTop="1" thickBot="1" x14ac:dyDescent="0.25">
      <c r="A337" s="1507">
        <v>6</v>
      </c>
      <c r="B337" s="1524">
        <v>601.29999999999995</v>
      </c>
      <c r="C337" s="1511"/>
      <c r="D337" s="1511"/>
      <c r="E337" s="1511"/>
      <c r="F337" s="1514"/>
      <c r="G337" s="1513" t="str">
        <f>IF(COUNTIF(G342:G346,"P")&gt;0,"P","")</f>
        <v/>
      </c>
      <c r="H337" s="1510" t="s">
        <v>3198</v>
      </c>
      <c r="I337" s="177" t="s">
        <v>3523</v>
      </c>
      <c r="J337" s="178"/>
      <c r="K337" s="179"/>
      <c r="L337" s="1683" t="s">
        <v>3798</v>
      </c>
      <c r="M337" s="945"/>
      <c r="N337" s="256"/>
      <c r="O337" s="943"/>
      <c r="P337" s="106"/>
      <c r="Q337" s="106"/>
      <c r="R337" s="106"/>
      <c r="S337" s="106"/>
      <c r="T337" s="106"/>
      <c r="U337" s="106"/>
      <c r="V337" s="106"/>
      <c r="W337" s="106"/>
      <c r="X337" s="183"/>
      <c r="Y337"/>
      <c r="Z337" s="670"/>
      <c r="AC337" s="248"/>
      <c r="AD337" s="248"/>
      <c r="AE337" s="248"/>
      <c r="AF337" s="248"/>
      <c r="AG337" s="248"/>
      <c r="AH337" s="248"/>
      <c r="AI337" s="248"/>
      <c r="AJ337" s="248"/>
      <c r="AK337" s="248"/>
      <c r="AL337" s="1352"/>
      <c r="AM337" s="1352"/>
      <c r="AN337" s="1352"/>
      <c r="AO337" s="1352"/>
      <c r="AP337" s="1352"/>
      <c r="AQ337" s="1352"/>
      <c r="AR337" s="1352"/>
      <c r="AS337" s="1352"/>
      <c r="AX337" s="273" t="str">
        <f>'Overview (Verification)'!A41</f>
        <v>Primary Heating Fuel:</v>
      </c>
      <c r="AY337" s="274">
        <f>IF(LEN('Overview (Verification)'!P41)=0,0,'Overview (Verification)'!P41)</f>
        <v>0</v>
      </c>
    </row>
    <row r="338" spans="1:52" ht="16" hidden="1" thickBot="1" x14ac:dyDescent="0.25">
      <c r="A338" s="1507">
        <v>6</v>
      </c>
      <c r="B338" s="1524">
        <v>601.29999999999995</v>
      </c>
      <c r="C338" s="1511"/>
      <c r="D338" s="1511"/>
      <c r="E338" s="1511"/>
      <c r="F338" s="1514"/>
      <c r="G338" s="1509" t="str">
        <f>G337</f>
        <v/>
      </c>
      <c r="H338" s="1510" t="s">
        <v>3198</v>
      </c>
      <c r="I338" s="130"/>
      <c r="J338" s="129"/>
      <c r="K338" s="97"/>
      <c r="L338" s="1629"/>
      <c r="M338" s="913"/>
      <c r="N338" s="251"/>
      <c r="O338" s="908"/>
      <c r="P338" s="991"/>
      <c r="Q338" s="991"/>
      <c r="R338" s="991"/>
      <c r="S338" s="991"/>
      <c r="T338" s="991"/>
      <c r="U338" s="991"/>
      <c r="V338" s="991"/>
      <c r="W338" s="96"/>
      <c r="X338" s="114"/>
      <c r="Y338"/>
      <c r="Z338" s="670"/>
      <c r="AC338" s="248"/>
      <c r="AD338" s="248"/>
      <c r="AE338" s="248"/>
      <c r="AF338" s="248"/>
      <c r="AG338" s="248"/>
      <c r="AH338" s="248"/>
      <c r="AI338" s="248"/>
      <c r="AJ338" s="248"/>
      <c r="AK338" s="248"/>
      <c r="AL338" s="1352"/>
      <c r="AM338" s="1352"/>
      <c r="AN338" s="1352"/>
      <c r="AO338" s="1352"/>
      <c r="AP338" s="1352"/>
      <c r="AQ338" s="1352"/>
      <c r="AR338" s="1352"/>
      <c r="AS338" s="1352"/>
      <c r="AX338" s="904" t="str">
        <f>'Overview (Verification)'!A42</f>
        <v>Heating Ducts:</v>
      </c>
      <c r="AY338" s="905" t="str">
        <f>IF(LEN('Overview (Verification)'!P42)=0,0,'Overview (Verification)'!P42)</f>
        <v>Ducted</v>
      </c>
    </row>
    <row r="339" spans="1:52" ht="16" hidden="1" thickBot="1" x14ac:dyDescent="0.25">
      <c r="A339" s="1507">
        <v>6</v>
      </c>
      <c r="B339" s="1524">
        <v>601.29999999999995</v>
      </c>
      <c r="C339" s="1511"/>
      <c r="D339" s="1511"/>
      <c r="E339" s="1511"/>
      <c r="F339" s="1514"/>
      <c r="G339" s="1509" t="str">
        <f>G338</f>
        <v/>
      </c>
      <c r="H339" s="1510" t="s">
        <v>3198</v>
      </c>
      <c r="I339" s="130"/>
      <c r="J339" s="129"/>
      <c r="K339" s="97"/>
      <c r="L339" s="1629"/>
      <c r="M339" s="913"/>
      <c r="N339" s="251"/>
      <c r="O339" s="908"/>
      <c r="P339" s="991"/>
      <c r="Q339" s="991"/>
      <c r="R339" s="991"/>
      <c r="S339" s="991"/>
      <c r="T339" s="991"/>
      <c r="U339" s="991"/>
      <c r="V339" s="991"/>
      <c r="W339" s="96"/>
      <c r="X339" s="114"/>
      <c r="Y339"/>
      <c r="Z339" s="670"/>
      <c r="AC339" s="248"/>
      <c r="AD339" s="248"/>
      <c r="AE339" s="248"/>
      <c r="AF339" s="248"/>
      <c r="AG339" s="248"/>
      <c r="AH339" s="248"/>
      <c r="AI339" s="248"/>
      <c r="AJ339" s="248"/>
      <c r="AK339" s="248"/>
      <c r="AL339" s="1352"/>
      <c r="AM339" s="1352"/>
      <c r="AN339" s="1352"/>
      <c r="AO339" s="1352"/>
      <c r="AP339" s="1352"/>
      <c r="AQ339" s="1352"/>
      <c r="AR339" s="1352"/>
      <c r="AS339" s="1352"/>
      <c r="AX339" s="904" t="str">
        <f>'Overview (Verification)'!A43</f>
        <v>Type of Cooling System (main system):</v>
      </c>
      <c r="AY339" s="905" t="str">
        <f>IF(LEN('Overview (Verification)'!P43)=0,0,'Overview (Verification)'!P43)</f>
        <v>Heat Pump</v>
      </c>
    </row>
    <row r="340" spans="1:52" s="746" customFormat="1" ht="16" hidden="1" thickBot="1" x14ac:dyDescent="0.25">
      <c r="A340" s="1507">
        <v>6</v>
      </c>
      <c r="B340" s="1524">
        <v>601.29999999999995</v>
      </c>
      <c r="C340" s="1511"/>
      <c r="D340" s="1511"/>
      <c r="E340" s="1511"/>
      <c r="F340" s="1514"/>
      <c r="G340" s="1509" t="str">
        <f>G339</f>
        <v/>
      </c>
      <c r="H340" s="1510" t="s">
        <v>3198</v>
      </c>
      <c r="I340" s="130"/>
      <c r="J340" s="129"/>
      <c r="K340" s="97"/>
      <c r="L340" s="1705" t="s">
        <v>3815</v>
      </c>
      <c r="M340" s="913"/>
      <c r="N340" s="750"/>
      <c r="O340" s="908"/>
      <c r="P340" s="991"/>
      <c r="Q340" s="991"/>
      <c r="R340" s="991"/>
      <c r="S340" s="991"/>
      <c r="T340" s="991"/>
      <c r="U340" s="991"/>
      <c r="V340" s="991"/>
      <c r="W340" s="96"/>
      <c r="X340" s="114"/>
      <c r="Z340" s="670"/>
      <c r="AL340" s="1352"/>
      <c r="AM340" s="1352"/>
      <c r="AN340" s="1352"/>
      <c r="AO340" s="1352"/>
      <c r="AP340" s="1352"/>
      <c r="AQ340" s="1352"/>
      <c r="AR340" s="1352"/>
      <c r="AS340" s="1352"/>
      <c r="AX340" s="904" t="str">
        <f>'Overview (Verification)'!A44</f>
        <v>Type of Cooling System (system 2):</v>
      </c>
      <c r="AY340" s="905">
        <f>IF(LEN('Overview (Verification)'!P44)=0,0,'Overview (Verification)'!P44)</f>
        <v>0</v>
      </c>
      <c r="AZ340"/>
    </row>
    <row r="341" spans="1:52" s="746" customFormat="1" ht="16" hidden="1" thickBot="1" x14ac:dyDescent="0.25">
      <c r="A341" s="1507">
        <v>6</v>
      </c>
      <c r="B341" s="1524">
        <v>601.29999999999995</v>
      </c>
      <c r="C341" s="1511"/>
      <c r="D341" s="1511"/>
      <c r="E341" s="1511"/>
      <c r="F341" s="1514"/>
      <c r="G341" s="1509" t="str">
        <f>G340</f>
        <v/>
      </c>
      <c r="H341" s="1510" t="s">
        <v>3198</v>
      </c>
      <c r="I341" s="130"/>
      <c r="J341" s="129"/>
      <c r="K341" s="97"/>
      <c r="L341" s="1705"/>
      <c r="M341" s="913"/>
      <c r="N341" s="750"/>
      <c r="O341" s="908"/>
      <c r="P341" s="991"/>
      <c r="Q341" s="991"/>
      <c r="R341" s="991"/>
      <c r="S341" s="991"/>
      <c r="T341" s="991"/>
      <c r="U341" s="991"/>
      <c r="V341" s="991"/>
      <c r="W341" s="96"/>
      <c r="X341" s="114"/>
      <c r="Z341" s="670"/>
      <c r="AL341" s="1352"/>
      <c r="AM341" s="1352"/>
      <c r="AN341" s="1352"/>
      <c r="AO341" s="1352"/>
      <c r="AP341" s="1352"/>
      <c r="AQ341" s="1352"/>
      <c r="AR341" s="1352"/>
      <c r="AS341" s="1352"/>
      <c r="AX341" s="904" t="str">
        <f>'Overview (Verification)'!A45</f>
        <v>Type of Cooling System (system 3):</v>
      </c>
      <c r="AY341" s="905">
        <f>IF(LEN('Overview (Verification)'!P45)=0,0,'Overview (Verification)'!P45)</f>
        <v>0</v>
      </c>
      <c r="AZ341"/>
    </row>
    <row r="342" spans="1:52" ht="17" hidden="1" thickBot="1" x14ac:dyDescent="0.25">
      <c r="A342" s="1507">
        <v>6</v>
      </c>
      <c r="B342" s="1524">
        <v>601.29999999999995</v>
      </c>
      <c r="C342" s="1511" t="s">
        <v>254</v>
      </c>
      <c r="D342" s="1511"/>
      <c r="E342" s="1511"/>
      <c r="F342" s="1514"/>
      <c r="G342" s="1509" t="str">
        <f t="shared" ref="G342:G347" si="18">IF(N342&gt;0,"P","")</f>
        <v/>
      </c>
      <c r="H342" s="1510" t="s">
        <v>3198</v>
      </c>
      <c r="I342" s="67"/>
      <c r="J342" s="207" t="s">
        <v>254</v>
      </c>
      <c r="K342" s="170"/>
      <c r="L342" s="170" t="s">
        <v>453</v>
      </c>
      <c r="M342" s="937">
        <v>3</v>
      </c>
      <c r="N342" s="252">
        <f>'11.600'!O44</f>
        <v>0</v>
      </c>
      <c r="O342" s="909">
        <f t="shared" ref="O342:O347" si="19">M342*S342*W342</f>
        <v>0</v>
      </c>
      <c r="P342" s="905" t="b">
        <v>1</v>
      </c>
      <c r="Q342" s="905" t="b">
        <v>0</v>
      </c>
      <c r="R342" s="905" t="b">
        <v>0</v>
      </c>
      <c r="S342" s="905" t="b">
        <v>1</v>
      </c>
      <c r="T342" s="905" t="b">
        <v>0</v>
      </c>
      <c r="U342" s="905"/>
      <c r="V342" s="905"/>
      <c r="W342" s="27"/>
      <c r="X342" s="249"/>
      <c r="Y342" s="267" t="str">
        <f>IF(LEN('11.600'!X44)=0,"None",'11.600'!X44)</f>
        <v>None</v>
      </c>
      <c r="Z342" s="715"/>
      <c r="AC342" s="248"/>
      <c r="AD342" s="248"/>
      <c r="AE342" s="248"/>
      <c r="AF342" s="248"/>
      <c r="AG342" s="248"/>
      <c r="AH342" s="248"/>
      <c r="AI342" s="248"/>
      <c r="AJ342" s="248"/>
      <c r="AK342" s="248"/>
      <c r="AL342" s="1352" t="str">
        <f t="shared" ref="AL342:AL347" si="20">SUBSTITUTE(SUBSTITUTE(SUBSTITUTE("vpa"&amp;$B342&amp;$C342&amp;$D342&amp;$E342&amp;$F342,".","_"),"(","_"),")","")</f>
        <v>vpa601_3_1</v>
      </c>
      <c r="AM342" s="1352">
        <f t="shared" ref="AM342:AM347" si="21">M342</f>
        <v>3</v>
      </c>
      <c r="AN342" s="1352" t="str">
        <f t="shared" ref="AN342:AN347" si="22">SUBSTITUTE(SUBSTITUTE(SUBSTITUTE("vpc"&amp;$B342&amp;$C342&amp;$D342&amp;$E342&amp;$F342,".","_"),"(","_"),")","")</f>
        <v>vpc601_3_1</v>
      </c>
      <c r="AO342" s="1352">
        <f t="shared" ref="AO342:AO347" si="23">O342</f>
        <v>0</v>
      </c>
      <c r="AP342" s="1352" t="str">
        <f t="shared" ref="AP342:AP347" si="24">SUBSTITUTE(SUBSTITUTE(SUBSTITUTE("vch"&amp;$B342&amp;$C342&amp;$D342&amp;$E342&amp;$F342,".","_"),"(","_"),")","")</f>
        <v>vch601_3_1</v>
      </c>
      <c r="AQ342" s="1352" t="str">
        <f t="shared" ref="AQ342:AQ347" si="25">IF(LEN(W342)=0,"",W342)</f>
        <v/>
      </c>
      <c r="AR342" s="1352" t="str">
        <f t="shared" ref="AR342:AR347" si="26">SUBSTITUTE(SUBSTITUTE(SUBSTITUTE("vnt"&amp;$B342&amp;$C342&amp;$D342&amp;$E342&amp;$F342,".","_"),"(","_"),")","")</f>
        <v>vnt601_3_1</v>
      </c>
      <c r="AS342" s="1352" t="str">
        <f t="shared" ref="AS342:AS347" si="27">IF(LEN(X342)=0,"",X342)</f>
        <v/>
      </c>
      <c r="AX342" s="904" t="str">
        <f>'Overview (Verification)'!A46</f>
        <v>Cooling Ducts:</v>
      </c>
      <c r="AY342" s="905" t="str">
        <f>IF(LEN('Overview (Verification)'!P46)=0,0,'Overview (Verification)'!P46)</f>
        <v>Ducted</v>
      </c>
    </row>
    <row r="343" spans="1:52" ht="17" hidden="1" thickBot="1" x14ac:dyDescent="0.25">
      <c r="A343" s="1507">
        <v>6</v>
      </c>
      <c r="B343" s="1524">
        <v>601.29999999999995</v>
      </c>
      <c r="C343" s="1511" t="s">
        <v>255</v>
      </c>
      <c r="D343" s="1511"/>
      <c r="E343" s="1511"/>
      <c r="F343" s="1514"/>
      <c r="G343" s="1509" t="str">
        <f t="shared" si="18"/>
        <v/>
      </c>
      <c r="H343" s="1510" t="s">
        <v>3198</v>
      </c>
      <c r="I343" s="67"/>
      <c r="J343" s="209" t="s">
        <v>255</v>
      </c>
      <c r="K343" s="210"/>
      <c r="L343" s="210" t="s">
        <v>454</v>
      </c>
      <c r="M343" s="379">
        <v>3</v>
      </c>
      <c r="N343" s="215">
        <f>'11.600'!O45</f>
        <v>0</v>
      </c>
      <c r="O343" s="378">
        <f t="shared" si="19"/>
        <v>0</v>
      </c>
      <c r="P343" s="905" t="b">
        <v>1</v>
      </c>
      <c r="Q343" s="905" t="b">
        <v>0</v>
      </c>
      <c r="R343" s="905" t="b">
        <v>0</v>
      </c>
      <c r="S343" s="905" t="b">
        <v>1</v>
      </c>
      <c r="T343" s="905" t="b">
        <v>0</v>
      </c>
      <c r="U343" s="905"/>
      <c r="V343" s="905"/>
      <c r="W343" s="27"/>
      <c r="X343" s="249"/>
      <c r="Y343" s="267" t="str">
        <f>IF(LEN('11.600'!X45)=0,"None",'11.600'!X45)</f>
        <v>None</v>
      </c>
      <c r="Z343" s="715"/>
      <c r="AC343" s="248"/>
      <c r="AD343" s="248"/>
      <c r="AE343" s="248"/>
      <c r="AF343" s="248"/>
      <c r="AG343" s="248"/>
      <c r="AH343" s="248"/>
      <c r="AI343" s="248"/>
      <c r="AJ343" s="248"/>
      <c r="AK343" s="248"/>
      <c r="AL343" s="1352" t="str">
        <f t="shared" si="20"/>
        <v>vpa601_3_2</v>
      </c>
      <c r="AM343" s="1352">
        <f t="shared" si="21"/>
        <v>3</v>
      </c>
      <c r="AN343" s="1352" t="str">
        <f t="shared" si="22"/>
        <v>vpc601_3_2</v>
      </c>
      <c r="AO343" s="1352">
        <f t="shared" si="23"/>
        <v>0</v>
      </c>
      <c r="AP343" s="1352" t="str">
        <f t="shared" si="24"/>
        <v>vch601_3_2</v>
      </c>
      <c r="AQ343" s="1352" t="str">
        <f t="shared" si="25"/>
        <v/>
      </c>
      <c r="AR343" s="1352" t="str">
        <f t="shared" si="26"/>
        <v>vnt601_3_2</v>
      </c>
      <c r="AS343" s="1352" t="str">
        <f t="shared" si="27"/>
        <v/>
      </c>
      <c r="AX343" s="904"/>
      <c r="AY343" s="905"/>
      <c r="AZ343" s="746"/>
    </row>
    <row r="344" spans="1:52" ht="17" hidden="1" thickBot="1" x14ac:dyDescent="0.25">
      <c r="A344" s="1507">
        <v>6</v>
      </c>
      <c r="B344" s="1524">
        <v>601.29999999999995</v>
      </c>
      <c r="C344" s="1511" t="s">
        <v>256</v>
      </c>
      <c r="D344" s="1511"/>
      <c r="E344" s="1511"/>
      <c r="F344" s="1514"/>
      <c r="G344" s="1509" t="str">
        <f t="shared" si="18"/>
        <v/>
      </c>
      <c r="H344" s="1510" t="s">
        <v>3198</v>
      </c>
      <c r="I344" s="67"/>
      <c r="J344" s="209" t="s">
        <v>256</v>
      </c>
      <c r="K344" s="210"/>
      <c r="L344" s="210" t="s">
        <v>455</v>
      </c>
      <c r="M344" s="379">
        <v>3</v>
      </c>
      <c r="N344" s="215">
        <f>'11.600'!O46</f>
        <v>0</v>
      </c>
      <c r="O344" s="378">
        <f t="shared" si="19"/>
        <v>0</v>
      </c>
      <c r="P344" s="905" t="b">
        <v>1</v>
      </c>
      <c r="Q344" s="905" t="b">
        <v>0</v>
      </c>
      <c r="R344" s="905" t="b">
        <v>0</v>
      </c>
      <c r="S344" s="905" t="b">
        <v>1</v>
      </c>
      <c r="T344" s="905" t="b">
        <v>0</v>
      </c>
      <c r="U344" s="905"/>
      <c r="V344" s="905"/>
      <c r="W344" s="27"/>
      <c r="X344" s="249"/>
      <c r="Y344" s="267" t="str">
        <f>IF(LEN('11.600'!X46)=0,"None",'11.600'!X46)</f>
        <v>None</v>
      </c>
      <c r="Z344" s="715"/>
      <c r="AC344" s="248"/>
      <c r="AD344" s="248"/>
      <c r="AE344" s="248"/>
      <c r="AF344" s="248"/>
      <c r="AG344" s="248"/>
      <c r="AH344" s="248"/>
      <c r="AI344" s="248"/>
      <c r="AJ344" s="248"/>
      <c r="AK344" s="248"/>
      <c r="AL344" s="1352" t="str">
        <f t="shared" si="20"/>
        <v>vpa601_3_3</v>
      </c>
      <c r="AM344" s="1352">
        <f t="shared" si="21"/>
        <v>3</v>
      </c>
      <c r="AN344" s="1352" t="str">
        <f t="shared" si="22"/>
        <v>vpc601_3_3</v>
      </c>
      <c r="AO344" s="1352">
        <f t="shared" si="23"/>
        <v>0</v>
      </c>
      <c r="AP344" s="1352" t="str">
        <f t="shared" si="24"/>
        <v>vch601_3_3</v>
      </c>
      <c r="AQ344" s="1352" t="str">
        <f t="shared" si="25"/>
        <v/>
      </c>
      <c r="AR344" s="1352" t="str">
        <f t="shared" si="26"/>
        <v>vnt601_3_3</v>
      </c>
      <c r="AS344" s="1352" t="str">
        <f t="shared" si="27"/>
        <v/>
      </c>
      <c r="AX344" s="904" t="str">
        <f>'Overview (Verification)'!A48</f>
        <v>Maximum window and door SHGC:</v>
      </c>
      <c r="AY344" s="905">
        <f>IF(LEN('Overview (Verification)'!P48)=0,0,'Overview (Verification)'!P48)</f>
        <v>0.22</v>
      </c>
      <c r="AZ344" s="746"/>
    </row>
    <row r="345" spans="1:52" ht="17" hidden="1" thickBot="1" x14ac:dyDescent="0.25">
      <c r="A345" s="1507">
        <v>6</v>
      </c>
      <c r="B345" s="1524">
        <v>601.29999999999995</v>
      </c>
      <c r="C345" s="1511" t="s">
        <v>259</v>
      </c>
      <c r="D345" s="1511"/>
      <c r="E345" s="1511"/>
      <c r="F345" s="1514"/>
      <c r="G345" s="1509" t="str">
        <f t="shared" si="18"/>
        <v/>
      </c>
      <c r="H345" s="1510" t="s">
        <v>3198</v>
      </c>
      <c r="I345" s="67"/>
      <c r="J345" s="209" t="s">
        <v>259</v>
      </c>
      <c r="K345" s="210"/>
      <c r="L345" s="210" t="s">
        <v>456</v>
      </c>
      <c r="M345" s="379">
        <v>3</v>
      </c>
      <c r="N345" s="215">
        <f>'11.600'!O47</f>
        <v>0</v>
      </c>
      <c r="O345" s="378">
        <f t="shared" si="19"/>
        <v>0</v>
      </c>
      <c r="P345" s="905" t="b">
        <v>1</v>
      </c>
      <c r="Q345" s="905" t="b">
        <v>0</v>
      </c>
      <c r="R345" s="905" t="b">
        <v>0</v>
      </c>
      <c r="S345" s="905" t="b">
        <v>1</v>
      </c>
      <c r="T345" s="905" t="b">
        <v>0</v>
      </c>
      <c r="U345" s="905"/>
      <c r="V345" s="905"/>
      <c r="W345" s="27"/>
      <c r="X345" s="249"/>
      <c r="Y345" s="267" t="str">
        <f>IF(LEN('11.600'!X47)=0,"None",'11.600'!X47)</f>
        <v>None</v>
      </c>
      <c r="Z345" s="715"/>
      <c r="AC345" s="248"/>
      <c r="AD345" s="248"/>
      <c r="AE345" s="248"/>
      <c r="AF345" s="248"/>
      <c r="AG345" s="248"/>
      <c r="AH345" s="248"/>
      <c r="AI345" s="248"/>
      <c r="AJ345" s="248"/>
      <c r="AK345" s="248"/>
      <c r="AL345" s="1352" t="str">
        <f t="shared" si="20"/>
        <v>vpa601_3_4</v>
      </c>
      <c r="AM345" s="1352">
        <f t="shared" si="21"/>
        <v>3</v>
      </c>
      <c r="AN345" s="1352" t="str">
        <f t="shared" si="22"/>
        <v>vpc601_3_4</v>
      </c>
      <c r="AO345" s="1352">
        <f t="shared" si="23"/>
        <v>0</v>
      </c>
      <c r="AP345" s="1352" t="str">
        <f t="shared" si="24"/>
        <v>vch601_3_4</v>
      </c>
      <c r="AQ345" s="1352" t="str">
        <f t="shared" si="25"/>
        <v/>
      </c>
      <c r="AR345" s="1352" t="str">
        <f t="shared" si="26"/>
        <v>vnt601_3_4</v>
      </c>
      <c r="AS345" s="1352" t="str">
        <f t="shared" si="27"/>
        <v/>
      </c>
      <c r="AX345" s="904" t="str">
        <f>'Overview (Verification)'!A49</f>
        <v>Maximum skylight SHGC:</v>
      </c>
      <c r="AY345" s="905">
        <f>IF(LEN('Overview (Verification)'!P49)=0,0,'Overview (Verification)'!P49)</f>
        <v>0</v>
      </c>
    </row>
    <row r="346" spans="1:52" ht="17" hidden="1" thickBot="1" x14ac:dyDescent="0.25">
      <c r="A346" s="1507">
        <v>6</v>
      </c>
      <c r="B346" s="1524">
        <v>601.29999999999995</v>
      </c>
      <c r="C346" s="1511" t="s">
        <v>263</v>
      </c>
      <c r="D346" s="1511"/>
      <c r="E346" s="1511"/>
      <c r="F346" s="1514"/>
      <c r="G346" s="1509" t="str">
        <f t="shared" si="18"/>
        <v/>
      </c>
      <c r="H346" s="1510" t="s">
        <v>3198</v>
      </c>
      <c r="I346" s="67"/>
      <c r="J346" s="29" t="s">
        <v>263</v>
      </c>
      <c r="K346" s="85"/>
      <c r="L346" s="85" t="s">
        <v>457</v>
      </c>
      <c r="M346" s="911">
        <v>1</v>
      </c>
      <c r="N346" s="250">
        <f>'11.600'!O48</f>
        <v>0</v>
      </c>
      <c r="O346" s="935">
        <f t="shared" si="19"/>
        <v>0</v>
      </c>
      <c r="P346" s="905" t="b">
        <v>1</v>
      </c>
      <c r="Q346" s="905" t="b">
        <v>0</v>
      </c>
      <c r="R346" s="905" t="b">
        <v>0</v>
      </c>
      <c r="S346" s="905" t="b">
        <v>1</v>
      </c>
      <c r="T346" s="905" t="b">
        <v>0</v>
      </c>
      <c r="U346" s="905"/>
      <c r="V346" s="905"/>
      <c r="W346" s="101"/>
      <c r="X346" s="257"/>
      <c r="Y346" s="268" t="str">
        <f>IF(LEN('11.600'!X48)=0,"None",'11.600'!X48)</f>
        <v>None</v>
      </c>
      <c r="Z346" s="717"/>
      <c r="AC346" s="248"/>
      <c r="AD346" s="248"/>
      <c r="AE346" s="248"/>
      <c r="AF346" s="248"/>
      <c r="AG346" s="248"/>
      <c r="AH346" s="248"/>
      <c r="AI346" s="248"/>
      <c r="AJ346" s="248"/>
      <c r="AK346" s="248"/>
      <c r="AL346" s="1352" t="str">
        <f t="shared" si="20"/>
        <v>vpa601_3_5</v>
      </c>
      <c r="AM346" s="1352">
        <f t="shared" si="21"/>
        <v>1</v>
      </c>
      <c r="AN346" s="1352" t="str">
        <f t="shared" si="22"/>
        <v>vpc601_3_5</v>
      </c>
      <c r="AO346" s="1352">
        <f t="shared" si="23"/>
        <v>0</v>
      </c>
      <c r="AP346" s="1352" t="str">
        <f t="shared" si="24"/>
        <v>vch601_3_5</v>
      </c>
      <c r="AQ346" s="1352" t="str">
        <f t="shared" si="25"/>
        <v/>
      </c>
      <c r="AR346" s="1352" t="str">
        <f t="shared" si="26"/>
        <v>vnt601_3_5</v>
      </c>
      <c r="AS346" s="1352" t="str">
        <f t="shared" si="27"/>
        <v/>
      </c>
      <c r="AX346" s="904" t="str">
        <f>'Overview (Verification)'!A50</f>
        <v>Maximum window and door U-value:</v>
      </c>
      <c r="AY346" s="905">
        <f>IF(LEN('Overview (Verification)'!P50)=0,0,'Overview (Verification)'!P50)</f>
        <v>0.28999999999999998</v>
      </c>
    </row>
    <row r="347" spans="1:52" ht="17" hidden="1" thickTop="1" thickBot="1" x14ac:dyDescent="0.25">
      <c r="A347" s="1507">
        <v>6</v>
      </c>
      <c r="B347" s="1524">
        <v>601.4</v>
      </c>
      <c r="C347" s="1511"/>
      <c r="D347" s="1511"/>
      <c r="E347" s="1511"/>
      <c r="F347" s="1514"/>
      <c r="G347" s="1509" t="str">
        <f t="shared" si="18"/>
        <v/>
      </c>
      <c r="H347" s="1510" t="s">
        <v>3198</v>
      </c>
      <c r="I347" s="177" t="s">
        <v>3524</v>
      </c>
      <c r="J347" s="178"/>
      <c r="K347" s="179"/>
      <c r="L347" s="1683" t="s">
        <v>3799</v>
      </c>
      <c r="M347" s="1685">
        <v>4</v>
      </c>
      <c r="N347" s="1770">
        <f>'11.600'!O49</f>
        <v>0</v>
      </c>
      <c r="O347" s="1682">
        <f t="shared" si="19"/>
        <v>0</v>
      </c>
      <c r="P347" s="905" t="b">
        <v>1</v>
      </c>
      <c r="Q347" s="905" t="b">
        <v>0</v>
      </c>
      <c r="R347" s="106" t="b">
        <v>0</v>
      </c>
      <c r="S347" s="106" t="b">
        <v>1</v>
      </c>
      <c r="T347" s="106" t="b">
        <v>0</v>
      </c>
      <c r="U347" s="106"/>
      <c r="V347" s="106"/>
      <c r="W347" s="119"/>
      <c r="X347" s="1603"/>
      <c r="Y347" s="1877" t="str">
        <f>IF(LEN('11.600'!X49)=0,"None",'11.600'!X49)</f>
        <v>None</v>
      </c>
      <c r="Z347" s="1880"/>
      <c r="AC347" s="248"/>
      <c r="AD347" s="248"/>
      <c r="AE347" s="248"/>
      <c r="AF347" s="248"/>
      <c r="AG347" s="248"/>
      <c r="AH347" s="248"/>
      <c r="AI347" s="248"/>
      <c r="AJ347" s="248"/>
      <c r="AK347" s="248"/>
      <c r="AL347" s="1352" t="str">
        <f t="shared" si="20"/>
        <v>vpa601_4</v>
      </c>
      <c r="AM347" s="1352">
        <f t="shared" si="21"/>
        <v>4</v>
      </c>
      <c r="AN347" s="1352" t="str">
        <f t="shared" si="22"/>
        <v>vpc601_4</v>
      </c>
      <c r="AO347" s="1352">
        <f t="shared" si="23"/>
        <v>0</v>
      </c>
      <c r="AP347" s="1352" t="str">
        <f t="shared" si="24"/>
        <v>vch601_4</v>
      </c>
      <c r="AQ347" s="1352" t="str">
        <f t="shared" si="25"/>
        <v/>
      </c>
      <c r="AR347" s="1352" t="str">
        <f t="shared" si="26"/>
        <v>vnt601_4</v>
      </c>
      <c r="AS347" s="1352" t="str">
        <f t="shared" si="27"/>
        <v/>
      </c>
      <c r="AX347" s="904" t="str">
        <f>'Overview (Verification)'!A51</f>
        <v>Maximum skylight U-value:</v>
      </c>
      <c r="AY347" s="905">
        <f>IF(LEN('Overview (Verification)'!P51)=0,0,'Overview (Verification)'!P51)</f>
        <v>0</v>
      </c>
    </row>
    <row r="348" spans="1:52" ht="16" hidden="1" thickBot="1" x14ac:dyDescent="0.25">
      <c r="A348" s="1507">
        <v>6</v>
      </c>
      <c r="B348" s="1524">
        <v>601.4</v>
      </c>
      <c r="C348" s="1511"/>
      <c r="D348" s="1511"/>
      <c r="E348" s="1511"/>
      <c r="F348" s="1514"/>
      <c r="G348" s="1509" t="str">
        <f>G347</f>
        <v/>
      </c>
      <c r="H348" s="1510" t="s">
        <v>3198</v>
      </c>
      <c r="I348" s="130"/>
      <c r="J348" s="129"/>
      <c r="K348" s="97"/>
      <c r="L348" s="1629"/>
      <c r="M348" s="1623"/>
      <c r="N348" s="1755"/>
      <c r="O348" s="1619"/>
      <c r="P348" s="991"/>
      <c r="Q348" s="991"/>
      <c r="R348" s="991"/>
      <c r="S348" s="991"/>
      <c r="T348" s="991"/>
      <c r="U348" s="991"/>
      <c r="V348" s="991"/>
      <c r="W348" s="96"/>
      <c r="X348" s="1601"/>
      <c r="Y348" s="1881"/>
      <c r="Z348" s="1891"/>
      <c r="AC348" s="248"/>
      <c r="AD348" s="248"/>
      <c r="AE348" s="248"/>
      <c r="AF348" s="248"/>
      <c r="AG348" s="248"/>
      <c r="AH348" s="248"/>
      <c r="AI348" s="248"/>
      <c r="AJ348" s="248"/>
      <c r="AK348" s="248"/>
      <c r="AL348" s="1352"/>
      <c r="AM348" s="1352"/>
      <c r="AN348" s="1352"/>
      <c r="AO348" s="1352"/>
      <c r="AP348" s="1352"/>
      <c r="AQ348" s="1352"/>
      <c r="AR348" s="1352"/>
      <c r="AS348" s="1352"/>
      <c r="AX348" s="273" t="str">
        <f>'Overview (Verification)'!A52</f>
        <v>Renewable Energy:</v>
      </c>
      <c r="AY348" s="274">
        <f>IF(LEN('Overview (Verification)'!P52)=0,0,'Overview (Verification)'!P52)</f>
        <v>0</v>
      </c>
    </row>
    <row r="349" spans="1:52" ht="16" hidden="1" thickBot="1" x14ac:dyDescent="0.25">
      <c r="A349" s="1507">
        <v>6</v>
      </c>
      <c r="B349" s="1524">
        <v>601.4</v>
      </c>
      <c r="C349" s="1511"/>
      <c r="D349" s="1511"/>
      <c r="E349" s="1511"/>
      <c r="F349" s="1514"/>
      <c r="G349" s="1509" t="str">
        <f>G348</f>
        <v/>
      </c>
      <c r="H349" s="1510" t="s">
        <v>3198</v>
      </c>
      <c r="I349" s="130"/>
      <c r="J349" s="129"/>
      <c r="K349" s="97"/>
      <c r="L349" s="1629"/>
      <c r="M349" s="1623"/>
      <c r="N349" s="1645"/>
      <c r="O349" s="1619"/>
      <c r="P349" s="991"/>
      <c r="Q349" s="991"/>
      <c r="R349" s="991"/>
      <c r="S349" s="991"/>
      <c r="T349" s="991"/>
      <c r="U349" s="991"/>
      <c r="V349" s="991"/>
      <c r="W349" s="96"/>
      <c r="X349" s="1621"/>
      <c r="Y349" s="1882"/>
      <c r="Z349" s="1892"/>
      <c r="AC349" s="248"/>
      <c r="AD349" s="248"/>
      <c r="AE349" s="248"/>
      <c r="AF349" s="248"/>
      <c r="AG349" s="248"/>
      <c r="AH349" s="248"/>
      <c r="AI349" s="248"/>
      <c r="AJ349" s="248"/>
      <c r="AK349" s="248"/>
      <c r="AL349" s="1352"/>
      <c r="AM349" s="1352"/>
      <c r="AN349" s="1352"/>
      <c r="AO349" s="1352"/>
      <c r="AP349" s="1352"/>
      <c r="AQ349" s="1352"/>
      <c r="AR349" s="1352"/>
      <c r="AS349" s="1352"/>
      <c r="AX349" s="273" t="str">
        <f>'Overview (Verification)'!A53</f>
        <v>Thermal Envelope Insulation:</v>
      </c>
      <c r="AY349" s="274">
        <f>IF(LEN('Overview (Verification)'!P53)=0,0,'Overview (Verification)'!P53)</f>
        <v>0</v>
      </c>
    </row>
    <row r="350" spans="1:52" ht="17" hidden="1" thickTop="1" thickBot="1" x14ac:dyDescent="0.25">
      <c r="A350" s="1507">
        <v>6</v>
      </c>
      <c r="B350" s="1524">
        <v>601.5</v>
      </c>
      <c r="C350" s="1511"/>
      <c r="D350" s="1511"/>
      <c r="E350" s="1511"/>
      <c r="F350" s="1514"/>
      <c r="G350" s="1513" t="str">
        <f>IF(COUNTIF(G355:G358,"P")&gt;0,"P","")</f>
        <v/>
      </c>
      <c r="H350" s="1510" t="s">
        <v>3198</v>
      </c>
      <c r="I350" s="107" t="s">
        <v>3525</v>
      </c>
      <c r="J350" s="178"/>
      <c r="K350" s="179"/>
      <c r="L350" s="1683" t="s">
        <v>3635</v>
      </c>
      <c r="M350" s="1685" t="s">
        <v>458</v>
      </c>
      <c r="N350" s="256"/>
      <c r="O350" s="943"/>
      <c r="P350" s="106"/>
      <c r="Q350" s="106"/>
      <c r="R350" s="106"/>
      <c r="S350" s="106"/>
      <c r="T350" s="106"/>
      <c r="U350" s="106"/>
      <c r="V350" s="106"/>
      <c r="W350" s="106"/>
      <c r="X350" s="183"/>
      <c r="Y350"/>
      <c r="Z350" s="670"/>
      <c r="AC350" s="248"/>
      <c r="AD350" s="248"/>
      <c r="AE350" s="248"/>
      <c r="AF350" s="248"/>
      <c r="AG350" s="248"/>
      <c r="AH350" s="248"/>
      <c r="AI350" s="248"/>
      <c r="AJ350" s="248"/>
      <c r="AK350" s="248"/>
      <c r="AL350" s="1352" t="str">
        <f>SUBSTITUTE(SUBSTITUTE(SUBSTITUTE("vpa"&amp;$B350&amp;$C350&amp;$D350&amp;$E350&amp;$F350,".","_"),"(","_"),")","")</f>
        <v>vpa601_5</v>
      </c>
      <c r="AM350" s="1352" t="str">
        <f>M350</f>
        <v>13 Max</v>
      </c>
      <c r="AN350" s="1352"/>
      <c r="AO350" s="1352"/>
      <c r="AP350" s="1352"/>
      <c r="AQ350" s="1352"/>
      <c r="AR350" s="1352"/>
      <c r="AS350" s="1352"/>
      <c r="AX350" s="273" t="str">
        <f>'Overview (Verification)'!A54</f>
        <v>Attic Type:</v>
      </c>
      <c r="AY350" s="274" t="str">
        <f>IF(LEN('Overview (Verification)'!P54)=0,0,'Overview (Verification)'!P54)</f>
        <v>Vented</v>
      </c>
    </row>
    <row r="351" spans="1:52" ht="16" hidden="1" thickBot="1" x14ac:dyDescent="0.25">
      <c r="A351" s="1507">
        <v>6</v>
      </c>
      <c r="B351" s="1524">
        <v>601.5</v>
      </c>
      <c r="C351" s="1511"/>
      <c r="D351" s="1511"/>
      <c r="E351" s="1511"/>
      <c r="F351" s="1514"/>
      <c r="G351" s="1509" t="str">
        <f>G350</f>
        <v/>
      </c>
      <c r="H351" s="1510" t="s">
        <v>3198</v>
      </c>
      <c r="I351" s="130"/>
      <c r="J351" s="129"/>
      <c r="K351" s="97"/>
      <c r="L351" s="1629"/>
      <c r="M351" s="1623"/>
      <c r="N351" s="251"/>
      <c r="O351" s="908"/>
      <c r="P351" s="991"/>
      <c r="Q351" s="991"/>
      <c r="R351" s="991"/>
      <c r="S351" s="991"/>
      <c r="T351" s="991"/>
      <c r="U351" s="991"/>
      <c r="V351" s="991"/>
      <c r="W351" s="96"/>
      <c r="X351" s="114"/>
      <c r="Y351"/>
      <c r="Z351" s="670"/>
      <c r="AC351" s="248"/>
      <c r="AD351" s="248"/>
      <c r="AE351" s="248"/>
      <c r="AF351" s="248"/>
      <c r="AG351" s="248"/>
      <c r="AH351" s="248"/>
      <c r="AI351" s="248"/>
      <c r="AJ351" s="248"/>
      <c r="AK351" s="248"/>
      <c r="AL351" s="1352"/>
      <c r="AM351" s="1352"/>
      <c r="AN351" s="1352"/>
      <c r="AO351" s="1352"/>
      <c r="AP351" s="1352"/>
      <c r="AQ351" s="1352"/>
      <c r="AR351" s="1352"/>
      <c r="AS351" s="1352"/>
      <c r="AX351" s="273" t="str">
        <f>'Overview (Verification)'!A55</f>
        <v>Attached Garage:</v>
      </c>
      <c r="AY351" s="274" t="str">
        <f>IF(LEN('Overview (Verification)'!P55)=0,0,'Overview (Verification)'!P55)</f>
        <v>No</v>
      </c>
    </row>
    <row r="352" spans="1:52" ht="16" hidden="1" thickBot="1" x14ac:dyDescent="0.25">
      <c r="A352" s="1507">
        <v>6</v>
      </c>
      <c r="B352" s="1524">
        <v>601.5</v>
      </c>
      <c r="C352" s="1511"/>
      <c r="D352" s="1511"/>
      <c r="E352" s="1511"/>
      <c r="F352" s="1514"/>
      <c r="G352" s="1509" t="str">
        <f>G351</f>
        <v/>
      </c>
      <c r="H352" s="1510" t="s">
        <v>3198</v>
      </c>
      <c r="I352" s="130"/>
      <c r="J352" s="129"/>
      <c r="K352" s="97"/>
      <c r="L352" s="1629"/>
      <c r="M352" s="1623"/>
      <c r="N352" s="251"/>
      <c r="O352" s="908"/>
      <c r="P352" s="991"/>
      <c r="Q352" s="991"/>
      <c r="R352" s="991"/>
      <c r="S352" s="991"/>
      <c r="T352" s="991"/>
      <c r="U352" s="991"/>
      <c r="V352" s="991"/>
      <c r="W352" s="96"/>
      <c r="X352" s="114"/>
      <c r="Y352"/>
      <c r="Z352" s="670"/>
      <c r="AC352" s="248"/>
      <c r="AD352" s="248"/>
      <c r="AE352" s="248"/>
      <c r="AF352" s="248"/>
      <c r="AG352" s="248"/>
      <c r="AH352" s="248"/>
      <c r="AI352" s="248"/>
      <c r="AJ352" s="248"/>
      <c r="AK352" s="248"/>
      <c r="AL352" s="1352"/>
      <c r="AM352" s="1352"/>
      <c r="AN352" s="1352"/>
      <c r="AO352" s="1352"/>
      <c r="AP352" s="1352"/>
      <c r="AQ352" s="1352"/>
      <c r="AR352" s="1352"/>
      <c r="AS352" s="1352"/>
      <c r="AX352" s="273" t="str">
        <f>'Overview (Verification)'!A56</f>
        <v>Recessed Lighting:</v>
      </c>
      <c r="AY352" s="274">
        <f>IF(LEN('Overview (Verification)'!P56)=0,0,'Overview (Verification)'!P56)</f>
        <v>0</v>
      </c>
    </row>
    <row r="353" spans="1:52" s="746" customFormat="1" ht="16" hidden="1" thickBot="1" x14ac:dyDescent="0.25">
      <c r="A353" s="1507">
        <v>6</v>
      </c>
      <c r="B353" s="1524">
        <v>601.5</v>
      </c>
      <c r="C353" s="1511"/>
      <c r="D353" s="1511"/>
      <c r="E353" s="1511"/>
      <c r="F353" s="1514"/>
      <c r="G353" s="1509" t="str">
        <f>G352</f>
        <v/>
      </c>
      <c r="H353" s="1510" t="s">
        <v>3198</v>
      </c>
      <c r="I353" s="130"/>
      <c r="J353" s="129"/>
      <c r="K353" s="97"/>
      <c r="L353" s="1705" t="s">
        <v>3816</v>
      </c>
      <c r="M353" s="913"/>
      <c r="N353" s="750"/>
      <c r="O353" s="908"/>
      <c r="P353" s="991"/>
      <c r="Q353" s="991"/>
      <c r="R353" s="991"/>
      <c r="S353" s="991"/>
      <c r="T353" s="991"/>
      <c r="U353" s="991"/>
      <c r="V353" s="991"/>
      <c r="W353" s="96"/>
      <c r="X353" s="114"/>
      <c r="Z353" s="670"/>
      <c r="AL353" s="1352"/>
      <c r="AM353" s="1352"/>
      <c r="AN353" s="1352"/>
      <c r="AO353" s="1352"/>
      <c r="AP353" s="1352"/>
      <c r="AQ353" s="1352"/>
      <c r="AR353" s="1352"/>
      <c r="AS353" s="1352"/>
      <c r="AX353" s="273"/>
      <c r="AY353" s="274"/>
      <c r="AZ353"/>
    </row>
    <row r="354" spans="1:52" s="746" customFormat="1" ht="16" hidden="1" thickBot="1" x14ac:dyDescent="0.25">
      <c r="A354" s="1507">
        <v>6</v>
      </c>
      <c r="B354" s="1524">
        <v>601.5</v>
      </c>
      <c r="C354" s="1511"/>
      <c r="D354" s="1511"/>
      <c r="E354" s="1511"/>
      <c r="F354" s="1514"/>
      <c r="G354" s="1509" t="str">
        <f>G353</f>
        <v/>
      </c>
      <c r="H354" s="1510" t="s">
        <v>3198</v>
      </c>
      <c r="I354" s="130"/>
      <c r="J354" s="129"/>
      <c r="K354" s="97"/>
      <c r="L354" s="1705"/>
      <c r="M354" s="913"/>
      <c r="N354" s="750"/>
      <c r="O354" s="908"/>
      <c r="P354" s="991"/>
      <c r="Q354" s="991"/>
      <c r="R354" s="991"/>
      <c r="S354" s="991"/>
      <c r="T354" s="991"/>
      <c r="U354" s="991"/>
      <c r="V354" s="991"/>
      <c r="W354" s="96"/>
      <c r="X354" s="114"/>
      <c r="Z354" s="670"/>
      <c r="AL354" s="1352"/>
      <c r="AM354" s="1352"/>
      <c r="AN354" s="1352"/>
      <c r="AO354" s="1352"/>
      <c r="AP354" s="1352"/>
      <c r="AQ354" s="1352"/>
      <c r="AR354" s="1352"/>
      <c r="AS354" s="1352"/>
      <c r="AX354" s="273" t="str">
        <f>'Overview (Verification)'!A58</f>
        <v>Special Design Features:</v>
      </c>
      <c r="AY354" s="274"/>
      <c r="AZ354"/>
    </row>
    <row r="355" spans="1:52" ht="17" hidden="1" thickBot="1" x14ac:dyDescent="0.25">
      <c r="A355" s="1507">
        <v>6</v>
      </c>
      <c r="B355" s="1524">
        <v>601.5</v>
      </c>
      <c r="C355" s="1511" t="s">
        <v>254</v>
      </c>
      <c r="D355" s="1511"/>
      <c r="E355" s="1511"/>
      <c r="F355" s="1514"/>
      <c r="G355" s="1509" t="str">
        <f>IF(N355&gt;0,"P","")</f>
        <v/>
      </c>
      <c r="H355" s="1510" t="s">
        <v>3198</v>
      </c>
      <c r="I355" s="67"/>
      <c r="J355" s="207" t="s">
        <v>254</v>
      </c>
      <c r="K355" s="170"/>
      <c r="L355" s="170" t="s">
        <v>459</v>
      </c>
      <c r="M355" s="937">
        <v>4</v>
      </c>
      <c r="N355" s="252">
        <f>'11.600'!O57</f>
        <v>0</v>
      </c>
      <c r="O355" s="909">
        <f>M355*S355*W355</f>
        <v>0</v>
      </c>
      <c r="P355" s="905" t="b">
        <v>1</v>
      </c>
      <c r="Q355" s="905" t="b">
        <v>0</v>
      </c>
      <c r="R355" s="905" t="b">
        <v>0</v>
      </c>
      <c r="S355" s="722" t="b">
        <f>NOT(W358=TRUE)</f>
        <v>1</v>
      </c>
      <c r="T355" s="991" t="b">
        <f>AND(NOT(S355),W355=TRUE)</f>
        <v>0</v>
      </c>
      <c r="U355" s="905"/>
      <c r="V355" s="905"/>
      <c r="W355" s="27"/>
      <c r="X355" s="249"/>
      <c r="Y355" s="267" t="str">
        <f>IF(LEN('11.600'!X57)=0,"None",'11.600'!X57)</f>
        <v>None</v>
      </c>
      <c r="Z355" s="715"/>
      <c r="AC355" s="248" t="b">
        <f>OR(AD355:AE355)</f>
        <v>0</v>
      </c>
      <c r="AD355" s="248" t="b">
        <f>T355</f>
        <v>0</v>
      </c>
      <c r="AE355" s="248" t="b">
        <v>0</v>
      </c>
      <c r="AF355" s="720" t="b">
        <f>AND(AE355,NOT(Q355))</f>
        <v>0</v>
      </c>
      <c r="AG355" s="248"/>
      <c r="AH355" s="248"/>
      <c r="AI355" s="248"/>
      <c r="AJ355" s="248"/>
      <c r="AK355" s="248"/>
      <c r="AL355" s="1352" t="str">
        <f>SUBSTITUTE(SUBSTITUTE(SUBSTITUTE("vpa"&amp;$B355&amp;$C355&amp;$D355&amp;$E355&amp;$F355,".","_"),"(","_"),")","")</f>
        <v>vpa601_5_1</v>
      </c>
      <c r="AM355" s="1352">
        <f>M355</f>
        <v>4</v>
      </c>
      <c r="AN355" s="1352" t="str">
        <f>SUBSTITUTE(SUBSTITUTE(SUBSTITUTE("vpc"&amp;$B355&amp;$C355&amp;$D355&amp;$E355&amp;$F355,".","_"),"(","_"),")","")</f>
        <v>vpc601_5_1</v>
      </c>
      <c r="AO355" s="1352">
        <f>O355</f>
        <v>0</v>
      </c>
      <c r="AP355" s="1352" t="str">
        <f>SUBSTITUTE(SUBSTITUTE(SUBSTITUTE("vch"&amp;$B355&amp;$C355&amp;$D355&amp;$E355&amp;$F355,".","_"),"(","_"),")","")</f>
        <v>vch601_5_1</v>
      </c>
      <c r="AQ355" s="1352" t="str">
        <f>IF(LEN(W355)=0,"",W355)</f>
        <v/>
      </c>
      <c r="AR355" s="1352" t="str">
        <f>SUBSTITUTE(SUBSTITUTE(SUBSTITUTE("vnt"&amp;$B355&amp;$C355&amp;$D355&amp;$E355&amp;$F355,".","_"),"(","_"),")","")</f>
        <v>vnt601_5_1</v>
      </c>
      <c r="AS355" s="1352" t="str">
        <f>IF(LEN(X355)=0,"",X355)</f>
        <v/>
      </c>
      <c r="AX355" s="273" t="str">
        <f>'Overview (Verification)'!A59</f>
        <v>Passive Solar:</v>
      </c>
      <c r="AY355" s="274">
        <f>IF(LEN('Overview (Verification)'!P59)=0,0,'Overview (Verification)'!P59)</f>
        <v>0</v>
      </c>
    </row>
    <row r="356" spans="1:52" ht="17" hidden="1" thickBot="1" x14ac:dyDescent="0.25">
      <c r="A356" s="1507">
        <v>6</v>
      </c>
      <c r="B356" s="1524">
        <v>601.5</v>
      </c>
      <c r="C356" s="1511" t="s">
        <v>255</v>
      </c>
      <c r="D356" s="1511"/>
      <c r="E356" s="1511"/>
      <c r="F356" s="1514"/>
      <c r="G356" s="1509" t="str">
        <f>IF(N356&gt;0,"P","")</f>
        <v/>
      </c>
      <c r="H356" s="1510" t="s">
        <v>3198</v>
      </c>
      <c r="I356" s="67"/>
      <c r="J356" s="209" t="s">
        <v>255</v>
      </c>
      <c r="K356" s="210"/>
      <c r="L356" s="210" t="s">
        <v>460</v>
      </c>
      <c r="M356" s="379">
        <v>4</v>
      </c>
      <c r="N356" s="215">
        <f>'11.600'!O58</f>
        <v>0</v>
      </c>
      <c r="O356" s="378">
        <f>M356*S356*W356</f>
        <v>0</v>
      </c>
      <c r="P356" s="905" t="b">
        <v>1</v>
      </c>
      <c r="Q356" s="905" t="b">
        <v>0</v>
      </c>
      <c r="R356" s="905" t="b">
        <v>0</v>
      </c>
      <c r="S356" s="722" t="b">
        <f>NOT(W358=TRUE)</f>
        <v>1</v>
      </c>
      <c r="T356" s="991" t="b">
        <f>AND(NOT(S356),W356=TRUE)</f>
        <v>0</v>
      </c>
      <c r="U356" s="905"/>
      <c r="V356" s="905"/>
      <c r="W356" s="27"/>
      <c r="X356" s="249"/>
      <c r="Y356" s="267" t="str">
        <f>IF(LEN('11.600'!X58)=0,"None",'11.600'!X58)</f>
        <v>None</v>
      </c>
      <c r="Z356" s="715"/>
      <c r="AC356" s="248" t="b">
        <f>OR(AD356:AE356)</f>
        <v>0</v>
      </c>
      <c r="AD356" s="248" t="b">
        <f>T356</f>
        <v>0</v>
      </c>
      <c r="AE356" s="248" t="b">
        <v>0</v>
      </c>
      <c r="AF356" s="720" t="b">
        <f>AND(AE356,NOT(Q356))</f>
        <v>0</v>
      </c>
      <c r="AG356" s="248"/>
      <c r="AH356" s="248"/>
      <c r="AI356" s="248"/>
      <c r="AJ356" s="248"/>
      <c r="AK356" s="248"/>
      <c r="AL356" s="1352" t="str">
        <f>SUBSTITUTE(SUBSTITUTE(SUBSTITUTE("vpa"&amp;$B356&amp;$C356&amp;$D356&amp;$E356&amp;$F356,".","_"),"(","_"),")","")</f>
        <v>vpa601_5_2</v>
      </c>
      <c r="AM356" s="1352">
        <f>M356</f>
        <v>4</v>
      </c>
      <c r="AN356" s="1352" t="str">
        <f>SUBSTITUTE(SUBSTITUTE(SUBSTITUTE("vpc"&amp;$B356&amp;$C356&amp;$D356&amp;$E356&amp;$F356,".","_"),"(","_"),")","")</f>
        <v>vpc601_5_2</v>
      </c>
      <c r="AO356" s="1352">
        <f>O356</f>
        <v>0</v>
      </c>
      <c r="AP356" s="1352" t="str">
        <f>SUBSTITUTE(SUBSTITUTE(SUBSTITUTE("vch"&amp;$B356&amp;$C356&amp;$D356&amp;$E356&amp;$F356,".","_"),"(","_"),")","")</f>
        <v>vch601_5_2</v>
      </c>
      <c r="AQ356" s="1352" t="str">
        <f>IF(LEN(W356)=0,"",W356)</f>
        <v/>
      </c>
      <c r="AR356" s="1352" t="str">
        <f>SUBSTITUTE(SUBSTITUTE(SUBSTITUTE("vnt"&amp;$B356&amp;$C356&amp;$D356&amp;$E356&amp;$F356,".","_"),"(","_"),")","")</f>
        <v>vnt601_5_2</v>
      </c>
      <c r="AS356" s="1352" t="str">
        <f>IF(LEN(X356)=0,"",X356)</f>
        <v/>
      </c>
      <c r="AX356" s="273" t="str">
        <f>'Overview (Verification)'!A60</f>
        <v>Mass Walls:</v>
      </c>
      <c r="AY356" s="274">
        <f>IF(LEN('Overview (Verification)'!P60)=0,0,'Overview (Verification)'!P60)</f>
        <v>0</v>
      </c>
      <c r="AZ356" s="746"/>
    </row>
    <row r="357" spans="1:52" ht="17" hidden="1" thickBot="1" x14ac:dyDescent="0.25">
      <c r="A357" s="1507">
        <v>6</v>
      </c>
      <c r="B357" s="1524">
        <v>601.5</v>
      </c>
      <c r="C357" s="1511" t="s">
        <v>256</v>
      </c>
      <c r="D357" s="1511"/>
      <c r="E357" s="1511"/>
      <c r="F357" s="1514"/>
      <c r="G357" s="1509" t="str">
        <f>IF(N357&gt;0,"P","")</f>
        <v/>
      </c>
      <c r="H357" s="1510" t="s">
        <v>3198</v>
      </c>
      <c r="I357" s="67"/>
      <c r="J357" s="209" t="s">
        <v>256</v>
      </c>
      <c r="K357" s="210"/>
      <c r="L357" s="210" t="s">
        <v>461</v>
      </c>
      <c r="M357" s="379">
        <v>4</v>
      </c>
      <c r="N357" s="215">
        <f>'11.600'!O59</f>
        <v>0</v>
      </c>
      <c r="O357" s="378">
        <f>M357*S357*W357</f>
        <v>0</v>
      </c>
      <c r="P357" s="905" t="b">
        <v>1</v>
      </c>
      <c r="Q357" s="905" t="b">
        <v>0</v>
      </c>
      <c r="R357" s="905" t="b">
        <v>0</v>
      </c>
      <c r="S357" s="722" t="b">
        <f>NOT(W358=TRUE)</f>
        <v>1</v>
      </c>
      <c r="T357" s="991" t="b">
        <f>AND(NOT(S357),W357=TRUE)</f>
        <v>0</v>
      </c>
      <c r="U357" s="905"/>
      <c r="V357" s="905"/>
      <c r="W357" s="27"/>
      <c r="X357" s="249"/>
      <c r="Y357" s="267" t="str">
        <f>IF(LEN('11.600'!X59)=0,"None",'11.600'!X59)</f>
        <v>None</v>
      </c>
      <c r="Z357" s="715"/>
      <c r="AC357" s="248" t="b">
        <f>OR(AD357:AE357)</f>
        <v>0</v>
      </c>
      <c r="AD357" s="248" t="b">
        <f>T357</f>
        <v>0</v>
      </c>
      <c r="AE357" s="248" t="b">
        <v>0</v>
      </c>
      <c r="AF357" s="720" t="b">
        <f>AND(AE357,NOT(Q357))</f>
        <v>0</v>
      </c>
      <c r="AG357" s="248"/>
      <c r="AH357" s="248"/>
      <c r="AI357" s="248"/>
      <c r="AJ357" s="248"/>
      <c r="AK357" s="248"/>
      <c r="AL357" s="1352" t="str">
        <f>SUBSTITUTE(SUBSTITUTE(SUBSTITUTE("vpa"&amp;$B357&amp;$C357&amp;$D357&amp;$E357&amp;$F357,".","_"),"(","_"),")","")</f>
        <v>vpa601_5_3</v>
      </c>
      <c r="AM357" s="1352">
        <f>M357</f>
        <v>4</v>
      </c>
      <c r="AN357" s="1352" t="str">
        <f>SUBSTITUTE(SUBSTITUTE(SUBSTITUTE("vpc"&amp;$B357&amp;$C357&amp;$D357&amp;$E357&amp;$F357,".","_"),"(","_"),")","")</f>
        <v>vpc601_5_3</v>
      </c>
      <c r="AO357" s="1352">
        <f>O357</f>
        <v>0</v>
      </c>
      <c r="AP357" s="1352" t="str">
        <f>SUBSTITUTE(SUBSTITUTE(SUBSTITUTE("vch"&amp;$B357&amp;$C357&amp;$D357&amp;$E357&amp;$F357,".","_"),"(","_"),")","")</f>
        <v>vch601_5_3</v>
      </c>
      <c r="AQ357" s="1352" t="str">
        <f>IF(LEN(W357)=0,"",W357)</f>
        <v/>
      </c>
      <c r="AR357" s="1352" t="str">
        <f>SUBSTITUTE(SUBSTITUTE(SUBSTITUTE("vnt"&amp;$B357&amp;$C357&amp;$D357&amp;$E357&amp;$F357,".","_"),"(","_"),")","")</f>
        <v>vnt601_5_3</v>
      </c>
      <c r="AS357" s="1352" t="str">
        <f>IF(LEN(X357)=0,"",X357)</f>
        <v/>
      </c>
      <c r="AX357" s="273" t="str">
        <f>'Overview (Verification)'!A61</f>
        <v>Radiant/Hydronic:</v>
      </c>
      <c r="AY357" s="274">
        <f>IF(LEN('Overview (Verification)'!P61)=0,0,'Overview (Verification)'!P61)</f>
        <v>0</v>
      </c>
      <c r="AZ357" s="746"/>
    </row>
    <row r="358" spans="1:52" ht="17" hidden="1" thickBot="1" x14ac:dyDescent="0.25">
      <c r="A358" s="1507">
        <v>6</v>
      </c>
      <c r="B358" s="1524">
        <v>601.5</v>
      </c>
      <c r="C358" s="1511" t="s">
        <v>259</v>
      </c>
      <c r="D358" s="1511"/>
      <c r="E358" s="1511"/>
      <c r="F358" s="1514"/>
      <c r="G358" s="1509" t="str">
        <f>IF(N358&gt;0,"P","")</f>
        <v/>
      </c>
      <c r="H358" s="1510" t="s">
        <v>3198</v>
      </c>
      <c r="I358" s="67"/>
      <c r="J358" s="209" t="s">
        <v>259</v>
      </c>
      <c r="K358" s="210"/>
      <c r="L358" s="210" t="s">
        <v>3800</v>
      </c>
      <c r="M358" s="379">
        <v>13</v>
      </c>
      <c r="N358" s="215">
        <f>'11.600'!O60</f>
        <v>0</v>
      </c>
      <c r="O358" s="378">
        <f>M358*S358*W358</f>
        <v>0</v>
      </c>
      <c r="P358" s="905" t="b">
        <v>1</v>
      </c>
      <c r="Q358" s="905" t="b">
        <v>0</v>
      </c>
      <c r="R358" s="905" t="b">
        <v>0</v>
      </c>
      <c r="S358" s="722" t="b">
        <f>NOT(OR(W355=TRUE,W356=TRUE,W357=TRUE))</f>
        <v>1</v>
      </c>
      <c r="T358" s="991" t="b">
        <f>AND(NOT(S358),W358=TRUE)</f>
        <v>0</v>
      </c>
      <c r="U358" s="905"/>
      <c r="V358" s="905"/>
      <c r="W358" s="27"/>
      <c r="X358" s="249"/>
      <c r="Y358" s="1137" t="str">
        <f>IF(LEN('11.600'!X60)=0,"None",'11.600'!X60)</f>
        <v>None</v>
      </c>
      <c r="Z358" s="1138"/>
      <c r="AC358" s="248" t="b">
        <f>OR(AD358:AE358)</f>
        <v>0</v>
      </c>
      <c r="AD358" s="248" t="b">
        <f>T358</f>
        <v>0</v>
      </c>
      <c r="AE358" s="248" t="b">
        <v>0</v>
      </c>
      <c r="AF358" s="720" t="b">
        <f>AND(AE358,NOT(Q358))</f>
        <v>0</v>
      </c>
      <c r="AG358" s="248"/>
      <c r="AH358" s="248"/>
      <c r="AI358" s="248"/>
      <c r="AJ358" s="248"/>
      <c r="AK358" s="248"/>
      <c r="AL358" s="1352" t="str">
        <f>SUBSTITUTE(SUBSTITUTE(SUBSTITUTE("vpa"&amp;$B358&amp;$C358&amp;$D358&amp;$E358&amp;$F358,".","_"),"(","_"),")","")</f>
        <v>vpa601_5_4</v>
      </c>
      <c r="AM358" s="1352">
        <f>M358</f>
        <v>13</v>
      </c>
      <c r="AN358" s="1352" t="str">
        <f>SUBSTITUTE(SUBSTITUTE(SUBSTITUTE("vpc"&amp;$B358&amp;$C358&amp;$D358&amp;$E358&amp;$F358,".","_"),"(","_"),")","")</f>
        <v>vpc601_5_4</v>
      </c>
      <c r="AO358" s="1352">
        <f>O358</f>
        <v>0</v>
      </c>
      <c r="AP358" s="1352" t="str">
        <f>SUBSTITUTE(SUBSTITUTE(SUBSTITUTE("vch"&amp;$B358&amp;$C358&amp;$D358&amp;$E358&amp;$F358,".","_"),"(","_"),")","")</f>
        <v>vch601_5_4</v>
      </c>
      <c r="AQ358" s="1352" t="str">
        <f>IF(LEN(W358)=0,"",W358)</f>
        <v/>
      </c>
      <c r="AR358" s="1352" t="str">
        <f>SUBSTITUTE(SUBSTITUTE(SUBSTITUTE("vnt"&amp;$B358&amp;$C358&amp;$D358&amp;$E358&amp;$F358,".","_"),"(","_"),")","")</f>
        <v>vnt601_5_4</v>
      </c>
      <c r="AS358" s="1352" t="str">
        <f>IF(LEN(X358)=0,"",X358)</f>
        <v/>
      </c>
      <c r="AX358" s="273" t="str">
        <f>'Overview (Verification)'!A62</f>
        <v>Tankless Water Heater:</v>
      </c>
      <c r="AY358" s="274">
        <f>IF(LEN('Overview (Verification)'!P62)=0,0,'Overview (Verification)'!P62)</f>
        <v>0</v>
      </c>
    </row>
    <row r="359" spans="1:52" ht="16" thickTop="1" x14ac:dyDescent="0.2">
      <c r="A359" s="1507">
        <v>6</v>
      </c>
      <c r="B359" s="1524">
        <v>601.6</v>
      </c>
      <c r="C359" s="1511"/>
      <c r="D359" s="1511"/>
      <c r="E359" s="1511"/>
      <c r="F359" s="1514"/>
      <c r="G359" s="1509" t="str">
        <f ca="1">IF(N359&gt;0,"P","")</f>
        <v>P</v>
      </c>
      <c r="H359" s="1510" t="s">
        <v>3198</v>
      </c>
      <c r="I359" s="177" t="s">
        <v>3526</v>
      </c>
      <c r="J359" s="178"/>
      <c r="K359" s="179"/>
      <c r="L359" s="1683" t="s">
        <v>3634</v>
      </c>
      <c r="M359" s="1685" t="s">
        <v>462</v>
      </c>
      <c r="N359" s="1770">
        <f ca="1">'11.600'!O61</f>
        <v>4</v>
      </c>
      <c r="O359" s="1682">
        <f ca="1">IFERROR(INDEX({4,6,8},MATCH(W360,INDIRECT(U360),0)),0)</f>
        <v>4</v>
      </c>
      <c r="P359" s="106"/>
      <c r="Q359" s="106"/>
      <c r="R359" s="106"/>
      <c r="S359" s="106"/>
      <c r="T359" s="106"/>
      <c r="U359" s="106"/>
      <c r="V359" s="106"/>
      <c r="W359" s="106" t="s">
        <v>5022</v>
      </c>
      <c r="X359" s="1603"/>
      <c r="Y359" s="1877" t="str">
        <f>IF(LEN('11.600'!X61)=0,"None",'11.600'!X61)</f>
        <v>None</v>
      </c>
      <c r="Z359" s="1880"/>
      <c r="AA359" s="707" t="e">
        <f>'Photo Review'!#REF!</f>
        <v>#REF!</v>
      </c>
      <c r="AC359" s="248"/>
      <c r="AD359" s="248"/>
      <c r="AE359" s="248"/>
      <c r="AF359" s="248"/>
      <c r="AG359" s="248"/>
      <c r="AH359" s="248"/>
      <c r="AI359" s="248"/>
      <c r="AJ359" s="248"/>
      <c r="AK359" s="248"/>
      <c r="AL359" s="1352" t="str">
        <f>SUBSTITUTE(SUBSTITUTE(SUBSTITUTE("vpa"&amp;$B359&amp;$C359&amp;$D359&amp;$E359&amp;$F359,".","_"),"(","_"),")","")</f>
        <v>vpa601_6</v>
      </c>
      <c r="AM359" s="1352" t="str">
        <f>M359</f>
        <v>8 Max</v>
      </c>
      <c r="AN359" s="1352" t="str">
        <f>SUBSTITUTE(SUBSTITUTE(SUBSTITUTE("vpc"&amp;$B359&amp;$C359&amp;$D359&amp;$E359&amp;$F359,".","_"),"(","_"),")","")</f>
        <v>vpc601_6</v>
      </c>
      <c r="AO359" s="1352">
        <f ca="1">O359</f>
        <v>4</v>
      </c>
      <c r="AP359" s="1352"/>
      <c r="AQ359" s="1352"/>
      <c r="AR359" s="1352" t="str">
        <f>SUBSTITUTE(SUBSTITUTE(SUBSTITUTE("vnt"&amp;$B359&amp;$C359&amp;$D359&amp;$E359&amp;$F359,".","_"),"(","_"),")","")</f>
        <v>vnt601_6</v>
      </c>
      <c r="AS359" s="1352" t="str">
        <f>IF(LEN(X359)=0,"",X359)</f>
        <v/>
      </c>
      <c r="AX359" s="273" t="str">
        <f>'Overview (Verification)'!A63</f>
        <v>Composting Toilet:</v>
      </c>
      <c r="AY359" s="274">
        <f>IF(LEN('Overview (Verification)'!P63)=0,0,'Overview (Verification)'!P63)</f>
        <v>0</v>
      </c>
    </row>
    <row r="360" spans="1:52" x14ac:dyDescent="0.2">
      <c r="A360" s="1507">
        <v>6</v>
      </c>
      <c r="B360" s="1524">
        <v>601.6</v>
      </c>
      <c r="C360" s="1511"/>
      <c r="D360" s="1511"/>
      <c r="E360" s="1511"/>
      <c r="F360" s="1514"/>
      <c r="G360" s="1509" t="str">
        <f ca="1">G359</f>
        <v>P</v>
      </c>
      <c r="H360" s="1510" t="s">
        <v>3198</v>
      </c>
      <c r="I360" s="130"/>
      <c r="J360" s="129"/>
      <c r="K360" s="97"/>
      <c r="L360" s="1629"/>
      <c r="M360" s="1623"/>
      <c r="N360" s="1755"/>
      <c r="O360" s="1619"/>
      <c r="P360" s="905" t="b">
        <v>1</v>
      </c>
      <c r="Q360" s="905" t="b">
        <v>0</v>
      </c>
      <c r="R360" s="991" t="b">
        <v>0</v>
      </c>
      <c r="S360" s="991" t="b">
        <v>1</v>
      </c>
      <c r="T360" s="991" t="b">
        <v>0</v>
      </c>
      <c r="U360" s="991" t="str">
        <f>SUBSTITUTE(SUBSTITUTE(SUBSTITUTE("dd"&amp;B360&amp;C360&amp;D360&amp;E360&amp;F360,".","_"),"(","_"),")","")</f>
        <v>dd601_6</v>
      </c>
      <c r="V360" s="991"/>
      <c r="W360" s="1225" t="str">
        <f ca="1">IFERROR(INDEX(INDIRECT(U360),MIN(S362-1,3)),"no stacked stories")</f>
        <v>2 story bldg.</v>
      </c>
      <c r="X360" s="1601"/>
      <c r="Y360" s="1881"/>
      <c r="Z360" s="1891"/>
      <c r="AC360" s="248"/>
      <c r="AD360" s="248"/>
      <c r="AE360" s="248"/>
      <c r="AF360" s="248"/>
      <c r="AG360" s="248"/>
      <c r="AH360" s="248"/>
      <c r="AI360" s="248"/>
      <c r="AJ360" s="248"/>
      <c r="AK360" s="248"/>
      <c r="AL360" s="1352"/>
      <c r="AM360" s="1352"/>
      <c r="AN360" s="1352"/>
      <c r="AO360" s="1352"/>
      <c r="AP360" s="1352" t="str">
        <f>SUBSTITUTE(SUBSTITUTE(SUBSTITUTE("vch"&amp;$B360&amp;$C360&amp;$D360&amp;$E360&amp;$F360,".","_"),"(","_"),")","")</f>
        <v>vch601_6</v>
      </c>
      <c r="AQ360" s="1352" t="str">
        <f ca="1">IF(LEN(W360)=0,"",W360)</f>
        <v>2 story bldg.</v>
      </c>
      <c r="AR360" s="1352"/>
      <c r="AS360" s="1352"/>
      <c r="AX360" s="273"/>
      <c r="AY360" s="274"/>
    </row>
    <row r="361" spans="1:52" x14ac:dyDescent="0.2">
      <c r="A361" s="1507">
        <v>6</v>
      </c>
      <c r="B361" s="1524">
        <v>601.6</v>
      </c>
      <c r="C361" s="1511"/>
      <c r="D361" s="1511"/>
      <c r="E361" s="1511"/>
      <c r="F361" s="1514"/>
      <c r="G361" s="1509" t="str">
        <f ca="1">G360</f>
        <v>P</v>
      </c>
      <c r="H361" s="1510" t="s">
        <v>3198</v>
      </c>
      <c r="I361" s="130"/>
      <c r="J361" s="129"/>
      <c r="K361" s="97"/>
      <c r="L361" s="1629"/>
      <c r="M361" s="1623"/>
      <c r="N361" s="1755"/>
      <c r="O361" s="1619"/>
      <c r="P361" s="991"/>
      <c r="Q361" s="991"/>
      <c r="R361" s="991"/>
      <c r="S361" s="1" t="s">
        <v>5021</v>
      </c>
      <c r="T361" s="991"/>
      <c r="U361" s="991"/>
      <c r="V361" s="991"/>
      <c r="W361" s="96"/>
      <c r="X361" s="1601"/>
      <c r="Y361" s="1881"/>
      <c r="Z361" s="1891"/>
      <c r="AC361" s="248"/>
      <c r="AD361" s="248"/>
      <c r="AE361" s="248"/>
      <c r="AF361" s="248"/>
      <c r="AG361" s="248"/>
      <c r="AH361" s="248"/>
      <c r="AI361" s="248"/>
      <c r="AJ361" s="248"/>
      <c r="AK361" s="248"/>
      <c r="AL361" s="1352"/>
      <c r="AM361" s="1352"/>
      <c r="AN361" s="1352"/>
      <c r="AO361" s="1352"/>
      <c r="AP361" s="1352"/>
      <c r="AQ361" s="1352"/>
      <c r="AR361" s="1352"/>
      <c r="AS361" s="1352"/>
      <c r="AX361" s="273" t="str">
        <f>'Overview (Verification)'!A65</f>
        <v>Local Energy Code:</v>
      </c>
      <c r="AY361" s="274" t="str">
        <f>IF(LEN('Overview (Verification)'!P65)=0,0,'Overview (Verification)'!P65)</f>
        <v>2015 IECC</v>
      </c>
    </row>
    <row r="362" spans="1:52" x14ac:dyDescent="0.2">
      <c r="A362" s="1507">
        <v>6</v>
      </c>
      <c r="B362" s="1524">
        <v>601.6</v>
      </c>
      <c r="C362" s="1511" t="s">
        <v>254</v>
      </c>
      <c r="D362" s="1511"/>
      <c r="E362" s="1511"/>
      <c r="F362" s="1514"/>
      <c r="G362" s="1509" t="str">
        <f ca="1">G361</f>
        <v>P</v>
      </c>
      <c r="H362" s="1510" t="s">
        <v>3198</v>
      </c>
      <c r="I362" s="130"/>
      <c r="J362" s="207" t="s">
        <v>254</v>
      </c>
      <c r="K362" s="170"/>
      <c r="L362" s="170" t="s">
        <v>463</v>
      </c>
      <c r="M362" s="937">
        <v>4</v>
      </c>
      <c r="N362" s="251"/>
      <c r="O362" s="908"/>
      <c r="P362" s="991"/>
      <c r="Q362" s="991"/>
      <c r="R362" s="991"/>
      <c r="S362" s="1">
        <f>AY323</f>
        <v>2</v>
      </c>
      <c r="T362" s="991"/>
      <c r="U362" s="991"/>
      <c r="V362" s="991"/>
      <c r="W362" s="96"/>
      <c r="X362" s="1601"/>
      <c r="Y362" s="1881"/>
      <c r="Z362" s="1891"/>
      <c r="AC362" s="248"/>
      <c r="AD362" s="248"/>
      <c r="AE362" s="248"/>
      <c r="AF362" s="248"/>
      <c r="AG362" s="248"/>
      <c r="AH362" s="248"/>
      <c r="AI362" s="248"/>
      <c r="AJ362" s="248"/>
      <c r="AK362" s="248"/>
      <c r="AL362" s="1352" t="str">
        <f>SUBSTITUTE(SUBSTITUTE(SUBSTITUTE("vpa"&amp;$B362&amp;$C362&amp;$D362&amp;$E362&amp;$F362,".","_"),"(","_"),")","")</f>
        <v>vpa601_6_1</v>
      </c>
      <c r="AM362" s="1352">
        <f>M362</f>
        <v>4</v>
      </c>
      <c r="AN362" s="1352"/>
      <c r="AO362" s="1352"/>
      <c r="AP362" s="1352"/>
      <c r="AQ362" s="1352"/>
      <c r="AR362" s="1352"/>
      <c r="AS362" s="1352"/>
      <c r="AX362" s="273" t="str">
        <f>'Overview (Verification)'!A66</f>
        <v>Local Building Code:</v>
      </c>
      <c r="AY362" s="274" t="str">
        <f>IF(LEN('Overview (Verification)'!P66)=0,0,'Overview (Verification)'!P66)</f>
        <v>2018 IBC</v>
      </c>
    </row>
    <row r="363" spans="1:52" ht="16" thickBot="1" x14ac:dyDescent="0.25">
      <c r="A363" s="1507">
        <v>6</v>
      </c>
      <c r="B363" s="1524">
        <v>601.6</v>
      </c>
      <c r="C363" s="1511" t="s">
        <v>255</v>
      </c>
      <c r="D363" s="1511"/>
      <c r="E363" s="1511"/>
      <c r="F363" s="1514"/>
      <c r="G363" s="1509" t="str">
        <f ca="1">G362</f>
        <v>P</v>
      </c>
      <c r="H363" s="1510" t="s">
        <v>3198</v>
      </c>
      <c r="I363" s="130"/>
      <c r="J363" s="180" t="s">
        <v>255</v>
      </c>
      <c r="K363" s="97"/>
      <c r="L363" s="97" t="s">
        <v>464</v>
      </c>
      <c r="M363" s="913">
        <v>2</v>
      </c>
      <c r="N363" s="251"/>
      <c r="O363" s="908"/>
      <c r="P363" s="991"/>
      <c r="Q363" s="991"/>
      <c r="R363" s="991"/>
      <c r="S363" s="991"/>
      <c r="T363" s="991"/>
      <c r="U363" s="991"/>
      <c r="V363" s="991"/>
      <c r="W363" s="96"/>
      <c r="X363" s="1621"/>
      <c r="Y363" s="1882"/>
      <c r="Z363" s="1892"/>
      <c r="AC363" s="248"/>
      <c r="AD363" s="248"/>
      <c r="AE363" s="248"/>
      <c r="AF363" s="248"/>
      <c r="AG363" s="248"/>
      <c r="AH363" s="248"/>
      <c r="AI363" s="248"/>
      <c r="AJ363" s="248"/>
      <c r="AK363" s="248"/>
      <c r="AL363" s="1352" t="str">
        <f>SUBSTITUTE(SUBSTITUTE(SUBSTITUTE("vpa"&amp;$B363&amp;$C363&amp;$D363&amp;$E363&amp;$F363,".","_"),"(","_"),")","")</f>
        <v>vpa601_6_2</v>
      </c>
      <c r="AM363" s="1352">
        <f>M363</f>
        <v>2</v>
      </c>
      <c r="AN363" s="1352"/>
      <c r="AO363" s="1352"/>
      <c r="AP363" s="1352"/>
      <c r="AQ363" s="1352"/>
      <c r="AR363" s="1352"/>
      <c r="AS363" s="1352"/>
    </row>
    <row r="364" spans="1:52" ht="16" thickTop="1" x14ac:dyDescent="0.2">
      <c r="A364" s="1507">
        <v>6</v>
      </c>
      <c r="B364" s="1524">
        <v>601.70000000000005</v>
      </c>
      <c r="C364" s="1511"/>
      <c r="D364" s="1511"/>
      <c r="E364" s="1511"/>
      <c r="F364" s="1514"/>
      <c r="G364" s="1509" t="str">
        <f ca="1">IF(N364&gt;0,"P","")</f>
        <v>P</v>
      </c>
      <c r="H364" s="1510" t="s">
        <v>3197</v>
      </c>
      <c r="I364" s="177" t="s">
        <v>3527</v>
      </c>
      <c r="J364" s="178"/>
      <c r="K364" s="179"/>
      <c r="L364" s="1683" t="s">
        <v>3633</v>
      </c>
      <c r="M364" s="1685" t="s">
        <v>465</v>
      </c>
      <c r="N364" s="1770">
        <f ca="1">'11.600'!O66</f>
        <v>7</v>
      </c>
      <c r="O364" s="1682">
        <f ca="1">MIN(12,IFERROR(INDEX({1,2,5},MATCH(W367,INDIRECT(U367),0)),0)+IFERROR(INDEX({1,2,5},MATCH(W368,INDIRECT(U368),0)),0)+IFERROR(INDEX({1,2,5},MATCH(W369,INDIRECT(U369),0)),0)+IFERROR(INDEX({1,2,5},MATCH(W373,INDIRECT(U373),0)),0)+IFERROR(INDEX({1,2,5},MATCH(W375,INDIRECT(U375),0)),0))</f>
        <v>7</v>
      </c>
      <c r="P364" s="106"/>
      <c r="Q364" s="106"/>
      <c r="R364" s="106"/>
      <c r="S364" s="106"/>
      <c r="T364" s="106"/>
      <c r="U364" s="106"/>
      <c r="V364" s="106"/>
      <c r="W364" s="106"/>
      <c r="X364" s="1670"/>
      <c r="Y364" s="1884" t="str">
        <f>IF(LEN('11.600'!X66)=0,"None",'11.600'!X66)</f>
        <v>pre finished vinyl windows, LVT flooring on 50% of floor area</v>
      </c>
      <c r="Z364" s="1896"/>
      <c r="AC364" s="248"/>
      <c r="AD364" s="248"/>
      <c r="AE364" s="248"/>
      <c r="AF364" s="248"/>
      <c r="AG364" s="248"/>
      <c r="AH364" s="248"/>
      <c r="AI364" s="248"/>
      <c r="AJ364" s="248"/>
      <c r="AK364" s="248"/>
      <c r="AL364" s="1352" t="str">
        <f>SUBSTITUTE(SUBSTITUTE(SUBSTITUTE("vpa"&amp;$B364&amp;$C364&amp;$D364&amp;$E364&amp;$F364,".","_"),"(","_"),")","")</f>
        <v>vpa601_7</v>
      </c>
      <c r="AM364" s="1352" t="str">
        <f>M364</f>
        <v>12 Max</v>
      </c>
      <c r="AN364" s="1352" t="str">
        <f>SUBSTITUTE(SUBSTITUTE(SUBSTITUTE("vpc"&amp;$B364&amp;$C364&amp;$D364&amp;$E364&amp;$F364,".","_"),"(","_"),")","")</f>
        <v>vpc601_7</v>
      </c>
      <c r="AO364" s="1352">
        <f ca="1">O364</f>
        <v>7</v>
      </c>
      <c r="AP364" s="1352"/>
      <c r="AQ364" s="1352"/>
      <c r="AR364" s="1352" t="str">
        <f>SUBSTITUTE(SUBSTITUTE(SUBSTITUTE("vnt"&amp;$B364&amp;$C364&amp;$D364&amp;$E364&amp;$F364,".","_"),"(","_"),")","")</f>
        <v>vnt601_7</v>
      </c>
      <c r="AS364" s="1352" t="str">
        <f>IF(LEN(X364)=0,"",X364)</f>
        <v/>
      </c>
    </row>
    <row r="365" spans="1:52" x14ac:dyDescent="0.2">
      <c r="A365" s="1507">
        <v>6</v>
      </c>
      <c r="B365" s="1524">
        <v>601.70000000000005</v>
      </c>
      <c r="C365" s="1511"/>
      <c r="D365" s="1511"/>
      <c r="E365" s="1511"/>
      <c r="F365" s="1514"/>
      <c r="G365" s="1509" t="str">
        <f t="shared" ref="G365:G382" ca="1" si="28">G364</f>
        <v>P</v>
      </c>
      <c r="H365" s="1510" t="s">
        <v>3197</v>
      </c>
      <c r="I365" s="130"/>
      <c r="J365" s="129"/>
      <c r="K365" s="97"/>
      <c r="L365" s="1629"/>
      <c r="M365" s="1623"/>
      <c r="N365" s="1755"/>
      <c r="O365" s="1619"/>
      <c r="P365" s="991"/>
      <c r="Q365" s="991"/>
      <c r="R365" s="991"/>
      <c r="S365" s="991"/>
      <c r="T365" s="991"/>
      <c r="U365" s="991"/>
      <c r="V365" s="991"/>
      <c r="W365" s="96"/>
      <c r="X365" s="1632"/>
      <c r="Y365" s="1876"/>
      <c r="Z365" s="1879"/>
      <c r="AC365" s="248"/>
      <c r="AD365" s="248"/>
      <c r="AE365" s="248"/>
      <c r="AF365" s="248"/>
      <c r="AG365" s="248"/>
      <c r="AH365" s="248"/>
      <c r="AI365" s="248"/>
      <c r="AJ365" s="248"/>
      <c r="AK365" s="248"/>
      <c r="AL365" s="1352"/>
      <c r="AM365" s="1352"/>
      <c r="AN365" s="1352"/>
      <c r="AO365" s="1352"/>
      <c r="AP365" s="1352"/>
      <c r="AQ365" s="1352"/>
      <c r="AR365" s="1352"/>
      <c r="AS365" s="1352"/>
    </row>
    <row r="366" spans="1:52" x14ac:dyDescent="0.2">
      <c r="A366" s="1507">
        <v>6</v>
      </c>
      <c r="B366" s="1524">
        <v>601.70000000000005</v>
      </c>
      <c r="C366" s="1511"/>
      <c r="D366" s="1511"/>
      <c r="E366" s="1511"/>
      <c r="F366" s="1514"/>
      <c r="G366" s="1509" t="str">
        <f t="shared" ca="1" si="28"/>
        <v>P</v>
      </c>
      <c r="H366" s="1510" t="s">
        <v>3197</v>
      </c>
      <c r="I366" s="130"/>
      <c r="J366" s="129"/>
      <c r="K366" s="97"/>
      <c r="L366" s="185" t="s">
        <v>473</v>
      </c>
      <c r="M366" s="913"/>
      <c r="N366" s="251"/>
      <c r="O366" s="908"/>
      <c r="P366" s="991"/>
      <c r="Q366" s="991"/>
      <c r="R366" s="991"/>
      <c r="S366" s="991"/>
      <c r="T366" s="991"/>
      <c r="U366" s="991"/>
      <c r="V366" s="991"/>
      <c r="W366" s="96"/>
      <c r="X366" s="1632"/>
      <c r="Y366" s="1876"/>
      <c r="Z366" s="1879"/>
      <c r="AC366" s="248"/>
      <c r="AD366" s="248"/>
      <c r="AE366" s="248"/>
      <c r="AF366" s="248"/>
      <c r="AG366" s="248"/>
      <c r="AH366" s="248"/>
      <c r="AI366" s="248"/>
      <c r="AJ366" s="248"/>
      <c r="AK366" s="248"/>
      <c r="AL366" s="1352"/>
      <c r="AM366" s="1352"/>
      <c r="AN366" s="1352"/>
      <c r="AO366" s="1352"/>
      <c r="AP366" s="1352"/>
      <c r="AQ366" s="1352"/>
      <c r="AR366" s="1352"/>
      <c r="AS366" s="1352"/>
    </row>
    <row r="367" spans="1:52" x14ac:dyDescent="0.2">
      <c r="A367" s="1507">
        <v>6</v>
      </c>
      <c r="B367" s="1524">
        <v>601.70000000000005</v>
      </c>
      <c r="C367" s="1511"/>
      <c r="D367" s="1511" t="s">
        <v>121</v>
      </c>
      <c r="E367" s="1511"/>
      <c r="F367" s="1514"/>
      <c r="G367" s="1509" t="str">
        <f t="shared" ca="1" si="28"/>
        <v>P</v>
      </c>
      <c r="H367" s="1512" t="s">
        <v>3197</v>
      </c>
      <c r="I367" s="130"/>
      <c r="J367" s="129"/>
      <c r="K367" s="169" t="s">
        <v>121</v>
      </c>
      <c r="L367" s="170" t="s">
        <v>466</v>
      </c>
      <c r="M367" s="913"/>
      <c r="N367" s="251"/>
      <c r="O367" s="908"/>
      <c r="P367" s="991" t="b">
        <v>1</v>
      </c>
      <c r="Q367" s="991" t="b">
        <v>1</v>
      </c>
      <c r="R367" s="991" t="b">
        <v>0</v>
      </c>
      <c r="S367" s="991" t="b">
        <v>1</v>
      </c>
      <c r="T367" s="991" t="b">
        <v>0</v>
      </c>
      <c r="U367" s="991" t="str">
        <f>SUBSTITUTE(SUBSTITUTE(SUBSTITUTE("dd"&amp;B367&amp;C367&amp;D367&amp;E367&amp;F367,".","_"),"(","_"),")","")</f>
        <v>dd601_7_a</v>
      </c>
      <c r="V367" s="991"/>
      <c r="W367" s="12"/>
      <c r="X367" s="1632"/>
      <c r="Y367" s="1876"/>
      <c r="Z367" s="1879"/>
      <c r="AC367" s="248"/>
      <c r="AD367" s="248"/>
      <c r="AE367" s="248"/>
      <c r="AF367" s="248"/>
      <c r="AG367" s="248"/>
      <c r="AH367" s="248"/>
      <c r="AI367" s="248"/>
      <c r="AJ367" s="248"/>
      <c r="AK367" s="248"/>
      <c r="AL367" s="1352"/>
      <c r="AM367" s="1352"/>
      <c r="AN367" s="1352"/>
      <c r="AO367" s="1352"/>
      <c r="AP367" s="1352" t="str">
        <f>SUBSTITUTE(SUBSTITUTE(SUBSTITUTE("vch"&amp;$B367&amp;$C367&amp;$D367&amp;$E367&amp;$F367,".","_"),"(","_"),")","")</f>
        <v>vch601_7_a</v>
      </c>
      <c r="AQ367" s="1352" t="str">
        <f>IF(LEN(W367)=0,"",W367)</f>
        <v/>
      </c>
      <c r="AR367" s="1352"/>
      <c r="AS367" s="1352"/>
    </row>
    <row r="368" spans="1:52" x14ac:dyDescent="0.2">
      <c r="A368" s="1507">
        <v>6</v>
      </c>
      <c r="B368" s="1524">
        <v>601.70000000000005</v>
      </c>
      <c r="C368" s="1511"/>
      <c r="D368" s="1511" t="s">
        <v>122</v>
      </c>
      <c r="E368" s="1511"/>
      <c r="F368" s="1514"/>
      <c r="G368" s="1509" t="str">
        <f t="shared" ca="1" si="28"/>
        <v>P</v>
      </c>
      <c r="H368" s="1512" t="s">
        <v>3197</v>
      </c>
      <c r="I368" s="130"/>
      <c r="J368" s="129"/>
      <c r="K368" s="216" t="s">
        <v>122</v>
      </c>
      <c r="L368" s="210" t="s">
        <v>467</v>
      </c>
      <c r="M368" s="913"/>
      <c r="N368" s="251"/>
      <c r="O368" s="908"/>
      <c r="P368" s="991" t="b">
        <v>1</v>
      </c>
      <c r="Q368" s="991" t="b">
        <v>1</v>
      </c>
      <c r="R368" s="991" t="b">
        <v>0</v>
      </c>
      <c r="S368" s="991" t="b">
        <v>1</v>
      </c>
      <c r="T368" s="991" t="b">
        <v>0</v>
      </c>
      <c r="U368" s="991" t="str">
        <f>SUBSTITUTE(SUBSTITUTE(SUBSTITUTE("dd"&amp;B368&amp;C368&amp;D368&amp;E368&amp;F368,".","_"),"(","_"),")","")</f>
        <v>dd601_7_b</v>
      </c>
      <c r="V368" s="991"/>
      <c r="W368" s="12"/>
      <c r="X368" s="1632"/>
      <c r="Y368" s="1876"/>
      <c r="Z368" s="1879"/>
      <c r="AA368" s="707" t="e">
        <f>'Photo Review'!#REF!</f>
        <v>#REF!</v>
      </c>
      <c r="AC368" s="248"/>
      <c r="AD368" s="248"/>
      <c r="AE368" s="248"/>
      <c r="AF368" s="248"/>
      <c r="AG368" s="248"/>
      <c r="AH368" s="248"/>
      <c r="AI368" s="248"/>
      <c r="AJ368" s="248"/>
      <c r="AK368" s="248"/>
      <c r="AL368" s="1352"/>
      <c r="AM368" s="1352"/>
      <c r="AN368" s="1352"/>
      <c r="AO368" s="1352"/>
      <c r="AP368" s="1352" t="str">
        <f>SUBSTITUTE(SUBSTITUTE(SUBSTITUTE("vch"&amp;$B368&amp;$C368&amp;$D368&amp;$E368&amp;$F368,".","_"),"(","_"),")","")</f>
        <v>vch601_7_b</v>
      </c>
      <c r="AQ368" s="1352" t="str">
        <f>IF(LEN(W368)=0,"",W368)</f>
        <v/>
      </c>
      <c r="AR368" s="1352"/>
      <c r="AS368" s="1352"/>
    </row>
    <row r="369" spans="1:65" x14ac:dyDescent="0.2">
      <c r="A369" s="1507">
        <v>6</v>
      </c>
      <c r="B369" s="1524">
        <v>601.70000000000005</v>
      </c>
      <c r="C369" s="1511"/>
      <c r="D369" s="1518" t="s">
        <v>123</v>
      </c>
      <c r="E369" s="1518"/>
      <c r="F369" s="1519"/>
      <c r="G369" s="1509" t="str">
        <f t="shared" ca="1" si="28"/>
        <v>P</v>
      </c>
      <c r="H369" s="1520" t="s">
        <v>3197</v>
      </c>
      <c r="I369" s="130"/>
      <c r="J369" s="129"/>
      <c r="K369" s="217" t="s">
        <v>123</v>
      </c>
      <c r="L369" s="1720" t="s">
        <v>468</v>
      </c>
      <c r="M369" s="913"/>
      <c r="N369" s="251"/>
      <c r="O369" s="908"/>
      <c r="P369" s="991" t="b">
        <v>1</v>
      </c>
      <c r="Q369" s="991" t="b">
        <v>1</v>
      </c>
      <c r="R369" s="991" t="b">
        <v>0</v>
      </c>
      <c r="S369" s="991" t="b">
        <v>1</v>
      </c>
      <c r="T369" s="991" t="b">
        <v>0</v>
      </c>
      <c r="U369" s="991" t="str">
        <f>SUBSTITUTE(SUBSTITUTE(SUBSTITUTE("dd"&amp;B369&amp;C369&amp;D369&amp;E369&amp;F369,".","_"),"(","_"),")","")</f>
        <v>dd601_7_c</v>
      </c>
      <c r="V369" s="991"/>
      <c r="W369" s="12" t="s">
        <v>2899</v>
      </c>
      <c r="X369" s="1632"/>
      <c r="Y369" s="1876"/>
      <c r="Z369" s="1879"/>
      <c r="AA369" s="707" t="e">
        <f>'Photo Review'!#REF!</f>
        <v>#REF!</v>
      </c>
      <c r="AC369" s="248"/>
      <c r="AD369" s="248"/>
      <c r="AE369" s="248"/>
      <c r="AF369" s="248"/>
      <c r="AG369" s="248"/>
      <c r="AH369" s="248"/>
      <c r="AI369" s="248"/>
      <c r="AJ369" s="248"/>
      <c r="AK369" s="248"/>
      <c r="AL369" s="1352"/>
      <c r="AM369" s="1352"/>
      <c r="AN369" s="1352"/>
      <c r="AO369" s="1352"/>
      <c r="AP369" s="1352" t="str">
        <f>SUBSTITUTE(SUBSTITUTE(SUBSTITUTE("vch"&amp;$B369&amp;$C369&amp;$D369&amp;$E369&amp;$F369,".","_"),"(","_"),")","")</f>
        <v>vch601_7_c</v>
      </c>
      <c r="AQ369" s="1352" t="str">
        <f>IF(LEN(W369)=0,"",W369)</f>
        <v>90% or more</v>
      </c>
      <c r="AR369" s="1352"/>
      <c r="AS369" s="1352"/>
    </row>
    <row r="370" spans="1:65" x14ac:dyDescent="0.2">
      <c r="A370" s="1507">
        <v>6</v>
      </c>
      <c r="B370" s="1524">
        <v>601.70000000000005</v>
      </c>
      <c r="C370" s="1511"/>
      <c r="D370" s="1518" t="s">
        <v>123</v>
      </c>
      <c r="E370" s="1518"/>
      <c r="F370" s="1519"/>
      <c r="G370" s="1509" t="str">
        <f t="shared" ca="1" si="28"/>
        <v>P</v>
      </c>
      <c r="H370" s="1520" t="s">
        <v>3197</v>
      </c>
      <c r="I370" s="130"/>
      <c r="J370" s="129"/>
      <c r="K370" s="97"/>
      <c r="L370" s="1721"/>
      <c r="M370" s="913"/>
      <c r="N370" s="251"/>
      <c r="O370" s="908"/>
      <c r="P370" s="991"/>
      <c r="Q370" s="991"/>
      <c r="R370" s="991"/>
      <c r="S370" s="991"/>
      <c r="T370" s="991"/>
      <c r="U370" s="991"/>
      <c r="V370" s="991"/>
      <c r="W370" s="96"/>
      <c r="X370" s="1632"/>
      <c r="Y370" s="1876"/>
      <c r="Z370" s="1879"/>
      <c r="AC370" s="248"/>
      <c r="AD370" s="248"/>
      <c r="AE370" s="248"/>
      <c r="AF370" s="248"/>
      <c r="AG370" s="248"/>
      <c r="AH370" s="248"/>
      <c r="AI370" s="248"/>
      <c r="AJ370" s="248"/>
      <c r="AK370" s="248"/>
      <c r="AL370" s="1352"/>
      <c r="AM370" s="1352"/>
      <c r="AN370" s="1352"/>
      <c r="AO370" s="1352"/>
      <c r="AP370" s="1352"/>
      <c r="AQ370" s="1352"/>
      <c r="AR370" s="1352"/>
      <c r="AS370" s="1352"/>
    </row>
    <row r="371" spans="1:65" x14ac:dyDescent="0.2">
      <c r="A371" s="1507">
        <v>6</v>
      </c>
      <c r="B371" s="1524">
        <v>601.70000000000005</v>
      </c>
      <c r="C371" s="1511"/>
      <c r="D371" s="1518" t="s">
        <v>123</v>
      </c>
      <c r="E371" s="1518"/>
      <c r="F371" s="1519"/>
      <c r="G371" s="1509" t="str">
        <f t="shared" ca="1" si="28"/>
        <v>P</v>
      </c>
      <c r="H371" s="1520" t="s">
        <v>3197</v>
      </c>
      <c r="I371" s="130"/>
      <c r="J371" s="129"/>
      <c r="K371" s="97"/>
      <c r="L371" s="186" t="s">
        <v>469</v>
      </c>
      <c r="M371" s="913"/>
      <c r="N371" s="251"/>
      <c r="O371" s="908"/>
      <c r="P371" s="991"/>
      <c r="Q371" s="991"/>
      <c r="R371" s="991"/>
      <c r="S371" s="991"/>
      <c r="T371" s="991"/>
      <c r="U371" s="991"/>
      <c r="V371" s="991"/>
      <c r="W371" s="96"/>
      <c r="X371" s="1632"/>
      <c r="Y371" s="1876"/>
      <c r="Z371" s="1879"/>
      <c r="AC371" s="248"/>
      <c r="AD371" s="248"/>
      <c r="AE371" s="248"/>
      <c r="AF371" s="248"/>
      <c r="AG371" s="248"/>
      <c r="AH371" s="248"/>
      <c r="AI371" s="248"/>
      <c r="AJ371" s="248"/>
      <c r="AK371" s="248"/>
      <c r="AL371" s="1352"/>
      <c r="AM371" s="1352"/>
      <c r="AN371" s="1352"/>
      <c r="AO371" s="1352"/>
      <c r="AP371" s="1352"/>
      <c r="AQ371" s="1352"/>
      <c r="AR371" s="1352"/>
      <c r="AS371" s="1352"/>
    </row>
    <row r="372" spans="1:65" x14ac:dyDescent="0.2">
      <c r="A372" s="1507">
        <v>6</v>
      </c>
      <c r="B372" s="1524">
        <v>601.70000000000005</v>
      </c>
      <c r="C372" s="1511"/>
      <c r="D372" s="1518" t="s">
        <v>123</v>
      </c>
      <c r="E372" s="1518"/>
      <c r="F372" s="1519"/>
      <c r="G372" s="1509" t="str">
        <f t="shared" ca="1" si="28"/>
        <v>P</v>
      </c>
      <c r="H372" s="1520" t="s">
        <v>3197</v>
      </c>
      <c r="I372" s="130"/>
      <c r="J372" s="129"/>
      <c r="K372" s="170"/>
      <c r="L372" s="254" t="s">
        <v>470</v>
      </c>
      <c r="M372" s="913"/>
      <c r="N372" s="251"/>
      <c r="O372" s="908"/>
      <c r="P372" s="991"/>
      <c r="Q372" s="991"/>
      <c r="R372" s="991"/>
      <c r="S372" s="991"/>
      <c r="T372" s="991"/>
      <c r="U372" s="991"/>
      <c r="V372" s="991"/>
      <c r="W372" s="96"/>
      <c r="X372" s="1632"/>
      <c r="Y372" s="1876"/>
      <c r="Z372" s="1879"/>
      <c r="AC372" s="248"/>
      <c r="AD372" s="248"/>
      <c r="AE372" s="248"/>
      <c r="AF372" s="248"/>
      <c r="AG372" s="248"/>
      <c r="AH372" s="248"/>
      <c r="AI372" s="248"/>
      <c r="AJ372" s="248"/>
      <c r="AK372" s="248"/>
      <c r="AL372" s="1352"/>
      <c r="AM372" s="1352"/>
      <c r="AN372" s="1352"/>
      <c r="AO372" s="1352"/>
      <c r="AP372" s="1352"/>
      <c r="AQ372" s="1352"/>
      <c r="AR372" s="1352"/>
      <c r="AS372" s="1352"/>
    </row>
    <row r="373" spans="1:65" x14ac:dyDescent="0.2">
      <c r="A373" s="1507">
        <v>6</v>
      </c>
      <c r="B373" s="1524">
        <v>601.70000000000005</v>
      </c>
      <c r="C373" s="1511"/>
      <c r="D373" s="1511" t="s">
        <v>366</v>
      </c>
      <c r="E373" s="1511"/>
      <c r="F373" s="1514"/>
      <c r="G373" s="1509" t="str">
        <f t="shared" ca="1" si="28"/>
        <v>P</v>
      </c>
      <c r="H373" s="1510" t="s">
        <v>3197</v>
      </c>
      <c r="I373" s="130"/>
      <c r="J373" s="129"/>
      <c r="K373" s="218" t="s">
        <v>366</v>
      </c>
      <c r="L373" s="1613" t="s">
        <v>471</v>
      </c>
      <c r="M373" s="913"/>
      <c r="N373" s="251"/>
      <c r="O373" s="908"/>
      <c r="P373" s="991" t="b">
        <v>1</v>
      </c>
      <c r="Q373" s="991" t="b">
        <v>1</v>
      </c>
      <c r="R373" s="991" t="b">
        <v>0</v>
      </c>
      <c r="S373" s="991" t="b">
        <v>1</v>
      </c>
      <c r="T373" s="991" t="b">
        <v>0</v>
      </c>
      <c r="U373" s="991" t="str">
        <f>SUBSTITUTE(SUBSTITUTE(SUBSTITUTE("dd"&amp;B373&amp;C373&amp;D373&amp;E373&amp;F373,".","_"),"(","_"),")","")</f>
        <v>dd601_7_d</v>
      </c>
      <c r="V373" s="991"/>
      <c r="W373" s="12"/>
      <c r="X373" s="1632"/>
      <c r="Y373" s="1876"/>
      <c r="Z373" s="1879"/>
      <c r="AC373" s="248"/>
      <c r="AD373" s="248"/>
      <c r="AE373" s="248"/>
      <c r="AF373" s="248"/>
      <c r="AG373" s="248"/>
      <c r="AH373" s="248"/>
      <c r="AI373" s="248"/>
      <c r="AJ373" s="248"/>
      <c r="AK373" s="248"/>
      <c r="AL373" s="1352"/>
      <c r="AM373" s="1352"/>
      <c r="AN373" s="1352"/>
      <c r="AO373" s="1352"/>
      <c r="AP373" s="1352" t="str">
        <f>SUBSTITUTE(SUBSTITUTE(SUBSTITUTE("vch"&amp;$B373&amp;$C373&amp;$D373&amp;$E373&amp;$F373,".","_"),"(","_"),")","")</f>
        <v>vch601_7_d</v>
      </c>
      <c r="AQ373" s="1352" t="str">
        <f>IF(LEN(W373)=0,"",W373)</f>
        <v/>
      </c>
      <c r="AR373" s="1352"/>
      <c r="AS373" s="1352"/>
    </row>
    <row r="374" spans="1:65" x14ac:dyDescent="0.2">
      <c r="A374" s="1507">
        <v>6</v>
      </c>
      <c r="B374" s="1524">
        <v>601.70000000000005</v>
      </c>
      <c r="C374" s="1511"/>
      <c r="D374" s="1511" t="s">
        <v>366</v>
      </c>
      <c r="E374" s="1511"/>
      <c r="F374" s="1514"/>
      <c r="G374" s="1509" t="str">
        <f t="shared" ca="1" si="28"/>
        <v>P</v>
      </c>
      <c r="H374" s="1510" t="s">
        <v>3197</v>
      </c>
      <c r="I374" s="130"/>
      <c r="J374" s="129"/>
      <c r="K374" s="170"/>
      <c r="L374" s="1612"/>
      <c r="M374" s="913"/>
      <c r="N374" s="251"/>
      <c r="O374" s="908"/>
      <c r="P374" s="991"/>
      <c r="Q374" s="991"/>
      <c r="R374" s="991"/>
      <c r="S374" s="991"/>
      <c r="T374" s="991"/>
      <c r="U374" s="991"/>
      <c r="V374" s="991"/>
      <c r="W374" s="96"/>
      <c r="X374" s="1632"/>
      <c r="Y374" s="1876"/>
      <c r="Z374" s="1879"/>
      <c r="AC374" s="248"/>
      <c r="AD374" s="248"/>
      <c r="AE374" s="248"/>
      <c r="AF374" s="248"/>
      <c r="AG374" s="248"/>
      <c r="AH374" s="248"/>
      <c r="AI374" s="248"/>
      <c r="AJ374" s="248"/>
      <c r="AK374" s="248"/>
      <c r="AL374" s="1352"/>
      <c r="AM374" s="1352"/>
      <c r="AN374" s="1352"/>
      <c r="AO374" s="1352"/>
      <c r="AP374" s="1352"/>
      <c r="AQ374" s="1352"/>
      <c r="AR374" s="1352"/>
      <c r="AS374" s="1352"/>
    </row>
    <row r="375" spans="1:65" x14ac:dyDescent="0.2">
      <c r="A375" s="1507">
        <v>6</v>
      </c>
      <c r="B375" s="1524">
        <v>601.70000000000005</v>
      </c>
      <c r="C375" s="1511"/>
      <c r="D375" s="1511" t="s">
        <v>472</v>
      </c>
      <c r="E375" s="1511"/>
      <c r="F375" s="1514"/>
      <c r="G375" s="1509" t="str">
        <f t="shared" ca="1" si="28"/>
        <v>P</v>
      </c>
      <c r="H375" s="1510" t="s">
        <v>3197</v>
      </c>
      <c r="I375" s="130"/>
      <c r="J375" s="129"/>
      <c r="K375" s="218" t="s">
        <v>472</v>
      </c>
      <c r="L375" s="1613" t="s">
        <v>3801</v>
      </c>
      <c r="M375" s="913"/>
      <c r="N375" s="251"/>
      <c r="O375" s="908"/>
      <c r="P375" s="991" t="b">
        <v>1</v>
      </c>
      <c r="Q375" s="991" t="b">
        <v>1</v>
      </c>
      <c r="R375" s="991" t="b">
        <v>0</v>
      </c>
      <c r="S375" s="991" t="b">
        <v>1</v>
      </c>
      <c r="T375" s="991" t="b">
        <v>0</v>
      </c>
      <c r="U375" s="991" t="str">
        <f>SUBSTITUTE(SUBSTITUTE(SUBSTITUTE("dd"&amp;B375&amp;C375&amp;D375&amp;E375&amp;F375,".","_"),"(","_"),")","")</f>
        <v>dd601_7_e</v>
      </c>
      <c r="V375" s="991"/>
      <c r="W375" s="12" t="s">
        <v>2898</v>
      </c>
      <c r="X375" s="1632"/>
      <c r="Y375" s="1876"/>
      <c r="Z375" s="1879"/>
      <c r="AA375" s="707" t="e">
        <f>'Photo Review'!#REF!</f>
        <v>#REF!</v>
      </c>
      <c r="AC375" s="248"/>
      <c r="AD375" s="248"/>
      <c r="AE375" s="248"/>
      <c r="AF375" s="248"/>
      <c r="AG375" s="248"/>
      <c r="AH375" s="248"/>
      <c r="AI375" s="248"/>
      <c r="AJ375" s="248"/>
      <c r="AK375" s="248"/>
      <c r="AL375" s="1352"/>
      <c r="AM375" s="1352"/>
      <c r="AN375" s="1352"/>
      <c r="AO375" s="1352"/>
      <c r="AP375" s="1352" t="str">
        <f>SUBSTITUTE(SUBSTITUTE(SUBSTITUTE("vch"&amp;$B375&amp;$C375&amp;$D375&amp;$E375&amp;$F375,".","_"),"(","_"),")","")</f>
        <v>vch601_7_e</v>
      </c>
      <c r="AQ375" s="1352" t="str">
        <f>IF(LEN(W375)=0,"",W375)</f>
        <v>50% to less than 90%</v>
      </c>
      <c r="AR375" s="1352"/>
      <c r="AS375" s="1352"/>
    </row>
    <row r="376" spans="1:65" x14ac:dyDescent="0.2">
      <c r="A376" s="1507">
        <v>6</v>
      </c>
      <c r="B376" s="1524">
        <v>601.70000000000005</v>
      </c>
      <c r="C376" s="1511"/>
      <c r="D376" s="1511" t="s">
        <v>472</v>
      </c>
      <c r="E376" s="1511"/>
      <c r="F376" s="1514"/>
      <c r="G376" s="1509" t="str">
        <f t="shared" ca="1" si="28"/>
        <v>P</v>
      </c>
      <c r="H376" s="1510" t="s">
        <v>3197</v>
      </c>
      <c r="I376" s="130"/>
      <c r="J376" s="129"/>
      <c r="K376" s="170"/>
      <c r="L376" s="1612"/>
      <c r="M376" s="913"/>
      <c r="N376" s="251"/>
      <c r="O376" s="908"/>
      <c r="P376" s="991"/>
      <c r="Q376" s="991"/>
      <c r="R376" s="991"/>
      <c r="S376" s="991"/>
      <c r="T376" s="991"/>
      <c r="U376" s="991"/>
      <c r="V376" s="991"/>
      <c r="W376" s="96"/>
      <c r="X376" s="1632"/>
      <c r="Y376" s="1876"/>
      <c r="Z376" s="1879"/>
      <c r="AC376" s="248"/>
      <c r="AD376" s="248"/>
      <c r="AE376" s="248"/>
      <c r="AF376" s="248"/>
      <c r="AG376" s="248"/>
      <c r="AH376" s="248"/>
      <c r="AI376" s="248"/>
      <c r="AJ376" s="248"/>
      <c r="AK376" s="248"/>
      <c r="AL376" s="1352"/>
      <c r="AM376" s="1352"/>
      <c r="AN376" s="1352"/>
      <c r="AO376" s="1352"/>
      <c r="AP376" s="1352"/>
      <c r="AQ376" s="1352"/>
      <c r="AR376" s="1352"/>
      <c r="AS376" s="1352"/>
    </row>
    <row r="377" spans="1:65" x14ac:dyDescent="0.2">
      <c r="A377" s="1507">
        <v>6</v>
      </c>
      <c r="B377" s="1524">
        <v>601.70000000000005</v>
      </c>
      <c r="C377" s="1511" t="s">
        <v>254</v>
      </c>
      <c r="D377" s="1511"/>
      <c r="E377" s="1511"/>
      <c r="F377" s="1514"/>
      <c r="G377" s="1509" t="str">
        <f t="shared" ca="1" si="28"/>
        <v>P</v>
      </c>
      <c r="H377" s="1510" t="s">
        <v>3197</v>
      </c>
      <c r="I377" s="130"/>
      <c r="J377" s="180" t="s">
        <v>254</v>
      </c>
      <c r="K377" s="97"/>
      <c r="L377" s="1649" t="s">
        <v>3802</v>
      </c>
      <c r="M377" s="1623">
        <v>5</v>
      </c>
      <c r="N377" s="251"/>
      <c r="O377" s="908"/>
      <c r="P377" s="991"/>
      <c r="Q377" s="991"/>
      <c r="R377" s="991"/>
      <c r="S377" s="991"/>
      <c r="T377" s="991"/>
      <c r="U377" s="991"/>
      <c r="V377" s="991"/>
      <c r="W377" s="96"/>
      <c r="X377" s="1632"/>
      <c r="Y377" s="1876"/>
      <c r="Z377" s="1879"/>
      <c r="AC377" s="248"/>
      <c r="AD377" s="248"/>
      <c r="AE377" s="248"/>
      <c r="AF377" s="248"/>
      <c r="AG377" s="248"/>
      <c r="AH377" s="248"/>
      <c r="AI377" s="248"/>
      <c r="AJ377" s="248"/>
      <c r="AK377" s="248"/>
      <c r="AL377" s="1352" t="str">
        <f>SUBSTITUTE(SUBSTITUTE(SUBSTITUTE("vpa"&amp;$B377&amp;$C377&amp;$D377&amp;$E377&amp;$F377,".","_"),"(","_"),")","")</f>
        <v>vpa601_7_1</v>
      </c>
      <c r="AM377" s="1352">
        <f>M377</f>
        <v>5</v>
      </c>
      <c r="AN377" s="1352"/>
      <c r="AO377" s="1352"/>
      <c r="AP377" s="1352"/>
      <c r="AQ377" s="1352"/>
      <c r="AR377" s="1352"/>
      <c r="AS377" s="1352"/>
    </row>
    <row r="378" spans="1:65" s="905" customFormat="1" x14ac:dyDescent="0.2">
      <c r="A378" s="1507">
        <v>6</v>
      </c>
      <c r="B378" s="1524">
        <v>601.70000000000005</v>
      </c>
      <c r="C378" s="1511" t="s">
        <v>254</v>
      </c>
      <c r="D378" s="1511"/>
      <c r="E378" s="1511"/>
      <c r="F378" s="1514"/>
      <c r="G378" s="1509" t="str">
        <f t="shared" ca="1" si="28"/>
        <v>P</v>
      </c>
      <c r="H378" s="1510" t="s">
        <v>3197</v>
      </c>
      <c r="I378" s="130"/>
      <c r="J378" s="207"/>
      <c r="K378" s="97"/>
      <c r="L378" s="1650"/>
      <c r="M378" s="1624"/>
      <c r="N378" s="966"/>
      <c r="O378" s="908"/>
      <c r="P378" s="991"/>
      <c r="Q378" s="991"/>
      <c r="R378" s="991"/>
      <c r="S378" s="991"/>
      <c r="T378" s="991"/>
      <c r="U378" s="991"/>
      <c r="V378" s="991"/>
      <c r="W378" s="991"/>
      <c r="X378" s="1632"/>
      <c r="Y378" s="1876"/>
      <c r="Z378" s="1879"/>
      <c r="AL378" s="1352"/>
      <c r="AM378" s="1352"/>
      <c r="AN378" s="1352"/>
      <c r="AO378" s="1352"/>
      <c r="AP378" s="1352"/>
      <c r="AQ378" s="1352"/>
      <c r="AR378" s="1352"/>
      <c r="AS378" s="1352"/>
    </row>
    <row r="379" spans="1:65" x14ac:dyDescent="0.2">
      <c r="A379" s="1507">
        <v>6</v>
      </c>
      <c r="B379" s="1524">
        <v>601.70000000000005</v>
      </c>
      <c r="C379" s="1511" t="s">
        <v>255</v>
      </c>
      <c r="D379" s="1511"/>
      <c r="E379" s="1511"/>
      <c r="F379" s="1514"/>
      <c r="G379" s="1509" t="str">
        <f ca="1">G377</f>
        <v>P</v>
      </c>
      <c r="H379" s="1510" t="s">
        <v>3197</v>
      </c>
      <c r="I379" s="130"/>
      <c r="J379" s="180" t="s">
        <v>255</v>
      </c>
      <c r="K379" s="195"/>
      <c r="L379" s="1649" t="s">
        <v>3803</v>
      </c>
      <c r="M379" s="1636">
        <v>2</v>
      </c>
      <c r="N379" s="251"/>
      <c r="O379" s="908"/>
      <c r="P379" s="991"/>
      <c r="Q379" s="991"/>
      <c r="R379" s="991"/>
      <c r="S379" s="991"/>
      <c r="T379" s="991"/>
      <c r="U379" s="991"/>
      <c r="V379" s="991"/>
      <c r="W379" s="96"/>
      <c r="X379" s="1632"/>
      <c r="Y379" s="1876"/>
      <c r="Z379" s="1879"/>
      <c r="AC379" s="248"/>
      <c r="AD379" s="248"/>
      <c r="AE379" s="248"/>
      <c r="AF379" s="248"/>
      <c r="AG379" s="248"/>
      <c r="AH379" s="248"/>
      <c r="AI379" s="248"/>
      <c r="AJ379" s="248"/>
      <c r="AK379" s="248"/>
      <c r="AL379" s="1352" t="str">
        <f>SUBSTITUTE(SUBSTITUTE(SUBSTITUTE("vpa"&amp;$B379&amp;$C379&amp;$D379&amp;$E379&amp;$F379,".","_"),"(","_"),")","")</f>
        <v>vpa601_7_2</v>
      </c>
      <c r="AM379" s="1352">
        <f>M379</f>
        <v>2</v>
      </c>
      <c r="AN379" s="1352"/>
      <c r="AO379" s="1352"/>
      <c r="AP379" s="1352"/>
      <c r="AQ379" s="1352"/>
      <c r="AR379" s="1352"/>
      <c r="AS379" s="1352"/>
    </row>
    <row r="380" spans="1:65" x14ac:dyDescent="0.2">
      <c r="A380" s="1507">
        <v>6</v>
      </c>
      <c r="B380" s="1524">
        <v>601.70000000000005</v>
      </c>
      <c r="C380" s="1511" t="s">
        <v>255</v>
      </c>
      <c r="D380" s="1511"/>
      <c r="E380" s="1511"/>
      <c r="F380" s="1514"/>
      <c r="G380" s="1509" t="str">
        <f t="shared" ca="1" si="28"/>
        <v>P</v>
      </c>
      <c r="H380" s="1510" t="s">
        <v>3197</v>
      </c>
      <c r="I380" s="130"/>
      <c r="J380" s="173"/>
      <c r="K380" s="170"/>
      <c r="L380" s="1650"/>
      <c r="M380" s="1624"/>
      <c r="N380" s="291"/>
      <c r="O380" s="908"/>
      <c r="P380" s="991"/>
      <c r="Q380" s="991"/>
      <c r="R380" s="991"/>
      <c r="S380" s="991"/>
      <c r="T380" s="991"/>
      <c r="U380" s="991"/>
      <c r="V380" s="991"/>
      <c r="W380" s="96"/>
      <c r="X380" s="1632"/>
      <c r="Y380" s="1876"/>
      <c r="Z380" s="1879"/>
      <c r="AB380" s="290"/>
      <c r="AC380" s="290"/>
      <c r="AD380" s="290"/>
      <c r="AE380" s="290"/>
      <c r="AF380" s="290"/>
      <c r="AG380" s="290"/>
      <c r="AH380" s="290"/>
      <c r="AI380" s="290"/>
      <c r="AJ380" s="290"/>
      <c r="AK380" s="290"/>
      <c r="AL380" s="1352"/>
      <c r="AM380" s="1352"/>
      <c r="AN380" s="1352"/>
      <c r="AO380" s="1352"/>
      <c r="AP380" s="1352"/>
      <c r="AQ380" s="1352"/>
      <c r="AR380" s="1352"/>
      <c r="AS380" s="1352"/>
      <c r="AW380" s="290"/>
      <c r="AX380" s="290"/>
      <c r="AY380" s="290"/>
      <c r="AZ380" s="290"/>
      <c r="BA380" s="290"/>
      <c r="BB380" s="290"/>
      <c r="BC380" s="290"/>
      <c r="BD380" s="290"/>
      <c r="BE380" s="290"/>
      <c r="BF380" s="290"/>
      <c r="BG380" s="290"/>
      <c r="BH380" s="290"/>
      <c r="BI380" s="290"/>
      <c r="BJ380" s="290"/>
      <c r="BK380" s="290"/>
      <c r="BL380" s="290"/>
      <c r="BM380" s="290"/>
    </row>
    <row r="381" spans="1:65" x14ac:dyDescent="0.2">
      <c r="A381" s="1507">
        <v>6</v>
      </c>
      <c r="B381" s="1524">
        <v>601.70000000000005</v>
      </c>
      <c r="C381" s="1511" t="s">
        <v>256</v>
      </c>
      <c r="D381" s="1511"/>
      <c r="E381" s="1511"/>
      <c r="F381" s="1514"/>
      <c r="G381" s="1509" t="str">
        <f t="shared" ca="1" si="28"/>
        <v>P</v>
      </c>
      <c r="H381" s="1510" t="s">
        <v>3197</v>
      </c>
      <c r="I381" s="130"/>
      <c r="J381" s="180" t="s">
        <v>256</v>
      </c>
      <c r="K381" s="97"/>
      <c r="L381" s="1657" t="s">
        <v>3804</v>
      </c>
      <c r="M381" s="913">
        <v>1</v>
      </c>
      <c r="N381" s="251"/>
      <c r="O381" s="908"/>
      <c r="P381" s="991"/>
      <c r="Q381" s="991"/>
      <c r="R381" s="991"/>
      <c r="S381" s="991"/>
      <c r="T381" s="991"/>
      <c r="U381" s="991"/>
      <c r="V381" s="991"/>
      <c r="X381" s="1632"/>
      <c r="Y381" s="1876"/>
      <c r="Z381" s="1879"/>
      <c r="AC381" s="248"/>
      <c r="AD381" s="248"/>
      <c r="AE381" s="248"/>
      <c r="AF381" s="248"/>
      <c r="AG381" s="248"/>
      <c r="AH381" s="248"/>
      <c r="AI381" s="248"/>
      <c r="AJ381" s="248"/>
      <c r="AK381" s="248"/>
      <c r="AL381" s="1352" t="str">
        <f>SUBSTITUTE(SUBSTITUTE(SUBSTITUTE("vpa"&amp;$B381&amp;$C381&amp;$D381&amp;$E381&amp;$F381,".","_"),"(","_"),")","")</f>
        <v>vpa601_7_3</v>
      </c>
      <c r="AM381" s="1352">
        <f>M381</f>
        <v>1</v>
      </c>
      <c r="AN381" s="1352"/>
      <c r="AO381" s="1352"/>
      <c r="AP381" s="1352"/>
      <c r="AQ381" s="1352"/>
      <c r="AR381" s="1352"/>
      <c r="AS381" s="1352"/>
    </row>
    <row r="382" spans="1:65" ht="16" thickBot="1" x14ac:dyDescent="0.25">
      <c r="A382" s="1507">
        <v>6</v>
      </c>
      <c r="B382" s="1524">
        <v>601.70000000000005</v>
      </c>
      <c r="C382" s="1511" t="s">
        <v>256</v>
      </c>
      <c r="D382" s="1511"/>
      <c r="E382" s="1511"/>
      <c r="F382" s="1514"/>
      <c r="G382" s="1509" t="str">
        <f t="shared" ca="1" si="28"/>
        <v>P</v>
      </c>
      <c r="H382" s="1510" t="s">
        <v>3197</v>
      </c>
      <c r="I382" s="130"/>
      <c r="J382" s="180"/>
      <c r="K382" s="97"/>
      <c r="L382" s="1713"/>
      <c r="M382" s="913"/>
      <c r="N382" s="291"/>
      <c r="O382" s="908"/>
      <c r="P382" s="991"/>
      <c r="Q382" s="991"/>
      <c r="R382" s="991"/>
      <c r="S382" s="991"/>
      <c r="T382" s="991"/>
      <c r="U382" s="991"/>
      <c r="V382" s="991"/>
      <c r="W382" s="113"/>
      <c r="X382" s="1648"/>
      <c r="Y382" s="1885"/>
      <c r="Z382" s="1897"/>
      <c r="AB382" s="290"/>
      <c r="AC382" s="290"/>
      <c r="AD382" s="290"/>
      <c r="AE382" s="290"/>
      <c r="AF382" s="290"/>
      <c r="AG382" s="290"/>
      <c r="AH382" s="290"/>
      <c r="AI382" s="290"/>
      <c r="AJ382" s="290"/>
      <c r="AK382" s="290"/>
      <c r="AL382" s="1352"/>
      <c r="AM382" s="1352"/>
      <c r="AN382" s="1352"/>
      <c r="AO382" s="1352"/>
      <c r="AP382" s="1352"/>
      <c r="AQ382" s="1352"/>
      <c r="AR382" s="1352"/>
      <c r="AS382" s="1352"/>
      <c r="AW382" s="290"/>
      <c r="AX382" s="290"/>
      <c r="AY382" s="290"/>
      <c r="AZ382" s="290"/>
      <c r="BA382" s="290"/>
      <c r="BB382" s="290"/>
      <c r="BC382" s="290"/>
      <c r="BD382" s="290"/>
      <c r="BE382" s="290"/>
      <c r="BF382" s="290"/>
      <c r="BG382" s="290"/>
      <c r="BH382" s="290"/>
      <c r="BI382" s="290"/>
      <c r="BJ382" s="290"/>
      <c r="BK382" s="290"/>
      <c r="BL382" s="290"/>
      <c r="BM382" s="290"/>
    </row>
    <row r="383" spans="1:65" ht="16" hidden="1" thickTop="1" x14ac:dyDescent="0.2">
      <c r="A383" s="1507">
        <v>6</v>
      </c>
      <c r="B383" s="1524">
        <v>601.79999999999995</v>
      </c>
      <c r="C383" s="1511"/>
      <c r="D383" s="1511"/>
      <c r="E383" s="1511"/>
      <c r="F383" s="1514"/>
      <c r="G383" s="1509" t="str">
        <f>IF(N383&gt;0,"P","")</f>
        <v/>
      </c>
      <c r="H383" s="1510" t="s">
        <v>3198</v>
      </c>
      <c r="I383" s="177" t="s">
        <v>3528</v>
      </c>
      <c r="J383" s="178"/>
      <c r="K383" s="179"/>
      <c r="L383" s="1683" t="s">
        <v>3805</v>
      </c>
      <c r="M383" s="1685">
        <v>3</v>
      </c>
      <c r="N383" s="1770">
        <f>'11.600'!O85</f>
        <v>0</v>
      </c>
      <c r="O383" s="1682">
        <f>M383*S383*W383</f>
        <v>0</v>
      </c>
      <c r="P383" s="905" t="b">
        <v>1</v>
      </c>
      <c r="Q383" s="905" t="b">
        <v>0</v>
      </c>
      <c r="R383" s="106" t="b">
        <v>0</v>
      </c>
      <c r="S383" s="106" t="b">
        <f>NOT(AZ332=1)</f>
        <v>1</v>
      </c>
      <c r="T383" s="991" t="b">
        <f>AND(NOT(S383),W383=TRUE)</f>
        <v>0</v>
      </c>
      <c r="U383" s="106"/>
      <c r="V383" s="106"/>
      <c r="W383" s="333"/>
      <c r="X383" s="1603"/>
      <c r="Y383" s="1883" t="str">
        <f>IF(LEN('11.600'!X85)=0,"None",'11.600'!X85)</f>
        <v>None</v>
      </c>
      <c r="Z383" s="1880"/>
      <c r="AC383" s="248" t="b">
        <f>OR(AD383:AE383)</f>
        <v>0</v>
      </c>
      <c r="AD383" s="617" t="b">
        <f>T383</f>
        <v>0</v>
      </c>
      <c r="AE383" s="248" t="b">
        <f>AND(W383=TRUE,LEN(X383)=0)</f>
        <v>0</v>
      </c>
      <c r="AF383" s="720" t="b">
        <f>AND(AE383,NOT(Q383))</f>
        <v>0</v>
      </c>
      <c r="AG383" s="248"/>
      <c r="AH383" s="248"/>
      <c r="AI383" s="248"/>
      <c r="AJ383" s="248"/>
      <c r="AK383" s="248"/>
      <c r="AL383" s="1352" t="str">
        <f>SUBSTITUTE(SUBSTITUTE(SUBSTITUTE("vpa"&amp;$B383&amp;$C383&amp;$D383&amp;$E383&amp;$F383,".","_"),"(","_"),")","")</f>
        <v>vpa601_8</v>
      </c>
      <c r="AM383" s="1352">
        <f>M383</f>
        <v>3</v>
      </c>
      <c r="AN383" s="1352" t="str">
        <f>SUBSTITUTE(SUBSTITUTE(SUBSTITUTE("vpc"&amp;$B383&amp;$C383&amp;$D383&amp;$E383&amp;$F383,".","_"),"(","_"),")","")</f>
        <v>vpc601_8</v>
      </c>
      <c r="AO383" s="1352">
        <f>O383</f>
        <v>0</v>
      </c>
      <c r="AP383" s="1352" t="str">
        <f>SUBSTITUTE(SUBSTITUTE(SUBSTITUTE("vch"&amp;$B383&amp;$C383&amp;$D383&amp;$E383&amp;$F383,".","_"),"(","_"),")","")</f>
        <v>vch601_8</v>
      </c>
      <c r="AQ383" s="1352" t="str">
        <f>IF(LEN(W383)=0,"",W383)</f>
        <v/>
      </c>
      <c r="AR383" s="1352" t="str">
        <f>SUBSTITUTE(SUBSTITUTE(SUBSTITUTE("vnt"&amp;$B383&amp;$C383&amp;$D383&amp;$E383&amp;$F383,".","_"),"(","_"),")","")</f>
        <v>vnt601_8</v>
      </c>
      <c r="AS383" s="1352" t="str">
        <f>IF(LEN(X383)=0,"",X383)</f>
        <v/>
      </c>
    </row>
    <row r="384" spans="1:65" ht="16" hidden="1" thickTop="1" x14ac:dyDescent="0.2">
      <c r="A384" s="1507">
        <v>6</v>
      </c>
      <c r="B384" s="1524">
        <v>601.79999999999995</v>
      </c>
      <c r="C384" s="1511"/>
      <c r="D384" s="1511"/>
      <c r="E384" s="1511"/>
      <c r="F384" s="1514"/>
      <c r="G384" s="1509" t="str">
        <f t="shared" ref="G384:G390" si="29">G383</f>
        <v/>
      </c>
      <c r="H384" s="1510" t="s">
        <v>3198</v>
      </c>
      <c r="I384" s="130"/>
      <c r="J384" s="129"/>
      <c r="K384" s="97"/>
      <c r="L384" s="1629"/>
      <c r="M384" s="1623"/>
      <c r="N384" s="1755"/>
      <c r="O384" s="1619"/>
      <c r="P384" s="991"/>
      <c r="Q384" s="991"/>
      <c r="R384" s="991"/>
      <c r="S384" s="991"/>
      <c r="T384" s="991"/>
      <c r="U384" s="991"/>
      <c r="V384" s="991"/>
      <c r="W384" s="114"/>
      <c r="X384" s="1601"/>
      <c r="Y384" s="1881"/>
      <c r="Z384" s="1891"/>
      <c r="AC384" s="248"/>
      <c r="AD384" s="248"/>
      <c r="AE384" s="248"/>
      <c r="AF384" s="248"/>
      <c r="AG384" s="248"/>
      <c r="AH384" s="248"/>
      <c r="AI384" s="248"/>
      <c r="AJ384" s="248"/>
      <c r="AK384" s="248"/>
      <c r="AL384" s="1352"/>
      <c r="AM384" s="1352"/>
      <c r="AN384" s="1352"/>
      <c r="AO384" s="1352"/>
      <c r="AP384" s="1352"/>
      <c r="AQ384" s="1352"/>
      <c r="AR384" s="1352"/>
      <c r="AS384" s="1352"/>
    </row>
    <row r="385" spans="1:65" ht="16" hidden="1" thickTop="1" x14ac:dyDescent="0.2">
      <c r="A385" s="1507">
        <v>6</v>
      </c>
      <c r="B385" s="1524">
        <v>601.79999999999995</v>
      </c>
      <c r="C385" s="1511"/>
      <c r="D385" s="1511"/>
      <c r="E385" s="1511"/>
      <c r="F385" s="1514"/>
      <c r="G385" s="1509" t="str">
        <f t="shared" si="29"/>
        <v/>
      </c>
      <c r="H385" s="1510" t="s">
        <v>3198</v>
      </c>
      <c r="I385" s="130"/>
      <c r="J385" s="129"/>
      <c r="K385" s="97"/>
      <c r="L385" s="1629"/>
      <c r="M385" s="1623"/>
      <c r="N385" s="1755"/>
      <c r="O385" s="1619"/>
      <c r="P385" s="991"/>
      <c r="Q385" s="991"/>
      <c r="R385" s="991"/>
      <c r="S385" s="991"/>
      <c r="T385" s="991"/>
      <c r="U385" s="991"/>
      <c r="V385" s="991"/>
      <c r="W385" s="114"/>
      <c r="X385" s="1601"/>
      <c r="Y385" s="1881"/>
      <c r="Z385" s="1891"/>
      <c r="AC385" s="248"/>
      <c r="AD385" s="248"/>
      <c r="AE385" s="248"/>
      <c r="AF385" s="248"/>
      <c r="AG385" s="248"/>
      <c r="AH385" s="248"/>
      <c r="AI385" s="248"/>
      <c r="AJ385" s="248"/>
      <c r="AK385" s="248"/>
      <c r="AL385" s="1352"/>
      <c r="AM385" s="1352"/>
      <c r="AN385" s="1352"/>
      <c r="AO385" s="1352"/>
      <c r="AP385" s="1352"/>
      <c r="AQ385" s="1352"/>
      <c r="AR385" s="1352"/>
      <c r="AS385" s="1352"/>
    </row>
    <row r="386" spans="1:65" ht="16" hidden="1" thickTop="1" x14ac:dyDescent="0.2">
      <c r="A386" s="1507">
        <v>6</v>
      </c>
      <c r="B386" s="1524">
        <v>601.79999999999995</v>
      </c>
      <c r="C386" s="1511"/>
      <c r="D386" s="1511"/>
      <c r="E386" s="1511"/>
      <c r="F386" s="1514"/>
      <c r="G386" s="1509" t="str">
        <f t="shared" si="29"/>
        <v/>
      </c>
      <c r="H386" s="1510" t="s">
        <v>3198</v>
      </c>
      <c r="I386" s="130"/>
      <c r="J386" s="129"/>
      <c r="K386" s="97"/>
      <c r="L386" s="1629"/>
      <c r="M386" s="1623"/>
      <c r="N386" s="1755"/>
      <c r="O386" s="1619"/>
      <c r="P386" s="991"/>
      <c r="Q386" s="991"/>
      <c r="R386" s="991"/>
      <c r="S386" s="991"/>
      <c r="T386" s="991"/>
      <c r="U386" s="991"/>
      <c r="V386" s="991"/>
      <c r="W386" s="114"/>
      <c r="X386" s="1601"/>
      <c r="Y386" s="1881"/>
      <c r="Z386" s="1891"/>
      <c r="AC386" s="248"/>
      <c r="AD386" s="248"/>
      <c r="AE386" s="248"/>
      <c r="AF386" s="248"/>
      <c r="AG386" s="248"/>
      <c r="AH386" s="248"/>
      <c r="AI386" s="248"/>
      <c r="AJ386" s="248"/>
      <c r="AK386" s="248"/>
      <c r="AL386" s="1352"/>
      <c r="AM386" s="1352"/>
      <c r="AN386" s="1352"/>
      <c r="AO386" s="1352"/>
      <c r="AP386" s="1352"/>
      <c r="AQ386" s="1352"/>
      <c r="AR386" s="1352"/>
      <c r="AS386" s="1352"/>
    </row>
    <row r="387" spans="1:65" s="290" customFormat="1" ht="16" hidden="1" thickTop="1" x14ac:dyDescent="0.2">
      <c r="A387" s="1507">
        <v>6</v>
      </c>
      <c r="B387" s="1524">
        <v>601.79999999999995</v>
      </c>
      <c r="C387" s="1511"/>
      <c r="D387" s="1511"/>
      <c r="E387" s="1511"/>
      <c r="F387" s="1514"/>
      <c r="G387" s="1509" t="str">
        <f t="shared" si="29"/>
        <v/>
      </c>
      <c r="H387" s="1510" t="s">
        <v>3198</v>
      </c>
      <c r="I387" s="130"/>
      <c r="J387" s="129"/>
      <c r="K387" s="97"/>
      <c r="L387" s="1629"/>
      <c r="M387" s="1623"/>
      <c r="N387" s="1755"/>
      <c r="O387" s="1619"/>
      <c r="P387" s="991"/>
      <c r="Q387" s="991"/>
      <c r="R387" s="991"/>
      <c r="S387" s="991"/>
      <c r="T387" s="991"/>
      <c r="U387" s="991"/>
      <c r="V387" s="991"/>
      <c r="W387" s="114"/>
      <c r="X387" s="1601"/>
      <c r="Y387" s="1881"/>
      <c r="Z387" s="1891"/>
      <c r="AA387" s="707"/>
      <c r="AB387"/>
      <c r="AC387" s="248"/>
      <c r="AD387" s="248"/>
      <c r="AE387" s="248"/>
      <c r="AF387" s="248"/>
      <c r="AG387" s="248"/>
      <c r="AH387" s="248"/>
      <c r="AI387" s="248"/>
      <c r="AJ387" s="248"/>
      <c r="AK387" s="248"/>
      <c r="AL387" s="1352"/>
      <c r="AM387" s="1352"/>
      <c r="AN387" s="1352"/>
      <c r="AO387" s="1352"/>
      <c r="AP387" s="1352"/>
      <c r="AQ387" s="1352"/>
      <c r="AR387" s="1352"/>
      <c r="AS387" s="1352"/>
      <c r="AW387"/>
      <c r="AX387"/>
      <c r="AY387"/>
      <c r="AZ387"/>
      <c r="BA387"/>
      <c r="BB387"/>
      <c r="BC387"/>
      <c r="BD387"/>
      <c r="BE387"/>
      <c r="BF387"/>
      <c r="BG387"/>
      <c r="BH387"/>
      <c r="BI387"/>
      <c r="BJ387"/>
      <c r="BK387"/>
      <c r="BL387"/>
      <c r="BM387"/>
    </row>
    <row r="388" spans="1:65" ht="16" hidden="1" thickTop="1" x14ac:dyDescent="0.2">
      <c r="A388" s="1507">
        <v>6</v>
      </c>
      <c r="B388" s="1524">
        <v>601.79999999999995</v>
      </c>
      <c r="C388" s="1511"/>
      <c r="D388" s="1511"/>
      <c r="E388" s="1511"/>
      <c r="F388" s="1514"/>
      <c r="G388" s="1509" t="str">
        <f t="shared" si="29"/>
        <v/>
      </c>
      <c r="H388" s="1510" t="s">
        <v>3198</v>
      </c>
      <c r="I388" s="130"/>
      <c r="J388" s="129"/>
      <c r="K388" s="97"/>
      <c r="L388" s="1702" t="s">
        <v>676</v>
      </c>
      <c r="M388" s="1623"/>
      <c r="N388" s="1755"/>
      <c r="O388" s="1619"/>
      <c r="P388" s="991"/>
      <c r="Q388" s="991"/>
      <c r="R388" s="991"/>
      <c r="S388" s="991"/>
      <c r="T388" s="991"/>
      <c r="U388" s="991"/>
      <c r="V388" s="991"/>
      <c r="W388" s="114"/>
      <c r="X388" s="1601"/>
      <c r="Y388" s="1881"/>
      <c r="Z388" s="1891"/>
      <c r="AC388" s="248"/>
      <c r="AD388" s="248"/>
      <c r="AE388" s="248"/>
      <c r="AF388" s="248"/>
      <c r="AG388" s="248"/>
      <c r="AH388" s="248"/>
      <c r="AI388" s="248"/>
      <c r="AJ388" s="248"/>
      <c r="AK388" s="248"/>
      <c r="AL388" s="1352"/>
      <c r="AM388" s="1352"/>
      <c r="AN388" s="1352"/>
      <c r="AO388" s="1352"/>
      <c r="AP388" s="1352"/>
      <c r="AQ388" s="1352"/>
      <c r="AR388" s="1352"/>
      <c r="AS388" s="1352"/>
    </row>
    <row r="389" spans="1:65" s="290" customFormat="1" ht="16" hidden="1" thickTop="1" x14ac:dyDescent="0.2">
      <c r="A389" s="1507">
        <v>6</v>
      </c>
      <c r="B389" s="1524">
        <v>601.79999999999995</v>
      </c>
      <c r="C389" s="1511"/>
      <c r="D389" s="1511"/>
      <c r="E389" s="1511"/>
      <c r="F389" s="1514"/>
      <c r="G389" s="1509" t="str">
        <f t="shared" si="29"/>
        <v/>
      </c>
      <c r="H389" s="1510" t="s">
        <v>3198</v>
      </c>
      <c r="I389" s="130"/>
      <c r="J389" s="129"/>
      <c r="K389" s="97"/>
      <c r="L389" s="1702"/>
      <c r="M389" s="1623"/>
      <c r="N389" s="1755"/>
      <c r="O389" s="1619"/>
      <c r="P389" s="991"/>
      <c r="Q389" s="991"/>
      <c r="R389" s="991"/>
      <c r="S389" s="991"/>
      <c r="T389" s="991"/>
      <c r="U389" s="991"/>
      <c r="V389" s="991"/>
      <c r="W389" s="114"/>
      <c r="X389" s="1601"/>
      <c r="Y389" s="1881"/>
      <c r="Z389" s="1891"/>
      <c r="AA389" s="707"/>
      <c r="AB389"/>
      <c r="AC389" s="248"/>
      <c r="AD389" s="248"/>
      <c r="AE389" s="248"/>
      <c r="AF389" s="248"/>
      <c r="AG389" s="248"/>
      <c r="AH389" s="248"/>
      <c r="AI389" s="248"/>
      <c r="AJ389" s="248"/>
      <c r="AK389" s="248"/>
      <c r="AL389" s="1352"/>
      <c r="AM389" s="1352"/>
      <c r="AN389" s="1352"/>
      <c r="AO389" s="1352"/>
      <c r="AP389" s="1352"/>
      <c r="AQ389" s="1352"/>
      <c r="AR389" s="1352"/>
      <c r="AS389" s="1352"/>
      <c r="AW389"/>
      <c r="AX389"/>
      <c r="AY389"/>
      <c r="AZ389"/>
      <c r="BA389"/>
      <c r="BB389"/>
      <c r="BC389"/>
      <c r="BD389"/>
      <c r="BE389"/>
      <c r="BF389"/>
      <c r="BG389"/>
      <c r="BH389"/>
      <c r="BI389"/>
      <c r="BJ389"/>
      <c r="BK389"/>
      <c r="BL389"/>
      <c r="BM389"/>
    </row>
    <row r="390" spans="1:65" ht="17" hidden="1" thickTop="1" thickBot="1" x14ac:dyDescent="0.25">
      <c r="A390" s="1507">
        <v>6</v>
      </c>
      <c r="B390" s="1524">
        <v>601.79999999999995</v>
      </c>
      <c r="C390" s="1511"/>
      <c r="D390" s="1511"/>
      <c r="E390" s="1511"/>
      <c r="F390" s="1514"/>
      <c r="G390" s="1509" t="str">
        <f t="shared" si="29"/>
        <v/>
      </c>
      <c r="H390" s="1510" t="s">
        <v>3198</v>
      </c>
      <c r="I390" s="130"/>
      <c r="J390" s="129"/>
      <c r="K390" s="97"/>
      <c r="L390" s="1689"/>
      <c r="M390" s="1623"/>
      <c r="N390" s="1756"/>
      <c r="O390" s="1619"/>
      <c r="P390" s="991"/>
      <c r="Q390" s="991"/>
      <c r="R390" s="991"/>
      <c r="S390" s="991"/>
      <c r="T390" s="991"/>
      <c r="U390" s="991"/>
      <c r="V390" s="991"/>
      <c r="W390" s="818"/>
      <c r="X390" s="1621"/>
      <c r="Y390" s="1881"/>
      <c r="Z390" s="1892"/>
      <c r="AC390" s="248"/>
      <c r="AD390" s="248"/>
      <c r="AE390" s="248"/>
      <c r="AF390" s="248"/>
      <c r="AG390" s="248"/>
      <c r="AH390" s="248"/>
      <c r="AI390" s="248"/>
      <c r="AJ390" s="248"/>
      <c r="AK390" s="248"/>
      <c r="AL390" s="1352"/>
      <c r="AM390" s="1352"/>
      <c r="AN390" s="1352"/>
      <c r="AO390" s="1352"/>
      <c r="AP390" s="1352"/>
      <c r="AQ390" s="1352"/>
      <c r="AR390" s="1352"/>
      <c r="AS390" s="1352"/>
    </row>
    <row r="391" spans="1:65" ht="21" thickTop="1" thickBot="1" x14ac:dyDescent="0.3">
      <c r="A391" s="1507">
        <v>6</v>
      </c>
      <c r="B391" s="1524">
        <v>602</v>
      </c>
      <c r="C391" s="1511"/>
      <c r="D391" s="1511"/>
      <c r="E391" s="1511"/>
      <c r="F391" s="1514"/>
      <c r="G391" s="1509" t="s">
        <v>3200</v>
      </c>
      <c r="H391" s="1510" t="s">
        <v>3197</v>
      </c>
      <c r="I391" s="72" t="s">
        <v>3529</v>
      </c>
      <c r="J391" s="72"/>
      <c r="K391" s="72"/>
      <c r="L391" s="81"/>
      <c r="M391" s="339"/>
      <c r="N391" s="71"/>
      <c r="O391" s="419"/>
      <c r="P391" s="25"/>
      <c r="Q391" s="25"/>
      <c r="R391" s="25"/>
      <c r="S391" s="25"/>
      <c r="T391" s="25"/>
      <c r="U391" s="25"/>
      <c r="V391" s="25"/>
      <c r="W391" s="25"/>
      <c r="X391" s="25"/>
      <c r="Y391" s="25"/>
      <c r="Z391" s="714"/>
      <c r="AC391" s="248"/>
      <c r="AD391" s="248"/>
      <c r="AE391" s="248"/>
      <c r="AF391" s="248"/>
      <c r="AG391" s="248"/>
      <c r="AH391" s="248"/>
      <c r="AI391" s="248"/>
      <c r="AJ391" s="248"/>
      <c r="AK391" s="248"/>
      <c r="AL391" s="1352"/>
      <c r="AM391" s="1352"/>
      <c r="AN391" s="1352"/>
      <c r="AO391" s="1352"/>
      <c r="AP391" s="1352"/>
      <c r="AQ391" s="1352"/>
      <c r="AR391" s="1352"/>
      <c r="AS391" s="1352"/>
    </row>
    <row r="392" spans="1:65" ht="16" hidden="1" thickBot="1" x14ac:dyDescent="0.25">
      <c r="A392" s="1507">
        <v>6</v>
      </c>
      <c r="B392" s="1524" t="s">
        <v>2681</v>
      </c>
      <c r="C392" s="1511"/>
      <c r="D392" s="1511"/>
      <c r="E392" s="1511"/>
      <c r="F392" s="1514"/>
      <c r="G392" s="1512"/>
      <c r="H392" s="1510"/>
      <c r="I392" s="80" t="s">
        <v>3530</v>
      </c>
      <c r="J392" s="4"/>
      <c r="K392" s="85"/>
      <c r="L392" s="1631" t="s">
        <v>3632</v>
      </c>
      <c r="M392" s="911"/>
      <c r="N392" s="250"/>
      <c r="O392" s="935"/>
      <c r="P392" s="905"/>
      <c r="Q392" s="905"/>
      <c r="R392" s="905"/>
      <c r="S392" s="905"/>
      <c r="T392" s="905"/>
      <c r="U392" s="905"/>
      <c r="V392" s="905"/>
      <c r="W392" s="248"/>
      <c r="X392" s="248"/>
      <c r="Y392"/>
      <c r="Z392" s="670"/>
      <c r="AC392" s="248"/>
      <c r="AD392" s="248"/>
      <c r="AE392" s="248"/>
      <c r="AF392" s="248"/>
      <c r="AG392" s="248"/>
      <c r="AH392" s="248"/>
      <c r="AI392" s="248"/>
      <c r="AJ392" s="248"/>
      <c r="AK392" s="248"/>
      <c r="AL392" s="1352"/>
      <c r="AM392" s="1352"/>
      <c r="AN392" s="1352"/>
      <c r="AO392" s="1352"/>
      <c r="AP392" s="1352"/>
      <c r="AQ392" s="1352"/>
      <c r="AR392" s="1352"/>
      <c r="AS392" s="1352"/>
    </row>
    <row r="393" spans="1:65" ht="16" hidden="1" thickBot="1" x14ac:dyDescent="0.25">
      <c r="A393" s="1507">
        <v>6</v>
      </c>
      <c r="B393" s="1524" t="s">
        <v>2681</v>
      </c>
      <c r="C393" s="1511"/>
      <c r="D393" s="1511"/>
      <c r="E393" s="1511"/>
      <c r="F393" s="1514"/>
      <c r="G393" s="1512"/>
      <c r="H393" s="1510"/>
      <c r="I393" s="67"/>
      <c r="J393" s="4"/>
      <c r="K393" s="85"/>
      <c r="L393" s="1631"/>
      <c r="M393" s="911"/>
      <c r="N393" s="250"/>
      <c r="O393" s="935"/>
      <c r="P393" s="905"/>
      <c r="Q393" s="905"/>
      <c r="R393" s="905"/>
      <c r="S393" s="905"/>
      <c r="T393" s="905"/>
      <c r="U393" s="905"/>
      <c r="V393" s="905"/>
      <c r="W393" s="248"/>
      <c r="X393" s="248"/>
      <c r="Y393" s="100"/>
      <c r="Z393" s="716"/>
      <c r="AC393" s="248"/>
      <c r="AD393" s="248"/>
      <c r="AE393" s="248"/>
      <c r="AF393" s="248"/>
      <c r="AG393" s="248"/>
      <c r="AH393" s="248"/>
      <c r="AI393" s="248"/>
      <c r="AJ393" s="248"/>
      <c r="AK393" s="248"/>
      <c r="AL393" s="1352"/>
      <c r="AM393" s="1352"/>
      <c r="AN393" s="1352"/>
      <c r="AO393" s="1352"/>
      <c r="AP393" s="1352"/>
      <c r="AQ393" s="1352"/>
      <c r="AR393" s="1352"/>
      <c r="AS393" s="1352"/>
    </row>
    <row r="394" spans="1:65" ht="17" thickTop="1" thickBot="1" x14ac:dyDescent="0.25">
      <c r="A394" s="1507">
        <v>6</v>
      </c>
      <c r="B394" s="1524">
        <v>602.1</v>
      </c>
      <c r="C394" s="1511"/>
      <c r="D394" s="1511"/>
      <c r="E394" s="1511"/>
      <c r="F394" s="1514"/>
      <c r="G394" s="1509" t="s">
        <v>3200</v>
      </c>
      <c r="H394" s="1510" t="s">
        <v>3197</v>
      </c>
      <c r="I394" s="177" t="s">
        <v>3531</v>
      </c>
      <c r="J394" s="178"/>
      <c r="K394" s="179"/>
      <c r="L394" s="125" t="s">
        <v>3631</v>
      </c>
      <c r="M394" s="945"/>
      <c r="N394" s="256"/>
      <c r="O394" s="943"/>
      <c r="P394" s="106"/>
      <c r="Q394" s="106"/>
      <c r="R394" s="106"/>
      <c r="S394" s="106"/>
      <c r="T394" s="106"/>
      <c r="U394" s="106"/>
      <c r="V394" s="106"/>
      <c r="W394" s="106"/>
      <c r="X394" s="106"/>
      <c r="Y394" s="100"/>
      <c r="Z394" s="716"/>
      <c r="AC394" s="248"/>
      <c r="AD394" s="248"/>
      <c r="AE394" s="248"/>
      <c r="AF394" s="248"/>
      <c r="AG394" s="248"/>
      <c r="AH394" s="248"/>
      <c r="AI394" s="248"/>
      <c r="AJ394" s="248"/>
      <c r="AK394" s="248"/>
      <c r="AL394" s="1352"/>
      <c r="AM394" s="1352"/>
      <c r="AN394" s="1352"/>
      <c r="AO394" s="1352"/>
      <c r="AP394" s="1352"/>
      <c r="AQ394" s="1352"/>
      <c r="AR394" s="1352"/>
      <c r="AS394" s="1352"/>
    </row>
    <row r="395" spans="1:65" ht="16" thickTop="1" x14ac:dyDescent="0.2">
      <c r="A395" s="1507">
        <v>6</v>
      </c>
      <c r="B395" s="1524" t="s">
        <v>474</v>
      </c>
      <c r="C395" s="1511"/>
      <c r="D395" s="1511"/>
      <c r="E395" s="1511"/>
      <c r="F395" s="1514"/>
      <c r="G395" s="1509" t="s">
        <v>3200</v>
      </c>
      <c r="H395" s="1510" t="s">
        <v>3198</v>
      </c>
      <c r="I395" s="177" t="s">
        <v>3532</v>
      </c>
      <c r="J395" s="178"/>
      <c r="K395" s="179"/>
      <c r="L395" s="125" t="s">
        <v>3630</v>
      </c>
      <c r="M395" s="945"/>
      <c r="N395" s="256"/>
      <c r="O395" s="943"/>
      <c r="P395" s="106"/>
      <c r="Q395" s="106"/>
      <c r="R395" s="106"/>
      <c r="S395" s="106"/>
      <c r="T395" s="106"/>
      <c r="U395" s="106"/>
      <c r="V395" s="106"/>
      <c r="W395" s="106"/>
      <c r="X395" s="106"/>
      <c r="Y395"/>
      <c r="Z395" s="670"/>
      <c r="AC395" s="248"/>
      <c r="AD395" s="248"/>
      <c r="AE395" s="248"/>
      <c r="AF395" s="248"/>
      <c r="AG395" s="248"/>
      <c r="AH395" s="248"/>
      <c r="AI395" s="248"/>
      <c r="AJ395" s="248"/>
      <c r="AK395" s="248"/>
      <c r="AL395" s="1352"/>
      <c r="AM395" s="1352"/>
      <c r="AN395" s="1352"/>
      <c r="AO395" s="1352"/>
      <c r="AP395" s="1352"/>
      <c r="AQ395" s="1352"/>
      <c r="AR395" s="1352"/>
      <c r="AS395" s="1352"/>
    </row>
    <row r="396" spans="1:65" x14ac:dyDescent="0.2">
      <c r="A396" s="1507">
        <v>6</v>
      </c>
      <c r="B396" s="1524" t="s">
        <v>475</v>
      </c>
      <c r="C396" s="1511"/>
      <c r="D396" s="1511"/>
      <c r="E396" s="1511"/>
      <c r="F396" s="1514"/>
      <c r="G396" s="1509" t="str">
        <f>IF(M396="Mandatory","P","")</f>
        <v>P</v>
      </c>
      <c r="H396" s="1510" t="s">
        <v>3198</v>
      </c>
      <c r="I396" s="130" t="s">
        <v>3533</v>
      </c>
      <c r="J396" s="129"/>
      <c r="K396" s="97"/>
      <c r="L396" s="1629" t="s">
        <v>3629</v>
      </c>
      <c r="M396" s="1697" t="str">
        <f>IF(R396,"Mandatory","N/A")</f>
        <v>Mandatory</v>
      </c>
      <c r="N396" s="250"/>
      <c r="O396" s="935"/>
      <c r="P396" s="905" t="b">
        <v>1</v>
      </c>
      <c r="Q396" s="905" t="b">
        <v>0</v>
      </c>
      <c r="R396" s="905" t="b">
        <f>S396</f>
        <v>1</v>
      </c>
      <c r="S396" s="905" t="b">
        <f>IF(OR(AZ332=2,AZ332=3),FALSE,TRUE)</f>
        <v>1</v>
      </c>
      <c r="T396" s="991" t="b">
        <f>AND(NOT(S396),LEN(W396)&gt;0)</f>
        <v>0</v>
      </c>
      <c r="U396" s="991" t="str">
        <f>SUBSTITUTE(SUBSTITUTE(SUBSTITUTE("dd"&amp;B396&amp;C396&amp;D396&amp;E396&amp;F396,".","_"),"(","_"),")","")</f>
        <v>dd602_1_1_1</v>
      </c>
      <c r="V396" s="905"/>
      <c r="W396" s="12" t="s">
        <v>2590</v>
      </c>
      <c r="X396" s="1621" t="s">
        <v>5671</v>
      </c>
      <c r="Y396" s="1875" t="str">
        <f>IF(LEN('11.600'!X98)=0,"None",'11.600'!X98)</f>
        <v>None</v>
      </c>
      <c r="Z396" s="1878"/>
      <c r="AC396" s="248" t="b">
        <f>OR(AD396:AE396)</f>
        <v>0</v>
      </c>
      <c r="AD396" s="248" t="b">
        <f>T396</f>
        <v>0</v>
      </c>
      <c r="AE396" s="751" t="b">
        <f>AND(R396,NOT(W396="Met"),NOT(W396="N/A"))</f>
        <v>0</v>
      </c>
      <c r="AF396" s="720" t="b">
        <f>AND(AE396,NOT(Q396))</f>
        <v>0</v>
      </c>
      <c r="AG396" s="248"/>
      <c r="AH396" s="248"/>
      <c r="AI396" s="248"/>
      <c r="AJ396" s="248"/>
      <c r="AK396" s="248"/>
      <c r="AL396" s="1352" t="str">
        <f>SUBSTITUTE(SUBSTITUTE(SUBSTITUTE("vpa"&amp;$B396&amp;$C396&amp;$D396&amp;$E396&amp;$F396,".","_"),"(","_"),")","")</f>
        <v>vpa602_1_1_1</v>
      </c>
      <c r="AM396" s="1352" t="str">
        <f>M396</f>
        <v>Mandatory</v>
      </c>
      <c r="AN396" s="1352"/>
      <c r="AO396" s="1352"/>
      <c r="AP396" s="1352" t="str">
        <f>SUBSTITUTE(SUBSTITUTE(SUBSTITUTE("vch"&amp;$B396&amp;$C396&amp;$D396&amp;$E396&amp;$F396,".","_"),"(","_"),")","")</f>
        <v>vch602_1_1_1</v>
      </c>
      <c r="AQ396" s="1352" t="str">
        <f>IF(LEN(W396)=0,"",W396)</f>
        <v>N/A</v>
      </c>
      <c r="AR396" s="1352" t="str">
        <f>SUBSTITUTE(SUBSTITUTE(SUBSTITUTE("vnt"&amp;$B396&amp;$C396&amp;$D396&amp;$E396&amp;$F396,".","_"),"(","_"),")","")</f>
        <v>vnt602_1_1_1</v>
      </c>
      <c r="AS396" s="1352" t="str">
        <f>IF(LEN(X396)=0,"",X396)</f>
        <v>No existing moisture problem</v>
      </c>
    </row>
    <row r="397" spans="1:65" x14ac:dyDescent="0.2">
      <c r="A397" s="1507">
        <v>6</v>
      </c>
      <c r="B397" s="1524" t="s">
        <v>475</v>
      </c>
      <c r="C397" s="1511"/>
      <c r="D397" s="1511"/>
      <c r="E397" s="1511"/>
      <c r="F397" s="1514"/>
      <c r="G397" s="1509" t="str">
        <f>G396</f>
        <v>P</v>
      </c>
      <c r="H397" s="1510" t="s">
        <v>3198</v>
      </c>
      <c r="I397" s="130"/>
      <c r="J397" s="129"/>
      <c r="K397" s="97"/>
      <c r="L397" s="1629"/>
      <c r="M397" s="1697"/>
      <c r="N397" s="250"/>
      <c r="O397" s="935"/>
      <c r="P397" s="905"/>
      <c r="Q397" s="905"/>
      <c r="R397" s="905"/>
      <c r="S397" s="905"/>
      <c r="T397" s="905"/>
      <c r="U397" s="905"/>
      <c r="V397" s="905"/>
      <c r="W397" s="248"/>
      <c r="X397" s="1632"/>
      <c r="Y397" s="1876"/>
      <c r="Z397" s="1879"/>
      <c r="AC397" s="248"/>
      <c r="AD397" s="248"/>
      <c r="AE397" s="248"/>
      <c r="AF397" s="248"/>
      <c r="AG397" s="248"/>
      <c r="AH397" s="248"/>
      <c r="AI397" s="248"/>
      <c r="AJ397" s="248"/>
      <c r="AK397" s="248"/>
      <c r="AL397" s="1352"/>
      <c r="AM397" s="1352"/>
      <c r="AN397" s="1352"/>
      <c r="AO397" s="1352"/>
      <c r="AP397" s="1352"/>
      <c r="AQ397" s="1352"/>
      <c r="AR397" s="1352"/>
      <c r="AS397" s="1352"/>
    </row>
    <row r="398" spans="1:65" x14ac:dyDescent="0.2">
      <c r="A398" s="1507">
        <v>6</v>
      </c>
      <c r="B398" s="1524" t="s">
        <v>475</v>
      </c>
      <c r="C398" s="1511"/>
      <c r="D398" s="1511"/>
      <c r="E398" s="1511"/>
      <c r="F398" s="1514"/>
      <c r="G398" s="1509" t="str">
        <f>G397</f>
        <v>P</v>
      </c>
      <c r="H398" s="1510" t="s">
        <v>3198</v>
      </c>
      <c r="I398" s="130"/>
      <c r="J398" s="129"/>
      <c r="K398" s="97"/>
      <c r="L398" s="1629"/>
      <c r="M398" s="1697"/>
      <c r="N398" s="250"/>
      <c r="O398" s="935"/>
      <c r="P398" s="905"/>
      <c r="Q398" s="905"/>
      <c r="R398" s="905"/>
      <c r="S398" s="905"/>
      <c r="T398" s="905"/>
      <c r="U398" s="905"/>
      <c r="V398" s="905"/>
      <c r="W398" s="248"/>
      <c r="X398" s="1632"/>
      <c r="Y398" s="1876"/>
      <c r="Z398" s="1879"/>
      <c r="AC398" s="248"/>
      <c r="AD398" s="248"/>
      <c r="AE398" s="248"/>
      <c r="AF398" s="248"/>
      <c r="AG398" s="248"/>
      <c r="AH398" s="248"/>
      <c r="AI398" s="248"/>
      <c r="AJ398" s="248"/>
      <c r="AK398" s="248"/>
      <c r="AL398" s="1352"/>
      <c r="AM398" s="1352"/>
      <c r="AN398" s="1352"/>
      <c r="AO398" s="1352"/>
      <c r="AP398" s="1352"/>
      <c r="AQ398" s="1352"/>
      <c r="AR398" s="1352"/>
      <c r="AS398" s="1352"/>
    </row>
    <row r="399" spans="1:65" s="751" customFormat="1" ht="16" thickBot="1" x14ac:dyDescent="0.25">
      <c r="A399" s="1507">
        <v>6</v>
      </c>
      <c r="B399" s="1524" t="s">
        <v>475</v>
      </c>
      <c r="C399" s="1511"/>
      <c r="D399" s="1511"/>
      <c r="E399" s="1511"/>
      <c r="F399" s="1514"/>
      <c r="G399" s="1509" t="str">
        <f>G398</f>
        <v>P</v>
      </c>
      <c r="H399" s="1510" t="s">
        <v>3198</v>
      </c>
      <c r="I399" s="219"/>
      <c r="J399" s="213"/>
      <c r="K399" s="170"/>
      <c r="L399" s="954" t="s">
        <v>3817</v>
      </c>
      <c r="M399" s="754"/>
      <c r="N399" s="753"/>
      <c r="O399" s="935"/>
      <c r="P399" s="905"/>
      <c r="Q399" s="905"/>
      <c r="R399" s="905"/>
      <c r="S399" s="905"/>
      <c r="T399" s="905"/>
      <c r="U399" s="905"/>
      <c r="V399" s="905"/>
      <c r="X399" s="1599"/>
      <c r="Y399" s="1877"/>
      <c r="Z399" s="1880"/>
      <c r="AL399" s="1352"/>
      <c r="AM399" s="1352"/>
      <c r="AN399" s="1352"/>
      <c r="AO399" s="1352"/>
      <c r="AP399" s="1352"/>
      <c r="AQ399" s="1352"/>
      <c r="AR399" s="1352"/>
      <c r="AS399" s="1352"/>
    </row>
    <row r="400" spans="1:65" ht="16" hidden="1" thickBot="1" x14ac:dyDescent="0.25">
      <c r="A400" s="1507">
        <v>6</v>
      </c>
      <c r="B400" s="1524" t="s">
        <v>476</v>
      </c>
      <c r="C400" s="1511"/>
      <c r="D400" s="1511"/>
      <c r="E400" s="1511"/>
      <c r="F400" s="1514"/>
      <c r="G400" s="1509" t="str">
        <f>IF(N400&gt;0,"P","")</f>
        <v/>
      </c>
      <c r="H400" s="1510" t="s">
        <v>3198</v>
      </c>
      <c r="I400" s="67" t="s">
        <v>3534</v>
      </c>
      <c r="J400" s="4"/>
      <c r="K400" s="85"/>
      <c r="L400" s="1631" t="s">
        <v>3806</v>
      </c>
      <c r="M400" s="1628">
        <v>3</v>
      </c>
      <c r="N400" s="1644">
        <f>'11.600'!O102</f>
        <v>0</v>
      </c>
      <c r="O400" s="1669">
        <f>M400*S400*W400</f>
        <v>0</v>
      </c>
      <c r="P400" s="905" t="b">
        <v>1</v>
      </c>
      <c r="Q400" s="905" t="b">
        <v>0</v>
      </c>
      <c r="R400" s="905" t="b">
        <v>0</v>
      </c>
      <c r="S400" s="905" t="b">
        <v>1</v>
      </c>
      <c r="T400" s="905" t="b">
        <v>0</v>
      </c>
      <c r="U400" s="905"/>
      <c r="V400" s="905"/>
      <c r="W400" s="27"/>
      <c r="X400" s="1600"/>
      <c r="Y400" s="1881" t="str">
        <f>IF(LEN('11.600'!X102)=0,"None",'11.600'!X102)</f>
        <v>None</v>
      </c>
      <c r="Z400" s="1891"/>
      <c r="AC400" s="248"/>
      <c r="AD400" s="248"/>
      <c r="AE400" s="248"/>
      <c r="AF400" s="248"/>
      <c r="AG400" s="248"/>
      <c r="AH400" s="248"/>
      <c r="AI400" s="248"/>
      <c r="AJ400" s="248"/>
      <c r="AK400" s="248"/>
      <c r="AL400" s="1352" t="str">
        <f>SUBSTITUTE(SUBSTITUTE(SUBSTITUTE("vpa"&amp;$B400&amp;$C400&amp;$D400&amp;$E400&amp;$F400,".","_"),"(","_"),")","")</f>
        <v xml:space="preserve">vpa602_1_1_2 </v>
      </c>
      <c r="AM400" s="1352">
        <f>M400</f>
        <v>3</v>
      </c>
      <c r="AN400" s="1352" t="str">
        <f>SUBSTITUTE(SUBSTITUTE(SUBSTITUTE("vpc"&amp;$B400&amp;$C400&amp;$D400&amp;$E400&amp;$F400,".","_"),"(","_"),")","")</f>
        <v xml:space="preserve">vpc602_1_1_2 </v>
      </c>
      <c r="AO400" s="1352">
        <f>O400</f>
        <v>0</v>
      </c>
      <c r="AP400" s="1352" t="str">
        <f>SUBSTITUTE(SUBSTITUTE(SUBSTITUTE("vch"&amp;$B400&amp;$C400&amp;$D400&amp;$E400&amp;$F400,".","_"),"(","_"),")","")</f>
        <v xml:space="preserve">vch602_1_1_2 </v>
      </c>
      <c r="AQ400" s="1352" t="str">
        <f>IF(LEN(W400)=0,"",W400)</f>
        <v/>
      </c>
      <c r="AR400" s="1352" t="str">
        <f>SUBSTITUTE(SUBSTITUTE(SUBSTITUTE("vnt"&amp;$B400&amp;$C400&amp;$D400&amp;$E400&amp;$F400,".","_"),"(","_"),")","")</f>
        <v xml:space="preserve">vnt602_1_1_2 </v>
      </c>
      <c r="AS400" s="1352" t="str">
        <f>IF(LEN(X400)=0,"",X400)</f>
        <v/>
      </c>
    </row>
    <row r="401" spans="1:45" s="794" customFormat="1" ht="16" hidden="1" thickBot="1" x14ac:dyDescent="0.25">
      <c r="A401" s="1507">
        <v>6</v>
      </c>
      <c r="B401" s="1524" t="s">
        <v>476</v>
      </c>
      <c r="C401" s="1511"/>
      <c r="D401" s="1511"/>
      <c r="E401" s="1511"/>
      <c r="F401" s="1514"/>
      <c r="G401" s="1509" t="str">
        <f>G400</f>
        <v/>
      </c>
      <c r="H401" s="1510" t="s">
        <v>3198</v>
      </c>
      <c r="I401" s="67"/>
      <c r="J401" s="4"/>
      <c r="K401" s="85"/>
      <c r="L401" s="1631"/>
      <c r="M401" s="1628"/>
      <c r="N401" s="1644"/>
      <c r="O401" s="1669"/>
      <c r="P401" s="905"/>
      <c r="Q401" s="905"/>
      <c r="R401" s="905"/>
      <c r="S401" s="905"/>
      <c r="T401" s="905"/>
      <c r="U401" s="905"/>
      <c r="V401" s="905"/>
      <c r="W401"/>
      <c r="X401" s="1600"/>
      <c r="Y401" s="1875"/>
      <c r="Z401" s="1878"/>
      <c r="AL401" s="1352"/>
      <c r="AM401" s="1352"/>
      <c r="AN401" s="1352"/>
      <c r="AO401" s="1352"/>
      <c r="AP401" s="1352"/>
      <c r="AQ401" s="1352"/>
      <c r="AR401" s="1352"/>
      <c r="AS401" s="1352"/>
    </row>
    <row r="402" spans="1:45" ht="16" hidden="1" thickBot="1" x14ac:dyDescent="0.25">
      <c r="A402" s="1507">
        <v>6</v>
      </c>
      <c r="B402" s="1524" t="s">
        <v>476</v>
      </c>
      <c r="C402" s="1511"/>
      <c r="D402" s="1511"/>
      <c r="E402" s="1511"/>
      <c r="F402" s="1514"/>
      <c r="G402" s="1509" t="str">
        <f>G401</f>
        <v/>
      </c>
      <c r="H402" s="1510" t="s">
        <v>3198</v>
      </c>
      <c r="I402" s="67"/>
      <c r="J402" s="4"/>
      <c r="K402" s="85"/>
      <c r="L402" s="1631"/>
      <c r="M402" s="1628"/>
      <c r="N402" s="1645"/>
      <c r="O402" s="1669"/>
      <c r="P402" s="905"/>
      <c r="Q402" s="905"/>
      <c r="R402" s="905"/>
      <c r="S402" s="905"/>
      <c r="T402" s="905"/>
      <c r="U402" s="905"/>
      <c r="V402" s="905"/>
      <c r="W402" s="248"/>
      <c r="X402" s="1621"/>
      <c r="Y402" s="1882"/>
      <c r="Z402" s="1892"/>
      <c r="AC402" s="248"/>
      <c r="AD402" s="248"/>
      <c r="AE402" s="248"/>
      <c r="AF402" s="248"/>
      <c r="AG402" s="248"/>
      <c r="AH402" s="248"/>
      <c r="AI402" s="248"/>
      <c r="AJ402" s="248"/>
      <c r="AK402" s="248"/>
      <c r="AL402" s="1352"/>
      <c r="AM402" s="1352"/>
      <c r="AN402" s="1352"/>
      <c r="AO402" s="1352"/>
      <c r="AP402" s="1352"/>
      <c r="AQ402" s="1352"/>
      <c r="AR402" s="1352"/>
      <c r="AS402" s="1352"/>
    </row>
    <row r="403" spans="1:45" ht="17" hidden="1" thickTop="1" thickBot="1" x14ac:dyDescent="0.25">
      <c r="A403" s="1507">
        <v>6</v>
      </c>
      <c r="B403" s="1525" t="s">
        <v>477</v>
      </c>
      <c r="C403" s="1511"/>
      <c r="D403" s="1511"/>
      <c r="E403" s="1511"/>
      <c r="F403" s="1514"/>
      <c r="G403" s="1509" t="str">
        <f>IF(N403&gt;0,"P","")</f>
        <v/>
      </c>
      <c r="H403" s="1510" t="s">
        <v>3198</v>
      </c>
      <c r="I403" s="177" t="s">
        <v>3535</v>
      </c>
      <c r="J403" s="178"/>
      <c r="K403" s="179"/>
      <c r="L403" s="1683" t="s">
        <v>3807</v>
      </c>
      <c r="M403" s="1685">
        <v>4</v>
      </c>
      <c r="N403" s="1770">
        <f>'11.600'!O105</f>
        <v>0</v>
      </c>
      <c r="O403" s="1682">
        <f>M403*OR(S406*W406,S407*W407)</f>
        <v>0</v>
      </c>
      <c r="P403" s="106"/>
      <c r="Q403" s="106"/>
      <c r="R403" s="106"/>
      <c r="S403" s="106"/>
      <c r="T403" s="106"/>
      <c r="U403" s="106"/>
      <c r="V403" s="106"/>
      <c r="W403" s="106"/>
      <c r="X403" s="1603"/>
      <c r="Y403" s="1877" t="str">
        <f>IF(LEN('11.600'!X105)=0,"None",'11.600'!X105)</f>
        <v>None</v>
      </c>
      <c r="Z403" s="1880"/>
      <c r="AC403" s="248"/>
      <c r="AD403" s="248"/>
      <c r="AE403" s="248"/>
      <c r="AF403" s="248"/>
      <c r="AG403" s="248"/>
      <c r="AH403" s="248"/>
      <c r="AI403" s="248"/>
      <c r="AJ403" s="248"/>
      <c r="AK403" s="248"/>
      <c r="AL403" s="1352" t="str">
        <f>SUBSTITUTE(SUBSTITUTE(SUBSTITUTE("vpa"&amp;$B403&amp;$C403&amp;$D403&amp;$E403&amp;$F403,".","_"),"(","_"),")","")</f>
        <v xml:space="preserve">vpa602_1_2 </v>
      </c>
      <c r="AM403" s="1352">
        <f>M403</f>
        <v>4</v>
      </c>
      <c r="AN403" s="1352" t="str">
        <f>SUBSTITUTE(SUBSTITUTE(SUBSTITUTE("vpc"&amp;$B403&amp;$C403&amp;$D403&amp;$E403&amp;$F403,".","_"),"(","_"),")","")</f>
        <v xml:space="preserve">vpc602_1_2 </v>
      </c>
      <c r="AO403" s="1352">
        <f>O403</f>
        <v>0</v>
      </c>
      <c r="AP403" s="1352"/>
      <c r="AQ403" s="1352"/>
      <c r="AR403" s="1352" t="str">
        <f>SUBSTITUTE(SUBSTITUTE(SUBSTITUTE("vnt"&amp;$B403&amp;$C403&amp;$D403&amp;$E403&amp;$F403,".","_"),"(","_"),")","")</f>
        <v xml:space="preserve">vnt602_1_2 </v>
      </c>
      <c r="AS403" s="1352" t="str">
        <f>IF(LEN(X403)=0,"",X403)</f>
        <v/>
      </c>
    </row>
    <row r="404" spans="1:45" s="794" customFormat="1" ht="16" hidden="1" thickBot="1" x14ac:dyDescent="0.25">
      <c r="A404" s="1507">
        <v>6</v>
      </c>
      <c r="B404" s="1525" t="s">
        <v>477</v>
      </c>
      <c r="C404" s="1511"/>
      <c r="D404" s="1511"/>
      <c r="E404" s="1511"/>
      <c r="F404" s="1514"/>
      <c r="G404" s="1509" t="str">
        <f>G403</f>
        <v/>
      </c>
      <c r="H404" s="1510" t="s">
        <v>3198</v>
      </c>
      <c r="I404" s="130"/>
      <c r="J404" s="129"/>
      <c r="K404" s="97"/>
      <c r="L404" s="1629"/>
      <c r="M404" s="1623"/>
      <c r="N404" s="1755"/>
      <c r="O404" s="1619"/>
      <c r="P404" s="991"/>
      <c r="Q404" s="991"/>
      <c r="R404" s="991"/>
      <c r="S404" s="991"/>
      <c r="T404" s="991"/>
      <c r="U404" s="991"/>
      <c r="V404" s="991"/>
      <c r="W404" s="96"/>
      <c r="X404" s="1599"/>
      <c r="Y404" s="1877"/>
      <c r="Z404" s="1880"/>
      <c r="AL404" s="1352"/>
      <c r="AM404" s="1352"/>
      <c r="AN404" s="1352"/>
      <c r="AO404" s="1352"/>
      <c r="AP404" s="1352"/>
      <c r="AQ404" s="1352"/>
      <c r="AR404" s="1352"/>
      <c r="AS404" s="1352"/>
    </row>
    <row r="405" spans="1:45" ht="16" hidden="1" thickBot="1" x14ac:dyDescent="0.25">
      <c r="A405" s="1507">
        <v>6</v>
      </c>
      <c r="B405" s="1525" t="s">
        <v>477</v>
      </c>
      <c r="C405" s="1511"/>
      <c r="D405" s="1511"/>
      <c r="E405" s="1511"/>
      <c r="F405" s="1514"/>
      <c r="G405" s="1509" t="str">
        <f>G404</f>
        <v/>
      </c>
      <c r="H405" s="1510" t="s">
        <v>3198</v>
      </c>
      <c r="I405" s="130"/>
      <c r="J405" s="129"/>
      <c r="K405" s="97"/>
      <c r="L405" s="1629"/>
      <c r="M405" s="1623"/>
      <c r="N405" s="1755"/>
      <c r="O405" s="1619"/>
      <c r="P405" s="991"/>
      <c r="Q405" s="991"/>
      <c r="R405" s="991"/>
      <c r="S405" s="991"/>
      <c r="T405" s="991"/>
      <c r="U405" s="991"/>
      <c r="V405" s="991"/>
      <c r="W405" s="96"/>
      <c r="X405" s="1601"/>
      <c r="Y405" s="1881"/>
      <c r="Z405" s="1891"/>
      <c r="AC405" s="248"/>
      <c r="AD405" s="248"/>
      <c r="AE405" s="248"/>
      <c r="AF405" s="248"/>
      <c r="AG405" s="248"/>
      <c r="AH405" s="248"/>
      <c r="AI405" s="248"/>
      <c r="AJ405" s="248"/>
      <c r="AK405" s="248"/>
      <c r="AL405" s="1352"/>
      <c r="AM405" s="1352"/>
      <c r="AN405" s="1352"/>
      <c r="AO405" s="1352"/>
      <c r="AP405" s="1352"/>
      <c r="AQ405" s="1352"/>
      <c r="AR405" s="1352"/>
      <c r="AS405" s="1352"/>
    </row>
    <row r="406" spans="1:45" ht="16" hidden="1" thickBot="1" x14ac:dyDescent="0.25">
      <c r="A406" s="1507">
        <v>6</v>
      </c>
      <c r="B406" s="1525" t="s">
        <v>477</v>
      </c>
      <c r="C406" s="1511" t="s">
        <v>254</v>
      </c>
      <c r="D406" s="1511"/>
      <c r="E406" s="1511"/>
      <c r="F406" s="1514"/>
      <c r="G406" s="1509" t="str">
        <f>G405</f>
        <v/>
      </c>
      <c r="H406" s="1510" t="s">
        <v>3198</v>
      </c>
      <c r="I406" s="130"/>
      <c r="J406" s="207" t="s">
        <v>254</v>
      </c>
      <c r="K406" s="170"/>
      <c r="L406" s="170" t="s">
        <v>478</v>
      </c>
      <c r="M406" s="1623"/>
      <c r="N406" s="1755"/>
      <c r="O406" s="1619"/>
      <c r="P406" s="905" t="b">
        <v>1</v>
      </c>
      <c r="Q406" s="905" t="b">
        <v>0</v>
      </c>
      <c r="R406" s="991" t="b">
        <v>0</v>
      </c>
      <c r="S406" s="991" t="b">
        <f>NOT(AZ332=4)</f>
        <v>0</v>
      </c>
      <c r="T406" s="991" t="b">
        <f>AND(NOT(S406),W406=TRUE)</f>
        <v>0</v>
      </c>
      <c r="U406" s="991"/>
      <c r="V406" s="991"/>
      <c r="W406" s="27"/>
      <c r="X406" s="1601"/>
      <c r="Y406" s="1881"/>
      <c r="Z406" s="1891"/>
      <c r="AC406" s="248" t="b">
        <f>OR(AD406:AE406)</f>
        <v>0</v>
      </c>
      <c r="AD406" s="248" t="b">
        <f>T406</f>
        <v>0</v>
      </c>
      <c r="AE406" s="248"/>
      <c r="AF406" s="248"/>
      <c r="AG406" s="248"/>
      <c r="AH406" s="248"/>
      <c r="AI406" s="248"/>
      <c r="AJ406" s="248"/>
      <c r="AK406" s="248"/>
      <c r="AL406" s="1352"/>
      <c r="AM406" s="1352"/>
      <c r="AN406" s="1352"/>
      <c r="AO406" s="1352"/>
      <c r="AP406" s="1352" t="str">
        <f>SUBSTITUTE(SUBSTITUTE(SUBSTITUTE("vch"&amp;$B406&amp;$C406&amp;$D406&amp;$E406&amp;$F406,".","_"),"(","_"),")","")</f>
        <v>vch602_1_2 _1</v>
      </c>
      <c r="AQ406" s="1352" t="str">
        <f>IF(LEN(W406)=0,"",W406)</f>
        <v/>
      </c>
      <c r="AR406" s="1352"/>
      <c r="AS406" s="1352"/>
    </row>
    <row r="407" spans="1:45" ht="16" hidden="1" thickBot="1" x14ac:dyDescent="0.25">
      <c r="A407" s="1507">
        <v>6</v>
      </c>
      <c r="B407" s="1525" t="s">
        <v>477</v>
      </c>
      <c r="C407" s="1511" t="s">
        <v>255</v>
      </c>
      <c r="D407" s="1511"/>
      <c r="E407" s="1511"/>
      <c r="F407" s="1514"/>
      <c r="G407" s="1509" t="str">
        <f>G406</f>
        <v/>
      </c>
      <c r="H407" s="1510" t="s">
        <v>3198</v>
      </c>
      <c r="I407" s="189"/>
      <c r="J407" s="190" t="s">
        <v>255</v>
      </c>
      <c r="K407" s="99"/>
      <c r="L407" s="99" t="s">
        <v>479</v>
      </c>
      <c r="M407" s="1627"/>
      <c r="N407" s="1645"/>
      <c r="O407" s="1638"/>
      <c r="P407" s="100"/>
      <c r="Q407" s="100"/>
      <c r="R407" s="100" t="b">
        <v>0</v>
      </c>
      <c r="S407" s="100" t="b">
        <f>NOT(AZ332=4)</f>
        <v>0</v>
      </c>
      <c r="T407" s="991" t="b">
        <f>AND(NOT(S407),W407=TRUE)</f>
        <v>0</v>
      </c>
      <c r="U407" s="100"/>
      <c r="V407" s="100"/>
      <c r="W407" s="27"/>
      <c r="X407" s="1602"/>
      <c r="Y407" s="1882"/>
      <c r="Z407" s="1892"/>
      <c r="AC407" s="248" t="b">
        <f>OR(AD407:AE407)</f>
        <v>0</v>
      </c>
      <c r="AD407" s="248" t="b">
        <f>T407</f>
        <v>0</v>
      </c>
      <c r="AE407" s="248"/>
      <c r="AF407" s="248"/>
      <c r="AG407" s="248"/>
      <c r="AH407" s="248"/>
      <c r="AI407" s="248"/>
      <c r="AJ407" s="248"/>
      <c r="AK407" s="248"/>
      <c r="AL407" s="1352"/>
      <c r="AM407" s="1352"/>
      <c r="AN407" s="1352"/>
      <c r="AO407" s="1352"/>
      <c r="AP407" s="1352" t="str">
        <f>SUBSTITUTE(SUBSTITUTE(SUBSTITUTE("vch"&amp;$B407&amp;$C407&amp;$D407&amp;$E407&amp;$F407,".","_"),"(","_"),")","")</f>
        <v>vch602_1_2 _2</v>
      </c>
      <c r="AQ407" s="1352" t="str">
        <f>IF(LEN(W407)=0,"",W407)</f>
        <v/>
      </c>
      <c r="AR407" s="1352"/>
      <c r="AS407" s="1352"/>
    </row>
    <row r="408" spans="1:45" ht="17" thickTop="1" thickBot="1" x14ac:dyDescent="0.25">
      <c r="A408" s="1507">
        <v>6</v>
      </c>
      <c r="B408" s="1524" t="s">
        <v>480</v>
      </c>
      <c r="C408" s="1511"/>
      <c r="D408" s="1511"/>
      <c r="E408" s="1511"/>
      <c r="F408" s="1514"/>
      <c r="G408" s="1509" t="s">
        <v>3200</v>
      </c>
      <c r="H408" s="1510" t="s">
        <v>3198</v>
      </c>
      <c r="I408" s="177" t="s">
        <v>3536</v>
      </c>
      <c r="J408" s="178"/>
      <c r="K408" s="179"/>
      <c r="L408" s="125" t="s">
        <v>3628</v>
      </c>
      <c r="M408" s="945"/>
      <c r="N408" s="256"/>
      <c r="O408" s="943"/>
      <c r="P408" s="106"/>
      <c r="Q408" s="106"/>
      <c r="R408" s="106"/>
      <c r="S408" s="106"/>
      <c r="T408" s="106"/>
      <c r="U408" s="106"/>
      <c r="V408" s="106"/>
      <c r="W408" s="106"/>
      <c r="X408" s="106"/>
      <c r="Y408"/>
      <c r="Z408" s="670"/>
      <c r="AC408" s="248"/>
      <c r="AD408" s="248"/>
      <c r="AE408" s="248"/>
      <c r="AF408" s="248"/>
      <c r="AG408" s="248"/>
      <c r="AH408" s="248"/>
      <c r="AI408" s="248"/>
      <c r="AJ408" s="248"/>
      <c r="AK408" s="248"/>
      <c r="AL408" s="1352"/>
      <c r="AM408" s="1352"/>
      <c r="AN408" s="1352"/>
      <c r="AO408" s="1352"/>
      <c r="AP408" s="1352"/>
      <c r="AQ408" s="1352"/>
      <c r="AR408" s="1352"/>
      <c r="AS408" s="1352"/>
    </row>
    <row r="409" spans="1:45" ht="16" hidden="1" thickBot="1" x14ac:dyDescent="0.25">
      <c r="A409" s="1507">
        <v>6</v>
      </c>
      <c r="B409" s="1524" t="s">
        <v>481</v>
      </c>
      <c r="C409" s="1511"/>
      <c r="D409" s="1511"/>
      <c r="E409" s="1511"/>
      <c r="F409" s="1514"/>
      <c r="G409" s="1509" t="str">
        <f>IF(M409="Mandatory","P","")</f>
        <v/>
      </c>
      <c r="H409" s="1510" t="s">
        <v>3198</v>
      </c>
      <c r="I409" s="130" t="s">
        <v>3537</v>
      </c>
      <c r="J409" s="129"/>
      <c r="K409" s="97"/>
      <c r="L409" s="1629" t="s">
        <v>3627</v>
      </c>
      <c r="M409" s="1697" t="str">
        <f>IF(R409,"Mandatory","N/A")</f>
        <v>N/A</v>
      </c>
      <c r="N409" s="250"/>
      <c r="O409" s="935"/>
      <c r="P409" s="905" t="b">
        <v>1</v>
      </c>
      <c r="Q409" s="905" t="b">
        <v>0</v>
      </c>
      <c r="R409" s="905" t="b">
        <f>S409</f>
        <v>0</v>
      </c>
      <c r="S409" s="905" t="b">
        <f>OR(AZ332=1,AZ332=5,AZ332=6)</f>
        <v>0</v>
      </c>
      <c r="T409" s="991" t="b">
        <f>AND(NOT(S409),LEN(W409)&gt;0)</f>
        <v>0</v>
      </c>
      <c r="U409" s="991" t="str">
        <f>SUBSTITUTE(SUBSTITUTE(SUBSTITUTE("dd"&amp;B409&amp;C409&amp;D409&amp;E409&amp;F409,".","_"),"(","_"),")","")</f>
        <v>dd602_1_3_1</v>
      </c>
      <c r="V409" s="905"/>
      <c r="W409" s="12"/>
      <c r="X409" s="1621"/>
      <c r="Y409" s="1875" t="str">
        <f>IF(LEN('11.600'!X111)=0,"None",'11.600'!X111)</f>
        <v>None</v>
      </c>
      <c r="Z409" s="1878"/>
      <c r="AC409" s="248" t="b">
        <f>OR(AD409:AE409)</f>
        <v>0</v>
      </c>
      <c r="AD409" s="248" t="b">
        <f>T409</f>
        <v>0</v>
      </c>
      <c r="AE409" s="751" t="b">
        <f>AND(R409,NOT(W409="Met"),NOT(W409="N/A"))</f>
        <v>0</v>
      </c>
      <c r="AF409" s="720" t="b">
        <f>AND(AE409,NOT(Q409))</f>
        <v>0</v>
      </c>
      <c r="AG409" s="248"/>
      <c r="AH409" s="248"/>
      <c r="AI409" s="248"/>
      <c r="AJ409" s="248"/>
      <c r="AK409" s="248"/>
      <c r="AL409" s="1352" t="str">
        <f>SUBSTITUTE(SUBSTITUTE(SUBSTITUTE("vpa"&amp;$B409&amp;$C409&amp;$D409&amp;$E409&amp;$F409,".","_"),"(","_"),")","")</f>
        <v>vpa602_1_3_1</v>
      </c>
      <c r="AM409" s="1352" t="str">
        <f>M409</f>
        <v>N/A</v>
      </c>
      <c r="AN409" s="1352"/>
      <c r="AO409" s="1352"/>
      <c r="AP409" s="1352" t="str">
        <f>SUBSTITUTE(SUBSTITUTE(SUBSTITUTE("vch"&amp;$B409&amp;$C409&amp;$D409&amp;$E409&amp;$F409,".","_"),"(","_"),")","")</f>
        <v>vch602_1_3_1</v>
      </c>
      <c r="AQ409" s="1352" t="str">
        <f>IF(LEN(W409)=0,"",W409)</f>
        <v/>
      </c>
      <c r="AR409" s="1352" t="str">
        <f>SUBSTITUTE(SUBSTITUTE(SUBSTITUTE("vnt"&amp;$B409&amp;$C409&amp;$D409&amp;$E409&amp;$F409,".","_"),"(","_"),")","")</f>
        <v>vnt602_1_3_1</v>
      </c>
      <c r="AS409" s="1352" t="str">
        <f>IF(LEN(X409)=0,"",X409)</f>
        <v/>
      </c>
    </row>
    <row r="410" spans="1:45" ht="16" hidden="1" thickBot="1" x14ac:dyDescent="0.25">
      <c r="A410" s="1507">
        <v>6</v>
      </c>
      <c r="B410" s="1524" t="s">
        <v>481</v>
      </c>
      <c r="C410" s="1511"/>
      <c r="D410" s="1511"/>
      <c r="E410" s="1511"/>
      <c r="F410" s="1514"/>
      <c r="G410" s="1509" t="str">
        <f>G409</f>
        <v/>
      </c>
      <c r="H410" s="1510" t="s">
        <v>3198</v>
      </c>
      <c r="I410" s="130"/>
      <c r="J410" s="129"/>
      <c r="K410" s="97"/>
      <c r="L410" s="1629"/>
      <c r="M410" s="1697"/>
      <c r="N410" s="250"/>
      <c r="O410" s="935"/>
      <c r="P410" s="905"/>
      <c r="Q410" s="905"/>
      <c r="R410" s="905"/>
      <c r="S410" s="905"/>
      <c r="T410" s="905"/>
      <c r="U410" s="905"/>
      <c r="V410" s="905"/>
      <c r="W410" s="248"/>
      <c r="X410" s="1632"/>
      <c r="Y410" s="1876"/>
      <c r="Z410" s="1879"/>
      <c r="AC410" s="248"/>
      <c r="AD410" s="248"/>
      <c r="AE410" s="248"/>
      <c r="AF410" s="248"/>
      <c r="AG410" s="248"/>
      <c r="AH410" s="248"/>
      <c r="AI410" s="248"/>
      <c r="AJ410" s="248"/>
      <c r="AK410" s="248"/>
      <c r="AL410" s="1352"/>
      <c r="AM410" s="1352"/>
      <c r="AN410" s="1352"/>
      <c r="AO410" s="1352"/>
      <c r="AP410" s="1352"/>
      <c r="AQ410" s="1352"/>
      <c r="AR410" s="1352"/>
      <c r="AS410" s="1352"/>
    </row>
    <row r="411" spans="1:45" s="751" customFormat="1" ht="16" hidden="1" thickBot="1" x14ac:dyDescent="0.25">
      <c r="A411" s="1507">
        <v>6</v>
      </c>
      <c r="B411" s="1524" t="s">
        <v>481</v>
      </c>
      <c r="C411" s="1511"/>
      <c r="D411" s="1511"/>
      <c r="E411" s="1511"/>
      <c r="F411" s="1514"/>
      <c r="G411" s="1509" t="str">
        <f>G410</f>
        <v/>
      </c>
      <c r="H411" s="1510" t="s">
        <v>3198</v>
      </c>
      <c r="I411" s="219"/>
      <c r="J411" s="213"/>
      <c r="K411" s="170"/>
      <c r="L411" s="954" t="s">
        <v>3818</v>
      </c>
      <c r="M411" s="754"/>
      <c r="N411" s="753"/>
      <c r="O411" s="935"/>
      <c r="P411" s="905"/>
      <c r="Q411" s="905"/>
      <c r="R411" s="905"/>
      <c r="S411" s="905"/>
      <c r="T411" s="905"/>
      <c r="U411" s="905"/>
      <c r="V411" s="905"/>
      <c r="X411" s="1599"/>
      <c r="Y411" s="1877"/>
      <c r="Z411" s="1880"/>
      <c r="AL411" s="1352"/>
      <c r="AM411" s="1352"/>
      <c r="AN411" s="1352"/>
      <c r="AO411" s="1352"/>
      <c r="AP411" s="1352"/>
      <c r="AQ411" s="1352"/>
      <c r="AR411" s="1352"/>
      <c r="AS411" s="1352"/>
    </row>
    <row r="412" spans="1:45" ht="16" hidden="1" thickBot="1" x14ac:dyDescent="0.25">
      <c r="A412" s="1507">
        <v>6</v>
      </c>
      <c r="B412" s="1516" t="s">
        <v>482</v>
      </c>
      <c r="C412" s="1511"/>
      <c r="D412" s="1511"/>
      <c r="E412" s="1511"/>
      <c r="F412" s="1514"/>
      <c r="G412" s="1509" t="str">
        <f>IF(N412&gt;0,"P","")</f>
        <v/>
      </c>
      <c r="H412" s="1510" t="s">
        <v>3198</v>
      </c>
      <c r="I412" s="67" t="s">
        <v>3538</v>
      </c>
      <c r="J412" s="4"/>
      <c r="K412" s="85"/>
      <c r="L412" s="1631" t="s">
        <v>3808</v>
      </c>
      <c r="M412" s="1628">
        <v>4</v>
      </c>
      <c r="N412" s="1644">
        <f>'11.600'!O114</f>
        <v>0</v>
      </c>
      <c r="O412" s="1669">
        <f>M412*S412*W412</f>
        <v>0</v>
      </c>
      <c r="P412" s="905" t="b">
        <v>1</v>
      </c>
      <c r="Q412" s="905" t="b">
        <v>0</v>
      </c>
      <c r="R412" s="905" t="b">
        <v>0</v>
      </c>
      <c r="S412" s="905" t="b">
        <v>1</v>
      </c>
      <c r="T412" s="905" t="b">
        <v>0</v>
      </c>
      <c r="U412" s="905"/>
      <c r="V412" s="905"/>
      <c r="W412" s="27"/>
      <c r="X412" s="1600"/>
      <c r="Y412" s="1881" t="str">
        <f>IF(LEN('11.600'!X114)=0,"None",'11.600'!X114)</f>
        <v>None</v>
      </c>
      <c r="Z412" s="1891"/>
      <c r="AC412" s="248"/>
      <c r="AD412" s="248"/>
      <c r="AE412" s="248"/>
      <c r="AF412" s="248"/>
      <c r="AG412" s="248"/>
      <c r="AH412" s="248"/>
      <c r="AI412" s="248"/>
      <c r="AJ412" s="248"/>
      <c r="AK412" s="248"/>
      <c r="AL412" s="1352" t="str">
        <f>SUBSTITUTE(SUBSTITUTE(SUBSTITUTE("vpa"&amp;$B412&amp;$C412&amp;$D412&amp;$E412&amp;$F412,".","_"),"(","_"),")","")</f>
        <v>vpa602_1_3_2</v>
      </c>
      <c r="AM412" s="1352">
        <f>M412</f>
        <v>4</v>
      </c>
      <c r="AN412" s="1352" t="str">
        <f>SUBSTITUTE(SUBSTITUTE(SUBSTITUTE("vpc"&amp;$B412&amp;$C412&amp;$D412&amp;$E412&amp;$F412,".","_"),"(","_"),")","")</f>
        <v>vpc602_1_3_2</v>
      </c>
      <c r="AO412" s="1352">
        <f>O412</f>
        <v>0</v>
      </c>
      <c r="AP412" s="1352" t="str">
        <f>SUBSTITUTE(SUBSTITUTE(SUBSTITUTE("vch"&amp;$B412&amp;$C412&amp;$D412&amp;$E412&amp;$F412,".","_"),"(","_"),")","")</f>
        <v>vch602_1_3_2</v>
      </c>
      <c r="AQ412" s="1352" t="str">
        <f>IF(LEN(W412)=0,"",W412)</f>
        <v/>
      </c>
      <c r="AR412" s="1352" t="str">
        <f>SUBSTITUTE(SUBSTITUTE(SUBSTITUTE("vnt"&amp;$B412&amp;$C412&amp;$D412&amp;$E412&amp;$F412,".","_"),"(","_"),")","")</f>
        <v>vnt602_1_3_2</v>
      </c>
      <c r="AS412" s="1352" t="str">
        <f>IF(LEN(X412)=0,"",X412)</f>
        <v/>
      </c>
    </row>
    <row r="413" spans="1:45" s="794" customFormat="1" ht="16" hidden="1" thickBot="1" x14ac:dyDescent="0.25">
      <c r="A413" s="1507">
        <v>6</v>
      </c>
      <c r="B413" s="1516" t="s">
        <v>482</v>
      </c>
      <c r="C413" s="1511"/>
      <c r="D413" s="1511"/>
      <c r="E413" s="1511"/>
      <c r="F413" s="1514"/>
      <c r="G413" s="1509" t="str">
        <f>G412</f>
        <v/>
      </c>
      <c r="H413" s="1510" t="s">
        <v>3198</v>
      </c>
      <c r="I413" s="67"/>
      <c r="J413" s="4"/>
      <c r="K413" s="85"/>
      <c r="L413" s="1631"/>
      <c r="M413" s="1628"/>
      <c r="N413" s="1644"/>
      <c r="O413" s="1669"/>
      <c r="P413" s="905"/>
      <c r="Q413" s="905"/>
      <c r="R413" s="905"/>
      <c r="S413" s="905"/>
      <c r="T413" s="905"/>
      <c r="U413" s="905"/>
      <c r="V413" s="905"/>
      <c r="W413"/>
      <c r="X413" s="1600"/>
      <c r="Y413" s="1875"/>
      <c r="Z413" s="1878"/>
      <c r="AL413" s="1352"/>
      <c r="AM413" s="1352"/>
      <c r="AN413" s="1352"/>
      <c r="AO413" s="1352"/>
      <c r="AP413" s="1352"/>
      <c r="AQ413" s="1352"/>
      <c r="AR413" s="1352"/>
      <c r="AS413" s="1352"/>
    </row>
    <row r="414" spans="1:45" ht="16" hidden="1" thickBot="1" x14ac:dyDescent="0.25">
      <c r="A414" s="1507">
        <v>6</v>
      </c>
      <c r="B414" s="1516" t="s">
        <v>482</v>
      </c>
      <c r="C414" s="1511"/>
      <c r="D414" s="1511"/>
      <c r="E414" s="1511"/>
      <c r="F414" s="1514"/>
      <c r="G414" s="1509" t="str">
        <f>G413</f>
        <v/>
      </c>
      <c r="H414" s="1510" t="s">
        <v>3198</v>
      </c>
      <c r="I414" s="67"/>
      <c r="J414" s="4"/>
      <c r="K414" s="85"/>
      <c r="L414" s="1631"/>
      <c r="M414" s="1628"/>
      <c r="N414" s="1645"/>
      <c r="O414" s="1669"/>
      <c r="P414" s="905"/>
      <c r="Q414" s="905"/>
      <c r="R414" s="905"/>
      <c r="S414" s="905"/>
      <c r="T414" s="905"/>
      <c r="U414" s="905"/>
      <c r="V414" s="905"/>
      <c r="W414" s="248"/>
      <c r="X414" s="1621"/>
      <c r="Y414" s="1882"/>
      <c r="Z414" s="1892"/>
      <c r="AC414" s="248"/>
      <c r="AD414" s="248"/>
      <c r="AE414" s="248"/>
      <c r="AF414" s="248"/>
      <c r="AG414" s="248"/>
      <c r="AH414" s="248"/>
      <c r="AI414" s="248"/>
      <c r="AJ414" s="248"/>
      <c r="AK414" s="248"/>
      <c r="AL414" s="1352"/>
      <c r="AM414" s="1352"/>
      <c r="AN414" s="1352"/>
      <c r="AO414" s="1352"/>
      <c r="AP414" s="1352"/>
      <c r="AQ414" s="1352"/>
      <c r="AR414" s="1352"/>
      <c r="AS414" s="1352"/>
    </row>
    <row r="415" spans="1:45" ht="17" hidden="1" thickTop="1" thickBot="1" x14ac:dyDescent="0.25">
      <c r="A415" s="1507">
        <v>6</v>
      </c>
      <c r="B415" s="1524" t="s">
        <v>483</v>
      </c>
      <c r="C415" s="1511"/>
      <c r="D415" s="1511"/>
      <c r="E415" s="1511"/>
      <c r="F415" s="1514"/>
      <c r="G415" s="1513" t="str">
        <f>IF(COUNTIF(G416:G424,"P")&gt;0,"P","")</f>
        <v/>
      </c>
      <c r="H415" s="1510" t="s">
        <v>3198</v>
      </c>
      <c r="I415" s="177" t="s">
        <v>3539</v>
      </c>
      <c r="J415" s="178"/>
      <c r="K415" s="179"/>
      <c r="L415" s="125" t="s">
        <v>3626</v>
      </c>
      <c r="M415" s="945"/>
      <c r="N415" s="256"/>
      <c r="O415" s="943"/>
      <c r="P415" s="106"/>
      <c r="Q415" s="106"/>
      <c r="R415" s="106"/>
      <c r="S415" s="106"/>
      <c r="T415" s="106"/>
      <c r="U415" s="106"/>
      <c r="V415" s="106"/>
      <c r="W415" s="106"/>
      <c r="X415" s="106"/>
      <c r="Y415"/>
      <c r="Z415" s="670"/>
      <c r="AC415" s="248"/>
      <c r="AD415" s="248"/>
      <c r="AE415" s="248"/>
      <c r="AF415" s="248"/>
      <c r="AG415" s="248"/>
      <c r="AH415" s="248"/>
      <c r="AI415" s="248"/>
      <c r="AJ415" s="248"/>
      <c r="AK415" s="248"/>
      <c r="AL415" s="1352"/>
      <c r="AM415" s="1352"/>
      <c r="AN415" s="1352"/>
      <c r="AO415" s="1352"/>
      <c r="AP415" s="1352"/>
      <c r="AQ415" s="1352"/>
      <c r="AR415" s="1352"/>
      <c r="AS415" s="1352"/>
    </row>
    <row r="416" spans="1:45" ht="16" hidden="1" thickBot="1" x14ac:dyDescent="0.25">
      <c r="A416" s="1507">
        <v>6</v>
      </c>
      <c r="B416" s="1516" t="s">
        <v>484</v>
      </c>
      <c r="C416" s="1511"/>
      <c r="D416" s="1511"/>
      <c r="E416" s="1511"/>
      <c r="F416" s="1514"/>
      <c r="G416" s="1513" t="str">
        <f>IF(COUNTIF(G420:G422,"P")&gt;0,"P","")</f>
        <v/>
      </c>
      <c r="H416" s="1510" t="s">
        <v>3198</v>
      </c>
      <c r="I416" s="67" t="s">
        <v>3540</v>
      </c>
      <c r="J416" s="4"/>
      <c r="K416" s="85"/>
      <c r="L416" s="1631" t="s">
        <v>3809</v>
      </c>
      <c r="M416" s="911"/>
      <c r="N416" s="250"/>
      <c r="O416" s="935"/>
      <c r="P416" s="905"/>
      <c r="Q416" s="905"/>
      <c r="R416" s="905"/>
      <c r="S416" s="905"/>
      <c r="T416" s="905"/>
      <c r="U416" s="905"/>
      <c r="V416" s="905"/>
      <c r="W416" s="248"/>
      <c r="X416" s="248"/>
      <c r="Y416"/>
      <c r="Z416" s="670"/>
      <c r="AC416" s="248"/>
      <c r="AD416" s="248"/>
      <c r="AE416" s="248"/>
      <c r="AF416" s="248"/>
      <c r="AG416" s="248"/>
      <c r="AH416" s="248"/>
      <c r="AI416" s="248"/>
      <c r="AJ416" s="248"/>
      <c r="AK416" s="248"/>
      <c r="AL416" s="1352"/>
      <c r="AM416" s="1352"/>
      <c r="AN416" s="1352"/>
      <c r="AO416" s="1352"/>
      <c r="AP416" s="1352"/>
      <c r="AQ416" s="1352"/>
      <c r="AR416" s="1352"/>
      <c r="AS416" s="1352"/>
    </row>
    <row r="417" spans="1:45" ht="16" hidden="1" thickBot="1" x14ac:dyDescent="0.25">
      <c r="A417" s="1507">
        <v>6</v>
      </c>
      <c r="B417" s="1516" t="s">
        <v>484</v>
      </c>
      <c r="C417" s="1511"/>
      <c r="D417" s="1511"/>
      <c r="E417" s="1511"/>
      <c r="F417" s="1514"/>
      <c r="G417" s="1509" t="str">
        <f>G416</f>
        <v/>
      </c>
      <c r="H417" s="1510" t="s">
        <v>3198</v>
      </c>
      <c r="I417" s="67"/>
      <c r="J417" s="4"/>
      <c r="K417" s="85"/>
      <c r="L417" s="1631"/>
      <c r="M417" s="911"/>
      <c r="N417" s="250"/>
      <c r="O417" s="935"/>
      <c r="P417" s="905"/>
      <c r="Q417" s="905"/>
      <c r="R417" s="905"/>
      <c r="S417" s="905"/>
      <c r="T417" s="905"/>
      <c r="U417" s="905"/>
      <c r="V417" s="905"/>
      <c r="W417" s="248"/>
      <c r="X417" s="248"/>
      <c r="Y417"/>
      <c r="Z417" s="670"/>
      <c r="AC417" s="248"/>
      <c r="AD417" s="248"/>
      <c r="AE417" s="248"/>
      <c r="AF417" s="248"/>
      <c r="AG417" s="248"/>
      <c r="AH417" s="248"/>
      <c r="AI417" s="248"/>
      <c r="AJ417" s="248"/>
      <c r="AK417" s="248"/>
      <c r="AL417" s="1352"/>
      <c r="AM417" s="1352"/>
      <c r="AN417" s="1352"/>
      <c r="AO417" s="1352"/>
      <c r="AP417" s="1352"/>
      <c r="AQ417" s="1352"/>
      <c r="AR417" s="1352"/>
      <c r="AS417" s="1352"/>
    </row>
    <row r="418" spans="1:45" s="794" customFormat="1" ht="16" hidden="1" thickBot="1" x14ac:dyDescent="0.25">
      <c r="A418" s="1507">
        <v>6</v>
      </c>
      <c r="B418" s="1516" t="s">
        <v>484</v>
      </c>
      <c r="C418" s="1511"/>
      <c r="D418" s="1511"/>
      <c r="E418" s="1511"/>
      <c r="F418" s="1514"/>
      <c r="G418" s="1509" t="str">
        <f>G417</f>
        <v/>
      </c>
      <c r="H418" s="1510" t="s">
        <v>3198</v>
      </c>
      <c r="I418" s="67"/>
      <c r="J418" s="4"/>
      <c r="K418" s="85"/>
      <c r="L418" s="1631"/>
      <c r="M418" s="911"/>
      <c r="N418" s="802"/>
      <c r="O418" s="935"/>
      <c r="P418" s="905"/>
      <c r="Q418" s="905"/>
      <c r="R418" s="905"/>
      <c r="S418" s="905"/>
      <c r="T418" s="905"/>
      <c r="U418" s="905"/>
      <c r="V418" s="905"/>
      <c r="Z418" s="670"/>
      <c r="AL418" s="1352"/>
      <c r="AM418" s="1352"/>
      <c r="AN418" s="1352"/>
      <c r="AO418" s="1352"/>
      <c r="AP418" s="1352"/>
      <c r="AQ418" s="1352"/>
      <c r="AR418" s="1352"/>
      <c r="AS418" s="1352"/>
    </row>
    <row r="419" spans="1:45" ht="16" hidden="1" thickBot="1" x14ac:dyDescent="0.25">
      <c r="A419" s="1507">
        <v>6</v>
      </c>
      <c r="B419" s="1516" t="s">
        <v>484</v>
      </c>
      <c r="C419" s="1511"/>
      <c r="D419" s="1511"/>
      <c r="E419" s="1511"/>
      <c r="F419" s="1514"/>
      <c r="G419" s="1509" t="str">
        <f>G418</f>
        <v/>
      </c>
      <c r="H419" s="1510" t="s">
        <v>3198</v>
      </c>
      <c r="I419" s="67"/>
      <c r="J419" s="4"/>
      <c r="K419" s="85"/>
      <c r="L419" s="1631"/>
      <c r="M419" s="911"/>
      <c r="N419" s="250"/>
      <c r="O419" s="935"/>
      <c r="P419" s="905"/>
      <c r="Q419" s="905"/>
      <c r="R419" s="905"/>
      <c r="S419" s="905"/>
      <c r="T419" s="905"/>
      <c r="U419" s="905"/>
      <c r="V419" s="905"/>
      <c r="W419" s="248"/>
      <c r="X419" s="248"/>
      <c r="Y419"/>
      <c r="Z419" s="670"/>
      <c r="AC419" s="248"/>
      <c r="AD419" s="248"/>
      <c r="AE419" s="248"/>
      <c r="AF419" s="248"/>
      <c r="AG419" s="248"/>
      <c r="AH419" s="248"/>
      <c r="AI419" s="248"/>
      <c r="AJ419" s="248"/>
      <c r="AK419" s="248"/>
      <c r="AL419" s="1352"/>
      <c r="AM419" s="1352"/>
      <c r="AN419" s="1352"/>
      <c r="AO419" s="1352"/>
      <c r="AP419" s="1352"/>
      <c r="AQ419" s="1352"/>
      <c r="AR419" s="1352"/>
      <c r="AS419" s="1352"/>
    </row>
    <row r="420" spans="1:45" ht="16" hidden="1" thickBot="1" x14ac:dyDescent="0.25">
      <c r="A420" s="1507">
        <v>6</v>
      </c>
      <c r="B420" s="1516" t="s">
        <v>484</v>
      </c>
      <c r="C420" s="1511" t="s">
        <v>254</v>
      </c>
      <c r="D420" s="1511"/>
      <c r="E420" s="1511"/>
      <c r="F420" s="1514"/>
      <c r="G420" s="1509" t="str">
        <f>IF(N420&gt;0,"P","")</f>
        <v/>
      </c>
      <c r="H420" s="1510" t="s">
        <v>3198</v>
      </c>
      <c r="I420" s="67"/>
      <c r="J420" s="180" t="s">
        <v>254</v>
      </c>
      <c r="K420" s="97"/>
      <c r="L420" s="1609" t="s">
        <v>485</v>
      </c>
      <c r="M420" s="1623">
        <v>6</v>
      </c>
      <c r="N420" s="1755">
        <f>'11.600'!O122</f>
        <v>0</v>
      </c>
      <c r="O420" s="1619">
        <f>M420*S420*W420</f>
        <v>0</v>
      </c>
      <c r="P420" s="905" t="b">
        <v>1</v>
      </c>
      <c r="Q420" s="905" t="b">
        <v>0</v>
      </c>
      <c r="R420" s="905" t="b">
        <v>0</v>
      </c>
      <c r="S420" s="905" t="b">
        <f>OR(AZ332=2,AZ332=7)</f>
        <v>0</v>
      </c>
      <c r="T420" s="991" t="b">
        <f>AND(NOT(S420),W420=TRUE)</f>
        <v>0</v>
      </c>
      <c r="U420" s="905"/>
      <c r="V420" s="905"/>
      <c r="W420" s="27"/>
      <c r="X420" s="1600"/>
      <c r="Y420" s="1874" t="str">
        <f>IF(LEN('11.600'!X122)=0,"None",'11.600'!X122)</f>
        <v>None</v>
      </c>
      <c r="Z420" s="1889"/>
      <c r="AC420" s="248" t="b">
        <f>OR(AD420:AE420)</f>
        <v>0</v>
      </c>
      <c r="AD420" s="248" t="b">
        <f>T420</f>
        <v>0</v>
      </c>
      <c r="AE420" s="248"/>
      <c r="AF420" s="248"/>
      <c r="AG420" s="248"/>
      <c r="AH420" s="248"/>
      <c r="AI420" s="248"/>
      <c r="AJ420" s="248"/>
      <c r="AK420" s="248"/>
      <c r="AL420" s="1352" t="str">
        <f>SUBSTITUTE(SUBSTITUTE(SUBSTITUTE("vpa"&amp;$B420&amp;$C420&amp;$D420&amp;$E420&amp;$F420,".","_"),"(","_"),")","")</f>
        <v>vpa602_1_4_1_1</v>
      </c>
      <c r="AM420" s="1352">
        <f>M420</f>
        <v>6</v>
      </c>
      <c r="AN420" s="1352" t="str">
        <f>SUBSTITUTE(SUBSTITUTE(SUBSTITUTE("vpc"&amp;$B420&amp;$C420&amp;$D420&amp;$E420&amp;$F420,".","_"),"(","_"),")","")</f>
        <v>vpc602_1_4_1_1</v>
      </c>
      <c r="AO420" s="1352">
        <f>O420</f>
        <v>0</v>
      </c>
      <c r="AP420" s="1352" t="str">
        <f>SUBSTITUTE(SUBSTITUTE(SUBSTITUTE("vch"&amp;$B420&amp;$C420&amp;$D420&amp;$E420&amp;$F420,".","_"),"(","_"),")","")</f>
        <v>vch602_1_4_1_1</v>
      </c>
      <c r="AQ420" s="1352" t="str">
        <f>IF(LEN(W420)=0,"",W420)</f>
        <v/>
      </c>
      <c r="AR420" s="1352" t="str">
        <f>SUBSTITUTE(SUBSTITUTE(SUBSTITUTE("vnt"&amp;$B420&amp;$C420&amp;$D420&amp;$E420&amp;$F420,".","_"),"(","_"),")","")</f>
        <v>vnt602_1_4_1_1</v>
      </c>
      <c r="AS420" s="1352" t="str">
        <f>IF(LEN(X420)=0,"",X420)</f>
        <v/>
      </c>
    </row>
    <row r="421" spans="1:45" ht="16" hidden="1" thickBot="1" x14ac:dyDescent="0.25">
      <c r="A421" s="1507">
        <v>6</v>
      </c>
      <c r="B421" s="1516" t="s">
        <v>484</v>
      </c>
      <c r="C421" s="1511" t="s">
        <v>254</v>
      </c>
      <c r="D421" s="1511"/>
      <c r="E421" s="1511"/>
      <c r="F421" s="1514"/>
      <c r="G421" s="1509" t="str">
        <f>G420</f>
        <v/>
      </c>
      <c r="H421" s="1510" t="s">
        <v>3198</v>
      </c>
      <c r="I421" s="67"/>
      <c r="J421" s="213"/>
      <c r="K421" s="170"/>
      <c r="L421" s="1612"/>
      <c r="M421" s="1624"/>
      <c r="N421" s="1756"/>
      <c r="O421" s="1620"/>
      <c r="P421" s="905"/>
      <c r="Q421" s="905"/>
      <c r="R421" s="905"/>
      <c r="S421" s="905"/>
      <c r="T421" s="905"/>
      <c r="U421" s="905"/>
      <c r="V421" s="905"/>
      <c r="W421" s="248"/>
      <c r="X421" s="1600"/>
      <c r="Y421" s="1874"/>
      <c r="Z421" s="1889"/>
      <c r="AC421" s="248"/>
      <c r="AD421" s="248"/>
      <c r="AE421" s="248"/>
      <c r="AF421" s="248"/>
      <c r="AG421" s="248"/>
      <c r="AH421" s="248"/>
      <c r="AI421" s="248"/>
      <c r="AJ421" s="248"/>
      <c r="AK421" s="248"/>
      <c r="AL421" s="1352"/>
      <c r="AM421" s="1352"/>
      <c r="AN421" s="1352"/>
      <c r="AO421" s="1352"/>
      <c r="AP421" s="1352"/>
      <c r="AQ421" s="1352"/>
      <c r="AR421" s="1352"/>
      <c r="AS421" s="1352"/>
    </row>
    <row r="422" spans="1:45" ht="16" hidden="1" thickBot="1" x14ac:dyDescent="0.25">
      <c r="A422" s="1507">
        <v>6</v>
      </c>
      <c r="B422" s="1516" t="s">
        <v>484</v>
      </c>
      <c r="C422" s="1511" t="s">
        <v>255</v>
      </c>
      <c r="D422" s="1511"/>
      <c r="E422" s="1511"/>
      <c r="F422" s="1514"/>
      <c r="G422" s="1509" t="str">
        <f>IF(M422="Mandatory","P","")</f>
        <v/>
      </c>
      <c r="H422" s="1510" t="s">
        <v>3198</v>
      </c>
      <c r="I422" s="130"/>
      <c r="J422" s="180" t="s">
        <v>255</v>
      </c>
      <c r="K422" s="97"/>
      <c r="L422" s="97" t="s">
        <v>486</v>
      </c>
      <c r="M422" s="948" t="str">
        <f>IF(R422,"Mandatory","N/A")</f>
        <v>N/A</v>
      </c>
      <c r="N422" s="250"/>
      <c r="O422" s="935"/>
      <c r="P422" s="905" t="b">
        <v>1</v>
      </c>
      <c r="Q422" s="905" t="b">
        <v>0</v>
      </c>
      <c r="R422" s="905" t="b">
        <f>S422</f>
        <v>0</v>
      </c>
      <c r="S422" s="905" t="b">
        <f>OR(AZ332=2,AZ332=7)</f>
        <v>0</v>
      </c>
      <c r="T422" s="991" t="b">
        <f>AND(NOT(S422),LEN(W422)&gt;0)</f>
        <v>0</v>
      </c>
      <c r="U422" s="991" t="str">
        <f>SUBSTITUTE(SUBSTITUTE(SUBSTITUTE("dd"&amp;B422&amp;C422&amp;D422&amp;E422&amp;F422,".","_"),"(","_"),")","")</f>
        <v>dd602_1_4_1_2</v>
      </c>
      <c r="V422" s="905"/>
      <c r="W422" s="12"/>
      <c r="X422" s="1621"/>
      <c r="Y422" s="1875" t="str">
        <f>IF(LEN('11.600'!X124)=0,"None",'11.600'!X124)</f>
        <v>None</v>
      </c>
      <c r="Z422" s="1878"/>
      <c r="AC422" s="248" t="b">
        <f>OR(AD422:AE422)</f>
        <v>0</v>
      </c>
      <c r="AD422" s="248" t="b">
        <f>T422</f>
        <v>0</v>
      </c>
      <c r="AE422" s="248" t="b">
        <f>AND(R422,NOT(W422="Met"),NOT(W422="N/A"))</f>
        <v>0</v>
      </c>
      <c r="AF422" s="720" t="b">
        <f>AND(AE422,NOT(Q422))</f>
        <v>0</v>
      </c>
      <c r="AG422" s="248"/>
      <c r="AH422" s="248"/>
      <c r="AI422" s="248"/>
      <c r="AJ422" s="248"/>
      <c r="AK422" s="248"/>
      <c r="AL422" s="1352" t="str">
        <f>SUBSTITUTE(SUBSTITUTE(SUBSTITUTE("vpa"&amp;$B422&amp;$C422&amp;$D422&amp;$E422&amp;$F422,".","_"),"(","_"),")","")</f>
        <v>vpa602_1_4_1_2</v>
      </c>
      <c r="AM422" s="1352" t="str">
        <f>M422</f>
        <v>N/A</v>
      </c>
      <c r="AN422" s="1352"/>
      <c r="AO422" s="1352"/>
      <c r="AP422" s="1352" t="str">
        <f>SUBSTITUTE(SUBSTITUTE(SUBSTITUTE("vch"&amp;$B422&amp;$C422&amp;$D422&amp;$E422&amp;$F422,".","_"),"(","_"),")","")</f>
        <v>vch602_1_4_1_2</v>
      </c>
      <c r="AQ422" s="1352" t="str">
        <f>IF(LEN(W422)=0,"",W422)</f>
        <v/>
      </c>
      <c r="AR422" s="1352" t="str">
        <f>SUBSTITUTE(SUBSTITUTE(SUBSTITUTE("vnt"&amp;$B422&amp;$C422&amp;$D422&amp;$E422&amp;$F422,".","_"),"(","_"),")","")</f>
        <v>vnt602_1_4_1_2</v>
      </c>
      <c r="AS422" s="1352" t="str">
        <f>IF(LEN(X422)=0,"",X422)</f>
        <v/>
      </c>
    </row>
    <row r="423" spans="1:45" s="755" customFormat="1" ht="16" hidden="1" thickBot="1" x14ac:dyDescent="0.25">
      <c r="A423" s="1507">
        <v>6</v>
      </c>
      <c r="B423" s="1516" t="s">
        <v>484</v>
      </c>
      <c r="C423" s="1511" t="s">
        <v>255</v>
      </c>
      <c r="D423" s="1511"/>
      <c r="E423" s="1511"/>
      <c r="F423" s="1514"/>
      <c r="G423" s="1509" t="str">
        <f>G422</f>
        <v/>
      </c>
      <c r="H423" s="1510" t="s">
        <v>3198</v>
      </c>
      <c r="I423" s="219"/>
      <c r="J423" s="207"/>
      <c r="K423" s="170"/>
      <c r="L423" s="954" t="s">
        <v>3819</v>
      </c>
      <c r="M423" s="754"/>
      <c r="N423" s="762"/>
      <c r="O423" s="935"/>
      <c r="P423" s="905"/>
      <c r="Q423" s="905"/>
      <c r="R423" s="905"/>
      <c r="S423" s="905"/>
      <c r="T423" s="991"/>
      <c r="U423" s="991"/>
      <c r="V423" s="905"/>
      <c r="X423" s="1599"/>
      <c r="Y423" s="1877"/>
      <c r="Z423" s="1880"/>
      <c r="AL423" s="1352"/>
      <c r="AM423" s="1352"/>
      <c r="AN423" s="1352"/>
      <c r="AO423" s="1352"/>
      <c r="AP423" s="1352"/>
      <c r="AQ423" s="1352"/>
      <c r="AR423" s="1352"/>
      <c r="AS423" s="1352"/>
    </row>
    <row r="424" spans="1:45" ht="16" hidden="1" thickBot="1" x14ac:dyDescent="0.25">
      <c r="A424" s="1507">
        <v>6</v>
      </c>
      <c r="B424" s="1524" t="s">
        <v>487</v>
      </c>
      <c r="C424" s="1511"/>
      <c r="D424" s="1511"/>
      <c r="E424" s="1511"/>
      <c r="F424" s="1514"/>
      <c r="G424" s="1513" t="str">
        <f>IF(COUNTIF(G429:G431,"P")&gt;0,"P","")</f>
        <v/>
      </c>
      <c r="H424" s="1510" t="s">
        <v>3198</v>
      </c>
      <c r="I424" s="67" t="s">
        <v>3541</v>
      </c>
      <c r="J424" s="4"/>
      <c r="K424" s="85"/>
      <c r="L424" s="1631" t="s">
        <v>3810</v>
      </c>
      <c r="M424" s="911"/>
      <c r="N424" s="250"/>
      <c r="O424" s="935"/>
      <c r="P424" s="905"/>
      <c r="Q424" s="905"/>
      <c r="R424" s="905"/>
      <c r="S424" s="905"/>
      <c r="T424" s="905"/>
      <c r="U424" s="905"/>
      <c r="V424" s="905"/>
      <c r="W424" s="248"/>
      <c r="X424" s="248"/>
      <c r="Y424"/>
      <c r="Z424" s="670"/>
      <c r="AC424" s="248"/>
      <c r="AD424" s="248"/>
      <c r="AE424" s="248"/>
      <c r="AF424" s="248"/>
      <c r="AG424" s="248"/>
      <c r="AH424" s="248"/>
      <c r="AI424" s="248"/>
      <c r="AJ424" s="248"/>
      <c r="AK424" s="248"/>
      <c r="AL424" s="1352"/>
      <c r="AM424" s="1352"/>
      <c r="AN424" s="1352"/>
      <c r="AO424" s="1352"/>
      <c r="AP424" s="1352"/>
      <c r="AQ424" s="1352"/>
      <c r="AR424" s="1352"/>
      <c r="AS424" s="1352"/>
    </row>
    <row r="425" spans="1:45" s="794" customFormat="1" ht="16" hidden="1" thickBot="1" x14ac:dyDescent="0.25">
      <c r="A425" s="1507">
        <v>6</v>
      </c>
      <c r="B425" s="1524" t="s">
        <v>487</v>
      </c>
      <c r="C425" s="1511"/>
      <c r="D425" s="1511"/>
      <c r="E425" s="1511"/>
      <c r="F425" s="1514"/>
      <c r="G425" s="1509" t="str">
        <f>G424</f>
        <v/>
      </c>
      <c r="H425" s="1510" t="s">
        <v>3198</v>
      </c>
      <c r="I425" s="67"/>
      <c r="J425" s="4"/>
      <c r="K425" s="85"/>
      <c r="L425" s="1631"/>
      <c r="M425" s="911"/>
      <c r="N425" s="802"/>
      <c r="O425" s="935"/>
      <c r="P425" s="905"/>
      <c r="Q425" s="905"/>
      <c r="R425" s="905"/>
      <c r="S425" s="905"/>
      <c r="T425" s="905"/>
      <c r="U425" s="905"/>
      <c r="V425" s="905"/>
      <c r="Z425" s="670"/>
      <c r="AL425" s="1352"/>
      <c r="AM425" s="1352"/>
      <c r="AN425" s="1352"/>
      <c r="AO425" s="1352"/>
      <c r="AP425" s="1352"/>
      <c r="AQ425" s="1352"/>
      <c r="AR425" s="1352"/>
      <c r="AS425" s="1352"/>
    </row>
    <row r="426" spans="1:45" s="794" customFormat="1" ht="16" hidden="1" thickBot="1" x14ac:dyDescent="0.25">
      <c r="A426" s="1507">
        <v>6</v>
      </c>
      <c r="B426" s="1524" t="s">
        <v>487</v>
      </c>
      <c r="C426" s="1511"/>
      <c r="D426" s="1511"/>
      <c r="E426" s="1511"/>
      <c r="F426" s="1514"/>
      <c r="G426" s="1509" t="str">
        <f>G425</f>
        <v/>
      </c>
      <c r="H426" s="1510" t="s">
        <v>3198</v>
      </c>
      <c r="I426" s="67"/>
      <c r="J426" s="4"/>
      <c r="K426" s="85"/>
      <c r="L426" s="1631"/>
      <c r="M426" s="911"/>
      <c r="N426" s="802"/>
      <c r="O426" s="935"/>
      <c r="P426" s="905"/>
      <c r="Q426" s="905"/>
      <c r="R426" s="905"/>
      <c r="S426" s="905"/>
      <c r="T426" s="905"/>
      <c r="U426" s="905"/>
      <c r="V426" s="905"/>
      <c r="Z426" s="670"/>
      <c r="AL426" s="1352"/>
      <c r="AM426" s="1352"/>
      <c r="AN426" s="1352"/>
      <c r="AO426" s="1352"/>
      <c r="AP426" s="1352"/>
      <c r="AQ426" s="1352"/>
      <c r="AR426" s="1352"/>
      <c r="AS426" s="1352"/>
    </row>
    <row r="427" spans="1:45" ht="16" hidden="1" thickBot="1" x14ac:dyDescent="0.25">
      <c r="A427" s="1507">
        <v>6</v>
      </c>
      <c r="B427" s="1524" t="s">
        <v>487</v>
      </c>
      <c r="C427" s="1511"/>
      <c r="D427" s="1511"/>
      <c r="E427" s="1511"/>
      <c r="F427" s="1514"/>
      <c r="G427" s="1509" t="str">
        <f>G426</f>
        <v/>
      </c>
      <c r="H427" s="1510" t="s">
        <v>3198</v>
      </c>
      <c r="I427" s="67"/>
      <c r="J427" s="4"/>
      <c r="K427" s="85"/>
      <c r="L427" s="1631"/>
      <c r="M427" s="911"/>
      <c r="N427" s="250"/>
      <c r="O427" s="935"/>
      <c r="P427" s="905"/>
      <c r="Q427" s="905"/>
      <c r="R427" s="905"/>
      <c r="S427" s="905"/>
      <c r="T427" s="905"/>
      <c r="U427" s="905"/>
      <c r="V427" s="905"/>
      <c r="W427" s="248"/>
      <c r="X427" s="248"/>
      <c r="Y427"/>
      <c r="Z427" s="670"/>
      <c r="AC427" s="248"/>
      <c r="AD427" s="248"/>
      <c r="AE427" s="248"/>
      <c r="AF427" s="248"/>
      <c r="AG427" s="248"/>
      <c r="AH427" s="248"/>
      <c r="AI427" s="248"/>
      <c r="AJ427" s="248"/>
      <c r="AK427" s="248"/>
      <c r="AL427" s="1352"/>
      <c r="AM427" s="1352"/>
      <c r="AN427" s="1352"/>
      <c r="AO427" s="1352"/>
      <c r="AP427" s="1352"/>
      <c r="AQ427" s="1352"/>
      <c r="AR427" s="1352"/>
      <c r="AS427" s="1352"/>
    </row>
    <row r="428" spans="1:45" ht="16" hidden="1" thickBot="1" x14ac:dyDescent="0.25">
      <c r="A428" s="1507">
        <v>6</v>
      </c>
      <c r="B428" s="1524" t="s">
        <v>487</v>
      </c>
      <c r="C428" s="1511"/>
      <c r="D428" s="1511"/>
      <c r="E428" s="1511"/>
      <c r="F428" s="1514"/>
      <c r="G428" s="1509" t="str">
        <f>G427</f>
        <v/>
      </c>
      <c r="H428" s="1510" t="s">
        <v>3198</v>
      </c>
      <c r="I428" s="67"/>
      <c r="J428" s="4"/>
      <c r="K428" s="85"/>
      <c r="L428" s="1631"/>
      <c r="M428" s="911"/>
      <c r="N428" s="250"/>
      <c r="O428" s="935"/>
      <c r="P428" s="905"/>
      <c r="Q428" s="905"/>
      <c r="R428" s="905"/>
      <c r="S428" s="905"/>
      <c r="T428" s="905"/>
      <c r="U428" s="905"/>
      <c r="V428" s="905"/>
      <c r="W428" s="248"/>
      <c r="X428" s="248"/>
      <c r="Y428"/>
      <c r="Z428" s="670"/>
      <c r="AC428" s="248"/>
      <c r="AD428" s="248"/>
      <c r="AE428" s="248"/>
      <c r="AF428" s="248"/>
      <c r="AG428" s="248"/>
      <c r="AH428" s="248"/>
      <c r="AI428" s="248"/>
      <c r="AJ428" s="248"/>
      <c r="AK428" s="248"/>
      <c r="AL428" s="1352"/>
      <c r="AM428" s="1352"/>
      <c r="AN428" s="1352"/>
      <c r="AO428" s="1352"/>
      <c r="AP428" s="1352"/>
      <c r="AQ428" s="1352"/>
      <c r="AR428" s="1352"/>
      <c r="AS428" s="1352"/>
    </row>
    <row r="429" spans="1:45" ht="16" hidden="1" thickBot="1" x14ac:dyDescent="0.25">
      <c r="A429" s="1507">
        <v>6</v>
      </c>
      <c r="B429" s="1524" t="s">
        <v>487</v>
      </c>
      <c r="C429" s="1511" t="s">
        <v>254</v>
      </c>
      <c r="D429" s="1511"/>
      <c r="E429" s="1511"/>
      <c r="F429" s="1514"/>
      <c r="G429" s="1509" t="str">
        <f>IF(N429&gt;0,"P","")</f>
        <v/>
      </c>
      <c r="H429" s="1510" t="s">
        <v>3198</v>
      </c>
      <c r="I429" s="67"/>
      <c r="J429" s="180" t="s">
        <v>254</v>
      </c>
      <c r="K429" s="97"/>
      <c r="L429" s="1609" t="s">
        <v>2591</v>
      </c>
      <c r="M429" s="1623">
        <v>8</v>
      </c>
      <c r="N429" s="1755">
        <f>'11.600'!O131</f>
        <v>0</v>
      </c>
      <c r="O429" s="1619">
        <f>M429*S429*W429</f>
        <v>0</v>
      </c>
      <c r="P429" s="905" t="b">
        <v>1</v>
      </c>
      <c r="Q429" s="905" t="b">
        <v>0</v>
      </c>
      <c r="R429" s="905" t="b">
        <v>0</v>
      </c>
      <c r="S429" s="905" t="b">
        <f>OR(AZ332=3,AZ332=7)</f>
        <v>0</v>
      </c>
      <c r="T429" s="991" t="b">
        <f>AND(NOT(S429),W429=TRUE)</f>
        <v>0</v>
      </c>
      <c r="U429" s="905"/>
      <c r="V429" s="905"/>
      <c r="W429" s="27"/>
      <c r="X429" s="1600"/>
      <c r="Y429" s="1874" t="str">
        <f>IF(LEN('11.600'!X131)=0,"None",'11.600'!X131)</f>
        <v>None</v>
      </c>
      <c r="Z429" s="1889"/>
      <c r="AC429" s="248" t="b">
        <f>OR(AD429:AE429)</f>
        <v>0</v>
      </c>
      <c r="AD429" s="248" t="b">
        <f>T429</f>
        <v>0</v>
      </c>
      <c r="AE429" s="248"/>
      <c r="AF429" s="248"/>
      <c r="AG429" s="248"/>
      <c r="AH429" s="248"/>
      <c r="AI429" s="248"/>
      <c r="AJ429" s="248"/>
      <c r="AK429" s="248"/>
      <c r="AL429" s="1352" t="str">
        <f>SUBSTITUTE(SUBSTITUTE(SUBSTITUTE("vpa"&amp;$B429&amp;$C429&amp;$D429&amp;$E429&amp;$F429,".","_"),"(","_"),")","")</f>
        <v>vpa602_1_4_2_1</v>
      </c>
      <c r="AM429" s="1352">
        <f>M429</f>
        <v>8</v>
      </c>
      <c r="AN429" s="1352" t="str">
        <f>SUBSTITUTE(SUBSTITUTE(SUBSTITUTE("vpc"&amp;$B429&amp;$C429&amp;$D429&amp;$E429&amp;$F429,".","_"),"(","_"),")","")</f>
        <v>vpc602_1_4_2_1</v>
      </c>
      <c r="AO429" s="1352">
        <f>O429</f>
        <v>0</v>
      </c>
      <c r="AP429" s="1352" t="str">
        <f>SUBSTITUTE(SUBSTITUTE(SUBSTITUTE("vch"&amp;$B429&amp;$C429&amp;$D429&amp;$E429&amp;$F429,".","_"),"(","_"),")","")</f>
        <v>vch602_1_4_2_1</v>
      </c>
      <c r="AQ429" s="1352" t="str">
        <f>IF(LEN(W429)=0,"",W429)</f>
        <v/>
      </c>
      <c r="AR429" s="1352" t="str">
        <f>SUBSTITUTE(SUBSTITUTE(SUBSTITUTE("vnt"&amp;$B429&amp;$C429&amp;$D429&amp;$E429&amp;$F429,".","_"),"(","_"),")","")</f>
        <v>vnt602_1_4_2_1</v>
      </c>
      <c r="AS429" s="1352" t="str">
        <f>IF(LEN(X429)=0,"",X429)</f>
        <v/>
      </c>
    </row>
    <row r="430" spans="1:45" ht="16" hidden="1" thickBot="1" x14ac:dyDescent="0.25">
      <c r="A430" s="1507">
        <v>6</v>
      </c>
      <c r="B430" s="1524" t="s">
        <v>487</v>
      </c>
      <c r="C430" s="1511" t="s">
        <v>254</v>
      </c>
      <c r="D430" s="1511"/>
      <c r="E430" s="1511"/>
      <c r="F430" s="1514"/>
      <c r="G430" s="1509" t="str">
        <f>G429</f>
        <v/>
      </c>
      <c r="H430" s="1510" t="s">
        <v>3198</v>
      </c>
      <c r="I430" s="67"/>
      <c r="J430" s="213"/>
      <c r="K430" s="170"/>
      <c r="L430" s="1612"/>
      <c r="M430" s="1624"/>
      <c r="N430" s="1756"/>
      <c r="O430" s="1620"/>
      <c r="P430" s="905"/>
      <c r="Q430" s="905"/>
      <c r="R430" s="905"/>
      <c r="S430" s="905"/>
      <c r="T430" s="905"/>
      <c r="U430" s="905"/>
      <c r="V430" s="905"/>
      <c r="W430" s="248"/>
      <c r="X430" s="1600"/>
      <c r="Y430" s="1874"/>
      <c r="Z430" s="1889"/>
      <c r="AC430" s="248"/>
      <c r="AD430" s="248"/>
      <c r="AE430" s="248"/>
      <c r="AF430" s="248"/>
      <c r="AG430" s="248"/>
      <c r="AH430" s="248"/>
      <c r="AI430" s="248"/>
      <c r="AJ430" s="248"/>
      <c r="AK430" s="248"/>
      <c r="AL430" s="1352"/>
      <c r="AM430" s="1352"/>
      <c r="AN430" s="1352"/>
      <c r="AO430" s="1352"/>
      <c r="AP430" s="1352"/>
      <c r="AQ430" s="1352"/>
      <c r="AR430" s="1352"/>
      <c r="AS430" s="1352"/>
    </row>
    <row r="431" spans="1:45" ht="16" hidden="1" thickBot="1" x14ac:dyDescent="0.25">
      <c r="A431" s="1507">
        <v>6</v>
      </c>
      <c r="B431" s="1524" t="s">
        <v>487</v>
      </c>
      <c r="C431" s="1511" t="s">
        <v>255</v>
      </c>
      <c r="D431" s="1511"/>
      <c r="E431" s="1511"/>
      <c r="F431" s="1514"/>
      <c r="G431" s="1509" t="str">
        <f>IF(IFERROR(SEARCH("Mandatory",M431),FALSE),"P","")</f>
        <v/>
      </c>
      <c r="H431" s="1510" t="s">
        <v>3198</v>
      </c>
      <c r="I431" s="67"/>
      <c r="J431" s="29" t="s">
        <v>255</v>
      </c>
      <c r="K431" s="85"/>
      <c r="L431" s="1611" t="s">
        <v>2592</v>
      </c>
      <c r="M431" s="1714" t="str">
        <f>IF(R431,"Mandatory","N/A")</f>
        <v>N/A</v>
      </c>
      <c r="N431" s="250"/>
      <c r="O431" s="935"/>
      <c r="P431" s="905" t="b">
        <v>1</v>
      </c>
      <c r="Q431" s="905" t="b">
        <v>0</v>
      </c>
      <c r="R431" s="905" t="b">
        <f>S431</f>
        <v>0</v>
      </c>
      <c r="S431" s="905" t="b">
        <f>OR(AZ332=3,AZ332=7)</f>
        <v>0</v>
      </c>
      <c r="T431" s="991" t="b">
        <f>AND(NOT(S431),LEN(W431)&gt;0)</f>
        <v>0</v>
      </c>
      <c r="U431" s="991" t="str">
        <f>SUBSTITUTE(SUBSTITUTE(SUBSTITUTE("dd"&amp;B431&amp;C431&amp;D431&amp;E431&amp;F431,".","_"),"(","_"),")","")</f>
        <v>dd602_1_4_2_2</v>
      </c>
      <c r="V431" s="905"/>
      <c r="W431" s="774"/>
      <c r="X431" s="1621"/>
      <c r="Y431" s="1875" t="str">
        <f>IF(LEN('11.600'!X133)=0,"None",'11.600'!X133)</f>
        <v>None</v>
      </c>
      <c r="Z431" s="1878"/>
      <c r="AC431" s="248" t="b">
        <f>OR(AD431:AE431)</f>
        <v>0</v>
      </c>
      <c r="AD431" s="248" t="b">
        <f>T431</f>
        <v>0</v>
      </c>
      <c r="AE431" s="248" t="b">
        <f>AND(R431,NOT(W431="Met"),NOT(W431="N/A"))</f>
        <v>0</v>
      </c>
      <c r="AF431" s="720" t="b">
        <f>AND(AE431,NOT(Q431))</f>
        <v>0</v>
      </c>
      <c r="AG431" s="248"/>
      <c r="AH431" s="248"/>
      <c r="AI431" s="248"/>
      <c r="AJ431" s="248"/>
      <c r="AK431" s="248"/>
      <c r="AL431" s="1352" t="str">
        <f>SUBSTITUTE(SUBSTITUTE(SUBSTITUTE("vpa"&amp;$B431&amp;$C431&amp;$D431&amp;$E431&amp;$F431,".","_"),"(","_"),")","")</f>
        <v>vpa602_1_4_2_2</v>
      </c>
      <c r="AM431" s="1352" t="str">
        <f>M431</f>
        <v>N/A</v>
      </c>
      <c r="AN431" s="1352"/>
      <c r="AO431" s="1352"/>
      <c r="AP431" s="1352" t="str">
        <f>SUBSTITUTE(SUBSTITUTE(SUBSTITUTE("vch"&amp;$B431&amp;$C431&amp;$D431&amp;$E431&amp;$F431,".","_"),"(","_"),")","")</f>
        <v>vch602_1_4_2_2</v>
      </c>
      <c r="AQ431" s="1352" t="str">
        <f>IF(LEN(W431)=0,"",W431)</f>
        <v/>
      </c>
      <c r="AR431" s="1352" t="str">
        <f>SUBSTITUTE(SUBSTITUTE(SUBSTITUTE("vnt"&amp;$B431&amp;$C431&amp;$D431&amp;$E431&amp;$F431,".","_"),"(","_"),")","")</f>
        <v>vnt602_1_4_2_2</v>
      </c>
      <c r="AS431" s="1352" t="str">
        <f>IF(LEN(X431)=0,"",X431)</f>
        <v/>
      </c>
    </row>
    <row r="432" spans="1:45" ht="16" hidden="1" thickBot="1" x14ac:dyDescent="0.25">
      <c r="A432" s="1507">
        <v>6</v>
      </c>
      <c r="B432" s="1524" t="s">
        <v>487</v>
      </c>
      <c r="C432" s="1511" t="s">
        <v>255</v>
      </c>
      <c r="D432" s="1511"/>
      <c r="E432" s="1511"/>
      <c r="F432" s="1514"/>
      <c r="G432" s="1509" t="str">
        <f>G431</f>
        <v/>
      </c>
      <c r="H432" s="1510" t="s">
        <v>3198</v>
      </c>
      <c r="I432" s="67"/>
      <c r="J432" s="4"/>
      <c r="K432" s="85"/>
      <c r="L432" s="1611"/>
      <c r="M432" s="1714"/>
      <c r="N432" s="250"/>
      <c r="O432" s="935"/>
      <c r="P432" s="905"/>
      <c r="Q432" s="905"/>
      <c r="R432" s="905"/>
      <c r="S432" s="905"/>
      <c r="T432" s="905"/>
      <c r="U432" s="905"/>
      <c r="V432" s="905"/>
      <c r="W432" s="248"/>
      <c r="X432" s="1632"/>
      <c r="Y432" s="1876"/>
      <c r="Z432" s="1879"/>
      <c r="AC432" s="248"/>
      <c r="AD432" s="248"/>
      <c r="AE432" s="248"/>
      <c r="AF432" s="248"/>
      <c r="AG432" s="248"/>
      <c r="AH432" s="248"/>
      <c r="AI432" s="248"/>
      <c r="AJ432" s="248"/>
      <c r="AK432" s="248"/>
      <c r="AL432" s="1352"/>
      <c r="AM432" s="1352"/>
      <c r="AN432" s="1352"/>
      <c r="AO432" s="1352"/>
      <c r="AP432" s="1352"/>
      <c r="AQ432" s="1352"/>
      <c r="AR432" s="1352"/>
      <c r="AS432" s="1352"/>
    </row>
    <row r="433" spans="1:45" s="755" customFormat="1" ht="16" hidden="1" thickBot="1" x14ac:dyDescent="0.25">
      <c r="A433" s="1507">
        <v>6</v>
      </c>
      <c r="B433" s="1524" t="s">
        <v>487</v>
      </c>
      <c r="C433" s="1511" t="s">
        <v>255</v>
      </c>
      <c r="D433" s="1511"/>
      <c r="E433" s="1511"/>
      <c r="F433" s="1514"/>
      <c r="G433" s="1509" t="str">
        <f>G432</f>
        <v/>
      </c>
      <c r="H433" s="1510" t="s">
        <v>3198</v>
      </c>
      <c r="I433" s="67"/>
      <c r="J433" s="4"/>
      <c r="K433" s="85"/>
      <c r="L433" s="1707" t="s">
        <v>3820</v>
      </c>
      <c r="M433" s="773"/>
      <c r="N433" s="762"/>
      <c r="O433" s="935"/>
      <c r="P433" s="905"/>
      <c r="Q433" s="905"/>
      <c r="R433" s="905"/>
      <c r="S433" s="905"/>
      <c r="T433" s="905"/>
      <c r="U433" s="905"/>
      <c r="V433" s="905"/>
      <c r="X433" s="1632"/>
      <c r="Y433" s="1876"/>
      <c r="Z433" s="1879"/>
      <c r="AL433" s="1352"/>
      <c r="AM433" s="1352"/>
      <c r="AN433" s="1352"/>
      <c r="AO433" s="1352"/>
      <c r="AP433" s="1352"/>
      <c r="AQ433" s="1352"/>
      <c r="AR433" s="1352"/>
      <c r="AS433" s="1352"/>
    </row>
    <row r="434" spans="1:45" s="755" customFormat="1" ht="16" hidden="1" thickBot="1" x14ac:dyDescent="0.25">
      <c r="A434" s="1507">
        <v>6</v>
      </c>
      <c r="B434" s="1524" t="s">
        <v>487</v>
      </c>
      <c r="C434" s="1511" t="s">
        <v>255</v>
      </c>
      <c r="D434" s="1511"/>
      <c r="E434" s="1511"/>
      <c r="F434" s="1514"/>
      <c r="G434" s="1509" t="str">
        <f>G433</f>
        <v/>
      </c>
      <c r="H434" s="1510" t="s">
        <v>3198</v>
      </c>
      <c r="I434" s="67"/>
      <c r="J434" s="4"/>
      <c r="K434" s="85"/>
      <c r="L434" s="1706"/>
      <c r="M434" s="773"/>
      <c r="N434" s="762"/>
      <c r="O434" s="935"/>
      <c r="P434" s="905"/>
      <c r="Q434" s="905"/>
      <c r="R434" s="905"/>
      <c r="S434" s="905"/>
      <c r="T434" s="905"/>
      <c r="U434" s="905"/>
      <c r="V434" s="905"/>
      <c r="X434" s="1648"/>
      <c r="Y434" s="1885"/>
      <c r="Z434" s="1897"/>
      <c r="AL434" s="1352"/>
      <c r="AM434" s="1352"/>
      <c r="AN434" s="1352"/>
      <c r="AO434" s="1352"/>
      <c r="AP434" s="1352"/>
      <c r="AQ434" s="1352"/>
      <c r="AR434" s="1352"/>
      <c r="AS434" s="1352"/>
    </row>
    <row r="435" spans="1:45" ht="17" hidden="1" thickTop="1" thickBot="1" x14ac:dyDescent="0.25">
      <c r="A435" s="1507">
        <v>6</v>
      </c>
      <c r="B435" s="1524" t="s">
        <v>488</v>
      </c>
      <c r="C435" s="1511"/>
      <c r="D435" s="1511"/>
      <c r="E435" s="1511"/>
      <c r="F435" s="1514"/>
      <c r="G435" s="1513" t="str">
        <f ca="1">IF(COUNTIF(G437:G439,"P")&gt;0,"P","")</f>
        <v/>
      </c>
      <c r="H435" s="1510" t="s">
        <v>3198</v>
      </c>
      <c r="I435" s="177" t="s">
        <v>3542</v>
      </c>
      <c r="J435" s="178"/>
      <c r="K435" s="179"/>
      <c r="L435" s="107" t="s">
        <v>3625</v>
      </c>
      <c r="M435" s="945"/>
      <c r="N435" s="256"/>
      <c r="O435" s="943"/>
      <c r="P435" s="106"/>
      <c r="Q435" s="106"/>
      <c r="R435" s="106"/>
      <c r="S435" s="106"/>
      <c r="T435" s="106"/>
      <c r="U435" s="106"/>
      <c r="V435" s="106"/>
      <c r="W435" s="106" t="s">
        <v>677</v>
      </c>
      <c r="X435" s="96"/>
      <c r="Y435"/>
      <c r="Z435" s="670"/>
      <c r="AC435" s="248"/>
      <c r="AD435" s="248"/>
      <c r="AE435" s="248"/>
      <c r="AF435" s="248"/>
      <c r="AG435" s="248"/>
      <c r="AH435" s="248"/>
      <c r="AI435" s="248"/>
      <c r="AJ435" s="248"/>
      <c r="AK435" s="248"/>
      <c r="AL435" s="1352"/>
      <c r="AM435" s="1352"/>
      <c r="AN435" s="1352"/>
      <c r="AO435" s="1352"/>
      <c r="AP435" s="1352"/>
      <c r="AQ435" s="1352"/>
      <c r="AR435" s="1352"/>
      <c r="AS435" s="1352"/>
    </row>
    <row r="436" spans="1:45" ht="16" hidden="1" thickBot="1" x14ac:dyDescent="0.25">
      <c r="A436" s="1507">
        <v>6</v>
      </c>
      <c r="B436" s="1524" t="s">
        <v>488</v>
      </c>
      <c r="C436" s="1511"/>
      <c r="D436" s="1511"/>
      <c r="E436" s="1511"/>
      <c r="F436" s="1514"/>
      <c r="G436" s="1509" t="str">
        <f ca="1">G435</f>
        <v/>
      </c>
      <c r="H436" s="1510" t="s">
        <v>3198</v>
      </c>
      <c r="I436" s="67"/>
      <c r="J436" s="4"/>
      <c r="K436" s="85"/>
      <c r="L436" s="279" t="s">
        <v>2583</v>
      </c>
      <c r="M436" s="911"/>
      <c r="N436" s="250"/>
      <c r="O436" s="935"/>
      <c r="P436" s="905" t="b">
        <v>1</v>
      </c>
      <c r="Q436" s="905" t="b">
        <v>0</v>
      </c>
      <c r="R436" s="905" t="b">
        <v>0</v>
      </c>
      <c r="S436" s="905" t="b">
        <v>1</v>
      </c>
      <c r="T436" s="905" t="b">
        <v>0</v>
      </c>
      <c r="U436" s="991" t="str">
        <f>SUBSTITUTE(SUBSTITUTE(SUBSTITUTE("dd"&amp;B436&amp;C436&amp;D436&amp;E436&amp;F436,".","_"),"(","_"),")","")</f>
        <v>dd602_1_5</v>
      </c>
      <c r="V436" s="905"/>
      <c r="W436" s="12"/>
      <c r="X436" s="1600"/>
      <c r="Y436" s="1881" t="str">
        <f>IF(LEN('11.600'!X138)=0,"None",'11.600'!X138)</f>
        <v>None</v>
      </c>
      <c r="Z436" s="1891"/>
      <c r="AC436" s="248"/>
      <c r="AD436" s="248"/>
      <c r="AE436" s="248"/>
      <c r="AF436" s="248"/>
      <c r="AG436" s="248"/>
      <c r="AH436" s="248"/>
      <c r="AI436" s="248"/>
      <c r="AJ436" s="248"/>
      <c r="AK436" s="248"/>
      <c r="AL436" s="1352"/>
      <c r="AM436" s="1352"/>
      <c r="AN436" s="1352"/>
      <c r="AO436" s="1352"/>
      <c r="AP436" s="1352" t="str">
        <f>SUBSTITUTE(SUBSTITUTE(SUBSTITUTE("vch"&amp;$B436&amp;$C436&amp;$D436&amp;$E436&amp;$F436,".","_"),"(","_"),")","")</f>
        <v>vch602_1_5</v>
      </c>
      <c r="AQ436" s="1352" t="str">
        <f>IF(LEN(W436)=0,"",W436)</f>
        <v/>
      </c>
      <c r="AR436" s="1352" t="str">
        <f>SUBSTITUTE(SUBSTITUTE(SUBSTITUTE("vnt"&amp;$B436&amp;$C436&amp;$D436&amp;$E436&amp;$F436,".","_"),"(","_"),")","")</f>
        <v>vnt602_1_5</v>
      </c>
      <c r="AS436" s="1352" t="str">
        <f>IF(LEN(X436)=0,"",X436)</f>
        <v/>
      </c>
    </row>
    <row r="437" spans="1:45" ht="16" hidden="1" thickBot="1" x14ac:dyDescent="0.25">
      <c r="A437" s="1507">
        <v>6</v>
      </c>
      <c r="B437" s="1524" t="s">
        <v>488</v>
      </c>
      <c r="C437" s="1511" t="s">
        <v>254</v>
      </c>
      <c r="D437" s="1511"/>
      <c r="E437" s="1511"/>
      <c r="F437" s="1514"/>
      <c r="G437" s="1509" t="str">
        <f ca="1">IF(N437&gt;0,"P","")</f>
        <v/>
      </c>
      <c r="H437" s="1510" t="s">
        <v>3198</v>
      </c>
      <c r="I437" s="67"/>
      <c r="J437" s="180" t="s">
        <v>254</v>
      </c>
      <c r="K437" s="97"/>
      <c r="L437" s="1609" t="s">
        <v>489</v>
      </c>
      <c r="M437" s="1623">
        <v>4</v>
      </c>
      <c r="N437" s="1755">
        <f ca="1">'11.600'!O139</f>
        <v>0</v>
      </c>
      <c r="O437" s="1619">
        <f ca="1">M437*S437*W437</f>
        <v>0</v>
      </c>
      <c r="P437" s="905" t="b">
        <v>1</v>
      </c>
      <c r="Q437" s="905" t="b">
        <v>0</v>
      </c>
      <c r="R437" s="905" t="b">
        <v>0</v>
      </c>
      <c r="S437" s="905" t="b">
        <f ca="1">IF(IFERROR(MATCH(W436,INDIRECT(U436),0),0)=3,TRUE,FALSE)</f>
        <v>0</v>
      </c>
      <c r="T437" s="991" t="b">
        <f ca="1">AND(NOT(S437),W437=TRUE)</f>
        <v>0</v>
      </c>
      <c r="U437" s="905"/>
      <c r="V437" s="905"/>
      <c r="W437" s="27"/>
      <c r="X437" s="1600"/>
      <c r="Y437" s="1881"/>
      <c r="Z437" s="1891"/>
      <c r="AC437" s="248" t="b">
        <f ca="1">OR(AD437:AE437)</f>
        <v>0</v>
      </c>
      <c r="AD437" s="248" t="b">
        <f ca="1">T437</f>
        <v>0</v>
      </c>
      <c r="AE437" s="248"/>
      <c r="AF437" s="720"/>
      <c r="AG437" s="248"/>
      <c r="AH437" s="248"/>
      <c r="AI437" s="248"/>
      <c r="AJ437" s="248"/>
      <c r="AK437" s="248"/>
      <c r="AL437" s="1352" t="str">
        <f>SUBSTITUTE(SUBSTITUTE(SUBSTITUTE("vpa"&amp;$B437&amp;$C437&amp;$D437&amp;$E437&amp;$F437,".","_"),"(","_"),")","")</f>
        <v>vpa602_1_5_1</v>
      </c>
      <c r="AM437" s="1352">
        <f>M437</f>
        <v>4</v>
      </c>
      <c r="AN437" s="1352" t="str">
        <f>SUBSTITUTE(SUBSTITUTE(SUBSTITUTE("vpc"&amp;$B437&amp;$C437&amp;$D437&amp;$E437&amp;$F437,".","_"),"(","_"),")","")</f>
        <v>vpc602_1_5_1</v>
      </c>
      <c r="AO437" s="1352">
        <f ca="1">O437</f>
        <v>0</v>
      </c>
      <c r="AP437" s="1352" t="str">
        <f>SUBSTITUTE(SUBSTITUTE(SUBSTITUTE("vch"&amp;$B437&amp;$C437&amp;$D437&amp;$E437&amp;$F437,".","_"),"(","_"),")","")</f>
        <v>vch602_1_5_1</v>
      </c>
      <c r="AQ437" s="1352" t="str">
        <f>IF(LEN(W437)=0,"",W437)</f>
        <v/>
      </c>
      <c r="AR437" s="1352"/>
      <c r="AS437" s="1352"/>
    </row>
    <row r="438" spans="1:45" ht="16" hidden="1" thickBot="1" x14ac:dyDescent="0.25">
      <c r="A438" s="1507">
        <v>6</v>
      </c>
      <c r="B438" s="1524" t="s">
        <v>488</v>
      </c>
      <c r="C438" s="1511" t="s">
        <v>254</v>
      </c>
      <c r="D438" s="1511"/>
      <c r="E438" s="1511"/>
      <c r="F438" s="1514"/>
      <c r="G438" s="1509" t="str">
        <f ca="1">G437</f>
        <v/>
      </c>
      <c r="H438" s="1510" t="s">
        <v>3198</v>
      </c>
      <c r="I438" s="67"/>
      <c r="J438" s="213"/>
      <c r="K438" s="170"/>
      <c r="L438" s="1612"/>
      <c r="M438" s="1624"/>
      <c r="N438" s="1756"/>
      <c r="O438" s="1620"/>
      <c r="P438" s="905"/>
      <c r="Q438" s="905"/>
      <c r="R438" s="905"/>
      <c r="S438" s="905"/>
      <c r="T438" s="905"/>
      <c r="U438" s="905"/>
      <c r="V438" s="905"/>
      <c r="W438" s="248"/>
      <c r="X438" s="1600"/>
      <c r="Y438" s="1881"/>
      <c r="Z438" s="1891"/>
      <c r="AC438" s="248"/>
      <c r="AD438" s="248"/>
      <c r="AE438" s="248"/>
      <c r="AF438" s="248"/>
      <c r="AG438" s="248"/>
      <c r="AH438" s="248"/>
      <c r="AI438" s="248"/>
      <c r="AJ438" s="248"/>
      <c r="AK438" s="248"/>
      <c r="AL438" s="1352"/>
      <c r="AM438" s="1352"/>
      <c r="AN438" s="1352"/>
      <c r="AO438" s="1352"/>
      <c r="AP438" s="1352"/>
      <c r="AQ438" s="1352"/>
      <c r="AR438" s="1352"/>
      <c r="AS438" s="1352"/>
    </row>
    <row r="439" spans="1:45" ht="16" hidden="1" thickBot="1" x14ac:dyDescent="0.25">
      <c r="A439" s="1507">
        <v>6</v>
      </c>
      <c r="B439" s="1524" t="s">
        <v>488</v>
      </c>
      <c r="C439" s="1511" t="s">
        <v>255</v>
      </c>
      <c r="D439" s="1511"/>
      <c r="E439" s="1511"/>
      <c r="F439" s="1514"/>
      <c r="G439" s="1509" t="str">
        <f ca="1">IF(N439&gt;0,"P","")</f>
        <v/>
      </c>
      <c r="H439" s="1510" t="s">
        <v>3198</v>
      </c>
      <c r="I439" s="67"/>
      <c r="J439" s="29" t="s">
        <v>255</v>
      </c>
      <c r="K439" s="85"/>
      <c r="L439" s="1611" t="s">
        <v>490</v>
      </c>
      <c r="M439" s="1628">
        <v>4</v>
      </c>
      <c r="N439" s="1758">
        <f ca="1">'11.600'!O141</f>
        <v>0</v>
      </c>
      <c r="O439" s="1669">
        <f ca="1">M439*S439*W439</f>
        <v>0</v>
      </c>
      <c r="P439" s="905" t="b">
        <v>1</v>
      </c>
      <c r="Q439" s="905" t="b">
        <v>0</v>
      </c>
      <c r="R439" s="905" t="b">
        <v>0</v>
      </c>
      <c r="S439" s="905" t="b">
        <f ca="1">IF(IFERROR(MATCH(W436,INDIRECT(U436),0),0)=4,TRUE,FALSE)</f>
        <v>0</v>
      </c>
      <c r="T439" s="991" t="b">
        <f ca="1">AND(NOT(S439),W439=TRUE)</f>
        <v>0</v>
      </c>
      <c r="U439" s="905"/>
      <c r="V439" s="905"/>
      <c r="W439" s="27"/>
      <c r="X439" s="1600"/>
      <c r="Y439" s="1881"/>
      <c r="Z439" s="1891"/>
      <c r="AC439" s="248" t="b">
        <f ca="1">OR(AD439:AE439)</f>
        <v>0</v>
      </c>
      <c r="AD439" s="248" t="b">
        <f ca="1">T439</f>
        <v>0</v>
      </c>
      <c r="AE439" s="248"/>
      <c r="AF439" s="720"/>
      <c r="AG439" s="248"/>
      <c r="AH439" s="248"/>
      <c r="AI439" s="248"/>
      <c r="AJ439" s="248"/>
      <c r="AK439" s="248"/>
      <c r="AL439" s="1352" t="str">
        <f>SUBSTITUTE(SUBSTITUTE(SUBSTITUTE("vpa"&amp;$B439&amp;$C439&amp;$D439&amp;$E439&amp;$F439,".","_"),"(","_"),")","")</f>
        <v>vpa602_1_5_2</v>
      </c>
      <c r="AM439" s="1352">
        <f>M439</f>
        <v>4</v>
      </c>
      <c r="AN439" s="1352" t="str">
        <f>SUBSTITUTE(SUBSTITUTE(SUBSTITUTE("vpc"&amp;$B439&amp;$C439&amp;$D439&amp;$E439&amp;$F439,".","_"),"(","_"),")","")</f>
        <v>vpc602_1_5_2</v>
      </c>
      <c r="AO439" s="1352">
        <f ca="1">O439</f>
        <v>0</v>
      </c>
      <c r="AP439" s="1352" t="str">
        <f>SUBSTITUTE(SUBSTITUTE(SUBSTITUTE("vch"&amp;$B439&amp;$C439&amp;$D439&amp;$E439&amp;$F439,".","_"),"(","_"),")","")</f>
        <v>vch602_1_5_2</v>
      </c>
      <c r="AQ439" s="1352" t="str">
        <f>IF(LEN(W439)=0,"",W439)</f>
        <v/>
      </c>
      <c r="AR439" s="1352"/>
      <c r="AS439" s="1352"/>
    </row>
    <row r="440" spans="1:45" ht="16" hidden="1" thickBot="1" x14ac:dyDescent="0.25">
      <c r="A440" s="1507">
        <v>6</v>
      </c>
      <c r="B440" s="1524" t="s">
        <v>488</v>
      </c>
      <c r="C440" s="1511" t="s">
        <v>255</v>
      </c>
      <c r="D440" s="1511"/>
      <c r="E440" s="1511"/>
      <c r="F440" s="1514"/>
      <c r="G440" s="1509" t="str">
        <f ca="1">G439</f>
        <v/>
      </c>
      <c r="H440" s="1510" t="s">
        <v>3198</v>
      </c>
      <c r="I440" s="67"/>
      <c r="J440" s="4"/>
      <c r="K440" s="85"/>
      <c r="L440" s="1611"/>
      <c r="M440" s="1628"/>
      <c r="N440" s="1644"/>
      <c r="O440" s="1669"/>
      <c r="P440" s="905"/>
      <c r="Q440" s="905"/>
      <c r="R440" s="905"/>
      <c r="S440" s="905"/>
      <c r="T440" s="905"/>
      <c r="U440" s="905"/>
      <c r="V440" s="905"/>
      <c r="W440" s="248"/>
      <c r="X440" s="1600"/>
      <c r="Y440" s="1881"/>
      <c r="Z440" s="1891"/>
      <c r="AC440" s="248"/>
      <c r="AD440" s="248"/>
      <c r="AE440" s="248"/>
      <c r="AF440" s="248"/>
      <c r="AG440" s="248"/>
      <c r="AH440" s="248"/>
      <c r="AI440" s="248"/>
      <c r="AJ440" s="248"/>
      <c r="AK440" s="248"/>
      <c r="AL440" s="1352"/>
      <c r="AM440" s="1352"/>
      <c r="AN440" s="1352"/>
      <c r="AO440" s="1352"/>
      <c r="AP440" s="1352"/>
      <c r="AQ440" s="1352"/>
      <c r="AR440" s="1352"/>
      <c r="AS440" s="1352"/>
    </row>
    <row r="441" spans="1:45" ht="16" hidden="1" thickBot="1" x14ac:dyDescent="0.25">
      <c r="A441" s="1507">
        <v>6</v>
      </c>
      <c r="B441" s="1524" t="s">
        <v>488</v>
      </c>
      <c r="C441" s="1511" t="s">
        <v>255</v>
      </c>
      <c r="D441" s="1511"/>
      <c r="E441" s="1511"/>
      <c r="F441" s="1514"/>
      <c r="G441" s="1509" t="str">
        <f ca="1">G440</f>
        <v/>
      </c>
      <c r="H441" s="1510" t="s">
        <v>3198</v>
      </c>
      <c r="I441" s="67"/>
      <c r="J441" s="4"/>
      <c r="K441" s="85"/>
      <c r="L441" s="1611"/>
      <c r="M441" s="1628"/>
      <c r="N441" s="1645"/>
      <c r="O441" s="1669"/>
      <c r="P441" s="905"/>
      <c r="Q441" s="905"/>
      <c r="R441" s="905"/>
      <c r="S441" s="905"/>
      <c r="T441" s="905"/>
      <c r="U441" s="905"/>
      <c r="V441" s="905"/>
      <c r="W441" s="248"/>
      <c r="X441" s="1600"/>
      <c r="Y441" s="1882"/>
      <c r="Z441" s="1892"/>
      <c r="AC441" s="248"/>
      <c r="AD441" s="248"/>
      <c r="AE441" s="248"/>
      <c r="AF441" s="248"/>
      <c r="AG441" s="248"/>
      <c r="AH441" s="248"/>
      <c r="AI441" s="248"/>
      <c r="AJ441" s="248"/>
      <c r="AK441" s="248"/>
      <c r="AL441" s="1352"/>
      <c r="AM441" s="1352"/>
      <c r="AN441" s="1352"/>
      <c r="AO441" s="1352"/>
      <c r="AP441" s="1352"/>
      <c r="AQ441" s="1352"/>
      <c r="AR441" s="1352"/>
      <c r="AS441" s="1352"/>
    </row>
    <row r="442" spans="1:45" ht="17" hidden="1" thickTop="1" thickBot="1" x14ac:dyDescent="0.25">
      <c r="A442" s="1507">
        <v>6</v>
      </c>
      <c r="B442" s="1524" t="s">
        <v>491</v>
      </c>
      <c r="C442" s="1511"/>
      <c r="D442" s="1511"/>
      <c r="E442" s="1511"/>
      <c r="F442" s="1514"/>
      <c r="G442" s="1513" t="str">
        <f ca="1">IF(COUNTIF(G445:G453,"P")&gt;0,"P","")</f>
        <v/>
      </c>
      <c r="H442" s="1510" t="s">
        <v>3197</v>
      </c>
      <c r="I442" s="177" t="s">
        <v>3543</v>
      </c>
      <c r="J442" s="178"/>
      <c r="K442" s="179"/>
      <c r="L442" s="1683" t="s">
        <v>3624</v>
      </c>
      <c r="M442" s="945"/>
      <c r="N442" s="256"/>
      <c r="O442" s="943"/>
      <c r="P442" s="106"/>
      <c r="Q442" s="106"/>
      <c r="R442" s="106"/>
      <c r="S442" s="106"/>
      <c r="T442" s="106"/>
      <c r="U442" s="106"/>
      <c r="V442" s="106"/>
      <c r="W442" s="106"/>
      <c r="X442" s="106"/>
      <c r="Y442"/>
      <c r="Z442" s="670"/>
      <c r="AC442" s="248"/>
      <c r="AD442" s="248"/>
      <c r="AE442" s="248"/>
      <c r="AF442" s="248"/>
      <c r="AG442" s="248"/>
      <c r="AH442" s="248"/>
      <c r="AI442" s="248"/>
      <c r="AJ442" s="248"/>
      <c r="AK442" s="248"/>
      <c r="AL442" s="1352"/>
      <c r="AM442" s="1352"/>
      <c r="AN442" s="1352"/>
      <c r="AO442" s="1352"/>
      <c r="AP442" s="1352"/>
      <c r="AQ442" s="1352"/>
      <c r="AR442" s="1352"/>
      <c r="AS442" s="1352"/>
    </row>
    <row r="443" spans="1:45" ht="16" hidden="1" thickBot="1" x14ac:dyDescent="0.25">
      <c r="A443" s="1507">
        <v>6</v>
      </c>
      <c r="B443" s="1524" t="s">
        <v>491</v>
      </c>
      <c r="C443" s="1511"/>
      <c r="D443" s="1511"/>
      <c r="E443" s="1511"/>
      <c r="F443" s="1514"/>
      <c r="G443" s="1509" t="str">
        <f ca="1">G442</f>
        <v/>
      </c>
      <c r="H443" s="1510" t="s">
        <v>3197</v>
      </c>
      <c r="I443" s="130"/>
      <c r="J443" s="129"/>
      <c r="K443" s="97"/>
      <c r="L443" s="1629"/>
      <c r="M443" s="913"/>
      <c r="N443" s="251"/>
      <c r="O443" s="908"/>
      <c r="P443" s="991"/>
      <c r="Q443" s="991"/>
      <c r="R443" s="991"/>
      <c r="S443" s="991"/>
      <c r="T443" s="991"/>
      <c r="U443" s="991"/>
      <c r="V443" s="991"/>
      <c r="W443" s="96"/>
      <c r="X443" s="96"/>
      <c r="Y443"/>
      <c r="Z443" s="670"/>
      <c r="AC443" s="248"/>
      <c r="AD443" s="248"/>
      <c r="AE443" s="248"/>
      <c r="AF443" s="248"/>
      <c r="AG443" s="248"/>
      <c r="AH443" s="248"/>
      <c r="AI443" s="248"/>
      <c r="AJ443" s="248"/>
      <c r="AK443" s="248"/>
      <c r="AL443" s="1352"/>
      <c r="AM443" s="1352"/>
      <c r="AN443" s="1352"/>
      <c r="AO443" s="1352"/>
      <c r="AP443" s="1352"/>
      <c r="AQ443" s="1352"/>
      <c r="AR443" s="1352"/>
      <c r="AS443" s="1352"/>
    </row>
    <row r="444" spans="1:45" ht="16" hidden="1" thickBot="1" x14ac:dyDescent="0.25">
      <c r="A444" s="1507">
        <v>6</v>
      </c>
      <c r="B444" s="1524" t="s">
        <v>491</v>
      </c>
      <c r="C444" s="1511"/>
      <c r="D444" s="1511"/>
      <c r="E444" s="1511"/>
      <c r="F444" s="1514"/>
      <c r="G444" s="1509" t="str">
        <f ca="1">G443</f>
        <v/>
      </c>
      <c r="H444" s="1510" t="s">
        <v>3197</v>
      </c>
      <c r="I444" s="67"/>
      <c r="J444" s="4"/>
      <c r="K444" s="85"/>
      <c r="L444" s="279" t="s">
        <v>2583</v>
      </c>
      <c r="M444" s="911"/>
      <c r="N444" s="250"/>
      <c r="O444" s="935"/>
      <c r="P444" s="905"/>
      <c r="Q444" s="905"/>
      <c r="R444" s="905"/>
      <c r="S444" s="905"/>
      <c r="T444" s="905"/>
      <c r="U444" s="991"/>
      <c r="V444" s="905"/>
      <c r="W444" s="248"/>
      <c r="X444" s="248"/>
      <c r="Y444"/>
      <c r="Z444" s="670"/>
      <c r="AC444" s="248"/>
      <c r="AD444" s="248"/>
      <c r="AE444" s="248"/>
      <c r="AF444" s="248"/>
      <c r="AG444" s="248"/>
      <c r="AH444" s="248"/>
      <c r="AI444" s="248"/>
      <c r="AJ444" s="248"/>
      <c r="AK444" s="248"/>
      <c r="AL444" s="1352"/>
      <c r="AM444" s="1352"/>
      <c r="AN444" s="1352"/>
      <c r="AO444" s="1352"/>
      <c r="AP444" s="1352"/>
      <c r="AQ444" s="1352"/>
      <c r="AR444" s="1352"/>
      <c r="AS444" s="1352"/>
    </row>
    <row r="445" spans="1:45" ht="16" hidden="1" thickBot="1" x14ac:dyDescent="0.25">
      <c r="A445" s="1507">
        <v>6</v>
      </c>
      <c r="B445" s="1524" t="s">
        <v>491</v>
      </c>
      <c r="C445" s="1511" t="s">
        <v>254</v>
      </c>
      <c r="D445" s="1511"/>
      <c r="E445" s="1511"/>
      <c r="F445" s="1514"/>
      <c r="G445" s="1509" t="str">
        <f ca="1">IF(N445&gt;0,"P","")</f>
        <v/>
      </c>
      <c r="H445" s="1510" t="s">
        <v>3197</v>
      </c>
      <c r="I445" s="67"/>
      <c r="J445" s="180" t="s">
        <v>254</v>
      </c>
      <c r="K445" s="97"/>
      <c r="L445" s="1609" t="s">
        <v>492</v>
      </c>
      <c r="M445" s="1623">
        <v>2</v>
      </c>
      <c r="N445" s="1755">
        <f ca="1">'11.600'!O147</f>
        <v>0</v>
      </c>
      <c r="O445" s="1619">
        <f ca="1">M445*S445*W445</f>
        <v>0</v>
      </c>
      <c r="P445" s="905" t="b">
        <v>1</v>
      </c>
      <c r="Q445" s="905" t="b">
        <v>1</v>
      </c>
      <c r="R445" s="905" t="b">
        <v>0</v>
      </c>
      <c r="S445" s="905" t="b">
        <f ca="1">IF(IFERROR(MATCH(W436,INDIRECT(U436),0),0)=2,TRUE,FALSE)</f>
        <v>0</v>
      </c>
      <c r="T445" s="991" t="b">
        <f ca="1">AND(NOT(S445),W445=TRUE)</f>
        <v>0</v>
      </c>
      <c r="U445" s="905"/>
      <c r="V445" s="905"/>
      <c r="W445" s="27"/>
      <c r="X445" s="1600"/>
      <c r="Y445" s="1881" t="str">
        <f>IF(LEN('11.600'!X147)=0,"None",'11.600'!X147)</f>
        <v>None</v>
      </c>
      <c r="Z445" s="1891"/>
      <c r="AC445" s="248" t="b">
        <f ca="1">OR(AD445:AE445)</f>
        <v>0</v>
      </c>
      <c r="AD445" s="248" t="b">
        <f ca="1">T445</f>
        <v>0</v>
      </c>
      <c r="AE445" s="248"/>
      <c r="AF445" s="720"/>
      <c r="AG445" s="248"/>
      <c r="AH445" s="248"/>
      <c r="AI445" s="248"/>
      <c r="AJ445" s="248"/>
      <c r="AK445" s="248"/>
      <c r="AL445" s="1352" t="str">
        <f>SUBSTITUTE(SUBSTITUTE(SUBSTITUTE("vpa"&amp;$B445&amp;$C445&amp;$D445&amp;$E445&amp;$F445,".","_"),"(","_"),")","")</f>
        <v>vpa602_1_6_1</v>
      </c>
      <c r="AM445" s="1352">
        <f>M445</f>
        <v>2</v>
      </c>
      <c r="AN445" s="1352" t="str">
        <f>SUBSTITUTE(SUBSTITUTE(SUBSTITUTE("vpc"&amp;$B445&amp;$C445&amp;$D445&amp;$E445&amp;$F445,".","_"),"(","_"),")","")</f>
        <v>vpc602_1_6_1</v>
      </c>
      <c r="AO445" s="1352">
        <f ca="1">O445</f>
        <v>0</v>
      </c>
      <c r="AP445" s="1352" t="str">
        <f>SUBSTITUTE(SUBSTITUTE(SUBSTITUTE("vch"&amp;$B445&amp;$C445&amp;$D445&amp;$E445&amp;$F445,".","_"),"(","_"),")","")</f>
        <v>vch602_1_6_1</v>
      </c>
      <c r="AQ445" s="1352" t="str">
        <f>IF(LEN(W445)=0,"",W445)</f>
        <v/>
      </c>
      <c r="AR445" s="1352" t="str">
        <f>SUBSTITUTE(SUBSTITUTE(SUBSTITUTE("vnt"&amp;$B445&amp;$C445&amp;$D445&amp;$E445&amp;$F445,".","_"),"(","_"),")","")</f>
        <v>vnt602_1_6_1</v>
      </c>
      <c r="AS445" s="1352" t="str">
        <f>IF(LEN(X445)=0,"",X445)</f>
        <v/>
      </c>
    </row>
    <row r="446" spans="1:45" ht="16" hidden="1" thickBot="1" x14ac:dyDescent="0.25">
      <c r="A446" s="1507">
        <v>6</v>
      </c>
      <c r="B446" s="1524" t="s">
        <v>491</v>
      </c>
      <c r="C446" s="1511" t="s">
        <v>254</v>
      </c>
      <c r="D446" s="1511"/>
      <c r="E446" s="1511"/>
      <c r="F446" s="1514"/>
      <c r="G446" s="1509" t="str">
        <f ca="1">G445</f>
        <v/>
      </c>
      <c r="H446" s="1510" t="s">
        <v>3197</v>
      </c>
      <c r="I446" s="67"/>
      <c r="J446" s="129"/>
      <c r="K446" s="97"/>
      <c r="L446" s="1609"/>
      <c r="M446" s="1623"/>
      <c r="N446" s="1755"/>
      <c r="O446" s="1619"/>
      <c r="P446" s="905"/>
      <c r="Q446" s="905"/>
      <c r="R446" s="905"/>
      <c r="S446" s="905"/>
      <c r="T446" s="905"/>
      <c r="U446" s="905"/>
      <c r="V446" s="905"/>
      <c r="W446" s="248"/>
      <c r="X446" s="1600"/>
      <c r="Y446" s="1881"/>
      <c r="Z446" s="1891"/>
      <c r="AC446" s="248"/>
      <c r="AD446" s="248"/>
      <c r="AE446" s="248"/>
      <c r="AF446" s="248"/>
      <c r="AG446" s="248"/>
      <c r="AH446" s="248"/>
      <c r="AI446" s="248"/>
      <c r="AJ446" s="248"/>
      <c r="AK446" s="248"/>
      <c r="AL446" s="1352"/>
      <c r="AM446" s="1352"/>
      <c r="AN446" s="1352"/>
      <c r="AO446" s="1352"/>
      <c r="AP446" s="1352"/>
      <c r="AQ446" s="1352"/>
      <c r="AR446" s="1352"/>
      <c r="AS446" s="1352"/>
    </row>
    <row r="447" spans="1:45" ht="16" hidden="1" thickBot="1" x14ac:dyDescent="0.25">
      <c r="A447" s="1507">
        <v>6</v>
      </c>
      <c r="B447" s="1524" t="s">
        <v>491</v>
      </c>
      <c r="C447" s="1511" t="s">
        <v>254</v>
      </c>
      <c r="D447" s="1511"/>
      <c r="E447" s="1511"/>
      <c r="F447" s="1514"/>
      <c r="G447" s="1509" t="str">
        <f ca="1">G446</f>
        <v/>
      </c>
      <c r="H447" s="1510" t="s">
        <v>3197</v>
      </c>
      <c r="I447" s="67"/>
      <c r="J447" s="129"/>
      <c r="K447" s="97"/>
      <c r="L447" s="1609"/>
      <c r="M447" s="1623"/>
      <c r="N447" s="1755"/>
      <c r="O447" s="1619"/>
      <c r="P447" s="905"/>
      <c r="Q447" s="905"/>
      <c r="R447" s="905"/>
      <c r="S447" s="905"/>
      <c r="T447" s="905"/>
      <c r="U447" s="905"/>
      <c r="V447" s="905"/>
      <c r="W447" s="248"/>
      <c r="X447" s="1600"/>
      <c r="Y447" s="1881"/>
      <c r="Z447" s="1891"/>
      <c r="AC447" s="248"/>
      <c r="AD447" s="248"/>
      <c r="AE447" s="248"/>
      <c r="AF447" s="248"/>
      <c r="AG447" s="248"/>
      <c r="AH447" s="248"/>
      <c r="AI447" s="248"/>
      <c r="AJ447" s="248"/>
      <c r="AK447" s="248"/>
      <c r="AL447" s="1352"/>
      <c r="AM447" s="1352"/>
      <c r="AN447" s="1352"/>
      <c r="AO447" s="1352"/>
      <c r="AP447" s="1352"/>
      <c r="AQ447" s="1352"/>
      <c r="AR447" s="1352"/>
      <c r="AS447" s="1352"/>
    </row>
    <row r="448" spans="1:45" ht="16" hidden="1" thickBot="1" x14ac:dyDescent="0.25">
      <c r="A448" s="1507">
        <v>6</v>
      </c>
      <c r="B448" s="1524" t="s">
        <v>491</v>
      </c>
      <c r="C448" s="1511" t="s">
        <v>254</v>
      </c>
      <c r="D448" s="1511"/>
      <c r="E448" s="1511"/>
      <c r="F448" s="1514"/>
      <c r="G448" s="1509" t="str">
        <f ca="1">G447</f>
        <v/>
      </c>
      <c r="H448" s="1510" t="s">
        <v>3197</v>
      </c>
      <c r="I448" s="67"/>
      <c r="J448" s="213"/>
      <c r="K448" s="170"/>
      <c r="L448" s="1612"/>
      <c r="M448" s="1624"/>
      <c r="N448" s="1756"/>
      <c r="O448" s="1620"/>
      <c r="P448" s="905"/>
      <c r="Q448" s="905"/>
      <c r="R448" s="905"/>
      <c r="S448" s="905"/>
      <c r="T448" s="905"/>
      <c r="U448" s="905"/>
      <c r="V448" s="905"/>
      <c r="W448" s="248"/>
      <c r="X448" s="1600"/>
      <c r="Y448" s="1881"/>
      <c r="Z448" s="1891"/>
      <c r="AC448" s="248"/>
      <c r="AD448" s="248"/>
      <c r="AE448" s="248"/>
      <c r="AF448" s="248"/>
      <c r="AG448" s="248"/>
      <c r="AH448" s="248"/>
      <c r="AI448" s="248"/>
      <c r="AJ448" s="248"/>
      <c r="AK448" s="248"/>
      <c r="AL448" s="1352"/>
      <c r="AM448" s="1352"/>
      <c r="AN448" s="1352"/>
      <c r="AO448" s="1352"/>
      <c r="AP448" s="1352"/>
      <c r="AQ448" s="1352"/>
      <c r="AR448" s="1352"/>
      <c r="AS448" s="1352"/>
    </row>
    <row r="449" spans="1:45" ht="16" hidden="1" thickBot="1" x14ac:dyDescent="0.25">
      <c r="A449" s="1507">
        <v>6</v>
      </c>
      <c r="B449" s="1524" t="s">
        <v>491</v>
      </c>
      <c r="C449" s="1511" t="s">
        <v>255</v>
      </c>
      <c r="D449" s="1511"/>
      <c r="E449" s="1511"/>
      <c r="F449" s="1514"/>
      <c r="G449" s="1509" t="str">
        <f ca="1">IF(N449&gt;0,"P","")</f>
        <v/>
      </c>
      <c r="H449" s="1510" t="s">
        <v>3197</v>
      </c>
      <c r="I449" s="67"/>
      <c r="J449" s="212" t="s">
        <v>255</v>
      </c>
      <c r="K449" s="194"/>
      <c r="L449" s="1613" t="s">
        <v>493</v>
      </c>
      <c r="M449" s="1636">
        <v>4</v>
      </c>
      <c r="N449" s="1758">
        <f ca="1">'11.600'!O151</f>
        <v>0</v>
      </c>
      <c r="O449" s="1637">
        <f ca="1">M449*S449*W449</f>
        <v>0</v>
      </c>
      <c r="P449" s="905" t="b">
        <v>1</v>
      </c>
      <c r="Q449" s="905" t="b">
        <v>1</v>
      </c>
      <c r="R449" s="905" t="b">
        <v>0</v>
      </c>
      <c r="S449" s="905" t="b">
        <f ca="1">IF(IFERROR(MATCH(W436,INDIRECT(U436),0),0)=3,TRUE,FALSE)</f>
        <v>0</v>
      </c>
      <c r="T449" s="991" t="b">
        <f ca="1">AND(NOT(S449),W449=TRUE)</f>
        <v>0</v>
      </c>
      <c r="U449" s="905"/>
      <c r="V449" s="905"/>
      <c r="W449" s="27"/>
      <c r="X449" s="1600"/>
      <c r="Y449" s="1881"/>
      <c r="Z449" s="1891"/>
      <c r="AC449" s="248" t="b">
        <f ca="1">OR(AD449:AE449)</f>
        <v>0</v>
      </c>
      <c r="AD449" s="248" t="b">
        <f ca="1">T449</f>
        <v>0</v>
      </c>
      <c r="AE449" s="248"/>
      <c r="AF449" s="720"/>
      <c r="AG449" s="248"/>
      <c r="AH449" s="248"/>
      <c r="AI449" s="248"/>
      <c r="AJ449" s="248"/>
      <c r="AK449" s="248"/>
      <c r="AL449" s="1352" t="str">
        <f>SUBSTITUTE(SUBSTITUTE(SUBSTITUTE("vpa"&amp;$B449&amp;$C449&amp;$D449&amp;$E449&amp;$F449,".","_"),"(","_"),")","")</f>
        <v>vpa602_1_6_2</v>
      </c>
      <c r="AM449" s="1352">
        <f>M449</f>
        <v>4</v>
      </c>
      <c r="AN449" s="1352" t="str">
        <f>SUBSTITUTE(SUBSTITUTE(SUBSTITUTE("vpc"&amp;$B449&amp;$C449&amp;$D449&amp;$E449&amp;$F449,".","_"),"(","_"),")","")</f>
        <v>vpc602_1_6_2</v>
      </c>
      <c r="AO449" s="1352">
        <f ca="1">O449</f>
        <v>0</v>
      </c>
      <c r="AP449" s="1352" t="str">
        <f>SUBSTITUTE(SUBSTITUTE(SUBSTITUTE("vch"&amp;$B449&amp;$C449&amp;$D449&amp;$E449&amp;$F449,".","_"),"(","_"),")","")</f>
        <v>vch602_1_6_2</v>
      </c>
      <c r="AQ449" s="1352" t="str">
        <f>IF(LEN(W449)=0,"",W449)</f>
        <v/>
      </c>
      <c r="AR449" s="1352"/>
      <c r="AS449" s="1352"/>
    </row>
    <row r="450" spans="1:45" ht="16" hidden="1" thickBot="1" x14ac:dyDescent="0.25">
      <c r="A450" s="1507">
        <v>6</v>
      </c>
      <c r="B450" s="1524" t="s">
        <v>491</v>
      </c>
      <c r="C450" s="1511" t="s">
        <v>255</v>
      </c>
      <c r="D450" s="1511"/>
      <c r="E450" s="1511"/>
      <c r="F450" s="1514"/>
      <c r="G450" s="1509" t="str">
        <f ca="1">G449</f>
        <v/>
      </c>
      <c r="H450" s="1510" t="s">
        <v>3197</v>
      </c>
      <c r="I450" s="67"/>
      <c r="J450" s="129"/>
      <c r="K450" s="97"/>
      <c r="L450" s="1609"/>
      <c r="M450" s="1623"/>
      <c r="N450" s="1755"/>
      <c r="O450" s="1619"/>
      <c r="P450" s="905"/>
      <c r="Q450" s="905"/>
      <c r="R450" s="905"/>
      <c r="S450" s="905"/>
      <c r="T450" s="905"/>
      <c r="U450" s="905"/>
      <c r="V450" s="905"/>
      <c r="W450" s="248"/>
      <c r="X450" s="1600"/>
      <c r="Y450" s="1881"/>
      <c r="Z450" s="1891"/>
      <c r="AC450" s="248"/>
      <c r="AD450" s="248"/>
      <c r="AE450" s="248"/>
      <c r="AF450" s="248"/>
      <c r="AG450" s="248"/>
      <c r="AH450" s="248"/>
      <c r="AI450" s="248"/>
      <c r="AJ450" s="248"/>
      <c r="AK450" s="248"/>
      <c r="AL450" s="1352"/>
      <c r="AM450" s="1352"/>
      <c r="AN450" s="1352"/>
      <c r="AO450" s="1352"/>
      <c r="AP450" s="1352"/>
      <c r="AQ450" s="1352"/>
      <c r="AR450" s="1352"/>
      <c r="AS450" s="1352"/>
    </row>
    <row r="451" spans="1:45" ht="16" hidden="1" thickBot="1" x14ac:dyDescent="0.25">
      <c r="A451" s="1507">
        <v>6</v>
      </c>
      <c r="B451" s="1524" t="s">
        <v>491</v>
      </c>
      <c r="C451" s="1511" t="s">
        <v>255</v>
      </c>
      <c r="D451" s="1511"/>
      <c r="E451" s="1511"/>
      <c r="F451" s="1514"/>
      <c r="G451" s="1509" t="str">
        <f ca="1">G450</f>
        <v/>
      </c>
      <c r="H451" s="1510" t="s">
        <v>3197</v>
      </c>
      <c r="I451" s="67"/>
      <c r="J451" s="129"/>
      <c r="K451" s="97"/>
      <c r="L451" s="1609"/>
      <c r="M451" s="1623"/>
      <c r="N451" s="1755"/>
      <c r="O451" s="1619"/>
      <c r="P451" s="905"/>
      <c r="Q451" s="905"/>
      <c r="R451" s="905"/>
      <c r="S451" s="905"/>
      <c r="T451" s="905"/>
      <c r="U451" s="905"/>
      <c r="V451" s="905"/>
      <c r="W451" s="248"/>
      <c r="X451" s="1600"/>
      <c r="Y451" s="1881"/>
      <c r="Z451" s="1891"/>
      <c r="AC451" s="248"/>
      <c r="AD451" s="248"/>
      <c r="AE451" s="248"/>
      <c r="AF451" s="248"/>
      <c r="AG451" s="248"/>
      <c r="AH451" s="248"/>
      <c r="AI451" s="248"/>
      <c r="AJ451" s="248"/>
      <c r="AK451" s="248"/>
      <c r="AL451" s="1352"/>
      <c r="AM451" s="1352"/>
      <c r="AN451" s="1352"/>
      <c r="AO451" s="1352"/>
      <c r="AP451" s="1352"/>
      <c r="AQ451" s="1352"/>
      <c r="AR451" s="1352"/>
      <c r="AS451" s="1352"/>
    </row>
    <row r="452" spans="1:45" ht="16" hidden="1" thickBot="1" x14ac:dyDescent="0.25">
      <c r="A452" s="1507">
        <v>6</v>
      </c>
      <c r="B452" s="1524" t="s">
        <v>491</v>
      </c>
      <c r="C452" s="1511" t="s">
        <v>255</v>
      </c>
      <c r="D452" s="1511"/>
      <c r="E452" s="1511"/>
      <c r="F452" s="1514"/>
      <c r="G452" s="1509" t="str">
        <f ca="1">G451</f>
        <v/>
      </c>
      <c r="H452" s="1510" t="s">
        <v>3197</v>
      </c>
      <c r="I452" s="67"/>
      <c r="J452" s="213"/>
      <c r="K452" s="170"/>
      <c r="L452" s="1612"/>
      <c r="M452" s="1624"/>
      <c r="N452" s="1756"/>
      <c r="O452" s="1620"/>
      <c r="P452" s="905"/>
      <c r="Q452" s="905"/>
      <c r="R452" s="905"/>
      <c r="S452" s="905"/>
      <c r="T452" s="905"/>
      <c r="U452" s="905"/>
      <c r="V452" s="905"/>
      <c r="W452" s="248"/>
      <c r="X452" s="1600"/>
      <c r="Y452" s="1881"/>
      <c r="Z452" s="1891"/>
      <c r="AC452" s="248"/>
      <c r="AD452" s="248"/>
      <c r="AE452" s="248"/>
      <c r="AF452" s="248"/>
      <c r="AG452" s="248"/>
      <c r="AH452" s="248"/>
      <c r="AI452" s="248"/>
      <c r="AJ452" s="248"/>
      <c r="AK452" s="248"/>
      <c r="AL452" s="1352"/>
      <c r="AM452" s="1352"/>
      <c r="AN452" s="1352"/>
      <c r="AO452" s="1352"/>
      <c r="AP452" s="1352"/>
      <c r="AQ452" s="1352"/>
      <c r="AR452" s="1352"/>
      <c r="AS452" s="1352"/>
    </row>
    <row r="453" spans="1:45" ht="16" hidden="1" thickBot="1" x14ac:dyDescent="0.25">
      <c r="A453" s="1507">
        <v>6</v>
      </c>
      <c r="B453" s="1524" t="s">
        <v>491</v>
      </c>
      <c r="C453" s="1511" t="s">
        <v>256</v>
      </c>
      <c r="D453" s="1511"/>
      <c r="E453" s="1511"/>
      <c r="F453" s="1514"/>
      <c r="G453" s="1509" t="str">
        <f ca="1">IF(N453&gt;0,"P","")</f>
        <v/>
      </c>
      <c r="H453" s="1510" t="s">
        <v>3197</v>
      </c>
      <c r="I453" s="67"/>
      <c r="J453" s="29" t="s">
        <v>256</v>
      </c>
      <c r="K453" s="85"/>
      <c r="L453" s="1611" t="s">
        <v>494</v>
      </c>
      <c r="M453" s="1628">
        <v>6</v>
      </c>
      <c r="N453" s="1758">
        <f ca="1">'11.600'!O155</f>
        <v>0</v>
      </c>
      <c r="O453" s="1669">
        <f ca="1">M453*S453*W453</f>
        <v>0</v>
      </c>
      <c r="P453" s="905" t="b">
        <v>1</v>
      </c>
      <c r="Q453" s="905" t="b">
        <v>1</v>
      </c>
      <c r="R453" s="905" t="b">
        <v>0</v>
      </c>
      <c r="S453" s="905" t="b">
        <f ca="1">IF(IFERROR(MATCH(W436,INDIRECT(U436),0),0)=4,TRUE,FALSE)</f>
        <v>0</v>
      </c>
      <c r="T453" s="991" t="b">
        <f ca="1">AND(NOT(S453),W453=TRUE)</f>
        <v>0</v>
      </c>
      <c r="U453" s="905"/>
      <c r="V453" s="905"/>
      <c r="W453" s="27"/>
      <c r="X453" s="1600"/>
      <c r="Y453" s="1881"/>
      <c r="Z453" s="1891"/>
      <c r="AC453" s="248" t="b">
        <f ca="1">OR(AD453:AE453)</f>
        <v>0</v>
      </c>
      <c r="AD453" s="248" t="b">
        <f ca="1">T453</f>
        <v>0</v>
      </c>
      <c r="AE453" s="248"/>
      <c r="AF453" s="720"/>
      <c r="AG453" s="248"/>
      <c r="AH453" s="248"/>
      <c r="AI453" s="248"/>
      <c r="AJ453" s="248"/>
      <c r="AK453" s="248"/>
      <c r="AL453" s="1352" t="str">
        <f>SUBSTITUTE(SUBSTITUTE(SUBSTITUTE("vpa"&amp;$B453&amp;$C453&amp;$D453&amp;$E453&amp;$F453,".","_"),"(","_"),")","")</f>
        <v>vpa602_1_6_3</v>
      </c>
      <c r="AM453" s="1352">
        <f>M453</f>
        <v>6</v>
      </c>
      <c r="AN453" s="1352" t="str">
        <f>SUBSTITUTE(SUBSTITUTE(SUBSTITUTE("vpc"&amp;$B453&amp;$C453&amp;$D453&amp;$E453&amp;$F453,".","_"),"(","_"),")","")</f>
        <v>vpc602_1_6_3</v>
      </c>
      <c r="AO453" s="1352">
        <f ca="1">O453</f>
        <v>0</v>
      </c>
      <c r="AP453" s="1352" t="str">
        <f>SUBSTITUTE(SUBSTITUTE(SUBSTITUTE("vch"&amp;$B453&amp;$C453&amp;$D453&amp;$E453&amp;$F453,".","_"),"(","_"),")","")</f>
        <v>vch602_1_6_3</v>
      </c>
      <c r="AQ453" s="1352" t="str">
        <f>IF(LEN(W453)=0,"",W453)</f>
        <v/>
      </c>
      <c r="AR453" s="1352"/>
      <c r="AS453" s="1352"/>
    </row>
    <row r="454" spans="1:45" ht="16" hidden="1" thickBot="1" x14ac:dyDescent="0.25">
      <c r="A454" s="1507">
        <v>6</v>
      </c>
      <c r="B454" s="1524" t="s">
        <v>491</v>
      </c>
      <c r="C454" s="1511" t="s">
        <v>256</v>
      </c>
      <c r="D454" s="1511"/>
      <c r="E454" s="1511"/>
      <c r="F454" s="1514"/>
      <c r="G454" s="1509" t="str">
        <f ca="1">G453</f>
        <v/>
      </c>
      <c r="H454" s="1510" t="s">
        <v>3197</v>
      </c>
      <c r="I454" s="67"/>
      <c r="J454" s="4"/>
      <c r="K454" s="85"/>
      <c r="L454" s="1611"/>
      <c r="M454" s="1628"/>
      <c r="N454" s="1644"/>
      <c r="O454" s="1669"/>
      <c r="P454" s="905"/>
      <c r="Q454" s="905"/>
      <c r="R454" s="905"/>
      <c r="S454" s="905"/>
      <c r="T454" s="905"/>
      <c r="U454" s="905"/>
      <c r="V454" s="905"/>
      <c r="W454" s="248"/>
      <c r="X454" s="1600"/>
      <c r="Y454" s="1881"/>
      <c r="Z454" s="1891"/>
      <c r="AC454" s="248"/>
      <c r="AD454" s="248"/>
      <c r="AE454" s="248"/>
      <c r="AF454" s="248"/>
      <c r="AG454" s="248"/>
      <c r="AH454" s="248"/>
      <c r="AI454" s="248"/>
      <c r="AJ454" s="248"/>
      <c r="AK454" s="248"/>
      <c r="AL454" s="1352"/>
      <c r="AM454" s="1352"/>
      <c r="AN454" s="1352"/>
      <c r="AO454" s="1352"/>
      <c r="AP454" s="1352"/>
      <c r="AQ454" s="1352"/>
      <c r="AR454" s="1352"/>
      <c r="AS454" s="1352"/>
    </row>
    <row r="455" spans="1:45" ht="16" hidden="1" thickBot="1" x14ac:dyDescent="0.25">
      <c r="A455" s="1507">
        <v>6</v>
      </c>
      <c r="B455" s="1524" t="s">
        <v>491</v>
      </c>
      <c r="C455" s="1511" t="s">
        <v>256</v>
      </c>
      <c r="D455" s="1511"/>
      <c r="E455" s="1511"/>
      <c r="F455" s="1514"/>
      <c r="G455" s="1509" t="str">
        <f ca="1">G454</f>
        <v/>
      </c>
      <c r="H455" s="1510" t="s">
        <v>3197</v>
      </c>
      <c r="I455" s="67"/>
      <c r="J455" s="4"/>
      <c r="K455" s="85"/>
      <c r="L455" s="1611"/>
      <c r="M455" s="1628"/>
      <c r="N455" s="1645"/>
      <c r="O455" s="1669"/>
      <c r="P455" s="905"/>
      <c r="Q455" s="905"/>
      <c r="R455" s="905"/>
      <c r="S455" s="905"/>
      <c r="T455" s="905"/>
      <c r="U455" s="905"/>
      <c r="V455" s="905"/>
      <c r="W455" s="248"/>
      <c r="X455" s="1621"/>
      <c r="Y455" s="1882"/>
      <c r="Z455" s="1892"/>
      <c r="AC455" s="248"/>
      <c r="AD455" s="248"/>
      <c r="AE455" s="248"/>
      <c r="AF455" s="248"/>
      <c r="AG455" s="248"/>
      <c r="AH455" s="248"/>
      <c r="AI455" s="248"/>
      <c r="AJ455" s="248"/>
      <c r="AK455" s="248"/>
      <c r="AL455" s="1352"/>
      <c r="AM455" s="1352"/>
      <c r="AN455" s="1352"/>
      <c r="AO455" s="1352"/>
      <c r="AP455" s="1352"/>
      <c r="AQ455" s="1352"/>
      <c r="AR455" s="1352"/>
      <c r="AS455" s="1352"/>
    </row>
    <row r="456" spans="1:45" ht="16" thickTop="1" x14ac:dyDescent="0.2">
      <c r="A456" s="1507">
        <v>6</v>
      </c>
      <c r="B456" s="1524" t="s">
        <v>495</v>
      </c>
      <c r="C456" s="1511"/>
      <c r="D456" s="1511"/>
      <c r="E456" s="1511"/>
      <c r="F456" s="1514"/>
      <c r="G456" s="1509" t="s">
        <v>3200</v>
      </c>
      <c r="H456" s="1510" t="s">
        <v>3197</v>
      </c>
      <c r="I456" s="177" t="s">
        <v>3544</v>
      </c>
      <c r="J456" s="178"/>
      <c r="K456" s="179"/>
      <c r="L456" s="125" t="s">
        <v>3623</v>
      </c>
      <c r="M456" s="945"/>
      <c r="N456" s="256"/>
      <c r="O456" s="943"/>
      <c r="P456" s="106"/>
      <c r="Q456" s="106"/>
      <c r="R456" s="106"/>
      <c r="S456" s="106"/>
      <c r="T456" s="106"/>
      <c r="U456" s="106"/>
      <c r="V456" s="106"/>
      <c r="W456" s="106"/>
      <c r="X456" s="106"/>
      <c r="Y456"/>
      <c r="Z456" s="670"/>
      <c r="AC456" s="248"/>
      <c r="AD456" s="248"/>
      <c r="AE456" s="248"/>
      <c r="AF456" s="248"/>
      <c r="AG456" s="248"/>
      <c r="AH456" s="248"/>
      <c r="AI456" s="248"/>
      <c r="AJ456" s="248"/>
      <c r="AK456" s="248"/>
      <c r="AL456" s="1352"/>
      <c r="AM456" s="1352"/>
      <c r="AN456" s="1352"/>
      <c r="AO456" s="1352"/>
      <c r="AP456" s="1352"/>
      <c r="AQ456" s="1352"/>
      <c r="AR456" s="1352"/>
      <c r="AS456" s="1352"/>
    </row>
    <row r="457" spans="1:45" x14ac:dyDescent="0.2">
      <c r="A457" s="1507">
        <v>6</v>
      </c>
      <c r="B457" s="1516" t="s">
        <v>496</v>
      </c>
      <c r="C457" s="1511"/>
      <c r="D457" s="1511"/>
      <c r="E457" s="1511"/>
      <c r="F457" s="1514"/>
      <c r="G457" s="1509" t="s">
        <v>3200</v>
      </c>
      <c r="H457" s="1510" t="s">
        <v>3198</v>
      </c>
      <c r="I457" s="67" t="s">
        <v>3545</v>
      </c>
      <c r="J457" s="4"/>
      <c r="K457" s="85"/>
      <c r="L457" s="87" t="s">
        <v>3622</v>
      </c>
      <c r="M457" s="911"/>
      <c r="N457" s="250"/>
      <c r="O457" s="935"/>
      <c r="P457" s="905"/>
      <c r="Q457" s="905"/>
      <c r="R457" s="905"/>
      <c r="S457" s="905"/>
      <c r="T457" s="905"/>
      <c r="U457" s="905"/>
      <c r="V457" s="905"/>
      <c r="W457" s="248"/>
      <c r="X457" s="248"/>
      <c r="Y457"/>
      <c r="Z457" s="670"/>
      <c r="AC457" s="248"/>
      <c r="AD457" s="248"/>
      <c r="AE457" s="248"/>
      <c r="AF457" s="248"/>
      <c r="AG457" s="248"/>
      <c r="AH457" s="248"/>
      <c r="AI457" s="248"/>
      <c r="AJ457" s="248"/>
      <c r="AK457" s="248"/>
      <c r="AL457" s="1352"/>
      <c r="AM457" s="1352"/>
      <c r="AN457" s="1352"/>
      <c r="AO457" s="1352"/>
      <c r="AP457" s="1352"/>
      <c r="AQ457" s="1352"/>
      <c r="AR457" s="1352"/>
      <c r="AS457" s="1352"/>
    </row>
    <row r="458" spans="1:45" x14ac:dyDescent="0.2">
      <c r="A458" s="1507">
        <v>6</v>
      </c>
      <c r="B458" s="1516" t="s">
        <v>496</v>
      </c>
      <c r="C458" s="1511" t="s">
        <v>254</v>
      </c>
      <c r="D458" s="1511"/>
      <c r="E458" s="1511"/>
      <c r="F458" s="1514"/>
      <c r="G458" s="1509" t="str">
        <f>IF(N458&gt;0,"P","")</f>
        <v>P</v>
      </c>
      <c r="H458" s="1510" t="s">
        <v>3198</v>
      </c>
      <c r="I458" s="67"/>
      <c r="J458" s="180" t="s">
        <v>254</v>
      </c>
      <c r="K458" s="97"/>
      <c r="L458" s="1609" t="s">
        <v>497</v>
      </c>
      <c r="M458" s="1623">
        <v>2</v>
      </c>
      <c r="N458" s="1755">
        <f>'11.600'!O160</f>
        <v>2</v>
      </c>
      <c r="O458" s="1619">
        <f>M458*S458*W458</f>
        <v>2</v>
      </c>
      <c r="P458" s="905" t="b">
        <v>1</v>
      </c>
      <c r="Q458" s="905" t="b">
        <v>0</v>
      </c>
      <c r="R458" s="905" t="b">
        <v>0</v>
      </c>
      <c r="S458" s="905" t="b">
        <v>1</v>
      </c>
      <c r="T458" s="905" t="b">
        <v>0</v>
      </c>
      <c r="U458" s="905"/>
      <c r="V458" s="905"/>
      <c r="W458" s="27" t="b">
        <v>1</v>
      </c>
      <c r="X458" s="1600"/>
      <c r="Y458" s="1874" t="str">
        <f>IF(LEN('11.600'!X160)=0,"None",'11.600'!X160)</f>
        <v>None</v>
      </c>
      <c r="Z458" s="1889"/>
      <c r="AC458" s="248"/>
      <c r="AD458" s="248"/>
      <c r="AE458" s="248"/>
      <c r="AF458" s="248"/>
      <c r="AG458" s="248"/>
      <c r="AH458" s="248"/>
      <c r="AI458" s="248"/>
      <c r="AJ458" s="248"/>
      <c r="AK458" s="248"/>
      <c r="AL458" s="1352" t="str">
        <f>SUBSTITUTE(SUBSTITUTE(SUBSTITUTE("vpa"&amp;$B458&amp;$C458&amp;$D458&amp;$E458&amp;$F458,".","_"),"(","_"),")","")</f>
        <v>vpa602_1_7_1_1</v>
      </c>
      <c r="AM458" s="1352">
        <f>M458</f>
        <v>2</v>
      </c>
      <c r="AN458" s="1352" t="str">
        <f>SUBSTITUTE(SUBSTITUTE(SUBSTITUTE("vpc"&amp;$B458&amp;$C458&amp;$D458&amp;$E458&amp;$F458,".","_"),"(","_"),")","")</f>
        <v>vpc602_1_7_1_1</v>
      </c>
      <c r="AO458" s="1352">
        <f>O458</f>
        <v>2</v>
      </c>
      <c r="AP458" s="1352" t="str">
        <f>SUBSTITUTE(SUBSTITUTE(SUBSTITUTE("vch"&amp;$B458&amp;$C458&amp;$D458&amp;$E458&amp;$F458,".","_"),"(","_"),")","")</f>
        <v>vch602_1_7_1_1</v>
      </c>
      <c r="AQ458" s="1352" t="b">
        <f>IF(LEN(W458)=0,"",W458)</f>
        <v>1</v>
      </c>
      <c r="AR458" s="1352" t="str">
        <f>SUBSTITUTE(SUBSTITUTE(SUBSTITUTE("vnt"&amp;$B458&amp;$C458&amp;$D458&amp;$E458&amp;$F458,".","_"),"(","_"),")","")</f>
        <v>vnt602_1_7_1_1</v>
      </c>
      <c r="AS458" s="1352" t="str">
        <f>IF(LEN(X458)=0,"",X458)</f>
        <v/>
      </c>
    </row>
    <row r="459" spans="1:45" x14ac:dyDescent="0.2">
      <c r="A459" s="1507">
        <v>6</v>
      </c>
      <c r="B459" s="1516" t="s">
        <v>496</v>
      </c>
      <c r="C459" s="1511" t="s">
        <v>254</v>
      </c>
      <c r="D459" s="1511"/>
      <c r="E459" s="1511"/>
      <c r="F459" s="1514"/>
      <c r="G459" s="1509" t="str">
        <f>G458</f>
        <v>P</v>
      </c>
      <c r="H459" s="1510" t="s">
        <v>3198</v>
      </c>
      <c r="I459" s="67"/>
      <c r="J459" s="213"/>
      <c r="K459" s="170"/>
      <c r="L459" s="1612"/>
      <c r="M459" s="1624"/>
      <c r="N459" s="1756"/>
      <c r="O459" s="1620"/>
      <c r="P459" s="905"/>
      <c r="Q459" s="905"/>
      <c r="R459" s="905"/>
      <c r="S459" s="905"/>
      <c r="T459" s="905"/>
      <c r="U459" s="905"/>
      <c r="V459" s="905"/>
      <c r="W459" s="248"/>
      <c r="X459" s="1600"/>
      <c r="Y459" s="1874"/>
      <c r="Z459" s="1889"/>
      <c r="AC459" s="248"/>
      <c r="AD459" s="248"/>
      <c r="AE459" s="248"/>
      <c r="AF459" s="248"/>
      <c r="AG459" s="248"/>
      <c r="AH459" s="248"/>
      <c r="AI459" s="248"/>
      <c r="AJ459" s="248"/>
      <c r="AK459" s="248"/>
      <c r="AL459" s="1352"/>
      <c r="AM459" s="1352"/>
      <c r="AN459" s="1352"/>
      <c r="AO459" s="1352"/>
      <c r="AP459" s="1352"/>
      <c r="AQ459" s="1352"/>
      <c r="AR459" s="1352"/>
      <c r="AS459" s="1352"/>
    </row>
    <row r="460" spans="1:45" ht="15" customHeight="1" x14ac:dyDescent="0.2">
      <c r="A460" s="1507">
        <v>6</v>
      </c>
      <c r="B460" s="1516" t="s">
        <v>496</v>
      </c>
      <c r="C460" s="1511" t="s">
        <v>255</v>
      </c>
      <c r="D460" s="1511"/>
      <c r="E460" s="1511"/>
      <c r="F460" s="1514"/>
      <c r="G460" s="1509" t="str">
        <f>IF(IFERROR(SEARCH("Mandatory",M460),FALSE),"P","")</f>
        <v>P</v>
      </c>
      <c r="H460" s="1510" t="s">
        <v>3198</v>
      </c>
      <c r="I460" s="67"/>
      <c r="J460" s="180" t="s">
        <v>255</v>
      </c>
      <c r="K460" s="97"/>
      <c r="L460" s="1609" t="s">
        <v>498</v>
      </c>
      <c r="M460" s="1708" t="str">
        <f>IF(R460,"Mandatory
2","N/A")</f>
        <v>Mandatory
2</v>
      </c>
      <c r="N460" s="1758">
        <f>'11.600'!O162</f>
        <v>0</v>
      </c>
      <c r="O460" s="1619">
        <f>IF(AND(S460,W460="Met"),2,0)</f>
        <v>0</v>
      </c>
      <c r="P460" s="905" t="b">
        <v>1</v>
      </c>
      <c r="Q460" s="905" t="b">
        <v>0</v>
      </c>
      <c r="R460" s="905" t="b">
        <f>S460</f>
        <v>1</v>
      </c>
      <c r="S460" s="905" t="b">
        <v>1</v>
      </c>
      <c r="T460" s="905" t="b">
        <v>0</v>
      </c>
      <c r="U460" s="991" t="str">
        <f>SUBSTITUTE(SUBSTITUTE(SUBSTITUTE("dd"&amp;B460&amp;C460&amp;D460&amp;E460&amp;F460,".","_"),"(","_"),")","")</f>
        <v>dd602_1_7_1_2</v>
      </c>
      <c r="V460" s="905"/>
      <c r="W460" s="12" t="s">
        <v>2590</v>
      </c>
      <c r="X460" s="1600" t="s">
        <v>5643</v>
      </c>
      <c r="Y460" s="1874" t="str">
        <f>IF(LEN('11.600'!X162)=0,"None",'11.600'!X162)</f>
        <v>No new insulation in cavities</v>
      </c>
      <c r="Z460" s="1889"/>
      <c r="AC460" s="248" t="b">
        <f>OR(AD460:AE460)</f>
        <v>0</v>
      </c>
      <c r="AD460" s="248" t="b">
        <f>T460</f>
        <v>0</v>
      </c>
      <c r="AE460" s="248" t="b">
        <f>OR(AND(R460,NOT(W460="Met"),NOT(W460="N/A")),AND(W460="N/A",ISBLANK(X460)))</f>
        <v>0</v>
      </c>
      <c r="AF460" s="720" t="b">
        <f>AND(AE460,NOT(Q460))</f>
        <v>0</v>
      </c>
      <c r="AG460" s="248"/>
      <c r="AH460" s="248"/>
      <c r="AI460" s="248"/>
      <c r="AJ460" s="248"/>
      <c r="AK460" s="248"/>
      <c r="AL460" s="1352" t="str">
        <f>SUBSTITUTE(SUBSTITUTE(SUBSTITUTE("vpa"&amp;$B460&amp;$C460&amp;$D460&amp;$E460&amp;$F460,".","_"),"(","_"),")","")</f>
        <v>vpa602_1_7_1_2</v>
      </c>
      <c r="AM460" s="1352" t="str">
        <f>M460</f>
        <v>Mandatory
2</v>
      </c>
      <c r="AN460" s="1352" t="str">
        <f>SUBSTITUTE(SUBSTITUTE(SUBSTITUTE("vpc"&amp;$B460&amp;$C460&amp;$D460&amp;$E460&amp;$F460,".","_"),"(","_"),")","")</f>
        <v>vpc602_1_7_1_2</v>
      </c>
      <c r="AO460" s="1352">
        <f>O460</f>
        <v>0</v>
      </c>
      <c r="AP460" s="1352" t="str">
        <f>SUBSTITUTE(SUBSTITUTE(SUBSTITUTE("vch"&amp;$B460&amp;$C460&amp;$D460&amp;$E460&amp;$F460,".","_"),"(","_"),")","")</f>
        <v>vch602_1_7_1_2</v>
      </c>
      <c r="AQ460" s="1352" t="str">
        <f>IF(LEN(W460)=0,"",W460)</f>
        <v>N/A</v>
      </c>
      <c r="AR460" s="1352" t="str">
        <f>SUBSTITUTE(SUBSTITUTE(SUBSTITUTE("vnt"&amp;$B460&amp;$C460&amp;$D460&amp;$E460&amp;$F460,".","_"),"(","_"),")","")</f>
        <v>vnt602_1_7_1_2</v>
      </c>
      <c r="AS460" s="1352" t="str">
        <f>IF(LEN(X460)=0,"",X460)</f>
        <v>No new insulation in cavities</v>
      </c>
    </row>
    <row r="461" spans="1:45" x14ac:dyDescent="0.2">
      <c r="A461" s="1507">
        <v>6</v>
      </c>
      <c r="B461" s="1516" t="s">
        <v>496</v>
      </c>
      <c r="C461" s="1511" t="s">
        <v>255</v>
      </c>
      <c r="D461" s="1511"/>
      <c r="E461" s="1511"/>
      <c r="F461" s="1514"/>
      <c r="G461" s="1509" t="str">
        <f>G460</f>
        <v>P</v>
      </c>
      <c r="H461" s="1510" t="s">
        <v>3198</v>
      </c>
      <c r="I461" s="67"/>
      <c r="J461" s="129"/>
      <c r="K461" s="97"/>
      <c r="L461" s="1609"/>
      <c r="M461" s="1708"/>
      <c r="N461" s="1755"/>
      <c r="O461" s="1619"/>
      <c r="P461" s="905"/>
      <c r="Q461" s="905"/>
      <c r="R461" s="905"/>
      <c r="S461" s="905"/>
      <c r="T461" s="905"/>
      <c r="U461" s="905"/>
      <c r="V461" s="905"/>
      <c r="W461" s="248"/>
      <c r="X461" s="1600"/>
      <c r="Y461" s="1874"/>
      <c r="Z461" s="1889"/>
      <c r="AC461" s="248"/>
      <c r="AD461" s="248"/>
      <c r="AE461" s="248"/>
      <c r="AF461" s="248"/>
      <c r="AG461" s="248"/>
      <c r="AH461" s="248"/>
      <c r="AI461" s="248"/>
      <c r="AJ461" s="248"/>
      <c r="AK461" s="248"/>
      <c r="AL461" s="1352"/>
      <c r="AM461" s="1352"/>
      <c r="AN461" s="1352"/>
      <c r="AO461" s="1352"/>
      <c r="AP461" s="1352"/>
      <c r="AQ461" s="1352"/>
      <c r="AR461" s="1352"/>
      <c r="AS461" s="1352"/>
    </row>
    <row r="462" spans="1:45" ht="16" thickBot="1" x14ac:dyDescent="0.25">
      <c r="A462" s="1507">
        <v>6</v>
      </c>
      <c r="B462" s="1516" t="s">
        <v>496</v>
      </c>
      <c r="C462" s="1511" t="s">
        <v>255</v>
      </c>
      <c r="D462" s="1511"/>
      <c r="E462" s="1511"/>
      <c r="F462" s="1514"/>
      <c r="G462" s="1509" t="str">
        <f>G461</f>
        <v>P</v>
      </c>
      <c r="H462" s="1510" t="s">
        <v>3198</v>
      </c>
      <c r="I462" s="67"/>
      <c r="J462" s="213"/>
      <c r="K462" s="170"/>
      <c r="L462" s="220" t="s">
        <v>678</v>
      </c>
      <c r="M462" s="1709"/>
      <c r="N462" s="1756"/>
      <c r="O462" s="1620"/>
      <c r="P462" s="905"/>
      <c r="Q462" s="905"/>
      <c r="R462" s="905"/>
      <c r="S462" s="905"/>
      <c r="T462" s="905"/>
      <c r="U462" s="905"/>
      <c r="V462" s="905"/>
      <c r="W462" s="248"/>
      <c r="X462" s="1600"/>
      <c r="Y462" s="1874"/>
      <c r="Z462" s="1889"/>
      <c r="AC462" s="248"/>
      <c r="AD462" s="248"/>
      <c r="AE462" s="248"/>
      <c r="AF462" s="248"/>
      <c r="AG462" s="248"/>
      <c r="AH462" s="248"/>
      <c r="AI462" s="248"/>
      <c r="AJ462" s="248"/>
      <c r="AK462" s="248"/>
      <c r="AL462" s="1352"/>
      <c r="AM462" s="1352"/>
      <c r="AN462" s="1352"/>
      <c r="AO462" s="1352"/>
      <c r="AP462" s="1352"/>
      <c r="AQ462" s="1352"/>
      <c r="AR462" s="1352"/>
      <c r="AS462" s="1352"/>
    </row>
    <row r="463" spans="1:45" ht="16" hidden="1" thickBot="1" x14ac:dyDescent="0.25">
      <c r="A463" s="1507">
        <v>6</v>
      </c>
      <c r="B463" s="1516" t="s">
        <v>496</v>
      </c>
      <c r="C463" s="1511" t="s">
        <v>256</v>
      </c>
      <c r="D463" s="1511"/>
      <c r="E463" s="1511"/>
      <c r="F463" s="1514"/>
      <c r="G463" s="1509" t="str">
        <f>IF(N463&gt;0,"P","")</f>
        <v/>
      </c>
      <c r="H463" s="1510" t="s">
        <v>3198</v>
      </c>
      <c r="I463" s="130"/>
      <c r="J463" s="180" t="s">
        <v>256</v>
      </c>
      <c r="K463" s="97"/>
      <c r="L463" s="1609" t="s">
        <v>499</v>
      </c>
      <c r="M463" s="1692">
        <v>4</v>
      </c>
      <c r="N463" s="1758">
        <f>'11.600'!O165</f>
        <v>0</v>
      </c>
      <c r="O463" s="1619">
        <f>M463*S463*W463</f>
        <v>0</v>
      </c>
      <c r="P463" s="905" t="b">
        <v>1</v>
      </c>
      <c r="Q463" s="905" t="b">
        <v>0</v>
      </c>
      <c r="R463" s="905" t="b">
        <v>0</v>
      </c>
      <c r="S463" s="905" t="b">
        <v>1</v>
      </c>
      <c r="T463" s="905" t="b">
        <v>0</v>
      </c>
      <c r="U463" s="905"/>
      <c r="V463" s="905"/>
      <c r="W463" s="27"/>
      <c r="X463" s="1600"/>
      <c r="Y463" s="1874" t="str">
        <f>IF(LEN('11.600'!X165)=0,"None",'11.600'!X165)</f>
        <v>None</v>
      </c>
      <c r="Z463" s="1889"/>
      <c r="AC463" s="248"/>
      <c r="AD463" s="248"/>
      <c r="AE463" s="248"/>
      <c r="AF463" s="248"/>
      <c r="AG463" s="248"/>
      <c r="AH463" s="248"/>
      <c r="AI463" s="248"/>
      <c r="AJ463" s="248"/>
      <c r="AK463" s="248"/>
      <c r="AL463" s="1352" t="str">
        <f>SUBSTITUTE(SUBSTITUTE(SUBSTITUTE("vpa"&amp;$B463&amp;$C463&amp;$D463&amp;$E463&amp;$F463,".","_"),"(","_"),")","")</f>
        <v>vpa602_1_7_1_3</v>
      </c>
      <c r="AM463" s="1352">
        <f>M463</f>
        <v>4</v>
      </c>
      <c r="AN463" s="1352" t="str">
        <f>SUBSTITUTE(SUBSTITUTE(SUBSTITUTE("vpc"&amp;$B463&amp;$C463&amp;$D463&amp;$E463&amp;$F463,".","_"),"(","_"),")","")</f>
        <v>vpc602_1_7_1_3</v>
      </c>
      <c r="AO463" s="1352">
        <f>O463</f>
        <v>0</v>
      </c>
      <c r="AP463" s="1352" t="str">
        <f>SUBSTITUTE(SUBSTITUTE(SUBSTITUTE("vch"&amp;$B463&amp;$C463&amp;$D463&amp;$E463&amp;$F463,".","_"),"(","_"),")","")</f>
        <v>vch602_1_7_1_3</v>
      </c>
      <c r="AQ463" s="1352" t="str">
        <f>IF(LEN(W463)=0,"",W463)</f>
        <v/>
      </c>
      <c r="AR463" s="1352" t="str">
        <f>SUBSTITUTE(SUBSTITUTE(SUBSTITUTE("vnt"&amp;$B463&amp;$C463&amp;$D463&amp;$E463&amp;$F463,".","_"),"(","_"),")","")</f>
        <v>vnt602_1_7_1_3</v>
      </c>
      <c r="AS463" s="1352" t="str">
        <f>IF(LEN(X463)=0,"",X463)</f>
        <v/>
      </c>
    </row>
    <row r="464" spans="1:45" ht="16" hidden="1" thickBot="1" x14ac:dyDescent="0.25">
      <c r="A464" s="1507">
        <v>6</v>
      </c>
      <c r="B464" s="1516" t="s">
        <v>496</v>
      </c>
      <c r="C464" s="1511" t="s">
        <v>256</v>
      </c>
      <c r="D464" s="1511"/>
      <c r="E464" s="1511"/>
      <c r="F464" s="1514"/>
      <c r="G464" s="1509" t="str">
        <f>G463</f>
        <v/>
      </c>
      <c r="H464" s="1510" t="s">
        <v>3198</v>
      </c>
      <c r="I464" s="219"/>
      <c r="J464" s="213"/>
      <c r="K464" s="170"/>
      <c r="L464" s="1612"/>
      <c r="M464" s="1711"/>
      <c r="N464" s="1756"/>
      <c r="O464" s="1620"/>
      <c r="P464" s="905"/>
      <c r="Q464" s="905"/>
      <c r="R464" s="905"/>
      <c r="S464" s="905"/>
      <c r="T464" s="905"/>
      <c r="U464" s="905"/>
      <c r="V464" s="905"/>
      <c r="W464" s="248"/>
      <c r="X464" s="1600"/>
      <c r="Y464" s="1874"/>
      <c r="Z464" s="1889"/>
      <c r="AC464" s="248"/>
      <c r="AD464" s="248"/>
      <c r="AE464" s="248"/>
      <c r="AF464" s="248"/>
      <c r="AG464" s="248"/>
      <c r="AH464" s="248"/>
      <c r="AI464" s="248"/>
      <c r="AJ464" s="248"/>
      <c r="AK464" s="248"/>
      <c r="AL464" s="1352"/>
      <c r="AM464" s="1352"/>
      <c r="AN464" s="1352"/>
      <c r="AO464" s="1352"/>
      <c r="AP464" s="1352"/>
      <c r="AQ464" s="1352"/>
      <c r="AR464" s="1352"/>
      <c r="AS464" s="1352"/>
    </row>
    <row r="465" spans="1:45" ht="16" hidden="1" thickBot="1" x14ac:dyDescent="0.25">
      <c r="A465" s="1507">
        <v>6</v>
      </c>
      <c r="B465" s="1516" t="s">
        <v>500</v>
      </c>
      <c r="C465" s="1511"/>
      <c r="D465" s="1511"/>
      <c r="E465" s="1511"/>
      <c r="F465" s="1514"/>
      <c r="G465" s="1509" t="str">
        <f>IF(N465&gt;0,"P","")</f>
        <v/>
      </c>
      <c r="H465" s="1510" t="s">
        <v>3197</v>
      </c>
      <c r="I465" s="192" t="s">
        <v>3546</v>
      </c>
      <c r="J465" s="193"/>
      <c r="K465" s="194"/>
      <c r="L465" s="1712" t="s">
        <v>3621</v>
      </c>
      <c r="M465" s="1636">
        <v>2</v>
      </c>
      <c r="N465" s="1758">
        <f>'11.600'!O167</f>
        <v>0</v>
      </c>
      <c r="O465" s="1637">
        <f>M465*S465*W465</f>
        <v>0</v>
      </c>
      <c r="P465" s="905" t="b">
        <v>1</v>
      </c>
      <c r="Q465" s="905" t="b">
        <v>1</v>
      </c>
      <c r="R465" s="905" t="b">
        <v>0</v>
      </c>
      <c r="S465" s="905" t="b">
        <v>1</v>
      </c>
      <c r="T465" s="905" t="b">
        <v>0</v>
      </c>
      <c r="U465" s="905"/>
      <c r="V465" s="905"/>
      <c r="W465" s="27"/>
      <c r="X465" s="1600"/>
      <c r="Y465" s="1874" t="str">
        <f>IF(LEN('11.600'!X167)=0,"None",'11.600'!X167)</f>
        <v>None</v>
      </c>
      <c r="Z465" s="1889"/>
      <c r="AC465" s="248"/>
      <c r="AD465" s="248"/>
      <c r="AE465" s="248"/>
      <c r="AF465" s="248"/>
      <c r="AG465" s="248"/>
      <c r="AH465" s="248"/>
      <c r="AI465" s="248"/>
      <c r="AJ465" s="248"/>
      <c r="AK465" s="248"/>
      <c r="AL465" s="1352" t="str">
        <f>SUBSTITUTE(SUBSTITUTE(SUBSTITUTE("vpa"&amp;$B465&amp;$C465&amp;$D465&amp;$E465&amp;$F465,".","_"),"(","_"),")","")</f>
        <v>vpa602_1_7_2</v>
      </c>
      <c r="AM465" s="1352">
        <f>M465</f>
        <v>2</v>
      </c>
      <c r="AN465" s="1352" t="str">
        <f>SUBSTITUTE(SUBSTITUTE(SUBSTITUTE("vpc"&amp;$B465&amp;$C465&amp;$D465&amp;$E465&amp;$F465,".","_"),"(","_"),")","")</f>
        <v>vpc602_1_7_2</v>
      </c>
      <c r="AO465" s="1352">
        <f>O465</f>
        <v>0</v>
      </c>
      <c r="AP465" s="1352" t="str">
        <f>SUBSTITUTE(SUBSTITUTE(SUBSTITUTE("vch"&amp;$B465&amp;$C465&amp;$D465&amp;$E465&amp;$F465,".","_"),"(","_"),")","")</f>
        <v>vch602_1_7_2</v>
      </c>
      <c r="AQ465" s="1352" t="str">
        <f>IF(LEN(W465)=0,"",W465)</f>
        <v/>
      </c>
      <c r="AR465" s="1352" t="str">
        <f>SUBSTITUTE(SUBSTITUTE(SUBSTITUTE("vnt"&amp;$B465&amp;$C465&amp;$D465&amp;$E465&amp;$F465,".","_"),"(","_"),")","")</f>
        <v>vnt602_1_7_2</v>
      </c>
      <c r="AS465" s="1352" t="str">
        <f>IF(LEN(X465)=0,"",X465)</f>
        <v/>
      </c>
    </row>
    <row r="466" spans="1:45" ht="16" hidden="1" thickBot="1" x14ac:dyDescent="0.25">
      <c r="A466" s="1507">
        <v>6</v>
      </c>
      <c r="B466" s="1524" t="s">
        <v>500</v>
      </c>
      <c r="C466" s="1511"/>
      <c r="D466" s="1511"/>
      <c r="E466" s="1511"/>
      <c r="F466" s="1514"/>
      <c r="G466" s="1509" t="str">
        <f>G465</f>
        <v/>
      </c>
      <c r="H466" s="1510" t="s">
        <v>3197</v>
      </c>
      <c r="I466" s="219"/>
      <c r="J466" s="213"/>
      <c r="K466" s="170"/>
      <c r="L466" s="1696"/>
      <c r="M466" s="1624"/>
      <c r="N466" s="1756"/>
      <c r="O466" s="1620"/>
      <c r="P466" s="905"/>
      <c r="Q466" s="905"/>
      <c r="R466" s="905"/>
      <c r="S466" s="905"/>
      <c r="T466" s="905"/>
      <c r="U466" s="905"/>
      <c r="V466" s="905"/>
      <c r="W466" s="248"/>
      <c r="X466" s="1600"/>
      <c r="Y466" s="1874"/>
      <c r="Z466" s="1889"/>
      <c r="AC466" s="248"/>
      <c r="AD466" s="248"/>
      <c r="AE466" s="248"/>
      <c r="AF466" s="248"/>
      <c r="AG466" s="248"/>
      <c r="AH466" s="248"/>
      <c r="AI466" s="248"/>
      <c r="AJ466" s="248"/>
      <c r="AK466" s="248"/>
      <c r="AL466" s="1352"/>
      <c r="AM466" s="1352"/>
      <c r="AN466" s="1352"/>
      <c r="AO466" s="1352"/>
      <c r="AP466" s="1352"/>
      <c r="AQ466" s="1352"/>
      <c r="AR466" s="1352"/>
      <c r="AS466" s="1352"/>
    </row>
    <row r="467" spans="1:45" ht="16" hidden="1" thickBot="1" x14ac:dyDescent="0.25">
      <c r="A467" s="1507">
        <v>6</v>
      </c>
      <c r="B467" s="1524" t="s">
        <v>501</v>
      </c>
      <c r="C467" s="1511"/>
      <c r="D467" s="1511"/>
      <c r="E467" s="1511"/>
      <c r="F467" s="1514"/>
      <c r="G467" s="1509" t="str">
        <f>IF(N467&gt;0,"P","")</f>
        <v/>
      </c>
      <c r="H467" s="1510" t="s">
        <v>3198</v>
      </c>
      <c r="I467" s="67" t="s">
        <v>3547</v>
      </c>
      <c r="J467" s="4"/>
      <c r="K467" s="85"/>
      <c r="L467" s="1631" t="s">
        <v>3620</v>
      </c>
      <c r="M467" s="1628">
        <v>4</v>
      </c>
      <c r="N467" s="1758">
        <f>'11.600'!O169</f>
        <v>0</v>
      </c>
      <c r="O467" s="1669">
        <f>M467*S467*W467</f>
        <v>0</v>
      </c>
      <c r="P467" s="905" t="b">
        <v>1</v>
      </c>
      <c r="Q467" s="905" t="b">
        <v>0</v>
      </c>
      <c r="R467" s="905" t="b">
        <v>0</v>
      </c>
      <c r="S467" s="905" t="b">
        <v>1</v>
      </c>
      <c r="T467" s="905" t="b">
        <v>0</v>
      </c>
      <c r="U467" s="905"/>
      <c r="V467" s="905"/>
      <c r="W467" s="27"/>
      <c r="X467" s="1600"/>
      <c r="Y467" s="1881" t="str">
        <f>IF(LEN('11.600'!X169)=0,"None",'11.600'!X169)</f>
        <v>None</v>
      </c>
      <c r="Z467" s="1891"/>
      <c r="AC467" s="248"/>
      <c r="AD467" s="248"/>
      <c r="AE467" s="248"/>
      <c r="AF467" s="248"/>
      <c r="AG467" s="248"/>
      <c r="AH467" s="248"/>
      <c r="AI467" s="248"/>
      <c r="AJ467" s="248"/>
      <c r="AK467" s="248"/>
      <c r="AL467" s="1352" t="str">
        <f>SUBSTITUTE(SUBSTITUTE(SUBSTITUTE("vpa"&amp;$B467&amp;$C467&amp;$D467&amp;$E467&amp;$F467,".","_"),"(","_"),")","")</f>
        <v>vpa602_1_7_3</v>
      </c>
      <c r="AM467" s="1352">
        <f>M467</f>
        <v>4</v>
      </c>
      <c r="AN467" s="1352" t="str">
        <f>SUBSTITUTE(SUBSTITUTE(SUBSTITUTE("vpc"&amp;$B467&amp;$C467&amp;$D467&amp;$E467&amp;$F467,".","_"),"(","_"),")","")</f>
        <v>vpc602_1_7_3</v>
      </c>
      <c r="AO467" s="1352">
        <f>O467</f>
        <v>0</v>
      </c>
      <c r="AP467" s="1352" t="str">
        <f>SUBSTITUTE(SUBSTITUTE(SUBSTITUTE("vch"&amp;$B467&amp;$C467&amp;$D467&amp;$E467&amp;$F467,".","_"),"(","_"),")","")</f>
        <v>vch602_1_7_3</v>
      </c>
      <c r="AQ467" s="1352" t="str">
        <f>IF(LEN(W467)=0,"",W467)</f>
        <v/>
      </c>
      <c r="AR467" s="1352" t="str">
        <f>SUBSTITUTE(SUBSTITUTE(SUBSTITUTE("vnt"&amp;$B467&amp;$C467&amp;$D467&amp;$E467&amp;$F467,".","_"),"(","_"),")","")</f>
        <v>vnt602_1_7_3</v>
      </c>
      <c r="AS467" s="1352" t="str">
        <f>IF(LEN(X467)=0,"",X467)</f>
        <v/>
      </c>
    </row>
    <row r="468" spans="1:45" ht="16" hidden="1" thickBot="1" x14ac:dyDescent="0.25">
      <c r="A468" s="1507">
        <v>6</v>
      </c>
      <c r="B468" s="1524" t="s">
        <v>501</v>
      </c>
      <c r="C468" s="1511"/>
      <c r="D468" s="1511"/>
      <c r="E468" s="1511"/>
      <c r="F468" s="1514"/>
      <c r="G468" s="1509" t="str">
        <f t="shared" ref="G468:G482" si="30">G467</f>
        <v/>
      </c>
      <c r="H468" s="1510" t="s">
        <v>3198</v>
      </c>
      <c r="I468" s="67"/>
      <c r="J468" s="4"/>
      <c r="K468" s="85"/>
      <c r="L468" s="1631"/>
      <c r="M468" s="1628"/>
      <c r="N468" s="1644"/>
      <c r="O468" s="1669"/>
      <c r="P468" s="905"/>
      <c r="Q468" s="905"/>
      <c r="R468" s="905"/>
      <c r="S468" s="905"/>
      <c r="T468" s="905"/>
      <c r="U468" s="905"/>
      <c r="V468" s="905"/>
      <c r="W468" s="248"/>
      <c r="X468" s="1600"/>
      <c r="Y468" s="1881"/>
      <c r="Z468" s="1891"/>
      <c r="AC468" s="248"/>
      <c r="AD468" s="248"/>
      <c r="AE468" s="248"/>
      <c r="AF468" s="248"/>
      <c r="AG468" s="248"/>
      <c r="AH468" s="248"/>
      <c r="AI468" s="248"/>
      <c r="AJ468" s="248"/>
      <c r="AK468" s="248"/>
      <c r="AL468" s="1352"/>
      <c r="AM468" s="1352"/>
      <c r="AN468" s="1352"/>
      <c r="AO468" s="1352"/>
      <c r="AP468" s="1352"/>
      <c r="AQ468" s="1352"/>
      <c r="AR468" s="1352"/>
      <c r="AS468" s="1352"/>
    </row>
    <row r="469" spans="1:45" ht="16" hidden="1" thickBot="1" x14ac:dyDescent="0.25">
      <c r="A469" s="1507">
        <v>6</v>
      </c>
      <c r="B469" s="1524" t="s">
        <v>501</v>
      </c>
      <c r="C469" s="1511"/>
      <c r="D469" s="1511"/>
      <c r="E469" s="1511"/>
      <c r="F469" s="1514"/>
      <c r="G469" s="1509" t="str">
        <f t="shared" si="30"/>
        <v/>
      </c>
      <c r="H469" s="1510" t="s">
        <v>3198</v>
      </c>
      <c r="I469" s="67"/>
      <c r="J469" s="4"/>
      <c r="K469" s="85"/>
      <c r="L469" s="1631"/>
      <c r="M469" s="1628"/>
      <c r="N469" s="1644"/>
      <c r="O469" s="1669"/>
      <c r="P469" s="905"/>
      <c r="Q469" s="905"/>
      <c r="R469" s="905"/>
      <c r="S469" s="905"/>
      <c r="T469" s="905"/>
      <c r="U469" s="905"/>
      <c r="V469" s="905"/>
      <c r="W469" s="248"/>
      <c r="X469" s="1600"/>
      <c r="Y469" s="1881"/>
      <c r="Z469" s="1891"/>
      <c r="AC469" s="248"/>
      <c r="AD469" s="248"/>
      <c r="AE469" s="248"/>
      <c r="AF469" s="248"/>
      <c r="AG469" s="248"/>
      <c r="AH469" s="248"/>
      <c r="AI469" s="248"/>
      <c r="AJ469" s="248"/>
      <c r="AK469" s="248"/>
      <c r="AL469" s="1352"/>
      <c r="AM469" s="1352"/>
      <c r="AN469" s="1352"/>
      <c r="AO469" s="1352"/>
      <c r="AP469" s="1352"/>
      <c r="AQ469" s="1352"/>
      <c r="AR469" s="1352"/>
      <c r="AS469" s="1352"/>
    </row>
    <row r="470" spans="1:45" ht="16" hidden="1" thickBot="1" x14ac:dyDescent="0.25">
      <c r="A470" s="1507">
        <v>6</v>
      </c>
      <c r="B470" s="1524" t="s">
        <v>501</v>
      </c>
      <c r="C470" s="1511"/>
      <c r="D470" s="1511"/>
      <c r="E470" s="1511"/>
      <c r="F470" s="1514"/>
      <c r="G470" s="1509" t="str">
        <f t="shared" si="30"/>
        <v/>
      </c>
      <c r="H470" s="1510" t="s">
        <v>3198</v>
      </c>
      <c r="I470" s="67"/>
      <c r="J470" s="4"/>
      <c r="K470" s="85"/>
      <c r="L470" s="1631"/>
      <c r="M470" s="1628"/>
      <c r="N470" s="1645"/>
      <c r="O470" s="1669"/>
      <c r="P470" s="905"/>
      <c r="Q470" s="905"/>
      <c r="R470" s="905"/>
      <c r="S470" s="905"/>
      <c r="T470" s="905"/>
      <c r="U470" s="905"/>
      <c r="V470" s="905"/>
      <c r="W470" s="113"/>
      <c r="X470" s="1621"/>
      <c r="Y470" s="1882"/>
      <c r="Z470" s="1892"/>
      <c r="AC470" s="248"/>
      <c r="AD470" s="248"/>
      <c r="AE470" s="248"/>
      <c r="AF470" s="248"/>
      <c r="AG470" s="248"/>
      <c r="AH470" s="248"/>
      <c r="AI470" s="248"/>
      <c r="AJ470" s="248"/>
      <c r="AK470" s="248"/>
      <c r="AL470" s="1352"/>
      <c r="AM470" s="1352"/>
      <c r="AN470" s="1352"/>
      <c r="AO470" s="1352"/>
      <c r="AP470" s="1352"/>
      <c r="AQ470" s="1352"/>
      <c r="AR470" s="1352"/>
      <c r="AS470" s="1352"/>
    </row>
    <row r="471" spans="1:45" ht="16" thickTop="1" x14ac:dyDescent="0.2">
      <c r="A471" s="1507">
        <v>6</v>
      </c>
      <c r="B471" s="1524" t="s">
        <v>502</v>
      </c>
      <c r="C471" s="1511"/>
      <c r="D471" s="1511"/>
      <c r="E471" s="1511"/>
      <c r="F471" s="1514"/>
      <c r="G471" s="1509" t="str">
        <f>IF(IFERROR(SEARCH("Mandatory",M471),FALSE),"P","")</f>
        <v>P</v>
      </c>
      <c r="H471" s="1510" t="s">
        <v>3198</v>
      </c>
      <c r="I471" s="177" t="s">
        <v>3548</v>
      </c>
      <c r="J471" s="178"/>
      <c r="K471" s="179"/>
      <c r="L471" s="1683" t="s">
        <v>3811</v>
      </c>
      <c r="M471" s="1701" t="str">
        <f>IF(R471,"Mandatory","N/A")</f>
        <v>Mandatory</v>
      </c>
      <c r="N471" s="256"/>
      <c r="O471" s="943"/>
      <c r="P471" s="905" t="b">
        <v>1</v>
      </c>
      <c r="Q471" s="905" t="b">
        <v>0</v>
      </c>
      <c r="R471" s="106" t="b">
        <f>S471</f>
        <v>1</v>
      </c>
      <c r="S471" s="106" t="b">
        <v>1</v>
      </c>
      <c r="T471" s="106" t="b">
        <v>0</v>
      </c>
      <c r="U471" s="106" t="str">
        <f>SUBSTITUTE(SUBSTITUTE(SUBSTITUTE("dd"&amp;B471&amp;C471&amp;D471&amp;E471&amp;F471,".","_"),"(","_"),")","")</f>
        <v>dd602_1_8</v>
      </c>
      <c r="V471" s="106"/>
      <c r="W471" s="12" t="s">
        <v>2590</v>
      </c>
      <c r="X471" s="1603" t="s">
        <v>5672</v>
      </c>
      <c r="Y471" s="1877" t="str">
        <f>IF(LEN('11.600'!X173)=0,"None",'11.600'!X173)</f>
        <v>no newly installed exterior veneer</v>
      </c>
      <c r="Z471" s="1880"/>
      <c r="AA471" s="707" t="e">
        <f>'Photo Review'!#REF!</f>
        <v>#REF!</v>
      </c>
      <c r="AC471" s="248" t="b">
        <f>OR(AD471:AE471)</f>
        <v>0</v>
      </c>
      <c r="AD471" s="248" t="b">
        <f>T471</f>
        <v>0</v>
      </c>
      <c r="AE471" s="248" t="b">
        <f>OR(AND(R471,NOT(W471="Met"),NOT(W471="N/A")),AND(W471="N/A",ISBLANK(X471)))</f>
        <v>0</v>
      </c>
      <c r="AF471" s="720" t="b">
        <f>AND(AE471,NOT(Q471))</f>
        <v>0</v>
      </c>
      <c r="AG471" s="248"/>
      <c r="AH471" s="248"/>
      <c r="AI471" s="248"/>
      <c r="AJ471" s="248"/>
      <c r="AK471" s="248"/>
      <c r="AL471" s="1352" t="str">
        <f>SUBSTITUTE(SUBSTITUTE(SUBSTITUTE("vpa"&amp;$B471&amp;$C471&amp;$D471&amp;$E471&amp;$F471,".","_"),"(","_"),")","")</f>
        <v>vpa602_1_8</v>
      </c>
      <c r="AM471" s="1352" t="str">
        <f>M471</f>
        <v>Mandatory</v>
      </c>
      <c r="AN471" s="1352"/>
      <c r="AO471" s="1352"/>
      <c r="AP471" s="1352" t="str">
        <f>SUBSTITUTE(SUBSTITUTE(SUBSTITUTE("vch"&amp;$B471&amp;$C471&amp;$D471&amp;$E471&amp;$F471,".","_"),"(","_"),")","")</f>
        <v>vch602_1_8</v>
      </c>
      <c r="AQ471" s="1352" t="str">
        <f>IF(LEN(W471)=0,"",W471)</f>
        <v>N/A</v>
      </c>
      <c r="AR471" s="1352" t="str">
        <f>SUBSTITUTE(SUBSTITUTE(SUBSTITUTE("vnt"&amp;$B471&amp;$C471&amp;$D471&amp;$E471&amp;$F471,".","_"),"(","_"),")","")</f>
        <v>vnt602_1_8</v>
      </c>
      <c r="AS471" s="1352" t="str">
        <f>IF(LEN(X471)=0,"",X471)</f>
        <v>No newly-installed exterior veneer</v>
      </c>
    </row>
    <row r="472" spans="1:45" s="794" customFormat="1" x14ac:dyDescent="0.2">
      <c r="A472" s="1507">
        <v>6</v>
      </c>
      <c r="B472" s="1524" t="s">
        <v>502</v>
      </c>
      <c r="C472" s="1511"/>
      <c r="D472" s="1511"/>
      <c r="E472" s="1511"/>
      <c r="F472" s="1514"/>
      <c r="G472" s="1509" t="str">
        <f t="shared" si="30"/>
        <v>P</v>
      </c>
      <c r="H472" s="1510" t="s">
        <v>3198</v>
      </c>
      <c r="I472" s="130"/>
      <c r="J472" s="129"/>
      <c r="K472" s="97"/>
      <c r="L472" s="1629"/>
      <c r="M472" s="1697"/>
      <c r="N472" s="801"/>
      <c r="O472" s="908"/>
      <c r="P472" s="905"/>
      <c r="Q472" s="905"/>
      <c r="R472" s="991"/>
      <c r="S472" s="991"/>
      <c r="T472" s="991"/>
      <c r="U472" s="991"/>
      <c r="V472" s="991"/>
      <c r="W472"/>
      <c r="X472" s="1599"/>
      <c r="Y472" s="1877"/>
      <c r="Z472" s="1880"/>
      <c r="AL472" s="1352"/>
      <c r="AM472" s="1352"/>
      <c r="AN472" s="1352"/>
      <c r="AO472" s="1352"/>
      <c r="AP472" s="1352"/>
      <c r="AQ472" s="1352"/>
      <c r="AR472" s="1352"/>
      <c r="AS472" s="1352"/>
    </row>
    <row r="473" spans="1:45" ht="15" customHeight="1" x14ac:dyDescent="0.2">
      <c r="A473" s="1507">
        <v>6</v>
      </c>
      <c r="B473" s="1524" t="s">
        <v>502</v>
      </c>
      <c r="C473" s="1511"/>
      <c r="D473" s="1511"/>
      <c r="E473" s="1511"/>
      <c r="F473" s="1514"/>
      <c r="G473" s="1509" t="str">
        <f t="shared" si="30"/>
        <v>P</v>
      </c>
      <c r="H473" s="1510" t="s">
        <v>3198</v>
      </c>
      <c r="I473" s="130"/>
      <c r="J473" s="129"/>
      <c r="K473" s="97"/>
      <c r="L473" s="1629"/>
      <c r="M473" s="1697"/>
      <c r="N473" s="251"/>
      <c r="O473" s="908"/>
      <c r="P473" s="991"/>
      <c r="Q473" s="991"/>
      <c r="R473" s="991"/>
      <c r="S473" s="991"/>
      <c r="T473" s="991"/>
      <c r="U473" s="991"/>
      <c r="V473" s="991"/>
      <c r="W473" s="96"/>
      <c r="X473" s="1601"/>
      <c r="Y473" s="1881"/>
      <c r="Z473" s="1891"/>
      <c r="AC473" s="248"/>
      <c r="AD473" s="248"/>
      <c r="AE473" s="248"/>
      <c r="AF473" s="248"/>
      <c r="AG473" s="248"/>
      <c r="AH473" s="248"/>
      <c r="AI473" s="248"/>
      <c r="AJ473" s="248"/>
      <c r="AK473" s="248"/>
      <c r="AL473" s="1352"/>
      <c r="AM473" s="1352"/>
      <c r="AN473" s="1352"/>
      <c r="AO473" s="1352"/>
      <c r="AP473" s="1352"/>
      <c r="AQ473" s="1352"/>
      <c r="AR473" s="1352"/>
      <c r="AS473" s="1352"/>
    </row>
    <row r="474" spans="1:45" ht="16" thickBot="1" x14ac:dyDescent="0.25">
      <c r="A474" s="1507">
        <v>6</v>
      </c>
      <c r="B474" s="1524" t="s">
        <v>502</v>
      </c>
      <c r="C474" s="1511"/>
      <c r="D474" s="1511"/>
      <c r="E474" s="1511"/>
      <c r="F474" s="1514"/>
      <c r="G474" s="1509" t="str">
        <f t="shared" si="30"/>
        <v>P</v>
      </c>
      <c r="H474" s="1510" t="s">
        <v>3198</v>
      </c>
      <c r="I474" s="130"/>
      <c r="J474" s="129"/>
      <c r="K474" s="97"/>
      <c r="L474" s="263" t="s">
        <v>678</v>
      </c>
      <c r="M474" s="1697"/>
      <c r="N474" s="251"/>
      <c r="O474" s="908"/>
      <c r="P474" s="991"/>
      <c r="Q474" s="991"/>
      <c r="R474" s="991"/>
      <c r="S474" s="991"/>
      <c r="T474" s="991"/>
      <c r="U474" s="991"/>
      <c r="V474" s="991"/>
      <c r="W474" s="96"/>
      <c r="X474" s="1621"/>
      <c r="Y474" s="1882"/>
      <c r="Z474" s="1892"/>
      <c r="AC474" s="248"/>
      <c r="AD474" s="248"/>
      <c r="AE474" s="248"/>
      <c r="AF474" s="248"/>
      <c r="AG474" s="248"/>
      <c r="AH474" s="248"/>
      <c r="AI474" s="248"/>
      <c r="AJ474" s="248"/>
      <c r="AK474" s="248"/>
      <c r="AL474" s="1352"/>
      <c r="AM474" s="1352"/>
      <c r="AN474" s="1352"/>
      <c r="AO474" s="1352"/>
      <c r="AP474" s="1352"/>
      <c r="AQ474" s="1352"/>
      <c r="AR474" s="1352"/>
      <c r="AS474" s="1352"/>
    </row>
    <row r="475" spans="1:45" ht="16" thickTop="1" x14ac:dyDescent="0.2">
      <c r="A475" s="1507">
        <v>6</v>
      </c>
      <c r="B475" s="1524" t="s">
        <v>503</v>
      </c>
      <c r="C475" s="1511"/>
      <c r="D475" s="1511"/>
      <c r="E475" s="1511"/>
      <c r="F475" s="1514"/>
      <c r="G475" s="1513" t="str">
        <f ca="1">IF(COUNTIF(G483:G511,"P")&gt;0,"P","")</f>
        <v>P</v>
      </c>
      <c r="H475" s="1510" t="s">
        <v>3198</v>
      </c>
      <c r="I475" s="177" t="s">
        <v>3549</v>
      </c>
      <c r="J475" s="178"/>
      <c r="K475" s="179"/>
      <c r="L475" s="1683" t="s">
        <v>3619</v>
      </c>
      <c r="M475" s="945"/>
      <c r="N475" s="256"/>
      <c r="O475" s="943"/>
      <c r="P475" s="106"/>
      <c r="Q475" s="106"/>
      <c r="R475" s="106"/>
      <c r="S475" s="106"/>
      <c r="T475" s="106"/>
      <c r="U475" s="106"/>
      <c r="V475" s="106"/>
      <c r="W475" s="106"/>
      <c r="X475" s="106"/>
      <c r="Y475"/>
      <c r="Z475" s="670"/>
      <c r="AC475" s="248"/>
      <c r="AD475" s="248"/>
      <c r="AE475" s="248"/>
      <c r="AF475" s="248"/>
      <c r="AG475" s="248"/>
      <c r="AH475" s="248"/>
      <c r="AI475" s="248"/>
      <c r="AJ475" s="248"/>
      <c r="AK475" s="248"/>
      <c r="AL475" s="1352"/>
      <c r="AM475" s="1352"/>
      <c r="AN475" s="1352"/>
      <c r="AO475" s="1352"/>
      <c r="AP475" s="1352"/>
      <c r="AQ475" s="1352"/>
      <c r="AR475" s="1352"/>
      <c r="AS475" s="1352"/>
    </row>
    <row r="476" spans="1:45" x14ac:dyDescent="0.2">
      <c r="A476" s="1507">
        <v>6</v>
      </c>
      <c r="B476" s="1524" t="s">
        <v>503</v>
      </c>
      <c r="C476" s="1511"/>
      <c r="D476" s="1511"/>
      <c r="E476" s="1511"/>
      <c r="F476" s="1514"/>
      <c r="G476" s="1509" t="str">
        <f t="shared" ca="1" si="30"/>
        <v>P</v>
      </c>
      <c r="H476" s="1510" t="s">
        <v>3198</v>
      </c>
      <c r="I476" s="130"/>
      <c r="J476" s="129"/>
      <c r="K476" s="97"/>
      <c r="L476" s="1629"/>
      <c r="M476" s="913"/>
      <c r="N476" s="251"/>
      <c r="O476" s="908"/>
      <c r="P476" s="991"/>
      <c r="Q476" s="991"/>
      <c r="R476" s="991"/>
      <c r="S476" s="991"/>
      <c r="T476" s="991"/>
      <c r="U476" s="991"/>
      <c r="V476" s="991"/>
      <c r="W476" s="96"/>
      <c r="X476" s="96"/>
      <c r="Y476"/>
      <c r="Z476" s="670"/>
      <c r="AC476" s="248"/>
      <c r="AD476" s="248"/>
      <c r="AE476" s="248"/>
      <c r="AF476" s="248"/>
      <c r="AG476" s="248"/>
      <c r="AH476" s="248"/>
      <c r="AI476" s="248"/>
      <c r="AJ476" s="248"/>
      <c r="AK476" s="248"/>
      <c r="AL476" s="1352"/>
      <c r="AM476" s="1352"/>
      <c r="AN476" s="1352"/>
      <c r="AO476" s="1352"/>
      <c r="AP476" s="1352"/>
      <c r="AQ476" s="1352"/>
      <c r="AR476" s="1352"/>
      <c r="AS476" s="1352"/>
    </row>
    <row r="477" spans="1:45" x14ac:dyDescent="0.2">
      <c r="A477" s="1507">
        <v>6</v>
      </c>
      <c r="B477" s="1524" t="s">
        <v>503</v>
      </c>
      <c r="C477" s="1511"/>
      <c r="D477" s="1511"/>
      <c r="E477" s="1511"/>
      <c r="F477" s="1514"/>
      <c r="G477" s="1509" t="str">
        <f t="shared" ca="1" si="30"/>
        <v>P</v>
      </c>
      <c r="H477" s="1510" t="s">
        <v>3198</v>
      </c>
      <c r="I477" s="130"/>
      <c r="J477" s="129"/>
      <c r="K477" s="97"/>
      <c r="L477" s="1629"/>
      <c r="M477" s="913"/>
      <c r="N477" s="251"/>
      <c r="O477" s="908"/>
      <c r="P477" s="991"/>
      <c r="Q477" s="991"/>
      <c r="R477" s="991"/>
      <c r="S477" s="991"/>
      <c r="T477" s="991"/>
      <c r="U477" s="991"/>
      <c r="V477" s="991"/>
      <c r="W477" s="96"/>
      <c r="X477" s="96"/>
      <c r="Y477"/>
      <c r="Z477" s="670"/>
      <c r="AC477" s="248"/>
      <c r="AD477" s="248"/>
      <c r="AE477" s="248"/>
      <c r="AF477" s="248"/>
      <c r="AG477" s="248"/>
      <c r="AH477" s="248"/>
      <c r="AI477" s="248"/>
      <c r="AJ477" s="248"/>
      <c r="AK477" s="248"/>
      <c r="AL477" s="1352"/>
      <c r="AM477" s="1352"/>
      <c r="AN477" s="1352"/>
      <c r="AO477" s="1352"/>
      <c r="AP477" s="1352"/>
      <c r="AQ477" s="1352"/>
      <c r="AR477" s="1352"/>
      <c r="AS477" s="1352"/>
    </row>
    <row r="478" spans="1:45" x14ac:dyDescent="0.2">
      <c r="A478" s="1507">
        <v>6</v>
      </c>
      <c r="B478" s="1524" t="s">
        <v>503</v>
      </c>
      <c r="C478" s="1511"/>
      <c r="D478" s="1511"/>
      <c r="E478" s="1511"/>
      <c r="F478" s="1514"/>
      <c r="G478" s="1509" t="str">
        <f t="shared" ca="1" si="30"/>
        <v>P</v>
      </c>
      <c r="H478" s="1510" t="s">
        <v>3198</v>
      </c>
      <c r="I478" s="130"/>
      <c r="J478" s="129"/>
      <c r="K478" s="97"/>
      <c r="L478" s="1629"/>
      <c r="M478" s="913"/>
      <c r="N478" s="251"/>
      <c r="O478" s="908"/>
      <c r="P478" s="991"/>
      <c r="Q478" s="991"/>
      <c r="R478" s="991"/>
      <c r="S478" s="991"/>
      <c r="T478" s="991"/>
      <c r="U478" s="991"/>
      <c r="V478" s="991"/>
      <c r="W478" s="96"/>
      <c r="X478" s="96"/>
      <c r="Y478"/>
      <c r="Z478" s="670"/>
      <c r="AC478" s="248"/>
      <c r="AD478" s="248"/>
      <c r="AE478" s="248"/>
      <c r="AF478" s="248"/>
      <c r="AG478" s="248"/>
      <c r="AH478" s="248"/>
      <c r="AI478" s="248"/>
      <c r="AJ478" s="248"/>
      <c r="AK478" s="248"/>
      <c r="AL478" s="1352"/>
      <c r="AM478" s="1352"/>
      <c r="AN478" s="1352"/>
      <c r="AO478" s="1352"/>
      <c r="AP478" s="1352"/>
      <c r="AQ478" s="1352"/>
      <c r="AR478" s="1352"/>
      <c r="AS478" s="1352"/>
    </row>
    <row r="479" spans="1:45" x14ac:dyDescent="0.2">
      <c r="A479" s="1507">
        <v>6</v>
      </c>
      <c r="B479" s="1524" t="s">
        <v>503</v>
      </c>
      <c r="C479" s="1511"/>
      <c r="D479" s="1511"/>
      <c r="E479" s="1511"/>
      <c r="F479" s="1514"/>
      <c r="G479" s="1509" t="str">
        <f t="shared" ca="1" si="30"/>
        <v>P</v>
      </c>
      <c r="H479" s="1510" t="s">
        <v>3198</v>
      </c>
      <c r="I479" s="130"/>
      <c r="J479" s="129"/>
      <c r="K479" s="97"/>
      <c r="L479" s="1629"/>
      <c r="M479" s="913"/>
      <c r="N479" s="251"/>
      <c r="O479" s="908"/>
      <c r="P479" s="991"/>
      <c r="Q479" s="991"/>
      <c r="R479" s="991"/>
      <c r="S479" s="991"/>
      <c r="T479" s="991"/>
      <c r="U479" s="991"/>
      <c r="V479" s="991"/>
      <c r="W479" s="96"/>
      <c r="X479" s="96"/>
      <c r="Y479"/>
      <c r="Z479" s="670"/>
      <c r="AC479" s="248"/>
      <c r="AD479" s="248"/>
      <c r="AE479" s="248"/>
      <c r="AF479" s="248"/>
      <c r="AG479" s="248"/>
      <c r="AH479" s="248"/>
      <c r="AI479" s="248"/>
      <c r="AJ479" s="248"/>
      <c r="AK479" s="248"/>
      <c r="AL479" s="1352"/>
      <c r="AM479" s="1352"/>
      <c r="AN479" s="1352"/>
      <c r="AO479" s="1352"/>
      <c r="AP479" s="1352"/>
      <c r="AQ479" s="1352"/>
      <c r="AR479" s="1352"/>
      <c r="AS479" s="1352"/>
    </row>
    <row r="480" spans="1:45" s="755" customFormat="1" x14ac:dyDescent="0.2">
      <c r="A480" s="1507">
        <v>6</v>
      </c>
      <c r="B480" s="1524" t="s">
        <v>503</v>
      </c>
      <c r="C480" s="1511"/>
      <c r="D480" s="1511"/>
      <c r="E480" s="1511"/>
      <c r="F480" s="1514"/>
      <c r="G480" s="1509" t="str">
        <f t="shared" ca="1" si="30"/>
        <v>P</v>
      </c>
      <c r="H480" s="1510" t="s">
        <v>3198</v>
      </c>
      <c r="I480" s="130"/>
      <c r="J480" s="129"/>
      <c r="K480" s="97"/>
      <c r="L480" s="1705" t="s">
        <v>3821</v>
      </c>
      <c r="M480" s="913"/>
      <c r="N480" s="761"/>
      <c r="O480" s="908"/>
      <c r="P480" s="991"/>
      <c r="Q480" s="991"/>
      <c r="R480" s="991"/>
      <c r="S480" s="991"/>
      <c r="T480" s="991"/>
      <c r="U480" s="991"/>
      <c r="V480" s="991"/>
      <c r="W480" s="96"/>
      <c r="X480" s="96"/>
      <c r="Z480" s="670"/>
      <c r="AL480" s="1352"/>
      <c r="AM480" s="1352"/>
      <c r="AN480" s="1352"/>
      <c r="AO480" s="1352"/>
      <c r="AP480" s="1352"/>
      <c r="AQ480" s="1352"/>
      <c r="AR480" s="1352"/>
      <c r="AS480" s="1352"/>
    </row>
    <row r="481" spans="1:45" s="755" customFormat="1" x14ac:dyDescent="0.2">
      <c r="A481" s="1507">
        <v>6</v>
      </c>
      <c r="B481" s="1524" t="s">
        <v>503</v>
      </c>
      <c r="C481" s="1511"/>
      <c r="D481" s="1511"/>
      <c r="E481" s="1511"/>
      <c r="F481" s="1514"/>
      <c r="G481" s="1509" t="str">
        <f t="shared" ca="1" si="30"/>
        <v>P</v>
      </c>
      <c r="H481" s="1510" t="s">
        <v>3198</v>
      </c>
      <c r="I481" s="130"/>
      <c r="J481" s="129"/>
      <c r="K481" s="97"/>
      <c r="L481" s="1705"/>
      <c r="M481" s="913"/>
      <c r="N481" s="761"/>
      <c r="O481" s="908"/>
      <c r="P481" s="991"/>
      <c r="Q481" s="991"/>
      <c r="R481" s="991"/>
      <c r="S481" s="991"/>
      <c r="T481" s="991"/>
      <c r="U481" s="991"/>
      <c r="V481" s="991"/>
      <c r="W481" s="96"/>
      <c r="X481" s="96"/>
      <c r="Z481" s="670"/>
      <c r="AL481" s="1352"/>
      <c r="AM481" s="1352"/>
      <c r="AN481" s="1352"/>
      <c r="AO481" s="1352"/>
      <c r="AP481" s="1352"/>
      <c r="AQ481" s="1352"/>
      <c r="AR481" s="1352"/>
      <c r="AS481" s="1352"/>
    </row>
    <row r="482" spans="1:45" s="755" customFormat="1" x14ac:dyDescent="0.2">
      <c r="A482" s="1507">
        <v>6</v>
      </c>
      <c r="B482" s="1524" t="s">
        <v>503</v>
      </c>
      <c r="C482" s="1511"/>
      <c r="D482" s="1511"/>
      <c r="E482" s="1511"/>
      <c r="F482" s="1514"/>
      <c r="G482" s="1509" t="str">
        <f t="shared" ca="1" si="30"/>
        <v>P</v>
      </c>
      <c r="H482" s="1510" t="s">
        <v>3198</v>
      </c>
      <c r="I482" s="130"/>
      <c r="J482" s="129"/>
      <c r="K482" s="97"/>
      <c r="L482" s="1705"/>
      <c r="M482" s="913"/>
      <c r="N482" s="761"/>
      <c r="O482" s="908"/>
      <c r="P482" s="991"/>
      <c r="Q482" s="991"/>
      <c r="R482" s="991"/>
      <c r="S482" s="991"/>
      <c r="T482" s="991"/>
      <c r="U482" s="991"/>
      <c r="V482" s="991"/>
      <c r="W482" s="96"/>
      <c r="X482" s="96"/>
      <c r="Z482" s="670"/>
      <c r="AL482" s="1352"/>
      <c r="AM482" s="1352"/>
      <c r="AN482" s="1352"/>
      <c r="AO482" s="1352"/>
      <c r="AP482" s="1352"/>
      <c r="AQ482" s="1352"/>
      <c r="AR482" s="1352"/>
      <c r="AS482" s="1352"/>
    </row>
    <row r="483" spans="1:45" x14ac:dyDescent="0.2">
      <c r="A483" s="1507">
        <v>6</v>
      </c>
      <c r="B483" s="1524" t="s">
        <v>503</v>
      </c>
      <c r="C483" s="1511" t="s">
        <v>254</v>
      </c>
      <c r="D483" s="1511"/>
      <c r="E483" s="1511"/>
      <c r="F483" s="1514"/>
      <c r="G483" s="1509" t="str">
        <f>IF(IFERROR(SEARCH("Mandatory",M483),FALSE),"P","")</f>
        <v>P</v>
      </c>
      <c r="H483" s="1510" t="s">
        <v>3198</v>
      </c>
      <c r="I483" s="67"/>
      <c r="J483" s="180" t="s">
        <v>254</v>
      </c>
      <c r="K483" s="97"/>
      <c r="L483" s="97" t="s">
        <v>504</v>
      </c>
      <c r="M483" s="1697" t="str">
        <f>IF(R483,"Mandatory","N/A")</f>
        <v>Mandatory</v>
      </c>
      <c r="N483" s="250"/>
      <c r="O483" s="935"/>
      <c r="P483" s="905" t="b">
        <v>1</v>
      </c>
      <c r="Q483" s="905" t="b">
        <v>0</v>
      </c>
      <c r="R483" s="905" t="b">
        <f>S483</f>
        <v>1</v>
      </c>
      <c r="S483" s="905" t="b">
        <v>1</v>
      </c>
      <c r="T483" s="905" t="b">
        <v>0</v>
      </c>
      <c r="U483" s="991" t="str">
        <f>SUBSTITUTE(SUBSTITUTE(SUBSTITUTE("dd"&amp;B483&amp;C483&amp;D483&amp;E483&amp;F483,".","_"),"(","_"),")","")</f>
        <v>dd602_1_9_1</v>
      </c>
      <c r="V483" s="905"/>
      <c r="W483" s="12" t="s">
        <v>2588</v>
      </c>
      <c r="X483" s="1621"/>
      <c r="Y483" s="1875" t="str">
        <f>IF(LEN('11.600'!X185)=0,"None",'11.600'!X185)</f>
        <v>None</v>
      </c>
      <c r="Z483" s="1878"/>
      <c r="AC483" s="248" t="b">
        <f>OR(AD483:AE483)</f>
        <v>0</v>
      </c>
      <c r="AD483" s="248" t="b">
        <f>T483</f>
        <v>0</v>
      </c>
      <c r="AE483" s="755" t="b">
        <f>AND(R483,NOT(W483="Met"),NOT(W483="N/A"))</f>
        <v>0</v>
      </c>
      <c r="AF483" s="720" t="b">
        <f>AND(AE483,NOT(Q483))</f>
        <v>0</v>
      </c>
      <c r="AG483" s="248"/>
      <c r="AH483" s="248"/>
      <c r="AI483" s="248"/>
      <c r="AJ483" s="248"/>
      <c r="AK483" s="248"/>
      <c r="AL483" s="1352" t="str">
        <f>SUBSTITUTE(SUBSTITUTE(SUBSTITUTE("vpa"&amp;$B483&amp;$C483&amp;$D483&amp;$E483&amp;$F483,".","_"),"(","_"),")","")</f>
        <v>vpa602_1_9_1</v>
      </c>
      <c r="AM483" s="1352" t="str">
        <f>M483</f>
        <v>Mandatory</v>
      </c>
      <c r="AN483" s="1352"/>
      <c r="AO483" s="1352"/>
      <c r="AP483" s="1352" t="str">
        <f>SUBSTITUTE(SUBSTITUTE(SUBSTITUTE("vch"&amp;$B483&amp;$C483&amp;$D483&amp;$E483&amp;$F483,".","_"),"(","_"),")","")</f>
        <v>vch602_1_9_1</v>
      </c>
      <c r="AQ483" s="1352" t="str">
        <f>IF(LEN(W483)=0,"",W483)</f>
        <v>Met</v>
      </c>
      <c r="AR483" s="1352" t="str">
        <f>SUBSTITUTE(SUBSTITUTE(SUBSTITUTE("vnt"&amp;$B483&amp;$C483&amp;$D483&amp;$E483&amp;$F483,".","_"),"(","_"),")","")</f>
        <v>vnt602_1_9_1</v>
      </c>
      <c r="AS483" s="1352" t="str">
        <f>IF(LEN(X483)=0,"",X483)</f>
        <v/>
      </c>
    </row>
    <row r="484" spans="1:45" x14ac:dyDescent="0.2">
      <c r="A484" s="1507">
        <v>6</v>
      </c>
      <c r="B484" s="1524" t="s">
        <v>503</v>
      </c>
      <c r="C484" s="1511" t="s">
        <v>254</v>
      </c>
      <c r="D484" s="1511" t="s">
        <v>121</v>
      </c>
      <c r="E484" s="1511"/>
      <c r="F484" s="1514"/>
      <c r="G484" s="1509" t="str">
        <f t="shared" ref="G484:G494" si="31">G483</f>
        <v>P</v>
      </c>
      <c r="H484" s="1512" t="s">
        <v>3198</v>
      </c>
      <c r="I484" s="67"/>
      <c r="J484" s="129"/>
      <c r="K484" s="93" t="s">
        <v>121</v>
      </c>
      <c r="L484" s="97" t="s">
        <v>505</v>
      </c>
      <c r="M484" s="1697"/>
      <c r="N484" s="250"/>
      <c r="O484" s="935"/>
      <c r="P484" s="905"/>
      <c r="Q484" s="905"/>
      <c r="R484" s="905"/>
      <c r="S484" s="905"/>
      <c r="T484" s="905"/>
      <c r="U484" s="905"/>
      <c r="V484" s="905"/>
      <c r="W484" s="248"/>
      <c r="X484" s="1632"/>
      <c r="Y484" s="1876"/>
      <c r="Z484" s="1879"/>
      <c r="AC484" s="248"/>
      <c r="AD484" s="248"/>
      <c r="AE484" s="248"/>
      <c r="AF484" s="248"/>
      <c r="AG484" s="248"/>
      <c r="AH484" s="248"/>
      <c r="AI484" s="248"/>
      <c r="AJ484" s="248"/>
      <c r="AK484" s="248"/>
      <c r="AL484" s="1352"/>
      <c r="AM484" s="1352"/>
      <c r="AN484" s="1352"/>
      <c r="AO484" s="1352"/>
      <c r="AP484" s="1352"/>
      <c r="AQ484" s="1352"/>
      <c r="AR484" s="1352"/>
      <c r="AS484" s="1352"/>
    </row>
    <row r="485" spans="1:45" x14ac:dyDescent="0.2">
      <c r="A485" s="1507">
        <v>6</v>
      </c>
      <c r="B485" s="1524" t="s">
        <v>503</v>
      </c>
      <c r="C485" s="1511" t="s">
        <v>254</v>
      </c>
      <c r="D485" s="1511" t="s">
        <v>122</v>
      </c>
      <c r="E485" s="1511"/>
      <c r="F485" s="1514"/>
      <c r="G485" s="1509" t="str">
        <f t="shared" si="31"/>
        <v>P</v>
      </c>
      <c r="H485" s="1512" t="s">
        <v>3198</v>
      </c>
      <c r="I485" s="67"/>
      <c r="J485" s="129"/>
      <c r="K485" s="93" t="s">
        <v>122</v>
      </c>
      <c r="L485" s="97" t="s">
        <v>506</v>
      </c>
      <c r="M485" s="1697"/>
      <c r="N485" s="250"/>
      <c r="O485" s="935"/>
      <c r="P485" s="905"/>
      <c r="Q485" s="905"/>
      <c r="R485" s="905"/>
      <c r="S485" s="905"/>
      <c r="T485" s="905"/>
      <c r="U485" s="905"/>
      <c r="V485" s="905"/>
      <c r="W485" s="248"/>
      <c r="X485" s="1632"/>
      <c r="Y485" s="1876"/>
      <c r="Z485" s="1879"/>
      <c r="AC485" s="248"/>
      <c r="AD485" s="248"/>
      <c r="AE485" s="248"/>
      <c r="AF485" s="248"/>
      <c r="AG485" s="248"/>
      <c r="AH485" s="248"/>
      <c r="AI485" s="248"/>
      <c r="AJ485" s="248"/>
      <c r="AK485" s="248"/>
      <c r="AL485" s="1352"/>
      <c r="AM485" s="1352"/>
      <c r="AN485" s="1352"/>
      <c r="AO485" s="1352"/>
      <c r="AP485" s="1352"/>
      <c r="AQ485" s="1352"/>
      <c r="AR485" s="1352"/>
      <c r="AS485" s="1352"/>
    </row>
    <row r="486" spans="1:45" x14ac:dyDescent="0.2">
      <c r="A486" s="1507">
        <v>6</v>
      </c>
      <c r="B486" s="1524" t="s">
        <v>503</v>
      </c>
      <c r="C486" s="1511" t="s">
        <v>254</v>
      </c>
      <c r="D486" s="1518" t="s">
        <v>123</v>
      </c>
      <c r="E486" s="1518"/>
      <c r="F486" s="1519"/>
      <c r="G486" s="1509" t="str">
        <f t="shared" si="31"/>
        <v>P</v>
      </c>
      <c r="H486" s="1520" t="s">
        <v>3198</v>
      </c>
      <c r="I486" s="67"/>
      <c r="J486" s="129"/>
      <c r="K486" s="111" t="s">
        <v>123</v>
      </c>
      <c r="L486" s="97" t="s">
        <v>507</v>
      </c>
      <c r="M486" s="1697"/>
      <c r="N486" s="250"/>
      <c r="O486" s="935"/>
      <c r="P486" s="905"/>
      <c r="Q486" s="905"/>
      <c r="R486" s="905"/>
      <c r="S486" s="905"/>
      <c r="T486" s="905"/>
      <c r="U486" s="905"/>
      <c r="V486" s="905"/>
      <c r="W486" s="248"/>
      <c r="X486" s="1632"/>
      <c r="Y486" s="1876"/>
      <c r="Z486" s="1879"/>
      <c r="AC486" s="248"/>
      <c r="AD486" s="248"/>
      <c r="AE486" s="248"/>
      <c r="AF486" s="248"/>
      <c r="AG486" s="248"/>
      <c r="AH486" s="248"/>
      <c r="AI486" s="248"/>
      <c r="AJ486" s="248"/>
      <c r="AK486" s="248"/>
      <c r="AL486" s="1352"/>
      <c r="AM486" s="1352"/>
      <c r="AN486" s="1352"/>
      <c r="AO486" s="1352"/>
      <c r="AP486" s="1352"/>
      <c r="AQ486" s="1352"/>
      <c r="AR486" s="1352"/>
      <c r="AS486" s="1352"/>
    </row>
    <row r="487" spans="1:45" x14ac:dyDescent="0.2">
      <c r="A487" s="1507">
        <v>6</v>
      </c>
      <c r="B487" s="1524" t="s">
        <v>503</v>
      </c>
      <c r="C487" s="1511" t="s">
        <v>254</v>
      </c>
      <c r="D487" s="1511" t="s">
        <v>366</v>
      </c>
      <c r="E487" s="1511"/>
      <c r="F487" s="1514"/>
      <c r="G487" s="1509" t="str">
        <f t="shared" si="31"/>
        <v>P</v>
      </c>
      <c r="H487" s="1510" t="s">
        <v>3198</v>
      </c>
      <c r="I487" s="67"/>
      <c r="J487" s="129"/>
      <c r="K487" s="187" t="s">
        <v>366</v>
      </c>
      <c r="L487" s="1609" t="s">
        <v>508</v>
      </c>
      <c r="M487" s="1697"/>
      <c r="N487" s="250"/>
      <c r="O487" s="935"/>
      <c r="P487" s="905"/>
      <c r="Q487" s="905"/>
      <c r="R487" s="905"/>
      <c r="S487" s="905"/>
      <c r="T487" s="905"/>
      <c r="U487" s="905"/>
      <c r="V487" s="905"/>
      <c r="W487" s="248"/>
      <c r="X487" s="1632"/>
      <c r="Y487" s="1876"/>
      <c r="Z487" s="1879"/>
      <c r="AC487" s="248"/>
      <c r="AD487" s="248"/>
      <c r="AE487" s="248"/>
      <c r="AF487" s="248"/>
      <c r="AG487" s="248"/>
      <c r="AH487" s="248"/>
      <c r="AI487" s="248"/>
      <c r="AJ487" s="248"/>
      <c r="AK487" s="248"/>
      <c r="AL487" s="1352"/>
      <c r="AM487" s="1352"/>
      <c r="AN487" s="1352"/>
      <c r="AO487" s="1352"/>
      <c r="AP487" s="1352"/>
      <c r="AQ487" s="1352"/>
      <c r="AR487" s="1352"/>
      <c r="AS487" s="1352"/>
    </row>
    <row r="488" spans="1:45" x14ac:dyDescent="0.2">
      <c r="A488" s="1507">
        <v>6</v>
      </c>
      <c r="B488" s="1524" t="s">
        <v>503</v>
      </c>
      <c r="C488" s="1511" t="s">
        <v>254</v>
      </c>
      <c r="D488" s="1511" t="s">
        <v>366</v>
      </c>
      <c r="E488" s="1511"/>
      <c r="F488" s="1514"/>
      <c r="G488" s="1509" t="str">
        <f t="shared" si="31"/>
        <v>P</v>
      </c>
      <c r="H488" s="1510" t="s">
        <v>3198</v>
      </c>
      <c r="I488" s="67"/>
      <c r="J488" s="129"/>
      <c r="K488" s="97"/>
      <c r="L488" s="1609"/>
      <c r="M488" s="1697"/>
      <c r="N488" s="250"/>
      <c r="O488" s="935"/>
      <c r="P488" s="905"/>
      <c r="Q488" s="905"/>
      <c r="R488" s="905"/>
      <c r="S488" s="905"/>
      <c r="T488" s="905"/>
      <c r="U488" s="905"/>
      <c r="V488" s="905"/>
      <c r="W488" s="248"/>
      <c r="X488" s="1632"/>
      <c r="Y488" s="1876"/>
      <c r="Z488" s="1879"/>
      <c r="AC488" s="248"/>
      <c r="AD488" s="248"/>
      <c r="AE488" s="248"/>
      <c r="AF488" s="248"/>
      <c r="AG488" s="248"/>
      <c r="AH488" s="248"/>
      <c r="AI488" s="248"/>
      <c r="AJ488" s="248"/>
      <c r="AK488" s="248"/>
      <c r="AL488" s="1352"/>
      <c r="AM488" s="1352"/>
      <c r="AN488" s="1352"/>
      <c r="AO488" s="1352"/>
      <c r="AP488" s="1352"/>
      <c r="AQ488" s="1352"/>
      <c r="AR488" s="1352"/>
      <c r="AS488" s="1352"/>
    </row>
    <row r="489" spans="1:45" x14ac:dyDescent="0.2">
      <c r="A489" s="1507">
        <v>6</v>
      </c>
      <c r="B489" s="1524" t="s">
        <v>503</v>
      </c>
      <c r="C489" s="1511" t="s">
        <v>254</v>
      </c>
      <c r="D489" s="1511" t="s">
        <v>472</v>
      </c>
      <c r="E489" s="1511"/>
      <c r="F489" s="1514"/>
      <c r="G489" s="1509" t="str">
        <f t="shared" si="31"/>
        <v>P</v>
      </c>
      <c r="H489" s="1510" t="s">
        <v>3198</v>
      </c>
      <c r="I489" s="67"/>
      <c r="J489" s="129"/>
      <c r="K489" s="187" t="s">
        <v>472</v>
      </c>
      <c r="L489" s="97" t="s">
        <v>509</v>
      </c>
      <c r="M489" s="1697"/>
      <c r="N489" s="250"/>
      <c r="O489" s="935"/>
      <c r="P489" s="905"/>
      <c r="Q489" s="905"/>
      <c r="R489" s="905"/>
      <c r="S489" s="905"/>
      <c r="T489" s="905"/>
      <c r="U489" s="905"/>
      <c r="V489" s="905"/>
      <c r="W489" s="248"/>
      <c r="X489" s="1632"/>
      <c r="Y489" s="1876"/>
      <c r="Z489" s="1879"/>
      <c r="AC489" s="248"/>
      <c r="AD489" s="248"/>
      <c r="AE489" s="248"/>
      <c r="AF489" s="248"/>
      <c r="AG489" s="248"/>
      <c r="AH489" s="248"/>
      <c r="AI489" s="248"/>
      <c r="AJ489" s="248"/>
      <c r="AK489" s="248"/>
      <c r="AL489" s="1352"/>
      <c r="AM489" s="1352"/>
      <c r="AN489" s="1352"/>
      <c r="AO489" s="1352"/>
      <c r="AP489" s="1352"/>
      <c r="AQ489" s="1352"/>
      <c r="AR489" s="1352"/>
      <c r="AS489" s="1352"/>
    </row>
    <row r="490" spans="1:45" x14ac:dyDescent="0.2">
      <c r="A490" s="1507">
        <v>6</v>
      </c>
      <c r="B490" s="1524" t="s">
        <v>503</v>
      </c>
      <c r="C490" s="1511" t="s">
        <v>254</v>
      </c>
      <c r="D490" s="1518" t="s">
        <v>510</v>
      </c>
      <c r="E490" s="1518"/>
      <c r="F490" s="1519"/>
      <c r="G490" s="1509" t="str">
        <f t="shared" si="31"/>
        <v>P</v>
      </c>
      <c r="H490" s="1520" t="s">
        <v>3198</v>
      </c>
      <c r="I490" s="67"/>
      <c r="J490" s="129"/>
      <c r="K490" s="111" t="s">
        <v>510</v>
      </c>
      <c r="L490" s="97" t="s">
        <v>511</v>
      </c>
      <c r="M490" s="1697"/>
      <c r="N490" s="250"/>
      <c r="O490" s="935"/>
      <c r="P490" s="905"/>
      <c r="Q490" s="905"/>
      <c r="R490" s="905"/>
      <c r="S490" s="905"/>
      <c r="T490" s="905"/>
      <c r="U490" s="905"/>
      <c r="V490" s="905"/>
      <c r="W490" s="248"/>
      <c r="X490" s="1632"/>
      <c r="Y490" s="1876"/>
      <c r="Z490" s="1879"/>
      <c r="AC490" s="248"/>
      <c r="AD490" s="248"/>
      <c r="AE490" s="248"/>
      <c r="AF490" s="248"/>
      <c r="AG490" s="248"/>
      <c r="AH490" s="248"/>
      <c r="AI490" s="248"/>
      <c r="AJ490" s="248"/>
      <c r="AK490" s="248"/>
      <c r="AL490" s="1352"/>
      <c r="AM490" s="1352"/>
      <c r="AN490" s="1352"/>
      <c r="AO490" s="1352"/>
      <c r="AP490" s="1352"/>
      <c r="AQ490" s="1352"/>
      <c r="AR490" s="1352"/>
      <c r="AS490" s="1352"/>
    </row>
    <row r="491" spans="1:45" x14ac:dyDescent="0.2">
      <c r="A491" s="1507">
        <v>6</v>
      </c>
      <c r="B491" s="1524" t="s">
        <v>503</v>
      </c>
      <c r="C491" s="1511" t="s">
        <v>254</v>
      </c>
      <c r="D491" s="1511" t="s">
        <v>512</v>
      </c>
      <c r="E491" s="1511"/>
      <c r="F491" s="1514"/>
      <c r="G491" s="1509" t="str">
        <f t="shared" si="31"/>
        <v>P</v>
      </c>
      <c r="H491" s="1510" t="s">
        <v>3198</v>
      </c>
      <c r="I491" s="67"/>
      <c r="J491" s="129"/>
      <c r="K491" s="187" t="s">
        <v>512</v>
      </c>
      <c r="L491" s="97" t="s">
        <v>513</v>
      </c>
      <c r="M491" s="1697"/>
      <c r="N491" s="250"/>
      <c r="O491" s="935"/>
      <c r="P491" s="905"/>
      <c r="Q491" s="905"/>
      <c r="R491" s="905"/>
      <c r="S491" s="905"/>
      <c r="T491" s="905"/>
      <c r="U491" s="905"/>
      <c r="V491" s="905"/>
      <c r="W491" s="248"/>
      <c r="X491" s="1632"/>
      <c r="Y491" s="1876"/>
      <c r="Z491" s="1879"/>
      <c r="AC491" s="248"/>
      <c r="AD491" s="248"/>
      <c r="AE491" s="248"/>
      <c r="AF491" s="248"/>
      <c r="AG491" s="248"/>
      <c r="AH491" s="248"/>
      <c r="AI491" s="248"/>
      <c r="AJ491" s="248"/>
      <c r="AK491" s="248"/>
      <c r="AL491" s="1352"/>
      <c r="AM491" s="1352"/>
      <c r="AN491" s="1352"/>
      <c r="AO491" s="1352"/>
      <c r="AP491" s="1352"/>
      <c r="AQ491" s="1352"/>
      <c r="AR491" s="1352"/>
      <c r="AS491" s="1352"/>
    </row>
    <row r="492" spans="1:45" x14ac:dyDescent="0.2">
      <c r="A492" s="1507">
        <v>6</v>
      </c>
      <c r="B492" s="1524" t="s">
        <v>503</v>
      </c>
      <c r="C492" s="1511" t="s">
        <v>254</v>
      </c>
      <c r="D492" s="1511" t="s">
        <v>514</v>
      </c>
      <c r="E492" s="1511"/>
      <c r="F492" s="1514"/>
      <c r="G492" s="1509" t="str">
        <f t="shared" si="31"/>
        <v>P</v>
      </c>
      <c r="H492" s="1510" t="s">
        <v>3198</v>
      </c>
      <c r="I492" s="67"/>
      <c r="J492" s="129"/>
      <c r="K492" s="187" t="s">
        <v>514</v>
      </c>
      <c r="L492" s="97" t="s">
        <v>515</v>
      </c>
      <c r="M492" s="1697"/>
      <c r="N492" s="250"/>
      <c r="O492" s="935"/>
      <c r="P492" s="905"/>
      <c r="Q492" s="905"/>
      <c r="R492" s="905"/>
      <c r="S492" s="905"/>
      <c r="T492" s="905"/>
      <c r="U492" s="905"/>
      <c r="V492" s="905"/>
      <c r="W492" s="248"/>
      <c r="X492" s="1632"/>
      <c r="Y492" s="1876"/>
      <c r="Z492" s="1879"/>
      <c r="AC492" s="248"/>
      <c r="AD492" s="248"/>
      <c r="AE492" s="248"/>
      <c r="AF492" s="248"/>
      <c r="AG492" s="248"/>
      <c r="AH492" s="248"/>
      <c r="AI492" s="248"/>
      <c r="AJ492" s="248"/>
      <c r="AK492" s="248"/>
      <c r="AL492" s="1352"/>
      <c r="AM492" s="1352"/>
      <c r="AN492" s="1352"/>
      <c r="AO492" s="1352"/>
      <c r="AP492" s="1352"/>
      <c r="AQ492" s="1352"/>
      <c r="AR492" s="1352"/>
      <c r="AS492" s="1352"/>
    </row>
    <row r="493" spans="1:45" s="755" customFormat="1" x14ac:dyDescent="0.2">
      <c r="A493" s="1507">
        <v>6</v>
      </c>
      <c r="B493" s="1524" t="s">
        <v>503</v>
      </c>
      <c r="C493" s="1511" t="s">
        <v>254</v>
      </c>
      <c r="D493" s="1511"/>
      <c r="E493" s="1511"/>
      <c r="F493" s="1514"/>
      <c r="G493" s="1509" t="str">
        <f t="shared" si="31"/>
        <v>P</v>
      </c>
      <c r="H493" s="1510" t="s">
        <v>3198</v>
      </c>
      <c r="I493" s="67"/>
      <c r="J493" s="129"/>
      <c r="K493" s="187"/>
      <c r="L493" s="1705" t="s">
        <v>3822</v>
      </c>
      <c r="M493" s="775"/>
      <c r="N493" s="762"/>
      <c r="O493" s="935"/>
      <c r="P493" s="905"/>
      <c r="Q493" s="905"/>
      <c r="R493" s="905"/>
      <c r="S493" s="905"/>
      <c r="T493" s="905"/>
      <c r="U493" s="905"/>
      <c r="V493" s="905"/>
      <c r="X493" s="1632"/>
      <c r="Y493" s="1876"/>
      <c r="Z493" s="1879"/>
      <c r="AL493" s="1352"/>
      <c r="AM493" s="1352"/>
      <c r="AN493" s="1352"/>
      <c r="AO493" s="1352"/>
      <c r="AP493" s="1352"/>
      <c r="AQ493" s="1352"/>
      <c r="AR493" s="1352"/>
      <c r="AS493" s="1352"/>
    </row>
    <row r="494" spans="1:45" s="755" customFormat="1" ht="16" thickBot="1" x14ac:dyDescent="0.25">
      <c r="A494" s="1507">
        <v>6</v>
      </c>
      <c r="B494" s="1524" t="s">
        <v>503</v>
      </c>
      <c r="C494" s="1511" t="s">
        <v>254</v>
      </c>
      <c r="D494" s="1511"/>
      <c r="E494" s="1511"/>
      <c r="F494" s="1514"/>
      <c r="G494" s="1509" t="str">
        <f t="shared" si="31"/>
        <v>P</v>
      </c>
      <c r="H494" s="1510" t="s">
        <v>3198</v>
      </c>
      <c r="I494" s="67"/>
      <c r="J494" s="213"/>
      <c r="K494" s="221"/>
      <c r="L494" s="1710"/>
      <c r="M494" s="754"/>
      <c r="N494" s="762"/>
      <c r="O494" s="935"/>
      <c r="P494" s="905"/>
      <c r="Q494" s="905"/>
      <c r="R494" s="905"/>
      <c r="S494" s="905"/>
      <c r="T494" s="905"/>
      <c r="U494" s="905"/>
      <c r="V494" s="905"/>
      <c r="X494" s="1599"/>
      <c r="Y494" s="1877"/>
      <c r="Z494" s="1880"/>
      <c r="AL494" s="1352"/>
      <c r="AM494" s="1352"/>
      <c r="AN494" s="1352"/>
      <c r="AO494" s="1352"/>
      <c r="AP494" s="1352"/>
      <c r="AQ494" s="1352"/>
      <c r="AR494" s="1352"/>
      <c r="AS494" s="1352"/>
    </row>
    <row r="495" spans="1:45" ht="16" hidden="1" thickBot="1" x14ac:dyDescent="0.25">
      <c r="A495" s="1507">
        <v>6</v>
      </c>
      <c r="B495" s="1524" t="s">
        <v>503</v>
      </c>
      <c r="C495" s="1511" t="s">
        <v>255</v>
      </c>
      <c r="D495" s="1524"/>
      <c r="E495" s="1524"/>
      <c r="F495" s="1526"/>
      <c r="G495" s="1509" t="str">
        <f>IF(N495&gt;0,"P","")</f>
        <v/>
      </c>
      <c r="H495" s="1527" t="s">
        <v>3198</v>
      </c>
      <c r="I495" s="67"/>
      <c r="J495" s="180" t="s">
        <v>255</v>
      </c>
      <c r="K495" s="97"/>
      <c r="L495" s="1609" t="s">
        <v>516</v>
      </c>
      <c r="M495" s="1623">
        <v>2</v>
      </c>
      <c r="N495" s="1755">
        <f>'11.600'!O197</f>
        <v>0</v>
      </c>
      <c r="O495" s="1619">
        <f>M495*S495*W495</f>
        <v>0</v>
      </c>
      <c r="P495" s="905" t="b">
        <v>1</v>
      </c>
      <c r="Q495" s="905" t="b">
        <v>0</v>
      </c>
      <c r="R495" s="905" t="b">
        <v>0</v>
      </c>
      <c r="S495" s="905" t="b">
        <v>1</v>
      </c>
      <c r="T495" s="905" t="b">
        <v>0</v>
      </c>
      <c r="U495" s="905"/>
      <c r="V495" s="905"/>
      <c r="W495" s="27"/>
      <c r="X495" s="1600"/>
      <c r="Y495" s="1874" t="str">
        <f>IF(LEN('11.600'!X197)=0,"None",'11.600'!X197)</f>
        <v>None</v>
      </c>
      <c r="Z495" s="1889"/>
      <c r="AC495" s="248"/>
      <c r="AD495" s="248"/>
      <c r="AE495" s="248"/>
      <c r="AF495" s="248"/>
      <c r="AG495" s="248"/>
      <c r="AH495" s="248"/>
      <c r="AI495" s="248"/>
      <c r="AJ495" s="248"/>
      <c r="AK495" s="248"/>
      <c r="AL495" s="1352" t="str">
        <f>SUBSTITUTE(SUBSTITUTE(SUBSTITUTE("vpa"&amp;$B495&amp;$C495&amp;$D495&amp;$E495&amp;$F495,".","_"),"(","_"),")","")</f>
        <v>vpa602_1_9_2</v>
      </c>
      <c r="AM495" s="1352">
        <f>M495</f>
        <v>2</v>
      </c>
      <c r="AN495" s="1352" t="str">
        <f>SUBSTITUTE(SUBSTITUTE(SUBSTITUTE("vpc"&amp;$B495&amp;$C495&amp;$D495&amp;$E495&amp;$F495,".","_"),"(","_"),")","")</f>
        <v>vpc602_1_9_2</v>
      </c>
      <c r="AO495" s="1352">
        <f>O495</f>
        <v>0</v>
      </c>
      <c r="AP495" s="1352" t="str">
        <f>SUBSTITUTE(SUBSTITUTE(SUBSTITUTE("vch"&amp;$B495&amp;$C495&amp;$D495&amp;$E495&amp;$F495,".","_"),"(","_"),")","")</f>
        <v>vch602_1_9_2</v>
      </c>
      <c r="AQ495" s="1352" t="str">
        <f>IF(LEN(W495)=0,"",W495)</f>
        <v/>
      </c>
      <c r="AR495" s="1352" t="str">
        <f>SUBSTITUTE(SUBSTITUTE(SUBSTITUTE("vnt"&amp;$B495&amp;$C495&amp;$D495&amp;$E495&amp;$F495,".","_"),"(","_"),")","")</f>
        <v>vnt602_1_9_2</v>
      </c>
      <c r="AS495" s="1352" t="str">
        <f>IF(LEN(X495)=0,"",X495)</f>
        <v/>
      </c>
    </row>
    <row r="496" spans="1:45" ht="16" hidden="1" thickBot="1" x14ac:dyDescent="0.25">
      <c r="A496" s="1507">
        <v>6</v>
      </c>
      <c r="B496" s="1524" t="s">
        <v>503</v>
      </c>
      <c r="C496" s="1511" t="s">
        <v>255</v>
      </c>
      <c r="D496" s="1524"/>
      <c r="E496" s="1524"/>
      <c r="F496" s="1526"/>
      <c r="G496" s="1509" t="str">
        <f>G495</f>
        <v/>
      </c>
      <c r="H496" s="1527" t="s">
        <v>3198</v>
      </c>
      <c r="I496" s="67"/>
      <c r="J496" s="129"/>
      <c r="K496" s="97"/>
      <c r="L496" s="1609"/>
      <c r="M496" s="1623"/>
      <c r="N496" s="1755"/>
      <c r="O496" s="1619"/>
      <c r="P496" s="905"/>
      <c r="Q496" s="905"/>
      <c r="R496" s="905"/>
      <c r="S496" s="905"/>
      <c r="T496" s="905"/>
      <c r="U496" s="905"/>
      <c r="V496" s="905"/>
      <c r="W496" s="248"/>
      <c r="X496" s="1600"/>
      <c r="Y496" s="1874"/>
      <c r="Z496" s="1889"/>
      <c r="AC496" s="248"/>
      <c r="AD496" s="248"/>
      <c r="AE496" s="248"/>
      <c r="AF496" s="248"/>
      <c r="AG496" s="248"/>
      <c r="AH496" s="248"/>
      <c r="AI496" s="248"/>
      <c r="AJ496" s="248"/>
      <c r="AK496" s="248"/>
      <c r="AL496" s="1352"/>
      <c r="AM496" s="1352"/>
      <c r="AN496" s="1352"/>
      <c r="AO496" s="1352"/>
      <c r="AP496" s="1352"/>
      <c r="AQ496" s="1352"/>
      <c r="AR496" s="1352"/>
      <c r="AS496" s="1352"/>
    </row>
    <row r="497" spans="1:45" ht="16" hidden="1" thickBot="1" x14ac:dyDescent="0.25">
      <c r="A497" s="1507">
        <v>6</v>
      </c>
      <c r="B497" s="1524" t="s">
        <v>503</v>
      </c>
      <c r="C497" s="1511" t="s">
        <v>255</v>
      </c>
      <c r="D497" s="1524"/>
      <c r="E497" s="1524"/>
      <c r="F497" s="1526"/>
      <c r="G497" s="1509" t="str">
        <f>G496</f>
        <v/>
      </c>
      <c r="H497" s="1527" t="s">
        <v>3198</v>
      </c>
      <c r="I497" s="67"/>
      <c r="J497" s="213"/>
      <c r="K497" s="170"/>
      <c r="L497" s="1612"/>
      <c r="M497" s="1624"/>
      <c r="N497" s="1756"/>
      <c r="O497" s="1620"/>
      <c r="P497" s="905"/>
      <c r="Q497" s="905"/>
      <c r="R497" s="905"/>
      <c r="S497" s="905"/>
      <c r="T497" s="905"/>
      <c r="U497" s="905"/>
      <c r="V497" s="905"/>
      <c r="W497" s="248"/>
      <c r="X497" s="1600"/>
      <c r="Y497" s="1874"/>
      <c r="Z497" s="1889"/>
      <c r="AC497" s="248"/>
      <c r="AD497" s="248"/>
      <c r="AE497" s="248"/>
      <c r="AF497" s="248"/>
      <c r="AG497" s="248"/>
      <c r="AH497" s="248"/>
      <c r="AI497" s="248"/>
      <c r="AJ497" s="248"/>
      <c r="AK497" s="248"/>
      <c r="AL497" s="1352"/>
      <c r="AM497" s="1352"/>
      <c r="AN497" s="1352"/>
      <c r="AO497" s="1352"/>
      <c r="AP497" s="1352"/>
      <c r="AQ497" s="1352"/>
      <c r="AR497" s="1352"/>
      <c r="AS497" s="1352"/>
    </row>
    <row r="498" spans="1:45" ht="17" hidden="1" thickBot="1" x14ac:dyDescent="0.25">
      <c r="A498" s="1507">
        <v>6</v>
      </c>
      <c r="B498" s="1524" t="s">
        <v>503</v>
      </c>
      <c r="C498" s="1511" t="s">
        <v>256</v>
      </c>
      <c r="D498" s="1524"/>
      <c r="E498" s="1524"/>
      <c r="F498" s="1526"/>
      <c r="G498" s="1509" t="str">
        <f>IF(N498&gt;0,"P","")</f>
        <v/>
      </c>
      <c r="H498" s="1527" t="s">
        <v>3198</v>
      </c>
      <c r="I498" s="67"/>
      <c r="J498" s="209" t="s">
        <v>256</v>
      </c>
      <c r="K498" s="210"/>
      <c r="L498" s="210" t="s">
        <v>517</v>
      </c>
      <c r="M498" s="379">
        <v>3</v>
      </c>
      <c r="N498" s="215">
        <f>'11.600'!O200</f>
        <v>0</v>
      </c>
      <c r="O498" s="378">
        <f>M498*S498*W498</f>
        <v>0</v>
      </c>
      <c r="P498" s="905" t="b">
        <v>1</v>
      </c>
      <c r="Q498" s="905" t="b">
        <v>0</v>
      </c>
      <c r="R498" s="905" t="b">
        <v>0</v>
      </c>
      <c r="S498" s="905" t="b">
        <v>1</v>
      </c>
      <c r="T498" s="905" t="b">
        <v>0</v>
      </c>
      <c r="U498" s="905"/>
      <c r="V498" s="905"/>
      <c r="W498" s="27"/>
      <c r="X498" s="249"/>
      <c r="Y498" s="267" t="str">
        <f>IF(LEN('11.600'!X200)=0,"None",'11.600'!X200)</f>
        <v>None</v>
      </c>
      <c r="Z498" s="715"/>
      <c r="AC498" s="248"/>
      <c r="AD498" s="248"/>
      <c r="AE498" s="248"/>
      <c r="AF498" s="248"/>
      <c r="AG498" s="248"/>
      <c r="AH498" s="248"/>
      <c r="AI498" s="248"/>
      <c r="AJ498" s="248"/>
      <c r="AK498" s="248"/>
      <c r="AL498" s="1352" t="str">
        <f>SUBSTITUTE(SUBSTITUTE(SUBSTITUTE("vpa"&amp;$B498&amp;$C498&amp;$D498&amp;$E498&amp;$F498,".","_"),"(","_"),")","")</f>
        <v>vpa602_1_9_3</v>
      </c>
      <c r="AM498" s="1352">
        <f>M498</f>
        <v>3</v>
      </c>
      <c r="AN498" s="1352" t="str">
        <f>SUBSTITUTE(SUBSTITUTE(SUBSTITUTE("vpc"&amp;$B498&amp;$C498&amp;$D498&amp;$E498&amp;$F498,".","_"),"(","_"),")","")</f>
        <v>vpc602_1_9_3</v>
      </c>
      <c r="AO498" s="1352">
        <f>O498</f>
        <v>0</v>
      </c>
      <c r="AP498" s="1352" t="str">
        <f>SUBSTITUTE(SUBSTITUTE(SUBSTITUTE("vch"&amp;$B498&amp;$C498&amp;$D498&amp;$E498&amp;$F498,".","_"),"(","_"),")","")</f>
        <v>vch602_1_9_3</v>
      </c>
      <c r="AQ498" s="1352" t="str">
        <f>IF(LEN(W498)=0,"",W498)</f>
        <v/>
      </c>
      <c r="AR498" s="1352" t="str">
        <f>SUBSTITUTE(SUBSTITUTE(SUBSTITUTE("vnt"&amp;$B498&amp;$C498&amp;$D498&amp;$E498&amp;$F498,".","_"),"(","_"),")","")</f>
        <v>vnt602_1_9_3</v>
      </c>
      <c r="AS498" s="1352" t="str">
        <f>IF(LEN(X498)=0,"",X498)</f>
        <v/>
      </c>
    </row>
    <row r="499" spans="1:45" ht="16" hidden="1" thickBot="1" x14ac:dyDescent="0.25">
      <c r="A499" s="1507">
        <v>6</v>
      </c>
      <c r="B499" s="1524" t="s">
        <v>503</v>
      </c>
      <c r="C499" s="1511" t="s">
        <v>259</v>
      </c>
      <c r="D499" s="1524"/>
      <c r="E499" s="1524"/>
      <c r="F499" s="1526"/>
      <c r="G499" s="1509" t="str">
        <f>IF(N499&gt;0,"P","")</f>
        <v/>
      </c>
      <c r="H499" s="1527" t="s">
        <v>3198</v>
      </c>
      <c r="I499" s="67"/>
      <c r="J499" s="212" t="s">
        <v>259</v>
      </c>
      <c r="K499" s="194"/>
      <c r="L499" s="1613" t="s">
        <v>518</v>
      </c>
      <c r="M499" s="1636">
        <v>3</v>
      </c>
      <c r="N499" s="1758">
        <f>'11.600'!O201</f>
        <v>0</v>
      </c>
      <c r="O499" s="1637">
        <f>M499*S499*W499</f>
        <v>0</v>
      </c>
      <c r="P499" s="905" t="b">
        <v>1</v>
      </c>
      <c r="Q499" s="905" t="b">
        <v>0</v>
      </c>
      <c r="R499" s="905" t="b">
        <v>0</v>
      </c>
      <c r="S499" s="905" t="b">
        <v>1</v>
      </c>
      <c r="T499" s="905" t="b">
        <v>0</v>
      </c>
      <c r="U499" s="905"/>
      <c r="V499" s="905"/>
      <c r="W499" s="27"/>
      <c r="X499" s="1600"/>
      <c r="Y499" s="1874" t="str">
        <f>IF(LEN('11.600'!X201)=0,"None",'11.600'!X201)</f>
        <v>None</v>
      </c>
      <c r="Z499" s="1889"/>
      <c r="AC499" s="248"/>
      <c r="AD499" s="248"/>
      <c r="AE499" s="248"/>
      <c r="AF499" s="248"/>
      <c r="AG499" s="248"/>
      <c r="AH499" s="248"/>
      <c r="AI499" s="248"/>
      <c r="AJ499" s="248"/>
      <c r="AK499" s="248"/>
      <c r="AL499" s="1352" t="str">
        <f>SUBSTITUTE(SUBSTITUTE(SUBSTITUTE("vpa"&amp;$B499&amp;$C499&amp;$D499&amp;$E499&amp;$F499,".","_"),"(","_"),")","")</f>
        <v>vpa602_1_9_4</v>
      </c>
      <c r="AM499" s="1352">
        <f>M499</f>
        <v>3</v>
      </c>
      <c r="AN499" s="1352" t="str">
        <f>SUBSTITUTE(SUBSTITUTE(SUBSTITUTE("vpc"&amp;$B499&amp;$C499&amp;$D499&amp;$E499&amp;$F499,".","_"),"(","_"),")","")</f>
        <v>vpc602_1_9_4</v>
      </c>
      <c r="AO499" s="1352">
        <f>O499</f>
        <v>0</v>
      </c>
      <c r="AP499" s="1352" t="str">
        <f>SUBSTITUTE(SUBSTITUTE(SUBSTITUTE("vch"&amp;$B499&amp;$C499&amp;$D499&amp;$E499&amp;$F499,".","_"),"(","_"),")","")</f>
        <v>vch602_1_9_4</v>
      </c>
      <c r="AQ499" s="1352" t="str">
        <f>IF(LEN(W499)=0,"",W499)</f>
        <v/>
      </c>
      <c r="AR499" s="1352" t="str">
        <f>SUBSTITUTE(SUBSTITUTE(SUBSTITUTE("vnt"&amp;$B499&amp;$C499&amp;$D499&amp;$E499&amp;$F499,".","_"),"(","_"),")","")</f>
        <v>vnt602_1_9_4</v>
      </c>
      <c r="AS499" s="1352" t="str">
        <f>IF(LEN(X499)=0,"",X499)</f>
        <v/>
      </c>
    </row>
    <row r="500" spans="1:45" ht="16" hidden="1" thickBot="1" x14ac:dyDescent="0.25">
      <c r="A500" s="1507">
        <v>6</v>
      </c>
      <c r="B500" s="1524" t="s">
        <v>503</v>
      </c>
      <c r="C500" s="1511" t="s">
        <v>259</v>
      </c>
      <c r="D500" s="1524"/>
      <c r="E500" s="1524"/>
      <c r="F500" s="1526"/>
      <c r="G500" s="1509" t="str">
        <f>G499</f>
        <v/>
      </c>
      <c r="H500" s="1527" t="s">
        <v>3198</v>
      </c>
      <c r="I500" s="67"/>
      <c r="J500" s="129"/>
      <c r="K500" s="97"/>
      <c r="L500" s="1609"/>
      <c r="M500" s="1623"/>
      <c r="N500" s="1755"/>
      <c r="O500" s="1619"/>
      <c r="P500" s="905"/>
      <c r="Q500" s="905"/>
      <c r="R500" s="905"/>
      <c r="S500" s="905"/>
      <c r="T500" s="905"/>
      <c r="U500" s="905"/>
      <c r="V500" s="905"/>
      <c r="W500" s="248"/>
      <c r="X500" s="1600"/>
      <c r="Y500" s="1874"/>
      <c r="Z500" s="1889"/>
      <c r="AC500" s="248"/>
      <c r="AD500" s="248"/>
      <c r="AE500" s="248"/>
      <c r="AF500" s="248"/>
      <c r="AG500" s="248"/>
      <c r="AH500" s="248"/>
      <c r="AI500" s="248"/>
      <c r="AJ500" s="248"/>
      <c r="AK500" s="248"/>
      <c r="AL500" s="1352"/>
      <c r="AM500" s="1352"/>
      <c r="AN500" s="1352"/>
      <c r="AO500" s="1352"/>
      <c r="AP500" s="1352"/>
      <c r="AQ500" s="1352"/>
      <c r="AR500" s="1352"/>
      <c r="AS500" s="1352"/>
    </row>
    <row r="501" spans="1:45" ht="16" hidden="1" thickBot="1" x14ac:dyDescent="0.25">
      <c r="A501" s="1507">
        <v>6</v>
      </c>
      <c r="B501" s="1524" t="s">
        <v>503</v>
      </c>
      <c r="C501" s="1511" t="s">
        <v>259</v>
      </c>
      <c r="D501" s="1524"/>
      <c r="E501" s="1524"/>
      <c r="F501" s="1526"/>
      <c r="G501" s="1509" t="str">
        <f>G500</f>
        <v/>
      </c>
      <c r="H501" s="1527" t="s">
        <v>3198</v>
      </c>
      <c r="I501" s="67"/>
      <c r="J501" s="129"/>
      <c r="K501" s="97"/>
      <c r="L501" s="1609"/>
      <c r="M501" s="1623"/>
      <c r="N501" s="1755"/>
      <c r="O501" s="1619"/>
      <c r="P501" s="905"/>
      <c r="Q501" s="905"/>
      <c r="R501" s="905"/>
      <c r="S501" s="905"/>
      <c r="T501" s="905"/>
      <c r="U501" s="905"/>
      <c r="V501" s="905"/>
      <c r="W501" s="248"/>
      <c r="X501" s="1600"/>
      <c r="Y501" s="1874"/>
      <c r="Z501" s="1889"/>
      <c r="AC501" s="248"/>
      <c r="AD501" s="248"/>
      <c r="AE501" s="248"/>
      <c r="AF501" s="248"/>
      <c r="AG501" s="248"/>
      <c r="AH501" s="248"/>
      <c r="AI501" s="248"/>
      <c r="AJ501" s="248"/>
      <c r="AK501" s="248"/>
      <c r="AL501" s="1352"/>
      <c r="AM501" s="1352"/>
      <c r="AN501" s="1352"/>
      <c r="AO501" s="1352"/>
      <c r="AP501" s="1352"/>
      <c r="AQ501" s="1352"/>
      <c r="AR501" s="1352"/>
      <c r="AS501" s="1352"/>
    </row>
    <row r="502" spans="1:45" ht="16" hidden="1" thickBot="1" x14ac:dyDescent="0.25">
      <c r="A502" s="1507">
        <v>6</v>
      </c>
      <c r="B502" s="1524" t="s">
        <v>503</v>
      </c>
      <c r="C502" s="1511" t="s">
        <v>259</v>
      </c>
      <c r="D502" s="1524"/>
      <c r="E502" s="1524"/>
      <c r="F502" s="1526"/>
      <c r="G502" s="1509" t="str">
        <f>G501</f>
        <v/>
      </c>
      <c r="H502" s="1527" t="s">
        <v>3198</v>
      </c>
      <c r="I502" s="67"/>
      <c r="J502" s="213"/>
      <c r="K502" s="170"/>
      <c r="L502" s="1612"/>
      <c r="M502" s="1624"/>
      <c r="N502" s="1756"/>
      <c r="O502" s="1620"/>
      <c r="P502" s="905"/>
      <c r="Q502" s="905"/>
      <c r="R502" s="905"/>
      <c r="S502" s="905"/>
      <c r="T502" s="905"/>
      <c r="U502" s="905"/>
      <c r="V502" s="905"/>
      <c r="W502" s="248"/>
      <c r="X502" s="1600"/>
      <c r="Y502" s="1874"/>
      <c r="Z502" s="1889"/>
      <c r="AC502" s="248"/>
      <c r="AD502" s="248"/>
      <c r="AE502" s="248"/>
      <c r="AF502" s="248"/>
      <c r="AG502" s="248"/>
      <c r="AH502" s="248"/>
      <c r="AI502" s="248"/>
      <c r="AJ502" s="248"/>
      <c r="AK502" s="248"/>
      <c r="AL502" s="1352"/>
      <c r="AM502" s="1352"/>
      <c r="AN502" s="1352"/>
      <c r="AO502" s="1352"/>
      <c r="AP502" s="1352"/>
      <c r="AQ502" s="1352"/>
      <c r="AR502" s="1352"/>
      <c r="AS502" s="1352"/>
    </row>
    <row r="503" spans="1:45" ht="16" hidden="1" thickBot="1" x14ac:dyDescent="0.25">
      <c r="A503" s="1507">
        <v>6</v>
      </c>
      <c r="B503" s="1524" t="s">
        <v>503</v>
      </c>
      <c r="C503" s="1511" t="s">
        <v>263</v>
      </c>
      <c r="D503" s="1524"/>
      <c r="E503" s="1524"/>
      <c r="F503" s="1526"/>
      <c r="G503" s="1509" t="str">
        <f ca="1">IF(N503&gt;0,"P","")</f>
        <v/>
      </c>
      <c r="H503" s="1527" t="s">
        <v>3198</v>
      </c>
      <c r="I503" s="67"/>
      <c r="J503" s="29" t="s">
        <v>263</v>
      </c>
      <c r="K503" s="85"/>
      <c r="L503" s="85" t="s">
        <v>519</v>
      </c>
      <c r="M503" s="911"/>
      <c r="N503" s="250">
        <f ca="1">'11.600'!O205</f>
        <v>0</v>
      </c>
      <c r="O503" s="935">
        <f ca="1">IFERROR(INDEX({4,2},MATCH(W503,INDIRECT(U503),0)),0)</f>
        <v>0</v>
      </c>
      <c r="P503" s="905" t="b">
        <v>1</v>
      </c>
      <c r="Q503" s="905" t="b">
        <v>0</v>
      </c>
      <c r="R503" s="905" t="b">
        <v>0</v>
      </c>
      <c r="S503" s="905" t="b">
        <v>1</v>
      </c>
      <c r="T503" s="905" t="b">
        <v>0</v>
      </c>
      <c r="U503" s="991" t="str">
        <f>SUBSTITUTE(SUBSTITUTE(SUBSTITUTE("dd"&amp;B503&amp;C503&amp;D503&amp;E503&amp;F503,".","_"),"(","_"),")","")</f>
        <v>dd602_1_9_5</v>
      </c>
      <c r="V503" s="905"/>
      <c r="W503" s="12"/>
      <c r="X503" s="1600"/>
      <c r="Y503" s="1874" t="str">
        <f>IF(LEN('11.600'!X205)=0,"None",'11.600'!X205)</f>
        <v>None</v>
      </c>
      <c r="Z503" s="1889"/>
      <c r="AC503" s="248"/>
      <c r="AD503" s="248"/>
      <c r="AE503" s="248"/>
      <c r="AF503" s="248"/>
      <c r="AG503" s="248"/>
      <c r="AH503" s="248"/>
      <c r="AI503" s="248"/>
      <c r="AJ503" s="248"/>
      <c r="AK503" s="248"/>
      <c r="AL503" s="1352"/>
      <c r="AM503" s="1352"/>
      <c r="AN503" s="1352" t="str">
        <f>SUBSTITUTE(SUBSTITUTE(SUBSTITUTE("vpc"&amp;$B503&amp;$C503&amp;$D503&amp;$E503&amp;$F503,".","_"),"(","_"),")","")</f>
        <v>vpc602_1_9_5</v>
      </c>
      <c r="AO503" s="1352">
        <f ca="1">O503</f>
        <v>0</v>
      </c>
      <c r="AP503" s="1352" t="str">
        <f>SUBSTITUTE(SUBSTITUTE(SUBSTITUTE("vch"&amp;$B503&amp;$C503&amp;$D503&amp;$E503&amp;$F503,".","_"),"(","_"),")","")</f>
        <v>vch602_1_9_5</v>
      </c>
      <c r="AQ503" s="1352" t="str">
        <f>IF(LEN(W503)=0,"",W503)</f>
        <v/>
      </c>
      <c r="AR503" s="1352" t="str">
        <f>SUBSTITUTE(SUBSTITUTE(SUBSTITUTE("vnt"&amp;$B503&amp;$C503&amp;$D503&amp;$E503&amp;$F503,".","_"),"(","_"),")","")</f>
        <v>vnt602_1_9_5</v>
      </c>
      <c r="AS503" s="1352" t="str">
        <f>IF(LEN(X503)=0,"",X503)</f>
        <v/>
      </c>
    </row>
    <row r="504" spans="1:45" ht="16" hidden="1" thickBot="1" x14ac:dyDescent="0.25">
      <c r="A504" s="1507">
        <v>6</v>
      </c>
      <c r="B504" s="1524" t="s">
        <v>503</v>
      </c>
      <c r="C504" s="1511" t="s">
        <v>263</v>
      </c>
      <c r="D504" s="1511" t="s">
        <v>121</v>
      </c>
      <c r="E504" s="1511"/>
      <c r="F504" s="1514"/>
      <c r="G504" s="1509" t="str">
        <f ca="1">G503</f>
        <v/>
      </c>
      <c r="H504" s="1512" t="s">
        <v>3198</v>
      </c>
      <c r="I504" s="67"/>
      <c r="J504" s="4"/>
      <c r="K504" s="93" t="s">
        <v>121</v>
      </c>
      <c r="L504" s="1609" t="s">
        <v>520</v>
      </c>
      <c r="M504" s="1623">
        <v>4</v>
      </c>
      <c r="N504" s="250"/>
      <c r="O504" s="935"/>
      <c r="P504" s="905"/>
      <c r="Q504" s="905"/>
      <c r="R504" s="905"/>
      <c r="S504" s="905"/>
      <c r="T504" s="905"/>
      <c r="U504" s="905"/>
      <c r="V504" s="905"/>
      <c r="W504" s="248"/>
      <c r="X504" s="1600"/>
      <c r="Y504" s="1874"/>
      <c r="Z504" s="1889"/>
      <c r="AC504" s="248"/>
      <c r="AD504" s="248"/>
      <c r="AE504" s="248"/>
      <c r="AF504" s="248"/>
      <c r="AG504" s="248"/>
      <c r="AH504" s="248"/>
      <c r="AI504" s="248"/>
      <c r="AJ504" s="248"/>
      <c r="AK504" s="248"/>
      <c r="AL504" s="1352" t="str">
        <f>SUBSTITUTE(SUBSTITUTE(SUBSTITUTE("vpa"&amp;$B504&amp;$C504&amp;$D504&amp;$E504&amp;$F504,".","_"),"(","_"),")","")</f>
        <v>vpa602_1_9_5_a</v>
      </c>
      <c r="AM504" s="1352">
        <f>M504</f>
        <v>4</v>
      </c>
      <c r="AN504" s="1352"/>
      <c r="AO504" s="1352"/>
      <c r="AP504" s="1352"/>
      <c r="AQ504" s="1352"/>
      <c r="AR504" s="1352"/>
      <c r="AS504" s="1352"/>
    </row>
    <row r="505" spans="1:45" ht="16" hidden="1" thickBot="1" x14ac:dyDescent="0.25">
      <c r="A505" s="1507">
        <v>6</v>
      </c>
      <c r="B505" s="1524" t="s">
        <v>503</v>
      </c>
      <c r="C505" s="1511" t="s">
        <v>263</v>
      </c>
      <c r="D505" s="1511" t="s">
        <v>121</v>
      </c>
      <c r="E505" s="1511"/>
      <c r="F505" s="1514"/>
      <c r="G505" s="1509" t="str">
        <f ca="1">G504</f>
        <v/>
      </c>
      <c r="H505" s="1512" t="s">
        <v>3198</v>
      </c>
      <c r="I505" s="67"/>
      <c r="J505" s="4"/>
      <c r="K505" s="93"/>
      <c r="L505" s="1609"/>
      <c r="M505" s="1623"/>
      <c r="N505" s="250"/>
      <c r="O505" s="935"/>
      <c r="P505" s="905"/>
      <c r="Q505" s="905"/>
      <c r="R505" s="905"/>
      <c r="S505" s="905"/>
      <c r="T505" s="905"/>
      <c r="U505" s="905"/>
      <c r="V505" s="905"/>
      <c r="W505" s="248"/>
      <c r="X505" s="1600"/>
      <c r="Y505" s="1874"/>
      <c r="Z505" s="1889"/>
      <c r="AC505" s="248"/>
      <c r="AD505" s="248"/>
      <c r="AE505" s="248"/>
      <c r="AF505" s="248"/>
      <c r="AG505" s="248"/>
      <c r="AH505" s="248"/>
      <c r="AI505" s="248"/>
      <c r="AJ505" s="248"/>
      <c r="AK505" s="248"/>
      <c r="AL505" s="1352"/>
      <c r="AM505" s="1352"/>
      <c r="AN505" s="1352"/>
      <c r="AO505" s="1352"/>
      <c r="AP505" s="1352"/>
      <c r="AQ505" s="1352"/>
      <c r="AR505" s="1352"/>
      <c r="AS505" s="1352"/>
    </row>
    <row r="506" spans="1:45" ht="16" hidden="1" thickBot="1" x14ac:dyDescent="0.25">
      <c r="A506" s="1507">
        <v>6</v>
      </c>
      <c r="B506" s="1524" t="s">
        <v>503</v>
      </c>
      <c r="C506" s="1511" t="s">
        <v>263</v>
      </c>
      <c r="D506" s="1511" t="s">
        <v>121</v>
      </c>
      <c r="E506" s="1511"/>
      <c r="F506" s="1514"/>
      <c r="G506" s="1509" t="str">
        <f ca="1">G505</f>
        <v/>
      </c>
      <c r="H506" s="1512" t="s">
        <v>3198</v>
      </c>
      <c r="I506" s="67"/>
      <c r="J506" s="4"/>
      <c r="K506" s="169"/>
      <c r="L506" s="1612"/>
      <c r="M506" s="1624"/>
      <c r="N506" s="250"/>
      <c r="O506" s="935"/>
      <c r="P506" s="905"/>
      <c r="Q506" s="905"/>
      <c r="R506" s="905"/>
      <c r="S506" s="905"/>
      <c r="T506" s="905"/>
      <c r="U506" s="905"/>
      <c r="V506" s="905"/>
      <c r="W506" s="248"/>
      <c r="X506" s="1600"/>
      <c r="Y506" s="1874"/>
      <c r="Z506" s="1889"/>
      <c r="AC506" s="248"/>
      <c r="AD506" s="248"/>
      <c r="AE506" s="248"/>
      <c r="AF506" s="248"/>
      <c r="AG506" s="248"/>
      <c r="AH506" s="248"/>
      <c r="AI506" s="248"/>
      <c r="AJ506" s="248"/>
      <c r="AK506" s="248"/>
      <c r="AL506" s="1352"/>
      <c r="AM506" s="1352"/>
      <c r="AN506" s="1352"/>
      <c r="AO506" s="1352"/>
      <c r="AP506" s="1352"/>
      <c r="AQ506" s="1352"/>
      <c r="AR506" s="1352"/>
      <c r="AS506" s="1352"/>
    </row>
    <row r="507" spans="1:45" ht="16" hidden="1" thickBot="1" x14ac:dyDescent="0.25">
      <c r="A507" s="1507">
        <v>6</v>
      </c>
      <c r="B507" s="1524" t="s">
        <v>503</v>
      </c>
      <c r="C507" s="1511" t="s">
        <v>263</v>
      </c>
      <c r="D507" s="1511" t="s">
        <v>122</v>
      </c>
      <c r="E507" s="1511"/>
      <c r="F507" s="1514"/>
      <c r="G507" s="1509" t="str">
        <f ca="1">G506</f>
        <v/>
      </c>
      <c r="H507" s="1512" t="s">
        <v>3198</v>
      </c>
      <c r="I507" s="67"/>
      <c r="J507" s="129"/>
      <c r="K507" s="93" t="s">
        <v>122</v>
      </c>
      <c r="L507" s="1609" t="s">
        <v>521</v>
      </c>
      <c r="M507" s="1623">
        <v>2</v>
      </c>
      <c r="N507" s="251"/>
      <c r="O507" s="908"/>
      <c r="P507" s="905"/>
      <c r="Q507" s="905"/>
      <c r="R507" s="905"/>
      <c r="S507" s="905"/>
      <c r="T507" s="905"/>
      <c r="U507" s="905"/>
      <c r="V507" s="905"/>
      <c r="W507" s="248"/>
      <c r="X507" s="1600"/>
      <c r="Y507" s="1874"/>
      <c r="Z507" s="1889"/>
      <c r="AC507" s="248"/>
      <c r="AD507" s="248"/>
      <c r="AE507" s="248"/>
      <c r="AF507" s="248"/>
      <c r="AG507" s="248"/>
      <c r="AH507" s="248"/>
      <c r="AI507" s="248"/>
      <c r="AJ507" s="248"/>
      <c r="AK507" s="248"/>
      <c r="AL507" s="1352" t="str">
        <f>SUBSTITUTE(SUBSTITUTE(SUBSTITUTE("vpa"&amp;$B507&amp;$C507&amp;$D507&amp;$E507&amp;$F507,".","_"),"(","_"),")","")</f>
        <v>vpa602_1_9_5_b</v>
      </c>
      <c r="AM507" s="1352">
        <f>M507</f>
        <v>2</v>
      </c>
      <c r="AN507" s="1352"/>
      <c r="AO507" s="1352"/>
      <c r="AP507" s="1352"/>
      <c r="AQ507" s="1352"/>
      <c r="AR507" s="1352"/>
      <c r="AS507" s="1352"/>
    </row>
    <row r="508" spans="1:45" ht="16" hidden="1" thickBot="1" x14ac:dyDescent="0.25">
      <c r="A508" s="1507">
        <v>6</v>
      </c>
      <c r="B508" s="1524" t="s">
        <v>503</v>
      </c>
      <c r="C508" s="1511" t="s">
        <v>263</v>
      </c>
      <c r="D508" s="1511" t="s">
        <v>122</v>
      </c>
      <c r="E508" s="1511"/>
      <c r="F508" s="1514"/>
      <c r="G508" s="1509" t="str">
        <f ca="1">G507</f>
        <v/>
      </c>
      <c r="H508" s="1512" t="s">
        <v>3198</v>
      </c>
      <c r="I508" s="67"/>
      <c r="J508" s="213"/>
      <c r="K508" s="170"/>
      <c r="L508" s="1612"/>
      <c r="M508" s="1624"/>
      <c r="N508" s="252"/>
      <c r="O508" s="909"/>
      <c r="P508" s="905"/>
      <c r="Q508" s="905"/>
      <c r="R508" s="905"/>
      <c r="S508" s="905"/>
      <c r="T508" s="905"/>
      <c r="U508" s="905"/>
      <c r="V508" s="905"/>
      <c r="W508" s="248"/>
      <c r="X508" s="1600"/>
      <c r="Y508" s="1874"/>
      <c r="Z508" s="1889"/>
      <c r="AC508" s="248"/>
      <c r="AD508" s="248"/>
      <c r="AE508" s="248"/>
      <c r="AF508" s="248"/>
      <c r="AG508" s="248"/>
      <c r="AH508" s="248"/>
      <c r="AI508" s="248"/>
      <c r="AJ508" s="248"/>
      <c r="AK508" s="248"/>
      <c r="AL508" s="1352"/>
      <c r="AM508" s="1352"/>
      <c r="AN508" s="1352"/>
      <c r="AO508" s="1352"/>
      <c r="AP508" s="1352"/>
      <c r="AQ508" s="1352"/>
      <c r="AR508" s="1352"/>
      <c r="AS508" s="1352"/>
    </row>
    <row r="509" spans="1:45" ht="16" hidden="1" thickBot="1" x14ac:dyDescent="0.25">
      <c r="A509" s="1507">
        <v>6</v>
      </c>
      <c r="B509" s="1524" t="s">
        <v>503</v>
      </c>
      <c r="C509" s="1511" t="s">
        <v>264</v>
      </c>
      <c r="D509" s="1524"/>
      <c r="E509" s="1524"/>
      <c r="F509" s="1526"/>
      <c r="G509" s="1509" t="str">
        <f>IF(N509&gt;0,"P","")</f>
        <v/>
      </c>
      <c r="H509" s="1527" t="s">
        <v>3198</v>
      </c>
      <c r="I509" s="67"/>
      <c r="J509" s="212" t="s">
        <v>264</v>
      </c>
      <c r="K509" s="194"/>
      <c r="L509" s="1613" t="s">
        <v>522</v>
      </c>
      <c r="M509" s="1636">
        <v>2</v>
      </c>
      <c r="N509" s="1758">
        <f>'11.600'!O211</f>
        <v>0</v>
      </c>
      <c r="O509" s="1637">
        <f>M509*S509*W509</f>
        <v>0</v>
      </c>
      <c r="P509" s="905" t="b">
        <v>1</v>
      </c>
      <c r="Q509" s="905" t="b">
        <v>0</v>
      </c>
      <c r="R509" s="905" t="b">
        <v>0</v>
      </c>
      <c r="S509" s="905" t="b">
        <v>1</v>
      </c>
      <c r="T509" s="905" t="b">
        <v>0</v>
      </c>
      <c r="U509" s="905"/>
      <c r="V509" s="905"/>
      <c r="W509" s="27"/>
      <c r="X509" s="1600"/>
      <c r="Y509" s="1874" t="str">
        <f>IF(LEN('11.600'!X211)=0,"None",'11.600'!X211)</f>
        <v>None</v>
      </c>
      <c r="Z509" s="1889"/>
      <c r="AC509" s="248"/>
      <c r="AD509" s="248"/>
      <c r="AE509" s="248"/>
      <c r="AF509" s="248"/>
      <c r="AG509" s="248"/>
      <c r="AH509" s="248"/>
      <c r="AI509" s="248"/>
      <c r="AJ509" s="248"/>
      <c r="AK509" s="248"/>
      <c r="AL509" s="1352" t="str">
        <f>SUBSTITUTE(SUBSTITUTE(SUBSTITUTE("vpa"&amp;$B509&amp;$C509&amp;$D509&amp;$E509&amp;$F509,".","_"),"(","_"),")","")</f>
        <v>vpa602_1_9_6</v>
      </c>
      <c r="AM509" s="1352">
        <f>M509</f>
        <v>2</v>
      </c>
      <c r="AN509" s="1352" t="str">
        <f>SUBSTITUTE(SUBSTITUTE(SUBSTITUTE("vpc"&amp;$B509&amp;$C509&amp;$D509&amp;$E509&amp;$F509,".","_"),"(","_"),")","")</f>
        <v>vpc602_1_9_6</v>
      </c>
      <c r="AO509" s="1352">
        <f>O509</f>
        <v>0</v>
      </c>
      <c r="AP509" s="1352" t="str">
        <f>SUBSTITUTE(SUBSTITUTE(SUBSTITUTE("vch"&amp;$B509&amp;$C509&amp;$D509&amp;$E509&amp;$F509,".","_"),"(","_"),")","")</f>
        <v>vch602_1_9_6</v>
      </c>
      <c r="AQ509" s="1352" t="str">
        <f>IF(LEN(W509)=0,"",W509)</f>
        <v/>
      </c>
      <c r="AR509" s="1352" t="str">
        <f>SUBSTITUTE(SUBSTITUTE(SUBSTITUTE("vnt"&amp;$B509&amp;$C509&amp;$D509&amp;$E509&amp;$F509,".","_"),"(","_"),")","")</f>
        <v>vnt602_1_9_6</v>
      </c>
      <c r="AS509" s="1352" t="str">
        <f>IF(LEN(X509)=0,"",X509)</f>
        <v/>
      </c>
    </row>
    <row r="510" spans="1:45" ht="16" hidden="1" thickBot="1" x14ac:dyDescent="0.25">
      <c r="A510" s="1507">
        <v>6</v>
      </c>
      <c r="B510" s="1524" t="s">
        <v>503</v>
      </c>
      <c r="C510" s="1511" t="s">
        <v>264</v>
      </c>
      <c r="D510" s="1524"/>
      <c r="E510" s="1524"/>
      <c r="F510" s="1526"/>
      <c r="G510" s="1509" t="str">
        <f>G509</f>
        <v/>
      </c>
      <c r="H510" s="1527" t="s">
        <v>3198</v>
      </c>
      <c r="I510" s="67"/>
      <c r="J510" s="213"/>
      <c r="K510" s="170"/>
      <c r="L510" s="1612"/>
      <c r="M510" s="1624"/>
      <c r="N510" s="1756"/>
      <c r="O510" s="1620"/>
      <c r="P510" s="905"/>
      <c r="Q510" s="905"/>
      <c r="R510" s="905"/>
      <c r="S510" s="905"/>
      <c r="T510" s="905"/>
      <c r="U510" s="905"/>
      <c r="V510" s="905"/>
      <c r="W510" s="248"/>
      <c r="X510" s="1600"/>
      <c r="Y510" s="1874"/>
      <c r="Z510" s="1889"/>
      <c r="AC510" s="248"/>
      <c r="AD510" s="248"/>
      <c r="AE510" s="248"/>
      <c r="AF510" s="248"/>
      <c r="AG510" s="248"/>
      <c r="AH510" s="248"/>
      <c r="AI510" s="248"/>
      <c r="AJ510" s="248"/>
      <c r="AK510" s="248"/>
      <c r="AL510" s="1352"/>
      <c r="AM510" s="1352"/>
      <c r="AN510" s="1352"/>
      <c r="AO510" s="1352"/>
      <c r="AP510" s="1352"/>
      <c r="AQ510" s="1352"/>
      <c r="AR510" s="1352"/>
      <c r="AS510" s="1352"/>
    </row>
    <row r="511" spans="1:45" ht="17" hidden="1" thickBot="1" x14ac:dyDescent="0.25">
      <c r="A511" s="1507">
        <v>6</v>
      </c>
      <c r="B511" s="1524" t="s">
        <v>503</v>
      </c>
      <c r="C511" s="1511" t="s">
        <v>356</v>
      </c>
      <c r="D511" s="1528"/>
      <c r="E511" s="1528"/>
      <c r="F511" s="1529"/>
      <c r="G511" s="1509" t="str">
        <f>IF(N511&gt;0,"P","")</f>
        <v/>
      </c>
      <c r="H511" s="1527" t="s">
        <v>3198</v>
      </c>
      <c r="I511" s="67"/>
      <c r="J511" s="29" t="s">
        <v>356</v>
      </c>
      <c r="K511" s="85"/>
      <c r="L511" s="85" t="s">
        <v>523</v>
      </c>
      <c r="M511" s="911">
        <v>2</v>
      </c>
      <c r="N511" s="250">
        <f>'11.600'!O213</f>
        <v>0</v>
      </c>
      <c r="O511" s="935">
        <f>M511*S511*W511</f>
        <v>0</v>
      </c>
      <c r="P511" s="905" t="b">
        <v>1</v>
      </c>
      <c r="Q511" s="905" t="b">
        <v>0</v>
      </c>
      <c r="R511" s="905" t="b">
        <v>0</v>
      </c>
      <c r="S511" s="905" t="b">
        <v>1</v>
      </c>
      <c r="T511" s="905" t="b">
        <v>0</v>
      </c>
      <c r="U511" s="905"/>
      <c r="V511" s="905"/>
      <c r="W511" s="27"/>
      <c r="X511" s="257"/>
      <c r="Y511" s="268" t="str">
        <f>IF(LEN('11.600'!X213)=0,"None",'11.600'!X213)</f>
        <v>None</v>
      </c>
      <c r="Z511" s="717"/>
      <c r="AC511" s="248"/>
      <c r="AD511" s="248"/>
      <c r="AE511" s="248"/>
      <c r="AF511" s="248"/>
      <c r="AG511" s="248"/>
      <c r="AH511" s="248"/>
      <c r="AI511" s="248"/>
      <c r="AJ511" s="248"/>
      <c r="AK511" s="248"/>
      <c r="AL511" s="1352" t="str">
        <f>SUBSTITUTE(SUBSTITUTE(SUBSTITUTE("vpa"&amp;$B511&amp;$C511&amp;$D511&amp;$E511&amp;$F511,".","_"),"(","_"),")","")</f>
        <v>vpa602_1_9_7</v>
      </c>
      <c r="AM511" s="1352">
        <f>M511</f>
        <v>2</v>
      </c>
      <c r="AN511" s="1352" t="str">
        <f>SUBSTITUTE(SUBSTITUTE(SUBSTITUTE("vpc"&amp;$B511&amp;$C511&amp;$D511&amp;$E511&amp;$F511,".","_"),"(","_"),")","")</f>
        <v>vpc602_1_9_7</v>
      </c>
      <c r="AO511" s="1352">
        <f>O511</f>
        <v>0</v>
      </c>
      <c r="AP511" s="1352" t="str">
        <f>SUBSTITUTE(SUBSTITUTE(SUBSTITUTE("vch"&amp;$B511&amp;$C511&amp;$D511&amp;$E511&amp;$F511,".","_"),"(","_"),")","")</f>
        <v>vch602_1_9_7</v>
      </c>
      <c r="AQ511" s="1352" t="str">
        <f>IF(LEN(W511)=0,"",W511)</f>
        <v/>
      </c>
      <c r="AR511" s="1352" t="str">
        <f>SUBSTITUTE(SUBSTITUTE(SUBSTITUTE("vnt"&amp;$B511&amp;$C511&amp;$D511&amp;$E511&amp;$F511,".","_"),"(","_"),")","")</f>
        <v>vnt602_1_9_7</v>
      </c>
      <c r="AS511" s="1352" t="str">
        <f>IF(LEN(X511)=0,"",X511)</f>
        <v/>
      </c>
    </row>
    <row r="512" spans="1:45" ht="15.75" customHeight="1" thickTop="1" x14ac:dyDescent="0.2">
      <c r="A512" s="1507">
        <v>6</v>
      </c>
      <c r="B512" s="1516" t="s">
        <v>524</v>
      </c>
      <c r="C512" s="1511"/>
      <c r="D512" s="1511"/>
      <c r="E512" s="1511"/>
      <c r="F512" s="1514"/>
      <c r="G512" s="1509" t="str">
        <f ca="1">IF(N512&gt;0,"P","")</f>
        <v>P</v>
      </c>
      <c r="H512" s="1510" t="s">
        <v>3197</v>
      </c>
      <c r="I512" s="177" t="s">
        <v>3550</v>
      </c>
      <c r="J512" s="178"/>
      <c r="K512" s="179"/>
      <c r="L512" s="1683" t="s">
        <v>3618</v>
      </c>
      <c r="M512" s="1703" t="s">
        <v>601</v>
      </c>
      <c r="N512" s="1770">
        <f ca="1">'11.600'!O214</f>
        <v>2</v>
      </c>
      <c r="O512" s="1682">
        <f ca="1">IFERROR(INDEX({2,4,6},MATCH(W513,INDIRECT(U513),0)),0)</f>
        <v>2</v>
      </c>
      <c r="P512" s="106"/>
      <c r="Q512" s="106"/>
      <c r="R512" s="106"/>
      <c r="S512" s="106"/>
      <c r="T512" s="106"/>
      <c r="U512" s="106"/>
      <c r="V512" s="106"/>
      <c r="W512" s="106"/>
      <c r="X512" s="106"/>
      <c r="Y512"/>
      <c r="Z512" s="670"/>
      <c r="AA512" s="707" t="e">
        <f>'Photo Review'!#REF!</f>
        <v>#REF!</v>
      </c>
      <c r="AC512" s="248"/>
      <c r="AD512" s="248"/>
      <c r="AE512" s="248"/>
      <c r="AF512" s="248"/>
      <c r="AG512" s="248"/>
      <c r="AH512" s="248"/>
      <c r="AI512" s="248"/>
      <c r="AJ512" s="248"/>
      <c r="AK512" s="248"/>
      <c r="AL512" s="1352" t="str">
        <f>SUBSTITUTE(SUBSTITUTE(SUBSTITUTE("vpa"&amp;$B512&amp;$C512&amp;$D512&amp;$E512&amp;$F512,".","_"),"(","_"),")","")</f>
        <v>vpa602_1_10</v>
      </c>
      <c r="AM512" s="1352" t="str">
        <f>M512</f>
        <v>2 per exterior door
6 Max</v>
      </c>
      <c r="AN512" s="1352" t="str">
        <f>SUBSTITUTE(SUBSTITUTE(SUBSTITUTE("vpc"&amp;$B512&amp;$C512&amp;$D512&amp;$E512&amp;$F512,".","_"),"(","_"),")","")</f>
        <v>vpc602_1_10</v>
      </c>
      <c r="AO512" s="1352">
        <f ca="1">O512</f>
        <v>2</v>
      </c>
      <c r="AP512" s="1352"/>
      <c r="AQ512" s="1352"/>
      <c r="AR512" s="1352"/>
      <c r="AS512" s="1352"/>
    </row>
    <row r="513" spans="1:45" x14ac:dyDescent="0.2">
      <c r="A513" s="1507">
        <v>6</v>
      </c>
      <c r="B513" s="1516" t="s">
        <v>524</v>
      </c>
      <c r="C513" s="1511"/>
      <c r="D513" s="1511"/>
      <c r="E513" s="1511"/>
      <c r="F513" s="1514"/>
      <c r="G513" s="1509" t="str">
        <f t="shared" ref="G513:G528" ca="1" si="32">G512</f>
        <v>P</v>
      </c>
      <c r="H513" s="1510" t="s">
        <v>3197</v>
      </c>
      <c r="I513" s="130"/>
      <c r="J513" s="129"/>
      <c r="K513" s="97"/>
      <c r="L513" s="1629"/>
      <c r="M513" s="1704"/>
      <c r="N513" s="1755"/>
      <c r="O513" s="1619"/>
      <c r="P513" s="991" t="b">
        <v>1</v>
      </c>
      <c r="Q513" s="991" t="b">
        <v>1</v>
      </c>
      <c r="R513" s="991" t="b">
        <v>0</v>
      </c>
      <c r="S513" s="991" t="b">
        <v>1</v>
      </c>
      <c r="T513" s="991" t="b">
        <v>0</v>
      </c>
      <c r="U513" s="991" t="str">
        <f>SUBSTITUTE(SUBSTITUTE(SUBSTITUTE("dd"&amp;B513&amp;C513&amp;D513&amp;E513&amp;F513,".","_"),"(","_"),")","")</f>
        <v>dd602_1_10</v>
      </c>
      <c r="V513" s="991"/>
      <c r="W513" s="12" t="s">
        <v>2597</v>
      </c>
      <c r="X513" s="1601"/>
      <c r="Y513" s="1881" t="str">
        <f>IF(LEN('11.600'!X215)=0,"None",'11.600'!X215)</f>
        <v>None</v>
      </c>
      <c r="Z513" s="1891"/>
      <c r="AC513" s="248"/>
      <c r="AD513" s="248"/>
      <c r="AE513" s="248"/>
      <c r="AF513" s="248"/>
      <c r="AG513" s="248"/>
      <c r="AH513" s="248"/>
      <c r="AI513" s="248"/>
      <c r="AJ513" s="248"/>
      <c r="AK513" s="248"/>
      <c r="AL513" s="1352"/>
      <c r="AM513" s="1352"/>
      <c r="AN513" s="1352"/>
      <c r="AO513" s="1352"/>
      <c r="AP513" s="1352" t="str">
        <f>SUBSTITUTE(SUBSTITUTE(SUBSTITUTE("vch"&amp;$B513&amp;$C513&amp;$D513&amp;$E513&amp;$F513,".","_"),"(","_"),")","")</f>
        <v>vch602_1_10</v>
      </c>
      <c r="AQ513" s="1352" t="str">
        <f>IF(LEN(W513)=0,"",W513)</f>
        <v>1 exterior door</v>
      </c>
      <c r="AR513" s="1352" t="str">
        <f>SUBSTITUTE(SUBSTITUTE(SUBSTITUTE("vnt"&amp;$B513&amp;$C513&amp;$D513&amp;$E513&amp;$F513,".","_"),"(","_"),")","")</f>
        <v>vnt602_1_10</v>
      </c>
      <c r="AS513" s="1352" t="str">
        <f>IF(LEN(X513)=0,"",X513)</f>
        <v/>
      </c>
    </row>
    <row r="514" spans="1:45" x14ac:dyDescent="0.2">
      <c r="A514" s="1507">
        <v>6</v>
      </c>
      <c r="B514" s="1516" t="s">
        <v>524</v>
      </c>
      <c r="C514" s="1511"/>
      <c r="D514" s="1511"/>
      <c r="E514" s="1511"/>
      <c r="F514" s="1514"/>
      <c r="G514" s="1509" t="str">
        <f t="shared" ca="1" si="32"/>
        <v>P</v>
      </c>
      <c r="H514" s="1510" t="s">
        <v>3197</v>
      </c>
      <c r="I514" s="130"/>
      <c r="J514" s="129"/>
      <c r="K514" s="97"/>
      <c r="L514" s="1629"/>
      <c r="M514" s="1704"/>
      <c r="N514" s="1755"/>
      <c r="O514" s="1619"/>
      <c r="P514" s="991"/>
      <c r="Q514" s="991"/>
      <c r="R514" s="991"/>
      <c r="S514" s="991"/>
      <c r="T514" s="991"/>
      <c r="U514" s="991"/>
      <c r="V514" s="991"/>
      <c r="W514" s="96"/>
      <c r="X514" s="1601"/>
      <c r="Y514" s="1881"/>
      <c r="Z514" s="1891"/>
      <c r="AC514" s="248"/>
      <c r="AD514" s="248"/>
      <c r="AE514" s="248"/>
      <c r="AF514" s="248"/>
      <c r="AG514" s="248"/>
      <c r="AH514" s="248"/>
      <c r="AI514" s="248"/>
      <c r="AJ514" s="248"/>
      <c r="AK514" s="248"/>
      <c r="AL514" s="1352"/>
      <c r="AM514" s="1352"/>
      <c r="AN514" s="1352"/>
      <c r="AO514" s="1352"/>
      <c r="AP514" s="1352"/>
      <c r="AQ514" s="1352"/>
      <c r="AR514" s="1352"/>
      <c r="AS514" s="1352"/>
    </row>
    <row r="515" spans="1:45" x14ac:dyDescent="0.2">
      <c r="A515" s="1507">
        <v>6</v>
      </c>
      <c r="B515" s="1516" t="s">
        <v>524</v>
      </c>
      <c r="C515" s="1511"/>
      <c r="D515" s="1511"/>
      <c r="E515" s="1511"/>
      <c r="F515" s="1514"/>
      <c r="G515" s="1509" t="str">
        <f t="shared" ca="1" si="32"/>
        <v>P</v>
      </c>
      <c r="H515" s="1510" t="s">
        <v>3197</v>
      </c>
      <c r="I515" s="130"/>
      <c r="J515" s="129"/>
      <c r="K515" s="97"/>
      <c r="L515" s="1629"/>
      <c r="M515" s="1704"/>
      <c r="N515" s="1755"/>
      <c r="O515" s="1619"/>
      <c r="P515" s="991"/>
      <c r="Q515" s="991"/>
      <c r="R515" s="991"/>
      <c r="S515" s="991"/>
      <c r="T515" s="991"/>
      <c r="U515" s="991"/>
      <c r="V515" s="991"/>
      <c r="W515" s="96"/>
      <c r="X515" s="1601"/>
      <c r="Y515" s="1881"/>
      <c r="Z515" s="1891"/>
      <c r="AC515" s="248"/>
      <c r="AD515" s="248"/>
      <c r="AE515" s="248"/>
      <c r="AF515" s="248"/>
      <c r="AG515" s="248"/>
      <c r="AH515" s="248"/>
      <c r="AI515" s="248"/>
      <c r="AJ515" s="248"/>
      <c r="AK515" s="248"/>
      <c r="AL515" s="1352"/>
      <c r="AM515" s="1352"/>
      <c r="AN515" s="1352"/>
      <c r="AO515" s="1352"/>
      <c r="AP515" s="1352"/>
      <c r="AQ515" s="1352"/>
      <c r="AR515" s="1352"/>
      <c r="AS515" s="1352"/>
    </row>
    <row r="516" spans="1:45" x14ac:dyDescent="0.2">
      <c r="A516" s="1507">
        <v>6</v>
      </c>
      <c r="B516" s="1516" t="s">
        <v>524</v>
      </c>
      <c r="C516" s="1511"/>
      <c r="D516" s="1511"/>
      <c r="E516" s="1511"/>
      <c r="F516" s="1514"/>
      <c r="G516" s="1509" t="str">
        <f t="shared" ca="1" si="32"/>
        <v>P</v>
      </c>
      <c r="H516" s="1510" t="s">
        <v>3197</v>
      </c>
      <c r="I516" s="130"/>
      <c r="J516" s="129"/>
      <c r="K516" s="97"/>
      <c r="L516" s="1629"/>
      <c r="M516" s="1704"/>
      <c r="N516" s="1755"/>
      <c r="O516" s="1619"/>
      <c r="P516" s="991"/>
      <c r="Q516" s="991"/>
      <c r="R516" s="991"/>
      <c r="S516" s="991"/>
      <c r="T516" s="991"/>
      <c r="U516" s="991"/>
      <c r="V516" s="991"/>
      <c r="W516" s="96"/>
      <c r="X516" s="1601"/>
      <c r="Y516" s="1881"/>
      <c r="Z516" s="1891"/>
      <c r="AC516" s="248"/>
      <c r="AD516" s="248"/>
      <c r="AE516" s="248"/>
      <c r="AF516" s="248"/>
      <c r="AG516" s="248"/>
      <c r="AH516" s="248"/>
      <c r="AI516" s="248"/>
      <c r="AJ516" s="248"/>
      <c r="AK516" s="248"/>
      <c r="AL516" s="1352"/>
      <c r="AM516" s="1352"/>
      <c r="AN516" s="1352"/>
      <c r="AO516" s="1352"/>
      <c r="AP516" s="1352"/>
      <c r="AQ516" s="1352"/>
      <c r="AR516" s="1352"/>
      <c r="AS516" s="1352"/>
    </row>
    <row r="517" spans="1:45" x14ac:dyDescent="0.2">
      <c r="A517" s="1507">
        <v>6</v>
      </c>
      <c r="B517" s="1516" t="s">
        <v>524</v>
      </c>
      <c r="C517" s="1511"/>
      <c r="D517" s="1511"/>
      <c r="E517" s="1511"/>
      <c r="F517" s="1514"/>
      <c r="G517" s="1509" t="str">
        <f t="shared" ca="1" si="32"/>
        <v>P</v>
      </c>
      <c r="H517" s="1510" t="s">
        <v>3197</v>
      </c>
      <c r="I517" s="130"/>
      <c r="J517" s="129"/>
      <c r="K517" s="97"/>
      <c r="L517" s="1629"/>
      <c r="M517" s="1704"/>
      <c r="N517" s="1755"/>
      <c r="O517" s="1619"/>
      <c r="P517" s="991"/>
      <c r="Q517" s="991"/>
      <c r="R517" s="991"/>
      <c r="S517" s="991"/>
      <c r="T517" s="991"/>
      <c r="U517" s="991"/>
      <c r="V517" s="991"/>
      <c r="W517" s="96"/>
      <c r="X517" s="1601"/>
      <c r="Y517" s="1881"/>
      <c r="Z517" s="1891"/>
      <c r="AC517" s="248"/>
      <c r="AD517" s="248"/>
      <c r="AE517" s="248"/>
      <c r="AF517" s="248"/>
      <c r="AG517" s="248"/>
      <c r="AH517" s="248"/>
      <c r="AI517" s="248"/>
      <c r="AJ517" s="248"/>
      <c r="AK517" s="248"/>
      <c r="AL517" s="1352"/>
      <c r="AM517" s="1352"/>
      <c r="AN517" s="1352"/>
      <c r="AO517" s="1352"/>
      <c r="AP517" s="1352"/>
      <c r="AQ517" s="1352"/>
      <c r="AR517" s="1352"/>
      <c r="AS517" s="1352"/>
    </row>
    <row r="518" spans="1:45" x14ac:dyDescent="0.2">
      <c r="A518" s="1507">
        <v>6</v>
      </c>
      <c r="B518" s="1516" t="s">
        <v>524</v>
      </c>
      <c r="C518" s="1511"/>
      <c r="D518" s="1511"/>
      <c r="E518" s="1511"/>
      <c r="F518" s="1514"/>
      <c r="G518" s="1509" t="str">
        <f t="shared" ca="1" si="32"/>
        <v>P</v>
      </c>
      <c r="H518" s="1510" t="s">
        <v>3197</v>
      </c>
      <c r="I518" s="130"/>
      <c r="J518" s="129"/>
      <c r="K518" s="97"/>
      <c r="L518" s="262" t="str">
        <f>"This Project's Climate Zone: "&amp;BF315</f>
        <v>This Project's Climate Zone: 3</v>
      </c>
      <c r="M518" s="1704"/>
      <c r="N518" s="1755"/>
      <c r="O518" s="1619"/>
      <c r="P518" s="991"/>
      <c r="Q518" s="991"/>
      <c r="R518" s="991"/>
      <c r="S518" s="991"/>
      <c r="T518" s="991"/>
      <c r="U518" s="991"/>
      <c r="V518" s="991"/>
      <c r="W518" s="96"/>
      <c r="X518" s="1601"/>
      <c r="Y518" s="1881"/>
      <c r="Z518" s="1891"/>
      <c r="AC518" s="248"/>
      <c r="AD518" s="248"/>
      <c r="AE518" s="248"/>
      <c r="AF518" s="248"/>
      <c r="AG518" s="248"/>
      <c r="AH518" s="248"/>
      <c r="AI518" s="248"/>
      <c r="AJ518" s="248"/>
      <c r="AK518" s="248"/>
      <c r="AL518" s="1352"/>
      <c r="AM518" s="1352"/>
      <c r="AN518" s="1352"/>
      <c r="AO518" s="1352"/>
      <c r="AP518" s="1352"/>
      <c r="AQ518" s="1352"/>
      <c r="AR518" s="1352"/>
      <c r="AS518" s="1352"/>
    </row>
    <row r="519" spans="1:45" x14ac:dyDescent="0.2">
      <c r="A519" s="1507">
        <v>6</v>
      </c>
      <c r="B519" s="1516" t="s">
        <v>524</v>
      </c>
      <c r="C519" s="1511"/>
      <c r="D519" s="1511" t="s">
        <v>121</v>
      </c>
      <c r="E519" s="1511"/>
      <c r="F519" s="1514"/>
      <c r="G519" s="1509" t="str">
        <f t="shared" ca="1" si="32"/>
        <v>P</v>
      </c>
      <c r="H519" s="1512" t="s">
        <v>3197</v>
      </c>
      <c r="I519" s="130"/>
      <c r="J519" s="129"/>
      <c r="K519" s="93" t="s">
        <v>121</v>
      </c>
      <c r="L519" s="97" t="s">
        <v>525</v>
      </c>
      <c r="M519" s="1704"/>
      <c r="N519" s="1755"/>
      <c r="O519" s="1619"/>
      <c r="P519" s="991"/>
      <c r="Q519" s="991"/>
      <c r="R519" s="991"/>
      <c r="S519" s="991"/>
      <c r="T519" s="991"/>
      <c r="U519" s="991"/>
      <c r="V519" s="991"/>
      <c r="W519" s="96"/>
      <c r="X519" s="1601"/>
      <c r="Y519" s="1881"/>
      <c r="Z519" s="1891"/>
      <c r="AC519" s="248"/>
      <c r="AD519" s="248"/>
      <c r="AE519" s="248"/>
      <c r="AF519" s="248"/>
      <c r="AG519" s="248"/>
      <c r="AH519" s="248"/>
      <c r="AI519" s="248"/>
      <c r="AJ519" s="248"/>
      <c r="AK519" s="248"/>
      <c r="AL519" s="1352"/>
      <c r="AM519" s="1352"/>
      <c r="AN519" s="1352"/>
      <c r="AO519" s="1352"/>
      <c r="AP519" s="1352"/>
      <c r="AQ519" s="1352"/>
      <c r="AR519" s="1352"/>
      <c r="AS519" s="1352"/>
    </row>
    <row r="520" spans="1:45" x14ac:dyDescent="0.2">
      <c r="A520" s="1507">
        <v>6</v>
      </c>
      <c r="B520" s="1516" t="s">
        <v>524</v>
      </c>
      <c r="C520" s="1511"/>
      <c r="D520" s="1511" t="s">
        <v>122</v>
      </c>
      <c r="E520" s="1511"/>
      <c r="F520" s="1514"/>
      <c r="G520" s="1509" t="str">
        <f t="shared" ca="1" si="32"/>
        <v>P</v>
      </c>
      <c r="H520" s="1512" t="s">
        <v>3197</v>
      </c>
      <c r="I520" s="130"/>
      <c r="J520" s="129"/>
      <c r="K520" s="93" t="s">
        <v>122</v>
      </c>
      <c r="L520" s="97" t="s">
        <v>526</v>
      </c>
      <c r="M520" s="1704"/>
      <c r="N520" s="1755"/>
      <c r="O520" s="1619"/>
      <c r="P520" s="991"/>
      <c r="Q520" s="991"/>
      <c r="R520" s="991"/>
      <c r="S520" s="991"/>
      <c r="T520" s="991"/>
      <c r="U520" s="991"/>
      <c r="V520" s="991"/>
      <c r="W520" s="96"/>
      <c r="X520" s="1601"/>
      <c r="Y520" s="1881"/>
      <c r="Z520" s="1891"/>
      <c r="AC520" s="248"/>
      <c r="AD520" s="248"/>
      <c r="AE520" s="248"/>
      <c r="AF520" s="248"/>
      <c r="AG520" s="248"/>
      <c r="AH520" s="248"/>
      <c r="AI520" s="248"/>
      <c r="AJ520" s="248"/>
      <c r="AK520" s="248"/>
      <c r="AL520" s="1352"/>
      <c r="AM520" s="1352"/>
      <c r="AN520" s="1352"/>
      <c r="AO520" s="1352"/>
      <c r="AP520" s="1352"/>
      <c r="AQ520" s="1352"/>
      <c r="AR520" s="1352"/>
      <c r="AS520" s="1352"/>
    </row>
    <row r="521" spans="1:45" x14ac:dyDescent="0.2">
      <c r="A521" s="1507">
        <v>6</v>
      </c>
      <c r="B521" s="1516" t="s">
        <v>524</v>
      </c>
      <c r="C521" s="1511"/>
      <c r="D521" s="1511" t="s">
        <v>123</v>
      </c>
      <c r="E521" s="1511"/>
      <c r="F521" s="1514"/>
      <c r="G521" s="1509" t="str">
        <f t="shared" ca="1" si="32"/>
        <v>P</v>
      </c>
      <c r="H521" s="1512" t="s">
        <v>3197</v>
      </c>
      <c r="I521" s="130"/>
      <c r="J521" s="129"/>
      <c r="K521" s="111" t="s">
        <v>123</v>
      </c>
      <c r="L521" s="97" t="s">
        <v>527</v>
      </c>
      <c r="M521" s="1704"/>
      <c r="N521" s="1755"/>
      <c r="O521" s="1619"/>
      <c r="P521" s="991"/>
      <c r="Q521" s="991"/>
      <c r="R521" s="991"/>
      <c r="S521" s="991"/>
      <c r="T521" s="991"/>
      <c r="U521" s="991"/>
      <c r="V521" s="991"/>
      <c r="W521" s="96"/>
      <c r="X521" s="1601"/>
      <c r="Y521" s="1881"/>
      <c r="Z521" s="1891"/>
      <c r="AC521" s="248"/>
      <c r="AD521" s="248"/>
      <c r="AE521" s="248"/>
      <c r="AF521" s="248"/>
      <c r="AG521" s="248"/>
      <c r="AH521" s="248"/>
      <c r="AI521" s="248"/>
      <c r="AJ521" s="248"/>
      <c r="AK521" s="248"/>
      <c r="AL521" s="1352"/>
      <c r="AM521" s="1352"/>
      <c r="AN521" s="1352"/>
      <c r="AO521" s="1352"/>
      <c r="AP521" s="1352"/>
      <c r="AQ521" s="1352"/>
      <c r="AR521" s="1352"/>
      <c r="AS521" s="1352"/>
    </row>
    <row r="522" spans="1:45" x14ac:dyDescent="0.2">
      <c r="A522" s="1507">
        <v>6</v>
      </c>
      <c r="B522" s="1516" t="s">
        <v>524</v>
      </c>
      <c r="C522" s="1511"/>
      <c r="D522" s="1511" t="s">
        <v>366</v>
      </c>
      <c r="E522" s="1511"/>
      <c r="F522" s="1514"/>
      <c r="G522" s="1509" t="str">
        <f t="shared" ca="1" si="32"/>
        <v>P</v>
      </c>
      <c r="H522" s="1512" t="s">
        <v>3197</v>
      </c>
      <c r="I522" s="130"/>
      <c r="J522" s="129"/>
      <c r="K522" s="187" t="s">
        <v>366</v>
      </c>
      <c r="L522" s="97" t="s">
        <v>528</v>
      </c>
      <c r="M522" s="1704"/>
      <c r="N522" s="1755"/>
      <c r="O522" s="1619"/>
      <c r="P522" s="991"/>
      <c r="Q522" s="991"/>
      <c r="R522" s="991"/>
      <c r="S522" s="991"/>
      <c r="T522" s="991"/>
      <c r="U522" s="991"/>
      <c r="V522" s="991"/>
      <c r="W522" s="96"/>
      <c r="X522" s="1601"/>
      <c r="Y522" s="1881"/>
      <c r="Z522" s="1891"/>
      <c r="AC522" s="248"/>
      <c r="AD522" s="248"/>
      <c r="AE522" s="248"/>
      <c r="AF522" s="248"/>
      <c r="AG522" s="248"/>
      <c r="AH522" s="248"/>
      <c r="AI522" s="248"/>
      <c r="AJ522" s="248"/>
      <c r="AK522" s="248"/>
      <c r="AL522" s="1352"/>
      <c r="AM522" s="1352"/>
      <c r="AN522" s="1352"/>
      <c r="AO522" s="1352"/>
      <c r="AP522" s="1352"/>
      <c r="AQ522" s="1352"/>
      <c r="AR522" s="1352"/>
      <c r="AS522" s="1352"/>
    </row>
    <row r="523" spans="1:45" x14ac:dyDescent="0.2">
      <c r="A523" s="1507">
        <v>6</v>
      </c>
      <c r="B523" s="1516" t="s">
        <v>524</v>
      </c>
      <c r="C523" s="1511"/>
      <c r="D523" s="1511"/>
      <c r="E523" s="1511"/>
      <c r="F523" s="1514"/>
      <c r="G523" s="1509" t="str">
        <f t="shared" ca="1" si="32"/>
        <v>P</v>
      </c>
      <c r="H523" s="1512" t="s">
        <v>3197</v>
      </c>
      <c r="I523" s="130"/>
      <c r="J523" s="129"/>
      <c r="K523" s="187"/>
      <c r="L523" s="1702" t="s">
        <v>2600</v>
      </c>
      <c r="M523" s="1704"/>
      <c r="N523" s="1755"/>
      <c r="O523" s="1619"/>
      <c r="P523" s="991"/>
      <c r="Q523" s="991"/>
      <c r="R523" s="991"/>
      <c r="S523" s="991"/>
      <c r="T523" s="991"/>
      <c r="U523" s="991"/>
      <c r="V523" s="991"/>
      <c r="W523" s="96"/>
      <c r="X523" s="1601"/>
      <c r="Y523" s="1881"/>
      <c r="Z523" s="1891"/>
      <c r="AC523" s="248"/>
      <c r="AD523" s="248"/>
      <c r="AE523" s="248"/>
      <c r="AF523" s="248"/>
      <c r="AG523" s="248"/>
      <c r="AH523" s="248"/>
      <c r="AI523" s="248"/>
      <c r="AJ523" s="248"/>
      <c r="AK523" s="248"/>
      <c r="AL523" s="1352"/>
      <c r="AM523" s="1352"/>
      <c r="AN523" s="1352"/>
      <c r="AO523" s="1352"/>
      <c r="AP523" s="1352"/>
      <c r="AQ523" s="1352"/>
      <c r="AR523" s="1352"/>
      <c r="AS523" s="1352"/>
    </row>
    <row r="524" spans="1:45" ht="16" thickBot="1" x14ac:dyDescent="0.25">
      <c r="A524" s="1507">
        <v>6</v>
      </c>
      <c r="B524" s="1516" t="s">
        <v>524</v>
      </c>
      <c r="C524" s="1511"/>
      <c r="D524" s="1511"/>
      <c r="E524" s="1511"/>
      <c r="F524" s="1514"/>
      <c r="G524" s="1509" t="str">
        <f t="shared" ca="1" si="32"/>
        <v>P</v>
      </c>
      <c r="H524" s="1512" t="s">
        <v>3197</v>
      </c>
      <c r="I524" s="130"/>
      <c r="J524" s="129"/>
      <c r="K524" s="187"/>
      <c r="L524" s="1689"/>
      <c r="M524" s="1704"/>
      <c r="N524" s="1645"/>
      <c r="O524" s="1619"/>
      <c r="P524" s="991"/>
      <c r="Q524" s="991"/>
      <c r="R524" s="991"/>
      <c r="S524" s="991"/>
      <c r="T524" s="991"/>
      <c r="U524" s="991"/>
      <c r="V524" s="991"/>
      <c r="W524" s="113"/>
      <c r="X524" s="1621"/>
      <c r="Y524" s="1882"/>
      <c r="Z524" s="1892"/>
      <c r="AC524" s="248"/>
      <c r="AD524" s="248"/>
      <c r="AE524" s="248"/>
      <c r="AF524" s="248"/>
      <c r="AG524" s="248"/>
      <c r="AH524" s="248"/>
      <c r="AI524" s="248"/>
      <c r="AJ524" s="248"/>
      <c r="AK524" s="248"/>
      <c r="AL524" s="1352"/>
      <c r="AM524" s="1352"/>
      <c r="AN524" s="1352"/>
      <c r="AO524" s="1352"/>
      <c r="AP524" s="1352"/>
      <c r="AQ524" s="1352"/>
      <c r="AR524" s="1352"/>
      <c r="AS524" s="1352"/>
    </row>
    <row r="525" spans="1:45" ht="16" thickTop="1" x14ac:dyDescent="0.2">
      <c r="A525" s="1507">
        <v>6</v>
      </c>
      <c r="B525" s="1516" t="s">
        <v>529</v>
      </c>
      <c r="C525" s="1511"/>
      <c r="D525" s="1511"/>
      <c r="E525" s="1511"/>
      <c r="F525" s="1514"/>
      <c r="G525" s="1509" t="str">
        <f>IF(IFERROR(SEARCH("Mandatory",M525),FALSE),"P","")</f>
        <v>P</v>
      </c>
      <c r="H525" s="1510" t="s">
        <v>3197</v>
      </c>
      <c r="I525" s="177" t="s">
        <v>3551</v>
      </c>
      <c r="J525" s="178"/>
      <c r="K525" s="179"/>
      <c r="L525" s="1683" t="s">
        <v>3617</v>
      </c>
      <c r="M525" s="1701" t="str">
        <f>IF(R525,"Mandatory","N/A")</f>
        <v>Mandatory</v>
      </c>
      <c r="N525" s="256"/>
      <c r="O525" s="943"/>
      <c r="P525" s="106" t="b">
        <v>1</v>
      </c>
      <c r="Q525" s="106" t="b">
        <v>1</v>
      </c>
      <c r="R525" s="106" t="b">
        <f>S525</f>
        <v>1</v>
      </c>
      <c r="S525" s="106" t="b">
        <v>1</v>
      </c>
      <c r="T525" s="106" t="b">
        <v>0</v>
      </c>
      <c r="U525" s="106" t="str">
        <f>SUBSTITUTE(SUBSTITUTE(SUBSTITUTE("dd"&amp;B525&amp;C525&amp;D525&amp;E525&amp;F525,".","_"),"(","_"),")","")</f>
        <v>dd602_1_11</v>
      </c>
      <c r="V525" s="106"/>
      <c r="W525" s="12" t="s">
        <v>2590</v>
      </c>
      <c r="X525" s="1670"/>
      <c r="Y525" s="1884" t="str">
        <f>IF(LEN('11.600'!X227)=0,"None",'11.600'!X227)</f>
        <v>None</v>
      </c>
      <c r="Z525" s="1896"/>
      <c r="AC525" s="248" t="b">
        <f>OR(AD525:AE525)</f>
        <v>0</v>
      </c>
      <c r="AD525" s="248" t="b">
        <f>T525</f>
        <v>0</v>
      </c>
      <c r="AE525" s="248" t="b">
        <f>AND(R525,NOT(W525="Met"),NOT(W525="N/A"))</f>
        <v>0</v>
      </c>
      <c r="AF525" s="720" t="b">
        <f>AND(AE525,NOT(Q525))</f>
        <v>0</v>
      </c>
      <c r="AG525" s="248"/>
      <c r="AH525" s="248"/>
      <c r="AI525" s="248"/>
      <c r="AJ525" s="248"/>
      <c r="AK525" s="248"/>
      <c r="AL525" s="1352" t="str">
        <f>SUBSTITUTE(SUBSTITUTE(SUBSTITUTE("vpa"&amp;$B525&amp;$C525&amp;$D525&amp;$E525&amp;$F525,".","_"),"(","_"),")","")</f>
        <v>vpa602_1_11</v>
      </c>
      <c r="AM525" s="1352" t="str">
        <f>M525</f>
        <v>Mandatory</v>
      </c>
      <c r="AN525" s="1352"/>
      <c r="AO525" s="1352"/>
      <c r="AP525" s="1352" t="str">
        <f>SUBSTITUTE(SUBSTITUTE(SUBSTITUTE("vch"&amp;$B525&amp;$C525&amp;$D525&amp;$E525&amp;$F525,".","_"),"(","_"),")","")</f>
        <v>vch602_1_11</v>
      </c>
      <c r="AQ525" s="1352" t="str">
        <f>IF(LEN(W525)=0,"",W525)</f>
        <v>N/A</v>
      </c>
      <c r="AR525" s="1352" t="str">
        <f>SUBSTITUTE(SUBSTITUTE(SUBSTITUTE("vnt"&amp;$B525&amp;$C525&amp;$D525&amp;$E525&amp;$F525,".","_"),"(","_"),")","")</f>
        <v>vnt602_1_11</v>
      </c>
      <c r="AS525" s="1352" t="str">
        <f>IF(LEN(X525)=0,"",X525)</f>
        <v/>
      </c>
    </row>
    <row r="526" spans="1:45" x14ac:dyDescent="0.2">
      <c r="A526" s="1507">
        <v>6</v>
      </c>
      <c r="B526" s="1516" t="s">
        <v>529</v>
      </c>
      <c r="C526" s="1511"/>
      <c r="D526" s="1511"/>
      <c r="E526" s="1511"/>
      <c r="F526" s="1514"/>
      <c r="G526" s="1509" t="str">
        <f t="shared" si="32"/>
        <v>P</v>
      </c>
      <c r="H526" s="1510" t="s">
        <v>3197</v>
      </c>
      <c r="I526" s="130"/>
      <c r="J526" s="129"/>
      <c r="K526" s="97"/>
      <c r="L526" s="1629"/>
      <c r="M526" s="1697"/>
      <c r="N526" s="251"/>
      <c r="O526" s="908"/>
      <c r="P526" s="991"/>
      <c r="Q526" s="991"/>
      <c r="R526" s="991"/>
      <c r="S526" s="991"/>
      <c r="T526" s="991"/>
      <c r="U526" s="991"/>
      <c r="V526" s="991"/>
      <c r="W526" s="776"/>
      <c r="X526" s="1632"/>
      <c r="Y526" s="1876"/>
      <c r="Z526" s="1879"/>
      <c r="AC526" s="248"/>
      <c r="AD526" s="248"/>
      <c r="AE526" s="248"/>
      <c r="AF526" s="248"/>
      <c r="AG526" s="248"/>
      <c r="AH526" s="248"/>
      <c r="AI526" s="248"/>
      <c r="AJ526" s="248"/>
      <c r="AK526" s="248"/>
      <c r="AL526" s="1352"/>
      <c r="AM526" s="1352"/>
      <c r="AN526" s="1352"/>
      <c r="AO526" s="1352"/>
      <c r="AP526" s="1352"/>
      <c r="AQ526" s="1352"/>
      <c r="AR526" s="1352"/>
      <c r="AS526" s="1352"/>
    </row>
    <row r="527" spans="1:45" s="755" customFormat="1" x14ac:dyDescent="0.2">
      <c r="A527" s="1507">
        <v>6</v>
      </c>
      <c r="B527" s="1516" t="s">
        <v>529</v>
      </c>
      <c r="C527" s="1511"/>
      <c r="D527" s="1511"/>
      <c r="E527" s="1511"/>
      <c r="F527" s="1514"/>
      <c r="G527" s="1509" t="str">
        <f t="shared" si="32"/>
        <v>P</v>
      </c>
      <c r="H527" s="1510" t="s">
        <v>3197</v>
      </c>
      <c r="I527" s="130"/>
      <c r="J527" s="129"/>
      <c r="K527" s="97"/>
      <c r="L527" s="1705" t="s">
        <v>3823</v>
      </c>
      <c r="M527" s="775"/>
      <c r="N527" s="761"/>
      <c r="O527" s="908"/>
      <c r="P527" s="991"/>
      <c r="Q527" s="991"/>
      <c r="R527" s="991"/>
      <c r="S527" s="991"/>
      <c r="T527" s="991"/>
      <c r="U527" s="991"/>
      <c r="V527" s="991"/>
      <c r="W527" s="114"/>
      <c r="X527" s="1632"/>
      <c r="Y527" s="1876"/>
      <c r="Z527" s="1879"/>
      <c r="AL527" s="1352"/>
      <c r="AM527" s="1352"/>
      <c r="AN527" s="1352"/>
      <c r="AO527" s="1352"/>
      <c r="AP527" s="1352"/>
      <c r="AQ527" s="1352"/>
      <c r="AR527" s="1352"/>
      <c r="AS527" s="1352"/>
    </row>
    <row r="528" spans="1:45" s="755" customFormat="1" ht="16" thickBot="1" x14ac:dyDescent="0.25">
      <c r="A528" s="1507">
        <v>6</v>
      </c>
      <c r="B528" s="1516" t="s">
        <v>529</v>
      </c>
      <c r="C528" s="1511"/>
      <c r="D528" s="1511"/>
      <c r="E528" s="1511"/>
      <c r="F528" s="1514"/>
      <c r="G528" s="1509" t="str">
        <f t="shared" si="32"/>
        <v>P</v>
      </c>
      <c r="H528" s="1510" t="s">
        <v>3197</v>
      </c>
      <c r="I528" s="130"/>
      <c r="J528" s="129"/>
      <c r="K528" s="97"/>
      <c r="L528" s="1706"/>
      <c r="M528" s="775"/>
      <c r="N528" s="761"/>
      <c r="O528" s="908"/>
      <c r="P528" s="991"/>
      <c r="Q528" s="991"/>
      <c r="R528" s="991"/>
      <c r="S528" s="991"/>
      <c r="T528" s="991"/>
      <c r="U528" s="991"/>
      <c r="V528" s="991"/>
      <c r="W528" s="113"/>
      <c r="X528" s="1648"/>
      <c r="Y528" s="1885"/>
      <c r="Z528" s="1897"/>
      <c r="AL528" s="1352"/>
      <c r="AM528" s="1352"/>
      <c r="AN528" s="1352"/>
      <c r="AO528" s="1352"/>
      <c r="AP528" s="1352"/>
      <c r="AQ528" s="1352"/>
      <c r="AR528" s="1352"/>
      <c r="AS528" s="1352"/>
    </row>
    <row r="529" spans="1:50" ht="16" thickTop="1" x14ac:dyDescent="0.2">
      <c r="A529" s="1507">
        <v>6</v>
      </c>
      <c r="B529" s="1516" t="s">
        <v>530</v>
      </c>
      <c r="C529" s="1511"/>
      <c r="D529" s="1511"/>
      <c r="E529" s="1511"/>
      <c r="F529" s="1514"/>
      <c r="G529" s="1509" t="str">
        <f ca="1">IF(N529&gt;0,"P","")</f>
        <v>P</v>
      </c>
      <c r="H529" s="1510" t="s">
        <v>3198</v>
      </c>
      <c r="I529" s="177" t="s">
        <v>3552</v>
      </c>
      <c r="J529" s="178"/>
      <c r="K529" s="179"/>
      <c r="L529" s="1683" t="s">
        <v>3616</v>
      </c>
      <c r="M529" s="1685">
        <v>4</v>
      </c>
      <c r="N529" s="1770">
        <f ca="1">'11.600'!O231</f>
        <v>4</v>
      </c>
      <c r="O529" s="1682">
        <f ca="1">M529*S529*hyptarg3</f>
        <v>4</v>
      </c>
      <c r="P529" s="905" t="b">
        <v>1</v>
      </c>
      <c r="Q529" s="905" t="b">
        <v>0</v>
      </c>
      <c r="R529" s="106" t="b">
        <v>0</v>
      </c>
      <c r="S529" s="106" t="b">
        <f ca="1">OR(W360="no stacked stories",W360=INDEX(INDIRECT(U360),1))</f>
        <v>1</v>
      </c>
      <c r="T529" s="991" t="b">
        <f ca="1">AND(NOT(S529),W529=TRUE)</f>
        <v>0</v>
      </c>
      <c r="U529" s="106"/>
      <c r="V529" s="106"/>
      <c r="W529" s="119" t="b">
        <v>1</v>
      </c>
      <c r="X529" s="1603"/>
      <c r="Y529" s="1877" t="str">
        <f>IF(LEN('11.600'!X231)=0,"None",'11.600'!X231)</f>
        <v>None</v>
      </c>
      <c r="Z529" s="1880"/>
      <c r="AA529" s="707" t="e">
        <f>'Photo Review'!#REF!</f>
        <v>#REF!</v>
      </c>
      <c r="AC529" s="248" t="b">
        <f ca="1">OR(AD529:AE529)</f>
        <v>0</v>
      </c>
      <c r="AD529" s="248" t="b">
        <f ca="1">T529</f>
        <v>0</v>
      </c>
      <c r="AE529" s="248" t="b">
        <v>0</v>
      </c>
      <c r="AF529" s="720" t="b">
        <f>AND(AE529,NOT(Q529))</f>
        <v>0</v>
      </c>
      <c r="AG529" s="248"/>
      <c r="AH529" s="248"/>
      <c r="AI529" s="248"/>
      <c r="AJ529" s="248"/>
      <c r="AK529" s="248"/>
      <c r="AL529" s="1352" t="str">
        <f>SUBSTITUTE(SUBSTITUTE(SUBSTITUTE("vpa"&amp;$B529&amp;$C529&amp;$D529&amp;$E529&amp;$F529,".","_"),"(","_"),")","")</f>
        <v>vpa602_1_12</v>
      </c>
      <c r="AM529" s="1352">
        <f>M529</f>
        <v>4</v>
      </c>
      <c r="AN529" s="1352" t="str">
        <f>SUBSTITUTE(SUBSTITUTE(SUBSTITUTE("vpc"&amp;$B529&amp;$C529&amp;$D529&amp;$E529&amp;$F529,".","_"),"(","_"),")","")</f>
        <v>vpc602_1_12</v>
      </c>
      <c r="AO529" s="1352">
        <f ca="1">O529</f>
        <v>4</v>
      </c>
      <c r="AP529" s="1352" t="str">
        <f>SUBSTITUTE(SUBSTITUTE(SUBSTITUTE("vch"&amp;$B529&amp;$C529&amp;$D529&amp;$E529&amp;$F529,".","_"),"(","_"),")","")</f>
        <v>vch602_1_12</v>
      </c>
      <c r="AQ529" s="1352" t="b">
        <f>IF(LEN(W529)=0,"",W529)</f>
        <v>1</v>
      </c>
      <c r="AR529" s="1352" t="str">
        <f>SUBSTITUTE(SUBSTITUTE(SUBSTITUTE("vnt"&amp;$B529&amp;$C529&amp;$D529&amp;$E529&amp;$F529,".","_"),"(","_"),")","")</f>
        <v>vnt602_1_12</v>
      </c>
      <c r="AS529" s="1352" t="str">
        <f>IF(LEN(X529)=0,"",X529)</f>
        <v/>
      </c>
    </row>
    <row r="530" spans="1:50" x14ac:dyDescent="0.2">
      <c r="A530" s="1507">
        <v>6</v>
      </c>
      <c r="B530" s="1516" t="s">
        <v>530</v>
      </c>
      <c r="C530" s="1511"/>
      <c r="D530" s="1511"/>
      <c r="E530" s="1511"/>
      <c r="F530" s="1514"/>
      <c r="G530" s="1509" t="str">
        <f ca="1">G529</f>
        <v>P</v>
      </c>
      <c r="H530" s="1510" t="s">
        <v>3198</v>
      </c>
      <c r="I530" s="130"/>
      <c r="J530" s="129"/>
      <c r="K530" s="97"/>
      <c r="L530" s="1629"/>
      <c r="M530" s="1623"/>
      <c r="N530" s="1755"/>
      <c r="O530" s="1619"/>
      <c r="P530" s="991"/>
      <c r="Q530" s="991"/>
      <c r="R530" s="991"/>
      <c r="S530" s="991"/>
      <c r="T530" s="991"/>
      <c r="U530" s="991"/>
      <c r="V530" s="991"/>
      <c r="W530" s="96"/>
      <c r="X530" s="1601"/>
      <c r="Y530" s="1881"/>
      <c r="Z530" s="1891"/>
      <c r="AC530" s="248"/>
      <c r="AD530" s="248"/>
      <c r="AE530" s="248"/>
      <c r="AF530" s="248"/>
      <c r="AG530" s="248"/>
      <c r="AH530" s="248"/>
      <c r="AI530" s="248"/>
      <c r="AJ530" s="248"/>
      <c r="AK530" s="248"/>
      <c r="AL530" s="1352"/>
      <c r="AM530" s="1352"/>
      <c r="AN530" s="1352"/>
      <c r="AO530" s="1352"/>
      <c r="AP530" s="1352"/>
      <c r="AQ530" s="1352"/>
      <c r="AR530" s="1352"/>
      <c r="AS530" s="1352"/>
    </row>
    <row r="531" spans="1:50" ht="16" thickBot="1" x14ac:dyDescent="0.25">
      <c r="A531" s="1507">
        <v>6</v>
      </c>
      <c r="B531" s="1516" t="s">
        <v>530</v>
      </c>
      <c r="C531" s="1511"/>
      <c r="D531" s="1511"/>
      <c r="E531" s="1511"/>
      <c r="F531" s="1514"/>
      <c r="G531" s="1509" t="str">
        <f ca="1">G530</f>
        <v>P</v>
      </c>
      <c r="H531" s="1510" t="s">
        <v>3198</v>
      </c>
      <c r="I531" s="130"/>
      <c r="J531" s="129"/>
      <c r="K531" s="97"/>
      <c r="L531" s="280" t="s">
        <v>2585</v>
      </c>
      <c r="M531" s="1623"/>
      <c r="N531" s="1645"/>
      <c r="O531" s="1619"/>
      <c r="P531" s="991"/>
      <c r="Q531" s="991"/>
      <c r="R531" s="991"/>
      <c r="S531" s="991"/>
      <c r="T531" s="991"/>
      <c r="U531" s="991"/>
      <c r="V531" s="991"/>
      <c r="W531" s="113"/>
      <c r="X531" s="1621"/>
      <c r="Y531" s="1882"/>
      <c r="Z531" s="1892"/>
      <c r="AC531" s="248"/>
      <c r="AD531" s="248"/>
      <c r="AE531" s="248"/>
      <c r="AF531" s="248"/>
      <c r="AG531" s="248"/>
      <c r="AH531" s="248"/>
      <c r="AI531" s="248"/>
      <c r="AJ531" s="248"/>
      <c r="AK531" s="248"/>
      <c r="AL531" s="1352"/>
      <c r="AM531" s="1352"/>
      <c r="AN531" s="1352"/>
      <c r="AO531" s="1352"/>
      <c r="AP531" s="1352"/>
      <c r="AQ531" s="1352"/>
      <c r="AR531" s="1352"/>
      <c r="AS531" s="1352"/>
    </row>
    <row r="532" spans="1:50" ht="16" thickTop="1" x14ac:dyDescent="0.2">
      <c r="A532" s="1507">
        <v>6</v>
      </c>
      <c r="B532" s="1524" t="s">
        <v>531</v>
      </c>
      <c r="C532" s="1511"/>
      <c r="D532" s="1511"/>
      <c r="E532" s="1511"/>
      <c r="F532" s="1514"/>
      <c r="G532" s="1509" t="str">
        <f>IF(IFERROR(SEARCH("Mandatory",M532),FALSE),"P","")</f>
        <v>P</v>
      </c>
      <c r="H532" s="1510" t="s">
        <v>3198</v>
      </c>
      <c r="I532" s="177" t="s">
        <v>3553</v>
      </c>
      <c r="J532" s="178"/>
      <c r="K532" s="179"/>
      <c r="L532" s="1683" t="s">
        <v>3615</v>
      </c>
      <c r="M532" s="1701" t="str">
        <f>IF(R532,"Mandatory","N/A")</f>
        <v>Mandatory</v>
      </c>
      <c r="N532" s="256"/>
      <c r="O532" s="943"/>
      <c r="P532" s="106" t="b">
        <v>1</v>
      </c>
      <c r="Q532" s="106" t="b">
        <v>0</v>
      </c>
      <c r="R532" s="106" t="b">
        <f>S532</f>
        <v>1</v>
      </c>
      <c r="S532" s="106" t="b">
        <v>1</v>
      </c>
      <c r="T532" s="106" t="b">
        <v>0</v>
      </c>
      <c r="U532" s="106" t="str">
        <f>SUBSTITUTE(SUBSTITUTE(SUBSTITUTE("dd"&amp;B532&amp;C532&amp;D532&amp;E532&amp;F532,".","_"),"(","_"),")","")</f>
        <v>dd602_1_13</v>
      </c>
      <c r="V532" s="106"/>
      <c r="W532" s="12" t="s">
        <v>2590</v>
      </c>
      <c r="X532" s="1603"/>
      <c r="Y532" s="1877" t="str">
        <f>IF(LEN('11.600'!X234)=0,"None",'11.600'!X234)</f>
        <v>None</v>
      </c>
      <c r="Z532" s="1880"/>
      <c r="AC532" s="248" t="b">
        <f>OR(AD532:AE532)</f>
        <v>0</v>
      </c>
      <c r="AD532" s="248" t="b">
        <f>T532</f>
        <v>0</v>
      </c>
      <c r="AE532" s="248" t="b">
        <f>AND(R532,NOT(W532="Met"),NOT(W532="N/A"))</f>
        <v>0</v>
      </c>
      <c r="AF532" s="720" t="b">
        <f>AND(AE532,NOT(Q532))</f>
        <v>0</v>
      </c>
      <c r="AG532" s="248"/>
      <c r="AH532" s="248"/>
      <c r="AI532" s="248"/>
      <c r="AJ532" s="248"/>
      <c r="AK532" s="248"/>
      <c r="AL532" s="1352" t="str">
        <f>SUBSTITUTE(SUBSTITUTE(SUBSTITUTE("vpa"&amp;$B532&amp;$C532&amp;$D532&amp;$E532&amp;$F532,".","_"),"(","_"),")","")</f>
        <v>vpa602_1_13</v>
      </c>
      <c r="AM532" s="1352" t="str">
        <f>M532</f>
        <v>Mandatory</v>
      </c>
      <c r="AN532" s="1352"/>
      <c r="AO532" s="1352"/>
      <c r="AP532" s="1352" t="str">
        <f>SUBSTITUTE(SUBSTITUTE(SUBSTITUTE("vch"&amp;$B532&amp;$C532&amp;$D532&amp;$E532&amp;$F532,".","_"),"(","_"),")","")</f>
        <v>vch602_1_13</v>
      </c>
      <c r="AQ532" s="1352" t="str">
        <f>IF(LEN(W532)=0,"",W532)</f>
        <v>N/A</v>
      </c>
      <c r="AR532" s="1352" t="str">
        <f>SUBSTITUTE(SUBSTITUTE(SUBSTITUTE("vnt"&amp;$B532&amp;$C532&amp;$D532&amp;$E532&amp;$F532,".","_"),"(","_"),")","")</f>
        <v>vnt602_1_13</v>
      </c>
      <c r="AS532" s="1352" t="str">
        <f>IF(LEN(X532)=0,"",X532)</f>
        <v/>
      </c>
    </row>
    <row r="533" spans="1:50" x14ac:dyDescent="0.2">
      <c r="A533" s="1507">
        <v>6</v>
      </c>
      <c r="B533" s="1524" t="s">
        <v>531</v>
      </c>
      <c r="C533" s="1511"/>
      <c r="D533" s="1511"/>
      <c r="E533" s="1511"/>
      <c r="F533" s="1514"/>
      <c r="G533" s="1509" t="str">
        <f>G532</f>
        <v>P</v>
      </c>
      <c r="H533" s="1510" t="s">
        <v>3198</v>
      </c>
      <c r="I533" s="130"/>
      <c r="J533" s="129"/>
      <c r="K533" s="97"/>
      <c r="L533" s="1629"/>
      <c r="M533" s="1697"/>
      <c r="N533" s="251"/>
      <c r="O533" s="908"/>
      <c r="P533" s="991"/>
      <c r="Q533" s="991"/>
      <c r="R533" s="991"/>
      <c r="S533" s="991"/>
      <c r="T533" s="991"/>
      <c r="U533" s="991"/>
      <c r="V533" s="991"/>
      <c r="W533" s="96"/>
      <c r="X533" s="1601"/>
      <c r="Y533" s="1881"/>
      <c r="Z533" s="1891"/>
      <c r="AC533" s="248"/>
      <c r="AD533" s="248"/>
      <c r="AE533" s="248"/>
      <c r="AF533" s="248"/>
      <c r="AG533" s="248"/>
      <c r="AH533" s="248"/>
      <c r="AI533" s="248"/>
      <c r="AJ533" s="248"/>
      <c r="AK533" s="248"/>
      <c r="AL533" s="1352"/>
      <c r="AM533" s="1352"/>
      <c r="AN533" s="1352"/>
      <c r="AO533" s="1352"/>
      <c r="AP533" s="1352"/>
      <c r="AQ533" s="1352"/>
      <c r="AR533" s="1352"/>
      <c r="AS533" s="1352"/>
    </row>
    <row r="534" spans="1:50" x14ac:dyDescent="0.2">
      <c r="A534" s="1507">
        <v>6</v>
      </c>
      <c r="B534" s="1524" t="s">
        <v>531</v>
      </c>
      <c r="C534" s="1511"/>
      <c r="D534" s="1511"/>
      <c r="E534" s="1511"/>
      <c r="F534" s="1514"/>
      <c r="G534" s="1509" t="str">
        <f>G533</f>
        <v>P</v>
      </c>
      <c r="H534" s="1510" t="s">
        <v>3198</v>
      </c>
      <c r="I534" s="130"/>
      <c r="J534" s="129"/>
      <c r="K534" s="97"/>
      <c r="L534" s="1629"/>
      <c r="M534" s="1697"/>
      <c r="N534" s="251"/>
      <c r="O534" s="908"/>
      <c r="P534" s="991"/>
      <c r="Q534" s="991"/>
      <c r="R534" s="991"/>
      <c r="S534" s="991"/>
      <c r="T534" s="991"/>
      <c r="U534" s="991"/>
      <c r="V534" s="991"/>
      <c r="W534" s="96"/>
      <c r="X534" s="1601"/>
      <c r="Y534" s="1881"/>
      <c r="Z534" s="1891"/>
      <c r="AC534" s="248"/>
      <c r="AD534" s="248"/>
      <c r="AE534" s="248"/>
      <c r="AF534" s="248"/>
      <c r="AG534" s="248"/>
      <c r="AH534" s="248"/>
      <c r="AI534" s="248"/>
      <c r="AJ534" s="248"/>
      <c r="AK534" s="248"/>
      <c r="AL534" s="1352"/>
      <c r="AM534" s="1352"/>
      <c r="AN534" s="1352"/>
      <c r="AO534" s="1352"/>
      <c r="AP534" s="1352"/>
      <c r="AQ534" s="1352"/>
      <c r="AR534" s="1352"/>
      <c r="AS534" s="1352"/>
    </row>
    <row r="535" spans="1:50" ht="16" thickBot="1" x14ac:dyDescent="0.25">
      <c r="A535" s="1507">
        <v>6</v>
      </c>
      <c r="B535" s="1524" t="s">
        <v>531</v>
      </c>
      <c r="C535" s="1511"/>
      <c r="D535" s="1511"/>
      <c r="E535" s="1511"/>
      <c r="F535" s="1514"/>
      <c r="G535" s="1509" t="str">
        <f>G534</f>
        <v>P</v>
      </c>
      <c r="H535" s="1510" t="s">
        <v>3198</v>
      </c>
      <c r="I535" s="130"/>
      <c r="J535" s="129"/>
      <c r="K535" s="97"/>
      <c r="L535" s="1629"/>
      <c r="M535" s="1697"/>
      <c r="N535" s="251"/>
      <c r="O535" s="908"/>
      <c r="P535" s="991"/>
      <c r="Q535" s="991"/>
      <c r="R535" s="991"/>
      <c r="S535" s="991"/>
      <c r="T535" s="991"/>
      <c r="U535" s="991"/>
      <c r="V535" s="991"/>
      <c r="W535" s="96"/>
      <c r="X535" s="1621"/>
      <c r="Y535" s="1882"/>
      <c r="Z535" s="1892"/>
      <c r="AC535" s="248"/>
      <c r="AD535" s="248"/>
      <c r="AE535" s="248"/>
      <c r="AF535" s="248"/>
      <c r="AG535" s="248"/>
      <c r="AH535" s="248"/>
      <c r="AI535" s="248"/>
      <c r="AJ535" s="248"/>
      <c r="AK535" s="248"/>
      <c r="AL535" s="1352"/>
      <c r="AM535" s="1352"/>
      <c r="AN535" s="1352"/>
      <c r="AO535" s="1352"/>
      <c r="AP535" s="1352"/>
      <c r="AQ535" s="1352"/>
      <c r="AR535" s="1352"/>
      <c r="AS535" s="1352"/>
    </row>
    <row r="536" spans="1:50" ht="16" thickTop="1" x14ac:dyDescent="0.2">
      <c r="A536" s="1507">
        <v>6</v>
      </c>
      <c r="B536" s="1524" t="s">
        <v>532</v>
      </c>
      <c r="C536" s="1511"/>
      <c r="D536" s="1511"/>
      <c r="E536" s="1511"/>
      <c r="F536" s="1514"/>
      <c r="G536" s="1513" t="str">
        <f>IF(COUNTIF(G538:G541,"P")&gt;0,"P","")</f>
        <v>P</v>
      </c>
      <c r="H536" s="1510" t="s">
        <v>3197</v>
      </c>
      <c r="I536" s="177" t="s">
        <v>3554</v>
      </c>
      <c r="J536" s="178"/>
      <c r="K536" s="179"/>
      <c r="L536" s="1683" t="s">
        <v>3614</v>
      </c>
      <c r="M536" s="945"/>
      <c r="N536" s="256"/>
      <c r="O536" s="943"/>
      <c r="P536" s="106"/>
      <c r="Q536" s="106"/>
      <c r="R536" s="106"/>
      <c r="S536" s="106"/>
      <c r="T536" s="106"/>
      <c r="U536" s="106"/>
      <c r="V536" s="106"/>
      <c r="W536" s="106"/>
      <c r="X536" s="106"/>
      <c r="Y536"/>
      <c r="Z536" s="670"/>
      <c r="AC536" s="248"/>
      <c r="AD536" s="248"/>
      <c r="AE536" s="248"/>
      <c r="AF536" s="248"/>
      <c r="AG536" s="248"/>
      <c r="AH536" s="248"/>
      <c r="AI536" s="248"/>
      <c r="AJ536" s="248"/>
      <c r="AK536" s="248"/>
      <c r="AL536" s="1352"/>
      <c r="AM536" s="1352"/>
      <c r="AN536" s="1352"/>
      <c r="AO536" s="1352"/>
      <c r="AP536" s="1352"/>
      <c r="AQ536" s="1352"/>
      <c r="AR536" s="1352"/>
      <c r="AS536" s="1352"/>
    </row>
    <row r="537" spans="1:50" x14ac:dyDescent="0.2">
      <c r="A537" s="1507">
        <v>6</v>
      </c>
      <c r="B537" s="1524" t="s">
        <v>532</v>
      </c>
      <c r="C537" s="1511"/>
      <c r="D537" s="1511"/>
      <c r="E537" s="1511"/>
      <c r="F537" s="1514"/>
      <c r="G537" s="1509" t="str">
        <f>G536</f>
        <v>P</v>
      </c>
      <c r="H537" s="1510" t="s">
        <v>3197</v>
      </c>
      <c r="I537" s="130"/>
      <c r="J537" s="129"/>
      <c r="K537" s="97"/>
      <c r="L537" s="1629"/>
      <c r="M537" s="913"/>
      <c r="N537" s="251"/>
      <c r="O537" s="908"/>
      <c r="P537" s="991"/>
      <c r="Q537" s="991"/>
      <c r="R537" s="991"/>
      <c r="S537" s="991"/>
      <c r="T537" s="991"/>
      <c r="U537" s="991"/>
      <c r="V537" s="991"/>
      <c r="W537" s="96"/>
      <c r="X537" s="96"/>
      <c r="Y537"/>
      <c r="Z537" s="670"/>
      <c r="AC537" s="248"/>
      <c r="AD537" s="248"/>
      <c r="AE537" s="248"/>
      <c r="AF537" s="248"/>
      <c r="AG537" s="248"/>
      <c r="AH537" s="248"/>
      <c r="AI537" s="248"/>
      <c r="AJ537" s="248"/>
      <c r="AK537" s="248"/>
      <c r="AL537" s="1352"/>
      <c r="AM537" s="1352"/>
      <c r="AN537" s="1352"/>
      <c r="AO537" s="1352"/>
      <c r="AP537" s="1352"/>
      <c r="AQ537" s="1352"/>
      <c r="AR537" s="1352"/>
      <c r="AS537" s="1352"/>
    </row>
    <row r="538" spans="1:50" ht="15" customHeight="1" x14ac:dyDescent="0.2">
      <c r="A538" s="1507">
        <v>6</v>
      </c>
      <c r="B538" s="1524" t="s">
        <v>532</v>
      </c>
      <c r="C538" s="1511" t="s">
        <v>254</v>
      </c>
      <c r="D538" s="1511"/>
      <c r="E538" s="1511"/>
      <c r="F538" s="1514"/>
      <c r="G538" s="1509" t="str">
        <f>IF(IFERROR(SEARCH("Mandatory",M538),FALSE),"P","")</f>
        <v>P</v>
      </c>
      <c r="H538" s="1510" t="s">
        <v>3197</v>
      </c>
      <c r="I538" s="67"/>
      <c r="J538" s="180" t="s">
        <v>254</v>
      </c>
      <c r="K538" s="97"/>
      <c r="L538" s="1609" t="s">
        <v>533</v>
      </c>
      <c r="M538" s="1708" t="str">
        <f>IF(R538,"Mandatory
1","N/A")</f>
        <v>Mandatory
1</v>
      </c>
      <c r="N538" s="1755">
        <f>'11.600'!O240</f>
        <v>1</v>
      </c>
      <c r="O538" s="1619">
        <f>IF(AND(S538,W538="Met"),1,0)</f>
        <v>1</v>
      </c>
      <c r="P538" s="905" t="b">
        <v>1</v>
      </c>
      <c r="Q538" s="905" t="b">
        <v>1</v>
      </c>
      <c r="R538" s="905" t="b">
        <f>S538</f>
        <v>1</v>
      </c>
      <c r="S538" s="905" t="b">
        <v>1</v>
      </c>
      <c r="T538" s="905" t="b">
        <v>0</v>
      </c>
      <c r="U538" s="991" t="str">
        <f>SUBSTITUTE(SUBSTITUTE(SUBSTITUTE("dd"&amp;B538&amp;C538&amp;D538&amp;E538&amp;F538,".","_"),"(","_"),")","")</f>
        <v>dd602_1_14_1</v>
      </c>
      <c r="V538" s="905"/>
      <c r="W538" s="12" t="s">
        <v>2588</v>
      </c>
      <c r="X538" s="1600"/>
      <c r="Y538" s="1874" t="str">
        <f>IF(LEN('11.600'!X240)=0,"None",'11.600'!X240)</f>
        <v>None</v>
      </c>
      <c r="Z538" s="1889"/>
      <c r="AA538" s="707" t="e">
        <f>'Photo Review'!#REF!</f>
        <v>#REF!</v>
      </c>
      <c r="AC538" s="248" t="b">
        <f>OR(AD538:AE538)</f>
        <v>0</v>
      </c>
      <c r="AD538" s="248" t="b">
        <f>T538</f>
        <v>0</v>
      </c>
      <c r="AE538" s="248" t="b">
        <f>AND(R538,NOT(W538="Met"),NOT(W538="N/A"))</f>
        <v>0</v>
      </c>
      <c r="AF538" s="720" t="b">
        <f>AND(AE538,NOT(Q538))</f>
        <v>0</v>
      </c>
      <c r="AG538" s="248"/>
      <c r="AH538" s="248"/>
      <c r="AI538" s="248"/>
      <c r="AJ538" s="248"/>
      <c r="AK538" s="248"/>
      <c r="AL538" s="1352" t="str">
        <f>SUBSTITUTE(SUBSTITUTE(SUBSTITUTE("vpa"&amp;$B538&amp;$C538&amp;$D538&amp;$E538&amp;$F538,".","_"),"(","_"),")","")</f>
        <v>vpa602_1_14_1</v>
      </c>
      <c r="AM538" s="1352" t="str">
        <f>M538</f>
        <v>Mandatory
1</v>
      </c>
      <c r="AN538" s="1352" t="str">
        <f>SUBSTITUTE(SUBSTITUTE(SUBSTITUTE("vpc"&amp;$B538&amp;$C538&amp;$D538&amp;$E538&amp;$F538,".","_"),"(","_"),")","")</f>
        <v>vpc602_1_14_1</v>
      </c>
      <c r="AO538" s="1352">
        <f>O538</f>
        <v>1</v>
      </c>
      <c r="AP538" s="1352" t="str">
        <f>SUBSTITUTE(SUBSTITUTE(SUBSTITUTE("vch"&amp;$B538&amp;$C538&amp;$D538&amp;$E538&amp;$F538,".","_"),"(","_"),")","")</f>
        <v>vch602_1_14_1</v>
      </c>
      <c r="AQ538" s="1352" t="str">
        <f>IF(LEN(W538)=0,"",W538)</f>
        <v>Met</v>
      </c>
      <c r="AR538" s="1352" t="str">
        <f>SUBSTITUTE(SUBSTITUTE(SUBSTITUTE("vnt"&amp;$B538&amp;$C538&amp;$D538&amp;$E538&amp;$F538,".","_"),"(","_"),")","")</f>
        <v>vnt602_1_14_1</v>
      </c>
      <c r="AS538" s="1352" t="str">
        <f>IF(LEN(X538)=0,"",X538)</f>
        <v/>
      </c>
    </row>
    <row r="539" spans="1:50" x14ac:dyDescent="0.2">
      <c r="A539" s="1507">
        <v>6</v>
      </c>
      <c r="B539" s="1524" t="s">
        <v>532</v>
      </c>
      <c r="C539" s="1511" t="s">
        <v>254</v>
      </c>
      <c r="D539" s="1511"/>
      <c r="E539" s="1511"/>
      <c r="F539" s="1514"/>
      <c r="G539" s="1509" t="str">
        <f>G538</f>
        <v>P</v>
      </c>
      <c r="H539" s="1510" t="s">
        <v>3197</v>
      </c>
      <c r="I539" s="67"/>
      <c r="J539" s="213"/>
      <c r="K539" s="170"/>
      <c r="L539" s="1612"/>
      <c r="M539" s="1709"/>
      <c r="N539" s="1756"/>
      <c r="O539" s="1620"/>
      <c r="P539" s="905"/>
      <c r="Q539" s="905"/>
      <c r="R539" s="905"/>
      <c r="S539" s="905"/>
      <c r="T539" s="905"/>
      <c r="U539" s="905"/>
      <c r="V539" s="905"/>
      <c r="W539" s="248"/>
      <c r="X539" s="1600"/>
      <c r="Y539" s="1874"/>
      <c r="Z539" s="1889"/>
      <c r="AC539" s="248"/>
      <c r="AD539" s="248"/>
      <c r="AE539" s="248"/>
      <c r="AF539" s="248"/>
      <c r="AG539" s="248"/>
      <c r="AH539" s="248"/>
      <c r="AI539" s="248"/>
      <c r="AJ539" s="248"/>
      <c r="AK539" s="248"/>
      <c r="AL539" s="1352"/>
      <c r="AM539" s="1352"/>
      <c r="AN539" s="1352"/>
      <c r="AO539" s="1352"/>
      <c r="AP539" s="1352"/>
      <c r="AQ539" s="1352"/>
      <c r="AR539" s="1352"/>
      <c r="AS539" s="1352"/>
    </row>
    <row r="540" spans="1:50" ht="16" x14ac:dyDescent="0.2">
      <c r="A540" s="1507">
        <v>6</v>
      </c>
      <c r="B540" s="1524" t="s">
        <v>532</v>
      </c>
      <c r="C540" s="1511" t="s">
        <v>255</v>
      </c>
      <c r="D540" s="1511"/>
      <c r="E540" s="1511"/>
      <c r="F540" s="1514"/>
      <c r="G540" s="1509" t="str">
        <f>IF(N540&gt;0,"P","")</f>
        <v>P</v>
      </c>
      <c r="H540" s="1510" t="s">
        <v>3197</v>
      </c>
      <c r="I540" s="67"/>
      <c r="J540" s="209" t="s">
        <v>255</v>
      </c>
      <c r="K540" s="210"/>
      <c r="L540" s="210" t="s">
        <v>534</v>
      </c>
      <c r="M540" s="379">
        <v>2</v>
      </c>
      <c r="N540" s="215">
        <f>'11.600'!O242</f>
        <v>2</v>
      </c>
      <c r="O540" s="378">
        <f>M540*S540*W540</f>
        <v>2</v>
      </c>
      <c r="P540" s="905" t="b">
        <v>1</v>
      </c>
      <c r="Q540" s="905" t="b">
        <v>1</v>
      </c>
      <c r="R540" s="905" t="b">
        <v>0</v>
      </c>
      <c r="S540" s="905" t="b">
        <v>1</v>
      </c>
      <c r="T540" s="905" t="b">
        <v>0</v>
      </c>
      <c r="U540" s="905"/>
      <c r="V540" s="905"/>
      <c r="W540" s="27" t="b">
        <v>1</v>
      </c>
      <c r="X540" s="249"/>
      <c r="Y540" s="267" t="str">
        <f>IF(LEN('11.600'!X242)=0,"None",'11.600'!X242)</f>
        <v>None</v>
      </c>
      <c r="Z540" s="715"/>
      <c r="AA540" s="707" t="e">
        <f>'Photo Review'!#REF!</f>
        <v>#REF!</v>
      </c>
      <c r="AC540" s="248"/>
      <c r="AD540" s="248"/>
      <c r="AE540" s="248"/>
      <c r="AF540" s="248"/>
      <c r="AG540" s="248"/>
      <c r="AH540" s="248"/>
      <c r="AI540" s="248"/>
      <c r="AJ540" s="248"/>
      <c r="AK540" s="248"/>
      <c r="AL540" s="1352" t="str">
        <f>SUBSTITUTE(SUBSTITUTE(SUBSTITUTE("vpa"&amp;$B540&amp;$C540&amp;$D540&amp;$E540&amp;$F540,".","_"),"(","_"),")","")</f>
        <v>vpa602_1_14_2</v>
      </c>
      <c r="AM540" s="1352">
        <f>M540</f>
        <v>2</v>
      </c>
      <c r="AN540" s="1352" t="str">
        <f>SUBSTITUTE(SUBSTITUTE(SUBSTITUTE("vpc"&amp;$B540&amp;$C540&amp;$D540&amp;$E540&amp;$F540,".","_"),"(","_"),")","")</f>
        <v>vpc602_1_14_2</v>
      </c>
      <c r="AO540" s="1352">
        <f>O540</f>
        <v>2</v>
      </c>
      <c r="AP540" s="1352" t="str">
        <f>SUBSTITUTE(SUBSTITUTE(SUBSTITUTE("vch"&amp;$B540&amp;$C540&amp;$D540&amp;$E540&amp;$F540,".","_"),"(","_"),")","")</f>
        <v>vch602_1_14_2</v>
      </c>
      <c r="AQ540" s="1352" t="b">
        <f>IF(LEN(W540)=0,"",W540)</f>
        <v>1</v>
      </c>
      <c r="AR540" s="1352" t="str">
        <f>SUBSTITUTE(SUBSTITUTE(SUBSTITUTE("vnt"&amp;$B540&amp;$C540&amp;$D540&amp;$E540&amp;$F540,".","_"),"(","_"),")","")</f>
        <v>vnt602_1_14_2</v>
      </c>
      <c r="AS540" s="1352" t="str">
        <f>IF(LEN(X540)=0,"",X540)</f>
        <v/>
      </c>
    </row>
    <row r="541" spans="1:50" ht="17" thickBot="1" x14ac:dyDescent="0.25">
      <c r="A541" s="1507">
        <v>6</v>
      </c>
      <c r="B541" s="1524" t="s">
        <v>532</v>
      </c>
      <c r="C541" s="1511" t="s">
        <v>256</v>
      </c>
      <c r="D541" s="1511"/>
      <c r="E541" s="1511"/>
      <c r="F541" s="1514"/>
      <c r="G541" s="1509" t="str">
        <f>IF(N541&gt;0,"P","")</f>
        <v>P</v>
      </c>
      <c r="H541" s="1510" t="s">
        <v>3197</v>
      </c>
      <c r="I541" s="67"/>
      <c r="J541" s="29" t="s">
        <v>256</v>
      </c>
      <c r="K541" s="85"/>
      <c r="L541" s="85" t="s">
        <v>535</v>
      </c>
      <c r="M541" s="914">
        <v>2</v>
      </c>
      <c r="N541" s="250">
        <f>'11.600'!O243</f>
        <v>2</v>
      </c>
      <c r="O541" s="922">
        <f>M541*S541*W541</f>
        <v>2</v>
      </c>
      <c r="P541" s="100" t="b">
        <v>1</v>
      </c>
      <c r="Q541" s="100" t="b">
        <v>1</v>
      </c>
      <c r="R541" s="100" t="b">
        <v>0</v>
      </c>
      <c r="S541" s="100" t="b">
        <v>1</v>
      </c>
      <c r="T541" s="100" t="b">
        <v>0</v>
      </c>
      <c r="U541" s="100"/>
      <c r="V541" s="100"/>
      <c r="W541" s="101" t="b">
        <v>1</v>
      </c>
      <c r="X541" s="257"/>
      <c r="Y541" s="268" t="str">
        <f>IF(LEN('11.600'!X243)=0,"None",'11.600'!X243)</f>
        <v>None</v>
      </c>
      <c r="Z541" s="717"/>
      <c r="AA541" s="707" t="e">
        <f>'Photo Review'!#REF!</f>
        <v>#REF!</v>
      </c>
      <c r="AC541" s="248"/>
      <c r="AD541" s="248"/>
      <c r="AE541" s="248"/>
      <c r="AF541" s="248"/>
      <c r="AG541" s="248"/>
      <c r="AH541" s="248"/>
      <c r="AI541" s="248"/>
      <c r="AJ541" s="248"/>
      <c r="AK541" s="248"/>
      <c r="AL541" s="1352" t="str">
        <f>SUBSTITUTE(SUBSTITUTE(SUBSTITUTE("vpa"&amp;$B541&amp;$C541&amp;$D541&amp;$E541&amp;$F541,".","_"),"(","_"),")","")</f>
        <v>vpa602_1_14_3</v>
      </c>
      <c r="AM541" s="1352">
        <f>M541</f>
        <v>2</v>
      </c>
      <c r="AN541" s="1352" t="str">
        <f>SUBSTITUTE(SUBSTITUTE(SUBSTITUTE("vpc"&amp;$B541&amp;$C541&amp;$D541&amp;$E541&amp;$F541,".","_"),"(","_"),")","")</f>
        <v>vpc602_1_14_3</v>
      </c>
      <c r="AO541" s="1352">
        <f>O541</f>
        <v>2</v>
      </c>
      <c r="AP541" s="1352" t="str">
        <f>SUBSTITUTE(SUBSTITUTE(SUBSTITUTE("vch"&amp;$B541&amp;$C541&amp;$D541&amp;$E541&amp;$F541,".","_"),"(","_"),")","")</f>
        <v>vch602_1_14_3</v>
      </c>
      <c r="AQ541" s="1352" t="b">
        <f>IF(LEN(W541)=0,"",W541)</f>
        <v>1</v>
      </c>
      <c r="AR541" s="1352" t="str">
        <f>SUBSTITUTE(SUBSTITUTE(SUBSTITUTE("vnt"&amp;$B541&amp;$C541&amp;$D541&amp;$E541&amp;$F541,".","_"),"(","_"),")","")</f>
        <v>vnt602_1_14_3</v>
      </c>
      <c r="AS541" s="1352" t="str">
        <f>IF(LEN(X541)=0,"",X541)</f>
        <v/>
      </c>
    </row>
    <row r="542" spans="1:50" s="905" customFormat="1" ht="16" thickTop="1" x14ac:dyDescent="0.2">
      <c r="A542" s="1507">
        <v>6</v>
      </c>
      <c r="B542" s="1524" t="s">
        <v>3981</v>
      </c>
      <c r="C542" s="1511"/>
      <c r="D542" s="1511"/>
      <c r="E542" s="1511"/>
      <c r="F542" s="1514"/>
      <c r="G542" s="1509" t="str">
        <f>IF(N542&gt;0,"P","")</f>
        <v/>
      </c>
      <c r="H542" s="1510" t="s">
        <v>3199</v>
      </c>
      <c r="I542" s="177" t="s">
        <v>3982</v>
      </c>
      <c r="J542" s="178"/>
      <c r="K542" s="179"/>
      <c r="L542" s="1683" t="s">
        <v>3983</v>
      </c>
      <c r="M542" s="1685">
        <v>2</v>
      </c>
      <c r="N542" s="1682">
        <f>'11.600'!O244</f>
        <v>0</v>
      </c>
      <c r="O542" s="1682">
        <f>M542*S542*W542</f>
        <v>0</v>
      </c>
      <c r="P542" s="464" t="b">
        <v>0</v>
      </c>
      <c r="Q542" s="464" t="b">
        <v>1</v>
      </c>
      <c r="R542" s="905" t="b">
        <v>0</v>
      </c>
      <c r="S542" s="464" t="b">
        <v>1</v>
      </c>
      <c r="T542" s="464" t="b">
        <v>0</v>
      </c>
      <c r="W542" s="119"/>
      <c r="X542" s="1670"/>
      <c r="Y542" s="1883" t="str">
        <f>IF(LEN('11.600'!X244)=0,"None",'11.600'!X244)</f>
        <v>None</v>
      </c>
      <c r="Z542" s="1670"/>
      <c r="AA542"/>
      <c r="AB542"/>
      <c r="AC542" s="1150" t="b">
        <f>OR(AD542:AE542)</f>
        <v>0</v>
      </c>
      <c r="AD542" s="1150" t="b">
        <f>T542</f>
        <v>0</v>
      </c>
      <c r="AE542" s="1" t="b">
        <f>AND(W542=TRUE,LEN(X542)&lt;1)</f>
        <v>0</v>
      </c>
      <c r="AF542"/>
      <c r="AG542"/>
      <c r="AH542"/>
      <c r="AI542"/>
      <c r="AJ542"/>
      <c r="AK542"/>
      <c r="AL542" s="1352" t="str">
        <f>SUBSTITUTE(SUBSTITUTE(SUBSTITUTE("vpa"&amp;$B542&amp;$C542&amp;$D542&amp;$E542&amp;$F542,".","_"),"(","_"),")","")</f>
        <v>vpa602_1_15</v>
      </c>
      <c r="AM542" s="1352">
        <f>M542</f>
        <v>2</v>
      </c>
      <c r="AN542" s="1352" t="str">
        <f>SUBSTITUTE(SUBSTITUTE(SUBSTITUTE("vpc"&amp;$B542&amp;$C542&amp;$D542&amp;$E542&amp;$F542,".","_"),"(","_"),")","")</f>
        <v>vpc602_1_15</v>
      </c>
      <c r="AO542" s="1352">
        <f>O542</f>
        <v>0</v>
      </c>
      <c r="AP542" s="1352" t="str">
        <f>SUBSTITUTE(SUBSTITUTE(SUBSTITUTE("vch"&amp;$B542&amp;$C542&amp;$D542&amp;$E542&amp;$F542,".","_"),"(","_"),")","")</f>
        <v>vch602_1_15</v>
      </c>
      <c r="AQ542" s="1352" t="str">
        <f>IF(LEN(W542)=0,"",W542)</f>
        <v/>
      </c>
      <c r="AR542" s="1352" t="str">
        <f>SUBSTITUTE(SUBSTITUTE(SUBSTITUTE("vnt"&amp;$B542&amp;$C542&amp;$D542&amp;$E542&amp;$F542,".","_"),"(","_"),")","")</f>
        <v>vnt602_1_15</v>
      </c>
      <c r="AS542" s="1352" t="str">
        <f>IF(LEN(X542)=0,"",X542)</f>
        <v/>
      </c>
      <c r="AT542"/>
      <c r="AU542"/>
      <c r="AV542"/>
      <c r="AW542"/>
      <c r="AX542"/>
    </row>
    <row r="543" spans="1:50" s="905" customFormat="1" x14ac:dyDescent="0.2">
      <c r="A543" s="1507">
        <v>6</v>
      </c>
      <c r="B543" s="1524" t="s">
        <v>3981</v>
      </c>
      <c r="C543" s="1511"/>
      <c r="D543" s="1511"/>
      <c r="E543" s="1511"/>
      <c r="F543" s="1514"/>
      <c r="G543" s="1509" t="str">
        <f>G542</f>
        <v/>
      </c>
      <c r="H543" s="1510" t="s">
        <v>3199</v>
      </c>
      <c r="I543" s="130"/>
      <c r="J543" s="129"/>
      <c r="K543" s="97"/>
      <c r="L543" s="1629"/>
      <c r="M543" s="1623"/>
      <c r="N543" s="1619"/>
      <c r="O543" s="1619"/>
      <c r="W543"/>
      <c r="X543" s="1632"/>
      <c r="Y543" s="1881"/>
      <c r="Z543" s="1632"/>
      <c r="AA543"/>
      <c r="AB543"/>
      <c r="AC543"/>
      <c r="AD543"/>
      <c r="AE543"/>
      <c r="AF543"/>
      <c r="AG543"/>
      <c r="AH543"/>
      <c r="AI543"/>
      <c r="AJ543"/>
      <c r="AK543"/>
      <c r="AL543" s="1352"/>
      <c r="AM543" s="1352"/>
      <c r="AN543" s="1352"/>
      <c r="AO543" s="1352"/>
      <c r="AP543" s="1352"/>
      <c r="AQ543" s="1352"/>
      <c r="AR543" s="1352"/>
      <c r="AS543" s="1352"/>
      <c r="AT543"/>
      <c r="AU543"/>
      <c r="AV543"/>
      <c r="AW543"/>
      <c r="AX543"/>
    </row>
    <row r="544" spans="1:50" s="905" customFormat="1" ht="16" thickBot="1" x14ac:dyDescent="0.25">
      <c r="A544" s="1507">
        <v>6</v>
      </c>
      <c r="B544" s="1524" t="s">
        <v>3981</v>
      </c>
      <c r="C544" s="1511"/>
      <c r="D544" s="1511"/>
      <c r="E544" s="1511"/>
      <c r="F544" s="1514"/>
      <c r="G544" s="1509" t="str">
        <f>G543</f>
        <v/>
      </c>
      <c r="H544" s="1510" t="s">
        <v>3199</v>
      </c>
      <c r="I544" s="130"/>
      <c r="J544" s="129"/>
      <c r="K544" s="97"/>
      <c r="L544" s="949" t="s">
        <v>3984</v>
      </c>
      <c r="M544" s="1627"/>
      <c r="N544" s="1638"/>
      <c r="O544" s="1638"/>
      <c r="W544"/>
      <c r="X544" s="1648"/>
      <c r="Y544" s="1882"/>
      <c r="Z544" s="1648"/>
      <c r="AA544"/>
      <c r="AB544"/>
      <c r="AC544"/>
      <c r="AD544"/>
      <c r="AE544"/>
      <c r="AF544"/>
      <c r="AG544"/>
      <c r="AH544"/>
      <c r="AI544"/>
      <c r="AJ544"/>
      <c r="AK544"/>
      <c r="AL544" s="1352"/>
      <c r="AM544" s="1352"/>
      <c r="AN544" s="1352"/>
      <c r="AO544" s="1352"/>
      <c r="AP544" s="1352"/>
      <c r="AQ544" s="1352"/>
      <c r="AR544" s="1352"/>
      <c r="AS544" s="1352"/>
      <c r="AT544"/>
      <c r="AU544"/>
      <c r="AV544"/>
      <c r="AW544"/>
      <c r="AX544"/>
    </row>
    <row r="545" spans="1:45" ht="17" hidden="1" thickTop="1" thickBot="1" x14ac:dyDescent="0.25">
      <c r="A545" s="1507">
        <v>6</v>
      </c>
      <c r="B545" s="1524">
        <v>602.20000000000005</v>
      </c>
      <c r="C545" s="1511"/>
      <c r="D545" s="1511"/>
      <c r="E545" s="1511"/>
      <c r="F545" s="1514"/>
      <c r="G545" s="1509" t="str">
        <f>IF(N545&gt;0,"P","")</f>
        <v/>
      </c>
      <c r="H545" s="1510" t="s">
        <v>3197</v>
      </c>
      <c r="I545" s="177" t="s">
        <v>3555</v>
      </c>
      <c r="J545" s="178"/>
      <c r="K545" s="179"/>
      <c r="L545" s="1683" t="s">
        <v>3613</v>
      </c>
      <c r="M545" s="1685">
        <v>3</v>
      </c>
      <c r="N545" s="1770">
        <f>'11.600'!O247</f>
        <v>0</v>
      </c>
      <c r="O545" s="1682">
        <f>IFERROR(OR(W549,W551,W552),0)*M545</f>
        <v>0</v>
      </c>
      <c r="P545" s="106"/>
      <c r="Q545" s="106"/>
      <c r="R545" s="106"/>
      <c r="S545" s="106"/>
      <c r="T545" s="106"/>
      <c r="U545" s="106"/>
      <c r="V545" s="106"/>
      <c r="W545" s="106"/>
      <c r="X545" s="106"/>
      <c r="Y545"/>
      <c r="Z545" s="670"/>
      <c r="AC545" s="248"/>
      <c r="AD545" s="248"/>
      <c r="AE545" s="248"/>
      <c r="AF545" s="248"/>
      <c r="AG545" s="248"/>
      <c r="AH545" s="248"/>
      <c r="AI545" s="248"/>
      <c r="AJ545" s="248"/>
      <c r="AK545" s="248"/>
      <c r="AL545" s="1352" t="str">
        <f>SUBSTITUTE(SUBSTITUTE(SUBSTITUTE("vpa"&amp;$B545&amp;$C545&amp;$D545&amp;$E545&amp;$F545,".","_"),"(","_"),")","")</f>
        <v>vpa602_2</v>
      </c>
      <c r="AM545" s="1352">
        <f>M545</f>
        <v>3</v>
      </c>
      <c r="AN545" s="1352" t="str">
        <f>SUBSTITUTE(SUBSTITUTE(SUBSTITUTE("vpc"&amp;$B545&amp;$C545&amp;$D545&amp;$E545&amp;$F545,".","_"),"(","_"),")","")</f>
        <v>vpc602_2</v>
      </c>
      <c r="AO545" s="1352">
        <f>O545</f>
        <v>0</v>
      </c>
      <c r="AP545" s="1352"/>
      <c r="AQ545" s="1352"/>
      <c r="AR545" s="1352"/>
      <c r="AS545" s="1352"/>
    </row>
    <row r="546" spans="1:45" ht="17" hidden="1" thickTop="1" thickBot="1" x14ac:dyDescent="0.25">
      <c r="A546" s="1507">
        <v>6</v>
      </c>
      <c r="B546" s="1524">
        <v>602.20000000000005</v>
      </c>
      <c r="C546" s="1511"/>
      <c r="D546" s="1511"/>
      <c r="E546" s="1511"/>
      <c r="F546" s="1514"/>
      <c r="G546" s="1509" t="str">
        <f t="shared" ref="G546:G554" si="33">G545</f>
        <v/>
      </c>
      <c r="H546" s="1510" t="s">
        <v>3197</v>
      </c>
      <c r="I546" s="130"/>
      <c r="J546" s="129"/>
      <c r="K546" s="97"/>
      <c r="L546" s="1629"/>
      <c r="M546" s="1623"/>
      <c r="N546" s="1755"/>
      <c r="O546" s="1619"/>
      <c r="P546" s="991"/>
      <c r="Q546" s="991"/>
      <c r="R546" s="991"/>
      <c r="S546" s="991"/>
      <c r="T546" s="991"/>
      <c r="U546" s="991"/>
      <c r="V546" s="991"/>
      <c r="W546" s="96"/>
      <c r="X546" s="96"/>
      <c r="Y546"/>
      <c r="Z546" s="670"/>
      <c r="AC546" s="248"/>
      <c r="AD546" s="248"/>
      <c r="AE546" s="248"/>
      <c r="AF546" s="248"/>
      <c r="AG546" s="248"/>
      <c r="AH546" s="248"/>
      <c r="AI546" s="248"/>
      <c r="AJ546" s="248"/>
      <c r="AK546" s="248"/>
      <c r="AL546" s="1352"/>
      <c r="AM546" s="1352"/>
      <c r="AN546" s="1352"/>
      <c r="AO546" s="1352"/>
      <c r="AP546" s="1352"/>
      <c r="AQ546" s="1352"/>
      <c r="AR546" s="1352"/>
      <c r="AS546" s="1352"/>
    </row>
    <row r="547" spans="1:45" ht="17" hidden="1" thickTop="1" thickBot="1" x14ac:dyDescent="0.25">
      <c r="A547" s="1507">
        <v>6</v>
      </c>
      <c r="B547" s="1524">
        <v>602.20000000000005</v>
      </c>
      <c r="C547" s="1511"/>
      <c r="D547" s="1511"/>
      <c r="E547" s="1511"/>
      <c r="F547" s="1514"/>
      <c r="G547" s="1509" t="str">
        <f t="shared" si="33"/>
        <v/>
      </c>
      <c r="H547" s="1510" t="s">
        <v>3197</v>
      </c>
      <c r="I547" s="130"/>
      <c r="J547" s="129"/>
      <c r="K547" s="97"/>
      <c r="L547" s="1629"/>
      <c r="M547" s="1623"/>
      <c r="N547" s="1755"/>
      <c r="O547" s="1619"/>
      <c r="P547" s="991"/>
      <c r="Q547" s="991"/>
      <c r="R547" s="991"/>
      <c r="S547" s="991"/>
      <c r="T547" s="991"/>
      <c r="U547" s="991"/>
      <c r="V547" s="991"/>
      <c r="W547" s="96"/>
      <c r="X547" s="96"/>
      <c r="Y547"/>
      <c r="Z547" s="670"/>
      <c r="AC547" s="248"/>
      <c r="AD547" s="248"/>
      <c r="AE547" s="248"/>
      <c r="AF547" s="248"/>
      <c r="AG547" s="248"/>
      <c r="AH547" s="248"/>
      <c r="AI547" s="248"/>
      <c r="AJ547" s="248"/>
      <c r="AK547" s="248"/>
      <c r="AL547" s="1352"/>
      <c r="AM547" s="1352"/>
      <c r="AN547" s="1352"/>
      <c r="AO547" s="1352"/>
      <c r="AP547" s="1352"/>
      <c r="AQ547" s="1352"/>
      <c r="AR547" s="1352"/>
      <c r="AS547" s="1352"/>
    </row>
    <row r="548" spans="1:45" ht="17" hidden="1" thickTop="1" thickBot="1" x14ac:dyDescent="0.25">
      <c r="A548" s="1507">
        <v>6</v>
      </c>
      <c r="B548" s="1524">
        <v>602.20000000000005</v>
      </c>
      <c r="C548" s="1511"/>
      <c r="D548" s="1511"/>
      <c r="E548" s="1511"/>
      <c r="F548" s="1514"/>
      <c r="G548" s="1509" t="str">
        <f t="shared" si="33"/>
        <v/>
      </c>
      <c r="H548" s="1510" t="s">
        <v>3197</v>
      </c>
      <c r="I548" s="130"/>
      <c r="J548" s="129"/>
      <c r="K548" s="97"/>
      <c r="L548" s="1629"/>
      <c r="M548" s="1623"/>
      <c r="N548" s="1755"/>
      <c r="O548" s="1619"/>
      <c r="P548" s="991"/>
      <c r="Q548" s="991"/>
      <c r="R548" s="991"/>
      <c r="S548" s="991"/>
      <c r="T548" s="991"/>
      <c r="U548" s="991"/>
      <c r="V548" s="991"/>
      <c r="W548" s="96"/>
      <c r="X548" s="96"/>
      <c r="Y548"/>
      <c r="Z548" s="670"/>
      <c r="AC548" s="248"/>
      <c r="AD548" s="248"/>
      <c r="AE548" s="248"/>
      <c r="AF548" s="248"/>
      <c r="AG548" s="248"/>
      <c r="AH548" s="248"/>
      <c r="AI548" s="248"/>
      <c r="AJ548" s="248"/>
      <c r="AK548" s="248"/>
      <c r="AL548" s="1352"/>
      <c r="AM548" s="1352"/>
      <c r="AN548" s="1352"/>
      <c r="AO548" s="1352"/>
      <c r="AP548" s="1352"/>
      <c r="AQ548" s="1352"/>
      <c r="AR548" s="1352"/>
      <c r="AS548" s="1352"/>
    </row>
    <row r="549" spans="1:45" ht="17" hidden="1" thickTop="1" thickBot="1" x14ac:dyDescent="0.25">
      <c r="A549" s="1507">
        <v>6</v>
      </c>
      <c r="B549" s="1524">
        <v>602.20000000000005</v>
      </c>
      <c r="C549" s="1511" t="s">
        <v>254</v>
      </c>
      <c r="D549" s="1511"/>
      <c r="E549" s="1511"/>
      <c r="F549" s="1514"/>
      <c r="G549" s="1509" t="str">
        <f t="shared" si="33"/>
        <v/>
      </c>
      <c r="H549" s="1510" t="s">
        <v>3197</v>
      </c>
      <c r="I549" s="67"/>
      <c r="J549" s="180" t="s">
        <v>254</v>
      </c>
      <c r="K549" s="97"/>
      <c r="L549" s="1657" t="s">
        <v>536</v>
      </c>
      <c r="M549" s="911"/>
      <c r="N549" s="250"/>
      <c r="O549" s="935"/>
      <c r="P549" s="905" t="b">
        <v>1</v>
      </c>
      <c r="Q549" s="905" t="b">
        <v>1</v>
      </c>
      <c r="R549" s="905" t="b">
        <v>0</v>
      </c>
      <c r="S549" s="905" t="b">
        <v>1</v>
      </c>
      <c r="T549" s="905" t="b">
        <v>0</v>
      </c>
      <c r="U549" s="905"/>
      <c r="V549" s="905"/>
      <c r="W549" s="27"/>
      <c r="X549" s="1600"/>
      <c r="Y549" s="1874" t="str">
        <f>IF(LEN('11.600'!X251)=0,"None",'11.600'!X251)</f>
        <v>None</v>
      </c>
      <c r="Z549" s="1889"/>
      <c r="AC549" s="248"/>
      <c r="AD549" s="248"/>
      <c r="AE549" s="248"/>
      <c r="AF549" s="248"/>
      <c r="AG549" s="248"/>
      <c r="AH549" s="248"/>
      <c r="AI549" s="248"/>
      <c r="AJ549" s="248"/>
      <c r="AK549" s="248"/>
      <c r="AL549" s="1352"/>
      <c r="AM549" s="1352"/>
      <c r="AN549" s="1352"/>
      <c r="AO549" s="1352"/>
      <c r="AP549" s="1352" t="str">
        <f>SUBSTITUTE(SUBSTITUTE(SUBSTITUTE("vch"&amp;$B549&amp;$C549&amp;$D549&amp;$E549&amp;$F549,".","_"),"(","_"),")","")</f>
        <v>vch602_2_1</v>
      </c>
      <c r="AQ549" s="1352" t="str">
        <f>IF(LEN(W549)=0,"",W549)</f>
        <v/>
      </c>
      <c r="AR549" s="1352" t="str">
        <f>SUBSTITUTE(SUBSTITUTE(SUBSTITUTE("vnt"&amp;$B549&amp;$C549&amp;$D549&amp;$E549&amp;$F549,".","_"),"(","_"),")","")</f>
        <v>vnt602_2_1</v>
      </c>
      <c r="AS549" s="1352" t="str">
        <f>IF(LEN(X549)=0,"",X549)</f>
        <v/>
      </c>
    </row>
    <row r="550" spans="1:45" ht="17" hidden="1" thickTop="1" thickBot="1" x14ac:dyDescent="0.25">
      <c r="A550" s="1507">
        <v>6</v>
      </c>
      <c r="B550" s="1524">
        <v>602.20000000000005</v>
      </c>
      <c r="C550" s="1511" t="s">
        <v>254</v>
      </c>
      <c r="D550" s="1511"/>
      <c r="E550" s="1511"/>
      <c r="F550" s="1514"/>
      <c r="G550" s="1509" t="str">
        <f t="shared" si="33"/>
        <v/>
      </c>
      <c r="H550" s="1510" t="s">
        <v>3197</v>
      </c>
      <c r="I550" s="67"/>
      <c r="J550" s="207"/>
      <c r="K550" s="170"/>
      <c r="L550" s="1650"/>
      <c r="M550" s="911"/>
      <c r="N550" s="250"/>
      <c r="O550" s="935"/>
      <c r="P550" s="905"/>
      <c r="Q550" s="905"/>
      <c r="R550" s="905"/>
      <c r="S550" s="905"/>
      <c r="T550" s="905"/>
      <c r="U550" s="905"/>
      <c r="V550" s="905"/>
      <c r="W550" s="248"/>
      <c r="X550" s="1600"/>
      <c r="Y550" s="1874"/>
      <c r="Z550" s="1889"/>
      <c r="AC550" s="248"/>
      <c r="AD550" s="248"/>
      <c r="AE550" s="248"/>
      <c r="AF550" s="248"/>
      <c r="AG550" s="248"/>
      <c r="AH550" s="248"/>
      <c r="AI550" s="248"/>
      <c r="AJ550" s="248"/>
      <c r="AK550" s="248"/>
      <c r="AL550" s="1352"/>
      <c r="AM550" s="1352"/>
      <c r="AN550" s="1352"/>
      <c r="AO550" s="1352"/>
      <c r="AP550" s="1352"/>
      <c r="AQ550" s="1352"/>
      <c r="AR550" s="1352"/>
      <c r="AS550" s="1352"/>
    </row>
    <row r="551" spans="1:45" ht="18" hidden="1" thickTop="1" thickBot="1" x14ac:dyDescent="0.25">
      <c r="A551" s="1507">
        <v>6</v>
      </c>
      <c r="B551" s="1524">
        <v>602.20000000000005</v>
      </c>
      <c r="C551" s="1511" t="s">
        <v>255</v>
      </c>
      <c r="D551" s="1511"/>
      <c r="E551" s="1511"/>
      <c r="F551" s="1514"/>
      <c r="G551" s="1509" t="str">
        <f t="shared" si="33"/>
        <v/>
      </c>
      <c r="H551" s="1510" t="s">
        <v>3197</v>
      </c>
      <c r="I551" s="67"/>
      <c r="J551" s="209" t="s">
        <v>255</v>
      </c>
      <c r="K551" s="210"/>
      <c r="L551" s="210" t="s">
        <v>537</v>
      </c>
      <c r="M551" s="911"/>
      <c r="N551" s="250"/>
      <c r="O551" s="935"/>
      <c r="P551" s="905" t="b">
        <v>1</v>
      </c>
      <c r="Q551" s="905" t="b">
        <v>1</v>
      </c>
      <c r="R551" s="905" t="b">
        <v>0</v>
      </c>
      <c r="S551" s="905" t="b">
        <v>1</v>
      </c>
      <c r="T551" s="905" t="b">
        <v>0</v>
      </c>
      <c r="U551" s="905"/>
      <c r="V551" s="905"/>
      <c r="W551" s="27"/>
      <c r="X551" s="249"/>
      <c r="Y551" s="267" t="str">
        <f>IF(LEN('11.600'!X253)=0,"None",'11.600'!X253)</f>
        <v>None</v>
      </c>
      <c r="Z551" s="715"/>
      <c r="AC551" s="248"/>
      <c r="AD551" s="248"/>
      <c r="AE551" s="248"/>
      <c r="AF551" s="248"/>
      <c r="AG551" s="248"/>
      <c r="AH551" s="248"/>
      <c r="AI551" s="248"/>
      <c r="AJ551" s="248"/>
      <c r="AK551" s="248"/>
      <c r="AL551" s="1352"/>
      <c r="AM551" s="1352"/>
      <c r="AN551" s="1352"/>
      <c r="AO551" s="1352"/>
      <c r="AP551" s="1352" t="str">
        <f>SUBSTITUTE(SUBSTITUTE(SUBSTITUTE("vch"&amp;$B551&amp;$C551&amp;$D551&amp;$E551&amp;$F551,".","_"),"(","_"),")","")</f>
        <v>vch602_2_2</v>
      </c>
      <c r="AQ551" s="1352" t="str">
        <f>IF(LEN(W551)=0,"",W551)</f>
        <v/>
      </c>
      <c r="AR551" s="1352" t="str">
        <f>SUBSTITUTE(SUBSTITUTE(SUBSTITUTE("vnt"&amp;$B551&amp;$C551&amp;$D551&amp;$E551&amp;$F551,".","_"),"(","_"),")","")</f>
        <v>vnt602_2_2</v>
      </c>
      <c r="AS551" s="1352" t="str">
        <f>IF(LEN(X551)=0,"",X551)</f>
        <v/>
      </c>
    </row>
    <row r="552" spans="1:45" ht="17" hidden="1" thickTop="1" thickBot="1" x14ac:dyDescent="0.25">
      <c r="A552" s="1507">
        <v>6</v>
      </c>
      <c r="B552" s="1524">
        <v>602.20000000000005</v>
      </c>
      <c r="C552" s="1511" t="s">
        <v>256</v>
      </c>
      <c r="D552" s="1511"/>
      <c r="E552" s="1511"/>
      <c r="F552" s="1514"/>
      <c r="G552" s="1509" t="str">
        <f t="shared" si="33"/>
        <v/>
      </c>
      <c r="H552" s="1510" t="s">
        <v>3197</v>
      </c>
      <c r="I552" s="67"/>
      <c r="J552" s="29" t="s">
        <v>256</v>
      </c>
      <c r="K552" s="85"/>
      <c r="L552" s="1611" t="s">
        <v>538</v>
      </c>
      <c r="M552" s="911"/>
      <c r="N552" s="250"/>
      <c r="O552" s="935"/>
      <c r="P552" s="905" t="b">
        <v>1</v>
      </c>
      <c r="Q552" s="905" t="b">
        <v>1</v>
      </c>
      <c r="R552" s="905" t="b">
        <v>0</v>
      </c>
      <c r="S552" s="905" t="b">
        <v>1</v>
      </c>
      <c r="T552" s="905" t="b">
        <v>0</v>
      </c>
      <c r="U552" s="905"/>
      <c r="V552" s="905"/>
      <c r="W552" s="27"/>
      <c r="X552" s="1600"/>
      <c r="Y552" s="1881" t="str">
        <f>IF(LEN('11.600'!X254)=0,"None",'11.600'!X254)</f>
        <v>None</v>
      </c>
      <c r="Z552" s="1891"/>
      <c r="AC552" s="248"/>
      <c r="AD552" s="248"/>
      <c r="AE552" s="248"/>
      <c r="AF552" s="248"/>
      <c r="AG552" s="248"/>
      <c r="AH552" s="248"/>
      <c r="AI552" s="248"/>
      <c r="AJ552" s="248"/>
      <c r="AK552" s="248"/>
      <c r="AL552" s="1352"/>
      <c r="AM552" s="1352"/>
      <c r="AN552" s="1352"/>
      <c r="AO552" s="1352"/>
      <c r="AP552" s="1352" t="str">
        <f>SUBSTITUTE(SUBSTITUTE(SUBSTITUTE("vch"&amp;$B552&amp;$C552&amp;$D552&amp;$E552&amp;$F552,".","_"),"(","_"),")","")</f>
        <v>vch602_2_3</v>
      </c>
      <c r="AQ552" s="1352" t="str">
        <f>IF(LEN(W552)=0,"",W552)</f>
        <v/>
      </c>
      <c r="AR552" s="1352" t="str">
        <f>SUBSTITUTE(SUBSTITUTE(SUBSTITUTE("vnt"&amp;$B552&amp;$C552&amp;$D552&amp;$E552&amp;$F552,".","_"),"(","_"),")","")</f>
        <v>vnt602_2_3</v>
      </c>
      <c r="AS552" s="1352" t="str">
        <f>IF(LEN(X552)=0,"",X552)</f>
        <v/>
      </c>
    </row>
    <row r="553" spans="1:45" ht="17" hidden="1" thickTop="1" thickBot="1" x14ac:dyDescent="0.25">
      <c r="A553" s="1507">
        <v>6</v>
      </c>
      <c r="B553" s="1524">
        <v>602.20000000000005</v>
      </c>
      <c r="C553" s="1511" t="s">
        <v>256</v>
      </c>
      <c r="D553" s="1511"/>
      <c r="E553" s="1511"/>
      <c r="F553" s="1514"/>
      <c r="G553" s="1509" t="str">
        <f t="shared" si="33"/>
        <v/>
      </c>
      <c r="H553" s="1510" t="s">
        <v>3197</v>
      </c>
      <c r="I553" s="67"/>
      <c r="J553" s="4"/>
      <c r="K553" s="85"/>
      <c r="L553" s="1611"/>
      <c r="M553" s="911"/>
      <c r="N553" s="250"/>
      <c r="O553" s="935"/>
      <c r="P553" s="905"/>
      <c r="Q553" s="905"/>
      <c r="R553" s="905"/>
      <c r="S553" s="905"/>
      <c r="T553" s="905"/>
      <c r="U553" s="905"/>
      <c r="V553" s="905"/>
      <c r="W553" s="248"/>
      <c r="X553" s="1600"/>
      <c r="Y553" s="1881"/>
      <c r="Z553" s="1891"/>
      <c r="AC553" s="248"/>
      <c r="AD553" s="248"/>
      <c r="AE553" s="248"/>
      <c r="AF553" s="248"/>
      <c r="AG553" s="248"/>
      <c r="AH553" s="248"/>
      <c r="AI553" s="248"/>
      <c r="AJ553" s="248"/>
      <c r="AK553" s="248"/>
      <c r="AL553" s="1352"/>
      <c r="AM553" s="1352"/>
      <c r="AN553" s="1352"/>
      <c r="AO553" s="1352"/>
      <c r="AP553" s="1352"/>
      <c r="AQ553" s="1352"/>
      <c r="AR553" s="1352"/>
      <c r="AS553" s="1352"/>
    </row>
    <row r="554" spans="1:45" ht="17" hidden="1" thickTop="1" thickBot="1" x14ac:dyDescent="0.25">
      <c r="A554" s="1507">
        <v>6</v>
      </c>
      <c r="B554" s="1524">
        <v>602.20000000000005</v>
      </c>
      <c r="C554" s="1511" t="s">
        <v>256</v>
      </c>
      <c r="D554" s="1511"/>
      <c r="E554" s="1511"/>
      <c r="F554" s="1514"/>
      <c r="G554" s="1509" t="str">
        <f t="shared" si="33"/>
        <v/>
      </c>
      <c r="H554" s="1510" t="s">
        <v>3197</v>
      </c>
      <c r="I554" s="67"/>
      <c r="J554" s="4"/>
      <c r="K554" s="85"/>
      <c r="L554" s="1611"/>
      <c r="M554" s="911"/>
      <c r="N554" s="250"/>
      <c r="O554" s="935"/>
      <c r="P554" s="905"/>
      <c r="Q554" s="905"/>
      <c r="R554" s="905"/>
      <c r="S554" s="905"/>
      <c r="T554" s="905"/>
      <c r="U554" s="905"/>
      <c r="V554" s="905"/>
      <c r="W554" s="113"/>
      <c r="X554" s="1621"/>
      <c r="Y554" s="1882"/>
      <c r="Z554" s="1892"/>
      <c r="AC554" s="248"/>
      <c r="AD554" s="248"/>
      <c r="AE554" s="248"/>
      <c r="AF554" s="248"/>
      <c r="AG554" s="248"/>
      <c r="AH554" s="248"/>
      <c r="AI554" s="248"/>
      <c r="AJ554" s="248"/>
      <c r="AK554" s="248"/>
      <c r="AL554" s="1352"/>
      <c r="AM554" s="1352"/>
      <c r="AN554" s="1352"/>
      <c r="AO554" s="1352"/>
      <c r="AP554" s="1352"/>
      <c r="AQ554" s="1352"/>
      <c r="AR554" s="1352"/>
      <c r="AS554" s="1352"/>
    </row>
    <row r="555" spans="1:45" ht="17" hidden="1" thickTop="1" thickBot="1" x14ac:dyDescent="0.25">
      <c r="A555" s="1507">
        <v>6</v>
      </c>
      <c r="B555" s="1524">
        <v>602.29999999999995</v>
      </c>
      <c r="C555" s="1511"/>
      <c r="D555" s="1511"/>
      <c r="E555" s="1511"/>
      <c r="F555" s="1514"/>
      <c r="G555" s="1509" t="str">
        <f>IF(N555&gt;0,"P","")</f>
        <v/>
      </c>
      <c r="H555" s="1510" t="s">
        <v>3199</v>
      </c>
      <c r="I555" s="177" t="s">
        <v>3556</v>
      </c>
      <c r="J555" s="178"/>
      <c r="K555" s="179"/>
      <c r="L555" s="1683" t="s">
        <v>3612</v>
      </c>
      <c r="M555" s="1685">
        <v>4</v>
      </c>
      <c r="N555" s="1770">
        <f>'11.600'!O257</f>
        <v>0</v>
      </c>
      <c r="O555" s="1682">
        <f>M555*S555*W555</f>
        <v>0</v>
      </c>
      <c r="P555" s="905" t="b">
        <v>0</v>
      </c>
      <c r="Q555" s="905" t="b">
        <v>1</v>
      </c>
      <c r="R555" s="106" t="b">
        <v>0</v>
      </c>
      <c r="S555" s="106" t="b">
        <v>1</v>
      </c>
      <c r="T555" s="106" t="b">
        <v>0</v>
      </c>
      <c r="U555" s="106"/>
      <c r="V555" s="106"/>
      <c r="W555" s="27"/>
      <c r="X555" s="1603"/>
      <c r="Y555" s="1877" t="str">
        <f>IF(LEN('11.600'!X257)=0,"None",'11.600'!X257)</f>
        <v>None</v>
      </c>
      <c r="Z555" s="1880"/>
      <c r="AA555" s="707" t="e">
        <f>'Photo Review'!#REF!</f>
        <v>#REF!</v>
      </c>
      <c r="AC555" s="248"/>
      <c r="AD555" s="248"/>
      <c r="AE555" s="248"/>
      <c r="AF555" s="248"/>
      <c r="AG555" s="248"/>
      <c r="AH555" s="248"/>
      <c r="AI555" s="248"/>
      <c r="AJ555" s="248"/>
      <c r="AK555" s="248"/>
      <c r="AL555" s="1352" t="str">
        <f>SUBSTITUTE(SUBSTITUTE(SUBSTITUTE("vpa"&amp;$B555&amp;$C555&amp;$D555&amp;$E555&amp;$F555,".","_"),"(","_"),")","")</f>
        <v>vpa602_3</v>
      </c>
      <c r="AM555" s="1352">
        <f>M555</f>
        <v>4</v>
      </c>
      <c r="AN555" s="1352" t="str">
        <f>SUBSTITUTE(SUBSTITUTE(SUBSTITUTE("vpc"&amp;$B555&amp;$C555&amp;$D555&amp;$E555&amp;$F555,".","_"),"(","_"),")","")</f>
        <v>vpc602_3</v>
      </c>
      <c r="AO555" s="1352">
        <f>O555</f>
        <v>0</v>
      </c>
      <c r="AP555" s="1352" t="str">
        <f>SUBSTITUTE(SUBSTITUTE(SUBSTITUTE("vch"&amp;$B555&amp;$C555&amp;$D555&amp;$E555&amp;$F555,".","_"),"(","_"),")","")</f>
        <v>vch602_3</v>
      </c>
      <c r="AQ555" s="1352" t="str">
        <f>IF(LEN(W555)=0,"",W555)</f>
        <v/>
      </c>
      <c r="AR555" s="1352" t="str">
        <f>SUBSTITUTE(SUBSTITUTE(SUBSTITUTE("vnt"&amp;$B555&amp;$C555&amp;$D555&amp;$E555&amp;$F555,".","_"),"(","_"),")","")</f>
        <v>vnt602_3</v>
      </c>
      <c r="AS555" s="1352" t="str">
        <f>IF(LEN(X555)=0,"",X555)</f>
        <v/>
      </c>
    </row>
    <row r="556" spans="1:45" ht="17" hidden="1" thickTop="1" thickBot="1" x14ac:dyDescent="0.25">
      <c r="A556" s="1507">
        <v>6</v>
      </c>
      <c r="B556" s="1524">
        <v>602.29999999999995</v>
      </c>
      <c r="C556" s="1511"/>
      <c r="D556" s="1511"/>
      <c r="E556" s="1511"/>
      <c r="F556" s="1514"/>
      <c r="G556" s="1509" t="str">
        <f>G555</f>
        <v/>
      </c>
      <c r="H556" s="1510" t="s">
        <v>3199</v>
      </c>
      <c r="I556" s="130"/>
      <c r="J556" s="129"/>
      <c r="K556" s="97"/>
      <c r="L556" s="1629"/>
      <c r="M556" s="1623"/>
      <c r="N556" s="1755"/>
      <c r="O556" s="1619"/>
      <c r="P556" s="991"/>
      <c r="Q556" s="991"/>
      <c r="R556" s="991"/>
      <c r="S556" s="991"/>
      <c r="T556" s="991"/>
      <c r="U556" s="991"/>
      <c r="V556" s="991"/>
      <c r="W556" s="96"/>
      <c r="X556" s="1601"/>
      <c r="Y556" s="1881"/>
      <c r="Z556" s="1891"/>
      <c r="AC556" s="248"/>
      <c r="AD556" s="248"/>
      <c r="AE556" s="248"/>
      <c r="AF556" s="248"/>
      <c r="AG556" s="248"/>
      <c r="AH556" s="248"/>
      <c r="AI556" s="248"/>
      <c r="AJ556" s="248"/>
      <c r="AK556" s="248"/>
      <c r="AL556" s="1352"/>
      <c r="AM556" s="1352"/>
      <c r="AN556" s="1352"/>
      <c r="AO556" s="1352"/>
      <c r="AP556" s="1352"/>
      <c r="AQ556" s="1352"/>
      <c r="AR556" s="1352"/>
      <c r="AS556" s="1352"/>
    </row>
    <row r="557" spans="1:45" ht="17" hidden="1" thickTop="1" thickBot="1" x14ac:dyDescent="0.25">
      <c r="A557" s="1507">
        <v>6</v>
      </c>
      <c r="B557" s="1524">
        <v>602.29999999999995</v>
      </c>
      <c r="C557" s="1511"/>
      <c r="D557" s="1511"/>
      <c r="E557" s="1511"/>
      <c r="F557" s="1514"/>
      <c r="G557" s="1509" t="str">
        <f>G556</f>
        <v/>
      </c>
      <c r="H557" s="1510" t="s">
        <v>3199</v>
      </c>
      <c r="I557" s="130"/>
      <c r="J557" s="129"/>
      <c r="K557" s="97"/>
      <c r="L557" s="1629"/>
      <c r="M557" s="1623"/>
      <c r="N557" s="1645"/>
      <c r="O557" s="1619"/>
      <c r="P557" s="991"/>
      <c r="Q557" s="991"/>
      <c r="R557" s="991"/>
      <c r="S557" s="991"/>
      <c r="T557" s="991"/>
      <c r="U557" s="991"/>
      <c r="V557" s="991"/>
      <c r="W557" s="96"/>
      <c r="X557" s="1621"/>
      <c r="Y557" s="1882"/>
      <c r="Z557" s="1892"/>
      <c r="AC557" s="248"/>
      <c r="AD557" s="248"/>
      <c r="AE557" s="248"/>
      <c r="AF557" s="248"/>
      <c r="AG557" s="248"/>
      <c r="AH557" s="248"/>
      <c r="AI557" s="248"/>
      <c r="AJ557" s="248"/>
      <c r="AK557" s="248"/>
      <c r="AL557" s="1352"/>
      <c r="AM557" s="1352"/>
      <c r="AN557" s="1352"/>
      <c r="AO557" s="1352"/>
      <c r="AP557" s="1352"/>
      <c r="AQ557" s="1352"/>
      <c r="AR557" s="1352"/>
      <c r="AS557" s="1352"/>
    </row>
    <row r="558" spans="1:45" ht="16" thickTop="1" x14ac:dyDescent="0.2">
      <c r="A558" s="1507">
        <v>6</v>
      </c>
      <c r="B558" s="1524">
        <v>602.4</v>
      </c>
      <c r="C558" s="1511"/>
      <c r="D558" s="1511"/>
      <c r="E558" s="1511"/>
      <c r="F558" s="1514"/>
      <c r="G558" s="1513" t="str">
        <f>IF(COUNTIF(G559:G566,"P")&gt;0,"P","")</f>
        <v>P</v>
      </c>
      <c r="H558" s="1510" t="s">
        <v>3197</v>
      </c>
      <c r="I558" s="177" t="s">
        <v>3557</v>
      </c>
      <c r="J558" s="178"/>
      <c r="K558" s="179"/>
      <c r="L558" s="125" t="s">
        <v>3611</v>
      </c>
      <c r="M558" s="945"/>
      <c r="N558" s="256"/>
      <c r="O558" s="943"/>
      <c r="P558" s="106"/>
      <c r="Q558" s="106"/>
      <c r="R558" s="106"/>
      <c r="S558" s="106"/>
      <c r="T558" s="106"/>
      <c r="U558" s="106"/>
      <c r="V558" s="106"/>
      <c r="W558" s="106"/>
      <c r="X558" s="106"/>
      <c r="Y558"/>
      <c r="Z558" s="670"/>
      <c r="AC558" s="248"/>
      <c r="AD558" s="248"/>
      <c r="AE558" s="248"/>
      <c r="AF558" s="248"/>
      <c r="AG558" s="248"/>
      <c r="AH558" s="248"/>
      <c r="AI558" s="248"/>
      <c r="AJ558" s="248"/>
      <c r="AK558" s="248"/>
      <c r="AL558" s="1352"/>
      <c r="AM558" s="1352"/>
      <c r="AN558" s="1352"/>
      <c r="AO558" s="1352"/>
      <c r="AP558" s="1352"/>
      <c r="AQ558" s="1352"/>
      <c r="AR558" s="1352"/>
      <c r="AS558" s="1352"/>
    </row>
    <row r="559" spans="1:45" x14ac:dyDescent="0.2">
      <c r="A559" s="1507">
        <v>6</v>
      </c>
      <c r="B559" s="1524" t="s">
        <v>539</v>
      </c>
      <c r="C559" s="1511"/>
      <c r="D559" s="1511"/>
      <c r="E559" s="1511"/>
      <c r="F559" s="1514"/>
      <c r="G559" s="1509" t="str">
        <f>IF(IFERROR(SEARCH("Mandatory",M559),FALSE),"P","")</f>
        <v>P</v>
      </c>
      <c r="H559" s="1510" t="s">
        <v>3197</v>
      </c>
      <c r="I559" s="130" t="s">
        <v>3558</v>
      </c>
      <c r="J559" s="129"/>
      <c r="K559" s="97"/>
      <c r="L559" s="1629" t="s">
        <v>3610</v>
      </c>
      <c r="M559" s="1697" t="str">
        <f>IF(R559,"Mandatory","N/A")</f>
        <v>Mandatory</v>
      </c>
      <c r="N559" s="250"/>
      <c r="O559" s="935"/>
      <c r="P559" s="905" t="b">
        <v>1</v>
      </c>
      <c r="Q559" s="905" t="b">
        <v>1</v>
      </c>
      <c r="R559" s="905" t="b">
        <f>S559</f>
        <v>1</v>
      </c>
      <c r="S559" s="905" t="b">
        <v>1</v>
      </c>
      <c r="T559" s="905" t="b">
        <v>0</v>
      </c>
      <c r="U559" s="1268" t="str">
        <f>SUBSTITUTE(SUBSTITUTE(SUBSTITUTE("dd"&amp;B559&amp;C559&amp;D559&amp;E559&amp;F559,".","_"),"(","_"),")","")</f>
        <v>dd602_4_1</v>
      </c>
      <c r="V559" s="905"/>
      <c r="W559" s="12" t="s">
        <v>2588</v>
      </c>
      <c r="X559" s="1600"/>
      <c r="Y559" s="1874" t="str">
        <f>IF(LEN('11.600'!X261)=0,"None",'11.600'!X261)</f>
        <v>None</v>
      </c>
      <c r="Z559" s="1889"/>
      <c r="AA559" s="707" t="e">
        <f>'Photo Review'!#REF!</f>
        <v>#REF!</v>
      </c>
      <c r="AC559" s="248" t="b">
        <f>OR(AD559:AE559)</f>
        <v>0</v>
      </c>
      <c r="AD559" s="248" t="b">
        <f>T559</f>
        <v>0</v>
      </c>
      <c r="AE559" s="1267" t="b">
        <f>AND(R559,NOT(W559="Met"),NOT(W559="N/A"))</f>
        <v>0</v>
      </c>
      <c r="AF559" s="1267" t="b">
        <f>AND(AE559,NOT(Q559))</f>
        <v>0</v>
      </c>
      <c r="AG559" s="248"/>
      <c r="AH559" s="248"/>
      <c r="AI559" s="248"/>
      <c r="AJ559" s="248"/>
      <c r="AK559" s="248"/>
      <c r="AL559" s="1352" t="str">
        <f>SUBSTITUTE(SUBSTITUTE(SUBSTITUTE("vpa"&amp;$B559&amp;$C559&amp;$D559&amp;$E559&amp;$F559,".","_"),"(","_"),")","")</f>
        <v>vpa602_4_1</v>
      </c>
      <c r="AM559" s="1352" t="str">
        <f>M559</f>
        <v>Mandatory</v>
      </c>
      <c r="AN559" s="1352"/>
      <c r="AO559" s="1352"/>
      <c r="AP559" s="1352" t="str">
        <f>SUBSTITUTE(SUBSTITUTE(SUBSTITUTE("vch"&amp;$B559&amp;$C559&amp;$D559&amp;$E559&amp;$F559,".","_"),"(","_"),")","")</f>
        <v>vch602_4_1</v>
      </c>
      <c r="AQ559" s="1352" t="str">
        <f>IF(LEN(W559)=0,"",W559)</f>
        <v>Met</v>
      </c>
      <c r="AR559" s="1352" t="str">
        <f>SUBSTITUTE(SUBSTITUTE(SUBSTITUTE("vnt"&amp;$B559&amp;$C559&amp;$D559&amp;$E559&amp;$F559,".","_"),"(","_"),")","")</f>
        <v>vnt602_4_1</v>
      </c>
      <c r="AS559" s="1352" t="str">
        <f>IF(LEN(X559)=0,"",X559)</f>
        <v/>
      </c>
    </row>
    <row r="560" spans="1:45" x14ac:dyDescent="0.2">
      <c r="A560" s="1507">
        <v>6</v>
      </c>
      <c r="B560" s="1524" t="s">
        <v>539</v>
      </c>
      <c r="C560" s="1511"/>
      <c r="D560" s="1511"/>
      <c r="E560" s="1511"/>
      <c r="F560" s="1514"/>
      <c r="G560" s="1509" t="str">
        <f>G559</f>
        <v>P</v>
      </c>
      <c r="H560" s="1510" t="s">
        <v>3197</v>
      </c>
      <c r="I560" s="130"/>
      <c r="J560" s="129"/>
      <c r="K560" s="97"/>
      <c r="L560" s="1629"/>
      <c r="M560" s="1697"/>
      <c r="N560" s="250"/>
      <c r="O560" s="935"/>
      <c r="P560" s="905"/>
      <c r="Q560" s="905"/>
      <c r="R560" s="905"/>
      <c r="S560" s="905"/>
      <c r="T560" s="905"/>
      <c r="U560" s="905"/>
      <c r="V560" s="905"/>
      <c r="W560" s="248"/>
      <c r="X560" s="1600"/>
      <c r="Y560" s="1874"/>
      <c r="Z560" s="1889"/>
      <c r="AC560" s="248"/>
      <c r="AD560" s="248"/>
      <c r="AE560" s="248"/>
      <c r="AF560" s="248"/>
      <c r="AG560" s="248"/>
      <c r="AH560" s="248"/>
      <c r="AI560" s="248"/>
      <c r="AJ560" s="248"/>
      <c r="AK560" s="248"/>
      <c r="AL560" s="1352"/>
      <c r="AM560" s="1352"/>
      <c r="AN560" s="1352"/>
      <c r="AO560" s="1352"/>
      <c r="AP560" s="1352"/>
      <c r="AQ560" s="1352"/>
      <c r="AR560" s="1352"/>
      <c r="AS560" s="1352"/>
    </row>
    <row r="561" spans="1:46" x14ac:dyDescent="0.2">
      <c r="A561" s="1507">
        <v>6</v>
      </c>
      <c r="B561" s="1524" t="s">
        <v>539</v>
      </c>
      <c r="C561" s="1511"/>
      <c r="D561" s="1511"/>
      <c r="E561" s="1511"/>
      <c r="F561" s="1514"/>
      <c r="G561" s="1509" t="str">
        <f>G560</f>
        <v>P</v>
      </c>
      <c r="H561" s="1510" t="s">
        <v>3197</v>
      </c>
      <c r="I561" s="130"/>
      <c r="J561" s="129"/>
      <c r="K561" s="97"/>
      <c r="L561" s="1629"/>
      <c r="M561" s="1697"/>
      <c r="N561" s="250"/>
      <c r="O561" s="935"/>
      <c r="P561" s="905"/>
      <c r="Q561" s="905"/>
      <c r="R561" s="905"/>
      <c r="S561" s="905"/>
      <c r="T561" s="905"/>
      <c r="U561" s="905"/>
      <c r="V561" s="905"/>
      <c r="W561" s="248"/>
      <c r="X561" s="1600"/>
      <c r="Y561" s="1874"/>
      <c r="Z561" s="1889"/>
      <c r="AC561" s="248"/>
      <c r="AD561" s="248"/>
      <c r="AE561" s="248"/>
      <c r="AF561" s="248"/>
      <c r="AG561" s="248"/>
      <c r="AH561" s="248"/>
      <c r="AI561" s="248"/>
      <c r="AJ561" s="248"/>
      <c r="AK561" s="248"/>
      <c r="AL561" s="1352"/>
      <c r="AM561" s="1352"/>
      <c r="AN561" s="1352"/>
      <c r="AO561" s="1352"/>
      <c r="AP561" s="1352"/>
      <c r="AQ561" s="1352"/>
      <c r="AR561" s="1352"/>
      <c r="AS561" s="1352"/>
    </row>
    <row r="562" spans="1:46" x14ac:dyDescent="0.2">
      <c r="A562" s="1507">
        <v>6</v>
      </c>
      <c r="B562" s="1524" t="s">
        <v>539</v>
      </c>
      <c r="C562" s="1511"/>
      <c r="D562" s="1511"/>
      <c r="E562" s="1511"/>
      <c r="F562" s="1514"/>
      <c r="G562" s="1509" t="str">
        <f>G561</f>
        <v>P</v>
      </c>
      <c r="H562" s="1510" t="s">
        <v>3197</v>
      </c>
      <c r="I562" s="130"/>
      <c r="J562" s="129"/>
      <c r="K562" s="97"/>
      <c r="L562" s="1629"/>
      <c r="M562" s="1697"/>
      <c r="N562" s="250"/>
      <c r="O562" s="935"/>
      <c r="P562" s="905"/>
      <c r="Q562" s="905"/>
      <c r="R562" s="905"/>
      <c r="S562" s="905"/>
      <c r="T562" s="905"/>
      <c r="U562" s="905"/>
      <c r="V562" s="905"/>
      <c r="W562" s="248"/>
      <c r="X562" s="1600"/>
      <c r="Y562" s="1874"/>
      <c r="Z562" s="1889"/>
      <c r="AC562" s="248"/>
      <c r="AD562" s="248"/>
      <c r="AE562" s="248"/>
      <c r="AF562" s="248"/>
      <c r="AG562" s="248"/>
      <c r="AH562" s="248"/>
      <c r="AI562" s="248"/>
      <c r="AJ562" s="248"/>
      <c r="AK562" s="248"/>
      <c r="AL562" s="1352"/>
      <c r="AM562" s="1352"/>
      <c r="AN562" s="1352"/>
      <c r="AO562" s="1352"/>
      <c r="AP562" s="1352"/>
      <c r="AQ562" s="1352"/>
      <c r="AR562" s="1352"/>
      <c r="AS562" s="1352"/>
    </row>
    <row r="563" spans="1:46" x14ac:dyDescent="0.2">
      <c r="A563" s="1507">
        <v>6</v>
      </c>
      <c r="B563" s="1524" t="s">
        <v>539</v>
      </c>
      <c r="C563" s="1511"/>
      <c r="D563" s="1511"/>
      <c r="E563" s="1511"/>
      <c r="F563" s="1514"/>
      <c r="G563" s="1509" t="str">
        <f>G562</f>
        <v>P</v>
      </c>
      <c r="H563" s="1510" t="s">
        <v>3197</v>
      </c>
      <c r="I563" s="219"/>
      <c r="J563" s="213"/>
      <c r="K563" s="170"/>
      <c r="L563" s="1696"/>
      <c r="M563" s="1698"/>
      <c r="N563" s="250"/>
      <c r="O563" s="935"/>
      <c r="P563" s="905"/>
      <c r="Q563" s="905"/>
      <c r="R563" s="905"/>
      <c r="S563" s="905"/>
      <c r="T563" s="905"/>
      <c r="U563" s="905"/>
      <c r="V563" s="905"/>
      <c r="W563" s="248"/>
      <c r="X563" s="1600"/>
      <c r="Y563" s="1874"/>
      <c r="Z563" s="1889"/>
      <c r="AC563" s="248"/>
      <c r="AD563" s="248"/>
      <c r="AE563" s="248"/>
      <c r="AF563" s="248"/>
      <c r="AG563" s="248"/>
      <c r="AH563" s="248"/>
      <c r="AI563" s="248"/>
      <c r="AJ563" s="248"/>
      <c r="AK563" s="248"/>
      <c r="AL563" s="1352"/>
      <c r="AM563" s="1352"/>
      <c r="AN563" s="1352"/>
      <c r="AO563" s="1352"/>
      <c r="AP563" s="1352"/>
      <c r="AQ563" s="1352"/>
      <c r="AR563" s="1352"/>
      <c r="AS563" s="1352"/>
    </row>
    <row r="564" spans="1:46" hidden="1" x14ac:dyDescent="0.2">
      <c r="A564" s="1507">
        <v>6</v>
      </c>
      <c r="B564" s="1524" t="s">
        <v>540</v>
      </c>
      <c r="C564" s="1511"/>
      <c r="D564" s="1511"/>
      <c r="E564" s="1511"/>
      <c r="F564" s="1514"/>
      <c r="G564" s="1509" t="str">
        <f>IF(N564&gt;0,"P","")</f>
        <v/>
      </c>
      <c r="H564" s="1510" t="s">
        <v>3197</v>
      </c>
      <c r="I564" s="130" t="s">
        <v>3559</v>
      </c>
      <c r="J564" s="129"/>
      <c r="K564" s="97"/>
      <c r="L564" s="1629" t="s">
        <v>3609</v>
      </c>
      <c r="M564" s="1623">
        <v>1</v>
      </c>
      <c r="N564" s="1755">
        <f>'11.600'!O266</f>
        <v>0</v>
      </c>
      <c r="O564" s="1619">
        <f>M564*S564*W564</f>
        <v>0</v>
      </c>
      <c r="P564" s="905" t="b">
        <v>1</v>
      </c>
      <c r="Q564" s="905" t="b">
        <v>1</v>
      </c>
      <c r="R564" s="905" t="b">
        <v>0</v>
      </c>
      <c r="S564" s="1267" t="b">
        <f>NOT(W559="N/A")</f>
        <v>1</v>
      </c>
      <c r="T564" s="905" t="b">
        <v>0</v>
      </c>
      <c r="U564" s="905"/>
      <c r="V564" s="905"/>
      <c r="W564" s="27"/>
      <c r="X564" s="1600"/>
      <c r="Y564" s="1874" t="str">
        <f>IF(LEN('11.600'!X266)=0,"None",'11.600'!X266)</f>
        <v>None</v>
      </c>
      <c r="Z564" s="1889"/>
      <c r="AA564" s="707" t="e">
        <f>'Photo Review'!#REF!</f>
        <v>#REF!</v>
      </c>
      <c r="AC564" s="248"/>
      <c r="AD564" s="248"/>
      <c r="AE564" s="248"/>
      <c r="AF564" s="248"/>
      <c r="AG564" s="248"/>
      <c r="AH564" s="248"/>
      <c r="AI564" s="248"/>
      <c r="AJ564" s="248"/>
      <c r="AK564" s="248"/>
      <c r="AL564" s="1352" t="str">
        <f>SUBSTITUTE(SUBSTITUTE(SUBSTITUTE("vpa"&amp;$B564&amp;$C564&amp;$D564&amp;$E564&amp;$F564,".","_"),"(","_"),")","")</f>
        <v>vpa602_4_2</v>
      </c>
      <c r="AM564" s="1352">
        <f>M564</f>
        <v>1</v>
      </c>
      <c r="AN564" s="1352" t="str">
        <f>SUBSTITUTE(SUBSTITUTE(SUBSTITUTE("vpc"&amp;$B564&amp;$C564&amp;$D564&amp;$E564&amp;$F564,".","_"),"(","_"),")","")</f>
        <v>vpc602_4_2</v>
      </c>
      <c r="AO564" s="1352">
        <f>O564</f>
        <v>0</v>
      </c>
      <c r="AP564" s="1352" t="str">
        <f>SUBSTITUTE(SUBSTITUTE(SUBSTITUTE("vch"&amp;$B564&amp;$C564&amp;$D564&amp;$E564&amp;$F564,".","_"),"(","_"),")","")</f>
        <v>vch602_4_2</v>
      </c>
      <c r="AQ564" s="1352" t="str">
        <f>IF(LEN(W564)=0,"",W564)</f>
        <v/>
      </c>
      <c r="AR564" s="1352" t="str">
        <f>SUBSTITUTE(SUBSTITUTE(SUBSTITUTE("vnt"&amp;$B564&amp;$C564&amp;$D564&amp;$E564&amp;$F564,".","_"),"(","_"),")","")</f>
        <v>vnt602_4_2</v>
      </c>
      <c r="AS564" s="1352" t="str">
        <f>IF(LEN(X564)=0,"",X564)</f>
        <v/>
      </c>
    </row>
    <row r="565" spans="1:46" hidden="1" x14ac:dyDescent="0.2">
      <c r="A565" s="1507">
        <v>6</v>
      </c>
      <c r="B565" s="1524" t="s">
        <v>540</v>
      </c>
      <c r="C565" s="1511"/>
      <c r="D565" s="1511"/>
      <c r="E565" s="1511"/>
      <c r="F565" s="1514"/>
      <c r="G565" s="1509" t="str">
        <f>G564</f>
        <v/>
      </c>
      <c r="H565" s="1510" t="s">
        <v>3197</v>
      </c>
      <c r="I565" s="219"/>
      <c r="J565" s="213"/>
      <c r="K565" s="170"/>
      <c r="L565" s="1696"/>
      <c r="M565" s="1624"/>
      <c r="N565" s="1756"/>
      <c r="O565" s="1620"/>
      <c r="P565" s="905"/>
      <c r="Q565" s="905"/>
      <c r="R565" s="905"/>
      <c r="S565" s="1267"/>
      <c r="T565" s="905"/>
      <c r="U565" s="905"/>
      <c r="V565" s="905"/>
      <c r="W565" s="248"/>
      <c r="X565" s="1600"/>
      <c r="Y565" s="1874"/>
      <c r="Z565" s="1889"/>
      <c r="AC565" s="248"/>
      <c r="AD565" s="248"/>
      <c r="AE565" s="248"/>
      <c r="AF565" s="248"/>
      <c r="AG565" s="248"/>
      <c r="AH565" s="248"/>
      <c r="AI565" s="248"/>
      <c r="AJ565" s="248"/>
      <c r="AK565" s="248"/>
      <c r="AL565" s="1352"/>
      <c r="AM565" s="1352"/>
      <c r="AN565" s="1352"/>
      <c r="AO565" s="1352"/>
      <c r="AP565" s="1352"/>
      <c r="AQ565" s="1352"/>
      <c r="AR565" s="1352"/>
      <c r="AS565" s="1352"/>
    </row>
    <row r="566" spans="1:46" hidden="1" x14ac:dyDescent="0.2">
      <c r="A566" s="1507">
        <v>6</v>
      </c>
      <c r="B566" s="1524" t="s">
        <v>541</v>
      </c>
      <c r="C566" s="1511"/>
      <c r="D566" s="1511"/>
      <c r="E566" s="1511"/>
      <c r="F566" s="1514"/>
      <c r="G566" s="1509" t="str">
        <f>IF(N566&gt;0,"P","")</f>
        <v/>
      </c>
      <c r="H566" s="1510" t="s">
        <v>3197</v>
      </c>
      <c r="I566" s="67" t="s">
        <v>3560</v>
      </c>
      <c r="J566" s="4"/>
      <c r="K566" s="85"/>
      <c r="L566" s="1699" t="s">
        <v>3608</v>
      </c>
      <c r="M566" s="911">
        <v>1</v>
      </c>
      <c r="N566" s="250">
        <f>'11.600'!O268</f>
        <v>0</v>
      </c>
      <c r="O566" s="935">
        <f>M566*S566*W566</f>
        <v>0</v>
      </c>
      <c r="P566" s="905" t="b">
        <v>1</v>
      </c>
      <c r="Q566" s="905" t="b">
        <v>1</v>
      </c>
      <c r="R566" s="905" t="b">
        <v>0</v>
      </c>
      <c r="S566" s="1267" t="b">
        <f>NOT(W559="N/A")</f>
        <v>1</v>
      </c>
      <c r="T566" s="905" t="b">
        <v>0</v>
      </c>
      <c r="U566" s="905"/>
      <c r="V566" s="905"/>
      <c r="W566" s="27"/>
      <c r="X566" s="1600"/>
      <c r="Y566" s="1874" t="str">
        <f>IF(LEN('11.600'!X268)=0,"None",'11.600'!X268)</f>
        <v>None</v>
      </c>
      <c r="Z566" s="1600"/>
      <c r="AA566" s="707" t="e">
        <f>'Photo Review'!#REF!</f>
        <v>#REF!</v>
      </c>
      <c r="AC566" s="248"/>
      <c r="AD566" s="248"/>
      <c r="AE566" s="248"/>
      <c r="AF566" s="248"/>
      <c r="AG566" s="248"/>
      <c r="AH566" s="248"/>
      <c r="AI566" s="248"/>
      <c r="AJ566" s="248"/>
      <c r="AK566" s="248"/>
      <c r="AL566" s="1352" t="str">
        <f>SUBSTITUTE(SUBSTITUTE(SUBSTITUTE("vpa"&amp;$B566&amp;$C566&amp;$D566&amp;$E566&amp;$F566,".","_"),"(","_"),")","")</f>
        <v>vpa602_4_3</v>
      </c>
      <c r="AM566" s="1352">
        <f>M566</f>
        <v>1</v>
      </c>
      <c r="AN566" s="1352" t="str">
        <f>SUBSTITUTE(SUBSTITUTE(SUBSTITUTE("vpc"&amp;$B566&amp;$C566&amp;$D566&amp;$E566&amp;$F566,".","_"),"(","_"),")","")</f>
        <v>vpc602_4_3</v>
      </c>
      <c r="AO566" s="1352">
        <f>O566</f>
        <v>0</v>
      </c>
      <c r="AP566" s="1352" t="str">
        <f>SUBSTITUTE(SUBSTITUTE(SUBSTITUTE("vch"&amp;$B566&amp;$C566&amp;$D566&amp;$E566&amp;$F566,".","_"),"(","_"),")","")</f>
        <v>vch602_4_3</v>
      </c>
      <c r="AQ566" s="1352" t="str">
        <f>IF(LEN(W566)=0,"",W566)</f>
        <v/>
      </c>
      <c r="AR566" s="1352" t="str">
        <f>SUBSTITUTE(SUBSTITUTE(SUBSTITUTE("vnt"&amp;$B566&amp;$C566&amp;$D566&amp;$E566&amp;$F566,".","_"),"(","_"),")","")</f>
        <v>vnt602_4_3</v>
      </c>
      <c r="AS566" s="1352" t="str">
        <f>IF(LEN(X566)=0,"",X566)</f>
        <v/>
      </c>
    </row>
    <row r="567" spans="1:46" hidden="1" x14ac:dyDescent="0.2">
      <c r="A567" s="1507">
        <v>6</v>
      </c>
      <c r="B567" s="1524" t="s">
        <v>541</v>
      </c>
      <c r="C567" s="1511"/>
      <c r="D567" s="1511"/>
      <c r="E567" s="1511"/>
      <c r="F567" s="1514"/>
      <c r="G567" s="1509" t="str">
        <f>G566</f>
        <v/>
      </c>
      <c r="H567" s="1510" t="s">
        <v>3197</v>
      </c>
      <c r="I567"/>
      <c r="J567"/>
      <c r="K567"/>
      <c r="L567" s="1700"/>
      <c r="M567" s="911"/>
      <c r="N567"/>
      <c r="O567" s="935"/>
      <c r="P567" s="905"/>
      <c r="Q567" s="905"/>
      <c r="R567" s="905"/>
      <c r="S567" s="905"/>
      <c r="T567" s="905"/>
      <c r="U567" s="905"/>
      <c r="V567" s="905"/>
      <c r="W567"/>
      <c r="X567" s="1600"/>
      <c r="Y567" s="1874"/>
      <c r="Z567" s="1600"/>
      <c r="AA567"/>
      <c r="AC567"/>
      <c r="AD567"/>
      <c r="AE567"/>
      <c r="AF567"/>
      <c r="AG567"/>
      <c r="AH567"/>
      <c r="AI567"/>
      <c r="AJ567"/>
      <c r="AK567"/>
      <c r="AL567" s="1352"/>
      <c r="AM567" s="1352"/>
      <c r="AN567" s="1352"/>
      <c r="AO567" s="1352"/>
      <c r="AP567" s="1352"/>
      <c r="AQ567" s="1352"/>
      <c r="AR567" s="1352"/>
      <c r="AS567" s="1352"/>
      <c r="AT567"/>
    </row>
    <row r="568" spans="1:46" ht="20" thickBot="1" x14ac:dyDescent="0.3">
      <c r="A568" s="1507">
        <v>6</v>
      </c>
      <c r="B568" s="1524">
        <v>603</v>
      </c>
      <c r="C568" s="1511"/>
      <c r="D568" s="1511"/>
      <c r="E568" s="1511"/>
      <c r="F568" s="1514"/>
      <c r="G568" s="1509" t="s">
        <v>3200</v>
      </c>
      <c r="H568" s="1510" t="s">
        <v>3197</v>
      </c>
      <c r="I568" s="72" t="s">
        <v>3561</v>
      </c>
      <c r="J568" s="25"/>
      <c r="K568" s="84"/>
      <c r="L568" s="81"/>
      <c r="M568" s="339"/>
      <c r="N568" s="71"/>
      <c r="O568" s="419"/>
      <c r="P568" s="25"/>
      <c r="Q568" s="25"/>
      <c r="R568" s="25"/>
      <c r="S568" s="25"/>
      <c r="T568" s="25"/>
      <c r="U568" s="25"/>
      <c r="V568" s="25"/>
      <c r="W568" s="25"/>
      <c r="X568" s="25"/>
      <c r="Y568" s="25"/>
      <c r="Z568" s="714"/>
      <c r="AC568" s="248"/>
      <c r="AD568" s="248"/>
      <c r="AE568" s="248"/>
      <c r="AF568" s="248"/>
      <c r="AG568" s="248"/>
      <c r="AH568" s="248"/>
      <c r="AI568" s="248"/>
      <c r="AJ568" s="248"/>
      <c r="AK568" s="248"/>
      <c r="AL568" s="1352"/>
      <c r="AM568" s="1352"/>
      <c r="AN568" s="1352"/>
      <c r="AO568" s="1352"/>
      <c r="AP568" s="1352"/>
      <c r="AQ568" s="1352"/>
      <c r="AR568" s="1352"/>
      <c r="AS568" s="1352"/>
    </row>
    <row r="569" spans="1:46" ht="16" hidden="1" thickBot="1" x14ac:dyDescent="0.25">
      <c r="A569" s="1507">
        <v>6</v>
      </c>
      <c r="B569" s="1524" t="s">
        <v>3212</v>
      </c>
      <c r="C569" s="1511"/>
      <c r="D569" s="1511"/>
      <c r="E569" s="1511"/>
      <c r="F569" s="1514"/>
      <c r="G569" s="1510"/>
      <c r="H569" s="1510"/>
      <c r="I569" s="589" t="s">
        <v>3562</v>
      </c>
      <c r="J569" s="4"/>
      <c r="K569" s="85"/>
      <c r="L569" s="1631" t="s">
        <v>3607</v>
      </c>
      <c r="M569" s="911"/>
      <c r="N569" s="250"/>
      <c r="O569" s="935"/>
      <c r="P569" s="905"/>
      <c r="Q569" s="905"/>
      <c r="R569" s="905"/>
      <c r="S569" s="905"/>
      <c r="T569" s="905"/>
      <c r="U569" s="905"/>
      <c r="V569" s="905"/>
      <c r="W569" s="248"/>
      <c r="X569" s="248"/>
      <c r="Y569"/>
      <c r="Z569" s="670"/>
      <c r="AC569" s="248"/>
      <c r="AD569" s="248"/>
      <c r="AE569" s="248"/>
      <c r="AF569" s="248"/>
      <c r="AG569" s="248"/>
      <c r="AH569" s="248"/>
      <c r="AI569" s="248"/>
      <c r="AJ569" s="248"/>
      <c r="AK569" s="248"/>
      <c r="AL569" s="1352"/>
      <c r="AM569" s="1352"/>
      <c r="AN569" s="1352"/>
      <c r="AO569" s="1352"/>
      <c r="AP569" s="1352"/>
      <c r="AQ569" s="1352"/>
      <c r="AR569" s="1352"/>
      <c r="AS569" s="1352"/>
    </row>
    <row r="570" spans="1:46" ht="16" hidden="1" thickBot="1" x14ac:dyDescent="0.25">
      <c r="A570" s="1507">
        <v>6</v>
      </c>
      <c r="B570" s="1524" t="s">
        <v>3212</v>
      </c>
      <c r="C570" s="1511"/>
      <c r="D570" s="1511"/>
      <c r="E570" s="1511"/>
      <c r="F570" s="1514"/>
      <c r="G570" s="1510"/>
      <c r="H570" s="1510"/>
      <c r="I570" s="67"/>
      <c r="J570" s="4"/>
      <c r="K570" s="85"/>
      <c r="L570" s="1631"/>
      <c r="M570" s="911"/>
      <c r="N570" s="250"/>
      <c r="O570" s="935"/>
      <c r="P570" s="905"/>
      <c r="Q570" s="905"/>
      <c r="R570" s="905"/>
      <c r="S570" s="905"/>
      <c r="T570" s="905"/>
      <c r="U570" s="905"/>
      <c r="V570" s="905"/>
      <c r="W570" s="100"/>
      <c r="X570" s="248"/>
      <c r="Y570" s="100"/>
      <c r="Z570" s="716"/>
      <c r="AC570" s="248"/>
      <c r="AD570" s="248"/>
      <c r="AE570" s="248"/>
      <c r="AF570" s="248"/>
      <c r="AG570" s="248"/>
      <c r="AH570" s="248"/>
      <c r="AI570" s="248"/>
      <c r="AJ570" s="248"/>
      <c r="AK570" s="248"/>
      <c r="AL570" s="1352"/>
      <c r="AM570" s="1352"/>
      <c r="AN570" s="1352"/>
      <c r="AO570" s="1352"/>
      <c r="AP570" s="1352"/>
      <c r="AQ570" s="1352"/>
      <c r="AR570" s="1352"/>
      <c r="AS570" s="1352"/>
    </row>
    <row r="571" spans="1:46" ht="15.75" customHeight="1" thickTop="1" x14ac:dyDescent="0.2">
      <c r="A571" s="1507">
        <v>6</v>
      </c>
      <c r="B571" s="1524">
        <v>603.1</v>
      </c>
      <c r="C571" s="1511"/>
      <c r="D571" s="1511"/>
      <c r="E571" s="1511"/>
      <c r="F571" s="1514"/>
      <c r="G571" s="1509" t="str">
        <f>IF(N571&gt;0,"P","")</f>
        <v>P</v>
      </c>
      <c r="H571" s="1510" t="s">
        <v>3198</v>
      </c>
      <c r="I571" s="177" t="s">
        <v>3563</v>
      </c>
      <c r="J571" s="178"/>
      <c r="K571" s="179"/>
      <c r="L571" s="1683" t="s">
        <v>3606</v>
      </c>
      <c r="M571" s="1691" t="s">
        <v>2603</v>
      </c>
      <c r="N571" s="1770">
        <f>'11.600'!O273</f>
        <v>12</v>
      </c>
      <c r="O571" s="1682">
        <f>MIN(ROUNDDOWN(W571/200,0),12)</f>
        <v>12</v>
      </c>
      <c r="P571" s="106" t="b">
        <v>1</v>
      </c>
      <c r="Q571" s="106" t="b">
        <v>0</v>
      </c>
      <c r="R571" s="106" t="b">
        <v>0</v>
      </c>
      <c r="S571" s="106" t="b">
        <v>1</v>
      </c>
      <c r="T571" s="106" t="b">
        <v>0</v>
      </c>
      <c r="U571" s="106"/>
      <c r="V571" s="106"/>
      <c r="W571" s="191">
        <v>10000</v>
      </c>
      <c r="X571" s="1670" t="s">
        <v>5673</v>
      </c>
      <c r="Y571" s="1877" t="str">
        <f>IF(LEN('11.600'!X273)=0,"None",'11.600'!X273)</f>
        <v>framing, foundation, walls, floors</v>
      </c>
      <c r="Z571" s="1880"/>
      <c r="AC571" s="1150" t="b">
        <f>OR(AD571:AE571)</f>
        <v>0</v>
      </c>
      <c r="AD571" s="1150" t="b">
        <v>0</v>
      </c>
      <c r="AE571" s="1" t="b">
        <f>AND(W571&gt;0,LEN(X571)=0)</f>
        <v>0</v>
      </c>
      <c r="AF571" s="720" t="b">
        <f>AND(AE571,NOT(Q571))</f>
        <v>0</v>
      </c>
      <c r="AG571" s="248"/>
      <c r="AH571" s="248"/>
      <c r="AI571" s="248"/>
      <c r="AJ571" s="248"/>
      <c r="AK571" s="248"/>
      <c r="AL571" s="1352" t="str">
        <f>SUBSTITUTE(SUBSTITUTE(SUBSTITUTE("vpa"&amp;$B571&amp;$C571&amp;$D571&amp;$E571&amp;$F571,".","_"),"(","_"),")","")</f>
        <v>vpa603_1</v>
      </c>
      <c r="AM571" s="1352" t="str">
        <f>M571</f>
        <v>1
12 Max</v>
      </c>
      <c r="AN571" s="1352" t="str">
        <f>SUBSTITUTE(SUBSTITUTE(SUBSTITUTE("vpc"&amp;$B571&amp;$C571&amp;$D571&amp;$E571&amp;$F571,".","_"),"(","_"),")","")</f>
        <v>vpc603_1</v>
      </c>
      <c r="AO571" s="1352">
        <f>O571</f>
        <v>12</v>
      </c>
      <c r="AP571" s="1352" t="str">
        <f>SUBSTITUTE(SUBSTITUTE(SUBSTITUTE("vch"&amp;$B571&amp;$C571&amp;$D571&amp;$E571&amp;$F571,".","_"),"(","_"),")","")</f>
        <v>vch603_1</v>
      </c>
      <c r="AQ571" s="1352">
        <f>IF(LEN(W571)=0,"",W571)</f>
        <v>10000</v>
      </c>
      <c r="AR571" s="1352" t="str">
        <f>SUBSTITUTE(SUBSTITUTE(SUBSTITUTE("vnt"&amp;$B571&amp;$C571&amp;$D571&amp;$E571&amp;$F571,".","_"),"(","_"),")","")</f>
        <v>vnt603_1</v>
      </c>
      <c r="AS571" s="1352" t="str">
        <f>IF(LEN(X571)=0,"",X571)</f>
        <v>Framing, foundation, walls, floors</v>
      </c>
    </row>
    <row r="572" spans="1:46" x14ac:dyDescent="0.2">
      <c r="A572" s="1507">
        <v>6</v>
      </c>
      <c r="B572" s="1524">
        <v>603.1</v>
      </c>
      <c r="C572" s="1511"/>
      <c r="D572" s="1511"/>
      <c r="E572" s="1511"/>
      <c r="F572" s="1514"/>
      <c r="G572" s="1509" t="str">
        <f>G571</f>
        <v>P</v>
      </c>
      <c r="H572" s="1510" t="s">
        <v>3198</v>
      </c>
      <c r="I572" s="130"/>
      <c r="J572" s="129"/>
      <c r="K572" s="97"/>
      <c r="L572" s="1629"/>
      <c r="M572" s="1692"/>
      <c r="N572" s="1755"/>
      <c r="O572" s="1619"/>
      <c r="P572" s="991"/>
      <c r="Q572" s="991"/>
      <c r="R572" s="991"/>
      <c r="S572" s="991"/>
      <c r="T572" s="991"/>
      <c r="U572" s="991"/>
      <c r="V572" s="991"/>
      <c r="W572" s="96"/>
      <c r="X572" s="1632"/>
      <c r="Y572" s="1881"/>
      <c r="Z572" s="1891"/>
      <c r="AC572" s="1150"/>
      <c r="AD572" s="1150"/>
      <c r="AE572" s="1150"/>
      <c r="AF572" s="248"/>
      <c r="AG572" s="248"/>
      <c r="AH572" s="248"/>
      <c r="AI572" s="248"/>
      <c r="AJ572" s="248"/>
      <c r="AK572" s="248"/>
      <c r="AL572" s="1352"/>
      <c r="AM572" s="1352"/>
      <c r="AN572" s="1352"/>
      <c r="AO572" s="1352"/>
      <c r="AP572" s="1352"/>
      <c r="AQ572" s="1352"/>
      <c r="AR572" s="1352"/>
      <c r="AS572" s="1352"/>
    </row>
    <row r="573" spans="1:46" ht="16" x14ac:dyDescent="0.2">
      <c r="A573" s="1507">
        <v>6</v>
      </c>
      <c r="B573" s="1524">
        <v>603.1</v>
      </c>
      <c r="C573" s="1511"/>
      <c r="D573" s="1511"/>
      <c r="E573" s="1511"/>
      <c r="F573" s="1514"/>
      <c r="G573" s="1509" t="str">
        <f>G572</f>
        <v>P</v>
      </c>
      <c r="H573" s="1510" t="s">
        <v>3198</v>
      </c>
      <c r="I573" s="130"/>
      <c r="J573" s="129"/>
      <c r="K573" s="97"/>
      <c r="L573" s="185" t="s">
        <v>542</v>
      </c>
      <c r="M573" s="1692"/>
      <c r="N573" s="1755"/>
      <c r="O573" s="1619"/>
      <c r="P573" s="991"/>
      <c r="Q573" s="991"/>
      <c r="R573" s="991"/>
      <c r="S573" s="991"/>
      <c r="T573" s="991"/>
      <c r="U573" s="991"/>
      <c r="V573" s="991"/>
      <c r="W573" s="96"/>
      <c r="X573" s="1632"/>
      <c r="Y573" s="1881"/>
      <c r="Z573" s="1891"/>
      <c r="AC573" s="1150"/>
      <c r="AD573" s="1150"/>
      <c r="AE573" s="1150"/>
      <c r="AF573" s="248"/>
      <c r="AG573" s="248"/>
      <c r="AH573" s="248"/>
      <c r="AI573" s="248"/>
      <c r="AJ573" s="248"/>
      <c r="AK573" s="248"/>
      <c r="AL573" s="1352"/>
      <c r="AM573" s="1352"/>
      <c r="AN573" s="1352"/>
      <c r="AO573" s="1352"/>
      <c r="AP573" s="1352"/>
      <c r="AQ573" s="1352"/>
      <c r="AR573" s="1352"/>
      <c r="AS573" s="1352"/>
    </row>
    <row r="574" spans="1:46" x14ac:dyDescent="0.2">
      <c r="A574" s="1507">
        <v>6</v>
      </c>
      <c r="B574" s="1524">
        <v>603.1</v>
      </c>
      <c r="C574" s="1511"/>
      <c r="D574" s="1511"/>
      <c r="E574" s="1511"/>
      <c r="F574" s="1514"/>
      <c r="G574" s="1509" t="str">
        <f>G573</f>
        <v>P</v>
      </c>
      <c r="H574" s="1510" t="s">
        <v>3198</v>
      </c>
      <c r="I574" s="130"/>
      <c r="J574" s="129"/>
      <c r="K574" s="97"/>
      <c r="L574" s="1810" t="s">
        <v>3812</v>
      </c>
      <c r="M574" s="1692"/>
      <c r="N574" s="1755"/>
      <c r="O574" s="1619"/>
      <c r="P574" s="991"/>
      <c r="Q574" s="991"/>
      <c r="R574" s="991"/>
      <c r="S574" s="991"/>
      <c r="T574" s="991"/>
      <c r="U574" s="991"/>
      <c r="V574" s="991"/>
      <c r="W574" s="96"/>
      <c r="X574" s="1632"/>
      <c r="Y574" s="1881"/>
      <c r="Z574" s="1891"/>
      <c r="AC574" s="1150"/>
      <c r="AD574" s="1150"/>
      <c r="AE574" s="1150"/>
      <c r="AF574" s="248"/>
      <c r="AG574" s="248"/>
      <c r="AH574" s="248"/>
      <c r="AI574" s="248"/>
      <c r="AJ574" s="248"/>
      <c r="AK574" s="248"/>
      <c r="AL574" s="1352"/>
      <c r="AM574" s="1352"/>
      <c r="AN574" s="1352"/>
      <c r="AO574" s="1352"/>
      <c r="AP574" s="1352"/>
      <c r="AQ574" s="1352"/>
      <c r="AR574" s="1352"/>
      <c r="AS574" s="1352"/>
    </row>
    <row r="575" spans="1:46" x14ac:dyDescent="0.2">
      <c r="A575" s="1507">
        <v>6</v>
      </c>
      <c r="B575" s="1524">
        <v>603.1</v>
      </c>
      <c r="C575" s="1511"/>
      <c r="D575" s="1511"/>
      <c r="E575" s="1511"/>
      <c r="F575" s="1514"/>
      <c r="G575" s="1509" t="str">
        <f>G574</f>
        <v>P</v>
      </c>
      <c r="H575" s="1510" t="s">
        <v>3198</v>
      </c>
      <c r="I575" s="130"/>
      <c r="J575" s="129"/>
      <c r="K575" s="97"/>
      <c r="L575" s="1813"/>
      <c r="M575" s="1692"/>
      <c r="N575" s="1755"/>
      <c r="O575" s="1619"/>
      <c r="P575" s="991"/>
      <c r="Q575" s="991"/>
      <c r="R575" s="991"/>
      <c r="S575" s="991"/>
      <c r="T575" s="991"/>
      <c r="U575" s="991"/>
      <c r="V575" s="991"/>
      <c r="W575" s="96"/>
      <c r="X575" s="1632"/>
      <c r="Y575" s="1881"/>
      <c r="Z575" s="1891"/>
      <c r="AC575" s="1150"/>
      <c r="AD575" s="1150"/>
      <c r="AE575" s="1150"/>
      <c r="AF575" s="248"/>
      <c r="AG575" s="248"/>
      <c r="AH575" s="248"/>
      <c r="AI575" s="248"/>
      <c r="AJ575" s="248"/>
      <c r="AK575" s="248"/>
      <c r="AL575" s="1352"/>
      <c r="AM575" s="1352"/>
      <c r="AN575" s="1352"/>
      <c r="AO575" s="1352"/>
      <c r="AP575" s="1352"/>
      <c r="AQ575" s="1352"/>
      <c r="AR575" s="1352"/>
      <c r="AS575" s="1352"/>
    </row>
    <row r="576" spans="1:46" ht="16" thickBot="1" x14ac:dyDescent="0.25">
      <c r="A576" s="1507">
        <v>6</v>
      </c>
      <c r="B576" s="1524">
        <v>603.1</v>
      </c>
      <c r="C576" s="1511"/>
      <c r="D576" s="1511"/>
      <c r="E576" s="1511"/>
      <c r="F576" s="1514"/>
      <c r="G576" s="1509" t="str">
        <f>G575</f>
        <v>P</v>
      </c>
      <c r="H576" s="1510" t="s">
        <v>3198</v>
      </c>
      <c r="I576" s="130"/>
      <c r="J576" s="129"/>
      <c r="K576" s="97"/>
      <c r="L576" s="1813"/>
      <c r="M576" s="1692"/>
      <c r="N576" s="1645"/>
      <c r="O576" s="1619"/>
      <c r="P576" s="991"/>
      <c r="Q576" s="991"/>
      <c r="R576" s="991"/>
      <c r="S576" s="991"/>
      <c r="T576" s="991"/>
      <c r="U576" s="991"/>
      <c r="V576" s="991"/>
      <c r="W576" s="113"/>
      <c r="X576" s="1632"/>
      <c r="Y576" s="1882"/>
      <c r="Z576" s="1892"/>
      <c r="AC576" s="1150"/>
      <c r="AD576" s="1150"/>
      <c r="AE576" s="1150"/>
      <c r="AF576" s="248"/>
      <c r="AG576" s="248"/>
      <c r="AH576" s="248"/>
      <c r="AI576" s="248"/>
      <c r="AJ576" s="248"/>
      <c r="AK576" s="248"/>
      <c r="AL576" s="1352"/>
      <c r="AM576" s="1352"/>
      <c r="AN576" s="1352"/>
      <c r="AO576" s="1352"/>
      <c r="AP576" s="1352"/>
      <c r="AQ576" s="1352"/>
      <c r="AR576" s="1352"/>
      <c r="AS576" s="1352"/>
    </row>
    <row r="577" spans="1:45" ht="15.75" hidden="1" customHeight="1" thickTop="1" x14ac:dyDescent="0.2">
      <c r="A577" s="1507">
        <v>6</v>
      </c>
      <c r="B577" s="1524">
        <v>603.20000000000005</v>
      </c>
      <c r="C577" s="1511"/>
      <c r="D577" s="1511"/>
      <c r="E577" s="1511"/>
      <c r="F577" s="1514"/>
      <c r="G577" s="1509" t="str">
        <f>IF(N577&gt;0,"P","")</f>
        <v/>
      </c>
      <c r="H577" s="1510" t="s">
        <v>3197</v>
      </c>
      <c r="I577" s="177" t="s">
        <v>3564</v>
      </c>
      <c r="J577" s="178"/>
      <c r="K577" s="179"/>
      <c r="L577" s="1683" t="s">
        <v>3605</v>
      </c>
      <c r="M577" s="1691" t="s">
        <v>2604</v>
      </c>
      <c r="N577" s="1770">
        <f>'11.600'!O279</f>
        <v>0</v>
      </c>
      <c r="O577" s="1682">
        <f>MIN(9,ROUNDDOWN(W577/0.01,0))</f>
        <v>0</v>
      </c>
      <c r="P577" s="106" t="b">
        <v>1</v>
      </c>
      <c r="Q577" s="106" t="b">
        <v>1</v>
      </c>
      <c r="R577" s="106" t="b">
        <v>0</v>
      </c>
      <c r="S577" s="106" t="b">
        <v>1</v>
      </c>
      <c r="T577" s="106" t="b">
        <v>0</v>
      </c>
      <c r="U577" s="106"/>
      <c r="V577" s="106"/>
      <c r="W577" s="197"/>
      <c r="X577" s="1603"/>
      <c r="Y577" s="1877" t="str">
        <f>IF(LEN('11.600'!X279)=0,"None",'11.600'!X279)</f>
        <v>None</v>
      </c>
      <c r="Z577" s="1880"/>
      <c r="AC577" s="1150" t="b">
        <f>OR(AD577:AE577)</f>
        <v>0</v>
      </c>
      <c r="AD577" s="1150" t="b">
        <v>0</v>
      </c>
      <c r="AE577" s="1" t="b">
        <f>AND(W577&gt;0,LEN(X577)=0)</f>
        <v>0</v>
      </c>
      <c r="AF577" s="720" t="b">
        <f>AND(AE577,NOT(Q577))</f>
        <v>0</v>
      </c>
      <c r="AG577" s="248"/>
      <c r="AH577" s="248"/>
      <c r="AI577" s="248"/>
      <c r="AJ577" s="248"/>
      <c r="AK577" s="248"/>
      <c r="AL577" s="1352" t="str">
        <f>SUBSTITUTE(SUBSTITUTE(SUBSTITUTE("vpa"&amp;$B577&amp;$C577&amp;$D577&amp;$E577&amp;$F577,".","_"),"(","_"),")","")</f>
        <v>vpa603_2</v>
      </c>
      <c r="AM577" s="1352" t="str">
        <f>M577</f>
        <v>1
9 Max</v>
      </c>
      <c r="AN577" s="1352" t="str">
        <f>SUBSTITUTE(SUBSTITUTE(SUBSTITUTE("vpc"&amp;$B577&amp;$C577&amp;$D577&amp;$E577&amp;$F577,".","_"),"(","_"),")","")</f>
        <v>vpc603_2</v>
      </c>
      <c r="AO577" s="1352">
        <f>O577</f>
        <v>0</v>
      </c>
      <c r="AP577" s="1352" t="str">
        <f>SUBSTITUTE(SUBSTITUTE(SUBSTITUTE("vch"&amp;$B577&amp;$C577&amp;$D577&amp;$E577&amp;$F577,".","_"),"(","_"),")","")</f>
        <v>vch603_2</v>
      </c>
      <c r="AQ577" s="1352" t="str">
        <f>IF(LEN(W577)=0,"",W577)</f>
        <v/>
      </c>
      <c r="AR577" s="1352" t="str">
        <f>SUBSTITUTE(SUBSTITUTE(SUBSTITUTE("vnt"&amp;$B577&amp;$C577&amp;$D577&amp;$E577&amp;$F577,".","_"),"(","_"),")","")</f>
        <v>vnt603_2</v>
      </c>
      <c r="AS577" s="1352" t="str">
        <f>IF(LEN(X577)=0,"",X577)</f>
        <v/>
      </c>
    </row>
    <row r="578" spans="1:45" ht="16" hidden="1" thickTop="1" x14ac:dyDescent="0.2">
      <c r="A578" s="1507">
        <v>6</v>
      </c>
      <c r="B578" s="1524">
        <v>603.20000000000005</v>
      </c>
      <c r="C578" s="1511"/>
      <c r="D578" s="1511"/>
      <c r="E578" s="1511"/>
      <c r="F578" s="1514"/>
      <c r="G578" s="1509" t="str">
        <f t="shared" ref="G578:G583" si="34">G577</f>
        <v/>
      </c>
      <c r="H578" s="1510" t="s">
        <v>3197</v>
      </c>
      <c r="I578" s="130"/>
      <c r="J578" s="129"/>
      <c r="K578" s="97"/>
      <c r="L578" s="1629"/>
      <c r="M578" s="1692"/>
      <c r="N578" s="1755"/>
      <c r="O578" s="1619"/>
      <c r="P578" s="991"/>
      <c r="Q578" s="991"/>
      <c r="R578" s="991"/>
      <c r="S578" s="991"/>
      <c r="T578" s="991"/>
      <c r="U578" s="991"/>
      <c r="V578" s="991"/>
      <c r="W578" s="96"/>
      <c r="X578" s="1601"/>
      <c r="Y578" s="1881"/>
      <c r="Z578" s="1891"/>
      <c r="AC578" s="248"/>
      <c r="AD578" s="248"/>
      <c r="AE578" s="248"/>
      <c r="AF578" s="248"/>
      <c r="AG578" s="248"/>
      <c r="AH578" s="248"/>
      <c r="AI578" s="248"/>
      <c r="AJ578" s="248"/>
      <c r="AK578" s="248"/>
      <c r="AL578" s="1352"/>
      <c r="AM578" s="1352"/>
      <c r="AN578" s="1352"/>
      <c r="AO578" s="1352"/>
      <c r="AP578" s="1352"/>
      <c r="AQ578" s="1352"/>
      <c r="AR578" s="1352"/>
      <c r="AS578" s="1352"/>
    </row>
    <row r="579" spans="1:45" ht="16" hidden="1" thickTop="1" x14ac:dyDescent="0.2">
      <c r="A579" s="1507">
        <v>6</v>
      </c>
      <c r="B579" s="1524">
        <v>603.20000000000005</v>
      </c>
      <c r="C579" s="1511"/>
      <c r="D579" s="1511"/>
      <c r="E579" s="1511"/>
      <c r="F579" s="1514"/>
      <c r="G579" s="1509" t="str">
        <f t="shared" si="34"/>
        <v/>
      </c>
      <c r="H579" s="1510" t="s">
        <v>3197</v>
      </c>
      <c r="I579" s="130"/>
      <c r="J579" s="129"/>
      <c r="K579" s="97"/>
      <c r="L579" s="1629"/>
      <c r="M579" s="1692"/>
      <c r="N579" s="1755"/>
      <c r="O579" s="1619"/>
      <c r="P579" s="991"/>
      <c r="Q579" s="991"/>
      <c r="R579" s="991"/>
      <c r="S579" s="991"/>
      <c r="T579" s="991"/>
      <c r="U579" s="991"/>
      <c r="V579" s="991"/>
      <c r="W579" s="96"/>
      <c r="X579" s="1601"/>
      <c r="Y579" s="1881"/>
      <c r="Z579" s="1891"/>
      <c r="AC579" s="248"/>
      <c r="AD579" s="248"/>
      <c r="AE579" s="248"/>
      <c r="AF579" s="248"/>
      <c r="AG579" s="248"/>
      <c r="AH579" s="248"/>
      <c r="AI579" s="248"/>
      <c r="AJ579" s="248"/>
      <c r="AK579" s="248"/>
      <c r="AL579" s="1352"/>
      <c r="AM579" s="1352"/>
      <c r="AN579" s="1352"/>
      <c r="AO579" s="1352"/>
      <c r="AP579" s="1352"/>
      <c r="AQ579" s="1352"/>
      <c r="AR579" s="1352"/>
      <c r="AS579" s="1352"/>
    </row>
    <row r="580" spans="1:45" ht="15" hidden="1" customHeight="1" x14ac:dyDescent="0.2">
      <c r="A580" s="1507">
        <v>6</v>
      </c>
      <c r="B580" s="1524">
        <v>603.20000000000005</v>
      </c>
      <c r="C580" s="1511"/>
      <c r="D580" s="1511"/>
      <c r="E580" s="1511"/>
      <c r="F580" s="1514"/>
      <c r="G580" s="1509" t="str">
        <f t="shared" si="34"/>
        <v/>
      </c>
      <c r="H580" s="1510" t="s">
        <v>3197</v>
      </c>
      <c r="I580" s="130"/>
      <c r="J580" s="129"/>
      <c r="K580" s="97"/>
      <c r="L580" s="196" t="s">
        <v>2605</v>
      </c>
      <c r="M580" s="1692"/>
      <c r="N580" s="1755"/>
      <c r="O580" s="1619"/>
      <c r="P580" s="991"/>
      <c r="Q580" s="991"/>
      <c r="R580" s="991"/>
      <c r="S580" s="991"/>
      <c r="T580" s="991"/>
      <c r="U580" s="991"/>
      <c r="V580" s="991"/>
      <c r="W580" s="96"/>
      <c r="X580" s="1601"/>
      <c r="Y580" s="1881"/>
      <c r="Z580" s="1891"/>
      <c r="AC580" s="248"/>
      <c r="AD580" s="248"/>
      <c r="AE580" s="248"/>
      <c r="AF580" s="248"/>
      <c r="AG580" s="248"/>
      <c r="AH580" s="248"/>
      <c r="AI580" s="248"/>
      <c r="AJ580" s="248"/>
      <c r="AK580" s="248"/>
      <c r="AL580" s="1352"/>
      <c r="AM580" s="1352"/>
      <c r="AN580" s="1352"/>
      <c r="AO580" s="1352"/>
      <c r="AP580" s="1352"/>
      <c r="AQ580" s="1352"/>
      <c r="AR580" s="1352"/>
      <c r="AS580" s="1352"/>
    </row>
    <row r="581" spans="1:45" ht="16" hidden="1" thickTop="1" x14ac:dyDescent="0.2">
      <c r="A581" s="1507">
        <v>6</v>
      </c>
      <c r="B581" s="1524">
        <v>603.20000000000005</v>
      </c>
      <c r="C581" s="1511"/>
      <c r="D581" s="1511"/>
      <c r="E581" s="1511"/>
      <c r="F581" s="1514"/>
      <c r="G581" s="1509" t="str">
        <f t="shared" si="34"/>
        <v/>
      </c>
      <c r="H581" s="1510" t="s">
        <v>3197</v>
      </c>
      <c r="I581" s="130"/>
      <c r="J581" s="129"/>
      <c r="K581" s="97"/>
      <c r="L581" s="1810" t="s">
        <v>3812</v>
      </c>
      <c r="M581" s="1692"/>
      <c r="N581" s="1755"/>
      <c r="O581" s="1619"/>
      <c r="P581" s="991"/>
      <c r="Q581" s="991"/>
      <c r="R581" s="991"/>
      <c r="S581" s="991"/>
      <c r="T581" s="991"/>
      <c r="U581" s="991"/>
      <c r="V581" s="991"/>
      <c r="W581" s="96"/>
      <c r="X581" s="1601"/>
      <c r="Y581" s="1881"/>
      <c r="Z581" s="1891"/>
      <c r="AC581" s="248"/>
      <c r="AD581" s="248"/>
      <c r="AE581" s="248"/>
      <c r="AF581" s="248"/>
      <c r="AG581" s="248"/>
      <c r="AH581" s="248"/>
      <c r="AI581" s="248"/>
      <c r="AJ581" s="248"/>
      <c r="AK581" s="248"/>
      <c r="AL581" s="1352"/>
      <c r="AM581" s="1352"/>
      <c r="AN581" s="1352"/>
      <c r="AO581" s="1352"/>
      <c r="AP581" s="1352"/>
      <c r="AQ581" s="1352"/>
      <c r="AR581" s="1352"/>
      <c r="AS581" s="1352"/>
    </row>
    <row r="582" spans="1:45" ht="16" hidden="1" thickTop="1" x14ac:dyDescent="0.2">
      <c r="A582" s="1507">
        <v>6</v>
      </c>
      <c r="B582" s="1524">
        <v>603.20000000000005</v>
      </c>
      <c r="C582" s="1511"/>
      <c r="D582" s="1511"/>
      <c r="E582" s="1511"/>
      <c r="F582" s="1514"/>
      <c r="G582" s="1509" t="str">
        <f t="shared" si="34"/>
        <v/>
      </c>
      <c r="H582" s="1510" t="s">
        <v>3197</v>
      </c>
      <c r="I582" s="130"/>
      <c r="J582" s="129"/>
      <c r="K582" s="97"/>
      <c r="L582" s="1813"/>
      <c r="M582" s="1692"/>
      <c r="N582" s="1755"/>
      <c r="O582" s="1619"/>
      <c r="P582" s="991"/>
      <c r="Q582" s="991"/>
      <c r="R582" s="991"/>
      <c r="S582" s="991"/>
      <c r="T582" s="991"/>
      <c r="U582" s="991"/>
      <c r="V582" s="991"/>
      <c r="W582" s="96"/>
      <c r="X582" s="1601"/>
      <c r="Y582" s="1881"/>
      <c r="Z582" s="1891"/>
      <c r="AC582" s="248"/>
      <c r="AD582" s="248"/>
      <c r="AE582" s="248"/>
      <c r="AF582" s="248"/>
      <c r="AG582" s="248"/>
      <c r="AH582" s="248"/>
      <c r="AI582" s="248"/>
      <c r="AJ582" s="248"/>
      <c r="AK582" s="248"/>
      <c r="AL582" s="1352"/>
      <c r="AM582" s="1352"/>
      <c r="AN582" s="1352"/>
      <c r="AO582" s="1352"/>
      <c r="AP582" s="1352"/>
      <c r="AQ582" s="1352"/>
      <c r="AR582" s="1352"/>
      <c r="AS582" s="1352"/>
    </row>
    <row r="583" spans="1:45" ht="17" hidden="1" thickTop="1" thickBot="1" x14ac:dyDescent="0.25">
      <c r="A583" s="1507">
        <v>6</v>
      </c>
      <c r="B583" s="1524">
        <v>603.20000000000005</v>
      </c>
      <c r="C583" s="1511"/>
      <c r="D583" s="1511"/>
      <c r="E583" s="1511"/>
      <c r="F583" s="1514"/>
      <c r="G583" s="1509" t="str">
        <f t="shared" si="34"/>
        <v/>
      </c>
      <c r="H583" s="1510" t="s">
        <v>3197</v>
      </c>
      <c r="I583" s="130"/>
      <c r="J583" s="129"/>
      <c r="K583" s="97"/>
      <c r="L583" s="1813"/>
      <c r="M583" s="1692"/>
      <c r="N583" s="1645"/>
      <c r="O583" s="1619"/>
      <c r="P583" s="991"/>
      <c r="Q583" s="991"/>
      <c r="R583" s="991"/>
      <c r="S583" s="991"/>
      <c r="T583" s="991"/>
      <c r="U583" s="991"/>
      <c r="V583" s="991"/>
      <c r="W583" s="113"/>
      <c r="X583" s="1621"/>
      <c r="Y583" s="1882"/>
      <c r="Z583" s="1892"/>
      <c r="AC583" s="248"/>
      <c r="AD583" s="248"/>
      <c r="AE583" s="248"/>
      <c r="AF583" s="248"/>
      <c r="AG583" s="248"/>
      <c r="AH583" s="248"/>
      <c r="AI583" s="248"/>
      <c r="AJ583" s="248"/>
      <c r="AK583" s="248"/>
      <c r="AL583" s="1352"/>
      <c r="AM583" s="1352"/>
      <c r="AN583" s="1352"/>
      <c r="AO583" s="1352"/>
      <c r="AP583" s="1352"/>
      <c r="AQ583" s="1352"/>
      <c r="AR583" s="1352"/>
      <c r="AS583" s="1352"/>
    </row>
    <row r="584" spans="1:45" ht="16" hidden="1" thickTop="1" x14ac:dyDescent="0.2">
      <c r="A584" s="1507">
        <v>6</v>
      </c>
      <c r="B584" s="1524">
        <v>603.29999999999995</v>
      </c>
      <c r="C584" s="1511"/>
      <c r="D584" s="1511"/>
      <c r="E584" s="1511"/>
      <c r="F584" s="1514"/>
      <c r="G584" s="1509" t="str">
        <f>IF(N584&gt;0,"P","")</f>
        <v/>
      </c>
      <c r="H584" s="1510" t="s">
        <v>3197</v>
      </c>
      <c r="I584" s="177" t="s">
        <v>3565</v>
      </c>
      <c r="J584" s="178"/>
      <c r="K584" s="179"/>
      <c r="L584" s="1683" t="s">
        <v>3604</v>
      </c>
      <c r="M584" s="1685">
        <v>4</v>
      </c>
      <c r="N584" s="1770">
        <f>'11.600'!O286</f>
        <v>0</v>
      </c>
      <c r="O584" s="1682">
        <f>M584*S584*W584</f>
        <v>0</v>
      </c>
      <c r="P584" s="106" t="b">
        <v>1</v>
      </c>
      <c r="Q584" s="106" t="b">
        <v>1</v>
      </c>
      <c r="R584" s="106" t="b">
        <v>0</v>
      </c>
      <c r="S584" s="106" t="b">
        <v>1</v>
      </c>
      <c r="T584" s="106" t="b">
        <v>0</v>
      </c>
      <c r="U584" s="106"/>
      <c r="V584" s="106"/>
      <c r="W584" s="27"/>
      <c r="X584" s="1603"/>
      <c r="Y584" s="1877" t="str">
        <f>IF(LEN('11.600'!X286)=0,"None",'11.600'!X286)</f>
        <v>None</v>
      </c>
      <c r="Z584" s="1880"/>
      <c r="AC584" s="1150" t="b">
        <f>OR(AD584:AE584)</f>
        <v>0</v>
      </c>
      <c r="AD584" s="1150" t="b">
        <v>0</v>
      </c>
      <c r="AE584" s="1" t="b">
        <f>AND(W584=TRUE,LEN(X584)=0)</f>
        <v>0</v>
      </c>
      <c r="AF584" s="720" t="b">
        <f>AND(AE584,NOT(Q584))</f>
        <v>0</v>
      </c>
      <c r="AG584" s="248"/>
      <c r="AH584" s="248"/>
      <c r="AI584" s="248"/>
      <c r="AJ584" s="248"/>
      <c r="AK584" s="248"/>
      <c r="AL584" s="1352" t="str">
        <f>SUBSTITUTE(SUBSTITUTE(SUBSTITUTE("vpa"&amp;$B584&amp;$C584&amp;$D584&amp;$E584&amp;$F584,".","_"),"(","_"),")","")</f>
        <v>vpa603_3</v>
      </c>
      <c r="AM584" s="1352">
        <f>M584</f>
        <v>4</v>
      </c>
      <c r="AN584" s="1352" t="str">
        <f>SUBSTITUTE(SUBSTITUTE(SUBSTITUTE("vpc"&amp;$B584&amp;$C584&amp;$D584&amp;$E584&amp;$F584,".","_"),"(","_"),")","")</f>
        <v>vpc603_3</v>
      </c>
      <c r="AO584" s="1352">
        <f>O584</f>
        <v>0</v>
      </c>
      <c r="AP584" s="1352" t="str">
        <f>SUBSTITUTE(SUBSTITUTE(SUBSTITUTE("vch"&amp;$B584&amp;$C584&amp;$D584&amp;$E584&amp;$F584,".","_"),"(","_"),")","")</f>
        <v>vch603_3</v>
      </c>
      <c r="AQ584" s="1352" t="str">
        <f>IF(LEN(W584)=0,"",W584)</f>
        <v/>
      </c>
      <c r="AR584" s="1352" t="str">
        <f>SUBSTITUTE(SUBSTITUTE(SUBSTITUTE("vnt"&amp;$B584&amp;$C584&amp;$D584&amp;$E584&amp;$F584,".","_"),"(","_"),")","")</f>
        <v>vnt603_3</v>
      </c>
      <c r="AS584" s="1352" t="str">
        <f>IF(LEN(X584)=0,"",X584)</f>
        <v/>
      </c>
    </row>
    <row r="585" spans="1:45" ht="16" hidden="1" thickTop="1" x14ac:dyDescent="0.2">
      <c r="A585" s="1507">
        <v>6</v>
      </c>
      <c r="B585" s="1524">
        <v>603.29999999999995</v>
      </c>
      <c r="C585" s="1511"/>
      <c r="D585" s="1511"/>
      <c r="E585" s="1511"/>
      <c r="F585" s="1514"/>
      <c r="G585" s="1509" t="str">
        <f>G584</f>
        <v/>
      </c>
      <c r="H585" s="1510" t="s">
        <v>3197</v>
      </c>
      <c r="I585" s="130"/>
      <c r="J585" s="129"/>
      <c r="K585" s="97"/>
      <c r="L585" s="1629"/>
      <c r="M585" s="1623"/>
      <c r="N585" s="1755"/>
      <c r="O585" s="1619"/>
      <c r="P585" s="991"/>
      <c r="Q585" s="991"/>
      <c r="R585" s="991"/>
      <c r="S585" s="991"/>
      <c r="T585" s="991"/>
      <c r="U585" s="991"/>
      <c r="V585" s="991"/>
      <c r="W585" s="96"/>
      <c r="X585" s="1601"/>
      <c r="Y585" s="1874"/>
      <c r="Z585" s="1889"/>
      <c r="AC585" s="1150"/>
      <c r="AD585" s="1150"/>
      <c r="AE585" s="1150"/>
      <c r="AF585" s="248"/>
      <c r="AG585" s="248"/>
      <c r="AH585" s="248"/>
      <c r="AI585" s="248"/>
      <c r="AJ585" s="248"/>
      <c r="AK585" s="248"/>
      <c r="AL585" s="1352"/>
      <c r="AM585" s="1352"/>
      <c r="AN585" s="1352"/>
      <c r="AO585" s="1352"/>
      <c r="AP585" s="1352"/>
      <c r="AQ585" s="1352"/>
      <c r="AR585" s="1352"/>
      <c r="AS585" s="1352"/>
    </row>
    <row r="586" spans="1:45" ht="15" hidden="1" customHeight="1" x14ac:dyDescent="0.2">
      <c r="A586" s="1507">
        <v>6</v>
      </c>
      <c r="B586" s="1524">
        <v>603.29999999999995</v>
      </c>
      <c r="C586" s="1511"/>
      <c r="D586" s="1511"/>
      <c r="E586" s="1511"/>
      <c r="F586" s="1514"/>
      <c r="G586" s="1509" t="str">
        <f>G585</f>
        <v/>
      </c>
      <c r="H586" s="1510" t="s">
        <v>3197</v>
      </c>
      <c r="I586" s="130"/>
      <c r="J586" s="129"/>
      <c r="K586" s="97"/>
      <c r="L586" s="262" t="s">
        <v>2602</v>
      </c>
      <c r="M586" s="1623"/>
      <c r="N586" s="1755"/>
      <c r="O586" s="1619"/>
      <c r="P586" s="991"/>
      <c r="Q586" s="991"/>
      <c r="R586" s="991"/>
      <c r="S586" s="991"/>
      <c r="T586" s="991"/>
      <c r="U586" s="991"/>
      <c r="V586" s="991"/>
      <c r="W586" s="96"/>
      <c r="X586" s="1601"/>
      <c r="Y586" s="1874"/>
      <c r="Z586" s="1889"/>
      <c r="AC586" s="1150"/>
      <c r="AD586" s="1150"/>
      <c r="AE586" s="1150"/>
      <c r="AF586" s="248"/>
      <c r="AG586" s="248"/>
      <c r="AH586" s="248"/>
      <c r="AI586" s="248"/>
      <c r="AJ586" s="248"/>
      <c r="AK586" s="248"/>
      <c r="AL586" s="1352"/>
      <c r="AM586" s="1352"/>
      <c r="AN586" s="1352"/>
      <c r="AO586" s="1352"/>
      <c r="AP586" s="1352"/>
      <c r="AQ586" s="1352"/>
      <c r="AR586" s="1352"/>
      <c r="AS586" s="1352"/>
    </row>
    <row r="587" spans="1:45" ht="18.75" customHeight="1" thickTop="1" x14ac:dyDescent="0.25">
      <c r="A587" s="1507">
        <v>6</v>
      </c>
      <c r="B587" s="1524">
        <v>604</v>
      </c>
      <c r="C587" s="1511"/>
      <c r="D587" s="1511"/>
      <c r="E587" s="1511"/>
      <c r="F587" s="1514"/>
      <c r="G587" s="1509" t="s">
        <v>3200</v>
      </c>
      <c r="H587" s="1510" t="s">
        <v>3197</v>
      </c>
      <c r="I587" s="14" t="s">
        <v>3566</v>
      </c>
      <c r="J587" s="25"/>
      <c r="K587" s="84"/>
      <c r="L587" s="81"/>
      <c r="M587" s="339"/>
      <c r="N587" s="71"/>
      <c r="O587" s="419"/>
      <c r="P587" s="25"/>
      <c r="Q587" s="25"/>
      <c r="R587" s="25"/>
      <c r="S587" s="25"/>
      <c r="T587" s="25"/>
      <c r="U587" s="25"/>
      <c r="V587" s="25"/>
      <c r="W587" s="25"/>
      <c r="X587" s="25"/>
      <c r="Y587" s="25"/>
      <c r="Z587" s="714"/>
      <c r="AC587" s="1150"/>
      <c r="AD587" s="1150"/>
      <c r="AE587" s="1150"/>
      <c r="AF587" s="248"/>
      <c r="AG587" s="248"/>
      <c r="AH587" s="248"/>
      <c r="AI587" s="248"/>
      <c r="AJ587" s="248"/>
      <c r="AK587" s="248"/>
      <c r="AL587" s="1352"/>
      <c r="AM587" s="1352"/>
      <c r="AN587" s="1352"/>
      <c r="AO587" s="1352"/>
      <c r="AP587" s="1352"/>
      <c r="AQ587" s="1352"/>
      <c r="AR587" s="1352"/>
      <c r="AS587" s="1352"/>
    </row>
    <row r="588" spans="1:45" ht="15" hidden="1" customHeight="1" x14ac:dyDescent="0.2">
      <c r="A588" s="1507">
        <v>6</v>
      </c>
      <c r="B588" s="1524">
        <v>604.1</v>
      </c>
      <c r="C588" s="1511" t="s">
        <v>2539</v>
      </c>
      <c r="D588" s="1511"/>
      <c r="E588" s="1511"/>
      <c r="F588" s="1511"/>
      <c r="G588" s="1509" t="str">
        <f>IF(N588&gt;0,"P","")</f>
        <v/>
      </c>
      <c r="H588" s="1510" t="s">
        <v>3197</v>
      </c>
      <c r="I588" s="67" t="s">
        <v>3567</v>
      </c>
      <c r="J588" s="4"/>
      <c r="K588" s="85"/>
      <c r="L588" s="1631" t="s">
        <v>3603</v>
      </c>
      <c r="M588" s="1715" t="s">
        <v>2607</v>
      </c>
      <c r="N588" s="1644">
        <f>'11.600'!O290</f>
        <v>0</v>
      </c>
      <c r="O588" s="1669">
        <f>IFERROR(INDEX({0,1,2,3},MATCH(MIN(W591+0,W589+0),{0,0.25,0.5,0.75},1)),0)+IFERROR(INDEX({0,2,4,6},MATCH(MIN(W593+0,W595+0),{0,0.25,0.5,0.75},1)),0)</f>
        <v>0</v>
      </c>
      <c r="P588" s="905"/>
      <c r="Q588" s="905"/>
      <c r="R588" s="905"/>
      <c r="S588" s="905"/>
      <c r="T588" s="905"/>
      <c r="U588" s="905"/>
      <c r="V588" s="905"/>
      <c r="W588" s="248" t="s">
        <v>2608</v>
      </c>
      <c r="X588" s="1621"/>
      <c r="Y588" s="1874" t="str">
        <f>IF(LEN('11.600'!X290)=0,"None",'11.600'!X290)</f>
        <v>None</v>
      </c>
      <c r="Z588" s="1889"/>
      <c r="AC588" s="1150"/>
      <c r="AD588" s="1150"/>
      <c r="AE588" s="1150"/>
      <c r="AF588" s="248"/>
      <c r="AG588" s="248"/>
      <c r="AH588" s="248"/>
      <c r="AI588" s="248"/>
      <c r="AJ588" s="248"/>
      <c r="AK588" s="248"/>
      <c r="AL588" s="1352" t="str">
        <f>SUBSTITUTE(SUBSTITUTE(SUBSTITUTE("vpa"&amp;$B588&amp;$C588&amp;$D588&amp;$E588&amp;$F588,".","_"),"(","_"),")","")</f>
        <v>vpa604_1a</v>
      </c>
      <c r="AM588" s="1352" t="str">
        <f>M588</f>
        <v>per Table
604.1</v>
      </c>
      <c r="AN588" s="1352" t="str">
        <f>SUBSTITUTE(SUBSTITUTE(SUBSTITUTE("vpc"&amp;$B588&amp;$C588&amp;$D588&amp;$E588&amp;$F588,".","_"),"(","_"),")","")</f>
        <v>vpc604_1a</v>
      </c>
      <c r="AO588" s="1352">
        <f>O588</f>
        <v>0</v>
      </c>
      <c r="AP588" s="1352"/>
      <c r="AQ588" s="1352"/>
      <c r="AR588" s="1352" t="str">
        <f>SUBSTITUTE(SUBSTITUTE(SUBSTITUTE("vnt"&amp;$B588&amp;$C588&amp;$D588&amp;$E588&amp;$F588,".","_"),"(","_"),")","")</f>
        <v>vnt604_1a</v>
      </c>
      <c r="AS588" s="1352" t="str">
        <f>IF(LEN(X588)=0,"",X588)</f>
        <v/>
      </c>
    </row>
    <row r="589" spans="1:45" hidden="1" x14ac:dyDescent="0.2">
      <c r="A589" s="1507">
        <v>6</v>
      </c>
      <c r="B589" s="1524">
        <v>604.1</v>
      </c>
      <c r="C589" s="1511" t="s">
        <v>2539</v>
      </c>
      <c r="D589" s="1511"/>
      <c r="E589" s="1511"/>
      <c r="F589" s="1511"/>
      <c r="G589" s="1509" t="str">
        <f t="shared" ref="G589:G595" si="35">G588</f>
        <v/>
      </c>
      <c r="H589" s="1510" t="s">
        <v>3197</v>
      </c>
      <c r="I589" s="67"/>
      <c r="J589" s="4"/>
      <c r="K589" s="85"/>
      <c r="L589" s="1631"/>
      <c r="M589" s="1715"/>
      <c r="N589" s="1644"/>
      <c r="O589" s="1669"/>
      <c r="P589" s="905" t="b">
        <v>1</v>
      </c>
      <c r="Q589" s="905" t="b">
        <v>1</v>
      </c>
      <c r="R589" s="905" t="b">
        <v>0</v>
      </c>
      <c r="S589" s="905" t="b">
        <v>1</v>
      </c>
      <c r="T589" s="905" t="b">
        <v>0</v>
      </c>
      <c r="U589" s="991"/>
      <c r="V589" s="905"/>
      <c r="W589" s="164"/>
      <c r="X589" s="1599"/>
      <c r="Y589" s="1874"/>
      <c r="Z589" s="1889"/>
      <c r="AC589" s="1150" t="b">
        <f>OR(AD589:AE589)</f>
        <v>0</v>
      </c>
      <c r="AD589" s="1150" t="b">
        <v>0</v>
      </c>
      <c r="AE589" s="1" t="b">
        <f>AND(W589&gt;0,LEN(X588)=0)</f>
        <v>0</v>
      </c>
      <c r="AF589" s="720" t="b">
        <f>AND(AE589,NOT(Q589))</f>
        <v>0</v>
      </c>
      <c r="AG589" s="248"/>
      <c r="AH589" s="248"/>
      <c r="AI589" s="248"/>
      <c r="AJ589" s="248"/>
      <c r="AK589" s="248"/>
      <c r="AL589" s="1352"/>
      <c r="AM589" s="1352"/>
      <c r="AN589" s="1352"/>
      <c r="AO589" s="1352"/>
      <c r="AP589" s="1352" t="str">
        <f>SUBSTITUTE(SUBSTITUTE(SUBSTITUTE("vch"&amp;$B589&amp;$C589&amp;$D589&amp;$E589&amp;$F589,".","_"),"(","_"),")","")</f>
        <v>vch604_1a</v>
      </c>
      <c r="AQ589" s="1352" t="str">
        <f>IF(LEN(W589)=0,"",W589)</f>
        <v/>
      </c>
      <c r="AR589" s="1352"/>
      <c r="AS589" s="1352"/>
    </row>
    <row r="590" spans="1:45" hidden="1" x14ac:dyDescent="0.2">
      <c r="A590" s="1507">
        <v>6</v>
      </c>
      <c r="B590" s="1524">
        <v>604.1</v>
      </c>
      <c r="C590" s="1511" t="s">
        <v>2540</v>
      </c>
      <c r="D590" s="1511"/>
      <c r="E590" s="1511"/>
      <c r="F590" s="1511"/>
      <c r="G590" s="1509" t="str">
        <f t="shared" si="35"/>
        <v/>
      </c>
      <c r="H590" s="1510" t="s">
        <v>3197</v>
      </c>
      <c r="I590" s="67"/>
      <c r="J590" s="4"/>
      <c r="K590" s="85"/>
      <c r="L590" s="255" t="s">
        <v>2614</v>
      </c>
      <c r="M590" s="1715"/>
      <c r="N590" s="1644"/>
      <c r="O590" s="1669"/>
      <c r="P590" s="905"/>
      <c r="Q590" s="905"/>
      <c r="R590" s="905"/>
      <c r="S590" s="905"/>
      <c r="T590" s="905"/>
      <c r="U590" s="905"/>
      <c r="V590" s="905"/>
      <c r="W590" s="248" t="s">
        <v>2609</v>
      </c>
      <c r="X590" s="1600"/>
      <c r="Y590" s="1874" t="str">
        <f>IF(LEN('11.600'!X292)=0,"None",'11.600'!X292)</f>
        <v>None</v>
      </c>
      <c r="Z590" s="1889"/>
      <c r="AC590" s="1150"/>
      <c r="AD590" s="1150"/>
      <c r="AE590" s="1150"/>
      <c r="AF590" s="248"/>
      <c r="AG590" s="248"/>
      <c r="AH590" s="248"/>
      <c r="AI590" s="248"/>
      <c r="AJ590" s="248"/>
      <c r="AK590" s="248"/>
      <c r="AL590" s="1352"/>
      <c r="AM590" s="1352"/>
      <c r="AN590" s="1352"/>
      <c r="AO590" s="1352"/>
      <c r="AP590" s="1352"/>
      <c r="AQ590" s="1352"/>
      <c r="AR590" s="1352" t="str">
        <f>SUBSTITUTE(SUBSTITUTE(SUBSTITUTE("vnt"&amp;$B590&amp;$C590&amp;$D590&amp;$E590&amp;$F590,".","_"),"(","_"),")","")</f>
        <v>vnt604_1b</v>
      </c>
      <c r="AS590" s="1352" t="str">
        <f>IF(LEN(X590)=0,"",X590)</f>
        <v/>
      </c>
    </row>
    <row r="591" spans="1:45" hidden="1" x14ac:dyDescent="0.2">
      <c r="A591" s="1507">
        <v>6</v>
      </c>
      <c r="B591" s="1524">
        <v>604.1</v>
      </c>
      <c r="C591" s="1511" t="s">
        <v>2540</v>
      </c>
      <c r="D591" s="1511"/>
      <c r="E591" s="1511"/>
      <c r="F591" s="1511"/>
      <c r="G591" s="1509" t="str">
        <f t="shared" si="35"/>
        <v/>
      </c>
      <c r="H591" s="1510" t="s">
        <v>3197</v>
      </c>
      <c r="I591" s="67"/>
      <c r="J591" s="4"/>
      <c r="K591" s="85"/>
      <c r="L591" s="281" t="s">
        <v>2612</v>
      </c>
      <c r="M591" s="1715"/>
      <c r="N591" s="1644"/>
      <c r="O591" s="1669"/>
      <c r="P591" s="905" t="b">
        <v>1</v>
      </c>
      <c r="Q591" s="905" t="b">
        <v>1</v>
      </c>
      <c r="R591" s="905" t="b">
        <v>0</v>
      </c>
      <c r="S591" s="905" t="b">
        <v>1</v>
      </c>
      <c r="T591" s="905" t="b">
        <v>0</v>
      </c>
      <c r="U591" s="991"/>
      <c r="V591" s="905"/>
      <c r="W591" s="164"/>
      <c r="X591" s="1600"/>
      <c r="Y591" s="1874"/>
      <c r="Z591" s="1889"/>
      <c r="AC591" s="1150" t="b">
        <f>OR(AD591:AE591)</f>
        <v>0</v>
      </c>
      <c r="AD591" s="1150" t="b">
        <v>0</v>
      </c>
      <c r="AE591" s="1" t="b">
        <f>AND(W591&gt;0,LEN(X590)=0)</f>
        <v>0</v>
      </c>
      <c r="AF591" s="720" t="b">
        <f>AND(AE591,NOT(Q591))</f>
        <v>0</v>
      </c>
      <c r="AG591" s="248"/>
      <c r="AH591" s="248"/>
      <c r="AI591" s="248"/>
      <c r="AJ591" s="248"/>
      <c r="AK591" s="248"/>
      <c r="AL591" s="1352"/>
      <c r="AM591" s="1352"/>
      <c r="AN591" s="1352"/>
      <c r="AO591" s="1352"/>
      <c r="AP591" s="1352" t="str">
        <f>SUBSTITUTE(SUBSTITUTE(SUBSTITUTE("vch"&amp;$B591&amp;$C591&amp;$D591&amp;$E591&amp;$F591,".","_"),"(","_"),")","")</f>
        <v>vch604_1b</v>
      </c>
      <c r="AQ591" s="1352" t="str">
        <f>IF(LEN(W591)=0,"",W591)</f>
        <v/>
      </c>
      <c r="AR591" s="1352"/>
      <c r="AS591" s="1352"/>
    </row>
    <row r="592" spans="1:45" hidden="1" x14ac:dyDescent="0.2">
      <c r="A592" s="1507">
        <v>6</v>
      </c>
      <c r="B592" s="1524">
        <v>604.1</v>
      </c>
      <c r="C592" s="1511" t="s">
        <v>2541</v>
      </c>
      <c r="D592" s="1511"/>
      <c r="E592" s="1511"/>
      <c r="F592" s="1511"/>
      <c r="G592" s="1509" t="str">
        <f t="shared" si="35"/>
        <v/>
      </c>
      <c r="H592" s="1510" t="s">
        <v>3197</v>
      </c>
      <c r="I592" s="67"/>
      <c r="J592" s="4"/>
      <c r="K592" s="85"/>
      <c r="L592" s="1673" t="s">
        <v>2613</v>
      </c>
      <c r="M592" s="1715"/>
      <c r="N592" s="1644"/>
      <c r="O592" s="1669"/>
      <c r="P592" s="905"/>
      <c r="Q592" s="905"/>
      <c r="R592" s="905"/>
      <c r="S592" s="905"/>
      <c r="T592" s="905"/>
      <c r="U592" s="905"/>
      <c r="V592" s="905"/>
      <c r="W592" s="248" t="s">
        <v>2611</v>
      </c>
      <c r="X592" s="1600"/>
      <c r="Y592" s="1874" t="str">
        <f>IF(LEN('11.600'!X294)=0,"None",'11.600'!X294)</f>
        <v>None</v>
      </c>
      <c r="Z592" s="1889"/>
      <c r="AC592" s="1150"/>
      <c r="AD592" s="1150"/>
      <c r="AE592" s="1150"/>
      <c r="AF592" s="248"/>
      <c r="AG592" s="248"/>
      <c r="AH592" s="248"/>
      <c r="AI592" s="248"/>
      <c r="AJ592" s="248"/>
      <c r="AK592" s="248"/>
      <c r="AL592" s="1352"/>
      <c r="AM592" s="1352"/>
      <c r="AN592" s="1352"/>
      <c r="AO592" s="1352"/>
      <c r="AP592" s="1352"/>
      <c r="AQ592" s="1352"/>
      <c r="AR592" s="1352" t="str">
        <f>SUBSTITUTE(SUBSTITUTE(SUBSTITUTE("vnt"&amp;$B592&amp;$C592&amp;$D592&amp;$E592&amp;$F592,".","_"),"(","_"),")","")</f>
        <v>vnt604_1c</v>
      </c>
      <c r="AS592" s="1352" t="str">
        <f>IF(LEN(X592)=0,"",X592)</f>
        <v/>
      </c>
    </row>
    <row r="593" spans="1:45" ht="15" hidden="1" customHeight="1" x14ac:dyDescent="0.2">
      <c r="A593" s="1507">
        <v>6</v>
      </c>
      <c r="B593" s="1524">
        <v>604.1</v>
      </c>
      <c r="C593" s="1511" t="s">
        <v>2541</v>
      </c>
      <c r="D593" s="1511"/>
      <c r="E593" s="1511"/>
      <c r="F593" s="1511"/>
      <c r="G593" s="1509" t="str">
        <f t="shared" si="35"/>
        <v/>
      </c>
      <c r="H593" s="1510" t="s">
        <v>3197</v>
      </c>
      <c r="I593" s="67"/>
      <c r="J593" s="4"/>
      <c r="K593" s="85"/>
      <c r="L593" s="1673"/>
      <c r="M593" s="1715"/>
      <c r="N593" s="1644"/>
      <c r="O593" s="1669"/>
      <c r="P593" s="905" t="b">
        <v>1</v>
      </c>
      <c r="Q593" s="905" t="b">
        <v>1</v>
      </c>
      <c r="R593" s="905" t="b">
        <v>0</v>
      </c>
      <c r="S593" s="905" t="b">
        <v>1</v>
      </c>
      <c r="T593" s="905" t="b">
        <v>0</v>
      </c>
      <c r="U593" s="991"/>
      <c r="V593" s="905"/>
      <c r="W593" s="164"/>
      <c r="X593" s="1600"/>
      <c r="Y593" s="1874"/>
      <c r="Z593" s="1889"/>
      <c r="AC593" s="1150" t="b">
        <f>OR(AD593:AE593)</f>
        <v>0</v>
      </c>
      <c r="AD593" s="1150" t="b">
        <v>0</v>
      </c>
      <c r="AE593" s="1" t="b">
        <f>AND(W593&gt;0,LEN(X592)=0)</f>
        <v>0</v>
      </c>
      <c r="AF593" s="720" t="b">
        <f>AND(AE593,NOT(Q593))</f>
        <v>0</v>
      </c>
      <c r="AG593" s="248"/>
      <c r="AH593" s="248"/>
      <c r="AI593" s="248"/>
      <c r="AJ593" s="248"/>
      <c r="AK593" s="248"/>
      <c r="AL593" s="1352"/>
      <c r="AM593" s="1352"/>
      <c r="AN593" s="1352"/>
      <c r="AO593" s="1352"/>
      <c r="AP593" s="1352" t="str">
        <f>SUBSTITUTE(SUBSTITUTE(SUBSTITUTE("vch"&amp;$B593&amp;$C593&amp;$D593&amp;$E593&amp;$F593,".","_"),"(","_"),")","")</f>
        <v>vch604_1c</v>
      </c>
      <c r="AQ593" s="1352" t="str">
        <f>IF(LEN(W593)=0,"",W593)</f>
        <v/>
      </c>
      <c r="AR593" s="1352"/>
      <c r="AS593" s="1352"/>
    </row>
    <row r="594" spans="1:45" hidden="1" x14ac:dyDescent="0.2">
      <c r="A594" s="1507">
        <v>6</v>
      </c>
      <c r="B594" s="1524">
        <v>604.1</v>
      </c>
      <c r="C594" s="1511" t="s">
        <v>2542</v>
      </c>
      <c r="D594" s="1511"/>
      <c r="E594" s="1511"/>
      <c r="F594" s="1511"/>
      <c r="G594" s="1509" t="str">
        <f t="shared" si="35"/>
        <v/>
      </c>
      <c r="H594" s="1510" t="s">
        <v>3197</v>
      </c>
      <c r="I594" s="67"/>
      <c r="J594" s="4"/>
      <c r="K594" s="85"/>
      <c r="L594" s="248"/>
      <c r="M594" s="1715"/>
      <c r="N594" s="1644"/>
      <c r="O594" s="1669"/>
      <c r="P594" s="905"/>
      <c r="Q594" s="905"/>
      <c r="R594" s="905"/>
      <c r="S594" s="905"/>
      <c r="T594" s="905"/>
      <c r="U594" s="905"/>
      <c r="V594" s="905"/>
      <c r="W594" s="248" t="s">
        <v>2610</v>
      </c>
      <c r="X594" s="1600"/>
      <c r="Y594" s="1874" t="str">
        <f>IF(LEN('11.600'!X296)=0,"None",'11.600'!X296)</f>
        <v>None</v>
      </c>
      <c r="Z594" s="1889"/>
      <c r="AC594" s="1150"/>
      <c r="AD594" s="1150"/>
      <c r="AE594" s="1150"/>
      <c r="AF594" s="248"/>
      <c r="AG594" s="248"/>
      <c r="AH594" s="248"/>
      <c r="AI594" s="248"/>
      <c r="AJ594" s="248"/>
      <c r="AK594" s="248"/>
      <c r="AL594" s="1352"/>
      <c r="AM594" s="1352"/>
      <c r="AN594" s="1352"/>
      <c r="AO594" s="1352"/>
      <c r="AP594" s="1352"/>
      <c r="AQ594" s="1352"/>
      <c r="AR594" s="1352" t="str">
        <f>SUBSTITUTE(SUBSTITUTE(SUBSTITUTE("vnt"&amp;$B594&amp;$C594&amp;$D594&amp;$E594&amp;$F594,".","_"),"(","_"),")","")</f>
        <v>vnt604_1d</v>
      </c>
      <c r="AS594" s="1352" t="str">
        <f>IF(LEN(X594)=0,"",X594)</f>
        <v/>
      </c>
    </row>
    <row r="595" spans="1:45" hidden="1" x14ac:dyDescent="0.2">
      <c r="A595" s="1507">
        <v>6</v>
      </c>
      <c r="B595" s="1524">
        <v>604.1</v>
      </c>
      <c r="C595" s="1511" t="s">
        <v>2542</v>
      </c>
      <c r="D595" s="1511"/>
      <c r="E595" s="1511"/>
      <c r="F595" s="1511"/>
      <c r="G595" s="1509" t="str">
        <f t="shared" si="35"/>
        <v/>
      </c>
      <c r="H595" s="1510" t="s">
        <v>3197</v>
      </c>
      <c r="I595" s="67"/>
      <c r="J595" s="4"/>
      <c r="K595" s="85"/>
      <c r="L595" s="248"/>
      <c r="M595" s="1715"/>
      <c r="N595" s="1644"/>
      <c r="O595" s="1669"/>
      <c r="P595" s="905" t="b">
        <v>1</v>
      </c>
      <c r="Q595" s="905" t="b">
        <v>1</v>
      </c>
      <c r="R595" s="905" t="b">
        <v>0</v>
      </c>
      <c r="S595" s="905" t="b">
        <v>1</v>
      </c>
      <c r="T595" s="905" t="b">
        <v>0</v>
      </c>
      <c r="U595" s="991"/>
      <c r="V595" s="905"/>
      <c r="W595" s="164"/>
      <c r="X595" s="1600"/>
      <c r="Y595" s="1874"/>
      <c r="Z595" s="1889"/>
      <c r="AC595" s="1150" t="b">
        <f>OR(AD595:AE595)</f>
        <v>0</v>
      </c>
      <c r="AD595" s="1150" t="b">
        <v>0</v>
      </c>
      <c r="AE595" s="1" t="b">
        <f>AND(W595&gt;0,LEN(X594)=0)</f>
        <v>0</v>
      </c>
      <c r="AF595" s="720" t="b">
        <f>AND(AE595,NOT(Q595))</f>
        <v>0</v>
      </c>
      <c r="AG595" s="248"/>
      <c r="AH595" s="248"/>
      <c r="AI595" s="248"/>
      <c r="AJ595" s="248"/>
      <c r="AK595" s="248"/>
      <c r="AL595" s="1352"/>
      <c r="AM595" s="1352"/>
      <c r="AN595" s="1352"/>
      <c r="AO595" s="1352"/>
      <c r="AP595" s="1352" t="str">
        <f>SUBSTITUTE(SUBSTITUTE(SUBSTITUTE("vch"&amp;$B595&amp;$C595&amp;$D595&amp;$E595&amp;$F595,".","_"),"(","_"),")","")</f>
        <v>vch604_1d</v>
      </c>
      <c r="AQ595" s="1352" t="str">
        <f>IF(LEN(W595)=0,"",W595)</f>
        <v/>
      </c>
      <c r="AR595" s="1352"/>
      <c r="AS595" s="1352"/>
    </row>
    <row r="596" spans="1:45" ht="20" thickBot="1" x14ac:dyDescent="0.3">
      <c r="A596" s="1507">
        <v>6</v>
      </c>
      <c r="B596" s="1524">
        <v>605</v>
      </c>
      <c r="C596" s="1511"/>
      <c r="D596" s="1511"/>
      <c r="E596" s="1511"/>
      <c r="F596" s="1511"/>
      <c r="G596" s="1509" t="s">
        <v>3200</v>
      </c>
      <c r="H596" s="1510" t="s">
        <v>3197</v>
      </c>
      <c r="I596" s="14" t="s">
        <v>3568</v>
      </c>
      <c r="J596" s="25"/>
      <c r="K596" s="84"/>
      <c r="L596" s="72"/>
      <c r="M596" s="339"/>
      <c r="N596" s="71"/>
      <c r="O596" s="419"/>
      <c r="P596" s="25"/>
      <c r="Q596" s="25"/>
      <c r="R596" s="25"/>
      <c r="S596" s="25"/>
      <c r="T596" s="25"/>
      <c r="U596" s="25"/>
      <c r="V596" s="25"/>
      <c r="W596" s="25"/>
      <c r="X596" s="25"/>
      <c r="Y596" s="25"/>
      <c r="Z596" s="714"/>
      <c r="AC596" s="248"/>
      <c r="AD596" s="248"/>
      <c r="AE596" s="248"/>
      <c r="AF596" s="248"/>
      <c r="AG596" s="248"/>
      <c r="AH596" s="248"/>
      <c r="AI596" s="248"/>
      <c r="AJ596" s="248"/>
      <c r="AK596" s="248"/>
      <c r="AL596" s="1352"/>
      <c r="AM596" s="1352"/>
      <c r="AN596" s="1352"/>
      <c r="AO596" s="1352"/>
      <c r="AP596" s="1352"/>
      <c r="AQ596" s="1352"/>
      <c r="AR596" s="1352"/>
      <c r="AS596" s="1352"/>
    </row>
    <row r="597" spans="1:45" ht="16" hidden="1" thickBot="1" x14ac:dyDescent="0.25">
      <c r="A597" s="1507">
        <v>6</v>
      </c>
      <c r="B597" s="1524" t="s">
        <v>3211</v>
      </c>
      <c r="C597" s="1511"/>
      <c r="D597" s="1511"/>
      <c r="E597" s="1511"/>
      <c r="F597" s="1511"/>
      <c r="G597" s="1510"/>
      <c r="H597" s="1510"/>
      <c r="I597" s="80" t="s">
        <v>3569</v>
      </c>
      <c r="J597" s="4"/>
      <c r="K597" s="85"/>
      <c r="L597" s="916" t="s">
        <v>3985</v>
      </c>
      <c r="M597" s="911"/>
      <c r="N597" s="250"/>
      <c r="O597" s="935"/>
      <c r="P597" s="905"/>
      <c r="Q597" s="905"/>
      <c r="R597" s="905"/>
      <c r="S597" s="905"/>
      <c r="T597" s="905"/>
      <c r="U597" s="905"/>
      <c r="V597" s="905"/>
      <c r="W597" s="100"/>
      <c r="X597" s="248"/>
      <c r="Y597"/>
      <c r="Z597" s="670"/>
      <c r="AC597" s="248"/>
      <c r="AD597" s="248"/>
      <c r="AE597" s="248"/>
      <c r="AF597" s="248"/>
      <c r="AG597" s="248"/>
      <c r="AH597" s="248"/>
      <c r="AI597" s="248"/>
      <c r="AJ597" s="248"/>
      <c r="AK597" s="248"/>
      <c r="AL597" s="1352"/>
      <c r="AM597" s="1352"/>
      <c r="AN597" s="1352"/>
      <c r="AO597" s="1352"/>
      <c r="AP597" s="1352"/>
      <c r="AQ597" s="1352"/>
      <c r="AR597" s="1352"/>
      <c r="AS597" s="1352"/>
    </row>
    <row r="598" spans="1:45" s="764" customFormat="1" ht="16" thickTop="1" x14ac:dyDescent="0.2">
      <c r="A598" s="1507">
        <v>6</v>
      </c>
      <c r="B598" s="1524">
        <v>605.1</v>
      </c>
      <c r="C598" s="1511"/>
      <c r="D598" s="1511"/>
      <c r="E598" s="1511"/>
      <c r="F598" s="1511"/>
      <c r="G598" s="1509" t="str">
        <f>IF(IFERROR(SEARCH("Mandatory",M598),FALSE),"P","")</f>
        <v>P</v>
      </c>
      <c r="H598" s="1510" t="s">
        <v>3198</v>
      </c>
      <c r="I598" s="777" t="s">
        <v>3570</v>
      </c>
      <c r="J598" s="178"/>
      <c r="K598" s="179"/>
      <c r="L598" s="1683" t="s">
        <v>3827</v>
      </c>
      <c r="M598" s="1701" t="str">
        <f>IF(R598,"Mandatory","N/A")</f>
        <v>Mandatory</v>
      </c>
      <c r="N598" s="178"/>
      <c r="O598" s="943"/>
      <c r="P598" s="778" t="b">
        <v>1</v>
      </c>
      <c r="Q598" s="778" t="b">
        <v>0</v>
      </c>
      <c r="R598" s="779" t="b">
        <f>S598</f>
        <v>1</v>
      </c>
      <c r="S598" s="779" t="b">
        <v>1</v>
      </c>
      <c r="T598" s="778" t="b">
        <v>0</v>
      </c>
      <c r="U598" s="106"/>
      <c r="V598" s="106"/>
      <c r="W598" s="119" t="b">
        <v>1</v>
      </c>
      <c r="X598" s="1883"/>
      <c r="Y598" s="1886" t="str">
        <f>IF(LEN('11.600'!X301)=0,"None",'11.600'!X301)</f>
        <v>None</v>
      </c>
      <c r="Z598" s="1883"/>
      <c r="AC598" s="779" t="b">
        <f>OR(AD598:AE598)</f>
        <v>0</v>
      </c>
      <c r="AD598" s="779" t="b">
        <f>T598</f>
        <v>0</v>
      </c>
      <c r="AE598" s="779" t="b">
        <f>AND(R598,NOT(W598))</f>
        <v>0</v>
      </c>
      <c r="AF598" s="779" t="b">
        <f>AND(AE598,NOT(Q598))</f>
        <v>0</v>
      </c>
      <c r="AL598" s="1352" t="str">
        <f>SUBSTITUTE(SUBSTITUTE(SUBSTITUTE("vpa"&amp;$B598&amp;$C598&amp;$D598&amp;$E598&amp;$F598,".","_"),"(","_"),")","")</f>
        <v>vpa605_1</v>
      </c>
      <c r="AM598" s="1352" t="str">
        <f>M598</f>
        <v>Mandatory</v>
      </c>
      <c r="AN598" s="1352"/>
      <c r="AO598" s="1352"/>
      <c r="AP598" s="1352" t="str">
        <f>SUBSTITUTE(SUBSTITUTE(SUBSTITUTE("vch"&amp;$B598&amp;$C598&amp;$D598&amp;$E598&amp;$F598,".","_"),"(","_"),")","")</f>
        <v>vch605_1</v>
      </c>
      <c r="AQ598" s="1352" t="b">
        <f>IF(LEN(W598)=0,"",W598)</f>
        <v>1</v>
      </c>
      <c r="AR598" s="1352" t="str">
        <f>SUBSTITUTE(SUBSTITUTE(SUBSTITUTE("vnt"&amp;$B598&amp;$C598&amp;$D598&amp;$E598&amp;$F598,".","_"),"(","_"),")","")</f>
        <v>vnt605_1</v>
      </c>
      <c r="AS598" s="1352" t="str">
        <f>IF(LEN(X598)=0,"",X598)</f>
        <v/>
      </c>
    </row>
    <row r="599" spans="1:45" s="764" customFormat="1" x14ac:dyDescent="0.2">
      <c r="A599" s="1507">
        <v>6</v>
      </c>
      <c r="B599" s="1524">
        <v>605.1</v>
      </c>
      <c r="C599" s="1511"/>
      <c r="D599" s="1511"/>
      <c r="E599" s="1511"/>
      <c r="F599" s="1511"/>
      <c r="G599" s="1509" t="str">
        <f>G598</f>
        <v>P</v>
      </c>
      <c r="H599" s="1510" t="s">
        <v>3198</v>
      </c>
      <c r="I599" s="130"/>
      <c r="J599" s="129"/>
      <c r="K599" s="97"/>
      <c r="L599" s="1629"/>
      <c r="M599" s="1697"/>
      <c r="N599" s="129"/>
      <c r="O599" s="908"/>
      <c r="P599" s="991"/>
      <c r="Q599" s="991"/>
      <c r="R599" s="991"/>
      <c r="S599" s="991"/>
      <c r="T599" s="991"/>
      <c r="U599" s="991"/>
      <c r="V599" s="991"/>
      <c r="W599" s="96"/>
      <c r="X599" s="1881"/>
      <c r="Y599" s="1887"/>
      <c r="Z599" s="1881"/>
      <c r="AL599" s="1352"/>
      <c r="AM599" s="1352"/>
      <c r="AN599" s="1352"/>
      <c r="AO599" s="1352"/>
      <c r="AP599" s="1352"/>
      <c r="AQ599" s="1352"/>
      <c r="AR599" s="1352"/>
      <c r="AS599" s="1352"/>
    </row>
    <row r="600" spans="1:45" s="764" customFormat="1" ht="16" thickBot="1" x14ac:dyDescent="0.25">
      <c r="A600" s="1507">
        <v>6</v>
      </c>
      <c r="B600" s="1524">
        <v>605.1</v>
      </c>
      <c r="C600" s="1511"/>
      <c r="D600" s="1511"/>
      <c r="E600" s="1511"/>
      <c r="F600" s="1511"/>
      <c r="G600" s="1509" t="str">
        <f>G599</f>
        <v>P</v>
      </c>
      <c r="H600" s="1510" t="s">
        <v>3198</v>
      </c>
      <c r="I600" s="130"/>
      <c r="J600" s="129"/>
      <c r="K600" s="97"/>
      <c r="L600" s="1630"/>
      <c r="M600" s="1726"/>
      <c r="N600" s="129"/>
      <c r="O600" s="908"/>
      <c r="P600" s="991"/>
      <c r="Q600" s="991"/>
      <c r="R600" s="991"/>
      <c r="S600" s="991"/>
      <c r="T600" s="991"/>
      <c r="U600" s="991"/>
      <c r="V600" s="991"/>
      <c r="W600" s="113"/>
      <c r="X600" s="1882"/>
      <c r="Y600" s="1888"/>
      <c r="Z600" s="1882"/>
      <c r="AL600" s="1352"/>
      <c r="AM600" s="1352"/>
      <c r="AN600" s="1352"/>
      <c r="AO600" s="1352"/>
      <c r="AP600" s="1352"/>
      <c r="AQ600" s="1352"/>
      <c r="AR600" s="1352"/>
      <c r="AS600" s="1352"/>
    </row>
    <row r="601" spans="1:45" ht="16" hidden="1" thickTop="1" x14ac:dyDescent="0.2">
      <c r="A601" s="1507">
        <v>6</v>
      </c>
      <c r="B601" s="1524">
        <v>605.20000000000005</v>
      </c>
      <c r="C601" s="1511"/>
      <c r="D601" s="1511"/>
      <c r="E601" s="1511"/>
      <c r="F601" s="1511"/>
      <c r="G601" s="1509" t="str">
        <f>IF(N601&gt;0,"P","")</f>
        <v/>
      </c>
      <c r="H601" s="1510" t="s">
        <v>3197</v>
      </c>
      <c r="I601" s="177" t="s">
        <v>3571</v>
      </c>
      <c r="J601" s="178"/>
      <c r="K601" s="179"/>
      <c r="L601" s="1683" t="s">
        <v>3987</v>
      </c>
      <c r="M601" s="1685">
        <v>6</v>
      </c>
      <c r="N601" s="1770">
        <f>'11.600'!O303</f>
        <v>0</v>
      </c>
      <c r="O601" s="1682">
        <f>M601*S601*IFERROR(OR(W601,W614),0)</f>
        <v>0</v>
      </c>
      <c r="P601" s="991" t="b">
        <v>1</v>
      </c>
      <c r="Q601" s="991" t="b">
        <v>1</v>
      </c>
      <c r="R601" s="106" t="b">
        <v>0</v>
      </c>
      <c r="S601" s="106" t="b">
        <v>1</v>
      </c>
      <c r="T601" s="106" t="b">
        <v>0</v>
      </c>
      <c r="U601" s="106"/>
      <c r="V601" s="106"/>
      <c r="W601" s="119"/>
      <c r="X601" s="1599"/>
      <c r="Y601" s="1877" t="str">
        <f>IF(LEN('11.600'!X303)=0,"None",'11.600'!X303)</f>
        <v>None</v>
      </c>
      <c r="Z601" s="1880"/>
      <c r="AC601" s="248"/>
      <c r="AD601" s="248"/>
      <c r="AE601" s="248"/>
      <c r="AF601" s="248"/>
      <c r="AG601" s="248"/>
      <c r="AH601" s="248"/>
      <c r="AI601" s="248"/>
      <c r="AJ601" s="248"/>
      <c r="AK601" s="248"/>
      <c r="AL601" s="1352" t="str">
        <f>SUBSTITUTE(SUBSTITUTE(SUBSTITUTE("vpa"&amp;$B601&amp;$C601&amp;$D601&amp;$E601&amp;$F601,".","_"),"(","_"),")","")</f>
        <v>vpa605_2</v>
      </c>
      <c r="AM601" s="1352">
        <f>M601</f>
        <v>6</v>
      </c>
      <c r="AN601" s="1352" t="str">
        <f>SUBSTITUTE(SUBSTITUTE(SUBSTITUTE("vpc"&amp;$B601&amp;$C601&amp;$D601&amp;$E601&amp;$F601,".","_"),"(","_"),")","")</f>
        <v>vpc605_2</v>
      </c>
      <c r="AO601" s="1352">
        <f>O601</f>
        <v>0</v>
      </c>
      <c r="AP601" s="1352" t="str">
        <f>SUBSTITUTE(SUBSTITUTE(SUBSTITUTE("vch"&amp;$B601&amp;$C601&amp;$D601&amp;$E601&amp;$F601,".","_"),"(","_"),")","")</f>
        <v>vch605_2</v>
      </c>
      <c r="AQ601" s="1352" t="str">
        <f>IF(LEN(W601)=0,"",W601)</f>
        <v/>
      </c>
      <c r="AR601" s="1352" t="str">
        <f>SUBSTITUTE(SUBSTITUTE(SUBSTITUTE("vnt"&amp;$B601&amp;$C601&amp;$D601&amp;$E601&amp;$F601,".","_"),"(","_"),")","")</f>
        <v>vnt605_2</v>
      </c>
      <c r="AS601" s="1352" t="str">
        <f>IF(LEN(X601)=0,"",X601)</f>
        <v/>
      </c>
    </row>
    <row r="602" spans="1:45" ht="16" hidden="1" thickTop="1" x14ac:dyDescent="0.2">
      <c r="A602" s="1507">
        <v>6</v>
      </c>
      <c r="B602" s="1524">
        <v>605.20000000000005</v>
      </c>
      <c r="C602" s="1511"/>
      <c r="D602" s="1511"/>
      <c r="E602" s="1511"/>
      <c r="F602" s="1511"/>
      <c r="G602" s="1509" t="str">
        <f t="shared" ref="G602:G615" si="36">G601</f>
        <v/>
      </c>
      <c r="H602" s="1510" t="s">
        <v>3197</v>
      </c>
      <c r="I602" s="130"/>
      <c r="J602" s="129"/>
      <c r="K602" s="97"/>
      <c r="L602" s="1629"/>
      <c r="M602" s="1623"/>
      <c r="N602" s="1755"/>
      <c r="O602" s="1619"/>
      <c r="P602" s="991"/>
      <c r="Q602" s="991"/>
      <c r="R602" s="991"/>
      <c r="S602" s="991"/>
      <c r="T602" s="991"/>
      <c r="U602" s="991"/>
      <c r="V602" s="991"/>
      <c r="W602" s="96"/>
      <c r="X602" s="1601"/>
      <c r="Y602" s="1881"/>
      <c r="Z602" s="1891"/>
      <c r="AC602" s="248"/>
      <c r="AD602" s="248"/>
      <c r="AE602" s="248"/>
      <c r="AF602" s="248"/>
      <c r="AG602" s="248"/>
      <c r="AH602" s="248"/>
      <c r="AI602" s="248"/>
      <c r="AJ602" s="248"/>
      <c r="AK602" s="248"/>
      <c r="AL602" s="1352"/>
      <c r="AM602" s="1352"/>
      <c r="AN602" s="1352"/>
      <c r="AO602" s="1352"/>
      <c r="AP602" s="1352"/>
      <c r="AQ602" s="1352"/>
      <c r="AR602" s="1352"/>
      <c r="AS602" s="1352"/>
    </row>
    <row r="603" spans="1:45" ht="16" hidden="1" thickTop="1" x14ac:dyDescent="0.2">
      <c r="A603" s="1507">
        <v>6</v>
      </c>
      <c r="B603" s="1524">
        <v>605.20000000000005</v>
      </c>
      <c r="C603" s="1511"/>
      <c r="D603" s="1511"/>
      <c r="E603" s="1511"/>
      <c r="F603" s="1511"/>
      <c r="G603" s="1509" t="str">
        <f t="shared" si="36"/>
        <v/>
      </c>
      <c r="H603" s="1510" t="s">
        <v>3197</v>
      </c>
      <c r="I603" s="130"/>
      <c r="J603" s="129"/>
      <c r="K603" s="97"/>
      <c r="L603" s="1629"/>
      <c r="M603" s="1623"/>
      <c r="N603" s="1755"/>
      <c r="O603" s="1619"/>
      <c r="P603" s="991"/>
      <c r="Q603" s="991"/>
      <c r="R603" s="991"/>
      <c r="S603" s="991"/>
      <c r="T603" s="991"/>
      <c r="U603" s="991"/>
      <c r="V603" s="991"/>
      <c r="W603" s="96"/>
      <c r="X603" s="1601"/>
      <c r="Y603" s="1881"/>
      <c r="Z603" s="1891"/>
      <c r="AC603" s="248"/>
      <c r="AD603" s="248"/>
      <c r="AE603" s="248"/>
      <c r="AF603" s="248"/>
      <c r="AG603" s="248"/>
      <c r="AH603" s="248"/>
      <c r="AI603" s="248"/>
      <c r="AJ603" s="248"/>
      <c r="AK603" s="248"/>
      <c r="AL603" s="1352"/>
      <c r="AM603" s="1352"/>
      <c r="AN603" s="1352"/>
      <c r="AO603" s="1352"/>
      <c r="AP603" s="1352"/>
      <c r="AQ603" s="1352"/>
      <c r="AR603" s="1352"/>
      <c r="AS603" s="1352"/>
    </row>
    <row r="604" spans="1:45" ht="16" hidden="1" thickTop="1" x14ac:dyDescent="0.2">
      <c r="A604" s="1507">
        <v>6</v>
      </c>
      <c r="B604" s="1524">
        <v>605.20000000000005</v>
      </c>
      <c r="C604" s="1511"/>
      <c r="D604" s="1511"/>
      <c r="E604" s="1511"/>
      <c r="F604" s="1511"/>
      <c r="G604" s="1509" t="str">
        <f t="shared" si="36"/>
        <v/>
      </c>
      <c r="H604" s="1510" t="s">
        <v>3197</v>
      </c>
      <c r="I604" s="130"/>
      <c r="J604" s="129"/>
      <c r="K604" s="97"/>
      <c r="L604" s="1629"/>
      <c r="M604" s="1623"/>
      <c r="N604" s="1755"/>
      <c r="O604" s="1619"/>
      <c r="P604" s="991"/>
      <c r="Q604" s="991"/>
      <c r="R604" s="991"/>
      <c r="S604" s="991"/>
      <c r="T604" s="991"/>
      <c r="U604" s="991"/>
      <c r="V604" s="991"/>
      <c r="W604" s="96"/>
      <c r="X604" s="1601"/>
      <c r="Y604" s="1881"/>
      <c r="Z604" s="1891"/>
      <c r="AC604" s="248"/>
      <c r="AD604" s="248"/>
      <c r="AE604" s="248"/>
      <c r="AF604" s="248"/>
      <c r="AG604" s="248"/>
      <c r="AH604" s="248"/>
      <c r="AI604" s="248"/>
      <c r="AJ604" s="248"/>
      <c r="AK604" s="248"/>
      <c r="AL604" s="1352"/>
      <c r="AM604" s="1352"/>
      <c r="AN604" s="1352"/>
      <c r="AO604" s="1352"/>
      <c r="AP604" s="1352"/>
      <c r="AQ604" s="1352"/>
      <c r="AR604" s="1352"/>
      <c r="AS604" s="1352"/>
    </row>
    <row r="605" spans="1:45" ht="16" hidden="1" thickTop="1" x14ac:dyDescent="0.2">
      <c r="A605" s="1507">
        <v>6</v>
      </c>
      <c r="B605" s="1524">
        <v>605.20000000000005</v>
      </c>
      <c r="C605" s="1511"/>
      <c r="D605" s="1511"/>
      <c r="E605" s="1511"/>
      <c r="F605" s="1511"/>
      <c r="G605" s="1509" t="str">
        <f t="shared" si="36"/>
        <v/>
      </c>
      <c r="H605" s="1510" t="s">
        <v>3197</v>
      </c>
      <c r="I605" s="130"/>
      <c r="J605" s="129"/>
      <c r="K605" s="97"/>
      <c r="L605" s="1629"/>
      <c r="M605" s="1623"/>
      <c r="N605" s="1755"/>
      <c r="O605" s="1619"/>
      <c r="P605" s="991"/>
      <c r="Q605" s="991"/>
      <c r="R605" s="991"/>
      <c r="S605" s="991"/>
      <c r="T605" s="991"/>
      <c r="U605" s="991"/>
      <c r="V605" s="991"/>
      <c r="W605" s="96"/>
      <c r="X605" s="1601"/>
      <c r="Y605" s="1881"/>
      <c r="Z605" s="1891"/>
      <c r="AC605" s="248"/>
      <c r="AD605" s="248"/>
      <c r="AE605" s="248"/>
      <c r="AF605" s="248"/>
      <c r="AG605" s="248"/>
      <c r="AH605" s="248"/>
      <c r="AI605" s="248"/>
      <c r="AJ605" s="248"/>
      <c r="AK605" s="248"/>
      <c r="AL605" s="1352"/>
      <c r="AM605" s="1352"/>
      <c r="AN605" s="1352"/>
      <c r="AO605" s="1352"/>
      <c r="AP605" s="1352"/>
      <c r="AQ605" s="1352"/>
      <c r="AR605" s="1352"/>
      <c r="AS605" s="1352"/>
    </row>
    <row r="606" spans="1:45" ht="16" hidden="1" thickTop="1" x14ac:dyDescent="0.2">
      <c r="A606" s="1507">
        <v>6</v>
      </c>
      <c r="B606" s="1524">
        <v>605.20000000000005</v>
      </c>
      <c r="C606" s="1511"/>
      <c r="D606" s="1511"/>
      <c r="E606" s="1511"/>
      <c r="F606" s="1511"/>
      <c r="G606" s="1509" t="str">
        <f t="shared" si="36"/>
        <v/>
      </c>
      <c r="H606" s="1510" t="s">
        <v>3197</v>
      </c>
      <c r="I606" s="130"/>
      <c r="J606" s="129"/>
      <c r="K606" s="97"/>
      <c r="L606" s="1629"/>
      <c r="M606" s="1623"/>
      <c r="N606" s="1755"/>
      <c r="O606" s="1619"/>
      <c r="P606" s="991"/>
      <c r="Q606" s="991"/>
      <c r="R606" s="991"/>
      <c r="S606" s="991"/>
      <c r="T606" s="991"/>
      <c r="U606" s="991"/>
      <c r="V606" s="991"/>
      <c r="W606" s="96"/>
      <c r="X606" s="1601"/>
      <c r="Y606" s="1881"/>
      <c r="Z606" s="1891"/>
      <c r="AC606" s="248"/>
      <c r="AD606" s="248"/>
      <c r="AE606" s="248"/>
      <c r="AF606" s="248"/>
      <c r="AG606" s="248"/>
      <c r="AH606" s="248"/>
      <c r="AI606" s="248"/>
      <c r="AJ606" s="248"/>
      <c r="AK606" s="248"/>
      <c r="AL606" s="1352"/>
      <c r="AM606" s="1352"/>
      <c r="AN606" s="1352"/>
      <c r="AO606" s="1352"/>
      <c r="AP606" s="1352"/>
      <c r="AQ606" s="1352"/>
      <c r="AR606" s="1352"/>
      <c r="AS606" s="1352"/>
    </row>
    <row r="607" spans="1:45" ht="15" hidden="1" customHeight="1" x14ac:dyDescent="0.2">
      <c r="A607" s="1507">
        <v>6</v>
      </c>
      <c r="B607" s="1524">
        <v>605.20000000000005</v>
      </c>
      <c r="C607" s="1511"/>
      <c r="D607" s="1511"/>
      <c r="E607" s="1511"/>
      <c r="F607" s="1511"/>
      <c r="G607" s="1509" t="str">
        <f t="shared" si="36"/>
        <v/>
      </c>
      <c r="H607" s="1510" t="s">
        <v>3197</v>
      </c>
      <c r="I607" s="130"/>
      <c r="J607" s="129"/>
      <c r="K607" s="97"/>
      <c r="L607" s="1609" t="s">
        <v>3988</v>
      </c>
      <c r="M607" s="1623"/>
      <c r="N607" s="1755"/>
      <c r="O607" s="1619"/>
      <c r="P607" s="991"/>
      <c r="Q607" s="991"/>
      <c r="R607" s="991"/>
      <c r="S607" s="991"/>
      <c r="T607" s="991"/>
      <c r="U607" s="991"/>
      <c r="V607" s="991"/>
      <c r="W607" s="96"/>
      <c r="X607" s="1601"/>
      <c r="Y607" s="1881"/>
      <c r="Z607" s="1891"/>
      <c r="AC607" s="248"/>
      <c r="AD607" s="248"/>
      <c r="AE607" s="248"/>
      <c r="AF607" s="248"/>
      <c r="AG607" s="248"/>
      <c r="AH607" s="248"/>
      <c r="AI607" s="248"/>
      <c r="AJ607" s="248"/>
      <c r="AK607" s="248"/>
      <c r="AL607" s="1352"/>
      <c r="AM607" s="1352"/>
      <c r="AN607" s="1352"/>
      <c r="AO607" s="1352"/>
      <c r="AP607" s="1352"/>
      <c r="AQ607" s="1352"/>
      <c r="AR607" s="1352"/>
      <c r="AS607" s="1352"/>
    </row>
    <row r="608" spans="1:45" ht="16" hidden="1" thickTop="1" x14ac:dyDescent="0.2">
      <c r="A608" s="1507">
        <v>6</v>
      </c>
      <c r="B608" s="1524">
        <v>605.20000000000005</v>
      </c>
      <c r="C608" s="1511"/>
      <c r="D608" s="1511"/>
      <c r="E608" s="1511"/>
      <c r="F608" s="1511"/>
      <c r="G608" s="1509" t="str">
        <f t="shared" si="36"/>
        <v/>
      </c>
      <c r="H608" s="1510" t="s">
        <v>3197</v>
      </c>
      <c r="I608" s="130"/>
      <c r="J608" s="129"/>
      <c r="K608" s="97"/>
      <c r="L608" s="1609"/>
      <c r="M608" s="1623"/>
      <c r="N608" s="1755"/>
      <c r="O608" s="1619"/>
      <c r="P608" s="991"/>
      <c r="Q608" s="991"/>
      <c r="R608" s="991"/>
      <c r="S608" s="991"/>
      <c r="T608" s="991"/>
      <c r="U608" s="991"/>
      <c r="V608" s="991"/>
      <c r="W608" s="96"/>
      <c r="X608" s="1601"/>
      <c r="Y608" s="1881"/>
      <c r="Z608" s="1891"/>
      <c r="AC608" s="248"/>
      <c r="AD608" s="248"/>
      <c r="AE608" s="248"/>
      <c r="AF608" s="248"/>
      <c r="AG608" s="248"/>
      <c r="AH608" s="248"/>
      <c r="AI608" s="248"/>
      <c r="AJ608" s="248"/>
      <c r="AK608" s="248"/>
      <c r="AL608" s="1352"/>
      <c r="AM608" s="1352"/>
      <c r="AN608" s="1352"/>
      <c r="AO608" s="1352"/>
      <c r="AP608" s="1352"/>
      <c r="AQ608" s="1352"/>
      <c r="AR608" s="1352"/>
      <c r="AS608" s="1352"/>
    </row>
    <row r="609" spans="1:45" ht="16" hidden="1" thickTop="1" x14ac:dyDescent="0.2">
      <c r="A609" s="1507">
        <v>6</v>
      </c>
      <c r="B609" s="1524">
        <v>605.20000000000005</v>
      </c>
      <c r="C609" s="1511"/>
      <c r="D609" s="1511"/>
      <c r="E609" s="1511"/>
      <c r="F609" s="1511"/>
      <c r="G609" s="1509" t="str">
        <f t="shared" si="36"/>
        <v/>
      </c>
      <c r="H609" s="1510" t="s">
        <v>3197</v>
      </c>
      <c r="I609" s="130"/>
      <c r="J609" s="129"/>
      <c r="K609" s="97"/>
      <c r="L609" s="1609"/>
      <c r="M609" s="1623"/>
      <c r="N609" s="1755"/>
      <c r="O609" s="1619"/>
      <c r="P609" s="991"/>
      <c r="Q609" s="991"/>
      <c r="R609" s="991"/>
      <c r="S609" s="991"/>
      <c r="T609" s="991"/>
      <c r="U609" s="991"/>
      <c r="V609" s="991"/>
      <c r="W609" s="96"/>
      <c r="X609" s="1601"/>
      <c r="Y609" s="1881"/>
      <c r="Z609" s="1891"/>
      <c r="AC609" s="248"/>
      <c r="AD609" s="248"/>
      <c r="AE609" s="248"/>
      <c r="AF609" s="248"/>
      <c r="AG609" s="248"/>
      <c r="AH609" s="248"/>
      <c r="AI609" s="248"/>
      <c r="AJ609" s="248"/>
      <c r="AK609" s="248"/>
      <c r="AL609" s="1352"/>
      <c r="AM609" s="1352"/>
      <c r="AN609" s="1352"/>
      <c r="AO609" s="1352"/>
      <c r="AP609" s="1352"/>
      <c r="AQ609" s="1352"/>
      <c r="AR609" s="1352"/>
      <c r="AS609" s="1352"/>
    </row>
    <row r="610" spans="1:45" ht="16" hidden="1" thickTop="1" x14ac:dyDescent="0.2">
      <c r="A610" s="1507">
        <v>6</v>
      </c>
      <c r="B610" s="1524">
        <v>605.20000000000005</v>
      </c>
      <c r="C610" s="1511"/>
      <c r="D610" s="1511"/>
      <c r="E610" s="1511"/>
      <c r="F610" s="1511"/>
      <c r="G610" s="1509" t="str">
        <f t="shared" si="36"/>
        <v/>
      </c>
      <c r="H610" s="1510" t="s">
        <v>3197</v>
      </c>
      <c r="I610" s="130"/>
      <c r="J610" s="129"/>
      <c r="K610" s="97"/>
      <c r="L610" s="1609"/>
      <c r="M610" s="1623"/>
      <c r="N610" s="1755"/>
      <c r="O610" s="1619"/>
      <c r="P610" s="991"/>
      <c r="Q610" s="991"/>
      <c r="R610" s="991"/>
      <c r="S610" s="991"/>
      <c r="T610" s="991"/>
      <c r="U610" s="991"/>
      <c r="V610" s="991"/>
      <c r="W610" s="96"/>
      <c r="X610" s="1601"/>
      <c r="Y610" s="1881"/>
      <c r="Z610" s="1891"/>
      <c r="AC610" s="248"/>
      <c r="AD610" s="248"/>
      <c r="AE610" s="248"/>
      <c r="AF610" s="248"/>
      <c r="AG610" s="248"/>
      <c r="AH610" s="248"/>
      <c r="AI610" s="248"/>
      <c r="AJ610" s="248"/>
      <c r="AK610" s="248"/>
      <c r="AL610" s="1352"/>
      <c r="AM610" s="1352"/>
      <c r="AN610" s="1352"/>
      <c r="AO610" s="1352"/>
      <c r="AP610" s="1352"/>
      <c r="AQ610" s="1352"/>
      <c r="AR610" s="1352"/>
      <c r="AS610" s="1352"/>
    </row>
    <row r="611" spans="1:45" ht="16" hidden="1" thickTop="1" x14ac:dyDescent="0.2">
      <c r="A611" s="1507">
        <v>6</v>
      </c>
      <c r="B611" s="1524">
        <v>605.20000000000005</v>
      </c>
      <c r="C611" s="1511"/>
      <c r="D611" s="1511"/>
      <c r="E611" s="1511"/>
      <c r="F611" s="1511"/>
      <c r="G611" s="1509" t="str">
        <f t="shared" si="36"/>
        <v/>
      </c>
      <c r="H611" s="1510" t="s">
        <v>3197</v>
      </c>
      <c r="I611" s="130"/>
      <c r="J611" s="129"/>
      <c r="K611" s="97"/>
      <c r="L611" s="956" t="s">
        <v>543</v>
      </c>
      <c r="M611" s="1623"/>
      <c r="N611" s="1755"/>
      <c r="O611" s="1619"/>
      <c r="P611" s="991"/>
      <c r="Q611" s="991"/>
      <c r="R611" s="991"/>
      <c r="S611" s="991"/>
      <c r="T611" s="991"/>
      <c r="U611" s="991"/>
      <c r="V611" s="991"/>
      <c r="W611" s="96"/>
      <c r="X611" s="1601"/>
      <c r="Y611" s="1881"/>
      <c r="Z611" s="1891"/>
      <c r="AC611" s="248"/>
      <c r="AD611" s="248"/>
      <c r="AE611" s="248"/>
      <c r="AF611" s="248"/>
      <c r="AG611" s="248"/>
      <c r="AH611" s="248"/>
      <c r="AI611" s="248"/>
      <c r="AJ611" s="248"/>
      <c r="AK611" s="248"/>
      <c r="AL611" s="1352"/>
      <c r="AM611" s="1352"/>
      <c r="AN611" s="1352"/>
      <c r="AO611" s="1352"/>
      <c r="AP611" s="1352"/>
      <c r="AQ611" s="1352"/>
      <c r="AR611" s="1352"/>
      <c r="AS611" s="1352"/>
    </row>
    <row r="612" spans="1:45" ht="15" hidden="1" customHeight="1" x14ac:dyDescent="0.2">
      <c r="A612" s="1507">
        <v>6</v>
      </c>
      <c r="B612" s="1524">
        <v>605.20000000000005</v>
      </c>
      <c r="C612" s="1511" t="s">
        <v>254</v>
      </c>
      <c r="D612" s="1511"/>
      <c r="E612" s="1511"/>
      <c r="F612" s="1514"/>
      <c r="G612" s="1509" t="str">
        <f t="shared" si="36"/>
        <v/>
      </c>
      <c r="H612" s="1510" t="s">
        <v>3197</v>
      </c>
      <c r="I612" s="130"/>
      <c r="J612" s="180" t="s">
        <v>254</v>
      </c>
      <c r="K612" s="97"/>
      <c r="L612" s="1609" t="s">
        <v>3989</v>
      </c>
      <c r="M612" s="1623"/>
      <c r="N612" s="1755"/>
      <c r="O612" s="1619"/>
      <c r="P612" s="991"/>
      <c r="Q612" s="991"/>
      <c r="R612" s="991"/>
      <c r="S612" s="991"/>
      <c r="T612" s="991"/>
      <c r="U612" s="991"/>
      <c r="V612" s="991"/>
      <c r="W612" s="96"/>
      <c r="X612" s="1601"/>
      <c r="Y612" s="1881"/>
      <c r="Z612" s="1891"/>
      <c r="AC612" s="248"/>
      <c r="AD612" s="248"/>
      <c r="AE612" s="248"/>
      <c r="AF612" s="248"/>
      <c r="AG612" s="248"/>
      <c r="AH612" s="248"/>
      <c r="AI612" s="248"/>
      <c r="AJ612" s="248"/>
      <c r="AK612" s="248"/>
      <c r="AL612" s="1352"/>
      <c r="AM612" s="1352"/>
      <c r="AN612" s="1352"/>
      <c r="AO612" s="1352"/>
      <c r="AP612" s="1352"/>
      <c r="AQ612" s="1352"/>
      <c r="AR612" s="1352"/>
      <c r="AS612" s="1352"/>
    </row>
    <row r="613" spans="1:45" ht="16" hidden="1" thickTop="1" x14ac:dyDescent="0.2">
      <c r="A613" s="1507">
        <v>6</v>
      </c>
      <c r="B613" s="1524">
        <v>605.20000000000005</v>
      </c>
      <c r="C613" s="1511" t="s">
        <v>254</v>
      </c>
      <c r="D613" s="1511"/>
      <c r="E613" s="1511"/>
      <c r="F613" s="1514"/>
      <c r="G613" s="1509" t="str">
        <f t="shared" si="36"/>
        <v/>
      </c>
      <c r="H613" s="1510" t="s">
        <v>3197</v>
      </c>
      <c r="I613" s="130"/>
      <c r="J613" s="129"/>
      <c r="K613" s="97"/>
      <c r="L613" s="1609"/>
      <c r="M613" s="1623"/>
      <c r="N613" s="1755"/>
      <c r="O613" s="1619"/>
      <c r="P613" s="991"/>
      <c r="Q613" s="991"/>
      <c r="R613" s="991"/>
      <c r="S613" s="991"/>
      <c r="T613" s="991"/>
      <c r="U613" s="991"/>
      <c r="V613" s="991"/>
      <c r="W613" s="96"/>
      <c r="X613" s="1601"/>
      <c r="Y613" s="1881"/>
      <c r="Z613" s="1891"/>
      <c r="AC613" s="248"/>
      <c r="AD613" s="248"/>
      <c r="AE613" s="248"/>
      <c r="AF613" s="248"/>
      <c r="AG613" s="248"/>
      <c r="AH613" s="248"/>
      <c r="AI613" s="248"/>
      <c r="AJ613" s="248"/>
      <c r="AK613" s="248"/>
      <c r="AL613" s="1352"/>
      <c r="AM613" s="1352"/>
      <c r="AN613" s="1352"/>
      <c r="AO613" s="1352"/>
      <c r="AP613" s="1352"/>
      <c r="AQ613" s="1352"/>
      <c r="AR613" s="1352"/>
      <c r="AS613" s="1352"/>
    </row>
    <row r="614" spans="1:45" ht="16" hidden="1" thickTop="1" x14ac:dyDescent="0.2">
      <c r="A614" s="1507">
        <v>6</v>
      </c>
      <c r="B614" s="1524">
        <v>605.20000000000005</v>
      </c>
      <c r="C614" s="1511" t="s">
        <v>255</v>
      </c>
      <c r="D614" s="1511"/>
      <c r="E614" s="1511"/>
      <c r="F614" s="1514"/>
      <c r="G614" s="1509" t="str">
        <f t="shared" si="36"/>
        <v/>
      </c>
      <c r="H614" s="1510" t="s">
        <v>3197</v>
      </c>
      <c r="I614" s="130"/>
      <c r="J614" s="180" t="s">
        <v>255</v>
      </c>
      <c r="K614" s="97"/>
      <c r="L614" s="1609" t="s">
        <v>544</v>
      </c>
      <c r="M614" s="1623"/>
      <c r="N614" s="1755"/>
      <c r="O614" s="1619"/>
      <c r="P614" s="991" t="b">
        <v>1</v>
      </c>
      <c r="Q614" s="991" t="b">
        <v>1</v>
      </c>
      <c r="R614" s="991" t="b">
        <v>0</v>
      </c>
      <c r="S614" s="991" t="b">
        <v>1</v>
      </c>
      <c r="T614" s="991" t="b">
        <v>0</v>
      </c>
      <c r="U614" s="991"/>
      <c r="V614" s="991"/>
      <c r="W614" s="27"/>
      <c r="X614" s="1601"/>
      <c r="Y614" s="1881"/>
      <c r="Z614" s="1891"/>
      <c r="AC614" s="248"/>
      <c r="AD614" s="248"/>
      <c r="AE614" s="248"/>
      <c r="AF614" s="248"/>
      <c r="AG614" s="248"/>
      <c r="AH614" s="248"/>
      <c r="AI614" s="248"/>
      <c r="AJ614" s="248"/>
      <c r="AK614" s="248"/>
      <c r="AL614" s="1352"/>
      <c r="AM614" s="1352"/>
      <c r="AN614" s="1352"/>
      <c r="AO614" s="1352"/>
      <c r="AP614" s="1352" t="str">
        <f>SUBSTITUTE(SUBSTITUTE(SUBSTITUTE("vch"&amp;$B614&amp;$C614&amp;$D614&amp;$E614&amp;$F614,".","_"),"(","_"),")","")</f>
        <v>vch605_2_2</v>
      </c>
      <c r="AQ614" s="1352" t="str">
        <f>IF(LEN(W614)=0,"",W614)</f>
        <v/>
      </c>
      <c r="AR614" s="1352"/>
      <c r="AS614" s="1352"/>
    </row>
    <row r="615" spans="1:45" ht="17" hidden="1" thickTop="1" thickBot="1" x14ac:dyDescent="0.25">
      <c r="A615" s="1507">
        <v>6</v>
      </c>
      <c r="B615" s="1524">
        <v>605.20000000000005</v>
      </c>
      <c r="C615" s="1511" t="s">
        <v>255</v>
      </c>
      <c r="D615" s="1511"/>
      <c r="E615" s="1511"/>
      <c r="F615" s="1514"/>
      <c r="G615" s="1509" t="str">
        <f t="shared" si="36"/>
        <v/>
      </c>
      <c r="H615" s="1510" t="s">
        <v>3197</v>
      </c>
      <c r="I615" s="130"/>
      <c r="J615" s="129"/>
      <c r="K615" s="97"/>
      <c r="L615" s="1609"/>
      <c r="M615" s="1623"/>
      <c r="N615" s="1645"/>
      <c r="O615" s="1619"/>
      <c r="P615" s="991"/>
      <c r="Q615" s="991"/>
      <c r="R615" s="991"/>
      <c r="S615" s="991"/>
      <c r="T615" s="991"/>
      <c r="U615" s="991"/>
      <c r="V615" s="991"/>
      <c r="W615" s="270"/>
      <c r="X615" s="1621"/>
      <c r="Y615" s="1882"/>
      <c r="Z615" s="1892"/>
      <c r="AC615" s="248"/>
      <c r="AD615" s="248"/>
      <c r="AE615" s="248"/>
      <c r="AF615" s="248"/>
      <c r="AG615" s="248"/>
      <c r="AH615" s="248"/>
      <c r="AI615" s="248"/>
      <c r="AJ615" s="248"/>
      <c r="AK615" s="248"/>
      <c r="AL615" s="1352"/>
      <c r="AM615" s="1352"/>
      <c r="AN615" s="1352"/>
      <c r="AO615" s="1352"/>
      <c r="AP615" s="1352"/>
      <c r="AQ615" s="1352"/>
      <c r="AR615" s="1352"/>
      <c r="AS615" s="1352"/>
    </row>
    <row r="616" spans="1:45" ht="16" hidden="1" thickTop="1" x14ac:dyDescent="0.2">
      <c r="A616" s="1507">
        <v>6</v>
      </c>
      <c r="B616" s="1524">
        <v>605.29999999999995</v>
      </c>
      <c r="C616" s="1511"/>
      <c r="D616" s="1511"/>
      <c r="E616" s="1511"/>
      <c r="F616" s="1514"/>
      <c r="G616" s="1509" t="str">
        <f>IF(N616&gt;0,"P","")</f>
        <v/>
      </c>
      <c r="H616" s="1510" t="s">
        <v>3197</v>
      </c>
      <c r="I616" s="177" t="s">
        <v>3572</v>
      </c>
      <c r="J616" s="178"/>
      <c r="K616" s="179"/>
      <c r="L616" s="1683" t="s">
        <v>3826</v>
      </c>
      <c r="M616" s="1685">
        <v>7</v>
      </c>
      <c r="N616" s="1770">
        <f>'11.600'!O318</f>
        <v>0</v>
      </c>
      <c r="O616" s="1682">
        <f>M616*S616*W616</f>
        <v>0</v>
      </c>
      <c r="P616" s="991" t="b">
        <v>1</v>
      </c>
      <c r="Q616" s="991" t="b">
        <v>1</v>
      </c>
      <c r="R616" s="106" t="b">
        <v>0</v>
      </c>
      <c r="S616" s="106" t="b">
        <v>1</v>
      </c>
      <c r="T616" s="106" t="b">
        <v>0</v>
      </c>
      <c r="U616" s="106"/>
      <c r="V616" s="106"/>
      <c r="W616" s="27"/>
      <c r="X616" s="1603"/>
      <c r="Y616" s="1877" t="str">
        <f>IF(LEN('11.600'!X318)=0,"None",'11.600'!X318)</f>
        <v>None</v>
      </c>
      <c r="Z616" s="1880"/>
      <c r="AC616" s="248"/>
      <c r="AD616" s="248"/>
      <c r="AE616" s="248"/>
      <c r="AF616" s="248"/>
      <c r="AG616" s="248"/>
      <c r="AH616" s="248"/>
      <c r="AI616" s="248"/>
      <c r="AJ616" s="248"/>
      <c r="AK616" s="248"/>
      <c r="AL616" s="1352" t="str">
        <f>SUBSTITUTE(SUBSTITUTE(SUBSTITUTE("vpa"&amp;$B616&amp;$C616&amp;$D616&amp;$E616&amp;$F616,".","_"),"(","_"),")","")</f>
        <v>vpa605_3</v>
      </c>
      <c r="AM616" s="1352">
        <f>M616</f>
        <v>7</v>
      </c>
      <c r="AN616" s="1352" t="str">
        <f>SUBSTITUTE(SUBSTITUTE(SUBSTITUTE("vpc"&amp;$B616&amp;$C616&amp;$D616&amp;$E616&amp;$F616,".","_"),"(","_"),")","")</f>
        <v>vpc605_3</v>
      </c>
      <c r="AO616" s="1352">
        <f>O616</f>
        <v>0</v>
      </c>
      <c r="AP616" s="1352" t="str">
        <f>SUBSTITUTE(SUBSTITUTE(SUBSTITUTE("vch"&amp;$B616&amp;$C616&amp;$D616&amp;$E616&amp;$F616,".","_"),"(","_"),")","")</f>
        <v>vch605_3</v>
      </c>
      <c r="AQ616" s="1352" t="str">
        <f>IF(LEN(W616)=0,"",W616)</f>
        <v/>
      </c>
      <c r="AR616" s="1352" t="str">
        <f>SUBSTITUTE(SUBSTITUTE(SUBSTITUTE("vnt"&amp;$B616&amp;$C616&amp;$D616&amp;$E616&amp;$F616,".","_"),"(","_"),")","")</f>
        <v>vnt605_3</v>
      </c>
      <c r="AS616" s="1352" t="str">
        <f>IF(LEN(X616)=0,"",X616)</f>
        <v/>
      </c>
    </row>
    <row r="617" spans="1:45" ht="16" hidden="1" thickTop="1" x14ac:dyDescent="0.2">
      <c r="A617" s="1507">
        <v>6</v>
      </c>
      <c r="B617" s="1524">
        <v>605.29999999999995</v>
      </c>
      <c r="C617" s="1511"/>
      <c r="D617" s="1511"/>
      <c r="E617" s="1511"/>
      <c r="F617" s="1514"/>
      <c r="G617" s="1509" t="str">
        <f t="shared" ref="G617:G624" si="37">G616</f>
        <v/>
      </c>
      <c r="H617" s="1510" t="s">
        <v>3197</v>
      </c>
      <c r="I617" s="130"/>
      <c r="J617" s="129"/>
      <c r="K617" s="97"/>
      <c r="L617" s="1629"/>
      <c r="M617" s="1623"/>
      <c r="N617" s="1755"/>
      <c r="O617" s="1619"/>
      <c r="P617" s="991"/>
      <c r="Q617" s="991"/>
      <c r="R617" s="991"/>
      <c r="S617" s="991"/>
      <c r="T617" s="991"/>
      <c r="U617" s="991"/>
      <c r="V617" s="991"/>
      <c r="W617" s="96"/>
      <c r="X617" s="1601"/>
      <c r="Y617" s="1881"/>
      <c r="Z617" s="1891"/>
      <c r="AC617" s="248"/>
      <c r="AD617" s="248"/>
      <c r="AE617" s="248"/>
      <c r="AF617" s="248"/>
      <c r="AG617" s="248"/>
      <c r="AH617" s="248"/>
      <c r="AI617" s="248"/>
      <c r="AJ617" s="248"/>
      <c r="AK617" s="248"/>
      <c r="AL617" s="1352"/>
      <c r="AM617" s="1352"/>
      <c r="AN617" s="1352"/>
      <c r="AO617" s="1352"/>
      <c r="AP617" s="1352"/>
      <c r="AQ617" s="1352"/>
      <c r="AR617" s="1352"/>
      <c r="AS617" s="1352"/>
    </row>
    <row r="618" spans="1:45" ht="16" hidden="1" thickTop="1" x14ac:dyDescent="0.2">
      <c r="A618" s="1507">
        <v>6</v>
      </c>
      <c r="B618" s="1524">
        <v>605.29999999999995</v>
      </c>
      <c r="C618" s="1511"/>
      <c r="D618" s="1511" t="s">
        <v>121</v>
      </c>
      <c r="E618" s="1511"/>
      <c r="F618" s="1514"/>
      <c r="G618" s="1509" t="str">
        <f t="shared" si="37"/>
        <v/>
      </c>
      <c r="H618" s="1512" t="s">
        <v>3197</v>
      </c>
      <c r="I618" s="130"/>
      <c r="J618" s="129"/>
      <c r="K618" s="93" t="s">
        <v>121</v>
      </c>
      <c r="L618" s="1609" t="s">
        <v>545</v>
      </c>
      <c r="M618" s="913"/>
      <c r="N618" s="251"/>
      <c r="O618" s="908"/>
      <c r="P618" s="991"/>
      <c r="Q618" s="991"/>
      <c r="R618" s="991"/>
      <c r="S618" s="991"/>
      <c r="T618" s="991"/>
      <c r="U618" s="991"/>
      <c r="V618" s="991"/>
      <c r="W618" s="96"/>
      <c r="X618" s="1601"/>
      <c r="Y618" s="1881"/>
      <c r="Z618" s="1891"/>
      <c r="AC618" s="248"/>
      <c r="AD618" s="248"/>
      <c r="AE618" s="248"/>
      <c r="AF618" s="248"/>
      <c r="AG618" s="248"/>
      <c r="AH618" s="248"/>
      <c r="AI618" s="248"/>
      <c r="AJ618" s="248"/>
      <c r="AK618" s="248"/>
      <c r="AL618" s="1352"/>
      <c r="AM618" s="1352"/>
      <c r="AN618" s="1352"/>
      <c r="AO618" s="1352"/>
      <c r="AP618" s="1352"/>
      <c r="AQ618" s="1352"/>
      <c r="AR618" s="1352"/>
      <c r="AS618" s="1352"/>
    </row>
    <row r="619" spans="1:45" ht="16" hidden="1" thickTop="1" x14ac:dyDescent="0.2">
      <c r="A619" s="1507">
        <v>6</v>
      </c>
      <c r="B619" s="1524">
        <v>605.29999999999995</v>
      </c>
      <c r="C619" s="1511"/>
      <c r="D619" s="1511" t="s">
        <v>121</v>
      </c>
      <c r="E619" s="1511"/>
      <c r="F619" s="1514"/>
      <c r="G619" s="1509" t="str">
        <f t="shared" si="37"/>
        <v/>
      </c>
      <c r="H619" s="1512" t="s">
        <v>3197</v>
      </c>
      <c r="I619" s="130"/>
      <c r="J619" s="129"/>
      <c r="K619" s="97"/>
      <c r="L619" s="1609"/>
      <c r="M619" s="913"/>
      <c r="N619" s="251"/>
      <c r="O619" s="908"/>
      <c r="P619" s="991"/>
      <c r="Q619" s="991"/>
      <c r="R619" s="991"/>
      <c r="S619" s="991"/>
      <c r="T619" s="991"/>
      <c r="U619" s="991"/>
      <c r="V619" s="991"/>
      <c r="W619" s="96"/>
      <c r="X619" s="1601"/>
      <c r="Y619" s="1881"/>
      <c r="Z619" s="1891"/>
      <c r="AC619" s="248"/>
      <c r="AD619" s="248"/>
      <c r="AE619" s="248"/>
      <c r="AF619" s="248"/>
      <c r="AG619" s="248"/>
      <c r="AH619" s="248"/>
      <c r="AI619" s="248"/>
      <c r="AJ619" s="248"/>
      <c r="AK619" s="248"/>
      <c r="AL619" s="1352"/>
      <c r="AM619" s="1352"/>
      <c r="AN619" s="1352"/>
      <c r="AO619" s="1352"/>
      <c r="AP619" s="1352"/>
      <c r="AQ619" s="1352"/>
      <c r="AR619" s="1352"/>
      <c r="AS619" s="1352"/>
    </row>
    <row r="620" spans="1:45" ht="16" hidden="1" thickTop="1" x14ac:dyDescent="0.2">
      <c r="A620" s="1507">
        <v>6</v>
      </c>
      <c r="B620" s="1524">
        <v>605.29999999999995</v>
      </c>
      <c r="C620" s="1511"/>
      <c r="D620" s="1511" t="s">
        <v>121</v>
      </c>
      <c r="E620" s="1511"/>
      <c r="F620" s="1514"/>
      <c r="G620" s="1509" t="str">
        <f t="shared" si="37"/>
        <v/>
      </c>
      <c r="H620" s="1512" t="s">
        <v>3197</v>
      </c>
      <c r="I620" s="130"/>
      <c r="J620" s="129"/>
      <c r="K620" s="170"/>
      <c r="L620" s="1612"/>
      <c r="M620" s="913"/>
      <c r="N620" s="251"/>
      <c r="O620" s="908"/>
      <c r="P620" s="991"/>
      <c r="Q620" s="991"/>
      <c r="R620" s="991"/>
      <c r="S620" s="991"/>
      <c r="T620" s="991"/>
      <c r="U620" s="991"/>
      <c r="V620" s="991"/>
      <c r="W620" s="96"/>
      <c r="X620" s="1601"/>
      <c r="Y620" s="1881"/>
      <c r="Z620" s="1891"/>
      <c r="AC620" s="248"/>
      <c r="AD620" s="248"/>
      <c r="AE620" s="248"/>
      <c r="AF620" s="248"/>
      <c r="AG620" s="248"/>
      <c r="AH620" s="248"/>
      <c r="AI620" s="248"/>
      <c r="AJ620" s="248"/>
      <c r="AK620" s="248"/>
      <c r="AL620" s="1352"/>
      <c r="AM620" s="1352"/>
      <c r="AN620" s="1352"/>
      <c r="AO620" s="1352"/>
      <c r="AP620" s="1352"/>
      <c r="AQ620" s="1352"/>
      <c r="AR620" s="1352"/>
      <c r="AS620" s="1352"/>
    </row>
    <row r="621" spans="1:45" ht="16" hidden="1" thickTop="1" x14ac:dyDescent="0.2">
      <c r="A621" s="1507">
        <v>6</v>
      </c>
      <c r="B621" s="1524">
        <v>605.29999999999995</v>
      </c>
      <c r="C621" s="1511"/>
      <c r="D621" s="1511" t="s">
        <v>122</v>
      </c>
      <c r="E621" s="1511"/>
      <c r="F621" s="1514"/>
      <c r="G621" s="1509" t="str">
        <f t="shared" si="37"/>
        <v/>
      </c>
      <c r="H621" s="1512" t="s">
        <v>3197</v>
      </c>
      <c r="I621" s="130"/>
      <c r="J621" s="129"/>
      <c r="K621" s="216" t="s">
        <v>122</v>
      </c>
      <c r="L621" s="210" t="s">
        <v>546</v>
      </c>
      <c r="M621" s="913"/>
      <c r="N621" s="251"/>
      <c r="O621" s="908"/>
      <c r="P621" s="991"/>
      <c r="Q621" s="991"/>
      <c r="R621" s="991"/>
      <c r="S621" s="991"/>
      <c r="T621" s="991"/>
      <c r="U621" s="991"/>
      <c r="V621" s="991"/>
      <c r="W621" s="96"/>
      <c r="X621" s="1601"/>
      <c r="Y621" s="1881"/>
      <c r="Z621" s="1891"/>
      <c r="AC621" s="248"/>
      <c r="AD621" s="248"/>
      <c r="AE621" s="248"/>
      <c r="AF621" s="248"/>
      <c r="AG621" s="248"/>
      <c r="AH621" s="248"/>
      <c r="AI621" s="248"/>
      <c r="AJ621" s="248"/>
      <c r="AK621" s="248"/>
      <c r="AL621" s="1352"/>
      <c r="AM621" s="1352"/>
      <c r="AN621" s="1352"/>
      <c r="AO621" s="1352"/>
      <c r="AP621" s="1352"/>
      <c r="AQ621" s="1352"/>
      <c r="AR621" s="1352"/>
      <c r="AS621" s="1352"/>
    </row>
    <row r="622" spans="1:45" ht="16" hidden="1" thickTop="1" x14ac:dyDescent="0.2">
      <c r="A622" s="1507">
        <v>6</v>
      </c>
      <c r="B622" s="1524">
        <v>605.29999999999995</v>
      </c>
      <c r="C622" s="1511"/>
      <c r="D622" s="1511" t="s">
        <v>123</v>
      </c>
      <c r="E622" s="1511"/>
      <c r="F622" s="1514"/>
      <c r="G622" s="1509" t="str">
        <f t="shared" si="37"/>
        <v/>
      </c>
      <c r="H622" s="1512" t="s">
        <v>3197</v>
      </c>
      <c r="I622" s="130"/>
      <c r="J622" s="129"/>
      <c r="K622" s="111" t="s">
        <v>123</v>
      </c>
      <c r="L622" s="1609" t="s">
        <v>3829</v>
      </c>
      <c r="M622" s="913"/>
      <c r="N622" s="251"/>
      <c r="O622" s="908"/>
      <c r="P622" s="991"/>
      <c r="Q622" s="991"/>
      <c r="R622" s="991"/>
      <c r="S622" s="991"/>
      <c r="T622" s="991"/>
      <c r="U622" s="991"/>
      <c r="V622" s="991"/>
      <c r="W622" s="96"/>
      <c r="X622" s="1601"/>
      <c r="Y622" s="1881"/>
      <c r="Z622" s="1891"/>
      <c r="AC622" s="248"/>
      <c r="AD622" s="248"/>
      <c r="AE622" s="248"/>
      <c r="AF622" s="248"/>
      <c r="AG622" s="248"/>
      <c r="AH622" s="248"/>
      <c r="AI622" s="248"/>
      <c r="AJ622" s="248"/>
      <c r="AK622" s="248"/>
      <c r="AL622" s="1352"/>
      <c r="AM622" s="1352"/>
      <c r="AN622" s="1352"/>
      <c r="AO622" s="1352"/>
      <c r="AP622" s="1352"/>
      <c r="AQ622" s="1352"/>
      <c r="AR622" s="1352"/>
      <c r="AS622" s="1352"/>
    </row>
    <row r="623" spans="1:45" ht="16" hidden="1" thickTop="1" x14ac:dyDescent="0.2">
      <c r="A623" s="1507">
        <v>6</v>
      </c>
      <c r="B623" s="1524">
        <v>605.29999999999995</v>
      </c>
      <c r="C623" s="1511"/>
      <c r="D623" s="1511" t="s">
        <v>123</v>
      </c>
      <c r="E623" s="1511"/>
      <c r="F623" s="1514"/>
      <c r="G623" s="1509" t="str">
        <f t="shared" si="37"/>
        <v/>
      </c>
      <c r="H623" s="1512" t="s">
        <v>3197</v>
      </c>
      <c r="I623" s="130"/>
      <c r="J623" s="129"/>
      <c r="K623" s="187"/>
      <c r="L623" s="1609"/>
      <c r="M623" s="913"/>
      <c r="N623" s="251"/>
      <c r="O623" s="908"/>
      <c r="P623" s="991"/>
      <c r="Q623" s="991"/>
      <c r="R623" s="991"/>
      <c r="S623" s="991"/>
      <c r="T623" s="991"/>
      <c r="U623" s="991"/>
      <c r="V623" s="991"/>
      <c r="W623" s="96"/>
      <c r="X623" s="1601"/>
      <c r="Y623" s="1881"/>
      <c r="Z623" s="1891"/>
      <c r="AC623" s="248"/>
      <c r="AD623" s="248"/>
      <c r="AE623" s="248"/>
      <c r="AF623" s="248"/>
      <c r="AG623" s="248"/>
      <c r="AH623" s="248"/>
      <c r="AI623" s="248"/>
      <c r="AJ623" s="248"/>
      <c r="AK623" s="248"/>
      <c r="AL623" s="1352"/>
      <c r="AM623" s="1352"/>
      <c r="AN623" s="1352"/>
      <c r="AO623" s="1352"/>
      <c r="AP623" s="1352"/>
      <c r="AQ623" s="1352"/>
      <c r="AR623" s="1352"/>
      <c r="AS623" s="1352"/>
    </row>
    <row r="624" spans="1:45" ht="17" hidden="1" thickTop="1" thickBot="1" x14ac:dyDescent="0.25">
      <c r="A624" s="1507">
        <v>6</v>
      </c>
      <c r="B624" s="1524">
        <v>605.29999999999995</v>
      </c>
      <c r="C624" s="1511"/>
      <c r="D624" s="1511" t="s">
        <v>123</v>
      </c>
      <c r="E624" s="1511"/>
      <c r="F624" s="1514"/>
      <c r="G624" s="1509" t="str">
        <f t="shared" si="37"/>
        <v/>
      </c>
      <c r="H624" s="1512" t="s">
        <v>3197</v>
      </c>
      <c r="I624" s="130"/>
      <c r="J624" s="129"/>
      <c r="K624" s="97"/>
      <c r="L624" s="1609"/>
      <c r="M624" s="913"/>
      <c r="N624" s="251"/>
      <c r="O624" s="908"/>
      <c r="P624" s="991"/>
      <c r="Q624" s="991"/>
      <c r="R624" s="991"/>
      <c r="S624" s="991"/>
      <c r="T624" s="991"/>
      <c r="U624" s="991"/>
      <c r="V624" s="991"/>
      <c r="W624" s="96"/>
      <c r="X624" s="1621"/>
      <c r="Y624" s="1882"/>
      <c r="Z624" s="1892"/>
      <c r="AC624" s="248"/>
      <c r="AD624" s="248"/>
      <c r="AE624" s="248"/>
      <c r="AF624" s="248"/>
      <c r="AG624" s="248"/>
      <c r="AH624" s="248"/>
      <c r="AI624" s="248"/>
      <c r="AJ624" s="248"/>
      <c r="AK624" s="248"/>
      <c r="AL624" s="1352"/>
      <c r="AM624" s="1352"/>
      <c r="AN624" s="1352"/>
      <c r="AO624" s="1352"/>
      <c r="AP624" s="1352"/>
      <c r="AQ624" s="1352"/>
      <c r="AR624" s="1352"/>
      <c r="AS624" s="1352"/>
    </row>
    <row r="625" spans="1:45" ht="16" hidden="1" thickTop="1" x14ac:dyDescent="0.2">
      <c r="A625" s="1507">
        <v>6</v>
      </c>
      <c r="B625" s="1524" t="s">
        <v>3828</v>
      </c>
      <c r="C625" s="1511"/>
      <c r="D625" s="1511"/>
      <c r="E625" s="1511"/>
      <c r="F625" s="1514"/>
      <c r="G625" s="1509" t="str">
        <f>IF(N625&gt;0,"P","")</f>
        <v/>
      </c>
      <c r="H625" s="1510" t="s">
        <v>3197</v>
      </c>
      <c r="I625" s="177" t="s">
        <v>3824</v>
      </c>
      <c r="J625" s="178"/>
      <c r="K625" s="179"/>
      <c r="L625" s="1683" t="s">
        <v>3825</v>
      </c>
      <c r="M625" s="1685" t="s">
        <v>547</v>
      </c>
      <c r="N625" s="1770">
        <f>'11.600'!O327</f>
        <v>0</v>
      </c>
      <c r="O625" s="1682">
        <f>IF(COUNTIF(W629:W637,TRUE)&lt;2,0,MIN(6,(COUNTIF(W629:W637,TRUE)+1)))</f>
        <v>0</v>
      </c>
      <c r="P625" s="991" t="b">
        <v>1</v>
      </c>
      <c r="Q625" s="991" t="b">
        <v>1</v>
      </c>
      <c r="R625" s="106" t="b">
        <v>0</v>
      </c>
      <c r="S625" s="106" t="b">
        <v>1</v>
      </c>
      <c r="T625" s="106" t="b">
        <v>0</v>
      </c>
      <c r="U625" s="106"/>
      <c r="V625" s="106"/>
      <c r="W625" s="106"/>
      <c r="X625" s="106"/>
      <c r="Y625"/>
      <c r="Z625" s="670"/>
      <c r="AC625" s="248"/>
      <c r="AD625" s="248"/>
      <c r="AE625" s="248"/>
      <c r="AF625" s="248"/>
      <c r="AG625" s="248"/>
      <c r="AH625" s="248"/>
      <c r="AI625" s="248"/>
      <c r="AJ625" s="248"/>
      <c r="AK625" s="248"/>
      <c r="AL625" s="1352" t="str">
        <f>SUBSTITUTE(SUBSTITUTE(SUBSTITUTE("vpa"&amp;$B625&amp;$C625&amp;$D625&amp;$E625&amp;$F625,".","_"),"(","_"),")","")</f>
        <v>vpa605_4</v>
      </c>
      <c r="AM625" s="1352" t="str">
        <f>M625</f>
        <v>6 Max</v>
      </c>
      <c r="AN625" s="1352" t="str">
        <f>SUBSTITUTE(SUBSTITUTE(SUBSTITUTE("vpc"&amp;$B625&amp;$C625&amp;$D625&amp;$E625&amp;$F625,".","_"),"(","_"),")","")</f>
        <v>vpc605_4</v>
      </c>
      <c r="AO625" s="1352">
        <f>O625</f>
        <v>0</v>
      </c>
      <c r="AP625" s="1352"/>
      <c r="AQ625" s="1352"/>
      <c r="AR625" s="1352"/>
      <c r="AS625" s="1352"/>
    </row>
    <row r="626" spans="1:45" ht="16" hidden="1" thickTop="1" x14ac:dyDescent="0.2">
      <c r="A626" s="1507">
        <v>6</v>
      </c>
      <c r="B626" s="1524" t="s">
        <v>3828</v>
      </c>
      <c r="C626" s="1511"/>
      <c r="D626" s="1511"/>
      <c r="E626" s="1511"/>
      <c r="F626" s="1514"/>
      <c r="G626" s="1509" t="str">
        <f t="shared" ref="G626:G638" si="38">G625</f>
        <v/>
      </c>
      <c r="H626" s="1510" t="s">
        <v>3197</v>
      </c>
      <c r="I626" s="130"/>
      <c r="J626" s="129"/>
      <c r="K626" s="97"/>
      <c r="L626" s="1629"/>
      <c r="M626" s="1623"/>
      <c r="N626" s="1755"/>
      <c r="O626" s="1619"/>
      <c r="P626" s="991"/>
      <c r="Q626" s="991"/>
      <c r="R626" s="991"/>
      <c r="S626" s="991"/>
      <c r="T626" s="991"/>
      <c r="U626" s="991"/>
      <c r="V626" s="991"/>
      <c r="W626" s="96"/>
      <c r="X626" s="96"/>
      <c r="Y626"/>
      <c r="Z626" s="670"/>
      <c r="AC626" s="248"/>
      <c r="AD626" s="248"/>
      <c r="AE626" s="248"/>
      <c r="AF626" s="248"/>
      <c r="AG626" s="248"/>
      <c r="AH626" s="248"/>
      <c r="AI626" s="248"/>
      <c r="AJ626" s="248"/>
      <c r="AK626" s="248"/>
      <c r="AL626" s="1352"/>
      <c r="AM626" s="1352"/>
      <c r="AN626" s="1352"/>
      <c r="AO626" s="1352"/>
      <c r="AP626" s="1352"/>
      <c r="AQ626" s="1352"/>
      <c r="AR626" s="1352"/>
      <c r="AS626" s="1352"/>
    </row>
    <row r="627" spans="1:45" ht="16" hidden="1" thickTop="1" x14ac:dyDescent="0.2">
      <c r="A627" s="1507">
        <v>6</v>
      </c>
      <c r="B627" s="1524" t="s">
        <v>3828</v>
      </c>
      <c r="C627" s="1511" t="s">
        <v>254</v>
      </c>
      <c r="D627" s="1511"/>
      <c r="E627" s="1511"/>
      <c r="F627" s="1514"/>
      <c r="G627" s="1509" t="str">
        <f t="shared" si="38"/>
        <v/>
      </c>
      <c r="H627" s="1510" t="s">
        <v>3197</v>
      </c>
      <c r="I627" s="67"/>
      <c r="J627" s="207" t="s">
        <v>254</v>
      </c>
      <c r="K627" s="170"/>
      <c r="L627" s="170" t="s">
        <v>548</v>
      </c>
      <c r="M627" s="937">
        <v>3</v>
      </c>
      <c r="N627" s="250"/>
      <c r="O627" s="935"/>
      <c r="P627" s="905"/>
      <c r="Q627" s="905"/>
      <c r="R627" s="905"/>
      <c r="S627" s="905"/>
      <c r="T627" s="905"/>
      <c r="U627" s="905"/>
      <c r="V627" s="905"/>
      <c r="W627" s="248"/>
      <c r="X627" s="248"/>
      <c r="Y627"/>
      <c r="Z627" s="670"/>
      <c r="AC627" s="248"/>
      <c r="AD627" s="248"/>
      <c r="AE627" s="248"/>
      <c r="AF627" s="248"/>
      <c r="AG627" s="248"/>
      <c r="AH627" s="248"/>
      <c r="AI627" s="248"/>
      <c r="AJ627" s="248"/>
      <c r="AK627" s="248"/>
      <c r="AL627" s="1352" t="str">
        <f>SUBSTITUTE(SUBSTITUTE(SUBSTITUTE("vpa"&amp;$B627&amp;$C627&amp;$D627&amp;$E627&amp;$F627,".","_"),"(","_"),")","")</f>
        <v>vpa605_4_1</v>
      </c>
      <c r="AM627" s="1352">
        <f>M627</f>
        <v>3</v>
      </c>
      <c r="AN627" s="1352"/>
      <c r="AO627" s="1352"/>
      <c r="AP627" s="1352"/>
      <c r="AQ627" s="1352"/>
      <c r="AR627" s="1352"/>
      <c r="AS627" s="1352"/>
    </row>
    <row r="628" spans="1:45" ht="16" hidden="1" thickTop="1" x14ac:dyDescent="0.2">
      <c r="A628" s="1507">
        <v>6</v>
      </c>
      <c r="B628" s="1524" t="s">
        <v>3828</v>
      </c>
      <c r="C628" s="1511" t="s">
        <v>255</v>
      </c>
      <c r="D628" s="1511"/>
      <c r="E628" s="1511"/>
      <c r="F628" s="1514"/>
      <c r="G628" s="1509" t="str">
        <f t="shared" si="38"/>
        <v/>
      </c>
      <c r="H628" s="1510" t="s">
        <v>3197</v>
      </c>
      <c r="I628" s="67"/>
      <c r="J628" s="29" t="s">
        <v>255</v>
      </c>
      <c r="K628" s="85"/>
      <c r="L628" s="85" t="s">
        <v>549</v>
      </c>
      <c r="M628" s="911">
        <v>1</v>
      </c>
      <c r="N628" s="250"/>
      <c r="O628" s="935"/>
      <c r="P628" s="905"/>
      <c r="Q628" s="905"/>
      <c r="R628" s="905"/>
      <c r="S628" s="905"/>
      <c r="T628" s="905"/>
      <c r="U628" s="905"/>
      <c r="V628" s="905"/>
      <c r="W628" s="248"/>
      <c r="X628" s="248"/>
      <c r="Y628"/>
      <c r="Z628" s="670"/>
      <c r="AC628" s="248"/>
      <c r="AD628" s="248"/>
      <c r="AE628" s="248"/>
      <c r="AF628" s="248"/>
      <c r="AG628" s="248"/>
      <c r="AH628" s="248"/>
      <c r="AI628" s="248"/>
      <c r="AJ628" s="248"/>
      <c r="AK628" s="248"/>
      <c r="AL628" s="1352" t="str">
        <f>SUBSTITUTE(SUBSTITUTE(SUBSTITUTE("vpa"&amp;$B628&amp;$C628&amp;$D628&amp;$E628&amp;$F628,".","_"),"(","_"),")","")</f>
        <v>vpa605_4_2</v>
      </c>
      <c r="AM628" s="1352">
        <f>M628</f>
        <v>1</v>
      </c>
      <c r="AN628" s="1352"/>
      <c r="AO628" s="1352"/>
      <c r="AP628" s="1352"/>
      <c r="AQ628" s="1352"/>
      <c r="AR628" s="1352"/>
      <c r="AS628" s="1352"/>
    </row>
    <row r="629" spans="1:45" ht="16" hidden="1" thickTop="1" x14ac:dyDescent="0.2">
      <c r="A629" s="1507">
        <v>6</v>
      </c>
      <c r="B629" s="1524" t="s">
        <v>3828</v>
      </c>
      <c r="C629" s="1511" t="s">
        <v>255</v>
      </c>
      <c r="D629" s="1511" t="s">
        <v>121</v>
      </c>
      <c r="E629" s="1511"/>
      <c r="F629" s="1514"/>
      <c r="G629" s="1509" t="str">
        <f t="shared" si="38"/>
        <v/>
      </c>
      <c r="H629" s="1510" t="s">
        <v>3197</v>
      </c>
      <c r="I629" s="67"/>
      <c r="J629" s="4"/>
      <c r="K629" s="169" t="s">
        <v>121</v>
      </c>
      <c r="L629" s="170" t="s">
        <v>2615</v>
      </c>
      <c r="M629" s="911"/>
      <c r="N629" s="250"/>
      <c r="O629" s="935"/>
      <c r="P629" s="991" t="b">
        <v>1</v>
      </c>
      <c r="Q629" s="991" t="b">
        <v>1</v>
      </c>
      <c r="R629" s="905" t="b">
        <v>0</v>
      </c>
      <c r="S629" s="905" t="b">
        <v>1</v>
      </c>
      <c r="T629" s="905" t="b">
        <v>0</v>
      </c>
      <c r="U629" s="905"/>
      <c r="V629" s="905"/>
      <c r="W629" s="27"/>
      <c r="X629" s="1600"/>
      <c r="Y629" s="1874" t="str">
        <f>IF(LEN('11.600'!X331)=0,"None",'11.600'!X331)</f>
        <v>None</v>
      </c>
      <c r="Z629" s="1889"/>
      <c r="AC629" s="248"/>
      <c r="AD629" s="248"/>
      <c r="AE629" s="248"/>
      <c r="AF629" s="248"/>
      <c r="AG629" s="248"/>
      <c r="AH629" s="248"/>
      <c r="AI629" s="248"/>
      <c r="AJ629" s="248"/>
      <c r="AK629" s="248"/>
      <c r="AL629" s="1352"/>
      <c r="AM629" s="1352"/>
      <c r="AN629" s="1352"/>
      <c r="AO629" s="1352"/>
      <c r="AP629" s="1352" t="str">
        <f t="shared" ref="AP629:AP637" si="39">SUBSTITUTE(SUBSTITUTE(SUBSTITUTE("vch"&amp;$B629&amp;$C629&amp;$D629&amp;$E629&amp;$F629,".","_"),"(","_"),")","")</f>
        <v>vch605_4_2_a</v>
      </c>
      <c r="AQ629" s="1352" t="str">
        <f t="shared" ref="AQ629:AQ637" si="40">IF(LEN(W629)=0,"",W629)</f>
        <v/>
      </c>
      <c r="AR629" s="1352" t="str">
        <f>SUBSTITUTE(SUBSTITUTE(SUBSTITUTE("vnt"&amp;$B629&amp;$C629&amp;$D629&amp;$E629&amp;$F629,".","_"),"(","_"),")","")</f>
        <v>vnt605_4_2_a</v>
      </c>
      <c r="AS629" s="1352" t="str">
        <f>IF(LEN(X629)=0,"",X629)</f>
        <v/>
      </c>
    </row>
    <row r="630" spans="1:45" ht="16" hidden="1" thickTop="1" x14ac:dyDescent="0.2">
      <c r="A630" s="1507">
        <v>6</v>
      </c>
      <c r="B630" s="1524" t="s">
        <v>3828</v>
      </c>
      <c r="C630" s="1511" t="s">
        <v>255</v>
      </c>
      <c r="D630" s="1511" t="s">
        <v>122</v>
      </c>
      <c r="E630" s="1511"/>
      <c r="F630" s="1514"/>
      <c r="G630" s="1509" t="str">
        <f t="shared" si="38"/>
        <v/>
      </c>
      <c r="H630" s="1510" t="s">
        <v>3197</v>
      </c>
      <c r="I630" s="67"/>
      <c r="J630" s="4"/>
      <c r="K630" s="216" t="s">
        <v>122</v>
      </c>
      <c r="L630" s="210" t="s">
        <v>2616</v>
      </c>
      <c r="M630" s="911"/>
      <c r="N630" s="250"/>
      <c r="O630" s="935"/>
      <c r="P630" s="991" t="b">
        <v>1</v>
      </c>
      <c r="Q630" s="991" t="b">
        <v>1</v>
      </c>
      <c r="R630" s="905" t="b">
        <v>0</v>
      </c>
      <c r="S630" s="905" t="b">
        <v>1</v>
      </c>
      <c r="T630" s="905" t="b">
        <v>0</v>
      </c>
      <c r="U630" s="905"/>
      <c r="V630" s="905"/>
      <c r="W630" s="27"/>
      <c r="X630" s="1600"/>
      <c r="Y630" s="1874"/>
      <c r="Z630" s="1889"/>
      <c r="AC630" s="248"/>
      <c r="AD630" s="248"/>
      <c r="AE630" s="248"/>
      <c r="AF630" s="248"/>
      <c r="AG630" s="248"/>
      <c r="AH630" s="248"/>
      <c r="AI630" s="248"/>
      <c r="AJ630" s="248"/>
      <c r="AK630" s="248"/>
      <c r="AL630" s="1352"/>
      <c r="AM630" s="1352"/>
      <c r="AN630" s="1352"/>
      <c r="AO630" s="1352"/>
      <c r="AP630" s="1352" t="str">
        <f t="shared" si="39"/>
        <v>vch605_4_2_b</v>
      </c>
      <c r="AQ630" s="1352" t="str">
        <f t="shared" si="40"/>
        <v/>
      </c>
      <c r="AR630" s="1352"/>
      <c r="AS630" s="1352"/>
    </row>
    <row r="631" spans="1:45" ht="16" hidden="1" thickTop="1" x14ac:dyDescent="0.2">
      <c r="A631" s="1507">
        <v>6</v>
      </c>
      <c r="B631" s="1524" t="s">
        <v>3828</v>
      </c>
      <c r="C631" s="1511" t="s">
        <v>255</v>
      </c>
      <c r="D631" s="1511" t="s">
        <v>123</v>
      </c>
      <c r="E631" s="1511"/>
      <c r="F631" s="1514"/>
      <c r="G631" s="1509" t="str">
        <f t="shared" si="38"/>
        <v/>
      </c>
      <c r="H631" s="1510" t="s">
        <v>3197</v>
      </c>
      <c r="I631" s="67"/>
      <c r="J631" s="4"/>
      <c r="K631" s="222" t="s">
        <v>123</v>
      </c>
      <c r="L631" s="210" t="s">
        <v>2617</v>
      </c>
      <c r="M631" s="911"/>
      <c r="N631" s="250"/>
      <c r="O631" s="935"/>
      <c r="P631" s="991" t="b">
        <v>1</v>
      </c>
      <c r="Q631" s="991" t="b">
        <v>1</v>
      </c>
      <c r="R631" s="905" t="b">
        <v>0</v>
      </c>
      <c r="S631" s="905" t="b">
        <v>1</v>
      </c>
      <c r="T631" s="905" t="b">
        <v>0</v>
      </c>
      <c r="U631" s="905"/>
      <c r="V631" s="905"/>
      <c r="W631" s="27"/>
      <c r="X631" s="1600"/>
      <c r="Y631" s="1874"/>
      <c r="Z631" s="1889"/>
      <c r="AC631" s="248"/>
      <c r="AD631" s="248"/>
      <c r="AE631" s="248"/>
      <c r="AF631" s="248"/>
      <c r="AG631" s="248"/>
      <c r="AH631" s="248"/>
      <c r="AI631" s="248"/>
      <c r="AJ631" s="248"/>
      <c r="AK631" s="248"/>
      <c r="AL631" s="1352"/>
      <c r="AM631" s="1352"/>
      <c r="AN631" s="1352"/>
      <c r="AO631" s="1352"/>
      <c r="AP631" s="1352" t="str">
        <f t="shared" si="39"/>
        <v>vch605_4_2_c</v>
      </c>
      <c r="AQ631" s="1352" t="str">
        <f t="shared" si="40"/>
        <v/>
      </c>
      <c r="AR631" s="1352"/>
      <c r="AS631" s="1352"/>
    </row>
    <row r="632" spans="1:45" ht="16" hidden="1" thickTop="1" x14ac:dyDescent="0.2">
      <c r="A632" s="1507">
        <v>6</v>
      </c>
      <c r="B632" s="1524" t="s">
        <v>3828</v>
      </c>
      <c r="C632" s="1511" t="s">
        <v>255</v>
      </c>
      <c r="D632" s="1511" t="s">
        <v>366</v>
      </c>
      <c r="E632" s="1511"/>
      <c r="F632" s="1514"/>
      <c r="G632" s="1509" t="str">
        <f t="shared" si="38"/>
        <v/>
      </c>
      <c r="H632" s="1510" t="s">
        <v>3197</v>
      </c>
      <c r="I632" s="67"/>
      <c r="J632" s="4"/>
      <c r="K632" s="223" t="s">
        <v>366</v>
      </c>
      <c r="L632" s="210" t="s">
        <v>2618</v>
      </c>
      <c r="M632" s="911"/>
      <c r="N632" s="250"/>
      <c r="O632" s="935"/>
      <c r="P632" s="991" t="b">
        <v>1</v>
      </c>
      <c r="Q632" s="991" t="b">
        <v>1</v>
      </c>
      <c r="R632" s="905" t="b">
        <v>0</v>
      </c>
      <c r="S632" s="905" t="b">
        <v>1</v>
      </c>
      <c r="T632" s="905" t="b">
        <v>0</v>
      </c>
      <c r="U632" s="905"/>
      <c r="V632" s="905"/>
      <c r="W632" s="27"/>
      <c r="X632" s="1600"/>
      <c r="Y632" s="1874"/>
      <c r="Z632" s="1889"/>
      <c r="AC632" s="248"/>
      <c r="AD632" s="248"/>
      <c r="AE632" s="248"/>
      <c r="AF632" s="248"/>
      <c r="AG632" s="248"/>
      <c r="AH632" s="248"/>
      <c r="AI632" s="248"/>
      <c r="AJ632" s="248"/>
      <c r="AK632" s="248"/>
      <c r="AL632" s="1352"/>
      <c r="AM632" s="1352"/>
      <c r="AN632" s="1352"/>
      <c r="AO632" s="1352"/>
      <c r="AP632" s="1352" t="str">
        <f t="shared" si="39"/>
        <v>vch605_4_2_d</v>
      </c>
      <c r="AQ632" s="1352" t="str">
        <f t="shared" si="40"/>
        <v/>
      </c>
      <c r="AR632" s="1352"/>
      <c r="AS632" s="1352"/>
    </row>
    <row r="633" spans="1:45" ht="16" hidden="1" thickTop="1" x14ac:dyDescent="0.2">
      <c r="A633" s="1507">
        <v>6</v>
      </c>
      <c r="B633" s="1524" t="s">
        <v>3828</v>
      </c>
      <c r="C633" s="1511" t="s">
        <v>255</v>
      </c>
      <c r="D633" s="1511" t="s">
        <v>472</v>
      </c>
      <c r="E633" s="1511"/>
      <c r="F633" s="1514"/>
      <c r="G633" s="1509" t="str">
        <f t="shared" si="38"/>
        <v/>
      </c>
      <c r="H633" s="1510" t="s">
        <v>3197</v>
      </c>
      <c r="I633" s="67"/>
      <c r="J633" s="4"/>
      <c r="K633" s="216" t="s">
        <v>472</v>
      </c>
      <c r="L633" s="210" t="s">
        <v>2619</v>
      </c>
      <c r="M633" s="911"/>
      <c r="N633" s="250"/>
      <c r="O633" s="935"/>
      <c r="P633" s="991" t="b">
        <v>1</v>
      </c>
      <c r="Q633" s="991" t="b">
        <v>1</v>
      </c>
      <c r="R633" s="905" t="b">
        <v>0</v>
      </c>
      <c r="S633" s="905" t="b">
        <v>1</v>
      </c>
      <c r="T633" s="905" t="b">
        <v>0</v>
      </c>
      <c r="U633" s="905"/>
      <c r="V633" s="905"/>
      <c r="W633" s="27"/>
      <c r="X633" s="1600"/>
      <c r="Y633" s="1874"/>
      <c r="Z633" s="1889"/>
      <c r="AC633" s="248"/>
      <c r="AD633" s="248"/>
      <c r="AE633" s="248"/>
      <c r="AF633" s="248"/>
      <c r="AG633" s="248"/>
      <c r="AH633" s="248"/>
      <c r="AI633" s="248"/>
      <c r="AJ633" s="248"/>
      <c r="AK633" s="248"/>
      <c r="AL633" s="1352"/>
      <c r="AM633" s="1352"/>
      <c r="AN633" s="1352"/>
      <c r="AO633" s="1352"/>
      <c r="AP633" s="1352" t="str">
        <f t="shared" si="39"/>
        <v>vch605_4_2_e</v>
      </c>
      <c r="AQ633" s="1352" t="str">
        <f t="shared" si="40"/>
        <v/>
      </c>
      <c r="AR633" s="1352"/>
      <c r="AS633" s="1352"/>
    </row>
    <row r="634" spans="1:45" ht="16" hidden="1" thickTop="1" x14ac:dyDescent="0.2">
      <c r="A634" s="1507">
        <v>6</v>
      </c>
      <c r="B634" s="1524" t="s">
        <v>3828</v>
      </c>
      <c r="C634" s="1511" t="s">
        <v>255</v>
      </c>
      <c r="D634" s="1511" t="s">
        <v>510</v>
      </c>
      <c r="E634" s="1511"/>
      <c r="F634" s="1514"/>
      <c r="G634" s="1509" t="str">
        <f t="shared" si="38"/>
        <v/>
      </c>
      <c r="H634" s="1510" t="s">
        <v>3197</v>
      </c>
      <c r="I634" s="67"/>
      <c r="J634" s="4"/>
      <c r="K634" s="216" t="s">
        <v>510</v>
      </c>
      <c r="L634" s="210" t="s">
        <v>2620</v>
      </c>
      <c r="M634" s="911"/>
      <c r="N634" s="250"/>
      <c r="O634" s="935"/>
      <c r="P634" s="991" t="b">
        <v>1</v>
      </c>
      <c r="Q634" s="991" t="b">
        <v>1</v>
      </c>
      <c r="R634" s="905" t="b">
        <v>0</v>
      </c>
      <c r="S634" s="905" t="b">
        <v>1</v>
      </c>
      <c r="T634" s="905" t="b">
        <v>0</v>
      </c>
      <c r="U634" s="905"/>
      <c r="V634" s="905"/>
      <c r="W634" s="27"/>
      <c r="X634" s="1600"/>
      <c r="Y634" s="1874"/>
      <c r="Z634" s="1889"/>
      <c r="AC634" s="248"/>
      <c r="AD634" s="248"/>
      <c r="AE634" s="248"/>
      <c r="AF634" s="248"/>
      <c r="AG634" s="248"/>
      <c r="AH634" s="248"/>
      <c r="AI634" s="248"/>
      <c r="AJ634" s="248"/>
      <c r="AK634" s="248"/>
      <c r="AL634" s="1352"/>
      <c r="AM634" s="1352"/>
      <c r="AN634" s="1352"/>
      <c r="AO634" s="1352"/>
      <c r="AP634" s="1352" t="str">
        <f t="shared" si="39"/>
        <v>vch605_4_2_f</v>
      </c>
      <c r="AQ634" s="1352" t="str">
        <f t="shared" si="40"/>
        <v/>
      </c>
      <c r="AR634" s="1352"/>
      <c r="AS634" s="1352"/>
    </row>
    <row r="635" spans="1:45" ht="16" hidden="1" thickTop="1" x14ac:dyDescent="0.2">
      <c r="A635" s="1507">
        <v>6</v>
      </c>
      <c r="B635" s="1524" t="s">
        <v>3828</v>
      </c>
      <c r="C635" s="1511" t="s">
        <v>255</v>
      </c>
      <c r="D635" s="1511" t="s">
        <v>512</v>
      </c>
      <c r="E635" s="1511"/>
      <c r="F635" s="1514"/>
      <c r="G635" s="1509" t="str">
        <f t="shared" si="38"/>
        <v/>
      </c>
      <c r="H635" s="1510" t="s">
        <v>3197</v>
      </c>
      <c r="I635" s="67"/>
      <c r="J635" s="4"/>
      <c r="K635" s="222" t="s">
        <v>512</v>
      </c>
      <c r="L635" s="210" t="s">
        <v>2621</v>
      </c>
      <c r="M635" s="911"/>
      <c r="N635" s="250"/>
      <c r="O635" s="935"/>
      <c r="P635" s="991" t="b">
        <v>1</v>
      </c>
      <c r="Q635" s="991" t="b">
        <v>1</v>
      </c>
      <c r="R635" s="905" t="b">
        <v>0</v>
      </c>
      <c r="S635" s="905" t="b">
        <v>1</v>
      </c>
      <c r="T635" s="905" t="b">
        <v>0</v>
      </c>
      <c r="U635" s="905"/>
      <c r="V635" s="905"/>
      <c r="W635" s="27"/>
      <c r="X635" s="1600"/>
      <c r="Y635" s="1874"/>
      <c r="Z635" s="1889"/>
      <c r="AC635" s="248"/>
      <c r="AD635" s="248"/>
      <c r="AE635" s="248"/>
      <c r="AF635" s="248"/>
      <c r="AG635" s="248"/>
      <c r="AH635" s="248"/>
      <c r="AI635" s="248"/>
      <c r="AJ635" s="248"/>
      <c r="AK635" s="248"/>
      <c r="AL635" s="1352"/>
      <c r="AM635" s="1352"/>
      <c r="AN635" s="1352"/>
      <c r="AO635" s="1352"/>
      <c r="AP635" s="1352" t="str">
        <f t="shared" si="39"/>
        <v>vch605_4_2_g</v>
      </c>
      <c r="AQ635" s="1352" t="str">
        <f t="shared" si="40"/>
        <v/>
      </c>
      <c r="AR635" s="1352"/>
      <c r="AS635" s="1352"/>
    </row>
    <row r="636" spans="1:45" ht="17" hidden="1" thickTop="1" x14ac:dyDescent="0.2">
      <c r="A636" s="1507">
        <v>6</v>
      </c>
      <c r="B636" s="1524" t="s">
        <v>3828</v>
      </c>
      <c r="C636" s="1511" t="s">
        <v>255</v>
      </c>
      <c r="D636" s="1511" t="s">
        <v>514</v>
      </c>
      <c r="E636" s="1511"/>
      <c r="F636" s="1514"/>
      <c r="G636" s="1509" t="str">
        <f t="shared" si="38"/>
        <v/>
      </c>
      <c r="H636" s="1510" t="s">
        <v>3197</v>
      </c>
      <c r="I636" s="67"/>
      <c r="J636" s="248"/>
      <c r="K636" s="223" t="s">
        <v>514</v>
      </c>
      <c r="L636" s="210" t="s">
        <v>2622</v>
      </c>
      <c r="M636" s="69"/>
      <c r="N636" s="250"/>
      <c r="O636" s="935"/>
      <c r="P636" s="991" t="b">
        <v>1</v>
      </c>
      <c r="Q636" s="991" t="b">
        <v>1</v>
      </c>
      <c r="R636" s="905" t="b">
        <v>0</v>
      </c>
      <c r="S636" s="905" t="b">
        <v>1</v>
      </c>
      <c r="T636" s="905" t="b">
        <v>0</v>
      </c>
      <c r="U636" s="905"/>
      <c r="V636" s="905"/>
      <c r="W636" s="27"/>
      <c r="X636" s="249"/>
      <c r="Y636" s="267" t="str">
        <f>IF(LEN('11.600'!X338)=0,"None",'11.600'!X338)</f>
        <v>None</v>
      </c>
      <c r="Z636" s="715"/>
      <c r="AC636" s="248" t="b">
        <f>OR(AD636:AE636)</f>
        <v>0</v>
      </c>
      <c r="AD636" s="617" t="b">
        <f>T636</f>
        <v>0</v>
      </c>
      <c r="AE636" s="248" t="b">
        <f>AND(W636=TRUE,LEN(X636)=0)</f>
        <v>0</v>
      </c>
      <c r="AF636" s="720" t="b">
        <f>AND(AE636,NOT(Q636))</f>
        <v>0</v>
      </c>
      <c r="AG636" s="248"/>
      <c r="AH636" s="248"/>
      <c r="AI636" s="248"/>
      <c r="AJ636" s="248"/>
      <c r="AK636" s="248"/>
      <c r="AL636" s="1352"/>
      <c r="AM636" s="1352"/>
      <c r="AN636" s="1352"/>
      <c r="AO636" s="1352"/>
      <c r="AP636" s="1352" t="str">
        <f t="shared" si="39"/>
        <v>vch605_4_2_h</v>
      </c>
      <c r="AQ636" s="1352" t="str">
        <f t="shared" si="40"/>
        <v/>
      </c>
      <c r="AR636" s="1352" t="str">
        <f>SUBSTITUTE(SUBSTITUTE(SUBSTITUTE("vnt"&amp;$B636&amp;$C636&amp;$D636&amp;$E636&amp;$F636,".","_"),"(","_"),")","")</f>
        <v>vnt605_4_2_h</v>
      </c>
      <c r="AS636" s="1352" t="str">
        <f>IF(LEN(X636)=0,"",X636)</f>
        <v/>
      </c>
    </row>
    <row r="637" spans="1:45" ht="17" hidden="1" thickTop="1" x14ac:dyDescent="0.2">
      <c r="A637" s="1507">
        <v>6</v>
      </c>
      <c r="B637" s="1524" t="s">
        <v>3828</v>
      </c>
      <c r="C637" s="1511" t="s">
        <v>255</v>
      </c>
      <c r="D637" s="1511" t="s">
        <v>648</v>
      </c>
      <c r="E637" s="1511"/>
      <c r="F637" s="1514"/>
      <c r="G637" s="1509" t="str">
        <f t="shared" si="38"/>
        <v/>
      </c>
      <c r="H637" s="1510" t="s">
        <v>3197</v>
      </c>
      <c r="I637" s="67"/>
      <c r="J637" s="248"/>
      <c r="K637" s="87" t="s">
        <v>648</v>
      </c>
      <c r="L637" s="85" t="s">
        <v>2622</v>
      </c>
      <c r="M637" s="69"/>
      <c r="N637" s="250"/>
      <c r="O637" s="935"/>
      <c r="P637" s="991" t="b">
        <v>1</v>
      </c>
      <c r="Q637" s="991" t="b">
        <v>1</v>
      </c>
      <c r="R637" s="905" t="b">
        <v>0</v>
      </c>
      <c r="S637" s="905" t="b">
        <v>1</v>
      </c>
      <c r="T637" s="905" t="b">
        <v>0</v>
      </c>
      <c r="U637" s="905"/>
      <c r="V637" s="905"/>
      <c r="W637" s="27"/>
      <c r="X637" s="249"/>
      <c r="Y637" s="267" t="str">
        <f>IF(LEN('11.600'!X339)=0,"None",'11.600'!X339)</f>
        <v>None</v>
      </c>
      <c r="Z637" s="715"/>
      <c r="AC637" s="248" t="b">
        <f>OR(AD637:AE637)</f>
        <v>0</v>
      </c>
      <c r="AD637" s="617" t="b">
        <f>T637</f>
        <v>0</v>
      </c>
      <c r="AE637" s="248" t="b">
        <f>AND(W637=TRUE,LEN(X637)=0)</f>
        <v>0</v>
      </c>
      <c r="AF637" s="720" t="b">
        <f>AND(AE637,NOT(Q637))</f>
        <v>0</v>
      </c>
      <c r="AG637" s="248"/>
      <c r="AH637" s="248"/>
      <c r="AI637" s="248"/>
      <c r="AJ637" s="248"/>
      <c r="AK637" s="248"/>
      <c r="AL637" s="1352"/>
      <c r="AM637" s="1352"/>
      <c r="AN637" s="1352"/>
      <c r="AO637" s="1352"/>
      <c r="AP637" s="1352" t="str">
        <f t="shared" si="39"/>
        <v>vch605_4_2_i</v>
      </c>
      <c r="AQ637" s="1352" t="str">
        <f t="shared" si="40"/>
        <v/>
      </c>
      <c r="AR637" s="1352" t="str">
        <f>SUBSTITUTE(SUBSTITUTE(SUBSTITUTE("vnt"&amp;$B637&amp;$C637&amp;$D637&amp;$E637&amp;$F637,".","_"),"(","_"),")","")</f>
        <v>vnt605_4_2_i</v>
      </c>
      <c r="AS637" s="1352" t="str">
        <f>IF(LEN(X637)=0,"",X637)</f>
        <v/>
      </c>
    </row>
    <row r="638" spans="1:45" ht="16" hidden="1" thickTop="1" x14ac:dyDescent="0.2">
      <c r="A638" s="1507">
        <v>6</v>
      </c>
      <c r="B638" s="1524" t="s">
        <v>3828</v>
      </c>
      <c r="C638" s="1511"/>
      <c r="D638" s="1511"/>
      <c r="E638" s="1511"/>
      <c r="F638" s="1514"/>
      <c r="G638" s="1509" t="str">
        <f t="shared" si="38"/>
        <v/>
      </c>
      <c r="H638" s="1510" t="s">
        <v>3197</v>
      </c>
      <c r="I638" s="67"/>
      <c r="J638" s="248"/>
      <c r="K638" s="87"/>
      <c r="L638" s="255" t="s">
        <v>2623</v>
      </c>
      <c r="M638" s="69"/>
      <c r="N638" s="250"/>
      <c r="O638" s="935"/>
      <c r="P638" s="905"/>
      <c r="Q638" s="905"/>
      <c r="R638" s="905"/>
      <c r="S638" s="905"/>
      <c r="T638" s="905"/>
      <c r="U638" s="905"/>
      <c r="V638" s="905"/>
      <c r="W638" s="248"/>
      <c r="X638" s="248"/>
      <c r="Z638" s="670"/>
      <c r="AC638" s="248"/>
      <c r="AD638" s="248"/>
      <c r="AE638" s="248"/>
      <c r="AF638" s="248"/>
      <c r="AG638" s="248"/>
      <c r="AH638" s="248"/>
      <c r="AI638" s="248"/>
      <c r="AJ638" s="248"/>
      <c r="AK638" s="248"/>
      <c r="AL638" s="1352"/>
      <c r="AM638" s="1352"/>
      <c r="AN638" s="1352"/>
      <c r="AO638" s="1352"/>
      <c r="AP638" s="1352"/>
      <c r="AQ638" s="1352"/>
      <c r="AR638" s="1352"/>
      <c r="AS638" s="1352"/>
    </row>
    <row r="639" spans="1:45" ht="20" thickTop="1" x14ac:dyDescent="0.25">
      <c r="A639" s="1507">
        <v>6</v>
      </c>
      <c r="B639" s="1524">
        <v>606</v>
      </c>
      <c r="C639" s="1511"/>
      <c r="D639" s="1511"/>
      <c r="E639" s="1511"/>
      <c r="F639" s="1514"/>
      <c r="G639" s="1509" t="s">
        <v>3200</v>
      </c>
      <c r="H639" s="1510" t="s">
        <v>3197</v>
      </c>
      <c r="I639" s="14" t="s">
        <v>3573</v>
      </c>
      <c r="J639" s="25"/>
      <c r="K639" s="84"/>
      <c r="L639" s="81"/>
      <c r="M639" s="339"/>
      <c r="N639" s="71"/>
      <c r="O639" s="419"/>
      <c r="P639" s="25"/>
      <c r="Q639" s="25"/>
      <c r="R639" s="25"/>
      <c r="S639" s="25"/>
      <c r="T639" s="25"/>
      <c r="U639" s="25"/>
      <c r="V639" s="25"/>
      <c r="W639" s="25"/>
      <c r="X639" s="25"/>
      <c r="Y639" s="25"/>
      <c r="Z639" s="714"/>
      <c r="AC639" s="248"/>
      <c r="AD639" s="248"/>
      <c r="AE639" s="248"/>
      <c r="AF639" s="248"/>
      <c r="AG639" s="248"/>
      <c r="AH639" s="248"/>
      <c r="AI639" s="248"/>
      <c r="AJ639" s="248"/>
      <c r="AK639" s="248"/>
      <c r="AL639" s="1352"/>
      <c r="AM639" s="1352"/>
      <c r="AN639" s="1352"/>
      <c r="AO639" s="1352"/>
      <c r="AP639" s="1352"/>
      <c r="AQ639" s="1352"/>
      <c r="AR639" s="1352"/>
      <c r="AS639" s="1352"/>
    </row>
    <row r="640" spans="1:45" ht="16" hidden="1" thickBot="1" x14ac:dyDescent="0.25">
      <c r="A640" s="1507">
        <v>6</v>
      </c>
      <c r="B640" s="1524" t="s">
        <v>3210</v>
      </c>
      <c r="C640" s="1511"/>
      <c r="D640" s="1511"/>
      <c r="E640" s="1511"/>
      <c r="F640" s="1514"/>
      <c r="G640" s="1510"/>
      <c r="H640" s="1510"/>
      <c r="I640" s="80" t="s">
        <v>3574</v>
      </c>
      <c r="J640" s="4"/>
      <c r="K640" s="85"/>
      <c r="L640" s="87" t="s">
        <v>3602</v>
      </c>
      <c r="M640" s="911"/>
      <c r="N640" s="250"/>
      <c r="O640" s="935"/>
      <c r="P640" s="905"/>
      <c r="Q640" s="905"/>
      <c r="R640" s="905"/>
      <c r="S640" s="905"/>
      <c r="T640" s="905"/>
      <c r="U640" s="905"/>
      <c r="V640" s="905"/>
      <c r="W640" s="248"/>
      <c r="X640" s="248"/>
      <c r="Y640" s="100"/>
      <c r="Z640" s="716"/>
      <c r="AC640" s="248"/>
      <c r="AD640" s="248"/>
      <c r="AE640" s="248"/>
      <c r="AF640" s="248"/>
      <c r="AG640" s="248"/>
      <c r="AH640" s="248"/>
      <c r="AI640" s="248"/>
      <c r="AJ640" s="248"/>
      <c r="AK640" s="248"/>
      <c r="AL640" s="1352"/>
      <c r="AM640" s="1352"/>
      <c r="AN640" s="1352"/>
      <c r="AO640" s="1352"/>
      <c r="AP640" s="1352"/>
      <c r="AQ640" s="1352"/>
      <c r="AR640" s="1352"/>
      <c r="AS640" s="1352"/>
    </row>
    <row r="641" spans="1:45" ht="16" hidden="1" thickTop="1" x14ac:dyDescent="0.2">
      <c r="A641" s="1507">
        <v>6</v>
      </c>
      <c r="B641" s="1524">
        <v>606.1</v>
      </c>
      <c r="C641" s="1511"/>
      <c r="D641" s="1511"/>
      <c r="E641" s="1511"/>
      <c r="F641" s="1514"/>
      <c r="G641" s="1509" t="str">
        <f ca="1">IF(N641&gt;0,"P","")</f>
        <v/>
      </c>
      <c r="H641" s="1510" t="s">
        <v>3197</v>
      </c>
      <c r="I641" s="177" t="s">
        <v>3575</v>
      </c>
      <c r="J641" s="178"/>
      <c r="K641" s="179"/>
      <c r="L641" s="125" t="s">
        <v>3601</v>
      </c>
      <c r="M641" s="945"/>
      <c r="N641" s="1770">
        <f ca="1">'11.600'!O343</f>
        <v>0</v>
      </c>
      <c r="O641" s="1682">
        <f ca="1">MIN(8,IF(R654&gt;1,6+R654+R652-2,IF(R654+R652&gt;1,3+MIN(2,R652+R654-2),0)))</f>
        <v>0</v>
      </c>
      <c r="P641" s="106"/>
      <c r="Q641" s="106"/>
      <c r="R641" s="106"/>
      <c r="S641" s="106"/>
      <c r="T641" s="106"/>
      <c r="U641" s="106"/>
      <c r="V641" s="106"/>
      <c r="W641" s="106"/>
      <c r="X641" s="106"/>
      <c r="Z641" s="670"/>
      <c r="AC641" s="248"/>
      <c r="AD641" s="248"/>
      <c r="AE641" s="248"/>
      <c r="AF641" s="248"/>
      <c r="AG641" s="248"/>
      <c r="AH641" s="248"/>
      <c r="AI641" s="248"/>
      <c r="AJ641" s="248"/>
      <c r="AK641" s="248"/>
      <c r="AL641" s="1352"/>
      <c r="AM641" s="1352"/>
      <c r="AN641" s="1352" t="str">
        <f>SUBSTITUTE(SUBSTITUTE(SUBSTITUTE("vpc"&amp;$B641&amp;$C641&amp;$D641&amp;$E641&amp;$F641,".","_"),"(","_"),")","")</f>
        <v>vpc606_1</v>
      </c>
      <c r="AO641" s="1352">
        <f ca="1">O641</f>
        <v>0</v>
      </c>
      <c r="AP641" s="1352"/>
      <c r="AQ641" s="1352"/>
      <c r="AR641" s="1352"/>
      <c r="AS641" s="1352"/>
    </row>
    <row r="642" spans="1:45" hidden="1" x14ac:dyDescent="0.2">
      <c r="A642" s="1507">
        <v>6</v>
      </c>
      <c r="B642" s="1524">
        <v>606.1</v>
      </c>
      <c r="C642" s="1511"/>
      <c r="D642" s="1511" t="s">
        <v>121</v>
      </c>
      <c r="E642" s="1511"/>
      <c r="F642" s="1514"/>
      <c r="G642" s="1509" t="str">
        <f t="shared" ref="G642:G657" ca="1" si="41">G641</f>
        <v/>
      </c>
      <c r="H642" s="1512" t="s">
        <v>3197</v>
      </c>
      <c r="I642" s="130"/>
      <c r="J642" s="129"/>
      <c r="K642" s="93" t="s">
        <v>121</v>
      </c>
      <c r="L642" s="97" t="s">
        <v>3813</v>
      </c>
      <c r="M642" s="913"/>
      <c r="N642" s="1755"/>
      <c r="O642" s="1619"/>
      <c r="P642" s="991" t="b">
        <v>1</v>
      </c>
      <c r="Q642" s="991" t="b">
        <v>1</v>
      </c>
      <c r="R642" s="991" t="b">
        <v>0</v>
      </c>
      <c r="S642" s="991" t="b">
        <f>OR(NOT(ISBLANK(W673)),NOT(ISBLANK(W674)),NOT(ISBLANK(W676)),NOT(ISBLANK(W677)))</f>
        <v>0</v>
      </c>
      <c r="T642" s="991" t="b">
        <f>AND(NOT(S642),LEN(W642)&gt;0)</f>
        <v>0</v>
      </c>
      <c r="U642" s="991" t="str">
        <f t="shared" ref="U642:U649" si="42">SUBSTITUTE(SUBSTITUTE(SUBSTITUTE("dd"&amp;B642&amp;C642&amp;D642&amp;E642&amp;F642,".","_"),"(","_"),")","")</f>
        <v>dd606_1_a</v>
      </c>
      <c r="V642" s="991"/>
      <c r="W642" s="12"/>
      <c r="X642" s="1601"/>
      <c r="Y642" s="1881" t="str">
        <f>IF(LEN('11.600'!X344)=0,"None",'11.600'!X344)</f>
        <v>None</v>
      </c>
      <c r="Z642" s="1891"/>
      <c r="AC642" s="248" t="b">
        <f>OR(AD642:AE642)</f>
        <v>0</v>
      </c>
      <c r="AD642" s="248" t="b">
        <f>T642</f>
        <v>0</v>
      </c>
      <c r="AE642" s="248"/>
      <c r="AF642" s="248"/>
      <c r="AG642" s="248"/>
      <c r="AH642" s="248"/>
      <c r="AI642" s="248"/>
      <c r="AJ642" s="248"/>
      <c r="AK642" s="248"/>
      <c r="AL642" s="1352"/>
      <c r="AM642" s="1352"/>
      <c r="AN642" s="1352"/>
      <c r="AO642" s="1352"/>
      <c r="AP642" s="1352" t="str">
        <f t="shared" ref="AP642:AP649" si="43">SUBSTITUTE(SUBSTITUTE(SUBSTITUTE("vch"&amp;$B642&amp;$C642&amp;$D642&amp;$E642&amp;$F642,".","_"),"(","_"),")","")</f>
        <v>vch606_1_a</v>
      </c>
      <c r="AQ642" s="1352" t="str">
        <f t="shared" ref="AQ642:AQ649" si="44">IF(LEN(W642)=0,"",W642)</f>
        <v/>
      </c>
      <c r="AR642" s="1352" t="str">
        <f>SUBSTITUTE(SUBSTITUTE(SUBSTITUTE("vnt"&amp;$B642&amp;$C642&amp;$D642&amp;$E642&amp;$F642,".","_"),"(","_"),")","")</f>
        <v>vnt606_1_a</v>
      </c>
      <c r="AS642" s="1352" t="str">
        <f>IF(LEN(X642)=0,"",X642)</f>
        <v/>
      </c>
    </row>
    <row r="643" spans="1:45" hidden="1" x14ac:dyDescent="0.2">
      <c r="A643" s="1507">
        <v>6</v>
      </c>
      <c r="B643" s="1524">
        <v>606.1</v>
      </c>
      <c r="C643" s="1511"/>
      <c r="D643" s="1511" t="s">
        <v>122</v>
      </c>
      <c r="E643" s="1511"/>
      <c r="F643" s="1514"/>
      <c r="G643" s="1509" t="str">
        <f t="shared" ca="1" si="41"/>
        <v/>
      </c>
      <c r="H643" s="1512" t="s">
        <v>3197</v>
      </c>
      <c r="I643" s="130"/>
      <c r="J643" s="129"/>
      <c r="K643" s="93" t="s">
        <v>122</v>
      </c>
      <c r="L643" s="97" t="s">
        <v>550</v>
      </c>
      <c r="M643" s="913"/>
      <c r="N643" s="1755"/>
      <c r="O643" s="1619"/>
      <c r="P643" s="991" t="b">
        <v>1</v>
      </c>
      <c r="Q643" s="991" t="b">
        <v>1</v>
      </c>
      <c r="R643" s="991" t="b">
        <v>0</v>
      </c>
      <c r="S643" s="991" t="b">
        <v>1</v>
      </c>
      <c r="T643" s="991" t="b">
        <v>0</v>
      </c>
      <c r="U643" s="991" t="str">
        <f t="shared" si="42"/>
        <v>dd606_1_b</v>
      </c>
      <c r="V643" s="991"/>
      <c r="W643" s="12"/>
      <c r="X643" s="1601"/>
      <c r="Y643" s="1881"/>
      <c r="Z643" s="1891"/>
      <c r="AC643" s="248"/>
      <c r="AD643" s="248"/>
      <c r="AE643" s="248"/>
      <c r="AF643" s="248"/>
      <c r="AG643" s="248"/>
      <c r="AH643" s="248"/>
      <c r="AI643" s="248"/>
      <c r="AJ643" s="248"/>
      <c r="AK643" s="248"/>
      <c r="AL643" s="1352"/>
      <c r="AM643" s="1352"/>
      <c r="AN643" s="1352"/>
      <c r="AO643" s="1352"/>
      <c r="AP643" s="1352" t="str">
        <f t="shared" si="43"/>
        <v>vch606_1_b</v>
      </c>
      <c r="AQ643" s="1352" t="str">
        <f t="shared" si="44"/>
        <v/>
      </c>
      <c r="AR643" s="1352"/>
      <c r="AS643" s="1352"/>
    </row>
    <row r="644" spans="1:45" hidden="1" x14ac:dyDescent="0.2">
      <c r="A644" s="1507">
        <v>6</v>
      </c>
      <c r="B644" s="1524">
        <v>606.1</v>
      </c>
      <c r="C644" s="1511"/>
      <c r="D644" s="1518" t="s">
        <v>123</v>
      </c>
      <c r="E644" s="1518"/>
      <c r="F644" s="1519"/>
      <c r="G644" s="1509" t="str">
        <f t="shared" ca="1" si="41"/>
        <v/>
      </c>
      <c r="H644" s="1520" t="s">
        <v>3197</v>
      </c>
      <c r="I644" s="130"/>
      <c r="J644" s="129"/>
      <c r="K644" s="111" t="s">
        <v>123</v>
      </c>
      <c r="L644" s="97" t="s">
        <v>551</v>
      </c>
      <c r="M644" s="913"/>
      <c r="N644" s="1755"/>
      <c r="O644" s="1619"/>
      <c r="P644" s="991" t="b">
        <v>1</v>
      </c>
      <c r="Q644" s="991" t="b">
        <v>1</v>
      </c>
      <c r="R644" s="991" t="b">
        <v>0</v>
      </c>
      <c r="S644" s="991" t="b">
        <v>1</v>
      </c>
      <c r="T644" s="991" t="b">
        <v>0</v>
      </c>
      <c r="U644" s="991" t="str">
        <f t="shared" si="42"/>
        <v>dd606_1_c</v>
      </c>
      <c r="V644" s="991"/>
      <c r="W644" s="12"/>
      <c r="X644" s="1601"/>
      <c r="Y644" s="1881"/>
      <c r="Z644" s="1891"/>
      <c r="AC644" s="248"/>
      <c r="AD644" s="248"/>
      <c r="AE644" s="248"/>
      <c r="AF644" s="248"/>
      <c r="AG644" s="248"/>
      <c r="AH644" s="248"/>
      <c r="AI644" s="248"/>
      <c r="AJ644" s="248"/>
      <c r="AK644" s="248"/>
      <c r="AL644" s="1352"/>
      <c r="AM644" s="1352"/>
      <c r="AN644" s="1352"/>
      <c r="AO644" s="1352"/>
      <c r="AP644" s="1352" t="str">
        <f t="shared" si="43"/>
        <v>vch606_1_c</v>
      </c>
      <c r="AQ644" s="1352" t="str">
        <f t="shared" si="44"/>
        <v/>
      </c>
      <c r="AR644" s="1352"/>
      <c r="AS644" s="1352"/>
    </row>
    <row r="645" spans="1:45" hidden="1" x14ac:dyDescent="0.2">
      <c r="A645" s="1507">
        <v>6</v>
      </c>
      <c r="B645" s="1524">
        <v>606.1</v>
      </c>
      <c r="C645" s="1511"/>
      <c r="D645" s="1511" t="s">
        <v>366</v>
      </c>
      <c r="E645" s="1511"/>
      <c r="F645" s="1514"/>
      <c r="G645" s="1509" t="str">
        <f t="shared" ca="1" si="41"/>
        <v/>
      </c>
      <c r="H645" s="1510" t="s">
        <v>3197</v>
      </c>
      <c r="I645" s="130"/>
      <c r="J645" s="129"/>
      <c r="K645" s="187" t="s">
        <v>366</v>
      </c>
      <c r="L645" s="97" t="s">
        <v>552</v>
      </c>
      <c r="M645" s="913"/>
      <c r="N645" s="1755"/>
      <c r="O645" s="1619"/>
      <c r="P645" s="991" t="b">
        <v>1</v>
      </c>
      <c r="Q645" s="991" t="b">
        <v>1</v>
      </c>
      <c r="R645" s="991" t="b">
        <v>0</v>
      </c>
      <c r="S645" s="991" t="b">
        <v>1</v>
      </c>
      <c r="T645" s="991" t="b">
        <v>0</v>
      </c>
      <c r="U645" s="991" t="str">
        <f t="shared" si="42"/>
        <v>dd606_1_d</v>
      </c>
      <c r="V645" s="991"/>
      <c r="W645" s="12"/>
      <c r="X645" s="1601"/>
      <c r="Y645" s="1881"/>
      <c r="Z645" s="1891"/>
      <c r="AC645" s="248"/>
      <c r="AD645" s="248"/>
      <c r="AE645" s="248"/>
      <c r="AF645" s="248"/>
      <c r="AG645" s="248"/>
      <c r="AH645" s="248"/>
      <c r="AI645" s="248"/>
      <c r="AJ645" s="248"/>
      <c r="AK645" s="248"/>
      <c r="AL645" s="1352"/>
      <c r="AM645" s="1352"/>
      <c r="AN645" s="1352"/>
      <c r="AO645" s="1352"/>
      <c r="AP645" s="1352" t="str">
        <f t="shared" si="43"/>
        <v>vch606_1_d</v>
      </c>
      <c r="AQ645" s="1352" t="str">
        <f t="shared" si="44"/>
        <v/>
      </c>
      <c r="AR645" s="1352"/>
      <c r="AS645" s="1352"/>
    </row>
    <row r="646" spans="1:45" hidden="1" x14ac:dyDescent="0.2">
      <c r="A646" s="1507">
        <v>6</v>
      </c>
      <c r="B646" s="1524">
        <v>606.1</v>
      </c>
      <c r="C646" s="1511"/>
      <c r="D646" s="1511" t="s">
        <v>472</v>
      </c>
      <c r="E646" s="1511"/>
      <c r="F646" s="1514"/>
      <c r="G646" s="1509" t="str">
        <f t="shared" ca="1" si="41"/>
        <v/>
      </c>
      <c r="H646" s="1512" t="s">
        <v>3197</v>
      </c>
      <c r="I646" s="130"/>
      <c r="J646" s="129"/>
      <c r="K646" s="93" t="s">
        <v>472</v>
      </c>
      <c r="L646" s="97" t="s">
        <v>553</v>
      </c>
      <c r="M646" s="913"/>
      <c r="N646" s="1755"/>
      <c r="O646" s="1619"/>
      <c r="P646" s="991" t="b">
        <v>1</v>
      </c>
      <c r="Q646" s="991" t="b">
        <v>1</v>
      </c>
      <c r="R646" s="991" t="b">
        <v>0</v>
      </c>
      <c r="S646" s="991" t="b">
        <v>1</v>
      </c>
      <c r="T646" s="991" t="b">
        <v>0</v>
      </c>
      <c r="U646" s="991" t="str">
        <f t="shared" si="42"/>
        <v>dd606_1_e</v>
      </c>
      <c r="V646" s="991"/>
      <c r="W646" s="12"/>
      <c r="X646" s="1601"/>
      <c r="Y646" s="1881"/>
      <c r="Z646" s="1891"/>
      <c r="AC646" s="248"/>
      <c r="AD646" s="248"/>
      <c r="AE646" s="248"/>
      <c r="AF646" s="248"/>
      <c r="AG646" s="248"/>
      <c r="AH646" s="248"/>
      <c r="AI646" s="248"/>
      <c r="AJ646" s="248"/>
      <c r="AK646" s="248"/>
      <c r="AL646" s="1352"/>
      <c r="AM646" s="1352"/>
      <c r="AN646" s="1352"/>
      <c r="AO646" s="1352"/>
      <c r="AP646" s="1352" t="str">
        <f t="shared" si="43"/>
        <v>vch606_1_e</v>
      </c>
      <c r="AQ646" s="1352" t="str">
        <f t="shared" si="44"/>
        <v/>
      </c>
      <c r="AR646" s="1352"/>
      <c r="AS646" s="1352"/>
    </row>
    <row r="647" spans="1:45" hidden="1" x14ac:dyDescent="0.2">
      <c r="A647" s="1507">
        <v>6</v>
      </c>
      <c r="B647" s="1524">
        <v>606.1</v>
      </c>
      <c r="C647" s="1511"/>
      <c r="D647" s="1511" t="s">
        <v>510</v>
      </c>
      <c r="E647" s="1511"/>
      <c r="F647" s="1514"/>
      <c r="G647" s="1509" t="str">
        <f t="shared" ca="1" si="41"/>
        <v/>
      </c>
      <c r="H647" s="1512" t="s">
        <v>3197</v>
      </c>
      <c r="I647" s="130"/>
      <c r="J647" s="129"/>
      <c r="K647" s="93" t="s">
        <v>510</v>
      </c>
      <c r="L647" s="97" t="s">
        <v>554</v>
      </c>
      <c r="M647" s="913"/>
      <c r="N647" s="1755"/>
      <c r="O647" s="1619"/>
      <c r="P647" s="991" t="b">
        <v>1</v>
      </c>
      <c r="Q647" s="991" t="b">
        <v>1</v>
      </c>
      <c r="R647" s="991" t="b">
        <v>0</v>
      </c>
      <c r="S647" s="991" t="b">
        <v>1</v>
      </c>
      <c r="T647" s="991" t="b">
        <v>0</v>
      </c>
      <c r="U647" s="991" t="str">
        <f t="shared" si="42"/>
        <v>dd606_1_f</v>
      </c>
      <c r="V647" s="991"/>
      <c r="W647" s="12"/>
      <c r="X647" s="1601"/>
      <c r="Y647" s="1881"/>
      <c r="Z647" s="1891"/>
      <c r="AC647" s="248"/>
      <c r="AD647" s="248"/>
      <c r="AE647" s="248"/>
      <c r="AF647" s="248"/>
      <c r="AG647" s="248"/>
      <c r="AH647" s="248"/>
      <c r="AI647" s="248"/>
      <c r="AJ647" s="248"/>
      <c r="AK647" s="248"/>
      <c r="AL647" s="1352"/>
      <c r="AM647" s="1352"/>
      <c r="AN647" s="1352"/>
      <c r="AO647" s="1352"/>
      <c r="AP647" s="1352" t="str">
        <f t="shared" si="43"/>
        <v>vch606_1_f</v>
      </c>
      <c r="AQ647" s="1352" t="str">
        <f t="shared" si="44"/>
        <v/>
      </c>
      <c r="AR647" s="1352"/>
      <c r="AS647" s="1352"/>
    </row>
    <row r="648" spans="1:45" hidden="1" x14ac:dyDescent="0.2">
      <c r="A648" s="1507">
        <v>6</v>
      </c>
      <c r="B648" s="1524">
        <v>606.1</v>
      </c>
      <c r="C648" s="1511"/>
      <c r="D648" s="1518" t="s">
        <v>512</v>
      </c>
      <c r="E648" s="1518"/>
      <c r="F648" s="1519"/>
      <c r="G648" s="1509" t="str">
        <f t="shared" ca="1" si="41"/>
        <v/>
      </c>
      <c r="H648" s="1520" t="s">
        <v>3197</v>
      </c>
      <c r="I648" s="130"/>
      <c r="J648" s="129"/>
      <c r="K648" s="111" t="s">
        <v>512</v>
      </c>
      <c r="L648" s="97" t="s">
        <v>555</v>
      </c>
      <c r="M648" s="913"/>
      <c r="N648" s="1755"/>
      <c r="O648" s="1619"/>
      <c r="P648" s="991" t="b">
        <v>1</v>
      </c>
      <c r="Q648" s="991" t="b">
        <v>1</v>
      </c>
      <c r="R648" s="991" t="b">
        <v>0</v>
      </c>
      <c r="S648" s="991" t="b">
        <v>1</v>
      </c>
      <c r="T648" s="991" t="b">
        <v>0</v>
      </c>
      <c r="U648" s="991" t="str">
        <f t="shared" si="42"/>
        <v>dd606_1_g</v>
      </c>
      <c r="V648" s="991"/>
      <c r="W648" s="12"/>
      <c r="X648" s="1601"/>
      <c r="Y648" s="1881"/>
      <c r="Z648" s="1891"/>
      <c r="AC648" s="248"/>
      <c r="AD648" s="248"/>
      <c r="AE648" s="248"/>
      <c r="AF648" s="248"/>
      <c r="AG648" s="248"/>
      <c r="AH648" s="248"/>
      <c r="AI648" s="248"/>
      <c r="AJ648" s="248"/>
      <c r="AK648" s="248"/>
      <c r="AL648" s="1352"/>
      <c r="AM648" s="1352"/>
      <c r="AN648" s="1352"/>
      <c r="AO648" s="1352"/>
      <c r="AP648" s="1352" t="str">
        <f t="shared" si="43"/>
        <v>vch606_1_g</v>
      </c>
      <c r="AQ648" s="1352" t="str">
        <f t="shared" si="44"/>
        <v/>
      </c>
      <c r="AR648" s="1352"/>
      <c r="AS648" s="1352"/>
    </row>
    <row r="649" spans="1:45" hidden="1" x14ac:dyDescent="0.2">
      <c r="A649" s="1507">
        <v>6</v>
      </c>
      <c r="B649" s="1524">
        <v>606.1</v>
      </c>
      <c r="C649" s="1511"/>
      <c r="D649" s="1511" t="s">
        <v>514</v>
      </c>
      <c r="E649" s="1511"/>
      <c r="F649" s="1514"/>
      <c r="G649" s="1509" t="str">
        <f t="shared" ca="1" si="41"/>
        <v/>
      </c>
      <c r="H649" s="1510" t="s">
        <v>3197</v>
      </c>
      <c r="I649" s="130"/>
      <c r="J649" s="129"/>
      <c r="K649" s="187" t="s">
        <v>514</v>
      </c>
      <c r="L649" s="1609" t="s">
        <v>556</v>
      </c>
      <c r="M649" s="913"/>
      <c r="N649" s="1755"/>
      <c r="O649" s="1619"/>
      <c r="P649" s="991" t="b">
        <v>1</v>
      </c>
      <c r="Q649" s="991" t="b">
        <v>1</v>
      </c>
      <c r="R649" s="991" t="b">
        <v>0</v>
      </c>
      <c r="S649" s="991" t="b">
        <v>1</v>
      </c>
      <c r="T649" s="991" t="b">
        <v>0</v>
      </c>
      <c r="U649" s="991" t="str">
        <f t="shared" si="42"/>
        <v>dd606_1_h</v>
      </c>
      <c r="V649" s="991"/>
      <c r="W649" s="12"/>
      <c r="X649" s="1601"/>
      <c r="Y649" s="1881"/>
      <c r="Z649" s="1891"/>
      <c r="AC649" s="248" t="b">
        <f>OR(AD649:AE649)</f>
        <v>0</v>
      </c>
      <c r="AD649" s="617" t="b">
        <f>T649</f>
        <v>0</v>
      </c>
      <c r="AE649" s="248" t="b">
        <f>AND(NOT(ISBLANK(W649)),LEN(X642)=0)</f>
        <v>0</v>
      </c>
      <c r="AF649" s="720" t="b">
        <f>AND(AE649,NOT(Q649))</f>
        <v>0</v>
      </c>
      <c r="AG649" s="248"/>
      <c r="AH649" s="248"/>
      <c r="AI649" s="248"/>
      <c r="AJ649" s="248"/>
      <c r="AK649" s="248"/>
      <c r="AL649" s="1352"/>
      <c r="AM649" s="1352"/>
      <c r="AN649" s="1352"/>
      <c r="AO649" s="1352"/>
      <c r="AP649" s="1352" t="str">
        <f t="shared" si="43"/>
        <v>vch606_1_h</v>
      </c>
      <c r="AQ649" s="1352" t="str">
        <f t="shared" si="44"/>
        <v/>
      </c>
      <c r="AR649" s="1352"/>
      <c r="AS649" s="1352"/>
    </row>
    <row r="650" spans="1:45" hidden="1" x14ac:dyDescent="0.2">
      <c r="A650" s="1507">
        <v>6</v>
      </c>
      <c r="B650" s="1524">
        <v>606.1</v>
      </c>
      <c r="C650" s="1511"/>
      <c r="D650" s="1511" t="s">
        <v>514</v>
      </c>
      <c r="E650" s="1511"/>
      <c r="F650" s="1514"/>
      <c r="G650" s="1509" t="str">
        <f t="shared" ca="1" si="41"/>
        <v/>
      </c>
      <c r="H650" s="1512" t="s">
        <v>3197</v>
      </c>
      <c r="I650" s="130"/>
      <c r="J650" s="129"/>
      <c r="K650" s="187"/>
      <c r="L650" s="1609"/>
      <c r="M650" s="913"/>
      <c r="N650" s="1755"/>
      <c r="O650" s="1619"/>
      <c r="P650" s="991"/>
      <c r="Q650" s="991"/>
      <c r="R650" s="991"/>
      <c r="S650" s="991"/>
      <c r="T650" s="991"/>
      <c r="U650" s="991"/>
      <c r="V650" s="991"/>
      <c r="W650" s="96"/>
      <c r="X650" s="1601"/>
      <c r="Y650" s="1881"/>
      <c r="Z650" s="1891"/>
      <c r="AC650" s="248"/>
      <c r="AD650" s="248"/>
      <c r="AE650" s="248"/>
      <c r="AF650" s="248"/>
      <c r="AG650" s="248"/>
      <c r="AH650" s="248"/>
      <c r="AI650" s="248"/>
      <c r="AJ650" s="248"/>
      <c r="AK650" s="248"/>
      <c r="AL650" s="1352"/>
      <c r="AM650" s="1352"/>
      <c r="AN650" s="1352"/>
      <c r="AO650" s="1352"/>
      <c r="AP650" s="1352"/>
      <c r="AQ650" s="1352"/>
      <c r="AR650" s="1352"/>
      <c r="AS650" s="1352"/>
    </row>
    <row r="651" spans="1:45" hidden="1" x14ac:dyDescent="0.2">
      <c r="A651" s="1507">
        <v>6</v>
      </c>
      <c r="B651" s="1524">
        <v>606.1</v>
      </c>
      <c r="C651" s="1511"/>
      <c r="D651" s="1511"/>
      <c r="E651" s="1511"/>
      <c r="F651" s="1514"/>
      <c r="G651" s="1509" t="str">
        <f t="shared" ca="1" si="41"/>
        <v/>
      </c>
      <c r="H651" s="1512" t="s">
        <v>3197</v>
      </c>
      <c r="I651" s="130"/>
      <c r="J651" s="129"/>
      <c r="K651" s="187"/>
      <c r="L651" s="260" t="s">
        <v>679</v>
      </c>
      <c r="M651" s="913"/>
      <c r="N651" s="251"/>
      <c r="O651" s="908"/>
      <c r="P651" s="991"/>
      <c r="Q651" s="991"/>
      <c r="R651" s="991"/>
      <c r="S651" s="991"/>
      <c r="T651" s="991"/>
      <c r="U651" s="991"/>
      <c r="V651" s="991"/>
      <c r="W651" s="96"/>
      <c r="X651" s="1601"/>
      <c r="Y651" s="1881"/>
      <c r="Z651" s="1891"/>
      <c r="AC651" s="248"/>
      <c r="AD651" s="248"/>
      <c r="AE651" s="248"/>
      <c r="AF651" s="248"/>
      <c r="AG651" s="248"/>
      <c r="AH651" s="248"/>
      <c r="AI651" s="248"/>
      <c r="AJ651" s="248"/>
      <c r="AK651" s="248"/>
      <c r="AL651" s="1352"/>
      <c r="AM651" s="1352"/>
      <c r="AN651" s="1352"/>
      <c r="AO651" s="1352"/>
      <c r="AP651" s="1352"/>
      <c r="AQ651" s="1352"/>
      <c r="AR651" s="1352"/>
      <c r="AS651" s="1352"/>
    </row>
    <row r="652" spans="1:45" hidden="1" x14ac:dyDescent="0.2">
      <c r="A652" s="1507">
        <v>6</v>
      </c>
      <c r="B652" s="1524">
        <v>606.1</v>
      </c>
      <c r="C652" s="1511" t="s">
        <v>254</v>
      </c>
      <c r="D652" s="1511"/>
      <c r="E652" s="1511"/>
      <c r="F652" s="1514"/>
      <c r="G652" s="1509" t="str">
        <f t="shared" ca="1" si="41"/>
        <v/>
      </c>
      <c r="H652" s="1510" t="s">
        <v>3197</v>
      </c>
      <c r="I652" s="130"/>
      <c r="J652" s="180" t="s">
        <v>254</v>
      </c>
      <c r="K652" s="97"/>
      <c r="L652" s="1609" t="s">
        <v>557</v>
      </c>
      <c r="M652" s="1623">
        <v>3</v>
      </c>
      <c r="N652" s="251"/>
      <c r="O652" s="908"/>
      <c r="P652" s="991"/>
      <c r="Q652" s="991"/>
      <c r="R652" s="198">
        <f ca="1">COUNTIF(W643:W649,INDEX(INDIRECT(U642),1))+IF(AND(S642,W642=INDEX(INDIRECT(U642),1)),1,0)</f>
        <v>0</v>
      </c>
      <c r="S652" s="991"/>
      <c r="T652" s="991"/>
      <c r="U652" s="991"/>
      <c r="V652" s="991"/>
      <c r="W652" s="96"/>
      <c r="X652" s="1601"/>
      <c r="Y652" s="1881"/>
      <c r="Z652" s="1891"/>
      <c r="AC652" s="248"/>
      <c r="AD652" s="248"/>
      <c r="AE652" s="248"/>
      <c r="AF652" s="248"/>
      <c r="AG652" s="248"/>
      <c r="AH652" s="248"/>
      <c r="AI652" s="248"/>
      <c r="AJ652" s="248"/>
      <c r="AK652" s="248"/>
      <c r="AL652" s="1352" t="str">
        <f>SUBSTITUTE(SUBSTITUTE(SUBSTITUTE("vpa"&amp;$B652&amp;$C652&amp;$D652&amp;$E652&amp;$F652,".","_"),"(","_"),")","")</f>
        <v>vpa606_1_1</v>
      </c>
      <c r="AM652" s="1352">
        <f>M652</f>
        <v>3</v>
      </c>
      <c r="AN652" s="1352"/>
      <c r="AO652" s="1352"/>
      <c r="AP652" s="1352"/>
      <c r="AQ652" s="1352"/>
      <c r="AR652" s="1352"/>
      <c r="AS652" s="1352"/>
    </row>
    <row r="653" spans="1:45" hidden="1" x14ac:dyDescent="0.2">
      <c r="A653" s="1507">
        <v>6</v>
      </c>
      <c r="B653" s="1524">
        <v>606.1</v>
      </c>
      <c r="C653" s="1511" t="s">
        <v>254</v>
      </c>
      <c r="D653" s="1511"/>
      <c r="E653" s="1511"/>
      <c r="F653" s="1514"/>
      <c r="G653" s="1509" t="str">
        <f t="shared" ca="1" si="41"/>
        <v/>
      </c>
      <c r="H653" s="1510" t="s">
        <v>3197</v>
      </c>
      <c r="I653" s="130"/>
      <c r="J653" s="213"/>
      <c r="K653" s="170"/>
      <c r="L653" s="1612"/>
      <c r="M653" s="1624"/>
      <c r="N653" s="251"/>
      <c r="O653" s="908"/>
      <c r="P653" s="991"/>
      <c r="Q653" s="991"/>
      <c r="R653" s="991"/>
      <c r="S653" s="991"/>
      <c r="T653" s="991"/>
      <c r="U653" s="991"/>
      <c r="V653" s="991"/>
      <c r="W653" s="96"/>
      <c r="X653" s="1601"/>
      <c r="Y653" s="1881"/>
      <c r="Z653" s="1891"/>
      <c r="AC653" s="248"/>
      <c r="AD653" s="248"/>
      <c r="AE653" s="248"/>
      <c r="AF653" s="248"/>
      <c r="AG653" s="248"/>
      <c r="AH653" s="248"/>
      <c r="AI653" s="248"/>
      <c r="AJ653" s="248"/>
      <c r="AK653" s="248"/>
      <c r="AL653" s="1352"/>
      <c r="AM653" s="1352"/>
      <c r="AN653" s="1352"/>
      <c r="AO653" s="1352"/>
      <c r="AP653" s="1352"/>
      <c r="AQ653" s="1352"/>
      <c r="AR653" s="1352"/>
      <c r="AS653" s="1352"/>
    </row>
    <row r="654" spans="1:45" hidden="1" x14ac:dyDescent="0.2">
      <c r="A654" s="1507">
        <v>6</v>
      </c>
      <c r="B654" s="1524">
        <v>606.1</v>
      </c>
      <c r="C654" s="1511" t="s">
        <v>255</v>
      </c>
      <c r="D654" s="1511"/>
      <c r="E654" s="1511"/>
      <c r="F654" s="1514"/>
      <c r="G654" s="1509" t="str">
        <f t="shared" ca="1" si="41"/>
        <v/>
      </c>
      <c r="H654" s="1510" t="s">
        <v>3197</v>
      </c>
      <c r="I654" s="130"/>
      <c r="J654" s="212" t="s">
        <v>255</v>
      </c>
      <c r="K654" s="194"/>
      <c r="L654" s="1613" t="s">
        <v>558</v>
      </c>
      <c r="M654" s="1636">
        <v>6</v>
      </c>
      <c r="N654" s="251"/>
      <c r="O654" s="908"/>
      <c r="P654" s="991"/>
      <c r="Q654" s="991"/>
      <c r="R654" s="198">
        <f ca="1">COUNTIF(W643:W649,INDEX(INDIRECT(U642),2))+IF(AND(S642,W642=INDEX(INDIRECT(U642),2)),1,0)</f>
        <v>0</v>
      </c>
      <c r="S654" s="991"/>
      <c r="T654" s="991"/>
      <c r="U654" s="991"/>
      <c r="V654" s="991"/>
      <c r="W654" s="96"/>
      <c r="X654" s="1601"/>
      <c r="Y654" s="1881"/>
      <c r="Z654" s="1891"/>
      <c r="AC654" s="248"/>
      <c r="AD654" s="248"/>
      <c r="AE654" s="248"/>
      <c r="AF654" s="248"/>
      <c r="AG654" s="248"/>
      <c r="AH654" s="248"/>
      <c r="AI654" s="248"/>
      <c r="AJ654" s="248"/>
      <c r="AK654" s="248"/>
      <c r="AL654" s="1352" t="str">
        <f>SUBSTITUTE(SUBSTITUTE(SUBSTITUTE("vpa"&amp;$B654&amp;$C654&amp;$D654&amp;$E654&amp;$F654,".","_"),"(","_"),")","")</f>
        <v>vpa606_1_2</v>
      </c>
      <c r="AM654" s="1352">
        <f>M654</f>
        <v>6</v>
      </c>
      <c r="AN654" s="1352"/>
      <c r="AO654" s="1352"/>
      <c r="AP654" s="1352"/>
      <c r="AQ654" s="1352"/>
      <c r="AR654" s="1352"/>
      <c r="AS654" s="1352"/>
    </row>
    <row r="655" spans="1:45" hidden="1" x14ac:dyDescent="0.2">
      <c r="A655" s="1507">
        <v>6</v>
      </c>
      <c r="B655" s="1524">
        <v>606.1</v>
      </c>
      <c r="C655" s="1511" t="s">
        <v>255</v>
      </c>
      <c r="D655" s="1511"/>
      <c r="E655" s="1511"/>
      <c r="F655" s="1514"/>
      <c r="G655" s="1509" t="str">
        <f t="shared" ca="1" si="41"/>
        <v/>
      </c>
      <c r="H655" s="1510" t="s">
        <v>3197</v>
      </c>
      <c r="I655" s="130"/>
      <c r="J655" s="213"/>
      <c r="K655" s="170"/>
      <c r="L655" s="1612"/>
      <c r="M655" s="1624"/>
      <c r="N655" s="251"/>
      <c r="O655" s="908"/>
      <c r="P655" s="991"/>
      <c r="Q655" s="991"/>
      <c r="R655" s="991"/>
      <c r="S655" s="991"/>
      <c r="T655" s="991"/>
      <c r="U655" s="991"/>
      <c r="V655" s="991"/>
      <c r="W655" s="96"/>
      <c r="X655" s="1601"/>
      <c r="Y655" s="1881"/>
      <c r="Z655" s="1891"/>
      <c r="AC655" s="248"/>
      <c r="AD655" s="248"/>
      <c r="AE655" s="248"/>
      <c r="AF655" s="248"/>
      <c r="AG655" s="248"/>
      <c r="AH655" s="248"/>
      <c r="AI655" s="248"/>
      <c r="AJ655" s="248"/>
      <c r="AK655" s="248"/>
      <c r="AL655" s="1352"/>
      <c r="AM655" s="1352"/>
      <c r="AN655" s="1352"/>
      <c r="AO655" s="1352"/>
      <c r="AP655" s="1352"/>
      <c r="AQ655" s="1352"/>
      <c r="AR655" s="1352"/>
      <c r="AS655" s="1352"/>
    </row>
    <row r="656" spans="1:45" ht="15" hidden="1" customHeight="1" x14ac:dyDescent="0.2">
      <c r="A656" s="1507">
        <v>6</v>
      </c>
      <c r="B656" s="1524">
        <v>606.1</v>
      </c>
      <c r="C656" s="1511" t="s">
        <v>256</v>
      </c>
      <c r="D656" s="1511"/>
      <c r="E656" s="1511"/>
      <c r="F656" s="1514"/>
      <c r="G656" s="1509" t="str">
        <f t="shared" ca="1" si="41"/>
        <v/>
      </c>
      <c r="H656" s="1510" t="s">
        <v>3197</v>
      </c>
      <c r="I656" s="130"/>
      <c r="J656" s="180" t="s">
        <v>256</v>
      </c>
      <c r="K656" s="97"/>
      <c r="L656" s="1609" t="s">
        <v>559</v>
      </c>
      <c r="M656" s="1692" t="s">
        <v>2626</v>
      </c>
      <c r="N656" s="251"/>
      <c r="O656" s="908"/>
      <c r="P656" s="991"/>
      <c r="Q656" s="991"/>
      <c r="R656" s="991"/>
      <c r="S656" s="991"/>
      <c r="T656" s="991"/>
      <c r="U656" s="991"/>
      <c r="V656" s="991"/>
      <c r="W656" s="96"/>
      <c r="X656" s="1601"/>
      <c r="Y656" s="1881"/>
      <c r="Z656" s="1891"/>
      <c r="AC656" s="248"/>
      <c r="AD656" s="248"/>
      <c r="AE656" s="248"/>
      <c r="AF656" s="248"/>
      <c r="AG656" s="248"/>
      <c r="AH656" s="248"/>
      <c r="AI656" s="248"/>
      <c r="AJ656" s="248"/>
      <c r="AK656" s="248"/>
      <c r="AL656" s="1352" t="str">
        <f>SUBSTITUTE(SUBSTITUTE(SUBSTITUTE("vpa"&amp;$B656&amp;$C656&amp;$D656&amp;$E656&amp;$F656,".","_"),"(","_"),")","")</f>
        <v>vpa606_1_3</v>
      </c>
      <c r="AM656" s="1352" t="str">
        <f>M656</f>
        <v>1
2 Max</v>
      </c>
      <c r="AN656" s="1352"/>
      <c r="AO656" s="1352"/>
      <c r="AP656" s="1352"/>
      <c r="AQ656" s="1352"/>
      <c r="AR656" s="1352"/>
      <c r="AS656" s="1352"/>
    </row>
    <row r="657" spans="1:46" ht="16" hidden="1" thickBot="1" x14ac:dyDescent="0.25">
      <c r="A657" s="1507">
        <v>6</v>
      </c>
      <c r="B657" s="1524">
        <v>606.1</v>
      </c>
      <c r="C657" s="1511" t="s">
        <v>256</v>
      </c>
      <c r="D657" s="1511"/>
      <c r="E657" s="1511"/>
      <c r="F657" s="1514"/>
      <c r="G657" s="1509" t="str">
        <f t="shared" ca="1" si="41"/>
        <v/>
      </c>
      <c r="H657" s="1510" t="s">
        <v>3197</v>
      </c>
      <c r="I657" s="130"/>
      <c r="J657" s="129"/>
      <c r="K657" s="97"/>
      <c r="L657" s="1609"/>
      <c r="M657" s="1692"/>
      <c r="N657" s="251"/>
      <c r="O657" s="908"/>
      <c r="P657" s="991"/>
      <c r="Q657" s="991"/>
      <c r="R657" s="991"/>
      <c r="S657" s="991"/>
      <c r="T657" s="991"/>
      <c r="U657" s="991"/>
      <c r="V657" s="991"/>
      <c r="W657" s="96"/>
      <c r="X657" s="1621"/>
      <c r="Y657" s="1882"/>
      <c r="Z657" s="1892"/>
      <c r="AC657" s="248"/>
      <c r="AD657" s="248"/>
      <c r="AE657" s="248"/>
      <c r="AF657" s="248"/>
      <c r="AG657" s="248"/>
      <c r="AH657" s="248"/>
      <c r="AI657" s="248"/>
      <c r="AJ657" s="248"/>
      <c r="AK657" s="248"/>
      <c r="AL657" s="1352"/>
      <c r="AM657" s="1352"/>
      <c r="AN657" s="1352"/>
      <c r="AO657" s="1352"/>
      <c r="AP657" s="1352"/>
      <c r="AQ657" s="1352"/>
      <c r="AR657" s="1352"/>
      <c r="AS657" s="1352"/>
    </row>
    <row r="658" spans="1:46" ht="16" hidden="1" thickTop="1" x14ac:dyDescent="0.2">
      <c r="A658" s="1507">
        <v>6</v>
      </c>
      <c r="B658" s="1524">
        <v>606.20000000000005</v>
      </c>
      <c r="C658" s="1511"/>
      <c r="D658" s="1511"/>
      <c r="E658" s="1511"/>
      <c r="F658" s="1514"/>
      <c r="G658" s="1513" t="str">
        <f>IF(COUNTIF(G673:G676,"P")&gt;0,"P","")</f>
        <v/>
      </c>
      <c r="H658" s="1510" t="s">
        <v>3197</v>
      </c>
      <c r="I658" s="177" t="s">
        <v>3576</v>
      </c>
      <c r="J658" s="178"/>
      <c r="K658" s="179"/>
      <c r="L658" s="1683" t="s">
        <v>3600</v>
      </c>
      <c r="M658" s="945"/>
      <c r="N658" s="256"/>
      <c r="O658" s="943"/>
      <c r="P658" s="106"/>
      <c r="Q658" s="106"/>
      <c r="R658" s="106"/>
      <c r="S658" s="106"/>
      <c r="T658" s="106"/>
      <c r="U658" s="106"/>
      <c r="V658" s="106"/>
      <c r="W658" s="106"/>
      <c r="X658" s="106"/>
      <c r="Z658" s="670"/>
      <c r="AC658" s="248"/>
      <c r="AD658" s="248"/>
      <c r="AE658" s="248"/>
      <c r="AF658" s="248"/>
      <c r="AG658" s="248"/>
      <c r="AH658" s="248"/>
      <c r="AI658" s="248"/>
      <c r="AJ658" s="248"/>
      <c r="AK658" s="248"/>
      <c r="AL658" s="1352"/>
      <c r="AM658" s="1352"/>
      <c r="AN658" s="1352"/>
      <c r="AO658" s="1352"/>
      <c r="AP658" s="1352"/>
      <c r="AQ658" s="1352"/>
      <c r="AR658" s="1352"/>
      <c r="AS658" s="1352"/>
    </row>
    <row r="659" spans="1:46" hidden="1" x14ac:dyDescent="0.2">
      <c r="A659" s="1507">
        <v>6</v>
      </c>
      <c r="B659" s="1524">
        <v>606.20000000000005</v>
      </c>
      <c r="C659" s="1511"/>
      <c r="D659" s="1511"/>
      <c r="E659" s="1511"/>
      <c r="F659" s="1514"/>
      <c r="G659" s="1509" t="str">
        <f t="shared" ref="G659:G672" si="45">G658</f>
        <v/>
      </c>
      <c r="H659" s="1510" t="s">
        <v>3197</v>
      </c>
      <c r="I659" s="130"/>
      <c r="J659" s="129"/>
      <c r="K659" s="97"/>
      <c r="L659" s="1629"/>
      <c r="M659" s="913"/>
      <c r="N659" s="251"/>
      <c r="O659" s="908"/>
      <c r="P659" s="991"/>
      <c r="Q659" s="991"/>
      <c r="R659" s="991"/>
      <c r="S659" s="991"/>
      <c r="T659" s="991"/>
      <c r="U659" s="991"/>
      <c r="V659" s="991"/>
      <c r="W659" s="96"/>
      <c r="X659" s="96"/>
      <c r="Z659" s="670"/>
      <c r="AC659" s="248"/>
      <c r="AD659" s="248"/>
      <c r="AE659" s="248"/>
      <c r="AF659" s="248"/>
      <c r="AG659" s="248"/>
      <c r="AH659" s="248"/>
      <c r="AI659" s="248"/>
      <c r="AJ659" s="248"/>
      <c r="AK659" s="248"/>
      <c r="AL659" s="1352"/>
      <c r="AM659" s="1352"/>
      <c r="AN659" s="1352"/>
      <c r="AO659" s="1352"/>
      <c r="AP659" s="1352"/>
      <c r="AQ659" s="1352"/>
      <c r="AR659" s="1352"/>
      <c r="AS659" s="1352"/>
    </row>
    <row r="660" spans="1:46" hidden="1" x14ac:dyDescent="0.2">
      <c r="A660" s="1507">
        <v>6</v>
      </c>
      <c r="B660" s="1524">
        <v>606.20000000000005</v>
      </c>
      <c r="C660" s="1511"/>
      <c r="D660" s="1511" t="s">
        <v>121</v>
      </c>
      <c r="E660" s="1511"/>
      <c r="F660" s="1514"/>
      <c r="G660" s="1509" t="str">
        <f t="shared" si="45"/>
        <v/>
      </c>
      <c r="H660" s="1512" t="s">
        <v>3197</v>
      </c>
      <c r="I660" s="67"/>
      <c r="J660" s="4"/>
      <c r="K660" s="89" t="s">
        <v>121</v>
      </c>
      <c r="L660" s="85" t="s">
        <v>560</v>
      </c>
      <c r="M660" s="911"/>
      <c r="N660" s="250"/>
      <c r="O660" s="935"/>
      <c r="P660" s="905"/>
      <c r="Q660" s="905"/>
      <c r="R660" s="905"/>
      <c r="S660" s="905"/>
      <c r="T660" s="905"/>
      <c r="U660" s="905"/>
      <c r="V660" s="905"/>
      <c r="W660" s="248"/>
      <c r="X660" s="248"/>
      <c r="Z660" s="670"/>
      <c r="AC660" s="248"/>
      <c r="AD660" s="248"/>
      <c r="AE660" s="248"/>
      <c r="AF660" s="248"/>
      <c r="AG660" s="248"/>
      <c r="AH660" s="248"/>
      <c r="AI660" s="248"/>
      <c r="AJ660" s="248"/>
      <c r="AK660" s="248"/>
      <c r="AL660" s="1352"/>
      <c r="AM660" s="1352"/>
      <c r="AN660" s="1352"/>
      <c r="AO660" s="1352"/>
      <c r="AP660" s="1352"/>
      <c r="AQ660" s="1352"/>
      <c r="AR660" s="1352"/>
      <c r="AS660" s="1352"/>
    </row>
    <row r="661" spans="1:46" hidden="1" x14ac:dyDescent="0.2">
      <c r="A661" s="1507">
        <v>6</v>
      </c>
      <c r="B661" s="1524">
        <v>606.20000000000005</v>
      </c>
      <c r="C661" s="1511"/>
      <c r="D661" s="1511" t="s">
        <v>122</v>
      </c>
      <c r="E661" s="1511"/>
      <c r="F661" s="1514"/>
      <c r="G661" s="1509" t="str">
        <f t="shared" si="45"/>
        <v/>
      </c>
      <c r="H661" s="1512" t="s">
        <v>3197</v>
      </c>
      <c r="I661" s="67"/>
      <c r="J661" s="4"/>
      <c r="K661" s="89" t="s">
        <v>122</v>
      </c>
      <c r="L661" s="1611" t="s">
        <v>561</v>
      </c>
      <c r="M661" s="911"/>
      <c r="N661" s="250"/>
      <c r="O661" s="935"/>
      <c r="P661" s="905"/>
      <c r="Q661" s="905"/>
      <c r="R661" s="905"/>
      <c r="S661" s="905"/>
      <c r="T661" s="905"/>
      <c r="U661" s="905"/>
      <c r="V661" s="905"/>
      <c r="W661" s="248"/>
      <c r="X661" s="248"/>
      <c r="Z661" s="670"/>
      <c r="AC661" s="248"/>
      <c r="AD661" s="248"/>
      <c r="AE661" s="248"/>
      <c r="AF661" s="248"/>
      <c r="AG661" s="248"/>
      <c r="AH661" s="248"/>
      <c r="AI661" s="248"/>
      <c r="AJ661" s="248"/>
      <c r="AK661" s="248"/>
      <c r="AL661" s="1352"/>
      <c r="AM661" s="1352"/>
      <c r="AN661" s="1352"/>
      <c r="AO661" s="1352"/>
      <c r="AP661" s="1352"/>
      <c r="AQ661" s="1352"/>
      <c r="AR661" s="1352"/>
      <c r="AS661" s="1352"/>
    </row>
    <row r="662" spans="1:46" hidden="1" x14ac:dyDescent="0.2">
      <c r="A662" s="1507">
        <v>6</v>
      </c>
      <c r="B662" s="1524">
        <v>606.20000000000005</v>
      </c>
      <c r="C662" s="1511"/>
      <c r="D662" s="1511" t="s">
        <v>122</v>
      </c>
      <c r="E662" s="1511"/>
      <c r="F662" s="1514"/>
      <c r="G662" s="1509" t="str">
        <f t="shared" si="45"/>
        <v/>
      </c>
      <c r="H662" s="1512" t="s">
        <v>3197</v>
      </c>
      <c r="I662" s="67"/>
      <c r="J662" s="4"/>
      <c r="K662" s="89"/>
      <c r="L662" s="1611"/>
      <c r="M662" s="911"/>
      <c r="N662" s="250"/>
      <c r="O662" s="935"/>
      <c r="P662" s="905"/>
      <c r="Q662" s="905"/>
      <c r="R662" s="905"/>
      <c r="S662" s="905"/>
      <c r="T662" s="905"/>
      <c r="U662" s="905"/>
      <c r="V662" s="905"/>
      <c r="W662" s="248"/>
      <c r="X662" s="248"/>
      <c r="Z662" s="670"/>
      <c r="AC662" s="248"/>
      <c r="AD662" s="248"/>
      <c r="AE662" s="248"/>
      <c r="AF662" s="248"/>
      <c r="AG662" s="248"/>
      <c r="AH662" s="248"/>
      <c r="AI662" s="248"/>
      <c r="AJ662" s="248"/>
      <c r="AK662" s="248"/>
      <c r="AL662" s="1352"/>
      <c r="AM662" s="1352"/>
      <c r="AN662" s="1352"/>
      <c r="AO662" s="1352"/>
      <c r="AP662" s="1352"/>
      <c r="AQ662" s="1352"/>
      <c r="AR662" s="1352"/>
      <c r="AS662" s="1352"/>
    </row>
    <row r="663" spans="1:46" hidden="1" x14ac:dyDescent="0.2">
      <c r="A663" s="1507">
        <v>6</v>
      </c>
      <c r="B663" s="1524">
        <v>606.20000000000005</v>
      </c>
      <c r="C663" s="1511"/>
      <c r="D663" s="1511" t="s">
        <v>123</v>
      </c>
      <c r="E663" s="1511"/>
      <c r="F663" s="1514"/>
      <c r="G663" s="1509" t="str">
        <f t="shared" si="45"/>
        <v/>
      </c>
      <c r="H663" s="1512" t="s">
        <v>3197</v>
      </c>
      <c r="I663" s="67"/>
      <c r="J663" s="4"/>
      <c r="K663" s="89" t="s">
        <v>123</v>
      </c>
      <c r="L663" s="153" t="s">
        <v>562</v>
      </c>
      <c r="M663" s="911"/>
      <c r="N663" s="250"/>
      <c r="O663" s="935"/>
      <c r="P663" s="905"/>
      <c r="Q663" s="905"/>
      <c r="R663" s="905"/>
      <c r="S663" s="905"/>
      <c r="T663" s="905"/>
      <c r="U663" s="905"/>
      <c r="V663" s="905"/>
      <c r="W663" s="248"/>
      <c r="X663" s="248"/>
      <c r="Z663" s="670"/>
      <c r="AC663" s="248"/>
      <c r="AD663" s="248"/>
      <c r="AE663" s="248"/>
      <c r="AF663" s="248"/>
      <c r="AG663" s="248"/>
      <c r="AH663" s="248"/>
      <c r="AI663" s="248"/>
      <c r="AJ663" s="248"/>
      <c r="AK663" s="248"/>
      <c r="AL663" s="1352"/>
      <c r="AM663" s="1352"/>
      <c r="AN663" s="1352"/>
      <c r="AO663" s="1352"/>
      <c r="AP663" s="1352"/>
      <c r="AQ663" s="1352"/>
      <c r="AR663" s="1352"/>
      <c r="AS663" s="1352"/>
    </row>
    <row r="664" spans="1:46" hidden="1" x14ac:dyDescent="0.2">
      <c r="A664" s="1507">
        <v>6</v>
      </c>
      <c r="B664" s="1524">
        <v>606.20000000000005</v>
      </c>
      <c r="C664" s="1511"/>
      <c r="D664" s="1518" t="s">
        <v>366</v>
      </c>
      <c r="E664" s="1518"/>
      <c r="F664" s="1519"/>
      <c r="G664" s="1509" t="str">
        <f t="shared" si="45"/>
        <v/>
      </c>
      <c r="H664" s="1520" t="s">
        <v>3197</v>
      </c>
      <c r="I664" s="67"/>
      <c r="J664" s="4"/>
      <c r="K664" s="91" t="s">
        <v>366</v>
      </c>
      <c r="L664" s="153" t="s">
        <v>563</v>
      </c>
      <c r="M664" s="911"/>
      <c r="N664" s="250"/>
      <c r="O664" s="935"/>
      <c r="P664" s="905"/>
      <c r="Q664" s="905"/>
      <c r="R664" s="905"/>
      <c r="S664" s="905"/>
      <c r="T664" s="905"/>
      <c r="U664" s="905"/>
      <c r="V664" s="905"/>
      <c r="W664" s="248"/>
      <c r="X664" s="248"/>
      <c r="Z664" s="670"/>
      <c r="AC664" s="248"/>
      <c r="AD664" s="248"/>
      <c r="AE664" s="248"/>
      <c r="AF664" s="248"/>
      <c r="AG664" s="248"/>
      <c r="AH664" s="248"/>
      <c r="AI664" s="248"/>
      <c r="AJ664" s="248"/>
      <c r="AK664" s="248"/>
      <c r="AL664" s="1352"/>
      <c r="AM664" s="1352"/>
      <c r="AN664" s="1352"/>
      <c r="AO664" s="1352"/>
      <c r="AP664" s="1352"/>
      <c r="AQ664" s="1352"/>
      <c r="AR664" s="1352"/>
      <c r="AS664" s="1352"/>
    </row>
    <row r="665" spans="1:46" hidden="1" x14ac:dyDescent="0.2">
      <c r="A665" s="1507">
        <v>6</v>
      </c>
      <c r="B665" s="1524">
        <v>606.20000000000005</v>
      </c>
      <c r="C665" s="1511"/>
      <c r="D665" s="1511" t="s">
        <v>472</v>
      </c>
      <c r="E665" s="1511"/>
      <c r="F665" s="1514"/>
      <c r="G665" s="1509" t="str">
        <f t="shared" si="45"/>
        <v/>
      </c>
      <c r="H665" s="1510" t="s">
        <v>3197</v>
      </c>
      <c r="I665" s="67"/>
      <c r="J665" s="4"/>
      <c r="K665" s="87" t="s">
        <v>472</v>
      </c>
      <c r="L665" s="153" t="s">
        <v>564</v>
      </c>
      <c r="M665" s="911"/>
      <c r="N665" s="250"/>
      <c r="O665" s="935"/>
      <c r="P665" s="905"/>
      <c r="Q665" s="905"/>
      <c r="R665" s="905"/>
      <c r="S665" s="905"/>
      <c r="T665" s="905"/>
      <c r="U665" s="905"/>
      <c r="V665" s="905"/>
      <c r="W665" s="248"/>
      <c r="X665" s="248"/>
      <c r="Z665" s="670"/>
      <c r="AC665" s="248"/>
      <c r="AD665" s="248"/>
      <c r="AE665" s="248"/>
      <c r="AF665" s="248"/>
      <c r="AG665" s="248"/>
      <c r="AH665" s="248"/>
      <c r="AI665" s="248"/>
      <c r="AJ665" s="248"/>
      <c r="AK665" s="248"/>
      <c r="AL665" s="1352"/>
      <c r="AM665" s="1352"/>
      <c r="AN665" s="1352"/>
      <c r="AO665" s="1352"/>
      <c r="AP665" s="1352"/>
      <c r="AQ665" s="1352"/>
      <c r="AR665" s="1352"/>
      <c r="AS665" s="1352"/>
    </row>
    <row r="666" spans="1:46" hidden="1" x14ac:dyDescent="0.2">
      <c r="A666" s="1507">
        <v>6</v>
      </c>
      <c r="B666" s="1524">
        <v>606.20000000000005</v>
      </c>
      <c r="C666" s="1511"/>
      <c r="D666" s="1511" t="s">
        <v>510</v>
      </c>
      <c r="E666" s="1511"/>
      <c r="F666" s="1514"/>
      <c r="G666" s="1509" t="str">
        <f t="shared" si="45"/>
        <v/>
      </c>
      <c r="H666" s="1512" t="s">
        <v>3197</v>
      </c>
      <c r="I666" s="67"/>
      <c r="J666" s="4"/>
      <c r="K666" s="89" t="s">
        <v>510</v>
      </c>
      <c r="L666" s="85" t="s">
        <v>565</v>
      </c>
      <c r="M666" s="911"/>
      <c r="N666" s="250"/>
      <c r="O666" s="935"/>
      <c r="P666" s="905"/>
      <c r="Q666" s="905"/>
      <c r="R666" s="905"/>
      <c r="S666" s="905"/>
      <c r="T666" s="905"/>
      <c r="U666" s="905"/>
      <c r="V666" s="905"/>
      <c r="W666" s="248"/>
      <c r="X666" s="248"/>
      <c r="Z666" s="670"/>
      <c r="AC666" s="248"/>
      <c r="AD666" s="248"/>
      <c r="AE666" s="248"/>
      <c r="AF666" s="248"/>
      <c r="AG666" s="248"/>
      <c r="AH666" s="248"/>
      <c r="AI666" s="248"/>
      <c r="AJ666" s="248"/>
      <c r="AK666" s="248"/>
      <c r="AL666" s="1352"/>
      <c r="AM666" s="1352"/>
      <c r="AN666" s="1352"/>
      <c r="AO666" s="1352"/>
      <c r="AP666" s="1352"/>
      <c r="AQ666" s="1352"/>
      <c r="AR666" s="1352"/>
      <c r="AS666" s="1352"/>
    </row>
    <row r="667" spans="1:46" hidden="1" x14ac:dyDescent="0.2">
      <c r="A667" s="1507">
        <v>6</v>
      </c>
      <c r="B667" s="1524">
        <v>606.20000000000005</v>
      </c>
      <c r="C667" s="1511"/>
      <c r="D667" s="1511" t="s">
        <v>512</v>
      </c>
      <c r="E667" s="1511"/>
      <c r="F667" s="1514"/>
      <c r="G667" s="1509" t="str">
        <f t="shared" si="45"/>
        <v/>
      </c>
      <c r="H667" s="1512" t="s">
        <v>3197</v>
      </c>
      <c r="I667" s="67"/>
      <c r="J667" s="4"/>
      <c r="K667" s="89" t="s">
        <v>512</v>
      </c>
      <c r="L667" s="85" t="s">
        <v>566</v>
      </c>
      <c r="M667" s="911"/>
      <c r="N667" s="250"/>
      <c r="O667" s="935"/>
      <c r="P667" s="905"/>
      <c r="Q667" s="905"/>
      <c r="R667" s="905"/>
      <c r="S667" s="905"/>
      <c r="T667" s="905"/>
      <c r="U667" s="905"/>
      <c r="V667" s="905"/>
      <c r="W667" s="248"/>
      <c r="X667" s="248"/>
      <c r="Z667" s="670"/>
      <c r="AC667" s="248"/>
      <c r="AD667" s="248"/>
      <c r="AE667" s="248"/>
      <c r="AF667" s="248"/>
      <c r="AG667" s="248"/>
      <c r="AH667" s="248"/>
      <c r="AI667" s="248"/>
      <c r="AJ667" s="248"/>
      <c r="AK667" s="248"/>
      <c r="AL667" s="1352"/>
      <c r="AM667" s="1352"/>
      <c r="AN667" s="1352"/>
      <c r="AO667" s="1352"/>
      <c r="AP667" s="1352"/>
      <c r="AQ667" s="1352"/>
      <c r="AR667" s="1352"/>
      <c r="AS667" s="1352"/>
    </row>
    <row r="668" spans="1:46" hidden="1" x14ac:dyDescent="0.2">
      <c r="A668" s="1507">
        <v>6</v>
      </c>
      <c r="B668" s="1524">
        <v>606.20000000000005</v>
      </c>
      <c r="C668" s="1511"/>
      <c r="D668" s="1511" t="s">
        <v>514</v>
      </c>
      <c r="E668" s="1511"/>
      <c r="F668" s="1514"/>
      <c r="G668" s="1509" t="str">
        <f t="shared" si="45"/>
        <v/>
      </c>
      <c r="H668" s="1512" t="s">
        <v>3197</v>
      </c>
      <c r="I668"/>
      <c r="J668"/>
      <c r="K668" s="89" t="s">
        <v>514</v>
      </c>
      <c r="L668" s="1717" t="s">
        <v>3990</v>
      </c>
      <c r="M668" s="911"/>
      <c r="N668"/>
      <c r="O668" s="935"/>
      <c r="P668" s="905"/>
      <c r="Q668" s="905"/>
      <c r="R668" s="905"/>
      <c r="S668" s="905"/>
      <c r="T668" s="905"/>
      <c r="U668" s="905"/>
      <c r="V668" s="905"/>
      <c r="W668"/>
      <c r="X668"/>
      <c r="Y668"/>
      <c r="Z668"/>
      <c r="AA668"/>
      <c r="AC668"/>
      <c r="AD668"/>
      <c r="AE668"/>
      <c r="AF668"/>
      <c r="AG668"/>
      <c r="AH668"/>
      <c r="AI668"/>
      <c r="AJ668"/>
      <c r="AK668"/>
      <c r="AL668" s="1352"/>
      <c r="AM668" s="1352"/>
      <c r="AN668" s="1352"/>
      <c r="AO668" s="1352"/>
      <c r="AP668" s="1352"/>
      <c r="AQ668" s="1352"/>
      <c r="AR668" s="1352"/>
      <c r="AS668" s="1352"/>
      <c r="AT668"/>
    </row>
    <row r="669" spans="1:46" hidden="1" x14ac:dyDescent="0.2">
      <c r="A669" s="1507">
        <v>6</v>
      </c>
      <c r="B669" s="1524">
        <v>606.20000000000005</v>
      </c>
      <c r="C669" s="1511"/>
      <c r="D669" s="1511" t="s">
        <v>514</v>
      </c>
      <c r="E669" s="1511"/>
      <c r="F669" s="1514"/>
      <c r="G669" s="1509" t="str">
        <f t="shared" si="45"/>
        <v/>
      </c>
      <c r="H669" s="1512" t="s">
        <v>3197</v>
      </c>
      <c r="I669"/>
      <c r="J669"/>
      <c r="K669" s="89"/>
      <c r="L669" s="1717"/>
      <c r="M669" s="911"/>
      <c r="N669"/>
      <c r="O669" s="935"/>
      <c r="P669" s="905"/>
      <c r="Q669" s="905"/>
      <c r="R669" s="905"/>
      <c r="S669" s="905"/>
      <c r="T669" s="905"/>
      <c r="U669" s="905"/>
      <c r="V669" s="905"/>
      <c r="W669"/>
      <c r="X669"/>
      <c r="Y669"/>
      <c r="Z669"/>
      <c r="AA669"/>
      <c r="AC669"/>
      <c r="AD669"/>
      <c r="AE669"/>
      <c r="AF669"/>
      <c r="AG669"/>
      <c r="AH669"/>
      <c r="AI669"/>
      <c r="AJ669"/>
      <c r="AK669"/>
      <c r="AL669" s="1352"/>
      <c r="AM669" s="1352"/>
      <c r="AN669" s="1352"/>
      <c r="AO669" s="1352"/>
      <c r="AP669" s="1352"/>
      <c r="AQ669" s="1352"/>
      <c r="AR669" s="1352"/>
      <c r="AS669" s="1352"/>
      <c r="AT669"/>
    </row>
    <row r="670" spans="1:46" hidden="1" x14ac:dyDescent="0.2">
      <c r="A670" s="1507">
        <v>6</v>
      </c>
      <c r="B670" s="1524">
        <v>606.20000000000005</v>
      </c>
      <c r="C670" s="1511"/>
      <c r="D670" s="1511" t="s">
        <v>514</v>
      </c>
      <c r="E670" s="1511"/>
      <c r="F670" s="1514"/>
      <c r="G670" s="1509" t="str">
        <f t="shared" si="45"/>
        <v/>
      </c>
      <c r="H670" s="1512" t="s">
        <v>3197</v>
      </c>
      <c r="I670"/>
      <c r="J670"/>
      <c r="K670" s="89"/>
      <c r="L670" s="1717"/>
      <c r="M670" s="911"/>
      <c r="N670"/>
      <c r="O670" s="935"/>
      <c r="P670" s="905"/>
      <c r="Q670" s="905"/>
      <c r="R670" s="905"/>
      <c r="S670" s="905"/>
      <c r="T670" s="905"/>
      <c r="U670" s="905"/>
      <c r="V670" s="905"/>
      <c r="W670"/>
      <c r="X670"/>
      <c r="Y670"/>
      <c r="Z670"/>
      <c r="AA670"/>
      <c r="AC670"/>
      <c r="AD670"/>
      <c r="AE670"/>
      <c r="AF670"/>
      <c r="AG670"/>
      <c r="AH670"/>
      <c r="AI670"/>
      <c r="AJ670"/>
      <c r="AK670"/>
      <c r="AL670" s="1352"/>
      <c r="AM670" s="1352"/>
      <c r="AN670" s="1352"/>
      <c r="AO670" s="1352"/>
      <c r="AP670" s="1352"/>
      <c r="AQ670" s="1352"/>
      <c r="AR670" s="1352"/>
      <c r="AS670" s="1352"/>
      <c r="AT670"/>
    </row>
    <row r="671" spans="1:46" hidden="1" x14ac:dyDescent="0.2">
      <c r="A671" s="1507">
        <v>6</v>
      </c>
      <c r="B671" s="1524">
        <v>606.20000000000005</v>
      </c>
      <c r="C671" s="1511"/>
      <c r="D671" s="1511" t="s">
        <v>514</v>
      </c>
      <c r="E671" s="1511"/>
      <c r="F671" s="1514"/>
      <c r="G671" s="1509" t="str">
        <f t="shared" si="45"/>
        <v/>
      </c>
      <c r="H671" s="1512" t="s">
        <v>3197</v>
      </c>
      <c r="I671"/>
      <c r="J671"/>
      <c r="K671" s="89"/>
      <c r="L671" s="1717"/>
      <c r="M671" s="911"/>
      <c r="N671"/>
      <c r="O671" s="935"/>
      <c r="P671" s="905"/>
      <c r="Q671" s="905"/>
      <c r="R671" s="905"/>
      <c r="S671" s="905"/>
      <c r="T671" s="905"/>
      <c r="U671" s="905"/>
      <c r="V671" s="905"/>
      <c r="W671"/>
      <c r="X671"/>
      <c r="Y671"/>
      <c r="Z671"/>
      <c r="AA671"/>
      <c r="AC671"/>
      <c r="AD671"/>
      <c r="AE671"/>
      <c r="AF671"/>
      <c r="AG671"/>
      <c r="AH671"/>
      <c r="AI671"/>
      <c r="AJ671"/>
      <c r="AK671"/>
      <c r="AL671" s="1352"/>
      <c r="AM671" s="1352"/>
      <c r="AN671" s="1352"/>
      <c r="AO671" s="1352"/>
      <c r="AP671" s="1352"/>
      <c r="AQ671" s="1352"/>
      <c r="AR671" s="1352"/>
      <c r="AS671" s="1352"/>
      <c r="AT671"/>
    </row>
    <row r="672" spans="1:46" hidden="1" x14ac:dyDescent="0.2">
      <c r="A672" s="1507">
        <v>6</v>
      </c>
      <c r="B672" s="1524">
        <v>606.20000000000005</v>
      </c>
      <c r="C672" s="1511"/>
      <c r="D672" s="1511" t="s">
        <v>514</v>
      </c>
      <c r="E672" s="1511"/>
      <c r="F672" s="1514"/>
      <c r="G672" s="1509" t="str">
        <f t="shared" si="45"/>
        <v/>
      </c>
      <c r="H672" s="1512" t="s">
        <v>3197</v>
      </c>
      <c r="I672"/>
      <c r="J672"/>
      <c r="K672" s="89"/>
      <c r="L672" s="1717"/>
      <c r="M672" s="911"/>
      <c r="N672"/>
      <c r="O672" s="935"/>
      <c r="P672" s="905"/>
      <c r="Q672" s="905"/>
      <c r="R672" s="905"/>
      <c r="S672" s="905"/>
      <c r="T672" s="905"/>
      <c r="U672" s="905"/>
      <c r="V672" s="905"/>
      <c r="W672" s="248" t="s">
        <v>2627</v>
      </c>
      <c r="X672"/>
      <c r="Y672"/>
      <c r="Z672"/>
      <c r="AA672"/>
      <c r="AC672"/>
      <c r="AD672"/>
      <c r="AE672"/>
      <c r="AF672"/>
      <c r="AG672"/>
      <c r="AH672"/>
      <c r="AI672"/>
      <c r="AJ672"/>
      <c r="AK672"/>
      <c r="AL672" s="1352"/>
      <c r="AM672" s="1352"/>
      <c r="AN672" s="1352"/>
      <c r="AO672" s="1352"/>
      <c r="AP672" s="1352"/>
      <c r="AQ672" s="1352"/>
      <c r="AR672" s="1352"/>
      <c r="AS672" s="1352"/>
      <c r="AT672"/>
    </row>
    <row r="673" spans="1:45" ht="15" hidden="1" customHeight="1" x14ac:dyDescent="0.2">
      <c r="A673" s="1507">
        <v>6</v>
      </c>
      <c r="B673" s="1524">
        <v>606.20000000000005</v>
      </c>
      <c r="C673" s="1511" t="s">
        <v>254</v>
      </c>
      <c r="D673" s="1528" t="s">
        <v>2539</v>
      </c>
      <c r="E673" s="1528"/>
      <c r="F673" s="1529"/>
      <c r="G673" s="1509" t="str">
        <f>IF(N673&gt;0,"P","")</f>
        <v/>
      </c>
      <c r="H673" s="1527" t="s">
        <v>3197</v>
      </c>
      <c r="I673" s="67"/>
      <c r="J673" s="180" t="s">
        <v>254</v>
      </c>
      <c r="K673" s="97"/>
      <c r="L673" s="1609" t="s">
        <v>3992</v>
      </c>
      <c r="M673" s="1623">
        <v>3</v>
      </c>
      <c r="N673" s="1755">
        <f>'11.600'!O375</f>
        <v>0</v>
      </c>
      <c r="O673" s="1619">
        <f>IF(AND(S673,NOT(ISBLANK(W673)),NOT(ISBLANK(W674))),M673,0)</f>
        <v>0</v>
      </c>
      <c r="P673" s="905" t="b">
        <v>1</v>
      </c>
      <c r="Q673" s="905" t="b">
        <v>1</v>
      </c>
      <c r="R673" s="905" t="b">
        <v>0</v>
      </c>
      <c r="S673" s="905" t="b">
        <v>1</v>
      </c>
      <c r="T673" s="905" t="b">
        <v>0</v>
      </c>
      <c r="U673" s="991" t="str">
        <f t="shared" ref="U673:U679" si="46">SUBSTITUTE(SUBSTITUTE(SUBSTITUTE("dd"&amp;B673&amp;C673&amp;D673&amp;E673&amp;F673,".","_"),"(","_"),")","")</f>
        <v>dd606_2_1a</v>
      </c>
      <c r="V673" s="905"/>
      <c r="W673" s="12"/>
      <c r="X673" s="249"/>
      <c r="Y673" s="267" t="str">
        <f>IF(LEN('11.600'!X375)=0,"None",'11.600'!X375)</f>
        <v>None</v>
      </c>
      <c r="Z673" s="715"/>
      <c r="AC673" s="248" t="b">
        <f>OR(AD673:AE673)</f>
        <v>0</v>
      </c>
      <c r="AD673" s="617" t="b">
        <f>T673</f>
        <v>0</v>
      </c>
      <c r="AE673" s="248" t="b">
        <f>AND(NOT(ISBLANK(W673)),LEN(X673)=0)</f>
        <v>0</v>
      </c>
      <c r="AF673" s="720" t="b">
        <f>AND(AE673,NOT(Q673))</f>
        <v>0</v>
      </c>
      <c r="AG673" s="248"/>
      <c r="AH673" s="248"/>
      <c r="AI673" s="248"/>
      <c r="AJ673" s="248"/>
      <c r="AK673" s="248"/>
      <c r="AL673" s="1352" t="str">
        <f>SUBSTITUTE(SUBSTITUTE(SUBSTITUTE("vpa"&amp;$B673&amp;$C673&amp;$D673&amp;$E673&amp;$F673,".","_"),"(","_"),")","")</f>
        <v>vpa606_2_1a</v>
      </c>
      <c r="AM673" s="1352">
        <f>M673</f>
        <v>3</v>
      </c>
      <c r="AN673" s="1352" t="str">
        <f>SUBSTITUTE(SUBSTITUTE(SUBSTITUTE("vpc"&amp;$B673&amp;$C673&amp;$D673&amp;$E673&amp;$F673,".","_"),"(","_"),")","")</f>
        <v>vpc606_2_1a</v>
      </c>
      <c r="AO673" s="1352">
        <f>O673</f>
        <v>0</v>
      </c>
      <c r="AP673" s="1352" t="str">
        <f>SUBSTITUTE(SUBSTITUTE(SUBSTITUTE("vch"&amp;$B673&amp;$C673&amp;$D673&amp;$E673&amp;$F673,".","_"),"(","_"),")","")</f>
        <v>vch606_2_1a</v>
      </c>
      <c r="AQ673" s="1352" t="str">
        <f>IF(LEN(W673)=0,"",W673)</f>
        <v/>
      </c>
      <c r="AR673" s="1352" t="str">
        <f>SUBSTITUTE(SUBSTITUTE(SUBSTITUTE("vnt"&amp;$B673&amp;$C673&amp;$D673&amp;$E673&amp;$F673,".","_"),"(","_"),")","")</f>
        <v>vnt606_2_1a</v>
      </c>
      <c r="AS673" s="1352" t="str">
        <f>IF(LEN(X673)=0,"",X673)</f>
        <v/>
      </c>
    </row>
    <row r="674" spans="1:45" hidden="1" x14ac:dyDescent="0.2">
      <c r="A674" s="1507">
        <v>6</v>
      </c>
      <c r="B674" s="1524">
        <v>606.20000000000005</v>
      </c>
      <c r="C674" s="1511" t="s">
        <v>254</v>
      </c>
      <c r="D674" s="1528" t="s">
        <v>2540</v>
      </c>
      <c r="E674" s="1528"/>
      <c r="F674" s="1529"/>
      <c r="G674" s="1509" t="str">
        <f>G673</f>
        <v/>
      </c>
      <c r="H674" s="1527" t="s">
        <v>3197</v>
      </c>
      <c r="I674" s="67"/>
      <c r="J674" s="180"/>
      <c r="K674" s="97"/>
      <c r="L674" s="1609"/>
      <c r="M674" s="1623"/>
      <c r="N674" s="1755"/>
      <c r="O674" s="1619"/>
      <c r="P674" s="905" t="b">
        <v>1</v>
      </c>
      <c r="Q674" s="905" t="b">
        <v>1</v>
      </c>
      <c r="R674" s="905" t="b">
        <v>0</v>
      </c>
      <c r="S674" s="905" t="b">
        <v>1</v>
      </c>
      <c r="T674" s="905" t="b">
        <v>0</v>
      </c>
      <c r="U674" s="991" t="str">
        <f t="shared" si="46"/>
        <v>dd606_2_1b</v>
      </c>
      <c r="V674" s="905"/>
      <c r="W674" s="12"/>
      <c r="X674" s="1600"/>
      <c r="Y674" s="1874" t="str">
        <f>IF(LEN('11.600'!X376)=0,"None",'11.600'!X376)</f>
        <v>None</v>
      </c>
      <c r="Z674" s="1889"/>
      <c r="AC674" s="248" t="b">
        <f>OR(AD674:AE674)</f>
        <v>0</v>
      </c>
      <c r="AD674" s="617" t="b">
        <f>T674</f>
        <v>0</v>
      </c>
      <c r="AE674" s="248" t="b">
        <f>AND(NOT(ISBLANK(W674)),LEN(X674)=0)</f>
        <v>0</v>
      </c>
      <c r="AF674" s="720" t="b">
        <f>AND(AE674,NOT(Q674))</f>
        <v>0</v>
      </c>
      <c r="AG674" s="248"/>
      <c r="AH674" s="248"/>
      <c r="AI674" s="248"/>
      <c r="AJ674" s="248"/>
      <c r="AK674" s="248"/>
      <c r="AL674" s="1352"/>
      <c r="AM674" s="1352"/>
      <c r="AN674" s="1352"/>
      <c r="AO674" s="1352"/>
      <c r="AP674" s="1352" t="str">
        <f>SUBSTITUTE(SUBSTITUTE(SUBSTITUTE("vch"&amp;$B674&amp;$C674&amp;$D674&amp;$E674&amp;$F674,".","_"),"(","_"),")","")</f>
        <v>vch606_2_1b</v>
      </c>
      <c r="AQ674" s="1352" t="str">
        <f>IF(LEN(W674)=0,"",W674)</f>
        <v/>
      </c>
      <c r="AR674" s="1352" t="str">
        <f>SUBSTITUTE(SUBSTITUTE(SUBSTITUTE("vnt"&amp;$B674&amp;$C674&amp;$D674&amp;$E674&amp;$F674,".","_"),"(","_"),")","")</f>
        <v>vnt606_2_1b</v>
      </c>
      <c r="AS674" s="1352" t="str">
        <f>IF(LEN(X674)=0,"",X674)</f>
        <v/>
      </c>
    </row>
    <row r="675" spans="1:45" hidden="1" x14ac:dyDescent="0.2">
      <c r="A675" s="1507">
        <v>6</v>
      </c>
      <c r="B675" s="1524">
        <v>606.20000000000005</v>
      </c>
      <c r="C675" s="1511" t="s">
        <v>254</v>
      </c>
      <c r="D675" s="1528"/>
      <c r="E675" s="1528"/>
      <c r="F675" s="1529"/>
      <c r="G675" s="1509" t="str">
        <f>G674</f>
        <v/>
      </c>
      <c r="H675" s="1527" t="s">
        <v>3197</v>
      </c>
      <c r="I675" s="67"/>
      <c r="J675" s="207"/>
      <c r="K675" s="170"/>
      <c r="L675" s="261" t="s">
        <v>2628</v>
      </c>
      <c r="M675" s="1624"/>
      <c r="N675" s="1756"/>
      <c r="O675" s="1620"/>
      <c r="P675" s="905"/>
      <c r="Q675" s="905"/>
      <c r="R675" s="905"/>
      <c r="S675" s="905"/>
      <c r="T675" s="905"/>
      <c r="U675" s="991"/>
      <c r="V675" s="905"/>
      <c r="W675" s="248"/>
      <c r="X675" s="1600"/>
      <c r="Y675" s="1874"/>
      <c r="Z675" s="1889"/>
      <c r="AC675" s="248"/>
      <c r="AD675" s="248"/>
      <c r="AE675" s="248"/>
      <c r="AF675" s="248"/>
      <c r="AG675" s="248"/>
      <c r="AH675" s="248"/>
      <c r="AI675" s="248"/>
      <c r="AJ675" s="248"/>
      <c r="AK675" s="248"/>
      <c r="AL675" s="1352"/>
      <c r="AM675" s="1352"/>
      <c r="AN675" s="1352"/>
      <c r="AO675" s="1352"/>
      <c r="AP675" s="1352"/>
      <c r="AQ675" s="1352"/>
      <c r="AR675" s="1352"/>
      <c r="AS675" s="1352"/>
    </row>
    <row r="676" spans="1:45" ht="15" hidden="1" customHeight="1" x14ac:dyDescent="0.2">
      <c r="A676" s="1507">
        <v>6</v>
      </c>
      <c r="B676" s="1524">
        <v>606.20000000000005</v>
      </c>
      <c r="C676" s="1511" t="s">
        <v>255</v>
      </c>
      <c r="D676" s="1528" t="s">
        <v>2539</v>
      </c>
      <c r="E676" s="1528"/>
      <c r="F676" s="1529"/>
      <c r="G676" s="1509" t="str">
        <f>IF(N676&gt;0,"P","")</f>
        <v/>
      </c>
      <c r="H676" s="1527" t="s">
        <v>3197</v>
      </c>
      <c r="I676" s="67"/>
      <c r="J676" s="29" t="s">
        <v>255</v>
      </c>
      <c r="K676" s="85"/>
      <c r="L676" s="1611" t="s">
        <v>3993</v>
      </c>
      <c r="M676" s="1628">
        <v>4</v>
      </c>
      <c r="N676" s="1758">
        <f>'11.600'!O378</f>
        <v>0</v>
      </c>
      <c r="O676" s="1669">
        <f>IF(AND(S676,NOT(ISBLANK(W676)),NOT(ISBLANK(W677))),M676,0)</f>
        <v>0</v>
      </c>
      <c r="P676" s="905" t="b">
        <v>1</v>
      </c>
      <c r="Q676" s="905" t="b">
        <v>1</v>
      </c>
      <c r="R676" s="905" t="b">
        <v>0</v>
      </c>
      <c r="S676" s="905" t="b">
        <v>1</v>
      </c>
      <c r="T676" s="905" t="b">
        <v>0</v>
      </c>
      <c r="U676" s="991" t="str">
        <f t="shared" si="46"/>
        <v>dd606_2_2a</v>
      </c>
      <c r="V676" s="905"/>
      <c r="W676" s="12"/>
      <c r="X676" s="249"/>
      <c r="Y676" s="267" t="str">
        <f>IF(LEN('11.600'!X378)=0,"None",'11.600'!X378)</f>
        <v>None</v>
      </c>
      <c r="Z676" s="715"/>
      <c r="AC676" s="248" t="b">
        <f>OR(AD676:AE676)</f>
        <v>0</v>
      </c>
      <c r="AD676" s="617" t="b">
        <f>T676</f>
        <v>0</v>
      </c>
      <c r="AE676" s="248" t="b">
        <f>AND(NOT(ISBLANK(W676)),LEN(X676)=0)</f>
        <v>0</v>
      </c>
      <c r="AF676" s="720" t="b">
        <f>AND(AE676,NOT(Q676))</f>
        <v>0</v>
      </c>
      <c r="AG676" s="248"/>
      <c r="AH676" s="248"/>
      <c r="AI676" s="248"/>
      <c r="AJ676" s="248"/>
      <c r="AK676" s="248"/>
      <c r="AL676" s="1352" t="str">
        <f>SUBSTITUTE(SUBSTITUTE(SUBSTITUTE("vpa"&amp;$B676&amp;$C676&amp;$D676&amp;$E676&amp;$F676,".","_"),"(","_"),")","")</f>
        <v>vpa606_2_2a</v>
      </c>
      <c r="AM676" s="1352">
        <f>M676</f>
        <v>4</v>
      </c>
      <c r="AN676" s="1352" t="str">
        <f>SUBSTITUTE(SUBSTITUTE(SUBSTITUTE("vpc"&amp;$B676&amp;$C676&amp;$D676&amp;$E676&amp;$F676,".","_"),"(","_"),")","")</f>
        <v>vpc606_2_2a</v>
      </c>
      <c r="AO676" s="1352">
        <f>O676</f>
        <v>0</v>
      </c>
      <c r="AP676" s="1352" t="str">
        <f>SUBSTITUTE(SUBSTITUTE(SUBSTITUTE("vch"&amp;$B676&amp;$C676&amp;$D676&amp;$E676&amp;$F676,".","_"),"(","_"),")","")</f>
        <v>vch606_2_2a</v>
      </c>
      <c r="AQ676" s="1352" t="str">
        <f>IF(LEN(W676)=0,"",W676)</f>
        <v/>
      </c>
      <c r="AR676" s="1352" t="str">
        <f>SUBSTITUTE(SUBSTITUTE(SUBSTITUTE("vnt"&amp;$B676&amp;$C676&amp;$D676&amp;$E676&amp;$F676,".","_"),"(","_"),")","")</f>
        <v>vnt606_2_2a</v>
      </c>
      <c r="AS676" s="1352" t="str">
        <f>IF(LEN(X676)=0,"",X676)</f>
        <v/>
      </c>
    </row>
    <row r="677" spans="1:45" hidden="1" x14ac:dyDescent="0.2">
      <c r="A677" s="1507">
        <v>6</v>
      </c>
      <c r="B677" s="1524">
        <v>606.20000000000005</v>
      </c>
      <c r="C677" s="1511" t="s">
        <v>255</v>
      </c>
      <c r="D677" s="1528" t="s">
        <v>2540</v>
      </c>
      <c r="E677" s="1528"/>
      <c r="F677" s="1529"/>
      <c r="G677" s="1509" t="str">
        <f t="shared" ref="G677:G684" si="47">G676</f>
        <v/>
      </c>
      <c r="H677" s="1527" t="s">
        <v>3197</v>
      </c>
      <c r="I677" s="67"/>
      <c r="J677" s="4"/>
      <c r="K677" s="85"/>
      <c r="L677" s="1611"/>
      <c r="M677" s="1628"/>
      <c r="N677" s="1644"/>
      <c r="O677" s="1669"/>
      <c r="P677" s="905" t="b">
        <v>1</v>
      </c>
      <c r="Q677" s="905" t="b">
        <v>1</v>
      </c>
      <c r="R677" s="905" t="b">
        <v>0</v>
      </c>
      <c r="S677" s="905" t="b">
        <v>1</v>
      </c>
      <c r="T677" s="905" t="b">
        <v>0</v>
      </c>
      <c r="U677" s="991" t="str">
        <f t="shared" si="46"/>
        <v>dd606_2_2b</v>
      </c>
      <c r="V677" s="905"/>
      <c r="W677" s="12"/>
      <c r="X677" s="1600"/>
      <c r="Y677" s="1881" t="str">
        <f>IF(LEN('11.600'!X379)=0,"None",'11.600'!X379)</f>
        <v>None</v>
      </c>
      <c r="Z677" s="1891"/>
      <c r="AC677" s="248" t="b">
        <f>OR(AD677:AE677)</f>
        <v>0</v>
      </c>
      <c r="AD677" s="617" t="b">
        <f>T677</f>
        <v>0</v>
      </c>
      <c r="AE677" s="248" t="b">
        <f>AND(NOT(ISBLANK(W677)),LEN(X677)=0)</f>
        <v>0</v>
      </c>
      <c r="AF677" s="720" t="b">
        <f>AND(AE677,NOT(Q677))</f>
        <v>0</v>
      </c>
      <c r="AG677" s="248"/>
      <c r="AH677" s="248"/>
      <c r="AI677" s="248"/>
      <c r="AJ677" s="248"/>
      <c r="AK677" s="248"/>
      <c r="AL677" s="1352"/>
      <c r="AM677" s="1352"/>
      <c r="AN677" s="1352"/>
      <c r="AO677" s="1352"/>
      <c r="AP677" s="1352" t="str">
        <f>SUBSTITUTE(SUBSTITUTE(SUBSTITUTE("vch"&amp;$B677&amp;$C677&amp;$D677&amp;$E677&amp;$F677,".","_"),"(","_"),")","")</f>
        <v>vch606_2_2b</v>
      </c>
      <c r="AQ677" s="1352" t="str">
        <f>IF(LEN(W677)=0,"",W677)</f>
        <v/>
      </c>
      <c r="AR677" s="1352" t="str">
        <f>SUBSTITUTE(SUBSTITUTE(SUBSTITUTE("vnt"&amp;$B677&amp;$C677&amp;$D677&amp;$E677&amp;$F677,".","_"),"(","_"),")","")</f>
        <v>vnt606_2_2b</v>
      </c>
      <c r="AS677" s="1352" t="str">
        <f>IF(LEN(X677)=0,"",X677)</f>
        <v/>
      </c>
    </row>
    <row r="678" spans="1:45" ht="16" hidden="1" thickBot="1" x14ac:dyDescent="0.25">
      <c r="A678" s="1507">
        <v>6</v>
      </c>
      <c r="B678" s="1524">
        <v>606.20000000000005</v>
      </c>
      <c r="C678" s="1511" t="s">
        <v>255</v>
      </c>
      <c r="D678" s="1528"/>
      <c r="E678" s="1528"/>
      <c r="F678" s="1529"/>
      <c r="G678" s="1509" t="str">
        <f t="shared" si="47"/>
        <v/>
      </c>
      <c r="H678" s="1527" t="s">
        <v>3197</v>
      </c>
      <c r="I678" s="67"/>
      <c r="J678" s="4"/>
      <c r="K678" s="85"/>
      <c r="L678" s="258" t="s">
        <v>2628</v>
      </c>
      <c r="M678" s="1628"/>
      <c r="N678" s="1645"/>
      <c r="O678" s="1669"/>
      <c r="P678" s="905"/>
      <c r="Q678" s="905"/>
      <c r="R678" s="905"/>
      <c r="S678" s="905"/>
      <c r="T678" s="905"/>
      <c r="U678" s="991"/>
      <c r="V678" s="905"/>
      <c r="W678" s="270"/>
      <c r="X678" s="1621"/>
      <c r="Y678" s="1882"/>
      <c r="Z678" s="1892"/>
      <c r="AC678" s="248"/>
      <c r="AD678" s="248"/>
      <c r="AE678" s="248"/>
      <c r="AF678" s="248"/>
      <c r="AG678" s="248"/>
      <c r="AH678" s="248"/>
      <c r="AI678" s="248"/>
      <c r="AJ678" s="248"/>
      <c r="AK678" s="248"/>
      <c r="AL678" s="1352"/>
      <c r="AM678" s="1352"/>
      <c r="AN678" s="1352"/>
      <c r="AO678" s="1352"/>
      <c r="AP678" s="1352"/>
      <c r="AQ678" s="1352"/>
      <c r="AR678" s="1352"/>
      <c r="AS678" s="1352"/>
    </row>
    <row r="679" spans="1:45" ht="16" hidden="1" thickTop="1" x14ac:dyDescent="0.2">
      <c r="A679" s="1507">
        <v>6</v>
      </c>
      <c r="B679" s="1524">
        <v>606.29999999999995</v>
      </c>
      <c r="C679" s="1511"/>
      <c r="D679" s="1511"/>
      <c r="E679" s="1511"/>
      <c r="F679" s="1514"/>
      <c r="G679" s="1509" t="str">
        <f ca="1">IF(N679&gt;0,"P","")</f>
        <v/>
      </c>
      <c r="H679" s="1510" t="s">
        <v>3197</v>
      </c>
      <c r="I679" s="177" t="s">
        <v>3577</v>
      </c>
      <c r="J679" s="178"/>
      <c r="K679" s="179"/>
      <c r="L679" s="1683" t="s">
        <v>3599</v>
      </c>
      <c r="M679" s="1685" t="s">
        <v>547</v>
      </c>
      <c r="N679" s="1770">
        <f ca="1">'11.600'!O381</f>
        <v>0</v>
      </c>
      <c r="O679" s="1682">
        <f ca="1">IFERROR(MATCH(W679,INDIRECT(U679),0),0)*2</f>
        <v>0</v>
      </c>
      <c r="P679" s="106" t="b">
        <v>1</v>
      </c>
      <c r="Q679" s="106" t="b">
        <v>1</v>
      </c>
      <c r="R679" s="106" t="b">
        <v>0</v>
      </c>
      <c r="S679" s="106" t="b">
        <v>1</v>
      </c>
      <c r="T679" s="106" t="b">
        <v>0</v>
      </c>
      <c r="U679" s="106" t="str">
        <f t="shared" si="46"/>
        <v>dd606_3</v>
      </c>
      <c r="V679" s="106"/>
      <c r="W679" s="269"/>
      <c r="X679" s="1670"/>
      <c r="Y679" s="1877" t="str">
        <f>IF(LEN('11.600'!X381)=0,"None",'11.600'!X381)</f>
        <v>None</v>
      </c>
      <c r="Z679" s="1880"/>
      <c r="AC679" s="248" t="b">
        <f>OR(AD679:AE679)</f>
        <v>0</v>
      </c>
      <c r="AD679" s="617" t="b">
        <f>T679</f>
        <v>0</v>
      </c>
      <c r="AE679" s="248" t="b">
        <f>AND(NOT(ISBLANK(W679)),LEN(X679)=0)</f>
        <v>0</v>
      </c>
      <c r="AF679" s="720" t="b">
        <f>AND(AE679,NOT(Q679))</f>
        <v>0</v>
      </c>
      <c r="AG679" s="248"/>
      <c r="AH679" s="248"/>
      <c r="AI679" s="248"/>
      <c r="AJ679" s="248"/>
      <c r="AK679" s="248"/>
      <c r="AL679" s="1352" t="str">
        <f>SUBSTITUTE(SUBSTITUTE(SUBSTITUTE("vpa"&amp;$B679&amp;$C679&amp;$D679&amp;$E679&amp;$F679,".","_"),"(","_"),")","")</f>
        <v>vpa606_3</v>
      </c>
      <c r="AM679" s="1352" t="str">
        <f>M679</f>
        <v>6 Max</v>
      </c>
      <c r="AN679" s="1352" t="str">
        <f>SUBSTITUTE(SUBSTITUTE(SUBSTITUTE("vpc"&amp;$B679&amp;$C679&amp;$D679&amp;$E679&amp;$F679,".","_"),"(","_"),")","")</f>
        <v>vpc606_3</v>
      </c>
      <c r="AO679" s="1352">
        <f ca="1">O679</f>
        <v>0</v>
      </c>
      <c r="AP679" s="1352" t="str">
        <f>SUBSTITUTE(SUBSTITUTE(SUBSTITUTE("vch"&amp;$B679&amp;$C679&amp;$D679&amp;$E679&amp;$F679,".","_"),"(","_"),")","")</f>
        <v>vch606_3</v>
      </c>
      <c r="AQ679" s="1352" t="str">
        <f>IF(LEN(W679)=0,"",W679)</f>
        <v/>
      </c>
      <c r="AR679" s="1352" t="str">
        <f>SUBSTITUTE(SUBSTITUTE(SUBSTITUTE("vnt"&amp;$B679&amp;$C679&amp;$D679&amp;$E679&amp;$F679,".","_"),"(","_"),")","")</f>
        <v>vnt606_3</v>
      </c>
      <c r="AS679" s="1352" t="str">
        <f>IF(LEN(X679)=0,"",X679)</f>
        <v/>
      </c>
    </row>
    <row r="680" spans="1:45" hidden="1" x14ac:dyDescent="0.2">
      <c r="A680" s="1507">
        <v>6</v>
      </c>
      <c r="B680" s="1524">
        <v>606.29999999999995</v>
      </c>
      <c r="C680" s="1511"/>
      <c r="D680" s="1511"/>
      <c r="E680" s="1511"/>
      <c r="F680" s="1514"/>
      <c r="G680" s="1509" t="str">
        <f t="shared" ca="1" si="47"/>
        <v/>
      </c>
      <c r="H680" s="1510" t="s">
        <v>3197</v>
      </c>
      <c r="I680" s="130"/>
      <c r="J680" s="129"/>
      <c r="K680" s="97"/>
      <c r="L680" s="1629"/>
      <c r="M680" s="1623"/>
      <c r="N680" s="1755"/>
      <c r="O680" s="1619"/>
      <c r="P680" s="991"/>
      <c r="Q680" s="991"/>
      <c r="R680" s="991"/>
      <c r="S680" s="991"/>
      <c r="T680" s="991"/>
      <c r="U680" s="991"/>
      <c r="V680" s="991"/>
      <c r="W680" s="96"/>
      <c r="X680" s="1632"/>
      <c r="Y680" s="1874"/>
      <c r="Z680" s="1889"/>
      <c r="AC680" s="248"/>
      <c r="AD680" s="248"/>
      <c r="AE680" s="248"/>
      <c r="AF680" s="248"/>
      <c r="AG680" s="248"/>
      <c r="AH680" s="248"/>
      <c r="AI680" s="248"/>
      <c r="AJ680" s="248"/>
      <c r="AK680" s="248"/>
      <c r="AL680" s="1352"/>
      <c r="AM680" s="1352"/>
      <c r="AN680" s="1352"/>
      <c r="AO680" s="1352"/>
      <c r="AP680" s="1352"/>
      <c r="AQ680" s="1352"/>
      <c r="AR680" s="1352"/>
      <c r="AS680" s="1352"/>
    </row>
    <row r="681" spans="1:45" hidden="1" x14ac:dyDescent="0.2">
      <c r="A681" s="1507">
        <v>6</v>
      </c>
      <c r="B681" s="1524">
        <v>606.29999999999995</v>
      </c>
      <c r="C681" s="1511"/>
      <c r="D681" s="1511"/>
      <c r="E681" s="1511"/>
      <c r="F681" s="1514"/>
      <c r="G681" s="1509" t="str">
        <f t="shared" ca="1" si="47"/>
        <v/>
      </c>
      <c r="H681" s="1510" t="s">
        <v>3197</v>
      </c>
      <c r="I681" s="130"/>
      <c r="J681" s="129"/>
      <c r="K681" s="97"/>
      <c r="L681" s="1629"/>
      <c r="M681" s="1623"/>
      <c r="N681" s="1755"/>
      <c r="O681" s="1619"/>
      <c r="P681" s="991"/>
      <c r="Q681" s="991"/>
      <c r="R681" s="991"/>
      <c r="S681" s="991"/>
      <c r="T681" s="991"/>
      <c r="U681" s="991"/>
      <c r="V681" s="991"/>
      <c r="W681" s="96"/>
      <c r="X681" s="1632"/>
      <c r="Y681" s="1874"/>
      <c r="Z681" s="1889"/>
      <c r="AC681" s="248"/>
      <c r="AD681" s="248"/>
      <c r="AE681" s="248"/>
      <c r="AF681" s="248"/>
      <c r="AG681" s="248"/>
      <c r="AH681" s="248"/>
      <c r="AI681" s="248"/>
      <c r="AJ681" s="248"/>
      <c r="AK681" s="248"/>
      <c r="AL681" s="1352"/>
      <c r="AM681" s="1352"/>
      <c r="AN681" s="1352"/>
      <c r="AO681" s="1352"/>
      <c r="AP681" s="1352"/>
      <c r="AQ681" s="1352"/>
      <c r="AR681" s="1352"/>
      <c r="AS681" s="1352"/>
    </row>
    <row r="682" spans="1:45" hidden="1" x14ac:dyDescent="0.2">
      <c r="A682" s="1507">
        <v>6</v>
      </c>
      <c r="B682" s="1524">
        <v>606.29999999999995</v>
      </c>
      <c r="C682" s="1511"/>
      <c r="D682" s="1511"/>
      <c r="E682" s="1511"/>
      <c r="F682" s="1514"/>
      <c r="G682" s="1509" t="str">
        <f t="shared" ca="1" si="47"/>
        <v/>
      </c>
      <c r="H682" s="1510" t="s">
        <v>3197</v>
      </c>
      <c r="I682" s="130"/>
      <c r="J682" s="129"/>
      <c r="K682" s="97"/>
      <c r="L682" s="1629"/>
      <c r="M682" s="1623"/>
      <c r="N682" s="1755"/>
      <c r="O682" s="1619"/>
      <c r="P682" s="991"/>
      <c r="Q682" s="991"/>
      <c r="R682" s="991"/>
      <c r="S682" s="991"/>
      <c r="T682" s="991"/>
      <c r="U682" s="991"/>
      <c r="V682" s="991"/>
      <c r="W682" s="96"/>
      <c r="X682" s="1632"/>
      <c r="Y682" s="1874"/>
      <c r="Z682" s="1889"/>
      <c r="AC682" s="248"/>
      <c r="AD682" s="248"/>
      <c r="AE682" s="248"/>
      <c r="AF682" s="248"/>
      <c r="AG682" s="248"/>
      <c r="AH682" s="248"/>
      <c r="AI682" s="248"/>
      <c r="AJ682" s="248"/>
      <c r="AK682" s="248"/>
      <c r="AL682" s="1352"/>
      <c r="AM682" s="1352"/>
      <c r="AN682" s="1352"/>
      <c r="AO682" s="1352"/>
      <c r="AP682" s="1352"/>
      <c r="AQ682" s="1352"/>
      <c r="AR682" s="1352"/>
      <c r="AS682" s="1352"/>
    </row>
    <row r="683" spans="1:45" hidden="1" x14ac:dyDescent="0.2">
      <c r="A683" s="1507">
        <v>6</v>
      </c>
      <c r="B683" s="1524">
        <v>606.29999999999995</v>
      </c>
      <c r="C683" s="1511"/>
      <c r="D683" s="1511"/>
      <c r="E683" s="1511"/>
      <c r="F683" s="1514"/>
      <c r="G683" s="1509" t="str">
        <f t="shared" ca="1" si="47"/>
        <v/>
      </c>
      <c r="H683" s="1510" t="s">
        <v>3197</v>
      </c>
      <c r="I683" s="130"/>
      <c r="J683" s="129"/>
      <c r="K683" s="97"/>
      <c r="L683" s="185" t="s">
        <v>567</v>
      </c>
      <c r="M683" s="1623"/>
      <c r="N683" s="1755"/>
      <c r="O683" s="1619"/>
      <c r="P683" s="991"/>
      <c r="Q683" s="991"/>
      <c r="R683" s="991"/>
      <c r="S683" s="991"/>
      <c r="T683" s="991"/>
      <c r="U683" s="991"/>
      <c r="V683" s="991"/>
      <c r="W683" s="96"/>
      <c r="X683" s="1632"/>
      <c r="Y683" s="1874"/>
      <c r="Z683" s="1889"/>
      <c r="AC683" s="248"/>
      <c r="AD683" s="248"/>
      <c r="AE683" s="248"/>
      <c r="AF683" s="248"/>
      <c r="AG683" s="248"/>
      <c r="AH683" s="248"/>
      <c r="AI683" s="248"/>
      <c r="AJ683" s="248"/>
      <c r="AK683" s="248"/>
      <c r="AL683" s="1352"/>
      <c r="AM683" s="1352"/>
      <c r="AN683" s="1352"/>
      <c r="AO683" s="1352"/>
      <c r="AP683" s="1352"/>
      <c r="AQ683" s="1352"/>
      <c r="AR683" s="1352"/>
      <c r="AS683" s="1352"/>
    </row>
    <row r="684" spans="1:45" hidden="1" x14ac:dyDescent="0.2">
      <c r="A684" s="1507">
        <v>6</v>
      </c>
      <c r="B684" s="1524">
        <v>606.29999999999995</v>
      </c>
      <c r="C684" s="1511"/>
      <c r="D684" s="1511"/>
      <c r="E684" s="1511"/>
      <c r="F684" s="1514"/>
      <c r="G684" s="1509" t="str">
        <f t="shared" ca="1" si="47"/>
        <v/>
      </c>
      <c r="H684" s="1510" t="s">
        <v>3197</v>
      </c>
      <c r="I684" s="130"/>
      <c r="J684" s="129"/>
      <c r="K684" s="97"/>
      <c r="L684" s="260" t="s">
        <v>2632</v>
      </c>
      <c r="M684" s="1623"/>
      <c r="N684" s="1755"/>
      <c r="O684" s="1619"/>
      <c r="P684" s="991"/>
      <c r="Q684" s="991"/>
      <c r="R684" s="991"/>
      <c r="S684" s="991"/>
      <c r="T684" s="991"/>
      <c r="U684" s="991"/>
      <c r="V684" s="991"/>
      <c r="W684" s="96"/>
      <c r="X684" s="1599"/>
      <c r="Y684" s="1874"/>
      <c r="Z684" s="1889"/>
      <c r="AC684" s="248"/>
      <c r="AD684" s="248"/>
      <c r="AE684" s="248"/>
      <c r="AF684" s="248"/>
      <c r="AG684" s="248"/>
      <c r="AH684" s="248"/>
      <c r="AI684" s="248"/>
      <c r="AJ684" s="248"/>
      <c r="AK684" s="248"/>
      <c r="AL684" s="1352"/>
      <c r="AM684" s="1352"/>
      <c r="AN684" s="1352"/>
      <c r="AO684" s="1352"/>
      <c r="AP684" s="1352"/>
      <c r="AQ684" s="1352"/>
      <c r="AR684" s="1352"/>
      <c r="AS684" s="1352"/>
    </row>
    <row r="685" spans="1:45" ht="19" x14ac:dyDescent="0.25">
      <c r="A685" s="1507">
        <v>6</v>
      </c>
      <c r="B685" s="1524">
        <v>607</v>
      </c>
      <c r="C685" s="1511"/>
      <c r="D685" s="1511"/>
      <c r="E685" s="1511"/>
      <c r="F685" s="1514"/>
      <c r="G685" s="1509" t="s">
        <v>3200</v>
      </c>
      <c r="H685" s="1510" t="s">
        <v>3197</v>
      </c>
      <c r="I685" s="14" t="s">
        <v>3578</v>
      </c>
      <c r="J685" s="25"/>
      <c r="K685" s="84"/>
      <c r="L685" s="81"/>
      <c r="M685" s="339"/>
      <c r="N685" s="71"/>
      <c r="O685" s="419"/>
      <c r="P685" s="25"/>
      <c r="Q685" s="25"/>
      <c r="R685" s="25"/>
      <c r="S685" s="25"/>
      <c r="T685" s="25"/>
      <c r="U685" s="25"/>
      <c r="V685" s="25"/>
      <c r="W685" s="25"/>
      <c r="X685" s="25"/>
      <c r="Y685" s="25"/>
      <c r="Z685" s="714"/>
      <c r="AC685" s="248"/>
      <c r="AD685" s="248"/>
      <c r="AE685" s="248"/>
      <c r="AF685" s="248"/>
      <c r="AG685" s="248"/>
      <c r="AH685" s="248"/>
      <c r="AI685" s="248"/>
      <c r="AJ685" s="248"/>
      <c r="AK685" s="248"/>
      <c r="AL685" s="1352"/>
      <c r="AM685" s="1352"/>
      <c r="AN685" s="1352"/>
      <c r="AO685" s="1352"/>
      <c r="AP685" s="1352"/>
      <c r="AQ685" s="1352"/>
      <c r="AR685" s="1352"/>
      <c r="AS685" s="1352"/>
    </row>
    <row r="686" spans="1:45" hidden="1" x14ac:dyDescent="0.2">
      <c r="A686" s="1507">
        <v>6</v>
      </c>
      <c r="B686" s="1524">
        <v>607.1</v>
      </c>
      <c r="C686" s="1511"/>
      <c r="D686" s="1511"/>
      <c r="E686" s="1511"/>
      <c r="F686" s="1514"/>
      <c r="G686" s="1513" t="str">
        <f>IF(COUNTIF(G688:G693,"P")&gt;0,"P","")</f>
        <v/>
      </c>
      <c r="H686" s="1510" t="s">
        <v>3199</v>
      </c>
      <c r="I686" s="67" t="s">
        <v>3579</v>
      </c>
      <c r="J686" s="4"/>
      <c r="K686" s="85"/>
      <c r="L686" s="1631" t="s">
        <v>3598</v>
      </c>
      <c r="M686" s="911"/>
      <c r="N686" s="250"/>
      <c r="O686" s="935"/>
      <c r="P686" s="905"/>
      <c r="Q686" s="905"/>
      <c r="R686" s="905"/>
      <c r="S686" s="905"/>
      <c r="T686" s="905"/>
      <c r="U686" s="905"/>
      <c r="V686" s="905"/>
      <c r="W686" s="248"/>
      <c r="X686" s="248"/>
      <c r="Z686" s="670"/>
      <c r="AC686" s="248"/>
      <c r="AD686" s="248"/>
      <c r="AE686" s="248"/>
      <c r="AF686" s="248"/>
      <c r="AG686" s="248"/>
      <c r="AH686" s="248"/>
      <c r="AI686" s="248"/>
      <c r="AJ686" s="248"/>
      <c r="AK686" s="248"/>
      <c r="AL686" s="1352"/>
      <c r="AM686" s="1352"/>
      <c r="AN686" s="1352"/>
      <c r="AO686" s="1352"/>
      <c r="AP686" s="1352"/>
      <c r="AQ686" s="1352"/>
      <c r="AR686" s="1352"/>
      <c r="AS686" s="1352"/>
    </row>
    <row r="687" spans="1:45" hidden="1" x14ac:dyDescent="0.2">
      <c r="A687" s="1507">
        <v>6</v>
      </c>
      <c r="B687" s="1524">
        <v>607.1</v>
      </c>
      <c r="C687" s="1511"/>
      <c r="D687" s="1511"/>
      <c r="E687" s="1511"/>
      <c r="F687" s="1514"/>
      <c r="G687" s="1509" t="str">
        <f>G686</f>
        <v/>
      </c>
      <c r="H687" s="1510" t="s">
        <v>3199</v>
      </c>
      <c r="I687" s="67"/>
      <c r="J687" s="4"/>
      <c r="K687" s="85"/>
      <c r="L687" s="1631"/>
      <c r="M687" s="911"/>
      <c r="N687" s="250"/>
      <c r="O687" s="935"/>
      <c r="P687" s="905"/>
      <c r="Q687" s="905"/>
      <c r="R687" s="905"/>
      <c r="S687" s="905"/>
      <c r="T687" s="905"/>
      <c r="U687" s="905"/>
      <c r="V687" s="905"/>
      <c r="W687" s="248"/>
      <c r="X687" s="248"/>
      <c r="Z687" s="670"/>
      <c r="AC687" s="248"/>
      <c r="AD687" s="248"/>
      <c r="AE687" s="248"/>
      <c r="AF687" s="248"/>
      <c r="AG687" s="248"/>
      <c r="AH687" s="248"/>
      <c r="AI687" s="248"/>
      <c r="AJ687" s="248"/>
      <c r="AK687" s="248"/>
      <c r="AL687" s="1352"/>
      <c r="AM687" s="1352"/>
      <c r="AN687" s="1352"/>
      <c r="AO687" s="1352"/>
      <c r="AP687" s="1352"/>
      <c r="AQ687" s="1352"/>
      <c r="AR687" s="1352"/>
      <c r="AS687" s="1352"/>
    </row>
    <row r="688" spans="1:45" ht="15" hidden="1" customHeight="1" x14ac:dyDescent="0.2">
      <c r="A688" s="1507">
        <v>6</v>
      </c>
      <c r="B688" s="1524">
        <v>607.1</v>
      </c>
      <c r="C688" s="1511" t="s">
        <v>254</v>
      </c>
      <c r="D688" s="1511"/>
      <c r="E688" s="1511"/>
      <c r="F688" s="1514"/>
      <c r="G688" s="1509" t="str">
        <f>IF(N688&gt;0,"P","")</f>
        <v/>
      </c>
      <c r="H688" s="1510" t="s">
        <v>3199</v>
      </c>
      <c r="I688" s="67"/>
      <c r="J688" s="180" t="s">
        <v>254</v>
      </c>
      <c r="K688" s="97"/>
      <c r="L688" s="1609" t="s">
        <v>5079</v>
      </c>
      <c r="M688" s="1623">
        <v>3</v>
      </c>
      <c r="N688" s="1755">
        <f>'11.600'!O390</f>
        <v>0</v>
      </c>
      <c r="O688" s="1619">
        <f>M688*S688*W688</f>
        <v>0</v>
      </c>
      <c r="P688" s="905" t="b">
        <v>0</v>
      </c>
      <c r="Q688" s="905" t="b">
        <v>1</v>
      </c>
      <c r="R688" s="905" t="b">
        <v>0</v>
      </c>
      <c r="S688" s="905" t="b">
        <v>1</v>
      </c>
      <c r="T688" s="905" t="b">
        <v>0</v>
      </c>
      <c r="U688" s="905"/>
      <c r="V688" s="905"/>
      <c r="W688" s="27"/>
      <c r="X688" s="1600"/>
      <c r="Y688" s="1874" t="str">
        <f>IF(LEN('11.600'!X390)=0,"None",'11.600'!X390)</f>
        <v>None</v>
      </c>
      <c r="Z688" s="1878"/>
      <c r="AC688" s="248"/>
      <c r="AD688" s="248"/>
      <c r="AE688" s="248"/>
      <c r="AF688" s="248"/>
      <c r="AG688" s="248"/>
      <c r="AH688" s="248"/>
      <c r="AI688" s="248"/>
      <c r="AJ688" s="248"/>
      <c r="AK688" s="248"/>
      <c r="AL688" s="1352" t="str">
        <f>SUBSTITUTE(SUBSTITUTE(SUBSTITUTE("vpa"&amp;$B688&amp;$C688&amp;$D688&amp;$E688&amp;$F688,".","_"),"(","_"),")","")</f>
        <v>vpa607_1_1</v>
      </c>
      <c r="AM688" s="1352">
        <f>M688</f>
        <v>3</v>
      </c>
      <c r="AN688" s="1352" t="str">
        <f>SUBSTITUTE(SUBSTITUTE(SUBSTITUTE("vpc"&amp;$B688&amp;$C688&amp;$D688&amp;$E688&amp;$F688,".","_"),"(","_"),")","")</f>
        <v>vpc607_1_1</v>
      </c>
      <c r="AO688" s="1352">
        <f>O688</f>
        <v>0</v>
      </c>
      <c r="AP688" s="1352" t="str">
        <f>SUBSTITUTE(SUBSTITUTE(SUBSTITUTE("vch"&amp;$B688&amp;$C688&amp;$D688&amp;$E688&amp;$F688,".","_"),"(","_"),")","")</f>
        <v>vch607_1_1</v>
      </c>
      <c r="AQ688" s="1352" t="str">
        <f>IF(LEN(W688)=0,"",W688)</f>
        <v/>
      </c>
      <c r="AR688" s="1352" t="str">
        <f>SUBSTITUTE(SUBSTITUTE(SUBSTITUTE("vnt"&amp;$B688&amp;$C688&amp;$D688&amp;$E688&amp;$F688,".","_"),"(","_"),")","")</f>
        <v>vnt607_1_1</v>
      </c>
      <c r="AS688" s="1352" t="str">
        <f>IF(LEN(X688)=0,"",X688)</f>
        <v/>
      </c>
    </row>
    <row r="689" spans="1:45" hidden="1" x14ac:dyDescent="0.2">
      <c r="A689" s="1507">
        <v>6</v>
      </c>
      <c r="B689" s="1524">
        <v>607.1</v>
      </c>
      <c r="C689" s="1511" t="s">
        <v>254</v>
      </c>
      <c r="D689" s="1511"/>
      <c r="E689" s="1511"/>
      <c r="F689" s="1514"/>
      <c r="G689" s="1509" t="str">
        <f t="shared" ref="G689:G698" si="48">G688</f>
        <v/>
      </c>
      <c r="H689" s="1510" t="s">
        <v>3199</v>
      </c>
      <c r="I689" s="67"/>
      <c r="J689" s="180"/>
      <c r="K689" s="97"/>
      <c r="L689" s="1609"/>
      <c r="M689" s="1623"/>
      <c r="N689" s="1755"/>
      <c r="O689" s="1619"/>
      <c r="P689" s="905"/>
      <c r="Q689" s="905"/>
      <c r="R689" s="905"/>
      <c r="S689" s="905"/>
      <c r="T689" s="905"/>
      <c r="U689" s="905"/>
      <c r="V689" s="905"/>
      <c r="W689" s="248"/>
      <c r="X689" s="1600"/>
      <c r="Y689" s="1874"/>
      <c r="Z689" s="1879"/>
      <c r="AC689" s="248"/>
      <c r="AD689" s="248"/>
      <c r="AE689" s="248"/>
      <c r="AF689" s="248"/>
      <c r="AG689" s="248"/>
      <c r="AH689" s="248"/>
      <c r="AI689" s="248"/>
      <c r="AJ689" s="248"/>
      <c r="AK689" s="248"/>
      <c r="AL689" s="1352"/>
      <c r="AM689" s="1352"/>
      <c r="AN689" s="1352"/>
      <c r="AO689" s="1352"/>
      <c r="AP689" s="1352"/>
      <c r="AQ689" s="1352"/>
      <c r="AR689" s="1352"/>
      <c r="AS689" s="1352"/>
    </row>
    <row r="690" spans="1:45" s="905" customFormat="1" hidden="1" x14ac:dyDescent="0.2">
      <c r="A690" s="1507">
        <v>6</v>
      </c>
      <c r="B690" s="1524">
        <v>607.1</v>
      </c>
      <c r="C690" s="1511" t="s">
        <v>254</v>
      </c>
      <c r="D690" s="1511"/>
      <c r="E690" s="1511"/>
      <c r="F690" s="1514"/>
      <c r="G690" s="1509" t="str">
        <f t="shared" si="48"/>
        <v/>
      </c>
      <c r="H690" s="1510" t="s">
        <v>3199</v>
      </c>
      <c r="I690" s="67"/>
      <c r="J690" s="180"/>
      <c r="K690" s="97"/>
      <c r="L690" s="1609"/>
      <c r="M690" s="1623"/>
      <c r="N690" s="1755"/>
      <c r="O690" s="1619"/>
      <c r="X690" s="1600"/>
      <c r="Y690" s="1874"/>
      <c r="Z690" s="1879"/>
      <c r="AL690" s="1352"/>
      <c r="AM690" s="1352"/>
      <c r="AN690" s="1352"/>
      <c r="AO690" s="1352"/>
      <c r="AP690" s="1352"/>
      <c r="AQ690" s="1352"/>
      <c r="AR690" s="1352"/>
      <c r="AS690" s="1352"/>
    </row>
    <row r="691" spans="1:45" s="905" customFormat="1" hidden="1" x14ac:dyDescent="0.2">
      <c r="A691" s="1507">
        <v>6</v>
      </c>
      <c r="B691" s="1524">
        <v>607.1</v>
      </c>
      <c r="C691" s="1511" t="s">
        <v>254</v>
      </c>
      <c r="D691" s="1511"/>
      <c r="E691" s="1511"/>
      <c r="F691" s="1514"/>
      <c r="G691" s="1509" t="str">
        <f t="shared" si="48"/>
        <v/>
      </c>
      <c r="H691" s="1510" t="s">
        <v>3199</v>
      </c>
      <c r="I691" s="67"/>
      <c r="J691" s="180"/>
      <c r="K691" s="97"/>
      <c r="L691" s="1609"/>
      <c r="M691" s="1623"/>
      <c r="N691" s="1755"/>
      <c r="O691" s="1619"/>
      <c r="X691" s="1600"/>
      <c r="Y691" s="1874"/>
      <c r="Z691" s="1879"/>
      <c r="AL691" s="1352"/>
      <c r="AM691" s="1352"/>
      <c r="AN691" s="1352"/>
      <c r="AO691" s="1352"/>
      <c r="AP691" s="1352"/>
      <c r="AQ691" s="1352"/>
      <c r="AR691" s="1352"/>
      <c r="AS691" s="1352"/>
    </row>
    <row r="692" spans="1:45" s="905" customFormat="1" hidden="1" x14ac:dyDescent="0.2">
      <c r="A692" s="1507">
        <v>6</v>
      </c>
      <c r="B692" s="1524">
        <v>607.1</v>
      </c>
      <c r="C692" s="1511" t="s">
        <v>254</v>
      </c>
      <c r="D692" s="1511"/>
      <c r="E692" s="1511"/>
      <c r="F692" s="1514"/>
      <c r="G692" s="1509" t="str">
        <f t="shared" si="48"/>
        <v/>
      </c>
      <c r="H692" s="1510" t="s">
        <v>3199</v>
      </c>
      <c r="I692" s="67"/>
      <c r="J692" s="207"/>
      <c r="K692" s="170"/>
      <c r="L692" s="1612"/>
      <c r="M692" s="1624"/>
      <c r="N692" s="1756"/>
      <c r="O692" s="1620"/>
      <c r="X692" s="1600"/>
      <c r="Y692" s="1874"/>
      <c r="Z692" s="1880"/>
      <c r="AL692" s="1352"/>
      <c r="AM692" s="1352"/>
      <c r="AN692" s="1352"/>
      <c r="AO692" s="1352"/>
      <c r="AP692" s="1352"/>
      <c r="AQ692" s="1352"/>
      <c r="AR692" s="1352"/>
      <c r="AS692" s="1352"/>
    </row>
    <row r="693" spans="1:45" hidden="1" x14ac:dyDescent="0.2">
      <c r="A693" s="1507">
        <v>6</v>
      </c>
      <c r="B693" s="1524">
        <v>607.1</v>
      </c>
      <c r="C693" s="1511" t="s">
        <v>255</v>
      </c>
      <c r="D693" s="1511"/>
      <c r="E693" s="1511"/>
      <c r="F693" s="1514"/>
      <c r="G693" s="1509" t="str">
        <f>IF(N693&gt;0,"P","")</f>
        <v/>
      </c>
      <c r="H693" s="1510" t="s">
        <v>3199</v>
      </c>
      <c r="I693" s="67"/>
      <c r="J693" s="29" t="s">
        <v>255</v>
      </c>
      <c r="K693" s="85"/>
      <c r="L693" s="1649" t="s">
        <v>3994</v>
      </c>
      <c r="M693" s="1636">
        <v>4</v>
      </c>
      <c r="N693" s="1644">
        <f>'11.600'!O395</f>
        <v>0</v>
      </c>
      <c r="O693" s="1637">
        <f>M693*S693*W693</f>
        <v>0</v>
      </c>
      <c r="P693" s="905" t="b">
        <v>0</v>
      </c>
      <c r="Q693" s="905" t="b">
        <v>1</v>
      </c>
      <c r="R693" s="905" t="b">
        <v>0</v>
      </c>
      <c r="S693" s="905" t="b">
        <v>1</v>
      </c>
      <c r="T693" s="905" t="b">
        <v>0</v>
      </c>
      <c r="U693" s="905"/>
      <c r="V693" s="905"/>
      <c r="W693" s="184"/>
      <c r="X693" s="1127"/>
      <c r="Y693" s="1881" t="str">
        <f>IF(LEN('11.600'!X395)=0,"None",'11.600'!X395)</f>
        <v>None</v>
      </c>
      <c r="Z693" s="1878"/>
      <c r="AC693" s="248"/>
      <c r="AD693" s="248"/>
      <c r="AE693" s="248"/>
      <c r="AF693" s="248"/>
      <c r="AG693" s="248"/>
      <c r="AH693" s="248"/>
      <c r="AI693" s="248"/>
      <c r="AJ693" s="248"/>
      <c r="AK693" s="248"/>
      <c r="AL693" s="1352" t="str">
        <f>SUBSTITUTE(SUBSTITUTE(SUBSTITUTE("vpa"&amp;$B693&amp;$C693&amp;$D693&amp;$E693&amp;$F693,".","_"),"(","_"),")","")</f>
        <v>vpa607_1_2</v>
      </c>
      <c r="AM693" s="1352">
        <f>M693</f>
        <v>4</v>
      </c>
      <c r="AN693" s="1352" t="str">
        <f>SUBSTITUTE(SUBSTITUTE(SUBSTITUTE("vpc"&amp;$B693&amp;$C693&amp;$D693&amp;$E693&amp;$F693,".","_"),"(","_"),")","")</f>
        <v>vpc607_1_2</v>
      </c>
      <c r="AO693" s="1352">
        <f>O693</f>
        <v>0</v>
      </c>
      <c r="AP693" s="1352" t="str">
        <f>SUBSTITUTE(SUBSTITUTE(SUBSTITUTE("vch"&amp;$B693&amp;$C693&amp;$D693&amp;$E693&amp;$F693,".","_"),"(","_"),")","")</f>
        <v>vch607_1_2</v>
      </c>
      <c r="AQ693" s="1352" t="str">
        <f>IF(LEN(W693)=0,"",W693)</f>
        <v/>
      </c>
      <c r="AR693" s="1352" t="str">
        <f>SUBSTITUTE(SUBSTITUTE(SUBSTITUTE("vnt"&amp;$B693&amp;$C693&amp;$D693&amp;$E693&amp;$F693,".","_"),"(","_"),")","")</f>
        <v>vnt607_1_2</v>
      </c>
      <c r="AS693" s="1352" t="str">
        <f>IF(LEN(X693)=0,"",X693)</f>
        <v/>
      </c>
    </row>
    <row r="694" spans="1:45" s="905" customFormat="1" hidden="1" x14ac:dyDescent="0.2">
      <c r="A694" s="1507">
        <v>6</v>
      </c>
      <c r="B694" s="1524">
        <v>607.1</v>
      </c>
      <c r="C694" s="1511" t="s">
        <v>255</v>
      </c>
      <c r="D694" s="1511"/>
      <c r="E694" s="1511"/>
      <c r="F694" s="1514"/>
      <c r="G694" s="1509" t="str">
        <f t="shared" si="48"/>
        <v/>
      </c>
      <c r="H694" s="1510" t="s">
        <v>3199</v>
      </c>
      <c r="I694" s="67"/>
      <c r="J694" s="29"/>
      <c r="K694" s="85"/>
      <c r="L694" s="1717"/>
      <c r="M694" s="1623"/>
      <c r="N694" s="1644"/>
      <c r="O694" s="1619"/>
      <c r="W694" s="195"/>
      <c r="X694" s="1130"/>
      <c r="Y694" s="1881"/>
      <c r="Z694" s="1879"/>
      <c r="AA694"/>
      <c r="AB694"/>
      <c r="AC694"/>
      <c r="AD694"/>
      <c r="AE694"/>
      <c r="AF694"/>
      <c r="AG694"/>
      <c r="AH694"/>
      <c r="AI694"/>
      <c r="AJ694"/>
      <c r="AK694"/>
      <c r="AL694" s="1352"/>
      <c r="AM694" s="1352"/>
      <c r="AN694" s="1352"/>
      <c r="AO694" s="1352"/>
      <c r="AP694" s="1352"/>
      <c r="AQ694" s="1352"/>
      <c r="AR694" s="1352"/>
      <c r="AS694" s="1352"/>
    </row>
    <row r="695" spans="1:45" s="905" customFormat="1" hidden="1" x14ac:dyDescent="0.2">
      <c r="A695" s="1507">
        <v>6</v>
      </c>
      <c r="B695" s="1524">
        <v>607.1</v>
      </c>
      <c r="C695" s="1511" t="s">
        <v>255</v>
      </c>
      <c r="D695" s="1511"/>
      <c r="E695" s="1511"/>
      <c r="F695" s="1514"/>
      <c r="G695" s="1509" t="str">
        <f t="shared" si="48"/>
        <v/>
      </c>
      <c r="H695" s="1510" t="s">
        <v>3199</v>
      </c>
      <c r="I695" s="67"/>
      <c r="J695" s="29"/>
      <c r="K695" s="85"/>
      <c r="L695" s="1717"/>
      <c r="M695" s="1623"/>
      <c r="N695" s="1644"/>
      <c r="O695" s="1619"/>
      <c r="W695" s="1135"/>
      <c r="X695" s="1130"/>
      <c r="Y695" s="1881"/>
      <c r="Z695" s="1879"/>
      <c r="AA695"/>
      <c r="AB695"/>
      <c r="AC695"/>
      <c r="AD695"/>
      <c r="AE695"/>
      <c r="AF695"/>
      <c r="AG695"/>
      <c r="AH695"/>
      <c r="AI695"/>
      <c r="AJ695"/>
      <c r="AK695"/>
      <c r="AL695" s="1352"/>
      <c r="AM695" s="1352"/>
      <c r="AN695" s="1352"/>
      <c r="AO695" s="1352"/>
      <c r="AP695" s="1352"/>
      <c r="AQ695" s="1352"/>
      <c r="AR695" s="1352"/>
      <c r="AS695" s="1352"/>
    </row>
    <row r="696" spans="1:45" s="905" customFormat="1" hidden="1" x14ac:dyDescent="0.2">
      <c r="A696" s="1507">
        <v>6</v>
      </c>
      <c r="B696" s="1524">
        <v>607.1</v>
      </c>
      <c r="C696" s="1511" t="s">
        <v>255</v>
      </c>
      <c r="D696" s="1511"/>
      <c r="E696" s="1511"/>
      <c r="F696" s="1514"/>
      <c r="G696" s="1509" t="str">
        <f t="shared" si="48"/>
        <v/>
      </c>
      <c r="H696" s="1510" t="s">
        <v>3199</v>
      </c>
      <c r="I696" s="67"/>
      <c r="J696" s="29"/>
      <c r="K696" s="85"/>
      <c r="L696" s="1717"/>
      <c r="M696" s="1623"/>
      <c r="N696" s="1644"/>
      <c r="O696" s="1619"/>
      <c r="W696"/>
      <c r="X696" s="1130"/>
      <c r="Y696" s="1881"/>
      <c r="Z696" s="1879"/>
      <c r="AA696"/>
      <c r="AB696"/>
      <c r="AC696"/>
      <c r="AD696"/>
      <c r="AE696"/>
      <c r="AF696"/>
      <c r="AG696"/>
      <c r="AH696"/>
      <c r="AI696"/>
      <c r="AJ696"/>
      <c r="AK696"/>
      <c r="AL696" s="1352"/>
      <c r="AM696" s="1352"/>
      <c r="AN696" s="1352"/>
      <c r="AO696" s="1352"/>
      <c r="AP696" s="1352"/>
      <c r="AQ696" s="1352"/>
      <c r="AR696" s="1352"/>
      <c r="AS696" s="1352"/>
    </row>
    <row r="697" spans="1:45" s="905" customFormat="1" hidden="1" x14ac:dyDescent="0.2">
      <c r="A697" s="1507">
        <v>6</v>
      </c>
      <c r="B697" s="1524">
        <v>607.1</v>
      </c>
      <c r="C697" s="1511" t="s">
        <v>255</v>
      </c>
      <c r="D697" s="1511"/>
      <c r="E697" s="1511"/>
      <c r="F697" s="1514"/>
      <c r="G697" s="1509" t="str">
        <f t="shared" si="48"/>
        <v/>
      </c>
      <c r="H697" s="1510" t="s">
        <v>3199</v>
      </c>
      <c r="I697" s="67"/>
      <c r="J697" s="29"/>
      <c r="K697" s="85"/>
      <c r="L697" s="1717"/>
      <c r="M697" s="1623"/>
      <c r="N697" s="1644"/>
      <c r="O697" s="1619"/>
      <c r="W697"/>
      <c r="X697" s="1130"/>
      <c r="Y697" s="1881"/>
      <c r="Z697" s="1879"/>
      <c r="AA697"/>
      <c r="AB697"/>
      <c r="AC697"/>
      <c r="AD697"/>
      <c r="AE697"/>
      <c r="AF697"/>
      <c r="AG697"/>
      <c r="AH697"/>
      <c r="AI697"/>
      <c r="AJ697"/>
      <c r="AK697"/>
      <c r="AL697" s="1352"/>
      <c r="AM697" s="1352"/>
      <c r="AN697" s="1352"/>
      <c r="AO697" s="1352"/>
      <c r="AP697" s="1352"/>
      <c r="AQ697" s="1352"/>
      <c r="AR697" s="1352"/>
      <c r="AS697" s="1352"/>
    </row>
    <row r="698" spans="1:45" s="905" customFormat="1" ht="16" hidden="1" thickBot="1" x14ac:dyDescent="0.25">
      <c r="A698" s="1507">
        <v>6</v>
      </c>
      <c r="B698" s="1524">
        <v>607.1</v>
      </c>
      <c r="C698" s="1511" t="s">
        <v>255</v>
      </c>
      <c r="D698" s="1511"/>
      <c r="E698" s="1511"/>
      <c r="F698" s="1514"/>
      <c r="G698" s="1509" t="str">
        <f t="shared" si="48"/>
        <v/>
      </c>
      <c r="H698" s="1510" t="s">
        <v>3199</v>
      </c>
      <c r="I698" s="67"/>
      <c r="J698" s="29"/>
      <c r="K698" s="85"/>
      <c r="L698" s="1713"/>
      <c r="M698" s="1627"/>
      <c r="N698" s="1645"/>
      <c r="O698" s="1638"/>
      <c r="W698" s="100"/>
      <c r="X698" s="1130"/>
      <c r="Y698" s="1882"/>
      <c r="Z698" s="1897"/>
      <c r="AA698"/>
      <c r="AB698"/>
      <c r="AC698"/>
      <c r="AD698"/>
      <c r="AE698"/>
      <c r="AF698"/>
      <c r="AG698"/>
      <c r="AH698"/>
      <c r="AI698"/>
      <c r="AJ698"/>
      <c r="AK698"/>
      <c r="AL698" s="1352"/>
      <c r="AM698" s="1352"/>
      <c r="AN698" s="1352"/>
      <c r="AO698" s="1352"/>
      <c r="AP698" s="1352"/>
      <c r="AQ698" s="1352"/>
      <c r="AR698" s="1352"/>
      <c r="AS698" s="1352"/>
    </row>
    <row r="699" spans="1:45" ht="16" hidden="1" thickTop="1" x14ac:dyDescent="0.2">
      <c r="A699" s="1507">
        <v>6</v>
      </c>
      <c r="B699" s="1524">
        <v>607.20000000000005</v>
      </c>
      <c r="C699" s="1511"/>
      <c r="D699" s="1511"/>
      <c r="E699" s="1511"/>
      <c r="F699" s="1514"/>
      <c r="G699" s="1509" t="str">
        <f>IF(N699&gt;0,"P","")</f>
        <v/>
      </c>
      <c r="H699" s="1510" t="s">
        <v>3199</v>
      </c>
      <c r="I699" s="177" t="s">
        <v>3580</v>
      </c>
      <c r="J699" s="178"/>
      <c r="K699" s="179"/>
      <c r="L699" s="1683" t="s">
        <v>3597</v>
      </c>
      <c r="M699" s="1685">
        <v>1</v>
      </c>
      <c r="N699" s="1770">
        <f>'11.600'!O401</f>
        <v>0</v>
      </c>
      <c r="O699" s="1682">
        <f>M699*S699*W699</f>
        <v>0</v>
      </c>
      <c r="P699" s="905" t="b">
        <v>0</v>
      </c>
      <c r="Q699" s="905" t="b">
        <v>1</v>
      </c>
      <c r="R699" s="106" t="b">
        <v>0</v>
      </c>
      <c r="S699" s="106" t="b">
        <v>1</v>
      </c>
      <c r="T699" s="106" t="b">
        <v>0</v>
      </c>
      <c r="U699" s="106"/>
      <c r="V699" s="106"/>
      <c r="W699" s="119"/>
      <c r="X699" s="1603"/>
      <c r="Y699" s="1877" t="str">
        <f>IF(LEN('11.600'!X401)=0,"None",'11.600'!X401)</f>
        <v>None</v>
      </c>
      <c r="Z699" s="1880"/>
      <c r="AC699" s="248"/>
      <c r="AD699" s="248"/>
      <c r="AE699" s="248"/>
      <c r="AF699" s="248"/>
      <c r="AG699" s="248"/>
      <c r="AH699" s="248"/>
      <c r="AI699" s="248"/>
      <c r="AJ699" s="248"/>
      <c r="AK699" s="248"/>
      <c r="AL699" s="1352" t="str">
        <f>SUBSTITUTE(SUBSTITUTE(SUBSTITUTE("vpa"&amp;$B699&amp;$C699&amp;$D699&amp;$E699&amp;$F699,".","_"),"(","_"),")","")</f>
        <v>vpa607_2</v>
      </c>
      <c r="AM699" s="1352">
        <f>M699</f>
        <v>1</v>
      </c>
      <c r="AN699" s="1352" t="str">
        <f>SUBSTITUTE(SUBSTITUTE(SUBSTITUTE("vpc"&amp;$B699&amp;$C699&amp;$D699&amp;$E699&amp;$F699,".","_"),"(","_"),")","")</f>
        <v>vpc607_2</v>
      </c>
      <c r="AO699" s="1352">
        <f>O699</f>
        <v>0</v>
      </c>
      <c r="AP699" s="1352" t="str">
        <f>SUBSTITUTE(SUBSTITUTE(SUBSTITUTE("vch"&amp;$B699&amp;$C699&amp;$D699&amp;$E699&amp;$F699,".","_"),"(","_"),")","")</f>
        <v>vch607_2</v>
      </c>
      <c r="AQ699" s="1352" t="str">
        <f>IF(LEN(W699)=0,"",W699)</f>
        <v/>
      </c>
      <c r="AR699" s="1352" t="str">
        <f>SUBSTITUTE(SUBSTITUTE(SUBSTITUTE("vnt"&amp;$B699&amp;$C699&amp;$D699&amp;$E699&amp;$F699,".","_"),"(","_"),")","")</f>
        <v>vnt607_2</v>
      </c>
      <c r="AS699" s="1352" t="str">
        <f>IF(LEN(X699)=0,"",X699)</f>
        <v/>
      </c>
    </row>
    <row r="700" spans="1:45" hidden="1" x14ac:dyDescent="0.2">
      <c r="A700" s="1507">
        <v>6</v>
      </c>
      <c r="B700" s="1524">
        <v>607.20000000000005</v>
      </c>
      <c r="C700" s="1511"/>
      <c r="D700" s="1511"/>
      <c r="E700" s="1511"/>
      <c r="F700" s="1514"/>
      <c r="G700" s="1509" t="str">
        <f>G699</f>
        <v/>
      </c>
      <c r="H700" s="1510" t="s">
        <v>3199</v>
      </c>
      <c r="I700" s="130"/>
      <c r="J700" s="129"/>
      <c r="K700" s="97"/>
      <c r="L700" s="1629"/>
      <c r="M700" s="1623"/>
      <c r="N700" s="1755"/>
      <c r="O700" s="1619"/>
      <c r="P700" s="991"/>
      <c r="Q700" s="991"/>
      <c r="R700" s="991"/>
      <c r="S700" s="991"/>
      <c r="T700" s="991"/>
      <c r="U700" s="991"/>
      <c r="V700" s="991"/>
      <c r="W700" s="96"/>
      <c r="X700" s="1600"/>
      <c r="Y700" s="1874"/>
      <c r="Z700" s="1889"/>
      <c r="AC700" s="248"/>
      <c r="AD700" s="248"/>
      <c r="AE700" s="248"/>
      <c r="AF700" s="248"/>
      <c r="AG700" s="248"/>
      <c r="AH700" s="248"/>
      <c r="AI700" s="248"/>
      <c r="AJ700" s="248"/>
      <c r="AK700" s="248"/>
      <c r="AL700" s="1352"/>
      <c r="AM700" s="1352"/>
      <c r="AN700" s="1352"/>
      <c r="AO700" s="1352"/>
      <c r="AP700" s="1352"/>
      <c r="AQ700" s="1352"/>
      <c r="AR700" s="1352"/>
      <c r="AS700" s="1352"/>
    </row>
    <row r="701" spans="1:45" ht="19" x14ac:dyDescent="0.25">
      <c r="A701" s="1507">
        <v>6</v>
      </c>
      <c r="B701" s="1524">
        <v>608</v>
      </c>
      <c r="C701" s="1511"/>
      <c r="D701" s="1511"/>
      <c r="E701" s="1511"/>
      <c r="F701" s="1514"/>
      <c r="G701" s="1509" t="s">
        <v>3200</v>
      </c>
      <c r="H701" s="1510" t="s">
        <v>3197</v>
      </c>
      <c r="I701" s="14" t="s">
        <v>3581</v>
      </c>
      <c r="J701" s="25"/>
      <c r="K701" s="84"/>
      <c r="L701" s="81"/>
      <c r="M701" s="339"/>
      <c r="N701" s="71"/>
      <c r="O701" s="419"/>
      <c r="P701" s="25"/>
      <c r="Q701" s="25"/>
      <c r="R701" s="25"/>
      <c r="S701" s="25"/>
      <c r="T701" s="25"/>
      <c r="U701" s="25"/>
      <c r="V701" s="25"/>
      <c r="W701" s="25"/>
      <c r="X701" s="25"/>
      <c r="Y701" s="25"/>
      <c r="Z701" s="714"/>
      <c r="AC701" s="248"/>
      <c r="AD701" s="248"/>
      <c r="AE701" s="248"/>
      <c r="AF701" s="248"/>
      <c r="AG701" s="248"/>
      <c r="AH701" s="248"/>
      <c r="AI701" s="248"/>
      <c r="AJ701" s="248"/>
      <c r="AK701" s="248"/>
      <c r="AL701" s="1352"/>
      <c r="AM701" s="1352"/>
      <c r="AN701" s="1352"/>
      <c r="AO701" s="1352"/>
      <c r="AP701" s="1352"/>
      <c r="AQ701" s="1352"/>
      <c r="AR701" s="1352"/>
      <c r="AS701" s="1352"/>
    </row>
    <row r="702" spans="1:45" ht="15" hidden="1" customHeight="1" x14ac:dyDescent="0.2">
      <c r="A702" s="1507">
        <v>6</v>
      </c>
      <c r="B702" s="1524">
        <v>608.1</v>
      </c>
      <c r="C702" s="1511"/>
      <c r="D702" s="1511"/>
      <c r="E702" s="1511"/>
      <c r="F702" s="1514"/>
      <c r="G702" s="1509" t="str">
        <f ca="1">IF(N702&gt;0,"P","")</f>
        <v/>
      </c>
      <c r="H702" s="1510" t="s">
        <v>3197</v>
      </c>
      <c r="I702" s="67" t="s">
        <v>3582</v>
      </c>
      <c r="J702" s="4"/>
      <c r="K702" s="85"/>
      <c r="L702" s="1631" t="s">
        <v>3596</v>
      </c>
      <c r="M702" s="1722" t="s">
        <v>2633</v>
      </c>
      <c r="N702" s="1644">
        <f ca="1">'11.600'!O404</f>
        <v>0</v>
      </c>
      <c r="O702" s="1669">
        <f ca="1">IFERROR(MATCH(W702,INDIRECT(U702),0),0)*3</f>
        <v>0</v>
      </c>
      <c r="P702" s="905" t="b">
        <v>1</v>
      </c>
      <c r="Q702" s="905" t="b">
        <v>1</v>
      </c>
      <c r="R702" s="905" t="b">
        <v>0</v>
      </c>
      <c r="S702" s="905" t="b">
        <v>1</v>
      </c>
      <c r="T702" s="905" t="b">
        <v>0</v>
      </c>
      <c r="U702" s="991" t="str">
        <f>SUBSTITUTE(SUBSTITUTE(SUBSTITUTE("dd"&amp;B702&amp;C702&amp;D702&amp;E702&amp;F702,".","_"),"(","_"),")","")</f>
        <v>dd608_1</v>
      </c>
      <c r="V702" s="905"/>
      <c r="W702" s="12"/>
      <c r="X702" s="1600"/>
      <c r="Y702" s="1893" t="str">
        <f>IF(LEN('11.600'!X404)=0,"None",'11.600'!X404)</f>
        <v>None</v>
      </c>
      <c r="Z702" s="1600"/>
      <c r="AC702" s="248" t="b">
        <f>OR(AD702:AE702)</f>
        <v>0</v>
      </c>
      <c r="AD702" s="617" t="b">
        <f>T702</f>
        <v>0</v>
      </c>
      <c r="AE702" s="248" t="b">
        <f>AND(NOT(ISBLANK(W702)),LEN(X702)=0)</f>
        <v>0</v>
      </c>
      <c r="AF702" s="720" t="b">
        <f>AND(AE702,NOT(Q702))</f>
        <v>0</v>
      </c>
      <c r="AG702" s="248"/>
      <c r="AH702" s="248"/>
      <c r="AI702" s="248"/>
      <c r="AJ702" s="248"/>
      <c r="AK702" s="248"/>
      <c r="AL702" s="1352" t="str">
        <f>SUBSTITUTE(SUBSTITUTE(SUBSTITUTE("vpa"&amp;$B702&amp;$C702&amp;$D702&amp;$E702&amp;$F702,".","_"),"(","_"),")","")</f>
        <v>vpa608_1</v>
      </c>
      <c r="AM702" s="1352" t="str">
        <f>M702</f>
        <v>9 Max
3 per material</v>
      </c>
      <c r="AN702" s="1352" t="str">
        <f>SUBSTITUTE(SUBSTITUTE(SUBSTITUTE("vpc"&amp;$B702&amp;$C702&amp;$D702&amp;$E702&amp;$F702,".","_"),"(","_"),")","")</f>
        <v>vpc608_1</v>
      </c>
      <c r="AO702" s="1352">
        <f ca="1">O702</f>
        <v>0</v>
      </c>
      <c r="AP702" s="1352" t="str">
        <f>SUBSTITUTE(SUBSTITUTE(SUBSTITUTE("vch"&amp;$B702&amp;$C702&amp;$D702&amp;$E702&amp;$F702,".","_"),"(","_"),")","")</f>
        <v>vch608_1</v>
      </c>
      <c r="AQ702" s="1352" t="str">
        <f>IF(LEN(W702)=0,"",W702)</f>
        <v/>
      </c>
      <c r="AR702" s="1352" t="str">
        <f>SUBSTITUTE(SUBSTITUTE(SUBSTITUTE("vnt"&amp;$B702&amp;$C702&amp;$D702&amp;$E702&amp;$F702,".","_"),"(","_"),")","")</f>
        <v>vnt608_1</v>
      </c>
      <c r="AS702" s="1352" t="str">
        <f>IF(LEN(X702)=0,"",X702)</f>
        <v/>
      </c>
    </row>
    <row r="703" spans="1:45" hidden="1" x14ac:dyDescent="0.2">
      <c r="A703" s="1507">
        <v>6</v>
      </c>
      <c r="B703" s="1524">
        <v>608.1</v>
      </c>
      <c r="C703" s="1511"/>
      <c r="D703" s="1511"/>
      <c r="E703" s="1511"/>
      <c r="F703" s="1514"/>
      <c r="G703" s="1509" t="str">
        <f t="shared" ref="G703:G710" ca="1" si="49">G702</f>
        <v/>
      </c>
      <c r="H703" s="1510" t="s">
        <v>3197</v>
      </c>
      <c r="I703" s="67"/>
      <c r="J703" s="4"/>
      <c r="K703" s="85"/>
      <c r="L703" s="1631"/>
      <c r="M703" s="1722"/>
      <c r="N703" s="1644"/>
      <c r="O703" s="1669"/>
      <c r="P703" s="905"/>
      <c r="Q703" s="905"/>
      <c r="R703" s="905"/>
      <c r="S703" s="905"/>
      <c r="T703" s="905"/>
      <c r="U703" s="905"/>
      <c r="V703" s="905"/>
      <c r="W703" s="248"/>
      <c r="X703" s="1600"/>
      <c r="Y703" s="1895"/>
      <c r="Z703" s="1600"/>
      <c r="AC703" s="248"/>
      <c r="AD703" s="248"/>
      <c r="AE703" s="248"/>
      <c r="AF703" s="248"/>
      <c r="AG703" s="248"/>
      <c r="AH703" s="248"/>
      <c r="AI703" s="248"/>
      <c r="AJ703" s="248"/>
      <c r="AK703" s="248"/>
      <c r="AL703" s="1352"/>
      <c r="AM703" s="1352"/>
      <c r="AN703" s="1352"/>
      <c r="AO703" s="1352"/>
      <c r="AP703" s="1352"/>
      <c r="AQ703" s="1352"/>
      <c r="AR703" s="1352"/>
      <c r="AS703" s="1352"/>
    </row>
    <row r="704" spans="1:45" hidden="1" x14ac:dyDescent="0.2">
      <c r="A704" s="1507">
        <v>6</v>
      </c>
      <c r="B704" s="1524">
        <v>608.1</v>
      </c>
      <c r="C704" s="1511"/>
      <c r="D704" s="1511"/>
      <c r="E704" s="1511"/>
      <c r="F704" s="1514"/>
      <c r="G704" s="1509" t="str">
        <f t="shared" ca="1" si="49"/>
        <v/>
      </c>
      <c r="H704" s="1510" t="s">
        <v>3197</v>
      </c>
      <c r="I704" s="67"/>
      <c r="J704" s="4"/>
      <c r="K704" s="85"/>
      <c r="L704" s="1631"/>
      <c r="M704" s="1722"/>
      <c r="N704" s="1644"/>
      <c r="O704" s="1669"/>
      <c r="P704" s="905"/>
      <c r="Q704" s="905"/>
      <c r="R704" s="905"/>
      <c r="S704" s="905"/>
      <c r="T704" s="905"/>
      <c r="U704" s="905"/>
      <c r="V704" s="905"/>
      <c r="W704" s="248"/>
      <c r="X704" s="1600"/>
      <c r="Y704" s="1895"/>
      <c r="Z704" s="1600"/>
      <c r="AC704" s="248"/>
      <c r="AD704" s="248"/>
      <c r="AE704" s="248"/>
      <c r="AF704" s="248"/>
      <c r="AG704" s="248"/>
      <c r="AH704" s="248"/>
      <c r="AI704" s="248"/>
      <c r="AJ704" s="248"/>
      <c r="AK704" s="248"/>
      <c r="AL704" s="1352"/>
      <c r="AM704" s="1352"/>
      <c r="AN704" s="1352"/>
      <c r="AO704" s="1352"/>
      <c r="AP704" s="1352"/>
      <c r="AQ704" s="1352"/>
      <c r="AR704" s="1352"/>
      <c r="AS704" s="1352"/>
    </row>
    <row r="705" spans="1:46" hidden="1" x14ac:dyDescent="0.2">
      <c r="A705" s="1507">
        <v>6</v>
      </c>
      <c r="B705" s="1524">
        <v>608.1</v>
      </c>
      <c r="C705" s="1511" t="s">
        <v>254</v>
      </c>
      <c r="D705" s="1511"/>
      <c r="E705" s="1511"/>
      <c r="F705" s="1514"/>
      <c r="G705" s="1509" t="str">
        <f t="shared" ca="1" si="49"/>
        <v/>
      </c>
      <c r="H705" s="1510" t="s">
        <v>3197</v>
      </c>
      <c r="I705" s="67"/>
      <c r="J705" s="29" t="s">
        <v>254</v>
      </c>
      <c r="K705" s="85"/>
      <c r="L705" s="1611" t="s">
        <v>568</v>
      </c>
      <c r="M705" s="955"/>
      <c r="N705" s="1132"/>
      <c r="O705" s="1134"/>
      <c r="P705" s="905"/>
      <c r="Q705" s="905"/>
      <c r="R705" s="905"/>
      <c r="S705" s="905"/>
      <c r="T705" s="905"/>
      <c r="U705" s="905"/>
      <c r="V705" s="905"/>
      <c r="W705" s="248"/>
      <c r="X705" s="1600"/>
      <c r="Y705" s="1895"/>
      <c r="Z705" s="1600"/>
      <c r="AC705" s="248"/>
      <c r="AD705" s="248"/>
      <c r="AE705" s="248"/>
      <c r="AF705" s="248"/>
      <c r="AG705" s="248"/>
      <c r="AH705" s="248"/>
      <c r="AI705" s="248"/>
      <c r="AJ705" s="248"/>
      <c r="AK705" s="248"/>
      <c r="AL705" s="1352"/>
      <c r="AM705" s="1352"/>
      <c r="AN705" s="1352"/>
      <c r="AO705" s="1352"/>
      <c r="AP705" s="1352"/>
      <c r="AQ705" s="1352"/>
      <c r="AR705" s="1352"/>
      <c r="AS705" s="1352"/>
    </row>
    <row r="706" spans="1:46" hidden="1" x14ac:dyDescent="0.2">
      <c r="A706" s="1507">
        <v>6</v>
      </c>
      <c r="B706" s="1524">
        <v>608.1</v>
      </c>
      <c r="C706" s="1511" t="s">
        <v>254</v>
      </c>
      <c r="D706" s="1511"/>
      <c r="E706" s="1511"/>
      <c r="F706" s="1514"/>
      <c r="G706" s="1509" t="str">
        <f t="shared" ca="1" si="49"/>
        <v/>
      </c>
      <c r="H706" s="1510" t="s">
        <v>3197</v>
      </c>
      <c r="I706" s="67"/>
      <c r="J706" s="29"/>
      <c r="K706" s="85"/>
      <c r="L706" s="1611"/>
      <c r="M706" s="955"/>
      <c r="N706" s="1132"/>
      <c r="O706" s="1134"/>
      <c r="P706" s="905"/>
      <c r="Q706" s="905"/>
      <c r="R706" s="905"/>
      <c r="S706" s="905"/>
      <c r="T706" s="905"/>
      <c r="U706" s="905"/>
      <c r="V706" s="905"/>
      <c r="W706" s="248"/>
      <c r="X706" s="1600"/>
      <c r="Y706" s="1895"/>
      <c r="Z706" s="1600"/>
      <c r="AC706" s="248"/>
      <c r="AD706" s="248"/>
      <c r="AE706" s="248"/>
      <c r="AF706" s="248"/>
      <c r="AG706" s="248"/>
      <c r="AH706" s="248"/>
      <c r="AI706" s="248"/>
      <c r="AJ706" s="248"/>
      <c r="AK706" s="248"/>
      <c r="AL706" s="1352"/>
      <c r="AM706" s="1352"/>
      <c r="AN706" s="1352"/>
      <c r="AO706" s="1352"/>
      <c r="AP706" s="1352"/>
      <c r="AQ706" s="1352"/>
      <c r="AR706" s="1352"/>
      <c r="AS706" s="1352"/>
    </row>
    <row r="707" spans="1:46" hidden="1" x14ac:dyDescent="0.2">
      <c r="A707" s="1507">
        <v>6</v>
      </c>
      <c r="B707" s="1524">
        <v>608.1</v>
      </c>
      <c r="C707" s="1511" t="s">
        <v>255</v>
      </c>
      <c r="D707" s="1511"/>
      <c r="E707" s="1511"/>
      <c r="F707" s="1514"/>
      <c r="G707" s="1509" t="str">
        <f t="shared" ca="1" si="49"/>
        <v/>
      </c>
      <c r="H707" s="1510" t="s">
        <v>3197</v>
      </c>
      <c r="I707" s="67"/>
      <c r="J707" s="29" t="s">
        <v>255</v>
      </c>
      <c r="K707" s="85"/>
      <c r="L707" s="85" t="s">
        <v>569</v>
      </c>
      <c r="M707" s="955"/>
      <c r="N707" s="1132"/>
      <c r="O707" s="1134"/>
      <c r="P707" s="905"/>
      <c r="Q707" s="905"/>
      <c r="R707" s="905"/>
      <c r="S707" s="905"/>
      <c r="T707" s="905"/>
      <c r="U707" s="905"/>
      <c r="V707" s="905"/>
      <c r="W707" s="248"/>
      <c r="X707" s="1600"/>
      <c r="Y707" s="1895"/>
      <c r="Z707" s="1600"/>
      <c r="AC707" s="248"/>
      <c r="AD707" s="248"/>
      <c r="AE707" s="248"/>
      <c r="AF707" s="248"/>
      <c r="AG707" s="248"/>
      <c r="AH707" s="248"/>
      <c r="AI707" s="248"/>
      <c r="AJ707" s="248"/>
      <c r="AK707" s="248"/>
      <c r="AL707" s="1352"/>
      <c r="AM707" s="1352"/>
      <c r="AN707" s="1352"/>
      <c r="AO707" s="1352"/>
      <c r="AP707" s="1352"/>
      <c r="AQ707" s="1352"/>
      <c r="AR707" s="1352"/>
      <c r="AS707" s="1352"/>
    </row>
    <row r="708" spans="1:46" hidden="1" x14ac:dyDescent="0.2">
      <c r="A708" s="1507">
        <v>6</v>
      </c>
      <c r="B708" s="1524">
        <v>608.1</v>
      </c>
      <c r="C708" s="1511" t="s">
        <v>256</v>
      </c>
      <c r="D708" s="1511"/>
      <c r="E708" s="1511"/>
      <c r="F708" s="1514"/>
      <c r="G708" s="1509" t="str">
        <f t="shared" ca="1" si="49"/>
        <v/>
      </c>
      <c r="H708" s="1510" t="s">
        <v>3197</v>
      </c>
      <c r="I708" s="67"/>
      <c r="J708" s="29" t="s">
        <v>256</v>
      </c>
      <c r="K708" s="85"/>
      <c r="L708" s="85" t="s">
        <v>570</v>
      </c>
      <c r="M708" s="955"/>
      <c r="N708" s="1132"/>
      <c r="O708" s="1134"/>
      <c r="P708" s="905"/>
      <c r="Q708" s="905"/>
      <c r="R708" s="905"/>
      <c r="S708" s="905"/>
      <c r="T708" s="905"/>
      <c r="U708" s="905"/>
      <c r="V708" s="905"/>
      <c r="W708" s="248"/>
      <c r="X708" s="1600"/>
      <c r="Y708" s="1895"/>
      <c r="Z708" s="1600"/>
      <c r="AC708" s="248"/>
      <c r="AD708" s="248"/>
      <c r="AE708" s="248"/>
      <c r="AF708" s="248"/>
      <c r="AG708" s="248"/>
      <c r="AH708" s="248"/>
      <c r="AI708" s="248"/>
      <c r="AJ708" s="248"/>
      <c r="AK708" s="248"/>
      <c r="AL708" s="1352"/>
      <c r="AM708" s="1352"/>
      <c r="AN708" s="1352"/>
      <c r="AO708" s="1352"/>
      <c r="AP708" s="1352"/>
      <c r="AQ708" s="1352"/>
      <c r="AR708" s="1352"/>
      <c r="AS708" s="1352"/>
    </row>
    <row r="709" spans="1:46" ht="15" hidden="1" customHeight="1" x14ac:dyDescent="0.2">
      <c r="A709" s="1507">
        <v>6</v>
      </c>
      <c r="B709" s="1524">
        <v>608.1</v>
      </c>
      <c r="C709" s="1511"/>
      <c r="D709" s="1511"/>
      <c r="E709" s="1511"/>
      <c r="F709" s="1514"/>
      <c r="G709" s="1509" t="str">
        <f t="shared" ca="1" si="49"/>
        <v/>
      </c>
      <c r="H709" s="1510" t="s">
        <v>3197</v>
      </c>
      <c r="I709" s="67"/>
      <c r="J709" s="29"/>
      <c r="K709" s="85"/>
      <c r="L709" s="1689" t="s">
        <v>3844</v>
      </c>
      <c r="M709" s="955"/>
      <c r="N709" s="1132"/>
      <c r="O709" s="935"/>
      <c r="P709" s="905"/>
      <c r="Q709" s="905"/>
      <c r="R709" s="905"/>
      <c r="S709" s="905"/>
      <c r="T709" s="905"/>
      <c r="U709" s="905"/>
      <c r="V709" s="905"/>
      <c r="W709" s="248"/>
      <c r="X709" s="1600"/>
      <c r="Y709" s="1895"/>
      <c r="Z709" s="1600"/>
      <c r="AC709" s="248"/>
      <c r="AD709" s="248"/>
      <c r="AE709" s="248"/>
      <c r="AF709" s="248"/>
      <c r="AG709" s="248"/>
      <c r="AH709" s="248"/>
      <c r="AI709" s="248"/>
      <c r="AJ709" s="248"/>
      <c r="AK709" s="248"/>
      <c r="AL709" s="1352"/>
      <c r="AM709" s="1352"/>
      <c r="AN709" s="1352"/>
      <c r="AO709" s="1352"/>
      <c r="AP709" s="1352"/>
      <c r="AQ709" s="1352"/>
      <c r="AR709" s="1352"/>
      <c r="AS709" s="1352"/>
    </row>
    <row r="710" spans="1:46" ht="15" hidden="1" customHeight="1" x14ac:dyDescent="0.2">
      <c r="A710" s="1507">
        <v>6</v>
      </c>
      <c r="B710" s="1524">
        <v>608.1</v>
      </c>
      <c r="C710" s="1511"/>
      <c r="D710" s="1511"/>
      <c r="E710" s="1511"/>
      <c r="F710" s="1514"/>
      <c r="G710" s="1509" t="str">
        <f t="shared" ca="1" si="49"/>
        <v/>
      </c>
      <c r="H710" s="1510" t="s">
        <v>3197</v>
      </c>
      <c r="I710"/>
      <c r="J710"/>
      <c r="K710"/>
      <c r="L710" s="1723"/>
      <c r="M710" s="955"/>
      <c r="N710"/>
      <c r="O710" s="935"/>
      <c r="P710" s="905"/>
      <c r="Q710" s="905"/>
      <c r="R710" s="905"/>
      <c r="S710" s="905"/>
      <c r="T710" s="905"/>
      <c r="U710" s="905"/>
      <c r="V710" s="905"/>
      <c r="W710"/>
      <c r="X710" s="1600"/>
      <c r="Y710" s="1895"/>
      <c r="Z710" s="1600"/>
      <c r="AA710"/>
      <c r="AC710"/>
      <c r="AD710"/>
      <c r="AE710"/>
      <c r="AF710"/>
      <c r="AG710"/>
      <c r="AH710"/>
      <c r="AI710"/>
      <c r="AJ710"/>
      <c r="AK710"/>
      <c r="AL710" s="1352"/>
      <c r="AM710" s="1352"/>
      <c r="AN710" s="1352"/>
      <c r="AO710" s="1352"/>
      <c r="AP710" s="1352"/>
      <c r="AQ710" s="1352"/>
      <c r="AR710" s="1352"/>
      <c r="AS710" s="1352"/>
      <c r="AT710"/>
    </row>
    <row r="711" spans="1:46" ht="19" x14ac:dyDescent="0.25">
      <c r="A711" s="1507">
        <v>6</v>
      </c>
      <c r="B711" s="1524">
        <v>609</v>
      </c>
      <c r="C711" s="1511"/>
      <c r="D711" s="1511"/>
      <c r="E711" s="1511"/>
      <c r="F711" s="1514"/>
      <c r="G711" s="1509" t="s">
        <v>3200</v>
      </c>
      <c r="H711" s="1510" t="s">
        <v>3197</v>
      </c>
      <c r="I711" s="14" t="s">
        <v>3583</v>
      </c>
      <c r="J711" s="25"/>
      <c r="K711" s="84"/>
      <c r="L711" s="81"/>
      <c r="M711" s="339"/>
      <c r="N711" s="71"/>
      <c r="O711" s="419"/>
      <c r="P711" s="25"/>
      <c r="Q711" s="25"/>
      <c r="R711" s="25"/>
      <c r="S711" s="25"/>
      <c r="T711" s="25"/>
      <c r="U711" s="25"/>
      <c r="V711" s="25"/>
      <c r="W711" s="25"/>
      <c r="X711" s="25"/>
      <c r="Y711" s="25"/>
      <c r="Z711" s="714"/>
      <c r="AC711" s="248"/>
      <c r="AD711" s="248"/>
      <c r="AE711" s="248"/>
      <c r="AF711" s="248"/>
      <c r="AG711" s="248"/>
      <c r="AH711" s="248"/>
      <c r="AI711" s="248"/>
      <c r="AJ711" s="248"/>
      <c r="AK711" s="248"/>
      <c r="AL711" s="1352"/>
      <c r="AM711" s="1352"/>
      <c r="AN711" s="1352"/>
      <c r="AO711" s="1352"/>
      <c r="AP711" s="1352"/>
      <c r="AQ711" s="1352"/>
      <c r="AR711" s="1352"/>
      <c r="AS711" s="1352"/>
    </row>
    <row r="712" spans="1:46" ht="15" hidden="1" customHeight="1" x14ac:dyDescent="0.2">
      <c r="A712" s="1507">
        <v>6</v>
      </c>
      <c r="B712" s="1524">
        <v>609.1</v>
      </c>
      <c r="C712" s="1511"/>
      <c r="D712" s="1511"/>
      <c r="E712" s="1511"/>
      <c r="F712" s="1514"/>
      <c r="G712" s="1509" t="str">
        <f ca="1">IF(N712&gt;0,"P","")</f>
        <v/>
      </c>
      <c r="H712" s="1510" t="s">
        <v>3197</v>
      </c>
      <c r="I712" s="67" t="s">
        <v>3584</v>
      </c>
      <c r="J712" s="4"/>
      <c r="K712" s="85"/>
      <c r="L712" s="1631" t="s">
        <v>3595</v>
      </c>
      <c r="M712" s="1628" t="s">
        <v>571</v>
      </c>
      <c r="N712" s="1644">
        <f ca="1">'11.600'!O414</f>
        <v>0</v>
      </c>
      <c r="O712" s="1669">
        <f ca="1">MIN(10,IFERROR(MATCH(W714,INDIRECT(U714),0),0)*2+IFERROR(MATCH(W716,INDIRECT(U716),0),0))</f>
        <v>0</v>
      </c>
      <c r="AC712" s="248"/>
      <c r="AD712" s="248"/>
      <c r="AE712" s="248"/>
      <c r="AF712" s="248"/>
      <c r="AG712" s="248"/>
      <c r="AH712" s="248"/>
      <c r="AI712" s="248"/>
      <c r="AJ712" s="248"/>
      <c r="AK712" s="248"/>
      <c r="AL712" s="1352" t="str">
        <f>SUBSTITUTE(SUBSTITUTE(SUBSTITUTE("vpa"&amp;$B712&amp;$C712&amp;$D712&amp;$E712&amp;$F712,".","_"),"(","_"),")","")</f>
        <v>vpa609_1</v>
      </c>
      <c r="AM712" s="1352" t="str">
        <f>M712</f>
        <v>10 Max</v>
      </c>
      <c r="AN712" s="1352" t="str">
        <f>SUBSTITUTE(SUBSTITUTE(SUBSTITUTE("vpc"&amp;$B712&amp;$C712&amp;$D712&amp;$E712&amp;$F712,".","_"),"(","_"),")","")</f>
        <v>vpc609_1</v>
      </c>
      <c r="AO712" s="1352">
        <f ca="1">O712</f>
        <v>0</v>
      </c>
      <c r="AP712" s="1352"/>
      <c r="AQ712" s="1352"/>
      <c r="AR712" s="1352"/>
      <c r="AS712" s="1352"/>
    </row>
    <row r="713" spans="1:46" hidden="1" x14ac:dyDescent="0.2">
      <c r="A713" s="1507">
        <v>6</v>
      </c>
      <c r="B713" s="1524">
        <v>609.1</v>
      </c>
      <c r="C713" s="1511"/>
      <c r="D713" s="1511"/>
      <c r="E713" s="1511"/>
      <c r="F713" s="1514"/>
      <c r="G713" s="1509" t="str">
        <f t="shared" ref="G713:G722" ca="1" si="50">G712</f>
        <v/>
      </c>
      <c r="H713" s="1510" t="s">
        <v>3197</v>
      </c>
      <c r="I713" s="67"/>
      <c r="J713" s="4"/>
      <c r="K713" s="85"/>
      <c r="L713" s="1631"/>
      <c r="M713" s="1628"/>
      <c r="N713" s="1644"/>
      <c r="O713" s="1669"/>
      <c r="P713" s="905"/>
      <c r="Q713" s="905"/>
      <c r="R713" s="905"/>
      <c r="S713" s="905"/>
      <c r="T713" s="905"/>
      <c r="U713" s="905"/>
      <c r="V713" s="905"/>
      <c r="W713" s="248" t="s">
        <v>2637</v>
      </c>
      <c r="AG713" s="248"/>
      <c r="AH713" s="248"/>
      <c r="AI713" s="248"/>
      <c r="AJ713" s="248"/>
      <c r="AK713" s="248"/>
      <c r="AL713" s="1352"/>
      <c r="AM713" s="1352"/>
      <c r="AN713" s="1352"/>
      <c r="AO713" s="1352"/>
      <c r="AP713" s="1352"/>
      <c r="AQ713" s="1352"/>
      <c r="AR713" s="1352"/>
      <c r="AS713" s="1352"/>
    </row>
    <row r="714" spans="1:46" s="1234" customFormat="1" hidden="1" x14ac:dyDescent="0.2">
      <c r="A714" s="1507">
        <v>6</v>
      </c>
      <c r="B714" s="1524">
        <v>609.1</v>
      </c>
      <c r="C714" s="1511" t="s">
        <v>254</v>
      </c>
      <c r="D714" s="1511"/>
      <c r="E714" s="1511"/>
      <c r="F714" s="1514"/>
      <c r="G714" s="1509" t="str">
        <f t="shared" ca="1" si="50"/>
        <v/>
      </c>
      <c r="H714" s="1510" t="s">
        <v>3197</v>
      </c>
      <c r="I714" s="67"/>
      <c r="J714" s="29" t="s">
        <v>254</v>
      </c>
      <c r="K714" s="85"/>
      <c r="L714" s="4" t="s">
        <v>5064</v>
      </c>
      <c r="M714" s="1715" t="s">
        <v>5066</v>
      </c>
      <c r="N714" s="1644"/>
      <c r="O714" s="1669"/>
      <c r="P714" s="905" t="b">
        <v>1</v>
      </c>
      <c r="Q714" s="905" t="b">
        <v>1</v>
      </c>
      <c r="R714" s="905" t="b">
        <v>0</v>
      </c>
      <c r="S714" s="905" t="b">
        <v>1</v>
      </c>
      <c r="T714" s="905" t="b">
        <v>0</v>
      </c>
      <c r="U714" s="1240" t="str">
        <f>SUBSTITUTE(SUBSTITUTE(SUBSTITUTE("dd"&amp;B714&amp;C714&amp;D714&amp;E714&amp;F714,".","_"),"(","_"),")","")</f>
        <v>dd609_1_1</v>
      </c>
      <c r="V714" s="905"/>
      <c r="W714" s="12"/>
      <c r="X714" s="1600"/>
      <c r="Y714" s="1874" t="str">
        <f>IF(LEN('11.600'!X416)=0,"None",'11.600'!X416)</f>
        <v>None</v>
      </c>
      <c r="Z714" s="1874"/>
      <c r="AC714" s="248" t="b">
        <f>OR(AD714:AE714)</f>
        <v>0</v>
      </c>
      <c r="AD714" s="617" t="b">
        <f>T714</f>
        <v>0</v>
      </c>
      <c r="AE714" s="248" t="b">
        <f>AND(NOT(ISBLANK(W714)),LEN(X714)=0)</f>
        <v>0</v>
      </c>
      <c r="AF714" s="720" t="b">
        <f>AND(AE714,NOT(Q714))</f>
        <v>0</v>
      </c>
      <c r="AL714" s="1352" t="str">
        <f>SUBSTITUTE(SUBSTITUTE(SUBSTITUTE("vpa"&amp;$B714&amp;$C714&amp;$D714&amp;$E714&amp;$F714,".","_"),"(","_"),")","")</f>
        <v>vpa609_1_1</v>
      </c>
      <c r="AM714" s="1352" t="str">
        <f>M714</f>
        <v>2 per each component</v>
      </c>
      <c r="AN714" s="1352"/>
      <c r="AO714" s="1352"/>
      <c r="AP714" s="1352" t="str">
        <f>SUBSTITUTE(SUBSTITUTE(SUBSTITUTE("vch"&amp;$B714&amp;$C714&amp;$D714&amp;$E714&amp;$F714,".","_"),"(","_"),")","")</f>
        <v>vch609_1_1</v>
      </c>
      <c r="AQ714" s="1352" t="str">
        <f>IF(LEN(W714)=0,"",W714)</f>
        <v/>
      </c>
      <c r="AR714" s="1352" t="str">
        <f>SUBSTITUTE(SUBSTITUTE(SUBSTITUTE("vnt"&amp;$B714&amp;$C714&amp;$D714&amp;$E714&amp;$F714,".","_"),"(","_"),")","")</f>
        <v>vnt609_1_1</v>
      </c>
      <c r="AS714" s="1352" t="str">
        <f>IF(LEN(X714)=0,"",X714)</f>
        <v/>
      </c>
    </row>
    <row r="715" spans="1:46" s="1234" customFormat="1" hidden="1" x14ac:dyDescent="0.2">
      <c r="A715" s="1507">
        <v>6</v>
      </c>
      <c r="B715" s="1524">
        <v>609.1</v>
      </c>
      <c r="C715" s="1511" t="s">
        <v>254</v>
      </c>
      <c r="D715" s="1511"/>
      <c r="E715" s="1511"/>
      <c r="F715" s="1514"/>
      <c r="G715" s="1509" t="str">
        <f t="shared" ca="1" si="50"/>
        <v/>
      </c>
      <c r="H715" s="1510" t="s">
        <v>3197</v>
      </c>
      <c r="I715" s="67"/>
      <c r="J715" s="29"/>
      <c r="K715" s="85"/>
      <c r="L715" s="4"/>
      <c r="M715" s="1715"/>
      <c r="N715" s="1644"/>
      <c r="O715" s="1669"/>
      <c r="P715" s="905"/>
      <c r="Q715" s="905"/>
      <c r="R715" s="905"/>
      <c r="S715" s="905"/>
      <c r="T715" s="905"/>
      <c r="U715" s="905"/>
      <c r="V715" s="905"/>
      <c r="W715" s="248" t="s">
        <v>2638</v>
      </c>
      <c r="X715" s="1600"/>
      <c r="Y715" s="1874"/>
      <c r="Z715" s="1874"/>
      <c r="AL715" s="1352"/>
      <c r="AM715" s="1352"/>
      <c r="AN715" s="1352"/>
      <c r="AO715" s="1352"/>
      <c r="AP715" s="1352"/>
      <c r="AQ715" s="1352"/>
      <c r="AR715" s="1352"/>
      <c r="AS715" s="1352"/>
    </row>
    <row r="716" spans="1:46" s="1234" customFormat="1" hidden="1" x14ac:dyDescent="0.2">
      <c r="A716" s="1507">
        <v>6</v>
      </c>
      <c r="B716" s="1524">
        <v>609.1</v>
      </c>
      <c r="C716" s="1511" t="s">
        <v>255</v>
      </c>
      <c r="D716" s="1511"/>
      <c r="E716" s="1511"/>
      <c r="F716" s="1514"/>
      <c r="G716" s="1509" t="str">
        <f t="shared" ca="1" si="50"/>
        <v/>
      </c>
      <c r="H716" s="1510" t="s">
        <v>3197</v>
      </c>
      <c r="I716" s="67"/>
      <c r="J716" s="29" t="s">
        <v>255</v>
      </c>
      <c r="K716" s="85"/>
      <c r="L716" s="4" t="s">
        <v>5065</v>
      </c>
      <c r="M716" s="1715" t="s">
        <v>5067</v>
      </c>
      <c r="N716" s="1644"/>
      <c r="O716" s="1669"/>
      <c r="P716" s="905" t="b">
        <v>1</v>
      </c>
      <c r="Q716" s="905" t="b">
        <v>1</v>
      </c>
      <c r="R716" s="905" t="b">
        <v>0</v>
      </c>
      <c r="S716" s="905" t="b">
        <v>1</v>
      </c>
      <c r="T716" s="905" t="b">
        <v>0</v>
      </c>
      <c r="U716" s="1240" t="str">
        <f>SUBSTITUTE(SUBSTITUTE(SUBSTITUTE("dd"&amp;B716&amp;C716&amp;D716&amp;E716&amp;F716,".","_"),"(","_"),")","")</f>
        <v>dd609_1_2</v>
      </c>
      <c r="V716" s="905"/>
      <c r="W716" s="12"/>
      <c r="X716" s="1600"/>
      <c r="Y716" s="1874" t="str">
        <f>IF(LEN('11.600'!X418)=0,"None",'11.600'!X418)</f>
        <v>None</v>
      </c>
      <c r="Z716" s="1874"/>
      <c r="AC716" s="248" t="b">
        <f>OR(AD716:AE716)</f>
        <v>0</v>
      </c>
      <c r="AD716" s="617" t="b">
        <f>T716</f>
        <v>0</v>
      </c>
      <c r="AE716" s="248" t="b">
        <f>AND(NOT(ISBLANK(W716)),LEN(X716)=0)</f>
        <v>0</v>
      </c>
      <c r="AF716" s="720" t="b">
        <f>AND(AE716,NOT(Q716))</f>
        <v>0</v>
      </c>
      <c r="AL716" s="1352" t="str">
        <f>SUBSTITUTE(SUBSTITUTE(SUBSTITUTE("vpa"&amp;$B716&amp;$C716&amp;$D716&amp;$E716&amp;$F716,".","_"),"(","_"),")","")</f>
        <v>vpa609_1_2</v>
      </c>
      <c r="AM716" s="1352" t="str">
        <f>M716</f>
        <v>1 per each component</v>
      </c>
      <c r="AN716" s="1352"/>
      <c r="AO716" s="1352"/>
      <c r="AP716" s="1352" t="str">
        <f>SUBSTITUTE(SUBSTITUTE(SUBSTITUTE("vch"&amp;$B716&amp;$C716&amp;$D716&amp;$E716&amp;$F716,".","_"),"(","_"),")","")</f>
        <v>vch609_1_2</v>
      </c>
      <c r="AQ716" s="1352" t="str">
        <f>IF(LEN(W716)=0,"",W716)</f>
        <v/>
      </c>
      <c r="AR716" s="1352" t="str">
        <f>SUBSTITUTE(SUBSTITUTE(SUBSTITUTE("vnt"&amp;$B716&amp;$C716&amp;$D716&amp;$E716&amp;$F716,".","_"),"(","_"),")","")</f>
        <v>vnt609_1_2</v>
      </c>
      <c r="AS716" s="1352" t="str">
        <f>IF(LEN(X716)=0,"",X716)</f>
        <v/>
      </c>
    </row>
    <row r="717" spans="1:46" s="1234" customFormat="1" hidden="1" x14ac:dyDescent="0.2">
      <c r="A717" s="1507">
        <v>6</v>
      </c>
      <c r="B717" s="1524">
        <v>609.1</v>
      </c>
      <c r="C717" s="1511" t="s">
        <v>255</v>
      </c>
      <c r="D717" s="1511"/>
      <c r="E717" s="1511"/>
      <c r="F717" s="1514"/>
      <c r="G717" s="1509" t="str">
        <f t="shared" ca="1" si="50"/>
        <v/>
      </c>
      <c r="H717" s="1510" t="s">
        <v>3197</v>
      </c>
      <c r="I717" s="67"/>
      <c r="J717" s="29"/>
      <c r="K717" s="85"/>
      <c r="L717" s="4"/>
      <c r="M717" s="1715"/>
      <c r="N717" s="1644"/>
      <c r="O717" s="1669"/>
      <c r="U717" s="1240"/>
      <c r="W717"/>
      <c r="X717" s="1600"/>
      <c r="Y717" s="1874"/>
      <c r="Z717" s="1874"/>
      <c r="AL717" s="1352"/>
      <c r="AM717" s="1352"/>
      <c r="AN717" s="1352"/>
      <c r="AO717" s="1352"/>
      <c r="AP717" s="1352"/>
      <c r="AQ717" s="1352"/>
      <c r="AR717" s="1352"/>
      <c r="AS717" s="1352"/>
    </row>
    <row r="718" spans="1:46" ht="15" hidden="1" customHeight="1" x14ac:dyDescent="0.2">
      <c r="A718" s="1507">
        <v>6</v>
      </c>
      <c r="B718" s="1524">
        <v>609.1</v>
      </c>
      <c r="C718" s="1511"/>
      <c r="D718" s="1511"/>
      <c r="E718" s="1511"/>
      <c r="F718" s="1514"/>
      <c r="G718" s="1509" t="str">
        <f t="shared" ca="1" si="50"/>
        <v/>
      </c>
      <c r="H718" s="1510" t="s">
        <v>3197</v>
      </c>
      <c r="I718" s="67"/>
      <c r="J718" s="4"/>
      <c r="K718" s="85"/>
      <c r="L718" s="1707" t="s">
        <v>5063</v>
      </c>
      <c r="M718" s="1239"/>
      <c r="N718" s="1237"/>
      <c r="O718" s="1238"/>
      <c r="P718" s="905"/>
      <c r="Q718" s="905"/>
      <c r="R718" s="905"/>
      <c r="S718" s="905"/>
      <c r="T718" s="905"/>
      <c r="U718" s="905"/>
      <c r="V718" s="905"/>
      <c r="W718" s="248"/>
      <c r="X718"/>
      <c r="Y718"/>
      <c r="Z718"/>
      <c r="AC718" s="248"/>
      <c r="AD718" s="248"/>
      <c r="AE718" s="248"/>
      <c r="AF718" s="248"/>
      <c r="AG718" s="248"/>
      <c r="AH718" s="248"/>
      <c r="AI718" s="248"/>
      <c r="AJ718" s="248"/>
      <c r="AK718" s="248"/>
      <c r="AL718" s="1352"/>
      <c r="AM718" s="1352"/>
      <c r="AN718" s="1352"/>
      <c r="AO718" s="1352"/>
      <c r="AP718" s="1352"/>
      <c r="AQ718" s="1352"/>
      <c r="AR718" s="1352"/>
      <c r="AS718" s="1352"/>
    </row>
    <row r="719" spans="1:46" hidden="1" x14ac:dyDescent="0.2">
      <c r="A719" s="1507">
        <v>6</v>
      </c>
      <c r="B719" s="1524">
        <v>609.1</v>
      </c>
      <c r="C719" s="1511"/>
      <c r="D719" s="1511"/>
      <c r="E719" s="1511"/>
      <c r="F719" s="1514"/>
      <c r="G719" s="1509" t="str">
        <f t="shared" ca="1" si="50"/>
        <v/>
      </c>
      <c r="H719" s="1510" t="s">
        <v>3197</v>
      </c>
      <c r="I719" s="67"/>
      <c r="J719" s="4"/>
      <c r="K719" s="85"/>
      <c r="L719" s="1707"/>
      <c r="M719" s="1239"/>
      <c r="N719" s="1237"/>
      <c r="O719" s="1238"/>
      <c r="AC719" s="248"/>
      <c r="AD719" s="248"/>
      <c r="AE719" s="248"/>
      <c r="AF719" s="248"/>
      <c r="AG719" s="248"/>
      <c r="AH719" s="248"/>
      <c r="AI719" s="248"/>
      <c r="AJ719" s="248"/>
      <c r="AK719" s="248"/>
      <c r="AL719" s="1352"/>
      <c r="AM719" s="1352"/>
      <c r="AN719" s="1352"/>
      <c r="AO719" s="1352"/>
      <c r="AP719" s="1352"/>
      <c r="AQ719" s="1352"/>
      <c r="AR719" s="1352"/>
      <c r="AS719" s="1352"/>
    </row>
    <row r="720" spans="1:46" hidden="1" x14ac:dyDescent="0.2">
      <c r="A720" s="1507">
        <v>6</v>
      </c>
      <c r="B720" s="1524">
        <v>609.1</v>
      </c>
      <c r="C720" s="1511"/>
      <c r="D720" s="1511"/>
      <c r="E720" s="1511"/>
      <c r="F720" s="1514"/>
      <c r="G720" s="1509" t="str">
        <f t="shared" ca="1" si="50"/>
        <v/>
      </c>
      <c r="H720" s="1510" t="s">
        <v>3197</v>
      </c>
      <c r="I720" s="67"/>
      <c r="J720" s="4"/>
      <c r="K720" s="85"/>
      <c r="L720" s="1707"/>
      <c r="M720" s="1239"/>
      <c r="N720" s="1237"/>
      <c r="O720" s="1238"/>
      <c r="AG720" s="248"/>
      <c r="AH720" s="248"/>
      <c r="AI720" s="248"/>
      <c r="AJ720" s="248"/>
      <c r="AK720" s="248"/>
      <c r="AL720" s="1352"/>
      <c r="AM720" s="1352"/>
      <c r="AN720" s="1352"/>
      <c r="AO720" s="1352"/>
      <c r="AP720" s="1352"/>
      <c r="AQ720" s="1352"/>
      <c r="AR720" s="1352"/>
      <c r="AS720" s="1352"/>
    </row>
    <row r="721" spans="1:45" ht="15" hidden="1" customHeight="1" x14ac:dyDescent="0.2">
      <c r="A721" s="1507">
        <v>6</v>
      </c>
      <c r="B721" s="1524">
        <v>609.1</v>
      </c>
      <c r="C721" s="1511"/>
      <c r="D721" s="1511"/>
      <c r="E721" s="1511"/>
      <c r="F721" s="1514"/>
      <c r="G721" s="1509" t="str">
        <f t="shared" ca="1" si="50"/>
        <v/>
      </c>
      <c r="H721" s="1510" t="s">
        <v>3197</v>
      </c>
      <c r="I721" s="67"/>
      <c r="J721" s="4"/>
      <c r="K721" s="85"/>
      <c r="L721" s="1810" t="s">
        <v>3843</v>
      </c>
      <c r="M721" s="1239"/>
      <c r="N721" s="1237"/>
      <c r="O721" s="1238"/>
      <c r="P721" s="905"/>
      <c r="Q721" s="905"/>
      <c r="R721" s="905"/>
      <c r="S721" s="905"/>
      <c r="T721" s="905"/>
      <c r="U721" s="905"/>
      <c r="V721" s="905"/>
      <c r="W721" s="248"/>
      <c r="X721"/>
      <c r="Y721"/>
      <c r="Z721"/>
      <c r="AC721" s="248"/>
      <c r="AD721" s="248"/>
      <c r="AE721" s="248"/>
      <c r="AF721" s="248"/>
      <c r="AG721" s="248"/>
      <c r="AH721" s="248"/>
      <c r="AI721" s="248"/>
      <c r="AJ721" s="248"/>
      <c r="AK721" s="248"/>
      <c r="AL721" s="1352"/>
      <c r="AM721" s="1352"/>
      <c r="AN721" s="1352"/>
      <c r="AO721" s="1352"/>
      <c r="AP721" s="1352"/>
      <c r="AQ721" s="1352"/>
      <c r="AR721" s="1352"/>
      <c r="AS721" s="1352"/>
    </row>
    <row r="722" spans="1:45" hidden="1" x14ac:dyDescent="0.2">
      <c r="A722" s="1507">
        <v>6</v>
      </c>
      <c r="B722" s="1524">
        <v>609.1</v>
      </c>
      <c r="C722" s="1511"/>
      <c r="D722" s="1511"/>
      <c r="E722" s="1511"/>
      <c r="F722" s="1514"/>
      <c r="G722" s="1509" t="str">
        <f t="shared" ca="1" si="50"/>
        <v/>
      </c>
      <c r="H722" s="1510" t="s">
        <v>3197</v>
      </c>
      <c r="I722" s="67"/>
      <c r="J722" s="4"/>
      <c r="K722" s="85"/>
      <c r="L722" s="1811"/>
      <c r="M722" s="1239"/>
      <c r="N722" s="1237"/>
      <c r="O722" s="1238"/>
      <c r="P722" s="905"/>
      <c r="Q722" s="905"/>
      <c r="R722" s="905"/>
      <c r="S722" s="905"/>
      <c r="T722" s="905"/>
      <c r="U722" s="905"/>
      <c r="V722" s="905"/>
      <c r="W722" s="248"/>
      <c r="X722"/>
      <c r="Y722"/>
      <c r="Z722"/>
      <c r="AC722" s="248"/>
      <c r="AD722" s="248"/>
      <c r="AE722" s="248"/>
      <c r="AF722" s="248"/>
      <c r="AG722" s="248"/>
      <c r="AH722" s="248"/>
      <c r="AI722" s="248"/>
      <c r="AJ722" s="248"/>
      <c r="AK722" s="248"/>
      <c r="AL722" s="1352"/>
      <c r="AM722" s="1352"/>
      <c r="AN722" s="1352"/>
      <c r="AO722" s="1352"/>
      <c r="AP722" s="1352"/>
      <c r="AQ722" s="1352"/>
      <c r="AR722" s="1352"/>
      <c r="AS722" s="1352"/>
    </row>
    <row r="723" spans="1:45" ht="19" x14ac:dyDescent="0.25">
      <c r="A723" s="1507">
        <v>6</v>
      </c>
      <c r="B723" s="1524">
        <v>610</v>
      </c>
      <c r="C723" s="1511"/>
      <c r="D723" s="1511"/>
      <c r="E723" s="1511"/>
      <c r="F723" s="1514"/>
      <c r="G723" s="1509" t="s">
        <v>3200</v>
      </c>
      <c r="H723" s="1510" t="s">
        <v>3197</v>
      </c>
      <c r="I723" s="14" t="s">
        <v>3585</v>
      </c>
      <c r="J723" s="25"/>
      <c r="K723" s="84"/>
      <c r="L723" s="81"/>
      <c r="M723" s="339"/>
      <c r="N723" s="71"/>
      <c r="O723" s="419"/>
      <c r="P723" s="25"/>
      <c r="Q723" s="25"/>
      <c r="R723" s="25"/>
      <c r="S723" s="25"/>
      <c r="T723" s="25"/>
      <c r="U723" s="25"/>
      <c r="V723" s="25"/>
      <c r="W723" s="25"/>
      <c r="X723" s="25"/>
      <c r="Y723" s="25"/>
      <c r="Z723" s="714"/>
      <c r="AC723" s="248"/>
      <c r="AD723" s="248"/>
      <c r="AE723" s="248"/>
      <c r="AF723" s="248"/>
      <c r="AG723" s="248"/>
      <c r="AH723" s="248"/>
      <c r="AI723" s="248"/>
      <c r="AJ723" s="248"/>
      <c r="AK723" s="248"/>
      <c r="AL723" s="1352"/>
      <c r="AM723" s="1352"/>
      <c r="AN723" s="1352"/>
      <c r="AO723" s="1352"/>
      <c r="AP723" s="1352"/>
      <c r="AQ723" s="1352"/>
      <c r="AR723" s="1352"/>
      <c r="AS723" s="1352"/>
    </row>
    <row r="724" spans="1:45" ht="15" hidden="1" customHeight="1" x14ac:dyDescent="0.2">
      <c r="A724" s="1507">
        <v>6</v>
      </c>
      <c r="B724" s="1524">
        <v>610.1</v>
      </c>
      <c r="C724" s="1511"/>
      <c r="D724" s="1511"/>
      <c r="E724" s="1511"/>
      <c r="F724" s="1514"/>
      <c r="G724" s="1512"/>
      <c r="H724" s="1510"/>
      <c r="I724" s="67" t="s">
        <v>3586</v>
      </c>
      <c r="J724" s="4"/>
      <c r="K724" s="85"/>
      <c r="L724" s="1631" t="s">
        <v>3830</v>
      </c>
      <c r="M724" s="69"/>
      <c r="N724" s="250"/>
      <c r="O724" s="935"/>
      <c r="P724" s="905"/>
      <c r="Q724" s="905"/>
      <c r="R724" s="1241" t="b">
        <f ca="1">SUM(O733:O754)&gt;0</f>
        <v>0</v>
      </c>
      <c r="S724" s="1241"/>
      <c r="T724" s="1241"/>
      <c r="U724" s="1241"/>
      <c r="V724" s="1241"/>
      <c r="W724" s="1241"/>
      <c r="X724" s="1600"/>
      <c r="Y724" s="1881" t="str">
        <f>IF(LEN('11.600'!X426)=0,"None",'11.600'!X426)</f>
        <v>None</v>
      </c>
      <c r="Z724" s="1881"/>
      <c r="AA724" s="1241"/>
      <c r="AB724" s="1241"/>
      <c r="AC724" s="1241" t="b">
        <f ca="1">OR(AD724:AE724)</f>
        <v>0</v>
      </c>
      <c r="AD724" s="1241"/>
      <c r="AE724" s="1" t="b">
        <f ca="1">AND(R724,LEN(X724)=0)</f>
        <v>0</v>
      </c>
      <c r="AF724" s="248"/>
      <c r="AG724" s="248"/>
      <c r="AH724" s="248"/>
      <c r="AI724" s="248"/>
      <c r="AJ724" s="248"/>
      <c r="AK724" s="248"/>
      <c r="AL724" s="1352"/>
      <c r="AM724" s="1352"/>
      <c r="AN724" s="1352"/>
      <c r="AO724" s="1352"/>
      <c r="AP724" s="1352"/>
      <c r="AQ724" s="1352"/>
      <c r="AR724" s="1352" t="str">
        <f>SUBSTITUTE(SUBSTITUTE(SUBSTITUTE("vnt"&amp;$B724&amp;$C724&amp;$D724&amp;$E724&amp;$F724,".","_"),"(","_"),")","")</f>
        <v>vnt610_1</v>
      </c>
      <c r="AS724" s="1352" t="str">
        <f>IF(LEN(X724)=0,"",X724)</f>
        <v/>
      </c>
    </row>
    <row r="725" spans="1:45" hidden="1" x14ac:dyDescent="0.2">
      <c r="A725" s="1507">
        <v>6</v>
      </c>
      <c r="B725" s="1524">
        <v>610.1</v>
      </c>
      <c r="C725" s="1511"/>
      <c r="D725" s="1511"/>
      <c r="E725" s="1511"/>
      <c r="F725" s="1514"/>
      <c r="G725" s="1512"/>
      <c r="H725" s="1510"/>
      <c r="I725" s="67"/>
      <c r="J725" s="4"/>
      <c r="K725" s="85"/>
      <c r="L725" s="1631"/>
      <c r="M725" s="69"/>
      <c r="N725" s="250"/>
      <c r="O725" s="935"/>
      <c r="P725" s="905"/>
      <c r="Q725" s="905"/>
      <c r="R725" s="1241"/>
      <c r="S725" s="1241"/>
      <c r="T725" s="1241"/>
      <c r="U725" s="1241"/>
      <c r="V725" s="1241"/>
      <c r="W725" s="1241"/>
      <c r="X725" s="1600"/>
      <c r="Y725" s="1881"/>
      <c r="Z725" s="1881"/>
      <c r="AA725" s="1241"/>
      <c r="AB725" s="1241"/>
      <c r="AC725" s="1241"/>
      <c r="AD725" s="1241"/>
      <c r="AE725" s="1241"/>
      <c r="AF725" s="248"/>
      <c r="AG725" s="248"/>
      <c r="AH725" s="248"/>
      <c r="AI725" s="248"/>
      <c r="AJ725" s="248"/>
      <c r="AK725" s="248"/>
      <c r="AL725" s="1352"/>
      <c r="AM725" s="1352"/>
      <c r="AN725" s="1352"/>
      <c r="AO725" s="1352"/>
      <c r="AP725" s="1352"/>
      <c r="AQ725" s="1352"/>
      <c r="AR725" s="1352"/>
      <c r="AS725" s="1352"/>
    </row>
    <row r="726" spans="1:45" hidden="1" x14ac:dyDescent="0.2">
      <c r="A726" s="1507">
        <v>6</v>
      </c>
      <c r="B726" s="1524">
        <v>610.1</v>
      </c>
      <c r="C726" s="1511"/>
      <c r="D726" s="1511"/>
      <c r="E726" s="1511"/>
      <c r="F726" s="1514"/>
      <c r="G726" s="1512"/>
      <c r="H726" s="1510"/>
      <c r="I726" s="67"/>
      <c r="J726" s="4"/>
      <c r="K726" s="85"/>
      <c r="L726" s="1631"/>
      <c r="M726" s="69"/>
      <c r="N726" s="250"/>
      <c r="O726" s="935"/>
      <c r="P726" s="905"/>
      <c r="Q726" s="905"/>
      <c r="R726" s="1241"/>
      <c r="S726" s="1241"/>
      <c r="T726" s="1241"/>
      <c r="U726" s="1241"/>
      <c r="V726" s="1241"/>
      <c r="W726" s="1241"/>
      <c r="X726" s="1600"/>
      <c r="Y726" s="1881"/>
      <c r="Z726" s="1881"/>
      <c r="AA726" s="1241"/>
      <c r="AB726" s="1241"/>
      <c r="AC726" s="1241"/>
      <c r="AD726" s="1241"/>
      <c r="AE726" s="1241"/>
      <c r="AF726" s="248"/>
      <c r="AG726" s="248"/>
      <c r="AH726" s="248"/>
      <c r="AI726" s="248"/>
      <c r="AJ726" s="248"/>
      <c r="AK726" s="248"/>
      <c r="AL726" s="1352"/>
      <c r="AM726" s="1352"/>
      <c r="AN726" s="1352"/>
      <c r="AO726" s="1352"/>
      <c r="AP726" s="1352"/>
      <c r="AQ726" s="1352"/>
      <c r="AR726" s="1352"/>
      <c r="AS726" s="1352"/>
    </row>
    <row r="727" spans="1:45" hidden="1" x14ac:dyDescent="0.2">
      <c r="A727" s="1507">
        <v>6</v>
      </c>
      <c r="B727" s="1524">
        <v>610.1</v>
      </c>
      <c r="C727" s="1511"/>
      <c r="D727" s="1511"/>
      <c r="E727" s="1511"/>
      <c r="F727" s="1514"/>
      <c r="G727" s="1512"/>
      <c r="H727" s="1510"/>
      <c r="I727" s="67"/>
      <c r="J727" s="4"/>
      <c r="K727" s="85"/>
      <c r="L727" s="1631"/>
      <c r="M727" s="69"/>
      <c r="N727" s="250"/>
      <c r="O727" s="935"/>
      <c r="P727" s="905"/>
      <c r="Q727" s="905"/>
      <c r="R727" s="1241"/>
      <c r="S727" s="1241"/>
      <c r="T727" s="1241"/>
      <c r="U727" s="1241"/>
      <c r="V727" s="1241"/>
      <c r="W727" s="1241"/>
      <c r="X727" s="1600"/>
      <c r="Y727" s="1881"/>
      <c r="Z727" s="1881"/>
      <c r="AA727" s="1241"/>
      <c r="AB727" s="1241"/>
      <c r="AC727" s="1241"/>
      <c r="AD727" s="1241"/>
      <c r="AE727" s="1241"/>
      <c r="AF727" s="248"/>
      <c r="AG727" s="248"/>
      <c r="AH727" s="248"/>
      <c r="AI727" s="248"/>
      <c r="AJ727" s="248"/>
      <c r="AK727" s="248"/>
      <c r="AL727" s="1352"/>
      <c r="AM727" s="1352"/>
      <c r="AN727" s="1352"/>
      <c r="AO727" s="1352"/>
      <c r="AP727" s="1352"/>
      <c r="AQ727" s="1352"/>
      <c r="AR727" s="1352"/>
      <c r="AS727" s="1352"/>
    </row>
    <row r="728" spans="1:45" hidden="1" x14ac:dyDescent="0.2">
      <c r="A728" s="1507">
        <v>6</v>
      </c>
      <c r="B728" s="1524">
        <v>610.1</v>
      </c>
      <c r="C728" s="1511"/>
      <c r="D728" s="1511"/>
      <c r="E728" s="1511"/>
      <c r="F728" s="1514"/>
      <c r="G728" s="1512"/>
      <c r="H728" s="1510"/>
      <c r="I728" s="67"/>
      <c r="J728" s="4"/>
      <c r="K728" s="85"/>
      <c r="L728" s="1631"/>
      <c r="M728" s="69"/>
      <c r="N728" s="250"/>
      <c r="O728" s="935"/>
      <c r="P728" s="905"/>
      <c r="Q728" s="905"/>
      <c r="R728" s="1241"/>
      <c r="S728" s="1241"/>
      <c r="T728" s="1241"/>
      <c r="U728" s="1241"/>
      <c r="V728" s="1241"/>
      <c r="W728" s="1241"/>
      <c r="X728" s="1600"/>
      <c r="Y728" s="1881"/>
      <c r="Z728" s="1881"/>
      <c r="AA728" s="1241"/>
      <c r="AB728" s="1241"/>
      <c r="AC728" s="1241"/>
      <c r="AD728" s="1241"/>
      <c r="AE728" s="1241"/>
      <c r="AF728" s="248"/>
      <c r="AG728" s="248"/>
      <c r="AH728" s="248"/>
      <c r="AI728" s="248"/>
      <c r="AJ728" s="248"/>
      <c r="AK728" s="248"/>
      <c r="AL728" s="1352"/>
      <c r="AM728" s="1352"/>
      <c r="AN728" s="1352"/>
      <c r="AO728" s="1352"/>
      <c r="AP728" s="1352"/>
      <c r="AQ728" s="1352"/>
      <c r="AR728" s="1352"/>
      <c r="AS728" s="1352"/>
    </row>
    <row r="729" spans="1:45" s="1241" customFormat="1" hidden="1" x14ac:dyDescent="0.2">
      <c r="A729" s="1507">
        <v>6</v>
      </c>
      <c r="B729" s="1524">
        <v>610.1</v>
      </c>
      <c r="C729" s="1511"/>
      <c r="D729" s="1511"/>
      <c r="E729" s="1511"/>
      <c r="F729" s="1514"/>
      <c r="G729" s="1512"/>
      <c r="H729" s="1510"/>
      <c r="I729" s="67"/>
      <c r="J729" s="4"/>
      <c r="K729" s="85"/>
      <c r="L729" s="1631"/>
      <c r="M729" s="69"/>
      <c r="N729" s="1243"/>
      <c r="O729" s="1242"/>
      <c r="X729" s="1600"/>
      <c r="Y729" s="1881"/>
      <c r="Z729" s="1881"/>
      <c r="AL729" s="1352"/>
      <c r="AM729" s="1352"/>
      <c r="AN729" s="1352"/>
      <c r="AO729" s="1352"/>
      <c r="AP729" s="1352"/>
      <c r="AQ729" s="1352"/>
      <c r="AR729" s="1352"/>
      <c r="AS729" s="1352"/>
    </row>
    <row r="730" spans="1:45" ht="16" hidden="1" thickBot="1" x14ac:dyDescent="0.25">
      <c r="A730" s="1507">
        <v>6</v>
      </c>
      <c r="B730" s="1524">
        <v>610.1</v>
      </c>
      <c r="C730" s="1511"/>
      <c r="D730" s="1511"/>
      <c r="E730" s="1511"/>
      <c r="F730" s="1514"/>
      <c r="G730" s="1512"/>
      <c r="H730" s="1510"/>
      <c r="I730" s="67"/>
      <c r="J730" s="4"/>
      <c r="K730" s="85"/>
      <c r="L730" s="1244" t="s">
        <v>5077</v>
      </c>
      <c r="M730" s="69"/>
      <c r="N730" s="250"/>
      <c r="O730" s="935"/>
      <c r="P730" s="905"/>
      <c r="Q730" s="905"/>
      <c r="R730" s="1241"/>
      <c r="S730" s="1241"/>
      <c r="T730" s="1241"/>
      <c r="U730" s="1241"/>
      <c r="V730" s="1241"/>
      <c r="W730" s="1241"/>
      <c r="X730" s="1600"/>
      <c r="Y730" s="1882"/>
      <c r="Z730" s="1882"/>
      <c r="AA730" s="1241"/>
      <c r="AB730" s="1241"/>
      <c r="AC730" s="1241"/>
      <c r="AD730" s="1241"/>
      <c r="AE730" s="1241"/>
      <c r="AF730" s="248"/>
      <c r="AG730" s="248"/>
      <c r="AH730" s="248"/>
      <c r="AI730" s="248"/>
      <c r="AJ730" s="248"/>
      <c r="AK730" s="248"/>
      <c r="AL730" s="1352"/>
      <c r="AM730" s="1352"/>
      <c r="AN730" s="1352"/>
      <c r="AO730" s="1352"/>
      <c r="AP730" s="1352"/>
      <c r="AQ730" s="1352"/>
      <c r="AR730" s="1352"/>
      <c r="AS730" s="1352"/>
    </row>
    <row r="731" spans="1:45" ht="16" hidden="1" thickTop="1" x14ac:dyDescent="0.2">
      <c r="A731" s="1507">
        <v>6</v>
      </c>
      <c r="B731" s="1524" t="s">
        <v>572</v>
      </c>
      <c r="C731" s="1511"/>
      <c r="D731" s="1511"/>
      <c r="E731" s="1511"/>
      <c r="F731" s="1514"/>
      <c r="G731" s="1513" t="str">
        <f>IF(COUNTIF(G733:G749,"P")&gt;0,"P","")</f>
        <v/>
      </c>
      <c r="H731" s="1510" t="s">
        <v>3198</v>
      </c>
      <c r="I731" s="177" t="s">
        <v>3587</v>
      </c>
      <c r="J731" s="178"/>
      <c r="K731" s="179"/>
      <c r="L731" s="1683" t="s">
        <v>3594</v>
      </c>
      <c r="M731" s="429"/>
      <c r="N731" s="256"/>
      <c r="O731" s="943"/>
      <c r="P731" s="106"/>
      <c r="Q731" s="106"/>
      <c r="R731" s="106"/>
      <c r="S731" s="106"/>
      <c r="T731" s="106"/>
      <c r="U731" s="106"/>
      <c r="V731" s="106"/>
      <c r="W731" s="106"/>
      <c r="X731" s="106"/>
      <c r="Z731" s="670"/>
      <c r="AC731" s="248"/>
      <c r="AD731" s="248"/>
      <c r="AE731" s="248"/>
      <c r="AF731" s="248"/>
      <c r="AG731" s="248"/>
      <c r="AH731" s="248"/>
      <c r="AI731" s="248"/>
      <c r="AJ731" s="248"/>
      <c r="AK731" s="248"/>
      <c r="AL731" s="1352"/>
      <c r="AM731" s="1352"/>
      <c r="AN731" s="1352"/>
      <c r="AO731" s="1352"/>
      <c r="AP731" s="1352"/>
      <c r="AQ731" s="1352"/>
      <c r="AR731" s="1352"/>
      <c r="AS731" s="1352"/>
    </row>
    <row r="732" spans="1:45" hidden="1" x14ac:dyDescent="0.2">
      <c r="A732" s="1507">
        <v>6</v>
      </c>
      <c r="B732" s="1524" t="s">
        <v>572</v>
      </c>
      <c r="C732" s="1511"/>
      <c r="D732" s="1511"/>
      <c r="E732" s="1511"/>
      <c r="F732" s="1514"/>
      <c r="G732" s="1509" t="str">
        <f>G731</f>
        <v/>
      </c>
      <c r="H732" s="1510" t="s">
        <v>3198</v>
      </c>
      <c r="I732" s="130"/>
      <c r="J732" s="129"/>
      <c r="K732" s="97"/>
      <c r="L732" s="1629"/>
      <c r="M732" s="430"/>
      <c r="N732" s="251"/>
      <c r="O732" s="908"/>
      <c r="P732" s="991"/>
      <c r="Q732" s="991"/>
      <c r="R732" s="991"/>
      <c r="S732" s="991"/>
      <c r="T732" s="991"/>
      <c r="U732" s="991"/>
      <c r="V732" s="991"/>
      <c r="W732" s="96"/>
      <c r="X732" s="96"/>
      <c r="Z732" s="670"/>
      <c r="AC732" s="248"/>
      <c r="AD732" s="248"/>
      <c r="AE732" s="248"/>
      <c r="AF732" s="248"/>
      <c r="AG732" s="248"/>
      <c r="AH732" s="248"/>
      <c r="AI732" s="248"/>
      <c r="AJ732" s="248"/>
      <c r="AK732" s="248"/>
      <c r="AL732" s="1352"/>
      <c r="AM732" s="1352"/>
      <c r="AN732" s="1352"/>
      <c r="AO732" s="1352"/>
      <c r="AP732" s="1352"/>
      <c r="AQ732" s="1352"/>
      <c r="AR732" s="1352"/>
      <c r="AS732" s="1352"/>
    </row>
    <row r="733" spans="1:45" hidden="1" x14ac:dyDescent="0.2">
      <c r="A733" s="1507">
        <v>6</v>
      </c>
      <c r="B733" s="1524" t="s">
        <v>572</v>
      </c>
      <c r="C733" s="1511" t="s">
        <v>254</v>
      </c>
      <c r="D733" s="1528"/>
      <c r="E733" s="1528"/>
      <c r="F733" s="1529"/>
      <c r="G733" s="1509" t="str">
        <f>IF(N733&gt;0,"P","")</f>
        <v/>
      </c>
      <c r="H733" s="1527" t="s">
        <v>3198</v>
      </c>
      <c r="I733" s="67"/>
      <c r="J733" s="180" t="s">
        <v>254</v>
      </c>
      <c r="K733" s="97"/>
      <c r="L733" s="1609" t="s">
        <v>573</v>
      </c>
      <c r="M733" s="1623">
        <v>8</v>
      </c>
      <c r="N733" s="1755">
        <f>'11.600'!O435</f>
        <v>0</v>
      </c>
      <c r="O733" s="1619">
        <f>M733*S733*W733</f>
        <v>0</v>
      </c>
      <c r="P733" s="905" t="b">
        <v>1</v>
      </c>
      <c r="Q733" s="905" t="b">
        <v>0</v>
      </c>
      <c r="R733" s="905" t="b">
        <v>0</v>
      </c>
      <c r="S733" s="905" t="b">
        <f>NOT(OR(NOT(ISBLANK(W757)),NOT(ISBLANK(W764)),NOT(ISBLANK(W770)),NOT(ISBLANK(W776)),NOT(ISBLANK(W782)),NOT(ISBLANK(W788))))</f>
        <v>1</v>
      </c>
      <c r="T733" s="991" t="b">
        <f>AND(NOT(S733),W733=TRUE)</f>
        <v>0</v>
      </c>
      <c r="U733" s="905"/>
      <c r="V733" s="905"/>
      <c r="W733" s="27"/>
      <c r="X733" s="1600"/>
      <c r="Y733" s="1874" t="str">
        <f>IF(LEN('11.600'!X435)=0,"None",'11.600'!X435)</f>
        <v>None</v>
      </c>
      <c r="Z733" s="1889"/>
      <c r="AC733" s="248" t="b">
        <f>OR(AD733:AE733)</f>
        <v>0</v>
      </c>
      <c r="AD733" s="248" t="b">
        <f>T733</f>
        <v>0</v>
      </c>
      <c r="AE733" s="248"/>
      <c r="AF733" s="248"/>
      <c r="AG733" s="248"/>
      <c r="AH733" s="248"/>
      <c r="AI733" s="248"/>
      <c r="AJ733" s="248"/>
      <c r="AK733" s="248"/>
      <c r="AL733" s="1352" t="str">
        <f>SUBSTITUTE(SUBSTITUTE(SUBSTITUTE("vpa"&amp;$B733&amp;$C733&amp;$D733&amp;$E733&amp;$F733,".","_"),"(","_"),")","")</f>
        <v>vpa610_1_1_1</v>
      </c>
      <c r="AM733" s="1352">
        <f>M733</f>
        <v>8</v>
      </c>
      <c r="AN733" s="1352" t="str">
        <f>SUBSTITUTE(SUBSTITUTE(SUBSTITUTE("vpc"&amp;$B733&amp;$C733&amp;$D733&amp;$E733&amp;$F733,".","_"),"(","_"),")","")</f>
        <v>vpc610_1_1_1</v>
      </c>
      <c r="AO733" s="1352">
        <f>O733</f>
        <v>0</v>
      </c>
      <c r="AP733" s="1352" t="str">
        <f>SUBSTITUTE(SUBSTITUTE(SUBSTITUTE("vch"&amp;$B733&amp;$C733&amp;$D733&amp;$E733&amp;$F733,".","_"),"(","_"),")","")</f>
        <v>vch610_1_1_1</v>
      </c>
      <c r="AQ733" s="1352" t="str">
        <f>IF(LEN(W733)=0,"",W733)</f>
        <v/>
      </c>
      <c r="AR733" s="1352" t="str">
        <f>SUBSTITUTE(SUBSTITUTE(SUBSTITUTE("vnt"&amp;$B733&amp;$C733&amp;$D733&amp;$E733&amp;$F733,".","_"),"(","_"),")","")</f>
        <v>vnt610_1_1_1</v>
      </c>
      <c r="AS733" s="1352" t="str">
        <f>IF(LEN(X733)=0,"",X733)</f>
        <v/>
      </c>
    </row>
    <row r="734" spans="1:45" hidden="1" x14ac:dyDescent="0.2">
      <c r="A734" s="1507">
        <v>6</v>
      </c>
      <c r="B734" s="1524" t="s">
        <v>572</v>
      </c>
      <c r="C734" s="1511" t="s">
        <v>254</v>
      </c>
      <c r="D734" s="1528"/>
      <c r="E734" s="1528"/>
      <c r="F734" s="1529"/>
      <c r="G734" s="1509" t="str">
        <f t="shared" ref="G734:G741" si="51">G733</f>
        <v/>
      </c>
      <c r="H734" s="1527" t="s">
        <v>3198</v>
      </c>
      <c r="I734" s="67"/>
      <c r="J734" s="129"/>
      <c r="K734" s="97"/>
      <c r="L734" s="1609"/>
      <c r="M734" s="1623"/>
      <c r="N734" s="1755"/>
      <c r="O734" s="1619"/>
      <c r="P734" s="905"/>
      <c r="Q734" s="905"/>
      <c r="R734" s="905"/>
      <c r="S734" s="905"/>
      <c r="T734" s="905"/>
      <c r="U734" s="905"/>
      <c r="V734" s="905"/>
      <c r="W734" s="248"/>
      <c r="X734" s="1600"/>
      <c r="Y734" s="1874"/>
      <c r="Z734" s="1889"/>
      <c r="AC734" s="248"/>
      <c r="AD734" s="248"/>
      <c r="AE734" s="248"/>
      <c r="AF734" s="248"/>
      <c r="AG734" s="248"/>
      <c r="AH734" s="248"/>
      <c r="AI734" s="248"/>
      <c r="AJ734" s="248"/>
      <c r="AK734" s="248"/>
      <c r="AL734" s="1352"/>
      <c r="AM734" s="1352"/>
      <c r="AN734" s="1352"/>
      <c r="AO734" s="1352"/>
      <c r="AP734" s="1352"/>
      <c r="AQ734" s="1352"/>
      <c r="AR734" s="1352"/>
      <c r="AS734" s="1352"/>
    </row>
    <row r="735" spans="1:45" hidden="1" x14ac:dyDescent="0.2">
      <c r="A735" s="1507">
        <v>6</v>
      </c>
      <c r="B735" s="1524" t="s">
        <v>572</v>
      </c>
      <c r="C735" s="1511" t="s">
        <v>254</v>
      </c>
      <c r="D735" s="1528"/>
      <c r="E735" s="1528"/>
      <c r="F735" s="1529"/>
      <c r="G735" s="1509" t="str">
        <f t="shared" si="51"/>
        <v/>
      </c>
      <c r="H735" s="1527" t="s">
        <v>3198</v>
      </c>
      <c r="I735" s="67"/>
      <c r="J735" s="129"/>
      <c r="K735" s="97"/>
      <c r="L735" s="1609"/>
      <c r="M735" s="1623"/>
      <c r="N735" s="1755"/>
      <c r="O735" s="1619"/>
      <c r="P735" s="905"/>
      <c r="Q735" s="905"/>
      <c r="R735" s="905"/>
      <c r="S735" s="905"/>
      <c r="T735" s="905"/>
      <c r="U735" s="905"/>
      <c r="V735" s="905"/>
      <c r="W735" s="248"/>
      <c r="X735" s="1600"/>
      <c r="Y735" s="1874"/>
      <c r="Z735" s="1889"/>
      <c r="AC735" s="248"/>
      <c r="AD735" s="248"/>
      <c r="AE735" s="248"/>
      <c r="AF735" s="248"/>
      <c r="AG735" s="248"/>
      <c r="AH735" s="248"/>
      <c r="AI735" s="248"/>
      <c r="AJ735" s="248"/>
      <c r="AK735" s="248"/>
      <c r="AL735" s="1352"/>
      <c r="AM735" s="1352"/>
      <c r="AN735" s="1352"/>
      <c r="AO735" s="1352"/>
      <c r="AP735" s="1352"/>
      <c r="AQ735" s="1352"/>
      <c r="AR735" s="1352"/>
      <c r="AS735" s="1352"/>
    </row>
    <row r="736" spans="1:45" hidden="1" x14ac:dyDescent="0.2">
      <c r="A736" s="1507">
        <v>6</v>
      </c>
      <c r="B736" s="1524" t="s">
        <v>572</v>
      </c>
      <c r="C736" s="1511" t="s">
        <v>254</v>
      </c>
      <c r="D736" s="1511" t="s">
        <v>121</v>
      </c>
      <c r="E736" s="1511"/>
      <c r="F736" s="1514"/>
      <c r="G736" s="1509" t="str">
        <f t="shared" si="51"/>
        <v/>
      </c>
      <c r="H736" s="1512" t="s">
        <v>3198</v>
      </c>
      <c r="I736" s="67"/>
      <c r="J736" s="129"/>
      <c r="K736" s="93" t="s">
        <v>121</v>
      </c>
      <c r="L736" s="97" t="s">
        <v>574</v>
      </c>
      <c r="M736" s="1623"/>
      <c r="N736" s="1755"/>
      <c r="O736" s="1619"/>
      <c r="P736" s="905"/>
      <c r="Q736" s="905"/>
      <c r="R736" s="905"/>
      <c r="S736" s="905"/>
      <c r="T736" s="905"/>
      <c r="U736" s="905"/>
      <c r="V736" s="905"/>
      <c r="W736" s="248"/>
      <c r="X736" s="1600"/>
      <c r="Y736" s="1874"/>
      <c r="Z736" s="1889"/>
      <c r="AC736" s="248"/>
      <c r="AD736" s="248"/>
      <c r="AE736" s="248"/>
      <c r="AF736" s="248"/>
      <c r="AG736" s="248"/>
      <c r="AH736" s="248"/>
      <c r="AI736" s="248"/>
      <c r="AJ736" s="248"/>
      <c r="AK736" s="248"/>
      <c r="AL736" s="1352"/>
      <c r="AM736" s="1352"/>
      <c r="AN736" s="1352"/>
      <c r="AO736" s="1352"/>
      <c r="AP736" s="1352"/>
      <c r="AQ736" s="1352"/>
      <c r="AR736" s="1352"/>
      <c r="AS736" s="1352"/>
    </row>
    <row r="737" spans="1:45" hidden="1" x14ac:dyDescent="0.2">
      <c r="A737" s="1507">
        <v>6</v>
      </c>
      <c r="B737" s="1524" t="s">
        <v>572</v>
      </c>
      <c r="C737" s="1511" t="s">
        <v>254</v>
      </c>
      <c r="D737" s="1511" t="s">
        <v>122</v>
      </c>
      <c r="E737" s="1511"/>
      <c r="F737" s="1514"/>
      <c r="G737" s="1509" t="str">
        <f t="shared" si="51"/>
        <v/>
      </c>
      <c r="H737" s="1512" t="s">
        <v>3198</v>
      </c>
      <c r="I737" s="67"/>
      <c r="J737" s="129"/>
      <c r="K737" s="93" t="s">
        <v>122</v>
      </c>
      <c r="L737" s="97" t="s">
        <v>575</v>
      </c>
      <c r="M737" s="1623"/>
      <c r="N737" s="1755"/>
      <c r="O737" s="1619"/>
      <c r="P737" s="905"/>
      <c r="Q737" s="905"/>
      <c r="R737" s="905"/>
      <c r="S737" s="905"/>
      <c r="T737" s="905"/>
      <c r="U737" s="905"/>
      <c r="V737" s="905"/>
      <c r="W737" s="248"/>
      <c r="X737" s="1600"/>
      <c r="Y737" s="1874"/>
      <c r="Z737" s="1889"/>
      <c r="AC737" s="248"/>
      <c r="AD737" s="248"/>
      <c r="AE737" s="248"/>
      <c r="AF737" s="248"/>
      <c r="AG737" s="248"/>
      <c r="AH737" s="248"/>
      <c r="AI737" s="248"/>
      <c r="AJ737" s="248"/>
      <c r="AK737" s="248"/>
      <c r="AL737" s="1352"/>
      <c r="AM737" s="1352"/>
      <c r="AN737" s="1352"/>
      <c r="AO737" s="1352"/>
      <c r="AP737" s="1352"/>
      <c r="AQ737" s="1352"/>
      <c r="AR737" s="1352"/>
      <c r="AS737" s="1352"/>
    </row>
    <row r="738" spans="1:45" hidden="1" x14ac:dyDescent="0.2">
      <c r="A738" s="1507">
        <v>6</v>
      </c>
      <c r="B738" s="1524" t="s">
        <v>572</v>
      </c>
      <c r="C738" s="1511" t="s">
        <v>254</v>
      </c>
      <c r="D738" s="1511" t="s">
        <v>123</v>
      </c>
      <c r="E738" s="1511"/>
      <c r="F738" s="1514"/>
      <c r="G738" s="1509" t="str">
        <f t="shared" si="51"/>
        <v/>
      </c>
      <c r="H738" s="1512" t="s">
        <v>3198</v>
      </c>
      <c r="I738" s="67"/>
      <c r="J738" s="129"/>
      <c r="K738" s="93" t="s">
        <v>123</v>
      </c>
      <c r="L738" s="97" t="s">
        <v>576</v>
      </c>
      <c r="M738" s="1623"/>
      <c r="N738" s="1755"/>
      <c r="O738" s="1619"/>
      <c r="P738" s="905"/>
      <c r="Q738" s="905"/>
      <c r="R738" s="905"/>
      <c r="S738" s="905"/>
      <c r="T738" s="905"/>
      <c r="U738" s="905"/>
      <c r="V738" s="905"/>
      <c r="W738" s="248"/>
      <c r="X738" s="1600"/>
      <c r="Y738" s="1874"/>
      <c r="Z738" s="1889"/>
      <c r="AC738" s="248"/>
      <c r="AD738" s="248"/>
      <c r="AE738" s="248"/>
      <c r="AF738" s="248"/>
      <c r="AG738" s="248"/>
      <c r="AH738" s="248"/>
      <c r="AI738" s="248"/>
      <c r="AJ738" s="248"/>
      <c r="AK738" s="248"/>
      <c r="AL738" s="1352"/>
      <c r="AM738" s="1352"/>
      <c r="AN738" s="1352"/>
      <c r="AO738" s="1352"/>
      <c r="AP738" s="1352"/>
      <c r="AQ738" s="1352"/>
      <c r="AR738" s="1352"/>
      <c r="AS738" s="1352"/>
    </row>
    <row r="739" spans="1:45" hidden="1" x14ac:dyDescent="0.2">
      <c r="A739" s="1507">
        <v>6</v>
      </c>
      <c r="B739" s="1524" t="s">
        <v>572</v>
      </c>
      <c r="C739" s="1511" t="s">
        <v>254</v>
      </c>
      <c r="D739" s="1518" t="s">
        <v>366</v>
      </c>
      <c r="E739" s="1518"/>
      <c r="F739" s="1519"/>
      <c r="G739" s="1509" t="str">
        <f t="shared" si="51"/>
        <v/>
      </c>
      <c r="H739" s="1520" t="s">
        <v>3198</v>
      </c>
      <c r="I739" s="67"/>
      <c r="J739" s="129"/>
      <c r="K739" s="111" t="s">
        <v>366</v>
      </c>
      <c r="L739" s="97" t="s">
        <v>577</v>
      </c>
      <c r="M739" s="1623"/>
      <c r="N739" s="1755"/>
      <c r="O739" s="1619"/>
      <c r="P739" s="905"/>
      <c r="Q739" s="905"/>
      <c r="R739" s="905"/>
      <c r="S739" s="905"/>
      <c r="T739" s="905"/>
      <c r="U739" s="905"/>
      <c r="V739" s="905"/>
      <c r="W739" s="248"/>
      <c r="X739" s="1600"/>
      <c r="Y739" s="1874"/>
      <c r="Z739" s="1889"/>
      <c r="AC739" s="248"/>
      <c r="AD739" s="248"/>
      <c r="AE739" s="248"/>
      <c r="AF739" s="248"/>
      <c r="AG739" s="248"/>
      <c r="AH739" s="248"/>
      <c r="AI739" s="248"/>
      <c r="AJ739" s="248"/>
      <c r="AK739" s="248"/>
      <c r="AL739" s="1352"/>
      <c r="AM739" s="1352"/>
      <c r="AN739" s="1352"/>
      <c r="AO739" s="1352"/>
      <c r="AP739" s="1352"/>
      <c r="AQ739" s="1352"/>
      <c r="AR739" s="1352"/>
      <c r="AS739" s="1352"/>
    </row>
    <row r="740" spans="1:45" hidden="1" x14ac:dyDescent="0.2">
      <c r="A740" s="1507">
        <v>6</v>
      </c>
      <c r="B740" s="1524" t="s">
        <v>572</v>
      </c>
      <c r="C740" s="1511" t="s">
        <v>254</v>
      </c>
      <c r="D740" s="1511" t="s">
        <v>472</v>
      </c>
      <c r="E740" s="1511"/>
      <c r="F740" s="1514"/>
      <c r="G740" s="1509" t="str">
        <f t="shared" si="51"/>
        <v/>
      </c>
      <c r="H740" s="1510" t="s">
        <v>3198</v>
      </c>
      <c r="I740" s="67"/>
      <c r="J740" s="129"/>
      <c r="K740" s="187" t="s">
        <v>472</v>
      </c>
      <c r="L740" s="97" t="s">
        <v>578</v>
      </c>
      <c r="M740" s="1623"/>
      <c r="N740" s="1755"/>
      <c r="O740" s="1619"/>
      <c r="P740" s="905"/>
      <c r="Q740" s="905"/>
      <c r="R740" s="905"/>
      <c r="S740" s="905"/>
      <c r="T740" s="905"/>
      <c r="U740" s="905"/>
      <c r="V740" s="905"/>
      <c r="W740" s="248"/>
      <c r="X740" s="1600"/>
      <c r="Y740" s="1874"/>
      <c r="Z740" s="1889"/>
      <c r="AC740" s="248"/>
      <c r="AD740" s="248"/>
      <c r="AE740" s="248"/>
      <c r="AF740" s="248"/>
      <c r="AG740" s="248"/>
      <c r="AH740" s="248"/>
      <c r="AI740" s="248"/>
      <c r="AJ740" s="248"/>
      <c r="AK740" s="248"/>
      <c r="AL740" s="1352"/>
      <c r="AM740" s="1352"/>
      <c r="AN740" s="1352"/>
      <c r="AO740" s="1352"/>
      <c r="AP740" s="1352"/>
      <c r="AQ740" s="1352"/>
      <c r="AR740" s="1352"/>
      <c r="AS740" s="1352"/>
    </row>
    <row r="741" spans="1:45" hidden="1" x14ac:dyDescent="0.2">
      <c r="A741" s="1507">
        <v>6</v>
      </c>
      <c r="B741" s="1524" t="s">
        <v>572</v>
      </c>
      <c r="C741" s="1511" t="s">
        <v>254</v>
      </c>
      <c r="D741" s="1511" t="s">
        <v>510</v>
      </c>
      <c r="E741" s="1511"/>
      <c r="F741" s="1514"/>
      <c r="G741" s="1509" t="str">
        <f t="shared" si="51"/>
        <v/>
      </c>
      <c r="H741" s="1512" t="s">
        <v>3198</v>
      </c>
      <c r="I741" s="67"/>
      <c r="J741" s="213"/>
      <c r="K741" s="169" t="s">
        <v>510</v>
      </c>
      <c r="L741" s="170" t="s">
        <v>579</v>
      </c>
      <c r="M741" s="1624"/>
      <c r="N741" s="1756"/>
      <c r="O741" s="1620"/>
      <c r="P741" s="905"/>
      <c r="Q741" s="905"/>
      <c r="R741" s="905"/>
      <c r="S741" s="905"/>
      <c r="T741" s="905"/>
      <c r="U741" s="905"/>
      <c r="V741" s="905"/>
      <c r="W741" s="248"/>
      <c r="X741" s="1600"/>
      <c r="Y741" s="1874"/>
      <c r="Z741" s="1889"/>
      <c r="AC741" s="248"/>
      <c r="AD741" s="248"/>
      <c r="AE741" s="248"/>
      <c r="AF741" s="248"/>
      <c r="AG741" s="248"/>
      <c r="AH741" s="248"/>
      <c r="AI741" s="248"/>
      <c r="AJ741" s="248"/>
      <c r="AK741" s="248"/>
      <c r="AL741" s="1352"/>
      <c r="AM741" s="1352"/>
      <c r="AN741" s="1352"/>
      <c r="AO741" s="1352"/>
      <c r="AP741" s="1352"/>
      <c r="AQ741" s="1352"/>
      <c r="AR741" s="1352"/>
      <c r="AS741" s="1352"/>
    </row>
    <row r="742" spans="1:45" hidden="1" x14ac:dyDescent="0.2">
      <c r="A742" s="1507">
        <v>6</v>
      </c>
      <c r="B742" s="1524" t="s">
        <v>572</v>
      </c>
      <c r="C742" s="1511" t="s">
        <v>255</v>
      </c>
      <c r="D742" s="1528"/>
      <c r="E742" s="1528"/>
      <c r="F742" s="1529"/>
      <c r="G742" s="1509" t="str">
        <f>IF(N742&gt;0,"P","")</f>
        <v/>
      </c>
      <c r="H742" s="1527" t="s">
        <v>3198</v>
      </c>
      <c r="I742" s="67"/>
      <c r="J742" s="212" t="s">
        <v>255</v>
      </c>
      <c r="K742" s="194"/>
      <c r="L742" s="1613" t="s">
        <v>580</v>
      </c>
      <c r="M742" s="1636">
        <v>5</v>
      </c>
      <c r="N742" s="1758">
        <f>'11.600'!O444</f>
        <v>0</v>
      </c>
      <c r="O742" s="1637">
        <f>M742*S742*W742</f>
        <v>0</v>
      </c>
      <c r="P742" s="905" t="b">
        <v>1</v>
      </c>
      <c r="Q742" s="905" t="b">
        <v>0</v>
      </c>
      <c r="R742" s="905" t="b">
        <v>0</v>
      </c>
      <c r="S742" s="905" t="b">
        <f>NOT(OR(NOT(ISBLANK(W757)),NOT(ISBLANK(W764)),NOT(ISBLANK(W770)),NOT(ISBLANK(W776)),NOT(ISBLANK(W782)),NOT(ISBLANK(W788))))</f>
        <v>1</v>
      </c>
      <c r="T742" s="991" t="b">
        <f>AND(NOT(S742),W742=TRUE)</f>
        <v>0</v>
      </c>
      <c r="U742" s="905"/>
      <c r="V742" s="905"/>
      <c r="W742" s="27"/>
      <c r="X742" s="1600"/>
      <c r="Y742" s="1874" t="str">
        <f>IF(LEN('11.600'!X444)=0,"None",'11.600'!X444)</f>
        <v>None</v>
      </c>
      <c r="Z742" s="1889"/>
      <c r="AC742" s="248" t="b">
        <f>OR(AD742:AE742)</f>
        <v>0</v>
      </c>
      <c r="AD742" s="248" t="b">
        <f>T742</f>
        <v>0</v>
      </c>
      <c r="AE742" s="248"/>
      <c r="AF742" s="248"/>
      <c r="AG742" s="248"/>
      <c r="AH742" s="248"/>
      <c r="AI742" s="248"/>
      <c r="AJ742" s="248"/>
      <c r="AK742" s="248"/>
      <c r="AL742" s="1352" t="str">
        <f>SUBSTITUTE(SUBSTITUTE(SUBSTITUTE("vpa"&amp;$B742&amp;$C742&amp;$D742&amp;$E742&amp;$F742,".","_"),"(","_"),")","")</f>
        <v>vpa610_1_1_2</v>
      </c>
      <c r="AM742" s="1352">
        <f>M742</f>
        <v>5</v>
      </c>
      <c r="AN742" s="1352" t="str">
        <f>SUBSTITUTE(SUBSTITUTE(SUBSTITUTE("vpc"&amp;$B742&amp;$C742&amp;$D742&amp;$E742&amp;$F742,".","_"),"(","_"),")","")</f>
        <v>vpc610_1_1_2</v>
      </c>
      <c r="AO742" s="1352">
        <f>O742</f>
        <v>0</v>
      </c>
      <c r="AP742" s="1352" t="str">
        <f>SUBSTITUTE(SUBSTITUTE(SUBSTITUTE("vch"&amp;$B742&amp;$C742&amp;$D742&amp;$E742&amp;$F742,".","_"),"(","_"),")","")</f>
        <v>vch610_1_1_2</v>
      </c>
      <c r="AQ742" s="1352" t="str">
        <f>IF(LEN(W742)=0,"",W742)</f>
        <v/>
      </c>
      <c r="AR742" s="1352" t="str">
        <f>SUBSTITUTE(SUBSTITUTE(SUBSTITUTE("vnt"&amp;$B742&amp;$C742&amp;$D742&amp;$E742&amp;$F742,".","_"),"(","_"),")","")</f>
        <v>vnt610_1_1_2</v>
      </c>
      <c r="AS742" s="1352" t="str">
        <f>IF(LEN(X742)=0,"",X742)</f>
        <v/>
      </c>
    </row>
    <row r="743" spans="1:45" hidden="1" x14ac:dyDescent="0.2">
      <c r="A743" s="1507">
        <v>6</v>
      </c>
      <c r="B743" s="1524" t="s">
        <v>572</v>
      </c>
      <c r="C743" s="1511" t="s">
        <v>255</v>
      </c>
      <c r="D743" s="1528"/>
      <c r="E743" s="1528"/>
      <c r="F743" s="1529"/>
      <c r="G743" s="1509" t="str">
        <f t="shared" ref="G743:G748" si="52">G742</f>
        <v/>
      </c>
      <c r="H743" s="1527" t="s">
        <v>3198</v>
      </c>
      <c r="I743" s="67"/>
      <c r="J743" s="129"/>
      <c r="K743" s="97"/>
      <c r="L743" s="1609"/>
      <c r="M743" s="1623"/>
      <c r="N743" s="1755"/>
      <c r="O743" s="1619"/>
      <c r="P743" s="905"/>
      <c r="Q743" s="905"/>
      <c r="R743" s="905"/>
      <c r="S743" s="905"/>
      <c r="T743" s="905"/>
      <c r="U743" s="905"/>
      <c r="V743" s="905"/>
      <c r="W743" s="248"/>
      <c r="X743" s="1600"/>
      <c r="Y743" s="1874"/>
      <c r="Z743" s="1889"/>
      <c r="AC743" s="248"/>
      <c r="AD743" s="248"/>
      <c r="AE743" s="248"/>
      <c r="AF743" s="248"/>
      <c r="AG743" s="248"/>
      <c r="AH743" s="248"/>
      <c r="AI743" s="248"/>
      <c r="AJ743" s="248"/>
      <c r="AK743" s="248"/>
      <c r="AL743" s="1352"/>
      <c r="AM743" s="1352"/>
      <c r="AN743" s="1352"/>
      <c r="AO743" s="1352"/>
      <c r="AP743" s="1352"/>
      <c r="AQ743" s="1352"/>
      <c r="AR743" s="1352"/>
      <c r="AS743" s="1352"/>
    </row>
    <row r="744" spans="1:45" hidden="1" x14ac:dyDescent="0.2">
      <c r="A744" s="1507">
        <v>6</v>
      </c>
      <c r="B744" s="1524" t="s">
        <v>572</v>
      </c>
      <c r="C744" s="1511" t="s">
        <v>255</v>
      </c>
      <c r="D744" s="1528"/>
      <c r="E744" s="1528"/>
      <c r="F744" s="1529"/>
      <c r="G744" s="1509" t="str">
        <f t="shared" si="52"/>
        <v/>
      </c>
      <c r="H744" s="1527" t="s">
        <v>3198</v>
      </c>
      <c r="I744" s="67"/>
      <c r="J744" s="129"/>
      <c r="K744" s="97"/>
      <c r="L744" s="1609"/>
      <c r="M744" s="1623"/>
      <c r="N744" s="1755"/>
      <c r="O744" s="1619"/>
      <c r="P744" s="905"/>
      <c r="Q744" s="905"/>
      <c r="R744" s="905"/>
      <c r="S744" s="905"/>
      <c r="T744" s="905"/>
      <c r="U744" s="905"/>
      <c r="V744" s="905"/>
      <c r="W744" s="248"/>
      <c r="X744" s="1600"/>
      <c r="Y744" s="1874"/>
      <c r="Z744" s="1889"/>
      <c r="AC744" s="248"/>
      <c r="AD744" s="248"/>
      <c r="AE744" s="248"/>
      <c r="AF744" s="248"/>
      <c r="AG744" s="248"/>
      <c r="AH744" s="248"/>
      <c r="AI744" s="248"/>
      <c r="AJ744" s="248"/>
      <c r="AK744" s="248"/>
      <c r="AL744" s="1352"/>
      <c r="AM744" s="1352"/>
      <c r="AN744" s="1352"/>
      <c r="AO744" s="1352"/>
      <c r="AP744" s="1352"/>
      <c r="AQ744" s="1352"/>
      <c r="AR744" s="1352"/>
      <c r="AS744" s="1352"/>
    </row>
    <row r="745" spans="1:45" hidden="1" x14ac:dyDescent="0.2">
      <c r="A745" s="1507">
        <v>6</v>
      </c>
      <c r="B745" s="1524" t="s">
        <v>572</v>
      </c>
      <c r="C745" s="1511" t="s">
        <v>255</v>
      </c>
      <c r="D745" s="1528"/>
      <c r="E745" s="1528"/>
      <c r="F745" s="1529"/>
      <c r="G745" s="1509" t="str">
        <f t="shared" si="52"/>
        <v/>
      </c>
      <c r="H745" s="1527" t="s">
        <v>3198</v>
      </c>
      <c r="I745" s="67"/>
      <c r="J745" s="129"/>
      <c r="K745" s="97"/>
      <c r="L745" s="1609"/>
      <c r="M745" s="1623"/>
      <c r="N745" s="1755"/>
      <c r="O745" s="1619"/>
      <c r="P745" s="905"/>
      <c r="Q745" s="905"/>
      <c r="R745" s="905"/>
      <c r="S745" s="905"/>
      <c r="T745" s="905"/>
      <c r="U745" s="905"/>
      <c r="V745" s="905"/>
      <c r="W745" s="248"/>
      <c r="X745" s="1600"/>
      <c r="Y745" s="1874"/>
      <c r="Z745" s="1889"/>
      <c r="AC745" s="248"/>
      <c r="AD745" s="248"/>
      <c r="AE745" s="248"/>
      <c r="AF745" s="248"/>
      <c r="AG745" s="248"/>
      <c r="AH745" s="248"/>
      <c r="AI745" s="248"/>
      <c r="AJ745" s="248"/>
      <c r="AK745" s="248"/>
      <c r="AL745" s="1352"/>
      <c r="AM745" s="1352"/>
      <c r="AN745" s="1352"/>
      <c r="AO745" s="1352"/>
      <c r="AP745" s="1352"/>
      <c r="AQ745" s="1352"/>
      <c r="AR745" s="1352"/>
      <c r="AS745" s="1352"/>
    </row>
    <row r="746" spans="1:45" hidden="1" x14ac:dyDescent="0.2">
      <c r="A746" s="1507">
        <v>6</v>
      </c>
      <c r="B746" s="1524" t="s">
        <v>572</v>
      </c>
      <c r="C746" s="1511" t="s">
        <v>255</v>
      </c>
      <c r="D746" s="1528"/>
      <c r="E746" s="1528"/>
      <c r="F746" s="1529"/>
      <c r="G746" s="1509" t="str">
        <f t="shared" si="52"/>
        <v/>
      </c>
      <c r="H746" s="1527" t="s">
        <v>3198</v>
      </c>
      <c r="I746" s="67"/>
      <c r="J746" s="129"/>
      <c r="K746" s="97"/>
      <c r="L746" s="1609"/>
      <c r="M746" s="1623"/>
      <c r="N746" s="1755"/>
      <c r="O746" s="1619"/>
      <c r="P746" s="905"/>
      <c r="Q746" s="905"/>
      <c r="R746" s="905"/>
      <c r="S746" s="905"/>
      <c r="T746" s="905"/>
      <c r="U746" s="905"/>
      <c r="V746" s="905"/>
      <c r="W746" s="248"/>
      <c r="X746" s="1600"/>
      <c r="Y746" s="1874"/>
      <c r="Z746" s="1889"/>
      <c r="AC746" s="248"/>
      <c r="AD746" s="248"/>
      <c r="AE746" s="248"/>
      <c r="AF746" s="248"/>
      <c r="AG746" s="248"/>
      <c r="AH746" s="248"/>
      <c r="AI746" s="248"/>
      <c r="AJ746" s="248"/>
      <c r="AK746" s="248"/>
      <c r="AL746" s="1352"/>
      <c r="AM746" s="1352"/>
      <c r="AN746" s="1352"/>
      <c r="AO746" s="1352"/>
      <c r="AP746" s="1352"/>
      <c r="AQ746" s="1352"/>
      <c r="AR746" s="1352"/>
      <c r="AS746" s="1352"/>
    </row>
    <row r="747" spans="1:45" hidden="1" x14ac:dyDescent="0.2">
      <c r="A747" s="1507">
        <v>6</v>
      </c>
      <c r="B747" s="1524" t="s">
        <v>572</v>
      </c>
      <c r="C747" s="1511" t="s">
        <v>255</v>
      </c>
      <c r="D747" s="1528"/>
      <c r="E747" s="1528"/>
      <c r="F747" s="1529"/>
      <c r="G747" s="1509" t="str">
        <f t="shared" si="52"/>
        <v/>
      </c>
      <c r="H747" s="1527" t="s">
        <v>3198</v>
      </c>
      <c r="I747" s="67"/>
      <c r="J747" s="129"/>
      <c r="K747" s="97"/>
      <c r="L747" s="1609"/>
      <c r="M747" s="1623"/>
      <c r="N747" s="1755"/>
      <c r="O747" s="1619"/>
      <c r="P747" s="905"/>
      <c r="Q747" s="905"/>
      <c r="R747" s="905"/>
      <c r="S747" s="905"/>
      <c r="T747" s="905"/>
      <c r="U747" s="905"/>
      <c r="V747" s="905"/>
      <c r="W747" s="248"/>
      <c r="X747" s="1600"/>
      <c r="Y747" s="1874"/>
      <c r="Z747" s="1889"/>
      <c r="AC747" s="248"/>
      <c r="AD747" s="248"/>
      <c r="AE747" s="248"/>
      <c r="AF747" s="248"/>
      <c r="AG747" s="248"/>
      <c r="AH747" s="248"/>
      <c r="AI747" s="248"/>
      <c r="AJ747" s="248"/>
      <c r="AK747" s="248"/>
      <c r="AL747" s="1352"/>
      <c r="AM747" s="1352"/>
      <c r="AN747" s="1352"/>
      <c r="AO747" s="1352"/>
      <c r="AP747" s="1352"/>
      <c r="AQ747" s="1352"/>
      <c r="AR747" s="1352"/>
      <c r="AS747" s="1352"/>
    </row>
    <row r="748" spans="1:45" hidden="1" x14ac:dyDescent="0.2">
      <c r="A748" s="1507">
        <v>6</v>
      </c>
      <c r="B748" s="1524" t="s">
        <v>572</v>
      </c>
      <c r="C748" s="1511" t="s">
        <v>255</v>
      </c>
      <c r="D748" s="1528"/>
      <c r="E748" s="1528"/>
      <c r="F748" s="1529"/>
      <c r="G748" s="1509" t="str">
        <f t="shared" si="52"/>
        <v/>
      </c>
      <c r="H748" s="1527" t="s">
        <v>3198</v>
      </c>
      <c r="I748" s="67"/>
      <c r="J748" s="213"/>
      <c r="K748" s="170"/>
      <c r="L748" s="1612"/>
      <c r="M748" s="1624"/>
      <c r="N748" s="1756"/>
      <c r="O748" s="1620"/>
      <c r="P748" s="905"/>
      <c r="Q748" s="905"/>
      <c r="R748" s="905"/>
      <c r="S748" s="905"/>
      <c r="T748" s="905"/>
      <c r="U748" s="905"/>
      <c r="V748" s="905"/>
      <c r="W748" s="248"/>
      <c r="X748" s="1600"/>
      <c r="Y748" s="1874"/>
      <c r="Z748" s="1889"/>
      <c r="AC748" s="248"/>
      <c r="AD748" s="248"/>
      <c r="AE748" s="248"/>
      <c r="AF748" s="248"/>
      <c r="AG748" s="248"/>
      <c r="AH748" s="248"/>
      <c r="AI748" s="248"/>
      <c r="AJ748" s="248"/>
      <c r="AK748" s="248"/>
      <c r="AL748" s="1352"/>
      <c r="AM748" s="1352"/>
      <c r="AN748" s="1352"/>
      <c r="AO748" s="1352"/>
      <c r="AP748" s="1352"/>
      <c r="AQ748" s="1352"/>
      <c r="AR748" s="1352"/>
      <c r="AS748" s="1352"/>
    </row>
    <row r="749" spans="1:45" hidden="1" x14ac:dyDescent="0.2">
      <c r="A749" s="1507">
        <v>6</v>
      </c>
      <c r="B749" s="1524" t="s">
        <v>572</v>
      </c>
      <c r="C749" s="1511" t="s">
        <v>256</v>
      </c>
      <c r="D749" s="1528"/>
      <c r="E749" s="1528"/>
      <c r="F749" s="1529"/>
      <c r="G749" s="1509" t="str">
        <f>IF(N749&gt;0,"P","")</f>
        <v/>
      </c>
      <c r="H749" s="1527" t="s">
        <v>3198</v>
      </c>
      <c r="I749" s="67"/>
      <c r="J749" s="29" t="s">
        <v>256</v>
      </c>
      <c r="K749" s="85"/>
      <c r="L749" s="1611" t="s">
        <v>581</v>
      </c>
      <c r="M749" s="1628">
        <v>2</v>
      </c>
      <c r="N749" s="1758">
        <f>'11.600'!O451</f>
        <v>0</v>
      </c>
      <c r="O749" s="1669">
        <f>M749*S749*W749</f>
        <v>0</v>
      </c>
      <c r="P749" s="905" t="b">
        <v>1</v>
      </c>
      <c r="Q749" s="905" t="b">
        <v>0</v>
      </c>
      <c r="R749" s="905" t="b">
        <v>0</v>
      </c>
      <c r="S749" s="905" t="b">
        <f>NOT(OR(NOT(ISBLANK(W757)),NOT(ISBLANK(W764)),NOT(ISBLANK(W770)),NOT(ISBLANK(W776)),NOT(ISBLANK(W782)),NOT(ISBLANK(W788))))</f>
        <v>1</v>
      </c>
      <c r="T749" s="991" t="b">
        <f>AND(NOT(S749),W749=TRUE)</f>
        <v>0</v>
      </c>
      <c r="U749" s="905"/>
      <c r="V749" s="905"/>
      <c r="W749" s="27"/>
      <c r="X749" s="1621"/>
      <c r="Y749" s="1881" t="str">
        <f>IF(LEN('11.600'!X451)=0,"None",'11.600'!X451)</f>
        <v>None</v>
      </c>
      <c r="Z749" s="1891"/>
      <c r="AC749" s="248" t="b">
        <f>OR(AD749:AE749)</f>
        <v>0</v>
      </c>
      <c r="AD749" s="248" t="b">
        <f>T749</f>
        <v>0</v>
      </c>
      <c r="AE749" s="248"/>
      <c r="AF749" s="248"/>
      <c r="AG749" s="248"/>
      <c r="AH749" s="248"/>
      <c r="AI749" s="248"/>
      <c r="AJ749" s="248"/>
      <c r="AK749" s="248"/>
      <c r="AL749" s="1352" t="str">
        <f>SUBSTITUTE(SUBSTITUTE(SUBSTITUTE("vpa"&amp;$B749&amp;$C749&amp;$D749&amp;$E749&amp;$F749,".","_"),"(","_"),")","")</f>
        <v>vpa610_1_1_3</v>
      </c>
      <c r="AM749" s="1352">
        <f>M749</f>
        <v>2</v>
      </c>
      <c r="AN749" s="1352" t="str">
        <f>SUBSTITUTE(SUBSTITUTE(SUBSTITUTE("vpc"&amp;$B749&amp;$C749&amp;$D749&amp;$E749&amp;$F749,".","_"),"(","_"),")","")</f>
        <v>vpc610_1_1_3</v>
      </c>
      <c r="AO749" s="1352">
        <f>O749</f>
        <v>0</v>
      </c>
      <c r="AP749" s="1352" t="str">
        <f>SUBSTITUTE(SUBSTITUTE(SUBSTITUTE("vch"&amp;$B749&amp;$C749&amp;$D749&amp;$E749&amp;$F749,".","_"),"(","_"),")","")</f>
        <v>vch610_1_1_3</v>
      </c>
      <c r="AQ749" s="1352" t="str">
        <f>IF(LEN(W749)=0,"",W749)</f>
        <v/>
      </c>
      <c r="AR749" s="1352" t="str">
        <f>SUBSTITUTE(SUBSTITUTE(SUBSTITUTE("vnt"&amp;$B749&amp;$C749&amp;$D749&amp;$E749&amp;$F749,".","_"),"(","_"),")","")</f>
        <v>vnt610_1_1_3</v>
      </c>
      <c r="AS749" s="1352" t="str">
        <f>IF(LEN(X749)=0,"",X749)</f>
        <v/>
      </c>
    </row>
    <row r="750" spans="1:45" ht="16" hidden="1" thickBot="1" x14ac:dyDescent="0.25">
      <c r="A750" s="1507">
        <v>6</v>
      </c>
      <c r="B750" s="1524" t="s">
        <v>572</v>
      </c>
      <c r="C750" s="1511" t="s">
        <v>256</v>
      </c>
      <c r="D750" s="1528"/>
      <c r="E750" s="1528"/>
      <c r="F750" s="1529"/>
      <c r="G750" s="1509" t="str">
        <f>G749</f>
        <v/>
      </c>
      <c r="H750" s="1527" t="s">
        <v>3198</v>
      </c>
      <c r="I750" s="67"/>
      <c r="J750" s="4"/>
      <c r="K750" s="85"/>
      <c r="L750" s="1611"/>
      <c r="M750" s="1628"/>
      <c r="N750" s="1645"/>
      <c r="O750" s="1669"/>
      <c r="P750" s="905"/>
      <c r="Q750" s="905"/>
      <c r="R750" s="905"/>
      <c r="S750" s="905"/>
      <c r="T750" s="905"/>
      <c r="U750" s="905"/>
      <c r="V750" s="905"/>
      <c r="W750" s="248"/>
      <c r="X750" s="1632"/>
      <c r="Y750" s="1882"/>
      <c r="Z750" s="1892"/>
      <c r="AC750" s="248"/>
      <c r="AD750" s="248"/>
      <c r="AE750" s="248"/>
      <c r="AF750" s="248"/>
      <c r="AG750" s="248"/>
      <c r="AH750" s="248"/>
      <c r="AI750" s="248"/>
      <c r="AJ750" s="248"/>
      <c r="AK750" s="248"/>
      <c r="AL750" s="1352"/>
      <c r="AM750" s="1352"/>
      <c r="AN750" s="1352"/>
      <c r="AO750" s="1352"/>
      <c r="AP750" s="1352"/>
      <c r="AQ750" s="1352"/>
      <c r="AR750" s="1352"/>
      <c r="AS750" s="1352"/>
    </row>
    <row r="751" spans="1:45" ht="16" hidden="1" thickTop="1" x14ac:dyDescent="0.2">
      <c r="A751" s="1507">
        <v>6</v>
      </c>
      <c r="B751" s="1524" t="s">
        <v>582</v>
      </c>
      <c r="C751" s="1511"/>
      <c r="D751" s="1511"/>
      <c r="E751" s="1511"/>
      <c r="F751" s="1514"/>
      <c r="G751" s="1509" t="str">
        <f ca="1">IF(N751&gt;0,"P","")</f>
        <v/>
      </c>
      <c r="H751" s="1510" t="s">
        <v>3198</v>
      </c>
      <c r="I751" s="177" t="s">
        <v>3588</v>
      </c>
      <c r="J751" s="178"/>
      <c r="K751" s="179"/>
      <c r="L751" s="1683" t="s">
        <v>3593</v>
      </c>
      <c r="M751" s="1685" t="s">
        <v>583</v>
      </c>
      <c r="N751" s="1770">
        <f ca="1">'11.600'!O453</f>
        <v>0</v>
      </c>
      <c r="O751" s="1682">
        <f ca="1">MIN(10,(R758+R765)+IFERROR((INDEX({3,3,6,4,4,6,8,5,5,9,9,10},MATCH(R769*4+S769*5,{8,9,10,12,13,14,15,16,17,18,19,20},0))),0))</f>
        <v>0</v>
      </c>
      <c r="P751" s="106"/>
      <c r="Q751" s="106"/>
      <c r="R751" s="106"/>
      <c r="S751" s="106"/>
      <c r="T751" s="106"/>
      <c r="U751" s="106"/>
      <c r="V751" s="106"/>
      <c r="W751" s="106"/>
      <c r="X751" s="106"/>
      <c r="Z751" s="670"/>
      <c r="AC751" s="248"/>
      <c r="AD751" s="248"/>
      <c r="AE751" s="248"/>
      <c r="AF751" s="248"/>
      <c r="AG751" s="248"/>
      <c r="AH751" s="248"/>
      <c r="AI751" s="248"/>
      <c r="AJ751" s="248"/>
      <c r="AK751" s="248"/>
      <c r="AL751" s="1352" t="str">
        <f>SUBSTITUTE(SUBSTITUTE(SUBSTITUTE("vpa"&amp;$B751&amp;$C751&amp;$D751&amp;$E751&amp;$F751,".","_"),"(","_"),")","")</f>
        <v>vpa610_1_2</v>
      </c>
      <c r="AM751" s="1352" t="str">
        <f>M751</f>
        <v xml:space="preserve">10 Max </v>
      </c>
      <c r="AN751" s="1352" t="str">
        <f>SUBSTITUTE(SUBSTITUTE(SUBSTITUTE("vpc"&amp;$B751&amp;$C751&amp;$D751&amp;$E751&amp;$F751,".","_"),"(","_"),")","")</f>
        <v>vpc610_1_2</v>
      </c>
      <c r="AO751" s="1352">
        <f ca="1">O751</f>
        <v>0</v>
      </c>
      <c r="AP751" s="1352"/>
      <c r="AQ751" s="1352"/>
      <c r="AR751" s="1352"/>
      <c r="AS751" s="1352"/>
    </row>
    <row r="752" spans="1:45" hidden="1" x14ac:dyDescent="0.2">
      <c r="A752" s="1507">
        <v>6</v>
      </c>
      <c r="B752" s="1524" t="s">
        <v>582</v>
      </c>
      <c r="C752" s="1511"/>
      <c r="D752" s="1511"/>
      <c r="E752" s="1511"/>
      <c r="F752" s="1514"/>
      <c r="G752" s="1509" t="str">
        <f t="shared" ref="G752:G792" ca="1" si="53">G751</f>
        <v/>
      </c>
      <c r="H752" s="1510" t="s">
        <v>3198</v>
      </c>
      <c r="I752" s="130"/>
      <c r="J752" s="129"/>
      <c r="K752" s="97"/>
      <c r="L752" s="1629"/>
      <c r="M752" s="1623"/>
      <c r="N752" s="1755"/>
      <c r="O752" s="1619"/>
      <c r="P752" s="991"/>
      <c r="Q752" s="991"/>
      <c r="R752" s="991"/>
      <c r="S752" s="991"/>
      <c r="T752" s="991"/>
      <c r="U752" s="991"/>
      <c r="V752" s="991"/>
      <c r="W752" s="96"/>
      <c r="X752" s="96"/>
      <c r="Z752" s="670"/>
      <c r="AC752" s="248"/>
      <c r="AD752" s="248"/>
      <c r="AE752" s="248"/>
      <c r="AF752" s="248"/>
      <c r="AG752" s="248"/>
      <c r="AH752" s="248"/>
      <c r="AI752" s="248"/>
      <c r="AJ752" s="248"/>
      <c r="AK752" s="248"/>
      <c r="AL752" s="1352"/>
      <c r="AM752" s="1352"/>
      <c r="AN752" s="1352"/>
      <c r="AO752" s="1352"/>
      <c r="AP752" s="1352"/>
      <c r="AQ752" s="1352"/>
      <c r="AR752" s="1352"/>
      <c r="AS752" s="1352"/>
    </row>
    <row r="753" spans="1:45" hidden="1" x14ac:dyDescent="0.2">
      <c r="A753" s="1507">
        <v>6</v>
      </c>
      <c r="B753" s="1524" t="s">
        <v>582</v>
      </c>
      <c r="C753" s="1511"/>
      <c r="D753" s="1511"/>
      <c r="E753" s="1511"/>
      <c r="F753" s="1514"/>
      <c r="G753" s="1509" t="str">
        <f t="shared" ca="1" si="53"/>
        <v/>
      </c>
      <c r="H753" s="1510" t="s">
        <v>3198</v>
      </c>
      <c r="I753" s="130"/>
      <c r="J753" s="129"/>
      <c r="K753" s="97"/>
      <c r="L753" s="1629"/>
      <c r="M753" s="1623"/>
      <c r="N753" s="1755"/>
      <c r="O753" s="1619"/>
      <c r="P753" s="991"/>
      <c r="Q753" s="991"/>
      <c r="R753" s="991"/>
      <c r="S753" s="991"/>
      <c r="T753" s="991"/>
      <c r="U753" s="991"/>
      <c r="V753" s="991"/>
      <c r="W753" s="96"/>
      <c r="X753" s="96"/>
      <c r="Z753" s="670"/>
      <c r="AC753" s="248"/>
      <c r="AD753" s="248"/>
      <c r="AE753" s="248"/>
      <c r="AF753" s="248"/>
      <c r="AG753" s="248"/>
      <c r="AH753" s="248"/>
      <c r="AI753" s="248"/>
      <c r="AJ753" s="248"/>
      <c r="AK753" s="248"/>
      <c r="AL753" s="1352"/>
      <c r="AM753" s="1352"/>
      <c r="AN753" s="1352"/>
      <c r="AO753" s="1352"/>
      <c r="AP753" s="1352"/>
      <c r="AQ753" s="1352"/>
      <c r="AR753" s="1352"/>
      <c r="AS753" s="1352"/>
    </row>
    <row r="754" spans="1:45" hidden="1" x14ac:dyDescent="0.2">
      <c r="A754" s="1507">
        <v>6</v>
      </c>
      <c r="B754" s="1524" t="s">
        <v>582</v>
      </c>
      <c r="C754" s="1511"/>
      <c r="D754" s="1511"/>
      <c r="E754" s="1511"/>
      <c r="F754" s="1514"/>
      <c r="G754" s="1509" t="str">
        <f t="shared" ca="1" si="53"/>
        <v/>
      </c>
      <c r="H754" s="1510" t="s">
        <v>3198</v>
      </c>
      <c r="I754" s="219"/>
      <c r="J754" s="213"/>
      <c r="K754" s="170"/>
      <c r="L754" s="1696"/>
      <c r="M754" s="1624"/>
      <c r="N754" s="1756"/>
      <c r="O754" s="1620"/>
      <c r="P754" s="991"/>
      <c r="Q754" s="991"/>
      <c r="R754" s="991"/>
      <c r="S754" s="991"/>
      <c r="T754" s="991"/>
      <c r="U754" s="991"/>
      <c r="V754" s="991"/>
      <c r="W754" s="96"/>
      <c r="X754" s="96"/>
      <c r="Z754" s="670"/>
      <c r="AC754" s="248"/>
      <c r="AD754" s="248"/>
      <c r="AE754" s="248"/>
      <c r="AF754" s="248"/>
      <c r="AG754" s="248"/>
      <c r="AH754" s="248"/>
      <c r="AI754" s="248"/>
      <c r="AJ754" s="248"/>
      <c r="AK754" s="248"/>
      <c r="AL754" s="1352"/>
      <c r="AM754" s="1352"/>
      <c r="AN754" s="1352"/>
      <c r="AO754" s="1352"/>
      <c r="AP754" s="1352"/>
      <c r="AQ754" s="1352"/>
      <c r="AR754" s="1352"/>
      <c r="AS754" s="1352"/>
    </row>
    <row r="755" spans="1:45" ht="15" hidden="1" customHeight="1" x14ac:dyDescent="0.2">
      <c r="A755" s="1507">
        <v>6</v>
      </c>
      <c r="B755" s="1524" t="s">
        <v>584</v>
      </c>
      <c r="C755" s="1511"/>
      <c r="D755" s="1511"/>
      <c r="E755" s="1511"/>
      <c r="F755" s="1514"/>
      <c r="G755" s="1509" t="str">
        <f t="shared" ca="1" si="53"/>
        <v/>
      </c>
      <c r="H755" s="1510" t="s">
        <v>3198</v>
      </c>
      <c r="I755" s="192" t="s">
        <v>3589</v>
      </c>
      <c r="J755" s="193"/>
      <c r="K755" s="194"/>
      <c r="L755" s="1712" t="s">
        <v>3592</v>
      </c>
      <c r="M755" s="1693" t="s">
        <v>3831</v>
      </c>
      <c r="N755" s="250"/>
      <c r="O755" s="935"/>
      <c r="P755" s="905"/>
      <c r="Q755" s="905"/>
      <c r="R755" s="905"/>
      <c r="S755" s="905"/>
      <c r="T755" s="905"/>
      <c r="U755" s="905"/>
      <c r="V755" s="905"/>
      <c r="W755" s="1554" t="s">
        <v>2652</v>
      </c>
      <c r="X755" s="1600"/>
      <c r="Y755" s="1874" t="str">
        <f>IF(LEN('11.600'!X457)=0,"None",'11.600'!X457)</f>
        <v>None</v>
      </c>
      <c r="Z755" s="1889"/>
      <c r="AC755" s="248"/>
      <c r="AD755" s="248"/>
      <c r="AE755" s="248"/>
      <c r="AF755" s="248"/>
      <c r="AG755" s="248"/>
      <c r="AH755" s="248"/>
      <c r="AI755" s="248"/>
      <c r="AJ755" s="248"/>
      <c r="AK755" s="248"/>
      <c r="AL755" s="1352" t="str">
        <f>SUBSTITUTE(SUBSTITUTE(SUBSTITUTE("vpa"&amp;$B755&amp;$C755&amp;$D755&amp;$E755&amp;$F755,".","_"),"(","_"),")","")</f>
        <v>vpa610_1_2_1</v>
      </c>
      <c r="AM755" s="1352" t="str">
        <f>M755</f>
        <v>per Table 11.610.1.2.1
10 Max</v>
      </c>
      <c r="AN755" s="1352"/>
      <c r="AO755" s="1352"/>
      <c r="AP755" s="1352"/>
      <c r="AQ755" s="1352"/>
      <c r="AR755" s="1352" t="str">
        <f>SUBSTITUTE(SUBSTITUTE(SUBSTITUTE("vnt"&amp;$B755&amp;$C755&amp;$D755&amp;$E755&amp;$F755,".","_"),"(","_"),")","")</f>
        <v>vnt610_1_2_1</v>
      </c>
      <c r="AS755" s="1352" t="str">
        <f>IF(LEN(X755)=0,"",X755)</f>
        <v/>
      </c>
    </row>
    <row r="756" spans="1:45" hidden="1" x14ac:dyDescent="0.2">
      <c r="A756" s="1507">
        <v>6</v>
      </c>
      <c r="B756" s="1524" t="s">
        <v>584</v>
      </c>
      <c r="C756" s="1511"/>
      <c r="D756" s="1511"/>
      <c r="E756" s="1511"/>
      <c r="F756" s="1514"/>
      <c r="G756" s="1509" t="str">
        <f t="shared" ca="1" si="53"/>
        <v/>
      </c>
      <c r="H756" s="1510" t="s">
        <v>3198</v>
      </c>
      <c r="I756" s="130"/>
      <c r="J756" s="129"/>
      <c r="K756" s="97"/>
      <c r="L756" s="1629"/>
      <c r="M756" s="1694"/>
      <c r="N756" s="250"/>
      <c r="O756" s="935"/>
      <c r="P756" s="905"/>
      <c r="Q756" s="905"/>
      <c r="R756" s="905"/>
      <c r="S756" s="905"/>
      <c r="T756" s="905"/>
      <c r="U756" s="991"/>
      <c r="V756" s="905"/>
      <c r="W756" s="1554"/>
      <c r="X756" s="1600"/>
      <c r="Y756" s="1874"/>
      <c r="Z756" s="1889"/>
      <c r="AC756" s="248"/>
      <c r="AD756" s="248"/>
      <c r="AE756" s="248"/>
      <c r="AF756" s="248"/>
      <c r="AG756" s="248"/>
      <c r="AH756" s="248"/>
      <c r="AI756" s="248"/>
      <c r="AJ756" s="248"/>
      <c r="AK756" s="248"/>
      <c r="AL756" s="1352"/>
      <c r="AM756" s="1352"/>
      <c r="AN756" s="1352"/>
      <c r="AO756" s="1352"/>
      <c r="AP756" s="1352"/>
      <c r="AQ756" s="1352"/>
      <c r="AR756" s="1352"/>
      <c r="AS756" s="1352"/>
    </row>
    <row r="757" spans="1:45" hidden="1" x14ac:dyDescent="0.2">
      <c r="A757" s="1507">
        <v>6</v>
      </c>
      <c r="B757" s="1524" t="s">
        <v>584</v>
      </c>
      <c r="C757" s="1511" t="s">
        <v>2539</v>
      </c>
      <c r="D757" s="1511"/>
      <c r="E757" s="1511"/>
      <c r="F757" s="1514"/>
      <c r="G757" s="1509" t="str">
        <f t="shared" ca="1" si="53"/>
        <v/>
      </c>
      <c r="H757" s="1510" t="s">
        <v>3198</v>
      </c>
      <c r="I757" s="130"/>
      <c r="J757" s="129"/>
      <c r="K757" s="97"/>
      <c r="L757" s="1629"/>
      <c r="M757" s="1694"/>
      <c r="N757" s="250"/>
      <c r="O757" s="935"/>
      <c r="P757" s="905" t="b">
        <v>1</v>
      </c>
      <c r="Q757" s="905" t="b">
        <v>0</v>
      </c>
      <c r="R757" s="905" t="b">
        <v>0</v>
      </c>
      <c r="S757" s="905" t="b">
        <f>COUNTIF(W733:W749,TRUE)&lt;1</f>
        <v>1</v>
      </c>
      <c r="T757" s="991" t="b">
        <f>AND(NOT(S757),LEN(W757)&gt;0)</f>
        <v>0</v>
      </c>
      <c r="U757" s="991" t="str">
        <f>SUBSTITUTE(SUBSTITUTE(SUBSTITUTE("dd"&amp;B757&amp;C757&amp;D757&amp;E757&amp;F757,".","_"),"(","_"),")","")</f>
        <v>dd610_1_2_1a</v>
      </c>
      <c r="V757" s="905"/>
      <c r="W757" s="12"/>
      <c r="X757" s="1600"/>
      <c r="Y757" s="1874"/>
      <c r="Z757" s="1889"/>
      <c r="AC757" s="1150" t="b">
        <f>OR(AD757:AE757)</f>
        <v>0</v>
      </c>
      <c r="AD757" s="1150" t="b">
        <f>T757</f>
        <v>0</v>
      </c>
      <c r="AE757" s="1" t="b">
        <f>AND(NOT(ISBLANK(W757)),LEN(X755)=0)</f>
        <v>0</v>
      </c>
      <c r="AF757" s="720" t="b">
        <f>AND(AE757,NOT(Q757))</f>
        <v>0</v>
      </c>
      <c r="AG757" s="248"/>
      <c r="AH757" s="248"/>
      <c r="AI757" s="248"/>
      <c r="AJ757" s="248"/>
      <c r="AK757" s="248"/>
      <c r="AL757" s="1352"/>
      <c r="AM757" s="1352"/>
      <c r="AN757" s="1352"/>
      <c r="AO757" s="1352"/>
      <c r="AP757" s="1352" t="str">
        <f>SUBSTITUTE(SUBSTITUTE(SUBSTITUTE("vch"&amp;$B757&amp;$C757&amp;$D757&amp;$E757&amp;$F757,".","_"),"(","_"),")","")</f>
        <v>vch610_1_2_1a</v>
      </c>
      <c r="AQ757" s="1352" t="str">
        <f>IF(LEN(W757)=0,"",W757)</f>
        <v/>
      </c>
      <c r="AR757" s="1352"/>
      <c r="AS757" s="1352"/>
    </row>
    <row r="758" spans="1:45" hidden="1" x14ac:dyDescent="0.2">
      <c r="A758" s="1507">
        <v>6</v>
      </c>
      <c r="B758" s="1524" t="s">
        <v>584</v>
      </c>
      <c r="C758" s="1511"/>
      <c r="D758" s="1511" t="s">
        <v>121</v>
      </c>
      <c r="E758" s="1511"/>
      <c r="F758" s="1514"/>
      <c r="G758" s="1509" t="str">
        <f t="shared" ca="1" si="53"/>
        <v/>
      </c>
      <c r="H758" s="1512" t="s">
        <v>3198</v>
      </c>
      <c r="I758" s="130"/>
      <c r="J758" s="129"/>
      <c r="K758" s="93" t="s">
        <v>121</v>
      </c>
      <c r="L758" s="97" t="s">
        <v>574</v>
      </c>
      <c r="M758" s="1694"/>
      <c r="N758" s="250"/>
      <c r="O758" s="935"/>
      <c r="P758" s="905"/>
      <c r="Q758" s="905"/>
      <c r="R758" s="1">
        <f ca="1">2*IFERROR(MATCH(W757,INDIRECT(U757),0),0)*S757</f>
        <v>0</v>
      </c>
      <c r="S758" s="905"/>
      <c r="T758" s="905"/>
      <c r="U758" s="905"/>
      <c r="V758" s="905"/>
      <c r="W758" s="248"/>
      <c r="X758" s="1600"/>
      <c r="Y758" s="1874"/>
      <c r="Z758" s="1889"/>
      <c r="AC758" s="1150"/>
      <c r="AD758" s="1150"/>
      <c r="AE758" s="1150"/>
      <c r="AF758" s="248"/>
      <c r="AG758" s="248"/>
      <c r="AH758" s="248"/>
      <c r="AI758" s="248"/>
      <c r="AJ758" s="248"/>
      <c r="AK758" s="248"/>
      <c r="AL758" s="1352"/>
      <c r="AM758" s="1352"/>
      <c r="AN758" s="1352"/>
      <c r="AO758" s="1352"/>
      <c r="AP758" s="1352"/>
      <c r="AQ758" s="1352"/>
      <c r="AR758" s="1352"/>
      <c r="AS758" s="1352"/>
    </row>
    <row r="759" spans="1:45" hidden="1" x14ac:dyDescent="0.2">
      <c r="A759" s="1507">
        <v>6</v>
      </c>
      <c r="B759" s="1524" t="s">
        <v>584</v>
      </c>
      <c r="C759" s="1511"/>
      <c r="D759" s="1511" t="s">
        <v>122</v>
      </c>
      <c r="E759" s="1511"/>
      <c r="F759" s="1514"/>
      <c r="G759" s="1509" t="str">
        <f t="shared" ca="1" si="53"/>
        <v/>
      </c>
      <c r="H759" s="1512" t="s">
        <v>3198</v>
      </c>
      <c r="I759" s="130"/>
      <c r="J759" s="129"/>
      <c r="K759" s="93" t="s">
        <v>122</v>
      </c>
      <c r="L759" s="97" t="s">
        <v>575</v>
      </c>
      <c r="M759" s="1694"/>
      <c r="N759" s="250"/>
      <c r="O759" s="935"/>
      <c r="P759" s="905"/>
      <c r="Q759" s="905"/>
      <c r="R759" s="905"/>
      <c r="S759" s="905"/>
      <c r="T759" s="905"/>
      <c r="U759" s="905"/>
      <c r="V759" s="905"/>
      <c r="W759" s="248"/>
      <c r="X759" s="1600"/>
      <c r="Y759" s="1874"/>
      <c r="Z759" s="1889"/>
      <c r="AC759" s="1150"/>
      <c r="AD759" s="1150"/>
      <c r="AE759" s="1150"/>
      <c r="AF759" s="248"/>
      <c r="AG759" s="248"/>
      <c r="AH759" s="248"/>
      <c r="AI759" s="248"/>
      <c r="AJ759" s="248"/>
      <c r="AK759" s="248"/>
      <c r="AL759" s="1352"/>
      <c r="AM759" s="1352"/>
      <c r="AN759" s="1352"/>
      <c r="AO759" s="1352"/>
      <c r="AP759" s="1352"/>
      <c r="AQ759" s="1352"/>
      <c r="AR759" s="1352"/>
      <c r="AS759" s="1352"/>
    </row>
    <row r="760" spans="1:45" hidden="1" x14ac:dyDescent="0.2">
      <c r="A760" s="1507">
        <v>6</v>
      </c>
      <c r="B760" s="1524" t="s">
        <v>584</v>
      </c>
      <c r="C760" s="1511"/>
      <c r="D760" s="1511" t="s">
        <v>123</v>
      </c>
      <c r="E760" s="1511"/>
      <c r="F760" s="1514"/>
      <c r="G760" s="1509" t="str">
        <f t="shared" ca="1" si="53"/>
        <v/>
      </c>
      <c r="H760" s="1512" t="s">
        <v>3198</v>
      </c>
      <c r="I760" s="130"/>
      <c r="J760" s="129"/>
      <c r="K760" s="93" t="s">
        <v>123</v>
      </c>
      <c r="L760" s="97" t="s">
        <v>576</v>
      </c>
      <c r="M760" s="1694"/>
      <c r="N760" s="250"/>
      <c r="O760" s="935"/>
      <c r="P760" s="905"/>
      <c r="Q760" s="905"/>
      <c r="R760" s="905"/>
      <c r="S760" s="905"/>
      <c r="T760" s="905"/>
      <c r="U760" s="905"/>
      <c r="V760" s="905"/>
      <c r="W760" s="248"/>
      <c r="X760" s="1600"/>
      <c r="Y760" s="1874"/>
      <c r="Z760" s="1889"/>
      <c r="AC760" s="1150"/>
      <c r="AD760" s="1150"/>
      <c r="AE760" s="1150"/>
      <c r="AF760" s="248"/>
      <c r="AG760" s="248"/>
      <c r="AH760" s="248"/>
      <c r="AI760" s="248"/>
      <c r="AJ760" s="248"/>
      <c r="AK760" s="248"/>
      <c r="AL760" s="1352"/>
      <c r="AM760" s="1352"/>
      <c r="AN760" s="1352"/>
      <c r="AO760" s="1352"/>
      <c r="AP760" s="1352"/>
      <c r="AQ760" s="1352"/>
      <c r="AR760" s="1352"/>
      <c r="AS760" s="1352"/>
    </row>
    <row r="761" spans="1:45" hidden="1" x14ac:dyDescent="0.2">
      <c r="A761" s="1507">
        <v>6</v>
      </c>
      <c r="B761" s="1524" t="s">
        <v>584</v>
      </c>
      <c r="C761" s="1511"/>
      <c r="D761" s="1518" t="s">
        <v>366</v>
      </c>
      <c r="E761" s="1518"/>
      <c r="F761" s="1519"/>
      <c r="G761" s="1509" t="str">
        <f t="shared" ca="1" si="53"/>
        <v/>
      </c>
      <c r="H761" s="1520" t="s">
        <v>3198</v>
      </c>
      <c r="I761" s="130"/>
      <c r="J761" s="129"/>
      <c r="K761" s="111" t="s">
        <v>366</v>
      </c>
      <c r="L761" s="97" t="s">
        <v>577</v>
      </c>
      <c r="M761" s="1694"/>
      <c r="N761" s="250"/>
      <c r="O761" s="935"/>
      <c r="P761" s="905"/>
      <c r="Q761" s="905"/>
      <c r="R761" s="905"/>
      <c r="S761" s="905"/>
      <c r="T761" s="905"/>
      <c r="U761" s="991"/>
      <c r="V761" s="905"/>
      <c r="W761" s="248"/>
      <c r="X761" s="1600"/>
      <c r="Y761" s="1874"/>
      <c r="Z761" s="1889"/>
      <c r="AC761" s="1150"/>
      <c r="AD761" s="1150"/>
      <c r="AE761" s="1150"/>
      <c r="AF761" s="248"/>
      <c r="AG761" s="248"/>
      <c r="AH761" s="248"/>
      <c r="AI761" s="248"/>
      <c r="AJ761" s="248"/>
      <c r="AK761" s="248"/>
      <c r="AL761" s="1352"/>
      <c r="AM761" s="1352"/>
      <c r="AN761" s="1352"/>
      <c r="AO761" s="1352"/>
      <c r="AP761" s="1352"/>
      <c r="AQ761" s="1352"/>
      <c r="AR761" s="1352"/>
      <c r="AS761" s="1352"/>
    </row>
    <row r="762" spans="1:45" hidden="1" x14ac:dyDescent="0.2">
      <c r="A762" s="1507">
        <v>6</v>
      </c>
      <c r="B762" s="1524" t="s">
        <v>584</v>
      </c>
      <c r="C762" s="1511"/>
      <c r="D762" s="1511" t="s">
        <v>472</v>
      </c>
      <c r="E762" s="1511"/>
      <c r="F762" s="1514"/>
      <c r="G762" s="1509" t="str">
        <f t="shared" ca="1" si="53"/>
        <v/>
      </c>
      <c r="H762" s="1510" t="s">
        <v>3198</v>
      </c>
      <c r="I762" s="130"/>
      <c r="J762" s="129"/>
      <c r="K762" s="187" t="s">
        <v>472</v>
      </c>
      <c r="L762" s="97" t="s">
        <v>578</v>
      </c>
      <c r="M762" s="1694"/>
      <c r="N762" s="250"/>
      <c r="O762" s="935"/>
      <c r="P762" s="905"/>
      <c r="Q762" s="905"/>
      <c r="R762" s="905"/>
      <c r="S762" s="905"/>
      <c r="T762" s="905"/>
      <c r="U762" s="905"/>
      <c r="V762" s="905"/>
      <c r="W762" s="1554" t="s">
        <v>2651</v>
      </c>
      <c r="X762" s="1600"/>
      <c r="Y762" s="1874" t="str">
        <f>IF(LEN('11.600'!X464)=0,"None",'11.600'!X464)</f>
        <v>None</v>
      </c>
      <c r="Z762" s="1889"/>
      <c r="AC762" s="1150"/>
      <c r="AD762" s="1150"/>
      <c r="AE762" s="1150"/>
      <c r="AF762" s="248"/>
      <c r="AG762" s="248"/>
      <c r="AH762" s="248"/>
      <c r="AI762" s="248"/>
      <c r="AJ762" s="248"/>
      <c r="AK762" s="248"/>
      <c r="AL762" s="1352"/>
      <c r="AM762" s="1352"/>
      <c r="AN762" s="1352"/>
      <c r="AO762" s="1352"/>
      <c r="AP762" s="1352"/>
      <c r="AQ762" s="1352"/>
      <c r="AR762" s="1352" t="str">
        <f>SUBSTITUTE(SUBSTITUTE(SUBSTITUTE("vnt"&amp;$B762&amp;$C762&amp;$D762&amp;$E762&amp;$F762,".","_"),"(","_"),")","")</f>
        <v>vnt610_1_2_1_e</v>
      </c>
      <c r="AS762" s="1352" t="str">
        <f>IF(LEN(X762)=0,"",X762)</f>
        <v/>
      </c>
    </row>
    <row r="763" spans="1:45" hidden="1" x14ac:dyDescent="0.2">
      <c r="A763" s="1507">
        <v>6</v>
      </c>
      <c r="B763" s="1524" t="s">
        <v>584</v>
      </c>
      <c r="C763" s="1511"/>
      <c r="D763" s="1511" t="s">
        <v>510</v>
      </c>
      <c r="E763" s="1511"/>
      <c r="F763" s="1514"/>
      <c r="G763" s="1509" t="str">
        <f t="shared" ca="1" si="53"/>
        <v/>
      </c>
      <c r="H763" s="1512" t="s">
        <v>3198</v>
      </c>
      <c r="I763" s="130"/>
      <c r="J763" s="129"/>
      <c r="K763" s="93" t="s">
        <v>510</v>
      </c>
      <c r="L763" s="97" t="s">
        <v>579</v>
      </c>
      <c r="M763" s="1694"/>
      <c r="N763" s="250"/>
      <c r="O763" s="935"/>
      <c r="P763" s="905"/>
      <c r="Q763" s="905"/>
      <c r="R763" s="905"/>
      <c r="S763" s="905"/>
      <c r="T763" s="905"/>
      <c r="U763" s="991"/>
      <c r="V763" s="905"/>
      <c r="W763" s="1554"/>
      <c r="X763" s="1600"/>
      <c r="Y763" s="1874"/>
      <c r="Z763" s="1889"/>
      <c r="AC763" s="1150"/>
      <c r="AD763" s="1150"/>
      <c r="AE763" s="1150"/>
      <c r="AF763" s="248"/>
      <c r="AG763" s="248"/>
      <c r="AH763" s="248"/>
      <c r="AI763" s="248"/>
      <c r="AJ763" s="248"/>
      <c r="AK763" s="248"/>
      <c r="AL763" s="1352"/>
      <c r="AM763" s="1352"/>
      <c r="AN763" s="1352"/>
      <c r="AO763" s="1352"/>
      <c r="AP763" s="1352"/>
      <c r="AQ763" s="1352"/>
      <c r="AR763" s="1352"/>
      <c r="AS763" s="1352"/>
    </row>
    <row r="764" spans="1:45" hidden="1" x14ac:dyDescent="0.2">
      <c r="A764" s="1507">
        <v>6</v>
      </c>
      <c r="B764" s="1524" t="s">
        <v>584</v>
      </c>
      <c r="C764" s="1511" t="s">
        <v>2540</v>
      </c>
      <c r="D764" s="1511"/>
      <c r="E764" s="1511"/>
      <c r="F764" s="1514"/>
      <c r="G764" s="1509" t="str">
        <f t="shared" ca="1" si="53"/>
        <v/>
      </c>
      <c r="H764" s="1510" t="s">
        <v>3198</v>
      </c>
      <c r="I764" s="130"/>
      <c r="J764" s="129"/>
      <c r="K764" s="96"/>
      <c r="L764" s="1705" t="s">
        <v>585</v>
      </c>
      <c r="M764" s="1694"/>
      <c r="N764" s="250"/>
      <c r="O764" s="935"/>
      <c r="P764" s="905" t="b">
        <v>1</v>
      </c>
      <c r="Q764" s="905" t="b">
        <v>0</v>
      </c>
      <c r="R764" s="905" t="b">
        <v>0</v>
      </c>
      <c r="S764" s="905" t="b">
        <f>COUNTIF(W733:W749,TRUE)&lt;1</f>
        <v>1</v>
      </c>
      <c r="T764" s="991" t="b">
        <f>AND(NOT(S764),LEN(W764)&gt;0)</f>
        <v>0</v>
      </c>
      <c r="U764" s="991" t="str">
        <f>SUBSTITUTE(SUBSTITUTE(SUBSTITUTE("dd"&amp;B764&amp;C764&amp;D764&amp;E764&amp;F764,".","_"),"(","_"),")","")</f>
        <v>dd610_1_2_1b</v>
      </c>
      <c r="V764" s="905"/>
      <c r="W764" s="12"/>
      <c r="X764" s="1600"/>
      <c r="Y764" s="1874"/>
      <c r="Z764" s="1889"/>
      <c r="AC764" s="1150" t="b">
        <f>OR(AD764:AE764)</f>
        <v>0</v>
      </c>
      <c r="AD764" s="1150" t="b">
        <f>T764</f>
        <v>0</v>
      </c>
      <c r="AE764" s="1" t="b">
        <f>AND(NOT(ISBLANK(W764)),LEN(X762)=0)</f>
        <v>0</v>
      </c>
      <c r="AF764" s="720" t="b">
        <f>AND(AE764,NOT(Q764))</f>
        <v>0</v>
      </c>
      <c r="AG764" s="248"/>
      <c r="AH764" s="248"/>
      <c r="AI764" s="248"/>
      <c r="AJ764" s="248"/>
      <c r="AK764" s="248"/>
      <c r="AL764" s="1352"/>
      <c r="AM764" s="1352"/>
      <c r="AN764" s="1352"/>
      <c r="AO764" s="1352"/>
      <c r="AP764" s="1352" t="str">
        <f>SUBSTITUTE(SUBSTITUTE(SUBSTITUTE("vch"&amp;$B764&amp;$C764&amp;$D764&amp;$E764&amp;$F764,".","_"),"(","_"),")","")</f>
        <v>vch610_1_2_1b</v>
      </c>
      <c r="AQ764" s="1352" t="str">
        <f>IF(LEN(W764)=0,"",W764)</f>
        <v/>
      </c>
      <c r="AR764" s="1352"/>
      <c r="AS764" s="1352"/>
    </row>
    <row r="765" spans="1:45" hidden="1" x14ac:dyDescent="0.2">
      <c r="A765" s="1507">
        <v>6</v>
      </c>
      <c r="B765" s="1524" t="s">
        <v>584</v>
      </c>
      <c r="C765" s="1511"/>
      <c r="D765" s="1511"/>
      <c r="E765" s="1511"/>
      <c r="F765" s="1514"/>
      <c r="G765" s="1509" t="str">
        <f t="shared" ca="1" si="53"/>
        <v/>
      </c>
      <c r="H765" s="1510" t="s">
        <v>3198</v>
      </c>
      <c r="I765" s="130"/>
      <c r="J765" s="129"/>
      <c r="K765" s="259"/>
      <c r="L765" s="1705"/>
      <c r="M765" s="1694"/>
      <c r="N765" s="250"/>
      <c r="O765" s="935"/>
      <c r="P765" s="905"/>
      <c r="Q765" s="905"/>
      <c r="R765" s="1">
        <f ca="1">3*IFERROR(MATCH(W764,INDIRECT(U764),0),0)*S764</f>
        <v>0</v>
      </c>
      <c r="S765" s="905"/>
      <c r="T765" s="905"/>
      <c r="U765" s="905"/>
      <c r="V765" s="905"/>
      <c r="W765" s="248"/>
      <c r="X765" s="1600"/>
      <c r="Y765" s="1874"/>
      <c r="Z765" s="1889"/>
      <c r="AC765" s="1150"/>
      <c r="AD765" s="1150"/>
      <c r="AE765" s="1150"/>
      <c r="AF765" s="248"/>
      <c r="AG765" s="248"/>
      <c r="AH765" s="248"/>
      <c r="AI765" s="248"/>
      <c r="AJ765" s="248"/>
      <c r="AK765" s="248"/>
      <c r="AL765" s="1352"/>
      <c r="AM765" s="1352"/>
      <c r="AN765" s="1352"/>
      <c r="AO765" s="1352"/>
      <c r="AP765" s="1352"/>
      <c r="AQ765" s="1352"/>
      <c r="AR765" s="1352"/>
      <c r="AS765" s="1352"/>
    </row>
    <row r="766" spans="1:45" hidden="1" x14ac:dyDescent="0.2">
      <c r="A766" s="1507">
        <v>6</v>
      </c>
      <c r="B766" s="1524" t="s">
        <v>584</v>
      </c>
      <c r="C766" s="1511"/>
      <c r="D766" s="1511"/>
      <c r="E766" s="1511"/>
      <c r="F766" s="1514"/>
      <c r="G766" s="1509" t="str">
        <f t="shared" ca="1" si="53"/>
        <v/>
      </c>
      <c r="H766" s="1510" t="s">
        <v>3198</v>
      </c>
      <c r="I766" s="130"/>
      <c r="J766" s="129"/>
      <c r="K766" s="259"/>
      <c r="L766" s="1705"/>
      <c r="M766" s="1694"/>
      <c r="N766" s="250"/>
      <c r="O766" s="935"/>
      <c r="P766" s="905"/>
      <c r="Q766" s="905"/>
      <c r="R766" s="905"/>
      <c r="S766" s="905"/>
      <c r="T766" s="905"/>
      <c r="U766" s="905"/>
      <c r="V766" s="905"/>
      <c r="W766" s="248"/>
      <c r="X766" s="1600"/>
      <c r="Y766" s="1874"/>
      <c r="Z766" s="1889"/>
      <c r="AC766" s="1150"/>
      <c r="AD766" s="1150"/>
      <c r="AE766" s="1150"/>
      <c r="AF766" s="248"/>
      <c r="AG766" s="248"/>
      <c r="AH766" s="248"/>
      <c r="AI766" s="248"/>
      <c r="AJ766" s="248"/>
      <c r="AK766" s="248"/>
      <c r="AL766" s="1352"/>
      <c r="AM766" s="1352"/>
      <c r="AN766" s="1352"/>
      <c r="AO766" s="1352"/>
      <c r="AP766" s="1352"/>
      <c r="AQ766" s="1352"/>
      <c r="AR766" s="1352"/>
      <c r="AS766" s="1352"/>
    </row>
    <row r="767" spans="1:45" hidden="1" x14ac:dyDescent="0.2">
      <c r="A767" s="1507">
        <v>6</v>
      </c>
      <c r="B767" s="1524" t="s">
        <v>584</v>
      </c>
      <c r="C767" s="1511"/>
      <c r="D767" s="1511"/>
      <c r="E767" s="1511"/>
      <c r="F767" s="1514"/>
      <c r="G767" s="1509" t="str">
        <f t="shared" ca="1" si="53"/>
        <v/>
      </c>
      <c r="H767" s="1510" t="s">
        <v>3198</v>
      </c>
      <c r="I767" s="130"/>
      <c r="J767" s="129"/>
      <c r="K767" s="259"/>
      <c r="L767" s="1730" t="s">
        <v>2650</v>
      </c>
      <c r="M767" s="1694"/>
      <c r="N767" s="250"/>
      <c r="O767" s="935"/>
      <c r="P767" s="905"/>
      <c r="Q767" s="905"/>
      <c r="R767" s="905"/>
      <c r="S767" s="905"/>
      <c r="T767" s="905"/>
      <c r="U767" s="905"/>
      <c r="V767" s="905"/>
      <c r="W767" s="248"/>
      <c r="X767" s="1600"/>
      <c r="Y767" s="1874"/>
      <c r="Z767" s="1889"/>
      <c r="AC767" s="1150"/>
      <c r="AD767" s="1150"/>
      <c r="AE767" s="1150"/>
      <c r="AF767" s="248"/>
      <c r="AG767" s="248"/>
      <c r="AH767" s="248"/>
      <c r="AI767" s="248"/>
      <c r="AJ767" s="248"/>
      <c r="AK767" s="248"/>
      <c r="AL767" s="1352"/>
      <c r="AM767" s="1352"/>
      <c r="AN767" s="1352"/>
      <c r="AO767" s="1352"/>
      <c r="AP767" s="1352"/>
      <c r="AQ767" s="1352"/>
      <c r="AR767" s="1352"/>
      <c r="AS767" s="1352"/>
    </row>
    <row r="768" spans="1:45" hidden="1" x14ac:dyDescent="0.2">
      <c r="A768" s="1507">
        <v>6</v>
      </c>
      <c r="B768" s="1524" t="s">
        <v>584</v>
      </c>
      <c r="C768" s="1511"/>
      <c r="D768" s="1511"/>
      <c r="E768" s="1511"/>
      <c r="F768" s="1514"/>
      <c r="G768" s="1509" t="str">
        <f t="shared" ca="1" si="53"/>
        <v/>
      </c>
      <c r="H768" s="1510" t="s">
        <v>3198</v>
      </c>
      <c r="I768" s="219"/>
      <c r="J768" s="213"/>
      <c r="K768" s="225"/>
      <c r="L768" s="1731"/>
      <c r="M768" s="1695"/>
      <c r="N768" s="250"/>
      <c r="O768" s="935"/>
      <c r="P768" s="905"/>
      <c r="Q768" s="905"/>
      <c r="R768" s="905"/>
      <c r="S768" s="905"/>
      <c r="T768" s="905"/>
      <c r="U768" s="905"/>
      <c r="V768" s="905"/>
      <c r="W768" s="248"/>
      <c r="X768" s="1600"/>
      <c r="Y768" s="1874"/>
      <c r="Z768" s="1889"/>
      <c r="AC768" s="1150"/>
      <c r="AD768" s="1150"/>
      <c r="AE768" s="1150"/>
      <c r="AF768" s="248"/>
      <c r="AG768" s="248"/>
      <c r="AH768" s="248"/>
      <c r="AI768" s="248"/>
      <c r="AJ768" s="248"/>
      <c r="AK768" s="248"/>
      <c r="AL768" s="1352"/>
      <c r="AM768" s="1352"/>
      <c r="AN768" s="1352"/>
      <c r="AO768" s="1352"/>
      <c r="AP768" s="1352"/>
      <c r="AQ768" s="1352"/>
      <c r="AR768" s="1352"/>
      <c r="AS768" s="1352"/>
    </row>
    <row r="769" spans="1:45" ht="15" hidden="1" customHeight="1" x14ac:dyDescent="0.2">
      <c r="A769" s="1507">
        <v>6</v>
      </c>
      <c r="B769" s="1524" t="s">
        <v>586</v>
      </c>
      <c r="C769" s="1511" t="s">
        <v>2539</v>
      </c>
      <c r="D769" s="1511"/>
      <c r="E769" s="1511"/>
      <c r="F769" s="1514"/>
      <c r="G769" s="1509" t="str">
        <f t="shared" ca="1" si="53"/>
        <v/>
      </c>
      <c r="H769" s="1510" t="s">
        <v>3198</v>
      </c>
      <c r="I769" s="67" t="s">
        <v>3590</v>
      </c>
      <c r="J769" s="4"/>
      <c r="K769" s="85"/>
      <c r="L769" s="1631" t="s">
        <v>3834</v>
      </c>
      <c r="M769" s="1716" t="s">
        <v>3835</v>
      </c>
      <c r="N769" s="250"/>
      <c r="O769" s="935"/>
      <c r="P769" s="905"/>
      <c r="Q769" s="905"/>
      <c r="R769" s="905">
        <f ca="1">COUNTIF(W770:W788,INDEX(INDIRECT(U770),1))*S770</f>
        <v>0</v>
      </c>
      <c r="S769" s="905">
        <f ca="1">COUNTIF(W770:W788,INDEX(INDIRECT(U770),2))*S770</f>
        <v>0</v>
      </c>
      <c r="T769" s="905"/>
      <c r="U769" s="905"/>
      <c r="V769" s="905"/>
      <c r="W769" s="248" t="s">
        <v>2661</v>
      </c>
      <c r="X769" s="1600"/>
      <c r="Y769" s="1874" t="str">
        <f>IF(LEN('11.600'!X471)=0,"None",'11.600'!X471)</f>
        <v>None</v>
      </c>
      <c r="Z769" s="1889"/>
      <c r="AC769" s="1150"/>
      <c r="AD769" s="1150"/>
      <c r="AE769" s="1150"/>
      <c r="AF769" s="248"/>
      <c r="AG769" s="248"/>
      <c r="AH769" s="248"/>
      <c r="AI769" s="248"/>
      <c r="AJ769" s="248"/>
      <c r="AK769" s="248"/>
      <c r="AL769" s="1352" t="str">
        <f>SUBSTITUTE(SUBSTITUTE(SUBSTITUTE("vpa"&amp;$B769&amp;$C769&amp;$D769&amp;$E769&amp;$F769,".","_"),"(","_"),")","")</f>
        <v>vpa610_1_2_2a</v>
      </c>
      <c r="AM769" s="1352" t="str">
        <f>M769</f>
        <v>per Table 11.610.1.2.2
10 Max</v>
      </c>
      <c r="AN769" s="1352"/>
      <c r="AO769" s="1352"/>
      <c r="AP769" s="1352"/>
      <c r="AQ769" s="1352"/>
      <c r="AR769" s="1352" t="str">
        <f>SUBSTITUTE(SUBSTITUTE(SUBSTITUTE("vnt"&amp;$B769&amp;$C769&amp;$D769&amp;$E769&amp;$F769,".","_"),"(","_"),")","")</f>
        <v>vnt610_1_2_2a</v>
      </c>
      <c r="AS769" s="1352" t="str">
        <f>IF(LEN(X769)=0,"",X769)</f>
        <v/>
      </c>
    </row>
    <row r="770" spans="1:45" hidden="1" x14ac:dyDescent="0.2">
      <c r="A770" s="1507">
        <v>6</v>
      </c>
      <c r="B770" s="1524" t="s">
        <v>586</v>
      </c>
      <c r="C770" s="1511" t="s">
        <v>2539</v>
      </c>
      <c r="D770" s="1511"/>
      <c r="E770" s="1511"/>
      <c r="F770" s="1514"/>
      <c r="G770" s="1509" t="str">
        <f t="shared" ca="1" si="53"/>
        <v/>
      </c>
      <c r="H770" s="1510" t="s">
        <v>3198</v>
      </c>
      <c r="I770" s="67"/>
      <c r="J770" s="4"/>
      <c r="K770" s="85"/>
      <c r="L770" s="1631"/>
      <c r="M770" s="1716"/>
      <c r="N770" s="250"/>
      <c r="O770" s="935"/>
      <c r="P770" s="905" t="b">
        <v>1</v>
      </c>
      <c r="Q770" s="905" t="b">
        <v>0</v>
      </c>
      <c r="R770" s="905" t="b">
        <v>0</v>
      </c>
      <c r="S770" s="905" t="b">
        <f>COUNTIF(W733:W749,TRUE)&lt;1</f>
        <v>1</v>
      </c>
      <c r="T770" s="991" t="b">
        <f>AND(NOT(S770),LEN(W770)&gt;0)</f>
        <v>0</v>
      </c>
      <c r="U770" s="991" t="str">
        <f>SUBSTITUTE(SUBSTITUTE(SUBSTITUTE("dd"&amp;B770&amp;C770&amp;D770&amp;E770&amp;F770,".","_"),"(","_"),")","")</f>
        <v>dd610_1_2_2a</v>
      </c>
      <c r="V770" s="905"/>
      <c r="W770" s="12"/>
      <c r="X770" s="1600"/>
      <c r="Y770" s="1874"/>
      <c r="Z770" s="1889"/>
      <c r="AC770" s="1150" t="b">
        <f>OR(AD770:AE770)</f>
        <v>0</v>
      </c>
      <c r="AD770" s="1150" t="b">
        <f>T770</f>
        <v>0</v>
      </c>
      <c r="AE770" s="1" t="b">
        <f>AND(NOT(ISBLANK(W770)),LEN(X769)=0)</f>
        <v>0</v>
      </c>
      <c r="AF770" s="720" t="b">
        <f>AND(AE770,NOT(Q770))</f>
        <v>0</v>
      </c>
      <c r="AG770" s="248"/>
      <c r="AH770" s="248"/>
      <c r="AI770" s="248"/>
      <c r="AJ770" s="248"/>
      <c r="AK770" s="248"/>
      <c r="AL770" s="1352"/>
      <c r="AM770" s="1352"/>
      <c r="AN770" s="1352"/>
      <c r="AO770" s="1352"/>
      <c r="AP770" s="1352" t="str">
        <f>SUBSTITUTE(SUBSTITUTE(SUBSTITUTE("vch"&amp;$B770&amp;$C770&amp;$D770&amp;$E770&amp;$F770,".","_"),"(","_"),")","")</f>
        <v>vch610_1_2_2a</v>
      </c>
      <c r="AQ770" s="1352" t="str">
        <f>IF(LEN(W770)=0,"",W770)</f>
        <v/>
      </c>
      <c r="AR770" s="1352"/>
      <c r="AS770" s="1352"/>
    </row>
    <row r="771" spans="1:45" hidden="1" x14ac:dyDescent="0.2">
      <c r="A771" s="1507">
        <v>6</v>
      </c>
      <c r="B771" s="1524" t="s">
        <v>586</v>
      </c>
      <c r="C771" s="1511"/>
      <c r="D771" s="1511"/>
      <c r="E771" s="1511"/>
      <c r="F771" s="1514"/>
      <c r="G771" s="1509" t="str">
        <f t="shared" ca="1" si="53"/>
        <v/>
      </c>
      <c r="H771" s="1510" t="s">
        <v>3198</v>
      </c>
      <c r="I771" s="67"/>
      <c r="J771" s="4"/>
      <c r="K771" s="85"/>
      <c r="L771" s="1631"/>
      <c r="M771" s="1716"/>
      <c r="N771" s="250"/>
      <c r="O771" s="935"/>
      <c r="P771" s="905"/>
      <c r="Q771" s="905"/>
      <c r="R771" s="905"/>
      <c r="S771" s="905"/>
      <c r="T771" s="905"/>
      <c r="U771" s="905"/>
      <c r="V771" s="905"/>
      <c r="W771" s="248"/>
      <c r="X771" s="1600"/>
      <c r="Y771" s="1874"/>
      <c r="Z771" s="1889"/>
      <c r="AC771" s="1150"/>
      <c r="AD771" s="1150"/>
      <c r="AE771" s="1150"/>
      <c r="AF771" s="248"/>
      <c r="AG771" s="248"/>
      <c r="AH771" s="248"/>
      <c r="AI771" s="248"/>
      <c r="AJ771" s="248"/>
      <c r="AK771" s="248"/>
      <c r="AL771" s="1352"/>
      <c r="AM771" s="1352"/>
      <c r="AN771" s="1352"/>
      <c r="AO771" s="1352"/>
      <c r="AP771" s="1352"/>
      <c r="AQ771" s="1352"/>
      <c r="AR771" s="1352"/>
      <c r="AS771" s="1352"/>
    </row>
    <row r="772" spans="1:45" hidden="1" x14ac:dyDescent="0.2">
      <c r="A772" s="1507">
        <v>6</v>
      </c>
      <c r="B772" s="1524" t="s">
        <v>586</v>
      </c>
      <c r="C772" s="1511"/>
      <c r="D772" s="1511"/>
      <c r="E772" s="1511"/>
      <c r="F772" s="1514"/>
      <c r="G772" s="1509" t="str">
        <f t="shared" ca="1" si="53"/>
        <v/>
      </c>
      <c r="H772" s="1510" t="s">
        <v>3198</v>
      </c>
      <c r="I772" s="67"/>
      <c r="J772" s="4"/>
      <c r="K772" s="85"/>
      <c r="L772" s="1631"/>
      <c r="M772" s="1716"/>
      <c r="N772" s="250"/>
      <c r="O772" s="935"/>
      <c r="P772" s="905"/>
      <c r="Q772" s="905"/>
      <c r="R772" s="905"/>
      <c r="S772" s="905"/>
      <c r="T772" s="905"/>
      <c r="U772" s="905"/>
      <c r="V772" s="905"/>
      <c r="W772" s="248"/>
      <c r="X772" s="1600"/>
      <c r="Y772" s="1874"/>
      <c r="Z772" s="1889"/>
      <c r="AC772" s="1150"/>
      <c r="AD772" s="1150"/>
      <c r="AE772" s="1150"/>
      <c r="AF772" s="248"/>
      <c r="AG772" s="248"/>
      <c r="AH772" s="248"/>
      <c r="AI772" s="248"/>
      <c r="AJ772" s="248"/>
      <c r="AK772" s="248"/>
      <c r="AL772" s="1352"/>
      <c r="AM772" s="1352"/>
      <c r="AN772" s="1352"/>
      <c r="AO772" s="1352"/>
      <c r="AP772" s="1352"/>
      <c r="AQ772" s="1352"/>
      <c r="AR772" s="1352"/>
      <c r="AS772" s="1352"/>
    </row>
    <row r="773" spans="1:45" hidden="1" x14ac:dyDescent="0.2">
      <c r="A773" s="1507">
        <v>6</v>
      </c>
      <c r="B773" s="1524" t="s">
        <v>586</v>
      </c>
      <c r="C773" s="1511"/>
      <c r="D773" s="1511"/>
      <c r="E773" s="1511"/>
      <c r="F773" s="1514"/>
      <c r="G773" s="1509" t="str">
        <f t="shared" ca="1" si="53"/>
        <v/>
      </c>
      <c r="H773" s="1510" t="s">
        <v>3198</v>
      </c>
      <c r="I773" s="67"/>
      <c r="J773" s="4"/>
      <c r="K773" s="85"/>
      <c r="L773" s="1631"/>
      <c r="M773" s="1716"/>
      <c r="N773" s="250"/>
      <c r="O773" s="935"/>
      <c r="P773" s="905"/>
      <c r="Q773" s="905"/>
      <c r="R773" s="905"/>
      <c r="S773" s="905"/>
      <c r="T773" s="905"/>
      <c r="U773" s="905"/>
      <c r="V773" s="905"/>
      <c r="W773" s="248"/>
      <c r="X773" s="1600"/>
      <c r="Y773" s="1874"/>
      <c r="Z773" s="1889"/>
      <c r="AC773" s="1150"/>
      <c r="AD773" s="1150"/>
      <c r="AE773" s="1150"/>
      <c r="AF773" s="248"/>
      <c r="AG773" s="248"/>
      <c r="AH773" s="248"/>
      <c r="AI773" s="248"/>
      <c r="AJ773" s="248"/>
      <c r="AK773" s="248"/>
      <c r="AL773" s="1352"/>
      <c r="AM773" s="1352"/>
      <c r="AN773" s="1352"/>
      <c r="AO773" s="1352"/>
      <c r="AP773" s="1352"/>
      <c r="AQ773" s="1352"/>
      <c r="AR773" s="1352"/>
      <c r="AS773" s="1352"/>
    </row>
    <row r="774" spans="1:45" hidden="1" x14ac:dyDescent="0.2">
      <c r="A774" s="1507">
        <v>6</v>
      </c>
      <c r="B774" s="1524" t="s">
        <v>586</v>
      </c>
      <c r="C774" s="1511"/>
      <c r="D774" s="1511"/>
      <c r="E774" s="1511"/>
      <c r="F774" s="1514"/>
      <c r="G774" s="1509" t="str">
        <f t="shared" ca="1" si="53"/>
        <v/>
      </c>
      <c r="H774" s="1510" t="s">
        <v>3198</v>
      </c>
      <c r="I774" s="67"/>
      <c r="J774" s="4"/>
      <c r="K774" s="85"/>
      <c r="L774" s="1631"/>
      <c r="M774" s="1716"/>
      <c r="N774" s="250"/>
      <c r="O774" s="935"/>
      <c r="P774" s="905"/>
      <c r="Q774" s="905"/>
      <c r="R774" s="905"/>
      <c r="S774" s="905"/>
      <c r="T774" s="905"/>
      <c r="U774" s="905"/>
      <c r="V774" s="905"/>
      <c r="W774" s="248"/>
      <c r="X774" s="1600"/>
      <c r="Y774" s="1874"/>
      <c r="Z774" s="1889"/>
      <c r="AC774" s="1150"/>
      <c r="AD774" s="1150"/>
      <c r="AE774" s="1150"/>
      <c r="AF774" s="248"/>
      <c r="AG774" s="248"/>
      <c r="AH774" s="248"/>
      <c r="AI774" s="248"/>
      <c r="AJ774" s="248"/>
      <c r="AK774" s="248"/>
      <c r="AL774" s="1352"/>
      <c r="AM774" s="1352"/>
      <c r="AN774" s="1352"/>
      <c r="AO774" s="1352"/>
      <c r="AP774" s="1352"/>
      <c r="AQ774" s="1352"/>
      <c r="AR774" s="1352"/>
      <c r="AS774" s="1352"/>
    </row>
    <row r="775" spans="1:45" hidden="1" x14ac:dyDescent="0.2">
      <c r="A775" s="1507">
        <v>6</v>
      </c>
      <c r="B775" s="1524" t="s">
        <v>586</v>
      </c>
      <c r="C775" s="1511" t="s">
        <v>2540</v>
      </c>
      <c r="D775" s="1511"/>
      <c r="E775" s="1511"/>
      <c r="F775" s="1514"/>
      <c r="G775" s="1509" t="str">
        <f t="shared" ca="1" si="53"/>
        <v/>
      </c>
      <c r="H775" s="1510" t="s">
        <v>3198</v>
      </c>
      <c r="I775" s="67"/>
      <c r="J775" s="4"/>
      <c r="K775" s="85"/>
      <c r="L775" s="1631"/>
      <c r="M775" s="1716"/>
      <c r="N775" s="250"/>
      <c r="O775" s="935"/>
      <c r="P775" s="905"/>
      <c r="Q775" s="905"/>
      <c r="R775" s="905"/>
      <c r="S775" s="905"/>
      <c r="T775" s="905"/>
      <c r="U775" s="905"/>
      <c r="V775" s="905"/>
      <c r="W775" s="248" t="s">
        <v>2662</v>
      </c>
      <c r="X775" s="1600"/>
      <c r="Y775" s="1874" t="str">
        <f>IF(LEN('11.600'!X477)=0,"None",'11.600'!X477)</f>
        <v>None</v>
      </c>
      <c r="Z775" s="1889"/>
      <c r="AC775" s="1150"/>
      <c r="AD775" s="1150"/>
      <c r="AE775" s="1150"/>
      <c r="AF775" s="248"/>
      <c r="AG775" s="248"/>
      <c r="AH775" s="248"/>
      <c r="AI775" s="248"/>
      <c r="AJ775" s="248"/>
      <c r="AK775" s="248"/>
      <c r="AL775" s="1352"/>
      <c r="AM775" s="1352"/>
      <c r="AN775" s="1352"/>
      <c r="AO775" s="1352"/>
      <c r="AP775" s="1352"/>
      <c r="AQ775" s="1352"/>
      <c r="AR775" s="1352" t="str">
        <f>SUBSTITUTE(SUBSTITUTE(SUBSTITUTE("vnt"&amp;$B775&amp;$C775&amp;$D775&amp;$E775&amp;$F775,".","_"),"(","_"),")","")</f>
        <v>vnt610_1_2_2b</v>
      </c>
      <c r="AS775" s="1352" t="str">
        <f>IF(LEN(X775)=0,"",X775)</f>
        <v/>
      </c>
    </row>
    <row r="776" spans="1:45" hidden="1" x14ac:dyDescent="0.2">
      <c r="A776" s="1507">
        <v>6</v>
      </c>
      <c r="B776" s="1524" t="s">
        <v>586</v>
      </c>
      <c r="C776" s="1511" t="s">
        <v>2540</v>
      </c>
      <c r="D776" s="1511"/>
      <c r="E776" s="1511"/>
      <c r="F776" s="1514"/>
      <c r="G776" s="1509" t="str">
        <f t="shared" ca="1" si="53"/>
        <v/>
      </c>
      <c r="H776" s="1510" t="s">
        <v>3198</v>
      </c>
      <c r="I776" s="67"/>
      <c r="J776" s="4"/>
      <c r="K776" s="85"/>
      <c r="L776" s="1631"/>
      <c r="M776" s="1716"/>
      <c r="N776" s="250"/>
      <c r="O776" s="935"/>
      <c r="P776" s="905" t="b">
        <v>1</v>
      </c>
      <c r="Q776" s="905" t="b">
        <v>0</v>
      </c>
      <c r="R776" s="905" t="b">
        <v>0</v>
      </c>
      <c r="S776" s="905" t="b">
        <f>COUNTIF(W733:W749,TRUE)&lt;1</f>
        <v>1</v>
      </c>
      <c r="T776" s="991" t="b">
        <f>AND(NOT(S776),LEN(W776)&gt;0)</f>
        <v>0</v>
      </c>
      <c r="U776" s="991" t="str">
        <f>SUBSTITUTE(SUBSTITUTE(SUBSTITUTE("dd"&amp;B776&amp;C776&amp;D776&amp;E776&amp;F776,".","_"),"(","_"),")","")</f>
        <v>dd610_1_2_2b</v>
      </c>
      <c r="V776" s="905"/>
      <c r="W776" s="12"/>
      <c r="X776" s="1600"/>
      <c r="Y776" s="1874"/>
      <c r="Z776" s="1889"/>
      <c r="AC776" s="1150" t="b">
        <f>OR(AD776:AE776)</f>
        <v>0</v>
      </c>
      <c r="AD776" s="1150" t="b">
        <f>T776</f>
        <v>0</v>
      </c>
      <c r="AE776" s="1" t="b">
        <f>AND(NOT(ISBLANK(W776)),LEN(X775)=0)</f>
        <v>0</v>
      </c>
      <c r="AF776" s="720" t="b">
        <f>AND(AE776,NOT(Q776))</f>
        <v>0</v>
      </c>
      <c r="AG776" s="248"/>
      <c r="AH776" s="248"/>
      <c r="AI776" s="248"/>
      <c r="AJ776" s="248"/>
      <c r="AK776" s="248"/>
      <c r="AL776" s="1352"/>
      <c r="AM776" s="1352"/>
      <c r="AN776" s="1352"/>
      <c r="AO776" s="1352"/>
      <c r="AP776" s="1352" t="str">
        <f>SUBSTITUTE(SUBSTITUTE(SUBSTITUTE("vch"&amp;$B776&amp;$C776&amp;$D776&amp;$E776&amp;$F776,".","_"),"(","_"),")","")</f>
        <v>vch610_1_2_2b</v>
      </c>
      <c r="AQ776" s="1352" t="str">
        <f>IF(LEN(W776)=0,"",W776)</f>
        <v/>
      </c>
      <c r="AR776" s="1352"/>
      <c r="AS776" s="1352"/>
    </row>
    <row r="777" spans="1:45" hidden="1" x14ac:dyDescent="0.2">
      <c r="A777" s="1507">
        <v>6</v>
      </c>
      <c r="B777" s="1524" t="s">
        <v>586</v>
      </c>
      <c r="C777" s="1511"/>
      <c r="D777" s="1511" t="s">
        <v>121</v>
      </c>
      <c r="E777" s="1511"/>
      <c r="F777" s="1514"/>
      <c r="G777" s="1509" t="str">
        <f t="shared" ca="1" si="53"/>
        <v/>
      </c>
      <c r="H777" s="1512" t="s">
        <v>3198</v>
      </c>
      <c r="I777" s="67"/>
      <c r="J777" s="4"/>
      <c r="K777" s="89" t="s">
        <v>121</v>
      </c>
      <c r="L777" s="85" t="s">
        <v>587</v>
      </c>
      <c r="M777" s="1716"/>
      <c r="N777" s="250"/>
      <c r="O777" s="935"/>
      <c r="P777" s="905"/>
      <c r="Q777" s="905"/>
      <c r="R777" s="905"/>
      <c r="S777" s="905"/>
      <c r="T777" s="905"/>
      <c r="U777" s="991"/>
      <c r="V777" s="905"/>
      <c r="W777" s="248"/>
      <c r="X777" s="1600"/>
      <c r="Y777" s="1874"/>
      <c r="Z777" s="1889"/>
      <c r="AC777" s="248"/>
      <c r="AD777" s="248"/>
      <c r="AE777" s="248"/>
      <c r="AF777" s="248"/>
      <c r="AG777" s="248"/>
      <c r="AH777" s="248"/>
      <c r="AI777" s="248"/>
      <c r="AJ777" s="248"/>
      <c r="AK777" s="248"/>
      <c r="AL777" s="1352"/>
      <c r="AM777" s="1352"/>
      <c r="AN777" s="1352"/>
      <c r="AO777" s="1352"/>
      <c r="AP777" s="1352"/>
      <c r="AQ777" s="1352"/>
      <c r="AR777" s="1352"/>
      <c r="AS777" s="1352"/>
    </row>
    <row r="778" spans="1:45" hidden="1" x14ac:dyDescent="0.2">
      <c r="A778" s="1507">
        <v>6</v>
      </c>
      <c r="B778" s="1524" t="s">
        <v>586</v>
      </c>
      <c r="C778" s="1511"/>
      <c r="D778" s="1511" t="s">
        <v>122</v>
      </c>
      <c r="E778" s="1511"/>
      <c r="F778" s="1514"/>
      <c r="G778" s="1509" t="str">
        <f t="shared" ca="1" si="53"/>
        <v/>
      </c>
      <c r="H778" s="1512" t="s">
        <v>3198</v>
      </c>
      <c r="I778" s="67"/>
      <c r="J778" s="4"/>
      <c r="K778" s="89" t="s">
        <v>122</v>
      </c>
      <c r="L778" s="85" t="s">
        <v>588</v>
      </c>
      <c r="M778" s="1716"/>
      <c r="N778" s="250"/>
      <c r="O778" s="935"/>
      <c r="P778" s="905"/>
      <c r="Q778" s="905"/>
      <c r="R778" s="905"/>
      <c r="S778" s="905"/>
      <c r="T778" s="905"/>
      <c r="U778" s="991"/>
      <c r="V778" s="905"/>
      <c r="W778" s="248"/>
      <c r="X778" s="1600"/>
      <c r="Y778" s="1874"/>
      <c r="Z778" s="1889"/>
      <c r="AC778" s="248"/>
      <c r="AD778" s="248"/>
      <c r="AE778" s="248"/>
      <c r="AF778" s="248"/>
      <c r="AG778" s="248"/>
      <c r="AH778" s="248"/>
      <c r="AI778" s="248"/>
      <c r="AJ778" s="248"/>
      <c r="AK778" s="248"/>
      <c r="AL778" s="1352"/>
      <c r="AM778" s="1352"/>
      <c r="AN778" s="1352"/>
      <c r="AO778" s="1352"/>
      <c r="AP778" s="1352"/>
      <c r="AQ778" s="1352"/>
      <c r="AR778" s="1352"/>
      <c r="AS778" s="1352"/>
    </row>
    <row r="779" spans="1:45" hidden="1" x14ac:dyDescent="0.2">
      <c r="A779" s="1507">
        <v>6</v>
      </c>
      <c r="B779" s="1524" t="s">
        <v>586</v>
      </c>
      <c r="C779" s="1511"/>
      <c r="D779" s="1511" t="s">
        <v>123</v>
      </c>
      <c r="E779" s="1511"/>
      <c r="F779" s="1514"/>
      <c r="G779" s="1509" t="str">
        <f t="shared" ca="1" si="53"/>
        <v/>
      </c>
      <c r="H779" s="1512" t="s">
        <v>3198</v>
      </c>
      <c r="I779" s="67"/>
      <c r="J779" s="4"/>
      <c r="K779" s="89" t="s">
        <v>123</v>
      </c>
      <c r="L779" s="85" t="s">
        <v>589</v>
      </c>
      <c r="M779" s="1716"/>
      <c r="N779" s="250"/>
      <c r="O779" s="935"/>
      <c r="P779" s="905"/>
      <c r="Q779" s="905"/>
      <c r="R779" s="905"/>
      <c r="S779" s="905"/>
      <c r="T779" s="905"/>
      <c r="U779" s="991"/>
      <c r="V779" s="905"/>
      <c r="W779" s="248"/>
      <c r="X779" s="1600"/>
      <c r="Y779" s="1874"/>
      <c r="Z779" s="1889"/>
      <c r="AC779" s="248"/>
      <c r="AD779" s="248"/>
      <c r="AE779" s="248"/>
      <c r="AF779" s="248"/>
      <c r="AG779" s="248"/>
      <c r="AH779" s="248"/>
      <c r="AI779" s="248"/>
      <c r="AJ779" s="248"/>
      <c r="AK779" s="248"/>
      <c r="AL779" s="1352"/>
      <c r="AM779" s="1352"/>
      <c r="AN779" s="1352"/>
      <c r="AO779" s="1352"/>
      <c r="AP779" s="1352"/>
      <c r="AQ779" s="1352"/>
      <c r="AR779" s="1352"/>
      <c r="AS779" s="1352"/>
    </row>
    <row r="780" spans="1:45" hidden="1" x14ac:dyDescent="0.2">
      <c r="A780" s="1507">
        <v>6</v>
      </c>
      <c r="B780" s="1524" t="s">
        <v>586</v>
      </c>
      <c r="C780" s="1511"/>
      <c r="D780" s="1518" t="s">
        <v>366</v>
      </c>
      <c r="E780" s="1518"/>
      <c r="F780" s="1519"/>
      <c r="G780" s="1509" t="str">
        <f t="shared" ca="1" si="53"/>
        <v/>
      </c>
      <c r="H780" s="1520" t="s">
        <v>3198</v>
      </c>
      <c r="I780" s="67"/>
      <c r="J780" s="4"/>
      <c r="K780" s="91" t="s">
        <v>366</v>
      </c>
      <c r="L780" s="85" t="s">
        <v>590</v>
      </c>
      <c r="M780" s="1716"/>
      <c r="N780" s="250"/>
      <c r="O780" s="935"/>
      <c r="P780" s="905"/>
      <c r="Q780" s="905"/>
      <c r="R780" s="905"/>
      <c r="S780" s="905"/>
      <c r="T780" s="905"/>
      <c r="U780" s="991"/>
      <c r="V780" s="905"/>
      <c r="W780" s="248"/>
      <c r="X780" s="1600"/>
      <c r="Y780" s="1874"/>
      <c r="Z780" s="1889"/>
      <c r="AC780" s="248"/>
      <c r="AD780" s="248"/>
      <c r="AE780" s="248"/>
      <c r="AF780" s="248"/>
      <c r="AG780" s="248"/>
      <c r="AH780" s="248"/>
      <c r="AI780" s="248"/>
      <c r="AJ780" s="248"/>
      <c r="AK780" s="248"/>
      <c r="AL780" s="1352"/>
      <c r="AM780" s="1352"/>
      <c r="AN780" s="1352"/>
      <c r="AO780" s="1352"/>
      <c r="AP780" s="1352"/>
      <c r="AQ780" s="1352"/>
      <c r="AR780" s="1352"/>
      <c r="AS780" s="1352"/>
    </row>
    <row r="781" spans="1:45" hidden="1" x14ac:dyDescent="0.2">
      <c r="A781" s="1507">
        <v>6</v>
      </c>
      <c r="B781" s="1524" t="s">
        <v>586</v>
      </c>
      <c r="C781" s="1511" t="s">
        <v>2541</v>
      </c>
      <c r="D781" s="1511"/>
      <c r="E781" s="1511"/>
      <c r="F781" s="1514"/>
      <c r="G781" s="1509" t="str">
        <f t="shared" ca="1" si="53"/>
        <v/>
      </c>
      <c r="H781" s="1510" t="s">
        <v>3198</v>
      </c>
      <c r="I781" s="67"/>
      <c r="J781" s="4"/>
      <c r="K781" s="85"/>
      <c r="L781" s="1717" t="s">
        <v>591</v>
      </c>
      <c r="M781" s="1716"/>
      <c r="N781" s="250"/>
      <c r="O781" s="935"/>
      <c r="P781" s="905"/>
      <c r="Q781" s="905"/>
      <c r="R781" s="905"/>
      <c r="S781" s="905"/>
      <c r="T781" s="905"/>
      <c r="U781" s="905"/>
      <c r="V781" s="905"/>
      <c r="W781" s="248" t="s">
        <v>2663</v>
      </c>
      <c r="X781" s="1600"/>
      <c r="Y781" s="1874" t="str">
        <f>IF(LEN('11.600'!X483)=0,"None",'11.600'!X483)</f>
        <v>None</v>
      </c>
      <c r="Z781" s="1889"/>
      <c r="AC781" s="248"/>
      <c r="AD781" s="248"/>
      <c r="AE781" s="248"/>
      <c r="AF781" s="248"/>
      <c r="AG781" s="248"/>
      <c r="AH781" s="248"/>
      <c r="AI781" s="248"/>
      <c r="AJ781" s="248"/>
      <c r="AK781" s="248"/>
      <c r="AL781" s="1352"/>
      <c r="AM781" s="1352"/>
      <c r="AN781" s="1352"/>
      <c r="AO781" s="1352"/>
      <c r="AP781" s="1352"/>
      <c r="AQ781" s="1352"/>
      <c r="AR781" s="1352" t="str">
        <f>SUBSTITUTE(SUBSTITUTE(SUBSTITUTE("vnt"&amp;$B781&amp;$C781&amp;$D781&amp;$E781&amp;$F781,".","_"),"(","_"),")","")</f>
        <v>vnt610_1_2_2c</v>
      </c>
      <c r="AS781" s="1352" t="str">
        <f>IF(LEN(X781)=0,"",X781)</f>
        <v/>
      </c>
    </row>
    <row r="782" spans="1:45" hidden="1" x14ac:dyDescent="0.2">
      <c r="A782" s="1507">
        <v>6</v>
      </c>
      <c r="B782" s="1524" t="s">
        <v>586</v>
      </c>
      <c r="C782" s="1511" t="s">
        <v>2541</v>
      </c>
      <c r="D782" s="1511"/>
      <c r="E782" s="1511"/>
      <c r="F782" s="1514"/>
      <c r="G782" s="1509" t="str">
        <f t="shared" ca="1" si="53"/>
        <v/>
      </c>
      <c r="H782" s="1510" t="s">
        <v>3198</v>
      </c>
      <c r="I782" s="67"/>
      <c r="J782" s="4"/>
      <c r="K782" s="85"/>
      <c r="L782" s="1717"/>
      <c r="M782" s="1716"/>
      <c r="N782" s="250"/>
      <c r="O782" s="935"/>
      <c r="P782" s="905" t="b">
        <v>1</v>
      </c>
      <c r="Q782" s="905" t="b">
        <v>0</v>
      </c>
      <c r="R782" s="905" t="b">
        <v>0</v>
      </c>
      <c r="S782" s="905" t="b">
        <f>COUNTIF(W733:W749,TRUE)&lt;1</f>
        <v>1</v>
      </c>
      <c r="T782" s="991" t="b">
        <f>AND(NOT(S782),LEN(W782)&gt;0)</f>
        <v>0</v>
      </c>
      <c r="U782" s="991" t="str">
        <f>SUBSTITUTE(SUBSTITUTE(SUBSTITUTE("dd"&amp;B782&amp;C782&amp;D782&amp;E782&amp;F782,".","_"),"(","_"),")","")</f>
        <v>dd610_1_2_2c</v>
      </c>
      <c r="V782" s="905"/>
      <c r="W782" s="12"/>
      <c r="X782" s="1600"/>
      <c r="Y782" s="1874"/>
      <c r="Z782" s="1889"/>
      <c r="AC782" s="248" t="b">
        <f>OR(AD782:AE782)</f>
        <v>0</v>
      </c>
      <c r="AD782" s="248" t="b">
        <f>T782</f>
        <v>0</v>
      </c>
      <c r="AE782" s="248" t="b">
        <f>AND(NOT(ISBLANK(W782)),LEN(X781)=0)</f>
        <v>0</v>
      </c>
      <c r="AF782" s="720" t="b">
        <f>AND(AE782,NOT(Q782))</f>
        <v>0</v>
      </c>
      <c r="AG782" s="248"/>
      <c r="AH782" s="248"/>
      <c r="AI782" s="248"/>
      <c r="AJ782" s="248"/>
      <c r="AK782" s="248"/>
      <c r="AL782" s="1352"/>
      <c r="AM782" s="1352"/>
      <c r="AN782" s="1352"/>
      <c r="AO782" s="1352"/>
      <c r="AP782" s="1352" t="str">
        <f>SUBSTITUTE(SUBSTITUTE(SUBSTITUTE("vch"&amp;$B782&amp;$C782&amp;$D782&amp;$E782&amp;$F782,".","_"),"(","_"),")","")</f>
        <v>vch610_1_2_2c</v>
      </c>
      <c r="AQ782" s="1352" t="str">
        <f>IF(LEN(W782)=0,"",W782)</f>
        <v/>
      </c>
      <c r="AR782" s="1352"/>
      <c r="AS782" s="1352"/>
    </row>
    <row r="783" spans="1:45" hidden="1" x14ac:dyDescent="0.2">
      <c r="A783" s="1507">
        <v>6</v>
      </c>
      <c r="B783" s="1524" t="s">
        <v>586</v>
      </c>
      <c r="C783" s="1511"/>
      <c r="D783" s="1511" t="s">
        <v>121</v>
      </c>
      <c r="E783" s="1511"/>
      <c r="F783" s="1514"/>
      <c r="G783" s="1509" t="str">
        <f t="shared" ca="1" si="53"/>
        <v/>
      </c>
      <c r="H783" s="1512" t="s">
        <v>3198</v>
      </c>
      <c r="I783" s="67"/>
      <c r="J783" s="4"/>
      <c r="K783" s="89" t="s">
        <v>121</v>
      </c>
      <c r="L783" s="85" t="s">
        <v>574</v>
      </c>
      <c r="M783" s="1716"/>
      <c r="N783" s="250"/>
      <c r="O783" s="935"/>
      <c r="P783" s="905"/>
      <c r="Q783" s="905"/>
      <c r="R783" s="905"/>
      <c r="S783" s="905"/>
      <c r="T783" s="905"/>
      <c r="U783" s="905"/>
      <c r="V783" s="905"/>
      <c r="W783" s="248"/>
      <c r="X783" s="1600"/>
      <c r="Y783" s="1874"/>
      <c r="Z783" s="1889"/>
      <c r="AC783" s="248"/>
      <c r="AD783" s="248"/>
      <c r="AE783" s="248"/>
      <c r="AF783" s="248"/>
      <c r="AG783" s="248"/>
      <c r="AH783" s="248"/>
      <c r="AI783" s="248"/>
      <c r="AJ783" s="248"/>
      <c r="AK783" s="248"/>
      <c r="AL783" s="1352"/>
      <c r="AM783" s="1352"/>
      <c r="AN783" s="1352"/>
      <c r="AO783" s="1352"/>
      <c r="AP783" s="1352"/>
      <c r="AQ783" s="1352"/>
      <c r="AR783" s="1352"/>
      <c r="AS783" s="1352"/>
    </row>
    <row r="784" spans="1:45" hidden="1" x14ac:dyDescent="0.2">
      <c r="A784" s="1507">
        <v>6</v>
      </c>
      <c r="B784" s="1524" t="s">
        <v>586</v>
      </c>
      <c r="C784" s="1511"/>
      <c r="D784" s="1511" t="s">
        <v>122</v>
      </c>
      <c r="E784" s="1511"/>
      <c r="F784" s="1514"/>
      <c r="G784" s="1509" t="str">
        <f t="shared" ca="1" si="53"/>
        <v/>
      </c>
      <c r="H784" s="1512" t="s">
        <v>3198</v>
      </c>
      <c r="I784" s="67"/>
      <c r="J784" s="4"/>
      <c r="K784" s="89" t="s">
        <v>122</v>
      </c>
      <c r="L784" s="85" t="s">
        <v>575</v>
      </c>
      <c r="M784" s="1716"/>
      <c r="N784" s="250"/>
      <c r="O784" s="935"/>
      <c r="P784" s="905"/>
      <c r="Q784" s="905"/>
      <c r="R784" s="905"/>
      <c r="S784" s="905"/>
      <c r="T784" s="905"/>
      <c r="U784" s="905"/>
      <c r="V784" s="905"/>
      <c r="W784" s="248"/>
      <c r="X784" s="1600"/>
      <c r="Y784" s="1874"/>
      <c r="Z784" s="1889"/>
      <c r="AC784" s="248"/>
      <c r="AD784" s="248"/>
      <c r="AE784" s="248"/>
      <c r="AF784" s="248"/>
      <c r="AG784" s="248"/>
      <c r="AH784" s="248"/>
      <c r="AI784" s="248"/>
      <c r="AJ784" s="248"/>
      <c r="AK784" s="248"/>
      <c r="AL784" s="1352"/>
      <c r="AM784" s="1352"/>
      <c r="AN784" s="1352"/>
      <c r="AO784" s="1352"/>
      <c r="AP784" s="1352"/>
      <c r="AQ784" s="1352"/>
      <c r="AR784" s="1352"/>
      <c r="AS784" s="1352"/>
    </row>
    <row r="785" spans="1:45" hidden="1" x14ac:dyDescent="0.2">
      <c r="A785" s="1507">
        <v>6</v>
      </c>
      <c r="B785" s="1524" t="s">
        <v>586</v>
      </c>
      <c r="C785" s="1511"/>
      <c r="D785" s="1511" t="s">
        <v>123</v>
      </c>
      <c r="E785" s="1511"/>
      <c r="F785" s="1514"/>
      <c r="G785" s="1509" t="str">
        <f t="shared" ca="1" si="53"/>
        <v/>
      </c>
      <c r="H785" s="1512" t="s">
        <v>3198</v>
      </c>
      <c r="I785" s="67"/>
      <c r="J785" s="4"/>
      <c r="K785" s="89" t="s">
        <v>123</v>
      </c>
      <c r="L785" s="85" t="s">
        <v>576</v>
      </c>
      <c r="M785" s="1716"/>
      <c r="N785" s="250"/>
      <c r="O785" s="935"/>
      <c r="P785" s="905"/>
      <c r="Q785" s="905"/>
      <c r="R785" s="905"/>
      <c r="S785" s="905"/>
      <c r="T785" s="905"/>
      <c r="U785" s="905"/>
      <c r="V785" s="905"/>
      <c r="W785" s="248"/>
      <c r="X785" s="1600"/>
      <c r="Y785" s="1874"/>
      <c r="Z785" s="1889"/>
      <c r="AC785" s="248"/>
      <c r="AD785" s="248"/>
      <c r="AE785" s="248"/>
      <c r="AF785" s="248"/>
      <c r="AG785" s="248"/>
      <c r="AH785" s="248"/>
      <c r="AI785" s="248"/>
      <c r="AJ785" s="248"/>
      <c r="AK785" s="248"/>
      <c r="AL785" s="1352"/>
      <c r="AM785" s="1352"/>
      <c r="AN785" s="1352"/>
      <c r="AO785" s="1352"/>
      <c r="AP785" s="1352"/>
      <c r="AQ785" s="1352"/>
      <c r="AR785" s="1352"/>
      <c r="AS785" s="1352"/>
    </row>
    <row r="786" spans="1:45" hidden="1" x14ac:dyDescent="0.2">
      <c r="A786" s="1507">
        <v>6</v>
      </c>
      <c r="B786" s="1524" t="s">
        <v>586</v>
      </c>
      <c r="C786" s="1511"/>
      <c r="D786" s="1518" t="s">
        <v>366</v>
      </c>
      <c r="E786" s="1518"/>
      <c r="F786" s="1519"/>
      <c r="G786" s="1509" t="str">
        <f t="shared" ca="1" si="53"/>
        <v/>
      </c>
      <c r="H786" s="1520" t="s">
        <v>3198</v>
      </c>
      <c r="I786" s="67"/>
      <c r="J786" s="4"/>
      <c r="K786" s="91" t="s">
        <v>366</v>
      </c>
      <c r="L786" s="85" t="s">
        <v>577</v>
      </c>
      <c r="M786" s="1716"/>
      <c r="N786" s="250"/>
      <c r="O786" s="935"/>
      <c r="P786" s="905"/>
      <c r="Q786" s="905"/>
      <c r="R786" s="905"/>
      <c r="S786" s="905"/>
      <c r="T786" s="905"/>
      <c r="U786" s="905"/>
      <c r="V786" s="905"/>
      <c r="W786" s="248"/>
      <c r="X786" s="1600"/>
      <c r="Y786" s="1874"/>
      <c r="Z786" s="1889"/>
      <c r="AC786" s="248"/>
      <c r="AD786" s="248"/>
      <c r="AE786" s="248"/>
      <c r="AF786" s="248"/>
      <c r="AG786" s="248"/>
      <c r="AH786" s="248"/>
      <c r="AI786" s="248"/>
      <c r="AJ786" s="248"/>
      <c r="AK786" s="248"/>
      <c r="AL786" s="1352"/>
      <c r="AM786" s="1352"/>
      <c r="AN786" s="1352"/>
      <c r="AO786" s="1352"/>
      <c r="AP786" s="1352"/>
      <c r="AQ786" s="1352"/>
      <c r="AR786" s="1352"/>
      <c r="AS786" s="1352"/>
    </row>
    <row r="787" spans="1:45" hidden="1" x14ac:dyDescent="0.2">
      <c r="A787" s="1507">
        <v>6</v>
      </c>
      <c r="B787" s="1524" t="s">
        <v>586</v>
      </c>
      <c r="C787" s="1511"/>
      <c r="D787" s="1511" t="s">
        <v>472</v>
      </c>
      <c r="E787" s="1511"/>
      <c r="F787" s="1514"/>
      <c r="G787" s="1509" t="str">
        <f t="shared" ca="1" si="53"/>
        <v/>
      </c>
      <c r="H787" s="1510" t="s">
        <v>3198</v>
      </c>
      <c r="I787" s="67"/>
      <c r="J787" s="4"/>
      <c r="K787" s="87" t="s">
        <v>472</v>
      </c>
      <c r="L787" s="85" t="s">
        <v>578</v>
      </c>
      <c r="M787" s="1716"/>
      <c r="N787" s="250"/>
      <c r="O787" s="935"/>
      <c r="P787" s="905"/>
      <c r="Q787" s="905"/>
      <c r="R787" s="905"/>
      <c r="S787" s="905"/>
      <c r="T787" s="905"/>
      <c r="U787" s="905"/>
      <c r="V787" s="905"/>
      <c r="W787" s="248" t="s">
        <v>2664</v>
      </c>
      <c r="X787" s="1600"/>
      <c r="Y787" s="1874" t="str">
        <f>IF(LEN('11.600'!X489)=0,"None",'11.600'!X489)</f>
        <v>None</v>
      </c>
      <c r="Z787" s="1889"/>
      <c r="AC787" s="248"/>
      <c r="AD787" s="248"/>
      <c r="AE787" s="248"/>
      <c r="AF787" s="248"/>
      <c r="AG787" s="248"/>
      <c r="AH787" s="248"/>
      <c r="AI787" s="248"/>
      <c r="AJ787" s="248"/>
      <c r="AK787" s="248"/>
      <c r="AL787" s="1352"/>
      <c r="AM787" s="1352"/>
      <c r="AN787" s="1352"/>
      <c r="AO787" s="1352"/>
      <c r="AP787" s="1352"/>
      <c r="AQ787" s="1352"/>
      <c r="AR787" s="1352" t="str">
        <f>SUBSTITUTE(SUBSTITUTE(SUBSTITUTE("vnt"&amp;$B787&amp;$C787&amp;$D787&amp;$E787&amp;$F787,".","_"),"(","_"),")","")</f>
        <v>vnt610_1_2_2_e</v>
      </c>
      <c r="AS787" s="1352" t="str">
        <f>IF(LEN(X787)=0,"",X787)</f>
        <v/>
      </c>
    </row>
    <row r="788" spans="1:45" hidden="1" x14ac:dyDescent="0.2">
      <c r="A788" s="1507">
        <v>6</v>
      </c>
      <c r="B788" s="1524" t="s">
        <v>586</v>
      </c>
      <c r="C788" s="1511"/>
      <c r="D788" s="1511" t="s">
        <v>510</v>
      </c>
      <c r="E788" s="1511"/>
      <c r="F788" s="1514"/>
      <c r="G788" s="1509" t="str">
        <f t="shared" ca="1" si="53"/>
        <v/>
      </c>
      <c r="H788" s="1512" t="s">
        <v>3198</v>
      </c>
      <c r="I788" s="67"/>
      <c r="J788" s="4"/>
      <c r="K788" s="89" t="s">
        <v>510</v>
      </c>
      <c r="L788" s="85" t="s">
        <v>579</v>
      </c>
      <c r="M788" s="1716"/>
      <c r="N788" s="250"/>
      <c r="O788" s="935"/>
      <c r="P788" s="905" t="b">
        <v>1</v>
      </c>
      <c r="Q788" s="905" t="b">
        <v>0</v>
      </c>
      <c r="R788" s="905" t="b">
        <v>0</v>
      </c>
      <c r="S788" s="905" t="b">
        <f>COUNTIF(W733:W749,TRUE)&lt;1</f>
        <v>1</v>
      </c>
      <c r="T788" s="991" t="b">
        <f>AND(NOT(S788),LEN(W788)&gt;0)</f>
        <v>0</v>
      </c>
      <c r="U788" s="991" t="str">
        <f>SUBSTITUTE(SUBSTITUTE(SUBSTITUTE("dd"&amp;B788&amp;C788&amp;D788&amp;E788&amp;F788,".","_"),"(","_"),")","")</f>
        <v>dd610_1_2_2_f</v>
      </c>
      <c r="V788" s="905"/>
      <c r="W788" s="12"/>
      <c r="X788" s="1600"/>
      <c r="Y788" s="1874"/>
      <c r="Z788" s="1889"/>
      <c r="AC788" s="248" t="b">
        <f>OR(AD788:AE788)</f>
        <v>0</v>
      </c>
      <c r="AD788" s="248" t="b">
        <f>T788</f>
        <v>0</v>
      </c>
      <c r="AE788" s="248" t="b">
        <f>AND(NOT(ISBLANK(W788)),LEN(X787)=0)</f>
        <v>0</v>
      </c>
      <c r="AF788" s="720" t="b">
        <f>AND(AE788,NOT(Q788))</f>
        <v>0</v>
      </c>
      <c r="AG788" s="248"/>
      <c r="AH788" s="248"/>
      <c r="AI788" s="248"/>
      <c r="AJ788" s="248"/>
      <c r="AK788" s="248"/>
      <c r="AL788" s="1352"/>
      <c r="AM788" s="1352"/>
      <c r="AN788" s="1352"/>
      <c r="AO788" s="1352"/>
      <c r="AP788" s="1352" t="str">
        <f>SUBSTITUTE(SUBSTITUTE(SUBSTITUTE("vch"&amp;$B788&amp;$C788&amp;$D788&amp;$E788&amp;$F788,".","_"),"(","_"),")","")</f>
        <v>vch610_1_2_2_f</v>
      </c>
      <c r="AQ788" s="1352" t="str">
        <f>IF(LEN(W788)=0,"",W788)</f>
        <v/>
      </c>
      <c r="AR788" s="1352"/>
      <c r="AS788" s="1352"/>
    </row>
    <row r="789" spans="1:45" ht="15" hidden="1" customHeight="1" x14ac:dyDescent="0.2">
      <c r="A789" s="1507">
        <v>6</v>
      </c>
      <c r="B789" s="1524" t="s">
        <v>586</v>
      </c>
      <c r="C789" s="1511"/>
      <c r="D789" s="1511"/>
      <c r="E789" s="1511"/>
      <c r="F789" s="1514"/>
      <c r="G789" s="1509" t="str">
        <f t="shared" ca="1" si="53"/>
        <v/>
      </c>
      <c r="H789" s="1510" t="s">
        <v>3198</v>
      </c>
      <c r="I789" s="67"/>
      <c r="J789" s="4"/>
      <c r="K789" s="85"/>
      <c r="L789" s="1707" t="s">
        <v>3836</v>
      </c>
      <c r="M789" s="1716"/>
      <c r="N789" s="250"/>
      <c r="O789" s="935"/>
      <c r="P789" s="905"/>
      <c r="Q789" s="905"/>
      <c r="R789" s="905"/>
      <c r="S789" s="905"/>
      <c r="T789" s="905"/>
      <c r="U789" s="905"/>
      <c r="V789" s="905"/>
      <c r="W789" s="248"/>
      <c r="X789" s="1600"/>
      <c r="Y789" s="1874"/>
      <c r="Z789" s="1889"/>
      <c r="AC789" s="248"/>
      <c r="AD789" s="248"/>
      <c r="AE789" s="248"/>
      <c r="AF789" s="248"/>
      <c r="AG789" s="248"/>
      <c r="AH789" s="248"/>
      <c r="AI789" s="248"/>
      <c r="AJ789" s="248"/>
      <c r="AK789" s="248"/>
      <c r="AL789" s="1352"/>
      <c r="AM789" s="1352"/>
      <c r="AN789" s="1352"/>
      <c r="AO789" s="1352"/>
      <c r="AP789" s="1352"/>
      <c r="AQ789" s="1352"/>
      <c r="AR789" s="1352"/>
      <c r="AS789" s="1352"/>
    </row>
    <row r="790" spans="1:45" hidden="1" x14ac:dyDescent="0.2">
      <c r="A790" s="1507">
        <v>6</v>
      </c>
      <c r="B790" s="1524" t="s">
        <v>586</v>
      </c>
      <c r="C790" s="1511"/>
      <c r="D790" s="1511"/>
      <c r="E790" s="1511"/>
      <c r="F790" s="1514"/>
      <c r="G790" s="1509" t="str">
        <f t="shared" ca="1" si="53"/>
        <v/>
      </c>
      <c r="H790" s="1510" t="s">
        <v>3198</v>
      </c>
      <c r="I790" s="67"/>
      <c r="J790" s="4"/>
      <c r="K790" s="85"/>
      <c r="L790" s="1794"/>
      <c r="M790" s="1716"/>
      <c r="N790" s="250"/>
      <c r="O790" s="935"/>
      <c r="P790" s="905"/>
      <c r="Q790" s="905"/>
      <c r="R790" s="905"/>
      <c r="S790" s="905"/>
      <c r="T790" s="905"/>
      <c r="U790" s="905"/>
      <c r="V790" s="905"/>
      <c r="W790" s="248"/>
      <c r="X790" s="1600"/>
      <c r="Y790" s="1874"/>
      <c r="Z790" s="1889"/>
      <c r="AC790" s="248"/>
      <c r="AD790" s="248"/>
      <c r="AE790" s="248"/>
      <c r="AF790" s="248"/>
      <c r="AG790" s="248"/>
      <c r="AH790" s="248"/>
      <c r="AI790" s="248"/>
      <c r="AJ790" s="248"/>
      <c r="AK790" s="248"/>
      <c r="AL790" s="1352"/>
      <c r="AM790" s="1352"/>
      <c r="AN790" s="1352"/>
      <c r="AO790" s="1352"/>
      <c r="AP790" s="1352"/>
      <c r="AQ790" s="1352"/>
      <c r="AR790" s="1352"/>
      <c r="AS790" s="1352"/>
    </row>
    <row r="791" spans="1:45" hidden="1" x14ac:dyDescent="0.2">
      <c r="A791" s="1507">
        <v>6</v>
      </c>
      <c r="B791" s="1524" t="s">
        <v>586</v>
      </c>
      <c r="C791" s="1511"/>
      <c r="D791" s="1511"/>
      <c r="E791" s="1511"/>
      <c r="F791" s="1514"/>
      <c r="G791" s="1509" t="str">
        <f t="shared" ca="1" si="53"/>
        <v/>
      </c>
      <c r="H791" s="1510" t="s">
        <v>3198</v>
      </c>
      <c r="I791" s="67"/>
      <c r="J791" s="4"/>
      <c r="K791" s="85"/>
      <c r="L791" s="1810" t="s">
        <v>2658</v>
      </c>
      <c r="M791" s="1716"/>
      <c r="N791" s="250"/>
      <c r="O791" s="935"/>
      <c r="P791" s="905"/>
      <c r="Q791" s="905"/>
      <c r="R791" s="905"/>
      <c r="S791" s="905"/>
      <c r="T791" s="905"/>
      <c r="U791" s="905"/>
      <c r="V791" s="905"/>
      <c r="W791" s="248"/>
      <c r="X791" s="1600"/>
      <c r="Y791" s="1874"/>
      <c r="Z791" s="1889"/>
      <c r="AC791" s="248"/>
      <c r="AD791" s="248"/>
      <c r="AE791" s="248"/>
      <c r="AF791" s="248"/>
      <c r="AG791" s="248"/>
      <c r="AH791" s="248"/>
      <c r="AI791" s="248"/>
      <c r="AJ791" s="248"/>
      <c r="AK791" s="248"/>
      <c r="AL791" s="1352"/>
      <c r="AM791" s="1352"/>
      <c r="AN791" s="1352"/>
      <c r="AO791" s="1352"/>
      <c r="AP791" s="1352"/>
      <c r="AQ791" s="1352"/>
      <c r="AR791" s="1352"/>
      <c r="AS791" s="1352"/>
    </row>
    <row r="792" spans="1:45" hidden="1" x14ac:dyDescent="0.2">
      <c r="A792" s="1507">
        <v>6</v>
      </c>
      <c r="B792" s="1524" t="s">
        <v>586</v>
      </c>
      <c r="C792" s="1511"/>
      <c r="D792" s="1511"/>
      <c r="E792" s="1511"/>
      <c r="F792" s="1514"/>
      <c r="G792" s="1509" t="str">
        <f t="shared" ca="1" si="53"/>
        <v/>
      </c>
      <c r="H792" s="1510" t="s">
        <v>3198</v>
      </c>
      <c r="I792" s="67"/>
      <c r="J792" s="4"/>
      <c r="K792" s="85"/>
      <c r="L792" s="1811"/>
      <c r="M792" s="1716"/>
      <c r="N792" s="250"/>
      <c r="O792" s="935"/>
      <c r="P792" s="905"/>
      <c r="Q792" s="905"/>
      <c r="R792" s="905"/>
      <c r="S792" s="905"/>
      <c r="T792" s="905"/>
      <c r="U792" s="905"/>
      <c r="V792" s="905"/>
      <c r="W792" s="248"/>
      <c r="X792" s="1600"/>
      <c r="Y792" s="1874"/>
      <c r="Z792" s="1889"/>
      <c r="AC792" s="248"/>
      <c r="AD792" s="248"/>
      <c r="AE792" s="248"/>
      <c r="AF792" s="248"/>
      <c r="AG792" s="248"/>
      <c r="AH792" s="248"/>
      <c r="AI792" s="248"/>
      <c r="AJ792" s="248"/>
      <c r="AK792" s="248"/>
      <c r="AL792" s="1352"/>
      <c r="AM792" s="1352"/>
      <c r="AN792" s="1352"/>
      <c r="AO792" s="1352"/>
      <c r="AP792" s="1352"/>
      <c r="AQ792" s="1352"/>
      <c r="AR792" s="1352"/>
      <c r="AS792" s="1352"/>
    </row>
    <row r="793" spans="1:45" ht="19" x14ac:dyDescent="0.25">
      <c r="A793" s="1507">
        <v>6</v>
      </c>
      <c r="B793" s="1524">
        <v>611</v>
      </c>
      <c r="C793" s="1511"/>
      <c r="D793" s="1511"/>
      <c r="E793" s="1511"/>
      <c r="F793" s="1514"/>
      <c r="G793" s="1509" t="s">
        <v>3200</v>
      </c>
      <c r="H793" s="1510" t="s">
        <v>3197</v>
      </c>
      <c r="I793" s="1142" t="s">
        <v>5032</v>
      </c>
      <c r="J793" s="1143"/>
      <c r="K793" s="1144"/>
      <c r="L793" s="1145"/>
      <c r="M793" s="1146"/>
      <c r="N793" s="1147"/>
      <c r="O793" s="1148"/>
      <c r="P793" s="1143"/>
      <c r="Q793" s="1143"/>
      <c r="R793" s="1143"/>
      <c r="S793" s="1143"/>
      <c r="T793" s="1143"/>
      <c r="U793" s="1143"/>
      <c r="V793" s="1143"/>
      <c r="W793" s="1143"/>
      <c r="X793" s="1143"/>
      <c r="Y793" s="1143"/>
      <c r="Z793" s="1149"/>
      <c r="AC793" s="248"/>
      <c r="AD793" s="248"/>
      <c r="AE793" s="248"/>
      <c r="AF793" s="248"/>
      <c r="AG793" s="248"/>
      <c r="AH793" s="248"/>
      <c r="AI793" s="248"/>
      <c r="AJ793" s="248"/>
      <c r="AK793" s="248"/>
      <c r="AL793" s="1352"/>
      <c r="AM793" s="1352"/>
      <c r="AN793" s="1352"/>
      <c r="AO793" s="1352"/>
      <c r="AP793" s="1352"/>
      <c r="AQ793" s="1352"/>
      <c r="AR793" s="1352"/>
      <c r="AS793" s="1352"/>
    </row>
    <row r="794" spans="1:45" ht="15.75" hidden="1" customHeight="1" x14ac:dyDescent="0.2">
      <c r="A794" s="1507">
        <v>6</v>
      </c>
      <c r="B794" s="1524" t="s">
        <v>3997</v>
      </c>
      <c r="C794" s="1511"/>
      <c r="D794" s="1511"/>
      <c r="E794" s="1511"/>
      <c r="F794" s="1514"/>
      <c r="G794" s="1509" t="str">
        <f>IF(N794&gt;0,"P","")</f>
        <v/>
      </c>
      <c r="H794" s="1510" t="s">
        <v>3199</v>
      </c>
      <c r="I794" s="130" t="s">
        <v>3591</v>
      </c>
      <c r="J794" s="129"/>
      <c r="K794" s="97"/>
      <c r="L794" s="1629" t="s">
        <v>4000</v>
      </c>
      <c r="M794" s="1623">
        <v>5</v>
      </c>
      <c r="N794" s="1755">
        <f>'11.600'!O496</f>
        <v>0</v>
      </c>
      <c r="O794" s="1619">
        <f>IF(W800+W811*2&gt;=10,5,0)</f>
        <v>0</v>
      </c>
      <c r="P794" s="1135"/>
      <c r="Q794" s="1135"/>
      <c r="R794" s="1135"/>
      <c r="S794" s="1135"/>
      <c r="T794" s="1135"/>
      <c r="U794" s="1135"/>
      <c r="V794" s="1135"/>
      <c r="W794" s="1135"/>
      <c r="X794" s="1135"/>
      <c r="Z794" s="670"/>
      <c r="AC794" s="248"/>
      <c r="AD794" s="248"/>
      <c r="AE794" s="248"/>
      <c r="AF794" s="248"/>
      <c r="AG794" s="248"/>
      <c r="AH794" s="248"/>
      <c r="AI794" s="248"/>
      <c r="AJ794" s="248"/>
      <c r="AK794" s="248"/>
      <c r="AL794" s="1352" t="str">
        <f>SUBSTITUTE(SUBSTITUTE(SUBSTITUTE("vpa"&amp;$B794&amp;$C794&amp;$D794&amp;$E794&amp;$F794,".","_"),"(","_"),")","")</f>
        <v>vpa611_1</v>
      </c>
      <c r="AM794" s="1352">
        <f>M794</f>
        <v>5</v>
      </c>
      <c r="AN794" s="1352" t="str">
        <f>SUBSTITUTE(SUBSTITUTE(SUBSTITUTE("vpc"&amp;$B794&amp;$C794&amp;$D794&amp;$E794&amp;$F794,".","_"),"(","_"),")","")</f>
        <v>vpc611_1</v>
      </c>
      <c r="AO794" s="1352">
        <f>O794</f>
        <v>0</v>
      </c>
      <c r="AP794" s="1352"/>
      <c r="AQ794" s="1352"/>
      <c r="AR794" s="1352"/>
      <c r="AS794" s="1352"/>
    </row>
    <row r="795" spans="1:45" hidden="1" x14ac:dyDescent="0.2">
      <c r="A795" s="1507">
        <v>6</v>
      </c>
      <c r="B795" s="1524" t="s">
        <v>3997</v>
      </c>
      <c r="C795" s="1511"/>
      <c r="D795" s="1511"/>
      <c r="E795" s="1511"/>
      <c r="F795" s="1514"/>
      <c r="G795" s="1509" t="str">
        <f t="shared" ref="G795:G815" si="54">G794</f>
        <v/>
      </c>
      <c r="H795" s="1510" t="s">
        <v>3199</v>
      </c>
      <c r="I795" s="130"/>
      <c r="J795" s="129"/>
      <c r="K795" s="97"/>
      <c r="L795" s="1629"/>
      <c r="M795" s="1623"/>
      <c r="N795" s="1755"/>
      <c r="O795" s="1619"/>
      <c r="P795" s="991"/>
      <c r="Q795" s="991"/>
      <c r="R795" s="991"/>
      <c r="S795" s="991"/>
      <c r="T795" s="991"/>
      <c r="U795" s="991"/>
      <c r="V795" s="991"/>
      <c r="W795" s="96"/>
      <c r="X795" s="96"/>
      <c r="Z795" s="670"/>
      <c r="AC795" s="248"/>
      <c r="AD795" s="248"/>
      <c r="AE795" s="248"/>
      <c r="AF795" s="248"/>
      <c r="AG795" s="248"/>
      <c r="AH795" s="248"/>
      <c r="AI795" s="248"/>
      <c r="AJ795" s="248"/>
      <c r="AK795" s="248"/>
      <c r="AL795" s="1352"/>
      <c r="AM795" s="1352"/>
      <c r="AN795" s="1352"/>
      <c r="AO795" s="1352"/>
      <c r="AP795" s="1352"/>
      <c r="AQ795" s="1352"/>
      <c r="AR795" s="1352"/>
      <c r="AS795" s="1352"/>
    </row>
    <row r="796" spans="1:45" hidden="1" x14ac:dyDescent="0.2">
      <c r="A796" s="1507">
        <v>6</v>
      </c>
      <c r="B796" s="1524" t="s">
        <v>3997</v>
      </c>
      <c r="C796" s="1511"/>
      <c r="D796" s="1511"/>
      <c r="E796" s="1511"/>
      <c r="F796" s="1514"/>
      <c r="G796" s="1509" t="str">
        <f t="shared" si="54"/>
        <v/>
      </c>
      <c r="H796" s="1510" t="s">
        <v>3199</v>
      </c>
      <c r="I796" s="130"/>
      <c r="J796" s="129"/>
      <c r="K796" s="97"/>
      <c r="L796" s="1629"/>
      <c r="M796" s="1623"/>
      <c r="N796" s="1755"/>
      <c r="O796" s="1619"/>
      <c r="P796" s="991"/>
      <c r="Q796" s="991"/>
      <c r="R796" s="991"/>
      <c r="S796" s="991"/>
      <c r="T796" s="991"/>
      <c r="U796" s="991"/>
      <c r="V796" s="991"/>
      <c r="W796" s="96"/>
      <c r="X796" s="96"/>
      <c r="Z796" s="670"/>
      <c r="AC796" s="248"/>
      <c r="AD796" s="248"/>
      <c r="AE796" s="248"/>
      <c r="AF796" s="248"/>
      <c r="AG796" s="248"/>
      <c r="AH796" s="248"/>
      <c r="AI796" s="248"/>
      <c r="AJ796" s="248"/>
      <c r="AK796" s="248"/>
      <c r="AL796" s="1352"/>
      <c r="AM796" s="1352"/>
      <c r="AN796" s="1352"/>
      <c r="AO796" s="1352"/>
      <c r="AP796" s="1352"/>
      <c r="AQ796" s="1352"/>
      <c r="AR796" s="1352"/>
      <c r="AS796" s="1352"/>
    </row>
    <row r="797" spans="1:45" hidden="1" x14ac:dyDescent="0.2">
      <c r="A797" s="1507">
        <v>6</v>
      </c>
      <c r="B797" s="1524" t="s">
        <v>3997</v>
      </c>
      <c r="C797" s="1511"/>
      <c r="D797" s="1511"/>
      <c r="E797" s="1511"/>
      <c r="F797" s="1514"/>
      <c r="G797" s="1509" t="str">
        <f t="shared" si="54"/>
        <v/>
      </c>
      <c r="H797" s="1510" t="s">
        <v>3199</v>
      </c>
      <c r="I797" s="130"/>
      <c r="J797" s="129"/>
      <c r="K797" s="97"/>
      <c r="L797" s="1629"/>
      <c r="M797" s="1623"/>
      <c r="N797" s="1755"/>
      <c r="O797" s="1619"/>
      <c r="P797" s="991"/>
      <c r="Q797" s="991"/>
      <c r="R797" s="991"/>
      <c r="S797" s="991"/>
      <c r="T797" s="991"/>
      <c r="U797" s="991"/>
      <c r="V797" s="991"/>
      <c r="W797" s="96"/>
      <c r="X797" s="96"/>
      <c r="Z797" s="670"/>
      <c r="AC797" s="248"/>
      <c r="AD797" s="248"/>
      <c r="AE797" s="248"/>
      <c r="AF797" s="248"/>
      <c r="AG797" s="248"/>
      <c r="AH797" s="248"/>
      <c r="AI797" s="248"/>
      <c r="AJ797" s="248"/>
      <c r="AK797" s="248"/>
      <c r="AL797" s="1352"/>
      <c r="AM797" s="1352"/>
      <c r="AN797" s="1352"/>
      <c r="AO797" s="1352"/>
      <c r="AP797" s="1352"/>
      <c r="AQ797" s="1352"/>
      <c r="AR797" s="1352"/>
      <c r="AS797" s="1352"/>
    </row>
    <row r="798" spans="1:45" hidden="1" x14ac:dyDescent="0.2">
      <c r="A798" s="1507">
        <v>6</v>
      </c>
      <c r="B798" s="1524" t="s">
        <v>3997</v>
      </c>
      <c r="C798" s="1511"/>
      <c r="D798" s="1511"/>
      <c r="E798" s="1511"/>
      <c r="F798" s="1514"/>
      <c r="G798" s="1509" t="str">
        <f t="shared" si="54"/>
        <v/>
      </c>
      <c r="H798" s="1510" t="s">
        <v>3199</v>
      </c>
      <c r="I798" s="219"/>
      <c r="J798" s="213"/>
      <c r="K798" s="170"/>
      <c r="L798" s="1696"/>
      <c r="M798" s="1624"/>
      <c r="N798" s="1756"/>
      <c r="O798" s="1620"/>
      <c r="P798" s="991"/>
      <c r="Q798" s="991"/>
      <c r="R798" s="991"/>
      <c r="S798" s="991"/>
      <c r="T798" s="991"/>
      <c r="U798" s="991"/>
      <c r="V798" s="991"/>
      <c r="W798" s="96"/>
      <c r="X798" s="96"/>
      <c r="Z798" s="670"/>
      <c r="AC798" s="248"/>
      <c r="AD798" s="248"/>
      <c r="AE798" s="248"/>
      <c r="AF798" s="248"/>
      <c r="AG798" s="248"/>
      <c r="AH798" s="248"/>
      <c r="AI798" s="248"/>
      <c r="AJ798" s="248"/>
      <c r="AK798" s="248"/>
      <c r="AL798" s="1352"/>
      <c r="AM798" s="1352"/>
      <c r="AN798" s="1352"/>
      <c r="AO798" s="1352"/>
      <c r="AP798" s="1352"/>
      <c r="AQ798" s="1352"/>
      <c r="AR798" s="1352"/>
      <c r="AS798" s="1352"/>
    </row>
    <row r="799" spans="1:45" ht="15" hidden="1" customHeight="1" x14ac:dyDescent="0.2">
      <c r="A799" s="1507">
        <v>6</v>
      </c>
      <c r="B799" s="1524" t="s">
        <v>3998</v>
      </c>
      <c r="C799" s="1511"/>
      <c r="D799" s="1511"/>
      <c r="E799" s="1511"/>
      <c r="F799" s="1514"/>
      <c r="G799" s="1509" t="str">
        <f t="shared" si="54"/>
        <v/>
      </c>
      <c r="H799" s="1510" t="s">
        <v>3199</v>
      </c>
      <c r="I799" s="67" t="s">
        <v>3995</v>
      </c>
      <c r="J799" s="4"/>
      <c r="K799" s="85"/>
      <c r="L799" s="1725" t="s">
        <v>4001</v>
      </c>
      <c r="M799" s="911"/>
      <c r="N799" s="250"/>
      <c r="O799" s="935"/>
      <c r="P799" s="905"/>
      <c r="Q799" s="905"/>
      <c r="R799" s="905"/>
      <c r="S799" s="905"/>
      <c r="T799" s="905"/>
      <c r="U799" s="905"/>
      <c r="V799" s="905"/>
      <c r="W799" s="248" t="s">
        <v>2676</v>
      </c>
      <c r="X799" s="1600"/>
      <c r="Y799" s="1874" t="str">
        <f>IF(LEN('11.600'!X501)=0,"None",'11.600'!X501)</f>
        <v>None</v>
      </c>
      <c r="Z799" s="1889"/>
      <c r="AC799" s="248"/>
      <c r="AD799" s="248"/>
      <c r="AE799" s="248"/>
      <c r="AF799" s="248"/>
      <c r="AG799" s="248"/>
      <c r="AH799" s="248"/>
      <c r="AI799" s="248"/>
      <c r="AJ799" s="248"/>
      <c r="AK799" s="248"/>
      <c r="AL799" s="1352"/>
      <c r="AM799" s="1352"/>
      <c r="AN799" s="1352"/>
      <c r="AO799" s="1352"/>
      <c r="AP799" s="1352"/>
      <c r="AQ799" s="1352"/>
      <c r="AR799" s="1352" t="str">
        <f>SUBSTITUTE(SUBSTITUTE(SUBSTITUTE("vnt"&amp;$B799&amp;$C799&amp;$D799&amp;$E799&amp;$F799,".","_"),"(","_"),")","")</f>
        <v>vnt611_1_1</v>
      </c>
      <c r="AS799" s="1352" t="str">
        <f>IF(LEN(X799)=0,"",X799)</f>
        <v/>
      </c>
    </row>
    <row r="800" spans="1:45" hidden="1" x14ac:dyDescent="0.2">
      <c r="A800" s="1507">
        <v>6</v>
      </c>
      <c r="B800" s="1524" t="s">
        <v>3998</v>
      </c>
      <c r="C800" s="1511"/>
      <c r="D800" s="1511"/>
      <c r="E800" s="1511"/>
      <c r="F800" s="1514"/>
      <c r="G800" s="1509" t="str">
        <f t="shared" si="54"/>
        <v/>
      </c>
      <c r="H800" s="1510" t="s">
        <v>3199</v>
      </c>
      <c r="I800" s="67"/>
      <c r="J800" s="4"/>
      <c r="K800" s="85"/>
      <c r="L800" s="1725"/>
      <c r="M800" s="911"/>
      <c r="N800" s="250"/>
      <c r="O800" s="935"/>
      <c r="P800" s="905" t="b">
        <v>0</v>
      </c>
      <c r="Q800" s="905" t="b">
        <v>1</v>
      </c>
      <c r="R800" s="905" t="b">
        <v>0</v>
      </c>
      <c r="S800" s="905" t="b">
        <v>1</v>
      </c>
      <c r="T800" s="905" t="b">
        <v>0</v>
      </c>
      <c r="U800" s="905"/>
      <c r="V800" s="905"/>
      <c r="W800" s="168"/>
      <c r="X800" s="1600"/>
      <c r="Y800" s="1874"/>
      <c r="Z800" s="1889"/>
      <c r="AC800" s="248" t="b">
        <f>OR(AD800:AE800)</f>
        <v>0</v>
      </c>
      <c r="AD800" s="617" t="b">
        <f>T800</f>
        <v>0</v>
      </c>
      <c r="AE800" s="248" t="b">
        <f>AND(W800&gt;0,LEN(X799)=0)</f>
        <v>0</v>
      </c>
      <c r="AF800" s="720"/>
      <c r="AG800" s="248"/>
      <c r="AH800" s="248"/>
      <c r="AI800" s="248"/>
      <c r="AJ800" s="248"/>
      <c r="AK800" s="248"/>
      <c r="AL800" s="1352"/>
      <c r="AM800" s="1352"/>
      <c r="AN800" s="1352"/>
      <c r="AO800" s="1352"/>
      <c r="AP800" s="1352" t="str">
        <f>SUBSTITUTE(SUBSTITUTE(SUBSTITUTE("vch"&amp;$B800&amp;$C800&amp;$D800&amp;$E800&amp;$F800,".","_"),"(","_"),")","")</f>
        <v>vch611_1_1</v>
      </c>
      <c r="AQ800" s="1352" t="str">
        <f>IF(LEN(W800)=0,"",W800)</f>
        <v/>
      </c>
      <c r="AR800" s="1352"/>
      <c r="AS800" s="1352"/>
    </row>
    <row r="801" spans="1:45" hidden="1" x14ac:dyDescent="0.2">
      <c r="A801" s="1507">
        <v>6</v>
      </c>
      <c r="B801" s="1524" t="s">
        <v>3998</v>
      </c>
      <c r="C801" s="1511"/>
      <c r="D801" s="1511"/>
      <c r="E801" s="1511"/>
      <c r="F801" s="1514"/>
      <c r="G801" s="1509" t="str">
        <f t="shared" si="54"/>
        <v/>
      </c>
      <c r="H801" s="1510" t="s">
        <v>3199</v>
      </c>
      <c r="I801" s="67"/>
      <c r="J801" s="4"/>
      <c r="K801" s="85"/>
      <c r="L801" s="1725"/>
      <c r="M801" s="911"/>
      <c r="N801" s="250"/>
      <c r="O801" s="935"/>
      <c r="P801" s="905"/>
      <c r="Q801" s="905"/>
      <c r="R801" s="905"/>
      <c r="S801" s="905"/>
      <c r="T801" s="905"/>
      <c r="U801" s="905"/>
      <c r="V801" s="905"/>
      <c r="W801" s="248"/>
      <c r="X801" s="1600"/>
      <c r="Y801" s="1874"/>
      <c r="Z801" s="1889"/>
      <c r="AC801" s="248"/>
      <c r="AD801" s="248"/>
      <c r="AE801" s="248"/>
      <c r="AF801" s="248"/>
      <c r="AG801" s="248"/>
      <c r="AH801" s="248"/>
      <c r="AI801" s="248"/>
      <c r="AJ801" s="248"/>
      <c r="AK801" s="248"/>
      <c r="AL801" s="1352"/>
      <c r="AM801" s="1352"/>
      <c r="AN801" s="1352"/>
      <c r="AO801" s="1352"/>
      <c r="AP801" s="1352"/>
      <c r="AQ801" s="1352"/>
      <c r="AR801" s="1352"/>
      <c r="AS801" s="1352"/>
    </row>
    <row r="802" spans="1:45" hidden="1" x14ac:dyDescent="0.2">
      <c r="A802" s="1507">
        <v>6</v>
      </c>
      <c r="B802" s="1524" t="s">
        <v>3998</v>
      </c>
      <c r="C802" s="1511"/>
      <c r="D802" s="1511"/>
      <c r="E802" s="1511"/>
      <c r="F802" s="1514"/>
      <c r="G802" s="1509" t="str">
        <f t="shared" si="54"/>
        <v/>
      </c>
      <c r="H802" s="1510" t="s">
        <v>3199</v>
      </c>
      <c r="I802" s="67"/>
      <c r="J802" s="4"/>
      <c r="K802" s="85"/>
      <c r="L802" s="1725"/>
      <c r="M802" s="911"/>
      <c r="N802" s="250"/>
      <c r="O802" s="935"/>
      <c r="P802" s="905"/>
      <c r="Q802" s="905"/>
      <c r="R802" s="905"/>
      <c r="S802" s="905"/>
      <c r="T802" s="905"/>
      <c r="U802" s="905"/>
      <c r="V802" s="905"/>
      <c r="W802" s="248"/>
      <c r="X802" s="1600"/>
      <c r="Y802" s="1874"/>
      <c r="Z802" s="1889"/>
      <c r="AC802" s="248"/>
      <c r="AD802" s="248"/>
      <c r="AE802" s="248"/>
      <c r="AF802" s="248"/>
      <c r="AG802" s="248"/>
      <c r="AH802" s="248"/>
      <c r="AI802" s="248"/>
      <c r="AJ802" s="248"/>
      <c r="AK802" s="248"/>
      <c r="AL802" s="1352"/>
      <c r="AM802" s="1352"/>
      <c r="AN802" s="1352"/>
      <c r="AO802" s="1352"/>
      <c r="AP802" s="1352"/>
      <c r="AQ802" s="1352"/>
      <c r="AR802" s="1352"/>
      <c r="AS802" s="1352"/>
    </row>
    <row r="803" spans="1:45" hidden="1" x14ac:dyDescent="0.2">
      <c r="A803" s="1507">
        <v>6</v>
      </c>
      <c r="B803" s="1524" t="s">
        <v>3998</v>
      </c>
      <c r="C803" s="1511"/>
      <c r="D803" s="1511"/>
      <c r="E803" s="1511"/>
      <c r="F803" s="1514"/>
      <c r="G803" s="1509" t="str">
        <f t="shared" si="54"/>
        <v/>
      </c>
      <c r="H803" s="1510" t="s">
        <v>3199</v>
      </c>
      <c r="I803" s="67"/>
      <c r="J803" s="4"/>
      <c r="K803" s="85"/>
      <c r="L803" s="1725"/>
      <c r="M803" s="911"/>
      <c r="N803" s="250"/>
      <c r="O803" s="935"/>
      <c r="P803" s="905"/>
      <c r="Q803" s="905"/>
      <c r="R803" s="905"/>
      <c r="S803" s="905"/>
      <c r="T803" s="905"/>
      <c r="U803" s="905"/>
      <c r="V803" s="905"/>
      <c r="W803" s="248"/>
      <c r="X803" s="1600"/>
      <c r="Y803" s="1874"/>
      <c r="Z803" s="1889"/>
      <c r="AC803" s="248"/>
      <c r="AD803" s="248"/>
      <c r="AE803" s="248"/>
      <c r="AF803" s="248"/>
      <c r="AG803" s="248"/>
      <c r="AH803" s="248"/>
      <c r="AI803" s="248"/>
      <c r="AJ803" s="248"/>
      <c r="AK803" s="248"/>
      <c r="AL803" s="1352"/>
      <c r="AM803" s="1352"/>
      <c r="AN803" s="1352"/>
      <c r="AO803" s="1352"/>
      <c r="AP803" s="1352"/>
      <c r="AQ803" s="1352"/>
      <c r="AR803" s="1352"/>
      <c r="AS803" s="1352"/>
    </row>
    <row r="804" spans="1:45" hidden="1" x14ac:dyDescent="0.2">
      <c r="A804" s="1507">
        <v>6</v>
      </c>
      <c r="B804" s="1524" t="s">
        <v>3998</v>
      </c>
      <c r="C804" s="1511"/>
      <c r="D804" s="1511"/>
      <c r="E804" s="1511"/>
      <c r="F804" s="1514"/>
      <c r="G804" s="1509" t="str">
        <f t="shared" si="54"/>
        <v/>
      </c>
      <c r="H804" s="1510" t="s">
        <v>3199</v>
      </c>
      <c r="I804" s="67"/>
      <c r="J804" s="4"/>
      <c r="K804" s="85"/>
      <c r="L804" s="1725"/>
      <c r="M804" s="911"/>
      <c r="N804" s="250"/>
      <c r="O804" s="935"/>
      <c r="P804" s="905"/>
      <c r="Q804" s="905"/>
      <c r="R804" s="905"/>
      <c r="S804" s="905"/>
      <c r="T804" s="905"/>
      <c r="U804" s="905"/>
      <c r="V804" s="905"/>
      <c r="W804" s="248"/>
      <c r="X804" s="1600"/>
      <c r="Y804" s="1874"/>
      <c r="Z804" s="1889"/>
      <c r="AC804" s="248"/>
      <c r="AD804" s="248"/>
      <c r="AE804" s="248"/>
      <c r="AF804" s="248"/>
      <c r="AG804" s="248"/>
      <c r="AH804" s="248"/>
      <c r="AI804" s="248"/>
      <c r="AJ804" s="248"/>
      <c r="AK804" s="248"/>
      <c r="AL804" s="1352"/>
      <c r="AM804" s="1352"/>
      <c r="AN804" s="1352"/>
      <c r="AO804" s="1352"/>
      <c r="AP804" s="1352"/>
      <c r="AQ804" s="1352"/>
      <c r="AR804" s="1352"/>
      <c r="AS804" s="1352"/>
    </row>
    <row r="805" spans="1:45" s="905" customFormat="1" hidden="1" x14ac:dyDescent="0.2">
      <c r="A805" s="1507">
        <v>6</v>
      </c>
      <c r="B805" s="1524" t="s">
        <v>3998</v>
      </c>
      <c r="C805" s="1511"/>
      <c r="D805" s="1511"/>
      <c r="E805" s="1511"/>
      <c r="F805" s="1514"/>
      <c r="G805" s="1509" t="str">
        <f t="shared" si="54"/>
        <v/>
      </c>
      <c r="H805" s="1510" t="s">
        <v>3199</v>
      </c>
      <c r="I805" s="67"/>
      <c r="J805" s="4"/>
      <c r="K805" s="85"/>
      <c r="L805" s="1725"/>
      <c r="M805" s="911"/>
      <c r="N805" s="930"/>
      <c r="O805" s="935"/>
      <c r="X805" s="1600"/>
      <c r="Y805" s="1874"/>
      <c r="Z805" s="1889"/>
      <c r="AL805" s="1352"/>
      <c r="AM805" s="1352"/>
      <c r="AN805" s="1352"/>
      <c r="AO805" s="1352"/>
      <c r="AP805" s="1352"/>
      <c r="AQ805" s="1352"/>
      <c r="AR805" s="1352"/>
      <c r="AS805" s="1352"/>
    </row>
    <row r="806" spans="1:45" hidden="1" x14ac:dyDescent="0.2">
      <c r="A806" s="1507">
        <v>6</v>
      </c>
      <c r="B806" s="1524" t="s">
        <v>3998</v>
      </c>
      <c r="C806" s="1511"/>
      <c r="D806" s="1511"/>
      <c r="E806" s="1511"/>
      <c r="F806" s="1514"/>
      <c r="G806" s="1509" t="str">
        <f>G804</f>
        <v/>
      </c>
      <c r="H806" s="1510" t="s">
        <v>3199</v>
      </c>
      <c r="I806" s="67"/>
      <c r="J806" s="4"/>
      <c r="K806" s="85"/>
      <c r="L806" s="1725"/>
      <c r="M806" s="911"/>
      <c r="N806" s="250"/>
      <c r="O806" s="935"/>
      <c r="P806" s="905"/>
      <c r="Q806" s="905"/>
      <c r="R806" s="905"/>
      <c r="S806" s="905"/>
      <c r="T806" s="905"/>
      <c r="U806" s="905"/>
      <c r="V806" s="905"/>
      <c r="W806" s="248"/>
      <c r="X806" s="1600"/>
      <c r="Y806" s="1874"/>
      <c r="Z806" s="1889"/>
      <c r="AC806" s="248"/>
      <c r="AD806" s="248"/>
      <c r="AE806" s="248"/>
      <c r="AF806" s="248"/>
      <c r="AG806" s="248"/>
      <c r="AH806" s="248"/>
      <c r="AI806" s="248"/>
      <c r="AJ806" s="248"/>
      <c r="AK806" s="248"/>
      <c r="AL806" s="1352"/>
      <c r="AM806" s="1352"/>
      <c r="AN806" s="1352"/>
      <c r="AO806" s="1352"/>
      <c r="AP806" s="1352"/>
      <c r="AQ806" s="1352"/>
      <c r="AR806" s="1352"/>
      <c r="AS806" s="1352"/>
    </row>
    <row r="807" spans="1:45" hidden="1" x14ac:dyDescent="0.2">
      <c r="A807" s="1507">
        <v>6</v>
      </c>
      <c r="B807" s="1524" t="s">
        <v>3998</v>
      </c>
      <c r="C807" s="1511"/>
      <c r="D807" s="1511"/>
      <c r="E807" s="1511"/>
      <c r="F807" s="1514"/>
      <c r="G807" s="1509" t="str">
        <f t="shared" si="54"/>
        <v/>
      </c>
      <c r="H807" s="1510" t="s">
        <v>3199</v>
      </c>
      <c r="I807" s="67"/>
      <c r="J807" s="4"/>
      <c r="K807" s="85"/>
      <c r="L807" s="1725"/>
      <c r="M807" s="911"/>
      <c r="N807" s="250"/>
      <c r="O807" s="935"/>
      <c r="P807" s="905"/>
      <c r="Q807" s="905"/>
      <c r="R807" s="905"/>
      <c r="S807" s="905"/>
      <c r="T807" s="905"/>
      <c r="U807" s="905"/>
      <c r="V807" s="905"/>
      <c r="W807" s="248"/>
      <c r="X807" s="1600"/>
      <c r="Y807" s="1874"/>
      <c r="Z807" s="1889"/>
      <c r="AC807" s="248"/>
      <c r="AD807" s="248"/>
      <c r="AE807" s="248"/>
      <c r="AF807" s="248"/>
      <c r="AG807" s="248"/>
      <c r="AH807" s="248"/>
      <c r="AI807" s="248"/>
      <c r="AJ807" s="248"/>
      <c r="AK807" s="248"/>
      <c r="AL807" s="1352"/>
      <c r="AM807" s="1352"/>
      <c r="AN807" s="1352"/>
      <c r="AO807" s="1352"/>
      <c r="AP807" s="1352"/>
      <c r="AQ807" s="1352"/>
      <c r="AR807" s="1352"/>
      <c r="AS807" s="1352"/>
    </row>
    <row r="808" spans="1:45" hidden="1" x14ac:dyDescent="0.2">
      <c r="A808" s="1507">
        <v>6</v>
      </c>
      <c r="B808" s="1524" t="s">
        <v>3998</v>
      </c>
      <c r="C808" s="1511"/>
      <c r="D808" s="1511"/>
      <c r="E808" s="1511"/>
      <c r="F808" s="1514"/>
      <c r="G808" s="1509" t="str">
        <f t="shared" si="54"/>
        <v/>
      </c>
      <c r="H808" s="1510" t="s">
        <v>3199</v>
      </c>
      <c r="I808" s="219"/>
      <c r="J808" s="213"/>
      <c r="K808" s="170"/>
      <c r="L808" s="951" t="s">
        <v>2678</v>
      </c>
      <c r="M808" s="911"/>
      <c r="N808" s="250"/>
      <c r="O808" s="935"/>
      <c r="P808" s="905"/>
      <c r="Q808" s="905"/>
      <c r="R808" s="905"/>
      <c r="S808" s="905"/>
      <c r="T808" s="905"/>
      <c r="U808" s="905"/>
      <c r="V808" s="905"/>
      <c r="W808" s="248"/>
      <c r="X808" s="1600"/>
      <c r="Y808" s="1874"/>
      <c r="Z808" s="1889"/>
      <c r="AC808" s="248"/>
      <c r="AD808" s="248"/>
      <c r="AE808" s="248"/>
      <c r="AF808" s="248"/>
      <c r="AG808" s="248"/>
      <c r="AH808" s="248"/>
      <c r="AI808" s="248"/>
      <c r="AJ808" s="248"/>
      <c r="AK808" s="248"/>
      <c r="AL808" s="1352"/>
      <c r="AM808" s="1352"/>
      <c r="AN808" s="1352"/>
      <c r="AO808" s="1352"/>
      <c r="AP808" s="1352"/>
      <c r="AQ808" s="1352"/>
      <c r="AR808" s="1352"/>
      <c r="AS808" s="1352"/>
    </row>
    <row r="809" spans="1:45" ht="15" hidden="1" customHeight="1" x14ac:dyDescent="0.2">
      <c r="A809" s="1507">
        <v>6</v>
      </c>
      <c r="B809" s="1524" t="s">
        <v>3999</v>
      </c>
      <c r="C809" s="1511"/>
      <c r="D809" s="1511"/>
      <c r="E809" s="1511"/>
      <c r="F809" s="1514"/>
      <c r="G809" s="1509" t="str">
        <f t="shared" si="54"/>
        <v/>
      </c>
      <c r="H809" s="1510" t="s">
        <v>3199</v>
      </c>
      <c r="I809" s="130" t="s">
        <v>3996</v>
      </c>
      <c r="J809" s="129"/>
      <c r="K809" s="97"/>
      <c r="L809" s="1647" t="s">
        <v>4002</v>
      </c>
      <c r="M809" s="913"/>
      <c r="N809" s="251"/>
      <c r="O809" s="908"/>
      <c r="P809" s="991"/>
      <c r="Q809" s="991"/>
      <c r="R809" s="991"/>
      <c r="S809" s="991"/>
      <c r="T809" s="991"/>
      <c r="U809" s="991"/>
      <c r="V809" s="991"/>
      <c r="W809" s="1724" t="s">
        <v>2677</v>
      </c>
      <c r="X809" s="1601"/>
      <c r="Y809" s="1881" t="str">
        <f>IF(LEN('11.600'!X511)=0,"None",'11.600'!X511)</f>
        <v>None</v>
      </c>
      <c r="Z809" s="1891"/>
      <c r="AC809" s="248"/>
      <c r="AD809" s="248"/>
      <c r="AE809" s="248"/>
      <c r="AF809" s="248"/>
      <c r="AG809" s="248"/>
      <c r="AH809" s="248"/>
      <c r="AI809" s="248"/>
      <c r="AJ809" s="248"/>
      <c r="AK809" s="248"/>
      <c r="AL809" s="1352"/>
      <c r="AM809" s="1352"/>
      <c r="AN809" s="1352"/>
      <c r="AO809" s="1352"/>
      <c r="AP809" s="1352"/>
      <c r="AQ809" s="1352"/>
      <c r="AR809" s="1352" t="str">
        <f>SUBSTITUTE(SUBSTITUTE(SUBSTITUTE("vnt"&amp;$B809&amp;$C809&amp;$D809&amp;$E809&amp;$F809,".","_"),"(","_"),")","")</f>
        <v>vnt611_1_2</v>
      </c>
      <c r="AS809" s="1352" t="str">
        <f>IF(LEN(X809)=0,"",X809)</f>
        <v/>
      </c>
    </row>
    <row r="810" spans="1:45" hidden="1" x14ac:dyDescent="0.2">
      <c r="A810" s="1507">
        <v>6</v>
      </c>
      <c r="B810" s="1524" t="s">
        <v>3999</v>
      </c>
      <c r="C810" s="1511"/>
      <c r="D810" s="1511"/>
      <c r="E810" s="1511"/>
      <c r="F810" s="1514"/>
      <c r="G810" s="1509" t="str">
        <f t="shared" si="54"/>
        <v/>
      </c>
      <c r="H810" s="1510" t="s">
        <v>3199</v>
      </c>
      <c r="I810" s="130"/>
      <c r="J810" s="129"/>
      <c r="K810" s="97"/>
      <c r="L810" s="1647"/>
      <c r="M810" s="913"/>
      <c r="N810" s="251"/>
      <c r="O810" s="908"/>
      <c r="P810" s="991"/>
      <c r="Q810" s="991"/>
      <c r="R810" s="991"/>
      <c r="S810" s="991"/>
      <c r="T810" s="991"/>
      <c r="U810" s="991"/>
      <c r="V810" s="991"/>
      <c r="W810" s="1724"/>
      <c r="X810" s="1601"/>
      <c r="Y810" s="1881"/>
      <c r="Z810" s="1891"/>
      <c r="AC810" s="248"/>
      <c r="AD810" s="248"/>
      <c r="AE810" s="248"/>
      <c r="AF810" s="248"/>
      <c r="AG810" s="248"/>
      <c r="AH810" s="248"/>
      <c r="AI810" s="248"/>
      <c r="AJ810" s="248"/>
      <c r="AK810" s="248"/>
      <c r="AL810" s="1352"/>
      <c r="AM810" s="1352"/>
      <c r="AN810" s="1352"/>
      <c r="AO810" s="1352"/>
      <c r="AP810" s="1352"/>
      <c r="AQ810" s="1352"/>
      <c r="AR810" s="1352"/>
      <c r="AS810" s="1352"/>
    </row>
    <row r="811" spans="1:45" hidden="1" x14ac:dyDescent="0.2">
      <c r="A811" s="1507">
        <v>6</v>
      </c>
      <c r="B811" s="1524" t="s">
        <v>3999</v>
      </c>
      <c r="C811" s="1511"/>
      <c r="D811" s="1511"/>
      <c r="E811" s="1511"/>
      <c r="F811" s="1514"/>
      <c r="G811" s="1509" t="str">
        <f t="shared" si="54"/>
        <v/>
      </c>
      <c r="H811" s="1510" t="s">
        <v>3199</v>
      </c>
      <c r="I811" s="130"/>
      <c r="J811" s="129"/>
      <c r="K811" s="97"/>
      <c r="L811" s="1647"/>
      <c r="M811" s="913"/>
      <c r="N811" s="251"/>
      <c r="O811" s="908"/>
      <c r="P811" s="905" t="b">
        <v>0</v>
      </c>
      <c r="Q811" s="905" t="b">
        <v>1</v>
      </c>
      <c r="R811" s="991" t="b">
        <v>0</v>
      </c>
      <c r="S811" s="991" t="b">
        <v>1</v>
      </c>
      <c r="T811" s="991" t="b">
        <v>0</v>
      </c>
      <c r="U811" s="991"/>
      <c r="V811" s="991"/>
      <c r="W811" s="200"/>
      <c r="X811" s="1601"/>
      <c r="Y811" s="1881"/>
      <c r="Z811" s="1891"/>
      <c r="AC811" s="248" t="b">
        <f>OR(AD811:AE811)</f>
        <v>0</v>
      </c>
      <c r="AD811" s="617" t="b">
        <f>T811</f>
        <v>0</v>
      </c>
      <c r="AE811" s="248" t="b">
        <f>AND(W811&gt;0,LEN(X809)=0)</f>
        <v>0</v>
      </c>
      <c r="AF811" s="720"/>
      <c r="AG811" s="248"/>
      <c r="AH811" s="248"/>
      <c r="AI811" s="248"/>
      <c r="AJ811" s="248"/>
      <c r="AK811" s="248"/>
      <c r="AL811" s="1352"/>
      <c r="AM811" s="1352"/>
      <c r="AN811" s="1352"/>
      <c r="AO811" s="1352"/>
      <c r="AP811" s="1352" t="str">
        <f>SUBSTITUTE(SUBSTITUTE(SUBSTITUTE("vch"&amp;$B811&amp;$C811&amp;$D811&amp;$E811&amp;$F811,".","_"),"(","_"),")","")</f>
        <v>vch611_1_2</v>
      </c>
      <c r="AQ811" s="1352" t="str">
        <f>IF(LEN(W811)=0,"",W811)</f>
        <v/>
      </c>
      <c r="AR811" s="1352"/>
      <c r="AS811" s="1352"/>
    </row>
    <row r="812" spans="1:45" hidden="1" x14ac:dyDescent="0.2">
      <c r="A812" s="1507">
        <v>6</v>
      </c>
      <c r="B812" s="1524" t="s">
        <v>3999</v>
      </c>
      <c r="C812" s="1511"/>
      <c r="D812" s="1511"/>
      <c r="E812" s="1511"/>
      <c r="F812" s="1514"/>
      <c r="G812" s="1509" t="str">
        <f t="shared" si="54"/>
        <v/>
      </c>
      <c r="H812" s="1510" t="s">
        <v>3199</v>
      </c>
      <c r="I812" s="130"/>
      <c r="J812" s="129"/>
      <c r="K812" s="97"/>
      <c r="L812" s="1647"/>
      <c r="M812" s="913"/>
      <c r="N812" s="251"/>
      <c r="O812" s="908"/>
      <c r="P812" s="991"/>
      <c r="Q812" s="991"/>
      <c r="R812" s="991"/>
      <c r="S812" s="991"/>
      <c r="T812" s="991"/>
      <c r="U812" s="991"/>
      <c r="V812" s="991"/>
      <c r="W812" s="96"/>
      <c r="X812" s="1601"/>
      <c r="Y812" s="1881"/>
      <c r="Z812" s="1891"/>
      <c r="AL812" s="1352"/>
      <c r="AM812" s="1352"/>
      <c r="AN812" s="1352"/>
      <c r="AO812" s="1352"/>
      <c r="AP812" s="1352"/>
      <c r="AQ812" s="1352"/>
      <c r="AR812" s="1352"/>
      <c r="AS812" s="1352"/>
    </row>
    <row r="813" spans="1:45" hidden="1" x14ac:dyDescent="0.2">
      <c r="A813" s="1507">
        <v>6</v>
      </c>
      <c r="B813" s="1524" t="s">
        <v>3999</v>
      </c>
      <c r="C813" s="1511"/>
      <c r="D813" s="1511"/>
      <c r="E813" s="1511"/>
      <c r="F813" s="1514"/>
      <c r="G813" s="1509" t="str">
        <f t="shared" si="54"/>
        <v/>
      </c>
      <c r="H813" s="1510" t="s">
        <v>3199</v>
      </c>
      <c r="I813" s="130"/>
      <c r="J813" s="129"/>
      <c r="K813" s="97"/>
      <c r="L813" s="1647"/>
      <c r="M813" s="913"/>
      <c r="N813" s="251"/>
      <c r="O813" s="908"/>
      <c r="P813" s="991"/>
      <c r="Q813" s="991"/>
      <c r="R813" s="991"/>
      <c r="S813" s="991"/>
      <c r="T813" s="991"/>
      <c r="U813" s="991"/>
      <c r="V813" s="991"/>
      <c r="W813" s="96"/>
      <c r="X813" s="1601"/>
      <c r="Y813" s="1881"/>
      <c r="Z813" s="1891"/>
      <c r="AL813" s="1352"/>
      <c r="AM813" s="1352"/>
      <c r="AN813" s="1352"/>
      <c r="AO813" s="1352"/>
      <c r="AP813" s="1352"/>
      <c r="AQ813" s="1352"/>
      <c r="AR813" s="1352"/>
      <c r="AS813" s="1352"/>
    </row>
    <row r="814" spans="1:45" hidden="1" x14ac:dyDescent="0.2">
      <c r="A814" s="1507">
        <v>6</v>
      </c>
      <c r="B814" s="1524" t="s">
        <v>3999</v>
      </c>
      <c r="C814" s="1511"/>
      <c r="D814" s="1511"/>
      <c r="E814" s="1511"/>
      <c r="F814" s="1514"/>
      <c r="G814" s="1509" t="str">
        <f t="shared" si="54"/>
        <v/>
      </c>
      <c r="H814" s="1510" t="s">
        <v>3199</v>
      </c>
      <c r="I814" s="130"/>
      <c r="J814" s="129"/>
      <c r="K814" s="97"/>
      <c r="L814" s="1647"/>
      <c r="M814" s="913"/>
      <c r="N814" s="251"/>
      <c r="O814" s="908"/>
      <c r="P814" s="991"/>
      <c r="Q814" s="991"/>
      <c r="R814" s="991"/>
      <c r="S814" s="991"/>
      <c r="T814" s="991"/>
      <c r="U814" s="991"/>
      <c r="V814" s="991"/>
      <c r="W814" s="96"/>
      <c r="X814" s="1601"/>
      <c r="Y814" s="1881"/>
      <c r="Z814" s="1891"/>
      <c r="AL814" s="1352"/>
      <c r="AM814" s="1352"/>
      <c r="AN814" s="1352"/>
      <c r="AO814" s="1352"/>
      <c r="AP814" s="1352"/>
      <c r="AQ814" s="1352"/>
      <c r="AR814" s="1352"/>
      <c r="AS814" s="1352"/>
    </row>
    <row r="815" spans="1:45" ht="16" hidden="1" thickBot="1" x14ac:dyDescent="0.25">
      <c r="A815" s="1507">
        <v>6</v>
      </c>
      <c r="B815" s="1524" t="s">
        <v>3999</v>
      </c>
      <c r="C815" s="1521"/>
      <c r="D815" s="1521"/>
      <c r="E815" s="1521"/>
      <c r="F815" s="1522"/>
      <c r="G815" s="1509" t="str">
        <f t="shared" si="54"/>
        <v/>
      </c>
      <c r="H815" s="1510" t="s">
        <v>3199</v>
      </c>
      <c r="I815" s="100"/>
      <c r="J815" s="100"/>
      <c r="K815" s="100"/>
      <c r="L815" s="316" t="s">
        <v>2678</v>
      </c>
      <c r="M815" s="431"/>
      <c r="N815" s="253"/>
      <c r="O815" s="922"/>
      <c r="P815" s="100"/>
      <c r="Q815" s="100"/>
      <c r="R815" s="100"/>
      <c r="S815" s="100"/>
      <c r="T815" s="100"/>
      <c r="U815" s="100"/>
      <c r="V815" s="100"/>
      <c r="W815" s="100"/>
      <c r="X815" s="1602"/>
      <c r="Y815" s="1882"/>
      <c r="Z815" s="1892"/>
      <c r="AL815" s="1352"/>
      <c r="AM815" s="1352"/>
      <c r="AN815" s="1352"/>
      <c r="AO815" s="1352"/>
      <c r="AP815" s="1352"/>
      <c r="AQ815" s="1352"/>
      <c r="AR815" s="1352"/>
      <c r="AS815" s="1352"/>
    </row>
    <row r="816" spans="1:45" s="905" customFormat="1" ht="19" x14ac:dyDescent="0.25">
      <c r="A816" s="1507">
        <v>6</v>
      </c>
      <c r="B816" s="1524" t="s">
        <v>4009</v>
      </c>
      <c r="C816" s="1511"/>
      <c r="D816" s="1511"/>
      <c r="E816" s="1511"/>
      <c r="F816" s="1514"/>
      <c r="G816" s="1512" t="s">
        <v>3200</v>
      </c>
      <c r="H816" s="1530" t="s">
        <v>3197</v>
      </c>
      <c r="I816" s="14" t="s">
        <v>4003</v>
      </c>
      <c r="J816" s="25"/>
      <c r="K816" s="84"/>
      <c r="L816" s="233"/>
      <c r="M816" s="339"/>
      <c r="N816" s="428"/>
      <c r="O816" s="419"/>
      <c r="P816" s="25"/>
      <c r="Q816" s="25"/>
      <c r="R816" s="25"/>
      <c r="S816" s="25"/>
      <c r="T816" s="25"/>
      <c r="U816" s="25"/>
      <c r="V816" s="25"/>
      <c r="W816" s="25"/>
      <c r="X816" s="25"/>
      <c r="Y816" s="25"/>
      <c r="Z816" s="25"/>
      <c r="AL816" s="1352"/>
      <c r="AM816" s="1352"/>
      <c r="AN816" s="1352"/>
      <c r="AO816" s="1352"/>
      <c r="AP816" s="1352"/>
      <c r="AQ816" s="1352"/>
      <c r="AR816" s="1352"/>
      <c r="AS816" s="1352"/>
    </row>
    <row r="817" spans="1:45" ht="15" hidden="1" customHeight="1" x14ac:dyDescent="0.2">
      <c r="A817" s="1507">
        <v>6</v>
      </c>
      <c r="B817" s="1524" t="s">
        <v>4010</v>
      </c>
      <c r="C817" s="1511"/>
      <c r="D817" s="1511"/>
      <c r="E817" s="1511"/>
      <c r="F817" s="1514"/>
      <c r="G817" s="1509" t="str">
        <f ca="1">IF(N817&gt;0,"P","")</f>
        <v/>
      </c>
      <c r="H817" s="1510" t="s">
        <v>3197</v>
      </c>
      <c r="I817" s="67" t="s">
        <v>4004</v>
      </c>
      <c r="J817" s="4"/>
      <c r="K817" s="85"/>
      <c r="L817" s="1631" t="s">
        <v>4005</v>
      </c>
      <c r="M817" s="1628" t="s">
        <v>571</v>
      </c>
      <c r="N817" s="1644">
        <f ca="1">'11.600'!O519</f>
        <v>0</v>
      </c>
      <c r="O817" s="1669">
        <f ca="1">IFERROR(MATCH(W817,INDIRECT(U817),0),0)</f>
        <v>0</v>
      </c>
      <c r="P817" s="905" t="b">
        <v>1</v>
      </c>
      <c r="Q817" s="905" t="b">
        <v>1</v>
      </c>
      <c r="R817" s="905" t="b">
        <v>0</v>
      </c>
      <c r="S817" s="905" t="b">
        <v>1</v>
      </c>
      <c r="T817" s="905" t="b">
        <v>0</v>
      </c>
      <c r="U817" s="991" t="str">
        <f>SUBSTITUTE(SUBSTITUTE(SUBSTITUTE("dd"&amp;B817&amp;C817&amp;D817&amp;E817&amp;F817,".","_"),"(","_"),")","")</f>
        <v>dd612_1</v>
      </c>
      <c r="V817" s="905"/>
      <c r="W817" s="12"/>
      <c r="X817" s="1600"/>
      <c r="Y817" s="1881" t="str">
        <f>IF(LEN('11.600'!X519)=0,"None",'11.600'!X519)</f>
        <v>None</v>
      </c>
      <c r="Z817" s="1891"/>
      <c r="AC817" s="248" t="b">
        <f>OR(AD817:AE817)</f>
        <v>0</v>
      </c>
      <c r="AD817" s="617" t="b">
        <f>T817</f>
        <v>0</v>
      </c>
      <c r="AE817" s="248" t="b">
        <f>AND(NOT(ISBLANK(W817)),LEN(X817)=0)</f>
        <v>0</v>
      </c>
      <c r="AF817" s="720" t="b">
        <f>AND(AE817,NOT(Q817))</f>
        <v>0</v>
      </c>
      <c r="AG817" s="248"/>
      <c r="AH817" s="248"/>
      <c r="AI817" s="248"/>
      <c r="AJ817" s="248"/>
      <c r="AK817" s="248"/>
      <c r="AL817" s="1352" t="str">
        <f>SUBSTITUTE(SUBSTITUTE(SUBSTITUTE("vpa"&amp;$B817&amp;$C817&amp;$D817&amp;$E817&amp;$F817,".","_"),"(","_"),")","")</f>
        <v>vpa612_1</v>
      </c>
      <c r="AM817" s="1352" t="str">
        <f>M817</f>
        <v>10 Max</v>
      </c>
      <c r="AN817" s="1352" t="str">
        <f>SUBSTITUTE(SUBSTITUTE(SUBSTITUTE("vpc"&amp;$B817&amp;$C817&amp;$D817&amp;$E817&amp;$F817,".","_"),"(","_"),")","")</f>
        <v>vpc612_1</v>
      </c>
      <c r="AO817" s="1352">
        <f ca="1">O817</f>
        <v>0</v>
      </c>
      <c r="AP817" s="1352" t="str">
        <f>SUBSTITUTE(SUBSTITUTE(SUBSTITUTE("vch"&amp;$B817&amp;$C817&amp;$D817&amp;$E817&amp;$F817,".","_"),"(","_"),")","")</f>
        <v>vch612_1</v>
      </c>
      <c r="AQ817" s="1352" t="str">
        <f>IF(LEN(W817)=0,"",W817)</f>
        <v/>
      </c>
      <c r="AR817" s="1352" t="str">
        <f>SUBSTITUTE(SUBSTITUTE(SUBSTITUTE("vnt"&amp;$B817&amp;$C817&amp;$D817&amp;$E817&amp;$F817,".","_"),"(","_"),")","")</f>
        <v>vnt612_1</v>
      </c>
      <c r="AS817" s="1352" t="str">
        <f>IF(LEN(X817)=0,"",X817)</f>
        <v/>
      </c>
    </row>
    <row r="818" spans="1:45" hidden="1" x14ac:dyDescent="0.2">
      <c r="A818" s="1507">
        <v>6</v>
      </c>
      <c r="B818" s="1524" t="s">
        <v>4010</v>
      </c>
      <c r="C818" s="1511"/>
      <c r="D818" s="1511"/>
      <c r="E818" s="1511"/>
      <c r="F818" s="1514"/>
      <c r="G818" s="1509" t="str">
        <f t="shared" ref="G818:G824" ca="1" si="55">G817</f>
        <v/>
      </c>
      <c r="H818" s="1510" t="s">
        <v>3197</v>
      </c>
      <c r="I818" s="67"/>
      <c r="J818" s="4"/>
      <c r="K818" s="85"/>
      <c r="L818" s="1631"/>
      <c r="M818" s="1628"/>
      <c r="N818" s="1644"/>
      <c r="O818" s="1669"/>
      <c r="P818" s="905"/>
      <c r="Q818" s="905"/>
      <c r="R818" s="905"/>
      <c r="S818" s="905"/>
      <c r="T818" s="905"/>
      <c r="U818" s="905"/>
      <c r="V818" s="905"/>
      <c r="W818" s="248"/>
      <c r="X818" s="1600"/>
      <c r="Y818" s="1881"/>
      <c r="Z818" s="1891"/>
      <c r="AC818" s="248"/>
      <c r="AD818" s="248"/>
      <c r="AE818" s="248"/>
      <c r="AF818" s="248"/>
      <c r="AG818" s="248"/>
      <c r="AH818" s="248"/>
      <c r="AI818" s="248"/>
      <c r="AJ818" s="248"/>
      <c r="AK818" s="248"/>
      <c r="AL818" s="1352"/>
      <c r="AM818" s="1352"/>
      <c r="AN818" s="1352"/>
      <c r="AO818" s="1352"/>
      <c r="AP818" s="1352"/>
      <c r="AQ818" s="1352"/>
      <c r="AR818" s="1352"/>
      <c r="AS818" s="1352"/>
    </row>
    <row r="819" spans="1:45" hidden="1" x14ac:dyDescent="0.2">
      <c r="A819" s="1507">
        <v>6</v>
      </c>
      <c r="B819" s="1524" t="s">
        <v>4010</v>
      </c>
      <c r="C819" s="1511"/>
      <c r="D819" s="1511"/>
      <c r="E819" s="1511"/>
      <c r="F819" s="1514"/>
      <c r="G819" s="1509" t="str">
        <f t="shared" ca="1" si="55"/>
        <v/>
      </c>
      <c r="H819" s="1510" t="s">
        <v>3197</v>
      </c>
      <c r="I819" s="67"/>
      <c r="J819" s="4"/>
      <c r="K819" s="85"/>
      <c r="L819" s="1631"/>
      <c r="M819" s="1628"/>
      <c r="N819" s="1644"/>
      <c r="O819" s="1669"/>
      <c r="P819" s="905"/>
      <c r="Q819" s="905"/>
      <c r="R819" s="905"/>
      <c r="S819" s="905"/>
      <c r="T819" s="905"/>
      <c r="U819" s="905"/>
      <c r="V819" s="905"/>
      <c r="W819" s="248"/>
      <c r="X819" s="1600"/>
      <c r="Y819" s="1881"/>
      <c r="Z819" s="1891"/>
      <c r="AC819" s="248"/>
      <c r="AD819" s="248"/>
      <c r="AE819" s="248"/>
      <c r="AF819" s="248"/>
      <c r="AG819" s="248"/>
      <c r="AH819" s="248"/>
      <c r="AI819" s="248"/>
      <c r="AJ819" s="248"/>
      <c r="AK819" s="248"/>
      <c r="AL819" s="1352"/>
      <c r="AM819" s="1352"/>
      <c r="AN819" s="1352"/>
      <c r="AO819" s="1352"/>
      <c r="AP819" s="1352"/>
      <c r="AQ819" s="1352"/>
      <c r="AR819" s="1352"/>
      <c r="AS819" s="1352"/>
    </row>
    <row r="820" spans="1:45" hidden="1" x14ac:dyDescent="0.2">
      <c r="A820" s="1507">
        <v>6</v>
      </c>
      <c r="B820" s="1524" t="s">
        <v>4010</v>
      </c>
      <c r="C820" s="1511"/>
      <c r="D820" s="1511"/>
      <c r="E820" s="1511"/>
      <c r="F820" s="1514"/>
      <c r="G820" s="1509" t="str">
        <f t="shared" ca="1" si="55"/>
        <v/>
      </c>
      <c r="H820" s="1510" t="s">
        <v>3197</v>
      </c>
      <c r="I820" s="67"/>
      <c r="J820" s="4"/>
      <c r="K820" s="85"/>
      <c r="L820" s="1631"/>
      <c r="M820" s="1628"/>
      <c r="N820" s="1644"/>
      <c r="O820" s="1669"/>
      <c r="P820" s="905"/>
      <c r="Q820" s="905"/>
      <c r="R820" s="905"/>
      <c r="S820" s="905"/>
      <c r="T820" s="905"/>
      <c r="U820" s="905"/>
      <c r="V820" s="905"/>
      <c r="W820" s="248"/>
      <c r="X820" s="1600"/>
      <c r="Y820" s="1881"/>
      <c r="Z820" s="1891"/>
      <c r="AC820" s="248"/>
      <c r="AD820" s="248"/>
      <c r="AE820" s="248"/>
      <c r="AF820" s="248"/>
      <c r="AG820" s="248"/>
      <c r="AH820" s="248"/>
      <c r="AI820" s="248"/>
      <c r="AJ820" s="248"/>
      <c r="AK820" s="248"/>
      <c r="AL820" s="1352"/>
      <c r="AM820" s="1352"/>
      <c r="AN820" s="1352"/>
      <c r="AO820" s="1352"/>
      <c r="AP820" s="1352"/>
      <c r="AQ820" s="1352"/>
      <c r="AR820" s="1352"/>
      <c r="AS820" s="1352"/>
    </row>
    <row r="821" spans="1:45" hidden="1" x14ac:dyDescent="0.2">
      <c r="A821" s="1507">
        <v>6</v>
      </c>
      <c r="B821" s="1524" t="s">
        <v>4010</v>
      </c>
      <c r="C821" s="1511"/>
      <c r="D821" s="1511"/>
      <c r="E821" s="1511"/>
      <c r="F821" s="1514"/>
      <c r="G821" s="1509" t="str">
        <f t="shared" ca="1" si="55"/>
        <v/>
      </c>
      <c r="H821" s="1510" t="s">
        <v>3197</v>
      </c>
      <c r="I821" s="67"/>
      <c r="J821" s="4"/>
      <c r="K821" s="85"/>
      <c r="L821" s="1631"/>
      <c r="M821" s="1628"/>
      <c r="N821" s="1644"/>
      <c r="O821" s="1669"/>
      <c r="P821" s="905"/>
      <c r="Q821" s="905"/>
      <c r="R821" s="905"/>
      <c r="S821" s="905"/>
      <c r="T821" s="905"/>
      <c r="U821" s="905"/>
      <c r="V821" s="905"/>
      <c r="W821" s="248"/>
      <c r="X821" s="1600"/>
      <c r="Y821" s="1881"/>
      <c r="Z821" s="1891"/>
      <c r="AC821" s="248"/>
      <c r="AD821" s="248"/>
      <c r="AE821" s="248"/>
      <c r="AF821" s="248"/>
      <c r="AG821" s="248"/>
      <c r="AH821" s="248"/>
      <c r="AI821" s="248"/>
      <c r="AJ821" s="248"/>
      <c r="AK821" s="248"/>
      <c r="AL821" s="1352"/>
      <c r="AM821" s="1352"/>
      <c r="AN821" s="1352"/>
      <c r="AO821" s="1352"/>
      <c r="AP821" s="1352"/>
      <c r="AQ821" s="1352"/>
      <c r="AR821" s="1352"/>
      <c r="AS821" s="1352"/>
    </row>
    <row r="822" spans="1:45" hidden="1" x14ac:dyDescent="0.2">
      <c r="A822" s="1507">
        <v>6</v>
      </c>
      <c r="B822" s="1524" t="s">
        <v>4010</v>
      </c>
      <c r="C822" s="1511"/>
      <c r="D822" s="1511"/>
      <c r="E822" s="1511"/>
      <c r="F822" s="1514"/>
      <c r="G822" s="1509" t="str">
        <f t="shared" ca="1" si="55"/>
        <v/>
      </c>
      <c r="H822" s="1510" t="s">
        <v>3197</v>
      </c>
      <c r="I822" s="67"/>
      <c r="J822" s="4"/>
      <c r="K822" s="85"/>
      <c r="L822" s="154" t="s">
        <v>592</v>
      </c>
      <c r="M822" s="1628"/>
      <c r="N822" s="1644"/>
      <c r="O822" s="1669"/>
      <c r="P822" s="905"/>
      <c r="Q822" s="905"/>
      <c r="R822" s="905"/>
      <c r="S822" s="905"/>
      <c r="T822" s="905"/>
      <c r="U822" s="905"/>
      <c r="V822" s="905"/>
      <c r="W822" s="248"/>
      <c r="X822" s="1600"/>
      <c r="Y822" s="1881"/>
      <c r="Z822" s="1891"/>
      <c r="AC822" s="248"/>
      <c r="AD822" s="248"/>
      <c r="AE822" s="248"/>
      <c r="AF822" s="248"/>
      <c r="AG822" s="248"/>
      <c r="AH822" s="248"/>
      <c r="AI822" s="248"/>
      <c r="AJ822" s="248"/>
      <c r="AK822" s="248"/>
      <c r="AL822" s="1352"/>
      <c r="AM822" s="1352"/>
      <c r="AN822" s="1352"/>
      <c r="AO822" s="1352"/>
      <c r="AP822" s="1352"/>
      <c r="AQ822" s="1352"/>
      <c r="AR822" s="1352"/>
      <c r="AS822" s="1352"/>
    </row>
    <row r="823" spans="1:45" hidden="1" x14ac:dyDescent="0.2">
      <c r="A823" s="1507">
        <v>6</v>
      </c>
      <c r="B823" s="1524" t="s">
        <v>4010</v>
      </c>
      <c r="C823" s="1511"/>
      <c r="D823" s="1511"/>
      <c r="E823" s="1511"/>
      <c r="F823" s="1514"/>
      <c r="G823" s="1509" t="str">
        <f t="shared" ca="1" si="55"/>
        <v/>
      </c>
      <c r="H823" s="1510" t="s">
        <v>3197</v>
      </c>
      <c r="I823" s="67"/>
      <c r="J823" s="4"/>
      <c r="K823" s="85"/>
      <c r="L823" s="1673" t="s">
        <v>2675</v>
      </c>
      <c r="M823" s="1628"/>
      <c r="N823" s="1644"/>
      <c r="O823" s="1669"/>
      <c r="P823" s="905"/>
      <c r="Q823" s="905"/>
      <c r="R823" s="905"/>
      <c r="S823" s="905"/>
      <c r="T823" s="905"/>
      <c r="U823" s="905"/>
      <c r="V823" s="905"/>
      <c r="W823" s="248"/>
      <c r="X823" s="1600"/>
      <c r="Y823" s="1881"/>
      <c r="Z823" s="1891"/>
      <c r="AC823" s="248"/>
      <c r="AD823" s="248"/>
      <c r="AE823" s="248"/>
      <c r="AF823" s="248"/>
      <c r="AG823" s="248"/>
      <c r="AH823" s="248"/>
      <c r="AI823" s="248"/>
      <c r="AJ823" s="248"/>
      <c r="AK823" s="248"/>
      <c r="AL823" s="1352"/>
      <c r="AM823" s="1352"/>
      <c r="AN823" s="1352"/>
      <c r="AO823" s="1352"/>
      <c r="AP823" s="1352"/>
      <c r="AQ823" s="1352"/>
      <c r="AR823" s="1352"/>
      <c r="AS823" s="1352"/>
    </row>
    <row r="824" spans="1:45" ht="16" hidden="1" thickBot="1" x14ac:dyDescent="0.25">
      <c r="A824" s="1507">
        <v>6</v>
      </c>
      <c r="B824" s="1524" t="s">
        <v>4010</v>
      </c>
      <c r="C824" s="1511"/>
      <c r="D824" s="1511"/>
      <c r="E824" s="1511"/>
      <c r="F824" s="1514"/>
      <c r="G824" s="1509" t="str">
        <f t="shared" ca="1" si="55"/>
        <v/>
      </c>
      <c r="H824" s="1510" t="s">
        <v>3197</v>
      </c>
      <c r="I824" s="67"/>
      <c r="J824" s="4"/>
      <c r="K824" s="85"/>
      <c r="L824" s="1810"/>
      <c r="M824" s="1628"/>
      <c r="N824" s="1645"/>
      <c r="O824" s="1669"/>
      <c r="P824" s="905"/>
      <c r="Q824" s="905"/>
      <c r="R824" s="905"/>
      <c r="S824" s="905"/>
      <c r="T824" s="905"/>
      <c r="U824" s="905"/>
      <c r="V824" s="905"/>
      <c r="W824" s="248"/>
      <c r="X824" s="1621"/>
      <c r="Y824" s="1882"/>
      <c r="Z824" s="1892"/>
      <c r="AC824" s="248"/>
      <c r="AD824" s="248"/>
      <c r="AE824" s="248"/>
      <c r="AF824" s="248"/>
      <c r="AG824" s="248"/>
      <c r="AH824" s="248"/>
      <c r="AI824" s="248"/>
      <c r="AJ824" s="248"/>
      <c r="AK824" s="248"/>
      <c r="AL824" s="1352"/>
      <c r="AM824" s="1352"/>
      <c r="AN824" s="1352"/>
      <c r="AO824" s="1352"/>
      <c r="AP824" s="1352"/>
      <c r="AQ824" s="1352"/>
      <c r="AR824" s="1352"/>
      <c r="AS824" s="1352"/>
    </row>
    <row r="825" spans="1:45" ht="15.75" hidden="1" customHeight="1" thickTop="1" x14ac:dyDescent="0.2">
      <c r="A825" s="1507">
        <v>6</v>
      </c>
      <c r="B825" s="1524" t="s">
        <v>4011</v>
      </c>
      <c r="C825" s="1511"/>
      <c r="D825" s="1511"/>
      <c r="E825" s="1511"/>
      <c r="F825" s="1514"/>
      <c r="G825" s="1509" t="str">
        <f>IF(N825&gt;0,"P","")</f>
        <v/>
      </c>
      <c r="H825" s="1510" t="s">
        <v>3197</v>
      </c>
      <c r="I825" s="177" t="s">
        <v>4006</v>
      </c>
      <c r="J825" s="178"/>
      <c r="K825" s="179"/>
      <c r="L825" s="1683" t="s">
        <v>4013</v>
      </c>
      <c r="M825" s="1685" t="s">
        <v>449</v>
      </c>
      <c r="N825" s="1770">
        <f>'11.600'!O527</f>
        <v>0</v>
      </c>
      <c r="O825" s="1682">
        <f>MIN(9,M828*S828*W828+M829*S829*W829+M831*S831*W831+M833*S833*W833+M835*S835*W835+M837*S837*W837+M839*S839*W839)</f>
        <v>0</v>
      </c>
      <c r="P825" s="106"/>
      <c r="Q825" s="106"/>
      <c r="R825" s="106"/>
      <c r="S825" s="106"/>
      <c r="T825" s="106"/>
      <c r="U825" s="106"/>
      <c r="V825" s="106"/>
      <c r="W825" s="106"/>
      <c r="X825" s="106"/>
      <c r="Z825" s="670"/>
      <c r="AC825" s="248"/>
      <c r="AD825" s="248"/>
      <c r="AE825" s="248"/>
      <c r="AF825" s="248"/>
      <c r="AG825" s="248"/>
      <c r="AH825" s="248"/>
      <c r="AI825" s="248"/>
      <c r="AJ825" s="248"/>
      <c r="AK825" s="248"/>
      <c r="AL825" s="1352" t="str">
        <f>SUBSTITUTE(SUBSTITUTE(SUBSTITUTE("vpa"&amp;$B825&amp;$C825&amp;$D825&amp;$E825&amp;$F825,".","_"),"(","_"),")","")</f>
        <v>vpa612_2</v>
      </c>
      <c r="AM825" s="1352" t="str">
        <f>M825</f>
        <v>9 Max</v>
      </c>
      <c r="AN825" s="1352" t="str">
        <f>SUBSTITUTE(SUBSTITUTE(SUBSTITUTE("vpc"&amp;$B825&amp;$C825&amp;$D825&amp;$E825&amp;$F825,".","_"),"(","_"),")","")</f>
        <v>vpc612_2</v>
      </c>
      <c r="AO825" s="1352">
        <f>O825</f>
        <v>0</v>
      </c>
      <c r="AP825" s="1352"/>
      <c r="AQ825" s="1352"/>
      <c r="AR825" s="1352"/>
      <c r="AS825" s="1352"/>
    </row>
    <row r="826" spans="1:45" hidden="1" x14ac:dyDescent="0.2">
      <c r="A826" s="1507">
        <v>6</v>
      </c>
      <c r="B826" s="1524" t="s">
        <v>4011</v>
      </c>
      <c r="C826" s="1511"/>
      <c r="D826" s="1511"/>
      <c r="E826" s="1511"/>
      <c r="F826" s="1514"/>
      <c r="G826" s="1509" t="str">
        <f t="shared" ref="G826:G840" si="56">G825</f>
        <v/>
      </c>
      <c r="H826" s="1510" t="s">
        <v>3197</v>
      </c>
      <c r="I826" s="130"/>
      <c r="J826" s="129"/>
      <c r="K826" s="97"/>
      <c r="L826" s="1629"/>
      <c r="M826" s="1623"/>
      <c r="N826" s="1755"/>
      <c r="O826" s="1619"/>
      <c r="P826" s="991"/>
      <c r="Q826" s="991"/>
      <c r="R826" s="991"/>
      <c r="S826" s="991"/>
      <c r="T826" s="991"/>
      <c r="U826" s="991"/>
      <c r="V826" s="991"/>
      <c r="W826" s="96"/>
      <c r="X826" s="96"/>
      <c r="Z826" s="670"/>
      <c r="AC826" s="248"/>
      <c r="AD826" s="248"/>
      <c r="AE826" s="248"/>
      <c r="AF826" s="248"/>
      <c r="AG826" s="248"/>
      <c r="AH826" s="248"/>
      <c r="AI826" s="248"/>
      <c r="AJ826" s="248"/>
      <c r="AK826" s="248"/>
      <c r="AL826" s="1352"/>
      <c r="AM826" s="1352"/>
      <c r="AN826" s="1352"/>
      <c r="AO826" s="1352"/>
      <c r="AP826" s="1352"/>
      <c r="AQ826" s="1352"/>
      <c r="AR826" s="1352"/>
      <c r="AS826" s="1352"/>
    </row>
    <row r="827" spans="1:45" hidden="1" x14ac:dyDescent="0.2">
      <c r="A827" s="1507">
        <v>6</v>
      </c>
      <c r="B827" s="1524" t="s">
        <v>4011</v>
      </c>
      <c r="C827" s="1511"/>
      <c r="D827" s="1511"/>
      <c r="E827" s="1511"/>
      <c r="F827" s="1514"/>
      <c r="G827" s="1509" t="str">
        <f t="shared" si="56"/>
        <v/>
      </c>
      <c r="H827" s="1510" t="s">
        <v>3197</v>
      </c>
      <c r="I827" s="130"/>
      <c r="J827" s="129"/>
      <c r="K827" s="97"/>
      <c r="L827" s="1629"/>
      <c r="M827" s="1623"/>
      <c r="N827" s="1755"/>
      <c r="O827" s="1619"/>
      <c r="P827" s="991"/>
      <c r="Q827" s="991"/>
      <c r="R827" s="991"/>
      <c r="S827" s="991"/>
      <c r="T827" s="991"/>
      <c r="U827" s="991"/>
      <c r="V827" s="991"/>
      <c r="W827" s="96"/>
      <c r="X827" s="96"/>
      <c r="Z827" s="670"/>
      <c r="AC827" s="248"/>
      <c r="AD827" s="248"/>
      <c r="AE827" s="248"/>
      <c r="AF827" s="248"/>
      <c r="AG827" s="248"/>
      <c r="AH827" s="248"/>
      <c r="AI827" s="248"/>
      <c r="AJ827" s="248"/>
      <c r="AK827" s="248"/>
      <c r="AL827" s="1352"/>
      <c r="AM827" s="1352"/>
      <c r="AN827" s="1352"/>
      <c r="AO827" s="1352"/>
      <c r="AP827" s="1352"/>
      <c r="AQ827" s="1352"/>
      <c r="AR827" s="1352"/>
      <c r="AS827" s="1352"/>
    </row>
    <row r="828" spans="1:45" ht="16" hidden="1" x14ac:dyDescent="0.2">
      <c r="A828" s="1507">
        <v>6</v>
      </c>
      <c r="B828" s="1524" t="s">
        <v>4011</v>
      </c>
      <c r="C828" s="1511" t="s">
        <v>254</v>
      </c>
      <c r="D828" s="1511"/>
      <c r="E828" s="1511"/>
      <c r="F828" s="1514"/>
      <c r="G828" s="1509" t="str">
        <f t="shared" si="56"/>
        <v/>
      </c>
      <c r="H828" s="1510" t="s">
        <v>3197</v>
      </c>
      <c r="I828" s="67"/>
      <c r="J828" s="207" t="s">
        <v>254</v>
      </c>
      <c r="K828" s="170"/>
      <c r="L828" s="170" t="s">
        <v>4014</v>
      </c>
      <c r="M828" s="937">
        <v>3</v>
      </c>
      <c r="N828" s="250"/>
      <c r="O828" s="935"/>
      <c r="P828" s="905" t="b">
        <v>1</v>
      </c>
      <c r="Q828" s="905" t="b">
        <v>1</v>
      </c>
      <c r="R828" s="905" t="b">
        <v>0</v>
      </c>
      <c r="S828" s="905" t="b">
        <v>1</v>
      </c>
      <c r="T828" s="905" t="b">
        <v>0</v>
      </c>
      <c r="U828" s="905"/>
      <c r="V828" s="905"/>
      <c r="W828" s="27"/>
      <c r="X828" s="1123"/>
      <c r="Y828" s="267" t="str">
        <f>IF(LEN('11.600'!X530)=0,"None",'11.600'!X530)</f>
        <v>None</v>
      </c>
      <c r="Z828" s="1123"/>
      <c r="AC828" s="248"/>
      <c r="AD828" s="248"/>
      <c r="AE828" s="248"/>
      <c r="AF828" s="720"/>
      <c r="AG828" s="248"/>
      <c r="AH828" s="248"/>
      <c r="AI828" s="248"/>
      <c r="AJ828" s="248"/>
      <c r="AK828" s="248"/>
      <c r="AL828" s="1352" t="str">
        <f>SUBSTITUTE(SUBSTITUTE(SUBSTITUTE("vpa"&amp;$B828&amp;$C828&amp;$D828&amp;$E828&amp;$F828,".","_"),"(","_"),")","")</f>
        <v>vpa612_2_1</v>
      </c>
      <c r="AM828" s="1352">
        <f>M828</f>
        <v>3</v>
      </c>
      <c r="AN828" s="1352"/>
      <c r="AO828" s="1352"/>
      <c r="AP828" s="1352" t="str">
        <f>SUBSTITUTE(SUBSTITUTE(SUBSTITUTE("vch"&amp;$B828&amp;$C828&amp;$D828&amp;$E828&amp;$F828,".","_"),"(","_"),")","")</f>
        <v>vch612_2_1</v>
      </c>
      <c r="AQ828" s="1352" t="str">
        <f>IF(LEN(W828)=0,"",W828)</f>
        <v/>
      </c>
      <c r="AR828" s="1352" t="str">
        <f>SUBSTITUTE(SUBSTITUTE(SUBSTITUTE("vnt"&amp;$B828&amp;$C828&amp;$D828&amp;$E828&amp;$F828,".","_"),"(","_"),")","")</f>
        <v>vnt612_2_1</v>
      </c>
      <c r="AS828" s="1352" t="str">
        <f>IF(LEN(X828)=0,"",X828)</f>
        <v/>
      </c>
    </row>
    <row r="829" spans="1:45" hidden="1" x14ac:dyDescent="0.2">
      <c r="A829" s="1507">
        <v>6</v>
      </c>
      <c r="B829" s="1524" t="s">
        <v>4011</v>
      </c>
      <c r="C829" s="1511" t="s">
        <v>255</v>
      </c>
      <c r="D829" s="1511"/>
      <c r="E829" s="1511"/>
      <c r="F829" s="1514"/>
      <c r="G829" s="1509" t="str">
        <f t="shared" si="56"/>
        <v/>
      </c>
      <c r="H829" s="1510" t="s">
        <v>3197</v>
      </c>
      <c r="I829" s="67"/>
      <c r="J829" s="212" t="s">
        <v>255</v>
      </c>
      <c r="K829" s="194"/>
      <c r="L829" s="1649" t="s">
        <v>4015</v>
      </c>
      <c r="M829" s="1636">
        <v>3</v>
      </c>
      <c r="N829" s="250"/>
      <c r="O829" s="935"/>
      <c r="P829" s="905" t="b">
        <v>1</v>
      </c>
      <c r="Q829" s="905" t="b">
        <v>1</v>
      </c>
      <c r="R829" s="905" t="b">
        <v>0</v>
      </c>
      <c r="S829" s="905" t="b">
        <v>1</v>
      </c>
      <c r="T829" s="905" t="b">
        <v>0</v>
      </c>
      <c r="U829" s="905"/>
      <c r="V829" s="905"/>
      <c r="W829" s="27"/>
      <c r="X829" s="1621"/>
      <c r="Y829" s="1893" t="str">
        <f>IF(LEN('11.600'!X531)=0,"None",'11.600'!X531)</f>
        <v>None</v>
      </c>
      <c r="Z829" s="1621"/>
      <c r="AC829" s="248"/>
      <c r="AD829" s="248"/>
      <c r="AE829" s="248"/>
      <c r="AF829" s="720"/>
      <c r="AG829" s="248"/>
      <c r="AH829" s="248"/>
      <c r="AI829" s="248"/>
      <c r="AJ829" s="248"/>
      <c r="AK829" s="248"/>
      <c r="AL829" s="1352" t="str">
        <f>SUBSTITUTE(SUBSTITUTE(SUBSTITUTE("vpa"&amp;$B829&amp;$C829&amp;$D829&amp;$E829&amp;$F829,".","_"),"(","_"),")","")</f>
        <v>vpa612_2_2</v>
      </c>
      <c r="AM829" s="1352">
        <f>M829</f>
        <v>3</v>
      </c>
      <c r="AN829" s="1352"/>
      <c r="AO829" s="1352"/>
      <c r="AP829" s="1352" t="str">
        <f>SUBSTITUTE(SUBSTITUTE(SUBSTITUTE("vch"&amp;$B829&amp;$C829&amp;$D829&amp;$E829&amp;$F829,".","_"),"(","_"),")","")</f>
        <v>vch612_2_2</v>
      </c>
      <c r="AQ829" s="1352" t="str">
        <f>IF(LEN(W829)=0,"",W829)</f>
        <v/>
      </c>
      <c r="AR829" s="1352" t="str">
        <f>SUBSTITUTE(SUBSTITUTE(SUBSTITUTE("vnt"&amp;$B829&amp;$C829&amp;$D829&amp;$E829&amp;$F829,".","_"),"(","_"),")","")</f>
        <v>vnt612_2_2</v>
      </c>
      <c r="AS829" s="1352" t="str">
        <f>IF(LEN(X829)=0,"",X829)</f>
        <v/>
      </c>
    </row>
    <row r="830" spans="1:45" s="905" customFormat="1" hidden="1" x14ac:dyDescent="0.2">
      <c r="A830" s="1507">
        <v>6</v>
      </c>
      <c r="B830" s="1524" t="s">
        <v>4011</v>
      </c>
      <c r="C830" s="1511" t="s">
        <v>255</v>
      </c>
      <c r="D830" s="1511"/>
      <c r="E830" s="1511"/>
      <c r="F830" s="1514"/>
      <c r="G830" s="1509" t="str">
        <f t="shared" si="56"/>
        <v/>
      </c>
      <c r="H830" s="1510" t="s">
        <v>3197</v>
      </c>
      <c r="I830" s="67"/>
      <c r="J830" s="207"/>
      <c r="K830" s="170"/>
      <c r="L830" s="1650"/>
      <c r="M830" s="1624"/>
      <c r="N830" s="930"/>
      <c r="O830" s="935"/>
      <c r="W830"/>
      <c r="X830" s="1599"/>
      <c r="Y830" s="1894"/>
      <c r="Z830" s="1599"/>
      <c r="AL830" s="1352"/>
      <c r="AM830" s="1352"/>
      <c r="AN830" s="1352"/>
      <c r="AO830" s="1352"/>
      <c r="AP830" s="1352"/>
      <c r="AQ830" s="1352"/>
      <c r="AR830" s="1352"/>
      <c r="AS830" s="1352"/>
    </row>
    <row r="831" spans="1:45" hidden="1" x14ac:dyDescent="0.2">
      <c r="A831" s="1507">
        <v>6</v>
      </c>
      <c r="B831" s="1524" t="s">
        <v>4011</v>
      </c>
      <c r="C831" s="1511" t="s">
        <v>256</v>
      </c>
      <c r="D831" s="1511"/>
      <c r="E831" s="1511"/>
      <c r="F831" s="1514"/>
      <c r="G831" s="1509" t="str">
        <f>G829</f>
        <v/>
      </c>
      <c r="H831" s="1510" t="s">
        <v>3197</v>
      </c>
      <c r="I831" s="67"/>
      <c r="J831" s="212" t="s">
        <v>256</v>
      </c>
      <c r="K831" s="194"/>
      <c r="L831" s="1649" t="s">
        <v>4016</v>
      </c>
      <c r="M831" s="1636">
        <v>3</v>
      </c>
      <c r="N831" s="250"/>
      <c r="O831" s="935"/>
      <c r="P831" s="905" t="b">
        <v>1</v>
      </c>
      <c r="Q831" s="905" t="b">
        <v>1</v>
      </c>
      <c r="R831" s="905" t="b">
        <v>0</v>
      </c>
      <c r="S831" s="905" t="b">
        <v>1</v>
      </c>
      <c r="T831" s="905" t="b">
        <v>0</v>
      </c>
      <c r="U831" s="905"/>
      <c r="V831" s="905"/>
      <c r="W831" s="27"/>
      <c r="X831" s="1621"/>
      <c r="Y831" s="1893" t="str">
        <f>IF(LEN('11.600'!X533)=0,"None",'11.600'!X533)</f>
        <v>None</v>
      </c>
      <c r="Z831" s="1621"/>
      <c r="AC831" s="248"/>
      <c r="AD831" s="248"/>
      <c r="AE831" s="248"/>
      <c r="AF831" s="720"/>
      <c r="AG831" s="248"/>
      <c r="AH831" s="248"/>
      <c r="AI831" s="248"/>
      <c r="AJ831" s="248"/>
      <c r="AK831" s="248"/>
      <c r="AL831" s="1352" t="str">
        <f>SUBSTITUTE(SUBSTITUTE(SUBSTITUTE("vpa"&amp;$B831&amp;$C831&amp;$D831&amp;$E831&amp;$F831,".","_"),"(","_"),")","")</f>
        <v>vpa612_2_3</v>
      </c>
      <c r="AM831" s="1352">
        <f>M831</f>
        <v>3</v>
      </c>
      <c r="AN831" s="1352"/>
      <c r="AO831" s="1352"/>
      <c r="AP831" s="1352" t="str">
        <f>SUBSTITUTE(SUBSTITUTE(SUBSTITUTE("vch"&amp;$B831&amp;$C831&amp;$D831&amp;$E831&amp;$F831,".","_"),"(","_"),")","")</f>
        <v>vch612_2_3</v>
      </c>
      <c r="AQ831" s="1352" t="str">
        <f>IF(LEN(W831)=0,"",W831)</f>
        <v/>
      </c>
      <c r="AR831" s="1352" t="str">
        <f>SUBSTITUTE(SUBSTITUTE(SUBSTITUTE("vnt"&amp;$B831&amp;$C831&amp;$D831&amp;$E831&amp;$F831,".","_"),"(","_"),")","")</f>
        <v>vnt612_2_3</v>
      </c>
      <c r="AS831" s="1352" t="str">
        <f>IF(LEN(X831)=0,"",X831)</f>
        <v/>
      </c>
    </row>
    <row r="832" spans="1:45" s="905" customFormat="1" hidden="1" x14ac:dyDescent="0.2">
      <c r="A832" s="1507">
        <v>6</v>
      </c>
      <c r="B832" s="1524" t="s">
        <v>4011</v>
      </c>
      <c r="C832" s="1511" t="s">
        <v>256</v>
      </c>
      <c r="D832" s="1511"/>
      <c r="E832" s="1511"/>
      <c r="F832" s="1514"/>
      <c r="G832" s="1509" t="str">
        <f t="shared" si="56"/>
        <v/>
      </c>
      <c r="H832" s="1510" t="s">
        <v>3197</v>
      </c>
      <c r="I832" s="67"/>
      <c r="J832" s="207"/>
      <c r="K832" s="170"/>
      <c r="L832" s="1650"/>
      <c r="M832" s="1624"/>
      <c r="N832" s="930"/>
      <c r="O832" s="935"/>
      <c r="W832"/>
      <c r="X832" s="1599"/>
      <c r="Y832" s="1894"/>
      <c r="Z832" s="1599"/>
      <c r="AL832" s="1352"/>
      <c r="AM832" s="1352"/>
      <c r="AN832" s="1352"/>
      <c r="AO832" s="1352"/>
      <c r="AP832" s="1352"/>
      <c r="AQ832" s="1352"/>
      <c r="AR832" s="1352"/>
      <c r="AS832" s="1352"/>
    </row>
    <row r="833" spans="1:45" hidden="1" x14ac:dyDescent="0.2">
      <c r="A833" s="1507">
        <v>6</v>
      </c>
      <c r="B833" s="1524" t="s">
        <v>4011</v>
      </c>
      <c r="C833" s="1511" t="s">
        <v>259</v>
      </c>
      <c r="D833" s="1511"/>
      <c r="E833" s="1511"/>
      <c r="F833" s="1514"/>
      <c r="G833" s="1509" t="str">
        <f>G831</f>
        <v/>
      </c>
      <c r="H833" s="1510" t="s">
        <v>3197</v>
      </c>
      <c r="I833" s="67"/>
      <c r="J833" s="212" t="s">
        <v>259</v>
      </c>
      <c r="K833" s="194"/>
      <c r="L833" s="1649" t="s">
        <v>4017</v>
      </c>
      <c r="M833" s="1636">
        <v>3</v>
      </c>
      <c r="N833" s="250"/>
      <c r="O833" s="935"/>
      <c r="P833" s="905" t="b">
        <v>1</v>
      </c>
      <c r="Q833" s="905" t="b">
        <v>1</v>
      </c>
      <c r="R833" s="905" t="b">
        <v>0</v>
      </c>
      <c r="S833" s="905" t="b">
        <v>1</v>
      </c>
      <c r="T833" s="905" t="b">
        <v>0</v>
      </c>
      <c r="U833" s="905"/>
      <c r="V833" s="905"/>
      <c r="W833" s="27"/>
      <c r="X833" s="1621"/>
      <c r="Y833" s="1893" t="str">
        <f>IF(LEN('11.600'!X535)=0,"None",'11.600'!X535)</f>
        <v>None</v>
      </c>
      <c r="Z833" s="1621"/>
      <c r="AC833" s="248"/>
      <c r="AD833" s="248"/>
      <c r="AE833" s="248"/>
      <c r="AF833" s="720"/>
      <c r="AG833" s="248"/>
      <c r="AH833" s="248"/>
      <c r="AI833" s="248"/>
      <c r="AJ833" s="248"/>
      <c r="AK833" s="248"/>
      <c r="AL833" s="1352" t="str">
        <f>SUBSTITUTE(SUBSTITUTE(SUBSTITUTE("vpa"&amp;$B833&amp;$C833&amp;$D833&amp;$E833&amp;$F833,".","_"),"(","_"),")","")</f>
        <v>vpa612_2_4</v>
      </c>
      <c r="AM833" s="1352">
        <f>M833</f>
        <v>3</v>
      </c>
      <c r="AN833" s="1352"/>
      <c r="AO833" s="1352"/>
      <c r="AP833" s="1352" t="str">
        <f>SUBSTITUTE(SUBSTITUTE(SUBSTITUTE("vch"&amp;$B833&amp;$C833&amp;$D833&amp;$E833&amp;$F833,".","_"),"(","_"),")","")</f>
        <v>vch612_2_4</v>
      </c>
      <c r="AQ833" s="1352" t="str">
        <f>IF(LEN(W833)=0,"",W833)</f>
        <v/>
      </c>
      <c r="AR833" s="1352" t="str">
        <f>SUBSTITUTE(SUBSTITUTE(SUBSTITUTE("vnt"&amp;$B833&amp;$C833&amp;$D833&amp;$E833&amp;$F833,".","_"),"(","_"),")","")</f>
        <v>vnt612_2_4</v>
      </c>
      <c r="AS833" s="1352" t="str">
        <f>IF(LEN(X833)=0,"",X833)</f>
        <v/>
      </c>
    </row>
    <row r="834" spans="1:45" s="905" customFormat="1" hidden="1" x14ac:dyDescent="0.2">
      <c r="A834" s="1507">
        <v>6</v>
      </c>
      <c r="B834" s="1524" t="s">
        <v>4011</v>
      </c>
      <c r="C834" s="1511" t="s">
        <v>259</v>
      </c>
      <c r="D834" s="1511"/>
      <c r="E834" s="1511"/>
      <c r="F834" s="1514"/>
      <c r="G834" s="1509" t="str">
        <f t="shared" si="56"/>
        <v/>
      </c>
      <c r="H834" s="1510" t="s">
        <v>3197</v>
      </c>
      <c r="I834" s="67"/>
      <c r="J834" s="207"/>
      <c r="K834" s="170"/>
      <c r="L834" s="1650"/>
      <c r="M834" s="1624"/>
      <c r="N834" s="930"/>
      <c r="O834" s="935"/>
      <c r="W834"/>
      <c r="X834" s="1599"/>
      <c r="Y834" s="1894"/>
      <c r="Z834" s="1599"/>
      <c r="AL834" s="1352"/>
      <c r="AM834" s="1352"/>
      <c r="AN834" s="1352"/>
      <c r="AO834" s="1352"/>
      <c r="AP834" s="1352"/>
      <c r="AQ834" s="1352"/>
      <c r="AR834" s="1352"/>
      <c r="AS834" s="1352"/>
    </row>
    <row r="835" spans="1:45" hidden="1" x14ac:dyDescent="0.2">
      <c r="A835" s="1507">
        <v>6</v>
      </c>
      <c r="B835" s="1524" t="s">
        <v>4011</v>
      </c>
      <c r="C835" s="1511" t="s">
        <v>263</v>
      </c>
      <c r="D835" s="1511"/>
      <c r="E835" s="1511"/>
      <c r="F835" s="1514"/>
      <c r="G835" s="1509" t="str">
        <f>G833</f>
        <v/>
      </c>
      <c r="H835" s="1510" t="s">
        <v>3197</v>
      </c>
      <c r="I835" s="67"/>
      <c r="J835" s="212" t="s">
        <v>263</v>
      </c>
      <c r="K835" s="194"/>
      <c r="L835" s="1649" t="s">
        <v>4018</v>
      </c>
      <c r="M835" s="1636">
        <v>3</v>
      </c>
      <c r="N835" s="250"/>
      <c r="O835" s="935"/>
      <c r="P835" s="905" t="b">
        <v>1</v>
      </c>
      <c r="Q835" s="905" t="b">
        <v>1</v>
      </c>
      <c r="R835" s="905" t="b">
        <v>0</v>
      </c>
      <c r="S835" s="905" t="b">
        <v>1</v>
      </c>
      <c r="T835" s="905" t="b">
        <v>0</v>
      </c>
      <c r="U835" s="905"/>
      <c r="V835" s="905"/>
      <c r="W835" s="27"/>
      <c r="X835" s="1621"/>
      <c r="Y835" s="1893" t="str">
        <f>IF(LEN('11.600'!X537)=0,"None",'11.600'!X537)</f>
        <v>None</v>
      </c>
      <c r="Z835" s="1621"/>
      <c r="AC835" s="248"/>
      <c r="AD835" s="248"/>
      <c r="AE835" s="248"/>
      <c r="AF835" s="720"/>
      <c r="AG835" s="248"/>
      <c r="AH835" s="248"/>
      <c r="AI835" s="248"/>
      <c r="AJ835" s="248"/>
      <c r="AK835" s="248"/>
      <c r="AL835" s="1352" t="str">
        <f>SUBSTITUTE(SUBSTITUTE(SUBSTITUTE("vpa"&amp;$B835&amp;$C835&amp;$D835&amp;$E835&amp;$F835,".","_"),"(","_"),")","")</f>
        <v>vpa612_2_5</v>
      </c>
      <c r="AM835" s="1352">
        <f>M835</f>
        <v>3</v>
      </c>
      <c r="AN835" s="1352"/>
      <c r="AO835" s="1352"/>
      <c r="AP835" s="1352" t="str">
        <f>SUBSTITUTE(SUBSTITUTE(SUBSTITUTE("vch"&amp;$B835&amp;$C835&amp;$D835&amp;$E835&amp;$F835,".","_"),"(","_"),")","")</f>
        <v>vch612_2_5</v>
      </c>
      <c r="AQ835" s="1352" t="str">
        <f>IF(LEN(W835)=0,"",W835)</f>
        <v/>
      </c>
      <c r="AR835" s="1352" t="str">
        <f>SUBSTITUTE(SUBSTITUTE(SUBSTITUTE("vnt"&amp;$B835&amp;$C835&amp;$D835&amp;$E835&amp;$F835,".","_"),"(","_"),")","")</f>
        <v>vnt612_2_5</v>
      </c>
      <c r="AS835" s="1352" t="str">
        <f>IF(LEN(X835)=0,"",X835)</f>
        <v/>
      </c>
    </row>
    <row r="836" spans="1:45" s="905" customFormat="1" hidden="1" x14ac:dyDescent="0.2">
      <c r="A836" s="1507">
        <v>6</v>
      </c>
      <c r="B836" s="1524" t="s">
        <v>4011</v>
      </c>
      <c r="C836" s="1511" t="s">
        <v>263</v>
      </c>
      <c r="D836" s="1511"/>
      <c r="E836" s="1511"/>
      <c r="F836" s="1514"/>
      <c r="G836" s="1509" t="str">
        <f t="shared" si="56"/>
        <v/>
      </c>
      <c r="H836" s="1510" t="s">
        <v>3197</v>
      </c>
      <c r="I836" s="67"/>
      <c r="J836" s="207"/>
      <c r="K836" s="170"/>
      <c r="L836" s="1650"/>
      <c r="M836" s="1624"/>
      <c r="N836" s="930"/>
      <c r="O836" s="935"/>
      <c r="W836"/>
      <c r="X836" s="1599"/>
      <c r="Y836" s="1894"/>
      <c r="Z836" s="1599"/>
      <c r="AL836" s="1352"/>
      <c r="AM836" s="1352"/>
      <c r="AN836" s="1352"/>
      <c r="AO836" s="1352"/>
      <c r="AP836" s="1352"/>
      <c r="AQ836" s="1352"/>
      <c r="AR836" s="1352"/>
      <c r="AS836" s="1352"/>
    </row>
    <row r="837" spans="1:45" hidden="1" x14ac:dyDescent="0.2">
      <c r="A837" s="1507">
        <v>6</v>
      </c>
      <c r="B837" s="1524" t="s">
        <v>4011</v>
      </c>
      <c r="C837" s="1511" t="s">
        <v>264</v>
      </c>
      <c r="D837" s="1511"/>
      <c r="E837" s="1511"/>
      <c r="F837" s="1514"/>
      <c r="G837" s="1509" t="str">
        <f>G835</f>
        <v/>
      </c>
      <c r="H837" s="1510" t="s">
        <v>3197</v>
      </c>
      <c r="I837" s="67"/>
      <c r="J837" s="212" t="s">
        <v>264</v>
      </c>
      <c r="K837" s="194"/>
      <c r="L837" s="1649" t="s">
        <v>4019</v>
      </c>
      <c r="M837" s="1636">
        <v>3</v>
      </c>
      <c r="N837" s="250"/>
      <c r="O837" s="935"/>
      <c r="P837" s="905" t="b">
        <v>1</v>
      </c>
      <c r="Q837" s="905" t="b">
        <v>1</v>
      </c>
      <c r="R837" s="905" t="b">
        <v>0</v>
      </c>
      <c r="S837" s="905" t="b">
        <v>1</v>
      </c>
      <c r="T837" s="905" t="b">
        <v>0</v>
      </c>
      <c r="U837" s="905"/>
      <c r="V837" s="905"/>
      <c r="W837" s="27"/>
      <c r="X837" s="1621"/>
      <c r="Y837" s="1893" t="str">
        <f>IF(LEN('11.600'!X539)=0,"None",'11.600'!X539)</f>
        <v>None</v>
      </c>
      <c r="Z837" s="1621"/>
      <c r="AC837" s="248"/>
      <c r="AD837" s="248"/>
      <c r="AE837" s="248"/>
      <c r="AF837" s="720"/>
      <c r="AG837" s="248"/>
      <c r="AH837" s="248"/>
      <c r="AI837" s="248"/>
      <c r="AJ837" s="248"/>
      <c r="AK837" s="248"/>
      <c r="AL837" s="1352" t="str">
        <f>SUBSTITUTE(SUBSTITUTE(SUBSTITUTE("vpa"&amp;$B837&amp;$C837&amp;$D837&amp;$E837&amp;$F837,".","_"),"(","_"),")","")</f>
        <v>vpa612_2_6</v>
      </c>
      <c r="AM837" s="1352">
        <f>M837</f>
        <v>3</v>
      </c>
      <c r="AN837" s="1352"/>
      <c r="AO837" s="1352"/>
      <c r="AP837" s="1352" t="str">
        <f>SUBSTITUTE(SUBSTITUTE(SUBSTITUTE("vch"&amp;$B837&amp;$C837&amp;$D837&amp;$E837&amp;$F837,".","_"),"(","_"),")","")</f>
        <v>vch612_2_6</v>
      </c>
      <c r="AQ837" s="1352" t="str">
        <f>IF(LEN(W837)=0,"",W837)</f>
        <v/>
      </c>
      <c r="AR837" s="1352" t="str">
        <f>SUBSTITUTE(SUBSTITUTE(SUBSTITUTE("vnt"&amp;$B837&amp;$C837&amp;$D837&amp;$E837&amp;$F837,".","_"),"(","_"),")","")</f>
        <v>vnt612_2_6</v>
      </c>
      <c r="AS837" s="1352" t="str">
        <f>IF(LEN(X837)=0,"",X837)</f>
        <v/>
      </c>
    </row>
    <row r="838" spans="1:45" s="905" customFormat="1" hidden="1" x14ac:dyDescent="0.2">
      <c r="A838" s="1507">
        <v>6</v>
      </c>
      <c r="B838" s="1524" t="s">
        <v>4011</v>
      </c>
      <c r="C838" s="1511" t="s">
        <v>264</v>
      </c>
      <c r="D838" s="1511"/>
      <c r="E838" s="1511"/>
      <c r="F838" s="1514"/>
      <c r="G838" s="1509" t="str">
        <f t="shared" si="56"/>
        <v/>
      </c>
      <c r="H838" s="1510" t="s">
        <v>3197</v>
      </c>
      <c r="I838" s="67"/>
      <c r="J838" s="180"/>
      <c r="K838" s="97"/>
      <c r="L838" s="1650"/>
      <c r="M838" s="1624"/>
      <c r="N838" s="930"/>
      <c r="O838" s="935"/>
      <c r="W838"/>
      <c r="X838" s="1599"/>
      <c r="Y838" s="1894"/>
      <c r="Z838" s="1599"/>
      <c r="AL838" s="1352"/>
      <c r="AM838" s="1352"/>
      <c r="AN838" s="1352"/>
      <c r="AO838" s="1352"/>
      <c r="AP838" s="1352"/>
      <c r="AQ838" s="1352"/>
      <c r="AR838" s="1352"/>
      <c r="AS838" s="1352"/>
    </row>
    <row r="839" spans="1:45" ht="15" hidden="1" customHeight="1" x14ac:dyDescent="0.2">
      <c r="A839" s="1507">
        <v>6</v>
      </c>
      <c r="B839" s="1524" t="s">
        <v>4011</v>
      </c>
      <c r="C839" s="1511" t="s">
        <v>356</v>
      </c>
      <c r="D839" s="1511"/>
      <c r="E839" s="1511"/>
      <c r="F839" s="1514"/>
      <c r="G839" s="1509" t="str">
        <f>G837</f>
        <v/>
      </c>
      <c r="H839" s="1510" t="s">
        <v>3197</v>
      </c>
      <c r="I839" s="67"/>
      <c r="J839" s="212" t="s">
        <v>356</v>
      </c>
      <c r="K839" s="194"/>
      <c r="L839" s="1613" t="s">
        <v>4020</v>
      </c>
      <c r="M839" s="1636">
        <v>3</v>
      </c>
      <c r="N839" s="250"/>
      <c r="O839" s="935"/>
      <c r="P839" s="905" t="b">
        <v>1</v>
      </c>
      <c r="Q839" s="905" t="b">
        <v>1</v>
      </c>
      <c r="R839" s="905" t="b">
        <v>0</v>
      </c>
      <c r="S839" s="905" t="b">
        <v>1</v>
      </c>
      <c r="T839" s="905" t="b">
        <v>0</v>
      </c>
      <c r="U839" s="905"/>
      <c r="V839" s="905"/>
      <c r="W839" s="27"/>
      <c r="X839" s="1600"/>
      <c r="Y839" s="1881" t="str">
        <f>IF(LEN('11.600'!X541)=0,"None",'11.600'!X541)</f>
        <v>None</v>
      </c>
      <c r="Z839" s="1601"/>
      <c r="AC839" s="248"/>
      <c r="AD839" s="248"/>
      <c r="AE839" s="248"/>
      <c r="AF839" s="720"/>
      <c r="AG839" s="248"/>
      <c r="AH839" s="248"/>
      <c r="AI839" s="248"/>
      <c r="AJ839" s="248"/>
      <c r="AK839" s="248"/>
      <c r="AL839" s="1352" t="str">
        <f>SUBSTITUTE(SUBSTITUTE(SUBSTITUTE("vpa"&amp;$B839&amp;$C839&amp;$D839&amp;$E839&amp;$F839,".","_"),"(","_"),")","")</f>
        <v>vpa612_2_7</v>
      </c>
      <c r="AM839" s="1352">
        <f>M839</f>
        <v>3</v>
      </c>
      <c r="AN839" s="1352"/>
      <c r="AO839" s="1352"/>
      <c r="AP839" s="1352" t="str">
        <f>SUBSTITUTE(SUBSTITUTE(SUBSTITUTE("vch"&amp;$B839&amp;$C839&amp;$D839&amp;$E839&amp;$F839,".","_"),"(","_"),")","")</f>
        <v>vch612_2_7</v>
      </c>
      <c r="AQ839" s="1352" t="str">
        <f>IF(LEN(W839)=0,"",W839)</f>
        <v/>
      </c>
      <c r="AR839" s="1352" t="str">
        <f>SUBSTITUTE(SUBSTITUTE(SUBSTITUTE("vnt"&amp;$B839&amp;$C839&amp;$D839&amp;$E839&amp;$F839,".","_"),"(","_"),")","")</f>
        <v>vnt612_2_7</v>
      </c>
      <c r="AS839" s="1352" t="str">
        <f>IF(LEN(X839)=0,"",X839)</f>
        <v/>
      </c>
    </row>
    <row r="840" spans="1:45" ht="16" hidden="1" thickBot="1" x14ac:dyDescent="0.25">
      <c r="A840" s="1507">
        <v>6</v>
      </c>
      <c r="B840" s="1524" t="s">
        <v>4011</v>
      </c>
      <c r="C840" s="1511" t="s">
        <v>356</v>
      </c>
      <c r="D840" s="1511"/>
      <c r="E840" s="1511"/>
      <c r="F840" s="1514"/>
      <c r="G840" s="1509" t="str">
        <f t="shared" si="56"/>
        <v/>
      </c>
      <c r="H840" s="1510" t="s">
        <v>3197</v>
      </c>
      <c r="I840" s="67"/>
      <c r="J840" s="29"/>
      <c r="K840" s="85"/>
      <c r="L840" s="1610"/>
      <c r="M840" s="1627"/>
      <c r="N840" s="250"/>
      <c r="O840" s="935"/>
      <c r="P840" s="905"/>
      <c r="Q840" s="905"/>
      <c r="R840" s="905"/>
      <c r="S840" s="905"/>
      <c r="T840" s="905"/>
      <c r="U840" s="905"/>
      <c r="V840" s="905"/>
      <c r="W840" s="248"/>
      <c r="X840" s="1621"/>
      <c r="Y840" s="1882"/>
      <c r="Z840" s="1602"/>
      <c r="AC840" s="248"/>
      <c r="AD840" s="248"/>
      <c r="AE840" s="248"/>
      <c r="AF840" s="248"/>
      <c r="AG840" s="248"/>
      <c r="AH840" s="248"/>
      <c r="AI840" s="248"/>
      <c r="AJ840" s="248"/>
      <c r="AK840" s="248"/>
      <c r="AL840" s="1352"/>
      <c r="AM840" s="1352"/>
      <c r="AN840" s="1352"/>
      <c r="AO840" s="1352"/>
      <c r="AP840" s="1352"/>
      <c r="AQ840" s="1352"/>
      <c r="AR840" s="1352"/>
      <c r="AS840" s="1352"/>
    </row>
    <row r="841" spans="1:45" ht="16" hidden="1" thickTop="1" x14ac:dyDescent="0.2">
      <c r="A841" s="1507">
        <v>6</v>
      </c>
      <c r="B841" s="1524" t="s">
        <v>4012</v>
      </c>
      <c r="C841" s="1511"/>
      <c r="D841" s="1511"/>
      <c r="E841" s="1511"/>
      <c r="F841" s="1514"/>
      <c r="G841" s="1509" t="str">
        <f ca="1">IF(N841&gt;0,"P","")</f>
        <v/>
      </c>
      <c r="H841" s="1510" t="s">
        <v>3197</v>
      </c>
      <c r="I841" s="177" t="s">
        <v>4007</v>
      </c>
      <c r="J841" s="199"/>
      <c r="K841" s="179"/>
      <c r="L841" s="1683" t="s">
        <v>4008</v>
      </c>
      <c r="M841" s="1685" t="s">
        <v>465</v>
      </c>
      <c r="N841" s="1770">
        <f ca="1">'11.600'!O543</f>
        <v>0</v>
      </c>
      <c r="O841" s="1682">
        <f ca="1">MIN(12,M843*S843*W843+M848*S848*W848+M852*S852*W852+M854*S854*W854+M856*S856*W856+M857*S857*W857+M858*S858*W858+M862*S862*W862+IFERROR(INDEX({1,2,3,4,5},MATCH(W864,INDIRECT(U864),0)),0)*S864)</f>
        <v>0</v>
      </c>
      <c r="P841" s="106"/>
      <c r="Q841" s="106"/>
      <c r="R841" s="106"/>
      <c r="S841" s="106"/>
      <c r="T841" s="106"/>
      <c r="U841" s="106"/>
      <c r="V841" s="106"/>
      <c r="W841" s="106"/>
      <c r="X841" s="106"/>
      <c r="Z841" s="670"/>
      <c r="AC841" s="248"/>
      <c r="AD841" s="248"/>
      <c r="AE841" s="248"/>
      <c r="AF841" s="248"/>
      <c r="AG841" s="248"/>
      <c r="AH841" s="248"/>
      <c r="AI841" s="248"/>
      <c r="AJ841" s="248"/>
      <c r="AK841" s="248"/>
      <c r="AL841" s="1352" t="str">
        <f>SUBSTITUTE(SUBSTITUTE(SUBSTITUTE("vpa"&amp;$B841&amp;$C841&amp;$D841&amp;$E841&amp;$F841,".","_"),"(","_"),")","")</f>
        <v>vpa612_3</v>
      </c>
      <c r="AM841" s="1352" t="str">
        <f>M841</f>
        <v>12 Max</v>
      </c>
      <c r="AN841" s="1352" t="str">
        <f>SUBSTITUTE(SUBSTITUTE(SUBSTITUTE("vpc"&amp;$B841&amp;$C841&amp;$D841&amp;$E841&amp;$F841,".","_"),"(","_"),")","")</f>
        <v>vpc612_3</v>
      </c>
      <c r="AO841" s="1352">
        <f ca="1">O841</f>
        <v>0</v>
      </c>
      <c r="AP841" s="1352"/>
      <c r="AQ841" s="1352"/>
      <c r="AR841" s="1352"/>
      <c r="AS841" s="1352"/>
    </row>
    <row r="842" spans="1:45" hidden="1" x14ac:dyDescent="0.2">
      <c r="A842" s="1507">
        <v>6</v>
      </c>
      <c r="B842" s="1524" t="s">
        <v>4012</v>
      </c>
      <c r="C842" s="1511"/>
      <c r="D842" s="1511"/>
      <c r="E842" s="1511"/>
      <c r="F842" s="1514"/>
      <c r="G842" s="1509" t="str">
        <f t="shared" ref="G842:G864" ca="1" si="57">G841</f>
        <v/>
      </c>
      <c r="H842" s="1510" t="s">
        <v>3197</v>
      </c>
      <c r="I842" s="130"/>
      <c r="J842" s="129"/>
      <c r="K842" s="97"/>
      <c r="L842" s="1629"/>
      <c r="M842" s="1623"/>
      <c r="N842" s="1755"/>
      <c r="O842" s="1619"/>
      <c r="P842" s="991"/>
      <c r="Q842" s="991"/>
      <c r="R842" s="991"/>
      <c r="S842" s="991"/>
      <c r="T842" s="991"/>
      <c r="U842" s="991"/>
      <c r="V842" s="991"/>
      <c r="W842" s="96"/>
      <c r="X842" s="96"/>
      <c r="Z842" s="670"/>
      <c r="AC842" s="248"/>
      <c r="AD842" s="248"/>
      <c r="AE842" s="248"/>
      <c r="AF842" s="248"/>
      <c r="AG842" s="248"/>
      <c r="AH842" s="248"/>
      <c r="AI842" s="248"/>
      <c r="AJ842" s="248"/>
      <c r="AK842" s="248"/>
      <c r="AL842" s="1352"/>
      <c r="AM842" s="1352"/>
      <c r="AN842" s="1352"/>
      <c r="AO842" s="1352"/>
      <c r="AP842" s="1352"/>
      <c r="AQ842" s="1352"/>
      <c r="AR842" s="1352"/>
      <c r="AS842" s="1352"/>
    </row>
    <row r="843" spans="1:45" hidden="1" x14ac:dyDescent="0.2">
      <c r="A843" s="1507">
        <v>6</v>
      </c>
      <c r="B843" s="1524" t="s">
        <v>4012</v>
      </c>
      <c r="C843" s="1511" t="s">
        <v>254</v>
      </c>
      <c r="D843" s="1511"/>
      <c r="E843" s="1511"/>
      <c r="F843" s="1514"/>
      <c r="G843" s="1509" t="str">
        <f t="shared" ca="1" si="57"/>
        <v/>
      </c>
      <c r="H843" s="1510" t="s">
        <v>3197</v>
      </c>
      <c r="I843" s="67"/>
      <c r="J843" s="180" t="s">
        <v>254</v>
      </c>
      <c r="K843" s="97"/>
      <c r="L843" s="1609" t="s">
        <v>593</v>
      </c>
      <c r="M843" s="1623">
        <v>3</v>
      </c>
      <c r="N843" s="250"/>
      <c r="O843" s="935"/>
      <c r="P843" s="905" t="b">
        <v>1</v>
      </c>
      <c r="Q843" s="905" t="b">
        <v>1</v>
      </c>
      <c r="R843" s="905" t="b">
        <v>0</v>
      </c>
      <c r="S843" s="905" t="b">
        <v>1</v>
      </c>
      <c r="T843" s="905" t="b">
        <v>0</v>
      </c>
      <c r="U843" s="905"/>
      <c r="V843" s="905"/>
      <c r="W843" s="27"/>
      <c r="X843" s="1600"/>
      <c r="Y843" s="1874" t="str">
        <f>IF(LEN('11.600'!X545)=0,"None",'11.600'!X545)</f>
        <v>None</v>
      </c>
      <c r="Z843" s="1889"/>
      <c r="AA843" s="707" t="e">
        <f>'Photo Review'!#REF!</f>
        <v>#REF!</v>
      </c>
      <c r="AC843" s="248"/>
      <c r="AD843" s="248"/>
      <c r="AE843" s="248"/>
      <c r="AF843" s="248"/>
      <c r="AG843" s="248"/>
      <c r="AH843" s="248"/>
      <c r="AI843" s="248"/>
      <c r="AJ843" s="248"/>
      <c r="AK843" s="248"/>
      <c r="AL843" s="1352" t="str">
        <f>SUBSTITUTE(SUBSTITUTE(SUBSTITUTE("vpa"&amp;$B843&amp;$C843&amp;$D843&amp;$E843&amp;$F843,".","_"),"(","_"),")","")</f>
        <v>vpa612_3_1</v>
      </c>
      <c r="AM843" s="1352">
        <f>M843</f>
        <v>3</v>
      </c>
      <c r="AN843" s="1352"/>
      <c r="AO843" s="1352"/>
      <c r="AP843" s="1352" t="str">
        <f>SUBSTITUTE(SUBSTITUTE(SUBSTITUTE("vch"&amp;$B843&amp;$C843&amp;$D843&amp;$E843&amp;$F843,".","_"),"(","_"),")","")</f>
        <v>vch612_3_1</v>
      </c>
      <c r="AQ843" s="1352" t="str">
        <f>IF(LEN(W843)=0,"",W843)</f>
        <v/>
      </c>
      <c r="AR843" s="1352" t="str">
        <f>SUBSTITUTE(SUBSTITUTE(SUBSTITUTE("vnt"&amp;$B843&amp;$C843&amp;$D843&amp;$E843&amp;$F843,".","_"),"(","_"),")","")</f>
        <v>vnt612_3_1</v>
      </c>
      <c r="AS843" s="1352" t="str">
        <f>IF(LEN(X843)=0,"",X843)</f>
        <v/>
      </c>
    </row>
    <row r="844" spans="1:45" hidden="1" x14ac:dyDescent="0.2">
      <c r="A844" s="1507">
        <v>6</v>
      </c>
      <c r="B844" s="1524" t="s">
        <v>4012</v>
      </c>
      <c r="C844" s="1511" t="s">
        <v>254</v>
      </c>
      <c r="D844" s="1511"/>
      <c r="E844" s="1511"/>
      <c r="F844" s="1514"/>
      <c r="G844" s="1509" t="str">
        <f t="shared" ca="1" si="57"/>
        <v/>
      </c>
      <c r="H844" s="1510" t="s">
        <v>3197</v>
      </c>
      <c r="I844" s="67"/>
      <c r="J844" s="129"/>
      <c r="K844" s="97"/>
      <c r="L844" s="1609"/>
      <c r="M844" s="1623"/>
      <c r="N844" s="250"/>
      <c r="O844" s="935"/>
      <c r="P844" s="905"/>
      <c r="Q844" s="905"/>
      <c r="R844" s="905"/>
      <c r="S844" s="905"/>
      <c r="T844" s="905"/>
      <c r="U844" s="905"/>
      <c r="V844" s="905"/>
      <c r="W844" s="248"/>
      <c r="X844" s="1600"/>
      <c r="Y844" s="1874"/>
      <c r="Z844" s="1889"/>
      <c r="AC844" s="248"/>
      <c r="AD844" s="248"/>
      <c r="AE844" s="248"/>
      <c r="AF844" s="248"/>
      <c r="AG844" s="248"/>
      <c r="AH844" s="248"/>
      <c r="AI844" s="248"/>
      <c r="AJ844" s="248"/>
      <c r="AK844" s="248"/>
      <c r="AL844" s="1352"/>
      <c r="AM844" s="1352"/>
      <c r="AN844" s="1352"/>
      <c r="AO844" s="1352"/>
      <c r="AP844" s="1352"/>
      <c r="AQ844" s="1352"/>
      <c r="AR844" s="1352"/>
      <c r="AS844" s="1352"/>
    </row>
    <row r="845" spans="1:45" hidden="1" x14ac:dyDescent="0.2">
      <c r="A845" s="1507">
        <v>6</v>
      </c>
      <c r="B845" s="1524" t="s">
        <v>4012</v>
      </c>
      <c r="C845" s="1511" t="s">
        <v>254</v>
      </c>
      <c r="D845" s="1511"/>
      <c r="E845" s="1511"/>
      <c r="F845" s="1514"/>
      <c r="G845" s="1509" t="str">
        <f t="shared" ca="1" si="57"/>
        <v/>
      </c>
      <c r="H845" s="1510" t="s">
        <v>3197</v>
      </c>
      <c r="I845" s="67"/>
      <c r="J845" s="129"/>
      <c r="K845" s="97"/>
      <c r="L845" s="1609"/>
      <c r="M845" s="1623"/>
      <c r="N845" s="250"/>
      <c r="O845" s="935"/>
      <c r="P845" s="905"/>
      <c r="Q845" s="905"/>
      <c r="R845" s="905"/>
      <c r="S845" s="905"/>
      <c r="T845" s="905"/>
      <c r="U845" s="905"/>
      <c r="V845" s="905"/>
      <c r="W845" s="248"/>
      <c r="X845" s="1600"/>
      <c r="Y845" s="1874"/>
      <c r="Z845" s="1889"/>
      <c r="AC845" s="248"/>
      <c r="AD845" s="248"/>
      <c r="AE845" s="248"/>
      <c r="AF845" s="248"/>
      <c r="AG845" s="248"/>
      <c r="AH845" s="248"/>
      <c r="AI845" s="248"/>
      <c r="AJ845" s="248"/>
      <c r="AK845" s="248"/>
      <c r="AL845" s="1352"/>
      <c r="AM845" s="1352"/>
      <c r="AN845" s="1352"/>
      <c r="AO845" s="1352"/>
      <c r="AP845" s="1352"/>
      <c r="AQ845" s="1352"/>
      <c r="AR845" s="1352"/>
      <c r="AS845" s="1352"/>
    </row>
    <row r="846" spans="1:45" hidden="1" x14ac:dyDescent="0.2">
      <c r="A846" s="1507">
        <v>6</v>
      </c>
      <c r="B846" s="1524" t="s">
        <v>4012</v>
      </c>
      <c r="C846" s="1511" t="s">
        <v>254</v>
      </c>
      <c r="D846" s="1511"/>
      <c r="E846" s="1511"/>
      <c r="F846" s="1514"/>
      <c r="G846" s="1509" t="str">
        <f t="shared" ca="1" si="57"/>
        <v/>
      </c>
      <c r="H846" s="1510" t="s">
        <v>3197</v>
      </c>
      <c r="I846" s="67"/>
      <c r="J846" s="129"/>
      <c r="K846" s="97"/>
      <c r="L846" s="1609"/>
      <c r="M846" s="1623"/>
      <c r="N846" s="250"/>
      <c r="O846" s="935"/>
      <c r="P846" s="905"/>
      <c r="Q846" s="905"/>
      <c r="R846" s="905"/>
      <c r="S846" s="905"/>
      <c r="T846" s="905"/>
      <c r="U846" s="905"/>
      <c r="V846" s="905"/>
      <c r="W846" s="248"/>
      <c r="X846" s="1600"/>
      <c r="Y846" s="1874"/>
      <c r="Z846" s="1889"/>
      <c r="AC846" s="248"/>
      <c r="AD846" s="248"/>
      <c r="AE846" s="248"/>
      <c r="AF846" s="248"/>
      <c r="AG846" s="248"/>
      <c r="AH846" s="248"/>
      <c r="AI846" s="248"/>
      <c r="AJ846" s="248"/>
      <c r="AK846" s="248"/>
      <c r="AL846" s="1352"/>
      <c r="AM846" s="1352"/>
      <c r="AN846" s="1352"/>
      <c r="AO846" s="1352"/>
      <c r="AP846" s="1352"/>
      <c r="AQ846" s="1352"/>
      <c r="AR846" s="1352"/>
      <c r="AS846" s="1352"/>
    </row>
    <row r="847" spans="1:45" hidden="1" x14ac:dyDescent="0.2">
      <c r="A847" s="1507">
        <v>6</v>
      </c>
      <c r="B847" s="1524" t="s">
        <v>4012</v>
      </c>
      <c r="C847" s="1511" t="s">
        <v>254</v>
      </c>
      <c r="D847" s="1511"/>
      <c r="E847" s="1511"/>
      <c r="F847" s="1514"/>
      <c r="G847" s="1509" t="str">
        <f t="shared" ca="1" si="57"/>
        <v/>
      </c>
      <c r="H847" s="1510" t="s">
        <v>3197</v>
      </c>
      <c r="I847" s="67"/>
      <c r="J847" s="213"/>
      <c r="K847" s="170"/>
      <c r="L847" s="1612"/>
      <c r="M847" s="1624"/>
      <c r="N847" s="250"/>
      <c r="O847" s="935"/>
      <c r="P847" s="905"/>
      <c r="Q847" s="905"/>
      <c r="R847" s="905"/>
      <c r="S847" s="905"/>
      <c r="T847" s="905"/>
      <c r="U847" s="905"/>
      <c r="V847" s="905"/>
      <c r="W847" s="248"/>
      <c r="X847" s="1600"/>
      <c r="Y847" s="1874"/>
      <c r="Z847" s="1889"/>
      <c r="AC847" s="248"/>
      <c r="AD847" s="248"/>
      <c r="AE847" s="248"/>
      <c r="AF847" s="248"/>
      <c r="AG847" s="248"/>
      <c r="AH847" s="248"/>
      <c r="AI847" s="248"/>
      <c r="AJ847" s="248"/>
      <c r="AK847" s="248"/>
      <c r="AL847" s="1352"/>
      <c r="AM847" s="1352"/>
      <c r="AN847" s="1352"/>
      <c r="AO847" s="1352"/>
      <c r="AP847" s="1352"/>
      <c r="AQ847" s="1352"/>
      <c r="AR847" s="1352"/>
      <c r="AS847" s="1352"/>
    </row>
    <row r="848" spans="1:45" hidden="1" x14ac:dyDescent="0.2">
      <c r="A848" s="1507">
        <v>6</v>
      </c>
      <c r="B848" s="1524" t="s">
        <v>4012</v>
      </c>
      <c r="C848" s="1511" t="s">
        <v>255</v>
      </c>
      <c r="D848" s="1511"/>
      <c r="E848" s="1511"/>
      <c r="F848" s="1514"/>
      <c r="G848" s="1509" t="str">
        <f t="shared" ca="1" si="57"/>
        <v/>
      </c>
      <c r="H848" s="1510" t="s">
        <v>3197</v>
      </c>
      <c r="I848" s="67"/>
      <c r="J848" s="212" t="s">
        <v>255</v>
      </c>
      <c r="K848" s="194"/>
      <c r="L848" s="1613" t="s">
        <v>594</v>
      </c>
      <c r="M848" s="1636">
        <v>3</v>
      </c>
      <c r="N848" s="250"/>
      <c r="O848" s="935"/>
      <c r="P848" s="905" t="b">
        <v>1</v>
      </c>
      <c r="Q848" s="905" t="b">
        <v>1</v>
      </c>
      <c r="R848" s="905" t="b">
        <v>0</v>
      </c>
      <c r="S848" s="905" t="b">
        <f>IF(W843=TRUE,TRUE,FALSE)</f>
        <v>0</v>
      </c>
      <c r="T848" s="991" t="b">
        <f>AND(NOT(S848),W848=TRUE)</f>
        <v>0</v>
      </c>
      <c r="U848" s="905"/>
      <c r="V848" s="905"/>
      <c r="W848" s="27"/>
      <c r="X848" s="1600"/>
      <c r="Y848" s="1874" t="str">
        <f>IF(LEN('11.600'!X550)=0,"None",'11.600'!X550)</f>
        <v>None</v>
      </c>
      <c r="Z848" s="1889"/>
      <c r="AC848" s="248" t="b">
        <f>OR(AD848:AE848)</f>
        <v>0</v>
      </c>
      <c r="AD848" s="248" t="b">
        <f>T848</f>
        <v>0</v>
      </c>
      <c r="AE848" s="248"/>
      <c r="AF848" s="248"/>
      <c r="AG848" s="248"/>
      <c r="AH848" s="248"/>
      <c r="AI848" s="248"/>
      <c r="AJ848" s="248"/>
      <c r="AK848" s="248"/>
      <c r="AL848" s="1352" t="str">
        <f>SUBSTITUTE(SUBSTITUTE(SUBSTITUTE("vpa"&amp;$B848&amp;$C848&amp;$D848&amp;$E848&amp;$F848,".","_"),"(","_"),")","")</f>
        <v>vpa612_3_2</v>
      </c>
      <c r="AM848" s="1352">
        <f>M848</f>
        <v>3</v>
      </c>
      <c r="AN848" s="1352"/>
      <c r="AO848" s="1352"/>
      <c r="AP848" s="1352" t="str">
        <f>SUBSTITUTE(SUBSTITUTE(SUBSTITUTE("vch"&amp;$B848&amp;$C848&amp;$D848&amp;$E848&amp;$F848,".","_"),"(","_"),")","")</f>
        <v>vch612_3_2</v>
      </c>
      <c r="AQ848" s="1352" t="str">
        <f>IF(LEN(W848)=0,"",W848)</f>
        <v/>
      </c>
      <c r="AR848" s="1352" t="str">
        <f>SUBSTITUTE(SUBSTITUTE(SUBSTITUTE("vnt"&amp;$B848&amp;$C848&amp;$D848&amp;$E848&amp;$F848,".","_"),"(","_"),")","")</f>
        <v>vnt612_3_2</v>
      </c>
      <c r="AS848" s="1352" t="str">
        <f>IF(LEN(X848)=0,"",X848)</f>
        <v/>
      </c>
    </row>
    <row r="849" spans="1:45" hidden="1" x14ac:dyDescent="0.2">
      <c r="A849" s="1507">
        <v>6</v>
      </c>
      <c r="B849" s="1524" t="s">
        <v>4012</v>
      </c>
      <c r="C849" s="1511" t="s">
        <v>255</v>
      </c>
      <c r="D849" s="1511"/>
      <c r="E849" s="1511"/>
      <c r="F849" s="1514"/>
      <c r="G849" s="1509" t="str">
        <f t="shared" ca="1" si="57"/>
        <v/>
      </c>
      <c r="H849" s="1510" t="s">
        <v>3197</v>
      </c>
      <c r="I849" s="67"/>
      <c r="J849" s="129"/>
      <c r="K849" s="97"/>
      <c r="L849" s="1609"/>
      <c r="M849" s="1623"/>
      <c r="N849" s="250"/>
      <c r="O849" s="935"/>
      <c r="P849" s="905"/>
      <c r="Q849" s="905"/>
      <c r="R849" s="905"/>
      <c r="S849" s="905"/>
      <c r="T849" s="905"/>
      <c r="U849" s="905"/>
      <c r="V849" s="905"/>
      <c r="W849" s="248"/>
      <c r="X849" s="1600"/>
      <c r="Y849" s="1874"/>
      <c r="Z849" s="1889"/>
      <c r="AC849" s="248"/>
      <c r="AD849" s="248"/>
      <c r="AE849" s="248"/>
      <c r="AF849" s="248"/>
      <c r="AG849" s="248"/>
      <c r="AH849" s="248"/>
      <c r="AI849" s="248"/>
      <c r="AJ849" s="248"/>
      <c r="AK849" s="248"/>
      <c r="AL849" s="1352"/>
      <c r="AM849" s="1352"/>
      <c r="AN849" s="1352"/>
      <c r="AO849" s="1352"/>
      <c r="AP849" s="1352"/>
      <c r="AQ849" s="1352"/>
      <c r="AR849" s="1352"/>
      <c r="AS849" s="1352"/>
    </row>
    <row r="850" spans="1:45" hidden="1" x14ac:dyDescent="0.2">
      <c r="A850" s="1507">
        <v>6</v>
      </c>
      <c r="B850" s="1524" t="s">
        <v>4012</v>
      </c>
      <c r="C850" s="1511" t="s">
        <v>255</v>
      </c>
      <c r="D850" s="1511"/>
      <c r="E850" s="1511"/>
      <c r="F850" s="1514"/>
      <c r="G850" s="1509" t="str">
        <f t="shared" ca="1" si="57"/>
        <v/>
      </c>
      <c r="H850" s="1510" t="s">
        <v>3197</v>
      </c>
      <c r="I850" s="67"/>
      <c r="J850" s="129"/>
      <c r="K850" s="97"/>
      <c r="L850" s="1609"/>
      <c r="M850" s="1623"/>
      <c r="N850" s="250"/>
      <c r="O850" s="935"/>
      <c r="P850" s="905"/>
      <c r="Q850" s="905"/>
      <c r="R850" s="905"/>
      <c r="S850" s="905"/>
      <c r="T850" s="905"/>
      <c r="U850" s="905"/>
      <c r="V850" s="905"/>
      <c r="W850" s="248"/>
      <c r="X850" s="1600"/>
      <c r="Y850" s="1874"/>
      <c r="Z850" s="1889"/>
      <c r="AC850" s="248"/>
      <c r="AD850" s="248"/>
      <c r="AE850" s="248"/>
      <c r="AF850" s="248"/>
      <c r="AG850" s="248"/>
      <c r="AH850" s="248"/>
      <c r="AI850" s="248"/>
      <c r="AJ850" s="248"/>
      <c r="AK850" s="248"/>
      <c r="AL850" s="1352"/>
      <c r="AM850" s="1352"/>
      <c r="AN850" s="1352"/>
      <c r="AO850" s="1352"/>
      <c r="AP850" s="1352"/>
      <c r="AQ850" s="1352"/>
      <c r="AR850" s="1352"/>
      <c r="AS850" s="1352"/>
    </row>
    <row r="851" spans="1:45" hidden="1" x14ac:dyDescent="0.2">
      <c r="A851" s="1507">
        <v>6</v>
      </c>
      <c r="B851" s="1524" t="s">
        <v>4012</v>
      </c>
      <c r="C851" s="1511" t="s">
        <v>255</v>
      </c>
      <c r="D851" s="1511"/>
      <c r="E851" s="1511"/>
      <c r="F851" s="1514"/>
      <c r="G851" s="1509" t="str">
        <f t="shared" ca="1" si="57"/>
        <v/>
      </c>
      <c r="H851" s="1510" t="s">
        <v>3197</v>
      </c>
      <c r="I851" s="67"/>
      <c r="J851" s="213"/>
      <c r="K851" s="170"/>
      <c r="L851" s="1612"/>
      <c r="M851" s="1624"/>
      <c r="N851" s="250"/>
      <c r="O851" s="935"/>
      <c r="P851" s="905"/>
      <c r="Q851" s="905"/>
      <c r="R851" s="905"/>
      <c r="S851" s="905"/>
      <c r="T851" s="905"/>
      <c r="U851" s="905"/>
      <c r="V851" s="905"/>
      <c r="W851" s="248"/>
      <c r="X851" s="1600"/>
      <c r="Y851" s="1874"/>
      <c r="Z851" s="1889"/>
      <c r="AC851" s="248"/>
      <c r="AD851" s="248"/>
      <c r="AE851" s="248"/>
      <c r="AF851" s="248"/>
      <c r="AG851" s="248"/>
      <c r="AH851" s="248"/>
      <c r="AI851" s="248"/>
      <c r="AJ851" s="248"/>
      <c r="AK851" s="248"/>
      <c r="AL851" s="1352"/>
      <c r="AM851" s="1352"/>
      <c r="AN851" s="1352"/>
      <c r="AO851" s="1352"/>
      <c r="AP851" s="1352"/>
      <c r="AQ851" s="1352"/>
      <c r="AR851" s="1352"/>
      <c r="AS851" s="1352"/>
    </row>
    <row r="852" spans="1:45" hidden="1" x14ac:dyDescent="0.2">
      <c r="A852" s="1507">
        <v>6</v>
      </c>
      <c r="B852" s="1524" t="s">
        <v>4012</v>
      </c>
      <c r="C852" s="1511" t="s">
        <v>256</v>
      </c>
      <c r="D852" s="1511"/>
      <c r="E852" s="1511"/>
      <c r="F852" s="1514"/>
      <c r="G852" s="1509" t="str">
        <f t="shared" ca="1" si="57"/>
        <v/>
      </c>
      <c r="H852" s="1510" t="s">
        <v>3197</v>
      </c>
      <c r="I852" s="67"/>
      <c r="J852" s="212" t="s">
        <v>256</v>
      </c>
      <c r="K852" s="194"/>
      <c r="L852" s="1613" t="s">
        <v>595</v>
      </c>
      <c r="M852" s="1636">
        <v>3</v>
      </c>
      <c r="N852" s="250"/>
      <c r="O852" s="935"/>
      <c r="P852" s="905" t="b">
        <v>1</v>
      </c>
      <c r="Q852" s="905" t="b">
        <v>1</v>
      </c>
      <c r="R852" s="905" t="b">
        <v>0</v>
      </c>
      <c r="S852" s="905" t="b">
        <f>IF(W843=TRUE,TRUE,FALSE)</f>
        <v>0</v>
      </c>
      <c r="T852" s="991" t="b">
        <f>AND(NOT(S852),W852=TRUE)</f>
        <v>0</v>
      </c>
      <c r="U852" s="905"/>
      <c r="V852" s="905"/>
      <c r="W852" s="27"/>
      <c r="X852" s="1600"/>
      <c r="Y852" s="1874" t="str">
        <f>IF(LEN('11.600'!X554)=0,"None",'11.600'!X554)</f>
        <v>None</v>
      </c>
      <c r="Z852" s="1889"/>
      <c r="AC852" s="248" t="b">
        <f>OR(AD852:AE852)</f>
        <v>0</v>
      </c>
      <c r="AD852" s="248" t="b">
        <f>T852</f>
        <v>0</v>
      </c>
      <c r="AE852" s="248"/>
      <c r="AF852" s="248"/>
      <c r="AG852" s="248"/>
      <c r="AH852" s="248"/>
      <c r="AI852" s="248"/>
      <c r="AJ852" s="248"/>
      <c r="AK852" s="248"/>
      <c r="AL852" s="1352" t="str">
        <f>SUBSTITUTE(SUBSTITUTE(SUBSTITUTE("vpa"&amp;$B852&amp;$C852&amp;$D852&amp;$E852&amp;$F852,".","_"),"(","_"),")","")</f>
        <v>vpa612_3_3</v>
      </c>
      <c r="AM852" s="1352">
        <f>M852</f>
        <v>3</v>
      </c>
      <c r="AN852" s="1352"/>
      <c r="AO852" s="1352"/>
      <c r="AP852" s="1352" t="str">
        <f>SUBSTITUTE(SUBSTITUTE(SUBSTITUTE("vch"&amp;$B852&amp;$C852&amp;$D852&amp;$E852&amp;$F852,".","_"),"(","_"),")","")</f>
        <v>vch612_3_3</v>
      </c>
      <c r="AQ852" s="1352" t="str">
        <f>IF(LEN(W852)=0,"",W852)</f>
        <v/>
      </c>
      <c r="AR852" s="1352" t="str">
        <f>SUBSTITUTE(SUBSTITUTE(SUBSTITUTE("vnt"&amp;$B852&amp;$C852&amp;$D852&amp;$E852&amp;$F852,".","_"),"(","_"),")","")</f>
        <v>vnt612_3_3</v>
      </c>
      <c r="AS852" s="1352" t="str">
        <f>IF(LEN(X852)=0,"",X852)</f>
        <v/>
      </c>
    </row>
    <row r="853" spans="1:45" hidden="1" x14ac:dyDescent="0.2">
      <c r="A853" s="1507">
        <v>6</v>
      </c>
      <c r="B853" s="1524" t="s">
        <v>4012</v>
      </c>
      <c r="C853" s="1511" t="s">
        <v>256</v>
      </c>
      <c r="D853" s="1511"/>
      <c r="E853" s="1511"/>
      <c r="F853" s="1514"/>
      <c r="G853" s="1509" t="str">
        <f t="shared" ca="1" si="57"/>
        <v/>
      </c>
      <c r="H853" s="1510" t="s">
        <v>3197</v>
      </c>
      <c r="I853" s="67"/>
      <c r="J853" s="213"/>
      <c r="K853" s="170"/>
      <c r="L853" s="1612"/>
      <c r="M853" s="1624"/>
      <c r="N853" s="250"/>
      <c r="O853" s="935"/>
      <c r="P853" s="905"/>
      <c r="Q853" s="905"/>
      <c r="R853" s="905"/>
      <c r="S853" s="905"/>
      <c r="T853" s="905"/>
      <c r="U853" s="905"/>
      <c r="V853" s="905"/>
      <c r="W853" s="248"/>
      <c r="X853" s="1600"/>
      <c r="Y853" s="1874"/>
      <c r="Z853" s="1889"/>
      <c r="AC853" s="248"/>
      <c r="AD853" s="248"/>
      <c r="AE853" s="248"/>
      <c r="AF853" s="248"/>
      <c r="AG853" s="248"/>
      <c r="AH853" s="248"/>
      <c r="AI853" s="248"/>
      <c r="AJ853" s="248"/>
      <c r="AK853" s="248"/>
      <c r="AL853" s="1352"/>
      <c r="AM853" s="1352"/>
      <c r="AN853" s="1352"/>
      <c r="AO853" s="1352"/>
      <c r="AP853" s="1352"/>
      <c r="AQ853" s="1352"/>
      <c r="AR853" s="1352"/>
      <c r="AS853" s="1352"/>
    </row>
    <row r="854" spans="1:45" hidden="1" x14ac:dyDescent="0.2">
      <c r="A854" s="1507">
        <v>6</v>
      </c>
      <c r="B854" s="1524" t="s">
        <v>4012</v>
      </c>
      <c r="C854" s="1511" t="s">
        <v>259</v>
      </c>
      <c r="D854" s="1511"/>
      <c r="E854" s="1511"/>
      <c r="F854" s="1514"/>
      <c r="G854" s="1509" t="str">
        <f t="shared" ca="1" si="57"/>
        <v/>
      </c>
      <c r="H854" s="1510" t="s">
        <v>3198</v>
      </c>
      <c r="I854" s="67"/>
      <c r="J854" s="212" t="s">
        <v>259</v>
      </c>
      <c r="K854" s="194"/>
      <c r="L854" s="1613" t="s">
        <v>596</v>
      </c>
      <c r="M854" s="1636">
        <v>1</v>
      </c>
      <c r="N854" s="250"/>
      <c r="O854" s="935"/>
      <c r="P854" s="905" t="b">
        <v>1</v>
      </c>
      <c r="Q854" s="905" t="b">
        <v>0</v>
      </c>
      <c r="R854" s="905" t="b">
        <v>0</v>
      </c>
      <c r="S854" s="905" t="b">
        <v>1</v>
      </c>
      <c r="T854" s="905" t="b">
        <v>0</v>
      </c>
      <c r="U854" s="905"/>
      <c r="V854" s="905"/>
      <c r="W854" s="27"/>
      <c r="X854" s="1600"/>
      <c r="Y854" s="1874" t="str">
        <f>IF(LEN('11.600'!X556)=0,"None",'11.600'!X556)</f>
        <v>None</v>
      </c>
      <c r="Z854" s="1889"/>
      <c r="AC854" s="248"/>
      <c r="AD854" s="248"/>
      <c r="AE854" s="248"/>
      <c r="AF854" s="248"/>
      <c r="AG854" s="248"/>
      <c r="AH854" s="248"/>
      <c r="AI854" s="248"/>
      <c r="AJ854" s="248"/>
      <c r="AK854" s="248"/>
      <c r="AL854" s="1352" t="str">
        <f>SUBSTITUTE(SUBSTITUTE(SUBSTITUTE("vpa"&amp;$B854&amp;$C854&amp;$D854&amp;$E854&amp;$F854,".","_"),"(","_"),")","")</f>
        <v>vpa612_3_4</v>
      </c>
      <c r="AM854" s="1352">
        <f>M854</f>
        <v>1</v>
      </c>
      <c r="AN854" s="1352"/>
      <c r="AO854" s="1352"/>
      <c r="AP854" s="1352" t="str">
        <f>SUBSTITUTE(SUBSTITUTE(SUBSTITUTE("vch"&amp;$B854&amp;$C854&amp;$D854&amp;$E854&amp;$F854,".","_"),"(","_"),")","")</f>
        <v>vch612_3_4</v>
      </c>
      <c r="AQ854" s="1352" t="str">
        <f>IF(LEN(W854)=0,"",W854)</f>
        <v/>
      </c>
      <c r="AR854" s="1352" t="str">
        <f>SUBSTITUTE(SUBSTITUTE(SUBSTITUTE("vnt"&amp;$B854&amp;$C854&amp;$D854&amp;$E854&amp;$F854,".","_"),"(","_"),")","")</f>
        <v>vnt612_3_4</v>
      </c>
      <c r="AS854" s="1352" t="str">
        <f>IF(LEN(X854)=0,"",X854)</f>
        <v/>
      </c>
    </row>
    <row r="855" spans="1:45" hidden="1" x14ac:dyDescent="0.2">
      <c r="A855" s="1507">
        <v>6</v>
      </c>
      <c r="B855" s="1524" t="s">
        <v>4012</v>
      </c>
      <c r="C855" s="1511" t="s">
        <v>259</v>
      </c>
      <c r="D855" s="1511"/>
      <c r="E855" s="1511"/>
      <c r="F855" s="1514"/>
      <c r="G855" s="1509" t="str">
        <f t="shared" ca="1" si="57"/>
        <v/>
      </c>
      <c r="H855" s="1510" t="s">
        <v>3198</v>
      </c>
      <c r="I855" s="67"/>
      <c r="J855" s="213"/>
      <c r="K855" s="170"/>
      <c r="L855" s="1612"/>
      <c r="M855" s="1624"/>
      <c r="N855" s="250"/>
      <c r="O855" s="935"/>
      <c r="P855" s="905"/>
      <c r="Q855" s="905"/>
      <c r="R855" s="905"/>
      <c r="S855" s="905"/>
      <c r="T855" s="905"/>
      <c r="U855" s="905"/>
      <c r="V855" s="905"/>
      <c r="W855" s="248"/>
      <c r="X855" s="1600"/>
      <c r="Y855" s="1874"/>
      <c r="Z855" s="1889"/>
      <c r="AC855" s="248"/>
      <c r="AD855" s="248"/>
      <c r="AE855" s="248"/>
      <c r="AF855" s="248"/>
      <c r="AG855" s="248"/>
      <c r="AH855" s="248"/>
      <c r="AI855" s="248"/>
      <c r="AJ855" s="248"/>
      <c r="AK855" s="248"/>
      <c r="AL855" s="1352"/>
      <c r="AM855" s="1352"/>
      <c r="AN855" s="1352"/>
      <c r="AO855" s="1352"/>
      <c r="AP855" s="1352"/>
      <c r="AQ855" s="1352"/>
      <c r="AR855" s="1352"/>
      <c r="AS855" s="1352"/>
    </row>
    <row r="856" spans="1:45" ht="16" hidden="1" x14ac:dyDescent="0.2">
      <c r="A856" s="1507">
        <v>6</v>
      </c>
      <c r="B856" s="1524" t="s">
        <v>4012</v>
      </c>
      <c r="C856" s="1511" t="s">
        <v>263</v>
      </c>
      <c r="D856" s="1511"/>
      <c r="E856" s="1511"/>
      <c r="F856" s="1514"/>
      <c r="G856" s="1509" t="str">
        <f t="shared" ca="1" si="57"/>
        <v/>
      </c>
      <c r="H856" s="1510" t="s">
        <v>3197</v>
      </c>
      <c r="I856" s="67"/>
      <c r="J856" s="209" t="s">
        <v>263</v>
      </c>
      <c r="K856" s="210"/>
      <c r="L856" s="210" t="s">
        <v>597</v>
      </c>
      <c r="M856" s="379">
        <v>1</v>
      </c>
      <c r="N856" s="250"/>
      <c r="O856" s="935"/>
      <c r="P856" s="905" t="b">
        <v>1</v>
      </c>
      <c r="Q856" s="905" t="b">
        <v>1</v>
      </c>
      <c r="R856" s="905" t="b">
        <v>0</v>
      </c>
      <c r="S856" s="905" t="b">
        <v>1</v>
      </c>
      <c r="T856" s="905" t="b">
        <v>0</v>
      </c>
      <c r="U856" s="905"/>
      <c r="V856" s="905"/>
      <c r="W856" s="27"/>
      <c r="X856" s="249"/>
      <c r="Y856" s="267" t="str">
        <f>IF(LEN('11.600'!X558)=0,"None",'11.600'!X558)</f>
        <v>None</v>
      </c>
      <c r="Z856" s="715"/>
      <c r="AC856" s="248"/>
      <c r="AD856" s="248"/>
      <c r="AE856" s="248"/>
      <c r="AF856" s="248"/>
      <c r="AG856" s="248"/>
      <c r="AH856" s="248"/>
      <c r="AI856" s="248"/>
      <c r="AJ856" s="248"/>
      <c r="AK856" s="248"/>
      <c r="AL856" s="1352" t="str">
        <f>SUBSTITUTE(SUBSTITUTE(SUBSTITUTE("vpa"&amp;$B856&amp;$C856&amp;$D856&amp;$E856&amp;$F856,".","_"),"(","_"),")","")</f>
        <v>vpa612_3_5</v>
      </c>
      <c r="AM856" s="1352">
        <f>M856</f>
        <v>1</v>
      </c>
      <c r="AN856" s="1352"/>
      <c r="AO856" s="1352"/>
      <c r="AP856" s="1352" t="str">
        <f>SUBSTITUTE(SUBSTITUTE(SUBSTITUTE("vch"&amp;$B856&amp;$C856&amp;$D856&amp;$E856&amp;$F856,".","_"),"(","_"),")","")</f>
        <v>vch612_3_5</v>
      </c>
      <c r="AQ856" s="1352" t="str">
        <f>IF(LEN(W856)=0,"",W856)</f>
        <v/>
      </c>
      <c r="AR856" s="1352" t="str">
        <f>SUBSTITUTE(SUBSTITUTE(SUBSTITUTE("vnt"&amp;$B856&amp;$C856&amp;$D856&amp;$E856&amp;$F856,".","_"),"(","_"),")","")</f>
        <v>vnt612_3_5</v>
      </c>
      <c r="AS856" s="1352" t="str">
        <f>IF(LEN(X856)=0,"",X856)</f>
        <v/>
      </c>
    </row>
    <row r="857" spans="1:45" ht="16" hidden="1" x14ac:dyDescent="0.2">
      <c r="A857" s="1507">
        <v>6</v>
      </c>
      <c r="B857" s="1524" t="s">
        <v>4012</v>
      </c>
      <c r="C857" s="1511" t="s">
        <v>264</v>
      </c>
      <c r="D857" s="1511"/>
      <c r="E857" s="1511"/>
      <c r="F857" s="1514"/>
      <c r="G857" s="1509" t="str">
        <f t="shared" ca="1" si="57"/>
        <v/>
      </c>
      <c r="H857" s="1510" t="s">
        <v>3197</v>
      </c>
      <c r="I857" s="67"/>
      <c r="J857" s="209" t="s">
        <v>264</v>
      </c>
      <c r="K857" s="210"/>
      <c r="L857" s="210" t="s">
        <v>598</v>
      </c>
      <c r="M857" s="379">
        <v>1</v>
      </c>
      <c r="N857" s="250"/>
      <c r="O857" s="935"/>
      <c r="P857" s="905" t="b">
        <v>1</v>
      </c>
      <c r="Q857" s="905" t="b">
        <v>1</v>
      </c>
      <c r="R857" s="905" t="b">
        <v>0</v>
      </c>
      <c r="S857" s="905" t="b">
        <v>1</v>
      </c>
      <c r="T857" s="905" t="b">
        <v>0</v>
      </c>
      <c r="U857" s="905"/>
      <c r="V857" s="905"/>
      <c r="W857" s="27"/>
      <c r="X857" s="249"/>
      <c r="Y857" s="267" t="str">
        <f>IF(LEN('11.600'!X559)=0,"None",'11.600'!X559)</f>
        <v>None</v>
      </c>
      <c r="Z857" s="715"/>
      <c r="AC857" s="248"/>
      <c r="AD857" s="248"/>
      <c r="AE857" s="248"/>
      <c r="AF857" s="248"/>
      <c r="AG857" s="248"/>
      <c r="AH857" s="248"/>
      <c r="AI857" s="248"/>
      <c r="AJ857" s="248"/>
      <c r="AK857" s="248"/>
      <c r="AL857" s="1352" t="str">
        <f>SUBSTITUTE(SUBSTITUTE(SUBSTITUTE("vpa"&amp;$B857&amp;$C857&amp;$D857&amp;$E857&amp;$F857,".","_"),"(","_"),")","")</f>
        <v>vpa612_3_6</v>
      </c>
      <c r="AM857" s="1352">
        <f>M857</f>
        <v>1</v>
      </c>
      <c r="AN857" s="1352"/>
      <c r="AO857" s="1352"/>
      <c r="AP857" s="1352" t="str">
        <f>SUBSTITUTE(SUBSTITUTE(SUBSTITUTE("vch"&amp;$B857&amp;$C857&amp;$D857&amp;$E857&amp;$F857,".","_"),"(","_"),")","")</f>
        <v>vch612_3_6</v>
      </c>
      <c r="AQ857" s="1352" t="str">
        <f>IF(LEN(W857)=0,"",W857)</f>
        <v/>
      </c>
      <c r="AR857" s="1352" t="str">
        <f>SUBSTITUTE(SUBSTITUTE(SUBSTITUTE("vnt"&amp;$B857&amp;$C857&amp;$D857&amp;$E857&amp;$F857,".","_"),"(","_"),")","")</f>
        <v>vnt612_3_6</v>
      </c>
      <c r="AS857" s="1352" t="str">
        <f>IF(LEN(X857)=0,"",X857)</f>
        <v/>
      </c>
    </row>
    <row r="858" spans="1:45" hidden="1" x14ac:dyDescent="0.2">
      <c r="A858" s="1507">
        <v>6</v>
      </c>
      <c r="B858" s="1524" t="s">
        <v>4012</v>
      </c>
      <c r="C858" s="1511" t="s">
        <v>356</v>
      </c>
      <c r="D858" s="1511"/>
      <c r="E858" s="1511"/>
      <c r="F858" s="1514"/>
      <c r="G858" s="1509" t="str">
        <f t="shared" ca="1" si="57"/>
        <v/>
      </c>
      <c r="H858" s="1510" t="s">
        <v>3197</v>
      </c>
      <c r="I858" s="67"/>
      <c r="J858" s="212" t="s">
        <v>356</v>
      </c>
      <c r="K858" s="194"/>
      <c r="L858" s="1613" t="s">
        <v>599</v>
      </c>
      <c r="M858" s="1636">
        <v>1</v>
      </c>
      <c r="N858" s="250"/>
      <c r="O858" s="935"/>
      <c r="P858" s="905" t="b">
        <v>1</v>
      </c>
      <c r="Q858" s="905" t="b">
        <v>1</v>
      </c>
      <c r="R858" s="905" t="b">
        <v>0</v>
      </c>
      <c r="S858" s="905" t="b">
        <v>1</v>
      </c>
      <c r="T858" s="905" t="b">
        <v>0</v>
      </c>
      <c r="U858" s="905"/>
      <c r="V858" s="905"/>
      <c r="W858" s="27"/>
      <c r="X858" s="1600"/>
      <c r="Y858" s="1874" t="str">
        <f>IF(LEN('11.600'!X560)=0,"None",'11.600'!X560)</f>
        <v>None</v>
      </c>
      <c r="Z858" s="1889"/>
      <c r="AC858" s="248"/>
      <c r="AD858" s="248"/>
      <c r="AE858" s="248"/>
      <c r="AF858" s="248"/>
      <c r="AG858" s="248"/>
      <c r="AH858" s="248"/>
      <c r="AI858" s="248"/>
      <c r="AJ858" s="248"/>
      <c r="AK858" s="248"/>
      <c r="AL858" s="1352" t="str">
        <f>SUBSTITUTE(SUBSTITUTE(SUBSTITUTE("vpa"&amp;$B858&amp;$C858&amp;$D858&amp;$E858&amp;$F858,".","_"),"(","_"),")","")</f>
        <v>vpa612_3_7</v>
      </c>
      <c r="AM858" s="1352">
        <f>M858</f>
        <v>1</v>
      </c>
      <c r="AN858" s="1352"/>
      <c r="AO858" s="1352"/>
      <c r="AP858" s="1352" t="str">
        <f>SUBSTITUTE(SUBSTITUTE(SUBSTITUTE("vch"&amp;$B858&amp;$C858&amp;$D858&amp;$E858&amp;$F858,".","_"),"(","_"),")","")</f>
        <v>vch612_3_7</v>
      </c>
      <c r="AQ858" s="1352" t="str">
        <f>IF(LEN(W858)=0,"",W858)</f>
        <v/>
      </c>
      <c r="AR858" s="1352" t="str">
        <f>SUBSTITUTE(SUBSTITUTE(SUBSTITUTE("vnt"&amp;$B858&amp;$C858&amp;$D858&amp;$E858&amp;$F858,".","_"),"(","_"),")","")</f>
        <v>vnt612_3_7</v>
      </c>
      <c r="AS858" s="1352" t="str">
        <f>IF(LEN(X858)=0,"",X858)</f>
        <v/>
      </c>
    </row>
    <row r="859" spans="1:45" hidden="1" x14ac:dyDescent="0.2">
      <c r="A859" s="1507">
        <v>6</v>
      </c>
      <c r="B859" s="1524" t="s">
        <v>4012</v>
      </c>
      <c r="C859" s="1511" t="s">
        <v>356</v>
      </c>
      <c r="D859" s="1511"/>
      <c r="E859" s="1511"/>
      <c r="F859" s="1514"/>
      <c r="G859" s="1509" t="str">
        <f t="shared" ca="1" si="57"/>
        <v/>
      </c>
      <c r="H859" s="1510" t="s">
        <v>3197</v>
      </c>
      <c r="I859" s="67"/>
      <c r="J859" s="129"/>
      <c r="K859" s="97"/>
      <c r="L859" s="1609"/>
      <c r="M859" s="1623"/>
      <c r="N859" s="250"/>
      <c r="O859" s="935"/>
      <c r="P859" s="905"/>
      <c r="Q859" s="905"/>
      <c r="R859" s="905"/>
      <c r="S859" s="905"/>
      <c r="T859" s="905"/>
      <c r="U859" s="905"/>
      <c r="V859" s="905"/>
      <c r="W859" s="248"/>
      <c r="X859" s="1600"/>
      <c r="Y859" s="1874"/>
      <c r="Z859" s="1889"/>
      <c r="AC859" s="248"/>
      <c r="AD859" s="248"/>
      <c r="AE859" s="248"/>
      <c r="AF859" s="248"/>
      <c r="AG859" s="248"/>
      <c r="AH859" s="248"/>
      <c r="AI859" s="248"/>
      <c r="AJ859" s="248"/>
      <c r="AK859" s="248"/>
      <c r="AL859" s="1352"/>
      <c r="AM859" s="1352"/>
      <c r="AN859" s="1352"/>
      <c r="AO859" s="1352"/>
      <c r="AP859" s="1352"/>
      <c r="AQ859" s="1352"/>
      <c r="AR859" s="1352"/>
      <c r="AS859" s="1352"/>
    </row>
    <row r="860" spans="1:45" hidden="1" x14ac:dyDescent="0.2">
      <c r="A860" s="1507">
        <v>6</v>
      </c>
      <c r="B860" s="1524" t="s">
        <v>4012</v>
      </c>
      <c r="C860" s="1511" t="s">
        <v>356</v>
      </c>
      <c r="D860" s="1511"/>
      <c r="E860" s="1511"/>
      <c r="F860" s="1514"/>
      <c r="G860" s="1509" t="str">
        <f t="shared" ca="1" si="57"/>
        <v/>
      </c>
      <c r="H860" s="1510" t="s">
        <v>3197</v>
      </c>
      <c r="I860" s="67"/>
      <c r="J860" s="129"/>
      <c r="K860" s="97"/>
      <c r="L860" s="1609"/>
      <c r="M860" s="1623"/>
      <c r="N860" s="250"/>
      <c r="O860" s="935"/>
      <c r="P860" s="905"/>
      <c r="Q860" s="905"/>
      <c r="R860" s="905"/>
      <c r="S860" s="905"/>
      <c r="T860" s="905"/>
      <c r="U860" s="905"/>
      <c r="V860" s="905"/>
      <c r="W860" s="248"/>
      <c r="X860" s="1600"/>
      <c r="Y860" s="1874"/>
      <c r="Z860" s="1889"/>
      <c r="AC860" s="248"/>
      <c r="AD860" s="248"/>
      <c r="AE860" s="248"/>
      <c r="AF860" s="248"/>
      <c r="AG860" s="248"/>
      <c r="AH860" s="248"/>
      <c r="AI860" s="248"/>
      <c r="AJ860" s="248"/>
      <c r="AK860" s="248"/>
      <c r="AL860" s="1352"/>
      <c r="AM860" s="1352"/>
      <c r="AN860" s="1352"/>
      <c r="AO860" s="1352"/>
      <c r="AP860" s="1352"/>
      <c r="AQ860" s="1352"/>
      <c r="AR860" s="1352"/>
      <c r="AS860" s="1352"/>
    </row>
    <row r="861" spans="1:45" hidden="1" x14ac:dyDescent="0.2">
      <c r="A861" s="1507">
        <v>6</v>
      </c>
      <c r="B861" s="1524" t="s">
        <v>4012</v>
      </c>
      <c r="C861" s="1511" t="s">
        <v>356</v>
      </c>
      <c r="D861" s="1511"/>
      <c r="E861" s="1511"/>
      <c r="F861" s="1514"/>
      <c r="G861" s="1509" t="str">
        <f t="shared" ca="1" si="57"/>
        <v/>
      </c>
      <c r="H861" s="1510" t="s">
        <v>3197</v>
      </c>
      <c r="I861" s="67"/>
      <c r="J861" s="213"/>
      <c r="K861" s="170"/>
      <c r="L861" s="1612"/>
      <c r="M861" s="1624"/>
      <c r="N861" s="250"/>
      <c r="O861" s="935"/>
      <c r="P861" s="905"/>
      <c r="Q861" s="905"/>
      <c r="R861" s="905"/>
      <c r="S861" s="905"/>
      <c r="T861" s="905"/>
      <c r="U861" s="905"/>
      <c r="V861" s="905"/>
      <c r="W861" s="248"/>
      <c r="X861" s="1600"/>
      <c r="Y861" s="1874"/>
      <c r="Z861" s="1889"/>
      <c r="AC861" s="248"/>
      <c r="AD861" s="248"/>
      <c r="AE861" s="248"/>
      <c r="AF861" s="248"/>
      <c r="AG861" s="248"/>
      <c r="AH861" s="248"/>
      <c r="AI861" s="248"/>
      <c r="AJ861" s="248"/>
      <c r="AK861" s="248"/>
      <c r="AL861" s="1352"/>
      <c r="AM861" s="1352"/>
      <c r="AN861" s="1352"/>
      <c r="AO861" s="1352"/>
      <c r="AP861" s="1352"/>
      <c r="AQ861" s="1352"/>
      <c r="AR861" s="1352"/>
      <c r="AS861" s="1352"/>
    </row>
    <row r="862" spans="1:45" hidden="1" x14ac:dyDescent="0.2">
      <c r="A862" s="1507">
        <v>6</v>
      </c>
      <c r="B862" s="1524" t="s">
        <v>4012</v>
      </c>
      <c r="C862" s="1511" t="s">
        <v>389</v>
      </c>
      <c r="D862" s="1511"/>
      <c r="E862" s="1511"/>
      <c r="F862" s="1514"/>
      <c r="G862" s="1509" t="str">
        <f t="shared" ca="1" si="57"/>
        <v/>
      </c>
      <c r="H862" s="1510" t="s">
        <v>3197</v>
      </c>
      <c r="I862" s="67"/>
      <c r="J862" s="212" t="s">
        <v>389</v>
      </c>
      <c r="K862" s="194"/>
      <c r="L862" s="1613" t="s">
        <v>600</v>
      </c>
      <c r="M862" s="1636">
        <v>1</v>
      </c>
      <c r="N862" s="250"/>
      <c r="O862" s="935"/>
      <c r="P862" s="905" t="b">
        <v>1</v>
      </c>
      <c r="Q862" s="905" t="b">
        <v>1</v>
      </c>
      <c r="R862" s="905" t="b">
        <v>0</v>
      </c>
      <c r="S862" s="905" t="b">
        <v>1</v>
      </c>
      <c r="T862" s="905" t="b">
        <v>0</v>
      </c>
      <c r="U862" s="905"/>
      <c r="V862" s="905"/>
      <c r="W862" s="27"/>
      <c r="X862" s="1600"/>
      <c r="Y862" s="1874" t="str">
        <f>IF(LEN('11.600'!X564)=0,"None",'11.600'!X564)</f>
        <v>None</v>
      </c>
      <c r="Z862" s="1889"/>
      <c r="AC862" s="248"/>
      <c r="AD862" s="248"/>
      <c r="AE862" s="248"/>
      <c r="AF862" s="248"/>
      <c r="AG862" s="248"/>
      <c r="AH862" s="248"/>
      <c r="AI862" s="248"/>
      <c r="AJ862" s="248"/>
      <c r="AK862" s="248"/>
      <c r="AL862" s="1352" t="str">
        <f>SUBSTITUTE(SUBSTITUTE(SUBSTITUTE("vpa"&amp;$B862&amp;$C862&amp;$D862&amp;$E862&amp;$F862,".","_"),"(","_"),")","")</f>
        <v>vpa612_3_8</v>
      </c>
      <c r="AM862" s="1352">
        <f>M862</f>
        <v>1</v>
      </c>
      <c r="AN862" s="1352"/>
      <c r="AO862" s="1352"/>
      <c r="AP862" s="1352" t="str">
        <f>SUBSTITUTE(SUBSTITUTE(SUBSTITUTE("vch"&amp;$B862&amp;$C862&amp;$D862&amp;$E862&amp;$F862,".","_"),"(","_"),")","")</f>
        <v>vch612_3_8</v>
      </c>
      <c r="AQ862" s="1352" t="str">
        <f>IF(LEN(W862)=0,"",W862)</f>
        <v/>
      </c>
      <c r="AR862" s="1352" t="str">
        <f>SUBSTITUTE(SUBSTITUTE(SUBSTITUTE("vnt"&amp;$B862&amp;$C862&amp;$D862&amp;$E862&amp;$F862,".","_"),"(","_"),")","")</f>
        <v>vnt612_3_8</v>
      </c>
      <c r="AS862" s="1352" t="str">
        <f>IF(LEN(X862)=0,"",X862)</f>
        <v/>
      </c>
    </row>
    <row r="863" spans="1:45" hidden="1" x14ac:dyDescent="0.2">
      <c r="A863" s="1507">
        <v>6</v>
      </c>
      <c r="B863" s="1524" t="s">
        <v>4012</v>
      </c>
      <c r="C863" s="1511" t="s">
        <v>389</v>
      </c>
      <c r="D863" s="1511"/>
      <c r="E863" s="1511"/>
      <c r="F863" s="1514"/>
      <c r="G863" s="1509" t="str">
        <f t="shared" ca="1" si="57"/>
        <v/>
      </c>
      <c r="H863" s="1510" t="s">
        <v>3197</v>
      </c>
      <c r="I863" s="67"/>
      <c r="J863" s="213"/>
      <c r="K863" s="170"/>
      <c r="L863" s="1612"/>
      <c r="M863" s="1624"/>
      <c r="N863" s="250"/>
      <c r="O863" s="935"/>
      <c r="P863" s="905"/>
      <c r="Q863" s="905"/>
      <c r="R863" s="905"/>
      <c r="S863" s="905"/>
      <c r="T863" s="905"/>
      <c r="U863" s="905"/>
      <c r="V863" s="905"/>
      <c r="W863" s="248"/>
      <c r="X863" s="1600"/>
      <c r="Y863" s="1874"/>
      <c r="Z863" s="1889"/>
      <c r="AC863" s="248"/>
      <c r="AD863" s="248"/>
      <c r="AE863" s="248"/>
      <c r="AF863" s="248"/>
      <c r="AG863" s="248"/>
      <c r="AH863" s="248"/>
      <c r="AI863" s="248"/>
      <c r="AJ863" s="248"/>
      <c r="AK863" s="248"/>
      <c r="AL863" s="1352"/>
      <c r="AM863" s="1352"/>
      <c r="AN863" s="1352"/>
      <c r="AO863" s="1352"/>
      <c r="AP863" s="1352"/>
      <c r="AQ863" s="1352"/>
      <c r="AR863" s="1352"/>
      <c r="AS863" s="1352"/>
    </row>
    <row r="864" spans="1:45" ht="15" hidden="1" customHeight="1" x14ac:dyDescent="0.2">
      <c r="A864" s="1507">
        <v>6</v>
      </c>
      <c r="B864" s="1524" t="s">
        <v>4012</v>
      </c>
      <c r="C864" s="1511" t="s">
        <v>391</v>
      </c>
      <c r="D864" s="1511"/>
      <c r="E864" s="1511"/>
      <c r="F864" s="1514"/>
      <c r="G864" s="1509" t="str">
        <f t="shared" ca="1" si="57"/>
        <v/>
      </c>
      <c r="H864" s="1510" t="s">
        <v>3197</v>
      </c>
      <c r="I864" s="67"/>
      <c r="J864" s="29" t="s">
        <v>391</v>
      </c>
      <c r="K864" s="85"/>
      <c r="L864" s="1613" t="s">
        <v>4022</v>
      </c>
      <c r="M864" s="1715" t="s">
        <v>4043</v>
      </c>
      <c r="N864" s="250"/>
      <c r="O864" s="935"/>
      <c r="P864" s="905" t="b">
        <v>1</v>
      </c>
      <c r="Q864" s="905" t="b">
        <v>1</v>
      </c>
      <c r="R864" s="905" t="b">
        <v>0</v>
      </c>
      <c r="S864" s="905" t="b">
        <v>1</v>
      </c>
      <c r="T864" s="905" t="b">
        <v>0</v>
      </c>
      <c r="U864" s="991" t="str">
        <f>SUBSTITUTE(SUBSTITUTE(SUBSTITUTE("dd"&amp;B864&amp;C864&amp;D864&amp;E864&amp;F864,".","_"),"(","_"),")","")</f>
        <v>dd612_3_9</v>
      </c>
      <c r="V864" s="905"/>
      <c r="W864" s="12"/>
      <c r="X864" s="1601"/>
      <c r="Y864" s="1881" t="str">
        <f>IF(LEN('11.600'!X566)=0,"None",'11.600'!X566)</f>
        <v>None</v>
      </c>
      <c r="Z864" s="1601"/>
      <c r="AC864" s="1150" t="b">
        <f>OR(AD864:AE864)</f>
        <v>0</v>
      </c>
      <c r="AD864" s="1150" t="b">
        <f>T864</f>
        <v>0</v>
      </c>
      <c r="AE864" s="1" t="b">
        <f>AND(LEN(W864)&gt;0,NOT(LEN(X864)&gt;0))</f>
        <v>0</v>
      </c>
      <c r="AF864" s="248"/>
      <c r="AG864" s="248"/>
      <c r="AH864" s="248"/>
      <c r="AI864" s="248"/>
      <c r="AJ864" s="248"/>
      <c r="AK864" s="248"/>
      <c r="AL864" s="1352" t="str">
        <f>SUBSTITUTE(SUBSTITUTE(SUBSTITUTE("vpa"&amp;$B864&amp;$C864&amp;$D864&amp;$E864&amp;$F864,".","_"),"(","_"),")","")</f>
        <v>vpa612_3_9</v>
      </c>
      <c r="AM864" s="1352" t="str">
        <f>M864</f>
        <v>1 per system
[5 max]</v>
      </c>
      <c r="AN864" s="1352"/>
      <c r="AO864" s="1352"/>
      <c r="AP864" s="1352" t="str">
        <f>SUBSTITUTE(SUBSTITUTE(SUBSTITUTE("vch"&amp;$B864&amp;$C864&amp;$D864&amp;$E864&amp;$F864,".","_"),"(","_"),")","")</f>
        <v>vch612_3_9</v>
      </c>
      <c r="AQ864" s="1352" t="str">
        <f>IF(LEN(W864)=0,"",W864)</f>
        <v/>
      </c>
      <c r="AR864" s="1352" t="str">
        <f>SUBSTITUTE(SUBSTITUTE(SUBSTITUTE("vnt"&amp;$B864&amp;$C864&amp;$D864&amp;$E864&amp;$F864,".","_"),"(","_"),")","")</f>
        <v>vnt612_3_9</v>
      </c>
      <c r="AS864" s="1352" t="str">
        <f>IF(LEN(X864)=0,"",X864)</f>
        <v/>
      </c>
    </row>
    <row r="865" spans="1:46" hidden="1" x14ac:dyDescent="0.2">
      <c r="A865" s="1507">
        <v>6</v>
      </c>
      <c r="B865" s="1524" t="s">
        <v>4012</v>
      </c>
      <c r="C865" s="1511" t="s">
        <v>391</v>
      </c>
      <c r="D865" s="1511"/>
      <c r="E865" s="1511"/>
      <c r="F865" s="1514"/>
      <c r="G865" s="1509" t="str">
        <f ca="1">G864</f>
        <v/>
      </c>
      <c r="H865" s="1510" t="s">
        <v>3197</v>
      </c>
      <c r="I865" s="67"/>
      <c r="J865" s="4"/>
      <c r="K865" s="85"/>
      <c r="L865" s="1611"/>
      <c r="M865" s="1715"/>
      <c r="N865" s="250"/>
      <c r="O865" s="935"/>
      <c r="P865" s="905"/>
      <c r="Q865" s="905"/>
      <c r="R865" s="905"/>
      <c r="S865" s="905"/>
      <c r="T865" s="905"/>
      <c r="U865" s="905"/>
      <c r="V865" s="905"/>
      <c r="W865"/>
      <c r="X865" s="1601"/>
      <c r="Y865" s="1881"/>
      <c r="Z865" s="1601"/>
      <c r="AC865" s="248"/>
      <c r="AD865" s="248"/>
      <c r="AE865" s="248"/>
      <c r="AF865" s="248"/>
      <c r="AG865" s="248"/>
      <c r="AH865" s="248"/>
      <c r="AI865" s="248"/>
      <c r="AJ865" s="248"/>
      <c r="AK865" s="248"/>
      <c r="AL865" s="1352"/>
      <c r="AM865" s="1352"/>
      <c r="AN865" s="1352"/>
      <c r="AO865" s="1352"/>
      <c r="AP865" s="1352"/>
      <c r="AQ865" s="1352"/>
      <c r="AR865" s="1352"/>
      <c r="AS865" s="1352"/>
    </row>
    <row r="866" spans="1:46" hidden="1" x14ac:dyDescent="0.2">
      <c r="A866" s="1507" t="s">
        <v>4961</v>
      </c>
      <c r="B866" s="1524" t="s">
        <v>4012</v>
      </c>
      <c r="C866" s="1511" t="s">
        <v>391</v>
      </c>
      <c r="D866" s="1511"/>
      <c r="E866" s="1511"/>
      <c r="F866" s="1514"/>
      <c r="G866" s="1509" t="str">
        <f ca="1">G865</f>
        <v/>
      </c>
      <c r="H866" s="1510" t="s">
        <v>3197</v>
      </c>
      <c r="I866"/>
      <c r="J866"/>
      <c r="K866"/>
      <c r="L866" s="1611"/>
      <c r="M866" s="1715"/>
      <c r="N866"/>
      <c r="O866" s="935"/>
      <c r="P866" s="1249"/>
      <c r="Q866" s="1249"/>
      <c r="R866" s="1249"/>
      <c r="S866" s="1249"/>
      <c r="T866" s="1249"/>
      <c r="U866" s="1249"/>
      <c r="V866" s="905"/>
      <c r="W866" s="114"/>
      <c r="X866" s="1601"/>
      <c r="Y866" s="1881"/>
      <c r="Z866" s="1601"/>
      <c r="AA866"/>
      <c r="AC866"/>
      <c r="AD866"/>
      <c r="AE866"/>
      <c r="AF866"/>
      <c r="AG866"/>
      <c r="AH866"/>
      <c r="AI866"/>
      <c r="AJ866"/>
      <c r="AK866"/>
      <c r="AL866" s="1352"/>
      <c r="AM866" s="1352"/>
      <c r="AN866" s="1352"/>
      <c r="AO866" s="1352"/>
      <c r="AP866" s="1352"/>
      <c r="AQ866" s="1352"/>
      <c r="AR866" s="1352"/>
      <c r="AS866" s="1352"/>
      <c r="AT866"/>
    </row>
    <row r="867" spans="1:46" s="1249" customFormat="1" ht="19" x14ac:dyDescent="0.25">
      <c r="A867" s="1531">
        <v>6</v>
      </c>
      <c r="B867" s="1524" t="s">
        <v>5087</v>
      </c>
      <c r="C867" s="1511"/>
      <c r="D867" s="1511"/>
      <c r="E867" s="1511"/>
      <c r="F867" s="1514"/>
      <c r="G867" s="1532" t="s">
        <v>3200</v>
      </c>
      <c r="H867" s="1533" t="s">
        <v>3197</v>
      </c>
      <c r="I867" s="1254" t="s">
        <v>5086</v>
      </c>
      <c r="J867" s="994"/>
      <c r="K867" s="1255"/>
      <c r="L867" s="1256"/>
      <c r="M867" s="1257"/>
      <c r="N867" s="1258"/>
      <c r="O867" s="1259"/>
      <c r="P867" s="994"/>
      <c r="Q867" s="994"/>
      <c r="R867" s="994"/>
      <c r="S867" s="994"/>
      <c r="T867" s="994"/>
      <c r="U867" s="994"/>
      <c r="V867" s="994"/>
      <c r="W867" s="994"/>
      <c r="X867" s="1113"/>
      <c r="Y867" s="1113"/>
      <c r="Z867" s="1113"/>
      <c r="AL867" s="1352"/>
      <c r="AM867" s="1352"/>
      <c r="AN867" s="1352"/>
      <c r="AO867" s="1352"/>
      <c r="AP867" s="1352"/>
      <c r="AQ867" s="1352"/>
      <c r="AR867" s="1352"/>
      <c r="AS867" s="1352"/>
    </row>
    <row r="868" spans="1:46" s="905" customFormat="1" ht="15.75" hidden="1" customHeight="1" x14ac:dyDescent="0.2">
      <c r="A868" s="1515" t="s">
        <v>4961</v>
      </c>
      <c r="B868" s="1524" t="s">
        <v>4030</v>
      </c>
      <c r="C868" s="1511"/>
      <c r="D868" s="1511"/>
      <c r="E868" s="1511"/>
      <c r="F868" s="1514"/>
      <c r="G868" s="1509" t="str">
        <f ca="1">IF(N868&gt;0,"P","")</f>
        <v/>
      </c>
      <c r="H868" s="1510" t="s">
        <v>3197</v>
      </c>
      <c r="I868" s="130" t="s">
        <v>4028</v>
      </c>
      <c r="J868" s="129"/>
      <c r="K868" s="97"/>
      <c r="L868" s="1629" t="s">
        <v>4029</v>
      </c>
      <c r="M868" s="1623"/>
      <c r="N868" s="1619">
        <f ca="1">'11.600'!O570</f>
        <v>0</v>
      </c>
      <c r="O868" s="1619">
        <f ca="1">IFERROR(INDEX({2,3,5,10,12,15},MATCH(W868,INDIRECT(U868),0)),0)</f>
        <v>0</v>
      </c>
      <c r="P868" s="905" t="b">
        <v>1</v>
      </c>
      <c r="Q868" s="905" t="b">
        <v>1</v>
      </c>
      <c r="R868" s="905" t="b">
        <v>0</v>
      </c>
      <c r="S868" s="905" t="b">
        <v>1</v>
      </c>
      <c r="T868" s="905" t="b">
        <v>0</v>
      </c>
      <c r="U868" s="991" t="str">
        <f>SUBSTITUTE(SUBSTITUTE(SUBSTITUTE("dd"&amp;B868&amp;C868&amp;D868&amp;E868&amp;F868,".","_"),"(","_"),")","")</f>
        <v>dd613_1</v>
      </c>
      <c r="V868" s="1249"/>
      <c r="W868" s="110"/>
      <c r="X868" s="1601"/>
      <c r="Y868" s="1881" t="str">
        <f>IF(LEN('11.600'!X570)=0,"None",'11.600'!X570)</f>
        <v>None</v>
      </c>
      <c r="Z868" s="1601"/>
      <c r="AL868" s="1352"/>
      <c r="AM868" s="1352"/>
      <c r="AN868" s="1352" t="str">
        <f>SUBSTITUTE(SUBSTITUTE(SUBSTITUTE("vpc"&amp;$B868&amp;$C868&amp;$D868&amp;$E868&amp;$F868,".","_"),"(","_"),")","")</f>
        <v>vpc613_1</v>
      </c>
      <c r="AO868" s="1352">
        <f ca="1">O868</f>
        <v>0</v>
      </c>
      <c r="AP868" s="1352" t="str">
        <f>SUBSTITUTE(SUBSTITUTE(SUBSTITUTE("vch"&amp;$B868&amp;$C868&amp;$D868&amp;$E868&amp;$F868,".","_"),"(","_"),")","")</f>
        <v>vch613_1</v>
      </c>
      <c r="AQ868" s="1352" t="str">
        <f>IF(LEN(W868)=0,"",W868)</f>
        <v/>
      </c>
      <c r="AR868" s="1352" t="str">
        <f>SUBSTITUTE(SUBSTITUTE(SUBSTITUTE("vnt"&amp;$B868&amp;$C868&amp;$D868&amp;$E868&amp;$F868,".","_"),"(","_"),")","")</f>
        <v>vnt613_1</v>
      </c>
      <c r="AS868" s="1352" t="str">
        <f>IF(LEN(X868)=0,"",X868)</f>
        <v/>
      </c>
    </row>
    <row r="869" spans="1:46" s="905" customFormat="1" hidden="1" x14ac:dyDescent="0.2">
      <c r="A869" s="1515" t="s">
        <v>4961</v>
      </c>
      <c r="B869" s="1524" t="s">
        <v>4030</v>
      </c>
      <c r="C869" s="1511"/>
      <c r="D869" s="1511"/>
      <c r="E869" s="1511"/>
      <c r="F869" s="1514"/>
      <c r="G869" s="1509" t="str">
        <f t="shared" ref="G869:G882" ca="1" si="58">G868</f>
        <v/>
      </c>
      <c r="H869" s="1510" t="s">
        <v>3197</v>
      </c>
      <c r="I869" s="130"/>
      <c r="J869" s="129"/>
      <c r="K869" s="97"/>
      <c r="L869" s="1629"/>
      <c r="M869" s="1623"/>
      <c r="N869" s="1619"/>
      <c r="O869" s="1619"/>
      <c r="P869" s="991"/>
      <c r="Q869" s="991"/>
      <c r="R869" s="991"/>
      <c r="S869" s="991"/>
      <c r="T869" s="991"/>
      <c r="U869" s="991"/>
      <c r="V869" s="991"/>
      <c r="W869" s="991"/>
      <c r="X869" s="1601"/>
      <c r="Y869" s="1881"/>
      <c r="Z869" s="1601"/>
      <c r="AL869" s="1352"/>
      <c r="AM869" s="1352"/>
      <c r="AN869" s="1352"/>
      <c r="AO869" s="1352"/>
      <c r="AP869" s="1352"/>
      <c r="AQ869" s="1352"/>
      <c r="AR869" s="1352"/>
      <c r="AS869" s="1352"/>
    </row>
    <row r="870" spans="1:46" s="905" customFormat="1" hidden="1" x14ac:dyDescent="0.2">
      <c r="A870" s="1515" t="s">
        <v>4961</v>
      </c>
      <c r="B870" s="1524" t="s">
        <v>4030</v>
      </c>
      <c r="C870" s="1511"/>
      <c r="D870" s="1511"/>
      <c r="E870" s="1511"/>
      <c r="F870" s="1514"/>
      <c r="G870" s="1509" t="str">
        <f t="shared" ca="1" si="58"/>
        <v/>
      </c>
      <c r="H870" s="1510" t="s">
        <v>3197</v>
      </c>
      <c r="I870" s="130"/>
      <c r="J870" s="129"/>
      <c r="K870" s="97"/>
      <c r="L870" s="1629"/>
      <c r="M870" s="1623"/>
      <c r="N870" s="1619"/>
      <c r="O870" s="1619"/>
      <c r="P870" s="991"/>
      <c r="Q870" s="991"/>
      <c r="R870" s="991"/>
      <c r="S870" s="991"/>
      <c r="T870" s="991"/>
      <c r="U870" s="991"/>
      <c r="V870" s="991"/>
      <c r="W870" s="991"/>
      <c r="X870" s="1601"/>
      <c r="Y870" s="1881"/>
      <c r="Z870" s="1601"/>
      <c r="AL870" s="1352"/>
      <c r="AM870" s="1352"/>
      <c r="AN870" s="1352"/>
      <c r="AO870" s="1352"/>
      <c r="AP870" s="1352"/>
      <c r="AQ870" s="1352"/>
      <c r="AR870" s="1352"/>
      <c r="AS870" s="1352"/>
    </row>
    <row r="871" spans="1:46" s="905" customFormat="1" hidden="1" x14ac:dyDescent="0.2">
      <c r="A871" s="1515" t="s">
        <v>4961</v>
      </c>
      <c r="B871" s="1524" t="s">
        <v>4030</v>
      </c>
      <c r="C871" s="1511"/>
      <c r="D871" s="1511"/>
      <c r="E871" s="1511"/>
      <c r="F871" s="1514"/>
      <c r="G871" s="1509" t="str">
        <f t="shared" ca="1" si="58"/>
        <v/>
      </c>
      <c r="H871" s="1510" t="s">
        <v>3197</v>
      </c>
      <c r="I871" s="67"/>
      <c r="J871" s="4"/>
      <c r="K871" s="85"/>
      <c r="L871" s="1629"/>
      <c r="M871" s="911"/>
      <c r="N871" s="1619"/>
      <c r="O871" s="1619"/>
      <c r="X871" s="1601"/>
      <c r="Y871" s="1881"/>
      <c r="Z871" s="1601"/>
      <c r="AL871" s="1352"/>
      <c r="AM871" s="1352"/>
      <c r="AN871" s="1352"/>
      <c r="AO871" s="1352"/>
      <c r="AP871" s="1352"/>
      <c r="AQ871" s="1352"/>
      <c r="AR871" s="1352"/>
      <c r="AS871" s="1352"/>
    </row>
    <row r="872" spans="1:46" s="905" customFormat="1" hidden="1" x14ac:dyDescent="0.2">
      <c r="A872" s="1515" t="s">
        <v>4961</v>
      </c>
      <c r="B872" s="1524" t="s">
        <v>4030</v>
      </c>
      <c r="C872" s="1511"/>
      <c r="D872" s="1511"/>
      <c r="E872" s="1511"/>
      <c r="F872" s="1514"/>
      <c r="G872" s="1509" t="str">
        <f t="shared" ca="1" si="58"/>
        <v/>
      </c>
      <c r="H872" s="1510" t="s">
        <v>3197</v>
      </c>
      <c r="I872" s="67"/>
      <c r="J872" s="4"/>
      <c r="K872" s="85"/>
      <c r="L872" s="1629"/>
      <c r="M872" s="911"/>
      <c r="N872" s="1619"/>
      <c r="O872" s="1619"/>
      <c r="X872" s="1601"/>
      <c r="Y872" s="1881"/>
      <c r="Z872" s="1601"/>
      <c r="AL872" s="1352"/>
      <c r="AM872" s="1352"/>
      <c r="AN872" s="1352"/>
      <c r="AO872" s="1352"/>
      <c r="AP872" s="1352"/>
      <c r="AQ872" s="1352"/>
      <c r="AR872" s="1352"/>
      <c r="AS872" s="1352"/>
    </row>
    <row r="873" spans="1:46" s="905" customFormat="1" hidden="1" x14ac:dyDescent="0.2">
      <c r="A873" s="1515" t="s">
        <v>4961</v>
      </c>
      <c r="B873" s="1524" t="s">
        <v>4030</v>
      </c>
      <c r="C873" s="1511"/>
      <c r="D873" s="1511" t="s">
        <v>121</v>
      </c>
      <c r="E873" s="1511"/>
      <c r="F873" s="1514"/>
      <c r="G873" s="1509" t="str">
        <f t="shared" ca="1" si="58"/>
        <v/>
      </c>
      <c r="H873" s="1510" t="s">
        <v>3197</v>
      </c>
      <c r="I873" s="589"/>
      <c r="J873" s="858"/>
      <c r="K873" s="93" t="s">
        <v>121</v>
      </c>
      <c r="L873" s="1687" t="s">
        <v>4037</v>
      </c>
      <c r="M873" s="1623">
        <v>2</v>
      </c>
      <c r="N873" s="4"/>
      <c r="O873" s="935"/>
      <c r="X873" s="1601"/>
      <c r="Y873" s="1881"/>
      <c r="Z873" s="1601"/>
      <c r="AL873" s="1352" t="str">
        <f>SUBSTITUTE(SUBSTITUTE(SUBSTITUTE("vpa"&amp;$B873&amp;$C873&amp;$D873&amp;$E873&amp;$F873,".","_"),"(","_"),")","")</f>
        <v>vpa613_1_a</v>
      </c>
      <c r="AM873" s="1352">
        <f>M873</f>
        <v>2</v>
      </c>
      <c r="AN873" s="1352"/>
      <c r="AO873" s="1352"/>
      <c r="AP873" s="1352"/>
      <c r="AQ873" s="1352"/>
      <c r="AR873" s="1352"/>
      <c r="AS873" s="1352"/>
    </row>
    <row r="874" spans="1:46" s="905" customFormat="1" hidden="1" x14ac:dyDescent="0.2">
      <c r="A874" s="1515" t="s">
        <v>4961</v>
      </c>
      <c r="B874" s="1524" t="s">
        <v>4030</v>
      </c>
      <c r="C874" s="1511"/>
      <c r="D874" s="1511" t="s">
        <v>121</v>
      </c>
      <c r="E874" s="1511"/>
      <c r="F874" s="1514"/>
      <c r="G874" s="1509" t="str">
        <f t="shared" ca="1" si="58"/>
        <v/>
      </c>
      <c r="H874" s="1510" t="s">
        <v>3197</v>
      </c>
      <c r="I874" s="600"/>
      <c r="J874" s="858"/>
      <c r="K874" s="173"/>
      <c r="L874" s="1688"/>
      <c r="M874" s="1624"/>
      <c r="N874" s="4"/>
      <c r="O874" s="935"/>
      <c r="X874" s="1601"/>
      <c r="Y874" s="1881"/>
      <c r="Z874" s="1601"/>
      <c r="AL874" s="1352"/>
      <c r="AM874" s="1352"/>
      <c r="AN874" s="1352"/>
      <c r="AO874" s="1352"/>
      <c r="AP874" s="1352"/>
      <c r="AQ874" s="1352"/>
      <c r="AR874" s="1352"/>
      <c r="AS874" s="1352"/>
    </row>
    <row r="875" spans="1:46" s="905" customFormat="1" hidden="1" x14ac:dyDescent="0.2">
      <c r="A875" s="1515" t="s">
        <v>4961</v>
      </c>
      <c r="B875" s="1524" t="s">
        <v>4030</v>
      </c>
      <c r="C875" s="1511"/>
      <c r="D875" s="1511" t="s">
        <v>122</v>
      </c>
      <c r="E875" s="1511"/>
      <c r="F875" s="1514"/>
      <c r="G875" s="1509" t="str">
        <f t="shared" ca="1" si="58"/>
        <v/>
      </c>
      <c r="H875" s="1510" t="s">
        <v>3197</v>
      </c>
      <c r="I875" s="589"/>
      <c r="J875" s="858"/>
      <c r="K875" s="860" t="s">
        <v>122</v>
      </c>
      <c r="L875" s="1686" t="s">
        <v>4038</v>
      </c>
      <c r="M875" s="1636">
        <v>3</v>
      </c>
      <c r="N875" s="4"/>
      <c r="O875" s="935"/>
      <c r="X875" s="1601"/>
      <c r="Y875" s="1881"/>
      <c r="Z875" s="1601"/>
      <c r="AL875" s="1352" t="str">
        <f>SUBSTITUTE(SUBSTITUTE(SUBSTITUTE("vpa"&amp;$B875&amp;$C875&amp;$D875&amp;$E875&amp;$F875,".","_"),"(","_"),")","")</f>
        <v>vpa613_1_b</v>
      </c>
      <c r="AM875" s="1352">
        <f>M875</f>
        <v>3</v>
      </c>
      <c r="AN875" s="1352"/>
      <c r="AO875" s="1352"/>
      <c r="AP875" s="1352"/>
      <c r="AQ875" s="1352"/>
      <c r="AR875" s="1352"/>
      <c r="AS875" s="1352"/>
    </row>
    <row r="876" spans="1:46" s="905" customFormat="1" hidden="1" x14ac:dyDescent="0.2">
      <c r="A876" s="1515" t="s">
        <v>4961</v>
      </c>
      <c r="B876" s="1524" t="s">
        <v>4030</v>
      </c>
      <c r="C876" s="1511"/>
      <c r="D876" s="1511" t="s">
        <v>122</v>
      </c>
      <c r="E876" s="1511"/>
      <c r="F876" s="1514"/>
      <c r="G876" s="1509" t="str">
        <f t="shared" ca="1" si="58"/>
        <v/>
      </c>
      <c r="H876" s="1510" t="s">
        <v>3197</v>
      </c>
      <c r="I876" s="600"/>
      <c r="J876" s="858"/>
      <c r="K876" s="991"/>
      <c r="L876" s="1687"/>
      <c r="M876" s="1623"/>
      <c r="N876" s="4"/>
      <c r="O876" s="935"/>
      <c r="X876" s="1601"/>
      <c r="Y876" s="1881"/>
      <c r="Z876" s="1601"/>
      <c r="AL876" s="1352"/>
      <c r="AM876" s="1352"/>
      <c r="AN876" s="1352"/>
      <c r="AO876" s="1352"/>
      <c r="AP876" s="1352"/>
      <c r="AQ876" s="1352"/>
      <c r="AR876" s="1352"/>
      <c r="AS876" s="1352"/>
    </row>
    <row r="877" spans="1:46" s="905" customFormat="1" hidden="1" x14ac:dyDescent="0.2">
      <c r="A877" s="1515" t="s">
        <v>4961</v>
      </c>
      <c r="B877" s="1524" t="s">
        <v>4030</v>
      </c>
      <c r="C877" s="1511"/>
      <c r="D877" s="1511" t="s">
        <v>122</v>
      </c>
      <c r="E877" s="1511"/>
      <c r="F877" s="1514"/>
      <c r="G877" s="1509" t="str">
        <f t="shared" ca="1" si="58"/>
        <v/>
      </c>
      <c r="H877" s="1510" t="s">
        <v>3197</v>
      </c>
      <c r="I877" s="600"/>
      <c r="J877" s="858"/>
      <c r="K877" s="991"/>
      <c r="L877" s="1687"/>
      <c r="M877" s="1623"/>
      <c r="N877" s="4"/>
      <c r="O877" s="935"/>
      <c r="X877" s="1601"/>
      <c r="Y877" s="1881"/>
      <c r="Z877" s="1601"/>
      <c r="AL877" s="1352"/>
      <c r="AM877" s="1352"/>
      <c r="AN877" s="1352"/>
      <c r="AO877" s="1352"/>
      <c r="AP877" s="1352"/>
      <c r="AQ877" s="1352"/>
      <c r="AR877" s="1352"/>
      <c r="AS877" s="1352"/>
    </row>
    <row r="878" spans="1:46" s="905" customFormat="1" hidden="1" x14ac:dyDescent="0.2">
      <c r="A878" s="1515" t="s">
        <v>4961</v>
      </c>
      <c r="B878" s="1524" t="s">
        <v>4030</v>
      </c>
      <c r="C878" s="1511"/>
      <c r="D878" s="1511" t="s">
        <v>122</v>
      </c>
      <c r="E878" s="1511"/>
      <c r="F878" s="1514"/>
      <c r="G878" s="1509" t="str">
        <f t="shared" ca="1" si="58"/>
        <v/>
      </c>
      <c r="H878" s="1510" t="s">
        <v>3197</v>
      </c>
      <c r="I878" s="600"/>
      <c r="J878" s="858"/>
      <c r="K878" s="173"/>
      <c r="L878" s="1688"/>
      <c r="M878" s="1624"/>
      <c r="N878" s="4"/>
      <c r="O878" s="935"/>
      <c r="X878" s="1601"/>
      <c r="Y878" s="1881"/>
      <c r="Z878" s="1601"/>
      <c r="AL878" s="1352"/>
      <c r="AM878" s="1352"/>
      <c r="AN878" s="1352"/>
      <c r="AO878" s="1352"/>
      <c r="AP878" s="1352"/>
      <c r="AQ878" s="1352"/>
      <c r="AR878" s="1352"/>
      <c r="AS878" s="1352"/>
    </row>
    <row r="879" spans="1:46" s="905" customFormat="1" hidden="1" x14ac:dyDescent="0.2">
      <c r="A879" s="1515" t="s">
        <v>4961</v>
      </c>
      <c r="B879" s="1524" t="s">
        <v>4030</v>
      </c>
      <c r="C879" s="1511"/>
      <c r="D879" s="1511" t="s">
        <v>123</v>
      </c>
      <c r="E879" s="1511"/>
      <c r="F879" s="1514"/>
      <c r="G879" s="1509" t="str">
        <f t="shared" ca="1" si="58"/>
        <v/>
      </c>
      <c r="H879" s="1510" t="s">
        <v>3197</v>
      </c>
      <c r="I879" s="589"/>
      <c r="J879" s="858"/>
      <c r="K879" s="216" t="s">
        <v>123</v>
      </c>
      <c r="L879" s="1094" t="s">
        <v>4039</v>
      </c>
      <c r="M879" s="379">
        <v>5</v>
      </c>
      <c r="N879" s="4"/>
      <c r="O879" s="935"/>
      <c r="X879" s="1601"/>
      <c r="Y879" s="1881"/>
      <c r="Z879" s="1601"/>
      <c r="AL879" s="1352" t="str">
        <f>SUBSTITUTE(SUBSTITUTE(SUBSTITUTE("vpa"&amp;$B879&amp;$C879&amp;$D879&amp;$E879&amp;$F879,".","_"),"(","_"),")","")</f>
        <v>vpa613_1_c</v>
      </c>
      <c r="AM879" s="1352">
        <f>M879</f>
        <v>5</v>
      </c>
      <c r="AN879" s="1352"/>
      <c r="AO879" s="1352"/>
      <c r="AP879" s="1352"/>
      <c r="AQ879" s="1352"/>
      <c r="AR879" s="1352"/>
      <c r="AS879" s="1352"/>
    </row>
    <row r="880" spans="1:46" s="905" customFormat="1" hidden="1" x14ac:dyDescent="0.2">
      <c r="A880" s="1515" t="s">
        <v>4961</v>
      </c>
      <c r="B880" s="1524" t="s">
        <v>4030</v>
      </c>
      <c r="C880" s="1511"/>
      <c r="D880" s="1511" t="s">
        <v>366</v>
      </c>
      <c r="E880" s="1511"/>
      <c r="F880" s="1514"/>
      <c r="G880" s="1509" t="str">
        <f t="shared" ca="1" si="58"/>
        <v/>
      </c>
      <c r="H880" s="1510" t="s">
        <v>3197</v>
      </c>
      <c r="I880" s="589"/>
      <c r="J880" s="858"/>
      <c r="K880" s="222" t="s">
        <v>366</v>
      </c>
      <c r="L880" s="1094" t="s">
        <v>4040</v>
      </c>
      <c r="M880" s="379">
        <v>10</v>
      </c>
      <c r="N880" s="4"/>
      <c r="O880" s="935"/>
      <c r="X880" s="1601"/>
      <c r="Y880" s="1881"/>
      <c r="Z880" s="1601"/>
      <c r="AL880" s="1352" t="str">
        <f>SUBSTITUTE(SUBSTITUTE(SUBSTITUTE("vpa"&amp;$B880&amp;$C880&amp;$D880&amp;$E880&amp;$F880,".","_"),"(","_"),")","")</f>
        <v>vpa613_1_d</v>
      </c>
      <c r="AM880" s="1352">
        <f>M880</f>
        <v>10</v>
      </c>
      <c r="AN880" s="1352"/>
      <c r="AO880" s="1352"/>
      <c r="AP880" s="1352"/>
      <c r="AQ880" s="1352"/>
      <c r="AR880" s="1352"/>
      <c r="AS880" s="1352"/>
    </row>
    <row r="881" spans="1:63" s="905" customFormat="1" hidden="1" x14ac:dyDescent="0.2">
      <c r="A881" s="1515" t="s">
        <v>4961</v>
      </c>
      <c r="B881" s="1524" t="s">
        <v>4030</v>
      </c>
      <c r="C881" s="1511"/>
      <c r="D881" s="1511" t="s">
        <v>472</v>
      </c>
      <c r="E881" s="1511"/>
      <c r="F881" s="1514"/>
      <c r="G881" s="1509" t="str">
        <f t="shared" ca="1" si="58"/>
        <v/>
      </c>
      <c r="H881" s="1510" t="s">
        <v>3197</v>
      </c>
      <c r="I881" s="589"/>
      <c r="J881" s="858"/>
      <c r="K881" s="223" t="s">
        <v>472</v>
      </c>
      <c r="L881" s="1094" t="s">
        <v>4041</v>
      </c>
      <c r="M881" s="379">
        <v>12</v>
      </c>
      <c r="N881" s="4"/>
      <c r="O881" s="935"/>
      <c r="X881" s="1601"/>
      <c r="Y881" s="1881"/>
      <c r="Z881" s="1601"/>
      <c r="AL881" s="1352" t="str">
        <f>SUBSTITUTE(SUBSTITUTE(SUBSTITUTE("vpa"&amp;$B881&amp;$C881&amp;$D881&amp;$E881&amp;$F881,".","_"),"(","_"),")","")</f>
        <v>vpa613_1_e</v>
      </c>
      <c r="AM881" s="1352">
        <f>M881</f>
        <v>12</v>
      </c>
      <c r="AN881" s="1352"/>
      <c r="AO881" s="1352"/>
      <c r="AP881" s="1352"/>
      <c r="AQ881" s="1352"/>
      <c r="AR881" s="1352"/>
      <c r="AS881" s="1352"/>
    </row>
    <row r="882" spans="1:63" s="905" customFormat="1" hidden="1" x14ac:dyDescent="0.2">
      <c r="A882" s="1515" t="s">
        <v>4961</v>
      </c>
      <c r="B882" s="1524" t="s">
        <v>4030</v>
      </c>
      <c r="C882" s="1511"/>
      <c r="D882" s="1511" t="s">
        <v>510</v>
      </c>
      <c r="E882" s="1511"/>
      <c r="F882" s="1514"/>
      <c r="G882" s="1509" t="str">
        <f t="shared" ca="1" si="58"/>
        <v/>
      </c>
      <c r="H882" s="1510" t="s">
        <v>3197</v>
      </c>
      <c r="I882" s="589"/>
      <c r="J882" s="858"/>
      <c r="K882" s="89" t="s">
        <v>510</v>
      </c>
      <c r="L882" s="946" t="s">
        <v>4042</v>
      </c>
      <c r="M882" s="911">
        <v>15</v>
      </c>
      <c r="N882" s="4"/>
      <c r="O882" s="935"/>
      <c r="X882" s="1601"/>
      <c r="Y882" s="1881"/>
      <c r="Z882" s="1601"/>
      <c r="AL882" s="1352" t="str">
        <f>SUBSTITUTE(SUBSTITUTE(SUBSTITUTE("vpa"&amp;$B882&amp;$C882&amp;$D882&amp;$E882&amp;$F882,".","_"),"(","_"),")","")</f>
        <v>vpa613_1_f</v>
      </c>
      <c r="AM882" s="1352">
        <f>M882</f>
        <v>15</v>
      </c>
      <c r="AN882" s="1352"/>
      <c r="AO882" s="1352"/>
      <c r="AP882" s="1352"/>
      <c r="AQ882" s="1352"/>
      <c r="AR882" s="1352"/>
      <c r="AS882" s="1352"/>
    </row>
    <row r="883" spans="1:63" ht="19" x14ac:dyDescent="0.25">
      <c r="A883" s="1507">
        <v>7</v>
      </c>
      <c r="B883" s="1534" t="s">
        <v>632</v>
      </c>
      <c r="C883" s="1510"/>
      <c r="D883" s="1510"/>
      <c r="E883" s="1510"/>
      <c r="F883" s="1510"/>
      <c r="G883" s="1509" t="s">
        <v>3200</v>
      </c>
      <c r="H883" s="1510" t="s">
        <v>3197</v>
      </c>
      <c r="I883" s="24" t="s">
        <v>3637</v>
      </c>
      <c r="J883" s="24"/>
      <c r="K883" s="24"/>
      <c r="L883" s="25"/>
      <c r="M883" s="871"/>
      <c r="N883" s="26"/>
      <c r="O883" s="26"/>
      <c r="P883" s="576" t="s">
        <v>246</v>
      </c>
      <c r="Q883" s="576" t="s">
        <v>246</v>
      </c>
      <c r="R883" s="576" t="s">
        <v>246</v>
      </c>
      <c r="S883" s="576" t="s">
        <v>246</v>
      </c>
      <c r="T883" s="576" t="s">
        <v>246</v>
      </c>
      <c r="U883" s="576" t="s">
        <v>246</v>
      </c>
      <c r="V883" s="576" t="s">
        <v>246</v>
      </c>
      <c r="W883" s="25"/>
      <c r="X883" s="25"/>
      <c r="Y883" s="25"/>
      <c r="Z883" s="714"/>
      <c r="AB883" s="524"/>
      <c r="AC883" s="524"/>
      <c r="AD883" s="524"/>
      <c r="AE883" s="524"/>
      <c r="AF883" s="524"/>
      <c r="AG883" s="524"/>
      <c r="AH883" s="524"/>
      <c r="AI883" s="524"/>
      <c r="AJ883" s="524"/>
      <c r="AK883" s="524"/>
      <c r="AL883" s="524"/>
      <c r="AM883" s="524"/>
      <c r="AN883" s="524"/>
      <c r="AO883" s="524"/>
      <c r="AP883" s="524"/>
      <c r="AQ883" s="524"/>
      <c r="AR883" s="524"/>
      <c r="AS883" s="524"/>
      <c r="AW883" s="524"/>
      <c r="AX883" s="524"/>
      <c r="AY883" s="524"/>
      <c r="AZ883" s="524"/>
      <c r="BA883" s="524"/>
      <c r="BB883" s="524"/>
      <c r="BC883" s="524"/>
      <c r="BD883" s="524"/>
      <c r="BE883" s="524"/>
      <c r="BF883" s="524"/>
      <c r="BG883" s="524"/>
      <c r="BH883" s="524"/>
      <c r="BI883" s="524"/>
    </row>
    <row r="884" spans="1:63" ht="16" thickBot="1" x14ac:dyDescent="0.25">
      <c r="A884" s="1515">
        <v>7</v>
      </c>
      <c r="B884" s="1516" t="s">
        <v>4045</v>
      </c>
      <c r="C884" s="1516"/>
      <c r="D884" s="1516"/>
      <c r="E884" s="1516"/>
      <c r="F884" s="1511"/>
      <c r="G884" s="1509" t="str">
        <f>IF(IFERROR(SEARCH("Mandatory",M884),FALSE),"P","")</f>
        <v>P</v>
      </c>
      <c r="H884" s="1510" t="s">
        <v>3198</v>
      </c>
      <c r="I884" s="1082" t="s">
        <v>4045</v>
      </c>
      <c r="J884" s="239"/>
      <c r="K884" s="239"/>
      <c r="L884" s="596" t="s">
        <v>4044</v>
      </c>
      <c r="M884" s="950" t="s">
        <v>4051</v>
      </c>
      <c r="N884" s="587"/>
      <c r="O884" s="587"/>
      <c r="P884" s="587" t="b">
        <v>1</v>
      </c>
      <c r="Q884" s="587" t="b">
        <v>0</v>
      </c>
      <c r="R884" s="587" t="b">
        <v>1</v>
      </c>
      <c r="S884" s="587" t="b">
        <v>1</v>
      </c>
      <c r="T884" s="587" t="b">
        <f ca="1">(W884="Path not chosen")</f>
        <v>0</v>
      </c>
      <c r="U884" s="195" t="str">
        <f>SUBSTITUTE(SUBSTITUTE(SUBSTITUTE("dd"&amp;B884&amp;C884&amp;D884&amp;E884&amp;F884,".","_"),"(","_"),")","")</f>
        <v>dd305_2_5</v>
      </c>
      <c r="V884" s="100"/>
      <c r="W884" s="1182" t="str">
        <f ca="1">IFERROR(IF(MATCH(AY906,ddEnergyPath,0)=1,INDEX(INDIRECT(U884),2),IF(MATCH(AY906,ddEnergyPath,0)=2,INDEX(INDIRECT(U884),1),"Path not chosen")),"Path not chosen")</f>
        <v>Reduction Path</v>
      </c>
      <c r="X884" s="100"/>
      <c r="Y884" s="100"/>
      <c r="Z884" s="100"/>
      <c r="AA884"/>
      <c r="AC884" s="1150" t="b">
        <f ca="1">OR(AD884:AE884)</f>
        <v>0</v>
      </c>
      <c r="AD884" s="1150" t="b">
        <f ca="1">T884</f>
        <v>0</v>
      </c>
      <c r="AE884" s="1150" t="b">
        <f ca="1">AND(R884,W884="")</f>
        <v>0</v>
      </c>
      <c r="AF884" s="1150" t="b">
        <f ca="1">AND(AE884,NOT(Q884))</f>
        <v>0</v>
      </c>
      <c r="AG884"/>
      <c r="AH884"/>
      <c r="AI884"/>
      <c r="AJ884"/>
      <c r="AK884"/>
      <c r="AL884" s="1352" t="str">
        <f>SUBSTITUTE(SUBSTITUTE(SUBSTITUTE("vpa"&amp;$B884&amp;$C884&amp;$D884&amp;$E884&amp;$F884,".","_"),"(","_"),")","")</f>
        <v>vpa305_2_5</v>
      </c>
      <c r="AM884" s="1352" t="str">
        <f>M884</f>
        <v>Mandatory</v>
      </c>
      <c r="AN884" s="1352"/>
      <c r="AO884" s="1352"/>
      <c r="AP884" s="1352"/>
      <c r="AQ884" s="1352"/>
      <c r="AR884" s="1352" t="str">
        <f>SUBSTITUTE(SUBSTITUTE(SUBSTITUTE("vnt"&amp;$B884&amp;$C884&amp;$D884&amp;$E884&amp;$F884,".","_"),"(","_"),")","")</f>
        <v>vnt305_2_5</v>
      </c>
      <c r="AS884" s="1352" t="str">
        <f>IF(LEN(X884)=0,"",X884)</f>
        <v/>
      </c>
      <c r="AT884"/>
    </row>
    <row r="885" spans="1:63" ht="16" thickTop="1" x14ac:dyDescent="0.2">
      <c r="A885" s="1507">
        <v>7</v>
      </c>
      <c r="B885" s="1516">
        <v>701.4</v>
      </c>
      <c r="C885" s="1516"/>
      <c r="D885" s="1516"/>
      <c r="E885" s="1516"/>
      <c r="F885" s="1511"/>
      <c r="G885" s="1509" t="s">
        <v>3200</v>
      </c>
      <c r="H885" s="1510" t="s">
        <v>3197</v>
      </c>
      <c r="I885" s="130" t="s">
        <v>3638</v>
      </c>
      <c r="J885" s="813"/>
      <c r="K885" s="813"/>
      <c r="L885" s="817" t="s">
        <v>3658</v>
      </c>
      <c r="M885" s="945"/>
      <c r="N885" s="178"/>
      <c r="O885" s="943"/>
      <c r="P885" s="106"/>
      <c r="Q885" s="106"/>
      <c r="R885" s="876" t="s">
        <v>4471</v>
      </c>
      <c r="S885" s="875">
        <f ca="1">IFERROR(MATCH(W884,INDIRECT(U884),0),0)</f>
        <v>1</v>
      </c>
      <c r="T885" s="106"/>
      <c r="U885" s="106"/>
      <c r="V885" s="96"/>
      <c r="W885" s="96"/>
      <c r="X885" s="96"/>
      <c r="Y885" s="523"/>
      <c r="Z885" s="670"/>
      <c r="AB885" s="523"/>
      <c r="AC885" s="523"/>
      <c r="AD885" s="523"/>
      <c r="AE885" s="523"/>
      <c r="AF885" s="523"/>
      <c r="AG885" s="523"/>
      <c r="AH885" s="523"/>
      <c r="AI885" s="523"/>
      <c r="AJ885" s="523"/>
      <c r="AK885" s="523"/>
      <c r="AL885" s="1352"/>
      <c r="AM885" s="1352"/>
      <c r="AN885" s="1352"/>
      <c r="AO885" s="1352"/>
      <c r="AP885" s="1352"/>
      <c r="AQ885" s="1352"/>
      <c r="AR885" s="1352"/>
      <c r="AS885" s="1352"/>
      <c r="AT885" s="523"/>
      <c r="AU885" s="523"/>
      <c r="AV885" s="523"/>
      <c r="AW885" s="523"/>
      <c r="AX885" s="525" t="str">
        <f>'Overview (Verification)'!A10</f>
        <v>Builder Name:</v>
      </c>
      <c r="AY885" s="685" t="str">
        <f>IF(LEN('Overview (Verification)'!P10)=0,0,'Overview (Verification)'!P10)</f>
        <v>TWG Development</v>
      </c>
      <c r="AZ885" s="721"/>
      <c r="BA885" s="721"/>
      <c r="BB885" s="721"/>
      <c r="BC885" s="721"/>
      <c r="BD885" s="721"/>
      <c r="BE885" s="721"/>
      <c r="BF885" s="721"/>
      <c r="BG885" s="721"/>
      <c r="BH885" s="721"/>
      <c r="BI885" s="721"/>
      <c r="BJ885" s="721"/>
      <c r="BK885" s="721"/>
    </row>
    <row r="886" spans="1:63" s="764" customFormat="1" x14ac:dyDescent="0.2">
      <c r="A886" s="1507">
        <v>7</v>
      </c>
      <c r="B886" s="1516" t="s">
        <v>3846</v>
      </c>
      <c r="C886" s="1516"/>
      <c r="D886" s="1516"/>
      <c r="E886" s="1516"/>
      <c r="F886" s="1511"/>
      <c r="G886" s="1509" t="str">
        <f>IF(IFERROR(SEARCH("Mandatory",M886),FALSE),"P","")</f>
        <v>P</v>
      </c>
      <c r="H886" s="1510" t="s">
        <v>3199</v>
      </c>
      <c r="I886" s="192" t="s">
        <v>3845</v>
      </c>
      <c r="J886" s="772"/>
      <c r="K886" s="772"/>
      <c r="L886" s="1712" t="s">
        <v>4052</v>
      </c>
      <c r="M886" s="1732" t="str">
        <f>IF(R886,"Mandatory","N/A")</f>
        <v>Mandatory</v>
      </c>
      <c r="N886" s="193"/>
      <c r="O886" s="918"/>
      <c r="P886" s="991" t="b">
        <v>0</v>
      </c>
      <c r="Q886" s="991" t="b">
        <v>1</v>
      </c>
      <c r="R886" s="195" t="b">
        <f>S886</f>
        <v>1</v>
      </c>
      <c r="S886" s="723" t="b">
        <v>1</v>
      </c>
      <c r="T886" s="195" t="b">
        <f>AND(NOT(S886),W886=TRUE)</f>
        <v>0</v>
      </c>
      <c r="U886" s="195"/>
      <c r="V886" s="195"/>
      <c r="W886" s="781" t="b">
        <v>1</v>
      </c>
      <c r="X886" s="1601"/>
      <c r="Y886" s="1881" t="str">
        <f>IF(LEN('11.700'!X12)=0,"None",'11.700'!X12)</f>
        <v>None</v>
      </c>
      <c r="Z886" s="1891"/>
      <c r="AC886" s="779" t="b">
        <f>OR(AD886:AE886)</f>
        <v>0</v>
      </c>
      <c r="AD886" s="779" t="b">
        <f>T886</f>
        <v>0</v>
      </c>
      <c r="AE886" s="779" t="b">
        <f>AND(R886,NOT(W886))</f>
        <v>0</v>
      </c>
      <c r="AF886" s="779" t="b">
        <f>AND(AE886,NOT(Q886))</f>
        <v>0</v>
      </c>
      <c r="AL886" s="1352" t="str">
        <f>SUBSTITUTE(SUBSTITUTE(SUBSTITUTE("vpa"&amp;$B886&amp;$C886&amp;$D886&amp;$E886&amp;$F886,".","_"),"(","_"),")","")</f>
        <v>vpa701_4_0</v>
      </c>
      <c r="AM886" s="1352" t="str">
        <f>M886</f>
        <v>Mandatory</v>
      </c>
      <c r="AN886" s="1352"/>
      <c r="AO886" s="1352"/>
      <c r="AP886" s="1352" t="str">
        <f>SUBSTITUTE(SUBSTITUTE(SUBSTITUTE("vch"&amp;$B886&amp;$C886&amp;$D886&amp;$E886&amp;$F886,".","_"),"(","_"),")","")</f>
        <v>vch701_4_0</v>
      </c>
      <c r="AQ886" s="1352" t="b">
        <f>IF(LEN(W886)=0,"",W886)</f>
        <v>1</v>
      </c>
      <c r="AR886" s="1352" t="str">
        <f>SUBSTITUTE(SUBSTITUTE(SUBSTITUTE("vnt"&amp;$B886&amp;$C886&amp;$D886&amp;$E886&amp;$F886,".","_"),"(","_"),")","")</f>
        <v>vnt701_4_0</v>
      </c>
      <c r="AS886" s="1352" t="str">
        <f>IF(LEN(X886)=0,"",X886)</f>
        <v/>
      </c>
      <c r="AX886" s="525" t="str">
        <f>'Overview (Verification)'!A11</f>
        <v>Physical Address of Home:</v>
      </c>
      <c r="AY886" s="685" t="str">
        <f>IF(LEN('Overview (Verification)'!P11)=0,0,'Overview (Verification)'!P11)</f>
        <v>330 Brownlee Road SW</v>
      </c>
    </row>
    <row r="887" spans="1:63" s="764" customFormat="1" x14ac:dyDescent="0.2">
      <c r="A887" s="1507">
        <v>7</v>
      </c>
      <c r="B887" s="1516" t="s">
        <v>3846</v>
      </c>
      <c r="C887" s="1516"/>
      <c r="D887" s="1516"/>
      <c r="E887" s="1516"/>
      <c r="F887" s="1511"/>
      <c r="G887" s="1509" t="str">
        <f t="shared" ref="G887:G892" si="59">G886</f>
        <v>P</v>
      </c>
      <c r="H887" s="1510" t="s">
        <v>3199</v>
      </c>
      <c r="I887" s="129"/>
      <c r="J887" s="765"/>
      <c r="K887" s="765"/>
      <c r="L887" s="1629"/>
      <c r="M887" s="1697"/>
      <c r="N887" s="129"/>
      <c r="O887" s="908"/>
      <c r="P887" s="991"/>
      <c r="Q887" s="991"/>
      <c r="R887" s="991"/>
      <c r="S887" s="991"/>
      <c r="T887" s="991"/>
      <c r="U887" s="991"/>
      <c r="V887" s="96"/>
      <c r="W887" s="96"/>
      <c r="X887" s="1601"/>
      <c r="Y887" s="1881"/>
      <c r="Z887" s="1891"/>
      <c r="AL887" s="1352"/>
      <c r="AM887" s="1352"/>
      <c r="AN887" s="1352"/>
      <c r="AO887" s="1352"/>
      <c r="AP887" s="1352"/>
      <c r="AQ887" s="1352"/>
      <c r="AR887" s="1352"/>
      <c r="AS887" s="1352"/>
      <c r="AX887" s="525" t="str">
        <f>'Overview (Verification)'!A12</f>
        <v>Community/Lot #:</v>
      </c>
      <c r="AY887" s="685">
        <f>IF(LEN('Overview (Verification)'!P12)=0,0,'Overview (Verification)'!P12)</f>
        <v>0</v>
      </c>
    </row>
    <row r="888" spans="1:63" s="764" customFormat="1" x14ac:dyDescent="0.2">
      <c r="A888" s="1507">
        <v>7</v>
      </c>
      <c r="B888" s="1516" t="s">
        <v>3846</v>
      </c>
      <c r="C888" s="1516"/>
      <c r="D888" s="1516"/>
      <c r="E888" s="1516"/>
      <c r="F888" s="1511"/>
      <c r="G888" s="1509" t="str">
        <f t="shared" si="59"/>
        <v>P</v>
      </c>
      <c r="H888" s="1510" t="s">
        <v>3199</v>
      </c>
      <c r="I888" s="129"/>
      <c r="J888" s="765"/>
      <c r="K888" s="765"/>
      <c r="L888" s="1629"/>
      <c r="M888" s="1697"/>
      <c r="N888" s="129"/>
      <c r="O888" s="908"/>
      <c r="P888" s="991"/>
      <c r="Q888" s="991"/>
      <c r="R888" s="991"/>
      <c r="S888" s="991"/>
      <c r="T888" s="991"/>
      <c r="U888" s="991"/>
      <c r="V888" s="96"/>
      <c r="W888" s="96"/>
      <c r="X888" s="1601"/>
      <c r="Y888" s="1881"/>
      <c r="Z888" s="1891"/>
      <c r="AL888" s="1352"/>
      <c r="AM888" s="1352"/>
      <c r="AN888" s="1352"/>
      <c r="AO888" s="1352"/>
      <c r="AP888" s="1352"/>
      <c r="AQ888" s="1352"/>
      <c r="AR888" s="1352"/>
      <c r="AS888" s="1352"/>
      <c r="AX888" s="525" t="str">
        <f>'Overview (Verification)'!A13</f>
        <v>City:</v>
      </c>
      <c r="AY888" s="685" t="str">
        <f>IF(LEN('Overview (Verification)'!P13)=0,0,'Overview (Verification)'!P13)</f>
        <v>Atlanta</v>
      </c>
    </row>
    <row r="889" spans="1:63" s="764" customFormat="1" x14ac:dyDescent="0.2">
      <c r="A889" s="1507">
        <v>7</v>
      </c>
      <c r="B889" s="1516" t="s">
        <v>3846</v>
      </c>
      <c r="C889" s="1516"/>
      <c r="D889" s="1516"/>
      <c r="E889" s="1516"/>
      <c r="F889" s="1511"/>
      <c r="G889" s="1509" t="str">
        <f t="shared" si="59"/>
        <v>P</v>
      </c>
      <c r="H889" s="1510" t="s">
        <v>3199</v>
      </c>
      <c r="I889" s="129"/>
      <c r="J889" s="765"/>
      <c r="K889" s="765"/>
      <c r="L889" s="1629"/>
      <c r="M889" s="1697"/>
      <c r="N889" s="129"/>
      <c r="O889" s="908"/>
      <c r="P889" s="991"/>
      <c r="Q889" s="991"/>
      <c r="R889" s="991"/>
      <c r="S889" s="991"/>
      <c r="T889" s="991"/>
      <c r="U889" s="991"/>
      <c r="V889" s="96"/>
      <c r="W889" s="96"/>
      <c r="X889" s="1601"/>
      <c r="Y889" s="1881"/>
      <c r="Z889" s="1891"/>
      <c r="AL889" s="1352"/>
      <c r="AM889" s="1352"/>
      <c r="AN889" s="1352"/>
      <c r="AO889" s="1352"/>
      <c r="AP889" s="1352"/>
      <c r="AQ889" s="1352"/>
      <c r="AR889" s="1352"/>
      <c r="AS889" s="1352"/>
      <c r="AX889" s="525" t="str">
        <f>'Overview (Verification)'!A14</f>
        <v>State:</v>
      </c>
      <c r="AY889" s="685" t="str">
        <f>IF(LEN('Overview (Verification)'!P14)=0,0,'Overview (Verification)'!P14)</f>
        <v>Georgia</v>
      </c>
    </row>
    <row r="890" spans="1:63" s="764" customFormat="1" x14ac:dyDescent="0.2">
      <c r="A890" s="1507">
        <v>7</v>
      </c>
      <c r="B890" s="1516" t="s">
        <v>3846</v>
      </c>
      <c r="C890" s="1516"/>
      <c r="D890" s="1516"/>
      <c r="E890" s="1516"/>
      <c r="F890" s="1511"/>
      <c r="G890" s="1509" t="str">
        <f t="shared" si="59"/>
        <v>P</v>
      </c>
      <c r="H890" s="1510" t="s">
        <v>3199</v>
      </c>
      <c r="I890" s="129"/>
      <c r="J890" s="765"/>
      <c r="K890" s="765"/>
      <c r="L890" s="1629"/>
      <c r="M890" s="1697"/>
      <c r="N890" s="129"/>
      <c r="O890" s="908"/>
      <c r="P890" s="991"/>
      <c r="Q890" s="991"/>
      <c r="R890" s="991"/>
      <c r="S890" s="991"/>
      <c r="T890" s="991"/>
      <c r="U890" s="991"/>
      <c r="V890" s="96"/>
      <c r="W890" s="96"/>
      <c r="X890" s="1601"/>
      <c r="Y890" s="1881"/>
      <c r="Z890" s="1891"/>
      <c r="AL890" s="1352"/>
      <c r="AM890" s="1352"/>
      <c r="AN890" s="1352"/>
      <c r="AO890" s="1352"/>
      <c r="AP890" s="1352"/>
      <c r="AQ890" s="1352"/>
      <c r="AR890" s="1352"/>
      <c r="AS890" s="1352"/>
      <c r="AX890" s="525" t="str">
        <f>'Overview (Verification)'!A15</f>
        <v>County:</v>
      </c>
      <c r="AY890" s="685" t="str">
        <f>IF(LEN('Overview (Verification)'!P15)=0,0,'Overview (Verification)'!P15)</f>
        <v xml:space="preserve">Fulton  </v>
      </c>
    </row>
    <row r="891" spans="1:63" s="764" customFormat="1" x14ac:dyDescent="0.2">
      <c r="A891" s="1507">
        <v>7</v>
      </c>
      <c r="B891" s="1516" t="s">
        <v>3846</v>
      </c>
      <c r="C891" s="1516"/>
      <c r="D891" s="1516"/>
      <c r="E891" s="1516"/>
      <c r="F891" s="1511"/>
      <c r="G891" s="1509" t="str">
        <f t="shared" si="59"/>
        <v>P</v>
      </c>
      <c r="H891" s="1510" t="s">
        <v>3199</v>
      </c>
      <c r="I891" s="130"/>
      <c r="J891" s="765"/>
      <c r="K891" s="765"/>
      <c r="L891" s="1629"/>
      <c r="M891" s="1697"/>
      <c r="N891" s="129"/>
      <c r="O891" s="908"/>
      <c r="P891" s="991"/>
      <c r="Q891" s="991"/>
      <c r="R891" s="991"/>
      <c r="S891" s="991"/>
      <c r="T891" s="991"/>
      <c r="U891" s="991"/>
      <c r="V891" s="96"/>
      <c r="W891" s="96"/>
      <c r="X891" s="1601"/>
      <c r="Y891" s="1881"/>
      <c r="Z891" s="1891"/>
      <c r="AL891" s="1352"/>
      <c r="AM891" s="1352"/>
      <c r="AN891" s="1352"/>
      <c r="AO891" s="1352"/>
      <c r="AP891" s="1352"/>
      <c r="AQ891" s="1352"/>
      <c r="AR891" s="1352"/>
      <c r="AS891" s="1352"/>
      <c r="AX891" s="525" t="str">
        <f>'Overview (Verification)'!A16</f>
        <v>Zip:</v>
      </c>
      <c r="AY891" s="685" t="str">
        <f>IF(LEN('Overview (Verification)'!P16)=0,0,'Overview (Verification)'!P16)</f>
        <v>30311</v>
      </c>
    </row>
    <row r="892" spans="1:63" x14ac:dyDescent="0.2">
      <c r="A892" s="1507">
        <v>7</v>
      </c>
      <c r="B892" s="1516" t="s">
        <v>633</v>
      </c>
      <c r="C892" s="1516"/>
      <c r="D892" s="1516"/>
      <c r="E892" s="1516"/>
      <c r="F892" s="1511"/>
      <c r="G892" s="1509" t="str">
        <f t="shared" si="59"/>
        <v>P</v>
      </c>
      <c r="H892" s="1510" t="s">
        <v>3198</v>
      </c>
      <c r="I892" s="219" t="s">
        <v>3639</v>
      </c>
      <c r="J892" s="766"/>
      <c r="K892" s="766"/>
      <c r="L892" s="708" t="s">
        <v>3657</v>
      </c>
      <c r="M892" s="937"/>
      <c r="N892" s="213"/>
      <c r="O892" s="909"/>
      <c r="P892" s="173"/>
      <c r="Q892" s="173"/>
      <c r="R892" s="173"/>
      <c r="S892" s="173"/>
      <c r="T892" s="173"/>
      <c r="U892" s="173"/>
      <c r="V892" s="173"/>
      <c r="W892" s="173"/>
      <c r="X892" s="1601"/>
      <c r="Y892" s="1881"/>
      <c r="Z892" s="1891"/>
      <c r="AB892" s="523"/>
      <c r="AC892" s="523"/>
      <c r="AD892" s="523"/>
      <c r="AE892" s="523"/>
      <c r="AF892" s="523"/>
      <c r="AG892" s="523"/>
      <c r="AH892" s="523"/>
      <c r="AI892" s="523"/>
      <c r="AJ892" s="523"/>
      <c r="AK892" s="523"/>
      <c r="AL892" s="1352"/>
      <c r="AM892" s="1352"/>
      <c r="AN892" s="1352"/>
      <c r="AO892" s="1352"/>
      <c r="AP892" s="1352"/>
      <c r="AQ892" s="1352"/>
      <c r="AR892" s="1352"/>
      <c r="AS892" s="1352"/>
      <c r="AT892" s="523"/>
      <c r="AU892" s="523"/>
      <c r="AV892" s="523"/>
      <c r="AW892" s="523"/>
      <c r="AZ892" s="523"/>
      <c r="BA892" s="523"/>
      <c r="BB892" s="523"/>
      <c r="BC892" s="523"/>
      <c r="BD892" s="523"/>
      <c r="BE892" s="523"/>
      <c r="BF892" s="523"/>
      <c r="BG892" s="523"/>
      <c r="BH892" s="523"/>
      <c r="BI892" s="523"/>
    </row>
    <row r="893" spans="1:63" x14ac:dyDescent="0.2">
      <c r="A893" s="1507">
        <v>7</v>
      </c>
      <c r="B893" s="1516" t="s">
        <v>634</v>
      </c>
      <c r="C893" s="1516"/>
      <c r="D893" s="1516"/>
      <c r="E893" s="1516"/>
      <c r="F893" s="1511"/>
      <c r="G893" s="1509" t="str">
        <f>IF(IFERROR(SEARCH("Mandatory",M893),FALSE),"P","")</f>
        <v>P</v>
      </c>
      <c r="H893" s="1510" t="s">
        <v>3198</v>
      </c>
      <c r="I893" s="192" t="s">
        <v>3640</v>
      </c>
      <c r="J893" s="531"/>
      <c r="K893" s="531"/>
      <c r="L893" s="1712" t="s">
        <v>3847</v>
      </c>
      <c r="M893" s="1732" t="str">
        <f>IF(R893,"Mandatory","N/A")</f>
        <v>Mandatory</v>
      </c>
      <c r="N893" s="193"/>
      <c r="O893" s="918"/>
      <c r="P893" s="991" t="b">
        <v>1</v>
      </c>
      <c r="Q893" s="991" t="b">
        <v>0</v>
      </c>
      <c r="R893" s="195" t="b">
        <f>S893</f>
        <v>1</v>
      </c>
      <c r="S893" s="723" t="b">
        <v>1</v>
      </c>
      <c r="T893" s="195" t="b">
        <f>AND(NOT(S893),W893=TRUE)</f>
        <v>0</v>
      </c>
      <c r="U893" s="195"/>
      <c r="V893" s="195"/>
      <c r="W893" s="27" t="b">
        <v>1</v>
      </c>
      <c r="X893" s="1601"/>
      <c r="Y893" s="1874" t="str">
        <f>IF(LEN('11.700'!X19)=0,"None",'11.700'!X19)</f>
        <v>None</v>
      </c>
      <c r="Z893" s="1889"/>
      <c r="AB893" s="523"/>
      <c r="AC893" s="523" t="b">
        <f>OR(AD893:AE893)</f>
        <v>0</v>
      </c>
      <c r="AD893" s="523" t="b">
        <f>T893</f>
        <v>0</v>
      </c>
      <c r="AE893" s="523" t="b">
        <f>AND(R893,NOT(W893))</f>
        <v>0</v>
      </c>
      <c r="AF893" s="720" t="b">
        <f>AND(AE893,NOT(Q893))</f>
        <v>0</v>
      </c>
      <c r="AG893" s="523"/>
      <c r="AH893" s="523"/>
      <c r="AI893" s="523"/>
      <c r="AJ893" s="523"/>
      <c r="AK893" s="523"/>
      <c r="AL893" s="1352" t="str">
        <f>SUBSTITUTE(SUBSTITUTE(SUBSTITUTE("vpa"&amp;$B893&amp;$C893&amp;$D893&amp;$E893&amp;$F893,".","_"),"(","_"),")","")</f>
        <v>vpa701_4_1_1</v>
      </c>
      <c r="AM893" s="1352" t="str">
        <f>M893</f>
        <v>Mandatory</v>
      </c>
      <c r="AN893" s="1352"/>
      <c r="AO893" s="1352"/>
      <c r="AP893" s="1352" t="str">
        <f>SUBSTITUTE(SUBSTITUTE(SUBSTITUTE("vch"&amp;$B893&amp;$C893&amp;$D893&amp;$E893&amp;$F893,".","_"),"(","_"),")","")</f>
        <v>vch701_4_1_1</v>
      </c>
      <c r="AQ893" s="1352" t="b">
        <f>IF(LEN(W893)=0,"",W893)</f>
        <v>1</v>
      </c>
      <c r="AR893" s="1352" t="str">
        <f>SUBSTITUTE(SUBSTITUTE(SUBSTITUTE("vnt"&amp;$B893&amp;$C893&amp;$D893&amp;$E893&amp;$F893,".","_"),"(","_"),")","")</f>
        <v>vnt701_4_1_1</v>
      </c>
      <c r="AS893" s="1352" t="str">
        <f>IF(LEN(X893)=0,"",X893)</f>
        <v/>
      </c>
      <c r="AT893" s="523"/>
      <c r="AU893" s="523"/>
      <c r="AV893" s="523"/>
      <c r="AW893" s="523"/>
      <c r="AX893" s="525" t="str">
        <f>'Overview (Verification)'!A18</f>
        <v>Single-Family or Multifamily:</v>
      </c>
      <c r="AY893" s="685" t="str">
        <f>IF(LEN('Overview (Verification)'!P18)=0,0,'Overview (Verification)'!P18)</f>
        <v>Multifamily</v>
      </c>
      <c r="AZ893" s="523"/>
      <c r="BA893" s="523"/>
      <c r="BB893" s="523"/>
      <c r="BC893" s="523"/>
      <c r="BD893" s="523"/>
      <c r="BE893" s="523"/>
      <c r="BF893" s="523"/>
      <c r="BG893" s="523"/>
      <c r="BH893" s="523"/>
      <c r="BI893" s="523"/>
    </row>
    <row r="894" spans="1:63" x14ac:dyDescent="0.2">
      <c r="A894" s="1507">
        <v>7</v>
      </c>
      <c r="B894" s="1516" t="s">
        <v>634</v>
      </c>
      <c r="C894" s="1516"/>
      <c r="D894" s="1516"/>
      <c r="E894" s="1516"/>
      <c r="F894" s="1511"/>
      <c r="G894" s="1509" t="str">
        <f>G893</f>
        <v>P</v>
      </c>
      <c r="H894" s="1510" t="s">
        <v>3198</v>
      </c>
      <c r="I894" s="129"/>
      <c r="J894" s="528"/>
      <c r="K894" s="528"/>
      <c r="L894" s="1629"/>
      <c r="M894" s="1697"/>
      <c r="N894" s="129"/>
      <c r="O894" s="908"/>
      <c r="P894" s="991"/>
      <c r="Q894" s="991"/>
      <c r="R894" s="991"/>
      <c r="S894" s="991"/>
      <c r="T894" s="991"/>
      <c r="U894" s="991"/>
      <c r="V894" s="96"/>
      <c r="W894" s="96"/>
      <c r="X894" s="1601"/>
      <c r="Y894" s="1874"/>
      <c r="Z894" s="1889"/>
      <c r="AB894" s="523"/>
      <c r="AC894" s="523"/>
      <c r="AD894" s="523"/>
      <c r="AE894" s="523"/>
      <c r="AF894" s="523"/>
      <c r="AG894" s="523"/>
      <c r="AH894" s="523"/>
      <c r="AI894" s="523"/>
      <c r="AJ894" s="523"/>
      <c r="AK894" s="523"/>
      <c r="AL894" s="1352"/>
      <c r="AM894" s="1352"/>
      <c r="AN894" s="1352"/>
      <c r="AO894" s="1352"/>
      <c r="AP894" s="1352"/>
      <c r="AQ894" s="1352"/>
      <c r="AR894" s="1352"/>
      <c r="AS894" s="1352"/>
      <c r="AT894" s="523"/>
      <c r="AU894" s="523"/>
      <c r="AV894" s="523"/>
      <c r="AW894" s="523"/>
      <c r="AX894" s="525" t="str">
        <f>'Overview (Verification)'!A19</f>
        <v>Number of Units:</v>
      </c>
      <c r="AY894" s="685">
        <f>IF(LEN('Overview (Verification)'!P19)=0,0,'Overview (Verification)'!P19)</f>
        <v>48</v>
      </c>
      <c r="AZ894" s="523"/>
      <c r="BA894" s="523"/>
      <c r="BB894" s="523"/>
      <c r="BC894" s="523"/>
      <c r="BD894" s="523"/>
      <c r="BE894" s="523"/>
      <c r="BF894" s="523"/>
      <c r="BG894" s="523"/>
      <c r="BH894" s="523"/>
      <c r="BI894" s="523"/>
    </row>
    <row r="895" spans="1:63" x14ac:dyDescent="0.2">
      <c r="A895" s="1507">
        <v>7</v>
      </c>
      <c r="B895" s="1516" t="s">
        <v>634</v>
      </c>
      <c r="C895" s="1516"/>
      <c r="D895" s="1516"/>
      <c r="E895" s="1516"/>
      <c r="F895" s="1511"/>
      <c r="G895" s="1509" t="str">
        <f>G894</f>
        <v>P</v>
      </c>
      <c r="H895" s="1510" t="s">
        <v>3198</v>
      </c>
      <c r="I895" s="213"/>
      <c r="J895" s="529"/>
      <c r="K895" s="529"/>
      <c r="L895" s="1696"/>
      <c r="M895" s="1698"/>
      <c r="N895" s="213"/>
      <c r="O895" s="909"/>
      <c r="P895" s="173"/>
      <c r="Q895" s="173"/>
      <c r="R895" s="173"/>
      <c r="S895" s="173"/>
      <c r="T895" s="173"/>
      <c r="U895" s="173"/>
      <c r="V895" s="173"/>
      <c r="W895" s="173"/>
      <c r="X895" s="1601"/>
      <c r="Y895" s="1874"/>
      <c r="Z895" s="1889"/>
      <c r="AB895" s="523"/>
      <c r="AC895" s="523"/>
      <c r="AD895" s="523"/>
      <c r="AE895" s="523"/>
      <c r="AF895" s="523"/>
      <c r="AG895" s="523"/>
      <c r="AH895" s="523"/>
      <c r="AI895" s="523"/>
      <c r="AJ895" s="523"/>
      <c r="AK895" s="523"/>
      <c r="AL895" s="1352"/>
      <c r="AM895" s="1352"/>
      <c r="AN895" s="1352"/>
      <c r="AO895" s="1352"/>
      <c r="AP895" s="1352"/>
      <c r="AQ895" s="1352"/>
      <c r="AR895" s="1352"/>
      <c r="AS895" s="1352"/>
      <c r="AT895" s="523"/>
      <c r="AU895" s="523"/>
      <c r="AV895" s="523"/>
      <c r="AW895" s="523"/>
      <c r="AX895" s="525" t="str">
        <f>'Overview (Verification)'!A23</f>
        <v>Project Name:</v>
      </c>
      <c r="AY895" s="685" t="str">
        <f>IF(LEN('Overview (Verification)'!P23)=0,0,'Overview (Verification)'!P23)</f>
        <v>Towne West Manor</v>
      </c>
      <c r="AZ895" s="523"/>
      <c r="BA895" s="523"/>
      <c r="BB895" s="523"/>
      <c r="BC895" s="523"/>
      <c r="BD895" s="523"/>
      <c r="BE895" s="523"/>
      <c r="BF895" s="523"/>
      <c r="BG895" s="523"/>
      <c r="BH895" s="523"/>
      <c r="BI895" s="523"/>
    </row>
    <row r="896" spans="1:63" x14ac:dyDescent="0.2">
      <c r="A896" s="1507">
        <v>7</v>
      </c>
      <c r="B896" s="1516" t="s">
        <v>635</v>
      </c>
      <c r="C896" s="1516"/>
      <c r="D896" s="1516"/>
      <c r="E896" s="1516"/>
      <c r="F896" s="1511"/>
      <c r="G896" s="1509" t="str">
        <f>IF(IFERROR(SEARCH("Mandatory",M896),FALSE),"P","")</f>
        <v>P</v>
      </c>
      <c r="H896" s="1510" t="s">
        <v>3198</v>
      </c>
      <c r="I896" s="446" t="s">
        <v>3641</v>
      </c>
      <c r="J896" s="531"/>
      <c r="K896" s="531"/>
      <c r="L896" s="1712" t="s">
        <v>3849</v>
      </c>
      <c r="M896" s="1732" t="str">
        <f>IF(R896,"Mandatory","N/A")</f>
        <v>Mandatory</v>
      </c>
      <c r="N896" s="193"/>
      <c r="O896" s="918"/>
      <c r="P896" s="991" t="b">
        <v>1</v>
      </c>
      <c r="Q896" s="991" t="b">
        <v>0</v>
      </c>
      <c r="R896" s="195" t="b">
        <f>S896</f>
        <v>1</v>
      </c>
      <c r="S896" s="723" t="b">
        <f>NOT(AY933="No")</f>
        <v>1</v>
      </c>
      <c r="T896" s="195" t="b">
        <f>AND(NOT(S896),LEN(W896)&gt;0)</f>
        <v>0</v>
      </c>
      <c r="U896" s="195" t="str">
        <f>SUBSTITUTE(SUBSTITUTE(SUBSTITUTE("dd"&amp;B896&amp;C896&amp;D896&amp;E896&amp;F896,".","_"),"(","_"),")","")</f>
        <v>dd701_4_1_2</v>
      </c>
      <c r="V896" s="195"/>
      <c r="W896" s="12" t="s">
        <v>2853</v>
      </c>
      <c r="X896" s="1601"/>
      <c r="Y896" s="1874" t="str">
        <f>IF(LEN('11.700'!X22)=0,"None",'11.700'!X22)</f>
        <v>None</v>
      </c>
      <c r="Z896" s="1889"/>
      <c r="AB896" s="523"/>
      <c r="AC896" s="523" t="b">
        <f>OR(AD896:AE896)</f>
        <v>0</v>
      </c>
      <c r="AD896" s="523" t="b">
        <f>T896</f>
        <v>0</v>
      </c>
      <c r="AE896" s="523" t="b">
        <f>AND(R896,OR(W896="Not Met",W896=""))</f>
        <v>0</v>
      </c>
      <c r="AF896" s="720" t="b">
        <f>AND(AE896,NOT(Q896))</f>
        <v>0</v>
      </c>
      <c r="AG896" s="523"/>
      <c r="AH896" s="523"/>
      <c r="AI896" s="523"/>
      <c r="AJ896" s="523"/>
      <c r="AK896" s="523"/>
      <c r="AL896" s="1352" t="str">
        <f>SUBSTITUTE(SUBSTITUTE(SUBSTITUTE("vpa"&amp;$B896&amp;$C896&amp;$D896&amp;$E896&amp;$F896,".","_"),"(","_"),")","")</f>
        <v>vpa701_4_1_2</v>
      </c>
      <c r="AM896" s="1352" t="str">
        <f>M896</f>
        <v>Mandatory</v>
      </c>
      <c r="AN896" s="1352"/>
      <c r="AO896" s="1352"/>
      <c r="AP896" s="1352" t="str">
        <f>SUBSTITUTE(SUBSTITUTE(SUBSTITUTE("vch"&amp;$B896&amp;$C896&amp;$D896&amp;$E896&amp;$F896,".","_"),"(","_"),")","")</f>
        <v>vch701_4_1_2</v>
      </c>
      <c r="AQ896" s="1352" t="str">
        <f>IF(LEN(W896)=0,"",W896)</f>
        <v>No Radiant or Hydronic</v>
      </c>
      <c r="AR896" s="1352" t="str">
        <f>SUBSTITUTE(SUBSTITUTE(SUBSTITUTE("vnt"&amp;$B896&amp;$C896&amp;$D896&amp;$E896&amp;$F896,".","_"),"(","_"),")","")</f>
        <v>vnt701_4_1_2</v>
      </c>
      <c r="AS896" s="1352" t="str">
        <f>IF(LEN(X896)=0,"",X896)</f>
        <v/>
      </c>
      <c r="AT896" s="523"/>
      <c r="AU896" s="523"/>
      <c r="AV896" s="523"/>
      <c r="AW896" s="523"/>
      <c r="AZ896" s="523"/>
      <c r="BA896" s="523"/>
      <c r="BB896" s="523"/>
      <c r="BC896" s="523" t="str">
        <f>'Overview (Verification)'!T14</f>
        <v>State</v>
      </c>
      <c r="BD896" s="523" t="str">
        <f>'Overview (Verification)'!U14</f>
        <v>County</v>
      </c>
      <c r="BE896" s="523" t="str">
        <f>'Overview (Verification)'!V14</f>
        <v>Radon</v>
      </c>
      <c r="BF896" s="523" t="str">
        <f>'Overview (Verification)'!W14</f>
        <v>Climate</v>
      </c>
      <c r="BG896" s="523" t="str">
        <f>'Overview (Verification)'!X14</f>
        <v>Moist</v>
      </c>
      <c r="BH896" s="523" t="str">
        <f>'Overview (Verification)'!Y14</f>
        <v>WarmHumid</v>
      </c>
      <c r="BI896" s="523" t="str">
        <f>'Overview (Verification)'!Z14</f>
        <v>Tropical</v>
      </c>
    </row>
    <row r="897" spans="1:61" x14ac:dyDescent="0.2">
      <c r="A897" s="1507">
        <v>7</v>
      </c>
      <c r="B897" s="1516" t="s">
        <v>635</v>
      </c>
      <c r="C897" s="1516"/>
      <c r="D897" s="1516"/>
      <c r="E897" s="1516"/>
      <c r="F897" s="1511"/>
      <c r="G897" s="1509" t="str">
        <f>G896</f>
        <v>P</v>
      </c>
      <c r="H897" s="1510" t="s">
        <v>3198</v>
      </c>
      <c r="I897" s="129"/>
      <c r="J897" s="528"/>
      <c r="K897" s="528"/>
      <c r="L897" s="1629"/>
      <c r="M897" s="1697"/>
      <c r="N897" s="129"/>
      <c r="O897" s="908"/>
      <c r="P897" s="991"/>
      <c r="Q897" s="991"/>
      <c r="R897" s="991"/>
      <c r="S897" s="991"/>
      <c r="T897" s="991"/>
      <c r="U897" s="991"/>
      <c r="V897" s="96"/>
      <c r="W897" s="96"/>
      <c r="X897" s="1601"/>
      <c r="Y897" s="1874"/>
      <c r="Z897" s="1889"/>
      <c r="AB897" s="523"/>
      <c r="AC897" s="523"/>
      <c r="AD897" s="523"/>
      <c r="AE897" s="523"/>
      <c r="AF897" s="523"/>
      <c r="AG897" s="523"/>
      <c r="AH897" s="523"/>
      <c r="AI897" s="523"/>
      <c r="AJ897" s="523"/>
      <c r="AK897" s="523"/>
      <c r="AL897" s="1352"/>
      <c r="AM897" s="1352"/>
      <c r="AN897" s="1352"/>
      <c r="AO897" s="1352"/>
      <c r="AP897" s="1352"/>
      <c r="AQ897" s="1352"/>
      <c r="AR897" s="1352"/>
      <c r="AS897" s="1352"/>
      <c r="AT897" s="523"/>
      <c r="AU897" s="523"/>
      <c r="AV897" s="523"/>
      <c r="AW897" s="523"/>
      <c r="AX897" s="525" t="str">
        <f>'Overview (Verification)'!A25</f>
        <v>Above grade plane finished floor area:</v>
      </c>
      <c r="AY897" s="685">
        <f>IF(LEN('Overview (Verification)'!P25)=0,0,'Overview (Verification)'!P25)</f>
        <v>1184</v>
      </c>
      <c r="AZ897" s="523"/>
      <c r="BA897" s="523"/>
      <c r="BB897" s="523"/>
      <c r="BC897" s="523" t="str">
        <f>'Overview (Verification)'!T15</f>
        <v>Georgia</v>
      </c>
      <c r="BD897" s="523" t="str">
        <f>'Overview (Verification)'!U15</f>
        <v xml:space="preserve">Fulton  </v>
      </c>
      <c r="BE897" s="523">
        <f>'Overview (Verification)'!V15</f>
        <v>1</v>
      </c>
      <c r="BF897" s="523">
        <f>'Overview (Verification)'!W15</f>
        <v>3</v>
      </c>
      <c r="BG897" s="523" t="str">
        <f>'Overview (Verification)'!X15</f>
        <v>Moist</v>
      </c>
      <c r="BH897" s="523" t="str">
        <f>'Overview (Verification)'!Y15</f>
        <v xml:space="preserve"> </v>
      </c>
      <c r="BI897" s="523" t="str">
        <f>'Overview (Verification)'!Z15</f>
        <v xml:space="preserve"> </v>
      </c>
    </row>
    <row r="898" spans="1:61" x14ac:dyDescent="0.2">
      <c r="A898" s="1507">
        <v>7</v>
      </c>
      <c r="B898" s="1516" t="s">
        <v>635</v>
      </c>
      <c r="C898" s="1516"/>
      <c r="D898" s="1516"/>
      <c r="E898" s="1516"/>
      <c r="F898" s="1511"/>
      <c r="G898" s="1509" t="str">
        <f>G897</f>
        <v>P</v>
      </c>
      <c r="H898" s="1510" t="s">
        <v>3198</v>
      </c>
      <c r="I898" s="129"/>
      <c r="J898" s="528"/>
      <c r="K898" s="528"/>
      <c r="L898" s="1629"/>
      <c r="M898" s="1697"/>
      <c r="N898" s="129"/>
      <c r="O898" s="908"/>
      <c r="P898" s="991"/>
      <c r="Q898" s="991"/>
      <c r="R898" s="991"/>
      <c r="S898" s="991"/>
      <c r="T898" s="991"/>
      <c r="U898" s="991"/>
      <c r="V898" s="96"/>
      <c r="W898" s="96"/>
      <c r="X898" s="1601"/>
      <c r="Y898" s="1874"/>
      <c r="Z898" s="1889"/>
      <c r="AB898" s="523"/>
      <c r="AC898" s="523"/>
      <c r="AD898" s="523"/>
      <c r="AE898" s="523"/>
      <c r="AF898" s="523"/>
      <c r="AG898" s="523"/>
      <c r="AH898" s="523"/>
      <c r="AI898" s="523"/>
      <c r="AJ898" s="523"/>
      <c r="AK898" s="523"/>
      <c r="AL898" s="1352"/>
      <c r="AM898" s="1352"/>
      <c r="AN898" s="1352"/>
      <c r="AO898" s="1352"/>
      <c r="AP898" s="1352"/>
      <c r="AQ898" s="1352"/>
      <c r="AR898" s="1352"/>
      <c r="AS898" s="1352"/>
      <c r="AT898" s="523"/>
      <c r="AU898" s="523"/>
      <c r="AV898" s="523"/>
      <c r="AW898" s="523"/>
      <c r="AX898" s="525" t="str">
        <f>'Overview (Verification)'!A26</f>
        <v>Total conditioned floor area:</v>
      </c>
      <c r="AY898" s="685">
        <f>IF(LEN('Overview (Verification)'!P26)=0,0,'Overview (Verification)'!P26)</f>
        <v>20128</v>
      </c>
      <c r="AZ898" s="523"/>
      <c r="BA898" s="523"/>
      <c r="BB898" s="523"/>
      <c r="BC898" s="523"/>
      <c r="BD898" s="523"/>
      <c r="BE898" s="523"/>
      <c r="BF898" s="523"/>
      <c r="BG898" s="523"/>
      <c r="BH898" s="523"/>
      <c r="BI898" s="523"/>
    </row>
    <row r="899" spans="1:61" x14ac:dyDescent="0.2">
      <c r="A899" s="1507">
        <v>7</v>
      </c>
      <c r="B899" s="1516" t="s">
        <v>635</v>
      </c>
      <c r="C899" s="1516"/>
      <c r="D899" s="1516"/>
      <c r="E899" s="1516"/>
      <c r="F899" s="1511"/>
      <c r="G899" s="1509" t="str">
        <f>G898</f>
        <v>P</v>
      </c>
      <c r="H899" s="1510" t="s">
        <v>3198</v>
      </c>
      <c r="I899" s="129"/>
      <c r="J899" s="528"/>
      <c r="K899" s="528"/>
      <c r="L899" s="1629"/>
      <c r="M899" s="1697"/>
      <c r="N899" s="129"/>
      <c r="O899" s="908"/>
      <c r="P899" s="991"/>
      <c r="Q899" s="991"/>
      <c r="R899" s="991"/>
      <c r="S899" s="991"/>
      <c r="T899" s="991"/>
      <c r="U899" s="991"/>
      <c r="V899" s="96"/>
      <c r="W899" s="96"/>
      <c r="X899" s="1601"/>
      <c r="Y899" s="1874"/>
      <c r="Z899" s="1889"/>
      <c r="AB899" s="523"/>
      <c r="AC899" s="523"/>
      <c r="AD899" s="523"/>
      <c r="AE899" s="523"/>
      <c r="AF899" s="523"/>
      <c r="AG899" s="523"/>
      <c r="AH899" s="523"/>
      <c r="AI899" s="523"/>
      <c r="AJ899" s="523"/>
      <c r="AK899" s="523"/>
      <c r="AL899" s="1352"/>
      <c r="AM899" s="1352"/>
      <c r="AN899" s="1352"/>
      <c r="AO899" s="1352"/>
      <c r="AP899" s="1352"/>
      <c r="AQ899" s="1352"/>
      <c r="AR899" s="1352"/>
      <c r="AS899" s="1352"/>
      <c r="AT899" s="523"/>
      <c r="AU899" s="523"/>
      <c r="AV899" s="523"/>
      <c r="AW899" s="523"/>
      <c r="AX899" s="525" t="str">
        <f>'Overview (Verification)'!A27</f>
        <v>Stories above grade:</v>
      </c>
      <c r="AY899" s="685">
        <f>IF(LEN('Overview (Verification)'!P27)=0,0,'Overview (Verification)'!P27)</f>
        <v>2</v>
      </c>
      <c r="AZ899" s="523"/>
      <c r="BA899" s="523"/>
      <c r="BB899" s="523"/>
      <c r="BC899" s="523"/>
      <c r="BD899" s="523"/>
      <c r="BE899" s="523"/>
      <c r="BF899" s="523"/>
      <c r="BG899" s="523"/>
      <c r="BH899" s="523"/>
      <c r="BI899" s="523"/>
    </row>
    <row r="900" spans="1:61" x14ac:dyDescent="0.2">
      <c r="A900" s="1507">
        <v>7</v>
      </c>
      <c r="B900" s="1516" t="s">
        <v>635</v>
      </c>
      <c r="C900" s="1516"/>
      <c r="D900" s="1516"/>
      <c r="E900" s="1516"/>
      <c r="F900" s="1511"/>
      <c r="G900" s="1509" t="str">
        <f>G899</f>
        <v>P</v>
      </c>
      <c r="H900" s="1510" t="s">
        <v>3198</v>
      </c>
      <c r="I900" s="213"/>
      <c r="J900" s="529"/>
      <c r="K900" s="529"/>
      <c r="L900" s="1696"/>
      <c r="M900" s="1698"/>
      <c r="N900" s="213"/>
      <c r="O900" s="909"/>
      <c r="P900" s="173"/>
      <c r="Q900" s="173"/>
      <c r="R900" s="173"/>
      <c r="S900" s="173"/>
      <c r="T900" s="173"/>
      <c r="U900" s="173"/>
      <c r="V900" s="173"/>
      <c r="W900" s="173"/>
      <c r="X900" s="1601"/>
      <c r="Y900" s="1874"/>
      <c r="Z900" s="1889"/>
      <c r="AB900" s="523"/>
      <c r="AC900" s="523"/>
      <c r="AD900" s="523"/>
      <c r="AE900" s="523"/>
      <c r="AF900" s="523"/>
      <c r="AG900" s="523"/>
      <c r="AH900" s="523"/>
      <c r="AI900" s="523"/>
      <c r="AJ900" s="523"/>
      <c r="AK900" s="523"/>
      <c r="AL900" s="1352"/>
      <c r="AM900" s="1352"/>
      <c r="AN900" s="1352"/>
      <c r="AO900" s="1352"/>
      <c r="AP900" s="1352"/>
      <c r="AQ900" s="1352"/>
      <c r="AR900" s="1352"/>
      <c r="AS900" s="1352"/>
      <c r="AT900" s="523"/>
      <c r="AU900" s="523"/>
      <c r="AV900" s="523"/>
      <c r="AW900" s="523"/>
      <c r="AZ900" s="523"/>
      <c r="BA900" s="523"/>
      <c r="BB900" s="523"/>
      <c r="BC900" s="523"/>
      <c r="BD900" s="523"/>
      <c r="BE900" s="523"/>
      <c r="BF900" s="523"/>
      <c r="BG900" s="523"/>
      <c r="BH900" s="523"/>
      <c r="BI900" s="523"/>
    </row>
    <row r="901" spans="1:61" x14ac:dyDescent="0.2">
      <c r="A901" s="1507">
        <v>7</v>
      </c>
      <c r="B901" s="1516" t="s">
        <v>636</v>
      </c>
      <c r="C901" s="1516"/>
      <c r="D901" s="1516"/>
      <c r="E901" s="1516"/>
      <c r="F901" s="1511"/>
      <c r="G901" s="1513" t="str">
        <f ca="1">IF(COUNTIF(G902:G908,"P")&gt;0,"P","")</f>
        <v>P</v>
      </c>
      <c r="H901" s="1510" t="s">
        <v>3198</v>
      </c>
      <c r="I901" s="446" t="s">
        <v>3642</v>
      </c>
      <c r="J901" s="531"/>
      <c r="K901" s="531"/>
      <c r="L901" s="535" t="s">
        <v>3656</v>
      </c>
      <c r="M901" s="921"/>
      <c r="N901" s="193"/>
      <c r="O901" s="918"/>
      <c r="P901" s="195"/>
      <c r="Q901" s="195"/>
      <c r="R901" s="195"/>
      <c r="S901" s="195"/>
      <c r="T901" s="195"/>
      <c r="U901" s="195"/>
      <c r="V901" s="195"/>
      <c r="W901" s="195"/>
      <c r="X901" s="195"/>
      <c r="Y901" s="523"/>
      <c r="Z901" s="670"/>
      <c r="AB901" s="523"/>
      <c r="AC901" s="523"/>
      <c r="AD901" s="523"/>
      <c r="AE901" s="523"/>
      <c r="AF901" s="523"/>
      <c r="AG901" s="523"/>
      <c r="AH901" s="523"/>
      <c r="AI901" s="523"/>
      <c r="AJ901" s="523"/>
      <c r="AK901" s="523"/>
      <c r="AL901" s="1352"/>
      <c r="AM901" s="1352"/>
      <c r="AN901" s="1352"/>
      <c r="AO901" s="1352"/>
      <c r="AP901" s="1352"/>
      <c r="AQ901" s="1352"/>
      <c r="AR901" s="1352"/>
      <c r="AS901" s="1352"/>
      <c r="AT901" s="523"/>
      <c r="AU901" s="523"/>
      <c r="AV901" s="523"/>
      <c r="AW901" s="523"/>
      <c r="AX901" s="904" t="str">
        <f>'Overview (Verification)'!A29</f>
        <v>Year Built:</v>
      </c>
      <c r="AY901" s="905">
        <f>IF(LEN('Overview (Verification)'!P29)=0,0,'Overview (Verification)'!P29)</f>
        <v>1969</v>
      </c>
      <c r="AZ901" s="523"/>
      <c r="BA901" s="523"/>
      <c r="BB901" s="523"/>
      <c r="BC901" s="523"/>
      <c r="BD901" s="523"/>
      <c r="BE901" s="523"/>
      <c r="BF901" s="523"/>
      <c r="BG901" s="523"/>
      <c r="BH901" s="523"/>
      <c r="BI901" s="523"/>
    </row>
    <row r="902" spans="1:61" x14ac:dyDescent="0.2">
      <c r="A902" s="1507">
        <v>7</v>
      </c>
      <c r="B902" s="1516" t="s">
        <v>5292</v>
      </c>
      <c r="C902" s="1516"/>
      <c r="D902" s="1516"/>
      <c r="E902" s="1516"/>
      <c r="F902" s="1511"/>
      <c r="G902" s="1509" t="str">
        <f ca="1">IF(IFERROR(SEARCH("Mandatory",M902),FALSE),"P","")</f>
        <v>P</v>
      </c>
      <c r="H902" s="1510" t="s">
        <v>3198</v>
      </c>
      <c r="I902" s="430" t="s">
        <v>3643</v>
      </c>
      <c r="J902" s="528"/>
      <c r="K902" s="528"/>
      <c r="L902" s="1629" t="s">
        <v>3850</v>
      </c>
      <c r="M902" s="1697" t="str">
        <f ca="1">IF(R902,"Mandatory","N/A")</f>
        <v>Mandatory</v>
      </c>
      <c r="N902" s="129"/>
      <c r="O902" s="908"/>
      <c r="P902" s="991" t="b">
        <v>1</v>
      </c>
      <c r="Q902" s="991" t="b">
        <v>0</v>
      </c>
      <c r="R902" s="991" t="b">
        <f ca="1">S902</f>
        <v>1</v>
      </c>
      <c r="S902" s="724" t="b">
        <f ca="1">AND(NOT(AND(OR(AY914=INDEX(INDIRECT('Overview (Design)'!$E$42),2),AY914=INDEX(INDIRECT('Overview (Design)'!$E$42),3)),OR(AY918=INDEX(INDIRECT('Overview (Design)'!$E$46),2),AY918=INDEX(INDIRECT('Overview (Design)'!$E$46),3)))))</f>
        <v>1</v>
      </c>
      <c r="T902" s="991" t="b">
        <f ca="1">AND(NOT(S902),W902=TRUE)</f>
        <v>0</v>
      </c>
      <c r="U902" s="991"/>
      <c r="V902" s="96"/>
      <c r="W902" s="27" t="b">
        <v>1</v>
      </c>
      <c r="X902" s="1600"/>
      <c r="Y902" s="1874" t="str">
        <f>IF(LEN('11.700'!X28)=0,"None",'11.700'!X28)</f>
        <v>None</v>
      </c>
      <c r="Z902" s="1889"/>
      <c r="AB902" s="523"/>
      <c r="AC902" s="523" t="b">
        <f ca="1">OR(AD902:AE902)</f>
        <v>0</v>
      </c>
      <c r="AD902" s="523" t="b">
        <f ca="1">T902</f>
        <v>0</v>
      </c>
      <c r="AE902" s="523" t="b">
        <f ca="1">AND(R902,NOT(W902))</f>
        <v>0</v>
      </c>
      <c r="AF902" s="720" t="b">
        <f ca="1">AND(AE902,NOT(Q902))</f>
        <v>0</v>
      </c>
      <c r="AG902" s="523"/>
      <c r="AH902" s="523"/>
      <c r="AI902" s="523"/>
      <c r="AJ902" s="523"/>
      <c r="AK902" s="523"/>
      <c r="AL902" s="1352" t="str">
        <f>SUBSTITUTE(SUBSTITUTE(SUBSTITUTE("vpa"&amp;$B902&amp;$C902&amp;$D902&amp;$E902&amp;$F902,".","_"),"(","_"),")","")</f>
        <v>vpa701_4_2_1</v>
      </c>
      <c r="AM902" s="1352" t="str">
        <f ca="1">M902</f>
        <v>Mandatory</v>
      </c>
      <c r="AN902" s="1352"/>
      <c r="AO902" s="1352"/>
      <c r="AP902" s="1352" t="str">
        <f>SUBSTITUTE(SUBSTITUTE(SUBSTITUTE("vch"&amp;$B902&amp;$C902&amp;$D902&amp;$E902&amp;$F902,".","_"),"(","_"),")","")</f>
        <v>vch701_4_2_1</v>
      </c>
      <c r="AQ902" s="1352" t="b">
        <f>IF(LEN(W902)=0,"",W902)</f>
        <v>1</v>
      </c>
      <c r="AR902" s="1352" t="str">
        <f>SUBSTITUTE(SUBSTITUTE(SUBSTITUTE("vnt"&amp;$B902&amp;$C902&amp;$D902&amp;$E902&amp;$F902,".","_"),"(","_"),")","")</f>
        <v>vnt701_4_2_1</v>
      </c>
      <c r="AS902" s="1352" t="str">
        <f>IF(LEN(X902)=0,"",X902)</f>
        <v/>
      </c>
      <c r="AT902" s="523"/>
      <c r="AU902" s="523"/>
      <c r="AV902" s="523"/>
      <c r="AW902" s="523"/>
      <c r="AX902" s="1167" t="str">
        <f>'Overview (Verification)'!A30</f>
        <v>Energy Baseline Year:</v>
      </c>
      <c r="AY902" s="1168">
        <f>IF(LEN('Overview (Verification)'!P30)=0,0,'Overview (Verification)'!P30)</f>
        <v>2020</v>
      </c>
      <c r="AZ902" s="523"/>
      <c r="BA902" s="523"/>
      <c r="BB902" s="523"/>
      <c r="BC902" s="523"/>
      <c r="BD902" s="523"/>
      <c r="BE902" s="523"/>
      <c r="BF902" s="523"/>
      <c r="BG902" s="523"/>
      <c r="BH902" s="523"/>
      <c r="BI902" s="523"/>
    </row>
    <row r="903" spans="1:61" x14ac:dyDescent="0.2">
      <c r="A903" s="1507">
        <v>7</v>
      </c>
      <c r="B903" s="1516" t="s">
        <v>5292</v>
      </c>
      <c r="C903" s="1516"/>
      <c r="D903" s="1516"/>
      <c r="E903" s="1516"/>
      <c r="F903" s="1511"/>
      <c r="G903" s="1509" t="str">
        <f ca="1">G902</f>
        <v>P</v>
      </c>
      <c r="H903" s="1510" t="s">
        <v>3198</v>
      </c>
      <c r="I903" s="430"/>
      <c r="J903" s="528"/>
      <c r="K903" s="528"/>
      <c r="L903" s="1629"/>
      <c r="M903" s="1697"/>
      <c r="N903" s="129"/>
      <c r="O903" s="908"/>
      <c r="P903" s="991"/>
      <c r="Q903" s="991"/>
      <c r="R903" s="991"/>
      <c r="S903" s="991"/>
      <c r="T903" s="991"/>
      <c r="U903" s="991"/>
      <c r="V903" s="96"/>
      <c r="W903" s="96"/>
      <c r="X903" s="1600"/>
      <c r="Y903" s="1874"/>
      <c r="Z903" s="1889"/>
      <c r="AB903" s="523"/>
      <c r="AC903" s="523"/>
      <c r="AD903" s="523"/>
      <c r="AE903" s="523"/>
      <c r="AF903" s="523"/>
      <c r="AG903" s="523"/>
      <c r="AH903" s="523"/>
      <c r="AI903" s="523"/>
      <c r="AJ903" s="523"/>
      <c r="AK903" s="523"/>
      <c r="AL903" s="1352"/>
      <c r="AM903" s="1352"/>
      <c r="AN903" s="1352"/>
      <c r="AO903" s="1352"/>
      <c r="AP903" s="1352"/>
      <c r="AQ903" s="1352"/>
      <c r="AR903" s="1352"/>
      <c r="AS903" s="1352"/>
      <c r="AT903" s="523"/>
      <c r="AU903" s="523"/>
      <c r="AV903" s="523"/>
      <c r="AW903" s="523"/>
      <c r="AX903" s="1167" t="str">
        <f>'Overview (Verification)'!A31</f>
        <v>Water Baseline Year:</v>
      </c>
      <c r="AY903" s="1168">
        <f>IF(LEN('Overview (Verification)'!P31)=0,0,'Overview (Verification)'!P31)</f>
        <v>2020</v>
      </c>
      <c r="AZ903" s="523"/>
      <c r="BA903" s="523"/>
      <c r="BB903" s="523"/>
      <c r="BC903" s="523"/>
      <c r="BD903" s="523"/>
      <c r="BE903" s="523"/>
      <c r="BF903" s="523"/>
      <c r="BG903" s="523"/>
      <c r="BH903" s="523"/>
      <c r="BI903" s="523"/>
    </row>
    <row r="904" spans="1:61" x14ac:dyDescent="0.2">
      <c r="A904" s="1507">
        <v>7</v>
      </c>
      <c r="B904" s="1516" t="s">
        <v>5292</v>
      </c>
      <c r="C904" s="1516"/>
      <c r="D904" s="1516"/>
      <c r="E904" s="1516"/>
      <c r="F904" s="1511"/>
      <c r="G904" s="1509" t="str">
        <f ca="1">G903</f>
        <v>P</v>
      </c>
      <c r="H904" s="1510" t="s">
        <v>3198</v>
      </c>
      <c r="I904" s="447"/>
      <c r="J904" s="529"/>
      <c r="K904" s="529"/>
      <c r="L904" s="1696"/>
      <c r="M904" s="1698"/>
      <c r="N904" s="213"/>
      <c r="O904" s="909"/>
      <c r="P904" s="173"/>
      <c r="Q904" s="173"/>
      <c r="R904" s="173"/>
      <c r="S904" s="173"/>
      <c r="T904" s="173"/>
      <c r="U904" s="173"/>
      <c r="V904" s="173"/>
      <c r="W904" s="173"/>
      <c r="X904" s="1600"/>
      <c r="Y904" s="1874"/>
      <c r="Z904" s="1889"/>
      <c r="AB904" s="523"/>
      <c r="AC904" s="523"/>
      <c r="AD904" s="523"/>
      <c r="AE904" s="523"/>
      <c r="AF904" s="523"/>
      <c r="AG904" s="523"/>
      <c r="AH904" s="523"/>
      <c r="AI904" s="523"/>
      <c r="AJ904" s="523"/>
      <c r="AK904" s="523"/>
      <c r="AL904" s="1352"/>
      <c r="AM904" s="1352"/>
      <c r="AN904" s="1352"/>
      <c r="AO904" s="1352"/>
      <c r="AP904" s="1352"/>
      <c r="AQ904" s="1352"/>
      <c r="AR904" s="1352"/>
      <c r="AS904" s="1352"/>
      <c r="AT904" s="523"/>
      <c r="AU904" s="523"/>
      <c r="AV904" s="523"/>
      <c r="AW904" s="523"/>
      <c r="AX904" s="525" t="str">
        <f>'Overview (Verification)'!A32</f>
        <v xml:space="preserve">Project Description: </v>
      </c>
      <c r="AY904" s="685" t="str">
        <f>IF(LEN('Overview (Verification)'!P32)=0,0,'Overview (Verification)'!P32)</f>
        <v>n/a</v>
      </c>
      <c r="AZ904" s="523"/>
      <c r="BA904" s="523"/>
      <c r="BB904" s="523"/>
      <c r="BC904" s="523"/>
      <c r="BD904" s="523"/>
      <c r="BE904" s="523"/>
      <c r="BF904" s="523"/>
      <c r="BG904" s="523"/>
      <c r="BH904" s="523"/>
      <c r="BI904" s="523"/>
    </row>
    <row r="905" spans="1:61" ht="15" customHeight="1" x14ac:dyDescent="0.2">
      <c r="A905" s="1507">
        <v>7</v>
      </c>
      <c r="B905" s="1516" t="s">
        <v>637</v>
      </c>
      <c r="C905" s="1516"/>
      <c r="D905" s="1516"/>
      <c r="E905" s="1516"/>
      <c r="F905" s="1511"/>
      <c r="G905" s="1509" t="str">
        <f ca="1">IF(IFERROR(SEARCH("Mandatory",M905),FALSE),"P","")</f>
        <v>P</v>
      </c>
      <c r="H905" s="1510" t="s">
        <v>3198</v>
      </c>
      <c r="I905" s="446" t="s">
        <v>3644</v>
      </c>
      <c r="J905" s="772"/>
      <c r="K905" s="772"/>
      <c r="L905" s="1699" t="s">
        <v>3851</v>
      </c>
      <c r="M905" s="1732" t="str">
        <f ca="1">IF(R905,"Mandatory","N/A")</f>
        <v>Mandatory</v>
      </c>
      <c r="N905" s="193"/>
      <c r="O905" s="918"/>
      <c r="P905" s="991" t="b">
        <v>1</v>
      </c>
      <c r="Q905" s="991" t="b">
        <v>0</v>
      </c>
      <c r="R905" s="214" t="b">
        <f ca="1">S905</f>
        <v>1</v>
      </c>
      <c r="S905" s="725" t="b">
        <f ca="1">AND(NOT(AND(OR(AY914=INDEX(INDIRECT('Overview (Design)'!$E$42),2),AY914=INDEX(INDIRECT('Overview (Design)'!$E$42),3)),OR(AY918=INDEX(INDIRECT('Overview (Design)'!$E$46),2),AY918=INDEX(INDIRECT('Overview (Design)'!$E$46),3)))))</f>
        <v>1</v>
      </c>
      <c r="T905" s="214" t="b">
        <f ca="1">AND(NOT(S905),W905=TRUE)</f>
        <v>0</v>
      </c>
      <c r="U905" s="214"/>
      <c r="V905" s="195"/>
      <c r="W905" s="27" t="b">
        <v>1</v>
      </c>
      <c r="X905" s="1621"/>
      <c r="Y905" s="1875" t="str">
        <f>IF(LEN('11.700'!X31)=0,"None",'11.700'!X31)</f>
        <v>None</v>
      </c>
      <c r="Z905" s="1878"/>
      <c r="AB905" s="523"/>
      <c r="AC905" s="523" t="b">
        <f ca="1">OR(AD905:AE905)</f>
        <v>0</v>
      </c>
      <c r="AD905" s="523" t="b">
        <f ca="1">T905</f>
        <v>0</v>
      </c>
      <c r="AE905" s="523" t="b">
        <f ca="1">AND(R905,NOT(W905))</f>
        <v>0</v>
      </c>
      <c r="AF905" s="720" t="b">
        <f ca="1">AND(AE905,NOT(Q905))</f>
        <v>0</v>
      </c>
      <c r="AG905" s="523"/>
      <c r="AH905" s="523"/>
      <c r="AI905" s="523"/>
      <c r="AJ905" s="523"/>
      <c r="AK905" s="523"/>
      <c r="AL905" s="1352" t="str">
        <f>SUBSTITUTE(SUBSTITUTE(SUBSTITUTE("vpa"&amp;$B905&amp;$C905&amp;$D905&amp;$E905&amp;$F905,".","_"),"(","_"),")","")</f>
        <v>vpa701_4_2_2</v>
      </c>
      <c r="AM905" s="1352" t="str">
        <f ca="1">M905</f>
        <v>Mandatory</v>
      </c>
      <c r="AN905" s="1352"/>
      <c r="AO905" s="1352"/>
      <c r="AP905" s="1352" t="str">
        <f>SUBSTITUTE(SUBSTITUTE(SUBSTITUTE("vch"&amp;$B905&amp;$C905&amp;$D905&amp;$E905&amp;$F905,".","_"),"(","_"),")","")</f>
        <v>vch701_4_2_2</v>
      </c>
      <c r="AQ905" s="1352" t="b">
        <f>IF(LEN(W905)=0,"",W905)</f>
        <v>1</v>
      </c>
      <c r="AR905" s="1352" t="str">
        <f>SUBSTITUTE(SUBSTITUTE(SUBSTITUTE("vnt"&amp;$B905&amp;$C905&amp;$D905&amp;$E905&amp;$F905,".","_"),"(","_"),")","")</f>
        <v>vnt701_4_2_2</v>
      </c>
      <c r="AS905" s="1352" t="str">
        <f>IF(LEN(X905)=0,"",X905)</f>
        <v/>
      </c>
      <c r="AT905" s="523"/>
      <c r="AU905" s="523"/>
      <c r="AV905" s="523"/>
      <c r="AW905" s="523"/>
      <c r="AX905" s="1167"/>
      <c r="AY905" s="1168"/>
      <c r="AZ905" s="523"/>
      <c r="BA905" s="523"/>
      <c r="BB905" s="523"/>
      <c r="BC905" s="523"/>
      <c r="BD905" s="523"/>
      <c r="BE905" s="523"/>
      <c r="BF905" s="523"/>
      <c r="BG905" s="523"/>
      <c r="BH905" s="523"/>
      <c r="BI905" s="523"/>
    </row>
    <row r="906" spans="1:61" s="764" customFormat="1" x14ac:dyDescent="0.2">
      <c r="A906" s="1507">
        <v>7</v>
      </c>
      <c r="B906" s="1516" t="s">
        <v>637</v>
      </c>
      <c r="C906" s="1516"/>
      <c r="D906" s="1516"/>
      <c r="E906" s="1516"/>
      <c r="F906" s="1511"/>
      <c r="G906" s="1509" t="str">
        <f ca="1">G905</f>
        <v>P</v>
      </c>
      <c r="H906" s="1510" t="s">
        <v>3198</v>
      </c>
      <c r="I906" s="96"/>
      <c r="J906" s="96"/>
      <c r="K906" s="96"/>
      <c r="L906" s="1728"/>
      <c r="M906" s="1697"/>
      <c r="N906" s="129"/>
      <c r="O906" s="908"/>
      <c r="P906" s="905"/>
      <c r="Q906" s="905"/>
      <c r="R906" s="905"/>
      <c r="S906" s="905"/>
      <c r="T906" s="905"/>
      <c r="U906" s="905"/>
      <c r="V906" s="96"/>
      <c r="W906"/>
      <c r="X906" s="1632"/>
      <c r="Y906" s="1876"/>
      <c r="Z906" s="1879"/>
      <c r="AL906" s="1352"/>
      <c r="AM906" s="1352"/>
      <c r="AN906" s="1352"/>
      <c r="AO906" s="1352"/>
      <c r="AP906" s="1352"/>
      <c r="AQ906" s="1352"/>
      <c r="AR906" s="1352"/>
      <c r="AS906" s="1352"/>
      <c r="AX906" s="1167" t="str">
        <f>'Overview (Verification)'!A34</f>
        <v>Selected Energy Compliance Path:</v>
      </c>
      <c r="AY906" s="1168" t="str">
        <f>IF(LEN('Overview (Verification)'!P34)=0,0,'Overview (Verification)'!P34)</f>
        <v>Performance</v>
      </c>
    </row>
    <row r="907" spans="1:61" s="764" customFormat="1" x14ac:dyDescent="0.2">
      <c r="A907" s="1507">
        <v>7</v>
      </c>
      <c r="B907" s="1516" t="s">
        <v>637</v>
      </c>
      <c r="C907" s="1516"/>
      <c r="D907" s="1516"/>
      <c r="E907" s="1516"/>
      <c r="F907" s="1511"/>
      <c r="G907" s="1509" t="str">
        <f ca="1">G906</f>
        <v>P</v>
      </c>
      <c r="H907" s="1510" t="s">
        <v>3198</v>
      </c>
      <c r="I907" s="173"/>
      <c r="J907" s="173"/>
      <c r="K907" s="173"/>
      <c r="L907" s="1729"/>
      <c r="M907" s="1698"/>
      <c r="N907" s="905"/>
      <c r="O907" s="905"/>
      <c r="P907" s="905"/>
      <c r="Q907" s="905"/>
      <c r="R907" s="905"/>
      <c r="S907" s="905"/>
      <c r="T907" s="905"/>
      <c r="U907" s="905"/>
      <c r="V907" s="173"/>
      <c r="W907"/>
      <c r="X907" s="1599"/>
      <c r="Y907" s="1877"/>
      <c r="Z907" s="1880"/>
      <c r="AL907" s="1352"/>
      <c r="AM907" s="1352"/>
      <c r="AN907" s="1352"/>
      <c r="AO907" s="1352"/>
      <c r="AP907" s="1352"/>
      <c r="AQ907" s="1352"/>
      <c r="AR907" s="1352"/>
      <c r="AS907" s="1352"/>
      <c r="AX907" s="1167" t="str">
        <f>'Overview (Verification)'!A35</f>
        <v>Selected Water Compliance Path:</v>
      </c>
      <c r="AY907" s="1168" t="str">
        <f>IF(LEN('Overview (Verification)'!P35)=0,0,'Overview (Verification)'!P35)</f>
        <v>Prescriptive</v>
      </c>
    </row>
    <row r="908" spans="1:61" x14ac:dyDescent="0.2">
      <c r="A908" s="1507">
        <v>7</v>
      </c>
      <c r="B908" s="1516" t="s">
        <v>638</v>
      </c>
      <c r="C908" s="1516"/>
      <c r="D908" s="1516"/>
      <c r="E908" s="1516"/>
      <c r="F908" s="1511"/>
      <c r="G908" s="1509" t="str">
        <f ca="1">IF(IFERROR(SEARCH("Mandatory",M908),FALSE),"P","")</f>
        <v>P</v>
      </c>
      <c r="H908" s="1510" t="s">
        <v>3198</v>
      </c>
      <c r="I908" s="430" t="s">
        <v>3645</v>
      </c>
      <c r="J908" s="765"/>
      <c r="K908" s="765"/>
      <c r="L908" s="1629" t="s">
        <v>3852</v>
      </c>
      <c r="M908" s="1732" t="str">
        <f ca="1">IF(R908,"Mandatory","N/A")</f>
        <v>Mandatory</v>
      </c>
      <c r="N908" s="193"/>
      <c r="O908" s="918"/>
      <c r="P908" s="991" t="b">
        <v>1</v>
      </c>
      <c r="Q908" s="991" t="b">
        <v>0</v>
      </c>
      <c r="R908" s="195" t="b">
        <f ca="1">S908</f>
        <v>1</v>
      </c>
      <c r="S908" s="723" t="b">
        <f ca="1">AND(NOT(AND(OR(AY914=INDEX(INDIRECT('Overview (Design)'!$E$42),2),AY914=INDEX(INDIRECT('Overview (Design)'!$E$42),3)),OR(AY918=INDEX(INDIRECT('Overview (Design)'!$E$46),2),AY918=INDEX(INDIRECT('Overview (Design)'!$E$46),3)))))</f>
        <v>1</v>
      </c>
      <c r="T908" s="195" t="b">
        <f ca="1">AND(NOT(S908),W908=TRUE)</f>
        <v>0</v>
      </c>
      <c r="U908" s="195"/>
      <c r="V908" s="96"/>
      <c r="W908" s="27" t="b">
        <v>1</v>
      </c>
      <c r="X908" s="1601"/>
      <c r="Y908" s="1874" t="str">
        <f>IF(LEN('11.700'!X34)=0,"None",'11.700'!X34)</f>
        <v>None</v>
      </c>
      <c r="Z908" s="1889"/>
      <c r="AB908" s="523"/>
      <c r="AC908" s="523" t="b">
        <f ca="1">OR(AD908:AE908)</f>
        <v>0</v>
      </c>
      <c r="AD908" s="523" t="b">
        <f ca="1">T908</f>
        <v>0</v>
      </c>
      <c r="AE908" s="523" t="b">
        <f ca="1">AND(R908,NOT(W908))</f>
        <v>0</v>
      </c>
      <c r="AF908" s="720" t="b">
        <f ca="1">AND(AE908,NOT(Q908))</f>
        <v>0</v>
      </c>
      <c r="AG908" s="523"/>
      <c r="AH908" s="523"/>
      <c r="AI908" s="523"/>
      <c r="AJ908" s="523"/>
      <c r="AK908" s="523"/>
      <c r="AL908" s="1352" t="str">
        <f>SUBSTITUTE(SUBSTITUTE(SUBSTITUTE("vpa"&amp;$B908&amp;$C908&amp;$D908&amp;$E908&amp;$F908,".","_"),"(","_"),")","")</f>
        <v>vpa701_4_2_3</v>
      </c>
      <c r="AM908" s="1352" t="str">
        <f ca="1">M908</f>
        <v>Mandatory</v>
      </c>
      <c r="AN908" s="1352"/>
      <c r="AO908" s="1352"/>
      <c r="AP908" s="1352" t="str">
        <f>SUBSTITUTE(SUBSTITUTE(SUBSTITUTE("vch"&amp;$B908&amp;$C908&amp;$D908&amp;$E908&amp;$F908,".","_"),"(","_"),")","")</f>
        <v>vch701_4_2_3</v>
      </c>
      <c r="AQ908" s="1352" t="b">
        <f>IF(LEN(W908)=0,"",W908)</f>
        <v>1</v>
      </c>
      <c r="AR908" s="1352" t="str">
        <f>SUBSTITUTE(SUBSTITUTE(SUBSTITUTE("vnt"&amp;$B908&amp;$C908&amp;$D908&amp;$E908&amp;$F908,".","_"),"(","_"),")","")</f>
        <v>vnt701_4_2_3</v>
      </c>
      <c r="AS908" s="1352" t="str">
        <f>IF(LEN(X908)=0,"",X908)</f>
        <v/>
      </c>
      <c r="AT908" s="523"/>
      <c r="AU908" s="523"/>
      <c r="AV908" s="523"/>
      <c r="AW908" s="523"/>
      <c r="AX908" s="525" t="str">
        <f>'Overview (Verification)'!A36</f>
        <v>Foundation Type:</v>
      </c>
      <c r="AY908" s="685" t="str">
        <f>IF(LEN('Overview (Verification)'!P36)=0,0,'Overview (Verification)'!P36)</f>
        <v>Slab on grade</v>
      </c>
      <c r="AZ908" s="523"/>
      <c r="BA908" s="523"/>
      <c r="BB908" s="523"/>
      <c r="BC908" s="523"/>
      <c r="BD908" s="523"/>
      <c r="BE908" s="523"/>
      <c r="BF908" s="523"/>
      <c r="BG908" s="523"/>
      <c r="BH908" s="523"/>
      <c r="BI908" s="523"/>
    </row>
    <row r="909" spans="1:61" x14ac:dyDescent="0.2">
      <c r="A909" s="1507">
        <v>7</v>
      </c>
      <c r="B909" s="1516" t="s">
        <v>638</v>
      </c>
      <c r="C909" s="1516"/>
      <c r="D909" s="1516"/>
      <c r="E909" s="1516"/>
      <c r="F909" s="1511"/>
      <c r="G909" s="1509" t="str">
        <f ca="1">G908</f>
        <v>P</v>
      </c>
      <c r="H909" s="1510" t="s">
        <v>3198</v>
      </c>
      <c r="I909" s="447"/>
      <c r="J909" s="529"/>
      <c r="K909" s="529"/>
      <c r="L909" s="1696"/>
      <c r="M909" s="1698"/>
      <c r="N909" s="213"/>
      <c r="O909" s="909"/>
      <c r="P909" s="173"/>
      <c r="Q909" s="173"/>
      <c r="R909" s="173"/>
      <c r="S909" s="173"/>
      <c r="T909" s="173"/>
      <c r="U909" s="173"/>
      <c r="V909" s="173"/>
      <c r="W909" s="173"/>
      <c r="X909" s="1601"/>
      <c r="Y909" s="1874"/>
      <c r="Z909" s="1889"/>
      <c r="AB909" s="523"/>
      <c r="AC909" s="523"/>
      <c r="AD909" s="523"/>
      <c r="AE909" s="523"/>
      <c r="AF909" s="523"/>
      <c r="AG909" s="523"/>
      <c r="AH909" s="523"/>
      <c r="AI909" s="523"/>
      <c r="AJ909" s="523"/>
      <c r="AK909" s="523"/>
      <c r="AL909" s="1352"/>
      <c r="AM909" s="1352"/>
      <c r="AN909" s="1352"/>
      <c r="AO909" s="1352"/>
      <c r="AP909" s="1352"/>
      <c r="AQ909" s="1352"/>
      <c r="AR909" s="1352"/>
      <c r="AS909" s="1352"/>
      <c r="AT909" s="523"/>
      <c r="AU909" s="523"/>
      <c r="AV909" s="523"/>
      <c r="AW909" s="523"/>
      <c r="AX909" s="763"/>
      <c r="AY909" s="764"/>
      <c r="AZ909" s="523"/>
      <c r="BA909" s="523"/>
      <c r="BB909" s="523"/>
      <c r="BC909" s="523"/>
      <c r="BD909" s="523"/>
      <c r="BE909" s="523"/>
      <c r="BF909" s="523"/>
      <c r="BG909" s="523"/>
      <c r="BH909" s="523"/>
      <c r="BI909" s="523"/>
    </row>
    <row r="910" spans="1:61" x14ac:dyDescent="0.2">
      <c r="A910" s="1507">
        <v>7</v>
      </c>
      <c r="B910" s="1516" t="s">
        <v>639</v>
      </c>
      <c r="C910" s="1516"/>
      <c r="D910" s="1516"/>
      <c r="E910" s="1516"/>
      <c r="F910" s="1511"/>
      <c r="G910" s="1513" t="str">
        <f>IF(COUNTIF(G911:G991,"P")&gt;0,"P","")</f>
        <v>P</v>
      </c>
      <c r="H910" s="1510" t="s">
        <v>3198</v>
      </c>
      <c r="I910" s="446" t="s">
        <v>3646</v>
      </c>
      <c r="J910" s="531"/>
      <c r="K910" s="531"/>
      <c r="L910" s="535" t="s">
        <v>3655</v>
      </c>
      <c r="M910" s="921"/>
      <c r="N910" s="193"/>
      <c r="O910" s="918"/>
      <c r="P910" s="195"/>
      <c r="Q910" s="195"/>
      <c r="R910" s="195"/>
      <c r="S910" s="195"/>
      <c r="T910" s="195"/>
      <c r="U910" s="195"/>
      <c r="V910" s="195"/>
      <c r="W910" s="195"/>
      <c r="X910" s="195"/>
      <c r="Y910" s="523"/>
      <c r="Z910" s="670"/>
      <c r="AB910" s="523"/>
      <c r="AC910" s="523"/>
      <c r="AD910" s="523"/>
      <c r="AE910" s="523"/>
      <c r="AF910" s="523"/>
      <c r="AG910" s="523"/>
      <c r="AH910" s="523"/>
      <c r="AI910" s="523"/>
      <c r="AJ910" s="523"/>
      <c r="AK910" s="523"/>
      <c r="AL910" s="1352"/>
      <c r="AM910" s="1352"/>
      <c r="AN910" s="1352"/>
      <c r="AO910" s="1352"/>
      <c r="AP910" s="1352"/>
      <c r="AQ910" s="1352"/>
      <c r="AR910" s="1352"/>
      <c r="AS910" s="1352"/>
      <c r="AT910" s="523"/>
      <c r="AU910" s="523"/>
      <c r="AV910" s="523"/>
      <c r="AW910" s="523"/>
      <c r="AX910" s="525" t="str">
        <f>'Overview (Verification)'!A38</f>
        <v>Type of Heating System (main system):</v>
      </c>
      <c r="AY910" s="685" t="str">
        <f>IF(LEN('Overview (Verification)'!P38)=0,0,'Overview (Verification)'!P38)</f>
        <v>Heat Pump</v>
      </c>
      <c r="AZ910" s="523"/>
      <c r="BA910" s="523"/>
      <c r="BB910" s="523"/>
      <c r="BC910" s="523"/>
      <c r="BD910" s="523"/>
      <c r="BE910" s="523"/>
      <c r="BF910" s="523"/>
      <c r="BG910" s="523"/>
      <c r="BH910" s="523"/>
      <c r="BI910" s="523"/>
    </row>
    <row r="911" spans="1:61" x14ac:dyDescent="0.2">
      <c r="A911" s="1507">
        <v>7</v>
      </c>
      <c r="B911" s="1516" t="s">
        <v>640</v>
      </c>
      <c r="C911" s="1516"/>
      <c r="D911" s="1516"/>
      <c r="E911" s="1516"/>
      <c r="F911" s="1511"/>
      <c r="G911" s="1509" t="str">
        <f>IF(IFERROR(SEARCH("Mandatory",M911),FALSE),"P","")</f>
        <v>P</v>
      </c>
      <c r="H911" s="1510" t="s">
        <v>3198</v>
      </c>
      <c r="I911" s="69" t="s">
        <v>3647</v>
      </c>
      <c r="J911" s="530"/>
      <c r="K911" s="530"/>
      <c r="L911" s="1631" t="s">
        <v>3853</v>
      </c>
      <c r="M911" s="1697" t="str">
        <f>IF(R916,"Mandatory","N/A")</f>
        <v>Mandatory</v>
      </c>
      <c r="N911" s="4"/>
      <c r="O911" s="935"/>
      <c r="P911" s="905"/>
      <c r="Q911" s="905"/>
      <c r="R911" s="905"/>
      <c r="S911" s="905"/>
      <c r="T911" s="905"/>
      <c r="U911" s="905"/>
      <c r="V911" s="523"/>
      <c r="W911" s="523" t="s">
        <v>2883</v>
      </c>
      <c r="X911" s="1621"/>
      <c r="Y911" s="1875" t="str">
        <f>IF(LEN('11.700'!X37)=0,"None",'11.700'!X37)</f>
        <v>None</v>
      </c>
      <c r="Z911" s="1878"/>
      <c r="AB911" s="523"/>
      <c r="AC911" s="523"/>
      <c r="AD911" s="523"/>
      <c r="AE911" s="523"/>
      <c r="AF911" s="523"/>
      <c r="AG911" s="523"/>
      <c r="AH911" s="523"/>
      <c r="AI911" s="523"/>
      <c r="AJ911" s="523"/>
      <c r="AK911" s="523"/>
      <c r="AL911" s="1352" t="str">
        <f>SUBSTITUTE(SUBSTITUTE(SUBSTITUTE("vpa"&amp;$B911&amp;$C911&amp;$D911&amp;$E911&amp;$F911,".","_"),"(","_"),")","")</f>
        <v>vpa701_4_3_1</v>
      </c>
      <c r="AM911" s="1352" t="str">
        <f>M911</f>
        <v>Mandatory</v>
      </c>
      <c r="AN911" s="1352"/>
      <c r="AO911" s="1352"/>
      <c r="AP911" s="1352"/>
      <c r="AQ911" s="1352"/>
      <c r="AR911" s="1352" t="str">
        <f>SUBSTITUTE(SUBSTITUTE(SUBSTITUTE("vnt"&amp;$B911&amp;$C911&amp;$D911&amp;$E911&amp;$F911,".","_"),"(","_"),")","")</f>
        <v>vnt701_4_3_1</v>
      </c>
      <c r="AS911" s="1352" t="str">
        <f>IF(LEN(X911)=0,"",X911)</f>
        <v/>
      </c>
      <c r="AT911" s="523"/>
      <c r="AU911" s="523"/>
      <c r="AV911" s="523"/>
      <c r="AW911" s="523"/>
      <c r="AX911" s="525" t="str">
        <f>'Overview (Verification)'!A39</f>
        <v>Type of Heating System (system 2):</v>
      </c>
      <c r="AY911" s="685">
        <f>IF(LEN('Overview (Verification)'!P39)=0,0,'Overview (Verification)'!P39)</f>
        <v>0</v>
      </c>
      <c r="AZ911" s="523"/>
      <c r="BA911" s="523"/>
      <c r="BB911" s="523"/>
      <c r="BC911" s="523"/>
      <c r="BD911" s="523"/>
      <c r="BE911" s="523"/>
      <c r="BF911" s="523"/>
      <c r="BG911" s="523"/>
      <c r="BH911" s="523"/>
      <c r="BI911" s="523"/>
    </row>
    <row r="912" spans="1:61" x14ac:dyDescent="0.2">
      <c r="A912" s="1507">
        <v>7</v>
      </c>
      <c r="B912" s="1516" t="s">
        <v>640</v>
      </c>
      <c r="C912" s="1516" t="s">
        <v>254</v>
      </c>
      <c r="D912" s="1516"/>
      <c r="E912" s="1516"/>
      <c r="F912" s="1511"/>
      <c r="G912" s="1509" t="str">
        <f t="shared" ref="G912:G928" si="60">G911</f>
        <v>P</v>
      </c>
      <c r="H912" s="1510" t="s">
        <v>3198</v>
      </c>
      <c r="I912" s="4"/>
      <c r="J912" s="530"/>
      <c r="K912" s="530"/>
      <c r="L912" s="1631"/>
      <c r="M912" s="1697"/>
      <c r="N912" s="4"/>
      <c r="O912" s="935"/>
      <c r="P912" s="991" t="b">
        <v>1</v>
      </c>
      <c r="Q912" s="991" t="b">
        <v>1</v>
      </c>
      <c r="R912" s="905" t="b">
        <v>0</v>
      </c>
      <c r="S912" s="722" t="b">
        <f ca="1">AND(AY899&gt;3,AY893=INDEX(INDIRECT('Overview (Design)'!$E$18),2))</f>
        <v>0</v>
      </c>
      <c r="T912" s="991" t="b">
        <f ca="1">AND(NOT(S912),W912=TRUE)</f>
        <v>0</v>
      </c>
      <c r="U912" s="905"/>
      <c r="V912" s="523"/>
      <c r="W912" s="27"/>
      <c r="X912" s="1632"/>
      <c r="Y912" s="1876"/>
      <c r="Z912" s="1879"/>
      <c r="AB912" s="523"/>
      <c r="AC912" s="1150" t="b">
        <f ca="1">OR(AD912:AE912)</f>
        <v>0</v>
      </c>
      <c r="AD912" s="1150" t="b">
        <f ca="1">T912</f>
        <v>0</v>
      </c>
      <c r="AE912" s="523"/>
      <c r="AF912" s="523"/>
      <c r="AG912" s="523"/>
      <c r="AH912" s="523"/>
      <c r="AI912" s="523"/>
      <c r="AJ912" s="523"/>
      <c r="AK912" s="523"/>
      <c r="AL912" s="1352"/>
      <c r="AM912" s="1352"/>
      <c r="AN912" s="1352"/>
      <c r="AO912" s="1352"/>
      <c r="AP912" s="1352" t="str">
        <f>SUBSTITUTE(SUBSTITUTE(SUBSTITUTE("vch"&amp;$B912&amp;$C912&amp;$D912&amp;$E912&amp;$F912,".","_"),"(","_"),")","")</f>
        <v>vch701_4_3_1_1</v>
      </c>
      <c r="AQ912" s="1352" t="str">
        <f>IF(LEN(W912)=0,"",W912)</f>
        <v/>
      </c>
      <c r="AR912" s="1352"/>
      <c r="AS912" s="1352"/>
      <c r="AT912" s="523"/>
      <c r="AU912" s="523"/>
      <c r="AV912" s="523"/>
      <c r="AW912" s="523"/>
      <c r="AX912" s="525" t="str">
        <f>'Overview (Verification)'!A40</f>
        <v>Type of Heating System (system 3):</v>
      </c>
      <c r="AY912" s="685">
        <f>IF(LEN('Overview (Verification)'!P40)=0,0,'Overview (Verification)'!P40)</f>
        <v>0</v>
      </c>
      <c r="AZ912" s="523"/>
      <c r="BA912" s="523"/>
      <c r="BB912" s="523"/>
      <c r="BC912" s="523"/>
      <c r="BD912" s="523"/>
      <c r="BE912" s="523"/>
      <c r="BF912" s="523"/>
      <c r="BG912" s="523"/>
      <c r="BH912" s="523"/>
      <c r="BI912" s="523"/>
    </row>
    <row r="913" spans="1:61" x14ac:dyDescent="0.2">
      <c r="A913" s="1507">
        <v>7</v>
      </c>
      <c r="B913" s="1516" t="s">
        <v>640</v>
      </c>
      <c r="C913" s="1516"/>
      <c r="D913" s="1516"/>
      <c r="E913" s="1516"/>
      <c r="F913" s="1511"/>
      <c r="G913" s="1509" t="str">
        <f t="shared" si="60"/>
        <v>P</v>
      </c>
      <c r="H913" s="1510" t="s">
        <v>3198</v>
      </c>
      <c r="I913" s="4"/>
      <c r="J913" s="530"/>
      <c r="K913" s="530"/>
      <c r="L913" s="1631"/>
      <c r="M913" s="1697"/>
      <c r="N913" s="4"/>
      <c r="O913" s="935"/>
      <c r="P913" s="905"/>
      <c r="Q913" s="905"/>
      <c r="R913" s="905"/>
      <c r="S913" s="905"/>
      <c r="T913" s="905"/>
      <c r="U913" s="905"/>
      <c r="V913" s="523"/>
      <c r="W913" s="523"/>
      <c r="X913" s="1632"/>
      <c r="Y913" s="1876"/>
      <c r="Z913" s="1879"/>
      <c r="AB913" s="523"/>
      <c r="AC913" s="523"/>
      <c r="AD913" s="523"/>
      <c r="AE913" s="523"/>
      <c r="AF913" s="523"/>
      <c r="AG913" s="523"/>
      <c r="AH913" s="523"/>
      <c r="AI913" s="523"/>
      <c r="AJ913" s="523"/>
      <c r="AK913" s="523"/>
      <c r="AL913" s="1352"/>
      <c r="AM913" s="1352"/>
      <c r="AN913" s="1352"/>
      <c r="AO913" s="1352"/>
      <c r="AP913" s="1352"/>
      <c r="AQ913" s="1352"/>
      <c r="AR913" s="1352"/>
      <c r="AS913" s="1352"/>
      <c r="AT913" s="523"/>
      <c r="AU913" s="523"/>
      <c r="AV913" s="523"/>
      <c r="AW913" s="523"/>
      <c r="AX913" s="525" t="str">
        <f>'Overview (Verification)'!A41</f>
        <v>Primary Heating Fuel:</v>
      </c>
      <c r="AY913" s="685">
        <f>IF(LEN('Overview (Verification)'!P41)=0,0,'Overview (Verification)'!P41)</f>
        <v>0</v>
      </c>
      <c r="AZ913" s="523"/>
      <c r="BA913" s="523"/>
      <c r="BB913" s="523"/>
      <c r="BC913" s="523"/>
      <c r="BD913" s="523"/>
      <c r="BE913" s="523"/>
      <c r="BF913" s="523"/>
      <c r="BG913" s="523"/>
      <c r="BH913" s="523"/>
      <c r="BI913" s="523"/>
    </row>
    <row r="914" spans="1:61" ht="15" customHeight="1" x14ac:dyDescent="0.2">
      <c r="A914" s="1507">
        <v>7</v>
      </c>
      <c r="B914" s="1516" t="s">
        <v>640</v>
      </c>
      <c r="C914" s="1516"/>
      <c r="D914" s="1516"/>
      <c r="E914" s="1516"/>
      <c r="F914" s="1511"/>
      <c r="G914" s="1509" t="str">
        <f t="shared" si="60"/>
        <v>P</v>
      </c>
      <c r="H914" s="1510" t="s">
        <v>3198</v>
      </c>
      <c r="I914" s="4"/>
      <c r="J914" s="530"/>
      <c r="K914" s="530"/>
      <c r="L914" s="1631"/>
      <c r="M914" s="1697"/>
      <c r="N914" s="4"/>
      <c r="O914" s="935"/>
      <c r="P914" s="905"/>
      <c r="Q914" s="905"/>
      <c r="R914" s="905"/>
      <c r="S914" s="905"/>
      <c r="T914" s="905"/>
      <c r="U914" s="905"/>
      <c r="V914" s="523"/>
      <c r="W914"/>
      <c r="X914" s="1632"/>
      <c r="Y914" s="1876"/>
      <c r="Z914" s="1879"/>
      <c r="AB914" s="523"/>
      <c r="AC914" s="1150"/>
      <c r="AD914" s="1150"/>
      <c r="AE914" s="1150"/>
      <c r="AF914" s="720"/>
      <c r="AG914" s="523"/>
      <c r="AH914" s="523"/>
      <c r="AI914" s="523"/>
      <c r="AJ914" s="523"/>
      <c r="AK914" s="523"/>
      <c r="AL914" s="1352"/>
      <c r="AM914" s="1352"/>
      <c r="AN914" s="1352"/>
      <c r="AO914" s="1352"/>
      <c r="AP914" s="1352"/>
      <c r="AQ914" s="1352"/>
      <c r="AR914" s="1352"/>
      <c r="AS914" s="1352"/>
      <c r="AT914" s="523"/>
      <c r="AU914" s="523"/>
      <c r="AV914" s="523"/>
      <c r="AW914" s="523"/>
      <c r="AX914" s="525" t="str">
        <f>'Overview (Verification)'!A42</f>
        <v>Heating Ducts:</v>
      </c>
      <c r="AY914" s="685" t="str">
        <f>IF(LEN('Overview (Verification)'!P42)=0,0,'Overview (Verification)'!P42)</f>
        <v>Ducted</v>
      </c>
      <c r="AZ914" s="523"/>
      <c r="BA914" s="523"/>
      <c r="BB914" s="523"/>
      <c r="BC914" s="523"/>
      <c r="BD914" s="523"/>
      <c r="BE914" s="523"/>
      <c r="BF914" s="523"/>
      <c r="BG914" s="523"/>
      <c r="BH914" s="523"/>
      <c r="BI914" s="523"/>
    </row>
    <row r="915" spans="1:61" s="794" customFormat="1" ht="15" customHeight="1" x14ac:dyDescent="0.2">
      <c r="A915" s="1507">
        <v>7</v>
      </c>
      <c r="B915" s="1516" t="s">
        <v>640</v>
      </c>
      <c r="C915" s="1516"/>
      <c r="D915" s="1516"/>
      <c r="E915" s="1516"/>
      <c r="F915" s="1511"/>
      <c r="G915" s="1509" t="str">
        <f t="shared" si="60"/>
        <v>P</v>
      </c>
      <c r="H915" s="1510" t="s">
        <v>3198</v>
      </c>
      <c r="I915" s="4"/>
      <c r="J915" s="800"/>
      <c r="K915" s="800"/>
      <c r="L915" s="1631"/>
      <c r="M915" s="1697"/>
      <c r="N915" s="4"/>
      <c r="O915" s="935"/>
      <c r="P915" s="991"/>
      <c r="Q915" s="991"/>
      <c r="R915" s="905"/>
      <c r="S915" s="905"/>
      <c r="T915" s="905"/>
      <c r="U915" s="905"/>
      <c r="V915"/>
      <c r="W915"/>
      <c r="X915" s="1599"/>
      <c r="Y915" s="1877"/>
      <c r="Z915" s="1880"/>
      <c r="AC915" s="1150"/>
      <c r="AD915" s="1150"/>
      <c r="AE915" s="1150"/>
      <c r="AL915" s="1352"/>
      <c r="AM915" s="1352"/>
      <c r="AN915" s="1352"/>
      <c r="AO915" s="1352"/>
      <c r="AP915" s="1352"/>
      <c r="AQ915" s="1352"/>
      <c r="AR915" s="1352"/>
      <c r="AS915" s="1352"/>
      <c r="AX915" s="525" t="str">
        <f>'Overview (Verification)'!A43</f>
        <v>Type of Cooling System (main system):</v>
      </c>
      <c r="AY915" s="685" t="str">
        <f>IF(LEN('Overview (Verification)'!P43)=0,0,'Overview (Verification)'!P43)</f>
        <v>Heat Pump</v>
      </c>
    </row>
    <row r="916" spans="1:61" ht="16" x14ac:dyDescent="0.2">
      <c r="A916" s="1507">
        <v>7</v>
      </c>
      <c r="B916" s="1516" t="s">
        <v>640</v>
      </c>
      <c r="C916" s="1516"/>
      <c r="D916" s="1516" t="s">
        <v>121</v>
      </c>
      <c r="E916" s="1511"/>
      <c r="F916" s="1511"/>
      <c r="G916" s="1509" t="str">
        <f t="shared" si="60"/>
        <v>P</v>
      </c>
      <c r="H916" s="1512" t="s">
        <v>3198</v>
      </c>
      <c r="I916" s="4"/>
      <c r="J916" s="530"/>
      <c r="K916" s="234" t="s">
        <v>121</v>
      </c>
      <c r="L916" s="530" t="s">
        <v>641</v>
      </c>
      <c r="M916" s="911"/>
      <c r="N916" s="4"/>
      <c r="O916" s="935"/>
      <c r="P916" s="991" t="b">
        <v>1</v>
      </c>
      <c r="Q916" s="905" t="b">
        <v>0</v>
      </c>
      <c r="R916" s="905" t="b">
        <f t="shared" ref="R916:R928" si="61">S916</f>
        <v>1</v>
      </c>
      <c r="S916" s="722" t="b">
        <f>NOT(W912)</f>
        <v>1</v>
      </c>
      <c r="T916" s="991" t="b">
        <f>AND(NOT(S916),LEN(W916)&gt;0)</f>
        <v>0</v>
      </c>
      <c r="U916" s="991" t="str">
        <f>SUBSTITUTE(SUBSTITUTE(SUBSTITUTE("dd"&amp;B916&amp;C916&amp;D916&amp;E916&amp;F916,".","_"),"(","_"),")","")</f>
        <v>dd701_4_3_1_a</v>
      </c>
      <c r="V916" s="523"/>
      <c r="W916" s="12" t="s">
        <v>2588</v>
      </c>
      <c r="X916" s="527"/>
      <c r="Y916" s="536" t="str">
        <f>IF(LEN('11.700'!X42)=0,"None",'11.700'!X42)</f>
        <v>None</v>
      </c>
      <c r="Z916" s="715"/>
      <c r="AB916" s="523"/>
      <c r="AC916" s="1150" t="b">
        <f t="shared" ref="AC916:AC928" si="62">OR(AD916:AE916)</f>
        <v>0</v>
      </c>
      <c r="AD916" s="1150" t="b">
        <f t="shared" ref="AD916:AD928" si="63">T916</f>
        <v>0</v>
      </c>
      <c r="AE916" s="1150" t="b">
        <f t="shared" ref="AE916:AE928" si="64">AND(R916,OR(W916="Not Met",W916=""))</f>
        <v>0</v>
      </c>
      <c r="AF916" s="1150" t="b">
        <f t="shared" ref="AF916:AF928" si="65">AND(AE916,NOT(Q916))</f>
        <v>0</v>
      </c>
      <c r="AG916" s="523"/>
      <c r="AH916" s="523"/>
      <c r="AI916" s="523"/>
      <c r="AJ916" s="523"/>
      <c r="AK916" s="523"/>
      <c r="AL916" s="1352"/>
      <c r="AM916" s="1352"/>
      <c r="AN916" s="1352"/>
      <c r="AO916" s="1352"/>
      <c r="AP916" s="1352" t="str">
        <f t="shared" ref="AP916:AP928" si="66">SUBSTITUTE(SUBSTITUTE(SUBSTITUTE("vch"&amp;$B916&amp;$C916&amp;$D916&amp;$E916&amp;$F916,".","_"),"(","_"),")","")</f>
        <v>vch701_4_3_1_a</v>
      </c>
      <c r="AQ916" s="1352" t="str">
        <f t="shared" ref="AQ916:AQ928" si="67">IF(LEN(W916)=0,"",W916)</f>
        <v>Met</v>
      </c>
      <c r="AR916" s="1352" t="str">
        <f t="shared" ref="AR916:AR928" si="68">SUBSTITUTE(SUBSTITUTE(SUBSTITUTE("vnt"&amp;$B916&amp;$C916&amp;$D916&amp;$E916&amp;$F916,".","_"),"(","_"),")","")</f>
        <v>vnt701_4_3_1_a</v>
      </c>
      <c r="AS916" s="1352" t="str">
        <f t="shared" ref="AS916:AS928" si="69">IF(LEN(X916)=0,"",X916)</f>
        <v/>
      </c>
      <c r="AT916" s="523"/>
      <c r="AU916" s="523"/>
      <c r="AV916" s="523"/>
      <c r="AW916" s="523"/>
      <c r="AX916" s="525" t="str">
        <f>'Overview (Verification)'!A44</f>
        <v>Type of Cooling System (system 2):</v>
      </c>
      <c r="AY916" s="685">
        <f>IF(LEN('Overview (Verification)'!P44)=0,0,'Overview (Verification)'!P44)</f>
        <v>0</v>
      </c>
      <c r="AZ916" s="523"/>
      <c r="BA916" s="523"/>
      <c r="BB916" s="523"/>
      <c r="BC916" s="523"/>
      <c r="BD916" s="523"/>
      <c r="BE916" s="523"/>
      <c r="BF916" s="523"/>
      <c r="BG916" s="523"/>
      <c r="BH916" s="523"/>
      <c r="BI916" s="523"/>
    </row>
    <row r="917" spans="1:61" ht="16" x14ac:dyDescent="0.2">
      <c r="A917" s="1507">
        <v>7</v>
      </c>
      <c r="B917" s="1516" t="s">
        <v>640</v>
      </c>
      <c r="C917" s="1516"/>
      <c r="D917" s="1516" t="s">
        <v>122</v>
      </c>
      <c r="E917" s="1511"/>
      <c r="F917" s="1511"/>
      <c r="G917" s="1509" t="str">
        <f t="shared" si="60"/>
        <v>P</v>
      </c>
      <c r="H917" s="1512" t="s">
        <v>3198</v>
      </c>
      <c r="I917" s="4"/>
      <c r="J917" s="530"/>
      <c r="K917" s="234" t="s">
        <v>122</v>
      </c>
      <c r="L917" s="530" t="s">
        <v>642</v>
      </c>
      <c r="M917" s="911"/>
      <c r="N917" s="4"/>
      <c r="O917" s="935"/>
      <c r="P917" s="991" t="b">
        <v>1</v>
      </c>
      <c r="Q917" s="905" t="b">
        <v>0</v>
      </c>
      <c r="R917" s="905" t="b">
        <f t="shared" si="61"/>
        <v>1</v>
      </c>
      <c r="S917" s="722" t="b">
        <f>NOT(W912)</f>
        <v>1</v>
      </c>
      <c r="T917" s="991" t="b">
        <f t="shared" ref="T917:T928" si="70">AND(NOT(S917),LEN(W917)&gt;0)</f>
        <v>0</v>
      </c>
      <c r="U917" s="991" t="str">
        <f>SUBSTITUTE(SUBSTITUTE(SUBSTITUTE("dd"&amp;B917&amp;C917&amp;D917&amp;E917&amp;F917,".","_"),"(","_"),")","")</f>
        <v>dd701_4_3_1_b</v>
      </c>
      <c r="V917" s="523"/>
      <c r="W917" s="12" t="s">
        <v>2588</v>
      </c>
      <c r="X917" s="527"/>
      <c r="Y917" s="536" t="str">
        <f>IF(LEN('11.700'!X43)=0,"None",'11.700'!X43)</f>
        <v>None</v>
      </c>
      <c r="Z917" s="715"/>
      <c r="AB917" s="523"/>
      <c r="AC917" s="1150" t="b">
        <f t="shared" si="62"/>
        <v>0</v>
      </c>
      <c r="AD917" s="1150" t="b">
        <f t="shared" si="63"/>
        <v>0</v>
      </c>
      <c r="AE917" s="1150" t="b">
        <f t="shared" si="64"/>
        <v>0</v>
      </c>
      <c r="AF917" s="1150" t="b">
        <f t="shared" si="65"/>
        <v>0</v>
      </c>
      <c r="AG917" s="523"/>
      <c r="AH917" s="523"/>
      <c r="AI917" s="523"/>
      <c r="AJ917" s="523"/>
      <c r="AK917" s="523"/>
      <c r="AL917" s="1352"/>
      <c r="AM917" s="1352"/>
      <c r="AN917" s="1352"/>
      <c r="AO917" s="1352"/>
      <c r="AP917" s="1352" t="str">
        <f t="shared" si="66"/>
        <v>vch701_4_3_1_b</v>
      </c>
      <c r="AQ917" s="1352" t="str">
        <f t="shared" si="67"/>
        <v>Met</v>
      </c>
      <c r="AR917" s="1352" t="str">
        <f t="shared" si="68"/>
        <v>vnt701_4_3_1_b</v>
      </c>
      <c r="AS917" s="1352" t="str">
        <f t="shared" si="69"/>
        <v/>
      </c>
      <c r="AT917" s="523"/>
      <c r="AU917" s="523"/>
      <c r="AV917" s="523"/>
      <c r="AW917" s="523"/>
      <c r="AX917" s="525" t="str">
        <f>'Overview (Verification)'!A45</f>
        <v>Type of Cooling System (system 3):</v>
      </c>
      <c r="AY917" s="685">
        <f>IF(LEN('Overview (Verification)'!P45)=0,0,'Overview (Verification)'!P45)</f>
        <v>0</v>
      </c>
      <c r="AZ917" s="523"/>
      <c r="BA917" s="523"/>
      <c r="BB917" s="523"/>
      <c r="BC917" s="523"/>
      <c r="BD917" s="523"/>
      <c r="BE917" s="523"/>
      <c r="BF917" s="523"/>
      <c r="BG917" s="523"/>
      <c r="BH917" s="523"/>
      <c r="BI917" s="523"/>
    </row>
    <row r="918" spans="1:61" ht="15" customHeight="1" x14ac:dyDescent="0.2">
      <c r="A918" s="1507">
        <v>7</v>
      </c>
      <c r="B918" s="1516" t="s">
        <v>640</v>
      </c>
      <c r="C918" s="1516"/>
      <c r="D918" s="1535" t="s">
        <v>123</v>
      </c>
      <c r="E918" s="1518"/>
      <c r="F918" s="1518"/>
      <c r="G918" s="1509" t="str">
        <f t="shared" si="60"/>
        <v>P</v>
      </c>
      <c r="H918" s="1520" t="s">
        <v>3198</v>
      </c>
      <c r="I918" s="4"/>
      <c r="J918" s="530"/>
      <c r="K918" s="235" t="s">
        <v>123</v>
      </c>
      <c r="L918" s="530" t="s">
        <v>643</v>
      </c>
      <c r="M918" s="911"/>
      <c r="N918" s="4"/>
      <c r="O918" s="935"/>
      <c r="P918" s="991" t="b">
        <v>1</v>
      </c>
      <c r="Q918" s="905" t="b">
        <v>0</v>
      </c>
      <c r="R918" s="905" t="b">
        <f t="shared" si="61"/>
        <v>1</v>
      </c>
      <c r="S918" s="722" t="b">
        <f>NOT(W912)</f>
        <v>1</v>
      </c>
      <c r="T918" s="991" t="b">
        <f t="shared" si="70"/>
        <v>0</v>
      </c>
      <c r="U918" s="991" t="str">
        <f>SUBSTITUTE(SUBSTITUTE(SUBSTITUTE("dd"&amp;B918&amp;C918&amp;D918&amp;E918&amp;F918,".","_"),"(","_"),")","")</f>
        <v>dd701_4_3_1_c</v>
      </c>
      <c r="V918" s="523"/>
      <c r="W918" s="12" t="s">
        <v>2588</v>
      </c>
      <c r="X918" s="527"/>
      <c r="Y918" s="536" t="str">
        <f>IF(LEN('11.700'!X44)=0,"None",'11.700'!X44)</f>
        <v>None</v>
      </c>
      <c r="Z918" s="715"/>
      <c r="AB918" s="523"/>
      <c r="AC918" s="1150" t="b">
        <f t="shared" si="62"/>
        <v>0</v>
      </c>
      <c r="AD918" s="1150" t="b">
        <f t="shared" si="63"/>
        <v>0</v>
      </c>
      <c r="AE918" s="1150" t="b">
        <f t="shared" si="64"/>
        <v>0</v>
      </c>
      <c r="AF918" s="1150" t="b">
        <f t="shared" si="65"/>
        <v>0</v>
      </c>
      <c r="AG918" s="523"/>
      <c r="AH918" s="523"/>
      <c r="AI918" s="523"/>
      <c r="AJ918" s="523"/>
      <c r="AK918" s="523"/>
      <c r="AL918" s="1352"/>
      <c r="AM918" s="1352"/>
      <c r="AN918" s="1352"/>
      <c r="AO918" s="1352"/>
      <c r="AP918" s="1352" t="str">
        <f t="shared" si="66"/>
        <v>vch701_4_3_1_c</v>
      </c>
      <c r="AQ918" s="1352" t="str">
        <f t="shared" si="67"/>
        <v>Met</v>
      </c>
      <c r="AR918" s="1352" t="str">
        <f t="shared" si="68"/>
        <v>vnt701_4_3_1_c</v>
      </c>
      <c r="AS918" s="1352" t="str">
        <f t="shared" si="69"/>
        <v/>
      </c>
      <c r="AT918" s="523"/>
      <c r="AU918" s="523"/>
      <c r="AV918" s="523"/>
      <c r="AW918" s="523"/>
      <c r="AX918" s="525" t="str">
        <f>'Overview (Verification)'!A46</f>
        <v>Cooling Ducts:</v>
      </c>
      <c r="AY918" s="685" t="str">
        <f>IF(LEN('Overview (Verification)'!P46)=0,0,'Overview (Verification)'!P46)</f>
        <v>Ducted</v>
      </c>
      <c r="AZ918" s="523"/>
      <c r="BA918" s="523"/>
      <c r="BB918" s="523"/>
      <c r="BC918" s="523"/>
      <c r="BD918" s="523"/>
      <c r="BE918" s="523"/>
      <c r="BF918" s="523"/>
      <c r="BG918" s="523"/>
      <c r="BH918" s="523"/>
      <c r="BI918" s="523"/>
    </row>
    <row r="919" spans="1:61" ht="16" x14ac:dyDescent="0.2">
      <c r="A919" s="1507">
        <v>7</v>
      </c>
      <c r="B919" s="1516" t="s">
        <v>640</v>
      </c>
      <c r="C919" s="1516"/>
      <c r="D919" s="1516" t="s">
        <v>366</v>
      </c>
      <c r="E919" s="1511"/>
      <c r="F919" s="1511"/>
      <c r="G919" s="1509" t="str">
        <f t="shared" si="60"/>
        <v>P</v>
      </c>
      <c r="H919" s="1510" t="s">
        <v>3198</v>
      </c>
      <c r="I919" s="4"/>
      <c r="J919" s="530"/>
      <c r="K919" s="532" t="s">
        <v>366</v>
      </c>
      <c r="L919" s="530" t="s">
        <v>644</v>
      </c>
      <c r="M919" s="911"/>
      <c r="N919" s="4"/>
      <c r="O919" s="935"/>
      <c r="P919" s="991" t="b">
        <v>1</v>
      </c>
      <c r="Q919" s="905" t="b">
        <v>0</v>
      </c>
      <c r="R919" s="905" t="b">
        <f t="shared" si="61"/>
        <v>1</v>
      </c>
      <c r="S919" s="722" t="b">
        <f>NOT(W912)</f>
        <v>1</v>
      </c>
      <c r="T919" s="991" t="b">
        <f t="shared" si="70"/>
        <v>0</v>
      </c>
      <c r="U919" s="991" t="str">
        <f>SUBSTITUTE(SUBSTITUTE(SUBSTITUTE("dd"&amp;B919&amp;C919&amp;D919&amp;E919&amp;F919,".","_"),"(","_"),")","")</f>
        <v>dd701_4_3_1_d</v>
      </c>
      <c r="V919" s="523"/>
      <c r="W919" s="12" t="s">
        <v>2588</v>
      </c>
      <c r="X919" s="527"/>
      <c r="Y919" s="536" t="str">
        <f>IF(LEN('11.700'!X45)=0,"None",'11.700'!X45)</f>
        <v>None</v>
      </c>
      <c r="Z919" s="715"/>
      <c r="AB919" s="523"/>
      <c r="AC919" s="1150" t="b">
        <f t="shared" si="62"/>
        <v>0</v>
      </c>
      <c r="AD919" s="1150" t="b">
        <f t="shared" si="63"/>
        <v>0</v>
      </c>
      <c r="AE919" s="1150" t="b">
        <f t="shared" si="64"/>
        <v>0</v>
      </c>
      <c r="AF919" s="1150" t="b">
        <f t="shared" si="65"/>
        <v>0</v>
      </c>
      <c r="AG919" s="523"/>
      <c r="AH919" s="523"/>
      <c r="AI919" s="523"/>
      <c r="AJ919" s="523"/>
      <c r="AK919" s="523"/>
      <c r="AL919" s="1352"/>
      <c r="AM919" s="1352"/>
      <c r="AN919" s="1352"/>
      <c r="AO919" s="1352"/>
      <c r="AP919" s="1352" t="str">
        <f t="shared" si="66"/>
        <v>vch701_4_3_1_d</v>
      </c>
      <c r="AQ919" s="1352" t="str">
        <f t="shared" si="67"/>
        <v>Met</v>
      </c>
      <c r="AR919" s="1352" t="str">
        <f t="shared" si="68"/>
        <v>vnt701_4_3_1_d</v>
      </c>
      <c r="AS919" s="1352" t="str">
        <f t="shared" si="69"/>
        <v/>
      </c>
      <c r="AT919" s="523"/>
      <c r="AU919" s="523"/>
      <c r="AV919" s="523"/>
      <c r="AW919" s="523"/>
      <c r="AZ919" s="523"/>
      <c r="BA919" s="523"/>
      <c r="BB919" s="523"/>
      <c r="BC919" s="523"/>
      <c r="BD919" s="523"/>
      <c r="BE919" s="523"/>
      <c r="BF919" s="523"/>
      <c r="BG919" s="523"/>
      <c r="BH919" s="523"/>
      <c r="BI919" s="523"/>
    </row>
    <row r="920" spans="1:61" ht="16" x14ac:dyDescent="0.2">
      <c r="A920" s="1507">
        <v>7</v>
      </c>
      <c r="B920" s="1516" t="s">
        <v>640</v>
      </c>
      <c r="C920" s="1516"/>
      <c r="D920" s="1516" t="s">
        <v>472</v>
      </c>
      <c r="E920" s="1511"/>
      <c r="F920" s="1511"/>
      <c r="G920" s="1509" t="str">
        <f t="shared" si="60"/>
        <v>P</v>
      </c>
      <c r="H920" s="1510" t="s">
        <v>3198</v>
      </c>
      <c r="I920" s="4"/>
      <c r="J920" s="530"/>
      <c r="K920" s="532" t="s">
        <v>472</v>
      </c>
      <c r="L920" s="530" t="s">
        <v>645</v>
      </c>
      <c r="M920" s="911"/>
      <c r="N920" s="4"/>
      <c r="O920" s="935"/>
      <c r="P920" s="991" t="b">
        <v>1</v>
      </c>
      <c r="Q920" s="905" t="b">
        <v>0</v>
      </c>
      <c r="R920" s="905" t="b">
        <f t="shared" si="61"/>
        <v>1</v>
      </c>
      <c r="S920" s="722" t="b">
        <f>NOT(W912)</f>
        <v>1</v>
      </c>
      <c r="T920" s="991" t="b">
        <f t="shared" si="70"/>
        <v>0</v>
      </c>
      <c r="U920" s="991" t="str">
        <f>SUBSTITUTE(SUBSTITUTE(SUBSTITUTE("dd"&amp;B920&amp;C920&amp;D920&amp;E920&amp;F920,".","_"),"(","_"),")","")</f>
        <v>dd701_4_3_1_e</v>
      </c>
      <c r="V920" s="523"/>
      <c r="W920" s="12" t="s">
        <v>2588</v>
      </c>
      <c r="X920" s="527"/>
      <c r="Y920" s="536" t="str">
        <f>IF(LEN('11.700'!X46)=0,"None",'11.700'!X46)</f>
        <v>None</v>
      </c>
      <c r="Z920" s="715"/>
      <c r="AB920" s="523"/>
      <c r="AC920" s="1150" t="b">
        <f t="shared" si="62"/>
        <v>0</v>
      </c>
      <c r="AD920" s="1150" t="b">
        <f t="shared" si="63"/>
        <v>0</v>
      </c>
      <c r="AE920" s="1150" t="b">
        <f t="shared" si="64"/>
        <v>0</v>
      </c>
      <c r="AF920" s="1150" t="b">
        <f t="shared" si="65"/>
        <v>0</v>
      </c>
      <c r="AG920" s="523"/>
      <c r="AH920" s="523"/>
      <c r="AI920" s="523"/>
      <c r="AJ920" s="523"/>
      <c r="AK920" s="523"/>
      <c r="AL920" s="1352"/>
      <c r="AM920" s="1352"/>
      <c r="AN920" s="1352"/>
      <c r="AO920" s="1352"/>
      <c r="AP920" s="1352" t="str">
        <f t="shared" si="66"/>
        <v>vch701_4_3_1_e</v>
      </c>
      <c r="AQ920" s="1352" t="str">
        <f t="shared" si="67"/>
        <v>Met</v>
      </c>
      <c r="AR920" s="1352" t="str">
        <f t="shared" si="68"/>
        <v>vnt701_4_3_1_e</v>
      </c>
      <c r="AS920" s="1352" t="str">
        <f t="shared" si="69"/>
        <v/>
      </c>
      <c r="AT920" s="523"/>
      <c r="AU920" s="523"/>
      <c r="AV920" s="523"/>
      <c r="AW920" s="523"/>
      <c r="AX920" s="525" t="str">
        <f>'Overview (Verification)'!A48</f>
        <v>Maximum window and door SHGC:</v>
      </c>
      <c r="AY920" s="685">
        <f>IF(LEN('Overview (Verification)'!P48)=0,0,'Overview (Verification)'!P48)</f>
        <v>0.22</v>
      </c>
      <c r="AZ920" s="523"/>
      <c r="BA920" s="523"/>
      <c r="BB920" s="523"/>
      <c r="BC920" s="523"/>
      <c r="BD920" s="523"/>
      <c r="BE920" s="523"/>
      <c r="BF920" s="523"/>
      <c r="BG920" s="523"/>
      <c r="BH920" s="523"/>
      <c r="BI920" s="523"/>
    </row>
    <row r="921" spans="1:61" ht="16" x14ac:dyDescent="0.2">
      <c r="A921" s="1507">
        <v>7</v>
      </c>
      <c r="B921" s="1516" t="s">
        <v>640</v>
      </c>
      <c r="C921" s="1516"/>
      <c r="D921" s="1535" t="s">
        <v>510</v>
      </c>
      <c r="E921" s="1518"/>
      <c r="F921" s="1518"/>
      <c r="G921" s="1509" t="str">
        <f t="shared" si="60"/>
        <v>P</v>
      </c>
      <c r="H921" s="1520" t="s">
        <v>3198</v>
      </c>
      <c r="I921" s="4"/>
      <c r="J921" s="530"/>
      <c r="K921" s="235" t="s">
        <v>510</v>
      </c>
      <c r="L921" s="530" t="s">
        <v>646</v>
      </c>
      <c r="M921" s="911"/>
      <c r="N921" s="4"/>
      <c r="O921" s="935"/>
      <c r="P921" s="991" t="b">
        <v>1</v>
      </c>
      <c r="Q921" s="905" t="b">
        <v>0</v>
      </c>
      <c r="R921" s="905" t="b">
        <f t="shared" si="61"/>
        <v>1</v>
      </c>
      <c r="S921" s="722" t="b">
        <f>NOT(W912)</f>
        <v>1</v>
      </c>
      <c r="T921" s="991" t="b">
        <f t="shared" si="70"/>
        <v>0</v>
      </c>
      <c r="U921" s="991" t="str">
        <f t="shared" ref="U921:U928" si="71">SUBSTITUTE(SUBSTITUTE(SUBSTITUTE("dd"&amp;B921&amp;C921&amp;D921&amp;E921&amp;F921,".","_"),"(","_"),")","")</f>
        <v>dd701_4_3_1_f</v>
      </c>
      <c r="V921" s="523"/>
      <c r="W921" s="12" t="s">
        <v>2590</v>
      </c>
      <c r="X921" s="527"/>
      <c r="Y921" s="536" t="str">
        <f>IF(LEN('11.700'!X47)=0,"None",'11.700'!X47)</f>
        <v>None</v>
      </c>
      <c r="Z921" s="715"/>
      <c r="AB921" s="523"/>
      <c r="AC921" s="1150" t="b">
        <f t="shared" si="62"/>
        <v>0</v>
      </c>
      <c r="AD921" s="1150" t="b">
        <f t="shared" si="63"/>
        <v>0</v>
      </c>
      <c r="AE921" s="1150" t="b">
        <f t="shared" si="64"/>
        <v>0</v>
      </c>
      <c r="AF921" s="1150" t="b">
        <f t="shared" si="65"/>
        <v>0</v>
      </c>
      <c r="AG921" s="523"/>
      <c r="AH921" s="523"/>
      <c r="AI921" s="523"/>
      <c r="AJ921" s="523"/>
      <c r="AK921" s="523"/>
      <c r="AL921" s="1352"/>
      <c r="AM921" s="1352"/>
      <c r="AN921" s="1352"/>
      <c r="AO921" s="1352"/>
      <c r="AP921" s="1352" t="str">
        <f t="shared" si="66"/>
        <v>vch701_4_3_1_f</v>
      </c>
      <c r="AQ921" s="1352" t="str">
        <f t="shared" si="67"/>
        <v>N/A</v>
      </c>
      <c r="AR921" s="1352" t="str">
        <f t="shared" si="68"/>
        <v>vnt701_4_3_1_f</v>
      </c>
      <c r="AS921" s="1352" t="str">
        <f t="shared" si="69"/>
        <v/>
      </c>
      <c r="AT921" s="523"/>
      <c r="AU921" s="523"/>
      <c r="AV921" s="523"/>
      <c r="AW921" s="523"/>
      <c r="AX921" s="525" t="str">
        <f>'Overview (Verification)'!A49</f>
        <v>Maximum skylight SHGC:</v>
      </c>
      <c r="AY921" s="685">
        <f>IF(LEN('Overview (Verification)'!P49)=0,0,'Overview (Verification)'!P49)</f>
        <v>0</v>
      </c>
      <c r="AZ921" s="523"/>
      <c r="BA921" s="523"/>
      <c r="BB921" s="523"/>
      <c r="BC921" s="523"/>
      <c r="BD921" s="523"/>
      <c r="BE921" s="523"/>
      <c r="BF921" s="523"/>
      <c r="BG921" s="523"/>
      <c r="BH921" s="523"/>
      <c r="BI921" s="523"/>
    </row>
    <row r="922" spans="1:61" ht="16" x14ac:dyDescent="0.2">
      <c r="A922" s="1507">
        <v>7</v>
      </c>
      <c r="B922" s="1516" t="s">
        <v>640</v>
      </c>
      <c r="C922" s="1516"/>
      <c r="D922" s="1516" t="s">
        <v>512</v>
      </c>
      <c r="E922" s="1511"/>
      <c r="F922" s="1511"/>
      <c r="G922" s="1509" t="str">
        <f t="shared" si="60"/>
        <v>P</v>
      </c>
      <c r="H922" s="1510" t="s">
        <v>3198</v>
      </c>
      <c r="I922" s="4"/>
      <c r="J922" s="530"/>
      <c r="K922" s="532" t="s">
        <v>512</v>
      </c>
      <c r="L922" s="530" t="s">
        <v>4054</v>
      </c>
      <c r="M922" s="911"/>
      <c r="N922" s="4"/>
      <c r="O922" s="935"/>
      <c r="P922" s="991" t="b">
        <v>1</v>
      </c>
      <c r="Q922" s="905" t="b">
        <v>0</v>
      </c>
      <c r="R922" s="905" t="b">
        <f t="shared" si="61"/>
        <v>1</v>
      </c>
      <c r="S922" s="722" t="b">
        <f>NOT(W912)</f>
        <v>1</v>
      </c>
      <c r="T922" s="991" t="b">
        <f t="shared" si="70"/>
        <v>0</v>
      </c>
      <c r="U922" s="991" t="str">
        <f t="shared" si="71"/>
        <v>dd701_4_3_1_g</v>
      </c>
      <c r="V922" s="523"/>
      <c r="W922" s="12" t="s">
        <v>2588</v>
      </c>
      <c r="X922" s="527"/>
      <c r="Y922" s="536" t="str">
        <f>IF(LEN('11.700'!X48)=0,"None",'11.700'!X48)</f>
        <v>None</v>
      </c>
      <c r="Z922" s="715"/>
      <c r="AB922" s="523"/>
      <c r="AC922" s="1150" t="b">
        <f t="shared" si="62"/>
        <v>0</v>
      </c>
      <c r="AD922" s="1150" t="b">
        <f t="shared" si="63"/>
        <v>0</v>
      </c>
      <c r="AE922" s="1150" t="b">
        <f t="shared" si="64"/>
        <v>0</v>
      </c>
      <c r="AF922" s="1150" t="b">
        <f t="shared" si="65"/>
        <v>0</v>
      </c>
      <c r="AG922" s="523"/>
      <c r="AH922" s="523"/>
      <c r="AI922" s="523"/>
      <c r="AJ922" s="523"/>
      <c r="AK922" s="523"/>
      <c r="AL922" s="1352"/>
      <c r="AM922" s="1352"/>
      <c r="AN922" s="1352"/>
      <c r="AO922" s="1352"/>
      <c r="AP922" s="1352" t="str">
        <f t="shared" si="66"/>
        <v>vch701_4_3_1_g</v>
      </c>
      <c r="AQ922" s="1352" t="str">
        <f t="shared" si="67"/>
        <v>Met</v>
      </c>
      <c r="AR922" s="1352" t="str">
        <f t="shared" si="68"/>
        <v>vnt701_4_3_1_g</v>
      </c>
      <c r="AS922" s="1352" t="str">
        <f t="shared" si="69"/>
        <v/>
      </c>
      <c r="AT922" s="523"/>
      <c r="AU922" s="523"/>
      <c r="AV922" s="523"/>
      <c r="AW922" s="523"/>
      <c r="AX922" s="525" t="str">
        <f>'Overview (Verification)'!A50</f>
        <v>Maximum window and door U-value:</v>
      </c>
      <c r="AY922" s="685">
        <f>IF(LEN('Overview (Verification)'!P50)=0,0,'Overview (Verification)'!P50)</f>
        <v>0.28999999999999998</v>
      </c>
      <c r="AZ922" s="523"/>
      <c r="BA922" s="523"/>
      <c r="BB922" s="523"/>
      <c r="BC922" s="523"/>
      <c r="BD922" s="523"/>
      <c r="BE922" s="523"/>
      <c r="BF922" s="523"/>
      <c r="BG922" s="523"/>
      <c r="BH922" s="523"/>
      <c r="BI922" s="523"/>
    </row>
    <row r="923" spans="1:61" ht="16" x14ac:dyDescent="0.2">
      <c r="A923" s="1507">
        <v>7</v>
      </c>
      <c r="B923" s="1516" t="s">
        <v>640</v>
      </c>
      <c r="C923" s="1516"/>
      <c r="D923" s="1516" t="s">
        <v>514</v>
      </c>
      <c r="E923" s="1511"/>
      <c r="F923" s="1511"/>
      <c r="G923" s="1509" t="str">
        <f t="shared" si="60"/>
        <v>P</v>
      </c>
      <c r="H923" s="1510" t="s">
        <v>3198</v>
      </c>
      <c r="I923" s="4"/>
      <c r="J923" s="530"/>
      <c r="K923" s="532" t="s">
        <v>514</v>
      </c>
      <c r="L923" s="530" t="s">
        <v>647</v>
      </c>
      <c r="M923" s="911"/>
      <c r="N923" s="4"/>
      <c r="O923" s="935"/>
      <c r="P923" s="991" t="b">
        <v>1</v>
      </c>
      <c r="Q923" s="905" t="b">
        <v>0</v>
      </c>
      <c r="R923" s="905" t="b">
        <f t="shared" si="61"/>
        <v>1</v>
      </c>
      <c r="S923" s="722" t="b">
        <f>NOT(W912)</f>
        <v>1</v>
      </c>
      <c r="T923" s="991" t="b">
        <f t="shared" si="70"/>
        <v>0</v>
      </c>
      <c r="U923" s="991" t="str">
        <f t="shared" si="71"/>
        <v>dd701_4_3_1_h</v>
      </c>
      <c r="V923" s="523"/>
      <c r="W923" s="12" t="s">
        <v>2590</v>
      </c>
      <c r="X923" s="527"/>
      <c r="Y923" s="536" t="str">
        <f>IF(LEN('11.700'!X49)=0,"None",'11.700'!X49)</f>
        <v>None</v>
      </c>
      <c r="Z923" s="715"/>
      <c r="AB923" s="523"/>
      <c r="AC923" s="1150" t="b">
        <f t="shared" si="62"/>
        <v>0</v>
      </c>
      <c r="AD923" s="1150" t="b">
        <f t="shared" si="63"/>
        <v>0</v>
      </c>
      <c r="AE923" s="1150" t="b">
        <f t="shared" si="64"/>
        <v>0</v>
      </c>
      <c r="AF923" s="1150" t="b">
        <f t="shared" si="65"/>
        <v>0</v>
      </c>
      <c r="AG923" s="523"/>
      <c r="AH923" s="523"/>
      <c r="AI923" s="523"/>
      <c r="AJ923" s="523"/>
      <c r="AK923" s="523"/>
      <c r="AL923" s="1352"/>
      <c r="AM923" s="1352"/>
      <c r="AN923" s="1352"/>
      <c r="AO923" s="1352"/>
      <c r="AP923" s="1352" t="str">
        <f t="shared" si="66"/>
        <v>vch701_4_3_1_h</v>
      </c>
      <c r="AQ923" s="1352" t="str">
        <f t="shared" si="67"/>
        <v>N/A</v>
      </c>
      <c r="AR923" s="1352" t="str">
        <f t="shared" si="68"/>
        <v>vnt701_4_3_1_h</v>
      </c>
      <c r="AS923" s="1352" t="str">
        <f t="shared" si="69"/>
        <v/>
      </c>
      <c r="AT923" s="523"/>
      <c r="AU923" s="523"/>
      <c r="AV923" s="523"/>
      <c r="AW923" s="523"/>
      <c r="AX923" s="525" t="str">
        <f>'Overview (Verification)'!A51</f>
        <v>Maximum skylight U-value:</v>
      </c>
      <c r="AY923" s="685">
        <f>IF(LEN('Overview (Verification)'!P51)=0,0,'Overview (Verification)'!P51)</f>
        <v>0</v>
      </c>
      <c r="AZ923" s="523"/>
      <c r="BA923" s="523"/>
      <c r="BB923" s="523"/>
      <c r="BC923" s="523"/>
      <c r="BD923" s="523"/>
      <c r="BE923" s="523"/>
      <c r="BF923" s="523"/>
      <c r="BG923" s="523"/>
      <c r="BH923" s="523"/>
      <c r="BI923" s="523"/>
    </row>
    <row r="924" spans="1:61" ht="16" x14ac:dyDescent="0.2">
      <c r="A924" s="1507">
        <v>7</v>
      </c>
      <c r="B924" s="1516" t="s">
        <v>640</v>
      </c>
      <c r="C924" s="1516"/>
      <c r="D924" s="1516" t="s">
        <v>648</v>
      </c>
      <c r="E924" s="1511"/>
      <c r="F924" s="1511"/>
      <c r="G924" s="1509" t="str">
        <f t="shared" si="60"/>
        <v>P</v>
      </c>
      <c r="H924" s="1510" t="s">
        <v>3198</v>
      </c>
      <c r="I924" s="4"/>
      <c r="J924" s="530"/>
      <c r="K924" s="532" t="s">
        <v>648</v>
      </c>
      <c r="L924" s="530" t="s">
        <v>4055</v>
      </c>
      <c r="M924" s="911"/>
      <c r="N924" s="4"/>
      <c r="O924" s="935"/>
      <c r="P924" s="991" t="b">
        <v>1</v>
      </c>
      <c r="Q924" s="905" t="b">
        <v>0</v>
      </c>
      <c r="R924" s="905" t="b">
        <f t="shared" si="61"/>
        <v>1</v>
      </c>
      <c r="S924" s="722" t="b">
        <f>NOT(W912)</f>
        <v>1</v>
      </c>
      <c r="T924" s="991" t="b">
        <f t="shared" si="70"/>
        <v>0</v>
      </c>
      <c r="U924" s="991" t="str">
        <f t="shared" si="71"/>
        <v>dd701_4_3_1_i</v>
      </c>
      <c r="V924" s="523"/>
      <c r="W924" s="12" t="s">
        <v>2588</v>
      </c>
      <c r="X924" s="527"/>
      <c r="Y924" s="536" t="str">
        <f>IF(LEN('11.700'!X50)=0,"None",'11.700'!X50)</f>
        <v>None</v>
      </c>
      <c r="Z924" s="715"/>
      <c r="AB924" s="523"/>
      <c r="AC924" s="1150" t="b">
        <f t="shared" si="62"/>
        <v>0</v>
      </c>
      <c r="AD924" s="1150" t="b">
        <f t="shared" si="63"/>
        <v>0</v>
      </c>
      <c r="AE924" s="1150" t="b">
        <f t="shared" si="64"/>
        <v>0</v>
      </c>
      <c r="AF924" s="1150" t="b">
        <f t="shared" si="65"/>
        <v>0</v>
      </c>
      <c r="AG924" s="523"/>
      <c r="AH924" s="523"/>
      <c r="AI924" s="523"/>
      <c r="AJ924" s="523"/>
      <c r="AK924" s="523"/>
      <c r="AL924" s="1352"/>
      <c r="AM924" s="1352"/>
      <c r="AN924" s="1352"/>
      <c r="AO924" s="1352"/>
      <c r="AP924" s="1352" t="str">
        <f t="shared" si="66"/>
        <v>vch701_4_3_1_i</v>
      </c>
      <c r="AQ924" s="1352" t="str">
        <f t="shared" si="67"/>
        <v>Met</v>
      </c>
      <c r="AR924" s="1352" t="str">
        <f t="shared" si="68"/>
        <v>vnt701_4_3_1_i</v>
      </c>
      <c r="AS924" s="1352" t="str">
        <f t="shared" si="69"/>
        <v/>
      </c>
      <c r="AT924" s="523"/>
      <c r="AU924" s="523"/>
      <c r="AV924" s="523"/>
      <c r="AW924" s="523"/>
      <c r="AX924" s="525" t="str">
        <f>'Overview (Verification)'!A52</f>
        <v>Renewable Energy:</v>
      </c>
      <c r="AY924" s="685">
        <f>IF(LEN('Overview (Verification)'!P52)=0,0,'Overview (Verification)'!P52)</f>
        <v>0</v>
      </c>
      <c r="AZ924" s="523"/>
      <c r="BA924" s="523"/>
      <c r="BB924" s="523"/>
      <c r="BC924" s="523"/>
      <c r="BD924" s="523"/>
      <c r="BE924" s="523"/>
      <c r="BF924" s="523"/>
      <c r="BG924" s="523"/>
      <c r="BH924" s="523"/>
      <c r="BI924" s="523"/>
    </row>
    <row r="925" spans="1:61" ht="15" customHeight="1" x14ac:dyDescent="0.2">
      <c r="A925" s="1507">
        <v>7</v>
      </c>
      <c r="B925" s="1516" t="s">
        <v>640</v>
      </c>
      <c r="C925" s="1516"/>
      <c r="D925" s="1516" t="s">
        <v>649</v>
      </c>
      <c r="E925" s="1511"/>
      <c r="F925" s="1511"/>
      <c r="G925" s="1509" t="str">
        <f t="shared" si="60"/>
        <v>P</v>
      </c>
      <c r="H925" s="1510" t="s">
        <v>3198</v>
      </c>
      <c r="I925" s="4"/>
      <c r="J925" s="530"/>
      <c r="K925" s="532" t="s">
        <v>649</v>
      </c>
      <c r="L925" s="530" t="s">
        <v>650</v>
      </c>
      <c r="M925" s="911"/>
      <c r="N925" s="4"/>
      <c r="O925" s="935"/>
      <c r="P925" s="991" t="b">
        <v>1</v>
      </c>
      <c r="Q925" s="905" t="b">
        <v>0</v>
      </c>
      <c r="R925" s="905" t="b">
        <f t="shared" si="61"/>
        <v>1</v>
      </c>
      <c r="S925" s="722" t="b">
        <f>NOT(W912)</f>
        <v>1</v>
      </c>
      <c r="T925" s="991" t="b">
        <f t="shared" si="70"/>
        <v>0</v>
      </c>
      <c r="U925" s="991" t="str">
        <f t="shared" si="71"/>
        <v>dd701_4_3_1_j</v>
      </c>
      <c r="V925" s="523"/>
      <c r="W925" s="12" t="s">
        <v>2588</v>
      </c>
      <c r="X925" s="527"/>
      <c r="Y925" s="536" t="str">
        <f>IF(LEN('11.700'!X51)=0,"None",'11.700'!X51)</f>
        <v>None</v>
      </c>
      <c r="Z925" s="715"/>
      <c r="AB925" s="523"/>
      <c r="AC925" s="1150" t="b">
        <f t="shared" si="62"/>
        <v>0</v>
      </c>
      <c r="AD925" s="1150" t="b">
        <f t="shared" si="63"/>
        <v>0</v>
      </c>
      <c r="AE925" s="1150" t="b">
        <f t="shared" si="64"/>
        <v>0</v>
      </c>
      <c r="AF925" s="1150" t="b">
        <f t="shared" si="65"/>
        <v>0</v>
      </c>
      <c r="AG925" s="523"/>
      <c r="AH925" s="523"/>
      <c r="AI925" s="523"/>
      <c r="AJ925" s="523"/>
      <c r="AK925" s="523"/>
      <c r="AL925" s="1352"/>
      <c r="AM925" s="1352"/>
      <c r="AN925" s="1352"/>
      <c r="AO925" s="1352"/>
      <c r="AP925" s="1352" t="str">
        <f t="shared" si="66"/>
        <v>vch701_4_3_1_j</v>
      </c>
      <c r="AQ925" s="1352" t="str">
        <f t="shared" si="67"/>
        <v>Met</v>
      </c>
      <c r="AR925" s="1352" t="str">
        <f t="shared" si="68"/>
        <v>vnt701_4_3_1_j</v>
      </c>
      <c r="AS925" s="1352" t="str">
        <f t="shared" si="69"/>
        <v/>
      </c>
      <c r="AT925" s="523"/>
      <c r="AU925" s="523"/>
      <c r="AV925" s="523"/>
      <c r="AW925" s="523"/>
      <c r="AX925" s="525" t="str">
        <f>'Overview (Verification)'!A53</f>
        <v>Thermal Envelope Insulation:</v>
      </c>
      <c r="AY925" s="685">
        <f>IF(LEN('Overview (Verification)'!P53)=0,0,'Overview (Verification)'!P53)</f>
        <v>0</v>
      </c>
      <c r="AZ925" s="523"/>
      <c r="BA925" s="523"/>
      <c r="BB925" s="523"/>
      <c r="BC925" s="523"/>
      <c r="BD925" s="523"/>
      <c r="BE925" s="523"/>
      <c r="BF925" s="523"/>
      <c r="BG925" s="523"/>
      <c r="BH925" s="523"/>
      <c r="BI925" s="523"/>
    </row>
    <row r="926" spans="1:61" s="905" customFormat="1" ht="15" customHeight="1" x14ac:dyDescent="0.2">
      <c r="A926" s="1507">
        <v>7</v>
      </c>
      <c r="B926" s="1516" t="s">
        <v>640</v>
      </c>
      <c r="C926" s="1516"/>
      <c r="D926" s="1516" t="s">
        <v>651</v>
      </c>
      <c r="E926" s="1511"/>
      <c r="F926" s="1511"/>
      <c r="G926" s="1509" t="str">
        <f t="shared" si="60"/>
        <v>P</v>
      </c>
      <c r="H926" s="1510" t="s">
        <v>3198</v>
      </c>
      <c r="I926" s="4"/>
      <c r="J926" s="947"/>
      <c r="K926" s="961" t="s">
        <v>651</v>
      </c>
      <c r="L926" s="947" t="s">
        <v>5080</v>
      </c>
      <c r="M926" s="913"/>
      <c r="N926" s="129"/>
      <c r="O926" s="908"/>
      <c r="P926" s="991" t="b">
        <v>1</v>
      </c>
      <c r="Q926" s="991" t="b">
        <v>0</v>
      </c>
      <c r="R926" s="905" t="b">
        <f t="shared" si="61"/>
        <v>1</v>
      </c>
      <c r="S926" s="722" t="b">
        <f>NOT(W912)</f>
        <v>1</v>
      </c>
      <c r="T926" s="991" t="b">
        <f t="shared" si="70"/>
        <v>0</v>
      </c>
      <c r="U926" s="991" t="str">
        <f t="shared" si="71"/>
        <v>dd701_4_3_1_k</v>
      </c>
      <c r="W926" s="12" t="s">
        <v>2588</v>
      </c>
      <c r="X926" s="906"/>
      <c r="Y926" s="1139" t="str">
        <f>IF(LEN('11.700'!X52)=0,"None",'11.700'!X52)</f>
        <v>None</v>
      </c>
      <c r="Z926" s="969"/>
      <c r="AC926" s="1150" t="b">
        <f t="shared" si="62"/>
        <v>0</v>
      </c>
      <c r="AD926" s="1150" t="b">
        <f t="shared" si="63"/>
        <v>0</v>
      </c>
      <c r="AE926" s="1150" t="b">
        <f t="shared" si="64"/>
        <v>0</v>
      </c>
      <c r="AF926" s="1150" t="b">
        <f t="shared" si="65"/>
        <v>0</v>
      </c>
      <c r="AL926" s="1352"/>
      <c r="AM926" s="1352"/>
      <c r="AN926" s="1352"/>
      <c r="AO926" s="1352"/>
      <c r="AP926" s="1352" t="str">
        <f t="shared" si="66"/>
        <v>vch701_4_3_1_k</v>
      </c>
      <c r="AQ926" s="1352" t="str">
        <f t="shared" si="67"/>
        <v>Met</v>
      </c>
      <c r="AR926" s="1352" t="str">
        <f t="shared" si="68"/>
        <v>vnt701_4_3_1_k</v>
      </c>
      <c r="AS926" s="1352" t="str">
        <f t="shared" si="69"/>
        <v/>
      </c>
      <c r="AX926" s="525" t="str">
        <f>'Overview (Verification)'!A54</f>
        <v>Attic Type:</v>
      </c>
      <c r="AY926" s="685" t="str">
        <f>IF(LEN('Overview (Verification)'!P54)=0,0,'Overview (Verification)'!P54)</f>
        <v>Vented</v>
      </c>
    </row>
    <row r="927" spans="1:61" ht="16" x14ac:dyDescent="0.2">
      <c r="A927" s="1507">
        <v>7</v>
      </c>
      <c r="B927" s="1516" t="s">
        <v>640</v>
      </c>
      <c r="C927" s="1516"/>
      <c r="D927" s="1516" t="s">
        <v>652</v>
      </c>
      <c r="E927" s="1511"/>
      <c r="F927" s="1511"/>
      <c r="G927" s="1509" t="str">
        <f t="shared" si="60"/>
        <v>P</v>
      </c>
      <c r="H927" s="1510" t="s">
        <v>3198</v>
      </c>
      <c r="I927" s="129"/>
      <c r="J927" s="528"/>
      <c r="K927" s="533" t="s">
        <v>652</v>
      </c>
      <c r="L927" s="528" t="s">
        <v>4056</v>
      </c>
      <c r="M927" s="913"/>
      <c r="N927" s="129"/>
      <c r="O927" s="908"/>
      <c r="P927" s="991" t="b">
        <v>1</v>
      </c>
      <c r="Q927" s="991" t="b">
        <v>0</v>
      </c>
      <c r="R927" s="905" t="b">
        <f t="shared" si="61"/>
        <v>1</v>
      </c>
      <c r="S927" s="722" t="b">
        <f>NOT(W912)</f>
        <v>1</v>
      </c>
      <c r="T927" s="991" t="b">
        <f t="shared" si="70"/>
        <v>0</v>
      </c>
      <c r="U927" s="991" t="str">
        <f t="shared" si="71"/>
        <v>dd701_4_3_1_l</v>
      </c>
      <c r="V927" s="96"/>
      <c r="W927" s="12" t="s">
        <v>2590</v>
      </c>
      <c r="X927" s="526" t="s">
        <v>5674</v>
      </c>
      <c r="Y927" s="536" t="str">
        <f>IF(LEN('11.700'!X52)=0,"None",'11.700'!X52)</f>
        <v>None</v>
      </c>
      <c r="Z927" s="715"/>
      <c r="AB927" s="523"/>
      <c r="AC927" s="1150" t="b">
        <f t="shared" si="62"/>
        <v>0</v>
      </c>
      <c r="AD927" s="1150" t="b">
        <f t="shared" si="63"/>
        <v>0</v>
      </c>
      <c r="AE927" s="1150" t="b">
        <f t="shared" si="64"/>
        <v>0</v>
      </c>
      <c r="AF927" s="1150" t="b">
        <f t="shared" si="65"/>
        <v>0</v>
      </c>
      <c r="AG927" s="523"/>
      <c r="AH927" s="523"/>
      <c r="AI927" s="523"/>
      <c r="AJ927" s="523"/>
      <c r="AK927" s="523"/>
      <c r="AL927" s="1352"/>
      <c r="AM927" s="1352"/>
      <c r="AN927" s="1352"/>
      <c r="AO927" s="1352"/>
      <c r="AP927" s="1352" t="str">
        <f t="shared" si="66"/>
        <v>vch701_4_3_1_l</v>
      </c>
      <c r="AQ927" s="1352" t="str">
        <f t="shared" si="67"/>
        <v>N/A</v>
      </c>
      <c r="AR927" s="1352" t="str">
        <f t="shared" si="68"/>
        <v>vnt701_4_3_1_l</v>
      </c>
      <c r="AS927" s="1352" t="str">
        <f t="shared" si="69"/>
        <v>Not exposed during renovation</v>
      </c>
      <c r="AT927" s="523"/>
      <c r="AU927" s="523"/>
      <c r="AV927" s="523"/>
      <c r="AW927" s="523"/>
      <c r="AX927" s="525" t="str">
        <f>'Overview (Verification)'!A55</f>
        <v>Attached Garage:</v>
      </c>
      <c r="AY927" s="685" t="str">
        <f>IF(LEN('Overview (Verification)'!P55)=0,0,'Overview (Verification)'!P55)</f>
        <v>No</v>
      </c>
      <c r="AZ927" s="523"/>
      <c r="BA927" s="523"/>
      <c r="BB927" s="523"/>
      <c r="BC927" s="523"/>
      <c r="BD927" s="523"/>
      <c r="BE927" s="523"/>
      <c r="BF927" s="523"/>
      <c r="BG927" s="523"/>
      <c r="BH927" s="523"/>
      <c r="BI927" s="523"/>
    </row>
    <row r="928" spans="1:61" ht="16" x14ac:dyDescent="0.2">
      <c r="A928" s="1507">
        <v>7</v>
      </c>
      <c r="B928" s="1516" t="s">
        <v>640</v>
      </c>
      <c r="C928" s="1516"/>
      <c r="D928" s="1516" t="s">
        <v>4053</v>
      </c>
      <c r="E928" s="1511"/>
      <c r="F928" s="1511"/>
      <c r="G928" s="1509" t="str">
        <f t="shared" si="60"/>
        <v>P</v>
      </c>
      <c r="H928" s="1510" t="s">
        <v>3198</v>
      </c>
      <c r="I928" s="213"/>
      <c r="J928" s="529"/>
      <c r="K928" s="534" t="s">
        <v>4053</v>
      </c>
      <c r="L928" s="529" t="s">
        <v>653</v>
      </c>
      <c r="M928" s="937"/>
      <c r="N928" s="213"/>
      <c r="O928" s="909"/>
      <c r="P928" s="991" t="b">
        <v>1</v>
      </c>
      <c r="Q928" s="173" t="b">
        <v>0</v>
      </c>
      <c r="R928" s="905" t="b">
        <f t="shared" si="61"/>
        <v>1</v>
      </c>
      <c r="S928" s="722" t="b">
        <f>NOT(W912)</f>
        <v>1</v>
      </c>
      <c r="T928" s="991" t="b">
        <f t="shared" si="70"/>
        <v>0</v>
      </c>
      <c r="U928" s="991" t="str">
        <f t="shared" si="71"/>
        <v>dd701_4_3_1_m</v>
      </c>
      <c r="V928" s="173"/>
      <c r="W928" s="12" t="s">
        <v>2588</v>
      </c>
      <c r="X928" s="526"/>
      <c r="Y928" s="536" t="str">
        <f>IF(LEN('11.700'!X54)=0,"None",'11.700'!X54)</f>
        <v>None</v>
      </c>
      <c r="Z928" s="715"/>
      <c r="AB928" s="523"/>
      <c r="AC928" s="1150" t="b">
        <f t="shared" si="62"/>
        <v>0</v>
      </c>
      <c r="AD928" s="1150" t="b">
        <f t="shared" si="63"/>
        <v>0</v>
      </c>
      <c r="AE928" s="1150" t="b">
        <f t="shared" si="64"/>
        <v>0</v>
      </c>
      <c r="AF928" s="1150" t="b">
        <f t="shared" si="65"/>
        <v>0</v>
      </c>
      <c r="AG928" s="523"/>
      <c r="AH928" s="523"/>
      <c r="AI928" s="523"/>
      <c r="AJ928" s="523"/>
      <c r="AK928" s="523"/>
      <c r="AL928" s="1352"/>
      <c r="AM928" s="1352"/>
      <c r="AN928" s="1352"/>
      <c r="AO928" s="1352"/>
      <c r="AP928" s="1352" t="str">
        <f t="shared" si="66"/>
        <v>vch701_4_3_1_m</v>
      </c>
      <c r="AQ928" s="1352" t="str">
        <f t="shared" si="67"/>
        <v>Met</v>
      </c>
      <c r="AR928" s="1352" t="str">
        <f t="shared" si="68"/>
        <v>vnt701_4_3_1_m</v>
      </c>
      <c r="AS928" s="1352" t="str">
        <f t="shared" si="69"/>
        <v/>
      </c>
      <c r="AT928" s="523"/>
      <c r="AU928" s="523"/>
      <c r="AV928" s="523"/>
      <c r="AW928" s="523"/>
      <c r="AX928" s="525" t="str">
        <f>'Overview (Verification)'!A56</f>
        <v>Recessed Lighting:</v>
      </c>
      <c r="AY928" s="685">
        <f>IF(LEN('Overview (Verification)'!P56)=0,0,'Overview (Verification)'!P56)</f>
        <v>0</v>
      </c>
      <c r="AZ928" s="523"/>
      <c r="BA928" s="523"/>
      <c r="BB928" s="523"/>
      <c r="BC928" s="523"/>
      <c r="BD928" s="523"/>
      <c r="BE928" s="523"/>
      <c r="BF928" s="523"/>
      <c r="BG928" s="523"/>
      <c r="BH928" s="523"/>
      <c r="BI928" s="523"/>
    </row>
    <row r="929" spans="1:61" ht="15" customHeight="1" x14ac:dyDescent="0.2">
      <c r="A929" s="1507">
        <v>7</v>
      </c>
      <c r="B929" s="1516" t="s">
        <v>654</v>
      </c>
      <c r="C929" s="1516"/>
      <c r="D929" s="1516"/>
      <c r="E929" s="1516"/>
      <c r="F929" s="1511"/>
      <c r="G929" s="1509" t="str">
        <f>IF(IFERROR(SEARCH("Mandatory",M929),FALSE),"P","")</f>
        <v/>
      </c>
      <c r="H929" s="1510" t="s">
        <v>3198</v>
      </c>
      <c r="I929" s="69" t="s">
        <v>3648</v>
      </c>
      <c r="J929" s="530"/>
      <c r="K929" s="530"/>
      <c r="L929" s="1631" t="s">
        <v>4057</v>
      </c>
      <c r="M929" s="1697" t="str">
        <f>IF(OR(R933,R936),"Mandatory","N/A")</f>
        <v>N/A</v>
      </c>
      <c r="N929" s="4"/>
      <c r="O929" s="935"/>
      <c r="P929" s="905"/>
      <c r="Q929" s="905"/>
      <c r="R929" s="905"/>
      <c r="S929" s="905"/>
      <c r="T929" s="905"/>
      <c r="U929" s="905"/>
      <c r="V929" s="523"/>
      <c r="W929" s="1269" t="s">
        <v>5088</v>
      </c>
      <c r="X929" s="523"/>
      <c r="Y929" s="523"/>
      <c r="Z929" s="670"/>
      <c r="AB929" s="523"/>
      <c r="AC929" s="523"/>
      <c r="AD929" s="523"/>
      <c r="AE929" s="523"/>
      <c r="AF929" s="523"/>
      <c r="AG929" s="523"/>
      <c r="AH929" s="523"/>
      <c r="AI929" s="523"/>
      <c r="AJ929" s="523"/>
      <c r="AK929" s="523"/>
      <c r="AL929" s="1352" t="str">
        <f>SUBSTITUTE(SUBSTITUTE(SUBSTITUTE("vpa"&amp;$B929&amp;$C929&amp;$D929&amp;$E929&amp;$F929,".","_"),"(","_"),")","")</f>
        <v>vpa701_4_3_2</v>
      </c>
      <c r="AM929" s="1352" t="str">
        <f>M929</f>
        <v>N/A</v>
      </c>
      <c r="AN929" s="1352"/>
      <c r="AO929" s="1352"/>
      <c r="AP929" s="1352"/>
      <c r="AQ929" s="1352"/>
      <c r="AR929" s="1352"/>
      <c r="AS929" s="1352"/>
      <c r="AT929" s="523"/>
      <c r="AU929" s="523"/>
      <c r="AV929" s="523"/>
      <c r="AW929" s="523"/>
      <c r="AX929" s="904"/>
      <c r="AY929" s="905"/>
      <c r="AZ929" s="523"/>
      <c r="BA929" s="523"/>
      <c r="BB929" s="523"/>
      <c r="BC929" s="523"/>
      <c r="BD929" s="523"/>
      <c r="BE929" s="523"/>
      <c r="BF929" s="523"/>
      <c r="BG929" s="523"/>
      <c r="BH929" s="523"/>
      <c r="BI929" s="523"/>
    </row>
    <row r="930" spans="1:61" x14ac:dyDescent="0.2">
      <c r="A930" s="1507">
        <v>7</v>
      </c>
      <c r="B930" s="1516" t="s">
        <v>654</v>
      </c>
      <c r="C930" s="1516"/>
      <c r="D930" s="1516"/>
      <c r="E930" s="1516"/>
      <c r="F930" s="1511"/>
      <c r="G930" s="1509" t="str">
        <f t="shared" ref="G930:G954" si="72">G929</f>
        <v/>
      </c>
      <c r="H930" s="1510" t="s">
        <v>3198</v>
      </c>
      <c r="I930" s="4"/>
      <c r="J930" s="530"/>
      <c r="K930" s="530"/>
      <c r="L930" s="1631"/>
      <c r="M930" s="1697"/>
      <c r="N930" s="4"/>
      <c r="O930" s="935"/>
      <c r="P930" s="1269" t="b">
        <v>1</v>
      </c>
      <c r="Q930" s="1269" t="b">
        <v>1</v>
      </c>
      <c r="R930" s="1269" t="b">
        <v>0</v>
      </c>
      <c r="S930" s="1269" t="b">
        <v>1</v>
      </c>
      <c r="T930" s="1269" t="b">
        <v>0</v>
      </c>
      <c r="U930" s="905"/>
      <c r="V930" s="523"/>
      <c r="W930" s="27"/>
      <c r="X930" s="523"/>
      <c r="Y930" s="523"/>
      <c r="Z930" s="670"/>
      <c r="AB930" s="523"/>
      <c r="AC930" s="523"/>
      <c r="AD930" s="523"/>
      <c r="AE930" s="523"/>
      <c r="AF930" s="523"/>
      <c r="AG930" s="523"/>
      <c r="AH930" s="523"/>
      <c r="AI930" s="523"/>
      <c r="AJ930" s="523"/>
      <c r="AK930" s="523"/>
      <c r="AL930" s="1352"/>
      <c r="AM930" s="1352"/>
      <c r="AN930" s="1352"/>
      <c r="AO930" s="1352"/>
      <c r="AP930" s="1352" t="str">
        <f>SUBSTITUTE(SUBSTITUTE(SUBSTITUTE("vch"&amp;$B930&amp;$C930&amp;$D930&amp;$E930&amp;$F930,".","_"),"(","_"),")","")</f>
        <v>vch701_4_3_2</v>
      </c>
      <c r="AQ930" s="1352" t="str">
        <f>IF(LEN(W930)=0,"",W930)</f>
        <v/>
      </c>
      <c r="AR930" s="1352"/>
      <c r="AS930" s="1352"/>
      <c r="AT930" s="523"/>
      <c r="AU930" s="523"/>
      <c r="AV930" s="523"/>
      <c r="AW930" s="523"/>
      <c r="AX930" s="904" t="str">
        <f>'Overview (Verification)'!A58</f>
        <v>Special Design Features:</v>
      </c>
      <c r="AY930" s="905">
        <f>IF(LEN('Overview (Verification)'!P58)=0,0,'Overview (Verification)'!P58)</f>
        <v>0</v>
      </c>
      <c r="AZ930" s="523"/>
      <c r="BA930" s="523"/>
      <c r="BB930" s="523"/>
      <c r="BC930" s="523"/>
      <c r="BD930" s="523"/>
      <c r="BE930" s="523"/>
      <c r="BF930" s="523"/>
      <c r="BG930" s="523"/>
      <c r="BH930" s="523"/>
      <c r="BI930" s="523"/>
    </row>
    <row r="931" spans="1:61" s="905" customFormat="1" x14ac:dyDescent="0.2">
      <c r="A931" s="1507">
        <v>7</v>
      </c>
      <c r="B931" s="1516" t="s">
        <v>654</v>
      </c>
      <c r="C931" s="1516"/>
      <c r="D931" s="1516"/>
      <c r="E931" s="1516"/>
      <c r="F931" s="1511"/>
      <c r="G931" s="1509" t="str">
        <f t="shared" si="72"/>
        <v/>
      </c>
      <c r="H931" s="1510" t="s">
        <v>3198</v>
      </c>
      <c r="I931" s="4"/>
      <c r="J931" s="947"/>
      <c r="K931" s="947"/>
      <c r="L931" s="1631"/>
      <c r="M931" s="1697"/>
      <c r="N931" s="4"/>
      <c r="O931" s="935"/>
      <c r="Z931" s="670"/>
      <c r="AL931" s="1352"/>
      <c r="AM931" s="1352"/>
      <c r="AN931" s="1352"/>
      <c r="AO931" s="1352"/>
      <c r="AP931" s="1352"/>
      <c r="AQ931" s="1352"/>
      <c r="AR931" s="1352"/>
      <c r="AS931" s="1352"/>
      <c r="AX931" s="525" t="str">
        <f>'Overview (Verification)'!A59</f>
        <v>Passive Solar:</v>
      </c>
      <c r="AY931" s="685">
        <f>IF(LEN('Overview (Verification)'!P59)=0,0,'Overview (Verification)'!P59)</f>
        <v>0</v>
      </c>
    </row>
    <row r="932" spans="1:61" x14ac:dyDescent="0.2">
      <c r="A932" s="1507">
        <v>7</v>
      </c>
      <c r="B932" s="1516" t="s">
        <v>654</v>
      </c>
      <c r="C932" s="1516"/>
      <c r="D932" s="1516"/>
      <c r="E932" s="1516"/>
      <c r="F932" s="1511"/>
      <c r="G932" s="1509" t="str">
        <f t="shared" si="72"/>
        <v/>
      </c>
      <c r="H932" s="1510" t="s">
        <v>3198</v>
      </c>
      <c r="I932" s="4"/>
      <c r="J932" s="530"/>
      <c r="K932" s="530"/>
      <c r="L932" s="1631"/>
      <c r="M932" s="1697"/>
      <c r="N932" s="4"/>
      <c r="O932" s="935"/>
      <c r="P932" s="905"/>
      <c r="Q932" s="905"/>
      <c r="R932" s="905"/>
      <c r="S932" s="905"/>
      <c r="T932" s="905"/>
      <c r="U932" s="905"/>
      <c r="V932" s="523"/>
      <c r="W932" s="523" t="s">
        <v>3029</v>
      </c>
      <c r="X932" s="523"/>
      <c r="Y932" s="523"/>
      <c r="Z932" s="670"/>
      <c r="AB932" s="523"/>
      <c r="AC932" s="523"/>
      <c r="AD932" s="523"/>
      <c r="AE932" s="523"/>
      <c r="AF932" s="523"/>
      <c r="AG932" s="523"/>
      <c r="AH932" s="523"/>
      <c r="AI932" s="523"/>
      <c r="AJ932" s="523"/>
      <c r="AK932" s="523"/>
      <c r="AL932" s="1352"/>
      <c r="AM932" s="1352"/>
      <c r="AN932" s="1352"/>
      <c r="AO932" s="1352"/>
      <c r="AP932" s="1352"/>
      <c r="AQ932" s="1352"/>
      <c r="AR932" s="1352"/>
      <c r="AS932" s="1352"/>
      <c r="AT932" s="523"/>
      <c r="AU932" s="523"/>
      <c r="AV932" s="523"/>
      <c r="AW932" s="523"/>
      <c r="AX932" s="525" t="str">
        <f>'Overview (Verification)'!A60</f>
        <v>Mass Walls:</v>
      </c>
      <c r="AY932" s="685">
        <f>IF(LEN('Overview (Verification)'!P60)=0,0,'Overview (Verification)'!P60)</f>
        <v>0</v>
      </c>
      <c r="AZ932" s="523"/>
      <c r="BA932" s="523"/>
      <c r="BB932" s="523"/>
      <c r="BC932" s="523"/>
      <c r="BD932" s="523"/>
      <c r="BE932" s="523"/>
      <c r="BF932" s="523"/>
      <c r="BG932" s="523"/>
      <c r="BH932" s="523"/>
      <c r="BI932" s="523"/>
    </row>
    <row r="933" spans="1:61" x14ac:dyDescent="0.2">
      <c r="A933" s="1507">
        <v>7</v>
      </c>
      <c r="B933" s="1516" t="s">
        <v>654</v>
      </c>
      <c r="C933" s="1516" t="s">
        <v>3439</v>
      </c>
      <c r="D933" s="1516"/>
      <c r="E933" s="1511"/>
      <c r="F933" s="1511"/>
      <c r="G933" s="1509" t="str">
        <f t="shared" si="72"/>
        <v/>
      </c>
      <c r="H933" s="1510" t="s">
        <v>3198</v>
      </c>
      <c r="I933" s="4"/>
      <c r="J933" s="234" t="s">
        <v>254</v>
      </c>
      <c r="K933" s="530"/>
      <c r="L933" s="1631" t="s">
        <v>655</v>
      </c>
      <c r="M933" s="911"/>
      <c r="N933" s="4"/>
      <c r="O933" s="935"/>
      <c r="P933" s="991" t="b">
        <v>1</v>
      </c>
      <c r="Q933" s="991" t="b">
        <v>1</v>
      </c>
      <c r="R933" s="1269" t="b">
        <f>AND(S933,NOT(OR(AND(BF890=2,BG890="Dry"),BI890="Tropical",W930=TRUE)))</f>
        <v>0</v>
      </c>
      <c r="S933" s="1219" t="b">
        <f>LEN(W936)=0</f>
        <v>0</v>
      </c>
      <c r="T933" s="991" t="b">
        <f>IF(AND(NOT(S933),LEN(W933)&gt;0),TRUE,FALSE)</f>
        <v>1</v>
      </c>
      <c r="U933" s="905"/>
      <c r="V933" s="523"/>
      <c r="W933" s="336">
        <v>7</v>
      </c>
      <c r="X933" s="1621"/>
      <c r="Y933" s="1875" t="str">
        <f>IF(LEN('11.700'!X59)=0,"None",'11.700'!X59)</f>
        <v>None</v>
      </c>
      <c r="Z933" s="1878"/>
      <c r="AB933" s="523"/>
      <c r="AC933" s="523" t="b">
        <f>OR(AD933:AE933)</f>
        <v>1</v>
      </c>
      <c r="AD933" s="523" t="b">
        <f>T933</f>
        <v>1</v>
      </c>
      <c r="AE933" s="523" t="b">
        <f>AND(R933,LEN(W933)=0)</f>
        <v>0</v>
      </c>
      <c r="AF933" s="720" t="b">
        <f>AND(AE933,NOT(Q933))</f>
        <v>0</v>
      </c>
      <c r="AG933" s="523"/>
      <c r="AH933" s="523"/>
      <c r="AI933" s="523"/>
      <c r="AJ933" s="523"/>
      <c r="AK933" s="523"/>
      <c r="AL933" s="1352"/>
      <c r="AM933" s="1352"/>
      <c r="AN933" s="1352"/>
      <c r="AO933" s="1352"/>
      <c r="AP933" s="1352" t="str">
        <f>SUBSTITUTE(SUBSTITUTE(SUBSTITUTE("vch"&amp;$B933&amp;$C933&amp;$D933&amp;$E933&amp;$F933,".","_"),"(","_"),")","")</f>
        <v>vch701_4_3_2_1_</v>
      </c>
      <c r="AQ933" s="1352">
        <f>IF(LEN(W933)=0,"",W933)</f>
        <v>7</v>
      </c>
      <c r="AR933" s="1352" t="str">
        <f>SUBSTITUTE(SUBSTITUTE(SUBSTITUTE("vnt"&amp;$B933&amp;$C933&amp;$D933&amp;$E933&amp;$F933,".","_"),"(","_"),")","")</f>
        <v>vnt701_4_3_2_1_</v>
      </c>
      <c r="AS933" s="1352" t="str">
        <f>IF(LEN(X933)=0,"",X933)</f>
        <v/>
      </c>
      <c r="AT933" s="523"/>
      <c r="AU933" s="523"/>
      <c r="AV933" s="523"/>
      <c r="AW933" s="523"/>
      <c r="AX933" s="525" t="str">
        <f>'Overview (Verification)'!A61</f>
        <v>Radiant/Hydronic:</v>
      </c>
      <c r="AY933" s="685">
        <f>IF(LEN('Overview (Verification)'!P61)=0,0,'Overview (Verification)'!P61)</f>
        <v>0</v>
      </c>
      <c r="AZ933" s="523"/>
      <c r="BA933" s="523"/>
      <c r="BB933" s="523"/>
      <c r="BC933" s="523"/>
      <c r="BD933" s="523"/>
      <c r="BE933" s="523"/>
      <c r="BF933" s="523"/>
      <c r="BG933" s="523"/>
      <c r="BH933" s="523"/>
      <c r="BI933" s="523"/>
    </row>
    <row r="934" spans="1:61" x14ac:dyDescent="0.2">
      <c r="A934" s="1507">
        <v>7</v>
      </c>
      <c r="B934" s="1516" t="s">
        <v>654</v>
      </c>
      <c r="C934" s="1516" t="s">
        <v>254</v>
      </c>
      <c r="D934" s="1516"/>
      <c r="E934" s="1511"/>
      <c r="F934" s="1511"/>
      <c r="G934" s="1509" t="str">
        <f t="shared" si="72"/>
        <v/>
      </c>
      <c r="H934" s="1510" t="s">
        <v>3198</v>
      </c>
      <c r="I934" s="4"/>
      <c r="J934" s="530"/>
      <c r="K934" s="530"/>
      <c r="L934" s="1631"/>
      <c r="M934" s="911"/>
      <c r="N934" s="4"/>
      <c r="O934" s="935"/>
      <c r="P934" s="905"/>
      <c r="Q934" s="905"/>
      <c r="R934" s="1269"/>
      <c r="S934" s="1216"/>
      <c r="T934" s="905"/>
      <c r="U934" s="905"/>
      <c r="V934" s="690"/>
      <c r="W934" s="690"/>
      <c r="X934" s="1632"/>
      <c r="Y934" s="1876"/>
      <c r="Z934" s="1879"/>
      <c r="AB934" s="523"/>
      <c r="AC934" s="523"/>
      <c r="AD934" s="523"/>
      <c r="AE934" s="523"/>
      <c r="AF934" s="523"/>
      <c r="AG934" s="523"/>
      <c r="AH934" s="523"/>
      <c r="AI934" s="523"/>
      <c r="AJ934" s="523"/>
      <c r="AK934" s="523"/>
      <c r="AL934" s="1352"/>
      <c r="AM934" s="1352"/>
      <c r="AN934" s="1352"/>
      <c r="AO934" s="1352"/>
      <c r="AP934" s="1352"/>
      <c r="AQ934" s="1352"/>
      <c r="AR934" s="1352"/>
      <c r="AS934" s="1352"/>
      <c r="AT934" s="523"/>
      <c r="AU934" s="523"/>
      <c r="AV934" s="523"/>
      <c r="AW934" s="523"/>
      <c r="AX934" s="525" t="str">
        <f>'Overview (Verification)'!A62</f>
        <v>Tankless Water Heater:</v>
      </c>
      <c r="AY934" s="685">
        <f>IF(LEN('Overview (Verification)'!P62)=0,0,'Overview (Verification)'!P62)</f>
        <v>0</v>
      </c>
      <c r="AZ934" s="523"/>
      <c r="BA934" s="523"/>
      <c r="BB934" s="523"/>
      <c r="BC934" s="523"/>
      <c r="BD934" s="523"/>
      <c r="BE934" s="523"/>
      <c r="BF934" s="523"/>
      <c r="BG934" s="523"/>
      <c r="BH934" s="523"/>
      <c r="BI934" s="523"/>
    </row>
    <row r="935" spans="1:61" x14ac:dyDescent="0.2">
      <c r="A935" s="1507">
        <v>7</v>
      </c>
      <c r="B935" s="1516" t="s">
        <v>654</v>
      </c>
      <c r="C935" s="1516" t="s">
        <v>254</v>
      </c>
      <c r="D935" s="1516"/>
      <c r="E935" s="1511"/>
      <c r="F935" s="1511"/>
      <c r="G935" s="1509" t="str">
        <f t="shared" si="72"/>
        <v/>
      </c>
      <c r="H935" s="1510" t="s">
        <v>3198</v>
      </c>
      <c r="I935" s="4"/>
      <c r="J935" s="530"/>
      <c r="K935" s="530"/>
      <c r="L935" s="1631"/>
      <c r="M935" s="911"/>
      <c r="N935" s="4"/>
      <c r="O935" s="935"/>
      <c r="P935" s="991"/>
      <c r="Q935" s="991"/>
      <c r="R935" s="1269"/>
      <c r="S935" s="1216"/>
      <c r="T935" s="905"/>
      <c r="U935" s="905"/>
      <c r="V935" s="690"/>
      <c r="W935" s="690" t="s">
        <v>3445</v>
      </c>
      <c r="X935" s="1599"/>
      <c r="Y935" s="1877"/>
      <c r="Z935" s="1880"/>
      <c r="AB935" s="523"/>
      <c r="AC935" s="523"/>
      <c r="AD935" s="523"/>
      <c r="AE935" s="523"/>
      <c r="AF935" s="523"/>
      <c r="AG935" s="523"/>
      <c r="AH935" s="523"/>
      <c r="AI935" s="523"/>
      <c r="AJ935" s="523"/>
      <c r="AK935" s="523"/>
      <c r="AL935" s="1352"/>
      <c r="AM935" s="1352"/>
      <c r="AN935" s="1352"/>
      <c r="AO935" s="1352"/>
      <c r="AP935" s="1352"/>
      <c r="AQ935" s="1352"/>
      <c r="AR935" s="1352"/>
      <c r="AS935" s="1352"/>
      <c r="AT935" s="523"/>
      <c r="AU935" s="523"/>
      <c r="AV935" s="523"/>
      <c r="AW935" s="523"/>
      <c r="AX935" s="525" t="str">
        <f>'Overview (Verification)'!A63</f>
        <v>Composting Toilet:</v>
      </c>
      <c r="AY935" s="685">
        <f>IF(LEN('Overview (Verification)'!P63)=0,0,'Overview (Verification)'!P63)</f>
        <v>0</v>
      </c>
      <c r="AZ935" s="523"/>
      <c r="BA935" s="523"/>
      <c r="BB935" s="523"/>
      <c r="BC935" s="523"/>
      <c r="BD935" s="523"/>
      <c r="BE935" s="523"/>
      <c r="BF935" s="523"/>
      <c r="BG935" s="523"/>
      <c r="BH935" s="523"/>
      <c r="BI935" s="523"/>
    </row>
    <row r="936" spans="1:61" x14ac:dyDescent="0.2">
      <c r="A936" s="1507">
        <v>7</v>
      </c>
      <c r="B936" s="1516" t="s">
        <v>654</v>
      </c>
      <c r="C936" s="1516" t="s">
        <v>2543</v>
      </c>
      <c r="D936" s="1516"/>
      <c r="E936" s="1511"/>
      <c r="F936" s="1511"/>
      <c r="G936" s="1509" t="str">
        <f t="shared" si="72"/>
        <v/>
      </c>
      <c r="H936" s="1510" t="s">
        <v>3198</v>
      </c>
      <c r="I936" s="4"/>
      <c r="J936" s="530"/>
      <c r="K936" s="530"/>
      <c r="L936" s="1631"/>
      <c r="M936" s="911"/>
      <c r="N936" s="4"/>
      <c r="O936" s="935"/>
      <c r="P936" s="991" t="b">
        <v>1</v>
      </c>
      <c r="Q936" s="991" t="b">
        <v>1</v>
      </c>
      <c r="R936" s="1269" t="b">
        <f>AND(S936,NOT(OR(AND(BF890=2,BG890="Dry"),BI890="Tropical",W930=TRUE)))</f>
        <v>0</v>
      </c>
      <c r="S936" s="1219" t="b">
        <f>LEN(W933)=0</f>
        <v>0</v>
      </c>
      <c r="T936" s="991" t="b">
        <f>IF(AND(NOT(S936),LEN(W936)&gt;0),TRUE,FALSE)</f>
        <v>1</v>
      </c>
      <c r="U936" s="905"/>
      <c r="V936" s="690"/>
      <c r="W936" s="336">
        <v>1</v>
      </c>
      <c r="X936" s="1621"/>
      <c r="Y936" s="1875" t="str">
        <f>IF(LEN('11.700'!X62)=0,"None",'11.700'!X62)</f>
        <v>None</v>
      </c>
      <c r="Z936" s="1878"/>
      <c r="AB936" s="523"/>
      <c r="AC936" s="690" t="b">
        <f>OR(AD936:AE936)</f>
        <v>1</v>
      </c>
      <c r="AD936" s="690" t="b">
        <f>T936</f>
        <v>1</v>
      </c>
      <c r="AE936" s="690"/>
      <c r="AF936" s="720"/>
      <c r="AG936" s="523"/>
      <c r="AH936" s="523"/>
      <c r="AI936" s="523"/>
      <c r="AJ936" s="523"/>
      <c r="AK936" s="523"/>
      <c r="AL936" s="1352"/>
      <c r="AM936" s="1352"/>
      <c r="AN936" s="1352"/>
      <c r="AO936" s="1352"/>
      <c r="AP936" s="1352" t="str">
        <f>SUBSTITUTE(SUBSTITUTE(SUBSTITUTE("vch"&amp;$B936&amp;$C936&amp;$D936&amp;$E936&amp;$F936,".","_"),"(","_"),")","")</f>
        <v>vch701_4_3_2e</v>
      </c>
      <c r="AQ936" s="1352">
        <f>IF(LEN(W936)=0,"",W936)</f>
        <v>1</v>
      </c>
      <c r="AR936" s="1352" t="str">
        <f>SUBSTITUTE(SUBSTITUTE(SUBSTITUTE("vnt"&amp;$B936&amp;$C936&amp;$D936&amp;$E936&amp;$F936,".","_"),"(","_"),")","")</f>
        <v>vnt701_4_3_2e</v>
      </c>
      <c r="AS936" s="1352" t="str">
        <f>IF(LEN(X936)=0,"",X936)</f>
        <v/>
      </c>
      <c r="AT936" s="523"/>
      <c r="AU936" s="523"/>
      <c r="AV936" s="523"/>
      <c r="AW936" s="523"/>
      <c r="AZ936" s="523"/>
      <c r="BA936" s="523"/>
      <c r="BB936" s="523"/>
      <c r="BC936" s="523"/>
      <c r="BD936" s="523"/>
      <c r="BE936" s="523"/>
      <c r="BF936" s="523"/>
      <c r="BG936" s="523"/>
      <c r="BH936" s="523"/>
      <c r="BI936" s="523"/>
    </row>
    <row r="937" spans="1:61" x14ac:dyDescent="0.2">
      <c r="A937" s="1507">
        <v>7</v>
      </c>
      <c r="B937" s="1516" t="s">
        <v>654</v>
      </c>
      <c r="C937" s="1516" t="s">
        <v>254</v>
      </c>
      <c r="D937" s="1516"/>
      <c r="E937" s="1511"/>
      <c r="F937" s="1511"/>
      <c r="G937" s="1509" t="str">
        <f t="shared" si="72"/>
        <v/>
      </c>
      <c r="H937" s="1510" t="s">
        <v>3198</v>
      </c>
      <c r="I937" s="4"/>
      <c r="J937" s="530"/>
      <c r="K937" s="530"/>
      <c r="L937" s="1631"/>
      <c r="M937" s="911"/>
      <c r="N937" s="4"/>
      <c r="O937" s="935"/>
      <c r="P937" s="905"/>
      <c r="Q937" s="905"/>
      <c r="R937" s="1269"/>
      <c r="S937" s="905"/>
      <c r="T937" s="905"/>
      <c r="U937" s="905"/>
      <c r="V937" s="523"/>
      <c r="W937" s="523"/>
      <c r="X937" s="1599"/>
      <c r="Y937" s="1877"/>
      <c r="Z937" s="1880"/>
      <c r="AB937" s="523"/>
      <c r="AC937" s="523"/>
      <c r="AD937" s="523"/>
      <c r="AE937" s="523"/>
      <c r="AF937" s="523"/>
      <c r="AG937" s="523"/>
      <c r="AH937" s="523"/>
      <c r="AI937" s="523"/>
      <c r="AJ937" s="523"/>
      <c r="AK937" s="523"/>
      <c r="AL937" s="1352"/>
      <c r="AM937" s="1352"/>
      <c r="AN937" s="1352"/>
      <c r="AO937" s="1352"/>
      <c r="AP937" s="1352"/>
      <c r="AQ937" s="1352"/>
      <c r="AR937" s="1352"/>
      <c r="AS937" s="1352"/>
      <c r="AT937" s="523"/>
      <c r="AU937" s="523"/>
      <c r="AV937" s="523"/>
      <c r="AW937" s="523"/>
      <c r="AX937" s="525" t="str">
        <f>'Overview (Verification)'!A65</f>
        <v>Local Energy Code:</v>
      </c>
      <c r="AY937" s="685" t="str">
        <f>IF(LEN('Overview (Verification)'!P65)=0,0,'Overview (Verification)'!P65)</f>
        <v>2015 IECC</v>
      </c>
      <c r="AZ937" s="523"/>
      <c r="BA937" s="523"/>
      <c r="BB937" s="523"/>
      <c r="BC937" s="523"/>
      <c r="BD937" s="523"/>
      <c r="BE937" s="523"/>
      <c r="BF937" s="523"/>
      <c r="BG937" s="523"/>
      <c r="BH937" s="523"/>
      <c r="BI937" s="523"/>
    </row>
    <row r="938" spans="1:61" x14ac:dyDescent="0.2">
      <c r="A938" s="1515">
        <v>7</v>
      </c>
      <c r="B938" s="1516" t="s">
        <v>654</v>
      </c>
      <c r="C938" s="1516" t="s">
        <v>254</v>
      </c>
      <c r="D938" s="1516"/>
      <c r="E938" s="1511"/>
      <c r="F938" s="1511"/>
      <c r="G938" s="1509" t="str">
        <f t="shared" si="72"/>
        <v/>
      </c>
      <c r="H938" s="1510" t="s">
        <v>3198</v>
      </c>
      <c r="I938"/>
      <c r="J938"/>
      <c r="K938"/>
      <c r="L938" s="1673" t="s">
        <v>4058</v>
      </c>
      <c r="M938" s="911"/>
      <c r="N938" s="4"/>
      <c r="O938" s="935"/>
      <c r="P938" s="905"/>
      <c r="Q938" s="905"/>
      <c r="R938" s="1269"/>
      <c r="S938" s="905"/>
      <c r="T938" s="905"/>
      <c r="U938" s="905"/>
      <c r="V938"/>
      <c r="W938"/>
      <c r="X938"/>
      <c r="Y938"/>
      <c r="Z938"/>
      <c r="AA938"/>
      <c r="AC938"/>
      <c r="AD938"/>
      <c r="AE938"/>
      <c r="AF938"/>
      <c r="AG938"/>
      <c r="AH938"/>
      <c r="AI938"/>
      <c r="AJ938"/>
      <c r="AK938"/>
      <c r="AL938" s="1352"/>
      <c r="AM938" s="1352"/>
      <c r="AN938" s="1352"/>
      <c r="AO938" s="1352"/>
      <c r="AP938" s="1352"/>
      <c r="AQ938" s="1352"/>
      <c r="AR938" s="1352"/>
      <c r="AS938" s="1352"/>
      <c r="AT938"/>
      <c r="AX938" s="525" t="str">
        <f>'Overview (Verification)'!A66</f>
        <v>Local Building Code:</v>
      </c>
      <c r="AY938" s="685" t="str">
        <f>IF(LEN('Overview (Verification)'!P66)=0,0,'Overview (Verification)'!P66)</f>
        <v>2018 IBC</v>
      </c>
    </row>
    <row r="939" spans="1:61" x14ac:dyDescent="0.2">
      <c r="A939" s="1515">
        <v>7</v>
      </c>
      <c r="B939" s="1516" t="s">
        <v>654</v>
      </c>
      <c r="C939" s="1516" t="s">
        <v>254</v>
      </c>
      <c r="D939" s="1516"/>
      <c r="E939" s="1511"/>
      <c r="F939" s="1511"/>
      <c r="G939" s="1509" t="str">
        <f t="shared" si="72"/>
        <v/>
      </c>
      <c r="H939" s="1510" t="s">
        <v>3198</v>
      </c>
      <c r="I939"/>
      <c r="J939"/>
      <c r="K939"/>
      <c r="L939" s="1673"/>
      <c r="M939" s="911"/>
      <c r="N939" s="4"/>
      <c r="O939" s="935"/>
      <c r="P939" s="905"/>
      <c r="Q939" s="905"/>
      <c r="R939" s="1269"/>
      <c r="S939" s="905"/>
      <c r="T939" s="905"/>
      <c r="U939" s="905"/>
      <c r="V939"/>
      <c r="W939"/>
      <c r="X939"/>
      <c r="Y939"/>
      <c r="Z939"/>
      <c r="AA939"/>
      <c r="AC939"/>
      <c r="AD939"/>
      <c r="AE939"/>
      <c r="AF939"/>
      <c r="AG939"/>
      <c r="AH939"/>
      <c r="AI939"/>
      <c r="AJ939"/>
      <c r="AK939"/>
      <c r="AL939" s="1352"/>
      <c r="AM939" s="1352"/>
      <c r="AN939" s="1352"/>
      <c r="AO939" s="1352"/>
      <c r="AP939" s="1352"/>
      <c r="AQ939" s="1352"/>
      <c r="AR939" s="1352"/>
      <c r="AS939" s="1352"/>
      <c r="AT939"/>
    </row>
    <row r="940" spans="1:61" x14ac:dyDescent="0.2">
      <c r="A940" s="1515">
        <v>7</v>
      </c>
      <c r="B940" s="1516" t="s">
        <v>654</v>
      </c>
      <c r="C940" s="1516" t="s">
        <v>254</v>
      </c>
      <c r="D940" s="1516"/>
      <c r="E940" s="1511"/>
      <c r="F940" s="1511"/>
      <c r="G940" s="1509" t="str">
        <f t="shared" si="72"/>
        <v/>
      </c>
      <c r="H940" s="1510" t="s">
        <v>3198</v>
      </c>
      <c r="I940"/>
      <c r="J940"/>
      <c r="K940"/>
      <c r="L940" s="1673"/>
      <c r="M940" s="911"/>
      <c r="N940" s="4"/>
      <c r="O940" s="935"/>
      <c r="P940" s="905"/>
      <c r="Q940" s="905"/>
      <c r="R940" s="1269"/>
      <c r="S940" s="905"/>
      <c r="T940" s="905"/>
      <c r="U940" s="905"/>
      <c r="V940"/>
      <c r="W940"/>
      <c r="X940"/>
      <c r="Y940"/>
      <c r="Z940"/>
      <c r="AA940"/>
      <c r="AC940"/>
      <c r="AD940"/>
      <c r="AE940"/>
      <c r="AF940"/>
      <c r="AG940"/>
      <c r="AH940"/>
      <c r="AI940"/>
      <c r="AJ940"/>
      <c r="AK940"/>
      <c r="AL940" s="1352"/>
      <c r="AM940" s="1352"/>
      <c r="AN940" s="1352"/>
      <c r="AO940" s="1352"/>
      <c r="AP940" s="1352"/>
      <c r="AQ940" s="1352"/>
      <c r="AR940" s="1352"/>
      <c r="AS940" s="1352"/>
      <c r="AT940"/>
    </row>
    <row r="941" spans="1:61" ht="16" x14ac:dyDescent="0.2">
      <c r="A941" s="1507">
        <v>7</v>
      </c>
      <c r="B941" s="1516" t="s">
        <v>654</v>
      </c>
      <c r="C941" s="1516" t="s">
        <v>254</v>
      </c>
      <c r="D941" s="1516" t="s">
        <v>121</v>
      </c>
      <c r="E941" s="1511"/>
      <c r="F941" s="1511"/>
      <c r="G941" s="1509" t="str">
        <f t="shared" si="72"/>
        <v/>
      </c>
      <c r="H941" s="1512" t="s">
        <v>3198</v>
      </c>
      <c r="I941" s="4"/>
      <c r="J941" s="530"/>
      <c r="K941" s="234" t="s">
        <v>121</v>
      </c>
      <c r="L941" s="530" t="s">
        <v>656</v>
      </c>
      <c r="M941" s="911"/>
      <c r="N941" s="4"/>
      <c r="O941" s="935"/>
      <c r="P941" s="905"/>
      <c r="Q941" s="905"/>
      <c r="R941" s="1269"/>
      <c r="S941" s="905"/>
      <c r="T941" s="905"/>
      <c r="U941" s="905"/>
      <c r="V941" s="523"/>
      <c r="W941" s="523"/>
      <c r="X941" s="527"/>
      <c r="Y941" s="536" t="str">
        <f>IF(LEN('11.700'!X67)=0,"None",'11.700'!X67)</f>
        <v>None</v>
      </c>
      <c r="Z941" s="715"/>
      <c r="AB941" s="523"/>
      <c r="AC941" s="523"/>
      <c r="AD941" s="523"/>
      <c r="AE941" s="523"/>
      <c r="AF941" s="523"/>
      <c r="AG941" s="523"/>
      <c r="AH941" s="523"/>
      <c r="AI941" s="523"/>
      <c r="AJ941" s="523"/>
      <c r="AK941" s="523"/>
      <c r="AL941" s="1352"/>
      <c r="AM941" s="1352"/>
      <c r="AN941" s="1352"/>
      <c r="AO941" s="1352"/>
      <c r="AP941" s="1352"/>
      <c r="AQ941" s="1352"/>
      <c r="AR941" s="1352" t="str">
        <f>SUBSTITUTE(SUBSTITUTE(SUBSTITUTE("vnt"&amp;$B941&amp;$C941&amp;$D941&amp;$E941&amp;$F941,".","_"),"(","_"),")","")</f>
        <v>vnt701_4_3_2_1_a</v>
      </c>
      <c r="AS941" s="1352" t="str">
        <f>IF(LEN(X941)=0,"",X941)</f>
        <v/>
      </c>
      <c r="AT941" s="523"/>
      <c r="AU941" s="523"/>
      <c r="AV941" s="523"/>
      <c r="AW941" s="523"/>
      <c r="AX941" s="525"/>
      <c r="AY941" s="685"/>
      <c r="AZ941" s="523"/>
      <c r="BA941" s="523"/>
      <c r="BB941" s="523"/>
      <c r="BC941" s="523"/>
      <c r="BD941" s="523"/>
      <c r="BE941" s="523"/>
      <c r="BF941" s="523"/>
      <c r="BG941" s="523"/>
      <c r="BH941" s="523"/>
      <c r="BI941" s="523"/>
    </row>
    <row r="942" spans="1:61" x14ac:dyDescent="0.2">
      <c r="A942" s="1507">
        <v>7</v>
      </c>
      <c r="B942" s="1516" t="s">
        <v>654</v>
      </c>
      <c r="C942" s="1516" t="s">
        <v>254</v>
      </c>
      <c r="D942" s="1516" t="s">
        <v>122</v>
      </c>
      <c r="E942" s="1511"/>
      <c r="F942" s="1511"/>
      <c r="G942" s="1509" t="str">
        <f t="shared" si="72"/>
        <v/>
      </c>
      <c r="H942" s="1512" t="s">
        <v>3198</v>
      </c>
      <c r="I942" s="4"/>
      <c r="J942" s="530"/>
      <c r="K942" s="234" t="s">
        <v>122</v>
      </c>
      <c r="L942" s="1611" t="s">
        <v>657</v>
      </c>
      <c r="M942" s="911"/>
      <c r="N942" s="4"/>
      <c r="O942" s="935"/>
      <c r="P942" s="905"/>
      <c r="Q942" s="905"/>
      <c r="R942" s="1269"/>
      <c r="S942" s="905"/>
      <c r="T942" s="905"/>
      <c r="U942" s="905"/>
      <c r="V942" s="523"/>
      <c r="W942" s="523"/>
      <c r="X942" s="1600"/>
      <c r="Y942" s="1874" t="str">
        <f>IF(LEN('11.700'!X68)=0,"None",'11.700'!X68)</f>
        <v>None</v>
      </c>
      <c r="Z942" s="1889"/>
      <c r="AB942" s="523"/>
      <c r="AC942" s="523"/>
      <c r="AD942" s="523"/>
      <c r="AE942" s="523"/>
      <c r="AF942" s="523"/>
      <c r="AG942" s="523"/>
      <c r="AH942" s="523"/>
      <c r="AI942" s="523"/>
      <c r="AJ942" s="523"/>
      <c r="AK942" s="523"/>
      <c r="AL942" s="1352"/>
      <c r="AM942" s="1352"/>
      <c r="AN942" s="1352"/>
      <c r="AO942" s="1352"/>
      <c r="AP942" s="1352"/>
      <c r="AQ942" s="1352"/>
      <c r="AR942" s="1352" t="str">
        <f>SUBSTITUTE(SUBSTITUTE(SUBSTITUTE("vnt"&amp;$B942&amp;$C942&amp;$D942&amp;$E942&amp;$F942,".","_"),"(","_"),")","")</f>
        <v>vnt701_4_3_2_1_b</v>
      </c>
      <c r="AS942" s="1352" t="str">
        <f>IF(LEN(X942)=0,"",X942)</f>
        <v/>
      </c>
      <c r="AT942" s="523"/>
      <c r="AU942" s="523"/>
      <c r="AV942" s="523"/>
      <c r="AW942" s="523"/>
      <c r="AZ942" s="523"/>
      <c r="BA942" s="523"/>
      <c r="BB942" s="523"/>
      <c r="BC942" s="523"/>
      <c r="BD942" s="523"/>
      <c r="BE942" s="523"/>
      <c r="BF942" s="523"/>
      <c r="BG942" s="523"/>
      <c r="BH942" s="523"/>
      <c r="BI942" s="523"/>
    </row>
    <row r="943" spans="1:61" x14ac:dyDescent="0.2">
      <c r="A943" s="1507">
        <v>7</v>
      </c>
      <c r="B943" s="1516" t="s">
        <v>654</v>
      </c>
      <c r="C943" s="1516" t="s">
        <v>254</v>
      </c>
      <c r="D943" s="1516" t="s">
        <v>122</v>
      </c>
      <c r="E943" s="1511"/>
      <c r="F943" s="1511"/>
      <c r="G943" s="1509" t="str">
        <f t="shared" si="72"/>
        <v/>
      </c>
      <c r="H943" s="1512" t="s">
        <v>3198</v>
      </c>
      <c r="I943" s="4"/>
      <c r="J943" s="530"/>
      <c r="K943" s="234"/>
      <c r="L943" s="1611"/>
      <c r="M943" s="911"/>
      <c r="N943" s="4"/>
      <c r="O943" s="935"/>
      <c r="P943" s="905"/>
      <c r="Q943" s="905"/>
      <c r="R943" s="1269"/>
      <c r="S943" s="905"/>
      <c r="T943" s="905"/>
      <c r="U943" s="905"/>
      <c r="V943" s="523"/>
      <c r="W943" s="523"/>
      <c r="X943" s="1600"/>
      <c r="Y943" s="1874"/>
      <c r="Z943" s="1889"/>
      <c r="AB943" s="523"/>
      <c r="AC943" s="523"/>
      <c r="AD943" s="523"/>
      <c r="AE943" s="523"/>
      <c r="AF943" s="523"/>
      <c r="AG943" s="523"/>
      <c r="AH943" s="523"/>
      <c r="AI943" s="523"/>
      <c r="AJ943" s="523"/>
      <c r="AK943" s="523"/>
      <c r="AL943" s="1352"/>
      <c r="AM943" s="1352"/>
      <c r="AN943" s="1352"/>
      <c r="AO943" s="1352"/>
      <c r="AP943" s="1352"/>
      <c r="AQ943" s="1352"/>
      <c r="AR943" s="1352"/>
      <c r="AS943" s="1352"/>
      <c r="AT943" s="523"/>
      <c r="AU943" s="523"/>
      <c r="AV943" s="523"/>
      <c r="AW943" s="523"/>
      <c r="AZ943" s="523"/>
      <c r="BA943" s="523"/>
      <c r="BB943" s="523"/>
      <c r="BC943" s="523"/>
      <c r="BD943" s="523"/>
      <c r="BE943" s="523"/>
      <c r="BF943" s="523"/>
      <c r="BG943" s="523"/>
      <c r="BH943" s="523"/>
      <c r="BI943" s="523"/>
    </row>
    <row r="944" spans="1:61" ht="16" x14ac:dyDescent="0.2">
      <c r="A944" s="1507">
        <v>7</v>
      </c>
      <c r="B944" s="1516" t="s">
        <v>654</v>
      </c>
      <c r="C944" s="1516" t="s">
        <v>254</v>
      </c>
      <c r="D944" s="1535" t="s">
        <v>123</v>
      </c>
      <c r="E944" s="1518"/>
      <c r="F944" s="1518"/>
      <c r="G944" s="1509" t="str">
        <f t="shared" si="72"/>
        <v/>
      </c>
      <c r="H944" s="1520" t="s">
        <v>3198</v>
      </c>
      <c r="I944" s="4"/>
      <c r="J944" s="530"/>
      <c r="K944" s="235" t="s">
        <v>123</v>
      </c>
      <c r="L944" s="530" t="s">
        <v>658</v>
      </c>
      <c r="M944" s="911"/>
      <c r="N944" s="4"/>
      <c r="O944" s="935"/>
      <c r="P944" s="905"/>
      <c r="Q944" s="905"/>
      <c r="R944" s="1269"/>
      <c r="S944" s="905"/>
      <c r="T944" s="905"/>
      <c r="U944" s="905"/>
      <c r="V944" s="523"/>
      <c r="W944" s="523"/>
      <c r="X944" s="527"/>
      <c r="Y944" s="536" t="str">
        <f>IF(LEN('11.700'!X70)=0,"None",'11.700'!X70)</f>
        <v>None</v>
      </c>
      <c r="Z944" s="715"/>
      <c r="AB944" s="523"/>
      <c r="AC944" s="523"/>
      <c r="AD944" s="523"/>
      <c r="AE944" s="523"/>
      <c r="AF944" s="523"/>
      <c r="AG944" s="523"/>
      <c r="AH944" s="523"/>
      <c r="AI944" s="523"/>
      <c r="AJ944" s="523"/>
      <c r="AK944" s="523"/>
      <c r="AL944" s="1352"/>
      <c r="AM944" s="1352"/>
      <c r="AN944" s="1352"/>
      <c r="AO944" s="1352"/>
      <c r="AP944" s="1352"/>
      <c r="AQ944" s="1352"/>
      <c r="AR944" s="1352" t="str">
        <f>SUBSTITUTE(SUBSTITUTE(SUBSTITUTE("vnt"&amp;$B944&amp;$C944&amp;$D944&amp;$E944&amp;$F944,".","_"),"(","_"),")","")</f>
        <v>vnt701_4_3_2_1_c</v>
      </c>
      <c r="AS944" s="1352" t="str">
        <f>IF(LEN(X944)=0,"",X944)</f>
        <v/>
      </c>
      <c r="AT944" s="523"/>
      <c r="AU944" s="523"/>
      <c r="AV944" s="523"/>
      <c r="AW944" s="523"/>
      <c r="AZ944" s="523"/>
      <c r="BA944" s="523"/>
      <c r="BB944" s="523"/>
      <c r="BC944" s="523"/>
      <c r="BD944" s="523"/>
      <c r="BE944" s="523"/>
      <c r="BF944" s="523"/>
      <c r="BG944" s="523"/>
      <c r="BH944" s="523"/>
      <c r="BI944" s="523"/>
    </row>
    <row r="945" spans="1:61" x14ac:dyDescent="0.2">
      <c r="A945" s="1507">
        <v>7</v>
      </c>
      <c r="B945" s="1516" t="s">
        <v>654</v>
      </c>
      <c r="C945" s="1516" t="s">
        <v>254</v>
      </c>
      <c r="D945" s="1516" t="s">
        <v>366</v>
      </c>
      <c r="E945" s="1511"/>
      <c r="F945" s="1511"/>
      <c r="G945" s="1509" t="str">
        <f t="shared" si="72"/>
        <v/>
      </c>
      <c r="H945" s="1510" t="s">
        <v>3198</v>
      </c>
      <c r="I945" s="4"/>
      <c r="J945" s="530"/>
      <c r="K945" s="532" t="s">
        <v>366</v>
      </c>
      <c r="L945" s="1611" t="s">
        <v>659</v>
      </c>
      <c r="M945" s="911"/>
      <c r="N945" s="4"/>
      <c r="O945" s="935"/>
      <c r="P945" s="905"/>
      <c r="Q945" s="905"/>
      <c r="R945" s="1269"/>
      <c r="S945" s="905"/>
      <c r="T945" s="905"/>
      <c r="U945" s="905"/>
      <c r="V945" s="523"/>
      <c r="W945" s="523"/>
      <c r="X945" s="1600"/>
      <c r="Y945" s="1874" t="str">
        <f>IF(LEN('11.700'!X71)=0,"None",'11.700'!X71)</f>
        <v>None</v>
      </c>
      <c r="Z945" s="1889"/>
      <c r="AB945" s="523"/>
      <c r="AC945" s="523"/>
      <c r="AD945" s="523"/>
      <c r="AE945" s="523"/>
      <c r="AF945" s="523"/>
      <c r="AG945" s="523"/>
      <c r="AH945" s="523"/>
      <c r="AI945" s="523"/>
      <c r="AJ945" s="523"/>
      <c r="AK945" s="523"/>
      <c r="AL945" s="1352"/>
      <c r="AM945" s="1352"/>
      <c r="AN945" s="1352"/>
      <c r="AO945" s="1352"/>
      <c r="AP945" s="1352"/>
      <c r="AQ945" s="1352"/>
      <c r="AR945" s="1352" t="str">
        <f>SUBSTITUTE(SUBSTITUTE(SUBSTITUTE("vnt"&amp;$B945&amp;$C945&amp;$D945&amp;$E945&amp;$F945,".","_"),"(","_"),")","")</f>
        <v>vnt701_4_3_2_1_d</v>
      </c>
      <c r="AS945" s="1352" t="str">
        <f>IF(LEN(X945)=0,"",X945)</f>
        <v/>
      </c>
      <c r="AT945" s="523"/>
      <c r="AU945" s="523"/>
      <c r="AV945" s="523"/>
      <c r="AW945" s="523"/>
      <c r="AZ945" s="523"/>
      <c r="BA945" s="523"/>
      <c r="BB945" s="523"/>
      <c r="BC945" s="523"/>
      <c r="BD945" s="523"/>
      <c r="BE945" s="523"/>
      <c r="BF945" s="523"/>
      <c r="BG945" s="523"/>
      <c r="BH945" s="523"/>
      <c r="BI945" s="523"/>
    </row>
    <row r="946" spans="1:61" x14ac:dyDescent="0.2">
      <c r="A946" s="1507">
        <v>7</v>
      </c>
      <c r="B946" s="1516" t="s">
        <v>654</v>
      </c>
      <c r="C946" s="1516" t="s">
        <v>254</v>
      </c>
      <c r="D946" s="1516" t="s">
        <v>366</v>
      </c>
      <c r="E946" s="1511"/>
      <c r="F946" s="1511"/>
      <c r="G946" s="1509" t="str">
        <f t="shared" si="72"/>
        <v/>
      </c>
      <c r="H946" s="1510" t="s">
        <v>3198</v>
      </c>
      <c r="I946" s="4"/>
      <c r="J946" s="530"/>
      <c r="K946" s="532"/>
      <c r="L946" s="1611"/>
      <c r="M946" s="911"/>
      <c r="N946" s="4"/>
      <c r="O946" s="935"/>
      <c r="P946" s="905"/>
      <c r="Q946" s="905"/>
      <c r="R946" s="1269"/>
      <c r="S946" s="905"/>
      <c r="T946" s="905"/>
      <c r="U946" s="905"/>
      <c r="V946" s="523"/>
      <c r="W946" s="523"/>
      <c r="X946" s="1600"/>
      <c r="Y946" s="1874"/>
      <c r="Z946" s="1889"/>
      <c r="AB946" s="523"/>
      <c r="AC946" s="523"/>
      <c r="AD946" s="523"/>
      <c r="AE946" s="523"/>
      <c r="AF946" s="523"/>
      <c r="AG946" s="523"/>
      <c r="AH946" s="523"/>
      <c r="AI946" s="523"/>
      <c r="AJ946" s="523"/>
      <c r="AK946" s="523"/>
      <c r="AL946" s="1352"/>
      <c r="AM946" s="1352"/>
      <c r="AN946" s="1352"/>
      <c r="AO946" s="1352"/>
      <c r="AP946" s="1352"/>
      <c r="AQ946" s="1352"/>
      <c r="AR946" s="1352"/>
      <c r="AS946" s="1352"/>
      <c r="AT946" s="523"/>
      <c r="AU946" s="523"/>
      <c r="AV946" s="523"/>
      <c r="AW946" s="523"/>
      <c r="AZ946" s="523"/>
      <c r="BA946" s="523"/>
      <c r="BB946" s="523"/>
      <c r="BC946" s="523"/>
      <c r="BD946" s="523"/>
      <c r="BE946" s="523"/>
      <c r="BF946" s="523"/>
      <c r="BG946" s="523"/>
      <c r="BH946" s="523"/>
      <c r="BI946" s="523"/>
    </row>
    <row r="947" spans="1:61" ht="16" x14ac:dyDescent="0.2">
      <c r="A947" s="1507">
        <v>7</v>
      </c>
      <c r="B947" s="1516" t="s">
        <v>654</v>
      </c>
      <c r="C947" s="1516" t="s">
        <v>254</v>
      </c>
      <c r="D947" s="1516" t="s">
        <v>472</v>
      </c>
      <c r="E947" s="1511"/>
      <c r="F947" s="1511"/>
      <c r="G947" s="1509" t="str">
        <f t="shared" si="72"/>
        <v/>
      </c>
      <c r="H947" s="1510" t="s">
        <v>3198</v>
      </c>
      <c r="I947" s="4"/>
      <c r="J947" s="530"/>
      <c r="K947" s="532" t="s">
        <v>472</v>
      </c>
      <c r="L947" s="530" t="s">
        <v>660</v>
      </c>
      <c r="M947" s="911"/>
      <c r="N947" s="4"/>
      <c r="O947" s="935"/>
      <c r="P947" s="905"/>
      <c r="Q947" s="905"/>
      <c r="R947" s="1269"/>
      <c r="S947" s="905"/>
      <c r="T947" s="905"/>
      <c r="U947" s="905"/>
      <c r="V947" s="523"/>
      <c r="W947" s="523"/>
      <c r="X947" s="527"/>
      <c r="Y947" s="536" t="str">
        <f>IF(LEN('11.700'!X73)=0,"None",'11.700'!X73)</f>
        <v>None</v>
      </c>
      <c r="Z947" s="715"/>
      <c r="AB947" s="523"/>
      <c r="AC947" s="523"/>
      <c r="AD947" s="523"/>
      <c r="AE947" s="523"/>
      <c r="AF947" s="523"/>
      <c r="AG947" s="523"/>
      <c r="AH947" s="523"/>
      <c r="AI947" s="523"/>
      <c r="AJ947" s="523"/>
      <c r="AK947" s="523"/>
      <c r="AL947" s="1352"/>
      <c r="AM947" s="1352"/>
      <c r="AN947" s="1352"/>
      <c r="AO947" s="1352"/>
      <c r="AP947" s="1352"/>
      <c r="AQ947" s="1352"/>
      <c r="AR947" s="1352" t="str">
        <f>SUBSTITUTE(SUBSTITUTE(SUBSTITUTE("vnt"&amp;$B947&amp;$C947&amp;$D947&amp;$E947&amp;$F947,".","_"),"(","_"),")","")</f>
        <v>vnt701_4_3_2_1_e</v>
      </c>
      <c r="AS947" s="1352" t="str">
        <f>IF(LEN(X947)=0,"",X947)</f>
        <v/>
      </c>
      <c r="AT947" s="523"/>
      <c r="AU947" s="523"/>
      <c r="AV947" s="523"/>
      <c r="AW947" s="523"/>
      <c r="AZ947" s="523"/>
      <c r="BA947" s="523"/>
      <c r="BB947" s="523"/>
      <c r="BC947" s="523"/>
      <c r="BD947" s="523"/>
      <c r="BE947" s="523"/>
      <c r="BF947" s="523"/>
      <c r="BG947" s="523"/>
      <c r="BH947" s="523"/>
      <c r="BI947" s="523"/>
    </row>
    <row r="948" spans="1:61" ht="16" x14ac:dyDescent="0.2">
      <c r="A948" s="1507">
        <v>7</v>
      </c>
      <c r="B948" s="1516" t="s">
        <v>654</v>
      </c>
      <c r="C948" s="1516" t="s">
        <v>254</v>
      </c>
      <c r="D948" s="1535" t="s">
        <v>510</v>
      </c>
      <c r="E948" s="1518"/>
      <c r="F948" s="1518"/>
      <c r="G948" s="1509" t="str">
        <f t="shared" si="72"/>
        <v/>
      </c>
      <c r="H948" s="1520" t="s">
        <v>3198</v>
      </c>
      <c r="I948" s="4"/>
      <c r="J948" s="530"/>
      <c r="K948" s="235" t="s">
        <v>510</v>
      </c>
      <c r="L948" s="530" t="s">
        <v>661</v>
      </c>
      <c r="M948" s="911"/>
      <c r="N948" s="4"/>
      <c r="O948" s="935"/>
      <c r="P948" s="905"/>
      <c r="Q948" s="905"/>
      <c r="R948" s="1269"/>
      <c r="S948" s="905"/>
      <c r="T948" s="905"/>
      <c r="U948" s="905"/>
      <c r="V948" s="523"/>
      <c r="W948" s="523"/>
      <c r="X948" s="527"/>
      <c r="Y948" s="536" t="str">
        <f>IF(LEN('11.700'!X74)=0,"None",'11.700'!X74)</f>
        <v>None</v>
      </c>
      <c r="Z948" s="715"/>
      <c r="AB948" s="523"/>
      <c r="AC948" s="523"/>
      <c r="AD948" s="523"/>
      <c r="AE948" s="523"/>
      <c r="AF948" s="523"/>
      <c r="AG948" s="523"/>
      <c r="AH948" s="523"/>
      <c r="AI948" s="523"/>
      <c r="AJ948" s="523"/>
      <c r="AK948" s="523"/>
      <c r="AL948" s="1352"/>
      <c r="AM948" s="1352"/>
      <c r="AN948" s="1352"/>
      <c r="AO948" s="1352"/>
      <c r="AP948" s="1352"/>
      <c r="AQ948" s="1352"/>
      <c r="AR948" s="1352" t="str">
        <f>SUBSTITUTE(SUBSTITUTE(SUBSTITUTE("vnt"&amp;$B948&amp;$C948&amp;$D948&amp;$E948&amp;$F948,".","_"),"(","_"),")","")</f>
        <v>vnt701_4_3_2_1_f</v>
      </c>
      <c r="AS948" s="1352" t="str">
        <f>IF(LEN(X948)=0,"",X948)</f>
        <v/>
      </c>
      <c r="AT948" s="523"/>
      <c r="AU948" s="523"/>
      <c r="AV948" s="523"/>
      <c r="AW948" s="523"/>
      <c r="AX948" s="525"/>
      <c r="AY948" s="685"/>
      <c r="AZ948" s="523"/>
      <c r="BA948" s="523"/>
      <c r="BB948" s="523"/>
      <c r="BC948" s="523"/>
      <c r="BD948" s="523"/>
      <c r="BE948" s="523"/>
      <c r="BF948" s="523"/>
      <c r="BG948" s="523"/>
      <c r="BH948" s="523"/>
      <c r="BI948" s="523"/>
    </row>
    <row r="949" spans="1:61" ht="16" x14ac:dyDescent="0.2">
      <c r="A949" s="1507">
        <v>7</v>
      </c>
      <c r="B949" s="1516" t="s">
        <v>654</v>
      </c>
      <c r="C949" s="1516" t="s">
        <v>254</v>
      </c>
      <c r="D949" s="1516" t="s">
        <v>512</v>
      </c>
      <c r="E949" s="1511"/>
      <c r="F949" s="1511"/>
      <c r="G949" s="1509" t="str">
        <f t="shared" si="72"/>
        <v/>
      </c>
      <c r="H949" s="1510" t="s">
        <v>3198</v>
      </c>
      <c r="I949" s="4"/>
      <c r="J949" s="530"/>
      <c r="K949" s="532" t="s">
        <v>512</v>
      </c>
      <c r="L949" s="530" t="s">
        <v>662</v>
      </c>
      <c r="M949" s="911"/>
      <c r="N949" s="4"/>
      <c r="O949" s="935"/>
      <c r="P949" s="905"/>
      <c r="Q949" s="905"/>
      <c r="R949" s="1269"/>
      <c r="S949" s="905"/>
      <c r="T949" s="905"/>
      <c r="U949" s="905"/>
      <c r="V949" s="523"/>
      <c r="W949" s="523"/>
      <c r="X949" s="527"/>
      <c r="Y949" s="536" t="str">
        <f>IF(LEN('11.700'!X75)=0,"None",'11.700'!X75)</f>
        <v>None</v>
      </c>
      <c r="Z949" s="715"/>
      <c r="AB949" s="523"/>
      <c r="AC949" s="523"/>
      <c r="AD949" s="523"/>
      <c r="AE949" s="523"/>
      <c r="AF949" s="523"/>
      <c r="AG949" s="523"/>
      <c r="AH949" s="523"/>
      <c r="AI949" s="523"/>
      <c r="AJ949" s="523"/>
      <c r="AK949" s="523"/>
      <c r="AL949" s="1352"/>
      <c r="AM949" s="1352"/>
      <c r="AN949" s="1352"/>
      <c r="AO949" s="1352"/>
      <c r="AP949" s="1352"/>
      <c r="AQ949" s="1352"/>
      <c r="AR949" s="1352" t="str">
        <f>SUBSTITUTE(SUBSTITUTE(SUBSTITUTE("vnt"&amp;$B949&amp;$C949&amp;$D949&amp;$E949&amp;$F949,".","_"),"(","_"),")","")</f>
        <v>vnt701_4_3_2_1_g</v>
      </c>
      <c r="AS949" s="1352" t="str">
        <f>IF(LEN(X949)=0,"",X949)</f>
        <v/>
      </c>
      <c r="AT949" s="523"/>
      <c r="AU949" s="523"/>
      <c r="AV949" s="523"/>
      <c r="AW949" s="523"/>
      <c r="AZ949" s="523"/>
      <c r="BA949" s="523"/>
      <c r="BB949" s="523"/>
      <c r="BC949" s="523"/>
      <c r="BD949" s="523"/>
      <c r="BE949" s="523"/>
      <c r="BF949" s="523"/>
      <c r="BG949" s="523"/>
      <c r="BH949" s="523"/>
      <c r="BI949" s="523"/>
    </row>
    <row r="950" spans="1:61" ht="15" customHeight="1" x14ac:dyDescent="0.2">
      <c r="A950" s="1507">
        <v>7</v>
      </c>
      <c r="B950" s="1516" t="s">
        <v>654</v>
      </c>
      <c r="C950" s="1516" t="s">
        <v>254</v>
      </c>
      <c r="D950" s="1516" t="s">
        <v>514</v>
      </c>
      <c r="E950" s="1511"/>
      <c r="F950" s="1511"/>
      <c r="G950" s="1509" t="str">
        <f t="shared" si="72"/>
        <v/>
      </c>
      <c r="H950" s="1510" t="s">
        <v>3198</v>
      </c>
      <c r="I950" s="4"/>
      <c r="J950" s="528"/>
      <c r="K950" s="448"/>
      <c r="L950" s="1730" t="s">
        <v>4059</v>
      </c>
      <c r="M950" s="911"/>
      <c r="N950" s="4"/>
      <c r="O950" s="935"/>
      <c r="P950" s="905"/>
      <c r="Q950" s="905"/>
      <c r="R950" s="1269"/>
      <c r="S950" s="905"/>
      <c r="T950" s="905"/>
      <c r="U950" s="905"/>
      <c r="V950" s="523"/>
      <c r="W950" s="523"/>
      <c r="X950" s="1600"/>
      <c r="Y950" s="1874" t="str">
        <f>IF(LEN('11.700'!X76)=0,"None",'11.700'!X76)</f>
        <v>None</v>
      </c>
      <c r="Z950" s="1889"/>
      <c r="AB950" s="523"/>
      <c r="AC950" s="523"/>
      <c r="AD950" s="523"/>
      <c r="AE950" s="523"/>
      <c r="AF950" s="523"/>
      <c r="AG950" s="523"/>
      <c r="AH950" s="523"/>
      <c r="AI950" s="523"/>
      <c r="AJ950" s="523"/>
      <c r="AK950" s="523"/>
      <c r="AL950" s="1352"/>
      <c r="AM950" s="1352"/>
      <c r="AN950" s="1352"/>
      <c r="AO950" s="1352"/>
      <c r="AP950" s="1352"/>
      <c r="AQ950" s="1352"/>
      <c r="AR950" s="1352" t="str">
        <f>SUBSTITUTE(SUBSTITUTE(SUBSTITUTE("vnt"&amp;$B950&amp;$C950&amp;$D950&amp;$E950&amp;$F950,".","_"),"(","_"),")","")</f>
        <v>vnt701_4_3_2_1_h</v>
      </c>
      <c r="AS950" s="1352" t="str">
        <f>IF(LEN(X950)=0,"",X950)</f>
        <v/>
      </c>
      <c r="AT950" s="523"/>
      <c r="AU950" s="523"/>
      <c r="AV950" s="523"/>
      <c r="AW950" s="523"/>
      <c r="AZ950" s="523"/>
      <c r="BA950" s="523"/>
      <c r="BB950" s="523"/>
      <c r="BC950" s="523"/>
      <c r="BD950" s="523"/>
      <c r="BE950" s="523"/>
      <c r="BF950" s="523"/>
      <c r="BG950" s="523"/>
      <c r="BH950" s="523"/>
      <c r="BI950" s="523"/>
    </row>
    <row r="951" spans="1:61" x14ac:dyDescent="0.2">
      <c r="A951" s="1507">
        <v>7</v>
      </c>
      <c r="B951" s="1516" t="s">
        <v>654</v>
      </c>
      <c r="C951" s="1516" t="s">
        <v>254</v>
      </c>
      <c r="D951" s="1516"/>
      <c r="E951" s="1511"/>
      <c r="F951" s="1511"/>
      <c r="G951" s="1509" t="str">
        <f t="shared" si="72"/>
        <v/>
      </c>
      <c r="H951" s="1510" t="s">
        <v>3198</v>
      </c>
      <c r="I951" s="4"/>
      <c r="J951" s="529"/>
      <c r="K951" s="449"/>
      <c r="L951" s="1731"/>
      <c r="M951" s="911"/>
      <c r="N951" s="4"/>
      <c r="O951" s="935"/>
      <c r="P951" s="905"/>
      <c r="Q951" s="905"/>
      <c r="R951" s="1269"/>
      <c r="S951" s="905"/>
      <c r="T951" s="905"/>
      <c r="U951" s="905"/>
      <c r="V951" s="523"/>
      <c r="W951" s="523"/>
      <c r="X951" s="1600"/>
      <c r="Y951" s="1874"/>
      <c r="Z951" s="1889"/>
      <c r="AB951" s="523"/>
      <c r="AC951" s="523"/>
      <c r="AD951" s="523"/>
      <c r="AE951" s="523"/>
      <c r="AF951" s="523"/>
      <c r="AG951" s="523"/>
      <c r="AH951" s="523"/>
      <c r="AI951" s="523"/>
      <c r="AJ951" s="523"/>
      <c r="AK951" s="523"/>
      <c r="AL951" s="1352"/>
      <c r="AM951" s="1352"/>
      <c r="AN951" s="1352"/>
      <c r="AO951" s="1352"/>
      <c r="AP951" s="1352"/>
      <c r="AQ951" s="1352"/>
      <c r="AR951" s="1352"/>
      <c r="AS951" s="1352"/>
      <c r="AT951" s="523"/>
      <c r="AU951" s="523"/>
      <c r="AV951" s="523"/>
      <c r="AW951" s="523"/>
      <c r="AX951" s="523"/>
      <c r="AY951" s="523"/>
      <c r="AZ951" s="523"/>
      <c r="BA951" s="523"/>
      <c r="BB951" s="523"/>
      <c r="BC951" s="523"/>
      <c r="BD951" s="523"/>
      <c r="BE951" s="523"/>
      <c r="BF951" s="523"/>
      <c r="BG951" s="523"/>
      <c r="BH951" s="523"/>
      <c r="BI951" s="523"/>
    </row>
    <row r="952" spans="1:61" x14ac:dyDescent="0.2">
      <c r="A952" s="1507">
        <v>7</v>
      </c>
      <c r="B952" s="1516" t="s">
        <v>654</v>
      </c>
      <c r="C952" s="1516" t="s">
        <v>255</v>
      </c>
      <c r="D952" s="1516"/>
      <c r="E952" s="1511"/>
      <c r="F952" s="1511"/>
      <c r="G952" s="1509" t="str">
        <f t="shared" si="72"/>
        <v/>
      </c>
      <c r="H952" s="1510" t="s">
        <v>3198</v>
      </c>
      <c r="I952" s="129"/>
      <c r="J952" s="436" t="s">
        <v>255</v>
      </c>
      <c r="K952" s="528"/>
      <c r="L952" s="1629" t="s">
        <v>3854</v>
      </c>
      <c r="M952" s="913"/>
      <c r="N952" s="129"/>
      <c r="O952" s="908"/>
      <c r="P952" s="991" t="b">
        <v>1</v>
      </c>
      <c r="Q952" s="991" t="b">
        <v>1</v>
      </c>
      <c r="R952" s="1273" t="b">
        <f>AND(S952,NOT(W930=TRUE))</f>
        <v>1</v>
      </c>
      <c r="S952" s="724" t="b">
        <f>AND(NOT(W912),NOT(W930))</f>
        <v>1</v>
      </c>
      <c r="T952" s="991" t="b">
        <f>AND(NOT(S952),W952=TRUE)</f>
        <v>0</v>
      </c>
      <c r="U952" s="991"/>
      <c r="V952" s="96"/>
      <c r="W952" s="27" t="b">
        <v>1</v>
      </c>
      <c r="X952" s="1601"/>
      <c r="Y952" s="1874" t="str">
        <f>IF(LEN('11.700'!X78)=0,"None",'11.700'!X78)</f>
        <v>None</v>
      </c>
      <c r="Z952" s="1889"/>
      <c r="AB952" s="523"/>
      <c r="AC952" s="523" t="b">
        <f>OR(AD952:AE952)</f>
        <v>0</v>
      </c>
      <c r="AD952" s="523" t="b">
        <f>T952</f>
        <v>0</v>
      </c>
      <c r="AE952" s="523" t="b">
        <f>AND(R952,NOT(W952))</f>
        <v>0</v>
      </c>
      <c r="AF952" s="720" t="b">
        <f>AND(AE952,NOT(Q952))</f>
        <v>0</v>
      </c>
      <c r="AG952" s="523"/>
      <c r="AH952" s="523"/>
      <c r="AI952" s="523"/>
      <c r="AJ952" s="523"/>
      <c r="AK952" s="523"/>
      <c r="AL952" s="1352"/>
      <c r="AM952" s="1352"/>
      <c r="AN952" s="1352"/>
      <c r="AO952" s="1352"/>
      <c r="AP952" s="1352" t="str">
        <f>SUBSTITUTE(SUBSTITUTE(SUBSTITUTE("vch"&amp;$B952&amp;$C952&amp;$D952&amp;$E952&amp;$F952,".","_"),"(","_"),")","")</f>
        <v>vch701_4_3_2_2</v>
      </c>
      <c r="AQ952" s="1352" t="b">
        <f>IF(LEN(W952)=0,"",W952)</f>
        <v>1</v>
      </c>
      <c r="AR952" s="1352" t="str">
        <f>SUBSTITUTE(SUBSTITUTE(SUBSTITUTE("vnt"&amp;$B952&amp;$C952&amp;$D952&amp;$E952&amp;$F952,".","_"),"(","_"),")","")</f>
        <v>vnt701_4_3_2_2</v>
      </c>
      <c r="AS952" s="1352" t="str">
        <f>IF(LEN(X952)=0,"",X952)</f>
        <v/>
      </c>
      <c r="AT952" s="523"/>
      <c r="AU952" s="523"/>
      <c r="AV952" s="523"/>
      <c r="AW952" s="523"/>
      <c r="AX952" s="523"/>
      <c r="AY952" s="523"/>
      <c r="AZ952" s="523"/>
      <c r="BA952" s="523"/>
      <c r="BB952" s="523"/>
      <c r="BC952" s="523"/>
      <c r="BD952" s="523"/>
      <c r="BE952" s="523"/>
      <c r="BF952" s="523"/>
      <c r="BG952" s="523"/>
      <c r="BH952" s="523"/>
      <c r="BI952" s="523"/>
    </row>
    <row r="953" spans="1:61" x14ac:dyDescent="0.2">
      <c r="A953" s="1507">
        <v>7</v>
      </c>
      <c r="B953" s="1516" t="s">
        <v>654</v>
      </c>
      <c r="C953" s="1516" t="s">
        <v>255</v>
      </c>
      <c r="D953" s="1516"/>
      <c r="E953" s="1511"/>
      <c r="F953" s="1511"/>
      <c r="G953" s="1509" t="str">
        <f t="shared" si="72"/>
        <v/>
      </c>
      <c r="H953" s="1510" t="s">
        <v>3198</v>
      </c>
      <c r="I953" s="129"/>
      <c r="J953" s="528"/>
      <c r="K953" s="528"/>
      <c r="L953" s="1629"/>
      <c r="M953" s="913"/>
      <c r="N953" s="129"/>
      <c r="O953" s="908"/>
      <c r="P953" s="991"/>
      <c r="Q953" s="991"/>
      <c r="R953" s="1273"/>
      <c r="S953" s="991"/>
      <c r="T953" s="991"/>
      <c r="U953" s="991"/>
      <c r="V953" s="96"/>
      <c r="W953" s="96"/>
      <c r="X953" s="1601"/>
      <c r="Y953" s="1874"/>
      <c r="Z953" s="1889"/>
      <c r="AB953" s="523"/>
      <c r="AC953" s="523"/>
      <c r="AD953" s="523"/>
      <c r="AE953" s="523"/>
      <c r="AF953" s="523"/>
      <c r="AG953" s="523"/>
      <c r="AH953" s="523"/>
      <c r="AI953" s="523"/>
      <c r="AJ953" s="523"/>
      <c r="AK953" s="523"/>
      <c r="AL953" s="1352"/>
      <c r="AM953" s="1352"/>
      <c r="AN953" s="1352"/>
      <c r="AO953" s="1352"/>
      <c r="AP953" s="1352"/>
      <c r="AQ953" s="1352"/>
      <c r="AR953" s="1352"/>
      <c r="AS953" s="1352"/>
      <c r="AT953" s="523"/>
      <c r="AU953" s="523"/>
      <c r="AV953" s="523"/>
      <c r="AW953" s="523"/>
      <c r="AX953" s="523"/>
      <c r="AY953" s="523"/>
      <c r="AZ953" s="523"/>
      <c r="BA953" s="523"/>
      <c r="BB953" s="523"/>
      <c r="BC953" s="523"/>
      <c r="BD953" s="523"/>
      <c r="BE953" s="523"/>
      <c r="BF953" s="523"/>
      <c r="BG953" s="523"/>
      <c r="BH953" s="523"/>
      <c r="BI953" s="523"/>
    </row>
    <row r="954" spans="1:61" x14ac:dyDescent="0.2">
      <c r="A954" s="1507">
        <v>7</v>
      </c>
      <c r="B954" s="1516" t="s">
        <v>654</v>
      </c>
      <c r="C954" s="1516" t="s">
        <v>255</v>
      </c>
      <c r="D954" s="1516"/>
      <c r="E954" s="1511"/>
      <c r="F954" s="1511"/>
      <c r="G954" s="1509" t="str">
        <f t="shared" si="72"/>
        <v/>
      </c>
      <c r="H954" s="1510" t="s">
        <v>3198</v>
      </c>
      <c r="I954" s="213"/>
      <c r="J954" s="529"/>
      <c r="K954" s="529"/>
      <c r="L954" s="441" t="s">
        <v>3855</v>
      </c>
      <c r="M954" s="937"/>
      <c r="N954" s="213"/>
      <c r="O954" s="909"/>
      <c r="P954" s="173"/>
      <c r="Q954" s="173"/>
      <c r="R954" s="173"/>
      <c r="S954" s="173"/>
      <c r="T954" s="173"/>
      <c r="U954" s="173"/>
      <c r="V954" s="173"/>
      <c r="W954" s="173"/>
      <c r="X954" s="1601"/>
      <c r="Y954" s="1874"/>
      <c r="Z954" s="1889"/>
      <c r="AB954" s="523"/>
      <c r="AC954" s="523"/>
      <c r="AD954" s="523"/>
      <c r="AE954" s="523"/>
      <c r="AF954" s="523"/>
      <c r="AG954" s="523"/>
      <c r="AH954" s="523"/>
      <c r="AI954" s="523"/>
      <c r="AJ954" s="523"/>
      <c r="AK954" s="523"/>
      <c r="AL954" s="1352"/>
      <c r="AM954" s="1352"/>
      <c r="AN954" s="1352"/>
      <c r="AO954" s="1352"/>
      <c r="AP954" s="1352"/>
      <c r="AQ954" s="1352"/>
      <c r="AR954" s="1352"/>
      <c r="AS954" s="1352"/>
      <c r="AT954" s="523"/>
      <c r="AU954" s="523"/>
      <c r="AV954" s="523"/>
      <c r="AW954" s="523"/>
      <c r="AX954" s="523"/>
      <c r="AY954" s="523"/>
      <c r="AZ954" s="523"/>
      <c r="BA954" s="523"/>
      <c r="BB954" s="523"/>
      <c r="BC954" s="523"/>
      <c r="BD954" s="523"/>
      <c r="BE954" s="523"/>
      <c r="BF954" s="523"/>
      <c r="BG954" s="523"/>
      <c r="BH954" s="523"/>
      <c r="BI954" s="523"/>
    </row>
    <row r="955" spans="1:61" x14ac:dyDescent="0.2">
      <c r="A955" s="1507">
        <v>7</v>
      </c>
      <c r="B955" s="1516" t="s">
        <v>663</v>
      </c>
      <c r="C955" s="1516"/>
      <c r="D955" s="1516"/>
      <c r="E955" s="1516"/>
      <c r="F955" s="1511"/>
      <c r="G955" s="1509" t="str">
        <f>IF(IFERROR(SEARCH("Mandatory",M955),FALSE),"P","")</f>
        <v>P</v>
      </c>
      <c r="H955" s="1510" t="s">
        <v>3198</v>
      </c>
      <c r="I955" s="69" t="s">
        <v>3649</v>
      </c>
      <c r="J955" s="530"/>
      <c r="K955" s="530"/>
      <c r="L955" s="1699" t="s">
        <v>4060</v>
      </c>
      <c r="M955" s="948" t="str">
        <f>IF(R955,"Mandatory","N/A")</f>
        <v>Mandatory</v>
      </c>
      <c r="N955" s="4"/>
      <c r="O955" s="935"/>
      <c r="P955" s="991" t="b">
        <v>1</v>
      </c>
      <c r="Q955" s="991" t="b">
        <v>0</v>
      </c>
      <c r="R955" s="1269" t="b">
        <f>AND(S955,NOT(W930=TRUE))</f>
        <v>1</v>
      </c>
      <c r="S955" s="722" t="b">
        <f>NOT(W912)</f>
        <v>1</v>
      </c>
      <c r="T955" s="991" t="b">
        <f>AND(NOT(S955),W955=TRUE)</f>
        <v>0</v>
      </c>
      <c r="U955" s="905"/>
      <c r="V955" s="523"/>
      <c r="W955" s="27" t="b">
        <v>1</v>
      </c>
      <c r="X955" s="1600"/>
      <c r="Y955" s="1874" t="str">
        <f>IF(LEN('11.700'!X81)=0,"None",'11.700'!X81)</f>
        <v>None</v>
      </c>
      <c r="Z955" s="1874"/>
      <c r="AB955" s="523"/>
      <c r="AC955" s="523" t="b">
        <f>OR(AD955:AE955)</f>
        <v>0</v>
      </c>
      <c r="AD955" s="523" t="b">
        <f>T955</f>
        <v>0</v>
      </c>
      <c r="AE955" s="523" t="b">
        <f>AND(R955,NOT(W955))</f>
        <v>0</v>
      </c>
      <c r="AF955" s="720" t="b">
        <f>AND(AE955,NOT(Q955))</f>
        <v>0</v>
      </c>
      <c r="AG955" s="523"/>
      <c r="AH955" s="523"/>
      <c r="AI955" s="523"/>
      <c r="AJ955" s="523"/>
      <c r="AK955" s="523"/>
      <c r="AL955" s="1352" t="str">
        <f>SUBSTITUTE(SUBSTITUTE(SUBSTITUTE("vpa"&amp;$B955&amp;$C955&amp;$D955&amp;$E955&amp;$F955,".","_"),"(","_"),")","")</f>
        <v>vpa701_4_3_2_1</v>
      </c>
      <c r="AM955" s="1352" t="str">
        <f>M955</f>
        <v>Mandatory</v>
      </c>
      <c r="AN955" s="1352"/>
      <c r="AO955" s="1352"/>
      <c r="AP955" s="1352" t="str">
        <f>SUBSTITUTE(SUBSTITUTE(SUBSTITUTE("vch"&amp;$B955&amp;$C955&amp;$D955&amp;$E955&amp;$F955,".","_"),"(","_"),")","")</f>
        <v>vch701_4_3_2_1</v>
      </c>
      <c r="AQ955" s="1352" t="b">
        <f>IF(LEN(W955)=0,"",W955)</f>
        <v>1</v>
      </c>
      <c r="AR955" s="1352" t="str">
        <f>SUBSTITUTE(SUBSTITUTE(SUBSTITUTE("vnt"&amp;$B955&amp;$C955&amp;$D955&amp;$E955&amp;$F955,".","_"),"(","_"),")","")</f>
        <v>vnt701_4_3_2_1</v>
      </c>
      <c r="AS955" s="1352" t="str">
        <f>IF(LEN(X955)=0,"",X955)</f>
        <v/>
      </c>
      <c r="AT955" s="523"/>
      <c r="AU955" s="523"/>
      <c r="AV955" s="523"/>
      <c r="AW955" s="523"/>
      <c r="AX955" s="523"/>
      <c r="AY955" s="523"/>
      <c r="AZ955" s="523"/>
      <c r="BA955" s="523"/>
      <c r="BB955" s="523"/>
      <c r="BC955" s="523"/>
      <c r="BD955" s="523"/>
      <c r="BE955" s="523"/>
      <c r="BF955" s="523"/>
      <c r="BG955" s="523"/>
      <c r="BH955" s="523"/>
      <c r="BI955" s="523"/>
    </row>
    <row r="956" spans="1:61" x14ac:dyDescent="0.2">
      <c r="A956" s="1507">
        <v>7</v>
      </c>
      <c r="B956" s="1516" t="s">
        <v>663</v>
      </c>
      <c r="C956" s="1516"/>
      <c r="D956" s="1516"/>
      <c r="E956" s="1516"/>
      <c r="F956" s="1511"/>
      <c r="G956" s="1509" t="str">
        <f t="shared" ref="G956:G977" si="73">G955</f>
        <v>P</v>
      </c>
      <c r="H956" s="1512" t="s">
        <v>3198</v>
      </c>
      <c r="I956" s="4"/>
      <c r="J956"/>
      <c r="K956"/>
      <c r="L956" s="1700"/>
      <c r="M956" s="911"/>
      <c r="N956" s="4"/>
      <c r="O956" s="935"/>
      <c r="P956" s="905"/>
      <c r="Q956" s="905"/>
      <c r="R956" s="905"/>
      <c r="S956" s="905"/>
      <c r="T956" s="905"/>
      <c r="U956" s="905"/>
      <c r="V956" s="523"/>
      <c r="W956" s="523"/>
      <c r="X956" s="1600"/>
      <c r="Y956" s="1874"/>
      <c r="Z956" s="1874"/>
      <c r="AB956" s="523"/>
      <c r="AC956" s="523"/>
      <c r="AD956" s="523"/>
      <c r="AE956" s="523"/>
      <c r="AF956" s="523"/>
      <c r="AG956" s="523"/>
      <c r="AH956" s="523"/>
      <c r="AI956" s="523"/>
      <c r="AJ956" s="523"/>
      <c r="AK956" s="523"/>
      <c r="AL956" s="1352"/>
      <c r="AM956" s="1352"/>
      <c r="AN956" s="1352"/>
      <c r="AO956" s="1352"/>
      <c r="AP956" s="1352"/>
      <c r="AQ956" s="1352"/>
      <c r="AR956" s="1352"/>
      <c r="AS956" s="1352"/>
      <c r="AT956" s="523"/>
      <c r="AU956" s="523"/>
      <c r="AV956" s="523"/>
      <c r="AW956" s="523"/>
      <c r="AX956" s="523"/>
      <c r="AY956" s="523"/>
      <c r="AZ956" s="523"/>
      <c r="BA956" s="523"/>
      <c r="BB956" s="523"/>
      <c r="BC956" s="523"/>
      <c r="BD956" s="523"/>
      <c r="BE956" s="523"/>
      <c r="BF956" s="523"/>
      <c r="BG956" s="523"/>
      <c r="BH956" s="523"/>
      <c r="BI956" s="523"/>
    </row>
    <row r="957" spans="1:61" x14ac:dyDescent="0.2">
      <c r="A957" s="1507">
        <v>7</v>
      </c>
      <c r="B957" s="1516" t="s">
        <v>663</v>
      </c>
      <c r="C957" s="1516"/>
      <c r="D957" s="1516"/>
      <c r="E957" s="1516"/>
      <c r="F957" s="1511"/>
      <c r="G957" s="1509" t="str">
        <f t="shared" si="73"/>
        <v>P</v>
      </c>
      <c r="H957" s="1512" t="s">
        <v>3198</v>
      </c>
      <c r="I957" s="4"/>
      <c r="J957"/>
      <c r="K957"/>
      <c r="L957" s="1700"/>
      <c r="M957" s="911"/>
      <c r="N957" s="4"/>
      <c r="O957" s="935"/>
      <c r="P957" s="905"/>
      <c r="Q957" s="905"/>
      <c r="R957" s="905"/>
      <c r="S957" s="905"/>
      <c r="T957" s="905"/>
      <c r="U957" s="905"/>
      <c r="V957" s="523"/>
      <c r="W957" s="523"/>
      <c r="X957" s="1600"/>
      <c r="Y957" s="1874"/>
      <c r="Z957" s="1874"/>
      <c r="AB957" s="523"/>
      <c r="AC957" s="523"/>
      <c r="AD957" s="523"/>
      <c r="AE957" s="523"/>
      <c r="AF957" s="523"/>
      <c r="AG957" s="523"/>
      <c r="AH957" s="523"/>
      <c r="AI957" s="523"/>
      <c r="AJ957" s="523"/>
      <c r="AK957" s="523"/>
      <c r="AL957" s="1352"/>
      <c r="AM957" s="1352"/>
      <c r="AN957" s="1352"/>
      <c r="AO957" s="1352"/>
      <c r="AP957" s="1352"/>
      <c r="AQ957" s="1352"/>
      <c r="AR957" s="1352"/>
      <c r="AS957" s="1352"/>
      <c r="AT957" s="523"/>
      <c r="AU957" s="523"/>
      <c r="AV957" s="523"/>
      <c r="AW957" s="523"/>
      <c r="AX957" s="523"/>
      <c r="AY957" s="523"/>
      <c r="AZ957" s="523"/>
      <c r="BA957" s="523"/>
      <c r="BB957" s="523"/>
      <c r="BC957" s="523"/>
      <c r="BD957" s="523"/>
      <c r="BE957" s="523"/>
      <c r="BF957" s="523"/>
      <c r="BG957" s="523"/>
      <c r="BH957" s="523"/>
      <c r="BI957" s="523"/>
    </row>
    <row r="958" spans="1:61" x14ac:dyDescent="0.2">
      <c r="A958" s="1507">
        <v>7</v>
      </c>
      <c r="B958" s="1516" t="s">
        <v>663</v>
      </c>
      <c r="C958" s="1516"/>
      <c r="D958" s="1516"/>
      <c r="E958" s="1516"/>
      <c r="F958" s="1511"/>
      <c r="G958" s="1509" t="str">
        <f t="shared" si="73"/>
        <v>P</v>
      </c>
      <c r="H958" s="1512" t="s">
        <v>3198</v>
      </c>
      <c r="I958" s="4"/>
      <c r="J958" s="444"/>
      <c r="K958" s="529"/>
      <c r="L958" s="1729"/>
      <c r="M958" s="911"/>
      <c r="N958" s="4"/>
      <c r="O958" s="935"/>
      <c r="P958" s="905"/>
      <c r="Q958" s="905"/>
      <c r="R958" s="905"/>
      <c r="S958" s="905"/>
      <c r="T958" s="905"/>
      <c r="U958" s="905"/>
      <c r="V958" s="523"/>
      <c r="W958" s="523"/>
      <c r="X958" s="1600"/>
      <c r="Y958" s="1874"/>
      <c r="Z958" s="1874"/>
      <c r="AB958" s="523"/>
      <c r="AC958" s="523"/>
      <c r="AD958" s="523"/>
      <c r="AE958" s="523"/>
      <c r="AF958" s="523"/>
      <c r="AG958" s="523"/>
      <c r="AH958" s="523"/>
      <c r="AI958" s="523"/>
      <c r="AJ958" s="523"/>
      <c r="AK958" s="523"/>
      <c r="AL958" s="1352"/>
      <c r="AM958" s="1352"/>
      <c r="AN958" s="1352"/>
      <c r="AO958" s="1352"/>
      <c r="AP958" s="1352"/>
      <c r="AQ958" s="1352"/>
      <c r="AR958" s="1352"/>
      <c r="AS958" s="1352"/>
      <c r="AT958" s="523"/>
      <c r="AU958" s="523"/>
      <c r="AV958" s="523"/>
      <c r="AW958" s="523"/>
      <c r="AX958" s="523"/>
      <c r="AY958" s="523"/>
      <c r="AZ958" s="523"/>
      <c r="BA958" s="523"/>
      <c r="BB958" s="523"/>
      <c r="BC958" s="523"/>
      <c r="BD958" s="523"/>
      <c r="BE958" s="523"/>
      <c r="BF958" s="523"/>
      <c r="BG958" s="523"/>
      <c r="BH958" s="523"/>
      <c r="BI958" s="523"/>
    </row>
    <row r="959" spans="1:61" ht="16" x14ac:dyDescent="0.2">
      <c r="A959" s="1507">
        <v>7</v>
      </c>
      <c r="B959" s="1516" t="s">
        <v>663</v>
      </c>
      <c r="C959" s="1516" t="s">
        <v>254</v>
      </c>
      <c r="D959" s="1516"/>
      <c r="E959" s="1516"/>
      <c r="F959" s="1511"/>
      <c r="G959" s="1509" t="str">
        <f t="shared" si="73"/>
        <v>P</v>
      </c>
      <c r="H959" s="1512" t="s">
        <v>3198</v>
      </c>
      <c r="I959" s="4"/>
      <c r="J959" s="451" t="s">
        <v>254</v>
      </c>
      <c r="K959" s="311"/>
      <c r="L959" s="311" t="s">
        <v>664</v>
      </c>
      <c r="M959" s="911"/>
      <c r="N959" s="4"/>
      <c r="O959" s="935"/>
      <c r="P959" s="905"/>
      <c r="Q959" s="905"/>
      <c r="R959" s="905"/>
      <c r="S959" s="905"/>
      <c r="T959" s="905"/>
      <c r="U959" s="905"/>
      <c r="V959" s="523"/>
      <c r="W959" s="523"/>
      <c r="X959" s="527"/>
      <c r="Y959" s="536" t="str">
        <f>IF(LEN('11.700'!X85)=0,"None",'11.700'!X85)</f>
        <v>None</v>
      </c>
      <c r="Z959" s="715"/>
      <c r="AB959" s="523"/>
      <c r="AC959" s="523"/>
      <c r="AD959" s="523"/>
      <c r="AE959" s="523"/>
      <c r="AF959" s="523"/>
      <c r="AG959" s="523"/>
      <c r="AH959" s="523"/>
      <c r="AI959" s="523"/>
      <c r="AJ959" s="523"/>
      <c r="AK959" s="523"/>
      <c r="AL959" s="1352"/>
      <c r="AM959" s="1352"/>
      <c r="AN959" s="1352"/>
      <c r="AO959" s="1352"/>
      <c r="AP959" s="1352"/>
      <c r="AQ959" s="1352"/>
      <c r="AR959" s="1352" t="str">
        <f>SUBSTITUTE(SUBSTITUTE(SUBSTITUTE("vnt"&amp;$B959&amp;$C959&amp;$D959&amp;$E959&amp;$F959,".","_"),"(","_"),")","")</f>
        <v>vnt701_4_3_2_1_1</v>
      </c>
      <c r="AS959" s="1352" t="str">
        <f>IF(LEN(X959)=0,"",X959)</f>
        <v/>
      </c>
      <c r="AT959" s="523"/>
      <c r="AU959" s="523"/>
      <c r="AV959" s="523"/>
      <c r="AW959" s="523"/>
      <c r="AX959" s="523"/>
      <c r="AY959" s="523"/>
      <c r="AZ959" s="523"/>
      <c r="BA959" s="523"/>
      <c r="BB959" s="523"/>
      <c r="BC959" s="523"/>
      <c r="BD959" s="523"/>
      <c r="BE959" s="523"/>
      <c r="BF959" s="523"/>
      <c r="BG959" s="523"/>
      <c r="BH959" s="523"/>
      <c r="BI959" s="523"/>
    </row>
    <row r="960" spans="1:61" ht="15" customHeight="1" x14ac:dyDescent="0.2">
      <c r="A960" s="1507">
        <v>7</v>
      </c>
      <c r="B960" s="1516" t="s">
        <v>663</v>
      </c>
      <c r="C960" s="1516" t="s">
        <v>255</v>
      </c>
      <c r="D960" s="1516"/>
      <c r="E960" s="1516"/>
      <c r="F960" s="1511"/>
      <c r="G960" s="1509" t="str">
        <f t="shared" si="73"/>
        <v>P</v>
      </c>
      <c r="H960" s="1512" t="s">
        <v>3198</v>
      </c>
      <c r="I960" s="4"/>
      <c r="J960" s="450" t="s">
        <v>255</v>
      </c>
      <c r="K960" s="944"/>
      <c r="L960" s="1613" t="s">
        <v>665</v>
      </c>
      <c r="M960" s="911"/>
      <c r="N960" s="4"/>
      <c r="O960" s="935"/>
      <c r="P960" s="905"/>
      <c r="Q960" s="905"/>
      <c r="R960" s="905"/>
      <c r="S960" s="905"/>
      <c r="T960" s="905"/>
      <c r="U960" s="905"/>
      <c r="V960" s="523"/>
      <c r="W960" s="523"/>
      <c r="X960" s="1600"/>
      <c r="Y960" s="1874" t="str">
        <f>IF(LEN('11.700'!X86)=0,"None",'11.700'!X86)</f>
        <v>None</v>
      </c>
      <c r="Z960" s="1889"/>
      <c r="AB960" s="523"/>
      <c r="AC960" s="523"/>
      <c r="AD960" s="523"/>
      <c r="AE960" s="523"/>
      <c r="AF960" s="523"/>
      <c r="AG960" s="523"/>
      <c r="AH960" s="523"/>
      <c r="AI960" s="523"/>
      <c r="AJ960" s="523"/>
      <c r="AK960" s="523"/>
      <c r="AL960" s="1352"/>
      <c r="AM960" s="1352"/>
      <c r="AN960" s="1352"/>
      <c r="AO960" s="1352"/>
      <c r="AP960" s="1352"/>
      <c r="AQ960" s="1352"/>
      <c r="AR960" s="1352" t="str">
        <f>SUBSTITUTE(SUBSTITUTE(SUBSTITUTE("vnt"&amp;$B960&amp;$C960&amp;$D960&amp;$E960&amp;$F960,".","_"),"(","_"),")","")</f>
        <v>vnt701_4_3_2_1_2</v>
      </c>
      <c r="AS960" s="1352" t="str">
        <f>IF(LEN(X960)=0,"",X960)</f>
        <v/>
      </c>
      <c r="AT960" s="523"/>
      <c r="AU960" s="523"/>
      <c r="AV960" s="523"/>
      <c r="AW960" s="523"/>
      <c r="AX960" s="523"/>
      <c r="AY960" s="523"/>
      <c r="AZ960" s="523"/>
      <c r="BA960" s="523"/>
      <c r="BB960" s="523"/>
      <c r="BC960" s="523"/>
      <c r="BD960" s="523"/>
      <c r="BE960" s="523"/>
      <c r="BF960" s="523"/>
      <c r="BG960" s="523"/>
      <c r="BH960" s="523"/>
      <c r="BI960" s="523"/>
    </row>
    <row r="961" spans="1:61" x14ac:dyDescent="0.2">
      <c r="A961" s="1507">
        <v>7</v>
      </c>
      <c r="B961" s="1516" t="s">
        <v>663</v>
      </c>
      <c r="C961" s="1516" t="s">
        <v>255</v>
      </c>
      <c r="D961" s="1516"/>
      <c r="E961" s="1516"/>
      <c r="F961" s="1511"/>
      <c r="G961" s="1509" t="str">
        <f t="shared" si="73"/>
        <v>P</v>
      </c>
      <c r="H961" s="1512" t="s">
        <v>3198</v>
      </c>
      <c r="I961" s="4"/>
      <c r="J961" s="436"/>
      <c r="K961" s="928"/>
      <c r="L961" s="1609"/>
      <c r="M961" s="911"/>
      <c r="N961" s="4"/>
      <c r="O961" s="935"/>
      <c r="P961" s="905"/>
      <c r="Q961" s="905"/>
      <c r="R961" s="905"/>
      <c r="S961" s="905"/>
      <c r="T961" s="905"/>
      <c r="U961" s="905"/>
      <c r="V961" s="523"/>
      <c r="W961" s="523"/>
      <c r="X961" s="1600"/>
      <c r="Y961" s="1874"/>
      <c r="Z961" s="1889"/>
      <c r="AB961" s="523"/>
      <c r="AC961" s="523"/>
      <c r="AD961" s="523"/>
      <c r="AE961" s="523"/>
      <c r="AF961" s="523"/>
      <c r="AG961" s="523"/>
      <c r="AH961" s="523"/>
      <c r="AI961" s="523"/>
      <c r="AJ961" s="523"/>
      <c r="AK961" s="523"/>
      <c r="AL961" s="1352"/>
      <c r="AM961" s="1352"/>
      <c r="AN961" s="1352"/>
      <c r="AO961" s="1352"/>
      <c r="AP961" s="1352"/>
      <c r="AQ961" s="1352"/>
      <c r="AR961" s="1352"/>
      <c r="AS961" s="1352"/>
      <c r="AT961" s="523"/>
      <c r="AU961" s="523"/>
      <c r="AV961" s="523"/>
      <c r="AW961" s="523"/>
      <c r="AX961" s="523"/>
      <c r="AY961" s="523"/>
      <c r="AZ961" s="523"/>
      <c r="BA961" s="523"/>
      <c r="BB961" s="523"/>
      <c r="BC961" s="523"/>
      <c r="BD961" s="523"/>
      <c r="BE961" s="523"/>
      <c r="BF961" s="523"/>
      <c r="BG961" s="523"/>
      <c r="BH961" s="523"/>
      <c r="BI961" s="523"/>
    </row>
    <row r="962" spans="1:61" x14ac:dyDescent="0.2">
      <c r="A962" s="1507">
        <v>7</v>
      </c>
      <c r="B962" s="1516" t="s">
        <v>663</v>
      </c>
      <c r="C962" s="1516" t="s">
        <v>255</v>
      </c>
      <c r="D962" s="1516"/>
      <c r="E962" s="1516"/>
      <c r="F962" s="1511"/>
      <c r="G962" s="1509" t="str">
        <f t="shared" si="73"/>
        <v>P</v>
      </c>
      <c r="H962" s="1512" t="s">
        <v>3198</v>
      </c>
      <c r="I962" s="4"/>
      <c r="J962" s="436"/>
      <c r="K962" s="928"/>
      <c r="L962" s="1609"/>
      <c r="M962" s="911"/>
      <c r="N962" s="4"/>
      <c r="O962" s="935"/>
      <c r="P962" s="905"/>
      <c r="Q962" s="905"/>
      <c r="R962" s="905"/>
      <c r="S962" s="905"/>
      <c r="T962" s="905"/>
      <c r="U962" s="905"/>
      <c r="V962" s="523"/>
      <c r="W962" s="523"/>
      <c r="X962" s="1600"/>
      <c r="Y962" s="1874"/>
      <c r="Z962" s="1889"/>
      <c r="AB962" s="523"/>
      <c r="AC962" s="523"/>
      <c r="AD962" s="523"/>
      <c r="AE962" s="523"/>
      <c r="AF962" s="523"/>
      <c r="AG962" s="523"/>
      <c r="AH962" s="523"/>
      <c r="AI962" s="523"/>
      <c r="AJ962" s="523"/>
      <c r="AK962" s="523"/>
      <c r="AL962" s="1352"/>
      <c r="AM962" s="1352"/>
      <c r="AN962" s="1352"/>
      <c r="AO962" s="1352"/>
      <c r="AP962" s="1352"/>
      <c r="AQ962" s="1352"/>
      <c r="AR962" s="1352"/>
      <c r="AS962" s="1352"/>
      <c r="AT962" s="523"/>
      <c r="AU962" s="523"/>
      <c r="AV962" s="523"/>
      <c r="AW962" s="523"/>
      <c r="AX962" s="523"/>
      <c r="AY962" s="523"/>
      <c r="AZ962" s="523"/>
      <c r="BA962" s="523"/>
      <c r="BB962" s="523"/>
      <c r="BC962" s="523"/>
      <c r="BD962" s="523"/>
      <c r="BE962" s="523"/>
      <c r="BF962" s="523"/>
      <c r="BG962" s="523"/>
      <c r="BH962" s="523"/>
      <c r="BI962" s="523"/>
    </row>
    <row r="963" spans="1:61" x14ac:dyDescent="0.2">
      <c r="A963" s="1507">
        <v>7</v>
      </c>
      <c r="B963" s="1516" t="s">
        <v>663</v>
      </c>
      <c r="C963" s="1516" t="s">
        <v>255</v>
      </c>
      <c r="D963" s="1516"/>
      <c r="E963" s="1516"/>
      <c r="F963" s="1511"/>
      <c r="G963" s="1509" t="str">
        <f t="shared" si="73"/>
        <v>P</v>
      </c>
      <c r="H963" s="1512" t="s">
        <v>3198</v>
      </c>
      <c r="I963" s="4"/>
      <c r="J963" s="444"/>
      <c r="K963" s="929"/>
      <c r="L963" s="1612"/>
      <c r="M963" s="911"/>
      <c r="N963" s="4"/>
      <c r="O963" s="935"/>
      <c r="P963" s="905"/>
      <c r="Q963" s="905"/>
      <c r="R963" s="905"/>
      <c r="S963" s="905"/>
      <c r="T963" s="905"/>
      <c r="U963" s="905"/>
      <c r="V963" s="523"/>
      <c r="W963" s="523"/>
      <c r="X963" s="1600"/>
      <c r="Y963" s="1874"/>
      <c r="Z963" s="1889"/>
      <c r="AB963" s="523"/>
      <c r="AC963" s="523"/>
      <c r="AD963" s="523"/>
      <c r="AE963" s="523"/>
      <c r="AF963" s="523"/>
      <c r="AG963" s="523"/>
      <c r="AH963" s="523"/>
      <c r="AI963" s="523"/>
      <c r="AJ963" s="523"/>
      <c r="AK963" s="523"/>
      <c r="AL963" s="1352"/>
      <c r="AM963" s="1352"/>
      <c r="AN963" s="1352"/>
      <c r="AO963" s="1352"/>
      <c r="AP963" s="1352"/>
      <c r="AQ963" s="1352"/>
      <c r="AR963" s="1352"/>
      <c r="AS963" s="1352"/>
      <c r="AT963" s="523"/>
      <c r="AU963" s="523"/>
      <c r="AV963" s="523"/>
      <c r="AW963" s="523"/>
      <c r="AX963" s="523"/>
      <c r="AY963" s="523"/>
      <c r="AZ963" s="523"/>
      <c r="BA963" s="523"/>
      <c r="BB963" s="523"/>
      <c r="BC963" s="523"/>
      <c r="BD963" s="523"/>
      <c r="BE963" s="523"/>
      <c r="BF963" s="523"/>
      <c r="BG963" s="523"/>
      <c r="BH963" s="523"/>
      <c r="BI963" s="523"/>
    </row>
    <row r="964" spans="1:61" ht="15" customHeight="1" x14ac:dyDescent="0.2">
      <c r="A964" s="1507">
        <v>7</v>
      </c>
      <c r="B964" s="1516" t="s">
        <v>663</v>
      </c>
      <c r="C964" s="1516" t="s">
        <v>256</v>
      </c>
      <c r="D964" s="1516"/>
      <c r="E964" s="1516"/>
      <c r="F964" s="1511"/>
      <c r="G964" s="1509" t="str">
        <f t="shared" si="73"/>
        <v>P</v>
      </c>
      <c r="H964" s="1512" t="s">
        <v>3198</v>
      </c>
      <c r="I964" s="4"/>
      <c r="J964" s="436" t="s">
        <v>256</v>
      </c>
      <c r="K964" s="928"/>
      <c r="L964" s="1609" t="s">
        <v>666</v>
      </c>
      <c r="M964" s="911"/>
      <c r="N964" s="4"/>
      <c r="O964" s="935"/>
      <c r="P964" s="905"/>
      <c r="Q964" s="905"/>
      <c r="R964" s="905"/>
      <c r="S964" s="905"/>
      <c r="T964" s="905"/>
      <c r="U964" s="905"/>
      <c r="V964" s="523"/>
      <c r="W964" s="523"/>
      <c r="X964" s="1600"/>
      <c r="Y964" s="1874" t="str">
        <f>IF(LEN('11.700'!X90)=0,"None",'11.700'!X90)</f>
        <v>None</v>
      </c>
      <c r="Z964" s="1889"/>
      <c r="AB964" s="523"/>
      <c r="AC964" s="523"/>
      <c r="AD964" s="523"/>
      <c r="AE964" s="523"/>
      <c r="AF964" s="523"/>
      <c r="AG964" s="523"/>
      <c r="AH964" s="523"/>
      <c r="AI964" s="523"/>
      <c r="AJ964" s="523"/>
      <c r="AK964" s="523"/>
      <c r="AL964" s="1352"/>
      <c r="AM964" s="1352"/>
      <c r="AN964" s="1352"/>
      <c r="AO964" s="1352"/>
      <c r="AP964" s="1352"/>
      <c r="AQ964" s="1352"/>
      <c r="AR964" s="1352" t="str">
        <f>SUBSTITUTE(SUBSTITUTE(SUBSTITUTE("vnt"&amp;$B964&amp;$C964&amp;$D964&amp;$E964&amp;$F964,".","_"),"(","_"),")","")</f>
        <v>vnt701_4_3_2_1_3</v>
      </c>
      <c r="AS964" s="1352" t="str">
        <f>IF(LEN(X964)=0,"",X964)</f>
        <v/>
      </c>
      <c r="AT964" s="523"/>
      <c r="AU964" s="523"/>
      <c r="AV964" s="523"/>
      <c r="AW964" s="523"/>
      <c r="AX964" s="523"/>
      <c r="AY964" s="523"/>
      <c r="AZ964" s="523"/>
      <c r="BA964" s="523"/>
      <c r="BB964" s="523"/>
      <c r="BC964" s="523"/>
      <c r="BD964" s="523"/>
      <c r="BE964" s="523"/>
      <c r="BF964" s="523"/>
      <c r="BG964" s="523"/>
      <c r="BH964" s="523"/>
      <c r="BI964" s="523"/>
    </row>
    <row r="965" spans="1:61" x14ac:dyDescent="0.2">
      <c r="A965" s="1507">
        <v>7</v>
      </c>
      <c r="B965" s="1516" t="s">
        <v>663</v>
      </c>
      <c r="C965" s="1516" t="s">
        <v>256</v>
      </c>
      <c r="D965" s="1516"/>
      <c r="E965" s="1516"/>
      <c r="F965" s="1511"/>
      <c r="G965" s="1509" t="str">
        <f t="shared" si="73"/>
        <v>P</v>
      </c>
      <c r="H965" s="1512" t="s">
        <v>3198</v>
      </c>
      <c r="I965" s="4"/>
      <c r="J965" s="444"/>
      <c r="K965" s="929"/>
      <c r="L965" s="1612"/>
      <c r="M965" s="911"/>
      <c r="N965" s="4"/>
      <c r="O965" s="935"/>
      <c r="P965" s="905"/>
      <c r="Q965" s="905"/>
      <c r="R965" s="905"/>
      <c r="S965" s="905"/>
      <c r="T965" s="905"/>
      <c r="U965" s="905"/>
      <c r="V965" s="523"/>
      <c r="W965" s="523"/>
      <c r="X965" s="1600"/>
      <c r="Y965" s="1874"/>
      <c r="Z965" s="1889"/>
      <c r="AB965" s="523"/>
      <c r="AC965" s="523"/>
      <c r="AD965" s="523"/>
      <c r="AE965" s="523"/>
      <c r="AF965" s="523"/>
      <c r="AG965" s="523"/>
      <c r="AH965" s="523"/>
      <c r="AI965" s="523"/>
      <c r="AJ965" s="523"/>
      <c r="AK965" s="523"/>
      <c r="AL965" s="1352"/>
      <c r="AM965" s="1352"/>
      <c r="AN965" s="1352"/>
      <c r="AO965" s="1352"/>
      <c r="AP965" s="1352"/>
      <c r="AQ965" s="1352"/>
      <c r="AR965" s="1352"/>
      <c r="AS965" s="1352"/>
      <c r="AT965" s="523"/>
      <c r="AU965" s="523"/>
      <c r="AV965" s="523"/>
      <c r="AW965" s="523"/>
      <c r="AX965" s="523"/>
      <c r="AY965" s="523"/>
      <c r="AZ965" s="523"/>
      <c r="BA965" s="523"/>
      <c r="BB965" s="523"/>
      <c r="BC965" s="523"/>
      <c r="BD965" s="523"/>
      <c r="BE965" s="523"/>
      <c r="BF965" s="523"/>
      <c r="BG965" s="523"/>
      <c r="BH965" s="523"/>
      <c r="BI965" s="523"/>
    </row>
    <row r="966" spans="1:61" ht="15" customHeight="1" x14ac:dyDescent="0.2">
      <c r="A966" s="1507">
        <v>7</v>
      </c>
      <c r="B966" s="1516" t="s">
        <v>663</v>
      </c>
      <c r="C966" s="1516" t="s">
        <v>259</v>
      </c>
      <c r="D966" s="1516"/>
      <c r="E966" s="1516"/>
      <c r="F966" s="1511"/>
      <c r="G966" s="1509" t="str">
        <f t="shared" si="73"/>
        <v>P</v>
      </c>
      <c r="H966" s="1512" t="s">
        <v>3198</v>
      </c>
      <c r="I966" s="4"/>
      <c r="J966" s="450" t="s">
        <v>259</v>
      </c>
      <c r="K966" s="944"/>
      <c r="L966" s="1613" t="s">
        <v>667</v>
      </c>
      <c r="M966" s="911"/>
      <c r="N966" s="4"/>
      <c r="O966" s="935"/>
      <c r="P966" s="905"/>
      <c r="Q966" s="905"/>
      <c r="R966" s="905"/>
      <c r="S966" s="905"/>
      <c r="T966" s="905"/>
      <c r="U966" s="905"/>
      <c r="V966" s="523"/>
      <c r="W966" s="523"/>
      <c r="X966" s="1600"/>
      <c r="Y966" s="1874" t="str">
        <f>IF(LEN('11.700'!X92)=0,"None",'11.700'!X92)</f>
        <v>None</v>
      </c>
      <c r="Z966" s="1889"/>
      <c r="AB966" s="523"/>
      <c r="AC966" s="523"/>
      <c r="AD966" s="523"/>
      <c r="AE966" s="523"/>
      <c r="AF966" s="523"/>
      <c r="AG966" s="523"/>
      <c r="AH966" s="523"/>
      <c r="AI966" s="523"/>
      <c r="AJ966" s="523"/>
      <c r="AK966" s="523"/>
      <c r="AL966" s="1352"/>
      <c r="AM966" s="1352"/>
      <c r="AN966" s="1352"/>
      <c r="AO966" s="1352"/>
      <c r="AP966" s="1352"/>
      <c r="AQ966" s="1352"/>
      <c r="AR966" s="1352" t="str">
        <f>SUBSTITUTE(SUBSTITUTE(SUBSTITUTE("vnt"&amp;$B966&amp;$C966&amp;$D966&amp;$E966&amp;$F966,".","_"),"(","_"),")","")</f>
        <v>vnt701_4_3_2_1_4</v>
      </c>
      <c r="AS966" s="1352" t="str">
        <f>IF(LEN(X966)=0,"",X966)</f>
        <v/>
      </c>
      <c r="AT966" s="523"/>
      <c r="AU966" s="523"/>
      <c r="AV966" s="523"/>
      <c r="AW966" s="523"/>
      <c r="AX966" s="523"/>
      <c r="AY966" s="523"/>
      <c r="AZ966" s="523"/>
      <c r="BA966" s="523"/>
      <c r="BB966" s="523"/>
      <c r="BC966" s="523"/>
      <c r="BD966" s="523"/>
      <c r="BE966" s="523"/>
      <c r="BF966" s="523"/>
      <c r="BG966" s="523"/>
      <c r="BH966" s="523"/>
      <c r="BI966" s="523"/>
    </row>
    <row r="967" spans="1:61" x14ac:dyDescent="0.2">
      <c r="A967" s="1507">
        <v>7</v>
      </c>
      <c r="B967" s="1516" t="s">
        <v>663</v>
      </c>
      <c r="C967" s="1516" t="s">
        <v>259</v>
      </c>
      <c r="D967" s="1516"/>
      <c r="E967" s="1516"/>
      <c r="F967" s="1511"/>
      <c r="G967" s="1509" t="str">
        <f t="shared" si="73"/>
        <v>P</v>
      </c>
      <c r="H967" s="1512" t="s">
        <v>3198</v>
      </c>
      <c r="I967" s="4"/>
      <c r="J967" s="436"/>
      <c r="K967" s="928"/>
      <c r="L967" s="1609"/>
      <c r="M967" s="911"/>
      <c r="N967" s="4"/>
      <c r="O967" s="935"/>
      <c r="P967" s="905"/>
      <c r="Q967" s="905"/>
      <c r="R967" s="905"/>
      <c r="S967" s="905"/>
      <c r="T967" s="905"/>
      <c r="U967" s="905"/>
      <c r="V967" s="523"/>
      <c r="W967" s="523"/>
      <c r="X967" s="1600"/>
      <c r="Y967" s="1874"/>
      <c r="Z967" s="1889"/>
      <c r="AB967" s="523"/>
      <c r="AC967" s="523"/>
      <c r="AD967" s="523"/>
      <c r="AE967" s="523"/>
      <c r="AF967" s="523"/>
      <c r="AG967" s="523"/>
      <c r="AH967" s="523"/>
      <c r="AI967" s="523"/>
      <c r="AJ967" s="523"/>
      <c r="AK967" s="523"/>
      <c r="AL967" s="1352"/>
      <c r="AM967" s="1352"/>
      <c r="AN967" s="1352"/>
      <c r="AO967" s="1352"/>
      <c r="AP967" s="1352"/>
      <c r="AQ967" s="1352"/>
      <c r="AR967" s="1352"/>
      <c r="AS967" s="1352"/>
      <c r="AT967" s="523"/>
      <c r="AU967" s="523"/>
      <c r="AV967" s="523"/>
      <c r="AW967" s="523"/>
      <c r="AX967" s="523"/>
      <c r="AY967" s="523"/>
      <c r="AZ967" s="523"/>
      <c r="BA967" s="523"/>
      <c r="BB967" s="523"/>
      <c r="BC967" s="523"/>
      <c r="BD967" s="523"/>
      <c r="BE967" s="523"/>
      <c r="BF967" s="523"/>
      <c r="BG967" s="523"/>
      <c r="BH967" s="523"/>
      <c r="BI967" s="523"/>
    </row>
    <row r="968" spans="1:61" x14ac:dyDescent="0.2">
      <c r="A968" s="1507">
        <v>7</v>
      </c>
      <c r="B968" s="1516" t="s">
        <v>663</v>
      </c>
      <c r="C968" s="1516" t="s">
        <v>259</v>
      </c>
      <c r="D968" s="1516"/>
      <c r="E968" s="1516"/>
      <c r="F968" s="1511"/>
      <c r="G968" s="1509" t="str">
        <f t="shared" si="73"/>
        <v>P</v>
      </c>
      <c r="H968" s="1512" t="s">
        <v>3198</v>
      </c>
      <c r="I968" s="4"/>
      <c r="J968" s="444"/>
      <c r="K968" s="929"/>
      <c r="L968" s="1612"/>
      <c r="M968" s="911"/>
      <c r="N968" s="4"/>
      <c r="O968" s="935"/>
      <c r="P968" s="905"/>
      <c r="Q968" s="905"/>
      <c r="R968" s="905"/>
      <c r="S968" s="905"/>
      <c r="T968" s="905"/>
      <c r="U968" s="905"/>
      <c r="V968" s="523"/>
      <c r="W968" s="523"/>
      <c r="X968" s="1600"/>
      <c r="Y968" s="1874"/>
      <c r="Z968" s="1889"/>
      <c r="AB968" s="523"/>
      <c r="AC968" s="523"/>
      <c r="AD968" s="523"/>
      <c r="AE968" s="523"/>
      <c r="AF968" s="523"/>
      <c r="AG968" s="523"/>
      <c r="AH968" s="523"/>
      <c r="AI968" s="523"/>
      <c r="AJ968" s="523"/>
      <c r="AK968" s="523"/>
      <c r="AL968" s="1352"/>
      <c r="AM968" s="1352"/>
      <c r="AN968" s="1352"/>
      <c r="AO968" s="1352"/>
      <c r="AP968" s="1352"/>
      <c r="AQ968" s="1352"/>
      <c r="AR968" s="1352"/>
      <c r="AS968" s="1352"/>
      <c r="AT968" s="523"/>
      <c r="AU968" s="523"/>
      <c r="AV968" s="523"/>
      <c r="AW968" s="523"/>
      <c r="AX968" s="523"/>
      <c r="AY968" s="523"/>
      <c r="AZ968" s="523"/>
      <c r="BA968" s="523"/>
      <c r="BB968" s="523"/>
      <c r="BC968" s="523"/>
      <c r="BD968" s="523"/>
      <c r="BE968" s="523"/>
      <c r="BF968" s="523"/>
      <c r="BG968" s="523"/>
      <c r="BH968" s="523"/>
      <c r="BI968" s="523"/>
    </row>
    <row r="969" spans="1:61" ht="15" customHeight="1" x14ac:dyDescent="0.2">
      <c r="A969" s="1507">
        <v>7</v>
      </c>
      <c r="B969" s="1516" t="s">
        <v>663</v>
      </c>
      <c r="C969" s="1516" t="s">
        <v>263</v>
      </c>
      <c r="D969" s="1516"/>
      <c r="E969" s="1516"/>
      <c r="F969" s="1511"/>
      <c r="G969" s="1509" t="str">
        <f t="shared" si="73"/>
        <v>P</v>
      </c>
      <c r="H969" s="1512" t="s">
        <v>3198</v>
      </c>
      <c r="I969" s="4"/>
      <c r="J969" s="450" t="s">
        <v>263</v>
      </c>
      <c r="K969" s="944"/>
      <c r="L969" s="1613" t="s">
        <v>668</v>
      </c>
      <c r="M969" s="911"/>
      <c r="N969" s="4"/>
      <c r="O969" s="935"/>
      <c r="P969" s="905"/>
      <c r="Q969" s="905"/>
      <c r="R969" s="905"/>
      <c r="S969" s="905"/>
      <c r="T969" s="905"/>
      <c r="U969" s="905"/>
      <c r="V969" s="523"/>
      <c r="W969" s="523"/>
      <c r="X969" s="1600"/>
      <c r="Y969" s="1874" t="str">
        <f>IF(LEN('11.700'!X95)=0,"None",'11.700'!X95)</f>
        <v>None</v>
      </c>
      <c r="Z969" s="1889"/>
      <c r="AB969" s="523"/>
      <c r="AC969" s="523"/>
      <c r="AD969" s="523"/>
      <c r="AE969" s="523"/>
      <c r="AF969" s="523"/>
      <c r="AG969" s="523"/>
      <c r="AH969" s="523"/>
      <c r="AI969" s="523"/>
      <c r="AJ969" s="523"/>
      <c r="AK969" s="523"/>
      <c r="AL969" s="1352"/>
      <c r="AM969" s="1352"/>
      <c r="AN969" s="1352"/>
      <c r="AO969" s="1352"/>
      <c r="AP969" s="1352"/>
      <c r="AQ969" s="1352"/>
      <c r="AR969" s="1352" t="str">
        <f>SUBSTITUTE(SUBSTITUTE(SUBSTITUTE("vnt"&amp;$B969&amp;$C969&amp;$D969&amp;$E969&amp;$F969,".","_"),"(","_"),")","")</f>
        <v>vnt701_4_3_2_1_5</v>
      </c>
      <c r="AS969" s="1352" t="str">
        <f>IF(LEN(X969)=0,"",X969)</f>
        <v/>
      </c>
      <c r="AT969" s="523"/>
      <c r="AU969" s="523"/>
      <c r="AV969" s="523"/>
      <c r="AW969" s="523"/>
      <c r="AX969" s="523"/>
      <c r="AY969" s="523"/>
      <c r="AZ969" s="523"/>
      <c r="BA969" s="523"/>
      <c r="BB969" s="523"/>
      <c r="BC969" s="523"/>
      <c r="BD969" s="523"/>
      <c r="BE969" s="523"/>
      <c r="BF969" s="523"/>
      <c r="BG969" s="523"/>
      <c r="BH969" s="523"/>
      <c r="BI969" s="523"/>
    </row>
    <row r="970" spans="1:61" x14ac:dyDescent="0.2">
      <c r="A970" s="1507">
        <v>7</v>
      </c>
      <c r="B970" s="1516" t="s">
        <v>663</v>
      </c>
      <c r="C970" s="1516" t="s">
        <v>263</v>
      </c>
      <c r="D970" s="1516"/>
      <c r="E970" s="1516"/>
      <c r="F970" s="1511"/>
      <c r="G970" s="1509" t="str">
        <f t="shared" si="73"/>
        <v>P</v>
      </c>
      <c r="H970" s="1512" t="s">
        <v>3198</v>
      </c>
      <c r="I970" s="4"/>
      <c r="J970" s="444"/>
      <c r="K970" s="929"/>
      <c r="L970" s="1612"/>
      <c r="M970" s="911"/>
      <c r="N970" s="4"/>
      <c r="O970" s="935"/>
      <c r="P970" s="905"/>
      <c r="Q970" s="905"/>
      <c r="R970" s="905"/>
      <c r="S970" s="905"/>
      <c r="T970" s="905"/>
      <c r="U970" s="905"/>
      <c r="V970" s="523"/>
      <c r="W970" s="523"/>
      <c r="X970" s="1600"/>
      <c r="Y970" s="1874"/>
      <c r="Z970" s="1889"/>
      <c r="AB970" s="523"/>
      <c r="AC970" s="523"/>
      <c r="AD970" s="523"/>
      <c r="AE970" s="523"/>
      <c r="AF970" s="523"/>
      <c r="AG970" s="523"/>
      <c r="AH970" s="523"/>
      <c r="AI970" s="523"/>
      <c r="AJ970" s="523"/>
      <c r="AK970" s="523"/>
      <c r="AL970" s="1352"/>
      <c r="AM970" s="1352"/>
      <c r="AN970" s="1352"/>
      <c r="AO970" s="1352"/>
      <c r="AP970" s="1352"/>
      <c r="AQ970" s="1352"/>
      <c r="AR970" s="1352"/>
      <c r="AS970" s="1352"/>
      <c r="AT970" s="523"/>
      <c r="AU970" s="523"/>
      <c r="AV970" s="523"/>
      <c r="AW970" s="523"/>
      <c r="AX970" s="523"/>
      <c r="AY970" s="523"/>
      <c r="AZ970" s="523"/>
      <c r="BA970" s="523"/>
      <c r="BB970" s="523"/>
      <c r="BC970" s="523"/>
      <c r="BD970" s="523"/>
      <c r="BE970" s="523"/>
      <c r="BF970" s="523"/>
      <c r="BG970" s="523"/>
      <c r="BH970" s="523"/>
      <c r="BI970" s="523"/>
    </row>
    <row r="971" spans="1:61" ht="15" customHeight="1" x14ac:dyDescent="0.2">
      <c r="A971" s="1507">
        <v>7</v>
      </c>
      <c r="B971" s="1516" t="s">
        <v>663</v>
      </c>
      <c r="C971" s="1516" t="s">
        <v>264</v>
      </c>
      <c r="D971" s="1516"/>
      <c r="E971" s="1516"/>
      <c r="F971" s="1511"/>
      <c r="G971" s="1509" t="str">
        <f t="shared" si="73"/>
        <v>P</v>
      </c>
      <c r="H971" s="1512" t="s">
        <v>3198</v>
      </c>
      <c r="I971" s="4"/>
      <c r="J971" s="451" t="s">
        <v>264</v>
      </c>
      <c r="K971" s="311"/>
      <c r="L971" s="311" t="s">
        <v>669</v>
      </c>
      <c r="M971" s="911"/>
      <c r="N971" s="4"/>
      <c r="O971" s="935"/>
      <c r="P971" s="905"/>
      <c r="Q971" s="905"/>
      <c r="R971" s="905"/>
      <c r="S971" s="905"/>
      <c r="T971" s="905"/>
      <c r="U971" s="905"/>
      <c r="V971" s="523"/>
      <c r="W971" s="523"/>
      <c r="X971" s="527"/>
      <c r="Y971" s="536" t="str">
        <f>IF(LEN('11.700'!X97)=0,"None",'11.700'!X97)</f>
        <v>None</v>
      </c>
      <c r="Z971" s="715"/>
      <c r="AB971" s="523"/>
      <c r="AC971" s="523"/>
      <c r="AD971" s="523"/>
      <c r="AE971" s="523"/>
      <c r="AF971" s="523"/>
      <c r="AG971" s="523"/>
      <c r="AH971" s="523"/>
      <c r="AI971" s="523"/>
      <c r="AJ971" s="523"/>
      <c r="AK971" s="523"/>
      <c r="AL971" s="1352"/>
      <c r="AM971" s="1352"/>
      <c r="AN971" s="1352"/>
      <c r="AO971" s="1352"/>
      <c r="AP971" s="1352"/>
      <c r="AQ971" s="1352"/>
      <c r="AR971" s="1352" t="str">
        <f>SUBSTITUTE(SUBSTITUTE(SUBSTITUTE("vnt"&amp;$B971&amp;$C971&amp;$D971&amp;$E971&amp;$F971,".","_"),"(","_"),")","")</f>
        <v>vnt701_4_3_2_1_6</v>
      </c>
      <c r="AS971" s="1352" t="str">
        <f>IF(LEN(X971)=0,"",X971)</f>
        <v/>
      </c>
      <c r="AT971" s="523"/>
      <c r="AU971" s="523"/>
      <c r="AV971" s="523"/>
      <c r="AW971" s="523"/>
      <c r="AX971" s="523"/>
      <c r="AY971" s="523"/>
      <c r="AZ971" s="523"/>
      <c r="BA971" s="523"/>
      <c r="BB971" s="523"/>
      <c r="BC971" s="523"/>
      <c r="BD971" s="523"/>
      <c r="BE971" s="523"/>
      <c r="BF971" s="523"/>
      <c r="BG971" s="523"/>
      <c r="BH971" s="523"/>
      <c r="BI971" s="523"/>
    </row>
    <row r="972" spans="1:61" ht="16" x14ac:dyDescent="0.2">
      <c r="A972" s="1507">
        <v>7</v>
      </c>
      <c r="B972" s="1516" t="s">
        <v>663</v>
      </c>
      <c r="C972" s="1516" t="s">
        <v>356</v>
      </c>
      <c r="D972" s="1516"/>
      <c r="E972" s="1516"/>
      <c r="F972" s="1511"/>
      <c r="G972" s="1509" t="str">
        <f t="shared" si="73"/>
        <v>P</v>
      </c>
      <c r="H972" s="1512" t="s">
        <v>3198</v>
      </c>
      <c r="I972" s="4"/>
      <c r="J972" s="451" t="s">
        <v>356</v>
      </c>
      <c r="K972" s="311"/>
      <c r="L972" s="311" t="s">
        <v>670</v>
      </c>
      <c r="M972" s="911"/>
      <c r="N972" s="4"/>
      <c r="O972" s="935"/>
      <c r="P972" s="905"/>
      <c r="Q972" s="905"/>
      <c r="R972" s="905"/>
      <c r="S972" s="905"/>
      <c r="T972" s="905"/>
      <c r="U972" s="905"/>
      <c r="V972" s="523"/>
      <c r="W972" s="523"/>
      <c r="X972" s="527"/>
      <c r="Y972" s="536" t="str">
        <f>IF(LEN('11.700'!X98)=0,"None",'11.700'!X98)</f>
        <v>None</v>
      </c>
      <c r="Z972" s="715"/>
      <c r="AB972" s="523"/>
      <c r="AC972" s="523"/>
      <c r="AD972" s="523"/>
      <c r="AE972" s="523"/>
      <c r="AF972" s="523"/>
      <c r="AG972" s="523"/>
      <c r="AH972" s="523"/>
      <c r="AI972" s="523"/>
      <c r="AJ972" s="523"/>
      <c r="AK972" s="523"/>
      <c r="AL972" s="1352"/>
      <c r="AM972" s="1352"/>
      <c r="AN972" s="1352"/>
      <c r="AO972" s="1352"/>
      <c r="AP972" s="1352"/>
      <c r="AQ972" s="1352"/>
      <c r="AR972" s="1352" t="str">
        <f>SUBSTITUTE(SUBSTITUTE(SUBSTITUTE("vnt"&amp;$B972&amp;$C972&amp;$D972&amp;$E972&amp;$F972,".","_"),"(","_"),")","")</f>
        <v>vnt701_4_3_2_1_7</v>
      </c>
      <c r="AS972" s="1352" t="str">
        <f>IF(LEN(X972)=0,"",X972)</f>
        <v/>
      </c>
      <c r="AT972" s="523"/>
      <c r="AU972" s="523"/>
      <c r="AV972" s="523"/>
      <c r="AW972" s="523"/>
      <c r="AX972" s="523"/>
      <c r="AY972" s="523"/>
      <c r="AZ972" s="523"/>
      <c r="BA972" s="523"/>
      <c r="BB972" s="523"/>
      <c r="BC972" s="523"/>
      <c r="BD972" s="523"/>
      <c r="BE972" s="523"/>
      <c r="BF972" s="523"/>
      <c r="BG972" s="523"/>
      <c r="BH972" s="523"/>
      <c r="BI972" s="523"/>
    </row>
    <row r="973" spans="1:61" ht="15" customHeight="1" x14ac:dyDescent="0.2">
      <c r="A973" s="1507">
        <v>7</v>
      </c>
      <c r="B973" s="1516" t="s">
        <v>663</v>
      </c>
      <c r="C973" s="1516" t="s">
        <v>389</v>
      </c>
      <c r="D973" s="1516"/>
      <c r="E973" s="1516"/>
      <c r="F973" s="1511"/>
      <c r="G973" s="1509" t="str">
        <f t="shared" si="73"/>
        <v>P</v>
      </c>
      <c r="H973" s="1512" t="s">
        <v>3198</v>
      </c>
      <c r="I973" s="4"/>
      <c r="J973" s="450" t="s">
        <v>389</v>
      </c>
      <c r="K973" s="944"/>
      <c r="L973" s="1613" t="s">
        <v>671</v>
      </c>
      <c r="M973" s="911"/>
      <c r="N973" s="4"/>
      <c r="O973" s="935"/>
      <c r="P973" s="905"/>
      <c r="Q973" s="905"/>
      <c r="R973" s="905"/>
      <c r="S973" s="905"/>
      <c r="T973" s="905"/>
      <c r="U973" s="905"/>
      <c r="V973" s="523"/>
      <c r="W973" s="523"/>
      <c r="X973" s="1600"/>
      <c r="Y973" s="1874" t="str">
        <f>IF(LEN('11.700'!X99)=0,"None",'11.700'!X99)</f>
        <v>None</v>
      </c>
      <c r="Z973" s="1889"/>
      <c r="AB973" s="523"/>
      <c r="AC973" s="523"/>
      <c r="AD973" s="523"/>
      <c r="AE973" s="523"/>
      <c r="AF973" s="523"/>
      <c r="AG973" s="523"/>
      <c r="AH973" s="523"/>
      <c r="AI973" s="523"/>
      <c r="AJ973" s="523"/>
      <c r="AK973" s="523"/>
      <c r="AL973" s="1352"/>
      <c r="AM973" s="1352"/>
      <c r="AN973" s="1352"/>
      <c r="AO973" s="1352"/>
      <c r="AP973" s="1352"/>
      <c r="AQ973" s="1352"/>
      <c r="AR973" s="1352" t="str">
        <f>SUBSTITUTE(SUBSTITUTE(SUBSTITUTE("vnt"&amp;$B973&amp;$C973&amp;$D973&amp;$E973&amp;$F973,".","_"),"(","_"),")","")</f>
        <v>vnt701_4_3_2_1_8</v>
      </c>
      <c r="AS973" s="1352" t="str">
        <f>IF(LEN(X973)=0,"",X973)</f>
        <v/>
      </c>
      <c r="AT973" s="523"/>
      <c r="AU973" s="523"/>
      <c r="AV973" s="523"/>
      <c r="AW973" s="523"/>
      <c r="AX973" s="523"/>
      <c r="AY973" s="523"/>
      <c r="AZ973" s="523"/>
      <c r="BA973" s="523"/>
      <c r="BB973" s="523"/>
      <c r="BC973" s="523"/>
      <c r="BD973" s="523"/>
      <c r="BE973" s="523"/>
      <c r="BF973" s="523"/>
      <c r="BG973" s="523"/>
      <c r="BH973" s="523"/>
      <c r="BI973" s="523"/>
    </row>
    <row r="974" spans="1:61" x14ac:dyDescent="0.2">
      <c r="A974" s="1507">
        <v>7</v>
      </c>
      <c r="B974" s="1516" t="s">
        <v>663</v>
      </c>
      <c r="C974" s="1516" t="s">
        <v>389</v>
      </c>
      <c r="D974" s="1516"/>
      <c r="E974" s="1516"/>
      <c r="F974" s="1511"/>
      <c r="G974" s="1509" t="str">
        <f t="shared" si="73"/>
        <v>P</v>
      </c>
      <c r="H974" s="1512" t="s">
        <v>3198</v>
      </c>
      <c r="I974" s="4"/>
      <c r="J974" s="436"/>
      <c r="K974" s="928"/>
      <c r="L974" s="1609"/>
      <c r="M974" s="911"/>
      <c r="N974" s="4"/>
      <c r="O974" s="935"/>
      <c r="P974" s="905"/>
      <c r="Q974" s="905"/>
      <c r="R974" s="905"/>
      <c r="S974" s="905"/>
      <c r="T974" s="905"/>
      <c r="U974" s="905"/>
      <c r="V974" s="523"/>
      <c r="W974" s="523"/>
      <c r="X974" s="1600"/>
      <c r="Y974" s="1874"/>
      <c r="Z974" s="1889"/>
      <c r="AB974" s="523"/>
      <c r="AC974" s="523"/>
      <c r="AD974" s="523"/>
      <c r="AE974" s="523"/>
      <c r="AF974" s="523"/>
      <c r="AG974" s="523"/>
      <c r="AH974" s="523"/>
      <c r="AI974" s="523"/>
      <c r="AJ974" s="523"/>
      <c r="AK974" s="523"/>
      <c r="AL974" s="1352"/>
      <c r="AM974" s="1352"/>
      <c r="AN974" s="1352"/>
      <c r="AO974" s="1352"/>
      <c r="AP974" s="1352"/>
      <c r="AQ974" s="1352"/>
      <c r="AR974" s="1352"/>
      <c r="AS974" s="1352"/>
      <c r="AT974" s="523"/>
      <c r="AU974" s="523"/>
      <c r="AV974" s="523"/>
      <c r="AW974" s="523"/>
      <c r="AX974" s="523"/>
      <c r="AY974" s="523"/>
      <c r="AZ974" s="523"/>
      <c r="BA974" s="523"/>
      <c r="BB974" s="523"/>
      <c r="BC974" s="523"/>
      <c r="BD974" s="523"/>
      <c r="BE974" s="523"/>
      <c r="BF974" s="523"/>
      <c r="BG974" s="523"/>
      <c r="BH974" s="523"/>
      <c r="BI974" s="523"/>
    </row>
    <row r="975" spans="1:61" x14ac:dyDescent="0.2">
      <c r="A975" s="1507">
        <v>7</v>
      </c>
      <c r="B975" s="1516" t="s">
        <v>663</v>
      </c>
      <c r="C975" s="1516" t="s">
        <v>389</v>
      </c>
      <c r="D975" s="1516"/>
      <c r="E975" s="1516"/>
      <c r="F975" s="1511"/>
      <c r="G975" s="1509" t="str">
        <f t="shared" si="73"/>
        <v>P</v>
      </c>
      <c r="H975" s="1512" t="s">
        <v>3198</v>
      </c>
      <c r="I975" s="4"/>
      <c r="J975" s="444"/>
      <c r="K975" s="929"/>
      <c r="L975" s="1612"/>
      <c r="M975" s="911"/>
      <c r="N975" s="4"/>
      <c r="O975" s="935"/>
      <c r="P975" s="905"/>
      <c r="Q975" s="905"/>
      <c r="R975" s="905"/>
      <c r="S975" s="905"/>
      <c r="T975" s="905"/>
      <c r="U975" s="905"/>
      <c r="V975" s="523"/>
      <c r="W975" s="523"/>
      <c r="X975" s="1600"/>
      <c r="Y975" s="1874"/>
      <c r="Z975" s="1889"/>
      <c r="AB975" s="523"/>
      <c r="AC975" s="523"/>
      <c r="AD975" s="523"/>
      <c r="AE975" s="523"/>
      <c r="AF975" s="523"/>
      <c r="AG975" s="523"/>
      <c r="AH975" s="523"/>
      <c r="AI975" s="523"/>
      <c r="AJ975" s="523"/>
      <c r="AK975" s="523"/>
      <c r="AL975" s="1352"/>
      <c r="AM975" s="1352"/>
      <c r="AN975" s="1352"/>
      <c r="AO975" s="1352"/>
      <c r="AP975" s="1352"/>
      <c r="AQ975" s="1352"/>
      <c r="AR975" s="1352"/>
      <c r="AS975" s="1352"/>
      <c r="AT975" s="523"/>
      <c r="AU975" s="523"/>
      <c r="AV975" s="523"/>
      <c r="AW975" s="523"/>
      <c r="AX975" s="523"/>
      <c r="AY975" s="523"/>
      <c r="AZ975" s="523"/>
      <c r="BA975" s="523"/>
      <c r="BB975" s="523"/>
      <c r="BC975" s="523"/>
      <c r="BD975" s="523"/>
      <c r="BE975" s="523"/>
      <c r="BF975" s="523"/>
      <c r="BG975" s="523"/>
      <c r="BH975" s="523"/>
      <c r="BI975" s="523"/>
    </row>
    <row r="976" spans="1:61" ht="15" customHeight="1" x14ac:dyDescent="0.2">
      <c r="A976" s="1507">
        <v>7</v>
      </c>
      <c r="B976" s="1516" t="s">
        <v>663</v>
      </c>
      <c r="C976" s="1516" t="s">
        <v>391</v>
      </c>
      <c r="D976" s="1516"/>
      <c r="E976" s="1516"/>
      <c r="F976" s="1511"/>
      <c r="G976" s="1509" t="str">
        <f t="shared" si="73"/>
        <v>P</v>
      </c>
      <c r="H976" s="1512" t="s">
        <v>3198</v>
      </c>
      <c r="I976" s="129"/>
      <c r="J976" s="436" t="s">
        <v>391</v>
      </c>
      <c r="K976" s="928"/>
      <c r="L976" s="1609" t="s">
        <v>4061</v>
      </c>
      <c r="M976" s="913"/>
      <c r="N976" s="129"/>
      <c r="O976" s="908"/>
      <c r="P976" s="991"/>
      <c r="Q976" s="991"/>
      <c r="R976" s="991"/>
      <c r="S976" s="991"/>
      <c r="T976" s="991"/>
      <c r="U976" s="991"/>
      <c r="V976" s="96"/>
      <c r="W976" s="96"/>
      <c r="X976" s="1601"/>
      <c r="Y976" s="1874" t="str">
        <f>IF(LEN('11.700'!X102)=0,"None",'11.700'!X102)</f>
        <v>None</v>
      </c>
      <c r="Z976" s="1889"/>
      <c r="AB976" s="523"/>
      <c r="AC976" s="523"/>
      <c r="AD976" s="523"/>
      <c r="AE976" s="523"/>
      <c r="AF976" s="523"/>
      <c r="AG976" s="523"/>
      <c r="AH976" s="523"/>
      <c r="AI976" s="523"/>
      <c r="AJ976" s="523"/>
      <c r="AK976" s="523"/>
      <c r="AL976" s="1352"/>
      <c r="AM976" s="1352"/>
      <c r="AN976" s="1352"/>
      <c r="AO976" s="1352"/>
      <c r="AP976" s="1352"/>
      <c r="AQ976" s="1352"/>
      <c r="AR976" s="1352" t="str">
        <f>SUBSTITUTE(SUBSTITUTE(SUBSTITUTE("vnt"&amp;$B976&amp;$C976&amp;$D976&amp;$E976&amp;$F976,".","_"),"(","_"),")","")</f>
        <v>vnt701_4_3_2_1_9</v>
      </c>
      <c r="AS976" s="1352" t="str">
        <f>IF(LEN(X976)=0,"",X976)</f>
        <v/>
      </c>
      <c r="AT976" s="523"/>
      <c r="AU976" s="523"/>
      <c r="AV976" s="523"/>
      <c r="AW976" s="523"/>
      <c r="AX976" s="523"/>
      <c r="AY976" s="523"/>
      <c r="AZ976" s="523"/>
      <c r="BA976" s="523"/>
      <c r="BB976" s="523"/>
      <c r="BC976" s="523"/>
      <c r="BD976" s="523"/>
      <c r="BE976" s="523"/>
      <c r="BF976" s="523"/>
      <c r="BG976" s="523"/>
      <c r="BH976" s="523"/>
      <c r="BI976" s="523"/>
    </row>
    <row r="977" spans="1:61" ht="15" customHeight="1" x14ac:dyDescent="0.2">
      <c r="A977" s="1507">
        <v>7</v>
      </c>
      <c r="B977" s="1516" t="s">
        <v>663</v>
      </c>
      <c r="C977" s="1516" t="s">
        <v>391</v>
      </c>
      <c r="D977" s="1516"/>
      <c r="E977" s="1516"/>
      <c r="F977" s="1511"/>
      <c r="G977" s="1509" t="str">
        <f t="shared" si="73"/>
        <v>P</v>
      </c>
      <c r="H977" s="1512" t="s">
        <v>3198</v>
      </c>
      <c r="I977" s="213"/>
      <c r="J977" s="444"/>
      <c r="K977" s="929"/>
      <c r="L977" s="1612"/>
      <c r="M977" s="937"/>
      <c r="N977" s="213"/>
      <c r="O977" s="909"/>
      <c r="P977" s="173"/>
      <c r="Q977" s="173"/>
      <c r="R977" s="173"/>
      <c r="S977" s="173"/>
      <c r="T977" s="173"/>
      <c r="U977" s="173"/>
      <c r="V977" s="173"/>
      <c r="W977" s="173"/>
      <c r="X977" s="1601"/>
      <c r="Y977" s="1874"/>
      <c r="Z977" s="1889"/>
      <c r="AB977" s="523"/>
      <c r="AC977" s="523"/>
      <c r="AD977" s="523"/>
      <c r="AE977" s="523"/>
      <c r="AF977" s="523"/>
      <c r="AG977" s="523"/>
      <c r="AH977" s="523"/>
      <c r="AI977" s="523"/>
      <c r="AJ977" s="523"/>
      <c r="AK977" s="523"/>
      <c r="AL977" s="1352"/>
      <c r="AM977" s="1352"/>
      <c r="AN977" s="1352"/>
      <c r="AO977" s="1352"/>
      <c r="AP977" s="1352"/>
      <c r="AQ977" s="1352"/>
      <c r="AR977" s="1352"/>
      <c r="AS977" s="1352"/>
      <c r="AT977" s="523"/>
      <c r="AU977" s="523"/>
      <c r="AV977" s="523"/>
      <c r="AW977" s="523"/>
      <c r="AX977" s="523"/>
      <c r="AY977" s="523"/>
      <c r="AZ977" s="523"/>
      <c r="BA977" s="523"/>
      <c r="BB977" s="523"/>
      <c r="BC977" s="523"/>
      <c r="BD977" s="523"/>
      <c r="BE977" s="523"/>
      <c r="BF977" s="523"/>
      <c r="BG977" s="523"/>
      <c r="BH977" s="523"/>
      <c r="BI977" s="523"/>
    </row>
    <row r="978" spans="1:61" x14ac:dyDescent="0.2">
      <c r="A978" s="1507">
        <v>7</v>
      </c>
      <c r="B978" s="1516" t="s">
        <v>5293</v>
      </c>
      <c r="C978" s="1516"/>
      <c r="D978" s="1516"/>
      <c r="E978" s="1516"/>
      <c r="F978" s="1511"/>
      <c r="G978" s="1509" t="s">
        <v>3200</v>
      </c>
      <c r="H978" s="1510" t="s">
        <v>3198</v>
      </c>
      <c r="I978" s="192" t="s">
        <v>3650</v>
      </c>
      <c r="J978" s="531"/>
      <c r="K978" s="531"/>
      <c r="L978" s="1712" t="s">
        <v>3858</v>
      </c>
      <c r="M978" s="921"/>
      <c r="N978" s="193"/>
      <c r="O978" s="918"/>
      <c r="P978" s="195"/>
      <c r="Q978" s="195"/>
      <c r="R978" s="195"/>
      <c r="S978" s="195"/>
      <c r="T978" s="195"/>
      <c r="U978" s="195"/>
      <c r="V978" s="195"/>
      <c r="W978" s="195" t="s">
        <v>4864</v>
      </c>
      <c r="X978" s="1601"/>
      <c r="Y978" s="1874" t="str">
        <f>IF(LEN('11.700'!X104)=0,"None",'11.700'!X104)</f>
        <v>None</v>
      </c>
      <c r="Z978" s="1889"/>
      <c r="AB978" s="523"/>
      <c r="AC978" s="523"/>
      <c r="AD978" s="523"/>
      <c r="AE978" s="523"/>
      <c r="AF978" s="523"/>
      <c r="AG978" s="523"/>
      <c r="AH978" s="523"/>
      <c r="AI978" s="523"/>
      <c r="AJ978" s="523"/>
      <c r="AK978" s="523"/>
      <c r="AL978" s="1352"/>
      <c r="AM978" s="1352"/>
      <c r="AN978" s="1352"/>
      <c r="AO978" s="1352"/>
      <c r="AP978" s="1352"/>
      <c r="AQ978" s="1352"/>
      <c r="AR978" s="1352" t="str">
        <f>SUBSTITUTE(SUBSTITUTE(SUBSTITUTE("vnt"&amp;$B978&amp;$C978&amp;$D978&amp;$E978&amp;$F978,".","_"),"(","_"),")","")</f>
        <v>vnt701_4_3_3</v>
      </c>
      <c r="AS978" s="1352" t="str">
        <f>IF(LEN(X978)=0,"",X978)</f>
        <v/>
      </c>
      <c r="AT978" s="523"/>
      <c r="AU978" s="523"/>
      <c r="AV978" s="523"/>
      <c r="AW978" s="523"/>
      <c r="AX978" s="523"/>
      <c r="AY978" s="523"/>
      <c r="AZ978" s="523"/>
      <c r="BA978" s="523"/>
      <c r="BB978" s="523"/>
      <c r="BC978" s="523"/>
      <c r="BD978" s="523"/>
      <c r="BE978" s="523"/>
      <c r="BF978" s="523"/>
      <c r="BG978" s="523"/>
      <c r="BH978" s="523"/>
      <c r="BI978" s="523"/>
    </row>
    <row r="979" spans="1:61" ht="15" customHeight="1" x14ac:dyDescent="0.2">
      <c r="A979" s="1507">
        <v>7</v>
      </c>
      <c r="B979" s="1516" t="s">
        <v>5293</v>
      </c>
      <c r="C979" s="1516"/>
      <c r="D979" s="1516"/>
      <c r="E979" s="1516"/>
      <c r="F979" s="1511"/>
      <c r="G979" s="1509" t="s">
        <v>3200</v>
      </c>
      <c r="H979" s="1510" t="s">
        <v>3198</v>
      </c>
      <c r="I979" s="130"/>
      <c r="J979" s="528"/>
      <c r="K979" s="528"/>
      <c r="L979" s="1629"/>
      <c r="M979" s="913"/>
      <c r="N979" s="129"/>
      <c r="O979" s="908"/>
      <c r="P979" s="991"/>
      <c r="Q979" s="991"/>
      <c r="R979" s="991"/>
      <c r="S979" s="991"/>
      <c r="T979" s="991"/>
      <c r="U979" s="991"/>
      <c r="V979" s="96"/>
      <c r="W979" s="96"/>
      <c r="X979" s="1601"/>
      <c r="Y979" s="1874"/>
      <c r="Z979" s="1889"/>
      <c r="AB979" s="523"/>
      <c r="AC979" s="523"/>
      <c r="AD979" s="523"/>
      <c r="AE979" s="523"/>
      <c r="AF979" s="523"/>
      <c r="AG979" s="523"/>
      <c r="AH979" s="523"/>
      <c r="AI979" s="523"/>
      <c r="AJ979" s="523"/>
      <c r="AK979" s="523"/>
      <c r="AL979" s="1352"/>
      <c r="AM979" s="1352"/>
      <c r="AN979" s="1352"/>
      <c r="AO979" s="1352"/>
      <c r="AP979" s="1352"/>
      <c r="AQ979" s="1352"/>
      <c r="AR979" s="1352"/>
      <c r="AS979" s="1352"/>
      <c r="AT979" s="523"/>
      <c r="AU979" s="523"/>
      <c r="AV979" s="523"/>
      <c r="AW979" s="523"/>
      <c r="AX979" s="523"/>
      <c r="AY979" s="523"/>
      <c r="AZ979" s="523"/>
      <c r="BA979" s="523"/>
      <c r="BB979" s="523"/>
      <c r="BC979" s="523"/>
      <c r="BD979" s="523"/>
      <c r="BE979" s="523"/>
      <c r="BF979" s="523"/>
      <c r="BG979" s="523"/>
      <c r="BH979" s="523"/>
      <c r="BI979" s="523"/>
    </row>
    <row r="980" spans="1:61" x14ac:dyDescent="0.2">
      <c r="A980" s="1507">
        <v>7</v>
      </c>
      <c r="B980" s="1516" t="s">
        <v>5293</v>
      </c>
      <c r="C980" s="1516"/>
      <c r="D980" s="1516"/>
      <c r="E980" s="1516"/>
      <c r="F980" s="1511"/>
      <c r="G980" s="1509" t="s">
        <v>3200</v>
      </c>
      <c r="H980" s="1510" t="s">
        <v>3198</v>
      </c>
      <c r="I980" s="219"/>
      <c r="J980" s="529"/>
      <c r="K980" s="529"/>
      <c r="L980" s="1696"/>
      <c r="M980" s="937"/>
      <c r="N980" s="213"/>
      <c r="O980" s="909"/>
      <c r="P980" s="173"/>
      <c r="Q980" s="173"/>
      <c r="R980" s="173"/>
      <c r="S980" s="173"/>
      <c r="T980" s="173"/>
      <c r="U980" s="173"/>
      <c r="V980" s="173"/>
      <c r="W980" s="173"/>
      <c r="X980" s="1601"/>
      <c r="Y980" s="1874"/>
      <c r="Z980" s="1889"/>
      <c r="AB980" s="523"/>
      <c r="AC980" s="523"/>
      <c r="AD980" s="523"/>
      <c r="AE980" s="523"/>
      <c r="AF980" s="523"/>
      <c r="AG980" s="523"/>
      <c r="AH980" s="523"/>
      <c r="AI980" s="523"/>
      <c r="AJ980" s="523"/>
      <c r="AK980" s="523"/>
      <c r="AL980" s="1352"/>
      <c r="AM980" s="1352"/>
      <c r="AN980" s="1352"/>
      <c r="AO980" s="1352"/>
      <c r="AP980" s="1352"/>
      <c r="AQ980" s="1352"/>
      <c r="AR980" s="1352"/>
      <c r="AS980" s="1352"/>
      <c r="AT980" s="523"/>
      <c r="AU980" s="523"/>
      <c r="AV980" s="523"/>
      <c r="AW980" s="523"/>
      <c r="AX980" s="523"/>
      <c r="AY980" s="523"/>
      <c r="AZ980" s="523"/>
      <c r="BA980" s="523"/>
      <c r="BB980" s="523"/>
      <c r="BC980" s="523"/>
      <c r="BD980" s="523"/>
      <c r="BE980" s="523"/>
      <c r="BF980" s="523"/>
      <c r="BG980" s="523"/>
      <c r="BH980" s="523"/>
      <c r="BI980" s="523"/>
    </row>
    <row r="981" spans="1:61" ht="15" customHeight="1" x14ac:dyDescent="0.2">
      <c r="A981" s="1507">
        <v>7</v>
      </c>
      <c r="B981" s="1516" t="s">
        <v>5294</v>
      </c>
      <c r="C981" s="1516"/>
      <c r="D981" s="1516"/>
      <c r="E981" s="1516"/>
      <c r="F981" s="1511"/>
      <c r="G981" s="1509" t="str">
        <f>IF(IFERROR(SEARCH("Mandatory",M981),FALSE),"P","")</f>
        <v>P</v>
      </c>
      <c r="H981" s="1510" t="s">
        <v>3198</v>
      </c>
      <c r="I981" s="192" t="s">
        <v>3651</v>
      </c>
      <c r="J981" s="531"/>
      <c r="K981" s="531"/>
      <c r="L981" s="1712" t="s">
        <v>4062</v>
      </c>
      <c r="M981" s="1732" t="str">
        <f>IF(R981,"Mandatory","N/A")</f>
        <v>Mandatory</v>
      </c>
      <c r="N981" s="193"/>
      <c r="O981" s="918"/>
      <c r="P981" s="991" t="b">
        <v>1</v>
      </c>
      <c r="Q981" s="991" t="b">
        <v>1</v>
      </c>
      <c r="R981" s="195" t="b">
        <f>S981</f>
        <v>1</v>
      </c>
      <c r="S981" s="723" t="b">
        <v>1</v>
      </c>
      <c r="T981" s="195" t="b">
        <f>AND(NOT(S981),W981=TRUE)</f>
        <v>0</v>
      </c>
      <c r="U981" s="195" t="str">
        <f>SUBSTITUTE(SUBSTITUTE(SUBSTITUTE("dd"&amp;B981&amp;C981&amp;D981&amp;E981&amp;F981,".","_"),"(","_"),")","")</f>
        <v>dd701_4_3_4</v>
      </c>
      <c r="V981" s="195"/>
      <c r="W981" s="12" t="s">
        <v>2588</v>
      </c>
      <c r="X981" s="1601"/>
      <c r="Y981" s="1874" t="str">
        <f>IF(LEN('11.700'!X107)=0,"None",'11.700'!X107)</f>
        <v>None</v>
      </c>
      <c r="Z981" s="1889"/>
      <c r="AB981" s="523"/>
      <c r="AC981" s="1198" t="b">
        <f t="shared" ref="AC981" si="74">OR(AD981:AE981)</f>
        <v>0</v>
      </c>
      <c r="AD981" s="1198" t="b">
        <f t="shared" ref="AD981" si="75">T981</f>
        <v>0</v>
      </c>
      <c r="AE981" s="1198" t="b">
        <f t="shared" ref="AE981" si="76">AND(R981,OR(W981="Not Met",W981=""))</f>
        <v>0</v>
      </c>
      <c r="AF981" s="720"/>
      <c r="AG981" s="523"/>
      <c r="AH981" s="523"/>
      <c r="AI981" s="523"/>
      <c r="AJ981" s="523"/>
      <c r="AK981" s="523"/>
      <c r="AL981" s="1352" t="str">
        <f>SUBSTITUTE(SUBSTITUTE(SUBSTITUTE("vpa"&amp;$B981&amp;$C981&amp;$D981&amp;$E981&amp;$F981,".","_"),"(","_"),")","")</f>
        <v>vpa701_4_3_4</v>
      </c>
      <c r="AM981" s="1352" t="str">
        <f>M981</f>
        <v>Mandatory</v>
      </c>
      <c r="AN981" s="1352"/>
      <c r="AO981" s="1352"/>
      <c r="AP981" s="1352" t="str">
        <f>SUBSTITUTE(SUBSTITUTE(SUBSTITUTE("vch"&amp;$B981&amp;$C981&amp;$D981&amp;$E981&amp;$F981,".","_"),"(","_"),")","")</f>
        <v>vch701_4_3_4</v>
      </c>
      <c r="AQ981" s="1352" t="str">
        <f>IF(LEN(W981)=0,"",W981)</f>
        <v>Met</v>
      </c>
      <c r="AR981" s="1352" t="str">
        <f>SUBSTITUTE(SUBSTITUTE(SUBSTITUTE("vnt"&amp;$B981&amp;$C981&amp;$D981&amp;$E981&amp;$F981,".","_"),"(","_"),")","")</f>
        <v>vnt701_4_3_4</v>
      </c>
      <c r="AS981" s="1352" t="str">
        <f>IF(LEN(X981)=0,"",X981)</f>
        <v/>
      </c>
      <c r="AT981" s="523"/>
      <c r="AU981" s="523"/>
      <c r="AV981" s="523"/>
      <c r="AW981" s="523"/>
      <c r="AX981" s="523"/>
      <c r="AY981" s="523"/>
      <c r="AZ981" s="523"/>
      <c r="BA981" s="523"/>
      <c r="BB981" s="523"/>
      <c r="BC981" s="523"/>
      <c r="BD981" s="523"/>
      <c r="BE981" s="523"/>
      <c r="BF981" s="523"/>
      <c r="BG981" s="523"/>
      <c r="BH981" s="523"/>
      <c r="BI981" s="523"/>
    </row>
    <row r="982" spans="1:61" ht="15" customHeight="1" x14ac:dyDescent="0.2">
      <c r="A982" s="1507">
        <v>7</v>
      </c>
      <c r="B982" s="1516" t="s">
        <v>5294</v>
      </c>
      <c r="C982" s="1516"/>
      <c r="D982" s="1516"/>
      <c r="E982" s="1516"/>
      <c r="F982" s="1511"/>
      <c r="G982" s="1509" t="str">
        <f t="shared" ref="G982:G990" si="77">G981</f>
        <v>P</v>
      </c>
      <c r="H982" s="1510" t="s">
        <v>3198</v>
      </c>
      <c r="I982" s="129"/>
      <c r="J982" s="528"/>
      <c r="K982" s="528"/>
      <c r="L982" s="1629"/>
      <c r="M982" s="1697"/>
      <c r="N982" s="129"/>
      <c r="O982" s="908"/>
      <c r="P982" s="991"/>
      <c r="Q982" s="991"/>
      <c r="R982" s="991"/>
      <c r="S982" s="991"/>
      <c r="T982" s="991"/>
      <c r="U982" s="991"/>
      <c r="V982" s="96"/>
      <c r="W982" s="96"/>
      <c r="X982" s="1601"/>
      <c r="Y982" s="1874"/>
      <c r="Z982" s="1889"/>
      <c r="AB982" s="523"/>
      <c r="AC982" s="523"/>
      <c r="AD982" s="523"/>
      <c r="AE982" s="523"/>
      <c r="AF982" s="523"/>
      <c r="AG982" s="523"/>
      <c r="AH982" s="523"/>
      <c r="AI982" s="523"/>
      <c r="AJ982" s="523"/>
      <c r="AK982" s="523"/>
      <c r="AL982" s="1352"/>
      <c r="AM982" s="1352"/>
      <c r="AN982" s="1352"/>
      <c r="AO982" s="1352"/>
      <c r="AP982" s="1352"/>
      <c r="AQ982" s="1352"/>
      <c r="AR982" s="1352"/>
      <c r="AS982" s="1352"/>
      <c r="AT982" s="523"/>
      <c r="AU982" s="523"/>
      <c r="AV982" s="523"/>
      <c r="AW982" s="523"/>
      <c r="AX982" s="523"/>
      <c r="AY982" s="523"/>
      <c r="AZ982" s="523"/>
      <c r="BA982" s="523"/>
      <c r="BB982" s="523"/>
      <c r="BC982" s="523"/>
      <c r="BD982" s="523"/>
      <c r="BE982" s="523"/>
      <c r="BF982" s="523"/>
      <c r="BG982" s="523"/>
      <c r="BH982" s="523"/>
      <c r="BI982" s="523"/>
    </row>
    <row r="983" spans="1:61" x14ac:dyDescent="0.2">
      <c r="A983" s="1507">
        <v>7</v>
      </c>
      <c r="B983" s="1516" t="s">
        <v>5294</v>
      </c>
      <c r="C983" s="1516"/>
      <c r="D983" s="1516"/>
      <c r="E983" s="1516"/>
      <c r="F983" s="1511"/>
      <c r="G983" s="1509" t="str">
        <f t="shared" si="77"/>
        <v>P</v>
      </c>
      <c r="H983" s="1510" t="s">
        <v>3198</v>
      </c>
      <c r="I983" s="129"/>
      <c r="J983" s="528"/>
      <c r="K983" s="528"/>
      <c r="L983" s="1629"/>
      <c r="M983" s="1697"/>
      <c r="N983" s="129"/>
      <c r="O983" s="908"/>
      <c r="P983" s="991"/>
      <c r="Q983" s="991"/>
      <c r="R983" s="991"/>
      <c r="S983" s="991"/>
      <c r="T983" s="991"/>
      <c r="U983" s="991"/>
      <c r="V983" s="96"/>
      <c r="W983" s="96"/>
      <c r="X983" s="1601"/>
      <c r="Y983" s="1874"/>
      <c r="Z983" s="1889"/>
      <c r="AB983" s="523"/>
      <c r="AC983" s="523"/>
      <c r="AD983" s="523"/>
      <c r="AE983" s="523"/>
      <c r="AF983" s="523"/>
      <c r="AG983" s="523"/>
      <c r="AH983" s="523"/>
      <c r="AI983" s="523"/>
      <c r="AJ983" s="523"/>
      <c r="AK983" s="523"/>
      <c r="AL983" s="1352"/>
      <c r="AM983" s="1352"/>
      <c r="AN983" s="1352"/>
      <c r="AO983" s="1352"/>
      <c r="AP983" s="1352"/>
      <c r="AQ983" s="1352"/>
      <c r="AR983" s="1352"/>
      <c r="AS983" s="1352"/>
      <c r="AT983" s="523"/>
      <c r="AU983" s="523"/>
      <c r="AV983" s="523"/>
      <c r="AW983" s="523"/>
      <c r="AX983" s="523"/>
      <c r="AY983" s="523"/>
      <c r="AZ983" s="523"/>
      <c r="BA983" s="523"/>
      <c r="BB983" s="523"/>
      <c r="BC983" s="523"/>
      <c r="BD983" s="523"/>
      <c r="BE983" s="523"/>
      <c r="BF983" s="523"/>
      <c r="BG983" s="523"/>
      <c r="BH983" s="523"/>
      <c r="BI983" s="523"/>
    </row>
    <row r="984" spans="1:61" s="905" customFormat="1" x14ac:dyDescent="0.2">
      <c r="A984" s="1507">
        <v>7</v>
      </c>
      <c r="B984" s="1516" t="s">
        <v>5294</v>
      </c>
      <c r="C984" s="1516"/>
      <c r="D984" s="1516"/>
      <c r="E984" s="1516"/>
      <c r="F984" s="1511"/>
      <c r="G984" s="1509" t="str">
        <f t="shared" si="77"/>
        <v>P</v>
      </c>
      <c r="H984" s="1510" t="s">
        <v>3198</v>
      </c>
      <c r="I984" s="129"/>
      <c r="J984" s="928"/>
      <c r="K984" s="928"/>
      <c r="L984" s="1629"/>
      <c r="M984" s="1697"/>
      <c r="N984" s="129"/>
      <c r="O984" s="908"/>
      <c r="P984" s="991"/>
      <c r="Q984" s="991"/>
      <c r="R984" s="991"/>
      <c r="S984" s="991"/>
      <c r="T984" s="991"/>
      <c r="U984" s="991"/>
      <c r="V984" s="991"/>
      <c r="W984" s="991"/>
      <c r="X984" s="1601"/>
      <c r="Y984" s="1874"/>
      <c r="Z984" s="1889"/>
      <c r="AL984" s="1352"/>
      <c r="AM984" s="1352"/>
      <c r="AN984" s="1352"/>
      <c r="AO984" s="1352"/>
      <c r="AP984" s="1352"/>
      <c r="AQ984" s="1352"/>
      <c r="AR984" s="1352"/>
      <c r="AS984" s="1352"/>
    </row>
    <row r="985" spans="1:61" s="905" customFormat="1" x14ac:dyDescent="0.2">
      <c r="A985" s="1507">
        <v>7</v>
      </c>
      <c r="B985" s="1516" t="s">
        <v>5294</v>
      </c>
      <c r="C985" s="1516"/>
      <c r="D985" s="1516"/>
      <c r="E985" s="1516"/>
      <c r="F985" s="1511"/>
      <c r="G985" s="1509" t="str">
        <f t="shared" si="77"/>
        <v>P</v>
      </c>
      <c r="H985" s="1510" t="s">
        <v>3198</v>
      </c>
      <c r="I985" s="129"/>
      <c r="J985" s="928"/>
      <c r="K985" s="928"/>
      <c r="L985" s="1629"/>
      <c r="M985" s="1697"/>
      <c r="N985" s="129"/>
      <c r="O985" s="908"/>
      <c r="P985" s="991"/>
      <c r="Q985" s="991"/>
      <c r="R985" s="991"/>
      <c r="S985" s="991"/>
      <c r="T985" s="991"/>
      <c r="U985" s="991"/>
      <c r="V985" s="991"/>
      <c r="W985" s="991"/>
      <c r="X985" s="1601"/>
      <c r="Y985" s="1874"/>
      <c r="Z985" s="1889"/>
      <c r="AL985" s="1352"/>
      <c r="AM985" s="1352"/>
      <c r="AN985" s="1352"/>
      <c r="AO985" s="1352"/>
      <c r="AP985" s="1352"/>
      <c r="AQ985" s="1352"/>
      <c r="AR985" s="1352"/>
      <c r="AS985" s="1352"/>
    </row>
    <row r="986" spans="1:61" s="905" customFormat="1" x14ac:dyDescent="0.2">
      <c r="A986" s="1507">
        <v>7</v>
      </c>
      <c r="B986" s="1516" t="s">
        <v>5294</v>
      </c>
      <c r="C986" s="1516"/>
      <c r="D986" s="1516"/>
      <c r="E986" s="1516"/>
      <c r="F986" s="1511"/>
      <c r="G986" s="1509" t="str">
        <f t="shared" si="77"/>
        <v>P</v>
      </c>
      <c r="H986" s="1510" t="s">
        <v>3198</v>
      </c>
      <c r="I986" s="129"/>
      <c r="J986" s="928"/>
      <c r="K986" s="928"/>
      <c r="L986" s="1629"/>
      <c r="M986" s="1697"/>
      <c r="N986" s="129"/>
      <c r="O986" s="908"/>
      <c r="P986" s="991"/>
      <c r="Q986" s="991"/>
      <c r="R986" s="991"/>
      <c r="S986" s="991"/>
      <c r="T986" s="991"/>
      <c r="U986" s="991"/>
      <c r="V986" s="991"/>
      <c r="W986" s="991"/>
      <c r="X986" s="1601"/>
      <c r="Y986" s="1874"/>
      <c r="Z986" s="1889"/>
      <c r="AL986" s="1352"/>
      <c r="AM986" s="1352"/>
      <c r="AN986" s="1352"/>
      <c r="AO986" s="1352"/>
      <c r="AP986" s="1352"/>
      <c r="AQ986" s="1352"/>
      <c r="AR986" s="1352"/>
      <c r="AS986" s="1352"/>
    </row>
    <row r="987" spans="1:61" s="905" customFormat="1" x14ac:dyDescent="0.2">
      <c r="A987" s="1507">
        <v>7</v>
      </c>
      <c r="B987" s="1516" t="s">
        <v>5294</v>
      </c>
      <c r="C987" s="1516"/>
      <c r="D987" s="1516"/>
      <c r="E987" s="1516"/>
      <c r="F987" s="1511"/>
      <c r="G987" s="1509" t="str">
        <f t="shared" si="77"/>
        <v>P</v>
      </c>
      <c r="H987" s="1510" t="s">
        <v>3198</v>
      </c>
      <c r="I987" s="129"/>
      <c r="J987" s="928"/>
      <c r="K987" s="928"/>
      <c r="L987" s="1629"/>
      <c r="M987" s="1697"/>
      <c r="N987" s="129"/>
      <c r="O987" s="908"/>
      <c r="P987" s="991"/>
      <c r="Q987" s="991"/>
      <c r="R987" s="991"/>
      <c r="S987" s="991"/>
      <c r="T987" s="991"/>
      <c r="U987" s="991"/>
      <c r="V987" s="991"/>
      <c r="W987" s="991"/>
      <c r="X987" s="1601"/>
      <c r="Y987" s="1874"/>
      <c r="Z987" s="1889"/>
      <c r="AL987" s="1352"/>
      <c r="AM987" s="1352"/>
      <c r="AN987" s="1352"/>
      <c r="AO987" s="1352"/>
      <c r="AP987" s="1352"/>
      <c r="AQ987" s="1352"/>
      <c r="AR987" s="1352"/>
      <c r="AS987" s="1352"/>
    </row>
    <row r="988" spans="1:61" x14ac:dyDescent="0.2">
      <c r="A988" s="1507">
        <v>7</v>
      </c>
      <c r="B988" s="1516" t="s">
        <v>5294</v>
      </c>
      <c r="C988" s="1516"/>
      <c r="D988" s="1516"/>
      <c r="E988" s="1516"/>
      <c r="F988" s="1511"/>
      <c r="G988" s="1509" t="str">
        <f t="shared" si="77"/>
        <v>P</v>
      </c>
      <c r="H988" s="1510" t="s">
        <v>3198</v>
      </c>
      <c r="I988" s="129"/>
      <c r="J988" s="528"/>
      <c r="K988" s="528"/>
      <c r="L988" s="1629" t="s">
        <v>4063</v>
      </c>
      <c r="M988" s="1697"/>
      <c r="N988" s="129"/>
      <c r="O988" s="908"/>
      <c r="P988" s="991"/>
      <c r="Q988" s="991"/>
      <c r="R988" s="991"/>
      <c r="S988" s="991"/>
      <c r="T988" s="991"/>
      <c r="U988" s="991"/>
      <c r="V988" s="96"/>
      <c r="W988" s="96"/>
      <c r="X988" s="1601"/>
      <c r="Y988" s="1874"/>
      <c r="Z988" s="1889"/>
      <c r="AB988" s="523"/>
      <c r="AC988" s="523"/>
      <c r="AD988" s="523"/>
      <c r="AE988" s="523"/>
      <c r="AF988" s="523"/>
      <c r="AG988" s="523"/>
      <c r="AH988" s="523"/>
      <c r="AI988" s="523"/>
      <c r="AJ988" s="523"/>
      <c r="AK988" s="523"/>
      <c r="AL988" s="1352"/>
      <c r="AM988" s="1352"/>
      <c r="AN988" s="1352"/>
      <c r="AO988" s="1352"/>
      <c r="AP988" s="1352"/>
      <c r="AQ988" s="1352"/>
      <c r="AR988" s="1352"/>
      <c r="AS988" s="1352"/>
      <c r="AT988" s="523"/>
      <c r="AU988" s="523"/>
      <c r="AV988" s="523"/>
      <c r="AW988" s="523"/>
      <c r="AX988" s="523"/>
      <c r="AY988" s="523"/>
      <c r="AZ988" s="523"/>
      <c r="BA988" s="523"/>
      <c r="BB988" s="523"/>
      <c r="BC988" s="523"/>
      <c r="BD988" s="523"/>
      <c r="BE988" s="523"/>
      <c r="BF988" s="523"/>
      <c r="BG988" s="523"/>
      <c r="BH988" s="523"/>
      <c r="BI988" s="523"/>
    </row>
    <row r="989" spans="1:61" x14ac:dyDescent="0.2">
      <c r="A989" s="1507">
        <v>7</v>
      </c>
      <c r="B989" s="1516" t="s">
        <v>5294</v>
      </c>
      <c r="C989" s="1516"/>
      <c r="D989" s="1516"/>
      <c r="E989" s="1516"/>
      <c r="F989" s="1511"/>
      <c r="G989" s="1509" t="str">
        <f t="shared" si="77"/>
        <v>P</v>
      </c>
      <c r="H989" s="1510" t="s">
        <v>3198</v>
      </c>
      <c r="I989" s="129"/>
      <c r="J989" s="528"/>
      <c r="K989" s="528"/>
      <c r="L989" s="1629"/>
      <c r="M989" s="1697"/>
      <c r="N989" s="129"/>
      <c r="O989" s="908"/>
      <c r="P989" s="991"/>
      <c r="Q989" s="991"/>
      <c r="R989" s="991"/>
      <c r="S989" s="991"/>
      <c r="T989" s="991"/>
      <c r="U989" s="991"/>
      <c r="V989" s="96"/>
      <c r="W989" s="96"/>
      <c r="X989" s="1601"/>
      <c r="Y989" s="1874"/>
      <c r="Z989" s="1889"/>
      <c r="AB989" s="523"/>
      <c r="AC989" s="523"/>
      <c r="AD989" s="523"/>
      <c r="AE989" s="523"/>
      <c r="AF989" s="523"/>
      <c r="AG989" s="523"/>
      <c r="AH989" s="523"/>
      <c r="AI989" s="523"/>
      <c r="AJ989" s="523"/>
      <c r="AK989" s="523"/>
      <c r="AL989" s="1352"/>
      <c r="AM989" s="1352"/>
      <c r="AN989" s="1352"/>
      <c r="AO989" s="1352"/>
      <c r="AP989" s="1352"/>
      <c r="AQ989" s="1352"/>
      <c r="AR989" s="1352"/>
      <c r="AS989" s="1352"/>
      <c r="AT989" s="523"/>
      <c r="AU989" s="523"/>
      <c r="AV989" s="523"/>
      <c r="AW989" s="523"/>
      <c r="AX989" s="523"/>
      <c r="AY989" s="523"/>
      <c r="AZ989" s="523"/>
      <c r="BA989" s="523"/>
      <c r="BB989" s="523"/>
      <c r="BC989" s="523"/>
      <c r="BD989" s="523"/>
      <c r="BE989" s="523"/>
      <c r="BF989" s="523"/>
      <c r="BG989" s="523"/>
      <c r="BH989" s="523"/>
      <c r="BI989" s="523"/>
    </row>
    <row r="990" spans="1:61" x14ac:dyDescent="0.2">
      <c r="A990" s="1507">
        <v>7</v>
      </c>
      <c r="B990" s="1516" t="s">
        <v>5294</v>
      </c>
      <c r="C990" s="1516"/>
      <c r="D990" s="1516"/>
      <c r="E990" s="1516"/>
      <c r="F990" s="1511"/>
      <c r="G990" s="1509" t="str">
        <f t="shared" si="77"/>
        <v>P</v>
      </c>
      <c r="H990" s="1510" t="s">
        <v>3198</v>
      </c>
      <c r="I990" s="213"/>
      <c r="J990" s="529"/>
      <c r="K990" s="529"/>
      <c r="L990" s="1696"/>
      <c r="M990" s="1698"/>
      <c r="N990" s="213"/>
      <c r="O990" s="909"/>
      <c r="P990" s="173"/>
      <c r="Q990" s="173"/>
      <c r="R990" s="173"/>
      <c r="S990" s="173"/>
      <c r="T990" s="173"/>
      <c r="U990" s="173"/>
      <c r="V990" s="173"/>
      <c r="W990" s="173"/>
      <c r="X990" s="1601"/>
      <c r="Y990" s="1874"/>
      <c r="Z990" s="1889"/>
      <c r="AB990" s="523"/>
      <c r="AC990" s="523"/>
      <c r="AD990" s="523"/>
      <c r="AE990" s="523"/>
      <c r="AF990" s="523"/>
      <c r="AG990" s="523"/>
      <c r="AH990" s="523"/>
      <c r="AI990" s="523"/>
      <c r="AJ990" s="523"/>
      <c r="AK990" s="523"/>
      <c r="AL990" s="1352"/>
      <c r="AM990" s="1352"/>
      <c r="AN990" s="1352"/>
      <c r="AO990" s="1352"/>
      <c r="AP990" s="1352"/>
      <c r="AQ990" s="1352"/>
      <c r="AR990" s="1352"/>
      <c r="AS990" s="1352"/>
      <c r="AT990" s="523"/>
      <c r="AU990" s="523"/>
      <c r="AV990" s="523"/>
      <c r="AW990" s="523"/>
      <c r="AX990" s="523"/>
      <c r="AY990" s="523"/>
      <c r="AZ990" s="523"/>
      <c r="BA990" s="523"/>
      <c r="BB990" s="523"/>
      <c r="BC990" s="523"/>
      <c r="BD990" s="523"/>
      <c r="BE990" s="523"/>
      <c r="BF990" s="523"/>
      <c r="BG990" s="523"/>
      <c r="BH990" s="523"/>
      <c r="BI990" s="523"/>
    </row>
    <row r="991" spans="1:61" x14ac:dyDescent="0.2">
      <c r="A991" s="1507">
        <v>7</v>
      </c>
      <c r="B991" s="1516" t="s">
        <v>5295</v>
      </c>
      <c r="C991" s="1516"/>
      <c r="D991" s="1516"/>
      <c r="E991" s="1516"/>
      <c r="F991" s="1511"/>
      <c r="G991" s="1509" t="str">
        <f>IF(IFERROR(SEARCH("Mandatory",M991),FALSE),"P","")</f>
        <v>P</v>
      </c>
      <c r="H991" s="1510" t="s">
        <v>3198</v>
      </c>
      <c r="I991" s="192" t="s">
        <v>3652</v>
      </c>
      <c r="J991" s="531"/>
      <c r="K991" s="531"/>
      <c r="L991" s="1712" t="s">
        <v>4862</v>
      </c>
      <c r="M991" s="1732" t="str">
        <f>IF(R991,"Mandatory","N/A")</f>
        <v>Mandatory</v>
      </c>
      <c r="N991" s="193"/>
      <c r="O991" s="918"/>
      <c r="P991" s="991" t="b">
        <v>1</v>
      </c>
      <c r="Q991" s="991" t="b">
        <v>1</v>
      </c>
      <c r="R991" s="195" t="b">
        <f>S991</f>
        <v>1</v>
      </c>
      <c r="S991" s="723" t="b">
        <v>1</v>
      </c>
      <c r="T991" s="195" t="b">
        <f>AND(NOT(S991),LEN(W991)&gt;0)</f>
        <v>0</v>
      </c>
      <c r="U991" s="195" t="str">
        <f>SUBSTITUTE(SUBSTITUTE(SUBSTITUTE("dd"&amp;B991&amp;C991&amp;D991&amp;E991&amp;F991,".","_"),"(","_"),")","")</f>
        <v>dd701_4_3_5</v>
      </c>
      <c r="V991" s="195"/>
      <c r="W991" s="12" t="s">
        <v>2588</v>
      </c>
      <c r="X991" s="1601"/>
      <c r="Y991" s="1874" t="str">
        <f>IF(LEN('11.700'!X117)=0,"None",'11.700'!X117)</f>
        <v>None</v>
      </c>
      <c r="Z991" s="1889"/>
      <c r="AB991" s="523"/>
      <c r="AC991" s="523" t="b">
        <f>OR(AD991:AE991)</f>
        <v>0</v>
      </c>
      <c r="AD991" s="523" t="b">
        <f>T991</f>
        <v>0</v>
      </c>
      <c r="AE991" s="523" t="b">
        <f>AND(R991,OR(W991="Not Met",W991=""))</f>
        <v>0</v>
      </c>
      <c r="AF991" s="720"/>
      <c r="AG991" s="523"/>
      <c r="AH991" s="523"/>
      <c r="AI991" s="523"/>
      <c r="AJ991" s="523"/>
      <c r="AK991" s="523"/>
      <c r="AL991" s="1352" t="str">
        <f>SUBSTITUTE(SUBSTITUTE(SUBSTITUTE("vpa"&amp;$B991&amp;$C991&amp;$D991&amp;$E991&amp;$F991,".","_"),"(","_"),")","")</f>
        <v>vpa701_4_3_5</v>
      </c>
      <c r="AM991" s="1352" t="str">
        <f>M991</f>
        <v>Mandatory</v>
      </c>
      <c r="AN991" s="1352"/>
      <c r="AO991" s="1352"/>
      <c r="AP991" s="1352" t="str">
        <f>SUBSTITUTE(SUBSTITUTE(SUBSTITUTE("vch"&amp;$B991&amp;$C991&amp;$D991&amp;$E991&amp;$F991,".","_"),"(","_"),")","")</f>
        <v>vch701_4_3_5</v>
      </c>
      <c r="AQ991" s="1352" t="str">
        <f>IF(LEN(W991)=0,"",W991)</f>
        <v>Met</v>
      </c>
      <c r="AR991" s="1352" t="str">
        <f>SUBSTITUTE(SUBSTITUTE(SUBSTITUTE("vnt"&amp;$B991&amp;$C991&amp;$D991&amp;$E991&amp;$F991,".","_"),"(","_"),")","")</f>
        <v>vnt701_4_3_5</v>
      </c>
      <c r="AS991" s="1352" t="str">
        <f>IF(LEN(X991)=0,"",X991)</f>
        <v/>
      </c>
      <c r="AT991" s="523"/>
      <c r="AU991" s="523"/>
      <c r="AV991" s="523"/>
      <c r="AW991" s="523"/>
      <c r="AX991" s="523"/>
      <c r="AY991" s="523"/>
      <c r="AZ991" s="523"/>
      <c r="BA991" s="523"/>
      <c r="BB991" s="523"/>
      <c r="BC991" s="523"/>
      <c r="BD991" s="523"/>
      <c r="BE991" s="523"/>
      <c r="BF991" s="523"/>
      <c r="BG991" s="523"/>
      <c r="BH991" s="523"/>
      <c r="BI991" s="523"/>
    </row>
    <row r="992" spans="1:61" x14ac:dyDescent="0.2">
      <c r="A992" s="1507">
        <v>7</v>
      </c>
      <c r="B992" s="1516" t="s">
        <v>5295</v>
      </c>
      <c r="C992" s="1516"/>
      <c r="D992" s="1516"/>
      <c r="E992" s="1516"/>
      <c r="F992" s="1511"/>
      <c r="G992" s="1509" t="str">
        <f t="shared" ref="G992:G997" si="78">G991</f>
        <v>P</v>
      </c>
      <c r="H992" s="1510" t="s">
        <v>3198</v>
      </c>
      <c r="I992" s="129"/>
      <c r="J992" s="528"/>
      <c r="K992" s="528"/>
      <c r="L992" s="1629"/>
      <c r="M992" s="1697"/>
      <c r="N992" s="129"/>
      <c r="O992" s="908"/>
      <c r="P992" s="991"/>
      <c r="Q992" s="991"/>
      <c r="R992" s="991"/>
      <c r="S992" s="991"/>
      <c r="T992" s="991"/>
      <c r="U992" s="991"/>
      <c r="V992" s="96"/>
      <c r="W992" s="96"/>
      <c r="X992" s="1601"/>
      <c r="Y992" s="1874"/>
      <c r="Z992" s="1889"/>
      <c r="AB992" s="523"/>
      <c r="AC992" s="523"/>
      <c r="AD992" s="523"/>
      <c r="AE992" s="523"/>
      <c r="AF992" s="523"/>
      <c r="AG992" s="523"/>
      <c r="AH992" s="523"/>
      <c r="AI992" s="523"/>
      <c r="AJ992" s="523"/>
      <c r="AK992" s="523"/>
      <c r="AL992" s="1352"/>
      <c r="AM992" s="1352"/>
      <c r="AN992" s="1352"/>
      <c r="AO992" s="1352"/>
      <c r="AP992" s="1352"/>
      <c r="AQ992" s="1352"/>
      <c r="AR992" s="1352"/>
      <c r="AS992" s="1352"/>
      <c r="AT992" s="523"/>
      <c r="AU992" s="523"/>
      <c r="AV992" s="523"/>
      <c r="AW992" s="523"/>
      <c r="AX992" s="523"/>
      <c r="AY992" s="523"/>
      <c r="AZ992" s="523"/>
      <c r="BA992" s="523"/>
      <c r="BB992" s="523"/>
      <c r="BC992" s="523"/>
      <c r="BD992" s="523"/>
      <c r="BE992" s="523"/>
      <c r="BF992" s="523"/>
      <c r="BG992" s="523"/>
      <c r="BH992" s="523"/>
      <c r="BI992" s="523"/>
    </row>
    <row r="993" spans="1:61" x14ac:dyDescent="0.2">
      <c r="A993" s="1507">
        <v>7</v>
      </c>
      <c r="B993" s="1516" t="s">
        <v>5295</v>
      </c>
      <c r="C993" s="1516"/>
      <c r="D993" s="1516"/>
      <c r="E993" s="1516"/>
      <c r="F993" s="1511"/>
      <c r="G993" s="1509" t="str">
        <f t="shared" si="78"/>
        <v>P</v>
      </c>
      <c r="H993" s="1510" t="s">
        <v>3198</v>
      </c>
      <c r="I993" s="129"/>
      <c r="J993" s="528"/>
      <c r="K993" s="528"/>
      <c r="L993" s="1629"/>
      <c r="M993" s="1697"/>
      <c r="N993" s="129"/>
      <c r="O993" s="908"/>
      <c r="P993" s="991"/>
      <c r="Q993" s="991"/>
      <c r="R993" s="991"/>
      <c r="S993" s="991"/>
      <c r="T993" s="991"/>
      <c r="U993" s="991"/>
      <c r="V993" s="96"/>
      <c r="W993" s="96"/>
      <c r="X993" s="1601"/>
      <c r="Y993" s="1874"/>
      <c r="Z993" s="1889"/>
      <c r="AB993" s="523"/>
      <c r="AC993" s="523"/>
      <c r="AD993" s="523"/>
      <c r="AE993" s="523"/>
      <c r="AF993" s="523"/>
      <c r="AG993" s="523"/>
      <c r="AH993" s="523"/>
      <c r="AI993" s="523"/>
      <c r="AJ993" s="523"/>
      <c r="AK993" s="523"/>
      <c r="AL993" s="1352"/>
      <c r="AM993" s="1352"/>
      <c r="AN993" s="1352"/>
      <c r="AO993" s="1352"/>
      <c r="AP993" s="1352"/>
      <c r="AQ993" s="1352"/>
      <c r="AR993" s="1352"/>
      <c r="AS993" s="1352"/>
      <c r="AT993" s="523"/>
      <c r="AU993" s="523"/>
      <c r="AV993" s="523"/>
      <c r="AW993" s="523"/>
      <c r="AX993" s="523"/>
      <c r="AY993" s="523"/>
      <c r="AZ993" s="523"/>
      <c r="BA993" s="523"/>
      <c r="BB993" s="523"/>
      <c r="BC993" s="523"/>
      <c r="BD993" s="523"/>
      <c r="BE993" s="523"/>
      <c r="BF993" s="523"/>
      <c r="BG993" s="523"/>
      <c r="BH993" s="523"/>
      <c r="BI993" s="523"/>
    </row>
    <row r="994" spans="1:61" x14ac:dyDescent="0.2">
      <c r="A994" s="1507">
        <v>7</v>
      </c>
      <c r="B994" s="1516" t="s">
        <v>5295</v>
      </c>
      <c r="C994" s="1516"/>
      <c r="D994" s="1516"/>
      <c r="E994" s="1516"/>
      <c r="F994" s="1511"/>
      <c r="G994" s="1509" t="str">
        <f t="shared" si="78"/>
        <v>P</v>
      </c>
      <c r="H994" s="1510" t="s">
        <v>3198</v>
      </c>
      <c r="I994" s="129"/>
      <c r="J994" s="528"/>
      <c r="K994" s="528"/>
      <c r="L994" s="1629"/>
      <c r="M994" s="1697"/>
      <c r="N994" s="129"/>
      <c r="O994" s="908"/>
      <c r="P994" s="991"/>
      <c r="Q994" s="991"/>
      <c r="R994" s="991"/>
      <c r="S994" s="991"/>
      <c r="T994" s="991"/>
      <c r="U994" s="991"/>
      <c r="V994" s="96"/>
      <c r="W994" s="96"/>
      <c r="X994" s="1601"/>
      <c r="Y994" s="1874"/>
      <c r="Z994" s="1889"/>
      <c r="AB994" s="523"/>
      <c r="AC994" s="523"/>
      <c r="AD994" s="523"/>
      <c r="AE994" s="523"/>
      <c r="AF994" s="523"/>
      <c r="AG994" s="523"/>
      <c r="AH994" s="523"/>
      <c r="AI994" s="523"/>
      <c r="AJ994" s="523"/>
      <c r="AK994" s="523"/>
      <c r="AL994" s="1352"/>
      <c r="AM994" s="1352"/>
      <c r="AN994" s="1352"/>
      <c r="AO994" s="1352"/>
      <c r="AP994" s="1352"/>
      <c r="AQ994" s="1352"/>
      <c r="AR994" s="1352"/>
      <c r="AS994" s="1352"/>
      <c r="AT994" s="523"/>
      <c r="AU994" s="523"/>
      <c r="AV994" s="523"/>
      <c r="AW994" s="523"/>
      <c r="AX994" s="523"/>
      <c r="AY994" s="523"/>
      <c r="AZ994" s="523"/>
      <c r="BA994" s="523"/>
      <c r="BB994" s="523"/>
      <c r="BC994" s="523"/>
      <c r="BD994" s="523"/>
      <c r="BE994" s="523"/>
      <c r="BF994" s="523"/>
      <c r="BG994" s="523"/>
      <c r="BH994" s="523"/>
      <c r="BI994" s="523"/>
    </row>
    <row r="995" spans="1:61" s="905" customFormat="1" x14ac:dyDescent="0.2">
      <c r="A995" s="1507">
        <v>7</v>
      </c>
      <c r="B995" s="1516" t="s">
        <v>5295</v>
      </c>
      <c r="C995" s="1516"/>
      <c r="D995" s="1516"/>
      <c r="E995" s="1516"/>
      <c r="F995" s="1511"/>
      <c r="G995" s="1509" t="str">
        <f t="shared" si="78"/>
        <v>P</v>
      </c>
      <c r="H995" s="1510" t="s">
        <v>3198</v>
      </c>
      <c r="I995" s="129"/>
      <c r="J995" s="928"/>
      <c r="K995" s="928"/>
      <c r="L995" s="1629"/>
      <c r="M995" s="1697"/>
      <c r="N995" s="129"/>
      <c r="O995" s="908"/>
      <c r="P995" s="991"/>
      <c r="Q995" s="991"/>
      <c r="R995" s="991"/>
      <c r="S995" s="991"/>
      <c r="T995" s="991"/>
      <c r="U995" s="991"/>
      <c r="V995" s="991"/>
      <c r="W995" s="991"/>
      <c r="X995" s="1601"/>
      <c r="Y995" s="1874"/>
      <c r="Z995" s="1889"/>
      <c r="AL995" s="1352"/>
      <c r="AM995" s="1352"/>
      <c r="AN995" s="1352"/>
      <c r="AO995" s="1352"/>
      <c r="AP995" s="1352"/>
      <c r="AQ995" s="1352"/>
      <c r="AR995" s="1352"/>
      <c r="AS995" s="1352"/>
    </row>
    <row r="996" spans="1:61" x14ac:dyDescent="0.2">
      <c r="A996" s="1507">
        <v>7</v>
      </c>
      <c r="B996" s="1516" t="s">
        <v>5295</v>
      </c>
      <c r="C996" s="1516"/>
      <c r="D996" s="1516"/>
      <c r="E996" s="1516"/>
      <c r="F996" s="1511"/>
      <c r="G996" s="1509" t="str">
        <f t="shared" si="78"/>
        <v>P</v>
      </c>
      <c r="H996" s="1510" t="s">
        <v>3198</v>
      </c>
      <c r="I996" s="129"/>
      <c r="J996" s="528"/>
      <c r="K996" s="528"/>
      <c r="L996" s="1629"/>
      <c r="M996" s="1697"/>
      <c r="N996" s="129"/>
      <c r="O996" s="908"/>
      <c r="P996" s="991"/>
      <c r="Q996" s="991"/>
      <c r="R996" s="991"/>
      <c r="S996" s="991"/>
      <c r="T996" s="991"/>
      <c r="U996" s="991"/>
      <c r="V996" s="96"/>
      <c r="W996" s="96"/>
      <c r="X996" s="1601"/>
      <c r="Y996" s="1874"/>
      <c r="Z996" s="1889"/>
      <c r="AB996" s="523"/>
      <c r="AC996" s="523"/>
      <c r="AD996" s="523"/>
      <c r="AE996" s="523"/>
      <c r="AF996" s="523"/>
      <c r="AG996" s="523"/>
      <c r="AH996" s="523"/>
      <c r="AI996" s="523"/>
      <c r="AJ996" s="523"/>
      <c r="AK996" s="523"/>
      <c r="AL996" s="1352"/>
      <c r="AM996" s="1352"/>
      <c r="AN996" s="1352"/>
      <c r="AO996" s="1352"/>
      <c r="AP996" s="1352"/>
      <c r="AQ996" s="1352"/>
      <c r="AR996" s="1352"/>
      <c r="AS996" s="1352"/>
      <c r="AT996" s="523"/>
      <c r="AU996" s="523"/>
      <c r="AV996" s="523"/>
      <c r="AW996" s="523"/>
      <c r="AX996" s="523"/>
      <c r="AY996" s="523"/>
      <c r="AZ996" s="523"/>
      <c r="BA996" s="523"/>
      <c r="BB996" s="523"/>
      <c r="BC996" s="523"/>
      <c r="BD996" s="523"/>
      <c r="BE996" s="523"/>
      <c r="BF996" s="523"/>
      <c r="BG996" s="523"/>
      <c r="BH996" s="523"/>
      <c r="BI996" s="523"/>
    </row>
    <row r="997" spans="1:61" x14ac:dyDescent="0.2">
      <c r="A997" s="1507">
        <v>7</v>
      </c>
      <c r="B997" s="1516" t="s">
        <v>5295</v>
      </c>
      <c r="C997" s="1516"/>
      <c r="D997" s="1516"/>
      <c r="E997" s="1516"/>
      <c r="F997" s="1511"/>
      <c r="G997" s="1509" t="str">
        <f t="shared" si="78"/>
        <v>P</v>
      </c>
      <c r="H997" s="1510" t="s">
        <v>3198</v>
      </c>
      <c r="I997" s="213"/>
      <c r="J997" s="529"/>
      <c r="K997" s="529"/>
      <c r="L997" s="1696"/>
      <c r="M997" s="1698"/>
      <c r="N997" s="213"/>
      <c r="O997" s="909"/>
      <c r="P997" s="173"/>
      <c r="Q997" s="173"/>
      <c r="R997" s="173"/>
      <c r="S997" s="173"/>
      <c r="T997" s="173"/>
      <c r="U997" s="173"/>
      <c r="V997" s="173"/>
      <c r="W997" s="173"/>
      <c r="X997" s="1601"/>
      <c r="Y997" s="1874"/>
      <c r="Z997" s="1889"/>
      <c r="AB997" s="523"/>
      <c r="AC997" s="523"/>
      <c r="AD997" s="523"/>
      <c r="AE997" s="523"/>
      <c r="AF997" s="523"/>
      <c r="AG997" s="523"/>
      <c r="AH997" s="523"/>
      <c r="AI997" s="523"/>
      <c r="AJ997" s="523"/>
      <c r="AK997" s="523"/>
      <c r="AL997" s="1352"/>
      <c r="AM997" s="1352"/>
      <c r="AN997" s="1352"/>
      <c r="AO997" s="1352"/>
      <c r="AP997" s="1352"/>
      <c r="AQ997" s="1352"/>
      <c r="AR997" s="1352"/>
      <c r="AS997" s="1352"/>
      <c r="AT997" s="523"/>
      <c r="AU997" s="523"/>
      <c r="AV997" s="523"/>
      <c r="AW997" s="523"/>
      <c r="AX997" s="523"/>
      <c r="AY997" s="523"/>
      <c r="AZ997" s="523"/>
      <c r="BA997" s="523"/>
      <c r="BB997" s="523"/>
      <c r="BC997" s="523"/>
      <c r="BD997" s="523"/>
      <c r="BE997" s="523"/>
      <c r="BF997" s="523"/>
      <c r="BG997" s="523"/>
      <c r="BH997" s="523"/>
      <c r="BI997" s="523"/>
    </row>
    <row r="998" spans="1:61" x14ac:dyDescent="0.2">
      <c r="A998" s="1507">
        <v>7</v>
      </c>
      <c r="B998" s="1516" t="s">
        <v>672</v>
      </c>
      <c r="C998" s="1516"/>
      <c r="D998" s="1516"/>
      <c r="E998" s="1516"/>
      <c r="F998" s="1511"/>
      <c r="G998" s="1509" t="str">
        <f>IF(IFERROR(SEARCH("Mandatory",M998),FALSE),"P","")</f>
        <v>P</v>
      </c>
      <c r="H998" s="1510" t="s">
        <v>3197</v>
      </c>
      <c r="I998" s="67" t="s">
        <v>3653</v>
      </c>
      <c r="J998" s="530"/>
      <c r="K998" s="530"/>
      <c r="L998" s="1631" t="s">
        <v>4065</v>
      </c>
      <c r="M998" s="1697" t="str">
        <f>IF(R998,"Mandatory","N/A")</f>
        <v>Mandatory</v>
      </c>
      <c r="N998" s="4"/>
      <c r="O998" s="935"/>
      <c r="P998" s="991" t="b">
        <v>1</v>
      </c>
      <c r="Q998" s="991" t="b">
        <v>1</v>
      </c>
      <c r="R998" s="905" t="b">
        <v>1</v>
      </c>
      <c r="S998" s="723" t="b">
        <v>1</v>
      </c>
      <c r="T998" s="991" t="b">
        <f>AND(NOT(S998),W998=TRUE)</f>
        <v>0</v>
      </c>
      <c r="U998" s="905"/>
      <c r="V998" s="523"/>
      <c r="W998" s="27" t="b">
        <v>1</v>
      </c>
      <c r="X998" s="1600"/>
      <c r="Y998" s="1874" t="str">
        <f>IF(LEN('11.700'!X124)=0,"None",'11.700'!X124)</f>
        <v>None</v>
      </c>
      <c r="Z998" s="1600"/>
      <c r="AB998" s="523"/>
      <c r="AC998" s="1150" t="b">
        <f>OR(AD998:AE998)</f>
        <v>0</v>
      </c>
      <c r="AD998" s="1150" t="b">
        <f>T998</f>
        <v>0</v>
      </c>
      <c r="AE998" s="1150" t="b">
        <f>AND(R998,NOT(W998))</f>
        <v>0</v>
      </c>
      <c r="AF998" s="523"/>
      <c r="AG998" s="523"/>
      <c r="AH998" s="523"/>
      <c r="AI998" s="523"/>
      <c r="AJ998" s="523"/>
      <c r="AK998" s="523"/>
      <c r="AL998" s="1352" t="str">
        <f>SUBSTITUTE(SUBSTITUTE(SUBSTITUTE("vpa"&amp;$B998&amp;$C998&amp;$D998&amp;$E998&amp;$F998,".","_"),"(","_"),")","")</f>
        <v>vpa701_4_4</v>
      </c>
      <c r="AM998" s="1352" t="str">
        <f>M998</f>
        <v>Mandatory</v>
      </c>
      <c r="AN998" s="1352"/>
      <c r="AO998" s="1352"/>
      <c r="AP998" s="1352" t="str">
        <f>SUBSTITUTE(SUBSTITUTE(SUBSTITUTE("vch"&amp;$B998&amp;$C998&amp;$D998&amp;$E998&amp;$F998,".","_"),"(","_"),")","")</f>
        <v>vch701_4_4</v>
      </c>
      <c r="AQ998" s="1352" t="b">
        <f>IF(LEN(W998)=0,"",W998)</f>
        <v>1</v>
      </c>
      <c r="AR998" s="1352" t="str">
        <f>SUBSTITUTE(SUBSTITUTE(SUBSTITUTE("vnt"&amp;$B998&amp;$C998&amp;$D998&amp;$E998&amp;$F998,".","_"),"(","_"),")","")</f>
        <v>vnt701_4_4</v>
      </c>
      <c r="AS998" s="1352" t="str">
        <f>IF(LEN(X998)=0,"",X998)</f>
        <v/>
      </c>
      <c r="AT998" s="523"/>
      <c r="AU998" s="523"/>
      <c r="AV998" s="523"/>
      <c r="AW998" s="523"/>
      <c r="AX998" s="523"/>
      <c r="AY998" s="523"/>
      <c r="AZ998" s="523"/>
      <c r="BA998" s="523"/>
      <c r="BB998" s="523"/>
      <c r="BC998" s="523"/>
      <c r="BD998" s="523"/>
      <c r="BE998" s="523"/>
      <c r="BF998" s="523"/>
      <c r="BG998" s="523"/>
      <c r="BH998" s="523"/>
      <c r="BI998" s="523"/>
    </row>
    <row r="999" spans="1:61" x14ac:dyDescent="0.2">
      <c r="A999" s="1507">
        <v>7</v>
      </c>
      <c r="B999" s="1516" t="s">
        <v>672</v>
      </c>
      <c r="C999" s="1516"/>
      <c r="D999" s="1516"/>
      <c r="E999" s="1516"/>
      <c r="F999" s="1511"/>
      <c r="G999" s="1509" t="str">
        <f>G998</f>
        <v>P</v>
      </c>
      <c r="H999" s="1510" t="s">
        <v>3197</v>
      </c>
      <c r="I999" s="213"/>
      <c r="J999" s="1133"/>
      <c r="K999" s="1133"/>
      <c r="L999" s="1631"/>
      <c r="M999" s="1697"/>
      <c r="N999" s="213"/>
      <c r="O999" s="909"/>
      <c r="P999" s="905"/>
      <c r="Q999" s="905"/>
      <c r="R999" s="905"/>
      <c r="S999" s="905"/>
      <c r="T999" s="905"/>
      <c r="U999" s="905"/>
      <c r="V999" s="523"/>
      <c r="W999" s="523"/>
      <c r="X999" s="1600"/>
      <c r="Y999" s="1874"/>
      <c r="Z999" s="1600"/>
      <c r="AB999" s="523"/>
      <c r="AC999" s="1150"/>
      <c r="AD999" s="1150"/>
      <c r="AE999" s="1150"/>
      <c r="AF999" s="523"/>
      <c r="AG999" s="523"/>
      <c r="AH999" s="523"/>
      <c r="AI999" s="523"/>
      <c r="AJ999" s="523"/>
      <c r="AK999" s="523"/>
      <c r="AL999" s="1352"/>
      <c r="AM999" s="1352"/>
      <c r="AN999" s="1352"/>
      <c r="AO999" s="1352"/>
      <c r="AP999" s="1352"/>
      <c r="AQ999" s="1352"/>
      <c r="AR999" s="1352"/>
      <c r="AS999" s="1352"/>
      <c r="AT999" s="523"/>
      <c r="AU999" s="523"/>
      <c r="AV999" s="523"/>
      <c r="AW999" s="523"/>
      <c r="AX999" s="523"/>
      <c r="AY999" s="523"/>
      <c r="AZ999" s="523"/>
      <c r="BA999" s="523"/>
      <c r="BB999" s="523"/>
      <c r="BC999" s="523"/>
      <c r="BD999" s="523"/>
      <c r="BE999" s="523"/>
      <c r="BF999" s="523"/>
      <c r="BG999" s="523"/>
      <c r="BH999" s="523"/>
      <c r="BI999" s="523"/>
    </row>
    <row r="1000" spans="1:61" ht="15" hidden="1" customHeight="1" x14ac:dyDescent="0.2">
      <c r="A1000" s="1507">
        <v>7</v>
      </c>
      <c r="B1000" s="1516" t="s">
        <v>673</v>
      </c>
      <c r="C1000" s="1516"/>
      <c r="D1000" s="1516"/>
      <c r="E1000" s="1516"/>
      <c r="F1000" s="1511"/>
      <c r="G1000" s="1509" t="str">
        <f ca="1">IF(IFERROR(SEARCH("Mandatory",M1000),FALSE),"P","")</f>
        <v/>
      </c>
      <c r="H1000" s="1510" t="s">
        <v>3198</v>
      </c>
      <c r="I1000" s="67" t="s">
        <v>3654</v>
      </c>
      <c r="J1000" s="530"/>
      <c r="K1000" s="530"/>
      <c r="L1000" s="1699" t="s">
        <v>4863</v>
      </c>
      <c r="M1000" s="1732" t="str">
        <f ca="1">IF(R1000,"Mandatory","N/A")</f>
        <v>N/A</v>
      </c>
      <c r="N1000" s="4"/>
      <c r="O1000" s="935"/>
      <c r="P1000" s="991" t="b">
        <v>1</v>
      </c>
      <c r="Q1000" s="991" t="b">
        <v>0</v>
      </c>
      <c r="R1000" s="905" t="b">
        <f ca="1">S1000</f>
        <v>0</v>
      </c>
      <c r="S1000" s="722" t="b">
        <f ca="1">AND(OR(AY910=INDEX(INDIRECT('Overview (Design)'!$E$38),2),AY911=INDEX(INDIRECT('Overview (Design)'!$E$38),2),AY912=INDEX(INDIRECT('Overview (Design)'!$E$38),2)))</f>
        <v>0</v>
      </c>
      <c r="T1000" s="991" t="b">
        <f ca="1">AND(NOT(S1000),W1000=TRUE)</f>
        <v>0</v>
      </c>
      <c r="U1000" s="905"/>
      <c r="V1000" s="523"/>
      <c r="W1000" s="781"/>
      <c r="X1000" s="1621"/>
      <c r="Y1000" s="1875" t="str">
        <f>IF(LEN('11.700'!X126)=0,"None",'11.700'!X126)</f>
        <v>None</v>
      </c>
      <c r="Z1000" s="1878"/>
      <c r="AB1000" s="523"/>
      <c r="AC1000" s="1150" t="b">
        <f ca="1">OR(AD1000:AE1000)</f>
        <v>0</v>
      </c>
      <c r="AD1000" s="1150" t="b">
        <f ca="1">T1000</f>
        <v>0</v>
      </c>
      <c r="AE1000" s="1150" t="b">
        <f ca="1">AND(R1000,NOT(W1000))</f>
        <v>0</v>
      </c>
      <c r="AF1000" s="1150" t="b">
        <f ca="1">AND(AE1000,NOT(Q1000))</f>
        <v>0</v>
      </c>
      <c r="AG1000" s="523"/>
      <c r="AH1000" s="523"/>
      <c r="AI1000" s="523"/>
      <c r="AJ1000" s="523"/>
      <c r="AK1000" s="523"/>
      <c r="AL1000" s="1352" t="str">
        <f>SUBSTITUTE(SUBSTITUTE(SUBSTITUTE("vpa"&amp;$B1000&amp;$C1000&amp;$D1000&amp;$E1000&amp;$F1000,".","_"),"(","_"),")","")</f>
        <v>vpa701_4_5</v>
      </c>
      <c r="AM1000" s="1352" t="str">
        <f ca="1">M1000</f>
        <v>N/A</v>
      </c>
      <c r="AN1000" s="1352"/>
      <c r="AO1000" s="1352"/>
      <c r="AP1000" s="1352" t="str">
        <f>SUBSTITUTE(SUBSTITUTE(SUBSTITUTE("vch"&amp;$B1000&amp;$C1000&amp;$D1000&amp;$E1000&amp;$F1000,".","_"),"(","_"),")","")</f>
        <v>vch701_4_5</v>
      </c>
      <c r="AQ1000" s="1352" t="str">
        <f>IF(LEN(W1000)=0,"",W1000)</f>
        <v/>
      </c>
      <c r="AR1000" s="1352" t="str">
        <f>SUBSTITUTE(SUBSTITUTE(SUBSTITUTE("vnt"&amp;$B1000&amp;$C1000&amp;$D1000&amp;$E1000&amp;$F1000,".","_"),"(","_"),")","")</f>
        <v>vnt701_4_5</v>
      </c>
      <c r="AS1000" s="1352" t="str">
        <f>IF(LEN(X1000)=0,"",X1000)</f>
        <v/>
      </c>
      <c r="AT1000" s="523"/>
      <c r="AU1000" s="523"/>
      <c r="AV1000" s="523"/>
      <c r="AW1000" s="523"/>
      <c r="AX1000" s="523"/>
      <c r="AY1000" s="523"/>
      <c r="AZ1000" s="523"/>
      <c r="BA1000" s="523"/>
      <c r="BB1000" s="523"/>
      <c r="BC1000" s="523"/>
      <c r="BD1000" s="523"/>
      <c r="BE1000" s="523"/>
      <c r="BF1000" s="523"/>
      <c r="BG1000" s="523"/>
      <c r="BH1000" s="523"/>
      <c r="BI1000" s="523"/>
    </row>
    <row r="1001" spans="1:61" s="905" customFormat="1" ht="15" hidden="1" customHeight="1" x14ac:dyDescent="0.2">
      <c r="A1001" s="1507">
        <v>7</v>
      </c>
      <c r="B1001" s="1516" t="s">
        <v>673</v>
      </c>
      <c r="C1001" s="1516"/>
      <c r="D1001" s="1516"/>
      <c r="E1001" s="1516"/>
      <c r="F1001" s="1511"/>
      <c r="G1001" s="1509" t="str">
        <f ca="1">G1000</f>
        <v/>
      </c>
      <c r="H1001" s="1510" t="s">
        <v>3198</v>
      </c>
      <c r="I1001" s="67"/>
      <c r="J1001" s="947"/>
      <c r="K1001" s="947"/>
      <c r="L1001" s="1728"/>
      <c r="M1001" s="1697"/>
      <c r="N1001" s="4"/>
      <c r="O1001" s="935"/>
      <c r="P1001" s="991"/>
      <c r="Q1001" s="991"/>
      <c r="T1001" s="991"/>
      <c r="V1001"/>
      <c r="W1001"/>
      <c r="X1001" s="1632"/>
      <c r="Y1001" s="1876"/>
      <c r="Z1001" s="1879"/>
      <c r="AL1001" s="1352"/>
      <c r="AM1001" s="1352"/>
      <c r="AN1001" s="1352"/>
      <c r="AO1001" s="1352"/>
      <c r="AP1001" s="1352"/>
      <c r="AQ1001" s="1352"/>
      <c r="AR1001" s="1352"/>
      <c r="AS1001" s="1352"/>
    </row>
    <row r="1002" spans="1:61" s="764" customFormat="1" hidden="1" x14ac:dyDescent="0.2">
      <c r="A1002" s="1507">
        <v>7</v>
      </c>
      <c r="B1002" s="1516" t="s">
        <v>673</v>
      </c>
      <c r="C1002" s="1516"/>
      <c r="D1002" s="1516"/>
      <c r="E1002" s="1516"/>
      <c r="F1002" s="1511"/>
      <c r="G1002" s="1509" t="str">
        <f ca="1">G1001</f>
        <v/>
      </c>
      <c r="H1002" s="1510" t="s">
        <v>3198</v>
      </c>
      <c r="I1002" s="67"/>
      <c r="J1002" s="771"/>
      <c r="K1002" s="771"/>
      <c r="L1002" s="1700"/>
      <c r="M1002" s="1697"/>
      <c r="N1002" s="4"/>
      <c r="O1002" s="935"/>
      <c r="P1002" s="991"/>
      <c r="Q1002" s="991"/>
      <c r="R1002" s="905"/>
      <c r="S1002" s="905"/>
      <c r="T1002" s="991"/>
      <c r="U1002" s="905"/>
      <c r="W1002"/>
      <c r="X1002" s="1632"/>
      <c r="Y1002" s="1877"/>
      <c r="Z1002" s="1880"/>
      <c r="AL1002" s="1352"/>
      <c r="AM1002" s="1352"/>
      <c r="AN1002" s="1352"/>
      <c r="AO1002" s="1352"/>
      <c r="AP1002" s="1352"/>
      <c r="AQ1002" s="1352"/>
      <c r="AR1002" s="1352"/>
      <c r="AS1002" s="1352"/>
    </row>
    <row r="1003" spans="1:61" s="764" customFormat="1" x14ac:dyDescent="0.2">
      <c r="A1003" s="1507">
        <v>7</v>
      </c>
      <c r="B1003" s="1516" t="s">
        <v>3862</v>
      </c>
      <c r="C1003" s="1516"/>
      <c r="D1003" s="1516"/>
      <c r="E1003" s="1516"/>
      <c r="F1003" s="1511"/>
      <c r="G1003" s="1509" t="str">
        <f>IF(IFERROR(SEARCH("Mandatory",M1003),FALSE),"P","")</f>
        <v>P</v>
      </c>
      <c r="H1003" s="1510" t="s">
        <v>3198</v>
      </c>
      <c r="I1003" s="192" t="s">
        <v>3859</v>
      </c>
      <c r="J1003" s="772"/>
      <c r="K1003" s="772"/>
      <c r="L1003" s="1699" t="s">
        <v>3866</v>
      </c>
      <c r="M1003" s="1732" t="str">
        <f>IF(R1003,"Mandatory","N/A")</f>
        <v>Mandatory</v>
      </c>
      <c r="N1003" s="193"/>
      <c r="O1003" s="918"/>
      <c r="P1003" s="991" t="b">
        <v>1</v>
      </c>
      <c r="Q1003" s="991" t="b">
        <v>1</v>
      </c>
      <c r="R1003" s="195" t="b">
        <f>S1003</f>
        <v>1</v>
      </c>
      <c r="S1003" s="723" t="b">
        <v>1</v>
      </c>
      <c r="T1003" s="195" t="b">
        <f>AND(NOT(S1003),LEN(W1003)&gt;0)</f>
        <v>0</v>
      </c>
      <c r="U1003" s="195" t="str">
        <f>SUBSTITUTE(SUBSTITUTE(SUBSTITUTE("dd"&amp;B1003&amp;C1003&amp;D1003&amp;E1003&amp;F1003,".","_"),"(","_"),")","")</f>
        <v>dd701_4_6</v>
      </c>
      <c r="W1003" s="12" t="s">
        <v>2588</v>
      </c>
      <c r="X1003" s="1621"/>
      <c r="Y1003" s="1875" t="str">
        <f>IF(LEN('11.700'!X129)=0,"None",'11.700'!X129)</f>
        <v>None</v>
      </c>
      <c r="Z1003" s="1878"/>
      <c r="AC1003" s="1198" t="b">
        <f t="shared" ref="AC1003" si="79">OR(AD1003:AE1003)</f>
        <v>0</v>
      </c>
      <c r="AD1003" s="1198" t="b">
        <f t="shared" ref="AD1003" si="80">T1003</f>
        <v>0</v>
      </c>
      <c r="AE1003" s="1198" t="b">
        <f t="shared" ref="AE1003" si="81">AND(R1003,OR(W1003="Not Met",W1003=""))</f>
        <v>0</v>
      </c>
      <c r="AF1003"/>
      <c r="AL1003" s="1352" t="str">
        <f>SUBSTITUTE(SUBSTITUTE(SUBSTITUTE("vpa"&amp;$B1003&amp;$C1003&amp;$D1003&amp;$E1003&amp;$F1003,".","_"),"(","_"),")","")</f>
        <v>vpa701_4_6</v>
      </c>
      <c r="AM1003" s="1352" t="str">
        <f>M1003</f>
        <v>Mandatory</v>
      </c>
      <c r="AN1003" s="1352"/>
      <c r="AO1003" s="1352"/>
      <c r="AP1003" s="1352" t="str">
        <f>SUBSTITUTE(SUBSTITUTE(SUBSTITUTE("vch"&amp;$B1003&amp;$C1003&amp;$D1003&amp;$E1003&amp;$F1003,".","_"),"(","_"),")","")</f>
        <v>vch701_4_6</v>
      </c>
      <c r="AQ1003" s="1352" t="str">
        <f>IF(LEN(W1003)=0,"",W1003)</f>
        <v>Met</v>
      </c>
      <c r="AR1003" s="1352" t="str">
        <f>SUBSTITUTE(SUBSTITUTE(SUBSTITUTE("vnt"&amp;$B1003&amp;$C1003&amp;$D1003&amp;$E1003&amp;$F1003,".","_"),"(","_"),")","")</f>
        <v>vnt701_4_6</v>
      </c>
      <c r="AS1003" s="1352" t="str">
        <f>IF(LEN(X1003)=0,"",X1003)</f>
        <v/>
      </c>
    </row>
    <row r="1004" spans="1:61" s="764" customFormat="1" x14ac:dyDescent="0.2">
      <c r="A1004" s="1507">
        <v>7</v>
      </c>
      <c r="B1004" s="1516" t="s">
        <v>3862</v>
      </c>
      <c r="C1004" s="1516"/>
      <c r="D1004" s="1516"/>
      <c r="E1004" s="1516"/>
      <c r="F1004" s="1511"/>
      <c r="G1004" s="1509" t="str">
        <f>G1003</f>
        <v>P</v>
      </c>
      <c r="H1004" s="1510" t="s">
        <v>3198</v>
      </c>
      <c r="I1004" s="130"/>
      <c r="J1004" s="765"/>
      <c r="K1004" s="765"/>
      <c r="L1004" s="1728"/>
      <c r="M1004" s="1697"/>
      <c r="N1004" s="129"/>
      <c r="O1004" s="908"/>
      <c r="P1004" s="905"/>
      <c r="Q1004" s="905"/>
      <c r="R1004" s="905"/>
      <c r="S1004" s="905"/>
      <c r="T1004" s="905"/>
      <c r="U1004" s="905"/>
      <c r="X1004" s="1632"/>
      <c r="Y1004" s="1876"/>
      <c r="Z1004" s="1879"/>
      <c r="AC1004" s="1198"/>
      <c r="AD1004" s="1198"/>
      <c r="AE1004" s="1198"/>
      <c r="AL1004" s="1352"/>
      <c r="AM1004" s="1352"/>
      <c r="AN1004" s="1352"/>
      <c r="AO1004" s="1352"/>
      <c r="AP1004" s="1352"/>
      <c r="AQ1004" s="1352"/>
      <c r="AR1004" s="1352"/>
      <c r="AS1004" s="1352"/>
    </row>
    <row r="1005" spans="1:61" s="764" customFormat="1" x14ac:dyDescent="0.2">
      <c r="A1005" s="1507">
        <v>7</v>
      </c>
      <c r="B1005" s="1516" t="s">
        <v>3862</v>
      </c>
      <c r="C1005" s="1516"/>
      <c r="D1005" s="1516"/>
      <c r="E1005" s="1516"/>
      <c r="F1005" s="1511"/>
      <c r="G1005" s="1509" t="str">
        <f>G1004</f>
        <v>P</v>
      </c>
      <c r="H1005" s="1510" t="s">
        <v>3198</v>
      </c>
      <c r="I1005" s="130"/>
      <c r="J1005" s="1251"/>
      <c r="K1005" s="1251"/>
      <c r="L1005" s="1728"/>
      <c r="M1005" s="1697"/>
      <c r="N1005" s="905"/>
      <c r="O1005" s="905"/>
      <c r="P1005" s="905"/>
      <c r="Q1005" s="905"/>
      <c r="R1005" s="905"/>
      <c r="S1005" s="905"/>
      <c r="T1005" s="905"/>
      <c r="U1005" s="905"/>
      <c r="X1005" s="1632"/>
      <c r="Y1005" s="1876"/>
      <c r="Z1005" s="1879"/>
      <c r="AC1005" s="1198"/>
      <c r="AD1005" s="1198"/>
      <c r="AE1005" s="1198"/>
      <c r="AL1005" s="1352"/>
      <c r="AM1005" s="1352"/>
      <c r="AN1005" s="1352"/>
      <c r="AO1005" s="1352"/>
      <c r="AP1005" s="1352"/>
      <c r="AQ1005" s="1352"/>
      <c r="AR1005" s="1352"/>
      <c r="AS1005" s="1352"/>
    </row>
    <row r="1006" spans="1:61" s="1250" customFormat="1" x14ac:dyDescent="0.2">
      <c r="A1006" s="1507">
        <v>7</v>
      </c>
      <c r="B1006" s="1516" t="s">
        <v>3862</v>
      </c>
      <c r="C1006" s="1516"/>
      <c r="D1006" s="1516"/>
      <c r="E1006" s="1516"/>
      <c r="F1006" s="1511"/>
      <c r="G1006" s="1509" t="str">
        <f>G1005</f>
        <v>P</v>
      </c>
      <c r="H1006" s="1510" t="s">
        <v>3198</v>
      </c>
      <c r="I1006" s="219"/>
      <c r="J1006" s="1252"/>
      <c r="K1006" s="1252"/>
      <c r="L1006" s="441" t="s">
        <v>5089</v>
      </c>
      <c r="M1006" s="1253"/>
      <c r="X1006" s="1599"/>
      <c r="Y1006" s="1877"/>
      <c r="Z1006" s="1880"/>
      <c r="AL1006" s="1352"/>
      <c r="AM1006" s="1352"/>
      <c r="AN1006" s="1352"/>
      <c r="AO1006" s="1352"/>
      <c r="AP1006" s="1352"/>
      <c r="AQ1006" s="1352"/>
      <c r="AR1006" s="1352"/>
      <c r="AS1006" s="1352"/>
    </row>
    <row r="1007" spans="1:61" s="764" customFormat="1" x14ac:dyDescent="0.2">
      <c r="A1007" s="1507">
        <v>7</v>
      </c>
      <c r="B1007" s="1516" t="s">
        <v>3863</v>
      </c>
      <c r="C1007" s="1516"/>
      <c r="D1007" s="1516"/>
      <c r="E1007" s="1516"/>
      <c r="F1007" s="1511"/>
      <c r="G1007" s="1509" t="str">
        <f>IF(IFERROR(SEARCH("Mandatory",M1007),FALSE),"P","")</f>
        <v>P</v>
      </c>
      <c r="H1007" s="1510" t="s">
        <v>3198</v>
      </c>
      <c r="I1007" s="67" t="s">
        <v>3860</v>
      </c>
      <c r="J1007" s="771"/>
      <c r="K1007" s="771"/>
      <c r="L1007" s="1699" t="s">
        <v>3865</v>
      </c>
      <c r="M1007" s="1732" t="str">
        <f>IF(R1007,"Mandatory","N/A")</f>
        <v>Mandatory</v>
      </c>
      <c r="N1007" s="193"/>
      <c r="O1007" s="918"/>
      <c r="P1007" s="991" t="b">
        <v>1</v>
      </c>
      <c r="Q1007" s="991" t="b">
        <v>1</v>
      </c>
      <c r="R1007" s="195" t="b">
        <f>S1007</f>
        <v>1</v>
      </c>
      <c r="S1007" s="723" t="b">
        <v>1</v>
      </c>
      <c r="T1007" s="195" t="b">
        <f>AND(NOT(S1007),LEN(W1007)&gt;0)</f>
        <v>0</v>
      </c>
      <c r="U1007" s="195" t="str">
        <f>SUBSTITUTE(SUBSTITUTE(SUBSTITUTE("dd"&amp;B1007&amp;C1007&amp;D1007&amp;E1007&amp;F1007,".","_"),"(","_"),")","")</f>
        <v>dd701_4_7</v>
      </c>
      <c r="V1007" s="991"/>
      <c r="W1007" s="12" t="s">
        <v>2588</v>
      </c>
      <c r="X1007" s="1601"/>
      <c r="Y1007" s="1881" t="str">
        <f>IF(LEN('11.700'!X133)=0,"None",'11.700'!X133)</f>
        <v>None</v>
      </c>
      <c r="Z1007" s="1891"/>
      <c r="AC1007" s="1198" t="b">
        <f t="shared" ref="AC1007" si="82">OR(AD1007:AE1007)</f>
        <v>0</v>
      </c>
      <c r="AD1007" s="1198" t="b">
        <f t="shared" ref="AD1007" si="83">T1007</f>
        <v>0</v>
      </c>
      <c r="AE1007" s="1198" t="b">
        <f t="shared" ref="AE1007" si="84">AND(R1007,OR(W1007="Not Met",W1007=""))</f>
        <v>0</v>
      </c>
      <c r="AF1007"/>
      <c r="AL1007" s="1352" t="str">
        <f>SUBSTITUTE(SUBSTITUTE(SUBSTITUTE("vpa"&amp;$B1007&amp;$C1007&amp;$D1007&amp;$E1007&amp;$F1007,".","_"),"(","_"),")","")</f>
        <v>vpa701_4_7</v>
      </c>
      <c r="AM1007" s="1352" t="str">
        <f>M1007</f>
        <v>Mandatory</v>
      </c>
      <c r="AN1007" s="1352"/>
      <c r="AO1007" s="1352"/>
      <c r="AP1007" s="1352" t="str">
        <f>SUBSTITUTE(SUBSTITUTE(SUBSTITUTE("vch"&amp;$B1007&amp;$C1007&amp;$D1007&amp;$E1007&amp;$F1007,".","_"),"(","_"),")","")</f>
        <v>vch701_4_7</v>
      </c>
      <c r="AQ1007" s="1352" t="str">
        <f>IF(LEN(W1007)=0,"",W1007)</f>
        <v>Met</v>
      </c>
      <c r="AR1007" s="1352" t="str">
        <f>SUBSTITUTE(SUBSTITUTE(SUBSTITUTE("vnt"&amp;$B1007&amp;$C1007&amp;$D1007&amp;$E1007&amp;$F1007,".","_"),"(","_"),")","")</f>
        <v>vnt701_4_7</v>
      </c>
      <c r="AS1007" s="1352" t="str">
        <f>IF(LEN(X1007)=0,"",X1007)</f>
        <v/>
      </c>
    </row>
    <row r="1008" spans="1:61" s="764" customFormat="1" x14ac:dyDescent="0.2">
      <c r="A1008" s="1507">
        <v>7</v>
      </c>
      <c r="B1008" s="1516" t="s">
        <v>3863</v>
      </c>
      <c r="C1008" s="1516"/>
      <c r="D1008" s="1516"/>
      <c r="E1008" s="1516"/>
      <c r="F1008" s="1511"/>
      <c r="G1008" s="1509" t="str">
        <f>G1007</f>
        <v>P</v>
      </c>
      <c r="H1008" s="1510" t="s">
        <v>3198</v>
      </c>
      <c r="I1008" s="67"/>
      <c r="J1008" s="771"/>
      <c r="K1008" s="771"/>
      <c r="L1008" s="1728"/>
      <c r="M1008" s="1697"/>
      <c r="N1008" s="129"/>
      <c r="O1008" s="908"/>
      <c r="P1008" s="991"/>
      <c r="Q1008" s="991"/>
      <c r="R1008" s="991"/>
      <c r="S1008" s="991"/>
      <c r="T1008" s="991"/>
      <c r="U1008" s="991"/>
      <c r="V1008" s="991"/>
      <c r="W1008" s="991"/>
      <c r="X1008" s="1601"/>
      <c r="Y1008" s="1881"/>
      <c r="Z1008" s="1891"/>
      <c r="AL1008" s="1352"/>
      <c r="AM1008" s="1352"/>
      <c r="AN1008" s="1352"/>
      <c r="AO1008" s="1352"/>
      <c r="AP1008" s="1352"/>
      <c r="AQ1008" s="1352"/>
      <c r="AR1008" s="1352"/>
      <c r="AS1008" s="1352"/>
    </row>
    <row r="1009" spans="1:46" s="764" customFormat="1" x14ac:dyDescent="0.2">
      <c r="A1009" s="1507">
        <v>7</v>
      </c>
      <c r="B1009" s="1516" t="s">
        <v>3863</v>
      </c>
      <c r="C1009" s="1516"/>
      <c r="D1009" s="1516"/>
      <c r="E1009" s="1516"/>
      <c r="F1009" s="1511"/>
      <c r="G1009" s="1509" t="str">
        <f>G1008</f>
        <v>P</v>
      </c>
      <c r="H1009" s="1510" t="s">
        <v>3198</v>
      </c>
      <c r="I1009" s="67"/>
      <c r="J1009" s="771"/>
      <c r="K1009" s="771"/>
      <c r="L1009" s="1728"/>
      <c r="M1009" s="1697"/>
      <c r="N1009" s="991"/>
      <c r="O1009" s="991"/>
      <c r="P1009" s="991"/>
      <c r="Q1009" s="991"/>
      <c r="R1009" s="991"/>
      <c r="S1009" s="991"/>
      <c r="T1009" s="991"/>
      <c r="U1009" s="991"/>
      <c r="V1009" s="991"/>
      <c r="W1009" s="991"/>
      <c r="X1009" s="1601"/>
      <c r="Y1009" s="1881"/>
      <c r="Z1009" s="1891"/>
      <c r="AL1009" s="1352"/>
      <c r="AM1009" s="1352"/>
      <c r="AN1009" s="1352"/>
      <c r="AO1009" s="1352"/>
      <c r="AP1009" s="1352"/>
      <c r="AQ1009" s="1352"/>
      <c r="AR1009" s="1352"/>
      <c r="AS1009" s="1352"/>
    </row>
    <row r="1010" spans="1:46" s="764" customFormat="1" ht="16" thickBot="1" x14ac:dyDescent="0.25">
      <c r="A1010" s="1507">
        <v>7</v>
      </c>
      <c r="B1010" s="1516" t="s">
        <v>3863</v>
      </c>
      <c r="C1010" s="1516"/>
      <c r="D1010" s="1516"/>
      <c r="E1010" s="1516"/>
      <c r="F1010" s="1511"/>
      <c r="G1010" s="1509" t="str">
        <f>G1009</f>
        <v>P</v>
      </c>
      <c r="H1010" s="1510" t="s">
        <v>3198</v>
      </c>
      <c r="I1010" s="67"/>
      <c r="J1010" s="771"/>
      <c r="K1010" s="771"/>
      <c r="L1010" s="1728"/>
      <c r="M1010" s="1726"/>
      <c r="N1010" s="239"/>
      <c r="O1010" s="922"/>
      <c r="P1010" s="100"/>
      <c r="Q1010" s="100"/>
      <c r="R1010" s="100"/>
      <c r="S1010" s="100"/>
      <c r="T1010" s="100"/>
      <c r="U1010" s="100"/>
      <c r="V1010" s="100"/>
      <c r="W1010" s="100"/>
      <c r="X1010" s="1602"/>
      <c r="Y1010" s="1882"/>
      <c r="Z1010" s="1892"/>
      <c r="AL1010" s="1352"/>
      <c r="AM1010" s="1352"/>
      <c r="AN1010" s="1352"/>
      <c r="AO1010" s="1352"/>
      <c r="AP1010" s="1352"/>
      <c r="AQ1010" s="1352"/>
      <c r="AR1010" s="1352"/>
      <c r="AS1010" s="1352"/>
    </row>
    <row r="1011" spans="1:46" ht="15.75" customHeight="1" thickTop="1" x14ac:dyDescent="0.2">
      <c r="A1011" s="1507">
        <v>7</v>
      </c>
      <c r="B1011" s="1516" t="s">
        <v>4049</v>
      </c>
      <c r="C1011" s="1536"/>
      <c r="D1011" s="1536"/>
      <c r="E1011" s="1536"/>
      <c r="G1011" s="1509" t="s">
        <v>3200</v>
      </c>
      <c r="H1011" s="1510" t="s">
        <v>3197</v>
      </c>
      <c r="I1011" s="177" t="s">
        <v>4049</v>
      </c>
      <c r="J1011" s="437"/>
      <c r="K1011" s="437"/>
      <c r="L1011" s="1608" t="s">
        <v>4048</v>
      </c>
      <c r="M1011" s="106"/>
      <c r="N1011" s="106"/>
      <c r="O1011" s="106"/>
      <c r="P1011" s="106"/>
      <c r="Q1011" s="106"/>
      <c r="R1011" s="106"/>
      <c r="S1011" s="106"/>
      <c r="T1011"/>
      <c r="U1011"/>
      <c r="V1011"/>
      <c r="W1011"/>
      <c r="X1011"/>
      <c r="Y1011"/>
      <c r="Z1011"/>
      <c r="AA1011"/>
      <c r="AC1011"/>
      <c r="AD1011"/>
      <c r="AE1011"/>
      <c r="AF1011"/>
      <c r="AG1011"/>
      <c r="AH1011"/>
      <c r="AI1011"/>
      <c r="AJ1011"/>
      <c r="AK1011"/>
      <c r="AL1011" s="1352"/>
      <c r="AM1011" s="1352"/>
      <c r="AN1011" s="1352"/>
      <c r="AO1011" s="1352"/>
      <c r="AP1011" s="1352"/>
      <c r="AQ1011" s="1352"/>
      <c r="AR1011" s="1352"/>
      <c r="AS1011" s="1352"/>
      <c r="AT1011"/>
    </row>
    <row r="1012" spans="1:46" s="905" customFormat="1" x14ac:dyDescent="0.2">
      <c r="A1012" s="1507">
        <v>7</v>
      </c>
      <c r="B1012" s="1516" t="s">
        <v>4049</v>
      </c>
      <c r="C1012" s="1536"/>
      <c r="D1012" s="1536"/>
      <c r="E1012" s="1536"/>
      <c r="F1012" s="467"/>
      <c r="G1012" s="1509" t="s">
        <v>3200</v>
      </c>
      <c r="H1012" s="1510" t="s">
        <v>3197</v>
      </c>
      <c r="I1012" s="130"/>
      <c r="J1012" s="1205"/>
      <c r="K1012" s="1205"/>
      <c r="L1012" s="1609"/>
      <c r="M1012" s="1208"/>
      <c r="N1012" s="1208"/>
      <c r="O1012" s="1208"/>
      <c r="P1012" s="1208"/>
      <c r="Q1012" s="1208"/>
      <c r="R1012" s="1208"/>
      <c r="S1012" s="1208"/>
      <c r="AL1012" s="1352"/>
      <c r="AM1012" s="1352"/>
      <c r="AN1012" s="1352"/>
      <c r="AO1012" s="1352"/>
      <c r="AP1012" s="1352"/>
      <c r="AQ1012" s="1352"/>
      <c r="AR1012" s="1352"/>
      <c r="AS1012" s="1352"/>
    </row>
    <row r="1013" spans="1:46" s="808" customFormat="1" x14ac:dyDescent="0.2">
      <c r="A1013" s="1507">
        <v>7</v>
      </c>
      <c r="B1013" s="1516" t="s">
        <v>4049</v>
      </c>
      <c r="C1013" s="1536"/>
      <c r="D1013" s="1536"/>
      <c r="E1013" s="1536"/>
      <c r="F1013" s="467"/>
      <c r="G1013" s="1509" t="s">
        <v>3200</v>
      </c>
      <c r="H1013" s="1510" t="s">
        <v>3197</v>
      </c>
      <c r="I1013" s="130"/>
      <c r="J1013" s="1205"/>
      <c r="K1013" s="1205"/>
      <c r="L1013" s="1609"/>
      <c r="M1013" s="1208"/>
      <c r="N1013" s="1208"/>
      <c r="O1013" s="1208"/>
      <c r="P1013" s="1208"/>
      <c r="Q1013" s="1208"/>
      <c r="R1013" s="1208"/>
      <c r="S1013" s="1208"/>
      <c r="AC1013"/>
      <c r="AD1013"/>
      <c r="AE1013"/>
      <c r="AF1013"/>
      <c r="AL1013" s="1352"/>
      <c r="AM1013" s="1352"/>
      <c r="AN1013" s="1352"/>
      <c r="AO1013" s="1352"/>
      <c r="AP1013" s="1352"/>
      <c r="AQ1013" s="1352"/>
      <c r="AR1013" s="1352"/>
      <c r="AS1013" s="1352"/>
    </row>
    <row r="1014" spans="1:46" s="808" customFormat="1" x14ac:dyDescent="0.2">
      <c r="A1014" s="1507">
        <v>7</v>
      </c>
      <c r="B1014" s="1516" t="s">
        <v>4049</v>
      </c>
      <c r="C1014" s="1536"/>
      <c r="D1014" s="1536"/>
      <c r="E1014" s="1536"/>
      <c r="F1014" s="467"/>
      <c r="G1014" s="1509" t="s">
        <v>3200</v>
      </c>
      <c r="H1014" s="1510" t="s">
        <v>3197</v>
      </c>
      <c r="I1014" s="129"/>
      <c r="J1014" s="1205"/>
      <c r="K1014" s="1205"/>
      <c r="L1014" s="870" t="s">
        <v>5010</v>
      </c>
      <c r="M1014" s="1208"/>
      <c r="N1014" s="1208"/>
      <c r="O1014" s="1208"/>
      <c r="P1014" s="1208"/>
      <c r="Q1014" s="1208"/>
      <c r="R1014" s="1208"/>
      <c r="S1014" s="1208"/>
      <c r="AL1014" s="1352"/>
      <c r="AM1014" s="1352"/>
      <c r="AN1014" s="1352"/>
      <c r="AO1014" s="1352"/>
      <c r="AP1014" s="1352"/>
      <c r="AQ1014" s="1352"/>
      <c r="AR1014" s="1352"/>
      <c r="AS1014" s="1352"/>
    </row>
    <row r="1015" spans="1:46" x14ac:dyDescent="0.2">
      <c r="A1015" s="1507">
        <v>7</v>
      </c>
      <c r="B1015" s="1516" t="s">
        <v>4049</v>
      </c>
      <c r="C1015" s="1536"/>
      <c r="D1015" s="1536"/>
      <c r="E1015" s="1536"/>
      <c r="G1015" s="1509" t="s">
        <v>3200</v>
      </c>
      <c r="H1015" s="1510" t="s">
        <v>3197</v>
      </c>
      <c r="I1015" s="130"/>
      <c r="J1015" s="1205"/>
      <c r="K1015" s="1205"/>
      <c r="L1015" s="1609" t="s">
        <v>4050</v>
      </c>
      <c r="M1015" s="1208"/>
      <c r="N1015" s="1208"/>
      <c r="O1015" s="1208"/>
      <c r="P1015" s="1208"/>
      <c r="Q1015" s="1208"/>
      <c r="R1015" s="1208"/>
      <c r="S1015" s="1208"/>
      <c r="T1015"/>
      <c r="U1015"/>
      <c r="V1015"/>
      <c r="W1015"/>
      <c r="X1015" s="1600"/>
      <c r="Y1015" s="1893" t="str">
        <f>IF(LEN('11.700'!X141)=0,"None",'11.700'!X141)</f>
        <v>None</v>
      </c>
      <c r="Z1015" s="1600"/>
      <c r="AA1015"/>
      <c r="AC1015"/>
      <c r="AD1015"/>
      <c r="AE1015"/>
      <c r="AF1015"/>
      <c r="AG1015"/>
      <c r="AH1015"/>
      <c r="AI1015"/>
      <c r="AJ1015"/>
      <c r="AK1015"/>
      <c r="AL1015" s="1352"/>
      <c r="AM1015" s="1352"/>
      <c r="AN1015" s="1352"/>
      <c r="AO1015" s="1352"/>
      <c r="AP1015" s="1352"/>
      <c r="AQ1015" s="1352"/>
      <c r="AR1015" s="1352" t="str">
        <f>SUBSTITUTE(SUBSTITUTE(SUBSTITUTE("vnt"&amp;$B1015&amp;$C1015&amp;$D1015&amp;$E1015&amp;$F1015,".","_"),"(","_"),")","")</f>
        <v>vnt305_2_5_1</v>
      </c>
      <c r="AS1015" s="1352" t="str">
        <f>IF(LEN(X1015)=0,"",X1015)</f>
        <v/>
      </c>
      <c r="AT1015"/>
    </row>
    <row r="1016" spans="1:46" x14ac:dyDescent="0.2">
      <c r="A1016" s="1507">
        <v>7</v>
      </c>
      <c r="B1016" s="1516" t="s">
        <v>4049</v>
      </c>
      <c r="C1016" s="1536"/>
      <c r="D1016" s="1536"/>
      <c r="E1016" s="1536"/>
      <c r="G1016" s="1509" t="s">
        <v>3200</v>
      </c>
      <c r="H1016" s="1510" t="s">
        <v>3197</v>
      </c>
      <c r="I1016" s="130"/>
      <c r="J1016" s="1205"/>
      <c r="K1016" s="1205"/>
      <c r="L1016" s="1609"/>
      <c r="M1016" s="1208"/>
      <c r="N1016" s="1208"/>
      <c r="O1016" s="1208"/>
      <c r="P1016" s="1208"/>
      <c r="Q1016" s="1208"/>
      <c r="R1016" s="1208"/>
      <c r="S1016" s="1208"/>
      <c r="T1016"/>
      <c r="U1016"/>
      <c r="V1016"/>
      <c r="W1016"/>
      <c r="X1016" s="1600"/>
      <c r="Y1016" s="1895"/>
      <c r="Z1016" s="1600"/>
      <c r="AA1016"/>
      <c r="AC1016"/>
      <c r="AD1016"/>
      <c r="AE1016"/>
      <c r="AF1016"/>
      <c r="AG1016"/>
      <c r="AH1016"/>
      <c r="AI1016"/>
      <c r="AJ1016"/>
      <c r="AK1016"/>
      <c r="AL1016" s="1352"/>
      <c r="AM1016" s="1352"/>
      <c r="AN1016" s="1352"/>
      <c r="AO1016" s="1352"/>
      <c r="AP1016" s="1352"/>
      <c r="AQ1016" s="1352"/>
      <c r="AR1016" s="1352"/>
      <c r="AS1016" s="1352"/>
      <c r="AT1016"/>
    </row>
    <row r="1017" spans="1:46" x14ac:dyDescent="0.2">
      <c r="A1017" s="1507">
        <v>7</v>
      </c>
      <c r="B1017" s="1516" t="s">
        <v>4049</v>
      </c>
      <c r="C1017" s="1536"/>
      <c r="D1017" s="1536"/>
      <c r="E1017" s="1536"/>
      <c r="G1017" s="1509" t="s">
        <v>3200</v>
      </c>
      <c r="H1017" s="1510" t="s">
        <v>3197</v>
      </c>
      <c r="I1017" s="130"/>
      <c r="J1017" s="1205"/>
      <c r="K1017" s="1205"/>
      <c r="L1017" s="1609"/>
      <c r="M1017" s="1208"/>
      <c r="N1017" s="1208"/>
      <c r="O1017" s="1208"/>
      <c r="P1017" s="1208"/>
      <c r="Q1017" s="1208"/>
      <c r="R1017" s="1208"/>
      <c r="S1017" s="1208"/>
      <c r="T1017"/>
      <c r="U1017"/>
      <c r="V1017"/>
      <c r="W1017"/>
      <c r="X1017" s="1600"/>
      <c r="Y1017" s="1895"/>
      <c r="Z1017" s="1600"/>
      <c r="AA1017"/>
      <c r="AC1017"/>
      <c r="AD1017"/>
      <c r="AE1017"/>
      <c r="AF1017"/>
      <c r="AG1017"/>
      <c r="AH1017"/>
      <c r="AI1017"/>
      <c r="AJ1017"/>
      <c r="AK1017"/>
      <c r="AL1017" s="1352"/>
      <c r="AM1017" s="1352"/>
      <c r="AN1017" s="1352"/>
      <c r="AO1017" s="1352"/>
      <c r="AP1017" s="1352"/>
      <c r="AQ1017" s="1352"/>
      <c r="AR1017" s="1352"/>
      <c r="AS1017" s="1352"/>
      <c r="AT1017"/>
    </row>
    <row r="1018" spans="1:46" x14ac:dyDescent="0.2">
      <c r="A1018" s="1507">
        <v>7</v>
      </c>
      <c r="B1018" s="1516" t="s">
        <v>4049</v>
      </c>
      <c r="C1018" s="1536"/>
      <c r="D1018" s="1536"/>
      <c r="E1018" s="1536"/>
      <c r="G1018" s="1509" t="s">
        <v>3200</v>
      </c>
      <c r="H1018" s="1510" t="s">
        <v>3197</v>
      </c>
      <c r="I1018" s="130"/>
      <c r="J1018" s="1205"/>
      <c r="K1018" s="1205"/>
      <c r="L1018" s="1609"/>
      <c r="M1018" s="1208"/>
      <c r="N1018" s="1208"/>
      <c r="O1018" s="1208"/>
      <c r="P1018" s="1208"/>
      <c r="Q1018" s="1208"/>
      <c r="R1018" s="1208"/>
      <c r="S1018" s="1208"/>
      <c r="T1018"/>
      <c r="U1018"/>
      <c r="V1018"/>
      <c r="W1018"/>
      <c r="X1018" s="1600"/>
      <c r="Y1018" s="1895"/>
      <c r="Z1018" s="1600"/>
      <c r="AA1018"/>
      <c r="AC1018"/>
      <c r="AD1018"/>
      <c r="AE1018"/>
      <c r="AF1018"/>
      <c r="AG1018"/>
      <c r="AH1018"/>
      <c r="AI1018"/>
      <c r="AJ1018"/>
      <c r="AK1018"/>
      <c r="AL1018" s="1352"/>
      <c r="AM1018" s="1352"/>
      <c r="AN1018" s="1352"/>
      <c r="AO1018" s="1352"/>
      <c r="AP1018" s="1352"/>
      <c r="AQ1018" s="1352"/>
      <c r="AR1018" s="1352"/>
      <c r="AS1018" s="1352"/>
      <c r="AT1018"/>
    </row>
    <row r="1019" spans="1:46" x14ac:dyDescent="0.2">
      <c r="A1019" s="1507">
        <v>7</v>
      </c>
      <c r="B1019" s="1516" t="s">
        <v>4049</v>
      </c>
      <c r="C1019" s="1536"/>
      <c r="D1019" s="1536"/>
      <c r="E1019" s="1536"/>
      <c r="G1019" s="1509" t="s">
        <v>3200</v>
      </c>
      <c r="H1019" s="1510" t="s">
        <v>3197</v>
      </c>
      <c r="I1019" s="1208"/>
      <c r="J1019" s="1208"/>
      <c r="K1019" s="1208"/>
      <c r="L1019" s="1609"/>
      <c r="M1019" s="1208"/>
      <c r="N1019" s="1208"/>
      <c r="O1019" s="1208"/>
      <c r="P1019" s="1208"/>
      <c r="Q1019" s="1208"/>
      <c r="R1019" s="1208"/>
      <c r="S1019" s="1208"/>
      <c r="T1019"/>
      <c r="U1019"/>
      <c r="V1019"/>
      <c r="W1019" s="905" t="s">
        <v>4969</v>
      </c>
      <c r="X1019" s="1600"/>
      <c r="Y1019" s="1895"/>
      <c r="Z1019" s="1600"/>
      <c r="AA1019"/>
      <c r="AC1019"/>
      <c r="AD1019"/>
      <c r="AE1019"/>
      <c r="AF1019"/>
      <c r="AG1019"/>
      <c r="AH1019"/>
      <c r="AI1019"/>
      <c r="AJ1019"/>
      <c r="AK1019"/>
      <c r="AL1019" s="1352"/>
      <c r="AM1019" s="1352"/>
      <c r="AN1019" s="1352"/>
      <c r="AO1019" s="1352"/>
      <c r="AP1019" s="1352"/>
      <c r="AQ1019" s="1352"/>
      <c r="AR1019" s="1352"/>
      <c r="AS1019" s="1352"/>
      <c r="AT1019"/>
    </row>
    <row r="1020" spans="1:46" x14ac:dyDescent="0.2">
      <c r="A1020" s="1507">
        <v>7</v>
      </c>
      <c r="B1020" s="1516" t="s">
        <v>4049</v>
      </c>
      <c r="C1020" s="1536"/>
      <c r="D1020" s="1536"/>
      <c r="E1020" s="1536"/>
      <c r="G1020" s="1509" t="s">
        <v>3200</v>
      </c>
      <c r="H1020" s="1510" t="s">
        <v>3197</v>
      </c>
      <c r="I1020" s="1208"/>
      <c r="J1020" s="1208"/>
      <c r="K1020" s="1208"/>
      <c r="L1020" s="1733" t="s">
        <v>3470</v>
      </c>
      <c r="M1020" s="1208"/>
      <c r="N1020" s="1208"/>
      <c r="O1020" s="1208"/>
      <c r="P1020" s="1198" t="b">
        <v>0</v>
      </c>
      <c r="Q1020" s="1198" t="b">
        <v>1</v>
      </c>
      <c r="R1020" s="1198" t="b">
        <f ca="1">S1020</f>
        <v>1</v>
      </c>
      <c r="S1020" s="1208" t="b">
        <f ca="1">S885=1</f>
        <v>1</v>
      </c>
      <c r="T1020" s="1208" t="b">
        <f ca="1">AND(NOT(S1020),LEN(W1020)&gt;0)</f>
        <v>0</v>
      </c>
      <c r="U1020"/>
      <c r="V1020"/>
      <c r="W1020" s="977">
        <v>0.39600000000000002</v>
      </c>
      <c r="X1020" s="1600"/>
      <c r="Y1020" s="1895"/>
      <c r="Z1020" s="1600"/>
      <c r="AA1020"/>
      <c r="AC1020" s="1198" t="b">
        <f ca="1">OR(AD1020:AE1020)</f>
        <v>0</v>
      </c>
      <c r="AD1020" s="1198" t="b">
        <f ca="1">T1020</f>
        <v>0</v>
      </c>
      <c r="AE1020" s="1198" t="b">
        <f ca="1">AND(R1020,OR(W1020="Not Met",W1020=""))</f>
        <v>0</v>
      </c>
      <c r="AF1020"/>
      <c r="AG1020"/>
      <c r="AH1020"/>
      <c r="AI1020"/>
      <c r="AJ1020"/>
      <c r="AK1020"/>
      <c r="AL1020" s="1352"/>
      <c r="AM1020" s="1352"/>
      <c r="AN1020" s="1352"/>
      <c r="AO1020" s="1352"/>
      <c r="AP1020" s="1352" t="str">
        <f>SUBSTITUTE(SUBSTITUTE(SUBSTITUTE("vch"&amp;$B1020&amp;$C1020&amp;$D1020&amp;$E1020&amp;$F1020,".","_"),"(","_"),")","")</f>
        <v>vch305_2_5_1</v>
      </c>
      <c r="AQ1020" s="1352">
        <f>IF(LEN(W1020)=0,"",W1020)</f>
        <v>0.39600000000000002</v>
      </c>
      <c r="AR1020" s="1352"/>
      <c r="AS1020" s="1352"/>
      <c r="AT1020"/>
    </row>
    <row r="1021" spans="1:46" x14ac:dyDescent="0.2">
      <c r="A1021" s="1507">
        <v>7</v>
      </c>
      <c r="B1021" s="1516" t="s">
        <v>4049</v>
      </c>
      <c r="C1021" s="1536"/>
      <c r="D1021" s="1536"/>
      <c r="E1021" s="1536"/>
      <c r="G1021" s="1509" t="s">
        <v>3200</v>
      </c>
      <c r="H1021" s="1510" t="s">
        <v>3197</v>
      </c>
      <c r="I1021" s="1208"/>
      <c r="J1021" s="1208"/>
      <c r="K1021" s="1208"/>
      <c r="L1021" s="1733"/>
      <c r="M1021" s="1208"/>
      <c r="N1021" s="1208"/>
      <c r="O1021" s="1208"/>
      <c r="P1021" s="1208"/>
      <c r="Q1021" s="1208"/>
      <c r="R1021" s="1208"/>
      <c r="S1021" s="1208"/>
      <c r="T1021"/>
      <c r="U1021"/>
      <c r="V1021"/>
      <c r="W1021"/>
      <c r="X1021" s="1600"/>
      <c r="Y1021" s="1895"/>
      <c r="Z1021" s="1600"/>
      <c r="AA1021"/>
      <c r="AC1021"/>
      <c r="AD1021"/>
      <c r="AE1021"/>
      <c r="AF1021"/>
      <c r="AG1021"/>
      <c r="AH1021"/>
      <c r="AI1021"/>
      <c r="AJ1021"/>
      <c r="AK1021"/>
      <c r="AL1021" s="1352"/>
      <c r="AM1021" s="1352"/>
      <c r="AN1021" s="1352"/>
      <c r="AO1021" s="1352"/>
      <c r="AP1021" s="1352"/>
      <c r="AQ1021" s="1352"/>
      <c r="AR1021" s="1352"/>
      <c r="AS1021" s="1352"/>
      <c r="AT1021"/>
    </row>
    <row r="1022" spans="1:46" x14ac:dyDescent="0.2">
      <c r="A1022" s="1507">
        <v>7</v>
      </c>
      <c r="B1022" s="1516" t="s">
        <v>4049</v>
      </c>
      <c r="C1022" s="1536"/>
      <c r="D1022" s="1536"/>
      <c r="E1022" s="1536"/>
      <c r="G1022" s="1509" t="s">
        <v>3200</v>
      </c>
      <c r="H1022" s="1510" t="s">
        <v>3197</v>
      </c>
      <c r="I1022" s="1208"/>
      <c r="J1022" s="1208"/>
      <c r="K1022" s="1208"/>
      <c r="L1022" s="1609" t="s">
        <v>3471</v>
      </c>
      <c r="M1022" s="1208"/>
      <c r="N1022" s="1208"/>
      <c r="O1022" s="1208"/>
      <c r="P1022" s="1208"/>
      <c r="Q1022" s="1208"/>
      <c r="R1022" s="1208"/>
      <c r="S1022" s="1208"/>
      <c r="T1022"/>
      <c r="U1022"/>
      <c r="V1022"/>
      <c r="W1022"/>
      <c r="X1022" s="1600"/>
      <c r="Y1022" s="1895"/>
      <c r="Z1022" s="1600"/>
      <c r="AA1022"/>
      <c r="AC1022"/>
      <c r="AD1022"/>
      <c r="AE1022"/>
      <c r="AF1022"/>
      <c r="AG1022"/>
      <c r="AH1022"/>
      <c r="AI1022"/>
      <c r="AJ1022"/>
      <c r="AK1022"/>
      <c r="AL1022" s="1352"/>
      <c r="AM1022" s="1352"/>
      <c r="AN1022" s="1352"/>
      <c r="AO1022" s="1352"/>
      <c r="AP1022" s="1352"/>
      <c r="AQ1022" s="1352"/>
      <c r="AR1022" s="1352"/>
      <c r="AS1022" s="1352"/>
      <c r="AT1022"/>
    </row>
    <row r="1023" spans="1:46" x14ac:dyDescent="0.2">
      <c r="A1023" s="1507">
        <v>7</v>
      </c>
      <c r="B1023" s="1516" t="s">
        <v>4049</v>
      </c>
      <c r="C1023" s="1536"/>
      <c r="D1023" s="1536"/>
      <c r="E1023" s="1536"/>
      <c r="G1023" s="1509" t="s">
        <v>3200</v>
      </c>
      <c r="H1023" s="1510" t="s">
        <v>3197</v>
      </c>
      <c r="I1023" s="1208"/>
      <c r="J1023" s="1208"/>
      <c r="K1023" s="1208"/>
      <c r="L1023" s="1609"/>
      <c r="M1023" s="1208"/>
      <c r="N1023" s="1208"/>
      <c r="O1023" s="1208"/>
      <c r="P1023" s="1208"/>
      <c r="Q1023" s="1208"/>
      <c r="R1023" s="1208"/>
      <c r="S1023" s="1208"/>
      <c r="T1023"/>
      <c r="U1023"/>
      <c r="V1023"/>
      <c r="W1023"/>
      <c r="X1023" s="1600"/>
      <c r="Y1023" s="1895"/>
      <c r="Z1023" s="1600"/>
      <c r="AA1023"/>
      <c r="AC1023"/>
      <c r="AD1023"/>
      <c r="AE1023"/>
      <c r="AF1023"/>
      <c r="AG1023"/>
      <c r="AH1023"/>
      <c r="AI1023"/>
      <c r="AJ1023"/>
      <c r="AK1023"/>
      <c r="AL1023" s="1352"/>
      <c r="AM1023" s="1352"/>
      <c r="AN1023" s="1352"/>
      <c r="AO1023" s="1352"/>
      <c r="AP1023" s="1352"/>
      <c r="AQ1023" s="1352"/>
      <c r="AR1023" s="1352"/>
      <c r="AS1023" s="1352"/>
      <c r="AT1023"/>
    </row>
    <row r="1024" spans="1:46" x14ac:dyDescent="0.2">
      <c r="A1024" s="1507">
        <v>7</v>
      </c>
      <c r="B1024" s="1516" t="s">
        <v>4049</v>
      </c>
      <c r="C1024" s="1536"/>
      <c r="D1024" s="1536"/>
      <c r="E1024" s="1536"/>
      <c r="G1024" s="1509" t="s">
        <v>3200</v>
      </c>
      <c r="H1024" s="1510" t="s">
        <v>3197</v>
      </c>
      <c r="I1024" s="1208"/>
      <c r="J1024" s="1208"/>
      <c r="K1024" s="1208"/>
      <c r="L1024" s="1609"/>
      <c r="M1024" s="1208"/>
      <c r="N1024" s="1208"/>
      <c r="O1024" s="1208"/>
      <c r="P1024" s="1208"/>
      <c r="Q1024" s="1208"/>
      <c r="R1024" s="1208"/>
      <c r="S1024" s="1208"/>
      <c r="T1024"/>
      <c r="U1024"/>
      <c r="V1024"/>
      <c r="W1024"/>
      <c r="X1024" s="1600"/>
      <c r="Y1024" s="1895"/>
      <c r="Z1024" s="1600"/>
      <c r="AA1024"/>
      <c r="AC1024"/>
      <c r="AD1024"/>
      <c r="AE1024"/>
      <c r="AF1024"/>
      <c r="AG1024"/>
      <c r="AH1024"/>
      <c r="AI1024"/>
      <c r="AJ1024"/>
      <c r="AK1024"/>
      <c r="AL1024" s="1352"/>
      <c r="AM1024" s="1352"/>
      <c r="AN1024" s="1352"/>
      <c r="AO1024" s="1352"/>
      <c r="AP1024" s="1352"/>
      <c r="AQ1024" s="1352"/>
      <c r="AR1024" s="1352"/>
      <c r="AS1024" s="1352"/>
      <c r="AT1024"/>
    </row>
    <row r="1025" spans="1:46" x14ac:dyDescent="0.2">
      <c r="A1025" s="1507">
        <v>7</v>
      </c>
      <c r="B1025" s="1516" t="s">
        <v>4049</v>
      </c>
      <c r="C1025" s="1536"/>
      <c r="D1025" s="1536"/>
      <c r="E1025" s="1536"/>
      <c r="G1025" s="1509" t="s">
        <v>3200</v>
      </c>
      <c r="H1025" s="1510" t="s">
        <v>3197</v>
      </c>
      <c r="I1025" s="1208"/>
      <c r="J1025" s="1208"/>
      <c r="K1025" s="1208"/>
      <c r="L1025" s="1609"/>
      <c r="M1025" s="1208"/>
      <c r="N1025" s="1208"/>
      <c r="O1025" s="1208"/>
      <c r="P1025" s="1208"/>
      <c r="Q1025" s="1208"/>
      <c r="R1025" s="1208"/>
      <c r="S1025" s="1208"/>
      <c r="T1025"/>
      <c r="U1025"/>
      <c r="V1025"/>
      <c r="W1025"/>
      <c r="X1025" s="1600"/>
      <c r="Y1025" s="1895"/>
      <c r="Z1025" s="1600"/>
      <c r="AA1025"/>
      <c r="AC1025"/>
      <c r="AD1025"/>
      <c r="AE1025"/>
      <c r="AF1025"/>
      <c r="AG1025"/>
      <c r="AH1025"/>
      <c r="AI1025"/>
      <c r="AJ1025"/>
      <c r="AK1025"/>
      <c r="AL1025" s="1352"/>
      <c r="AM1025" s="1352"/>
      <c r="AN1025" s="1352"/>
      <c r="AO1025" s="1352"/>
      <c r="AP1025" s="1352"/>
      <c r="AQ1025" s="1352"/>
      <c r="AR1025" s="1352"/>
      <c r="AS1025" s="1352"/>
      <c r="AT1025"/>
    </row>
    <row r="1026" spans="1:46" x14ac:dyDescent="0.2">
      <c r="A1026" s="1507">
        <v>7</v>
      </c>
      <c r="B1026" s="1516" t="s">
        <v>4049</v>
      </c>
      <c r="C1026" s="1536"/>
      <c r="D1026" s="1536"/>
      <c r="E1026" s="1536"/>
      <c r="G1026" s="1509" t="s">
        <v>3200</v>
      </c>
      <c r="H1026" s="1510" t="s">
        <v>3197</v>
      </c>
      <c r="I1026" s="1208"/>
      <c r="J1026" s="1208"/>
      <c r="K1026" s="1208"/>
      <c r="L1026" s="1609"/>
      <c r="M1026" s="1208"/>
      <c r="N1026" s="1208"/>
      <c r="O1026" s="1208"/>
      <c r="P1026" s="1208"/>
      <c r="Q1026" s="1208"/>
      <c r="R1026" s="1208"/>
      <c r="S1026" s="1208"/>
      <c r="T1026"/>
      <c r="U1026"/>
      <c r="V1026"/>
      <c r="W1026"/>
      <c r="X1026" s="1600"/>
      <c r="Y1026" s="1895"/>
      <c r="Z1026" s="1600"/>
      <c r="AA1026"/>
      <c r="AC1026"/>
      <c r="AD1026"/>
      <c r="AE1026"/>
      <c r="AF1026"/>
      <c r="AG1026"/>
      <c r="AH1026"/>
      <c r="AI1026"/>
      <c r="AJ1026"/>
      <c r="AK1026"/>
      <c r="AL1026" s="1352"/>
      <c r="AM1026" s="1352"/>
      <c r="AN1026" s="1352"/>
      <c r="AO1026" s="1352"/>
      <c r="AP1026" s="1352"/>
      <c r="AQ1026" s="1352"/>
      <c r="AR1026" s="1352"/>
      <c r="AS1026" s="1352"/>
      <c r="AT1026"/>
    </row>
    <row r="1027" spans="1:46" x14ac:dyDescent="0.2">
      <c r="A1027" s="1507">
        <v>7</v>
      </c>
      <c r="B1027" s="1516" t="s">
        <v>4049</v>
      </c>
      <c r="C1027" s="1536"/>
      <c r="D1027" s="1536"/>
      <c r="E1027" s="1536"/>
      <c r="G1027" s="1509" t="s">
        <v>3200</v>
      </c>
      <c r="H1027" s="1510" t="s">
        <v>3197</v>
      </c>
      <c r="I1027" s="1208"/>
      <c r="J1027" s="1208"/>
      <c r="K1027" s="1208"/>
      <c r="L1027" s="1609" t="s">
        <v>5011</v>
      </c>
      <c r="M1027" s="1208"/>
      <c r="N1027" s="1208"/>
      <c r="O1027" s="1208"/>
      <c r="P1027" s="1208"/>
      <c r="Q1027" s="1208"/>
      <c r="R1027" s="1208"/>
      <c r="S1027" s="1208"/>
      <c r="T1027"/>
      <c r="U1027"/>
      <c r="V1027"/>
      <c r="W1027"/>
      <c r="X1027" s="1600"/>
      <c r="Y1027" s="1895"/>
      <c r="Z1027" s="1600"/>
      <c r="AA1027"/>
      <c r="AC1027"/>
      <c r="AD1027"/>
      <c r="AE1027"/>
      <c r="AF1027"/>
      <c r="AG1027"/>
      <c r="AH1027"/>
      <c r="AI1027"/>
      <c r="AJ1027"/>
      <c r="AK1027"/>
      <c r="AL1027" s="1352"/>
      <c r="AM1027" s="1352"/>
      <c r="AN1027" s="1352"/>
      <c r="AO1027" s="1352"/>
      <c r="AP1027" s="1352"/>
      <c r="AQ1027" s="1352"/>
      <c r="AR1027" s="1352"/>
      <c r="AS1027" s="1352"/>
      <c r="AT1027"/>
    </row>
    <row r="1028" spans="1:46" x14ac:dyDescent="0.2">
      <c r="A1028" s="1507">
        <v>7</v>
      </c>
      <c r="B1028" s="1516" t="s">
        <v>4049</v>
      </c>
      <c r="C1028" s="1536"/>
      <c r="D1028" s="1536"/>
      <c r="E1028" s="1536"/>
      <c r="G1028" s="1509" t="s">
        <v>3200</v>
      </c>
      <c r="H1028" s="1510" t="s">
        <v>3197</v>
      </c>
      <c r="I1028" s="1208"/>
      <c r="J1028" s="1208"/>
      <c r="K1028" s="1208"/>
      <c r="L1028" s="1609"/>
      <c r="M1028" s="1208"/>
      <c r="N1028" s="1208"/>
      <c r="O1028" s="1208"/>
      <c r="P1028" s="1208"/>
      <c r="Q1028" s="1208"/>
      <c r="R1028" s="1208"/>
      <c r="S1028" s="1208"/>
      <c r="T1028"/>
      <c r="U1028"/>
      <c r="V1028"/>
      <c r="W1028"/>
      <c r="X1028" s="1600"/>
      <c r="Y1028" s="1895"/>
      <c r="Z1028" s="1600"/>
      <c r="AA1028"/>
      <c r="AC1028"/>
      <c r="AD1028"/>
      <c r="AE1028"/>
      <c r="AF1028"/>
      <c r="AG1028"/>
      <c r="AH1028"/>
      <c r="AI1028"/>
      <c r="AJ1028"/>
      <c r="AK1028"/>
      <c r="AL1028" s="1352"/>
      <c r="AM1028" s="1352"/>
      <c r="AN1028" s="1352"/>
      <c r="AO1028" s="1352"/>
      <c r="AP1028" s="1352"/>
      <c r="AQ1028" s="1352"/>
      <c r="AR1028" s="1352"/>
      <c r="AS1028" s="1352"/>
      <c r="AT1028"/>
    </row>
    <row r="1029" spans="1:46" x14ac:dyDescent="0.2">
      <c r="A1029" s="1507">
        <v>7</v>
      </c>
      <c r="B1029" s="1516" t="s">
        <v>4049</v>
      </c>
      <c r="C1029" s="1536"/>
      <c r="D1029" s="1536"/>
      <c r="E1029" s="1536"/>
      <c r="G1029" s="1509" t="s">
        <v>3200</v>
      </c>
      <c r="H1029" s="1510" t="s">
        <v>3197</v>
      </c>
      <c r="I1029" s="1208"/>
      <c r="J1029" s="1208"/>
      <c r="K1029" s="1208"/>
      <c r="L1029" s="1609"/>
      <c r="M1029" s="1208"/>
      <c r="N1029" s="1208"/>
      <c r="O1029" s="1208"/>
      <c r="P1029" s="1208"/>
      <c r="Q1029" s="1208"/>
      <c r="R1029" s="1208"/>
      <c r="S1029" s="1208"/>
      <c r="T1029"/>
      <c r="U1029"/>
      <c r="V1029"/>
      <c r="W1029"/>
      <c r="X1029" s="1600"/>
      <c r="Y1029" s="1895"/>
      <c r="Z1029" s="1600"/>
      <c r="AA1029"/>
      <c r="AC1029"/>
      <c r="AD1029"/>
      <c r="AE1029"/>
      <c r="AF1029"/>
      <c r="AG1029"/>
      <c r="AH1029"/>
      <c r="AI1029"/>
      <c r="AJ1029"/>
      <c r="AK1029"/>
      <c r="AL1029" s="1352"/>
      <c r="AM1029" s="1352"/>
      <c r="AN1029" s="1352"/>
      <c r="AO1029" s="1352"/>
      <c r="AP1029" s="1352"/>
      <c r="AQ1029" s="1352"/>
      <c r="AR1029" s="1352"/>
      <c r="AS1029" s="1352"/>
      <c r="AT1029"/>
    </row>
    <row r="1030" spans="1:46" x14ac:dyDescent="0.2">
      <c r="A1030" s="1507">
        <v>7</v>
      </c>
      <c r="B1030" s="1516" t="s">
        <v>4049</v>
      </c>
      <c r="C1030" s="1536"/>
      <c r="D1030" s="1536"/>
      <c r="E1030" s="1536"/>
      <c r="G1030" s="1509" t="s">
        <v>3200</v>
      </c>
      <c r="H1030" s="1510" t="s">
        <v>3197</v>
      </c>
      <c r="I1030" s="1208"/>
      <c r="J1030" s="1208"/>
      <c r="K1030" s="1208"/>
      <c r="L1030" s="1609"/>
      <c r="M1030" s="1208"/>
      <c r="N1030" s="1208"/>
      <c r="O1030" s="1208"/>
      <c r="P1030" s="1208"/>
      <c r="Q1030" s="1208"/>
      <c r="R1030" s="1208"/>
      <c r="S1030" s="1208"/>
      <c r="T1030"/>
      <c r="U1030"/>
      <c r="V1030"/>
      <c r="W1030"/>
      <c r="X1030" s="1600"/>
      <c r="Y1030" s="1895"/>
      <c r="Z1030" s="1600"/>
      <c r="AA1030"/>
      <c r="AC1030"/>
      <c r="AD1030"/>
      <c r="AE1030"/>
      <c r="AF1030"/>
      <c r="AG1030"/>
      <c r="AH1030"/>
      <c r="AI1030"/>
      <c r="AJ1030"/>
      <c r="AK1030"/>
      <c r="AL1030" s="1352"/>
      <c r="AM1030" s="1352"/>
      <c r="AN1030" s="1352"/>
      <c r="AO1030" s="1352"/>
      <c r="AP1030" s="1352"/>
      <c r="AQ1030" s="1352"/>
      <c r="AR1030" s="1352"/>
      <c r="AS1030" s="1352"/>
      <c r="AT1030"/>
    </row>
    <row r="1031" spans="1:46" x14ac:dyDescent="0.2">
      <c r="A1031" s="1507">
        <v>7</v>
      </c>
      <c r="B1031" s="1516" t="s">
        <v>4049</v>
      </c>
      <c r="C1031" s="1536"/>
      <c r="D1031" s="1536"/>
      <c r="E1031" s="1536"/>
      <c r="G1031" s="1509" t="s">
        <v>3200</v>
      </c>
      <c r="H1031" s="1510" t="s">
        <v>3197</v>
      </c>
      <c r="I1031" s="1208"/>
      <c r="J1031" s="1208"/>
      <c r="K1031" s="1208"/>
      <c r="L1031" s="1609"/>
      <c r="M1031" s="1208"/>
      <c r="N1031" s="1208"/>
      <c r="O1031" s="1208"/>
      <c r="P1031" s="1198"/>
      <c r="Q1031" s="1198"/>
      <c r="R1031" s="1198"/>
      <c r="S1031" s="1198"/>
      <c r="T1031"/>
      <c r="U1031"/>
      <c r="V1031"/>
      <c r="W1031"/>
      <c r="X1031" s="1600"/>
      <c r="Y1031" s="1895"/>
      <c r="Z1031" s="1600"/>
      <c r="AA1031"/>
      <c r="AC1031"/>
      <c r="AD1031"/>
      <c r="AE1031"/>
      <c r="AF1031"/>
      <c r="AG1031"/>
      <c r="AH1031"/>
      <c r="AI1031"/>
      <c r="AJ1031"/>
      <c r="AK1031"/>
      <c r="AL1031" s="1352"/>
      <c r="AM1031" s="1352"/>
      <c r="AN1031" s="1352"/>
      <c r="AO1031" s="1352"/>
      <c r="AP1031" s="1352"/>
      <c r="AQ1031" s="1352"/>
      <c r="AR1031" s="1352"/>
      <c r="AS1031" s="1352"/>
      <c r="AT1031"/>
    </row>
    <row r="1032" spans="1:46" s="905" customFormat="1" ht="19" x14ac:dyDescent="0.25">
      <c r="A1032" s="1507">
        <v>7</v>
      </c>
      <c r="B1032" s="1516" t="s">
        <v>4510</v>
      </c>
      <c r="C1032" s="1536"/>
      <c r="D1032" s="1536"/>
      <c r="E1032" s="1536"/>
      <c r="F1032" s="467"/>
      <c r="G1032" s="1509" t="s">
        <v>3200</v>
      </c>
      <c r="H1032" s="1510" t="s">
        <v>3197</v>
      </c>
      <c r="I1032" s="25" t="s">
        <v>4509</v>
      </c>
      <c r="J1032" s="25"/>
      <c r="K1032" s="25"/>
      <c r="L1032" s="25"/>
      <c r="M1032" s="25"/>
      <c r="N1032" s="25"/>
      <c r="O1032" s="25"/>
      <c r="P1032" s="25"/>
      <c r="Q1032" s="25"/>
      <c r="R1032" s="25"/>
      <c r="S1032" s="25"/>
      <c r="T1032" s="25"/>
      <c r="U1032" s="25"/>
      <c r="V1032" s="25"/>
      <c r="W1032" s="25"/>
      <c r="X1032" s="25"/>
      <c r="Y1032" s="25"/>
      <c r="Z1032" s="25"/>
      <c r="AL1032" s="1352"/>
      <c r="AM1032" s="1352"/>
      <c r="AN1032" s="1352"/>
      <c r="AO1032" s="1352"/>
      <c r="AP1032" s="1352"/>
      <c r="AQ1032" s="1352"/>
      <c r="AR1032" s="1352"/>
      <c r="AS1032" s="1352"/>
    </row>
    <row r="1033" spans="1:46" s="905" customFormat="1" hidden="1" x14ac:dyDescent="0.2">
      <c r="A1033" s="1507">
        <v>7</v>
      </c>
      <c r="B1033" s="1516">
        <v>703.1</v>
      </c>
      <c r="C1033" s="1516"/>
      <c r="D1033" s="1516"/>
      <c r="E1033" s="1516"/>
      <c r="F1033" s="1511"/>
      <c r="G1033" s="1513" t="str">
        <f ca="1">IF(COUNTIF(G1034:G1049,"P")&gt;0,"P","")</f>
        <v/>
      </c>
      <c r="H1033" s="1510" t="s">
        <v>3197</v>
      </c>
      <c r="I1033" s="608" t="s">
        <v>4067</v>
      </c>
      <c r="J1033" s="608"/>
      <c r="K1033" s="608"/>
      <c r="L1033" s="874" t="s">
        <v>4068</v>
      </c>
      <c r="M1033" s="913">
        <v>30</v>
      </c>
      <c r="N1033" s="1125">
        <f>'11.700'!O159</f>
        <v>0</v>
      </c>
      <c r="O1033" s="1499">
        <f>30*AND(OR(W1034="Met",AND(W1046="Met",W1049="Met")),W1034&lt;&gt;"Not Relevant",W1046&lt;&gt;"Not Relevant",W1049&lt;&gt;"Not Relevant",W1034&lt;&gt;"Not Met",W1046&lt;&gt;"Not Met",W1049&lt;&gt;"Not Met")</f>
        <v>0</v>
      </c>
      <c r="P1033" s="991"/>
      <c r="Q1033" s="991"/>
      <c r="R1033" s="991"/>
      <c r="S1033" s="991"/>
      <c r="T1033" s="991"/>
      <c r="U1033" s="195"/>
      <c r="AL1033" s="1352" t="str">
        <f>SUBSTITUTE(SUBSTITUTE(SUBSTITUTE("vpa"&amp;$B1033&amp;$C1033&amp;$D1033&amp;$E1033&amp;$F1033,".","_"),"(","_"),")","")</f>
        <v>vpa703_1</v>
      </c>
      <c r="AM1033" s="1352">
        <f>M1033</f>
        <v>30</v>
      </c>
      <c r="AN1033" s="1352" t="str">
        <f>SUBSTITUTE(SUBSTITUTE(SUBSTITUTE("vpc"&amp;$B1033&amp;$C1033&amp;$D1033&amp;$E1033&amp;$F1033,".","_"),"(","_"),")","")</f>
        <v>vpc703_1</v>
      </c>
      <c r="AO1033" s="1352">
        <f>O1033</f>
        <v>0</v>
      </c>
      <c r="AP1033" s="1352"/>
      <c r="AQ1033" s="1352"/>
      <c r="AR1033" s="1352"/>
      <c r="AS1033" s="1352"/>
    </row>
    <row r="1034" spans="1:46" s="905" customFormat="1" ht="15" hidden="1" customHeight="1" x14ac:dyDescent="0.2">
      <c r="A1034" s="1507">
        <v>7</v>
      </c>
      <c r="B1034" s="1516" t="s">
        <v>4409</v>
      </c>
      <c r="C1034" s="1516"/>
      <c r="D1034" s="1516"/>
      <c r="E1034" s="1516"/>
      <c r="F1034" s="1511"/>
      <c r="G1034" s="1509" t="str">
        <f ca="1">IF(IFERROR(SEARCH("Mandatory",M1034),FALSE),"P","")</f>
        <v/>
      </c>
      <c r="H1034" s="1530" t="s">
        <v>3199</v>
      </c>
      <c r="I1034" s="590" t="s">
        <v>4069</v>
      </c>
      <c r="J1034" s="590"/>
      <c r="K1034" s="590"/>
      <c r="L1034" s="1687" t="s">
        <v>5085</v>
      </c>
      <c r="M1034" s="1708" t="str">
        <f ca="1">IF(R1034,"Mandatory if Relevant","N/A")</f>
        <v>N/A</v>
      </c>
      <c r="N1034" s="1125"/>
      <c r="O1034" s="908"/>
      <c r="P1034" s="991" t="b">
        <v>0</v>
      </c>
      <c r="Q1034" s="991" t="b">
        <v>1</v>
      </c>
      <c r="R1034" s="991" t="b">
        <f ca="1">AND(S1034,NOT(BI890="Tropical"))</f>
        <v>0</v>
      </c>
      <c r="S1034" s="991" t="b">
        <f ca="1">S885=2</f>
        <v>0</v>
      </c>
      <c r="T1034" s="195" t="b">
        <f ca="1">AND(NOT(S1034),LEN(W1034)&gt;0)</f>
        <v>0</v>
      </c>
      <c r="U1034" s="195" t="str">
        <f>SUBSTITUTE(SUBSTITUTE(SUBSTITUTE("dd"&amp;B1034&amp;C1034&amp;D1034&amp;E1034&amp;F1034,".","_"),"(","_"),")","")</f>
        <v>dd703_1_1</v>
      </c>
      <c r="W1034" s="12"/>
      <c r="X1034" s="1600"/>
      <c r="Y1034" s="1874" t="str">
        <f>IF(LEN('11.700'!X160)=0,"None",'11.700'!X160)</f>
        <v>None</v>
      </c>
      <c r="Z1034" s="1600"/>
      <c r="AC1034" s="1150" t="b">
        <f ca="1">OR(AD1034:AE1034)</f>
        <v>0</v>
      </c>
      <c r="AD1034" s="1150" t="b">
        <f ca="1">T1034</f>
        <v>0</v>
      </c>
      <c r="AE1034" s="1150" t="b">
        <f ca="1">AND(R1034,NOT(W1034))</f>
        <v>0</v>
      </c>
      <c r="AL1034" s="1352" t="str">
        <f>SUBSTITUTE(SUBSTITUTE(SUBSTITUTE("vpa"&amp;$B1034&amp;$C1034&amp;$D1034&amp;$E1034&amp;$F1034,".","_"),"(","_"),")","")</f>
        <v>vpa703_1_1</v>
      </c>
      <c r="AM1034" s="1352" t="str">
        <f ca="1">M1034</f>
        <v>N/A</v>
      </c>
      <c r="AN1034" s="1352"/>
      <c r="AO1034" s="1352"/>
      <c r="AP1034" s="1352" t="str">
        <f>SUBSTITUTE(SUBSTITUTE(SUBSTITUTE("vch"&amp;$B1034&amp;$C1034&amp;$D1034&amp;$E1034&amp;$F1034,".","_"),"(","_"),")","")</f>
        <v>vch703_1_1</v>
      </c>
      <c r="AQ1034" s="1352" t="str">
        <f>IF(LEN(W1034)=0,"",W1034)</f>
        <v/>
      </c>
      <c r="AR1034" s="1352" t="str">
        <f>SUBSTITUTE(SUBSTITUTE(SUBSTITUTE("vnt"&amp;$B1034&amp;$C1034&amp;$D1034&amp;$E1034&amp;$F1034,".","_"),"(","_"),")","")</f>
        <v>vnt703_1_1</v>
      </c>
      <c r="AS1034" s="1352" t="str">
        <f>IF(LEN(X1034)=0,"",X1034)</f>
        <v/>
      </c>
    </row>
    <row r="1035" spans="1:46" s="905" customFormat="1" hidden="1" x14ac:dyDescent="0.2">
      <c r="A1035" s="1507">
        <v>7</v>
      </c>
      <c r="B1035" s="1516" t="s">
        <v>4409</v>
      </c>
      <c r="C1035" s="1516"/>
      <c r="D1035" s="1516"/>
      <c r="E1035" s="1516"/>
      <c r="F1035" s="1511"/>
      <c r="G1035" s="1509" t="str">
        <f t="shared" ref="G1035:G1045" ca="1" si="85">G1034</f>
        <v/>
      </c>
      <c r="H1035" s="1530" t="s">
        <v>3199</v>
      </c>
      <c r="I1035" s="590"/>
      <c r="J1035" s="590"/>
      <c r="K1035" s="590"/>
      <c r="L1035" s="1687"/>
      <c r="M1035" s="1708"/>
      <c r="N1035" s="1125"/>
      <c r="O1035" s="908"/>
      <c r="P1035" s="991"/>
      <c r="Q1035" s="991"/>
      <c r="R1035" s="991"/>
      <c r="S1035" s="991"/>
      <c r="T1035" s="1501"/>
      <c r="U1035" s="991"/>
      <c r="X1035" s="1600"/>
      <c r="Y1035" s="1874"/>
      <c r="Z1035" s="1600"/>
      <c r="AC1035" s="1150"/>
      <c r="AD1035" s="1150"/>
      <c r="AE1035" s="1150"/>
      <c r="AL1035" s="1352"/>
      <c r="AM1035" s="1352"/>
      <c r="AN1035" s="1352"/>
      <c r="AO1035" s="1352"/>
      <c r="AP1035" s="1352"/>
      <c r="AQ1035" s="1352"/>
      <c r="AR1035" s="1352"/>
      <c r="AS1035" s="1352"/>
    </row>
    <row r="1036" spans="1:46" s="905" customFormat="1" hidden="1" x14ac:dyDescent="0.2">
      <c r="A1036" s="1507">
        <v>7</v>
      </c>
      <c r="B1036" s="1516" t="s">
        <v>4409</v>
      </c>
      <c r="C1036" s="1516"/>
      <c r="D1036" s="1516"/>
      <c r="E1036" s="1516"/>
      <c r="F1036" s="1511"/>
      <c r="G1036" s="1509" t="str">
        <f t="shared" ca="1" si="85"/>
        <v/>
      </c>
      <c r="H1036" s="1530" t="s">
        <v>3199</v>
      </c>
      <c r="I1036" s="590"/>
      <c r="J1036" s="590"/>
      <c r="K1036" s="590"/>
      <c r="L1036" s="925" t="s">
        <v>4468</v>
      </c>
      <c r="M1036" s="1501"/>
      <c r="N1036" s="1125"/>
      <c r="O1036" s="991"/>
      <c r="P1036" s="991"/>
      <c r="Q1036" s="991"/>
      <c r="R1036" s="991"/>
      <c r="S1036" s="991"/>
      <c r="T1036" s="1501"/>
      <c r="U1036" s="991"/>
      <c r="X1036" s="1600"/>
      <c r="Y1036" s="1874"/>
      <c r="Z1036" s="1600"/>
      <c r="AC1036" s="1150"/>
      <c r="AD1036" s="1150"/>
      <c r="AE1036" s="1150"/>
      <c r="AL1036" s="1352"/>
      <c r="AM1036" s="1352"/>
      <c r="AN1036" s="1352"/>
      <c r="AO1036" s="1352"/>
      <c r="AP1036" s="1352"/>
      <c r="AQ1036" s="1352"/>
      <c r="AR1036" s="1352"/>
      <c r="AS1036" s="1352"/>
    </row>
    <row r="1037" spans="1:46" s="905" customFormat="1" ht="15" hidden="1" customHeight="1" x14ac:dyDescent="0.2">
      <c r="A1037" s="1507">
        <v>7</v>
      </c>
      <c r="B1037" s="1516" t="s">
        <v>4410</v>
      </c>
      <c r="C1037" s="1516"/>
      <c r="D1037" s="1516"/>
      <c r="E1037" s="1516"/>
      <c r="F1037" s="1511"/>
      <c r="G1037" s="1509" t="str">
        <f t="shared" ca="1" si="85"/>
        <v/>
      </c>
      <c r="H1037" s="1530" t="s">
        <v>3199</v>
      </c>
      <c r="I1037" s="590" t="s">
        <v>4070</v>
      </c>
      <c r="J1037" s="590"/>
      <c r="K1037" s="590"/>
      <c r="L1037" s="1687" t="s">
        <v>4071</v>
      </c>
      <c r="M1037" s="1501"/>
      <c r="N1037" s="1125"/>
      <c r="O1037" s="991"/>
      <c r="P1037" s="991"/>
      <c r="Q1037" s="991"/>
      <c r="R1037" s="991"/>
      <c r="S1037" s="991"/>
      <c r="T1037" s="1501"/>
      <c r="X1037" s="1600"/>
      <c r="Y1037" s="1874"/>
      <c r="Z1037" s="1600"/>
      <c r="AC1037" s="1150"/>
      <c r="AD1037" s="1150"/>
      <c r="AE1037" s="1150"/>
      <c r="AL1037" s="1352"/>
      <c r="AM1037" s="1352"/>
      <c r="AN1037" s="1352"/>
      <c r="AO1037" s="1352"/>
      <c r="AP1037" s="1352"/>
      <c r="AQ1037" s="1352"/>
      <c r="AR1037" s="1352"/>
      <c r="AS1037" s="1352"/>
    </row>
    <row r="1038" spans="1:46" s="905" customFormat="1" hidden="1" x14ac:dyDescent="0.2">
      <c r="A1038" s="1507">
        <v>7</v>
      </c>
      <c r="B1038" s="1516" t="s">
        <v>4410</v>
      </c>
      <c r="C1038" s="1516"/>
      <c r="D1038" s="1516"/>
      <c r="E1038" s="1516"/>
      <c r="F1038" s="1511"/>
      <c r="G1038" s="1509" t="str">
        <f t="shared" ca="1" si="85"/>
        <v/>
      </c>
      <c r="H1038" s="1530" t="s">
        <v>3199</v>
      </c>
      <c r="I1038" s="590"/>
      <c r="J1038" s="590"/>
      <c r="K1038" s="590"/>
      <c r="L1038" s="1687"/>
      <c r="M1038" s="1501"/>
      <c r="N1038" s="991"/>
      <c r="O1038" s="991"/>
      <c r="P1038" s="991"/>
      <c r="Q1038" s="991"/>
      <c r="R1038" s="991"/>
      <c r="S1038" s="991"/>
      <c r="T1038" s="1501"/>
      <c r="X1038" s="1600"/>
      <c r="Y1038" s="1874"/>
      <c r="Z1038" s="1600"/>
      <c r="AC1038" s="1150"/>
      <c r="AD1038" s="1150"/>
      <c r="AE1038" s="1150"/>
      <c r="AL1038" s="1352"/>
      <c r="AM1038" s="1352"/>
      <c r="AN1038" s="1352"/>
      <c r="AO1038" s="1352"/>
      <c r="AP1038" s="1352"/>
      <c r="AQ1038" s="1352"/>
      <c r="AR1038" s="1352"/>
      <c r="AS1038" s="1352"/>
    </row>
    <row r="1039" spans="1:46" s="905" customFormat="1" hidden="1" x14ac:dyDescent="0.2">
      <c r="A1039" s="1507">
        <v>7</v>
      </c>
      <c r="B1039" s="1516" t="s">
        <v>4410</v>
      </c>
      <c r="C1039" s="1516"/>
      <c r="D1039" s="1516"/>
      <c r="E1039" s="1516"/>
      <c r="F1039" s="1511"/>
      <c r="G1039" s="1509" t="str">
        <f t="shared" ca="1" si="85"/>
        <v/>
      </c>
      <c r="H1039" s="1530" t="s">
        <v>3199</v>
      </c>
      <c r="I1039" s="590"/>
      <c r="J1039" s="590"/>
      <c r="K1039" s="590"/>
      <c r="L1039" s="1687"/>
      <c r="M1039" s="1501"/>
      <c r="N1039" s="991"/>
      <c r="O1039" s="991"/>
      <c r="P1039" s="991"/>
      <c r="Q1039" s="991"/>
      <c r="R1039" s="991"/>
      <c r="S1039" s="991"/>
      <c r="T1039" s="1501"/>
      <c r="X1039" s="1600"/>
      <c r="Y1039" s="1874"/>
      <c r="Z1039" s="1600"/>
      <c r="AC1039" s="1150"/>
      <c r="AD1039" s="1150"/>
      <c r="AE1039" s="1150"/>
      <c r="AL1039" s="1352"/>
      <c r="AM1039" s="1352"/>
      <c r="AN1039" s="1352"/>
      <c r="AO1039" s="1352"/>
      <c r="AP1039" s="1352"/>
      <c r="AQ1039" s="1352"/>
      <c r="AR1039" s="1352"/>
      <c r="AS1039" s="1352"/>
    </row>
    <row r="1040" spans="1:46" s="905" customFormat="1" hidden="1" x14ac:dyDescent="0.2">
      <c r="A1040" s="1507">
        <v>7</v>
      </c>
      <c r="B1040" s="1516" t="s">
        <v>4410</v>
      </c>
      <c r="C1040" s="1516"/>
      <c r="D1040" s="1516"/>
      <c r="E1040" s="1516"/>
      <c r="F1040" s="1511"/>
      <c r="G1040" s="1509" t="str">
        <f t="shared" ca="1" si="85"/>
        <v/>
      </c>
      <c r="H1040" s="1530" t="s">
        <v>3199</v>
      </c>
      <c r="I1040" s="590"/>
      <c r="J1040" s="590"/>
      <c r="K1040" s="590"/>
      <c r="L1040" s="1687"/>
      <c r="M1040" s="1501"/>
      <c r="N1040" s="991"/>
      <c r="O1040" s="991"/>
      <c r="P1040" s="991"/>
      <c r="Q1040" s="991"/>
      <c r="R1040" s="991"/>
      <c r="S1040" s="991"/>
      <c r="T1040" s="1501"/>
      <c r="X1040" s="1600"/>
      <c r="Y1040" s="1874"/>
      <c r="Z1040" s="1600"/>
      <c r="AC1040" s="1150"/>
      <c r="AD1040" s="1150"/>
      <c r="AE1040" s="1150"/>
      <c r="AL1040" s="1352"/>
      <c r="AM1040" s="1352"/>
      <c r="AN1040" s="1352"/>
      <c r="AO1040" s="1352"/>
      <c r="AP1040" s="1352"/>
      <c r="AQ1040" s="1352"/>
      <c r="AR1040" s="1352"/>
      <c r="AS1040" s="1352"/>
    </row>
    <row r="1041" spans="1:45" s="905" customFormat="1" hidden="1" x14ac:dyDescent="0.2">
      <c r="A1041" s="1507">
        <v>7</v>
      </c>
      <c r="B1041" s="1516" t="s">
        <v>4410</v>
      </c>
      <c r="C1041" s="1516"/>
      <c r="D1041" s="1516"/>
      <c r="E1041" s="1516"/>
      <c r="F1041" s="1511"/>
      <c r="G1041" s="1509" t="str">
        <f t="shared" ca="1" si="85"/>
        <v/>
      </c>
      <c r="H1041" s="1530" t="s">
        <v>3199</v>
      </c>
      <c r="I1041" s="590"/>
      <c r="J1041" s="590"/>
      <c r="K1041" s="590"/>
      <c r="L1041" s="1687"/>
      <c r="M1041" s="1501"/>
      <c r="N1041" s="991"/>
      <c r="O1041" s="991"/>
      <c r="P1041" s="991"/>
      <c r="Q1041" s="991"/>
      <c r="R1041" s="991"/>
      <c r="S1041" s="991"/>
      <c r="T1041" s="1501"/>
      <c r="X1041" s="1600"/>
      <c r="Y1041" s="1874"/>
      <c r="Z1041" s="1600"/>
      <c r="AC1041" s="1150"/>
      <c r="AD1041" s="1150"/>
      <c r="AE1041" s="1150"/>
      <c r="AL1041" s="1352"/>
      <c r="AM1041" s="1352"/>
      <c r="AN1041" s="1352"/>
      <c r="AO1041" s="1352"/>
      <c r="AP1041" s="1352"/>
      <c r="AQ1041" s="1352"/>
      <c r="AR1041" s="1352"/>
      <c r="AS1041" s="1352"/>
    </row>
    <row r="1042" spans="1:45" s="905" customFormat="1" hidden="1" x14ac:dyDescent="0.2">
      <c r="A1042" s="1507">
        <v>7</v>
      </c>
      <c r="B1042" s="1516" t="s">
        <v>4410</v>
      </c>
      <c r="C1042" s="1516"/>
      <c r="D1042" s="1516"/>
      <c r="E1042" s="1516"/>
      <c r="F1042" s="1511"/>
      <c r="G1042" s="1509" t="str">
        <f t="shared" ca="1" si="85"/>
        <v/>
      </c>
      <c r="H1042" s="1530" t="s">
        <v>3199</v>
      </c>
      <c r="I1042" s="606"/>
      <c r="J1042" s="606"/>
      <c r="K1042" s="606"/>
      <c r="L1042" s="1688"/>
      <c r="M1042" s="1501"/>
      <c r="N1042" s="991"/>
      <c r="O1042" s="991"/>
      <c r="P1042" s="991"/>
      <c r="Q1042" s="991"/>
      <c r="R1042" s="991"/>
      <c r="S1042" s="991"/>
      <c r="T1042" s="1501"/>
      <c r="X1042" s="1600"/>
      <c r="Y1042" s="1874"/>
      <c r="Z1042" s="1600"/>
      <c r="AC1042" s="1150"/>
      <c r="AD1042" s="1150"/>
      <c r="AE1042" s="1150"/>
      <c r="AL1042" s="1352"/>
      <c r="AM1042" s="1352"/>
      <c r="AN1042" s="1352"/>
      <c r="AO1042" s="1352"/>
      <c r="AP1042" s="1352"/>
      <c r="AQ1042" s="1352"/>
      <c r="AR1042" s="1352"/>
      <c r="AS1042" s="1352"/>
    </row>
    <row r="1043" spans="1:45" s="905" customFormat="1" ht="15" hidden="1" customHeight="1" x14ac:dyDescent="0.2">
      <c r="A1043" s="1507">
        <v>7</v>
      </c>
      <c r="B1043" s="1516" t="s">
        <v>4411</v>
      </c>
      <c r="C1043" s="1516"/>
      <c r="D1043" s="1516"/>
      <c r="E1043" s="1516"/>
      <c r="F1043" s="1511"/>
      <c r="G1043" s="1509" t="str">
        <f t="shared" ca="1" si="85"/>
        <v/>
      </c>
      <c r="H1043" s="1530" t="s">
        <v>3199</v>
      </c>
      <c r="I1043" s="590" t="s">
        <v>4072</v>
      </c>
      <c r="J1043" s="590"/>
      <c r="K1043" s="590"/>
      <c r="L1043" s="1687" t="s">
        <v>4073</v>
      </c>
      <c r="M1043" s="1501"/>
      <c r="N1043" s="991"/>
      <c r="O1043" s="991"/>
      <c r="P1043" s="991"/>
      <c r="Q1043" s="991"/>
      <c r="R1043" s="991"/>
      <c r="S1043" s="991"/>
      <c r="T1043" s="1501"/>
      <c r="U1043" s="991"/>
      <c r="X1043" s="1600"/>
      <c r="Y1043" s="1874"/>
      <c r="Z1043" s="1600"/>
      <c r="AC1043" s="1150"/>
      <c r="AD1043" s="1150"/>
      <c r="AE1043" s="1150"/>
      <c r="AL1043" s="1352"/>
      <c r="AM1043" s="1352"/>
      <c r="AN1043" s="1352"/>
      <c r="AO1043" s="1352"/>
      <c r="AP1043" s="1352"/>
      <c r="AQ1043" s="1352"/>
      <c r="AR1043" s="1352"/>
      <c r="AS1043" s="1352"/>
    </row>
    <row r="1044" spans="1:45" s="905" customFormat="1" hidden="1" x14ac:dyDescent="0.2">
      <c r="A1044" s="1507">
        <v>7</v>
      </c>
      <c r="B1044" s="1516" t="s">
        <v>4411</v>
      </c>
      <c r="C1044" s="1516"/>
      <c r="D1044" s="1516"/>
      <c r="E1044" s="1516"/>
      <c r="F1044" s="1511"/>
      <c r="G1044" s="1509" t="str">
        <f t="shared" ca="1" si="85"/>
        <v/>
      </c>
      <c r="H1044" s="1530" t="s">
        <v>3199</v>
      </c>
      <c r="I1044" s="590"/>
      <c r="J1044" s="590"/>
      <c r="K1044" s="590"/>
      <c r="L1044" s="1687"/>
      <c r="M1044" s="1501"/>
      <c r="N1044" s="991"/>
      <c r="O1044" s="991"/>
      <c r="P1044" s="991"/>
      <c r="Q1044" s="991"/>
      <c r="R1044" s="991"/>
      <c r="S1044" s="991"/>
      <c r="T1044" s="1501"/>
      <c r="U1044" s="991"/>
      <c r="X1044" s="1600"/>
      <c r="Y1044" s="1874"/>
      <c r="Z1044" s="1600"/>
      <c r="AC1044" s="1150"/>
      <c r="AD1044" s="1150"/>
      <c r="AE1044" s="1150"/>
      <c r="AL1044" s="1352"/>
      <c r="AM1044" s="1352"/>
      <c r="AN1044" s="1352"/>
      <c r="AO1044" s="1352"/>
      <c r="AP1044" s="1352"/>
      <c r="AQ1044" s="1352"/>
      <c r="AR1044" s="1352"/>
      <c r="AS1044" s="1352"/>
    </row>
    <row r="1045" spans="1:45" s="905" customFormat="1" hidden="1" x14ac:dyDescent="0.2">
      <c r="A1045" s="1507">
        <v>7</v>
      </c>
      <c r="B1045" s="1516" t="s">
        <v>4411</v>
      </c>
      <c r="C1045" s="1516"/>
      <c r="D1045" s="1516"/>
      <c r="E1045" s="1516"/>
      <c r="F1045" s="1511"/>
      <c r="G1045" s="1509" t="str">
        <f t="shared" ca="1" si="85"/>
        <v/>
      </c>
      <c r="H1045" s="1530" t="s">
        <v>3199</v>
      </c>
      <c r="I1045" s="606"/>
      <c r="J1045" s="606"/>
      <c r="K1045" s="606"/>
      <c r="L1045" s="1688"/>
      <c r="M1045" s="173"/>
      <c r="N1045" s="173"/>
      <c r="O1045" s="173"/>
      <c r="P1045" s="173"/>
      <c r="Q1045" s="173"/>
      <c r="R1045" s="173"/>
      <c r="S1045" s="173"/>
      <c r="T1045" s="173"/>
      <c r="U1045" s="173"/>
      <c r="X1045" s="1600"/>
      <c r="Y1045" s="1874"/>
      <c r="Z1045" s="1600"/>
      <c r="AC1045" s="1150"/>
      <c r="AD1045" s="1150"/>
      <c r="AE1045" s="1150"/>
      <c r="AL1045" s="1352"/>
      <c r="AM1045" s="1352"/>
      <c r="AN1045" s="1352"/>
      <c r="AO1045" s="1352"/>
      <c r="AP1045" s="1352"/>
      <c r="AQ1045" s="1352"/>
      <c r="AR1045" s="1352"/>
      <c r="AS1045" s="1352"/>
    </row>
    <row r="1046" spans="1:45" s="905" customFormat="1" ht="15" hidden="1" customHeight="1" x14ac:dyDescent="0.2">
      <c r="A1046" s="1507">
        <v>7</v>
      </c>
      <c r="B1046" s="1516" t="s">
        <v>4412</v>
      </c>
      <c r="C1046" s="1516"/>
      <c r="D1046" s="1516"/>
      <c r="E1046" s="1516"/>
      <c r="F1046" s="1511"/>
      <c r="G1046" s="1509" t="str">
        <f ca="1">IF(IFERROR(SEARCH("Mandatory",M1046),FALSE),"P","")</f>
        <v/>
      </c>
      <c r="H1046" s="1530" t="s">
        <v>3199</v>
      </c>
      <c r="I1046" s="608" t="s">
        <v>4074</v>
      </c>
      <c r="J1046" s="608"/>
      <c r="K1046" s="608"/>
      <c r="L1046" s="1686" t="s">
        <v>4469</v>
      </c>
      <c r="M1046" s="1741" t="str">
        <f ca="1">IF(R1046,"Mandatory if Relevant","N/A")</f>
        <v>N/A</v>
      </c>
      <c r="N1046" s="193"/>
      <c r="O1046" s="918"/>
      <c r="P1046" s="195" t="b">
        <v>0</v>
      </c>
      <c r="Q1046" s="195" t="b">
        <v>1</v>
      </c>
      <c r="R1046" s="195" t="b">
        <f ca="1">AND(S1046,NOT(BI890="Tropical"))</f>
        <v>0</v>
      </c>
      <c r="S1046" s="195" t="b">
        <f ca="1">AND(S885=2,NOT(W912))</f>
        <v>0</v>
      </c>
      <c r="T1046" s="195" t="b">
        <f ca="1">AND(NOT(S1046),LEN(W1046)&gt;0)</f>
        <v>0</v>
      </c>
      <c r="U1046" s="195" t="str">
        <f>SUBSTITUTE(SUBSTITUTE(SUBSTITUTE("dd"&amp;B1046&amp;C1046&amp;D1046&amp;E1046&amp;F1046,".","_"),"(","_"),")","")</f>
        <v>dd703_1_2</v>
      </c>
      <c r="W1046" s="12"/>
      <c r="X1046" s="1600"/>
      <c r="Y1046" s="1874" t="str">
        <f>IF(LEN('11.700'!X172)=0,"None",'11.700'!X172)</f>
        <v>None</v>
      </c>
      <c r="Z1046" s="1600"/>
      <c r="AC1046" s="1150" t="b">
        <f ca="1">OR(AD1046:AE1046)</f>
        <v>0</v>
      </c>
      <c r="AD1046" s="1150" t="b">
        <f ca="1">T1046</f>
        <v>0</v>
      </c>
      <c r="AE1046" s="1150" t="b">
        <f ca="1">AND(R1046,NOT(W1046))</f>
        <v>0</v>
      </c>
      <c r="AL1046" s="1352" t="str">
        <f>SUBSTITUTE(SUBSTITUTE(SUBSTITUTE("vpa"&amp;$B1046&amp;$C1046&amp;$D1046&amp;$E1046&amp;$F1046,".","_"),"(","_"),")","")</f>
        <v>vpa703_1_2</v>
      </c>
      <c r="AM1046" s="1352" t="str">
        <f ca="1">M1046</f>
        <v>N/A</v>
      </c>
      <c r="AN1046" s="1352"/>
      <c r="AO1046" s="1352"/>
      <c r="AP1046" s="1352" t="str">
        <f>SUBSTITUTE(SUBSTITUTE(SUBSTITUTE("vch"&amp;$B1046&amp;$C1046&amp;$D1046&amp;$E1046&amp;$F1046,".","_"),"(","_"),")","")</f>
        <v>vch703_1_2</v>
      </c>
      <c r="AQ1046" s="1352" t="str">
        <f>IF(LEN(W1046)=0,"",W1046)</f>
        <v/>
      </c>
      <c r="AR1046" s="1352" t="str">
        <f>SUBSTITUTE(SUBSTITUTE(SUBSTITUTE("vnt"&amp;$B1046&amp;$C1046&amp;$D1046&amp;$E1046&amp;$F1046,".","_"),"(","_"),")","")</f>
        <v>vnt703_1_2</v>
      </c>
      <c r="AS1046" s="1352" t="str">
        <f>IF(LEN(X1046)=0,"",X1046)</f>
        <v/>
      </c>
    </row>
    <row r="1047" spans="1:45" s="905" customFormat="1" hidden="1" x14ac:dyDescent="0.2">
      <c r="A1047" s="1507">
        <v>7</v>
      </c>
      <c r="B1047" s="1516" t="s">
        <v>4412</v>
      </c>
      <c r="C1047" s="1516"/>
      <c r="D1047" s="1516"/>
      <c r="E1047" s="1516"/>
      <c r="F1047" s="1511"/>
      <c r="G1047" s="1509" t="str">
        <f ca="1">G1046</f>
        <v/>
      </c>
      <c r="H1047" s="1530" t="s">
        <v>3199</v>
      </c>
      <c r="I1047" s="590"/>
      <c r="J1047" s="590"/>
      <c r="K1047" s="590"/>
      <c r="L1047" s="1687"/>
      <c r="M1047" s="1708"/>
      <c r="N1047" s="129"/>
      <c r="O1047" s="908"/>
      <c r="P1047" s="991"/>
      <c r="Q1047" s="991"/>
      <c r="R1047" s="991"/>
      <c r="S1047" s="988" t="b">
        <f ca="1">IF(S1046,IF(AND(AND(BF890&gt;=1,BF890 &lt;=2),AND(W933&gt;=1,W933&lt;=5)),TRUE,IF(AND(AND(BF890&gt;=3,BF890&lt;=8),AND(W933&gt;=1,W933&lt;=3)), TRUE,FALSE)))</f>
        <v>0</v>
      </c>
      <c r="T1047" s="1498"/>
      <c r="U1047" s="991"/>
      <c r="X1047" s="1600"/>
      <c r="Y1047" s="1874"/>
      <c r="Z1047" s="1600"/>
      <c r="AC1047" s="1150"/>
      <c r="AD1047" s="1159" t="b">
        <f ca="1">IF( AND(S1046,S1047=FALSE), TRUE,FALSE)</f>
        <v>0</v>
      </c>
      <c r="AE1047" s="1150"/>
      <c r="AL1047" s="1352"/>
      <c r="AM1047" s="1352"/>
      <c r="AN1047" s="1352"/>
      <c r="AO1047" s="1352"/>
      <c r="AP1047" s="1352"/>
      <c r="AQ1047" s="1352"/>
      <c r="AR1047" s="1352"/>
      <c r="AS1047" s="1352"/>
    </row>
    <row r="1048" spans="1:45" s="905" customFormat="1" hidden="1" x14ac:dyDescent="0.2">
      <c r="A1048" s="1507">
        <v>7</v>
      </c>
      <c r="B1048" s="1516" t="s">
        <v>4412</v>
      </c>
      <c r="C1048" s="1516"/>
      <c r="D1048" s="1516"/>
      <c r="E1048" s="1516"/>
      <c r="F1048" s="1511"/>
      <c r="G1048" s="1509" t="str">
        <f ca="1">G1047</f>
        <v/>
      </c>
      <c r="H1048" s="1530" t="s">
        <v>3199</v>
      </c>
      <c r="I1048" s="606"/>
      <c r="J1048" s="606"/>
      <c r="K1048" s="606"/>
      <c r="L1048" s="959" t="s">
        <v>4470</v>
      </c>
      <c r="M1048" s="173"/>
      <c r="N1048" s="173"/>
      <c r="O1048" s="173"/>
      <c r="P1048" s="173"/>
      <c r="Q1048" s="173"/>
      <c r="R1048" s="173"/>
      <c r="S1048" s="173"/>
      <c r="T1048" s="173"/>
      <c r="U1048" s="173"/>
      <c r="X1048" s="1600"/>
      <c r="Y1048" s="1874"/>
      <c r="Z1048" s="1600"/>
      <c r="AC1048" s="1150"/>
      <c r="AD1048" s="1150"/>
      <c r="AE1048" s="1150"/>
      <c r="AL1048" s="1352"/>
      <c r="AM1048" s="1352"/>
      <c r="AN1048" s="1352"/>
      <c r="AO1048" s="1352"/>
      <c r="AP1048" s="1352"/>
      <c r="AQ1048" s="1352"/>
      <c r="AR1048" s="1352"/>
      <c r="AS1048" s="1352"/>
    </row>
    <row r="1049" spans="1:45" s="905" customFormat="1" ht="15" hidden="1" customHeight="1" x14ac:dyDescent="0.2">
      <c r="A1049" s="1507">
        <v>7</v>
      </c>
      <c r="B1049" s="1516" t="s">
        <v>4413</v>
      </c>
      <c r="C1049" s="1516"/>
      <c r="D1049" s="1516"/>
      <c r="E1049" s="1516"/>
      <c r="F1049" s="1511"/>
      <c r="G1049" s="1509" t="str">
        <f ca="1">IF(IFERROR(SEARCH("Mandatory",M1049),FALSE),"P","")</f>
        <v/>
      </c>
      <c r="H1049" s="1510" t="s">
        <v>3197</v>
      </c>
      <c r="I1049" s="608" t="s">
        <v>4075</v>
      </c>
      <c r="J1049" s="608"/>
      <c r="K1049" s="608"/>
      <c r="L1049" s="1686" t="s">
        <v>4076</v>
      </c>
      <c r="M1049" s="1741" t="str">
        <f ca="1">IF(R1049,"Mandatory if Relevant","N/A")</f>
        <v>N/A</v>
      </c>
      <c r="N1049" s="193"/>
      <c r="O1049" s="918"/>
      <c r="P1049" s="195" t="b">
        <v>1</v>
      </c>
      <c r="Q1049" s="195" t="b">
        <v>1</v>
      </c>
      <c r="R1049" s="195" t="b">
        <f ca="1">S1049</f>
        <v>0</v>
      </c>
      <c r="S1049" s="195" t="b">
        <f ca="1">AND(S885=2,NOT(AND(AY914=INDEX(INDIRECT('Overview (Design)'!$E$42),3),AY918=INDEX(INDIRECT('Overview (Design)'!$E$46),3))),W1195&lt;&gt;"Exempt")</f>
        <v>0</v>
      </c>
      <c r="T1049" s="195" t="b">
        <f ca="1">AND(NOT(S1049),LEN(W1049)&gt;0)</f>
        <v>0</v>
      </c>
      <c r="U1049" s="195" t="str">
        <f>SUBSTITUTE(SUBSTITUTE(SUBSTITUTE("dd"&amp;B1049&amp;C1049&amp;D1049&amp;E1049&amp;F1049,".","_"),"(","_"),")","")</f>
        <v>dd703_1_3</v>
      </c>
      <c r="W1049" s="12"/>
      <c r="X1049" s="1601"/>
      <c r="Y1049" s="1881" t="str">
        <f>IF(LEN('11.700'!X175)=0,"None",'11.700'!X175)</f>
        <v>None</v>
      </c>
      <c r="Z1049" s="1600"/>
      <c r="AC1049" s="1150" t="b">
        <f ca="1">OR(AD1049:AE1049)</f>
        <v>0</v>
      </c>
      <c r="AD1049" s="1150" t="b">
        <f ca="1">T1049</f>
        <v>0</v>
      </c>
      <c r="AE1049" s="1150" t="b">
        <f ca="1">AND(R1049,NOT(W1049))</f>
        <v>0</v>
      </c>
      <c r="AL1049" s="1352" t="str">
        <f>SUBSTITUTE(SUBSTITUTE(SUBSTITUTE("vpa"&amp;$B1049&amp;$C1049&amp;$D1049&amp;$E1049&amp;$F1049,".","_"),"(","_"),")","")</f>
        <v>vpa703_1_3</v>
      </c>
      <c r="AM1049" s="1352" t="str">
        <f ca="1">M1049</f>
        <v>N/A</v>
      </c>
      <c r="AN1049" s="1352"/>
      <c r="AO1049" s="1352"/>
      <c r="AP1049" s="1352" t="str">
        <f>SUBSTITUTE(SUBSTITUTE(SUBSTITUTE("vch"&amp;$B1049&amp;$C1049&amp;$D1049&amp;$E1049&amp;$F1049,".","_"),"(","_"),")","")</f>
        <v>vch703_1_3</v>
      </c>
      <c r="AQ1049" s="1352" t="str">
        <f>IF(LEN(W1049)=0,"",W1049)</f>
        <v/>
      </c>
      <c r="AR1049" s="1352" t="str">
        <f>SUBSTITUTE(SUBSTITUTE(SUBSTITUTE("vnt"&amp;$B1049&amp;$C1049&amp;$D1049&amp;$E1049&amp;$F1049,".","_"),"(","_"),")","")</f>
        <v>vnt703_1_3</v>
      </c>
      <c r="AS1049" s="1352" t="str">
        <f>IF(LEN(X1049)=0,"",X1049)</f>
        <v/>
      </c>
    </row>
    <row r="1050" spans="1:45" s="905" customFormat="1" ht="16" hidden="1" thickBot="1" x14ac:dyDescent="0.25">
      <c r="A1050" s="1507">
        <v>7</v>
      </c>
      <c r="B1050" s="1516" t="s">
        <v>4413</v>
      </c>
      <c r="C1050" s="1516"/>
      <c r="D1050" s="1516"/>
      <c r="E1050" s="1516"/>
      <c r="F1050" s="1511"/>
      <c r="G1050" s="1509" t="str">
        <f ca="1">G1049</f>
        <v/>
      </c>
      <c r="H1050" s="1510" t="s">
        <v>3197</v>
      </c>
      <c r="I1050" s="594"/>
      <c r="J1050" s="594"/>
      <c r="K1050" s="594"/>
      <c r="L1050" s="1738"/>
      <c r="M1050" s="1742"/>
      <c r="N1050" s="239"/>
      <c r="O1050" s="922"/>
      <c r="P1050" s="100"/>
      <c r="Q1050" s="100"/>
      <c r="R1050" s="100"/>
      <c r="S1050" s="100"/>
      <c r="T1050" s="100"/>
      <c r="U1050" s="100"/>
      <c r="W1050" s="270"/>
      <c r="X1050" s="1602"/>
      <c r="Y1050" s="1882"/>
      <c r="Z1050" s="1602"/>
      <c r="AC1050" s="1150"/>
      <c r="AD1050" s="1150"/>
      <c r="AE1050" s="1150"/>
      <c r="AL1050" s="1352"/>
      <c r="AM1050" s="1352"/>
      <c r="AN1050" s="1352"/>
      <c r="AO1050" s="1352"/>
      <c r="AP1050" s="1352"/>
      <c r="AQ1050" s="1352"/>
      <c r="AR1050" s="1352"/>
      <c r="AS1050" s="1352"/>
    </row>
    <row r="1051" spans="1:45" s="905" customFormat="1" hidden="1" x14ac:dyDescent="0.2">
      <c r="A1051" s="1507">
        <v>7</v>
      </c>
      <c r="B1051" s="1516">
        <v>703.2</v>
      </c>
      <c r="C1051" s="1516"/>
      <c r="D1051" s="1516"/>
      <c r="E1051" s="1516"/>
      <c r="F1051" s="1511"/>
      <c r="G1051" s="1513" t="str">
        <f ca="1">IF(COUNTIF(G1052:G1087,"P")&gt;0,"P","")</f>
        <v/>
      </c>
      <c r="H1051" s="1530" t="s">
        <v>3199</v>
      </c>
      <c r="I1051" s="589" t="s">
        <v>4077</v>
      </c>
      <c r="J1051" s="589"/>
      <c r="K1051" s="589"/>
      <c r="L1051" s="946" t="s">
        <v>4078</v>
      </c>
      <c r="M1051" s="991"/>
      <c r="N1051" s="991"/>
      <c r="O1051" s="991"/>
      <c r="P1051" s="991"/>
      <c r="Q1051" s="991"/>
      <c r="R1051" s="991"/>
      <c r="S1051" s="991"/>
      <c r="T1051" s="991"/>
      <c r="X1051" s="1122"/>
      <c r="Z1051" s="1122"/>
      <c r="AC1051" s="1150"/>
      <c r="AD1051" s="1150"/>
      <c r="AE1051" s="1150"/>
      <c r="AL1051" s="1352"/>
      <c r="AM1051" s="1352"/>
      <c r="AN1051" s="1352"/>
      <c r="AO1051" s="1352"/>
      <c r="AP1051" s="1352"/>
      <c r="AQ1051" s="1352"/>
      <c r="AR1051" s="1352"/>
      <c r="AS1051" s="1352"/>
    </row>
    <row r="1052" spans="1:45" s="905" customFormat="1" ht="15" hidden="1" customHeight="1" x14ac:dyDescent="0.2">
      <c r="A1052" s="1507">
        <v>7</v>
      </c>
      <c r="B1052" s="1516" t="s">
        <v>4414</v>
      </c>
      <c r="C1052" s="1516"/>
      <c r="D1052" s="1516"/>
      <c r="E1052" s="1516"/>
      <c r="F1052" s="1511"/>
      <c r="G1052" s="1509" t="str">
        <f>IF(N1052&gt;0,"P","")</f>
        <v/>
      </c>
      <c r="H1052" s="1510" t="s">
        <v>3199</v>
      </c>
      <c r="I1052" s="590" t="s">
        <v>4079</v>
      </c>
      <c r="J1052" s="590"/>
      <c r="K1052" s="590"/>
      <c r="L1052" s="1687" t="s">
        <v>4080</v>
      </c>
      <c r="M1052" s="1694" t="s">
        <v>4834</v>
      </c>
      <c r="N1052" s="1619">
        <f>'11.700'!O178</f>
        <v>0</v>
      </c>
      <c r="O1052" s="1619">
        <f>W1052*IFERROR(Formulas!$C$38,0)</f>
        <v>0</v>
      </c>
      <c r="P1052" s="991" t="b">
        <v>0</v>
      </c>
      <c r="Q1052" s="991" t="b">
        <v>1</v>
      </c>
      <c r="R1052" s="991" t="b">
        <v>0</v>
      </c>
      <c r="S1052" s="991" t="b">
        <f ca="1">S885=2</f>
        <v>0</v>
      </c>
      <c r="T1052" s="991" t="b">
        <f ca="1">AND(NOT(S1052),W1052=TRUE)</f>
        <v>0</v>
      </c>
      <c r="U1052" s="991"/>
      <c r="W1052" s="27"/>
      <c r="X1052" s="1600"/>
      <c r="Y1052" s="1874" t="str">
        <f>IF(LEN('11.700'!X178)=0,"None",'11.700'!X178)</f>
        <v>None</v>
      </c>
      <c r="Z1052" s="1600"/>
      <c r="AC1052" s="1150" t="b">
        <f ca="1">OR(AD1052:AE1052)</f>
        <v>0</v>
      </c>
      <c r="AD1052" s="1150" t="b">
        <f ca="1">T1052</f>
        <v>0</v>
      </c>
      <c r="AE1052" s="1150"/>
      <c r="AL1052" s="1352" t="str">
        <f>SUBSTITUTE(SUBSTITUTE(SUBSTITUTE("vpa"&amp;$B1052&amp;$C1052&amp;$D1052&amp;$E1052&amp;$F1052,".","_"),"(","_"),")","")</f>
        <v>vpa703_2_1</v>
      </c>
      <c r="AM1052" s="1352" t="str">
        <f>M1052</f>
        <v>Per Table 11.703.2.1(b)</v>
      </c>
      <c r="AN1052" s="1352" t="str">
        <f>SUBSTITUTE(SUBSTITUTE(SUBSTITUTE("vpc"&amp;$B1052&amp;$C1052&amp;$D1052&amp;$E1052&amp;$F1052,".","_"),"(","_"),")","")</f>
        <v>vpc703_2_1</v>
      </c>
      <c r="AO1052" s="1352">
        <f>O1052</f>
        <v>0</v>
      </c>
      <c r="AP1052" s="1352" t="str">
        <f>SUBSTITUTE(SUBSTITUTE(SUBSTITUTE("vch"&amp;$B1052&amp;$C1052&amp;$D1052&amp;$E1052&amp;$F1052,".","_"),"(","_"),")","")</f>
        <v>vch703_2_1</v>
      </c>
      <c r="AQ1052" s="1352" t="str">
        <f>IF(LEN(W1052)=0,"",W1052)</f>
        <v/>
      </c>
      <c r="AR1052" s="1352" t="str">
        <f>SUBSTITUTE(SUBSTITUTE(SUBSTITUTE("vnt"&amp;$B1052&amp;$C1052&amp;$D1052&amp;$E1052&amp;$F1052,".","_"),"(","_"),")","")</f>
        <v>vnt703_2_1</v>
      </c>
      <c r="AS1052" s="1352" t="str">
        <f>IF(LEN(X1052)=0,"",X1052)</f>
        <v/>
      </c>
    </row>
    <row r="1053" spans="1:45" s="905" customFormat="1" hidden="1" x14ac:dyDescent="0.2">
      <c r="A1053" s="1507">
        <v>7</v>
      </c>
      <c r="B1053" s="1516" t="s">
        <v>4414</v>
      </c>
      <c r="C1053" s="1516"/>
      <c r="D1053" s="1516"/>
      <c r="E1053" s="1516"/>
      <c r="F1053" s="1511"/>
      <c r="G1053" s="1509" t="str">
        <f t="shared" ref="G1053:G1058" si="86">G1052</f>
        <v/>
      </c>
      <c r="H1053" s="1510" t="s">
        <v>3199</v>
      </c>
      <c r="I1053" s="590"/>
      <c r="J1053" s="590"/>
      <c r="K1053" s="590"/>
      <c r="L1053" s="1687"/>
      <c r="M1053" s="1694"/>
      <c r="N1053" s="1619"/>
      <c r="O1053" s="1619"/>
      <c r="P1053" s="991"/>
      <c r="Q1053" s="991"/>
      <c r="R1053" s="991"/>
      <c r="S1053" s="991"/>
      <c r="T1053" s="991"/>
      <c r="U1053" s="991"/>
      <c r="W1053" s="991" t="s">
        <v>4493</v>
      </c>
      <c r="X1053" s="1600"/>
      <c r="Y1053" s="1874"/>
      <c r="Z1053" s="1600"/>
      <c r="AC1053" s="1150"/>
      <c r="AD1053" s="1150"/>
      <c r="AE1053" s="1150"/>
      <c r="AL1053" s="1352"/>
      <c r="AM1053" s="1352"/>
      <c r="AN1053" s="1352"/>
      <c r="AO1053" s="1352"/>
      <c r="AP1053" s="1352"/>
      <c r="AQ1053" s="1352"/>
      <c r="AR1053" s="1352"/>
      <c r="AS1053" s="1352"/>
    </row>
    <row r="1054" spans="1:45" s="905" customFormat="1" hidden="1" x14ac:dyDescent="0.2">
      <c r="A1054" s="1507">
        <v>7</v>
      </c>
      <c r="B1054" s="1516" t="s">
        <v>4414</v>
      </c>
      <c r="C1054" s="1516" t="s">
        <v>3921</v>
      </c>
      <c r="D1054" s="1516"/>
      <c r="E1054" s="1516"/>
      <c r="F1054" s="1511"/>
      <c r="G1054" s="1509" t="str">
        <f t="shared" si="86"/>
        <v/>
      </c>
      <c r="H1054" s="1530" t="s">
        <v>3199</v>
      </c>
      <c r="I1054" s="590"/>
      <c r="J1054" s="590"/>
      <c r="K1054" s="590"/>
      <c r="L1054" s="1687"/>
      <c r="M1054" s="1694"/>
      <c r="N1054" s="1619"/>
      <c r="O1054" s="1619"/>
      <c r="P1054" s="991" t="b">
        <v>0</v>
      </c>
      <c r="Q1054" s="991" t="b">
        <v>1</v>
      </c>
      <c r="R1054" s="991" t="b">
        <v>0</v>
      </c>
      <c r="S1054" s="991" t="b">
        <f ca="1">S885=2</f>
        <v>0</v>
      </c>
      <c r="T1054" s="991" t="b">
        <f ca="1">AND(NOT(S1054),LEN(W1054)&gt;0)</f>
        <v>0</v>
      </c>
      <c r="U1054" s="991"/>
      <c r="W1054" s="977"/>
      <c r="X1054" s="1600"/>
      <c r="Y1054" s="1874"/>
      <c r="Z1054" s="1600"/>
      <c r="AC1054" s="1150" t="b">
        <f ca="1">OR(AD1054:AE1054)</f>
        <v>0</v>
      </c>
      <c r="AD1054" s="1150" t="b">
        <f ca="1">T1054</f>
        <v>0</v>
      </c>
      <c r="AE1054" s="1150"/>
      <c r="AL1054" s="1352"/>
      <c r="AM1054" s="1352"/>
      <c r="AN1054" s="1352"/>
      <c r="AO1054" s="1352"/>
      <c r="AP1054" s="1352" t="str">
        <f>SUBSTITUTE(SUBSTITUTE(SUBSTITUTE("vch"&amp;$B1054&amp;$C1054&amp;$D1054&amp;$E1054&amp;$F1054,".","_"),"(","_"),")","")</f>
        <v>vch703_2_1_1</v>
      </c>
      <c r="AQ1054" s="1352" t="str">
        <f>IF(LEN(W1054)=0,"",W1054)</f>
        <v/>
      </c>
      <c r="AR1054" s="1352"/>
      <c r="AS1054" s="1352"/>
    </row>
    <row r="1055" spans="1:45" s="905" customFormat="1" hidden="1" x14ac:dyDescent="0.2">
      <c r="A1055" s="1507">
        <v>7</v>
      </c>
      <c r="B1055" s="1516" t="s">
        <v>4414</v>
      </c>
      <c r="C1055" s="1516"/>
      <c r="D1055" s="1516"/>
      <c r="E1055" s="1516"/>
      <c r="F1055" s="1511"/>
      <c r="G1055" s="1509" t="str">
        <f t="shared" si="86"/>
        <v/>
      </c>
      <c r="H1055" s="1530" t="s">
        <v>3199</v>
      </c>
      <c r="I1055" s="590"/>
      <c r="J1055" s="590"/>
      <c r="K1055" s="590"/>
      <c r="L1055" s="1687"/>
      <c r="M1055" s="1694"/>
      <c r="N1055" s="1619"/>
      <c r="O1055" s="1619"/>
      <c r="P1055" s="991"/>
      <c r="Q1055" s="991"/>
      <c r="R1055" s="991"/>
      <c r="S1055" s="991"/>
      <c r="T1055" s="991"/>
      <c r="U1055" s="991"/>
      <c r="X1055" s="1600"/>
      <c r="Y1055" s="1874"/>
      <c r="Z1055" s="1600"/>
      <c r="AL1055" s="1352"/>
      <c r="AM1055" s="1352"/>
      <c r="AN1055" s="1352"/>
      <c r="AO1055" s="1352"/>
      <c r="AP1055" s="1352"/>
      <c r="AQ1055" s="1352"/>
      <c r="AR1055" s="1352"/>
      <c r="AS1055" s="1352"/>
    </row>
    <row r="1056" spans="1:45" s="905" customFormat="1" hidden="1" x14ac:dyDescent="0.2">
      <c r="A1056" s="1507">
        <v>7</v>
      </c>
      <c r="B1056" s="1516" t="s">
        <v>4414</v>
      </c>
      <c r="C1056" s="1516"/>
      <c r="D1056" s="1516"/>
      <c r="E1056" s="1516"/>
      <c r="F1056" s="1511"/>
      <c r="G1056" s="1509" t="str">
        <f t="shared" si="86"/>
        <v/>
      </c>
      <c r="H1056" s="1530" t="s">
        <v>3199</v>
      </c>
      <c r="I1056" s="590"/>
      <c r="J1056" s="590"/>
      <c r="K1056" s="590"/>
      <c r="L1056" s="1687"/>
      <c r="M1056" s="1694"/>
      <c r="N1056" s="1619"/>
      <c r="O1056" s="1619"/>
      <c r="P1056" s="991"/>
      <c r="Q1056" s="991"/>
      <c r="R1056" s="991"/>
      <c r="S1056" s="991"/>
      <c r="T1056" s="991"/>
      <c r="U1056" s="991"/>
      <c r="X1056" s="1600"/>
      <c r="Y1056" s="1874"/>
      <c r="Z1056" s="1600"/>
      <c r="AL1056" s="1352"/>
      <c r="AM1056" s="1352"/>
      <c r="AN1056" s="1352"/>
      <c r="AO1056" s="1352"/>
      <c r="AP1056" s="1352"/>
      <c r="AQ1056" s="1352"/>
      <c r="AR1056" s="1352"/>
      <c r="AS1056" s="1352"/>
    </row>
    <row r="1057" spans="1:45" s="905" customFormat="1" hidden="1" x14ac:dyDescent="0.2">
      <c r="A1057" s="1507">
        <v>7</v>
      </c>
      <c r="B1057" s="1516" t="s">
        <v>4414</v>
      </c>
      <c r="C1057" s="1516"/>
      <c r="D1057" s="1516"/>
      <c r="E1057" s="1516"/>
      <c r="F1057" s="1511"/>
      <c r="G1057" s="1509" t="str">
        <f t="shared" si="86"/>
        <v/>
      </c>
      <c r="H1057" s="1530" t="s">
        <v>3199</v>
      </c>
      <c r="I1057" s="590"/>
      <c r="J1057" s="590"/>
      <c r="K1057" s="590"/>
      <c r="L1057" s="1687"/>
      <c r="M1057" s="1694"/>
      <c r="N1057" s="1619"/>
      <c r="O1057" s="1619"/>
      <c r="P1057" s="991"/>
      <c r="Q1057" s="991"/>
      <c r="R1057" s="991"/>
      <c r="S1057" s="991"/>
      <c r="T1057" s="991"/>
      <c r="U1057" s="991"/>
      <c r="X1057" s="1600"/>
      <c r="Y1057" s="1874"/>
      <c r="Z1057" s="1600"/>
      <c r="AL1057" s="1352"/>
      <c r="AM1057" s="1352"/>
      <c r="AN1057" s="1352"/>
      <c r="AO1057" s="1352"/>
      <c r="AP1057" s="1352"/>
      <c r="AQ1057" s="1352"/>
      <c r="AR1057" s="1352"/>
      <c r="AS1057" s="1352"/>
    </row>
    <row r="1058" spans="1:45" s="905" customFormat="1" hidden="1" x14ac:dyDescent="0.2">
      <c r="A1058" s="1507">
        <v>7</v>
      </c>
      <c r="B1058" s="1516" t="s">
        <v>4414</v>
      </c>
      <c r="C1058" s="1516"/>
      <c r="D1058" s="1516"/>
      <c r="E1058" s="1516"/>
      <c r="F1058" s="1511"/>
      <c r="G1058" s="1509" t="str">
        <f t="shared" si="86"/>
        <v/>
      </c>
      <c r="H1058" s="1530" t="s">
        <v>3199</v>
      </c>
      <c r="I1058" s="606"/>
      <c r="J1058" s="606"/>
      <c r="K1058" s="606"/>
      <c r="L1058" s="441" t="s">
        <v>4835</v>
      </c>
      <c r="M1058" s="952"/>
      <c r="N1058" s="213"/>
      <c r="O1058" s="909"/>
      <c r="P1058" s="173"/>
      <c r="Q1058" s="173"/>
      <c r="R1058" s="173"/>
      <c r="S1058" s="173"/>
      <c r="T1058" s="173"/>
      <c r="U1058" s="173"/>
      <c r="Z1058" s="1122"/>
      <c r="AL1058" s="1352"/>
      <c r="AM1058" s="1352"/>
      <c r="AN1058" s="1352"/>
      <c r="AO1058" s="1352"/>
      <c r="AP1058" s="1352"/>
      <c r="AQ1058" s="1352"/>
      <c r="AR1058" s="1352"/>
      <c r="AS1058" s="1352"/>
    </row>
    <row r="1059" spans="1:45" s="905" customFormat="1" ht="15" hidden="1" customHeight="1" x14ac:dyDescent="0.2">
      <c r="A1059" s="1507">
        <v>7</v>
      </c>
      <c r="B1059" s="1516" t="s">
        <v>4415</v>
      </c>
      <c r="C1059" s="1516"/>
      <c r="D1059" s="1516"/>
      <c r="E1059" s="1516"/>
      <c r="F1059" s="1511"/>
      <c r="G1059" s="1509" t="str">
        <f>IF(N1059&gt;0,"P","")</f>
        <v/>
      </c>
      <c r="H1059" s="1510" t="s">
        <v>3197</v>
      </c>
      <c r="I1059" s="608" t="s">
        <v>4081</v>
      </c>
      <c r="J1059" s="608"/>
      <c r="K1059" s="608"/>
      <c r="L1059" s="1686" t="s">
        <v>4082</v>
      </c>
      <c r="M1059" s="1693" t="s">
        <v>4836</v>
      </c>
      <c r="N1059" s="1637">
        <f>'11.700'!O185</f>
        <v>0</v>
      </c>
      <c r="O1059" s="1637">
        <f>IF(ROUND(W1060,0)&gt;=6,INDEX({3,3,3,3,2,2,0,0},BF890),IF(ROUND(W1060,0)&gt;=3,INDEX({1,1,1,1,0,0,0,0},BF890),0))</f>
        <v>0</v>
      </c>
      <c r="P1059" s="195"/>
      <c r="Q1059" s="195"/>
      <c r="R1059" s="195"/>
      <c r="S1059" s="195"/>
      <c r="T1059" s="195"/>
      <c r="U1059" s="195"/>
      <c r="W1059" s="114" t="s">
        <v>4494</v>
      </c>
      <c r="X1059" s="1600"/>
      <c r="Y1059" s="1874" t="str">
        <f>IF(LEN('11.700'!X185)=0,"None",'11.700'!X185)</f>
        <v>None</v>
      </c>
      <c r="Z1059" s="1600"/>
      <c r="AL1059" s="1352" t="str">
        <f>SUBSTITUTE(SUBSTITUTE(SUBSTITUTE("vpa"&amp;$B1059&amp;$C1059&amp;$D1059&amp;$E1059&amp;$F1059,".","_"),"(","_"),")","")</f>
        <v>vpa703_2_2</v>
      </c>
      <c r="AM1059" s="1352" t="str">
        <f>M1059</f>
        <v>Per Table 11.703.2.2</v>
      </c>
      <c r="AN1059" s="1352" t="str">
        <f>SUBSTITUTE(SUBSTITUTE(SUBSTITUTE("vpc"&amp;$B1059&amp;$C1059&amp;$D1059&amp;$E1059&amp;$F1059,".","_"),"(","_"),")","")</f>
        <v>vpc703_2_2</v>
      </c>
      <c r="AO1059" s="1352">
        <f>O1059</f>
        <v>0</v>
      </c>
      <c r="AP1059" s="1352"/>
      <c r="AQ1059" s="1352"/>
      <c r="AR1059" s="1352" t="str">
        <f>SUBSTITUTE(SUBSTITUTE(SUBSTITUTE("vnt"&amp;$B1059&amp;$C1059&amp;$D1059&amp;$E1059&amp;$F1059,".","_"),"(","_"),")","")</f>
        <v>vnt703_2_2</v>
      </c>
      <c r="AS1059" s="1352" t="str">
        <f>IF(LEN(X1059)=0,"",X1059)</f>
        <v/>
      </c>
    </row>
    <row r="1060" spans="1:45" s="905" customFormat="1" hidden="1" x14ac:dyDescent="0.2">
      <c r="A1060" s="1507">
        <v>7</v>
      </c>
      <c r="B1060" s="1516" t="s">
        <v>4415</v>
      </c>
      <c r="C1060" s="1516"/>
      <c r="D1060" s="1516"/>
      <c r="E1060" s="1516"/>
      <c r="F1060" s="1511"/>
      <c r="G1060" s="1509" t="str">
        <f>G1059</f>
        <v/>
      </c>
      <c r="H1060" s="1510" t="s">
        <v>3197</v>
      </c>
      <c r="I1060" s="606"/>
      <c r="J1060" s="606"/>
      <c r="K1060" s="606"/>
      <c r="L1060" s="1688"/>
      <c r="M1060" s="1695"/>
      <c r="N1060" s="1620"/>
      <c r="O1060" s="1620"/>
      <c r="P1060" s="173" t="b">
        <v>1</v>
      </c>
      <c r="Q1060" s="173" t="b">
        <v>1</v>
      </c>
      <c r="R1060" s="173" t="b">
        <v>0</v>
      </c>
      <c r="S1060" s="173" t="b">
        <f ca="1">AND(S885=2,NOT(AY932="No"))</f>
        <v>0</v>
      </c>
      <c r="T1060" s="173" t="b">
        <f ca="1">AND(NOT(S1060),LEN(W1060)&gt;0)</f>
        <v>0</v>
      </c>
      <c r="U1060" s="173"/>
      <c r="W1060" s="978"/>
      <c r="X1060" s="1600"/>
      <c r="Y1060" s="1874"/>
      <c r="Z1060" s="1600"/>
      <c r="AC1060" s="1150" t="b">
        <f ca="1">OR(AD1060:AE1060)</f>
        <v>0</v>
      </c>
      <c r="AD1060" s="1150" t="b">
        <f ca="1">T1060</f>
        <v>0</v>
      </c>
      <c r="AE1060" s="1150"/>
      <c r="AL1060" s="1352"/>
      <c r="AM1060" s="1352"/>
      <c r="AN1060" s="1352"/>
      <c r="AO1060" s="1352"/>
      <c r="AP1060" s="1352" t="str">
        <f>SUBSTITUTE(SUBSTITUTE(SUBSTITUTE("vch"&amp;$B1060&amp;$C1060&amp;$D1060&amp;$E1060&amp;$F1060,".","_"),"(","_"),")","")</f>
        <v>vch703_2_2</v>
      </c>
      <c r="AQ1060" s="1352" t="str">
        <f>IF(LEN(W1060)=0,"",W1060)</f>
        <v/>
      </c>
      <c r="AR1060" s="1352"/>
      <c r="AS1060" s="1352"/>
    </row>
    <row r="1061" spans="1:45" s="905" customFormat="1" ht="15" hidden="1" customHeight="1" x14ac:dyDescent="0.2">
      <c r="A1061" s="1507">
        <v>7</v>
      </c>
      <c r="B1061" s="1516" t="s">
        <v>4416</v>
      </c>
      <c r="C1061" s="1516"/>
      <c r="D1061" s="1516"/>
      <c r="E1061" s="1516"/>
      <c r="F1061" s="1511"/>
      <c r="G1061" s="1509" t="str">
        <f ca="1">IF(N1061&gt;0,"P","")</f>
        <v/>
      </c>
      <c r="H1061" s="1510" t="s">
        <v>3197</v>
      </c>
      <c r="I1061" s="608" t="s">
        <v>4083</v>
      </c>
      <c r="J1061" s="608"/>
      <c r="K1061" s="608"/>
      <c r="L1061" s="1686" t="s">
        <v>4084</v>
      </c>
      <c r="M1061" s="1734">
        <f>IFERROR(MIN(IF(AND(AY893=INDEX(ddSingleOrMulti,2),AY899&gt;3,BF890&lt;4),1,3),IF(BI890="Tropical",3,INDEX({2,3,3,1,1,0,0},BF890))),0)</f>
        <v>0</v>
      </c>
      <c r="N1061" s="1637">
        <f ca="1">'11.700'!O187</f>
        <v>0</v>
      </c>
      <c r="O1061" s="1637">
        <f ca="1">M1061*S1061*W1061</f>
        <v>0</v>
      </c>
      <c r="P1061" s="195" t="b">
        <v>1</v>
      </c>
      <c r="Q1061" s="195" t="b">
        <v>1</v>
      </c>
      <c r="R1061" s="195" t="b">
        <v>0</v>
      </c>
      <c r="S1061" s="195" t="b">
        <f ca="1">S885=2</f>
        <v>0</v>
      </c>
      <c r="T1061" s="195" t="b">
        <f ca="1">AND(NOT(S1061),W1061=TRUE)</f>
        <v>0</v>
      </c>
      <c r="U1061" s="195"/>
      <c r="W1061" s="27"/>
      <c r="X1061" s="1600"/>
      <c r="Y1061" s="1874" t="str">
        <f>IF(LEN('11.700'!X187)=0,"None",'11.700'!X187)</f>
        <v>None</v>
      </c>
      <c r="Z1061" s="1600"/>
      <c r="AC1061" s="1150" t="b">
        <f ca="1">OR(AD1061:AE1061)</f>
        <v>0</v>
      </c>
      <c r="AD1061" s="1150" t="b">
        <f ca="1">T1061</f>
        <v>0</v>
      </c>
      <c r="AE1061" s="1150"/>
      <c r="AL1061" s="1352" t="str">
        <f>SUBSTITUTE(SUBSTITUTE(SUBSTITUTE("vpa"&amp;$B1061&amp;$C1061&amp;$D1061&amp;$E1061&amp;$F1061,".","_"),"(","_"),")","")</f>
        <v>vpa703_2_3</v>
      </c>
      <c r="AM1061" s="1352">
        <f>M1061</f>
        <v>0</v>
      </c>
      <c r="AN1061" s="1352" t="str">
        <f>SUBSTITUTE(SUBSTITUTE(SUBSTITUTE("vpc"&amp;$B1061&amp;$C1061&amp;$D1061&amp;$E1061&amp;$F1061,".","_"),"(","_"),")","")</f>
        <v>vpc703_2_3</v>
      </c>
      <c r="AO1061" s="1352">
        <f ca="1">O1061</f>
        <v>0</v>
      </c>
      <c r="AP1061" s="1352" t="str">
        <f>SUBSTITUTE(SUBSTITUTE(SUBSTITUTE("vch"&amp;$B1061&amp;$C1061&amp;$D1061&amp;$E1061&amp;$F1061,".","_"),"(","_"),")","")</f>
        <v>vch703_2_3</v>
      </c>
      <c r="AQ1061" s="1352" t="str">
        <f>IF(LEN(W1061)=0,"",W1061)</f>
        <v/>
      </c>
      <c r="AR1061" s="1352" t="str">
        <f>SUBSTITUTE(SUBSTITUTE(SUBSTITUTE("vnt"&amp;$B1061&amp;$C1061&amp;$D1061&amp;$E1061&amp;$F1061,".","_"),"(","_"),")","")</f>
        <v>vnt703_2_3</v>
      </c>
      <c r="AS1061" s="1352" t="str">
        <f>IF(LEN(X1061)=0,"",X1061)</f>
        <v/>
      </c>
    </row>
    <row r="1062" spans="1:45" s="905" customFormat="1" hidden="1" x14ac:dyDescent="0.2">
      <c r="A1062" s="1507">
        <v>7</v>
      </c>
      <c r="B1062" s="1516" t="s">
        <v>4416</v>
      </c>
      <c r="C1062" s="1516"/>
      <c r="D1062" s="1516"/>
      <c r="E1062" s="1516"/>
      <c r="F1062" s="1511"/>
      <c r="G1062" s="1509" t="str">
        <f ca="1">G1061</f>
        <v/>
      </c>
      <c r="H1062" s="1510" t="s">
        <v>3197</v>
      </c>
      <c r="I1062" s="590"/>
      <c r="J1062" s="590"/>
      <c r="K1062" s="590"/>
      <c r="L1062" s="1687"/>
      <c r="M1062" s="1692"/>
      <c r="N1062" s="1619"/>
      <c r="O1062" s="1619"/>
      <c r="P1062" s="991"/>
      <c r="Q1062" s="991"/>
      <c r="R1062" s="991"/>
      <c r="S1062" s="991"/>
      <c r="T1062" s="991"/>
      <c r="U1062" s="991"/>
      <c r="X1062" s="1600"/>
      <c r="Y1062" s="1874"/>
      <c r="Z1062" s="1600"/>
      <c r="AC1062" s="1150"/>
      <c r="AD1062" s="1150"/>
      <c r="AE1062" s="1150"/>
      <c r="AL1062" s="1352"/>
      <c r="AM1062" s="1352"/>
      <c r="AN1062" s="1352"/>
      <c r="AO1062" s="1352"/>
      <c r="AP1062" s="1352"/>
      <c r="AQ1062" s="1352"/>
      <c r="AR1062" s="1352"/>
      <c r="AS1062" s="1352"/>
    </row>
    <row r="1063" spans="1:45" s="905" customFormat="1" hidden="1" x14ac:dyDescent="0.2">
      <c r="A1063" s="1507">
        <v>7</v>
      </c>
      <c r="B1063" s="1516" t="s">
        <v>4416</v>
      </c>
      <c r="C1063" s="1516"/>
      <c r="D1063" s="1516"/>
      <c r="E1063" s="1516"/>
      <c r="F1063" s="1511"/>
      <c r="G1063" s="1509" t="str">
        <f ca="1">G1062</f>
        <v/>
      </c>
      <c r="H1063" s="1510" t="s">
        <v>3197</v>
      </c>
      <c r="I1063" s="590"/>
      <c r="J1063" s="590"/>
      <c r="K1063" s="590"/>
      <c r="L1063" s="1687"/>
      <c r="M1063" s="1692"/>
      <c r="N1063" s="1619"/>
      <c r="O1063" s="1619"/>
      <c r="P1063" s="991"/>
      <c r="Q1063" s="991"/>
      <c r="R1063" s="991"/>
      <c r="S1063" s="991"/>
      <c r="T1063" s="991"/>
      <c r="U1063" s="991"/>
      <c r="X1063" s="1600"/>
      <c r="Y1063" s="1874"/>
      <c r="Z1063" s="1600"/>
      <c r="AC1063" s="1150"/>
      <c r="AD1063" s="1150"/>
      <c r="AE1063" s="1150"/>
      <c r="AL1063" s="1352"/>
      <c r="AM1063" s="1352"/>
      <c r="AN1063" s="1352"/>
      <c r="AO1063" s="1352"/>
      <c r="AP1063" s="1352"/>
      <c r="AQ1063" s="1352"/>
      <c r="AR1063" s="1352"/>
      <c r="AS1063" s="1352"/>
    </row>
    <row r="1064" spans="1:45" s="905" customFormat="1" hidden="1" x14ac:dyDescent="0.2">
      <c r="A1064" s="1507">
        <v>7</v>
      </c>
      <c r="B1064" s="1516" t="s">
        <v>4416</v>
      </c>
      <c r="C1064" s="1516"/>
      <c r="D1064" s="1516"/>
      <c r="E1064" s="1516"/>
      <c r="F1064" s="1511"/>
      <c r="G1064" s="1509" t="str">
        <f ca="1">G1063</f>
        <v/>
      </c>
      <c r="H1064" s="1510" t="s">
        <v>3197</v>
      </c>
      <c r="I1064" s="606"/>
      <c r="J1064" s="606"/>
      <c r="K1064" s="606"/>
      <c r="L1064" s="1688"/>
      <c r="M1064" s="173"/>
      <c r="N1064" s="173"/>
      <c r="O1064" s="173"/>
      <c r="P1064" s="173"/>
      <c r="Q1064" s="173"/>
      <c r="R1064" s="173"/>
      <c r="S1064" s="173"/>
      <c r="T1064" s="173"/>
      <c r="U1064" s="173"/>
      <c r="X1064" s="1600"/>
      <c r="Y1064" s="1874"/>
      <c r="Z1064" s="1600"/>
      <c r="AC1064" s="1150"/>
      <c r="AD1064" s="1150"/>
      <c r="AE1064" s="1150"/>
      <c r="AL1064" s="1352"/>
      <c r="AM1064" s="1352"/>
      <c r="AN1064" s="1352"/>
      <c r="AO1064" s="1352"/>
      <c r="AP1064" s="1352"/>
      <c r="AQ1064" s="1352"/>
      <c r="AR1064" s="1352"/>
      <c r="AS1064" s="1352"/>
    </row>
    <row r="1065" spans="1:45" s="905" customFormat="1" ht="15" hidden="1" customHeight="1" x14ac:dyDescent="0.2">
      <c r="A1065" s="1507">
        <v>7</v>
      </c>
      <c r="B1065" s="1516" t="s">
        <v>4417</v>
      </c>
      <c r="C1065" s="1516"/>
      <c r="D1065" s="1516"/>
      <c r="E1065" s="1516"/>
      <c r="F1065" s="1511"/>
      <c r="G1065" s="1509" t="str">
        <f ca="1">IF(N1065&gt;0,"P","")</f>
        <v/>
      </c>
      <c r="H1065" s="1510" t="s">
        <v>3197</v>
      </c>
      <c r="I1065" s="608" t="s">
        <v>4085</v>
      </c>
      <c r="J1065" s="608"/>
      <c r="K1065" s="608"/>
      <c r="L1065" s="1686" t="s">
        <v>4086</v>
      </c>
      <c r="M1065" s="1693" t="s">
        <v>4837</v>
      </c>
      <c r="N1065" s="1637">
        <f ca="1">'11.700'!O191</f>
        <v>0</v>
      </c>
      <c r="O1065" s="1637">
        <f ca="1">MAX(S1067:T1067)*S1066</f>
        <v>0</v>
      </c>
      <c r="P1065" s="195"/>
      <c r="Q1065" s="195"/>
      <c r="R1065" s="195"/>
      <c r="S1065" s="195"/>
      <c r="T1065" s="195"/>
      <c r="U1065" s="195"/>
      <c r="W1065" s="776" t="str">
        <f>IF(S1067&gt;=T1067,"ACH50 (from 701.4.3.2):","ELR50 (from 701.4.3.2):")</f>
        <v>ACH50 (from 701.4.3.2):</v>
      </c>
      <c r="X1065" s="1600"/>
      <c r="Y1065" s="1874" t="str">
        <f>IF(LEN('11.700'!X191)=0,"None",'11.700'!X191)</f>
        <v>None</v>
      </c>
      <c r="Z1065" s="1600"/>
      <c r="AC1065" s="1150"/>
      <c r="AD1065" s="1150"/>
      <c r="AE1065" s="1150"/>
      <c r="AL1065" s="1352" t="str">
        <f>SUBSTITUTE(SUBSTITUTE(SUBSTITUTE("vpa"&amp;$B1065&amp;$C1065&amp;$D1065&amp;$E1065&amp;$F1065,".","_"),"(","_"),")","")</f>
        <v>vpa703_2_4</v>
      </c>
      <c r="AM1065" s="1352" t="str">
        <f>M1065</f>
        <v>Per Table 11.703.2.4</v>
      </c>
      <c r="AN1065" s="1352" t="str">
        <f>SUBSTITUTE(SUBSTITUTE(SUBSTITUTE("vpc"&amp;$B1065&amp;$C1065&amp;$D1065&amp;$E1065&amp;$F1065,".","_"),"(","_"),")","")</f>
        <v>vpc703_2_4</v>
      </c>
      <c r="AO1065" s="1352">
        <f ca="1">O1065</f>
        <v>0</v>
      </c>
      <c r="AP1065" s="1352"/>
      <c r="AQ1065" s="1352"/>
      <c r="AR1065" s="1352" t="str">
        <f>SUBSTITUTE(SUBSTITUTE(SUBSTITUTE("vnt"&amp;$B1065&amp;$C1065&amp;$D1065&amp;$E1065&amp;$F1065,".","_"),"(","_"),")","")</f>
        <v>vnt703_2_4</v>
      </c>
      <c r="AS1065" s="1352" t="str">
        <f>IF(LEN(X1065)=0,"",X1065)</f>
        <v/>
      </c>
    </row>
    <row r="1066" spans="1:45" s="905" customFormat="1" hidden="1" x14ac:dyDescent="0.2">
      <c r="A1066" s="1507">
        <v>7</v>
      </c>
      <c r="B1066" s="1516" t="s">
        <v>4417</v>
      </c>
      <c r="C1066" s="1516"/>
      <c r="D1066" s="1516"/>
      <c r="E1066" s="1516"/>
      <c r="F1066" s="1511"/>
      <c r="G1066" s="1509" t="str">
        <f ca="1">G1065</f>
        <v/>
      </c>
      <c r="H1066" s="1510" t="s">
        <v>3197</v>
      </c>
      <c r="I1066" s="590"/>
      <c r="J1066" s="590"/>
      <c r="K1066" s="590"/>
      <c r="L1066" s="1687"/>
      <c r="M1066" s="1694"/>
      <c r="N1066" s="1619"/>
      <c r="O1066" s="1619"/>
      <c r="P1066" s="991"/>
      <c r="Q1066" s="991"/>
      <c r="R1066" s="991" t="b">
        <v>0</v>
      </c>
      <c r="S1066" s="991" t="b">
        <f ca="1">S885=2</f>
        <v>0</v>
      </c>
      <c r="T1066" s="991" t="b">
        <v>0</v>
      </c>
      <c r="U1066" s="991"/>
      <c r="W1066" s="1095">
        <f>IF(S1067&gt;=T1067,W933,W936)</f>
        <v>7</v>
      </c>
      <c r="X1066" s="1600"/>
      <c r="Y1066" s="1874"/>
      <c r="Z1066" s="1600"/>
      <c r="AC1066" s="1150"/>
      <c r="AD1066" s="1150"/>
      <c r="AE1066" s="1150"/>
      <c r="AL1066" s="1352"/>
      <c r="AM1066" s="1352"/>
      <c r="AN1066" s="1352"/>
      <c r="AO1066" s="1352"/>
      <c r="AP1066" s="1352"/>
      <c r="AQ1066" s="1352"/>
      <c r="AR1066" s="1352"/>
      <c r="AS1066" s="1352"/>
    </row>
    <row r="1067" spans="1:45" s="905" customFormat="1" hidden="1" x14ac:dyDescent="0.2">
      <c r="A1067" s="1507">
        <v>7</v>
      </c>
      <c r="B1067" s="1516" t="s">
        <v>4417</v>
      </c>
      <c r="C1067" s="1516"/>
      <c r="D1067" s="1516"/>
      <c r="E1067" s="1516"/>
      <c r="F1067" s="1511"/>
      <c r="G1067" s="1509" t="str">
        <f ca="1">G1066</f>
        <v/>
      </c>
      <c r="H1067" s="1510" t="s">
        <v>3197</v>
      </c>
      <c r="I1067" s="590"/>
      <c r="J1067" s="590"/>
      <c r="K1067" s="590"/>
      <c r="L1067" s="1687"/>
      <c r="M1067" s="1694"/>
      <c r="N1067" s="1619"/>
      <c r="O1067" s="1619"/>
      <c r="P1067" s="991"/>
      <c r="Q1067" s="991"/>
      <c r="R1067" s="198" t="s">
        <v>4478</v>
      </c>
      <c r="S1067" s="198">
        <f>Formulas!N$38</f>
        <v>0</v>
      </c>
      <c r="T1067" s="198">
        <f>Formulas!O$38</f>
        <v>0</v>
      </c>
      <c r="U1067" s="991"/>
      <c r="X1067" s="1600"/>
      <c r="Y1067" s="1874"/>
      <c r="Z1067" s="1600"/>
      <c r="AC1067" s="1150"/>
      <c r="AD1067" s="1150"/>
      <c r="AE1067" s="1150"/>
      <c r="AL1067" s="1352"/>
      <c r="AM1067" s="1352"/>
      <c r="AN1067" s="1352"/>
      <c r="AO1067" s="1352"/>
      <c r="AP1067" s="1352"/>
      <c r="AQ1067" s="1352"/>
      <c r="AR1067" s="1352"/>
      <c r="AS1067" s="1352"/>
    </row>
    <row r="1068" spans="1:45" s="905" customFormat="1" hidden="1" x14ac:dyDescent="0.2">
      <c r="A1068" s="1507">
        <v>7</v>
      </c>
      <c r="B1068" s="1516" t="s">
        <v>4417</v>
      </c>
      <c r="C1068" s="1516"/>
      <c r="D1068" s="1516"/>
      <c r="E1068" s="1516"/>
      <c r="F1068" s="1511"/>
      <c r="G1068" s="1509" t="str">
        <f ca="1">G1067</f>
        <v/>
      </c>
      <c r="H1068" s="1510" t="s">
        <v>3197</v>
      </c>
      <c r="I1068" s="606"/>
      <c r="J1068" s="606"/>
      <c r="K1068" s="606"/>
      <c r="L1068" s="1688"/>
      <c r="M1068" s="173"/>
      <c r="N1068" s="173"/>
      <c r="O1068" s="173"/>
      <c r="P1068" s="173"/>
      <c r="Q1068" s="173"/>
      <c r="R1068" s="173"/>
      <c r="S1068" s="173"/>
      <c r="T1068" s="173"/>
      <c r="U1068" s="173"/>
      <c r="X1068" s="1600"/>
      <c r="Y1068" s="1874"/>
      <c r="Z1068" s="1600"/>
      <c r="AC1068" s="1150"/>
      <c r="AD1068" s="1150"/>
      <c r="AE1068" s="1150"/>
      <c r="AL1068" s="1352"/>
      <c r="AM1068" s="1352"/>
      <c r="AN1068" s="1352"/>
      <c r="AO1068" s="1352"/>
      <c r="AP1068" s="1352"/>
      <c r="AQ1068" s="1352"/>
      <c r="AR1068" s="1352"/>
      <c r="AS1068" s="1352"/>
    </row>
    <row r="1069" spans="1:45" s="905" customFormat="1" hidden="1" x14ac:dyDescent="0.2">
      <c r="A1069" s="1507">
        <v>7</v>
      </c>
      <c r="B1069" s="1516" t="s">
        <v>4418</v>
      </c>
      <c r="C1069" s="1516"/>
      <c r="D1069" s="1516"/>
      <c r="E1069" s="1516"/>
      <c r="F1069" s="1511"/>
      <c r="G1069" s="1513" t="str">
        <f ca="1">IF(COUNTIF(G1070:G1086,"P")&gt;0,"P","")</f>
        <v/>
      </c>
      <c r="H1069" s="1510" t="s">
        <v>3197</v>
      </c>
      <c r="I1069" s="589" t="s">
        <v>4087</v>
      </c>
      <c r="J1069" s="589"/>
      <c r="K1069" s="589"/>
      <c r="L1069" s="946" t="s">
        <v>4088</v>
      </c>
      <c r="M1069" s="991"/>
      <c r="N1069" s="991"/>
      <c r="O1069" s="991"/>
      <c r="P1069" s="991"/>
      <c r="Q1069" s="991"/>
      <c r="R1069" s="991"/>
      <c r="S1069" s="991"/>
      <c r="T1069" s="991"/>
      <c r="Z1069" s="1122"/>
      <c r="AC1069" s="1150"/>
      <c r="AD1069" s="1150"/>
      <c r="AE1069" s="1150"/>
      <c r="AL1069" s="1352"/>
      <c r="AM1069" s="1352"/>
      <c r="AN1069" s="1352"/>
      <c r="AO1069" s="1352"/>
      <c r="AP1069" s="1352"/>
      <c r="AQ1069" s="1352"/>
      <c r="AR1069" s="1352"/>
      <c r="AS1069" s="1352"/>
    </row>
    <row r="1070" spans="1:45" s="905" customFormat="1" ht="15" hidden="1" customHeight="1" x14ac:dyDescent="0.2">
      <c r="A1070" s="1507">
        <v>7</v>
      </c>
      <c r="B1070" s="1516" t="s">
        <v>4419</v>
      </c>
      <c r="C1070" s="1516"/>
      <c r="D1070" s="1516"/>
      <c r="E1070" s="1516"/>
      <c r="F1070" s="1511"/>
      <c r="G1070" s="1509" t="str">
        <f ca="1">IF(IFERROR(SEARCH("Mandatory",M1070),FALSE),"P","")</f>
        <v/>
      </c>
      <c r="H1070" s="1510" t="s">
        <v>3197</v>
      </c>
      <c r="I1070" s="589" t="s">
        <v>4089</v>
      </c>
      <c r="J1070" s="589"/>
      <c r="K1070" s="589"/>
      <c r="L1070" s="1687" t="s">
        <v>4090</v>
      </c>
      <c r="M1070" s="1697" t="str">
        <f ca="1">IF(R1070,"Mandatory","N/A")</f>
        <v>N/A</v>
      </c>
      <c r="N1070" s="129"/>
      <c r="O1070" s="908"/>
      <c r="P1070" s="991" t="b">
        <v>1</v>
      </c>
      <c r="Q1070" s="991" t="b">
        <v>1</v>
      </c>
      <c r="R1070" s="991" t="b">
        <f ca="1">S1070</f>
        <v>0</v>
      </c>
      <c r="S1070" s="991" t="b">
        <f ca="1">S885=2</f>
        <v>0</v>
      </c>
      <c r="T1070" s="1279" t="b">
        <f ca="1">AND(NOT(S1070),LEN(W1070)&gt;0)</f>
        <v>0</v>
      </c>
      <c r="U1070" s="1279" t="str">
        <f>SUBSTITUTE(SUBSTITUTE(SUBSTITUTE("dd"&amp;B1070&amp;C1070&amp;D1070&amp;E1070&amp;F1070,".","_"),"(","_"),")","")</f>
        <v>dd703_2_5_1</v>
      </c>
      <c r="W1070" s="12"/>
      <c r="X1070" s="1600"/>
      <c r="Y1070" s="1874" t="str">
        <f>IF(LEN('11.700'!X196)=0,"None",'11.700'!X196)</f>
        <v>None</v>
      </c>
      <c r="Z1070" s="1600"/>
      <c r="AC1070" s="1150" t="b">
        <f ca="1">OR(AD1070:AE1070)</f>
        <v>0</v>
      </c>
      <c r="AD1070" s="1150" t="b">
        <f ca="1">T1070</f>
        <v>0</v>
      </c>
      <c r="AE1070" s="1278" t="b">
        <f ca="1">AND(R1070,OR(W1070="Not Met",W1070=""))</f>
        <v>0</v>
      </c>
      <c r="AL1070" s="1352" t="str">
        <f>SUBSTITUTE(SUBSTITUTE(SUBSTITUTE("vpa"&amp;$B1070&amp;$C1070&amp;$D1070&amp;$E1070&amp;$F1070,".","_"),"(","_"),")","")</f>
        <v>vpa703_2_5_1</v>
      </c>
      <c r="AM1070" s="1352" t="str">
        <f ca="1">M1070</f>
        <v>N/A</v>
      </c>
      <c r="AN1070" s="1352"/>
      <c r="AO1070" s="1352"/>
      <c r="AP1070" s="1352" t="str">
        <f>SUBSTITUTE(SUBSTITUTE(SUBSTITUTE("vch"&amp;$B1070&amp;$C1070&amp;$D1070&amp;$E1070&amp;$F1070,".","_"),"(","_"),")","")</f>
        <v>vch703_2_5_1</v>
      </c>
      <c r="AQ1070" s="1352" t="str">
        <f>IF(LEN(W1070)=0,"",W1070)</f>
        <v/>
      </c>
      <c r="AR1070" s="1352" t="str">
        <f>SUBSTITUTE(SUBSTITUTE(SUBSTITUTE("vnt"&amp;$B1070&amp;$C1070&amp;$D1070&amp;$E1070&amp;$F1070,".","_"),"(","_"),")","")</f>
        <v>vnt703_2_5_1</v>
      </c>
      <c r="AS1070" s="1352" t="str">
        <f>IF(LEN(X1070)=0,"",X1070)</f>
        <v/>
      </c>
    </row>
    <row r="1071" spans="1:45" s="905" customFormat="1" hidden="1" x14ac:dyDescent="0.2">
      <c r="A1071" s="1507">
        <v>7</v>
      </c>
      <c r="B1071" s="1516" t="s">
        <v>4419</v>
      </c>
      <c r="C1071" s="1516"/>
      <c r="D1071" s="1516"/>
      <c r="E1071" s="1516"/>
      <c r="F1071" s="1511"/>
      <c r="G1071" s="1509" t="str">
        <f t="shared" ref="G1071:G1085" ca="1" si="87">G1070</f>
        <v/>
      </c>
      <c r="H1071" s="1510" t="s">
        <v>3197</v>
      </c>
      <c r="I1071" s="589"/>
      <c r="J1071" s="589"/>
      <c r="K1071" s="589"/>
      <c r="L1071" s="1687"/>
      <c r="M1071" s="1697"/>
      <c r="N1071" s="129"/>
      <c r="O1071" s="908"/>
      <c r="P1071" s="991"/>
      <c r="Q1071" s="991"/>
      <c r="R1071" s="991"/>
      <c r="S1071" s="991"/>
      <c r="T1071" s="991"/>
      <c r="X1071" s="1600"/>
      <c r="Y1071" s="1874"/>
      <c r="Z1071" s="1600"/>
      <c r="AC1071" s="1150"/>
      <c r="AD1071" s="1150"/>
      <c r="AE1071" s="1150"/>
      <c r="AL1071" s="1352"/>
      <c r="AM1071" s="1352"/>
      <c r="AN1071" s="1352"/>
      <c r="AO1071" s="1352"/>
      <c r="AP1071" s="1352"/>
      <c r="AQ1071" s="1352"/>
      <c r="AR1071" s="1352"/>
      <c r="AS1071" s="1352"/>
    </row>
    <row r="1072" spans="1:45" s="905" customFormat="1" hidden="1" x14ac:dyDescent="0.2">
      <c r="A1072" s="1507">
        <v>7</v>
      </c>
      <c r="B1072" s="1516" t="s">
        <v>4419</v>
      </c>
      <c r="C1072" s="1516"/>
      <c r="D1072" s="1516"/>
      <c r="E1072" s="1516"/>
      <c r="F1072" s="1511"/>
      <c r="G1072" s="1509" t="str">
        <f t="shared" ca="1" si="87"/>
        <v/>
      </c>
      <c r="H1072" s="1510" t="s">
        <v>3197</v>
      </c>
      <c r="I1072" s="589"/>
      <c r="J1072" s="589"/>
      <c r="K1072" s="589"/>
      <c r="L1072" s="1687"/>
      <c r="M1072" s="1697"/>
      <c r="N1072" s="129"/>
      <c r="O1072" s="908"/>
      <c r="P1072" s="991"/>
      <c r="Q1072" s="991"/>
      <c r="R1072" s="991"/>
      <c r="S1072" s="991"/>
      <c r="T1072" s="991"/>
      <c r="X1072" s="1600"/>
      <c r="Y1072" s="1874"/>
      <c r="Z1072" s="1600"/>
      <c r="AC1072" s="1150"/>
      <c r="AD1072" s="1150"/>
      <c r="AE1072" s="1150"/>
      <c r="AL1072" s="1352"/>
      <c r="AM1072" s="1352"/>
      <c r="AN1072" s="1352"/>
      <c r="AO1072" s="1352"/>
      <c r="AP1072" s="1352"/>
      <c r="AQ1072" s="1352"/>
      <c r="AR1072" s="1352"/>
      <c r="AS1072" s="1352"/>
    </row>
    <row r="1073" spans="1:45" s="905" customFormat="1" hidden="1" x14ac:dyDescent="0.2">
      <c r="A1073" s="1507">
        <v>7</v>
      </c>
      <c r="B1073" s="1516" t="s">
        <v>4419</v>
      </c>
      <c r="C1073" s="1516"/>
      <c r="D1073" s="1516"/>
      <c r="E1073" s="1516"/>
      <c r="F1073" s="1511"/>
      <c r="G1073" s="1509" t="str">
        <f t="shared" ca="1" si="87"/>
        <v/>
      </c>
      <c r="H1073" s="1510" t="s">
        <v>3197</v>
      </c>
      <c r="I1073" s="589"/>
      <c r="J1073" s="589"/>
      <c r="K1073" s="589"/>
      <c r="L1073" s="1687"/>
      <c r="M1073" s="1697"/>
      <c r="N1073" s="129"/>
      <c r="O1073" s="908"/>
      <c r="P1073" s="991"/>
      <c r="Q1073" s="991"/>
      <c r="R1073" s="991"/>
      <c r="S1073" s="991"/>
      <c r="T1073" s="991"/>
      <c r="X1073" s="1600"/>
      <c r="Y1073" s="1874"/>
      <c r="Z1073" s="1600"/>
      <c r="AC1073" s="1150"/>
      <c r="AD1073" s="1150"/>
      <c r="AE1073" s="1150"/>
      <c r="AL1073" s="1352"/>
      <c r="AM1073" s="1352"/>
      <c r="AN1073" s="1352"/>
      <c r="AO1073" s="1352"/>
      <c r="AP1073" s="1352"/>
      <c r="AQ1073" s="1352"/>
      <c r="AR1073" s="1352"/>
      <c r="AS1073" s="1352"/>
    </row>
    <row r="1074" spans="1:45" s="905" customFormat="1" hidden="1" x14ac:dyDescent="0.2">
      <c r="A1074" s="1507">
        <v>7</v>
      </c>
      <c r="B1074" s="1516" t="s">
        <v>4419</v>
      </c>
      <c r="C1074" s="1516"/>
      <c r="D1074" s="1516"/>
      <c r="E1074" s="1516"/>
      <c r="F1074" s="1511"/>
      <c r="G1074" s="1509" t="str">
        <f t="shared" ca="1" si="87"/>
        <v/>
      </c>
      <c r="H1074" s="1510" t="s">
        <v>3197</v>
      </c>
      <c r="I1074" s="589"/>
      <c r="J1074" s="589"/>
      <c r="K1074" s="589"/>
      <c r="L1074" s="1687"/>
      <c r="M1074" s="1697"/>
      <c r="N1074" s="129"/>
      <c r="O1074" s="908"/>
      <c r="P1074" s="991"/>
      <c r="Q1074" s="991"/>
      <c r="R1074" s="991"/>
      <c r="S1074" s="991"/>
      <c r="T1074" s="991"/>
      <c r="X1074" s="1600"/>
      <c r="Y1074" s="1874"/>
      <c r="Z1074" s="1600"/>
      <c r="AC1074" s="1150"/>
      <c r="AD1074" s="1150"/>
      <c r="AE1074" s="1150"/>
      <c r="AL1074" s="1352"/>
      <c r="AM1074" s="1352"/>
      <c r="AN1074" s="1352"/>
      <c r="AO1074" s="1352"/>
      <c r="AP1074" s="1352"/>
      <c r="AQ1074" s="1352"/>
      <c r="AR1074" s="1352"/>
      <c r="AS1074" s="1352"/>
    </row>
    <row r="1075" spans="1:45" s="905" customFormat="1" hidden="1" x14ac:dyDescent="0.2">
      <c r="A1075" s="1507">
        <v>7</v>
      </c>
      <c r="B1075" s="1516" t="s">
        <v>4419</v>
      </c>
      <c r="C1075" s="1516"/>
      <c r="D1075" s="1516"/>
      <c r="E1075" s="1516"/>
      <c r="F1075" s="1511"/>
      <c r="G1075" s="1509" t="str">
        <f t="shared" ca="1" si="87"/>
        <v/>
      </c>
      <c r="H1075" s="1510" t="s">
        <v>3197</v>
      </c>
      <c r="I1075" s="589"/>
      <c r="J1075" s="589"/>
      <c r="K1075" s="589"/>
      <c r="L1075" s="1687"/>
      <c r="M1075" s="1697"/>
      <c r="N1075" s="129"/>
      <c r="O1075" s="908"/>
      <c r="P1075" s="991"/>
      <c r="Q1075" s="991"/>
      <c r="R1075" s="991"/>
      <c r="S1075" s="991"/>
      <c r="T1075" s="991"/>
      <c r="X1075" s="1600"/>
      <c r="Y1075" s="1874"/>
      <c r="Z1075" s="1600"/>
      <c r="AC1075" s="1150"/>
      <c r="AD1075" s="1150"/>
      <c r="AE1075" s="1150"/>
      <c r="AL1075" s="1352"/>
      <c r="AM1075" s="1352"/>
      <c r="AN1075" s="1352"/>
      <c r="AO1075" s="1352"/>
      <c r="AP1075" s="1352"/>
      <c r="AQ1075" s="1352"/>
      <c r="AR1075" s="1352"/>
      <c r="AS1075" s="1352"/>
    </row>
    <row r="1076" spans="1:45" s="905" customFormat="1" hidden="1" x14ac:dyDescent="0.2">
      <c r="A1076" s="1507">
        <v>7</v>
      </c>
      <c r="B1076" s="1516" t="s">
        <v>4419</v>
      </c>
      <c r="C1076" s="1516"/>
      <c r="D1076" s="1516"/>
      <c r="E1076" s="1516"/>
      <c r="F1076" s="1511"/>
      <c r="G1076" s="1509" t="str">
        <f t="shared" ca="1" si="87"/>
        <v/>
      </c>
      <c r="H1076" s="1510" t="s">
        <v>3197</v>
      </c>
      <c r="I1076" s="589"/>
      <c r="J1076" s="589"/>
      <c r="K1076" s="589"/>
      <c r="L1076" s="1687"/>
      <c r="M1076" s="991"/>
      <c r="N1076" s="991"/>
      <c r="O1076" s="991"/>
      <c r="P1076" s="991"/>
      <c r="Q1076" s="991"/>
      <c r="R1076" s="991"/>
      <c r="S1076" s="991"/>
      <c r="T1076" s="991"/>
      <c r="X1076" s="1600"/>
      <c r="Y1076" s="1874"/>
      <c r="Z1076" s="1600"/>
      <c r="AC1076" s="1150"/>
      <c r="AD1076" s="1150"/>
      <c r="AE1076" s="1150"/>
      <c r="AL1076" s="1352"/>
      <c r="AM1076" s="1352"/>
      <c r="AN1076" s="1352"/>
      <c r="AO1076" s="1352"/>
      <c r="AP1076" s="1352"/>
      <c r="AQ1076" s="1352"/>
      <c r="AR1076" s="1352"/>
      <c r="AS1076" s="1352"/>
    </row>
    <row r="1077" spans="1:45" s="905" customFormat="1" ht="15" hidden="1" customHeight="1" x14ac:dyDescent="0.2">
      <c r="A1077" s="1507">
        <v>7</v>
      </c>
      <c r="B1077" s="1516" t="s">
        <v>4420</v>
      </c>
      <c r="C1077" s="1516"/>
      <c r="D1077" s="1516"/>
      <c r="E1077" s="1516"/>
      <c r="F1077" s="1511"/>
      <c r="G1077" s="1509" t="str">
        <f t="shared" ca="1" si="87"/>
        <v/>
      </c>
      <c r="H1077" s="1510" t="s">
        <v>3197</v>
      </c>
      <c r="I1077" s="590" t="s">
        <v>4091</v>
      </c>
      <c r="J1077" s="590"/>
      <c r="K1077" s="590"/>
      <c r="L1077" s="1687" t="s">
        <v>4092</v>
      </c>
      <c r="M1077" s="913"/>
      <c r="N1077" s="129"/>
      <c r="O1077" s="908"/>
      <c r="P1077" s="991" t="b">
        <v>1</v>
      </c>
      <c r="Q1077" s="991" t="b">
        <v>1</v>
      </c>
      <c r="R1077" s="991" t="b">
        <f ca="1">S1077</f>
        <v>0</v>
      </c>
      <c r="S1077" s="991" t="b">
        <f ca="1">S885=2</f>
        <v>0</v>
      </c>
      <c r="T1077" s="991" t="b">
        <f ca="1">AND(NOT(S1077),LEN(W1077)&gt;0)</f>
        <v>0</v>
      </c>
      <c r="U1077" s="991" t="str">
        <f>SUBSTITUTE(SUBSTITUTE(SUBSTITUTE("dd"&amp;B1077&amp;C1077&amp;D1077&amp;E1077&amp;F1077,".","_"),"(","_"),")","")</f>
        <v>dd703_2_5_1_1</v>
      </c>
      <c r="W1077" s="12"/>
      <c r="X1077" s="1621"/>
      <c r="Y1077" s="1875" t="str">
        <f>IF(LEN('11.700'!X203)=0,"None",'11.700'!X203)</f>
        <v>None</v>
      </c>
      <c r="Z1077" s="1621"/>
      <c r="AC1077" s="1150" t="b">
        <f ca="1">OR(AD1077:AE1077)</f>
        <v>0</v>
      </c>
      <c r="AD1077" s="1150" t="b">
        <f ca="1">T1077</f>
        <v>0</v>
      </c>
      <c r="AE1077" s="1150" t="b">
        <f ca="1">AND(R1077,OR(W1077="Not Met",W1077=""))</f>
        <v>0</v>
      </c>
      <c r="AL1077" s="1352"/>
      <c r="AM1077" s="1352"/>
      <c r="AN1077" s="1352"/>
      <c r="AO1077" s="1352"/>
      <c r="AP1077" s="1352" t="str">
        <f>SUBSTITUTE(SUBSTITUTE(SUBSTITUTE("vch"&amp;$B1077&amp;$C1077&amp;$D1077&amp;$E1077&amp;$F1077,".","_"),"(","_"),")","")</f>
        <v>vch703_2_5_1_1</v>
      </c>
      <c r="AQ1077" s="1352" t="str">
        <f>IF(LEN(W1077)=0,"",W1077)</f>
        <v/>
      </c>
      <c r="AR1077" s="1352" t="str">
        <f>SUBSTITUTE(SUBSTITUTE(SUBSTITUTE("vnt"&amp;$B1077&amp;$C1077&amp;$D1077&amp;$E1077&amp;$F1077,".","_"),"(","_"),")","")</f>
        <v>vnt703_2_5_1_1</v>
      </c>
      <c r="AS1077" s="1352" t="str">
        <f>IF(LEN(X1077)=0,"",X1077)</f>
        <v/>
      </c>
    </row>
    <row r="1078" spans="1:45" s="905" customFormat="1" hidden="1" x14ac:dyDescent="0.2">
      <c r="A1078" s="1507">
        <v>7</v>
      </c>
      <c r="B1078" s="1516" t="s">
        <v>4420</v>
      </c>
      <c r="C1078" s="1516"/>
      <c r="D1078" s="1516"/>
      <c r="E1078" s="1516"/>
      <c r="F1078" s="1511"/>
      <c r="G1078" s="1509" t="str">
        <f t="shared" ca="1" si="87"/>
        <v/>
      </c>
      <c r="H1078" s="1510" t="s">
        <v>3197</v>
      </c>
      <c r="I1078" s="590"/>
      <c r="J1078" s="590"/>
      <c r="K1078" s="590"/>
      <c r="L1078" s="1687"/>
      <c r="M1078" s="913"/>
      <c r="N1078" s="129"/>
      <c r="O1078" s="908"/>
      <c r="P1078" s="991"/>
      <c r="Q1078" s="991"/>
      <c r="R1078" s="991"/>
      <c r="S1078" s="991"/>
      <c r="T1078" s="991"/>
      <c r="U1078" s="991"/>
      <c r="X1078" s="1632"/>
      <c r="Y1078" s="1876"/>
      <c r="Z1078" s="1632"/>
      <c r="AC1078" s="1150"/>
      <c r="AD1078" s="1150"/>
      <c r="AE1078" s="1150"/>
      <c r="AL1078" s="1352"/>
      <c r="AM1078" s="1352"/>
      <c r="AN1078" s="1352"/>
      <c r="AO1078" s="1352"/>
      <c r="AP1078" s="1352"/>
      <c r="AQ1078" s="1352"/>
      <c r="AR1078" s="1352"/>
      <c r="AS1078" s="1352"/>
    </row>
    <row r="1079" spans="1:45" s="905" customFormat="1" hidden="1" x14ac:dyDescent="0.2">
      <c r="A1079" s="1507">
        <v>7</v>
      </c>
      <c r="B1079" s="1516" t="s">
        <v>4420</v>
      </c>
      <c r="C1079" s="1516"/>
      <c r="D1079" s="1516"/>
      <c r="E1079" s="1516"/>
      <c r="F1079" s="1511"/>
      <c r="G1079" s="1509" t="str">
        <f t="shared" ca="1" si="87"/>
        <v/>
      </c>
      <c r="H1079" s="1510" t="s">
        <v>3197</v>
      </c>
      <c r="I1079" s="590"/>
      <c r="J1079" s="590"/>
      <c r="K1079" s="590"/>
      <c r="L1079" s="1687"/>
      <c r="M1079" s="913"/>
      <c r="N1079" s="129"/>
      <c r="O1079" s="908"/>
      <c r="P1079" s="991"/>
      <c r="Q1079" s="991"/>
      <c r="R1079" s="991"/>
      <c r="S1079" s="991"/>
      <c r="T1079" s="991"/>
      <c r="U1079" s="991"/>
      <c r="X1079" s="1632"/>
      <c r="Y1079" s="1876"/>
      <c r="Z1079" s="1632"/>
      <c r="AC1079" s="1150"/>
      <c r="AD1079" s="1150"/>
      <c r="AE1079" s="1150"/>
      <c r="AL1079" s="1352"/>
      <c r="AM1079" s="1352"/>
      <c r="AN1079" s="1352"/>
      <c r="AO1079" s="1352"/>
      <c r="AP1079" s="1352"/>
      <c r="AQ1079" s="1352"/>
      <c r="AR1079" s="1352"/>
      <c r="AS1079" s="1352"/>
    </row>
    <row r="1080" spans="1:45" s="905" customFormat="1" hidden="1" x14ac:dyDescent="0.2">
      <c r="A1080" s="1507">
        <v>7</v>
      </c>
      <c r="B1080" s="1516" t="s">
        <v>4420</v>
      </c>
      <c r="C1080" s="1516"/>
      <c r="D1080" s="1516"/>
      <c r="E1080" s="1516"/>
      <c r="F1080" s="1511"/>
      <c r="G1080" s="1509" t="str">
        <f t="shared" ca="1" si="87"/>
        <v/>
      </c>
      <c r="H1080" s="1510" t="s">
        <v>3197</v>
      </c>
      <c r="I1080" s="590"/>
      <c r="J1080" s="590"/>
      <c r="K1080" s="590"/>
      <c r="L1080" s="1687"/>
      <c r="M1080" s="913"/>
      <c r="N1080" s="129"/>
      <c r="O1080" s="908"/>
      <c r="P1080" s="991"/>
      <c r="Q1080" s="991"/>
      <c r="R1080" s="991"/>
      <c r="S1080" s="991"/>
      <c r="T1080" s="991"/>
      <c r="U1080" s="991"/>
      <c r="X1080" s="1632"/>
      <c r="Y1080" s="1876"/>
      <c r="Z1080" s="1632"/>
      <c r="AC1080" s="1150"/>
      <c r="AD1080" s="1150"/>
      <c r="AE1080" s="1150"/>
      <c r="AL1080" s="1352"/>
      <c r="AM1080" s="1352"/>
      <c r="AN1080" s="1352"/>
      <c r="AO1080" s="1352"/>
      <c r="AP1080" s="1352"/>
      <c r="AQ1080" s="1352"/>
      <c r="AR1080" s="1352"/>
      <c r="AS1080" s="1352"/>
    </row>
    <row r="1081" spans="1:45" s="905" customFormat="1" hidden="1" x14ac:dyDescent="0.2">
      <c r="A1081" s="1507">
        <v>7</v>
      </c>
      <c r="B1081" s="1516" t="s">
        <v>4420</v>
      </c>
      <c r="C1081" s="1516"/>
      <c r="D1081" s="1516"/>
      <c r="E1081" s="1516"/>
      <c r="F1081" s="1511"/>
      <c r="G1081" s="1509" t="str">
        <f t="shared" ca="1" si="87"/>
        <v/>
      </c>
      <c r="H1081" s="1510" t="s">
        <v>3197</v>
      </c>
      <c r="I1081" s="590"/>
      <c r="J1081" s="590"/>
      <c r="K1081" s="590"/>
      <c r="L1081" s="1687"/>
      <c r="M1081" s="913"/>
      <c r="N1081" s="129"/>
      <c r="O1081" s="908"/>
      <c r="P1081" s="991"/>
      <c r="Q1081" s="991"/>
      <c r="R1081" s="991"/>
      <c r="S1081" s="991"/>
      <c r="T1081" s="991"/>
      <c r="U1081" s="991"/>
      <c r="X1081" s="1632"/>
      <c r="Y1081" s="1876"/>
      <c r="Z1081" s="1632"/>
      <c r="AC1081" s="1150"/>
      <c r="AD1081" s="1150"/>
      <c r="AE1081" s="1150"/>
      <c r="AL1081" s="1352"/>
      <c r="AM1081" s="1352"/>
      <c r="AN1081" s="1352"/>
      <c r="AO1081" s="1352"/>
      <c r="AP1081" s="1352"/>
      <c r="AQ1081" s="1352"/>
      <c r="AR1081" s="1352"/>
      <c r="AS1081" s="1352"/>
    </row>
    <row r="1082" spans="1:45" s="905" customFormat="1" hidden="1" x14ac:dyDescent="0.2">
      <c r="A1082" s="1507">
        <v>7</v>
      </c>
      <c r="B1082" s="1516" t="s">
        <v>4420</v>
      </c>
      <c r="C1082" s="1516"/>
      <c r="D1082" s="1516"/>
      <c r="E1082" s="1516"/>
      <c r="F1082" s="1511"/>
      <c r="G1082" s="1509" t="str">
        <f t="shared" ca="1" si="87"/>
        <v/>
      </c>
      <c r="H1082" s="1510" t="s">
        <v>3197</v>
      </c>
      <c r="I1082" s="590"/>
      <c r="J1082" s="590"/>
      <c r="K1082" s="590"/>
      <c r="L1082" s="1687"/>
      <c r="M1082" s="913"/>
      <c r="N1082" s="129"/>
      <c r="O1082" s="908"/>
      <c r="P1082" s="991"/>
      <c r="Q1082" s="991"/>
      <c r="R1082" s="991"/>
      <c r="S1082" s="991"/>
      <c r="T1082" s="991"/>
      <c r="U1082" s="991"/>
      <c r="X1082" s="1632"/>
      <c r="Y1082" s="1876"/>
      <c r="Z1082" s="1632"/>
      <c r="AC1082" s="1150"/>
      <c r="AD1082" s="1150"/>
      <c r="AE1082" s="1150"/>
      <c r="AL1082" s="1352"/>
      <c r="AM1082" s="1352"/>
      <c r="AN1082" s="1352"/>
      <c r="AO1082" s="1352"/>
      <c r="AP1082" s="1352"/>
      <c r="AQ1082" s="1352"/>
      <c r="AR1082" s="1352"/>
      <c r="AS1082" s="1352"/>
    </row>
    <row r="1083" spans="1:45" s="905" customFormat="1" hidden="1" x14ac:dyDescent="0.2">
      <c r="A1083" s="1507">
        <v>7</v>
      </c>
      <c r="B1083" s="1516" t="s">
        <v>4420</v>
      </c>
      <c r="C1083" s="1516"/>
      <c r="D1083" s="1516"/>
      <c r="E1083" s="1516"/>
      <c r="F1083" s="1511"/>
      <c r="G1083" s="1509" t="str">
        <f t="shared" ca="1" si="87"/>
        <v/>
      </c>
      <c r="H1083" s="1510" t="s">
        <v>3197</v>
      </c>
      <c r="I1083" s="590"/>
      <c r="J1083" s="590"/>
      <c r="K1083" s="590"/>
      <c r="L1083" s="1687"/>
      <c r="M1083" s="991"/>
      <c r="N1083" s="991"/>
      <c r="O1083" s="991"/>
      <c r="P1083" s="991"/>
      <c r="Q1083" s="991"/>
      <c r="R1083" s="991"/>
      <c r="S1083" s="991"/>
      <c r="T1083" s="991"/>
      <c r="U1083" s="991"/>
      <c r="X1083" s="1632"/>
      <c r="Y1083" s="1876"/>
      <c r="Z1083" s="1632"/>
      <c r="AC1083" s="1150"/>
      <c r="AD1083" s="1150"/>
      <c r="AE1083" s="1150"/>
      <c r="AL1083" s="1352"/>
      <c r="AM1083" s="1352"/>
      <c r="AN1083" s="1352"/>
      <c r="AO1083" s="1352"/>
      <c r="AP1083" s="1352"/>
      <c r="AQ1083" s="1352"/>
      <c r="AR1083" s="1352"/>
      <c r="AS1083" s="1352"/>
    </row>
    <row r="1084" spans="1:45" s="905" customFormat="1" hidden="1" x14ac:dyDescent="0.2">
      <c r="A1084" s="1507">
        <v>7</v>
      </c>
      <c r="B1084" s="1516" t="s">
        <v>4420</v>
      </c>
      <c r="C1084" s="1516"/>
      <c r="D1084" s="1516"/>
      <c r="E1084" s="1516"/>
      <c r="F1084" s="1511"/>
      <c r="G1084" s="1509" t="str">
        <f t="shared" ca="1" si="87"/>
        <v/>
      </c>
      <c r="H1084" s="1510" t="s">
        <v>3197</v>
      </c>
      <c r="I1084" s="590"/>
      <c r="J1084" s="590"/>
      <c r="K1084" s="590"/>
      <c r="L1084" s="1687"/>
      <c r="M1084" s="1253"/>
      <c r="N1084" s="1253"/>
      <c r="O1084" s="1253"/>
      <c r="P1084" s="1253"/>
      <c r="Q1084" s="1253"/>
      <c r="R1084" s="1253"/>
      <c r="S1084" s="1253"/>
      <c r="T1084" s="1253"/>
      <c r="U1084" s="1253"/>
      <c r="X1084" s="1632"/>
      <c r="Y1084" s="1876"/>
      <c r="Z1084" s="1632"/>
      <c r="AC1084" s="1150"/>
      <c r="AD1084" s="1150"/>
      <c r="AE1084" s="1150"/>
      <c r="AL1084" s="1352"/>
      <c r="AM1084" s="1352"/>
      <c r="AN1084" s="1352"/>
      <c r="AO1084" s="1352"/>
      <c r="AP1084" s="1352"/>
      <c r="AQ1084" s="1352"/>
      <c r="AR1084" s="1352"/>
      <c r="AS1084" s="1352"/>
    </row>
    <row r="1085" spans="1:45" s="1250" customFormat="1" hidden="1" x14ac:dyDescent="0.2">
      <c r="A1085" s="1507">
        <v>7</v>
      </c>
      <c r="B1085" s="1516" t="s">
        <v>4420</v>
      </c>
      <c r="C1085" s="1516"/>
      <c r="D1085" s="1516"/>
      <c r="E1085" s="1516"/>
      <c r="F1085" s="1511"/>
      <c r="G1085" s="1509" t="str">
        <f t="shared" ca="1" si="87"/>
        <v/>
      </c>
      <c r="H1085" s="1510" t="s">
        <v>3197</v>
      </c>
      <c r="I1085" s="606"/>
      <c r="J1085" s="606"/>
      <c r="K1085" s="606"/>
      <c r="L1085" s="441" t="s">
        <v>5089</v>
      </c>
      <c r="M1085" s="173"/>
      <c r="N1085" s="173"/>
      <c r="O1085" s="173"/>
      <c r="P1085" s="173"/>
      <c r="Q1085" s="173"/>
      <c r="R1085" s="173"/>
      <c r="S1085" s="173"/>
      <c r="T1085" s="173"/>
      <c r="U1085" s="173"/>
      <c r="V1085" s="173"/>
      <c r="X1085" s="1599"/>
      <c r="Y1085" s="1877"/>
      <c r="Z1085" s="1599"/>
      <c r="AL1085" s="1352"/>
      <c r="AM1085" s="1352"/>
      <c r="AN1085" s="1352"/>
      <c r="AO1085" s="1352"/>
      <c r="AP1085" s="1352"/>
      <c r="AQ1085" s="1352"/>
      <c r="AR1085" s="1352"/>
      <c r="AS1085" s="1352"/>
    </row>
    <row r="1086" spans="1:45" s="905" customFormat="1" ht="15" hidden="1" customHeight="1" x14ac:dyDescent="0.2">
      <c r="A1086" s="1507">
        <v>7</v>
      </c>
      <c r="B1086" s="1516" t="s">
        <v>4421</v>
      </c>
      <c r="C1086" s="1516"/>
      <c r="D1086" s="1516"/>
      <c r="E1086" s="1516"/>
      <c r="F1086" s="1511"/>
      <c r="G1086" s="1509" t="str">
        <f ca="1">IF(N1086&gt;0,"P","")</f>
        <v/>
      </c>
      <c r="H1086" s="1510" t="s">
        <v>3197</v>
      </c>
      <c r="I1086" s="589" t="s">
        <v>4093</v>
      </c>
      <c r="J1086" s="589"/>
      <c r="K1086" s="589"/>
      <c r="L1086" s="1687" t="s">
        <v>4839</v>
      </c>
      <c r="M1086" s="1694" t="s">
        <v>4838</v>
      </c>
      <c r="N1086" s="1619">
        <f ca="1">'11.700'!O212</f>
        <v>0</v>
      </c>
      <c r="O1086" s="1619">
        <f ca="1">IFERROR(INDEX(M1091:M1093,MATCH(W1086,INDIRECT(U1086),0)),0)*S1086</f>
        <v>0</v>
      </c>
      <c r="P1086" s="991" t="b">
        <v>1</v>
      </c>
      <c r="Q1086" s="991" t="b">
        <v>1</v>
      </c>
      <c r="R1086" s="991" t="b">
        <v>0</v>
      </c>
      <c r="S1086" s="991" t="b">
        <f ca="1">AND(S885=2,OR(W1096="Met",W1096="N/A"))</f>
        <v>0</v>
      </c>
      <c r="T1086" s="991" t="b">
        <f ca="1">AND(NOT(S1086),LEN(W1086)&gt;0)</f>
        <v>0</v>
      </c>
      <c r="U1086" s="905" t="str">
        <f>SUBSTITUTE(SUBSTITUTE(SUBSTITUTE("dd"&amp;B1086&amp;C1086&amp;D1086&amp;E1086&amp;F1086,".","_"),"(","_"),")","")</f>
        <v>dd703_2_5_2</v>
      </c>
      <c r="W1086" s="12"/>
      <c r="X1086" s="1621"/>
      <c r="Y1086" s="1875" t="str">
        <f>IF(LEN('11.700'!X212)=0,"None",'11.700'!X212)</f>
        <v>None</v>
      </c>
      <c r="Z1086" s="1621"/>
      <c r="AC1086" s="1150" t="b">
        <f ca="1">OR(AD1086:AE1086)</f>
        <v>0</v>
      </c>
      <c r="AD1086" s="1150" t="b">
        <f ca="1">T1086</f>
        <v>0</v>
      </c>
      <c r="AE1086" s="1150"/>
      <c r="AL1086" s="1352" t="str">
        <f>SUBSTITUTE(SUBSTITUTE(SUBSTITUTE("vpa"&amp;$B1086&amp;$C1086&amp;$D1086&amp;$E1086&amp;$F1086,".","_"),"(","_"),")","")</f>
        <v>vpa703_2_5_2</v>
      </c>
      <c r="AM1086" s="1352" t="str">
        <f>M1086</f>
        <v>Per Table 11.703.2.5.2(a) or
11.703.2.5.2(b) or 
11.703.2.5.2(c)</v>
      </c>
      <c r="AN1086" s="1352" t="str">
        <f>SUBSTITUTE(SUBSTITUTE(SUBSTITUTE("vpc"&amp;$B1086&amp;$C1086&amp;$D1086&amp;$E1086&amp;$F1086,".","_"),"(","_"),")","")</f>
        <v>vpc703_2_5_2</v>
      </c>
      <c r="AO1086" s="1352">
        <f ca="1">O1086</f>
        <v>0</v>
      </c>
      <c r="AP1086" s="1352" t="str">
        <f>SUBSTITUTE(SUBSTITUTE(SUBSTITUTE("vch"&amp;$B1086&amp;$C1086&amp;$D1086&amp;$E1086&amp;$F1086,".","_"),"(","_"),")","")</f>
        <v>vch703_2_5_2</v>
      </c>
      <c r="AQ1086" s="1352" t="str">
        <f>IF(LEN(W1086)=0,"",W1086)</f>
        <v/>
      </c>
      <c r="AR1086" s="1352" t="str">
        <f>SUBSTITUTE(SUBSTITUTE(SUBSTITUTE("vnt"&amp;$B1086&amp;$C1086&amp;$D1086&amp;$E1086&amp;$F1086,".","_"),"(","_"),")","")</f>
        <v>vnt703_2_5_2</v>
      </c>
      <c r="AS1086" s="1352" t="str">
        <f>IF(LEN(X1086)=0,"",X1086)</f>
        <v/>
      </c>
    </row>
    <row r="1087" spans="1:45" s="905" customFormat="1" hidden="1" x14ac:dyDescent="0.2">
      <c r="A1087" s="1507">
        <v>7</v>
      </c>
      <c r="B1087" s="1516" t="s">
        <v>4421</v>
      </c>
      <c r="C1087" s="1516"/>
      <c r="D1087" s="1516"/>
      <c r="E1087" s="1516"/>
      <c r="F1087" s="1511"/>
      <c r="G1087" s="1509" t="str">
        <f t="shared" ref="G1087:G1104" ca="1" si="88">G1086</f>
        <v/>
      </c>
      <c r="H1087" s="1510" t="s">
        <v>3197</v>
      </c>
      <c r="I1087" s="589"/>
      <c r="J1087" s="589"/>
      <c r="K1087" s="589"/>
      <c r="L1087" s="1687"/>
      <c r="M1087" s="1694"/>
      <c r="N1087" s="1619"/>
      <c r="O1087" s="1619"/>
      <c r="P1087" s="991"/>
      <c r="Q1087" s="991"/>
      <c r="R1087" s="991"/>
      <c r="S1087" s="991"/>
      <c r="T1087" s="991"/>
      <c r="X1087" s="1632"/>
      <c r="Y1087" s="1876"/>
      <c r="Z1087" s="1632"/>
      <c r="AL1087" s="1352"/>
      <c r="AM1087" s="1352"/>
      <c r="AN1087" s="1352"/>
      <c r="AO1087" s="1352"/>
      <c r="AP1087" s="1352"/>
      <c r="AQ1087" s="1352"/>
      <c r="AR1087" s="1352"/>
      <c r="AS1087" s="1352"/>
    </row>
    <row r="1088" spans="1:45" s="905" customFormat="1" hidden="1" x14ac:dyDescent="0.2">
      <c r="A1088" s="1507">
        <v>7</v>
      </c>
      <c r="B1088" s="1516" t="s">
        <v>4421</v>
      </c>
      <c r="C1088" s="1516"/>
      <c r="D1088" s="1516"/>
      <c r="E1088" s="1516"/>
      <c r="F1088" s="1511"/>
      <c r="G1088" s="1509" t="str">
        <f t="shared" ca="1" si="88"/>
        <v/>
      </c>
      <c r="H1088" s="1510" t="s">
        <v>3197</v>
      </c>
      <c r="I1088" s="589"/>
      <c r="J1088" s="589"/>
      <c r="K1088" s="589"/>
      <c r="L1088" s="1687"/>
      <c r="M1088" s="1694"/>
      <c r="N1088" s="1619"/>
      <c r="O1088" s="1619"/>
      <c r="P1088" s="991"/>
      <c r="Q1088" s="991"/>
      <c r="R1088" s="991"/>
      <c r="S1088" s="991"/>
      <c r="T1088" s="991"/>
      <c r="X1088" s="1632"/>
      <c r="Y1088" s="1876"/>
      <c r="Z1088" s="1632"/>
      <c r="AL1088" s="1352"/>
      <c r="AM1088" s="1352"/>
      <c r="AN1088" s="1352"/>
      <c r="AO1088" s="1352"/>
      <c r="AP1088" s="1352"/>
      <c r="AQ1088" s="1352"/>
      <c r="AR1088" s="1352"/>
      <c r="AS1088" s="1352"/>
    </row>
    <row r="1089" spans="1:45" s="905" customFormat="1" hidden="1" x14ac:dyDescent="0.2">
      <c r="A1089" s="1507">
        <v>7</v>
      </c>
      <c r="B1089" s="1516" t="s">
        <v>4421</v>
      </c>
      <c r="C1089" s="1516"/>
      <c r="D1089" s="1516"/>
      <c r="E1089" s="1516"/>
      <c r="F1089" s="1511"/>
      <c r="G1089" s="1509" t="str">
        <f t="shared" ca="1" si="88"/>
        <v/>
      </c>
      <c r="H1089" s="1510" t="s">
        <v>3197</v>
      </c>
      <c r="I1089" s="589"/>
      <c r="J1089" s="589"/>
      <c r="K1089" s="589"/>
      <c r="L1089" s="1687"/>
      <c r="M1089" s="1694"/>
      <c r="N1089" s="1619"/>
      <c r="O1089" s="1619"/>
      <c r="P1089" s="991"/>
      <c r="Q1089" s="991"/>
      <c r="R1089" s="991"/>
      <c r="S1089" s="991"/>
      <c r="T1089" s="991"/>
      <c r="X1089" s="1632"/>
      <c r="Y1089" s="1876"/>
      <c r="Z1089" s="1632"/>
      <c r="AL1089" s="1352"/>
      <c r="AM1089" s="1352"/>
      <c r="AN1089" s="1352"/>
      <c r="AO1089" s="1352"/>
      <c r="AP1089" s="1352"/>
      <c r="AQ1089" s="1352"/>
      <c r="AR1089" s="1352"/>
      <c r="AS1089" s="1352"/>
    </row>
    <row r="1090" spans="1:45" s="905" customFormat="1" hidden="1" x14ac:dyDescent="0.2">
      <c r="A1090" s="1507">
        <v>7</v>
      </c>
      <c r="B1090" s="1516" t="s">
        <v>4421</v>
      </c>
      <c r="C1090" s="1516"/>
      <c r="D1090" s="1516"/>
      <c r="E1090" s="1516"/>
      <c r="F1090" s="1511"/>
      <c r="G1090" s="1509" t="str">
        <f t="shared" ca="1" si="88"/>
        <v/>
      </c>
      <c r="H1090" s="1510" t="s">
        <v>3197</v>
      </c>
      <c r="I1090" s="589"/>
      <c r="J1090" s="589"/>
      <c r="K1090" s="589"/>
      <c r="L1090" s="1687"/>
      <c r="M1090" s="1694"/>
      <c r="N1090" s="1619"/>
      <c r="O1090" s="1619"/>
      <c r="P1090" s="991"/>
      <c r="Q1090" s="991"/>
      <c r="R1090" s="991"/>
      <c r="S1090" s="991"/>
      <c r="T1090" s="991"/>
      <c r="X1090" s="1632"/>
      <c r="Y1090" s="1876"/>
      <c r="Z1090" s="1632"/>
      <c r="AL1090" s="1352"/>
      <c r="AM1090" s="1352"/>
      <c r="AN1090" s="1352"/>
      <c r="AO1090" s="1352"/>
      <c r="AP1090" s="1352"/>
      <c r="AQ1090" s="1352"/>
      <c r="AR1090" s="1352"/>
      <c r="AS1090" s="1352"/>
    </row>
    <row r="1091" spans="1:45" s="905" customFormat="1" hidden="1" x14ac:dyDescent="0.2">
      <c r="A1091" s="1507">
        <v>7</v>
      </c>
      <c r="B1091" s="1516" t="s">
        <v>4421</v>
      </c>
      <c r="C1091" s="1516" t="s">
        <v>121</v>
      </c>
      <c r="D1091" s="1516"/>
      <c r="E1091" s="1516"/>
      <c r="F1091" s="1511"/>
      <c r="G1091" s="1509" t="str">
        <f t="shared" ca="1" si="88"/>
        <v/>
      </c>
      <c r="H1091" s="1510" t="s">
        <v>3197</v>
      </c>
      <c r="I1091" s="589"/>
      <c r="J1091" s="589"/>
      <c r="K1091" s="606" t="s">
        <v>121</v>
      </c>
      <c r="L1091" s="923" t="s">
        <v>4841</v>
      </c>
      <c r="M1091" s="975">
        <f>IFERROR(INDEX({1,1,2,3,3,4,4,4},T1121),0)</f>
        <v>1</v>
      </c>
      <c r="N1091" s="129"/>
      <c r="O1091" s="908"/>
      <c r="P1091" s="991"/>
      <c r="Q1091" s="991"/>
      <c r="R1091" s="991"/>
      <c r="S1091" s="991"/>
      <c r="T1091" s="991"/>
      <c r="X1091" s="1632"/>
      <c r="Y1091" s="1876"/>
      <c r="Z1091" s="1632"/>
      <c r="AL1091" s="1352" t="str">
        <f>SUBSTITUTE(SUBSTITUTE(SUBSTITUTE("vpa"&amp;$B1091&amp;$C1091&amp;$D1091&amp;$E1091&amp;$F1091,".","_"),"(","_"),")","")</f>
        <v>vpa703_2_5_2_a</v>
      </c>
      <c r="AM1091" s="1352">
        <f>M1091</f>
        <v>1</v>
      </c>
      <c r="AN1091" s="1352"/>
      <c r="AO1091" s="1352"/>
      <c r="AP1091" s="1352"/>
      <c r="AQ1091" s="1352"/>
      <c r="AR1091" s="1352"/>
      <c r="AS1091" s="1352"/>
    </row>
    <row r="1092" spans="1:45" s="905" customFormat="1" hidden="1" x14ac:dyDescent="0.2">
      <c r="A1092" s="1507">
        <v>7</v>
      </c>
      <c r="B1092" s="1516" t="s">
        <v>4421</v>
      </c>
      <c r="C1092" s="1516" t="s">
        <v>122</v>
      </c>
      <c r="D1092" s="1516"/>
      <c r="E1092" s="1516"/>
      <c r="F1092" s="1511"/>
      <c r="G1092" s="1509" t="str">
        <f t="shared" ca="1" si="88"/>
        <v/>
      </c>
      <c r="H1092" s="1510" t="s">
        <v>3197</v>
      </c>
      <c r="I1092" s="589"/>
      <c r="J1092" s="589"/>
      <c r="K1092" s="607" t="s">
        <v>122</v>
      </c>
      <c r="L1092" s="1075" t="s">
        <v>4842</v>
      </c>
      <c r="M1092" s="139">
        <f>IFERROR(INDEX({2,3,4,4,4,5,5,4},T1121),0)</f>
        <v>2</v>
      </c>
      <c r="N1092" s="129"/>
      <c r="O1092" s="908"/>
      <c r="P1092" s="991"/>
      <c r="Q1092" s="991"/>
      <c r="R1092" s="991"/>
      <c r="S1092" s="991"/>
      <c r="T1092" s="991"/>
      <c r="X1092" s="1632"/>
      <c r="Y1092" s="1876"/>
      <c r="Z1092" s="1632"/>
      <c r="AL1092" s="1352" t="str">
        <f>SUBSTITUTE(SUBSTITUTE(SUBSTITUTE("vpa"&amp;$B1092&amp;$C1092&amp;$D1092&amp;$E1092&amp;$F1092,".","_"),"(","_"),")","")</f>
        <v>vpa703_2_5_2_b</v>
      </c>
      <c r="AM1092" s="1352">
        <f>M1092</f>
        <v>2</v>
      </c>
      <c r="AN1092" s="1352"/>
      <c r="AO1092" s="1352"/>
      <c r="AP1092" s="1352"/>
      <c r="AQ1092" s="1352"/>
      <c r="AR1092" s="1352"/>
      <c r="AS1092" s="1352"/>
    </row>
    <row r="1093" spans="1:45" s="905" customFormat="1" hidden="1" x14ac:dyDescent="0.2">
      <c r="A1093" s="1507">
        <v>7</v>
      </c>
      <c r="B1093" s="1516" t="s">
        <v>4421</v>
      </c>
      <c r="C1093" s="1516" t="s">
        <v>123</v>
      </c>
      <c r="D1093" s="1516"/>
      <c r="E1093" s="1516"/>
      <c r="F1093" s="1511"/>
      <c r="G1093" s="1509" t="str">
        <f t="shared" ca="1" si="88"/>
        <v/>
      </c>
      <c r="H1093" s="1510" t="s">
        <v>3197</v>
      </c>
      <c r="I1093" s="589"/>
      <c r="J1093" s="589"/>
      <c r="K1093" s="589" t="s">
        <v>123</v>
      </c>
      <c r="L1093" s="917" t="s">
        <v>4843</v>
      </c>
      <c r="M1093" s="953">
        <f>IF(T1122,3,1)*IFERROR(INDEX({0,0,0,6,6,6,6,6},T1121),0)</f>
        <v>0</v>
      </c>
      <c r="N1093" s="129"/>
      <c r="O1093" s="908"/>
      <c r="P1093" s="991"/>
      <c r="Q1093" s="991"/>
      <c r="R1093" s="991"/>
      <c r="S1093" s="991"/>
      <c r="T1093" s="991"/>
      <c r="X1093" s="1632"/>
      <c r="Y1093" s="1876"/>
      <c r="Z1093" s="1632"/>
      <c r="AL1093" s="1352" t="str">
        <f>SUBSTITUTE(SUBSTITUTE(SUBSTITUTE("vpa"&amp;$B1093&amp;$C1093&amp;$D1093&amp;$E1093&amp;$F1093,".","_"),"(","_"),")","")</f>
        <v>vpa703_2_5_2_c</v>
      </c>
      <c r="AM1093" s="1352">
        <f>M1093</f>
        <v>0</v>
      </c>
      <c r="AN1093" s="1352"/>
      <c r="AO1093" s="1352"/>
      <c r="AP1093" s="1352"/>
      <c r="AQ1093" s="1352"/>
      <c r="AR1093" s="1352"/>
      <c r="AS1093" s="1352"/>
    </row>
    <row r="1094" spans="1:45" s="905" customFormat="1" ht="15" hidden="1" customHeight="1" x14ac:dyDescent="0.2">
      <c r="A1094" s="1507">
        <v>7</v>
      </c>
      <c r="B1094" s="1516" t="s">
        <v>4421</v>
      </c>
      <c r="C1094" s="1516"/>
      <c r="D1094" s="1516"/>
      <c r="E1094" s="1516"/>
      <c r="F1094" s="1511"/>
      <c r="G1094" s="1509" t="str">
        <f t="shared" ca="1" si="88"/>
        <v/>
      </c>
      <c r="H1094" s="1510" t="s">
        <v>3197</v>
      </c>
      <c r="I1094" s="589"/>
      <c r="J1094" s="589"/>
      <c r="K1094" s="589"/>
      <c r="L1094" s="1634" t="s">
        <v>4840</v>
      </c>
      <c r="M1094" s="953"/>
      <c r="N1094" s="129"/>
      <c r="O1094" s="908"/>
      <c r="P1094" s="991"/>
      <c r="Q1094" s="991"/>
      <c r="R1094" s="991"/>
      <c r="S1094" s="991"/>
      <c r="T1094" s="991"/>
      <c r="X1094" s="1632"/>
      <c r="Y1094" s="1876"/>
      <c r="Z1094" s="1632"/>
      <c r="AL1094" s="1352"/>
      <c r="AM1094" s="1352"/>
      <c r="AN1094" s="1352"/>
      <c r="AO1094" s="1352"/>
      <c r="AP1094" s="1352"/>
      <c r="AQ1094" s="1352"/>
      <c r="AR1094" s="1352"/>
      <c r="AS1094" s="1352"/>
    </row>
    <row r="1095" spans="1:45" s="905" customFormat="1" hidden="1" x14ac:dyDescent="0.2">
      <c r="A1095" s="1507">
        <v>7</v>
      </c>
      <c r="B1095" s="1516" t="s">
        <v>4421</v>
      </c>
      <c r="C1095" s="1516"/>
      <c r="D1095" s="1516"/>
      <c r="E1095" s="1516"/>
      <c r="F1095" s="1511"/>
      <c r="G1095" s="1509" t="str">
        <f t="shared" ca="1" si="88"/>
        <v/>
      </c>
      <c r="H1095" s="1510" t="s">
        <v>3197</v>
      </c>
      <c r="I1095" s="589"/>
      <c r="J1095" s="589"/>
      <c r="K1095" s="589"/>
      <c r="L1095" s="1634"/>
      <c r="M1095" s="953"/>
      <c r="N1095" s="129"/>
      <c r="O1095" s="908"/>
      <c r="P1095" s="991"/>
      <c r="Q1095" s="991"/>
      <c r="R1095" s="991"/>
      <c r="S1095" s="991"/>
      <c r="T1095" s="991"/>
      <c r="X1095" s="1599"/>
      <c r="Y1095" s="1877"/>
      <c r="Z1095" s="1599"/>
      <c r="AL1095" s="1352"/>
      <c r="AM1095" s="1352"/>
      <c r="AN1095" s="1352"/>
      <c r="AO1095" s="1352"/>
      <c r="AP1095" s="1352"/>
      <c r="AQ1095" s="1352"/>
      <c r="AR1095" s="1352"/>
      <c r="AS1095" s="1352"/>
    </row>
    <row r="1096" spans="1:45" s="905" customFormat="1" ht="15" hidden="1" customHeight="1" x14ac:dyDescent="0.2">
      <c r="A1096" s="1507">
        <v>7</v>
      </c>
      <c r="B1096" s="1516" t="s">
        <v>4422</v>
      </c>
      <c r="C1096" s="1516"/>
      <c r="D1096" s="1516"/>
      <c r="E1096" s="1516"/>
      <c r="F1096" s="1511"/>
      <c r="G1096" s="1509" t="str">
        <f t="shared" ca="1" si="88"/>
        <v/>
      </c>
      <c r="H1096" s="1510" t="s">
        <v>3197</v>
      </c>
      <c r="I1096" s="590" t="s">
        <v>4094</v>
      </c>
      <c r="J1096" s="590"/>
      <c r="K1096" s="590"/>
      <c r="L1096" s="1687" t="s">
        <v>4095</v>
      </c>
      <c r="M1096" s="953"/>
      <c r="N1096" s="129"/>
      <c r="O1096" s="908"/>
      <c r="P1096" s="991" t="b">
        <v>1</v>
      </c>
      <c r="Q1096" s="991" t="b">
        <v>1</v>
      </c>
      <c r="R1096" s="991" t="b">
        <v>0</v>
      </c>
      <c r="S1096" s="991" t="b">
        <f ca="1">S885=2</f>
        <v>0</v>
      </c>
      <c r="T1096" s="991" t="b">
        <f ca="1">AND(NOT(S1096),LEN(W1096)&gt;0)</f>
        <v>0</v>
      </c>
      <c r="U1096" s="991" t="str">
        <f>SUBSTITUTE(SUBSTITUTE(SUBSTITUTE("dd"&amp;B1096&amp;C1096&amp;D1096&amp;E1096&amp;F1096,".","_"),"(","_"),")","")</f>
        <v>dd703_2_5_2_1</v>
      </c>
      <c r="W1096" s="12"/>
      <c r="X1096" s="1600"/>
      <c r="Y1096" s="1881" t="str">
        <f>IF(LEN('11.700'!X222)=0,"None",'11.700'!X222)</f>
        <v>None</v>
      </c>
      <c r="Z1096" s="1600"/>
      <c r="AC1096" s="1150" t="b">
        <f ca="1">OR(AD1096:AE1096)</f>
        <v>0</v>
      </c>
      <c r="AD1096" s="1150" t="b">
        <f ca="1">T1096</f>
        <v>0</v>
      </c>
      <c r="AE1096" s="1150"/>
      <c r="AL1096" s="1352"/>
      <c r="AM1096" s="1352"/>
      <c r="AN1096" s="1352"/>
      <c r="AO1096" s="1352"/>
      <c r="AP1096" s="1352" t="str">
        <f>SUBSTITUTE(SUBSTITUTE(SUBSTITUTE("vch"&amp;$B1096&amp;$C1096&amp;$D1096&amp;$E1096&amp;$F1096,".","_"),"(","_"),")","")</f>
        <v>vch703_2_5_2_1</v>
      </c>
      <c r="AQ1096" s="1352" t="str">
        <f>IF(LEN(W1096)=0,"",W1096)</f>
        <v/>
      </c>
      <c r="AR1096" s="1352" t="str">
        <f>SUBSTITUTE(SUBSTITUTE(SUBSTITUTE("vnt"&amp;$B1096&amp;$C1096&amp;$D1096&amp;$E1096&amp;$F1096,".","_"),"(","_"),")","")</f>
        <v>vnt703_2_5_2_1</v>
      </c>
      <c r="AS1096" s="1352" t="str">
        <f>IF(LEN(X1096)=0,"",X1096)</f>
        <v/>
      </c>
    </row>
    <row r="1097" spans="1:45" s="905" customFormat="1" hidden="1" x14ac:dyDescent="0.2">
      <c r="A1097" s="1507">
        <v>7</v>
      </c>
      <c r="B1097" s="1516" t="s">
        <v>4422</v>
      </c>
      <c r="C1097" s="1516"/>
      <c r="D1097" s="1516"/>
      <c r="E1097" s="1516"/>
      <c r="F1097" s="1511"/>
      <c r="G1097" s="1509" t="str">
        <f t="shared" ca="1" si="88"/>
        <v/>
      </c>
      <c r="H1097" s="1510" t="s">
        <v>3197</v>
      </c>
      <c r="I1097" s="590"/>
      <c r="J1097" s="590"/>
      <c r="K1097" s="590"/>
      <c r="L1097" s="1687"/>
      <c r="M1097" s="953"/>
      <c r="N1097" s="129"/>
      <c r="O1097" s="908"/>
      <c r="P1097" s="991"/>
      <c r="Q1097" s="991"/>
      <c r="R1097" s="991"/>
      <c r="S1097" s="991"/>
      <c r="T1097" s="991"/>
      <c r="U1097" s="991"/>
      <c r="X1097" s="1600"/>
      <c r="Y1097" s="1881"/>
      <c r="Z1097" s="1600"/>
      <c r="AC1097" s="1150"/>
      <c r="AD1097" s="1150"/>
      <c r="AE1097" s="1150"/>
      <c r="AL1097" s="1352"/>
      <c r="AM1097" s="1352"/>
      <c r="AN1097" s="1352"/>
      <c r="AO1097" s="1352"/>
      <c r="AP1097" s="1352"/>
      <c r="AQ1097" s="1352"/>
      <c r="AR1097" s="1352"/>
      <c r="AS1097" s="1352"/>
    </row>
    <row r="1098" spans="1:45" s="905" customFormat="1" hidden="1" x14ac:dyDescent="0.2">
      <c r="A1098" s="1507">
        <v>7</v>
      </c>
      <c r="B1098" s="1516" t="s">
        <v>4422</v>
      </c>
      <c r="C1098" s="1516"/>
      <c r="D1098" s="1516"/>
      <c r="E1098" s="1516"/>
      <c r="F1098" s="1511"/>
      <c r="G1098" s="1509" t="str">
        <f t="shared" ca="1" si="88"/>
        <v/>
      </c>
      <c r="H1098" s="1510" t="s">
        <v>3197</v>
      </c>
      <c r="I1098" s="590"/>
      <c r="J1098" s="590"/>
      <c r="K1098" s="590"/>
      <c r="L1098" s="1687"/>
      <c r="M1098" s="953"/>
      <c r="N1098" s="129"/>
      <c r="O1098" s="908"/>
      <c r="P1098" s="991"/>
      <c r="Q1098" s="991"/>
      <c r="R1098" s="991"/>
      <c r="S1098" s="991"/>
      <c r="T1098" s="991"/>
      <c r="U1098" s="991"/>
      <c r="X1098" s="1600"/>
      <c r="Y1098" s="1881"/>
      <c r="Z1098" s="1600"/>
      <c r="AC1098" s="1150"/>
      <c r="AD1098" s="1150"/>
      <c r="AE1098" s="1150"/>
      <c r="AL1098" s="1352"/>
      <c r="AM1098" s="1352"/>
      <c r="AN1098" s="1352"/>
      <c r="AO1098" s="1352"/>
      <c r="AP1098" s="1352"/>
      <c r="AQ1098" s="1352"/>
      <c r="AR1098" s="1352"/>
      <c r="AS1098" s="1352"/>
    </row>
    <row r="1099" spans="1:45" s="905" customFormat="1" hidden="1" x14ac:dyDescent="0.2">
      <c r="A1099" s="1507">
        <v>7</v>
      </c>
      <c r="B1099" s="1516" t="s">
        <v>4422</v>
      </c>
      <c r="C1099" s="1516"/>
      <c r="D1099" s="1516"/>
      <c r="E1099" s="1516"/>
      <c r="F1099" s="1511"/>
      <c r="G1099" s="1509" t="str">
        <f t="shared" ca="1" si="88"/>
        <v/>
      </c>
      <c r="H1099" s="1510" t="s">
        <v>3197</v>
      </c>
      <c r="I1099" s="590"/>
      <c r="J1099" s="590"/>
      <c r="K1099" s="590"/>
      <c r="L1099" s="1687"/>
      <c r="M1099" s="953"/>
      <c r="N1099" s="129"/>
      <c r="O1099" s="908"/>
      <c r="P1099" s="991"/>
      <c r="Q1099" s="991"/>
      <c r="R1099" s="991"/>
      <c r="S1099" s="991"/>
      <c r="T1099" s="991"/>
      <c r="U1099" s="991"/>
      <c r="X1099" s="1600"/>
      <c r="Y1099" s="1881"/>
      <c r="Z1099" s="1600"/>
      <c r="AC1099" s="1150"/>
      <c r="AD1099" s="1150"/>
      <c r="AE1099" s="1150"/>
      <c r="AL1099" s="1352"/>
      <c r="AM1099" s="1352"/>
      <c r="AN1099" s="1352"/>
      <c r="AO1099" s="1352"/>
      <c r="AP1099" s="1352"/>
      <c r="AQ1099" s="1352"/>
      <c r="AR1099" s="1352"/>
      <c r="AS1099" s="1352"/>
    </row>
    <row r="1100" spans="1:45" s="905" customFormat="1" hidden="1" x14ac:dyDescent="0.2">
      <c r="A1100" s="1507">
        <v>7</v>
      </c>
      <c r="B1100" s="1516" t="s">
        <v>4422</v>
      </c>
      <c r="C1100" s="1516"/>
      <c r="D1100" s="1516"/>
      <c r="E1100" s="1516"/>
      <c r="F1100" s="1511"/>
      <c r="G1100" s="1509" t="str">
        <f t="shared" ca="1" si="88"/>
        <v/>
      </c>
      <c r="H1100" s="1510" t="s">
        <v>3197</v>
      </c>
      <c r="I1100" s="590"/>
      <c r="J1100" s="590"/>
      <c r="K1100" s="590"/>
      <c r="L1100" s="1687"/>
      <c r="M1100" s="953"/>
      <c r="N1100" s="129"/>
      <c r="O1100" s="908"/>
      <c r="P1100" s="991"/>
      <c r="Q1100" s="991"/>
      <c r="R1100" s="991"/>
      <c r="S1100" s="991"/>
      <c r="T1100" s="991"/>
      <c r="U1100" s="991"/>
      <c r="X1100" s="1600"/>
      <c r="Y1100" s="1881"/>
      <c r="Z1100" s="1600"/>
      <c r="AC1100" s="1150"/>
      <c r="AD1100" s="1150"/>
      <c r="AE1100" s="1150"/>
      <c r="AL1100" s="1352"/>
      <c r="AM1100" s="1352"/>
      <c r="AN1100" s="1352"/>
      <c r="AO1100" s="1352"/>
      <c r="AP1100" s="1352"/>
      <c r="AQ1100" s="1352"/>
      <c r="AR1100" s="1352"/>
      <c r="AS1100" s="1352"/>
    </row>
    <row r="1101" spans="1:45" s="905" customFormat="1" hidden="1" x14ac:dyDescent="0.2">
      <c r="A1101" s="1507">
        <v>7</v>
      </c>
      <c r="B1101" s="1516" t="s">
        <v>4422</v>
      </c>
      <c r="C1101" s="1516"/>
      <c r="D1101" s="1516"/>
      <c r="E1101" s="1516"/>
      <c r="F1101" s="1511"/>
      <c r="G1101" s="1509" t="str">
        <f t="shared" ca="1" si="88"/>
        <v/>
      </c>
      <c r="H1101" s="1510" t="s">
        <v>3197</v>
      </c>
      <c r="I1101" s="590"/>
      <c r="J1101" s="590"/>
      <c r="K1101" s="590"/>
      <c r="L1101" s="1687"/>
      <c r="M1101" s="953"/>
      <c r="N1101" s="129"/>
      <c r="O1101" s="908"/>
      <c r="P1101" s="991"/>
      <c r="Q1101" s="991"/>
      <c r="R1101" s="991"/>
      <c r="S1101" s="991"/>
      <c r="T1101" s="991"/>
      <c r="U1101" s="991"/>
      <c r="X1101" s="1600"/>
      <c r="Y1101" s="1881"/>
      <c r="Z1101" s="1600"/>
      <c r="AC1101" s="1150"/>
      <c r="AD1101" s="1150"/>
      <c r="AE1101" s="1150"/>
      <c r="AL1101" s="1352"/>
      <c r="AM1101" s="1352"/>
      <c r="AN1101" s="1352"/>
      <c r="AO1101" s="1352"/>
      <c r="AP1101" s="1352"/>
      <c r="AQ1101" s="1352"/>
      <c r="AR1101" s="1352"/>
      <c r="AS1101" s="1352"/>
    </row>
    <row r="1102" spans="1:45" s="905" customFormat="1" hidden="1" x14ac:dyDescent="0.2">
      <c r="A1102" s="1507">
        <v>7</v>
      </c>
      <c r="B1102" s="1516" t="s">
        <v>4422</v>
      </c>
      <c r="C1102" s="1516"/>
      <c r="D1102" s="1516"/>
      <c r="E1102" s="1516"/>
      <c r="F1102" s="1511"/>
      <c r="G1102" s="1509" t="str">
        <f t="shared" ca="1" si="88"/>
        <v/>
      </c>
      <c r="H1102" s="1510" t="s">
        <v>3197</v>
      </c>
      <c r="I1102" s="590"/>
      <c r="J1102" s="590"/>
      <c r="K1102" s="590"/>
      <c r="L1102" s="1687"/>
      <c r="M1102" s="991"/>
      <c r="N1102" s="991"/>
      <c r="O1102" s="991"/>
      <c r="P1102" s="991"/>
      <c r="Q1102" s="991"/>
      <c r="R1102" s="991"/>
      <c r="S1102" s="991"/>
      <c r="T1102" s="991"/>
      <c r="U1102" s="991"/>
      <c r="X1102" s="1600"/>
      <c r="Y1102" s="1881"/>
      <c r="Z1102" s="1600"/>
      <c r="AC1102" s="1150"/>
      <c r="AD1102" s="1150"/>
      <c r="AE1102" s="1150"/>
      <c r="AL1102" s="1352"/>
      <c r="AM1102" s="1352"/>
      <c r="AN1102" s="1352"/>
      <c r="AO1102" s="1352"/>
      <c r="AP1102" s="1352"/>
      <c r="AQ1102" s="1352"/>
      <c r="AR1102" s="1352"/>
      <c r="AS1102" s="1352"/>
    </row>
    <row r="1103" spans="1:45" s="905" customFormat="1" hidden="1" x14ac:dyDescent="0.2">
      <c r="A1103" s="1507">
        <v>7</v>
      </c>
      <c r="B1103" s="1516" t="s">
        <v>4422</v>
      </c>
      <c r="C1103" s="1516"/>
      <c r="D1103" s="1516"/>
      <c r="E1103" s="1516"/>
      <c r="F1103" s="1511"/>
      <c r="G1103" s="1509" t="str">
        <f t="shared" ca="1" si="88"/>
        <v/>
      </c>
      <c r="H1103" s="1510" t="s">
        <v>3197</v>
      </c>
      <c r="I1103" s="590"/>
      <c r="J1103" s="590"/>
      <c r="K1103" s="590"/>
      <c r="L1103" s="1687"/>
      <c r="M1103" s="991"/>
      <c r="N1103" s="991"/>
      <c r="O1103" s="991"/>
      <c r="P1103" s="991"/>
      <c r="Q1103" s="991"/>
      <c r="R1103" s="991"/>
      <c r="S1103" s="991"/>
      <c r="T1103" s="991"/>
      <c r="U1103" s="991"/>
      <c r="X1103" s="1600"/>
      <c r="Y1103" s="1881"/>
      <c r="Z1103" s="1600"/>
      <c r="AC1103" s="1150"/>
      <c r="AD1103" s="1150"/>
      <c r="AE1103" s="1150"/>
      <c r="AL1103" s="1352"/>
      <c r="AM1103" s="1352"/>
      <c r="AN1103" s="1352"/>
      <c r="AO1103" s="1352"/>
      <c r="AP1103" s="1352"/>
      <c r="AQ1103" s="1352"/>
      <c r="AR1103" s="1352"/>
      <c r="AS1103" s="1352"/>
    </row>
    <row r="1104" spans="1:45" s="905" customFormat="1" ht="16" hidden="1" thickBot="1" x14ac:dyDescent="0.25">
      <c r="A1104" s="1507">
        <v>7</v>
      </c>
      <c r="B1104" s="1516" t="s">
        <v>4422</v>
      </c>
      <c r="C1104" s="1516"/>
      <c r="D1104" s="1516"/>
      <c r="E1104" s="1516"/>
      <c r="F1104" s="1511"/>
      <c r="G1104" s="1509" t="str">
        <f t="shared" ca="1" si="88"/>
        <v/>
      </c>
      <c r="H1104" s="1510" t="s">
        <v>3197</v>
      </c>
      <c r="I1104" s="594"/>
      <c r="J1104" s="594"/>
      <c r="K1104" s="594"/>
      <c r="L1104" s="1738"/>
      <c r="M1104" s="100"/>
      <c r="N1104" s="100"/>
      <c r="O1104" s="100"/>
      <c r="P1104" s="100"/>
      <c r="Q1104" s="100"/>
      <c r="R1104" s="100"/>
      <c r="S1104" s="100"/>
      <c r="T1104" s="100"/>
      <c r="U1104" s="100"/>
      <c r="W1104" s="113"/>
      <c r="X1104" s="1602"/>
      <c r="Y1104" s="1882"/>
      <c r="Z1104" s="1602"/>
      <c r="AC1104" s="1150"/>
      <c r="AD1104" s="1150"/>
      <c r="AE1104" s="1150"/>
      <c r="AL1104" s="1352"/>
      <c r="AM1104" s="1352"/>
      <c r="AN1104" s="1352"/>
      <c r="AO1104" s="1352"/>
      <c r="AP1104" s="1352"/>
      <c r="AQ1104" s="1352"/>
      <c r="AR1104" s="1352"/>
      <c r="AS1104" s="1352"/>
    </row>
    <row r="1105" spans="1:45" s="905" customFormat="1" hidden="1" x14ac:dyDescent="0.2">
      <c r="A1105" s="1507">
        <v>7</v>
      </c>
      <c r="B1105" s="1516">
        <v>703.3</v>
      </c>
      <c r="C1105" s="1516"/>
      <c r="D1105" s="1516"/>
      <c r="E1105" s="1516"/>
      <c r="F1105" s="1511"/>
      <c r="G1105" s="1513" t="str">
        <f ca="1">IF(COUNTIF(G1119:G1183,"P")&gt;0,"P","")</f>
        <v/>
      </c>
      <c r="H1105" s="1510" t="s">
        <v>3197</v>
      </c>
      <c r="I1105" s="589" t="s">
        <v>4096</v>
      </c>
      <c r="J1105" s="589"/>
      <c r="K1105" s="589"/>
      <c r="L1105" s="946" t="s">
        <v>4097</v>
      </c>
      <c r="M1105" s="991"/>
      <c r="N1105" s="991"/>
      <c r="O1105" s="991"/>
      <c r="P1105" s="991"/>
      <c r="Q1105" s="991"/>
      <c r="R1105" s="991"/>
      <c r="S1105" s="991"/>
      <c r="T1105" s="991"/>
      <c r="Z1105" s="1122"/>
      <c r="AC1105" s="1150"/>
      <c r="AD1105" s="1150"/>
      <c r="AE1105" s="1150"/>
      <c r="AL1105" s="1352"/>
      <c r="AM1105" s="1352"/>
      <c r="AN1105" s="1352"/>
      <c r="AO1105" s="1352"/>
      <c r="AP1105" s="1352"/>
      <c r="AQ1105" s="1352"/>
      <c r="AR1105" s="1352"/>
      <c r="AS1105" s="1352"/>
    </row>
    <row r="1106" spans="1:45" s="905" customFormat="1" ht="15" hidden="1" customHeight="1" x14ac:dyDescent="0.2">
      <c r="A1106" s="1507">
        <v>7</v>
      </c>
      <c r="B1106" s="1516" t="s">
        <v>4423</v>
      </c>
      <c r="C1106" s="1516" t="s">
        <v>254</v>
      </c>
      <c r="D1106" s="1516"/>
      <c r="E1106" s="1516"/>
      <c r="F1106" s="1511"/>
      <c r="G1106" s="1509" t="str">
        <f t="shared" ref="G1106:G1118" ca="1" si="89">G1105</f>
        <v/>
      </c>
      <c r="H1106" s="1510" t="s">
        <v>3197</v>
      </c>
      <c r="I1106" s="589" t="s">
        <v>4098</v>
      </c>
      <c r="J1106" s="589"/>
      <c r="K1106" s="589"/>
      <c r="L1106" s="1687" t="s">
        <v>4099</v>
      </c>
      <c r="M1106" s="913"/>
      <c r="N1106" s="129"/>
      <c r="O1106" s="908"/>
      <c r="P1106" s="991"/>
      <c r="Q1106" s="991"/>
      <c r="R1106" s="991"/>
      <c r="S1106" s="991"/>
      <c r="T1106" s="991"/>
      <c r="W1106" s="905" t="s">
        <v>4511</v>
      </c>
      <c r="X1106" s="1600"/>
      <c r="Y1106" s="1874" t="str">
        <f>IF(LEN('11.700'!X232)=0,"None",'11.700'!X232)</f>
        <v>None</v>
      </c>
      <c r="Z1106" s="1600"/>
      <c r="AC1106" s="1150"/>
      <c r="AD1106" s="1150"/>
      <c r="AE1106" s="1150"/>
      <c r="AL1106" s="1352"/>
      <c r="AM1106" s="1352"/>
      <c r="AN1106" s="1352"/>
      <c r="AO1106" s="1352"/>
      <c r="AP1106" s="1352"/>
      <c r="AQ1106" s="1352"/>
      <c r="AR1106" s="1352" t="str">
        <f>SUBSTITUTE(SUBSTITUTE(SUBSTITUTE("vnt"&amp;$B1106&amp;$C1106&amp;$D1106&amp;$E1106&amp;$F1106,".","_"),"(","_"),")","")</f>
        <v>vnt703_3_0_1</v>
      </c>
      <c r="AS1106" s="1352" t="str">
        <f>IF(LEN(X1106)=0,"",X1106)</f>
        <v/>
      </c>
    </row>
    <row r="1107" spans="1:45" s="905" customFormat="1" hidden="1" x14ac:dyDescent="0.2">
      <c r="A1107" s="1507">
        <v>7</v>
      </c>
      <c r="B1107" s="1516" t="s">
        <v>4423</v>
      </c>
      <c r="C1107" s="1516" t="s">
        <v>254</v>
      </c>
      <c r="D1107" s="1516"/>
      <c r="E1107" s="1516"/>
      <c r="F1107" s="1511"/>
      <c r="G1107" s="1509" t="str">
        <f t="shared" ca="1" si="89"/>
        <v/>
      </c>
      <c r="H1107" s="1510" t="s">
        <v>3197</v>
      </c>
      <c r="I1107" s="589"/>
      <c r="J1107" s="589"/>
      <c r="K1107" s="589"/>
      <c r="L1107" s="1687"/>
      <c r="M1107" s="913"/>
      <c r="N1107" s="129"/>
      <c r="O1107" s="908"/>
      <c r="P1107" s="991" t="b">
        <v>1</v>
      </c>
      <c r="Q1107" s="991" t="b">
        <v>1</v>
      </c>
      <c r="R1107" s="991" t="b">
        <v>0</v>
      </c>
      <c r="S1107" s="991" t="b">
        <f ca="1">S885=2</f>
        <v>0</v>
      </c>
      <c r="T1107" s="991" t="b">
        <f ca="1">AND(NOT(S1107),LEN(W1107)&gt;0)</f>
        <v>0</v>
      </c>
      <c r="U1107" s="905" t="str">
        <f>SUBSTITUTE(SUBSTITUTE(SUBSTITUTE("dd"&amp;B1107&amp;C1107&amp;D1107&amp;E1107&amp;F1107,".","_"),"(","_"),")","")</f>
        <v>dd703_3_0_1</v>
      </c>
      <c r="W1107" s="12"/>
      <c r="X1107" s="1600"/>
      <c r="Y1107" s="1874"/>
      <c r="Z1107" s="1600"/>
      <c r="AC1107" s="1150" t="b">
        <f ca="1">OR(AD1107:AE1107)</f>
        <v>0</v>
      </c>
      <c r="AD1107" s="1150" t="b">
        <f ca="1">T1107</f>
        <v>0</v>
      </c>
      <c r="AE1107" s="1" t="b">
        <f ca="1">AND(W1107=INDEX(INDIRECT(U1107),1),LEN(X1106)=0)</f>
        <v>0</v>
      </c>
      <c r="AL1107" s="1352"/>
      <c r="AM1107" s="1352"/>
      <c r="AN1107" s="1352"/>
      <c r="AO1107" s="1352"/>
      <c r="AP1107" s="1352" t="str">
        <f>SUBSTITUTE(SUBSTITUTE(SUBSTITUTE("vch"&amp;$B1107&amp;$C1107&amp;$D1107&amp;$E1107&amp;$F1107,".","_"),"(","_"),")","")</f>
        <v>vch703_3_0_1</v>
      </c>
      <c r="AQ1107" s="1352" t="str">
        <f>IF(LEN(W1107)=0,"",W1107)</f>
        <v/>
      </c>
      <c r="AR1107" s="1352"/>
      <c r="AS1107" s="1352"/>
    </row>
    <row r="1108" spans="1:45" s="905" customFormat="1" hidden="1" x14ac:dyDescent="0.2">
      <c r="A1108" s="1507">
        <v>7</v>
      </c>
      <c r="B1108" s="1516" t="s">
        <v>4423</v>
      </c>
      <c r="C1108" s="1516"/>
      <c r="D1108" s="1516"/>
      <c r="E1108" s="1516"/>
      <c r="F1108" s="1511"/>
      <c r="G1108" s="1509" t="str">
        <f t="shared" ca="1" si="89"/>
        <v/>
      </c>
      <c r="H1108" s="1510" t="s">
        <v>3197</v>
      </c>
      <c r="I1108" s="589"/>
      <c r="J1108" s="589"/>
      <c r="K1108" s="589"/>
      <c r="L1108" s="1687"/>
      <c r="M1108" s="913"/>
      <c r="N1108" s="129"/>
      <c r="O1108" s="908"/>
      <c r="P1108" s="991"/>
      <c r="Q1108" s="991"/>
      <c r="R1108" s="991"/>
      <c r="S1108" s="991"/>
      <c r="T1108" s="991"/>
      <c r="X1108" s="1600"/>
      <c r="Y1108" s="1874"/>
      <c r="Z1108" s="1600"/>
      <c r="AC1108" s="1150"/>
      <c r="AD1108" s="1150"/>
      <c r="AE1108" s="1150"/>
      <c r="AL1108" s="1352"/>
      <c r="AM1108" s="1352"/>
      <c r="AN1108" s="1352"/>
      <c r="AO1108" s="1352"/>
      <c r="AP1108" s="1352"/>
      <c r="AQ1108" s="1352"/>
      <c r="AR1108" s="1352"/>
      <c r="AS1108" s="1352"/>
    </row>
    <row r="1109" spans="1:45" s="905" customFormat="1" hidden="1" x14ac:dyDescent="0.2">
      <c r="A1109" s="1507">
        <v>7</v>
      </c>
      <c r="B1109" s="1516" t="s">
        <v>4423</v>
      </c>
      <c r="C1109" s="1516"/>
      <c r="D1109" s="1516"/>
      <c r="E1109" s="1516"/>
      <c r="F1109" s="1511"/>
      <c r="G1109" s="1509" t="str">
        <f t="shared" ca="1" si="89"/>
        <v/>
      </c>
      <c r="H1109" s="1510" t="s">
        <v>3197</v>
      </c>
      <c r="I1109" s="589"/>
      <c r="J1109" s="589"/>
      <c r="K1109" s="589"/>
      <c r="L1109" s="1687"/>
      <c r="M1109" s="913"/>
      <c r="N1109" s="129"/>
      <c r="O1109" s="908"/>
      <c r="P1109" s="991"/>
      <c r="Q1109" s="991"/>
      <c r="R1109" s="991"/>
      <c r="S1109" s="991"/>
      <c r="T1109" s="991"/>
      <c r="X1109" s="1600"/>
      <c r="Y1109" s="1874"/>
      <c r="Z1109" s="1600"/>
      <c r="AC1109" s="1150"/>
      <c r="AD1109" s="1150"/>
      <c r="AE1109" s="1150"/>
      <c r="AL1109" s="1352"/>
      <c r="AM1109" s="1352"/>
      <c r="AN1109" s="1352"/>
      <c r="AO1109" s="1352"/>
      <c r="AP1109" s="1352"/>
      <c r="AQ1109" s="1352"/>
      <c r="AR1109" s="1352"/>
      <c r="AS1109" s="1352"/>
    </row>
    <row r="1110" spans="1:45" s="905" customFormat="1" hidden="1" x14ac:dyDescent="0.2">
      <c r="A1110" s="1507">
        <v>7</v>
      </c>
      <c r="B1110" s="1516" t="s">
        <v>4423</v>
      </c>
      <c r="C1110" s="1516"/>
      <c r="D1110" s="1516"/>
      <c r="E1110" s="1516"/>
      <c r="F1110" s="1511"/>
      <c r="G1110" s="1509" t="str">
        <f t="shared" ca="1" si="89"/>
        <v/>
      </c>
      <c r="H1110" s="1510" t="s">
        <v>3197</v>
      </c>
      <c r="I1110" s="589"/>
      <c r="J1110" s="589"/>
      <c r="K1110" s="589"/>
      <c r="L1110" s="1687"/>
      <c r="M1110" s="913"/>
      <c r="N1110" s="129"/>
      <c r="O1110" s="908"/>
      <c r="P1110" s="991"/>
      <c r="Q1110" s="991"/>
      <c r="R1110" s="991"/>
      <c r="S1110" s="991"/>
      <c r="T1110" s="991"/>
      <c r="X1110" s="1600"/>
      <c r="Y1110" s="1874"/>
      <c r="Z1110" s="1600"/>
      <c r="AC1110" s="1150"/>
      <c r="AD1110" s="1150"/>
      <c r="AE1110" s="1150"/>
      <c r="AL1110" s="1352"/>
      <c r="AM1110" s="1352"/>
      <c r="AN1110" s="1352"/>
      <c r="AO1110" s="1352"/>
      <c r="AP1110" s="1352"/>
      <c r="AQ1110" s="1352"/>
      <c r="AR1110" s="1352"/>
      <c r="AS1110" s="1352"/>
    </row>
    <row r="1111" spans="1:45" s="905" customFormat="1" hidden="1" x14ac:dyDescent="0.2">
      <c r="A1111" s="1507">
        <v>7</v>
      </c>
      <c r="B1111" s="1516" t="s">
        <v>4423</v>
      </c>
      <c r="C1111" s="1516"/>
      <c r="D1111" s="1516"/>
      <c r="E1111" s="1516"/>
      <c r="F1111" s="1511"/>
      <c r="G1111" s="1509" t="str">
        <f t="shared" ca="1" si="89"/>
        <v/>
      </c>
      <c r="H1111" s="1510" t="s">
        <v>3197</v>
      </c>
      <c r="I1111" s="589"/>
      <c r="J1111" s="589"/>
      <c r="K1111" s="589"/>
      <c r="L1111" s="1687"/>
      <c r="M1111" s="913"/>
      <c r="N1111" s="129"/>
      <c r="O1111" s="908"/>
      <c r="P1111" s="991"/>
      <c r="Q1111" s="991"/>
      <c r="R1111" s="991"/>
      <c r="S1111" s="991"/>
      <c r="T1111" s="991"/>
      <c r="X1111" s="1600"/>
      <c r="Y1111" s="1874"/>
      <c r="Z1111" s="1600"/>
      <c r="AC1111" s="1150"/>
      <c r="AD1111" s="1150"/>
      <c r="AE1111" s="1150"/>
      <c r="AL1111" s="1352"/>
      <c r="AM1111" s="1352"/>
      <c r="AN1111" s="1352"/>
      <c r="AO1111" s="1352"/>
      <c r="AP1111" s="1352"/>
      <c r="AQ1111" s="1352"/>
      <c r="AR1111" s="1352"/>
      <c r="AS1111" s="1352"/>
    </row>
    <row r="1112" spans="1:45" s="905" customFormat="1" hidden="1" x14ac:dyDescent="0.2">
      <c r="A1112" s="1507">
        <v>7</v>
      </c>
      <c r="B1112" s="1516" t="s">
        <v>4423</v>
      </c>
      <c r="C1112" s="1516" t="s">
        <v>255</v>
      </c>
      <c r="D1112" s="1516"/>
      <c r="E1112" s="1516"/>
      <c r="F1112" s="1511"/>
      <c r="G1112" s="1509" t="str">
        <f t="shared" ca="1" si="89"/>
        <v/>
      </c>
      <c r="H1112" s="1510" t="s">
        <v>3197</v>
      </c>
      <c r="I1112" s="589"/>
      <c r="J1112" s="589"/>
      <c r="K1112" s="589"/>
      <c r="L1112" s="1687"/>
      <c r="M1112" s="913"/>
      <c r="N1112" s="129"/>
      <c r="O1112" s="908"/>
      <c r="P1112" s="991"/>
      <c r="Q1112" s="991"/>
      <c r="R1112" s="991"/>
      <c r="S1112" s="991"/>
      <c r="T1112" s="991"/>
      <c r="W1112" s="905" t="s">
        <v>4850</v>
      </c>
      <c r="X1112" s="1600"/>
      <c r="Y1112" s="1874" t="str">
        <f>IF(LEN('11.700'!X238)=0,"None",'11.700'!X238)</f>
        <v>None</v>
      </c>
      <c r="Z1112" s="1600"/>
      <c r="AC1112" s="1150"/>
      <c r="AD1112" s="1150"/>
      <c r="AE1112" s="1150"/>
      <c r="AL1112" s="1352"/>
      <c r="AM1112" s="1352"/>
      <c r="AN1112" s="1352"/>
      <c r="AO1112" s="1352"/>
      <c r="AP1112" s="1352"/>
      <c r="AQ1112" s="1352"/>
      <c r="AR1112" s="1352" t="str">
        <f>SUBSTITUTE(SUBSTITUTE(SUBSTITUTE("vnt"&amp;$B1112&amp;$C1112&amp;$D1112&amp;$E1112&amp;$F1112,".","_"),"(","_"),")","")</f>
        <v>vnt703_3_0_2</v>
      </c>
      <c r="AS1112" s="1352" t="str">
        <f>IF(LEN(X1112)=0,"",X1112)</f>
        <v/>
      </c>
    </row>
    <row r="1113" spans="1:45" s="905" customFormat="1" hidden="1" x14ac:dyDescent="0.2">
      <c r="A1113" s="1507">
        <v>7</v>
      </c>
      <c r="B1113" s="1516" t="s">
        <v>4423</v>
      </c>
      <c r="C1113" s="1516" t="s">
        <v>255</v>
      </c>
      <c r="D1113" s="1516"/>
      <c r="E1113" s="1516"/>
      <c r="F1113" s="1511"/>
      <c r="G1113" s="1509" t="str">
        <f t="shared" ca="1" si="89"/>
        <v/>
      </c>
      <c r="H1113" s="1510" t="s">
        <v>3197</v>
      </c>
      <c r="I1113" s="589"/>
      <c r="J1113" s="589"/>
      <c r="K1113" s="589"/>
      <c r="L1113" s="1687"/>
      <c r="M1113" s="913"/>
      <c r="N1113" s="129"/>
      <c r="O1113" s="908"/>
      <c r="P1113" s="991" t="b">
        <v>1</v>
      </c>
      <c r="Q1113" s="991" t="b">
        <v>1</v>
      </c>
      <c r="R1113" s="991" t="b">
        <v>0</v>
      </c>
      <c r="S1113" s="991" t="b">
        <f ca="1">S885=2</f>
        <v>0</v>
      </c>
      <c r="T1113" s="991" t="b">
        <f ca="1">AND(NOT(S1113),LEN(W1113)&gt;0)</f>
        <v>0</v>
      </c>
      <c r="U1113" s="905" t="str">
        <f>SUBSTITUTE(SUBSTITUTE(SUBSTITUTE("dd"&amp;B1113&amp;C1113&amp;D1113&amp;E1113&amp;F1113,".","_"),"(","_"),")","")</f>
        <v>dd703_3_0_2</v>
      </c>
      <c r="W1113" s="12"/>
      <c r="X1113" s="1600"/>
      <c r="Y1113" s="1874"/>
      <c r="Z1113" s="1600"/>
      <c r="AC1113" s="1150" t="b">
        <f ca="1">OR(AD1113:AE1113)</f>
        <v>0</v>
      </c>
      <c r="AD1113" s="1150" t="b">
        <f ca="1">T1113</f>
        <v>0</v>
      </c>
      <c r="AE1113" s="1" t="b">
        <f ca="1">AND(W1113=INDEX(INDIRECT(U1113),1),LEN(X1112)=0)</f>
        <v>0</v>
      </c>
      <c r="AL1113" s="1352"/>
      <c r="AM1113" s="1352"/>
      <c r="AN1113" s="1352"/>
      <c r="AO1113" s="1352"/>
      <c r="AP1113" s="1352" t="str">
        <f>SUBSTITUTE(SUBSTITUTE(SUBSTITUTE("vch"&amp;$B1113&amp;$C1113&amp;$D1113&amp;$E1113&amp;$F1113,".","_"),"(","_"),")","")</f>
        <v>vch703_3_0_2</v>
      </c>
      <c r="AQ1113" s="1352" t="str">
        <f>IF(LEN(W1113)=0,"",W1113)</f>
        <v/>
      </c>
      <c r="AR1113" s="1352"/>
      <c r="AS1113" s="1352"/>
    </row>
    <row r="1114" spans="1:45" s="905" customFormat="1" ht="15" hidden="1" customHeight="1" x14ac:dyDescent="0.2">
      <c r="A1114" s="1507">
        <v>7</v>
      </c>
      <c r="B1114" s="1516" t="s">
        <v>4423</v>
      </c>
      <c r="C1114" s="1516"/>
      <c r="D1114" s="1516"/>
      <c r="E1114" s="1516"/>
      <c r="F1114" s="1511"/>
      <c r="G1114" s="1509" t="str">
        <f t="shared" ca="1" si="89"/>
        <v/>
      </c>
      <c r="H1114" s="1510" t="s">
        <v>3197</v>
      </c>
      <c r="I1114" s="589"/>
      <c r="J1114" s="589"/>
      <c r="K1114" s="589"/>
      <c r="L1114" s="917" t="s">
        <v>4100</v>
      </c>
      <c r="M1114" s="913"/>
      <c r="N1114" s="129"/>
      <c r="O1114" s="908"/>
      <c r="P1114" s="991"/>
      <c r="Q1114" s="991"/>
      <c r="R1114" s="991"/>
      <c r="S1114" s="991"/>
      <c r="T1114" s="991"/>
      <c r="X1114" s="1600"/>
      <c r="Y1114" s="1874"/>
      <c r="Z1114" s="1600"/>
      <c r="AL1114" s="1352"/>
      <c r="AM1114" s="1352"/>
      <c r="AN1114" s="1352"/>
      <c r="AO1114" s="1352"/>
      <c r="AP1114" s="1352"/>
      <c r="AQ1114" s="1352"/>
      <c r="AR1114" s="1352"/>
      <c r="AS1114" s="1352"/>
    </row>
    <row r="1115" spans="1:45" s="905" customFormat="1" hidden="1" x14ac:dyDescent="0.2">
      <c r="A1115" s="1507">
        <v>7</v>
      </c>
      <c r="B1115" s="1516" t="s">
        <v>4423</v>
      </c>
      <c r="C1115" s="1516"/>
      <c r="D1115" s="1516"/>
      <c r="E1115" s="1516"/>
      <c r="F1115" s="1511"/>
      <c r="G1115" s="1509" t="str">
        <f t="shared" ca="1" si="89"/>
        <v/>
      </c>
      <c r="H1115" s="1510" t="s">
        <v>3197</v>
      </c>
      <c r="I1115" s="589"/>
      <c r="J1115" s="589"/>
      <c r="K1115" s="589"/>
      <c r="L1115" s="960" t="s">
        <v>4101</v>
      </c>
      <c r="M1115" s="913"/>
      <c r="N1115" s="129"/>
      <c r="O1115" s="908"/>
      <c r="P1115" s="991"/>
      <c r="Q1115" s="991"/>
      <c r="R1115" s="991"/>
      <c r="S1115" s="991"/>
      <c r="T1115" s="991"/>
      <c r="X1115" s="1600"/>
      <c r="Y1115" s="1874"/>
      <c r="Z1115" s="1600"/>
      <c r="AL1115" s="1352"/>
      <c r="AM1115" s="1352"/>
      <c r="AN1115" s="1352"/>
      <c r="AO1115" s="1352"/>
      <c r="AP1115" s="1352"/>
      <c r="AQ1115" s="1352"/>
      <c r="AR1115" s="1352"/>
      <c r="AS1115" s="1352"/>
    </row>
    <row r="1116" spans="1:45" s="905" customFormat="1" hidden="1" x14ac:dyDescent="0.2">
      <c r="A1116" s="1507">
        <v>7</v>
      </c>
      <c r="B1116" s="1516" t="s">
        <v>4423</v>
      </c>
      <c r="C1116" s="1516"/>
      <c r="D1116" s="1516"/>
      <c r="E1116" s="1516"/>
      <c r="F1116" s="1511"/>
      <c r="G1116" s="1509" t="str">
        <f t="shared" ca="1" si="89"/>
        <v/>
      </c>
      <c r="H1116" s="1510" t="s">
        <v>3197</v>
      </c>
      <c r="I1116" s="589"/>
      <c r="J1116" s="589"/>
      <c r="K1116" s="589"/>
      <c r="L1116" s="917" t="s">
        <v>4102</v>
      </c>
      <c r="M1116" s="913"/>
      <c r="N1116" s="129"/>
      <c r="O1116" s="908"/>
      <c r="P1116" s="991"/>
      <c r="Q1116" s="991"/>
      <c r="R1116" s="991"/>
      <c r="S1116" s="991"/>
      <c r="T1116" s="991"/>
      <c r="X1116" s="1600"/>
      <c r="Y1116" s="1874"/>
      <c r="Z1116" s="1600"/>
      <c r="AL1116" s="1352"/>
      <c r="AM1116" s="1352"/>
      <c r="AN1116" s="1352"/>
      <c r="AO1116" s="1352"/>
      <c r="AP1116" s="1352"/>
      <c r="AQ1116" s="1352"/>
      <c r="AR1116" s="1352"/>
      <c r="AS1116" s="1352"/>
    </row>
    <row r="1117" spans="1:45" s="905" customFormat="1" hidden="1" x14ac:dyDescent="0.2">
      <c r="A1117" s="1507">
        <v>7</v>
      </c>
      <c r="B1117" s="1516" t="s">
        <v>4423</v>
      </c>
      <c r="C1117" s="1516"/>
      <c r="D1117" s="1516"/>
      <c r="E1117" s="1516"/>
      <c r="F1117" s="1511"/>
      <c r="G1117" s="1509" t="str">
        <f t="shared" ca="1" si="89"/>
        <v/>
      </c>
      <c r="H1117" s="1510" t="s">
        <v>3197</v>
      </c>
      <c r="I1117" s="589"/>
      <c r="J1117" s="589"/>
      <c r="K1117" s="589"/>
      <c r="L1117" s="917" t="s">
        <v>4103</v>
      </c>
      <c r="M1117" s="913"/>
      <c r="N1117" s="129"/>
      <c r="O1117" s="908"/>
      <c r="P1117" s="991"/>
      <c r="Q1117" s="991"/>
      <c r="R1117" s="991"/>
      <c r="S1117" s="991"/>
      <c r="T1117" s="991"/>
      <c r="X1117" s="1600"/>
      <c r="Y1117" s="1874"/>
      <c r="Z1117" s="1600"/>
      <c r="AL1117" s="1352"/>
      <c r="AM1117" s="1352"/>
      <c r="AN1117" s="1352"/>
      <c r="AO1117" s="1352"/>
      <c r="AP1117" s="1352"/>
      <c r="AQ1117" s="1352"/>
      <c r="AR1117" s="1352"/>
      <c r="AS1117" s="1352"/>
    </row>
    <row r="1118" spans="1:45" s="905" customFormat="1" hidden="1" x14ac:dyDescent="0.2">
      <c r="A1118" s="1507">
        <v>7</v>
      </c>
      <c r="B1118" s="1516" t="s">
        <v>4423</v>
      </c>
      <c r="C1118" s="1516"/>
      <c r="D1118" s="1516"/>
      <c r="E1118" s="1516"/>
      <c r="F1118" s="1511"/>
      <c r="G1118" s="1509" t="str">
        <f t="shared" ca="1" si="89"/>
        <v/>
      </c>
      <c r="H1118" s="1510" t="s">
        <v>3197</v>
      </c>
      <c r="I1118" s="606"/>
      <c r="J1118" s="606"/>
      <c r="K1118" s="606"/>
      <c r="L1118" s="1096" t="s">
        <v>4104</v>
      </c>
      <c r="M1118" s="173"/>
      <c r="N1118" s="173"/>
      <c r="O1118" s="173"/>
      <c r="P1118" s="173"/>
      <c r="Q1118" s="173"/>
      <c r="R1118" s="173"/>
      <c r="S1118" s="173"/>
      <c r="T1118" s="173"/>
      <c r="U1118" s="173"/>
      <c r="X1118" s="1600"/>
      <c r="Y1118" s="1874"/>
      <c r="Z1118" s="1600"/>
      <c r="AL1118" s="1352"/>
      <c r="AM1118" s="1352"/>
      <c r="AN1118" s="1352"/>
      <c r="AO1118" s="1352"/>
      <c r="AP1118" s="1352"/>
      <c r="AQ1118" s="1352"/>
      <c r="AR1118" s="1352"/>
      <c r="AS1118" s="1352"/>
    </row>
    <row r="1119" spans="1:45" s="905" customFormat="1" ht="15" hidden="1" customHeight="1" x14ac:dyDescent="0.2">
      <c r="A1119" s="1507">
        <v>7</v>
      </c>
      <c r="B1119" s="1516" t="s">
        <v>4424</v>
      </c>
      <c r="C1119" s="1516"/>
      <c r="D1119" s="1516"/>
      <c r="E1119" s="1516"/>
      <c r="F1119" s="1511"/>
      <c r="G1119" s="1509" t="str">
        <f ca="1">IF(N1119&gt;0,"P","")</f>
        <v/>
      </c>
      <c r="H1119" s="1510" t="s">
        <v>3197</v>
      </c>
      <c r="I1119" s="608" t="s">
        <v>4105</v>
      </c>
      <c r="J1119" s="608"/>
      <c r="K1119" s="608"/>
      <c r="L1119" s="1686" t="s">
        <v>4106</v>
      </c>
      <c r="M1119" s="1734">
        <v>4</v>
      </c>
      <c r="N1119" s="1637">
        <f ca="1">'11.700'!O245</f>
        <v>0</v>
      </c>
      <c r="O1119" s="1637">
        <f ca="1">M1119*S1119*W1119</f>
        <v>0</v>
      </c>
      <c r="P1119" s="195" t="b">
        <v>1</v>
      </c>
      <c r="Q1119" s="195" t="b">
        <v>1</v>
      </c>
      <c r="R1119" s="195" t="b">
        <v>0</v>
      </c>
      <c r="S1119" s="195" t="b">
        <f ca="1">S885=2</f>
        <v>0</v>
      </c>
      <c r="T1119" s="195" t="b">
        <f ca="1">AND(NOT(S1119),W1119=TRUE)</f>
        <v>0</v>
      </c>
      <c r="U1119" s="195"/>
      <c r="W1119" s="27"/>
      <c r="X1119" s="1600"/>
      <c r="Y1119" s="1874" t="str">
        <f>IF(LEN('11.700'!X245)=0,"None",'11.700'!X245)</f>
        <v>None</v>
      </c>
      <c r="Z1119" s="1600"/>
      <c r="AC1119" s="1150" t="b">
        <f ca="1">OR(AD1119:AE1119)</f>
        <v>0</v>
      </c>
      <c r="AD1119" s="1150" t="b">
        <f ca="1">T1119</f>
        <v>0</v>
      </c>
      <c r="AE1119" s="1150"/>
      <c r="AL1119" s="1352" t="str">
        <f>SUBSTITUTE(SUBSTITUTE(SUBSTITUTE("vpa"&amp;$B1119&amp;$C1119&amp;$D1119&amp;$E1119&amp;$F1119,".","_"),"(","_"),")","")</f>
        <v>vpa703_3_1</v>
      </c>
      <c r="AM1119" s="1352">
        <f>M1119</f>
        <v>4</v>
      </c>
      <c r="AN1119" s="1352" t="str">
        <f>SUBSTITUTE(SUBSTITUTE(SUBSTITUTE("vpc"&amp;$B1119&amp;$C1119&amp;$D1119&amp;$E1119&amp;$F1119,".","_"),"(","_"),")","")</f>
        <v>vpc703_3_1</v>
      </c>
      <c r="AO1119" s="1352">
        <f ca="1">O1119</f>
        <v>0</v>
      </c>
      <c r="AP1119" s="1352" t="str">
        <f>SUBSTITUTE(SUBSTITUTE(SUBSTITUTE("vch"&amp;$B1119&amp;$C1119&amp;$D1119&amp;$E1119&amp;$F1119,".","_"),"(","_"),")","")</f>
        <v>vch703_3_1</v>
      </c>
      <c r="AQ1119" s="1352" t="str">
        <f>IF(LEN(W1119)=0,"",W1119)</f>
        <v/>
      </c>
      <c r="AR1119" s="1352" t="str">
        <f>SUBSTITUTE(SUBSTITUTE(SUBSTITUTE("vnt"&amp;$B1119&amp;$C1119&amp;$D1119&amp;$E1119&amp;$F1119,".","_"),"(","_"),")","")</f>
        <v>vnt703_3_1</v>
      </c>
      <c r="AS1119" s="1352" t="str">
        <f>IF(LEN(X1119)=0,"",X1119)</f>
        <v/>
      </c>
    </row>
    <row r="1120" spans="1:45" s="905" customFormat="1" hidden="1" x14ac:dyDescent="0.2">
      <c r="A1120" s="1507">
        <v>7</v>
      </c>
      <c r="B1120" s="1516" t="s">
        <v>4424</v>
      </c>
      <c r="C1120" s="1516"/>
      <c r="D1120" s="1516"/>
      <c r="E1120" s="1516"/>
      <c r="F1120" s="1511"/>
      <c r="G1120" s="1509" t="str">
        <f ca="1">G1119</f>
        <v/>
      </c>
      <c r="H1120" s="1510" t="s">
        <v>3197</v>
      </c>
      <c r="I1120" s="590"/>
      <c r="J1120" s="590"/>
      <c r="K1120" s="590"/>
      <c r="L1120" s="1687"/>
      <c r="M1120" s="1692"/>
      <c r="N1120" s="1619"/>
      <c r="O1120" s="1619"/>
      <c r="P1120" s="991"/>
      <c r="Q1120" s="991"/>
      <c r="R1120" s="991"/>
      <c r="S1120" s="991"/>
      <c r="T1120" s="991"/>
      <c r="U1120" s="991"/>
      <c r="X1120" s="1600"/>
      <c r="Y1120" s="1874"/>
      <c r="Z1120" s="1600"/>
      <c r="AC1120" s="1150"/>
      <c r="AD1120" s="1150"/>
      <c r="AE1120" s="1150"/>
      <c r="AL1120" s="1352"/>
      <c r="AM1120" s="1352"/>
      <c r="AN1120" s="1352"/>
      <c r="AO1120" s="1352"/>
      <c r="AP1120" s="1352"/>
      <c r="AQ1120" s="1352"/>
      <c r="AR1120" s="1352"/>
      <c r="AS1120" s="1352"/>
    </row>
    <row r="1121" spans="1:45" s="905" customFormat="1" hidden="1" x14ac:dyDescent="0.2">
      <c r="A1121" s="1507">
        <v>7</v>
      </c>
      <c r="B1121" s="1516" t="s">
        <v>4424</v>
      </c>
      <c r="C1121" s="1516"/>
      <c r="D1121" s="1516"/>
      <c r="E1121" s="1516"/>
      <c r="F1121" s="1511"/>
      <c r="G1121" s="1509" t="str">
        <f ca="1">G1120</f>
        <v/>
      </c>
      <c r="H1121" s="1510" t="s">
        <v>3197</v>
      </c>
      <c r="I1121" s="590"/>
      <c r="J1121" s="590"/>
      <c r="K1121" s="590"/>
      <c r="L1121" s="1687"/>
      <c r="M1121" s="1692"/>
      <c r="N1121" s="1619"/>
      <c r="O1121" s="1619"/>
      <c r="P1121" s="991"/>
      <c r="Q1121" s="991"/>
      <c r="R1121" s="991"/>
      <c r="S1121" s="411" t="s">
        <v>4479</v>
      </c>
      <c r="T1121" s="198">
        <f>BF890</f>
        <v>0</v>
      </c>
      <c r="U1121" s="991"/>
      <c r="X1121" s="1600"/>
      <c r="Y1121" s="1874"/>
      <c r="Z1121" s="1600"/>
      <c r="AC1121" s="1150"/>
      <c r="AD1121" s="1150"/>
      <c r="AE1121" s="1150"/>
      <c r="AL1121" s="1352"/>
      <c r="AM1121" s="1352"/>
      <c r="AN1121" s="1352"/>
      <c r="AO1121" s="1352"/>
      <c r="AP1121" s="1352"/>
      <c r="AQ1121" s="1352"/>
      <c r="AR1121" s="1352"/>
      <c r="AS1121" s="1352"/>
    </row>
    <row r="1122" spans="1:45" s="905" customFormat="1" hidden="1" x14ac:dyDescent="0.2">
      <c r="A1122" s="1507">
        <v>7</v>
      </c>
      <c r="B1122" s="1516" t="s">
        <v>4424</v>
      </c>
      <c r="C1122" s="1516"/>
      <c r="D1122" s="1516"/>
      <c r="E1122" s="1516"/>
      <c r="F1122" s="1511"/>
      <c r="G1122" s="1509" t="str">
        <f ca="1">G1121</f>
        <v/>
      </c>
      <c r="H1122" s="1510" t="s">
        <v>3197</v>
      </c>
      <c r="I1122" s="590"/>
      <c r="J1122" s="590"/>
      <c r="K1122" s="590"/>
      <c r="L1122" s="1687"/>
      <c r="M1122" s="1692"/>
      <c r="N1122" s="1619"/>
      <c r="O1122" s="1619"/>
      <c r="P1122" s="991"/>
      <c r="Q1122" s="991"/>
      <c r="R1122" s="198"/>
      <c r="S1122" s="411" t="s">
        <v>4480</v>
      </c>
      <c r="T1122" s="198" t="b">
        <f>AND(AY899&gt;4,AY893=INDEX(ddSingleOrMulti,2))</f>
        <v>0</v>
      </c>
      <c r="U1122" s="991"/>
      <c r="X1122" s="1600"/>
      <c r="Y1122" s="1874"/>
      <c r="Z1122" s="1600"/>
      <c r="AC1122" s="1150"/>
      <c r="AD1122" s="1150"/>
      <c r="AE1122" s="1150"/>
      <c r="AL1122" s="1352"/>
      <c r="AM1122" s="1352"/>
      <c r="AN1122" s="1352"/>
      <c r="AO1122" s="1352"/>
      <c r="AP1122" s="1352"/>
      <c r="AQ1122" s="1352"/>
      <c r="AR1122" s="1352"/>
      <c r="AS1122" s="1352"/>
    </row>
    <row r="1123" spans="1:45" s="905" customFormat="1" hidden="1" x14ac:dyDescent="0.2">
      <c r="A1123" s="1507">
        <v>7</v>
      </c>
      <c r="B1123" s="1516" t="s">
        <v>4424</v>
      </c>
      <c r="C1123" s="1516"/>
      <c r="D1123" s="1516"/>
      <c r="E1123" s="1516"/>
      <c r="F1123" s="1511"/>
      <c r="G1123" s="1509" t="str">
        <f ca="1">G1122</f>
        <v/>
      </c>
      <c r="H1123" s="1510" t="s">
        <v>3197</v>
      </c>
      <c r="I1123" s="606"/>
      <c r="J1123" s="606"/>
      <c r="K1123" s="606"/>
      <c r="L1123" s="1688"/>
      <c r="M1123" s="1711"/>
      <c r="N1123" s="1620"/>
      <c r="O1123" s="1620"/>
      <c r="P1123" s="173"/>
      <c r="Q1123" s="173"/>
      <c r="R1123" s="173"/>
      <c r="S1123" s="173"/>
      <c r="T1123" s="173"/>
      <c r="U1123" s="173"/>
      <c r="X1123" s="1600"/>
      <c r="Y1123" s="1874"/>
      <c r="Z1123" s="1600"/>
      <c r="AC1123" s="1150"/>
      <c r="AD1123" s="1150"/>
      <c r="AE1123" s="1150"/>
      <c r="AL1123" s="1352"/>
      <c r="AM1123" s="1352"/>
      <c r="AN1123" s="1352"/>
      <c r="AO1123" s="1352"/>
      <c r="AP1123" s="1352"/>
      <c r="AQ1123" s="1352"/>
      <c r="AR1123" s="1352"/>
      <c r="AS1123" s="1352"/>
    </row>
    <row r="1124" spans="1:45" s="905" customFormat="1" hidden="1" x14ac:dyDescent="0.2">
      <c r="A1124" s="1507">
        <v>7</v>
      </c>
      <c r="B1124" s="1516" t="s">
        <v>4425</v>
      </c>
      <c r="C1124" s="1516"/>
      <c r="D1124" s="1516"/>
      <c r="E1124" s="1516"/>
      <c r="F1124" s="1511"/>
      <c r="G1124" s="1513" t="str">
        <f ca="1">IF(COUNTIF(G1125:G1139,"P")&gt;0,"P","")</f>
        <v/>
      </c>
      <c r="H1124" s="1510" t="s">
        <v>3197</v>
      </c>
      <c r="I1124" s="589" t="s">
        <v>4107</v>
      </c>
      <c r="J1124" s="589"/>
      <c r="K1124" s="589"/>
      <c r="L1124" s="946" t="s">
        <v>4108</v>
      </c>
      <c r="M1124" s="991"/>
      <c r="N1124" s="991"/>
      <c r="O1124" s="991"/>
      <c r="P1124" s="991"/>
      <c r="Q1124" s="991"/>
      <c r="R1124" s="991"/>
      <c r="S1124" s="991"/>
      <c r="T1124" s="991"/>
      <c r="Z1124" s="1122"/>
      <c r="AC1124" s="1150"/>
      <c r="AD1124" s="1150"/>
      <c r="AE1124" s="1150"/>
      <c r="AL1124" s="1352"/>
      <c r="AM1124" s="1352"/>
      <c r="AN1124" s="1352"/>
      <c r="AO1124" s="1352"/>
      <c r="AP1124" s="1352"/>
      <c r="AQ1124" s="1352"/>
      <c r="AR1124" s="1352"/>
      <c r="AS1124" s="1352"/>
    </row>
    <row r="1125" spans="1:45" s="905" customFormat="1" hidden="1" x14ac:dyDescent="0.2">
      <c r="A1125" s="1507">
        <v>7</v>
      </c>
      <c r="B1125" s="1516" t="s">
        <v>4425</v>
      </c>
      <c r="C1125" s="1516" t="s">
        <v>254</v>
      </c>
      <c r="D1125" s="1516"/>
      <c r="E1125" s="1516"/>
      <c r="F1125" s="1511"/>
      <c r="G1125" s="1509" t="str">
        <f ca="1">IF(N1125&gt;0,"P","")</f>
        <v/>
      </c>
      <c r="H1125" s="1510" t="s">
        <v>3197</v>
      </c>
      <c r="I1125" s="589"/>
      <c r="J1125" s="589" t="s">
        <v>254</v>
      </c>
      <c r="K1125" s="589"/>
      <c r="L1125" s="917" t="s">
        <v>4405</v>
      </c>
      <c r="M1125" s="913"/>
      <c r="N1125" s="1125">
        <f ca="1">'11.700'!O251</f>
        <v>0</v>
      </c>
      <c r="O1125" s="908">
        <f ca="1">IFERROR(INDEX(M1126:M1130,MATCH(W1126,{0.9,0.92,0.94,0.96,0.98},1)),0)*S1126</f>
        <v>0</v>
      </c>
      <c r="P1125" s="991"/>
      <c r="Q1125" s="991"/>
      <c r="R1125" s="991"/>
      <c r="S1125" s="991"/>
      <c r="T1125" s="991"/>
      <c r="W1125" s="905" t="s">
        <v>4495</v>
      </c>
      <c r="X1125" s="1600"/>
      <c r="Y1125" s="1874" t="str">
        <f>IF(LEN('11.700'!X251)=0,"None",'11.700'!X251)</f>
        <v>None</v>
      </c>
      <c r="Z1125" s="1600"/>
      <c r="AC1125" s="1150"/>
      <c r="AD1125" s="1150"/>
      <c r="AE1125" s="1150"/>
      <c r="AL1125" s="1352"/>
      <c r="AM1125" s="1352"/>
      <c r="AN1125" s="1352" t="str">
        <f>SUBSTITUTE(SUBSTITUTE(SUBSTITUTE("vpc"&amp;$B1125&amp;$C1125&amp;$D1125&amp;$E1125&amp;$F1125,".","_"),"(","_"),")","")</f>
        <v>vpc703_3_2_1</v>
      </c>
      <c r="AO1125" s="1352">
        <f ca="1">O1125</f>
        <v>0</v>
      </c>
      <c r="AP1125" s="1352"/>
      <c r="AQ1125" s="1352"/>
      <c r="AR1125" s="1352" t="str">
        <f>SUBSTITUTE(SUBSTITUTE(SUBSTITUTE("vnt"&amp;$B1125&amp;$C1125&amp;$D1125&amp;$E1125&amp;$F1125,".","_"),"(","_"),")","")</f>
        <v>vnt703_3_2_1</v>
      </c>
      <c r="AS1125" s="1352" t="str">
        <f>IF(LEN(X1125)=0,"",X1125)</f>
        <v/>
      </c>
    </row>
    <row r="1126" spans="1:45" s="905" customFormat="1" hidden="1" x14ac:dyDescent="0.2">
      <c r="A1126" s="1507">
        <v>7</v>
      </c>
      <c r="B1126" s="1516" t="s">
        <v>4425</v>
      </c>
      <c r="C1126" s="1516" t="s">
        <v>254</v>
      </c>
      <c r="D1126" s="1516" t="s">
        <v>3921</v>
      </c>
      <c r="E1126" s="1516"/>
      <c r="F1126" s="1511"/>
      <c r="G1126" s="1509" t="str">
        <f ca="1">G1125</f>
        <v/>
      </c>
      <c r="H1126" s="1510" t="s">
        <v>3197</v>
      </c>
      <c r="I1126" s="589"/>
      <c r="J1126" s="589"/>
      <c r="K1126" s="589"/>
      <c r="L1126" s="917" t="s">
        <v>4109</v>
      </c>
      <c r="M1126" s="913">
        <f>IF(T1122,IFERROR(INDEX({0,4,4,8,8,10,11,13},T1121),0),IFERROR(INDEX({0,2,3,6,6,9,10,12},T1121),0))</f>
        <v>0</v>
      </c>
      <c r="N1126" s="129"/>
      <c r="O1126" s="908"/>
      <c r="P1126" s="991" t="b">
        <v>1</v>
      </c>
      <c r="Q1126" s="991" t="b">
        <v>1</v>
      </c>
      <c r="R1126" s="991" t="b">
        <v>0</v>
      </c>
      <c r="S1126" s="991" t="b">
        <f ca="1">AND(S885=2,LEN(W1132)=0,LEN(W1135)=0,LEN(W1140)=0,LEN(W1146)=0,LEN(W1151)=0,LEN(W1153)=0,NOT(W1165=TRUE),LEN(W1170)=0)</f>
        <v>0</v>
      </c>
      <c r="T1126" s="991" t="b">
        <f ca="1">AND(NOT(S1126),LEN(W1126)&gt;0)</f>
        <v>0</v>
      </c>
      <c r="W1126" s="413"/>
      <c r="X1126" s="1600"/>
      <c r="Y1126" s="1874"/>
      <c r="Z1126" s="1600"/>
      <c r="AC1126" s="1150" t="b">
        <f ca="1">OR(AD1126:AE1126)</f>
        <v>0</v>
      </c>
      <c r="AD1126" s="1150" t="b">
        <f ca="1">T1126</f>
        <v>0</v>
      </c>
      <c r="AE1126" s="1150"/>
      <c r="AL1126" s="1352" t="str">
        <f>SUBSTITUTE(SUBSTITUTE(SUBSTITUTE("vpa"&amp;$B1126&amp;$C1126&amp;$D1126&amp;$E1126&amp;$F1126,".","_"),"(","_"),")","")</f>
        <v>vpa703_3_2_1_1</v>
      </c>
      <c r="AM1126" s="1352">
        <f>M1126</f>
        <v>0</v>
      </c>
      <c r="AN1126" s="1352"/>
      <c r="AO1126" s="1352"/>
      <c r="AP1126" s="1352" t="str">
        <f>SUBSTITUTE(SUBSTITUTE(SUBSTITUTE("vch"&amp;$B1126&amp;$C1126&amp;$D1126&amp;$E1126&amp;$F1126,".","_"),"(","_"),")","")</f>
        <v>vch703_3_2_1_1</v>
      </c>
      <c r="AQ1126" s="1352" t="str">
        <f>IF(LEN(W1126)=0,"",W1126)</f>
        <v/>
      </c>
      <c r="AR1126" s="1352"/>
      <c r="AS1126" s="1352"/>
    </row>
    <row r="1127" spans="1:45" s="905" customFormat="1" hidden="1" x14ac:dyDescent="0.2">
      <c r="A1127" s="1507">
        <v>7</v>
      </c>
      <c r="B1127" s="1516" t="s">
        <v>4425</v>
      </c>
      <c r="C1127" s="1516" t="s">
        <v>254</v>
      </c>
      <c r="D1127" s="1516" t="s">
        <v>3922</v>
      </c>
      <c r="E1127" s="1516"/>
      <c r="F1127" s="1511"/>
      <c r="G1127" s="1509" t="str">
        <f ca="1">G1126</f>
        <v/>
      </c>
      <c r="H1127" s="1510" t="s">
        <v>3197</v>
      </c>
      <c r="I1127" s="589"/>
      <c r="J1127" s="589"/>
      <c r="K1127" s="589"/>
      <c r="L1127" s="917" t="s">
        <v>4110</v>
      </c>
      <c r="M1127" s="913">
        <f>IF(T1122,IFERROR(INDEX({0,4,4,9,10,11,12,14},T1121),0),IFERROR(INDEX({0,2,4,7,8,10,12,14},T1121),0))</f>
        <v>0</v>
      </c>
      <c r="N1127" s="129"/>
      <c r="O1127" s="908"/>
      <c r="P1127" s="991"/>
      <c r="Q1127" s="991"/>
      <c r="R1127" s="991"/>
      <c r="S1127" s="991"/>
      <c r="T1127" s="991"/>
      <c r="X1127" s="1600"/>
      <c r="Y1127" s="1874"/>
      <c r="Z1127" s="1600"/>
      <c r="AC1127" s="1150"/>
      <c r="AD1127" s="1150"/>
      <c r="AE1127" s="1150"/>
      <c r="AL1127" s="1352" t="str">
        <f>SUBSTITUTE(SUBSTITUTE(SUBSTITUTE("vpa"&amp;$B1127&amp;$C1127&amp;$D1127&amp;$E1127&amp;$F1127,".","_"),"(","_"),")","")</f>
        <v>vpa703_3_2_1_2</v>
      </c>
      <c r="AM1127" s="1352">
        <f>M1127</f>
        <v>0</v>
      </c>
      <c r="AN1127" s="1352"/>
      <c r="AO1127" s="1352"/>
      <c r="AP1127" s="1352"/>
      <c r="AQ1127" s="1352"/>
      <c r="AR1127" s="1352"/>
      <c r="AS1127" s="1352"/>
    </row>
    <row r="1128" spans="1:45" s="905" customFormat="1" hidden="1" x14ac:dyDescent="0.2">
      <c r="A1128" s="1507">
        <v>7</v>
      </c>
      <c r="B1128" s="1516" t="s">
        <v>4425</v>
      </c>
      <c r="C1128" s="1516" t="s">
        <v>254</v>
      </c>
      <c r="D1128" s="1516" t="s">
        <v>3923</v>
      </c>
      <c r="E1128" s="1516"/>
      <c r="F1128" s="1511"/>
      <c r="G1128" s="1509" t="str">
        <f ca="1">G1127</f>
        <v/>
      </c>
      <c r="H1128" s="1510" t="s">
        <v>3197</v>
      </c>
      <c r="I1128" s="589"/>
      <c r="J1128" s="589"/>
      <c r="K1128" s="589"/>
      <c r="L1128" s="917" t="s">
        <v>4111</v>
      </c>
      <c r="M1128" s="913">
        <f>IF(T1122,IFERROR(INDEX({0,5,5,10,11,12,14,16},T1121),0),IFERROR(INDEX({0,3,4,9,9,12,14,16},T1121),0))</f>
        <v>0</v>
      </c>
      <c r="N1128" s="129"/>
      <c r="O1128" s="908"/>
      <c r="P1128" s="991"/>
      <c r="Q1128" s="991"/>
      <c r="R1128" s="991"/>
      <c r="S1128" s="991"/>
      <c r="T1128" s="991"/>
      <c r="X1128" s="1600"/>
      <c r="Y1128" s="1874"/>
      <c r="Z1128" s="1600"/>
      <c r="AC1128" s="1150"/>
      <c r="AD1128" s="1150"/>
      <c r="AE1128" s="1150"/>
      <c r="AL1128" s="1352" t="str">
        <f>SUBSTITUTE(SUBSTITUTE(SUBSTITUTE("vpa"&amp;$B1128&amp;$C1128&amp;$D1128&amp;$E1128&amp;$F1128,".","_"),"(","_"),")","")</f>
        <v>vpa703_3_2_1_3</v>
      </c>
      <c r="AM1128" s="1352">
        <f>M1128</f>
        <v>0</v>
      </c>
      <c r="AN1128" s="1352"/>
      <c r="AO1128" s="1352"/>
      <c r="AP1128" s="1352"/>
      <c r="AQ1128" s="1352"/>
      <c r="AR1128" s="1352"/>
      <c r="AS1128" s="1352"/>
    </row>
    <row r="1129" spans="1:45" s="905" customFormat="1" hidden="1" x14ac:dyDescent="0.2">
      <c r="A1129" s="1507">
        <v>7</v>
      </c>
      <c r="B1129" s="1516" t="s">
        <v>4425</v>
      </c>
      <c r="C1129" s="1516" t="s">
        <v>254</v>
      </c>
      <c r="D1129" s="1516" t="s">
        <v>3924</v>
      </c>
      <c r="E1129" s="1516"/>
      <c r="F1129" s="1511"/>
      <c r="G1129" s="1509" t="str">
        <f ca="1">G1128</f>
        <v/>
      </c>
      <c r="H1129" s="1510" t="s">
        <v>3197</v>
      </c>
      <c r="I1129" s="589"/>
      <c r="J1129" s="589"/>
      <c r="K1129" s="589"/>
      <c r="L1129" s="917" t="s">
        <v>4112</v>
      </c>
      <c r="M1129" s="913">
        <f>IF(T1122,IFERROR(INDEX({0,5,5,12,12,13,15,17},T1121),0),IFERROR(INDEX({1,3,5,10,10,14,16,19},T1121),0))</f>
        <v>1</v>
      </c>
      <c r="N1129" s="129"/>
      <c r="O1129" s="908"/>
      <c r="P1129" s="991"/>
      <c r="Q1129" s="991"/>
      <c r="R1129" s="991"/>
      <c r="S1129" s="991"/>
      <c r="T1129" s="991"/>
      <c r="X1129" s="1600"/>
      <c r="Y1129" s="1874"/>
      <c r="Z1129" s="1600"/>
      <c r="AC1129" s="1150"/>
      <c r="AD1129" s="1150"/>
      <c r="AE1129" s="1150"/>
      <c r="AL1129" s="1352" t="str">
        <f>SUBSTITUTE(SUBSTITUTE(SUBSTITUTE("vpa"&amp;$B1129&amp;$C1129&amp;$D1129&amp;$E1129&amp;$F1129,".","_"),"(","_"),")","")</f>
        <v>vpa703_3_2_1_4</v>
      </c>
      <c r="AM1129" s="1352">
        <f>M1129</f>
        <v>1</v>
      </c>
      <c r="AN1129" s="1352"/>
      <c r="AO1129" s="1352"/>
      <c r="AP1129" s="1352"/>
      <c r="AQ1129" s="1352"/>
      <c r="AR1129" s="1352"/>
      <c r="AS1129" s="1352"/>
    </row>
    <row r="1130" spans="1:45" s="905" customFormat="1" hidden="1" x14ac:dyDescent="0.2">
      <c r="A1130" s="1507">
        <v>7</v>
      </c>
      <c r="B1130" s="1516" t="s">
        <v>4425</v>
      </c>
      <c r="C1130" s="1516" t="s">
        <v>254</v>
      </c>
      <c r="D1130" s="1516" t="s">
        <v>3925</v>
      </c>
      <c r="E1130" s="1516"/>
      <c r="F1130" s="1511"/>
      <c r="G1130" s="1509" t="str">
        <f ca="1">G1129</f>
        <v/>
      </c>
      <c r="H1130" s="1510" t="s">
        <v>3197</v>
      </c>
      <c r="I1130" s="589"/>
      <c r="J1130" s="606"/>
      <c r="K1130" s="606"/>
      <c r="L1130" s="923" t="s">
        <v>4113</v>
      </c>
      <c r="M1130" s="937">
        <f>IF(T1122,IFERROR(INDEX({0,6,6,13,13,14,16,18},T1121),0),IFERROR(INDEX({1,3,6,11,12,16,18,21},T1121),0))</f>
        <v>1</v>
      </c>
      <c r="N1130" s="129"/>
      <c r="O1130" s="908"/>
      <c r="P1130" s="991"/>
      <c r="Q1130" s="991"/>
      <c r="R1130" s="991"/>
      <c r="S1130" s="991"/>
      <c r="T1130" s="991"/>
      <c r="X1130" s="1600"/>
      <c r="Y1130" s="1874"/>
      <c r="Z1130" s="1600"/>
      <c r="AC1130" s="1150"/>
      <c r="AD1130" s="1150"/>
      <c r="AE1130" s="1150"/>
      <c r="AL1130" s="1352" t="str">
        <f>SUBSTITUTE(SUBSTITUTE(SUBSTITUTE("vpa"&amp;$B1130&amp;$C1130&amp;$D1130&amp;$E1130&amp;$F1130,".","_"),"(","_"),")","")</f>
        <v>vpa703_3_2_1_5</v>
      </c>
      <c r="AM1130" s="1352">
        <f>M1130</f>
        <v>1</v>
      </c>
      <c r="AN1130" s="1352"/>
      <c r="AO1130" s="1352"/>
      <c r="AP1130" s="1352"/>
      <c r="AQ1130" s="1352"/>
      <c r="AR1130" s="1352"/>
      <c r="AS1130" s="1352"/>
    </row>
    <row r="1131" spans="1:45" s="905" customFormat="1" hidden="1" x14ac:dyDescent="0.2">
      <c r="A1131" s="1507">
        <v>7</v>
      </c>
      <c r="B1131" s="1516" t="s">
        <v>4425</v>
      </c>
      <c r="C1131" s="1516" t="s">
        <v>255</v>
      </c>
      <c r="D1131" s="1516"/>
      <c r="E1131" s="1516"/>
      <c r="F1131" s="1511"/>
      <c r="G1131" s="1509" t="str">
        <f ca="1">IF(N1131&gt;0,"P","")</f>
        <v/>
      </c>
      <c r="H1131" s="1510" t="s">
        <v>3197</v>
      </c>
      <c r="I1131" s="589"/>
      <c r="J1131" s="589" t="s">
        <v>255</v>
      </c>
      <c r="K1131" s="589"/>
      <c r="L1131" s="917" t="s">
        <v>4406</v>
      </c>
      <c r="M1131" s="913"/>
      <c r="N1131" s="1125">
        <f ca="1">'11.700'!O257</f>
        <v>0</v>
      </c>
      <c r="O1131" s="908">
        <f ca="1">IFERROR(INDEX(M1132:M1133,MATCH(W1132,{0.85,0.9},1)),0)*S1132</f>
        <v>0</v>
      </c>
      <c r="P1131" s="991"/>
      <c r="Q1131" s="991"/>
      <c r="R1131" s="991"/>
      <c r="S1131" s="991"/>
      <c r="T1131" s="991"/>
      <c r="W1131" s="905" t="s">
        <v>4495</v>
      </c>
      <c r="X1131" s="1600"/>
      <c r="Y1131" s="1874" t="str">
        <f>IF(LEN('11.700'!X257)=0,"None",'11.700'!X257)</f>
        <v>None</v>
      </c>
      <c r="Z1131" s="1600"/>
      <c r="AC1131" s="1150"/>
      <c r="AD1131" s="1150"/>
      <c r="AE1131" s="1150"/>
      <c r="AL1131" s="1352"/>
      <c r="AM1131" s="1352"/>
      <c r="AN1131" s="1352" t="str">
        <f>SUBSTITUTE(SUBSTITUTE(SUBSTITUTE("vpc"&amp;$B1131&amp;$C1131&amp;$D1131&amp;$E1131&amp;$F1131,".","_"),"(","_"),")","")</f>
        <v>vpc703_3_2_2</v>
      </c>
      <c r="AO1131" s="1352">
        <f ca="1">O1131</f>
        <v>0</v>
      </c>
      <c r="AP1131" s="1352"/>
      <c r="AQ1131" s="1352"/>
      <c r="AR1131" s="1352" t="str">
        <f>SUBSTITUTE(SUBSTITUTE(SUBSTITUTE("vnt"&amp;$B1131&amp;$C1131&amp;$D1131&amp;$E1131&amp;$F1131,".","_"),"(","_"),")","")</f>
        <v>vnt703_3_2_2</v>
      </c>
      <c r="AS1131" s="1352" t="str">
        <f>IF(LEN(X1131)=0,"",X1131)</f>
        <v/>
      </c>
    </row>
    <row r="1132" spans="1:45" s="905" customFormat="1" hidden="1" x14ac:dyDescent="0.2">
      <c r="A1132" s="1507">
        <v>7</v>
      </c>
      <c r="B1132" s="1516" t="s">
        <v>4425</v>
      </c>
      <c r="C1132" s="1516" t="s">
        <v>255</v>
      </c>
      <c r="D1132" s="1516" t="s">
        <v>3921</v>
      </c>
      <c r="E1132" s="1516"/>
      <c r="F1132" s="1511"/>
      <c r="G1132" s="1509" t="str">
        <f ca="1">G1131</f>
        <v/>
      </c>
      <c r="H1132" s="1510" t="s">
        <v>3197</v>
      </c>
      <c r="I1132" s="589"/>
      <c r="J1132" s="589"/>
      <c r="K1132" s="589"/>
      <c r="L1132" s="917" t="s">
        <v>4114</v>
      </c>
      <c r="M1132" s="913">
        <f>IFERROR(INDEX({0,1,2,3,3,4,5,6},T1121),0)</f>
        <v>0</v>
      </c>
      <c r="N1132" s="129"/>
      <c r="O1132" s="908"/>
      <c r="P1132" s="991" t="b">
        <v>1</v>
      </c>
      <c r="Q1132" s="991" t="b">
        <v>1</v>
      </c>
      <c r="R1132" s="991" t="b">
        <v>0</v>
      </c>
      <c r="S1132" s="991" t="b">
        <f ca="1">AND(S885=2,LEN(W1126)=0,LEN(W1135)=0,LEN(W1140)=0,LEN(W1146)=0,LEN(W1151)=0,LEN(W1153)=0,NOT(W1165=TRUE),LEN(W1170)=0)</f>
        <v>0</v>
      </c>
      <c r="T1132" s="991" t="b">
        <f ca="1">AND(NOT(S1132),LEN(W1132)&gt;0)</f>
        <v>0</v>
      </c>
      <c r="W1132" s="413"/>
      <c r="X1132" s="1600"/>
      <c r="Y1132" s="1874"/>
      <c r="Z1132" s="1600"/>
      <c r="AC1132" s="1150" t="b">
        <f ca="1">OR(AD1132:AE1132)</f>
        <v>0</v>
      </c>
      <c r="AD1132" s="1150" t="b">
        <f ca="1">T1132</f>
        <v>0</v>
      </c>
      <c r="AE1132" s="1150"/>
      <c r="AL1132" s="1352" t="str">
        <f>SUBSTITUTE(SUBSTITUTE(SUBSTITUTE("vpa"&amp;$B1132&amp;$C1132&amp;$D1132&amp;$E1132&amp;$F1132,".","_"),"(","_"),")","")</f>
        <v>vpa703_3_2_2_1</v>
      </c>
      <c r="AM1132" s="1352">
        <f>M1132</f>
        <v>0</v>
      </c>
      <c r="AN1132" s="1352"/>
      <c r="AO1132" s="1352"/>
      <c r="AP1132" s="1352" t="str">
        <f>SUBSTITUTE(SUBSTITUTE(SUBSTITUTE("vch"&amp;$B1132&amp;$C1132&amp;$D1132&amp;$E1132&amp;$F1132,".","_"),"(","_"),")","")</f>
        <v>vch703_3_2_2_1</v>
      </c>
      <c r="AQ1132" s="1352" t="str">
        <f>IF(LEN(W1132)=0,"",W1132)</f>
        <v/>
      </c>
      <c r="AR1132" s="1352"/>
      <c r="AS1132" s="1352"/>
    </row>
    <row r="1133" spans="1:45" s="905" customFormat="1" hidden="1" x14ac:dyDescent="0.2">
      <c r="A1133" s="1507">
        <v>7</v>
      </c>
      <c r="B1133" s="1516" t="s">
        <v>4425</v>
      </c>
      <c r="C1133" s="1516" t="s">
        <v>255</v>
      </c>
      <c r="D1133" s="1516" t="s">
        <v>3922</v>
      </c>
      <c r="E1133" s="1516"/>
      <c r="F1133" s="1511"/>
      <c r="G1133" s="1509" t="str">
        <f ca="1">G1132</f>
        <v/>
      </c>
      <c r="H1133" s="1510" t="s">
        <v>3197</v>
      </c>
      <c r="I1133" s="589"/>
      <c r="J1133" s="606"/>
      <c r="K1133" s="606"/>
      <c r="L1133" s="923" t="s">
        <v>4109</v>
      </c>
      <c r="M1133" s="937">
        <f>IFERROR(INDEX({0,2,3,6,6,9,10,12},T1121),0)</f>
        <v>0</v>
      </c>
      <c r="N1133" s="129"/>
      <c r="O1133" s="908"/>
      <c r="P1133" s="991"/>
      <c r="Q1133" s="991"/>
      <c r="R1133" s="991"/>
      <c r="S1133" s="991"/>
      <c r="T1133" s="991"/>
      <c r="X1133" s="1600"/>
      <c r="Y1133" s="1874"/>
      <c r="Z1133" s="1600"/>
      <c r="AC1133" s="1150"/>
      <c r="AD1133" s="1150"/>
      <c r="AE1133" s="1150"/>
      <c r="AL1133" s="1352" t="str">
        <f>SUBSTITUTE(SUBSTITUTE(SUBSTITUTE("vpa"&amp;$B1133&amp;$C1133&amp;$D1133&amp;$E1133&amp;$F1133,".","_"),"(","_"),")","")</f>
        <v>vpa703_3_2_2_2</v>
      </c>
      <c r="AM1133" s="1352">
        <f>M1133</f>
        <v>0</v>
      </c>
      <c r="AN1133" s="1352"/>
      <c r="AO1133" s="1352"/>
      <c r="AP1133" s="1352"/>
      <c r="AQ1133" s="1352"/>
      <c r="AR1133" s="1352"/>
      <c r="AS1133" s="1352"/>
    </row>
    <row r="1134" spans="1:45" s="905" customFormat="1" hidden="1" x14ac:dyDescent="0.2">
      <c r="A1134" s="1507">
        <v>7</v>
      </c>
      <c r="B1134" s="1516" t="s">
        <v>4425</v>
      </c>
      <c r="C1134" s="1516" t="s">
        <v>256</v>
      </c>
      <c r="D1134" s="1516"/>
      <c r="E1134" s="1516"/>
      <c r="F1134" s="1511"/>
      <c r="G1134" s="1509" t="str">
        <f ca="1">IF(N1134&gt;0,"P","")</f>
        <v/>
      </c>
      <c r="H1134" s="1510" t="s">
        <v>3197</v>
      </c>
      <c r="I1134" s="589"/>
      <c r="J1134" s="589" t="s">
        <v>256</v>
      </c>
      <c r="K1134" s="589"/>
      <c r="L1134" s="917" t="s">
        <v>4407</v>
      </c>
      <c r="M1134" s="913"/>
      <c r="N1134" s="1125">
        <f ca="1">'11.700'!O260</f>
        <v>0</v>
      </c>
      <c r="O1134" s="908">
        <f ca="1">IFERROR(INDEX(M1135:M1138,MATCH(W1135,{0.85,0.9,0.94,0.96},1)),0)*S1135</f>
        <v>0</v>
      </c>
      <c r="P1134" s="991"/>
      <c r="Q1134" s="991"/>
      <c r="R1134" s="991"/>
      <c r="S1134" s="991"/>
      <c r="T1134" s="991"/>
      <c r="W1134" s="905" t="s">
        <v>4495</v>
      </c>
      <c r="X1134" s="1600"/>
      <c r="Y1134" s="1874" t="str">
        <f>IF(LEN('11.700'!X260)=0,"None",'11.700'!X260)</f>
        <v>None</v>
      </c>
      <c r="Z1134" s="1600"/>
      <c r="AC1134" s="1150"/>
      <c r="AD1134" s="1150"/>
      <c r="AE1134" s="1150"/>
      <c r="AL1134" s="1352"/>
      <c r="AM1134" s="1352"/>
      <c r="AN1134" s="1352" t="str">
        <f>SUBSTITUTE(SUBSTITUTE(SUBSTITUTE("vpc"&amp;$B1134&amp;$C1134&amp;$D1134&amp;$E1134&amp;$F1134,".","_"),"(","_"),")","")</f>
        <v>vpc703_3_2_3</v>
      </c>
      <c r="AO1134" s="1352">
        <f ca="1">O1134</f>
        <v>0</v>
      </c>
      <c r="AP1134" s="1352"/>
      <c r="AQ1134" s="1352"/>
      <c r="AR1134" s="1352" t="str">
        <f>SUBSTITUTE(SUBSTITUTE(SUBSTITUTE("vnt"&amp;$B1134&amp;$C1134&amp;$D1134&amp;$E1134&amp;$F1134,".","_"),"(","_"),")","")</f>
        <v>vnt703_3_2_3</v>
      </c>
      <c r="AS1134" s="1352" t="str">
        <f>IF(LEN(X1134)=0,"",X1134)</f>
        <v/>
      </c>
    </row>
    <row r="1135" spans="1:45" s="905" customFormat="1" hidden="1" x14ac:dyDescent="0.2">
      <c r="A1135" s="1507">
        <v>7</v>
      </c>
      <c r="B1135" s="1516" t="s">
        <v>4425</v>
      </c>
      <c r="C1135" s="1516" t="s">
        <v>256</v>
      </c>
      <c r="D1135" s="1516" t="s">
        <v>3921</v>
      </c>
      <c r="E1135" s="1516"/>
      <c r="F1135" s="1511"/>
      <c r="G1135" s="1509" t="str">
        <f ca="1">G1134</f>
        <v/>
      </c>
      <c r="H1135" s="1510" t="s">
        <v>3197</v>
      </c>
      <c r="I1135" s="589"/>
      <c r="J1135" s="589"/>
      <c r="K1135" s="589"/>
      <c r="L1135" s="917" t="s">
        <v>4114</v>
      </c>
      <c r="M1135" s="913">
        <f>IFERROR(INDEX({0,1,1,2,3,4,4,4},T1121),0)</f>
        <v>0</v>
      </c>
      <c r="N1135" s="129"/>
      <c r="O1135" s="908"/>
      <c r="P1135" s="991" t="b">
        <v>1</v>
      </c>
      <c r="Q1135" s="991" t="b">
        <v>1</v>
      </c>
      <c r="R1135" s="991" t="b">
        <v>0</v>
      </c>
      <c r="S1135" s="991" t="b">
        <f ca="1">AND(S885=2,LEN(W1126)=0,LEN(W1132)=0,LEN(W1140)=0,LEN(W1146)=0,LEN(W1151)=0,LEN(W1153)=0,NOT(W1165=TRUE),LEN(W1170)=0)</f>
        <v>0</v>
      </c>
      <c r="T1135" s="991" t="b">
        <f ca="1">AND(NOT(S1135),LEN(W1135)&gt;0)</f>
        <v>0</v>
      </c>
      <c r="W1135" s="413"/>
      <c r="X1135" s="1600"/>
      <c r="Y1135" s="1874"/>
      <c r="Z1135" s="1600"/>
      <c r="AC1135" s="1150" t="b">
        <f ca="1">OR(AD1135:AE1135)</f>
        <v>0</v>
      </c>
      <c r="AD1135" s="1150" t="b">
        <f ca="1">T1135</f>
        <v>0</v>
      </c>
      <c r="AE1135" s="1150"/>
      <c r="AL1135" s="1352" t="str">
        <f>SUBSTITUTE(SUBSTITUTE(SUBSTITUTE("vpa"&amp;$B1135&amp;$C1135&amp;$D1135&amp;$E1135&amp;$F1135,".","_"),"(","_"),")","")</f>
        <v>vpa703_3_2_3_1</v>
      </c>
      <c r="AM1135" s="1352">
        <f>M1135</f>
        <v>0</v>
      </c>
      <c r="AN1135" s="1352"/>
      <c r="AO1135" s="1352"/>
      <c r="AP1135" s="1352" t="str">
        <f>SUBSTITUTE(SUBSTITUTE(SUBSTITUTE("vch"&amp;$B1135&amp;$C1135&amp;$D1135&amp;$E1135&amp;$F1135,".","_"),"(","_"),")","")</f>
        <v>vch703_3_2_3_1</v>
      </c>
      <c r="AQ1135" s="1352" t="str">
        <f>IF(LEN(W1135)=0,"",W1135)</f>
        <v/>
      </c>
      <c r="AR1135" s="1352"/>
      <c r="AS1135" s="1352"/>
    </row>
    <row r="1136" spans="1:45" s="905" customFormat="1" hidden="1" x14ac:dyDescent="0.2">
      <c r="A1136" s="1507">
        <v>7</v>
      </c>
      <c r="B1136" s="1516" t="s">
        <v>4425</v>
      </c>
      <c r="C1136" s="1516" t="s">
        <v>256</v>
      </c>
      <c r="D1136" s="1516" t="s">
        <v>3922</v>
      </c>
      <c r="E1136" s="1516"/>
      <c r="F1136" s="1511"/>
      <c r="G1136" s="1509" t="str">
        <f ca="1">G1135</f>
        <v/>
      </c>
      <c r="H1136" s="1510" t="s">
        <v>3197</v>
      </c>
      <c r="I1136" s="589"/>
      <c r="J1136" s="589"/>
      <c r="K1136" s="589"/>
      <c r="L1136" s="917" t="s">
        <v>4109</v>
      </c>
      <c r="M1136" s="913">
        <f>IFERROR(INDEX({0,1,2,4,6,7,8,6},T1121),0)</f>
        <v>0</v>
      </c>
      <c r="N1136" s="129"/>
      <c r="O1136" s="908"/>
      <c r="P1136" s="991"/>
      <c r="Q1136" s="991"/>
      <c r="R1136" s="991"/>
      <c r="S1136" s="991"/>
      <c r="T1136" s="991"/>
      <c r="X1136" s="1600"/>
      <c r="Y1136" s="1874"/>
      <c r="Z1136" s="1600"/>
      <c r="AC1136" s="1150"/>
      <c r="AD1136" s="1150"/>
      <c r="AE1136" s="1150"/>
      <c r="AL1136" s="1352" t="str">
        <f>SUBSTITUTE(SUBSTITUTE(SUBSTITUTE("vpa"&amp;$B1136&amp;$C1136&amp;$D1136&amp;$E1136&amp;$F1136,".","_"),"(","_"),")","")</f>
        <v>vpa703_3_2_3_2</v>
      </c>
      <c r="AM1136" s="1352">
        <f>M1136</f>
        <v>0</v>
      </c>
      <c r="AN1136" s="1352"/>
      <c r="AO1136" s="1352"/>
      <c r="AP1136" s="1352"/>
      <c r="AQ1136" s="1352"/>
      <c r="AR1136" s="1352"/>
      <c r="AS1136" s="1352"/>
    </row>
    <row r="1137" spans="1:45" s="905" customFormat="1" hidden="1" x14ac:dyDescent="0.2">
      <c r="A1137" s="1507">
        <v>7</v>
      </c>
      <c r="B1137" s="1516" t="s">
        <v>4425</v>
      </c>
      <c r="C1137" s="1516" t="s">
        <v>256</v>
      </c>
      <c r="D1137" s="1516" t="s">
        <v>3923</v>
      </c>
      <c r="E1137" s="1516"/>
      <c r="F1137" s="1511"/>
      <c r="G1137" s="1509" t="str">
        <f ca="1">G1136</f>
        <v/>
      </c>
      <c r="H1137" s="1510" t="s">
        <v>3197</v>
      </c>
      <c r="I1137" s="589"/>
      <c r="J1137" s="589"/>
      <c r="K1137" s="589"/>
      <c r="L1137" s="917" t="s">
        <v>4111</v>
      </c>
      <c r="M1137" s="913">
        <f>IFERROR(INDEX({0,2,3,5,8,9,10,8},T1121),0)</f>
        <v>0</v>
      </c>
      <c r="N1137" s="129"/>
      <c r="O1137" s="908"/>
      <c r="P1137" s="991"/>
      <c r="Q1137" s="991"/>
      <c r="R1137" s="991"/>
      <c r="S1137" s="991"/>
      <c r="T1137" s="991"/>
      <c r="X1137" s="1600"/>
      <c r="Y1137" s="1874"/>
      <c r="Z1137" s="1600"/>
      <c r="AC1137" s="1150"/>
      <c r="AD1137" s="1150"/>
      <c r="AE1137" s="1150"/>
      <c r="AL1137" s="1352" t="str">
        <f>SUBSTITUTE(SUBSTITUTE(SUBSTITUTE("vpa"&amp;$B1137&amp;$C1137&amp;$D1137&amp;$E1137&amp;$F1137,".","_"),"(","_"),")","")</f>
        <v>vpa703_3_2_3_3</v>
      </c>
      <c r="AM1137" s="1352">
        <f>M1137</f>
        <v>0</v>
      </c>
      <c r="AN1137" s="1352"/>
      <c r="AO1137" s="1352"/>
      <c r="AP1137" s="1352"/>
      <c r="AQ1137" s="1352"/>
      <c r="AR1137" s="1352"/>
      <c r="AS1137" s="1352"/>
    </row>
    <row r="1138" spans="1:45" s="905" customFormat="1" hidden="1" x14ac:dyDescent="0.2">
      <c r="A1138" s="1507">
        <v>7</v>
      </c>
      <c r="B1138" s="1516" t="s">
        <v>4425</v>
      </c>
      <c r="C1138" s="1516" t="s">
        <v>256</v>
      </c>
      <c r="D1138" s="1516" t="s">
        <v>3924</v>
      </c>
      <c r="E1138" s="1516"/>
      <c r="F1138" s="1511"/>
      <c r="G1138" s="1509" t="str">
        <f ca="1">G1137</f>
        <v/>
      </c>
      <c r="H1138" s="1510" t="s">
        <v>3197</v>
      </c>
      <c r="I1138" s="589"/>
      <c r="J1138" s="606"/>
      <c r="K1138" s="606"/>
      <c r="L1138" s="923" t="s">
        <v>4112</v>
      </c>
      <c r="M1138" s="937">
        <f>IFERROR(INDEX({0,2,4,6,9,11,12,10},T1121),0)</f>
        <v>0</v>
      </c>
      <c r="N1138" s="129"/>
      <c r="O1138" s="908"/>
      <c r="P1138" s="991"/>
      <c r="Q1138" s="991"/>
      <c r="R1138" s="991"/>
      <c r="S1138" s="991"/>
      <c r="T1138" s="991"/>
      <c r="X1138" s="1600"/>
      <c r="Y1138" s="1874"/>
      <c r="Z1138" s="1600"/>
      <c r="AC1138" s="1150"/>
      <c r="AD1138" s="1150"/>
      <c r="AE1138" s="1150"/>
      <c r="AL1138" s="1352" t="str">
        <f>SUBSTITUTE(SUBSTITUTE(SUBSTITUTE("vpa"&amp;$B1138&amp;$C1138&amp;$D1138&amp;$E1138&amp;$F1138,".","_"),"(","_"),")","")</f>
        <v>vpa703_3_2_3_4</v>
      </c>
      <c r="AM1138" s="1352">
        <f>M1138</f>
        <v>0</v>
      </c>
      <c r="AN1138" s="1352"/>
      <c r="AO1138" s="1352"/>
      <c r="AP1138" s="1352"/>
      <c r="AQ1138" s="1352"/>
      <c r="AR1138" s="1352"/>
      <c r="AS1138" s="1352"/>
    </row>
    <row r="1139" spans="1:45" s="905" customFormat="1" hidden="1" x14ac:dyDescent="0.2">
      <c r="A1139" s="1507">
        <v>7</v>
      </c>
      <c r="B1139" s="1516" t="s">
        <v>4425</v>
      </c>
      <c r="C1139" s="1516" t="s">
        <v>259</v>
      </c>
      <c r="D1139" s="1516"/>
      <c r="E1139" s="1516"/>
      <c r="F1139" s="1511"/>
      <c r="G1139" s="1509" t="str">
        <f ca="1">IF(N1139&gt;0,"P","")</f>
        <v/>
      </c>
      <c r="H1139" s="1510" t="s">
        <v>3197</v>
      </c>
      <c r="I1139" s="589"/>
      <c r="J1139" s="589" t="s">
        <v>259</v>
      </c>
      <c r="K1139" s="589"/>
      <c r="L1139" s="917" t="s">
        <v>4408</v>
      </c>
      <c r="M1139" s="913"/>
      <c r="N1139" s="1125">
        <f ca="1">'11.700'!O265</f>
        <v>0</v>
      </c>
      <c r="O1139" s="908">
        <f ca="1">IFERROR(INDEX(M1140:M1141,MATCH(W1140,{0.85,0.9},1)),0)*S1140</f>
        <v>0</v>
      </c>
      <c r="P1139" s="991"/>
      <c r="Q1139" s="991"/>
      <c r="R1139" s="991"/>
      <c r="S1139" s="991"/>
      <c r="T1139" s="991"/>
      <c r="W1139" s="905" t="s">
        <v>4495</v>
      </c>
      <c r="X1139" s="1600"/>
      <c r="Y1139" s="1874" t="str">
        <f>IF(LEN('11.700'!X265)=0,"None",'11.700'!X265)</f>
        <v>None</v>
      </c>
      <c r="Z1139" s="1600"/>
      <c r="AC1139" s="1150"/>
      <c r="AD1139" s="1150"/>
      <c r="AE1139" s="1150"/>
      <c r="AL1139" s="1352"/>
      <c r="AM1139" s="1352"/>
      <c r="AN1139" s="1352" t="str">
        <f>SUBSTITUTE(SUBSTITUTE(SUBSTITUTE("vpc"&amp;$B1139&amp;$C1139&amp;$D1139&amp;$E1139&amp;$F1139,".","_"),"(","_"),")","")</f>
        <v>vpc703_3_2_4</v>
      </c>
      <c r="AO1139" s="1352">
        <f ca="1">O1139</f>
        <v>0</v>
      </c>
      <c r="AP1139" s="1352"/>
      <c r="AQ1139" s="1352"/>
      <c r="AR1139" s="1352" t="str">
        <f>SUBSTITUTE(SUBSTITUTE(SUBSTITUTE("vnt"&amp;$B1139&amp;$C1139&amp;$D1139&amp;$E1139&amp;$F1139,".","_"),"(","_"),")","")</f>
        <v>vnt703_3_2_4</v>
      </c>
      <c r="AS1139" s="1352" t="str">
        <f>IF(LEN(X1139)=0,"",X1139)</f>
        <v/>
      </c>
    </row>
    <row r="1140" spans="1:45" s="905" customFormat="1" hidden="1" x14ac:dyDescent="0.2">
      <c r="A1140" s="1507">
        <v>7</v>
      </c>
      <c r="B1140" s="1516" t="s">
        <v>4425</v>
      </c>
      <c r="C1140" s="1516" t="s">
        <v>259</v>
      </c>
      <c r="D1140" s="1516" t="s">
        <v>3921</v>
      </c>
      <c r="E1140" s="1516"/>
      <c r="F1140" s="1511"/>
      <c r="G1140" s="1509" t="str">
        <f ca="1">G1139</f>
        <v/>
      </c>
      <c r="H1140" s="1510" t="s">
        <v>3197</v>
      </c>
      <c r="I1140" s="589"/>
      <c r="J1140" s="589"/>
      <c r="K1140" s="589"/>
      <c r="L1140" s="917" t="s">
        <v>4114</v>
      </c>
      <c r="M1140" s="913">
        <f>IFERROR(INDEX({0,1,1,3,3,4,4,5},T1121),0)</f>
        <v>0</v>
      </c>
      <c r="N1140" s="129"/>
      <c r="O1140" s="908"/>
      <c r="P1140" s="991" t="b">
        <v>1</v>
      </c>
      <c r="Q1140" s="991" t="b">
        <v>1</v>
      </c>
      <c r="R1140" s="991" t="b">
        <v>0</v>
      </c>
      <c r="S1140" s="991" t="b">
        <f ca="1">AND(S885=2,LEN(W1126)=0,LEN(W1132)=0,LEN(W1135)=0,LEN(W1146)=0,LEN(W1151)=0,LEN(W1153)=0,NOT(W1165=TRUE),LEN(W1170)=0)</f>
        <v>0</v>
      </c>
      <c r="T1140" s="991" t="b">
        <f ca="1">AND(NOT(S1140),LEN(W1140)&gt;0)</f>
        <v>0</v>
      </c>
      <c r="W1140" s="413"/>
      <c r="X1140" s="1600"/>
      <c r="Y1140" s="1874"/>
      <c r="Z1140" s="1600"/>
      <c r="AC1140" s="1150" t="b">
        <f ca="1">OR(AD1140:AE1140)</f>
        <v>0</v>
      </c>
      <c r="AD1140" s="1150" t="b">
        <f ca="1">T1140</f>
        <v>0</v>
      </c>
      <c r="AE1140" s="1150"/>
      <c r="AL1140" s="1352" t="str">
        <f>SUBSTITUTE(SUBSTITUTE(SUBSTITUTE("vpa"&amp;$B1140&amp;$C1140&amp;$D1140&amp;$E1140&amp;$F1140,".","_"),"(","_"),")","")</f>
        <v>vpa703_3_2_4_1</v>
      </c>
      <c r="AM1140" s="1352">
        <f>M1140</f>
        <v>0</v>
      </c>
      <c r="AN1140" s="1352"/>
      <c r="AO1140" s="1352"/>
      <c r="AP1140" s="1352" t="str">
        <f>SUBSTITUTE(SUBSTITUTE(SUBSTITUTE("vch"&amp;$B1140&amp;$C1140&amp;$D1140&amp;$E1140&amp;$F1140,".","_"),"(","_"),")","")</f>
        <v>vch703_3_2_4_1</v>
      </c>
      <c r="AQ1140" s="1352" t="str">
        <f>IF(LEN(W1140)=0,"",W1140)</f>
        <v/>
      </c>
      <c r="AR1140" s="1352"/>
      <c r="AS1140" s="1352"/>
    </row>
    <row r="1141" spans="1:45" s="905" customFormat="1" hidden="1" x14ac:dyDescent="0.2">
      <c r="A1141" s="1507">
        <v>7</v>
      </c>
      <c r="B1141" s="1516" t="s">
        <v>4425</v>
      </c>
      <c r="C1141" s="1516" t="s">
        <v>259</v>
      </c>
      <c r="D1141" s="1516" t="s">
        <v>3922</v>
      </c>
      <c r="E1141" s="1516"/>
      <c r="F1141" s="1511"/>
      <c r="G1141" s="1509" t="str">
        <f ca="1">G1140</f>
        <v/>
      </c>
      <c r="H1141" s="1510" t="s">
        <v>3197</v>
      </c>
      <c r="I1141" s="606"/>
      <c r="J1141" s="606"/>
      <c r="K1141" s="606"/>
      <c r="L1141" s="923" t="s">
        <v>4109</v>
      </c>
      <c r="M1141" s="937">
        <f>IFERROR(INDEX({1,2,3,5,6,7,9,10},T1121),0)</f>
        <v>1</v>
      </c>
      <c r="N1141" s="213"/>
      <c r="O1141" s="909"/>
      <c r="P1141" s="173"/>
      <c r="Q1141" s="173"/>
      <c r="R1141" s="173"/>
      <c r="S1141" s="173"/>
      <c r="T1141" s="173"/>
      <c r="U1141" s="173"/>
      <c r="X1141" s="1600"/>
      <c r="Y1141" s="1874"/>
      <c r="Z1141" s="1600"/>
      <c r="AL1141" s="1352" t="str">
        <f>SUBSTITUTE(SUBSTITUTE(SUBSTITUTE("vpa"&amp;$B1141&amp;$C1141&amp;$D1141&amp;$E1141&amp;$F1141,".","_"),"(","_"),")","")</f>
        <v>vpa703_3_2_4_2</v>
      </c>
      <c r="AM1141" s="1352">
        <f>M1141</f>
        <v>1</v>
      </c>
      <c r="AN1141" s="1352"/>
      <c r="AO1141" s="1352"/>
      <c r="AP1141" s="1352"/>
      <c r="AQ1141" s="1352"/>
      <c r="AR1141" s="1352"/>
      <c r="AS1141" s="1352"/>
    </row>
    <row r="1142" spans="1:45" s="905" customFormat="1" ht="15" hidden="1" customHeight="1" x14ac:dyDescent="0.2">
      <c r="A1142" s="1507">
        <v>7</v>
      </c>
      <c r="B1142" s="1516" t="s">
        <v>4426</v>
      </c>
      <c r="C1142" s="1516"/>
      <c r="D1142" s="1516"/>
      <c r="E1142" s="1516"/>
      <c r="F1142" s="1511"/>
      <c r="G1142" s="1513" t="str">
        <f ca="1">IF(COUNTIF(G1145:G1153,"P")&gt;0,"P","")</f>
        <v/>
      </c>
      <c r="H1142" s="1510" t="s">
        <v>3197</v>
      </c>
      <c r="I1142" s="589" t="s">
        <v>4115</v>
      </c>
      <c r="J1142" s="589"/>
      <c r="K1142" s="589"/>
      <c r="L1142" s="1687" t="s">
        <v>4116</v>
      </c>
      <c r="M1142" s="991"/>
      <c r="N1142" s="991"/>
      <c r="O1142" s="991"/>
      <c r="P1142" s="991"/>
      <c r="Q1142" s="991"/>
      <c r="R1142" s="991"/>
      <c r="S1142" s="991"/>
      <c r="T1142" s="991"/>
      <c r="Z1142" s="1122"/>
      <c r="AL1142" s="1352"/>
      <c r="AM1142" s="1352"/>
      <c r="AN1142" s="1352"/>
      <c r="AO1142" s="1352"/>
      <c r="AP1142" s="1352"/>
      <c r="AQ1142" s="1352"/>
      <c r="AR1142" s="1352"/>
      <c r="AS1142" s="1352"/>
    </row>
    <row r="1143" spans="1:45" s="905" customFormat="1" hidden="1" x14ac:dyDescent="0.2">
      <c r="A1143" s="1507">
        <v>7</v>
      </c>
      <c r="B1143" s="1516" t="s">
        <v>4426</v>
      </c>
      <c r="C1143" s="1516"/>
      <c r="D1143" s="1516"/>
      <c r="E1143" s="1516"/>
      <c r="F1143" s="1511"/>
      <c r="G1143" s="1509" t="str">
        <f ca="1">G1142</f>
        <v/>
      </c>
      <c r="H1143" s="1510" t="s">
        <v>3197</v>
      </c>
      <c r="I1143" s="589"/>
      <c r="J1143" s="589"/>
      <c r="K1143" s="589"/>
      <c r="L1143" s="1687"/>
      <c r="M1143" s="991"/>
      <c r="N1143" s="991"/>
      <c r="O1143" s="991"/>
      <c r="P1143" s="991"/>
      <c r="Q1143" s="991"/>
      <c r="R1143" s="991"/>
      <c r="S1143" s="991"/>
      <c r="T1143" s="991"/>
      <c r="Z1143" s="1122"/>
      <c r="AL1143" s="1352"/>
      <c r="AM1143" s="1352"/>
      <c r="AN1143" s="1352"/>
      <c r="AO1143" s="1352"/>
      <c r="AP1143" s="1352"/>
      <c r="AQ1143" s="1352"/>
      <c r="AR1143" s="1352"/>
      <c r="AS1143" s="1352"/>
    </row>
    <row r="1144" spans="1:45" s="905" customFormat="1" hidden="1" x14ac:dyDescent="0.2">
      <c r="A1144" s="1507">
        <v>7</v>
      </c>
      <c r="B1144" s="1516" t="s">
        <v>4426</v>
      </c>
      <c r="C1144" s="1516"/>
      <c r="D1144" s="1516"/>
      <c r="E1144" s="1516"/>
      <c r="F1144" s="1511"/>
      <c r="G1144" s="1509" t="str">
        <f ca="1">G1143</f>
        <v/>
      </c>
      <c r="H1144" s="1510" t="s">
        <v>3197</v>
      </c>
      <c r="I1144" s="589"/>
      <c r="J1144" s="589"/>
      <c r="K1144" s="589"/>
      <c r="L1144" s="1687"/>
      <c r="M1144" s="991"/>
      <c r="N1144" s="991"/>
      <c r="O1144" s="991"/>
      <c r="P1144" s="991"/>
      <c r="Q1144" s="991"/>
      <c r="R1144" s="991"/>
      <c r="S1144" s="991"/>
      <c r="T1144" s="991"/>
      <c r="Z1144" s="1122"/>
      <c r="AL1144" s="1352"/>
      <c r="AM1144" s="1352"/>
      <c r="AN1144" s="1352"/>
      <c r="AO1144" s="1352"/>
      <c r="AP1144" s="1352"/>
      <c r="AQ1144" s="1352"/>
      <c r="AR1144" s="1352"/>
      <c r="AS1144" s="1352"/>
    </row>
    <row r="1145" spans="1:45" s="905" customFormat="1" hidden="1" x14ac:dyDescent="0.2">
      <c r="A1145" s="1507">
        <v>7</v>
      </c>
      <c r="B1145" s="1516" t="s">
        <v>4426</v>
      </c>
      <c r="C1145" s="1516" t="s">
        <v>254</v>
      </c>
      <c r="D1145" s="1516"/>
      <c r="E1145" s="1516"/>
      <c r="F1145" s="1511"/>
      <c r="G1145" s="1509" t="str">
        <f ca="1">IF(N1145&gt;0,"P","")</f>
        <v/>
      </c>
      <c r="H1145" s="1510" t="s">
        <v>3197</v>
      </c>
      <c r="I1145" s="589"/>
      <c r="J1145" s="589" t="s">
        <v>254</v>
      </c>
      <c r="K1145" s="589"/>
      <c r="L1145" s="917" t="s">
        <v>4117</v>
      </c>
      <c r="M1145" s="913"/>
      <c r="N1145" s="1125">
        <f ca="1">'11.700'!O271</f>
        <v>0</v>
      </c>
      <c r="O1145" s="908">
        <f ca="1">IFERROR(INDEX(M1146:M1150,MATCH(W1146,{8.5,9,9.5,10,12},1)),0)*S1146</f>
        <v>0</v>
      </c>
      <c r="P1145" s="991"/>
      <c r="Q1145" s="991"/>
      <c r="R1145" s="991"/>
      <c r="S1145" s="991"/>
      <c r="T1145" s="991"/>
      <c r="W1145" s="905" t="s">
        <v>4496</v>
      </c>
      <c r="X1145" s="1600"/>
      <c r="Y1145" s="1874" t="str">
        <f>IF(LEN('11.700'!X271)=0,"None",'11.700'!X271)</f>
        <v>None</v>
      </c>
      <c r="Z1145" s="1600"/>
      <c r="AL1145" s="1352"/>
      <c r="AM1145" s="1352"/>
      <c r="AN1145" s="1352" t="str">
        <f>SUBSTITUTE(SUBSTITUTE(SUBSTITUTE("vpc"&amp;$B1145&amp;$C1145&amp;$D1145&amp;$E1145&amp;$F1145,".","_"),"(","_"),")","")</f>
        <v>vpc703_3_3_1</v>
      </c>
      <c r="AO1145" s="1352">
        <f ca="1">O1145</f>
        <v>0</v>
      </c>
      <c r="AP1145" s="1352"/>
      <c r="AQ1145" s="1352"/>
      <c r="AR1145" s="1352" t="str">
        <f>SUBSTITUTE(SUBSTITUTE(SUBSTITUTE("vnt"&amp;$B1145&amp;$C1145&amp;$D1145&amp;$E1145&amp;$F1145,".","_"),"(","_"),")","")</f>
        <v>vnt703_3_3_1</v>
      </c>
      <c r="AS1145" s="1352" t="str">
        <f>IF(LEN(X1145)=0,"",X1145)</f>
        <v/>
      </c>
    </row>
    <row r="1146" spans="1:45" s="905" customFormat="1" hidden="1" x14ac:dyDescent="0.2">
      <c r="A1146" s="1507">
        <v>7</v>
      </c>
      <c r="B1146" s="1516" t="s">
        <v>4426</v>
      </c>
      <c r="C1146" s="1516" t="s">
        <v>254</v>
      </c>
      <c r="D1146" s="1516" t="s">
        <v>254</v>
      </c>
      <c r="E1146" s="1516"/>
      <c r="F1146" s="1511"/>
      <c r="G1146" s="1509" t="str">
        <f ca="1">G1145</f>
        <v/>
      </c>
      <c r="H1146" s="1510" t="s">
        <v>3197</v>
      </c>
      <c r="I1146" s="589"/>
      <c r="J1146" s="589"/>
      <c r="K1146" s="589"/>
      <c r="L1146" s="917" t="s">
        <v>4118</v>
      </c>
      <c r="M1146" s="913">
        <f>IF(T1122,IFERROR(INDEX({0,3,4,8,11,13,13,13},T1121),0),IFERROR(INDEX({0,1,1,2,2,2,2,2},T1121),0))</f>
        <v>0</v>
      </c>
      <c r="N1146" s="129"/>
      <c r="O1146" s="908"/>
      <c r="P1146" s="991" t="b">
        <v>1</v>
      </c>
      <c r="Q1146" s="991" t="b">
        <v>1</v>
      </c>
      <c r="R1146" s="991" t="b">
        <v>0</v>
      </c>
      <c r="S1146" s="991" t="b">
        <f ca="1">AND(S885=2,LEN(W1126)=0,LEN(W1132)=0,LEN(W1135)=0,LEN(W1140)=0,LEN(W1151)=0,LEN(W1153)=0,NOT(W1165=TRUE),LEN(W1170)=0)</f>
        <v>0</v>
      </c>
      <c r="T1146" s="991" t="b">
        <f ca="1">AND(NOT(S1146),LEN(W1146)&gt;0)</f>
        <v>0</v>
      </c>
      <c r="W1146" s="979"/>
      <c r="X1146" s="1600"/>
      <c r="Y1146" s="1874"/>
      <c r="Z1146" s="1600"/>
      <c r="AC1146" s="1150" t="b">
        <f ca="1">OR(AD1146:AE1146)</f>
        <v>0</v>
      </c>
      <c r="AD1146" s="1150" t="b">
        <f ca="1">T1146</f>
        <v>0</v>
      </c>
      <c r="AE1146" s="1150"/>
      <c r="AL1146" s="1352" t="str">
        <f t="shared" ref="AL1146:AL1151" si="90">SUBSTITUTE(SUBSTITUTE(SUBSTITUTE("vpa"&amp;$B1146&amp;$C1146&amp;$D1146&amp;$E1146&amp;$F1146,".","_"),"(","_"),")","")</f>
        <v>vpa703_3_3_1_1</v>
      </c>
      <c r="AM1146" s="1352">
        <f t="shared" ref="AM1146:AM1151" si="91">M1146</f>
        <v>0</v>
      </c>
      <c r="AN1146" s="1352"/>
      <c r="AO1146" s="1352"/>
      <c r="AP1146" s="1352" t="str">
        <f>SUBSTITUTE(SUBSTITUTE(SUBSTITUTE("vch"&amp;$B1146&amp;$C1146&amp;$D1146&amp;$E1146&amp;$F1146,".","_"),"(","_"),")","")</f>
        <v>vch703_3_3_1_1</v>
      </c>
      <c r="AQ1146" s="1352" t="str">
        <f>IF(LEN(W1146)=0,"",W1146)</f>
        <v/>
      </c>
      <c r="AR1146" s="1352"/>
      <c r="AS1146" s="1352"/>
    </row>
    <row r="1147" spans="1:45" s="905" customFormat="1" hidden="1" x14ac:dyDescent="0.2">
      <c r="A1147" s="1507">
        <v>7</v>
      </c>
      <c r="B1147" s="1516" t="s">
        <v>4426</v>
      </c>
      <c r="C1147" s="1516" t="s">
        <v>254</v>
      </c>
      <c r="D1147" s="1516" t="s">
        <v>255</v>
      </c>
      <c r="E1147" s="1516"/>
      <c r="F1147" s="1511"/>
      <c r="G1147" s="1509" t="str">
        <f ca="1">G1146</f>
        <v/>
      </c>
      <c r="H1147" s="1510" t="s">
        <v>3197</v>
      </c>
      <c r="I1147" s="589"/>
      <c r="J1147" s="589"/>
      <c r="K1147" s="589"/>
      <c r="L1147" s="917" t="s">
        <v>4119</v>
      </c>
      <c r="M1147" s="913">
        <f>IF(T1122,IFERROR(INDEX({0,3,4,8,11,13,13,13},T1121),0),IFERROR(INDEX({0,2,4,5,6,10,10,10},T1121),0))</f>
        <v>0</v>
      </c>
      <c r="N1147" s="129"/>
      <c r="O1147" s="908"/>
      <c r="P1147" s="991"/>
      <c r="Q1147" s="991"/>
      <c r="R1147" s="991"/>
      <c r="S1147" s="991"/>
      <c r="T1147" s="991"/>
      <c r="X1147" s="1600"/>
      <c r="Y1147" s="1874"/>
      <c r="Z1147" s="1600"/>
      <c r="AC1147" s="1150"/>
      <c r="AD1147" s="1150"/>
      <c r="AE1147" s="1150"/>
      <c r="AL1147" s="1352" t="str">
        <f t="shared" si="90"/>
        <v>vpa703_3_3_1_2</v>
      </c>
      <c r="AM1147" s="1352">
        <f t="shared" si="91"/>
        <v>0</v>
      </c>
      <c r="AN1147" s="1352"/>
      <c r="AO1147" s="1352"/>
      <c r="AP1147" s="1352"/>
      <c r="AQ1147" s="1352"/>
      <c r="AR1147" s="1352"/>
      <c r="AS1147" s="1352"/>
    </row>
    <row r="1148" spans="1:45" s="905" customFormat="1" hidden="1" x14ac:dyDescent="0.2">
      <c r="A1148" s="1507">
        <v>7</v>
      </c>
      <c r="B1148" s="1516" t="s">
        <v>4426</v>
      </c>
      <c r="C1148" s="1516" t="s">
        <v>254</v>
      </c>
      <c r="D1148" s="1516" t="s">
        <v>256</v>
      </c>
      <c r="E1148" s="1516"/>
      <c r="F1148" s="1511"/>
      <c r="G1148" s="1509" t="str">
        <f ca="1">G1147</f>
        <v/>
      </c>
      <c r="H1148" s="1510" t="s">
        <v>3197</v>
      </c>
      <c r="I1148" s="589"/>
      <c r="J1148" s="589"/>
      <c r="K1148" s="589"/>
      <c r="L1148" s="917" t="s">
        <v>4120</v>
      </c>
      <c r="M1148" s="913">
        <f>IF(T1122,IFERROR(INDEX({0,3,4,8,11,13,13,13},T1121),0),IFERROR(INDEX({0,3,7,7,11,18,18,18},T1121),0))</f>
        <v>0</v>
      </c>
      <c r="N1148" s="129"/>
      <c r="O1148" s="908"/>
      <c r="P1148" s="991"/>
      <c r="Q1148" s="991"/>
      <c r="R1148" s="991"/>
      <c r="S1148" s="991"/>
      <c r="T1148" s="991"/>
      <c r="X1148" s="1600"/>
      <c r="Y1148" s="1874"/>
      <c r="Z1148" s="1600"/>
      <c r="AC1148" s="1150"/>
      <c r="AD1148" s="1150"/>
      <c r="AE1148" s="1150"/>
      <c r="AL1148" s="1352" t="str">
        <f t="shared" si="90"/>
        <v>vpa703_3_3_1_3</v>
      </c>
      <c r="AM1148" s="1352">
        <f t="shared" si="91"/>
        <v>0</v>
      </c>
      <c r="AN1148" s="1352"/>
      <c r="AO1148" s="1352"/>
      <c r="AP1148" s="1352"/>
      <c r="AQ1148" s="1352"/>
      <c r="AR1148" s="1352"/>
      <c r="AS1148" s="1352"/>
    </row>
    <row r="1149" spans="1:45" s="905" customFormat="1" hidden="1" x14ac:dyDescent="0.2">
      <c r="A1149" s="1507">
        <v>7</v>
      </c>
      <c r="B1149" s="1516" t="s">
        <v>4426</v>
      </c>
      <c r="C1149" s="1516" t="s">
        <v>254</v>
      </c>
      <c r="D1149" s="1516" t="s">
        <v>259</v>
      </c>
      <c r="E1149" s="1516"/>
      <c r="F1149" s="1511"/>
      <c r="G1149" s="1509" t="str">
        <f ca="1">G1148</f>
        <v/>
      </c>
      <c r="H1149" s="1510" t="s">
        <v>3197</v>
      </c>
      <c r="I1149" s="589"/>
      <c r="J1149" s="590"/>
      <c r="K1149" s="590"/>
      <c r="L1149" s="917" t="s">
        <v>4121</v>
      </c>
      <c r="M1149" s="913">
        <f>IF(T1122,IFERROR(INDEX({0,3,4,8,11,13,13,13},T1121),0),IFERROR(INDEX({1,5,10,10,15,26,26,26},T1121),0))</f>
        <v>1</v>
      </c>
      <c r="N1149" s="129"/>
      <c r="O1149" s="908"/>
      <c r="P1149" s="991"/>
      <c r="Q1149" s="991"/>
      <c r="R1149" s="991"/>
      <c r="S1149" s="991"/>
      <c r="T1149" s="991"/>
      <c r="X1149" s="1600"/>
      <c r="Y1149" s="1874"/>
      <c r="Z1149" s="1600"/>
      <c r="AC1149" s="1150"/>
      <c r="AD1149" s="1150"/>
      <c r="AE1149" s="1150"/>
      <c r="AL1149" s="1352" t="str">
        <f t="shared" si="90"/>
        <v>vpa703_3_3_1_4</v>
      </c>
      <c r="AM1149" s="1352">
        <f t="shared" si="91"/>
        <v>1</v>
      </c>
      <c r="AN1149" s="1352"/>
      <c r="AO1149" s="1352"/>
      <c r="AP1149" s="1352"/>
      <c r="AQ1149" s="1352"/>
      <c r="AR1149" s="1352"/>
      <c r="AS1149" s="1352"/>
    </row>
    <row r="1150" spans="1:45" s="905" customFormat="1" hidden="1" x14ac:dyDescent="0.2">
      <c r="A1150" s="1507">
        <v>7</v>
      </c>
      <c r="B1150" s="1516" t="s">
        <v>4426</v>
      </c>
      <c r="C1150" s="1516" t="s">
        <v>254</v>
      </c>
      <c r="D1150" s="1516" t="s">
        <v>263</v>
      </c>
      <c r="E1150" s="1516"/>
      <c r="F1150" s="1511"/>
      <c r="G1150" s="1509" t="str">
        <f ca="1">G1149</f>
        <v/>
      </c>
      <c r="H1150" s="1510" t="s">
        <v>3197</v>
      </c>
      <c r="I1150" s="589"/>
      <c r="J1150" s="606"/>
      <c r="K1150" s="606"/>
      <c r="L1150" s="923" t="s">
        <v>4122</v>
      </c>
      <c r="M1150" s="937">
        <f>IF(T1122,IFERROR(INDEX({0,3,4,8,11,13,13,13},T1121),0),IFERROR(INDEX({1,6,11,11,17,28,28,28},T1121),0))</f>
        <v>1</v>
      </c>
      <c r="N1150" s="991"/>
      <c r="O1150" s="991"/>
      <c r="P1150" s="991"/>
      <c r="Q1150" s="991"/>
      <c r="R1150" s="991"/>
      <c r="S1150" s="991"/>
      <c r="T1150" s="991"/>
      <c r="W1150" s="905" t="s">
        <v>4496</v>
      </c>
      <c r="X1150" s="1600"/>
      <c r="Y1150" s="1874"/>
      <c r="Z1150" s="1600"/>
      <c r="AC1150" s="1150"/>
      <c r="AD1150" s="1150"/>
      <c r="AE1150" s="1150"/>
      <c r="AL1150" s="1352" t="str">
        <f t="shared" si="90"/>
        <v>vpa703_3_3_1_5</v>
      </c>
      <c r="AM1150" s="1352">
        <f t="shared" si="91"/>
        <v>1</v>
      </c>
      <c r="AN1150" s="1352"/>
      <c r="AO1150" s="1352"/>
      <c r="AP1150" s="1352"/>
      <c r="AQ1150" s="1352"/>
      <c r="AR1150" s="1352"/>
      <c r="AS1150" s="1352"/>
    </row>
    <row r="1151" spans="1:45" s="905" customFormat="1" hidden="1" x14ac:dyDescent="0.2">
      <c r="A1151" s="1507">
        <v>7</v>
      </c>
      <c r="B1151" s="1516" t="s">
        <v>4426</v>
      </c>
      <c r="C1151" s="1516" t="s">
        <v>255</v>
      </c>
      <c r="D1151" s="1516"/>
      <c r="E1151" s="1516"/>
      <c r="F1151" s="1511"/>
      <c r="G1151" s="1509" t="str">
        <f ca="1">IF(N1151&gt;0,"P","")</f>
        <v/>
      </c>
      <c r="H1151" s="1510" t="s">
        <v>3197</v>
      </c>
      <c r="I1151" s="589"/>
      <c r="J1151" s="590" t="s">
        <v>255</v>
      </c>
      <c r="K1151" s="590"/>
      <c r="L1151" s="917" t="s">
        <v>4514</v>
      </c>
      <c r="M1151" s="1623">
        <f>IFERROR(INDEX({0,3,4,8,11,13,13,13},T1121),0)</f>
        <v>0</v>
      </c>
      <c r="N1151" s="1619">
        <f ca="1">'11.700'!O277</f>
        <v>0</v>
      </c>
      <c r="O1151" s="1619">
        <f ca="1">IF(AND(S1151,W1151&gt;=8.5),M1151,0)</f>
        <v>0</v>
      </c>
      <c r="P1151" s="991" t="b">
        <v>1</v>
      </c>
      <c r="Q1151" s="991" t="b">
        <v>1</v>
      </c>
      <c r="R1151" s="991" t="b">
        <v>0</v>
      </c>
      <c r="S1151" s="991" t="b">
        <f ca="1">AND(S885=2,LEN(W1126)=0,LEN(W1132)=0,LEN(W1135)=0,LEN(W1140)=0,LEN(W1146)=0,LEN(W1153)=0,NOT(W1165=TRUE),LEN(W1170)=0)</f>
        <v>0</v>
      </c>
      <c r="T1151" s="991" t="b">
        <f ca="1">AND(NOT(S1151),LEN(W1151)&gt;0)</f>
        <v>0</v>
      </c>
      <c r="W1151" s="979"/>
      <c r="X1151" s="1600"/>
      <c r="Y1151" s="1874" t="str">
        <f>IF(LEN('11.700'!X277)=0,"None",'11.700'!X277)</f>
        <v>None</v>
      </c>
      <c r="Z1151" s="1600"/>
      <c r="AC1151" s="1150" t="b">
        <f ca="1">OR(AD1151:AE1151)</f>
        <v>0</v>
      </c>
      <c r="AD1151" s="1150" t="b">
        <f ca="1">T1151</f>
        <v>0</v>
      </c>
      <c r="AE1151" s="1150"/>
      <c r="AL1151" s="1352" t="str">
        <f t="shared" si="90"/>
        <v>vpa703_3_3_2</v>
      </c>
      <c r="AM1151" s="1352">
        <f t="shared" si="91"/>
        <v>0</v>
      </c>
      <c r="AN1151" s="1352" t="str">
        <f>SUBSTITUTE(SUBSTITUTE(SUBSTITUTE("vpc"&amp;$B1151&amp;$C1151&amp;$D1151&amp;$E1151&amp;$F1151,".","_"),"(","_"),")","")</f>
        <v>vpc703_3_3_2</v>
      </c>
      <c r="AO1151" s="1352">
        <f ca="1">O1151</f>
        <v>0</v>
      </c>
      <c r="AP1151" s="1352" t="str">
        <f>SUBSTITUTE(SUBSTITUTE(SUBSTITUTE("vch"&amp;$B1151&amp;$C1151&amp;$D1151&amp;$E1151&amp;$F1151,".","_"),"(","_"),")","")</f>
        <v>vch703_3_3_2</v>
      </c>
      <c r="AQ1151" s="1352" t="str">
        <f>IF(LEN(W1151)=0,"",W1151)</f>
        <v/>
      </c>
      <c r="AR1151" s="1352" t="str">
        <f>SUBSTITUTE(SUBSTITUTE(SUBSTITUTE("vnt"&amp;$B1151&amp;$C1151&amp;$D1151&amp;$E1151&amp;$F1151,".","_"),"(","_"),")","")</f>
        <v>vnt703_3_3_2</v>
      </c>
      <c r="AS1151" s="1352" t="str">
        <f>IF(LEN(X1151)=0,"",X1151)</f>
        <v/>
      </c>
    </row>
    <row r="1152" spans="1:45" s="905" customFormat="1" hidden="1" x14ac:dyDescent="0.2">
      <c r="A1152" s="1507">
        <v>7</v>
      </c>
      <c r="B1152" s="1516" t="s">
        <v>4426</v>
      </c>
      <c r="C1152" s="1516" t="s">
        <v>255</v>
      </c>
      <c r="D1152" s="1516"/>
      <c r="E1152" s="1516"/>
      <c r="F1152" s="1511"/>
      <c r="G1152" s="1509" t="str">
        <f ca="1">G1151</f>
        <v/>
      </c>
      <c r="H1152" s="1510" t="s">
        <v>3197</v>
      </c>
      <c r="I1152" s="589"/>
      <c r="J1152" s="606"/>
      <c r="K1152" s="606"/>
      <c r="L1152" s="923"/>
      <c r="M1152" s="1624"/>
      <c r="N1152" s="1620"/>
      <c r="O1152" s="1620"/>
      <c r="P1152" s="991"/>
      <c r="Q1152" s="991"/>
      <c r="R1152" s="991"/>
      <c r="S1152" s="991"/>
      <c r="T1152" s="991"/>
      <c r="W1152" s="905" t="s">
        <v>4497</v>
      </c>
      <c r="X1152" s="1600"/>
      <c r="Y1152" s="1874"/>
      <c r="Z1152" s="1600"/>
      <c r="AC1152" s="1150"/>
      <c r="AD1152" s="1150"/>
      <c r="AE1152" s="1150"/>
      <c r="AL1152" s="1352"/>
      <c r="AM1152" s="1352"/>
      <c r="AN1152" s="1352"/>
      <c r="AO1152" s="1352"/>
      <c r="AP1152" s="1352"/>
      <c r="AQ1152" s="1352"/>
      <c r="AR1152" s="1352"/>
      <c r="AS1152" s="1352"/>
    </row>
    <row r="1153" spans="1:45" s="905" customFormat="1" ht="16" hidden="1" x14ac:dyDescent="0.2">
      <c r="A1153" s="1507">
        <v>7</v>
      </c>
      <c r="B1153" s="1516" t="s">
        <v>4426</v>
      </c>
      <c r="C1153" s="1516" t="s">
        <v>256</v>
      </c>
      <c r="D1153" s="1516"/>
      <c r="E1153" s="1516"/>
      <c r="F1153" s="1511"/>
      <c r="G1153" s="1509" t="str">
        <f ca="1">IF(N1153&gt;0,"P","")</f>
        <v/>
      </c>
      <c r="H1153" s="1510" t="s">
        <v>3197</v>
      </c>
      <c r="I1153" s="606"/>
      <c r="J1153" s="606" t="s">
        <v>256</v>
      </c>
      <c r="K1153" s="606"/>
      <c r="L1153" s="923" t="s">
        <v>4123</v>
      </c>
      <c r="M1153" s="937">
        <f>IFERROR(INDEX({2,7,11,14,16,18,18,18},T1121),0)</f>
        <v>2</v>
      </c>
      <c r="N1153" s="378">
        <f ca="1">'11.700'!O279</f>
        <v>0</v>
      </c>
      <c r="O1153" s="909">
        <f ca="1">IF(AND(S1153,W1153&gt;=1.3),M1153,0)</f>
        <v>0</v>
      </c>
      <c r="P1153" s="173" t="b">
        <v>1</v>
      </c>
      <c r="Q1153" s="173" t="b">
        <v>1</v>
      </c>
      <c r="R1153" s="173" t="b">
        <v>0</v>
      </c>
      <c r="S1153" s="173" t="b">
        <f ca="1">AND(S885=2,LEN(W1126)=0,LEN(W1132)=0,LEN(W1135)=0,LEN(W1140)=0,LEN(W1146)=0,LEN(W1151)=0,NOT(W1165=TRUE),LEN(W1170)=0)</f>
        <v>0</v>
      </c>
      <c r="T1153" s="173" t="b">
        <f ca="1">AND(NOT(S1153),LEN(W1153)&gt;0)</f>
        <v>0</v>
      </c>
      <c r="U1153" s="173"/>
      <c r="W1153" s="979"/>
      <c r="X1153" s="1123"/>
      <c r="Y1153" s="1139" t="str">
        <f>IF(LEN('11.700'!X279)=0,"None",'11.700'!X279)</f>
        <v>None</v>
      </c>
      <c r="Z1153" s="1123"/>
      <c r="AC1153" s="1150" t="b">
        <f ca="1">OR(AD1153:AE1153)</f>
        <v>0</v>
      </c>
      <c r="AD1153" s="1150" t="b">
        <f ca="1">T1153</f>
        <v>0</v>
      </c>
      <c r="AE1153" s="1150"/>
      <c r="AL1153" s="1352" t="str">
        <f>SUBSTITUTE(SUBSTITUTE(SUBSTITUTE("vpa"&amp;$B1153&amp;$C1153&amp;$D1153&amp;$E1153&amp;$F1153,".","_"),"(","_"),")","")</f>
        <v>vpa703_3_3_3</v>
      </c>
      <c r="AM1153" s="1352">
        <f>M1153</f>
        <v>2</v>
      </c>
      <c r="AN1153" s="1352" t="str">
        <f>SUBSTITUTE(SUBSTITUTE(SUBSTITUTE("vpc"&amp;$B1153&amp;$C1153&amp;$D1153&amp;$E1153&amp;$F1153,".","_"),"(","_"),")","")</f>
        <v>vpc703_3_3_3</v>
      </c>
      <c r="AO1153" s="1352">
        <f ca="1">O1153</f>
        <v>0</v>
      </c>
      <c r="AP1153" s="1352" t="str">
        <f>SUBSTITUTE(SUBSTITUTE(SUBSTITUTE("vch"&amp;$B1153&amp;$C1153&amp;$D1153&amp;$E1153&amp;$F1153,".","_"),"(","_"),")","")</f>
        <v>vch703_3_3_3</v>
      </c>
      <c r="AQ1153" s="1352" t="str">
        <f>IF(LEN(W1153)=0,"",W1153)</f>
        <v/>
      </c>
      <c r="AR1153" s="1352" t="str">
        <f>SUBSTITUTE(SUBSTITUTE(SUBSTITUTE("vnt"&amp;$B1153&amp;$C1153&amp;$D1153&amp;$E1153&amp;$F1153,".","_"),"(","_"),")","")</f>
        <v>vnt703_3_3_3</v>
      </c>
      <c r="AS1153" s="1352" t="str">
        <f>IF(LEN(X1153)=0,"",X1153)</f>
        <v/>
      </c>
    </row>
    <row r="1154" spans="1:45" s="905" customFormat="1" ht="15" hidden="1" customHeight="1" x14ac:dyDescent="0.2">
      <c r="A1154" s="1507">
        <v>7</v>
      </c>
      <c r="B1154" s="1516" t="s">
        <v>4427</v>
      </c>
      <c r="C1154" s="1516"/>
      <c r="D1154" s="1516"/>
      <c r="E1154" s="1516"/>
      <c r="F1154" s="1511"/>
      <c r="G1154" s="1513" t="str">
        <f ca="1">IF(COUNTIF(G1157:G1165,"P")&gt;0,"P","")</f>
        <v/>
      </c>
      <c r="H1154" s="1510" t="s">
        <v>3197</v>
      </c>
      <c r="I1154" s="589" t="s">
        <v>4124</v>
      </c>
      <c r="J1154" s="589"/>
      <c r="K1154" s="589"/>
      <c r="L1154" s="1687" t="s">
        <v>4125</v>
      </c>
      <c r="M1154" s="991"/>
      <c r="N1154" s="991"/>
      <c r="O1154" s="991"/>
      <c r="P1154" s="991"/>
      <c r="Q1154" s="991"/>
      <c r="R1154" s="991"/>
      <c r="S1154" s="991"/>
      <c r="T1154" s="991"/>
      <c r="Z1154" s="1122"/>
      <c r="AC1154" s="1150"/>
      <c r="AD1154" s="1150"/>
      <c r="AE1154" s="1150"/>
      <c r="AL1154" s="1352"/>
      <c r="AM1154" s="1352"/>
      <c r="AN1154" s="1352"/>
      <c r="AO1154" s="1352"/>
      <c r="AP1154" s="1352"/>
      <c r="AQ1154" s="1352"/>
      <c r="AR1154" s="1352"/>
      <c r="AS1154" s="1352"/>
    </row>
    <row r="1155" spans="1:45" s="905" customFormat="1" hidden="1" x14ac:dyDescent="0.2">
      <c r="A1155" s="1507">
        <v>7</v>
      </c>
      <c r="B1155" s="1516" t="s">
        <v>4427</v>
      </c>
      <c r="C1155" s="1516"/>
      <c r="D1155" s="1516"/>
      <c r="E1155" s="1516"/>
      <c r="F1155" s="1511"/>
      <c r="G1155" s="1509" t="str">
        <f ca="1">G1154</f>
        <v/>
      </c>
      <c r="H1155" s="1510" t="s">
        <v>3197</v>
      </c>
      <c r="I1155" s="589"/>
      <c r="J1155" s="589"/>
      <c r="K1155" s="589"/>
      <c r="L1155" s="1687"/>
      <c r="M1155" s="991"/>
      <c r="N1155" s="991"/>
      <c r="O1155" s="991"/>
      <c r="P1155" s="991"/>
      <c r="Q1155" s="991"/>
      <c r="R1155" s="991"/>
      <c r="S1155" s="991"/>
      <c r="T1155" s="991"/>
      <c r="Z1155" s="1122"/>
      <c r="AC1155" s="1150"/>
      <c r="AD1155" s="1150"/>
      <c r="AE1155" s="1150"/>
      <c r="AL1155" s="1352"/>
      <c r="AM1155" s="1352"/>
      <c r="AN1155" s="1352"/>
      <c r="AO1155" s="1352"/>
      <c r="AP1155" s="1352"/>
      <c r="AQ1155" s="1352"/>
      <c r="AR1155" s="1352"/>
      <c r="AS1155" s="1352"/>
    </row>
    <row r="1156" spans="1:45" s="905" customFormat="1" hidden="1" x14ac:dyDescent="0.2">
      <c r="A1156" s="1507">
        <v>7</v>
      </c>
      <c r="B1156" s="1516" t="s">
        <v>4427</v>
      </c>
      <c r="C1156" s="1516"/>
      <c r="D1156" s="1516"/>
      <c r="E1156" s="1516"/>
      <c r="F1156" s="1511"/>
      <c r="G1156" s="1509" t="str">
        <f ca="1">G1155</f>
        <v/>
      </c>
      <c r="H1156" s="1510" t="s">
        <v>3197</v>
      </c>
      <c r="I1156" s="589"/>
      <c r="J1156" s="589"/>
      <c r="K1156" s="589"/>
      <c r="L1156" s="1687"/>
      <c r="M1156" s="991"/>
      <c r="N1156" s="991"/>
      <c r="O1156" s="991"/>
      <c r="P1156" s="991"/>
      <c r="Q1156" s="991"/>
      <c r="R1156" s="991"/>
      <c r="S1156" s="991"/>
      <c r="T1156" s="991"/>
      <c r="Z1156" s="1122"/>
      <c r="AC1156" s="1150"/>
      <c r="AD1156" s="1150"/>
      <c r="AE1156" s="1150"/>
      <c r="AL1156" s="1352"/>
      <c r="AM1156" s="1352"/>
      <c r="AN1156" s="1352"/>
      <c r="AO1156" s="1352"/>
      <c r="AP1156" s="1352"/>
      <c r="AQ1156" s="1352"/>
      <c r="AR1156" s="1352"/>
      <c r="AS1156" s="1352"/>
    </row>
    <row r="1157" spans="1:45" s="905" customFormat="1" hidden="1" x14ac:dyDescent="0.2">
      <c r="A1157" s="1507">
        <v>7</v>
      </c>
      <c r="B1157" s="1516" t="s">
        <v>4427</v>
      </c>
      <c r="C1157" s="1516" t="s">
        <v>254</v>
      </c>
      <c r="D1157" s="1516"/>
      <c r="E1157" s="1516"/>
      <c r="F1157" s="1511"/>
      <c r="G1157" s="1509" t="str">
        <f ca="1">IF(N1157&gt;0,"P","")</f>
        <v/>
      </c>
      <c r="H1157" s="1510" t="s">
        <v>3197</v>
      </c>
      <c r="I1157" s="589"/>
      <c r="J1157" s="589" t="s">
        <v>254</v>
      </c>
      <c r="K1157" s="589"/>
      <c r="L1157" s="917" t="s">
        <v>4126</v>
      </c>
      <c r="M1157" s="913"/>
      <c r="N1157" s="1125">
        <f ca="1">'11.700'!O283</f>
        <v>0</v>
      </c>
      <c r="O1157" s="908">
        <f ca="1">IFERROR(INDEX(M1158:M1162,MATCH(W1158,{15,17,19,21,25},1)),0)*S1158</f>
        <v>0</v>
      </c>
      <c r="P1157" s="991"/>
      <c r="Q1157" s="991"/>
      <c r="R1157" s="991"/>
      <c r="S1157" s="991"/>
      <c r="T1157" s="991"/>
      <c r="W1157" s="905" t="s">
        <v>4498</v>
      </c>
      <c r="X1157" s="1600"/>
      <c r="Y1157" s="1874" t="str">
        <f>IF(LEN('11.700'!X283)=0,"None",'11.700'!X283)</f>
        <v>None</v>
      </c>
      <c r="Z1157" s="1600"/>
      <c r="AC1157" s="1150"/>
      <c r="AD1157" s="1150"/>
      <c r="AE1157" s="1150"/>
      <c r="AL1157" s="1352"/>
      <c r="AM1157" s="1352"/>
      <c r="AN1157" s="1352" t="str">
        <f>SUBSTITUTE(SUBSTITUTE(SUBSTITUTE("vpc"&amp;$B1157&amp;$C1157&amp;$D1157&amp;$E1157&amp;$F1157,".","_"),"(","_"),")","")</f>
        <v>vpc703_3_4_1</v>
      </c>
      <c r="AO1157" s="1352">
        <f ca="1">O1157</f>
        <v>0</v>
      </c>
      <c r="AP1157" s="1352"/>
      <c r="AQ1157" s="1352"/>
      <c r="AR1157" s="1352" t="str">
        <f>SUBSTITUTE(SUBSTITUTE(SUBSTITUTE("vnt"&amp;$B1157&amp;$C1157&amp;$D1157&amp;$E1157&amp;$F1157,".","_"),"(","_"),")","")</f>
        <v>vnt703_3_4_1</v>
      </c>
      <c r="AS1157" s="1352" t="str">
        <f>IF(LEN(X1157)=0,"",X1157)</f>
        <v/>
      </c>
    </row>
    <row r="1158" spans="1:45" s="905" customFormat="1" hidden="1" x14ac:dyDescent="0.2">
      <c r="A1158" s="1507">
        <v>7</v>
      </c>
      <c r="B1158" s="1516" t="s">
        <v>4427</v>
      </c>
      <c r="C1158" s="1516" t="s">
        <v>254</v>
      </c>
      <c r="D1158" s="1516" t="s">
        <v>254</v>
      </c>
      <c r="E1158" s="1516"/>
      <c r="F1158" s="1511"/>
      <c r="G1158" s="1509" t="str">
        <f ca="1">G1157</f>
        <v/>
      </c>
      <c r="H1158" s="1510" t="s">
        <v>3197</v>
      </c>
      <c r="I1158" s="589"/>
      <c r="J1158" s="589"/>
      <c r="K1158" s="589"/>
      <c r="L1158" s="917" t="s">
        <v>4127</v>
      </c>
      <c r="M1158" s="913">
        <f>IFERROR(INDEX({6,4,2,1,1,1,1,0},T1121),0)</f>
        <v>6</v>
      </c>
      <c r="N1158" s="129"/>
      <c r="O1158" s="908"/>
      <c r="P1158" s="991" t="b">
        <v>1</v>
      </c>
      <c r="Q1158" s="991" t="b">
        <v>1</v>
      </c>
      <c r="R1158" s="991" t="b">
        <v>0</v>
      </c>
      <c r="S1158" s="991" t="b">
        <f ca="1">AND(S885=2,NOT(W1163=TRUE),LEN(W1165)=0,NOT(W1166=TRUE),LEN(W1170)=0)</f>
        <v>0</v>
      </c>
      <c r="T1158" s="991" t="b">
        <f ca="1">AND(NOT(S1158),LEN(W1158)&gt;0)</f>
        <v>0</v>
      </c>
      <c r="W1158" s="979"/>
      <c r="X1158" s="1600"/>
      <c r="Y1158" s="1874"/>
      <c r="Z1158" s="1600"/>
      <c r="AC1158" s="1150" t="b">
        <f ca="1">OR(AD1158:AE1158)</f>
        <v>0</v>
      </c>
      <c r="AD1158" s="1150" t="b">
        <f ca="1">T1158</f>
        <v>0</v>
      </c>
      <c r="AE1158" s="1150"/>
      <c r="AL1158" s="1352" t="str">
        <f t="shared" ref="AL1158:AL1163" si="92">SUBSTITUTE(SUBSTITUTE(SUBSTITUTE("vpa"&amp;$B1158&amp;$C1158&amp;$D1158&amp;$E1158&amp;$F1158,".","_"),"(","_"),")","")</f>
        <v>vpa703_3_4_1_1</v>
      </c>
      <c r="AM1158" s="1352">
        <f t="shared" ref="AM1158:AM1163" si="93">M1158</f>
        <v>6</v>
      </c>
      <c r="AN1158" s="1352"/>
      <c r="AO1158" s="1352"/>
      <c r="AP1158" s="1352" t="str">
        <f>SUBSTITUTE(SUBSTITUTE(SUBSTITUTE("vch"&amp;$B1158&amp;$C1158&amp;$D1158&amp;$E1158&amp;$F1158,".","_"),"(","_"),")","")</f>
        <v>vch703_3_4_1_1</v>
      </c>
      <c r="AQ1158" s="1352" t="str">
        <f>IF(LEN(W1158)=0,"",W1158)</f>
        <v/>
      </c>
      <c r="AR1158" s="1352"/>
      <c r="AS1158" s="1352"/>
    </row>
    <row r="1159" spans="1:45" s="905" customFormat="1" hidden="1" x14ac:dyDescent="0.2">
      <c r="A1159" s="1507">
        <v>7</v>
      </c>
      <c r="B1159" s="1516" t="s">
        <v>4427</v>
      </c>
      <c r="C1159" s="1516" t="s">
        <v>254</v>
      </c>
      <c r="D1159" s="1516" t="s">
        <v>255</v>
      </c>
      <c r="E1159" s="1516"/>
      <c r="F1159" s="1511"/>
      <c r="G1159" s="1509" t="str">
        <f ca="1">G1158</f>
        <v/>
      </c>
      <c r="H1159" s="1510" t="s">
        <v>3197</v>
      </c>
      <c r="I1159" s="589"/>
      <c r="J1159" s="589"/>
      <c r="K1159" s="589"/>
      <c r="L1159" s="917" t="s">
        <v>4128</v>
      </c>
      <c r="M1159" s="913">
        <f>IFERROR(INDEX({11,9,7,3,3,2,2,0},T1121),0)</f>
        <v>11</v>
      </c>
      <c r="N1159" s="129"/>
      <c r="O1159" s="908"/>
      <c r="P1159" s="991"/>
      <c r="Q1159" s="991"/>
      <c r="R1159" s="991"/>
      <c r="S1159" s="991"/>
      <c r="T1159" s="991"/>
      <c r="X1159" s="1600"/>
      <c r="Y1159" s="1874"/>
      <c r="Z1159" s="1600"/>
      <c r="AC1159" s="1150"/>
      <c r="AD1159" s="1150"/>
      <c r="AE1159" s="1150"/>
      <c r="AL1159" s="1352" t="str">
        <f t="shared" si="92"/>
        <v>vpa703_3_4_1_2</v>
      </c>
      <c r="AM1159" s="1352">
        <f t="shared" si="93"/>
        <v>11</v>
      </c>
      <c r="AN1159" s="1352"/>
      <c r="AO1159" s="1352"/>
      <c r="AP1159" s="1352"/>
      <c r="AQ1159" s="1352"/>
      <c r="AR1159" s="1352"/>
      <c r="AS1159" s="1352"/>
    </row>
    <row r="1160" spans="1:45" s="905" customFormat="1" hidden="1" x14ac:dyDescent="0.2">
      <c r="A1160" s="1507">
        <v>7</v>
      </c>
      <c r="B1160" s="1516" t="s">
        <v>4427</v>
      </c>
      <c r="C1160" s="1516" t="s">
        <v>254</v>
      </c>
      <c r="D1160" s="1516" t="s">
        <v>256</v>
      </c>
      <c r="E1160" s="1516"/>
      <c r="F1160" s="1511"/>
      <c r="G1160" s="1509" t="str">
        <f ca="1">G1159</f>
        <v/>
      </c>
      <c r="H1160" s="1510" t="s">
        <v>3197</v>
      </c>
      <c r="I1160" s="589"/>
      <c r="J1160" s="589"/>
      <c r="K1160" s="589"/>
      <c r="L1160" s="917" t="s">
        <v>4129</v>
      </c>
      <c r="M1160" s="913">
        <f>IFERROR(INDEX({19,12,10,6,4,4,4,0},T1121),0)</f>
        <v>19</v>
      </c>
      <c r="N1160" s="129"/>
      <c r="O1160" s="908"/>
      <c r="P1160" s="991"/>
      <c r="Q1160" s="991"/>
      <c r="R1160" s="991"/>
      <c r="S1160" s="991"/>
      <c r="T1160" s="991"/>
      <c r="X1160" s="1600"/>
      <c r="Y1160" s="1874"/>
      <c r="Z1160" s="1600"/>
      <c r="AC1160" s="1150"/>
      <c r="AD1160" s="1150"/>
      <c r="AE1160" s="1150"/>
      <c r="AL1160" s="1352" t="str">
        <f t="shared" si="92"/>
        <v>vpa703_3_4_1_3</v>
      </c>
      <c r="AM1160" s="1352">
        <f t="shared" si="93"/>
        <v>19</v>
      </c>
      <c r="AN1160" s="1352"/>
      <c r="AO1160" s="1352"/>
      <c r="AP1160" s="1352"/>
      <c r="AQ1160" s="1352"/>
      <c r="AR1160" s="1352"/>
      <c r="AS1160" s="1352"/>
    </row>
    <row r="1161" spans="1:45" s="905" customFormat="1" hidden="1" x14ac:dyDescent="0.2">
      <c r="A1161" s="1507">
        <v>7</v>
      </c>
      <c r="B1161" s="1516" t="s">
        <v>4427</v>
      </c>
      <c r="C1161" s="1516" t="s">
        <v>254</v>
      </c>
      <c r="D1161" s="1516" t="s">
        <v>259</v>
      </c>
      <c r="E1161" s="1516"/>
      <c r="F1161" s="1511"/>
      <c r="G1161" s="1509" t="str">
        <f ca="1">G1160</f>
        <v/>
      </c>
      <c r="H1161" s="1510" t="s">
        <v>3197</v>
      </c>
      <c r="I1161" s="589"/>
      <c r="J1161" s="589"/>
      <c r="K1161" s="589"/>
      <c r="L1161" s="917" t="s">
        <v>4130</v>
      </c>
      <c r="M1161" s="913">
        <f>IFERROR(INDEX({26,15,14,8,6,6,5,0},T1121),0)</f>
        <v>26</v>
      </c>
      <c r="N1161" s="129"/>
      <c r="O1161" s="908"/>
      <c r="P1161" s="991"/>
      <c r="Q1161" s="991"/>
      <c r="R1161" s="991"/>
      <c r="S1161" s="991"/>
      <c r="T1161" s="991"/>
      <c r="X1161" s="1600"/>
      <c r="Y1161" s="1874"/>
      <c r="Z1161" s="1600"/>
      <c r="AC1161" s="1150"/>
      <c r="AD1161" s="1150"/>
      <c r="AE1161" s="1150"/>
      <c r="AL1161" s="1352" t="str">
        <f t="shared" si="92"/>
        <v>vpa703_3_4_1_4</v>
      </c>
      <c r="AM1161" s="1352">
        <f t="shared" si="93"/>
        <v>26</v>
      </c>
      <c r="AN1161" s="1352"/>
      <c r="AO1161" s="1352"/>
      <c r="AP1161" s="1352"/>
      <c r="AQ1161" s="1352"/>
      <c r="AR1161" s="1352"/>
      <c r="AS1161" s="1352"/>
    </row>
    <row r="1162" spans="1:45" s="905" customFormat="1" hidden="1" x14ac:dyDescent="0.2">
      <c r="A1162" s="1507">
        <v>7</v>
      </c>
      <c r="B1162" s="1516" t="s">
        <v>4427</v>
      </c>
      <c r="C1162" s="1516" t="s">
        <v>254</v>
      </c>
      <c r="D1162" s="1516" t="s">
        <v>263</v>
      </c>
      <c r="E1162" s="1516"/>
      <c r="F1162" s="1511"/>
      <c r="G1162" s="1509" t="str">
        <f ca="1">G1161</f>
        <v/>
      </c>
      <c r="H1162" s="1510" t="s">
        <v>3197</v>
      </c>
      <c r="I1162" s="589"/>
      <c r="J1162" s="589"/>
      <c r="K1162" s="606"/>
      <c r="L1162" s="923" t="s">
        <v>4131</v>
      </c>
      <c r="M1162" s="937">
        <f>IFERROR(INDEX({29,18,17,10,8,8,6,0},T1121),0)</f>
        <v>29</v>
      </c>
      <c r="N1162" s="991"/>
      <c r="O1162" s="991"/>
      <c r="P1162" s="991"/>
      <c r="Q1162" s="991"/>
      <c r="R1162" s="991"/>
      <c r="S1162" s="991"/>
      <c r="T1162" s="991"/>
      <c r="X1162" s="1600"/>
      <c r="Y1162" s="1874"/>
      <c r="Z1162" s="1600"/>
      <c r="AC1162" s="1150"/>
      <c r="AD1162" s="1150"/>
      <c r="AE1162" s="1150"/>
      <c r="AL1162" s="1352" t="str">
        <f t="shared" si="92"/>
        <v>vpa703_3_4_1_5</v>
      </c>
      <c r="AM1162" s="1352">
        <f t="shared" si="93"/>
        <v>29</v>
      </c>
      <c r="AN1162" s="1352"/>
      <c r="AO1162" s="1352"/>
      <c r="AP1162" s="1352"/>
      <c r="AQ1162" s="1352"/>
      <c r="AR1162" s="1352"/>
      <c r="AS1162" s="1352"/>
    </row>
    <row r="1163" spans="1:45" s="905" customFormat="1" ht="15" hidden="1" customHeight="1" x14ac:dyDescent="0.2">
      <c r="A1163" s="1507">
        <v>7</v>
      </c>
      <c r="B1163" s="1516" t="s">
        <v>4427</v>
      </c>
      <c r="C1163" s="1516" t="s">
        <v>254</v>
      </c>
      <c r="D1163" s="1535" t="s">
        <v>264</v>
      </c>
      <c r="E1163" s="1516"/>
      <c r="F1163" s="1511"/>
      <c r="G1163" s="1509" t="str">
        <f ca="1">IF(N1163&gt;0,"P","")</f>
        <v/>
      </c>
      <c r="H1163" s="1510" t="s">
        <v>3197</v>
      </c>
      <c r="I1163" s="589"/>
      <c r="J1163" s="590"/>
      <c r="K1163" s="590" t="s">
        <v>4132</v>
      </c>
      <c r="L1163" s="1634" t="s">
        <v>4133</v>
      </c>
      <c r="M1163" s="1623">
        <v>20</v>
      </c>
      <c r="N1163" s="1619">
        <f ca="1">'11.700'!O289</f>
        <v>0</v>
      </c>
      <c r="O1163" s="1619">
        <f ca="1">M1163*S1163*W1163</f>
        <v>0</v>
      </c>
      <c r="P1163" s="991" t="b">
        <v>1</v>
      </c>
      <c r="Q1163" s="991" t="b">
        <v>1</v>
      </c>
      <c r="R1163" s="991" t="b">
        <v>0</v>
      </c>
      <c r="S1163" s="464" t="b">
        <f ca="1">AND(S885=2,BI920="Tropical",LEN(W1158)=0,LEN(W1165)=0,NOT(W1166=TRUE),LEN(W1170)=0)</f>
        <v>0</v>
      </c>
      <c r="T1163" s="991" t="b">
        <f ca="1">AND(NOT(S1163),W1163=TRUE)</f>
        <v>0</v>
      </c>
      <c r="W1163" s="27"/>
      <c r="X1163" s="1123"/>
      <c r="Y1163" s="1139" t="str">
        <f>IF(LEN('11.700'!X289)=0,"None",'11.700'!X289)</f>
        <v>None</v>
      </c>
      <c r="Z1163" s="1123"/>
      <c r="AC1163" s="1150" t="b">
        <f ca="1">OR(AD1163:AE1163)</f>
        <v>0</v>
      </c>
      <c r="AD1163" s="1150" t="b">
        <f ca="1">T1163</f>
        <v>0</v>
      </c>
      <c r="AE1163" s="1150"/>
      <c r="AL1163" s="1352" t="str">
        <f t="shared" si="92"/>
        <v>vpa703_3_4_1_6</v>
      </c>
      <c r="AM1163" s="1352">
        <f t="shared" si="93"/>
        <v>20</v>
      </c>
      <c r="AN1163" s="1352" t="str">
        <f>SUBSTITUTE(SUBSTITUTE(SUBSTITUTE("vpc"&amp;$B1163&amp;$C1163&amp;$D1163&amp;$E1163&amp;$F1163,".","_"),"(","_"),")","")</f>
        <v>vpc703_3_4_1_6</v>
      </c>
      <c r="AO1163" s="1352">
        <f ca="1">O1163</f>
        <v>0</v>
      </c>
      <c r="AP1163" s="1352" t="str">
        <f>SUBSTITUTE(SUBSTITUTE(SUBSTITUTE("vch"&amp;$B1163&amp;$C1163&amp;$D1163&amp;$E1163&amp;$F1163,".","_"),"(","_"),")","")</f>
        <v>vch703_3_4_1_6</v>
      </c>
      <c r="AQ1163" s="1352" t="str">
        <f>IF(LEN(W1163)=0,"",W1163)</f>
        <v/>
      </c>
      <c r="AR1163" s="1352" t="str">
        <f>SUBSTITUTE(SUBSTITUTE(SUBSTITUTE("vnt"&amp;$B1163&amp;$C1163&amp;$D1163&amp;$E1163&amp;$F1163,".","_"),"(","_"),")","")</f>
        <v>vnt703_3_4_1_6</v>
      </c>
      <c r="AS1163" s="1352" t="str">
        <f>IF(LEN(X1163)=0,"",X1163)</f>
        <v/>
      </c>
    </row>
    <row r="1164" spans="1:45" s="905" customFormat="1" hidden="1" x14ac:dyDescent="0.2">
      <c r="A1164" s="1507">
        <v>7</v>
      </c>
      <c r="B1164" s="1516" t="s">
        <v>4427</v>
      </c>
      <c r="C1164" s="1516" t="s">
        <v>254</v>
      </c>
      <c r="D1164" s="1535" t="s">
        <v>264</v>
      </c>
      <c r="E1164" s="1516"/>
      <c r="F1164" s="1511"/>
      <c r="G1164" s="1509" t="str">
        <f ca="1">G1163</f>
        <v/>
      </c>
      <c r="H1164" s="1510" t="s">
        <v>3197</v>
      </c>
      <c r="I1164" s="589"/>
      <c r="J1164" s="606"/>
      <c r="K1164" s="606"/>
      <c r="L1164" s="1639"/>
      <c r="M1164" s="1624"/>
      <c r="N1164" s="1620"/>
      <c r="O1164" s="1620"/>
      <c r="P1164" s="991"/>
      <c r="Q1164" s="991"/>
      <c r="R1164" s="991"/>
      <c r="S1164" s="991"/>
      <c r="T1164" s="991"/>
      <c r="W1164" s="905" t="s">
        <v>4497</v>
      </c>
      <c r="X1164" s="1122"/>
      <c r="Z1164" s="1122"/>
      <c r="AC1164" s="1150"/>
      <c r="AD1164" s="1150"/>
      <c r="AE1164" s="1150"/>
      <c r="AL1164" s="1352"/>
      <c r="AM1164" s="1352"/>
      <c r="AN1164" s="1352"/>
      <c r="AO1164" s="1352"/>
      <c r="AP1164" s="1352"/>
      <c r="AQ1164" s="1352"/>
      <c r="AR1164" s="1352"/>
      <c r="AS1164" s="1352"/>
    </row>
    <row r="1165" spans="1:45" s="905" customFormat="1" ht="16" hidden="1" x14ac:dyDescent="0.2">
      <c r="A1165" s="1507">
        <v>7</v>
      </c>
      <c r="B1165" s="1516" t="s">
        <v>4427</v>
      </c>
      <c r="C1165" s="1516" t="s">
        <v>255</v>
      </c>
      <c r="D1165" s="1516"/>
      <c r="E1165" s="1516"/>
      <c r="F1165" s="1511"/>
      <c r="G1165" s="1509" t="str">
        <f ca="1">IF(N1165&gt;0,"P","")</f>
        <v/>
      </c>
      <c r="H1165" s="1510" t="s">
        <v>3197</v>
      </c>
      <c r="I1165" s="606"/>
      <c r="J1165" s="606" t="s">
        <v>255</v>
      </c>
      <c r="K1165" s="606"/>
      <c r="L1165" s="923" t="s">
        <v>4134</v>
      </c>
      <c r="M1165" s="937">
        <f>IFERROR(INDEX({3,6,3,1,1,0,0,0},T1121),0)</f>
        <v>3</v>
      </c>
      <c r="N1165" s="378">
        <f ca="1">'11.700'!O291</f>
        <v>0</v>
      </c>
      <c r="O1165" s="909">
        <f ca="1">IF(AND(S1165,W1165&gt;=1.2),M1165,0)</f>
        <v>0</v>
      </c>
      <c r="P1165" s="991" t="b">
        <v>1</v>
      </c>
      <c r="Q1165" s="991" t="b">
        <v>1</v>
      </c>
      <c r="R1165" s="991" t="b">
        <v>0</v>
      </c>
      <c r="S1165" s="991" t="b">
        <f ca="1">AND(S885=2,LEN(W1158)=0,NOT(W1163=TRUE),NOT(W1166=TRUE),LEN(W1170)=0)</f>
        <v>0</v>
      </c>
      <c r="T1165" s="991" t="b">
        <f ca="1">AND(NOT(S1165),LEN(W1165)&gt;0)</f>
        <v>0</v>
      </c>
      <c r="W1165" s="979"/>
      <c r="X1165" s="1123"/>
      <c r="Y1165" s="1139" t="str">
        <f>IF(LEN('11.700'!X291)=0,"None",'11.700'!X291)</f>
        <v>None</v>
      </c>
      <c r="Z1165" s="1123"/>
      <c r="AC1165" s="1150" t="b">
        <f ca="1">OR(AD1165:AE1165)</f>
        <v>0</v>
      </c>
      <c r="AD1165" s="1150" t="b">
        <f ca="1">T1165</f>
        <v>0</v>
      </c>
      <c r="AE1165" s="1150"/>
      <c r="AL1165" s="1352" t="str">
        <f>SUBSTITUTE(SUBSTITUTE(SUBSTITUTE("vpa"&amp;$B1165&amp;$C1165&amp;$D1165&amp;$E1165&amp;$F1165,".","_"),"(","_"),")","")</f>
        <v>vpa703_3_4_2</v>
      </c>
      <c r="AM1165" s="1352">
        <f>M1165</f>
        <v>3</v>
      </c>
      <c r="AN1165" s="1352" t="str">
        <f>SUBSTITUTE(SUBSTITUTE(SUBSTITUTE("vpc"&amp;$B1165&amp;$C1165&amp;$D1165&amp;$E1165&amp;$F1165,".","_"),"(","_"),")","")</f>
        <v>vpc703_3_4_2</v>
      </c>
      <c r="AO1165" s="1352">
        <f ca="1">O1165</f>
        <v>0</v>
      </c>
      <c r="AP1165" s="1352" t="str">
        <f>SUBSTITUTE(SUBSTITUTE(SUBSTITUTE("vch"&amp;$B1165&amp;$C1165&amp;$D1165&amp;$E1165&amp;$F1165,".","_"),"(","_"),")","")</f>
        <v>vch703_3_4_2</v>
      </c>
      <c r="AQ1165" s="1352" t="str">
        <f>IF(LEN(W1165)=0,"",W1165)</f>
        <v/>
      </c>
      <c r="AR1165" s="1352" t="str">
        <f>SUBSTITUTE(SUBSTITUTE(SUBSTITUTE("vnt"&amp;$B1165&amp;$C1165&amp;$D1165&amp;$E1165&amp;$F1165,".","_"),"(","_"),")","")</f>
        <v>vnt703_3_4_2</v>
      </c>
      <c r="AS1165" s="1352" t="str">
        <f>IF(LEN(X1165)=0,"",X1165)</f>
        <v/>
      </c>
    </row>
    <row r="1166" spans="1:45" s="905" customFormat="1" ht="15" hidden="1" customHeight="1" x14ac:dyDescent="0.2">
      <c r="A1166" s="1507">
        <v>7</v>
      </c>
      <c r="B1166" s="1516" t="s">
        <v>4428</v>
      </c>
      <c r="C1166" s="1516"/>
      <c r="D1166" s="1516"/>
      <c r="E1166" s="1516"/>
      <c r="F1166" s="1511"/>
      <c r="G1166" s="1509" t="str">
        <f ca="1">IF(N1166&gt;0,"P","")</f>
        <v/>
      </c>
      <c r="H1166" s="1510" t="s">
        <v>3197</v>
      </c>
      <c r="I1166" s="608" t="s">
        <v>4135</v>
      </c>
      <c r="J1166" s="608"/>
      <c r="K1166" s="608"/>
      <c r="L1166" s="1686" t="s">
        <v>4136</v>
      </c>
      <c r="M1166" s="1636">
        <f>IFERROR(INDEX({14,18,22,30,37,37,37,37},T1121),0)</f>
        <v>14</v>
      </c>
      <c r="N1166" s="1619">
        <f ca="1">'11.700'!O292</f>
        <v>0</v>
      </c>
      <c r="O1166" s="1637">
        <f ca="1">M1166*S1166*W1166</f>
        <v>0</v>
      </c>
      <c r="P1166" s="991" t="b">
        <v>1</v>
      </c>
      <c r="Q1166" s="991" t="b">
        <v>1</v>
      </c>
      <c r="R1166" s="991" t="b">
        <v>0</v>
      </c>
      <c r="S1166" s="991" t="b">
        <f ca="1">AND(S885=2,LEN(W1126)=0,LEN(W1132)=0,LEN(W1135)=0,LEN(W1140)=0,LEN(W1146)=0,LEN(W1151)=0,LEN(W1153)=0,LEN(W1158)=0,NOT(W1163=TRUE),LEN(W1165)=0,LEN(W1170)=0)</f>
        <v>0</v>
      </c>
      <c r="T1166" s="991" t="b">
        <f ca="1">AND(NOT(S1166),W1166=TRUE)</f>
        <v>0</v>
      </c>
      <c r="W1166" s="27"/>
      <c r="X1166" s="1600"/>
      <c r="Y1166" s="1139" t="str">
        <f>IF(LEN('11.700'!X292)=0,"None",'11.700'!X292)</f>
        <v>None</v>
      </c>
      <c r="Z1166" s="1123"/>
      <c r="AC1166" s="1150" t="b">
        <f ca="1">OR(AD1166:AE1166)</f>
        <v>0</v>
      </c>
      <c r="AD1166" s="1150" t="b">
        <f ca="1">T1166</f>
        <v>0</v>
      </c>
      <c r="AE1166" s="1150"/>
      <c r="AL1166" s="1352" t="str">
        <f>SUBSTITUTE(SUBSTITUTE(SUBSTITUTE("vpa"&amp;$B1166&amp;$C1166&amp;$D1166&amp;$E1166&amp;$F1166,".","_"),"(","_"),")","")</f>
        <v>vpa703_3_5</v>
      </c>
      <c r="AM1166" s="1352">
        <f>M1166</f>
        <v>14</v>
      </c>
      <c r="AN1166" s="1352" t="str">
        <f>SUBSTITUTE(SUBSTITUTE(SUBSTITUTE("vpc"&amp;$B1166&amp;$C1166&amp;$D1166&amp;$E1166&amp;$F1166,".","_"),"(","_"),")","")</f>
        <v>vpc703_3_5</v>
      </c>
      <c r="AO1166" s="1352">
        <f ca="1">O1166</f>
        <v>0</v>
      </c>
      <c r="AP1166" s="1352" t="str">
        <f>SUBSTITUTE(SUBSTITUTE(SUBSTITUTE("vch"&amp;$B1166&amp;$C1166&amp;$D1166&amp;$E1166&amp;$F1166,".","_"),"(","_"),")","")</f>
        <v>vch703_3_5</v>
      </c>
      <c r="AQ1166" s="1352" t="str">
        <f>IF(LEN(W1166)=0,"",W1166)</f>
        <v/>
      </c>
      <c r="AR1166" s="1352" t="str">
        <f>SUBSTITUTE(SUBSTITUTE(SUBSTITUTE("vnt"&amp;$B1166&amp;$C1166&amp;$D1166&amp;$E1166&amp;$F1166,".","_"),"(","_"),")","")</f>
        <v>vnt703_3_5</v>
      </c>
      <c r="AS1166" s="1352" t="str">
        <f>IF(LEN(X1166)=0,"",X1166)</f>
        <v/>
      </c>
    </row>
    <row r="1167" spans="1:45" s="905" customFormat="1" hidden="1" x14ac:dyDescent="0.2">
      <c r="A1167" s="1507">
        <v>7</v>
      </c>
      <c r="B1167" s="1516" t="s">
        <v>4428</v>
      </c>
      <c r="C1167" s="1516"/>
      <c r="D1167" s="1516"/>
      <c r="E1167" s="1516"/>
      <c r="F1167" s="1511"/>
      <c r="G1167" s="1509" t="str">
        <f ca="1">G1166</f>
        <v/>
      </c>
      <c r="H1167" s="1510" t="s">
        <v>3197</v>
      </c>
      <c r="I1167" s="590"/>
      <c r="J1167" s="590"/>
      <c r="K1167" s="590"/>
      <c r="L1167" s="1687"/>
      <c r="M1167" s="1623"/>
      <c r="N1167" s="1619"/>
      <c r="O1167" s="1619"/>
      <c r="P1167" s="991"/>
      <c r="Q1167" s="991"/>
      <c r="R1167" s="991"/>
      <c r="S1167" s="991"/>
      <c r="T1167" s="991"/>
      <c r="X1167" s="1600"/>
      <c r="Z1167" s="1122"/>
      <c r="AL1167" s="1352"/>
      <c r="AM1167" s="1352"/>
      <c r="AN1167" s="1352"/>
      <c r="AO1167" s="1352"/>
      <c r="AP1167" s="1352"/>
      <c r="AQ1167" s="1352"/>
      <c r="AR1167" s="1352"/>
      <c r="AS1167" s="1352"/>
    </row>
    <row r="1168" spans="1:45" s="905" customFormat="1" hidden="1" x14ac:dyDescent="0.2">
      <c r="A1168" s="1507">
        <v>7</v>
      </c>
      <c r="B1168" s="1516" t="s">
        <v>4428</v>
      </c>
      <c r="C1168" s="1516"/>
      <c r="D1168" s="1516"/>
      <c r="E1168" s="1516"/>
      <c r="F1168" s="1511"/>
      <c r="G1168" s="1509" t="str">
        <f ca="1">G1167</f>
        <v/>
      </c>
      <c r="H1168" s="1510" t="s">
        <v>3197</v>
      </c>
      <c r="I1168" s="606"/>
      <c r="J1168" s="606"/>
      <c r="K1168" s="606"/>
      <c r="L1168" s="1688"/>
      <c r="M1168" s="1624"/>
      <c r="N1168" s="1620"/>
      <c r="O1168" s="1620"/>
      <c r="P1168" s="991"/>
      <c r="Q1168" s="991"/>
      <c r="R1168" s="991"/>
      <c r="S1168" s="991"/>
      <c r="T1168" s="991"/>
      <c r="X1168" s="1600"/>
      <c r="Z1168" s="1122"/>
      <c r="AL1168" s="1352"/>
      <c r="AM1168" s="1352"/>
      <c r="AN1168" s="1352"/>
      <c r="AO1168" s="1352"/>
      <c r="AP1168" s="1352"/>
      <c r="AQ1168" s="1352"/>
      <c r="AR1168" s="1352"/>
      <c r="AS1168" s="1352"/>
    </row>
    <row r="1169" spans="1:45" s="905" customFormat="1" ht="15" hidden="1" customHeight="1" x14ac:dyDescent="0.2">
      <c r="A1169" s="1507">
        <v>7</v>
      </c>
      <c r="B1169" s="1516" t="s">
        <v>4429</v>
      </c>
      <c r="C1169" s="1516"/>
      <c r="D1169" s="1516"/>
      <c r="E1169" s="1516"/>
      <c r="F1169" s="1511"/>
      <c r="G1169" s="1509" t="str">
        <f ca="1">IF(N1169&gt;0,"P","")</f>
        <v/>
      </c>
      <c r="H1169" s="1510" t="s">
        <v>3197</v>
      </c>
      <c r="I1169" s="589" t="s">
        <v>4137</v>
      </c>
      <c r="J1169" s="589"/>
      <c r="K1169" s="589"/>
      <c r="L1169" s="1687" t="s">
        <v>4138</v>
      </c>
      <c r="M1169" s="913"/>
      <c r="N1169" s="1637">
        <f ca="1">'11.700'!O295</f>
        <v>0</v>
      </c>
      <c r="O1169" s="1619">
        <f ca="1">IFERROR(INDEX(M1173:M1175,MATCH(W1170,{16,24,28},1)),0)*S1170</f>
        <v>0</v>
      </c>
      <c r="P1169" s="991"/>
      <c r="Q1169" s="991"/>
      <c r="R1169" s="991"/>
      <c r="S1169" s="991"/>
      <c r="T1169" s="991"/>
      <c r="W1169" s="905" t="s">
        <v>4499</v>
      </c>
      <c r="X1169" s="1600"/>
      <c r="Y1169" s="1874" t="str">
        <f>IF(LEN('11.700'!X295)=0,"None",'11.700'!X295)</f>
        <v>None</v>
      </c>
      <c r="Z1169" s="1600"/>
      <c r="AL1169" s="1352"/>
      <c r="AM1169" s="1352"/>
      <c r="AN1169" s="1352" t="str">
        <f>SUBSTITUTE(SUBSTITUTE(SUBSTITUTE("vpc"&amp;$B1169&amp;$C1169&amp;$D1169&amp;$E1169&amp;$F1169,".","_"),"(","_"),")","")</f>
        <v>vpc703_3_6</v>
      </c>
      <c r="AO1169" s="1352">
        <f ca="1">O1169</f>
        <v>0</v>
      </c>
      <c r="AP1169" s="1352"/>
      <c r="AQ1169" s="1352"/>
      <c r="AR1169" s="1352" t="str">
        <f>SUBSTITUTE(SUBSTITUTE(SUBSTITUTE("vnt"&amp;$B1169&amp;$C1169&amp;$D1169&amp;$E1169&amp;$F1169,".","_"),"(","_"),")","")</f>
        <v>vnt703_3_6</v>
      </c>
      <c r="AS1169" s="1352" t="str">
        <f>IF(LEN(X1169)=0,"",X1169)</f>
        <v/>
      </c>
    </row>
    <row r="1170" spans="1:45" s="905" customFormat="1" hidden="1" x14ac:dyDescent="0.2">
      <c r="A1170" s="1507">
        <v>7</v>
      </c>
      <c r="B1170" s="1516" t="s">
        <v>4429</v>
      </c>
      <c r="C1170" s="1516"/>
      <c r="D1170" s="1516"/>
      <c r="E1170" s="1516"/>
      <c r="F1170" s="1511"/>
      <c r="G1170" s="1509" t="str">
        <f t="shared" ref="G1170:G1175" ca="1" si="94">G1169</f>
        <v/>
      </c>
      <c r="H1170" s="1510" t="s">
        <v>3197</v>
      </c>
      <c r="I1170" s="589"/>
      <c r="J1170" s="589"/>
      <c r="K1170" s="589"/>
      <c r="L1170" s="1687"/>
      <c r="M1170" s="913"/>
      <c r="N1170" s="1619"/>
      <c r="O1170" s="1619"/>
      <c r="P1170" s="991" t="b">
        <v>1</v>
      </c>
      <c r="Q1170" s="991" t="b">
        <v>1</v>
      </c>
      <c r="R1170" s="991" t="b">
        <v>0</v>
      </c>
      <c r="S1170" s="991" t="b">
        <f ca="1">AND(S885=2,LEN(W1126)=0,LEN(W1132)=0,LEN(W1135)=0,LEN(W1140)=0,LEN(W1146)=0,LEN(W1151)=0,LEN(W1153)=0,LEN(W1158)=0,NOT(W1163=TRUE),LEN(W1165)=0,NOT(W1166=TRUE))</f>
        <v>0</v>
      </c>
      <c r="T1170" s="991" t="b">
        <f ca="1">AND(NOT(S1170),LEN(W1170)&gt;0)</f>
        <v>0</v>
      </c>
      <c r="W1170" s="979"/>
      <c r="X1170" s="1600"/>
      <c r="Y1170" s="1874"/>
      <c r="Z1170" s="1600"/>
      <c r="AC1170" s="1150" t="b">
        <f ca="1">OR(AD1170:AE1170)</f>
        <v>0</v>
      </c>
      <c r="AD1170" s="1150" t="b">
        <f ca="1">T1170</f>
        <v>0</v>
      </c>
      <c r="AE1170" s="1150"/>
      <c r="AL1170" s="1352"/>
      <c r="AM1170" s="1352"/>
      <c r="AN1170" s="1352"/>
      <c r="AO1170" s="1352"/>
      <c r="AP1170" s="1352" t="str">
        <f>SUBSTITUTE(SUBSTITUTE(SUBSTITUTE("vch"&amp;$B1170&amp;$C1170&amp;$D1170&amp;$E1170&amp;$F1170,".","_"),"(","_"),")","")</f>
        <v>vch703_3_6</v>
      </c>
      <c r="AQ1170" s="1352" t="str">
        <f>IF(LEN(W1170)=0,"",W1170)</f>
        <v/>
      </c>
      <c r="AR1170" s="1352"/>
      <c r="AS1170" s="1352"/>
    </row>
    <row r="1171" spans="1:45" s="905" customFormat="1" hidden="1" x14ac:dyDescent="0.2">
      <c r="A1171" s="1507">
        <v>7</v>
      </c>
      <c r="B1171" s="1516" t="s">
        <v>4429</v>
      </c>
      <c r="C1171" s="1516"/>
      <c r="D1171" s="1516"/>
      <c r="E1171" s="1516"/>
      <c r="F1171" s="1511"/>
      <c r="G1171" s="1509" t="str">
        <f t="shared" ca="1" si="94"/>
        <v/>
      </c>
      <c r="H1171" s="1510" t="s">
        <v>3197</v>
      </c>
      <c r="I1171" s="589"/>
      <c r="J1171" s="589"/>
      <c r="K1171" s="589"/>
      <c r="L1171" s="1687"/>
      <c r="M1171" s="913"/>
      <c r="N1171" s="1619"/>
      <c r="O1171" s="1619"/>
      <c r="P1171" s="991"/>
      <c r="Q1171" s="991"/>
      <c r="R1171" s="991"/>
      <c r="S1171" s="991"/>
      <c r="T1171" s="991"/>
      <c r="X1171" s="1600"/>
      <c r="Y1171" s="1874"/>
      <c r="Z1171" s="1600"/>
      <c r="AC1171" s="1150"/>
      <c r="AD1171" s="1150"/>
      <c r="AE1171" s="1150"/>
      <c r="AL1171" s="1352"/>
      <c r="AM1171" s="1352"/>
      <c r="AN1171" s="1352"/>
      <c r="AO1171" s="1352"/>
      <c r="AP1171" s="1352"/>
      <c r="AQ1171" s="1352"/>
      <c r="AR1171" s="1352"/>
      <c r="AS1171" s="1352"/>
    </row>
    <row r="1172" spans="1:45" s="905" customFormat="1" hidden="1" x14ac:dyDescent="0.2">
      <c r="A1172" s="1507">
        <v>7</v>
      </c>
      <c r="B1172" s="1516" t="s">
        <v>4429</v>
      </c>
      <c r="C1172" s="1516"/>
      <c r="D1172" s="1516"/>
      <c r="E1172" s="1516"/>
      <c r="F1172" s="1511"/>
      <c r="G1172" s="1509" t="str">
        <f t="shared" ca="1" si="94"/>
        <v/>
      </c>
      <c r="H1172" s="1510" t="s">
        <v>3197</v>
      </c>
      <c r="I1172" s="589"/>
      <c r="J1172" s="589"/>
      <c r="K1172" s="589"/>
      <c r="L1172" s="1687"/>
      <c r="M1172" s="991"/>
      <c r="N1172" s="1619"/>
      <c r="O1172" s="1619"/>
      <c r="P1172" s="991"/>
      <c r="Q1172" s="991"/>
      <c r="R1172" s="991"/>
      <c r="S1172" s="991"/>
      <c r="T1172" s="991"/>
      <c r="X1172" s="1600"/>
      <c r="Y1172" s="1874"/>
      <c r="Z1172" s="1600"/>
      <c r="AC1172" s="1150"/>
      <c r="AD1172" s="1150"/>
      <c r="AE1172" s="1150"/>
      <c r="AL1172" s="1352"/>
      <c r="AM1172" s="1352"/>
      <c r="AN1172" s="1352"/>
      <c r="AO1172" s="1352"/>
      <c r="AP1172" s="1352"/>
      <c r="AQ1172" s="1352"/>
      <c r="AR1172" s="1352"/>
      <c r="AS1172" s="1352"/>
    </row>
    <row r="1173" spans="1:45" s="905" customFormat="1" hidden="1" x14ac:dyDescent="0.2">
      <c r="A1173" s="1507">
        <v>7</v>
      </c>
      <c r="B1173" s="1516" t="s">
        <v>4429</v>
      </c>
      <c r="C1173" s="1516" t="s">
        <v>3921</v>
      </c>
      <c r="D1173" s="1516"/>
      <c r="E1173" s="1516"/>
      <c r="F1173" s="1511"/>
      <c r="G1173" s="1509" t="str">
        <f t="shared" ca="1" si="94"/>
        <v/>
      </c>
      <c r="H1173" s="1510" t="s">
        <v>3197</v>
      </c>
      <c r="I1173" s="589"/>
      <c r="J1173" s="589"/>
      <c r="K1173" s="589"/>
      <c r="L1173" s="917" t="s">
        <v>4139</v>
      </c>
      <c r="M1173" s="913">
        <f>IFERROR(INDEX({1,1,2,16,22,22,22,22},T1121),0)</f>
        <v>1</v>
      </c>
      <c r="N1173" s="129"/>
      <c r="O1173" s="908"/>
      <c r="P1173" s="991"/>
      <c r="Q1173" s="991"/>
      <c r="R1173" s="991"/>
      <c r="S1173" s="991"/>
      <c r="T1173" s="991"/>
      <c r="X1173" s="1600"/>
      <c r="Y1173" s="1874"/>
      <c r="Z1173" s="1600"/>
      <c r="AC1173" s="1150"/>
      <c r="AD1173" s="1150"/>
      <c r="AE1173" s="1150"/>
      <c r="AL1173" s="1352" t="str">
        <f>SUBSTITUTE(SUBSTITUTE(SUBSTITUTE("vpa"&amp;$B1173&amp;$C1173&amp;$D1173&amp;$E1173&amp;$F1173,".","_"),"(","_"),")","")</f>
        <v>vpa703_3_6_1</v>
      </c>
      <c r="AM1173" s="1352">
        <f>M1173</f>
        <v>1</v>
      </c>
      <c r="AN1173" s="1352"/>
      <c r="AO1173" s="1352"/>
      <c r="AP1173" s="1352"/>
      <c r="AQ1173" s="1352"/>
      <c r="AR1173" s="1352"/>
      <c r="AS1173" s="1352"/>
    </row>
    <row r="1174" spans="1:45" s="905" customFormat="1" hidden="1" x14ac:dyDescent="0.2">
      <c r="A1174" s="1507">
        <v>7</v>
      </c>
      <c r="B1174" s="1516" t="s">
        <v>4429</v>
      </c>
      <c r="C1174" s="1516" t="s">
        <v>3922</v>
      </c>
      <c r="D1174" s="1516"/>
      <c r="E1174" s="1516"/>
      <c r="F1174" s="1511"/>
      <c r="G1174" s="1509" t="str">
        <f t="shared" ca="1" si="94"/>
        <v/>
      </c>
      <c r="H1174" s="1510" t="s">
        <v>3197</v>
      </c>
      <c r="I1174" s="589"/>
      <c r="J1174" s="589"/>
      <c r="K1174" s="589"/>
      <c r="L1174" s="917" t="s">
        <v>4140</v>
      </c>
      <c r="M1174" s="913">
        <f>IFERROR(INDEX({24,29,22,31,35,35,35,35},T1121),0)</f>
        <v>24</v>
      </c>
      <c r="N1174" s="129"/>
      <c r="O1174" s="908"/>
      <c r="P1174" s="991"/>
      <c r="Q1174" s="991"/>
      <c r="R1174" s="991"/>
      <c r="S1174" s="991"/>
      <c r="T1174" s="991"/>
      <c r="X1174" s="1600"/>
      <c r="Y1174" s="1874"/>
      <c r="Z1174" s="1600"/>
      <c r="AC1174" s="1150"/>
      <c r="AD1174" s="1150"/>
      <c r="AE1174" s="1150"/>
      <c r="AL1174" s="1352" t="str">
        <f>SUBSTITUTE(SUBSTITUTE(SUBSTITUTE("vpa"&amp;$B1174&amp;$C1174&amp;$D1174&amp;$E1174&amp;$F1174,".","_"),"(","_"),")","")</f>
        <v>vpa703_3_6_2</v>
      </c>
      <c r="AM1174" s="1352">
        <f>M1174</f>
        <v>24</v>
      </c>
      <c r="AN1174" s="1352"/>
      <c r="AO1174" s="1352"/>
      <c r="AP1174" s="1352"/>
      <c r="AQ1174" s="1352"/>
      <c r="AR1174" s="1352"/>
      <c r="AS1174" s="1352"/>
    </row>
    <row r="1175" spans="1:45" s="905" customFormat="1" hidden="1" x14ac:dyDescent="0.2">
      <c r="A1175" s="1507">
        <v>7</v>
      </c>
      <c r="B1175" s="1516" t="s">
        <v>4429</v>
      </c>
      <c r="C1175" s="1516" t="s">
        <v>3923</v>
      </c>
      <c r="D1175" s="1516"/>
      <c r="E1175" s="1516"/>
      <c r="F1175" s="1511"/>
      <c r="G1175" s="1509" t="str">
        <f t="shared" ca="1" si="94"/>
        <v/>
      </c>
      <c r="H1175" s="1510" t="s">
        <v>3197</v>
      </c>
      <c r="I1175" s="606"/>
      <c r="J1175" s="606"/>
      <c r="K1175" s="606"/>
      <c r="L1175" s="923" t="s">
        <v>4141</v>
      </c>
      <c r="M1175" s="937">
        <f>IFERROR(INDEX({42,46,35,42,44,44,44,44},T1121),0)</f>
        <v>42</v>
      </c>
      <c r="N1175" s="213"/>
      <c r="O1175" s="909"/>
      <c r="P1175" s="991"/>
      <c r="Q1175" s="991"/>
      <c r="R1175" s="991"/>
      <c r="S1175" s="991"/>
      <c r="T1175" s="991"/>
      <c r="X1175" s="1600"/>
      <c r="Y1175" s="1874"/>
      <c r="Z1175" s="1600"/>
      <c r="AC1175" s="1150"/>
      <c r="AD1175" s="1150"/>
      <c r="AE1175" s="1150"/>
      <c r="AL1175" s="1352" t="str">
        <f>SUBSTITUTE(SUBSTITUTE(SUBSTITUTE("vpa"&amp;$B1175&amp;$C1175&amp;$D1175&amp;$E1175&amp;$F1175,".","_"),"(","_"),")","")</f>
        <v>vpa703_3_6_3</v>
      </c>
      <c r="AM1175" s="1352">
        <f>M1175</f>
        <v>42</v>
      </c>
      <c r="AN1175" s="1352"/>
      <c r="AO1175" s="1352"/>
      <c r="AP1175" s="1352"/>
      <c r="AQ1175" s="1352"/>
      <c r="AR1175" s="1352"/>
      <c r="AS1175" s="1352"/>
    </row>
    <row r="1176" spans="1:45" s="905" customFormat="1" ht="15" hidden="1" customHeight="1" x14ac:dyDescent="0.2">
      <c r="A1176" s="1507">
        <v>7</v>
      </c>
      <c r="B1176" s="1516" t="s">
        <v>4430</v>
      </c>
      <c r="C1176" s="1516"/>
      <c r="D1176" s="1516"/>
      <c r="E1176" s="1516"/>
      <c r="F1176" s="1511"/>
      <c r="G1176" s="1509" t="str">
        <f ca="1">IF(N1176&gt;0,"P","")</f>
        <v/>
      </c>
      <c r="H1176" s="1530" t="s">
        <v>3199</v>
      </c>
      <c r="I1176" s="589" t="s">
        <v>4142</v>
      </c>
      <c r="J1176" s="589"/>
      <c r="K1176" s="589"/>
      <c r="L1176" s="1687" t="s">
        <v>4143</v>
      </c>
      <c r="M1176" s="913">
        <v>1</v>
      </c>
      <c r="N1176" s="1125">
        <f ca="1">'11.700'!O302</f>
        <v>0</v>
      </c>
      <c r="O1176" s="908">
        <f ca="1">IF(AND(S1178,W1178&gt;0),MIN(8,W1178),M1176*S1176*W1176)</f>
        <v>0</v>
      </c>
      <c r="P1176" s="991" t="b">
        <v>0</v>
      </c>
      <c r="Q1176" s="991" t="b">
        <v>1</v>
      </c>
      <c r="R1176" s="991" t="b">
        <v>0</v>
      </c>
      <c r="S1176" s="991" t="b">
        <f ca="1">AND(S885=2,NOT(W1183))</f>
        <v>0</v>
      </c>
      <c r="T1176" s="991" t="b">
        <f ca="1">AND(NOT(S1176),W1176=TRUE)</f>
        <v>0</v>
      </c>
      <c r="W1176" s="27"/>
      <c r="X1176" s="1621"/>
      <c r="Y1176" s="1874" t="str">
        <f>IF(LEN('11.700'!X302)=0,"None",'11.700'!X302)</f>
        <v>None</v>
      </c>
      <c r="Z1176" s="1621"/>
      <c r="AC1176" s="1150" t="b">
        <f ca="1">OR(AD1176:AE1176)</f>
        <v>0</v>
      </c>
      <c r="AD1176" s="1150" t="b">
        <f ca="1">T1176</f>
        <v>0</v>
      </c>
      <c r="AE1176" s="1150"/>
      <c r="AL1176" s="1352" t="str">
        <f>SUBSTITUTE(SUBSTITUTE(SUBSTITUTE("vpa"&amp;$B1176&amp;$C1176&amp;$D1176&amp;$E1176&amp;$F1176,".","_"),"(","_"),")","")</f>
        <v>vpa703_3_7</v>
      </c>
      <c r="AM1176" s="1352">
        <f>M1176</f>
        <v>1</v>
      </c>
      <c r="AN1176" s="1352" t="str">
        <f>SUBSTITUTE(SUBSTITUTE(SUBSTITUTE("vpc"&amp;$B1176&amp;$C1176&amp;$D1176&amp;$E1176&amp;$F1176,".","_"),"(","_"),")","")</f>
        <v>vpc703_3_7</v>
      </c>
      <c r="AO1176" s="1352">
        <f ca="1">O1176</f>
        <v>0</v>
      </c>
      <c r="AP1176" s="1352" t="str">
        <f>SUBSTITUTE(SUBSTITUTE(SUBSTITUTE("vch"&amp;$B1176&amp;$C1176&amp;$D1176&amp;$E1176&amp;$F1176,".","_"),"(","_"),")","")</f>
        <v>vch703_3_7</v>
      </c>
      <c r="AQ1176" s="1352" t="str">
        <f>IF(LEN(W1176)=0,"",W1176)</f>
        <v/>
      </c>
      <c r="AR1176" s="1352" t="str">
        <f>SUBSTITUTE(SUBSTITUTE(SUBSTITUTE("vnt"&amp;$B1176&amp;$C1176&amp;$D1176&amp;$E1176&amp;$F1176,".","_"),"(","_"),")","")</f>
        <v>vnt703_3_7</v>
      </c>
      <c r="AS1176" s="1352" t="str">
        <f>IF(LEN(X1176)=0,"",X1176)</f>
        <v/>
      </c>
    </row>
    <row r="1177" spans="1:45" s="905" customFormat="1" hidden="1" x14ac:dyDescent="0.2">
      <c r="A1177" s="1507">
        <v>7</v>
      </c>
      <c r="B1177" s="1516" t="s">
        <v>4430</v>
      </c>
      <c r="C1177" s="1516"/>
      <c r="D1177" s="1516"/>
      <c r="E1177" s="1516"/>
      <c r="F1177" s="1511"/>
      <c r="G1177" s="1509" t="str">
        <f t="shared" ref="G1177:G1182" ca="1" si="95">G1176</f>
        <v/>
      </c>
      <c r="H1177" s="1530" t="s">
        <v>3199</v>
      </c>
      <c r="I1177" s="589"/>
      <c r="J1177" s="589"/>
      <c r="K1177" s="589"/>
      <c r="L1177" s="1687"/>
      <c r="M1177" s="913"/>
      <c r="N1177" s="129"/>
      <c r="O1177" s="908"/>
      <c r="P1177" s="991"/>
      <c r="Q1177" s="991"/>
      <c r="R1177" s="991"/>
      <c r="S1177" s="991"/>
      <c r="T1177" s="991"/>
      <c r="W1177" s="905" t="s">
        <v>3028</v>
      </c>
      <c r="X1177" s="1632"/>
      <c r="Y1177" s="1874"/>
      <c r="Z1177" s="1632"/>
      <c r="AC1177" s="1150"/>
      <c r="AD1177" s="1150"/>
      <c r="AE1177" s="1150"/>
      <c r="AL1177" s="1352"/>
      <c r="AM1177" s="1352"/>
      <c r="AN1177" s="1352"/>
      <c r="AO1177" s="1352"/>
      <c r="AP1177" s="1352"/>
      <c r="AQ1177" s="1352"/>
      <c r="AR1177" s="1352"/>
      <c r="AS1177" s="1352"/>
    </row>
    <row r="1178" spans="1:45" s="905" customFormat="1" hidden="1" x14ac:dyDescent="0.2">
      <c r="A1178" s="1507">
        <v>7</v>
      </c>
      <c r="B1178" s="1516" t="s">
        <v>4430</v>
      </c>
      <c r="C1178" s="1516" t="s">
        <v>3921</v>
      </c>
      <c r="D1178" s="1516"/>
      <c r="E1178" s="1516"/>
      <c r="F1178" s="1511"/>
      <c r="G1178" s="1509" t="str">
        <f t="shared" ca="1" si="95"/>
        <v/>
      </c>
      <c r="H1178" s="1530" t="s">
        <v>3199</v>
      </c>
      <c r="I1178" s="589"/>
      <c r="J1178" s="589"/>
      <c r="K1178" s="589"/>
      <c r="L1178" s="1687"/>
      <c r="M1178" s="913"/>
      <c r="N1178" s="129"/>
      <c r="O1178" s="908"/>
      <c r="P1178" s="991" t="b">
        <v>0</v>
      </c>
      <c r="Q1178" s="991" t="b">
        <v>1</v>
      </c>
      <c r="R1178" s="991" t="b">
        <v>0</v>
      </c>
      <c r="S1178" s="991" t="b">
        <f ca="1">AND(S885=2,NOT(W1183),W1176=TRUE,OR(BI890="Tropical",AND(BG890="Dry",OR(BF890=2,BF890=3,BF890=4))))</f>
        <v>0</v>
      </c>
      <c r="T1178" s="991" t="b">
        <f ca="1">AND(NOT(S1178),LEN(W1178)&gt;0)</f>
        <v>0</v>
      </c>
      <c r="W1178" s="744"/>
      <c r="X1178" s="1632"/>
      <c r="Y1178" s="1874"/>
      <c r="Z1178" s="1632"/>
      <c r="AC1178" s="1150" t="b">
        <f ca="1">OR(AD1178:AE1178)</f>
        <v>0</v>
      </c>
      <c r="AD1178" s="1150" t="b">
        <f ca="1">T1178</f>
        <v>0</v>
      </c>
      <c r="AE1178" s="1150"/>
      <c r="AL1178" s="1352"/>
      <c r="AM1178" s="1352"/>
      <c r="AN1178" s="1352"/>
      <c r="AO1178" s="1352"/>
      <c r="AP1178" s="1352" t="str">
        <f>SUBSTITUTE(SUBSTITUTE(SUBSTITUTE("vch"&amp;$B1178&amp;$C1178&amp;$D1178&amp;$E1178&amp;$F1178,".","_"),"(","_"),")","")</f>
        <v>vch703_3_7_1</v>
      </c>
      <c r="AQ1178" s="1352" t="str">
        <f>IF(LEN(W1178)=0,"",W1178)</f>
        <v/>
      </c>
      <c r="AR1178" s="1352"/>
      <c r="AS1178" s="1352"/>
    </row>
    <row r="1179" spans="1:45" s="905" customFormat="1" hidden="1" x14ac:dyDescent="0.2">
      <c r="A1179" s="1507">
        <v>7</v>
      </c>
      <c r="B1179" s="1516" t="s">
        <v>4430</v>
      </c>
      <c r="C1179" s="1516"/>
      <c r="D1179" s="1516"/>
      <c r="E1179" s="1516"/>
      <c r="F1179" s="1511"/>
      <c r="G1179" s="1509" t="str">
        <f t="shared" ca="1" si="95"/>
        <v/>
      </c>
      <c r="H1179" s="1530" t="s">
        <v>3199</v>
      </c>
      <c r="I1179" s="589"/>
      <c r="J1179" s="589"/>
      <c r="K1179" s="589"/>
      <c r="L1179" s="1687"/>
      <c r="M1179" s="991"/>
      <c r="N1179" s="991"/>
      <c r="O1179" s="991"/>
      <c r="P1179" s="991"/>
      <c r="Q1179" s="991"/>
      <c r="R1179" s="991"/>
      <c r="S1179" s="991"/>
      <c r="T1179" s="991"/>
      <c r="X1179" s="1632"/>
      <c r="Y1179" s="1874"/>
      <c r="Z1179" s="1632"/>
      <c r="AC1179" s="1150"/>
      <c r="AD1179" s="1150"/>
      <c r="AE1179" s="1150"/>
      <c r="AL1179" s="1352"/>
      <c r="AM1179" s="1352"/>
      <c r="AN1179" s="1352"/>
      <c r="AO1179" s="1352"/>
      <c r="AP1179" s="1352"/>
      <c r="AQ1179" s="1352"/>
      <c r="AR1179" s="1352"/>
      <c r="AS1179" s="1352"/>
    </row>
    <row r="1180" spans="1:45" s="905" customFormat="1" hidden="1" x14ac:dyDescent="0.2">
      <c r="A1180" s="1507">
        <v>7</v>
      </c>
      <c r="B1180" s="1516" t="s">
        <v>4430</v>
      </c>
      <c r="C1180" s="1516"/>
      <c r="D1180" s="1516"/>
      <c r="E1180" s="1516"/>
      <c r="F1180" s="1511"/>
      <c r="G1180" s="1509" t="str">
        <f t="shared" ca="1" si="95"/>
        <v/>
      </c>
      <c r="H1180" s="1530" t="s">
        <v>3199</v>
      </c>
      <c r="I1180" s="589"/>
      <c r="J1180" s="589"/>
      <c r="K1180" s="589"/>
      <c r="L1180" s="1687"/>
      <c r="M1180" s="991"/>
      <c r="N1180" s="991"/>
      <c r="O1180" s="991"/>
      <c r="P1180" s="991"/>
      <c r="Q1180" s="991"/>
      <c r="R1180" s="991"/>
      <c r="S1180" s="991"/>
      <c r="T1180" s="991"/>
      <c r="X1180" s="1632"/>
      <c r="Y1180" s="1874"/>
      <c r="Z1180" s="1632"/>
      <c r="AC1180" s="1150"/>
      <c r="AD1180" s="1150"/>
      <c r="AE1180" s="1150"/>
      <c r="AL1180" s="1352"/>
      <c r="AM1180" s="1352"/>
      <c r="AN1180" s="1352"/>
      <c r="AO1180" s="1352"/>
      <c r="AP1180" s="1352"/>
      <c r="AQ1180" s="1352"/>
      <c r="AR1180" s="1352"/>
      <c r="AS1180" s="1352"/>
    </row>
    <row r="1181" spans="1:45" s="905" customFormat="1" hidden="1" x14ac:dyDescent="0.2">
      <c r="A1181" s="1507">
        <v>7</v>
      </c>
      <c r="B1181" s="1516" t="s">
        <v>4430</v>
      </c>
      <c r="C1181" s="1516"/>
      <c r="D1181" s="1516"/>
      <c r="E1181" s="1516"/>
      <c r="F1181" s="1511"/>
      <c r="G1181" s="1509" t="str">
        <f t="shared" ca="1" si="95"/>
        <v/>
      </c>
      <c r="H1181" s="1530" t="s">
        <v>3199</v>
      </c>
      <c r="I1181" s="589"/>
      <c r="J1181" s="589"/>
      <c r="K1181" s="589"/>
      <c r="L1181" s="1687"/>
      <c r="M1181" s="991"/>
      <c r="N1181" s="991"/>
      <c r="O1181" s="991"/>
      <c r="P1181" s="991"/>
      <c r="Q1181" s="991"/>
      <c r="R1181" s="991"/>
      <c r="S1181" s="991"/>
      <c r="T1181" s="991"/>
      <c r="X1181" s="1632"/>
      <c r="Y1181" s="1874"/>
      <c r="Z1181" s="1632"/>
      <c r="AC1181" s="1150"/>
      <c r="AD1181" s="1150"/>
      <c r="AE1181" s="1150"/>
      <c r="AL1181" s="1352"/>
      <c r="AM1181" s="1352"/>
      <c r="AN1181" s="1352"/>
      <c r="AO1181" s="1352"/>
      <c r="AP1181" s="1352"/>
      <c r="AQ1181" s="1352"/>
      <c r="AR1181" s="1352"/>
      <c r="AS1181" s="1352"/>
    </row>
    <row r="1182" spans="1:45" s="905" customFormat="1" hidden="1" x14ac:dyDescent="0.2">
      <c r="A1182" s="1507">
        <v>7</v>
      </c>
      <c r="B1182" s="1516" t="s">
        <v>4430</v>
      </c>
      <c r="C1182" s="1516"/>
      <c r="D1182" s="1516"/>
      <c r="E1182" s="1516"/>
      <c r="F1182" s="1511"/>
      <c r="G1182" s="1509" t="str">
        <f t="shared" ca="1" si="95"/>
        <v/>
      </c>
      <c r="H1182" s="1530" t="s">
        <v>3199</v>
      </c>
      <c r="I1182" s="606"/>
      <c r="J1182" s="606"/>
      <c r="K1182" s="606"/>
      <c r="L1182" s="959" t="s">
        <v>4844</v>
      </c>
      <c r="M1182" s="173"/>
      <c r="N1182" s="173"/>
      <c r="O1182" s="173"/>
      <c r="P1182" s="991"/>
      <c r="Q1182" s="991"/>
      <c r="R1182" s="991"/>
      <c r="S1182" s="991"/>
      <c r="T1182" s="991"/>
      <c r="X1182" s="1599"/>
      <c r="Y1182" s="1874"/>
      <c r="Z1182" s="1599"/>
      <c r="AC1182" s="1150"/>
      <c r="AD1182" s="1150"/>
      <c r="AE1182" s="1150"/>
      <c r="AL1182" s="1352"/>
      <c r="AM1182" s="1352"/>
      <c r="AN1182" s="1352"/>
      <c r="AO1182" s="1352"/>
      <c r="AP1182" s="1352"/>
      <c r="AQ1182" s="1352"/>
      <c r="AR1182" s="1352"/>
      <c r="AS1182" s="1352"/>
    </row>
    <row r="1183" spans="1:45" s="905" customFormat="1" ht="15" hidden="1" customHeight="1" x14ac:dyDescent="0.2">
      <c r="A1183" s="1507">
        <v>7</v>
      </c>
      <c r="B1183" s="1516" t="s">
        <v>4431</v>
      </c>
      <c r="C1183" s="1516"/>
      <c r="D1183" s="1516"/>
      <c r="E1183" s="1516"/>
      <c r="F1183" s="1511"/>
      <c r="G1183" s="1509" t="str">
        <f ca="1">IF(N1183&gt;0,"P","")</f>
        <v/>
      </c>
      <c r="H1183" s="1510" t="s">
        <v>3197</v>
      </c>
      <c r="I1183" s="590" t="s">
        <v>4144</v>
      </c>
      <c r="J1183" s="590"/>
      <c r="K1183" s="590"/>
      <c r="L1183" s="1687" t="s">
        <v>4145</v>
      </c>
      <c r="M1183" s="1623">
        <f>IFERROR(INDEX({4,4,4,3,3,3,0,0},T1121),0)</f>
        <v>4</v>
      </c>
      <c r="N1183" s="1637">
        <f ca="1">'11.700'!O309</f>
        <v>0</v>
      </c>
      <c r="O1183" s="1619">
        <f ca="1">M1183*S1183*W1183</f>
        <v>0</v>
      </c>
      <c r="P1183" s="991" t="b">
        <v>1</v>
      </c>
      <c r="Q1183" s="991" t="b">
        <v>1</v>
      </c>
      <c r="R1183" s="991" t="b">
        <v>0</v>
      </c>
      <c r="S1183" s="991" t="b">
        <f ca="1">S885=2</f>
        <v>0</v>
      </c>
      <c r="T1183" s="991" t="b">
        <f ca="1">AND(NOT(S1183),W1183=TRUE)</f>
        <v>0</v>
      </c>
      <c r="U1183" s="991"/>
      <c r="W1183" s="333"/>
      <c r="X1183" s="1601"/>
      <c r="Y1183" s="1881" t="str">
        <f>IF(LEN('11.700'!X309)=0,"None",'11.700'!X309)</f>
        <v>None</v>
      </c>
      <c r="Z1183" s="1600"/>
      <c r="AC1183" s="1150" t="b">
        <f ca="1">OR(AD1183:AE1183)</f>
        <v>0</v>
      </c>
      <c r="AD1183" s="1150" t="b">
        <f ca="1">T1183</f>
        <v>0</v>
      </c>
      <c r="AE1183" s="1150"/>
      <c r="AL1183" s="1352" t="str">
        <f>SUBSTITUTE(SUBSTITUTE(SUBSTITUTE("vpa"&amp;$B1183&amp;$C1183&amp;$D1183&amp;$E1183&amp;$F1183,".","_"),"(","_"),")","")</f>
        <v>vpa703_3_8</v>
      </c>
      <c r="AM1183" s="1352">
        <f>M1183</f>
        <v>4</v>
      </c>
      <c r="AN1183" s="1352" t="str">
        <f>SUBSTITUTE(SUBSTITUTE(SUBSTITUTE("vpc"&amp;$B1183&amp;$C1183&amp;$D1183&amp;$E1183&amp;$F1183,".","_"),"(","_"),")","")</f>
        <v>vpc703_3_8</v>
      </c>
      <c r="AO1183" s="1352">
        <f ca="1">O1183</f>
        <v>0</v>
      </c>
      <c r="AP1183" s="1352" t="str">
        <f>SUBSTITUTE(SUBSTITUTE(SUBSTITUTE("vch"&amp;$B1183&amp;$C1183&amp;$D1183&amp;$E1183&amp;$F1183,".","_"),"(","_"),")","")</f>
        <v>vch703_3_8</v>
      </c>
      <c r="AQ1183" s="1352" t="str">
        <f>IF(LEN(W1183)=0,"",W1183)</f>
        <v/>
      </c>
      <c r="AR1183" s="1352" t="str">
        <f>SUBSTITUTE(SUBSTITUTE(SUBSTITUTE("vnt"&amp;$B1183&amp;$C1183&amp;$D1183&amp;$E1183&amp;$F1183,".","_"),"(","_"),")","")</f>
        <v>vnt703_3_8</v>
      </c>
      <c r="AS1183" s="1352" t="str">
        <f>IF(LEN(X1183)=0,"",X1183)</f>
        <v/>
      </c>
    </row>
    <row r="1184" spans="1:45" s="905" customFormat="1" hidden="1" x14ac:dyDescent="0.2">
      <c r="A1184" s="1507">
        <v>7</v>
      </c>
      <c r="B1184" s="1516" t="s">
        <v>4431</v>
      </c>
      <c r="C1184" s="1516"/>
      <c r="D1184" s="1516"/>
      <c r="E1184" s="1516"/>
      <c r="F1184" s="1511"/>
      <c r="G1184" s="1509" t="str">
        <f ca="1">G1183</f>
        <v/>
      </c>
      <c r="H1184" s="1510" t="s">
        <v>3197</v>
      </c>
      <c r="I1184" s="590"/>
      <c r="J1184" s="590"/>
      <c r="K1184" s="590"/>
      <c r="L1184" s="1687"/>
      <c r="M1184" s="1623"/>
      <c r="N1184" s="1619"/>
      <c r="O1184" s="1619"/>
      <c r="P1184" s="991"/>
      <c r="Q1184" s="991"/>
      <c r="R1184" s="991"/>
      <c r="S1184" s="991"/>
      <c r="T1184" s="991"/>
      <c r="U1184" s="991"/>
      <c r="W1184" s="1135"/>
      <c r="X1184" s="1601"/>
      <c r="Y1184" s="1881"/>
      <c r="Z1184" s="1600"/>
      <c r="AC1184" s="1150"/>
      <c r="AD1184" s="1150"/>
      <c r="AE1184" s="1150"/>
      <c r="AL1184" s="1352"/>
      <c r="AM1184" s="1352"/>
      <c r="AN1184" s="1352"/>
      <c r="AO1184" s="1352"/>
      <c r="AP1184" s="1352"/>
      <c r="AQ1184" s="1352"/>
      <c r="AR1184" s="1352"/>
      <c r="AS1184" s="1352"/>
    </row>
    <row r="1185" spans="1:45" s="905" customFormat="1" ht="15" hidden="1" customHeight="1" x14ac:dyDescent="0.2">
      <c r="A1185" s="1507">
        <v>7</v>
      </c>
      <c r="B1185" s="1516" t="s">
        <v>4431</v>
      </c>
      <c r="C1185" s="467"/>
      <c r="D1185" s="467"/>
      <c r="E1185" s="467"/>
      <c r="F1185" s="467"/>
      <c r="G1185" s="1509" t="str">
        <f ca="1">G1184</f>
        <v/>
      </c>
      <c r="H1185" s="1510" t="s">
        <v>3197</v>
      </c>
      <c r="I1185" s="991"/>
      <c r="J1185" s="991"/>
      <c r="K1185" s="991"/>
      <c r="L1185" s="1730" t="s">
        <v>4845</v>
      </c>
      <c r="M1185" s="991"/>
      <c r="N1185" s="991"/>
      <c r="O1185" s="991"/>
      <c r="P1185" s="991"/>
      <c r="Q1185" s="991"/>
      <c r="R1185" s="991"/>
      <c r="S1185" s="991"/>
      <c r="T1185" s="991"/>
      <c r="U1185" s="991"/>
      <c r="W1185" s="1135"/>
      <c r="X1185" s="1601"/>
      <c r="Y1185" s="1881"/>
      <c r="Z1185" s="1600"/>
      <c r="AC1185" s="1150"/>
      <c r="AD1185" s="1150"/>
      <c r="AE1185" s="1150"/>
      <c r="AL1185" s="1352"/>
      <c r="AM1185" s="1352"/>
      <c r="AN1185" s="1352"/>
      <c r="AO1185" s="1352"/>
      <c r="AP1185" s="1352"/>
      <c r="AQ1185" s="1352"/>
      <c r="AR1185" s="1352"/>
      <c r="AS1185" s="1352"/>
    </row>
    <row r="1186" spans="1:45" s="905" customFormat="1" ht="16" hidden="1" thickBot="1" x14ac:dyDescent="0.25">
      <c r="A1186" s="1507">
        <v>7</v>
      </c>
      <c r="B1186" s="1516" t="s">
        <v>4431</v>
      </c>
      <c r="C1186" s="467"/>
      <c r="D1186" s="467"/>
      <c r="E1186" s="467"/>
      <c r="F1186" s="467"/>
      <c r="G1186" s="1509" t="str">
        <f ca="1">G1185</f>
        <v/>
      </c>
      <c r="H1186" s="1510" t="s">
        <v>3197</v>
      </c>
      <c r="I1186" s="100"/>
      <c r="J1186" s="100"/>
      <c r="K1186" s="100"/>
      <c r="L1186" s="1739"/>
      <c r="M1186" s="100"/>
      <c r="N1186" s="100"/>
      <c r="O1186" s="100"/>
      <c r="P1186" s="100"/>
      <c r="Q1186" s="100"/>
      <c r="R1186" s="100"/>
      <c r="S1186" s="100"/>
      <c r="T1186" s="100"/>
      <c r="U1186" s="100"/>
      <c r="W1186" s="100"/>
      <c r="X1186" s="1602"/>
      <c r="Y1186" s="1882"/>
      <c r="Z1186" s="1602"/>
      <c r="AC1186" s="1150"/>
      <c r="AD1186" s="1150"/>
      <c r="AE1186" s="1150"/>
      <c r="AL1186" s="1352"/>
      <c r="AM1186" s="1352"/>
      <c r="AN1186" s="1352"/>
      <c r="AO1186" s="1352"/>
      <c r="AP1186" s="1352"/>
      <c r="AQ1186" s="1352"/>
      <c r="AR1186" s="1352"/>
      <c r="AS1186" s="1352"/>
    </row>
    <row r="1187" spans="1:45" s="905" customFormat="1" hidden="1" x14ac:dyDescent="0.2">
      <c r="A1187" s="1507">
        <v>7</v>
      </c>
      <c r="B1187" s="1516">
        <v>703.4</v>
      </c>
      <c r="C1187" s="1516"/>
      <c r="D1187" s="1516"/>
      <c r="E1187" s="1516"/>
      <c r="F1187" s="1511"/>
      <c r="G1187" s="1513" t="str">
        <f ca="1">IF(COUNTIF(G1188:G1195,"P")&gt;0,"P","")</f>
        <v/>
      </c>
      <c r="H1187" s="1510" t="s">
        <v>3197</v>
      </c>
      <c r="I1187" s="589" t="s">
        <v>4146</v>
      </c>
      <c r="J1187" s="589"/>
      <c r="K1187" s="589"/>
      <c r="L1187" s="946" t="s">
        <v>4147</v>
      </c>
      <c r="M1187" s="913"/>
      <c r="N1187" s="129"/>
      <c r="O1187" s="908"/>
      <c r="P1187" s="991"/>
      <c r="Q1187" s="991"/>
      <c r="R1187" s="198"/>
      <c r="S1187" s="411" t="s">
        <v>4480</v>
      </c>
      <c r="T1187" s="198" t="b">
        <f>AND(AY899&gt;4,AY893=INDEX(ddSingleOrMulti,2))</f>
        <v>0</v>
      </c>
      <c r="X1187" s="1122"/>
      <c r="Z1187" s="1122"/>
      <c r="AC1187" s="1150"/>
      <c r="AD1187" s="1150"/>
      <c r="AE1187" s="1150"/>
      <c r="AL1187" s="1352"/>
      <c r="AM1187" s="1352"/>
      <c r="AN1187" s="1352"/>
      <c r="AO1187" s="1352"/>
      <c r="AP1187" s="1352"/>
      <c r="AQ1187" s="1352"/>
      <c r="AR1187" s="1352"/>
      <c r="AS1187" s="1352"/>
    </row>
    <row r="1188" spans="1:45" s="905" customFormat="1" ht="16" hidden="1" x14ac:dyDescent="0.2">
      <c r="A1188" s="1507">
        <v>7</v>
      </c>
      <c r="B1188" s="1516" t="s">
        <v>4432</v>
      </c>
      <c r="C1188" s="1516"/>
      <c r="D1188" s="1516"/>
      <c r="E1188" s="1516"/>
      <c r="F1188" s="1511"/>
      <c r="G1188" s="1509" t="str">
        <f ca="1">IF(N1188&gt;0,"P","")</f>
        <v/>
      </c>
      <c r="H1188" s="1510" t="s">
        <v>3197</v>
      </c>
      <c r="I1188" s="590" t="s">
        <v>4148</v>
      </c>
      <c r="J1188" s="590"/>
      <c r="K1188" s="590"/>
      <c r="L1188" s="946" t="s">
        <v>4149</v>
      </c>
      <c r="M1188" s="1199">
        <f>IFERROR(INDEX({0,2,4,6,8,8,8,8},T1121),0)</f>
        <v>0</v>
      </c>
      <c r="N1188" s="1201">
        <f ca="1">'11.700'!O314</f>
        <v>0</v>
      </c>
      <c r="O1188" s="1201">
        <f ca="1">M1188*S1188*W1188</f>
        <v>0</v>
      </c>
      <c r="P1188" s="991" t="b">
        <v>1</v>
      </c>
      <c r="Q1188" s="991" t="b">
        <v>1</v>
      </c>
      <c r="R1188" s="991" t="b">
        <v>0</v>
      </c>
      <c r="S1188" s="991" t="b">
        <f ca="1">AND(S885=2,AY914=INDEX(ddHDucts,2))</f>
        <v>0</v>
      </c>
      <c r="T1188" s="991" t="b">
        <f ca="1">AND(NOT(S1188),W1188=TRUE)</f>
        <v>0</v>
      </c>
      <c r="W1188" s="27"/>
      <c r="X1188" s="1203"/>
      <c r="Y1188" s="1210" t="str">
        <f>IF(LEN('11.700'!X314)=0,"None",'11.700'!X314)</f>
        <v>None</v>
      </c>
      <c r="Z1188" s="1203"/>
      <c r="AC1188" s="1150" t="b">
        <f ca="1">OR(AD1188:AE1188)</f>
        <v>0</v>
      </c>
      <c r="AD1188" s="1150" t="b">
        <f ca="1">T1188</f>
        <v>0</v>
      </c>
      <c r="AE1188" s="1150"/>
      <c r="AL1188" s="1352" t="str">
        <f>SUBSTITUTE(SUBSTITUTE(SUBSTITUTE("vpa"&amp;$B1188&amp;$C1188&amp;$D1188&amp;$E1188&amp;$F1188,".","_"),"(","_"),")","")</f>
        <v>vpa703_4_1</v>
      </c>
      <c r="AM1188" s="1352">
        <f>M1188</f>
        <v>0</v>
      </c>
      <c r="AN1188" s="1352" t="str">
        <f>SUBSTITUTE(SUBSTITUTE(SUBSTITUTE("vpc"&amp;$B1188&amp;$C1188&amp;$D1188&amp;$E1188&amp;$F1188,".","_"),"(","_"),")","")</f>
        <v>vpc703_4_1</v>
      </c>
      <c r="AO1188" s="1352">
        <f ca="1">O1188</f>
        <v>0</v>
      </c>
      <c r="AP1188" s="1352" t="str">
        <f>SUBSTITUTE(SUBSTITUTE(SUBSTITUTE("vch"&amp;$B1188&amp;$C1188&amp;$D1188&amp;$E1188&amp;$F1188,".","_"),"(","_"),")","")</f>
        <v>vch703_4_1</v>
      </c>
      <c r="AQ1188" s="1352" t="str">
        <f>IF(LEN(W1188)=0,"",W1188)</f>
        <v/>
      </c>
      <c r="AR1188" s="1352" t="str">
        <f>SUBSTITUTE(SUBSTITUTE(SUBSTITUTE("vnt"&amp;$B1188&amp;$C1188&amp;$D1188&amp;$E1188&amp;$F1188,".","_"),"(","_"),")","")</f>
        <v>vnt703_4_1</v>
      </c>
      <c r="AS1188" s="1352" t="str">
        <f>IF(LEN(X1188)=0,"",X1188)</f>
        <v/>
      </c>
    </row>
    <row r="1189" spans="1:45" s="905" customFormat="1" ht="16" hidden="1" x14ac:dyDescent="0.2">
      <c r="A1189" s="1507">
        <v>7</v>
      </c>
      <c r="B1189" s="1516" t="s">
        <v>4433</v>
      </c>
      <c r="C1189" s="1516"/>
      <c r="D1189" s="1516"/>
      <c r="E1189" s="1516"/>
      <c r="F1189" s="1511"/>
      <c r="G1189" s="1509" t="str">
        <f ca="1">IF(N1189&gt;0,"P","")</f>
        <v/>
      </c>
      <c r="H1189" s="1510" t="s">
        <v>3197</v>
      </c>
      <c r="I1189" s="607" t="s">
        <v>4150</v>
      </c>
      <c r="J1189" s="607"/>
      <c r="K1189" s="607"/>
      <c r="L1189" s="1094" t="s">
        <v>4151</v>
      </c>
      <c r="M1189" s="379">
        <f>IFERROR(INDEX({8,8,4,2,1,0,0,0},T1121),0)</f>
        <v>8</v>
      </c>
      <c r="N1189" s="378">
        <f ca="1">'11.700'!O315</f>
        <v>0</v>
      </c>
      <c r="O1189" s="378">
        <f ca="1">M1189*S1189*W1189</f>
        <v>0</v>
      </c>
      <c r="P1189" s="991" t="b">
        <v>1</v>
      </c>
      <c r="Q1189" s="991" t="b">
        <v>1</v>
      </c>
      <c r="R1189" s="991" t="b">
        <v>0</v>
      </c>
      <c r="S1189" s="991" t="b">
        <f ca="1">AND(S885=2,AY918=INDEX(ddCDucts,2))</f>
        <v>0</v>
      </c>
      <c r="T1189" s="991" t="b">
        <f ca="1">AND(NOT(S1189),W1189=TRUE)</f>
        <v>0</v>
      </c>
      <c r="W1189" s="27"/>
      <c r="X1189" s="1203"/>
      <c r="Y1189" s="1210" t="str">
        <f>IF(LEN('11.700'!X315)=0,"None",'11.700'!X315)</f>
        <v>None</v>
      </c>
      <c r="Z1189" s="1203"/>
      <c r="AC1189" s="1150" t="b">
        <f ca="1">OR(AD1189:AE1189)</f>
        <v>0</v>
      </c>
      <c r="AD1189" s="1150" t="b">
        <f ca="1">T1189</f>
        <v>0</v>
      </c>
      <c r="AE1189" s="1150"/>
      <c r="AL1189" s="1352" t="str">
        <f>SUBSTITUTE(SUBSTITUTE(SUBSTITUTE("vpa"&amp;$B1189&amp;$C1189&amp;$D1189&amp;$E1189&amp;$F1189,".","_"),"(","_"),")","")</f>
        <v>vpa703_4_2</v>
      </c>
      <c r="AM1189" s="1352">
        <f>M1189</f>
        <v>8</v>
      </c>
      <c r="AN1189" s="1352" t="str">
        <f>SUBSTITUTE(SUBSTITUTE(SUBSTITUTE("vpc"&amp;$B1189&amp;$C1189&amp;$D1189&amp;$E1189&amp;$F1189,".","_"),"(","_"),")","")</f>
        <v>vpc703_4_2</v>
      </c>
      <c r="AO1189" s="1352">
        <f ca="1">O1189</f>
        <v>0</v>
      </c>
      <c r="AP1189" s="1352" t="str">
        <f>SUBSTITUTE(SUBSTITUTE(SUBSTITUTE("vch"&amp;$B1189&amp;$C1189&amp;$D1189&amp;$E1189&amp;$F1189,".","_"),"(","_"),")","")</f>
        <v>vch703_4_2</v>
      </c>
      <c r="AQ1189" s="1352" t="str">
        <f>IF(LEN(W1189)=0,"",W1189)</f>
        <v/>
      </c>
      <c r="AR1189" s="1352" t="str">
        <f>SUBSTITUTE(SUBSTITUTE(SUBSTITUTE("vnt"&amp;$B1189&amp;$C1189&amp;$D1189&amp;$E1189&amp;$F1189,".","_"),"(","_"),")","")</f>
        <v>vnt703_4_2</v>
      </c>
      <c r="AS1189" s="1352" t="str">
        <f>IF(LEN(X1189)=0,"",X1189)</f>
        <v/>
      </c>
    </row>
    <row r="1190" spans="1:45" s="905" customFormat="1" hidden="1" x14ac:dyDescent="0.2">
      <c r="A1190" s="1507">
        <v>7</v>
      </c>
      <c r="B1190" s="1516" t="s">
        <v>4434</v>
      </c>
      <c r="C1190" s="1516"/>
      <c r="D1190" s="1516"/>
      <c r="E1190" s="1516"/>
      <c r="F1190" s="1511"/>
      <c r="G1190" s="1509" t="str">
        <f ca="1">IF(N1190&gt;0,"P","")</f>
        <v/>
      </c>
      <c r="H1190" s="1530" t="s">
        <v>3198</v>
      </c>
      <c r="I1190" s="589" t="s">
        <v>4152</v>
      </c>
      <c r="J1190" s="589"/>
      <c r="K1190" s="589"/>
      <c r="L1190" s="946" t="s">
        <v>4153</v>
      </c>
      <c r="M1190" s="913">
        <f>IFERROR(INDEX({8,10,8,8,8,4,4,4},T1121),0)</f>
        <v>8</v>
      </c>
      <c r="N1190" s="1125">
        <f ca="1">'11.700'!O316</f>
        <v>0</v>
      </c>
      <c r="O1190" s="908">
        <f ca="1">M1190*S1191*S1192*S1194*W1191*W1192*W1194</f>
        <v>0</v>
      </c>
      <c r="P1190" s="991"/>
      <c r="Q1190" s="991"/>
      <c r="R1190" s="991"/>
      <c r="S1190" s="991"/>
      <c r="T1190" s="991"/>
      <c r="Z1190" s="1122"/>
      <c r="AC1190" s="1150"/>
      <c r="AD1190" s="1150"/>
      <c r="AE1190" s="1150"/>
      <c r="AL1190" s="1352" t="str">
        <f>SUBSTITUTE(SUBSTITUTE(SUBSTITUTE("vpa"&amp;$B1190&amp;$C1190&amp;$D1190&amp;$E1190&amp;$F1190,".","_"),"(","_"),")","")</f>
        <v>vpa703_4_3</v>
      </c>
      <c r="AM1190" s="1352">
        <f>M1190</f>
        <v>8</v>
      </c>
      <c r="AN1190" s="1352" t="str">
        <f>SUBSTITUTE(SUBSTITUTE(SUBSTITUTE("vpc"&amp;$B1190&amp;$C1190&amp;$D1190&amp;$E1190&amp;$F1190,".","_"),"(","_"),")","")</f>
        <v>vpc703_4_3</v>
      </c>
      <c r="AO1190" s="1352">
        <f ca="1">O1190</f>
        <v>0</v>
      </c>
      <c r="AP1190" s="1352"/>
      <c r="AQ1190" s="1352"/>
      <c r="AR1190" s="1352"/>
      <c r="AS1190" s="1352"/>
    </row>
    <row r="1191" spans="1:45" s="905" customFormat="1" ht="16" hidden="1" x14ac:dyDescent="0.2">
      <c r="A1191" s="1507">
        <v>7</v>
      </c>
      <c r="B1191" s="1516" t="s">
        <v>4434</v>
      </c>
      <c r="C1191" s="1516" t="s">
        <v>254</v>
      </c>
      <c r="D1191" s="1516"/>
      <c r="E1191" s="1516"/>
      <c r="F1191" s="1511"/>
      <c r="G1191" s="1509" t="str">
        <f ca="1">G1190</f>
        <v/>
      </c>
      <c r="H1191" s="1530" t="s">
        <v>3198</v>
      </c>
      <c r="I1191" s="589"/>
      <c r="J1191" s="589" t="s">
        <v>254</v>
      </c>
      <c r="K1191" s="589"/>
      <c r="L1191" s="917" t="s">
        <v>4154</v>
      </c>
      <c r="M1191" s="913"/>
      <c r="N1191" s="129"/>
      <c r="O1191" s="908"/>
      <c r="P1191" s="991" t="b">
        <v>1</v>
      </c>
      <c r="Q1191" s="991" t="b">
        <v>0</v>
      </c>
      <c r="R1191" s="991" t="b">
        <v>0</v>
      </c>
      <c r="S1191" s="991" t="b">
        <f ca="1">AND(S885=2,OR(AY914&lt;&gt;INDEX(ddHDucts,2),AY918&lt;&gt;INDEX(ddCDucts,2)))</f>
        <v>0</v>
      </c>
      <c r="T1191" s="991" t="b">
        <f ca="1">AND(NOT(S1191),W1191=TRUE)</f>
        <v>0</v>
      </c>
      <c r="W1191" s="27"/>
      <c r="X1191" s="1123"/>
      <c r="Y1191" s="1139" t="str">
        <f>IF(LEN('11.700'!X317)=0,"None",'11.700'!X317)</f>
        <v>None</v>
      </c>
      <c r="Z1191" s="1123"/>
      <c r="AC1191" s="1150" t="b">
        <f ca="1">OR(AD1191:AE1191)</f>
        <v>0</v>
      </c>
      <c r="AD1191" s="1150" t="b">
        <f ca="1">T1191</f>
        <v>0</v>
      </c>
      <c r="AE1191" s="1150"/>
      <c r="AL1191" s="1352"/>
      <c r="AM1191" s="1352"/>
      <c r="AN1191" s="1352"/>
      <c r="AO1191" s="1352"/>
      <c r="AP1191" s="1352" t="str">
        <f>SUBSTITUTE(SUBSTITUTE(SUBSTITUTE("vch"&amp;$B1191&amp;$C1191&amp;$D1191&amp;$E1191&amp;$F1191,".","_"),"(","_"),")","")</f>
        <v>vch703_4_3_1</v>
      </c>
      <c r="AQ1191" s="1352" t="str">
        <f>IF(LEN(W1191)=0,"",W1191)</f>
        <v/>
      </c>
      <c r="AR1191" s="1352" t="str">
        <f>SUBSTITUTE(SUBSTITUTE(SUBSTITUTE("vnt"&amp;$B1191&amp;$C1191&amp;$D1191&amp;$E1191&amp;$F1191,".","_"),"(","_"),")","")</f>
        <v>vnt703_4_3_1</v>
      </c>
      <c r="AS1191" s="1352" t="str">
        <f>IF(LEN(X1191)=0,"",X1191)</f>
        <v/>
      </c>
    </row>
    <row r="1192" spans="1:45" s="905" customFormat="1" ht="15" hidden="1" customHeight="1" x14ac:dyDescent="0.2">
      <c r="A1192" s="1507">
        <v>7</v>
      </c>
      <c r="B1192" s="1516" t="s">
        <v>4434</v>
      </c>
      <c r="C1192" s="1516" t="s">
        <v>255</v>
      </c>
      <c r="D1192" s="1516"/>
      <c r="E1192" s="1516"/>
      <c r="F1192" s="1511"/>
      <c r="G1192" s="1509" t="str">
        <f ca="1">G1191</f>
        <v/>
      </c>
      <c r="H1192" s="1530" t="s">
        <v>3198</v>
      </c>
      <c r="I1192" s="589"/>
      <c r="J1192" s="589" t="s">
        <v>255</v>
      </c>
      <c r="K1192" s="589"/>
      <c r="L1192" s="1634" t="s">
        <v>4155</v>
      </c>
      <c r="M1192" s="913"/>
      <c r="N1192" s="129"/>
      <c r="O1192" s="908"/>
      <c r="P1192" s="991" t="b">
        <v>1</v>
      </c>
      <c r="Q1192" s="991" t="b">
        <v>0</v>
      </c>
      <c r="R1192" s="991" t="b">
        <v>0</v>
      </c>
      <c r="S1192" s="991" t="b">
        <f ca="1">AND(S885=2,OR(AY914&lt;&gt;INDEX(ddHDucts,2),AY918&lt;&gt;INDEX(ddCDucts,2)),W1195&lt;&gt;INDEX(INDIRECT(U1195),1),W1195&lt;&gt;INDEX(INDIRECT(U1195),3))</f>
        <v>0</v>
      </c>
      <c r="T1192" s="991" t="b">
        <f ca="1">AND(NOT(S1192),W1192=TRUE)</f>
        <v>0</v>
      </c>
      <c r="W1192" s="27"/>
      <c r="X1192" s="1600"/>
      <c r="Y1192" s="1874" t="str">
        <f>IF(LEN('11.700'!X318)=0,"None",'11.700'!X318)</f>
        <v>None</v>
      </c>
      <c r="Z1192" s="1600"/>
      <c r="AC1192" s="1150" t="b">
        <f ca="1">OR(AD1192:AE1192)</f>
        <v>0</v>
      </c>
      <c r="AD1192" s="1150" t="b">
        <f ca="1">T1192</f>
        <v>0</v>
      </c>
      <c r="AE1192" s="1150"/>
      <c r="AL1192" s="1352"/>
      <c r="AM1192" s="1352"/>
      <c r="AN1192" s="1352"/>
      <c r="AO1192" s="1352"/>
      <c r="AP1192" s="1352" t="str">
        <f>SUBSTITUTE(SUBSTITUTE(SUBSTITUTE("vch"&amp;$B1192&amp;$C1192&amp;$D1192&amp;$E1192&amp;$F1192,".","_"),"(","_"),")","")</f>
        <v>vch703_4_3_2</v>
      </c>
      <c r="AQ1192" s="1352" t="str">
        <f>IF(LEN(W1192)=0,"",W1192)</f>
        <v/>
      </c>
      <c r="AR1192" s="1352" t="str">
        <f>SUBSTITUTE(SUBSTITUTE(SUBSTITUTE("vnt"&amp;$B1192&amp;$C1192&amp;$D1192&amp;$E1192&amp;$F1192,".","_"),"(","_"),")","")</f>
        <v>vnt703_4_3_2</v>
      </c>
      <c r="AS1192" s="1352" t="str">
        <f>IF(LEN(X1192)=0,"",X1192)</f>
        <v/>
      </c>
    </row>
    <row r="1193" spans="1:45" s="905" customFormat="1" hidden="1" x14ac:dyDescent="0.2">
      <c r="A1193" s="1507">
        <v>7</v>
      </c>
      <c r="B1193" s="1516" t="s">
        <v>4434</v>
      </c>
      <c r="C1193" s="1516" t="s">
        <v>255</v>
      </c>
      <c r="D1193" s="1516"/>
      <c r="E1193" s="1516"/>
      <c r="F1193" s="1511"/>
      <c r="G1193" s="1509" t="str">
        <f ca="1">G1192</f>
        <v/>
      </c>
      <c r="H1193" s="1530" t="s">
        <v>3198</v>
      </c>
      <c r="I1193" s="589"/>
      <c r="J1193" s="589"/>
      <c r="K1193" s="589"/>
      <c r="L1193" s="1634"/>
      <c r="M1193" s="913"/>
      <c r="N1193" s="129"/>
      <c r="O1193" s="908"/>
      <c r="P1193" s="991"/>
      <c r="Q1193" s="991"/>
      <c r="R1193" s="991"/>
      <c r="S1193" s="991"/>
      <c r="T1193" s="991"/>
      <c r="X1193" s="1600"/>
      <c r="Y1193" s="1874"/>
      <c r="Z1193" s="1600"/>
      <c r="AC1193" s="1150"/>
      <c r="AD1193" s="1150"/>
      <c r="AE1193" s="1150"/>
      <c r="AL1193" s="1352"/>
      <c r="AM1193" s="1352"/>
      <c r="AN1193" s="1352"/>
      <c r="AO1193" s="1352"/>
      <c r="AP1193" s="1352"/>
      <c r="AQ1193" s="1352"/>
      <c r="AR1193" s="1352"/>
      <c r="AS1193" s="1352"/>
    </row>
    <row r="1194" spans="1:45" s="905" customFormat="1" ht="16" hidden="1" x14ac:dyDescent="0.2">
      <c r="A1194" s="1507">
        <v>7</v>
      </c>
      <c r="B1194" s="1516" t="s">
        <v>4434</v>
      </c>
      <c r="C1194" s="1516" t="s">
        <v>256</v>
      </c>
      <c r="D1194" s="1516"/>
      <c r="E1194" s="1516"/>
      <c r="F1194" s="1511"/>
      <c r="G1194" s="1509" t="str">
        <f ca="1">G1193</f>
        <v/>
      </c>
      <c r="H1194" s="1530" t="s">
        <v>3198</v>
      </c>
      <c r="I1194" s="606"/>
      <c r="J1194" s="606" t="s">
        <v>256</v>
      </c>
      <c r="K1194" s="606"/>
      <c r="L1194" s="1207" t="s">
        <v>4156</v>
      </c>
      <c r="M1194" s="1200"/>
      <c r="N1194" s="213"/>
      <c r="O1194" s="1202"/>
      <c r="P1194" s="991" t="b">
        <v>1</v>
      </c>
      <c r="Q1194" s="991" t="b">
        <v>0</v>
      </c>
      <c r="R1194" s="991" t="b">
        <v>0</v>
      </c>
      <c r="S1194" s="991" t="b">
        <f ca="1">AND(S885=2,OR(AY914&lt;&gt;INDEX(ddHDucts,2),AY918&lt;&gt;INDEX(ddCDucts,2)))</f>
        <v>0</v>
      </c>
      <c r="T1194" s="991" t="b">
        <f ca="1">AND(NOT(S1194),W1194=TRUE)</f>
        <v>0</v>
      </c>
      <c r="W1194" s="27"/>
      <c r="X1194" s="1203"/>
      <c r="Y1194" s="1210" t="str">
        <f>IF(LEN('11.700'!X320)=0,"None",'11.700'!X320)</f>
        <v>None</v>
      </c>
      <c r="Z1194" s="1203"/>
      <c r="AC1194" s="1150" t="b">
        <f ca="1">OR(AD1194:AE1194)</f>
        <v>0</v>
      </c>
      <c r="AD1194" s="1150" t="b">
        <f ca="1">T1194</f>
        <v>0</v>
      </c>
      <c r="AE1194" s="1150"/>
      <c r="AL1194" s="1352"/>
      <c r="AM1194" s="1352"/>
      <c r="AN1194" s="1352"/>
      <c r="AO1194" s="1352"/>
      <c r="AP1194" s="1352" t="str">
        <f>SUBSTITUTE(SUBSTITUTE(SUBSTITUTE("vch"&amp;$B1194&amp;$C1194&amp;$D1194&amp;$E1194&amp;$F1194,".","_"),"(","_"),")","")</f>
        <v>vch703_4_3_3</v>
      </c>
      <c r="AQ1194" s="1352" t="str">
        <f>IF(LEN(W1194)=0,"",W1194)</f>
        <v/>
      </c>
      <c r="AR1194" s="1352" t="str">
        <f>SUBSTITUTE(SUBSTITUTE(SUBSTITUTE("vnt"&amp;$B1194&amp;$C1194&amp;$D1194&amp;$E1194&amp;$F1194,".","_"),"(","_"),")","")</f>
        <v>vnt703_4_3_3</v>
      </c>
      <c r="AS1194" s="1352" t="str">
        <f>IF(LEN(X1194)=0,"",X1194)</f>
        <v/>
      </c>
    </row>
    <row r="1195" spans="1:45" s="905" customFormat="1" ht="15" hidden="1" customHeight="1" x14ac:dyDescent="0.2">
      <c r="A1195" s="1507">
        <v>7</v>
      </c>
      <c r="B1195" s="1516" t="s">
        <v>4435</v>
      </c>
      <c r="C1195" s="1516"/>
      <c r="D1195" s="1516"/>
      <c r="E1195" s="1516"/>
      <c r="F1195" s="1511"/>
      <c r="G1195" s="1509" t="str">
        <f ca="1">IF(N1195&gt;0,"P","")</f>
        <v/>
      </c>
      <c r="H1195" s="1510" t="s">
        <v>3197</v>
      </c>
      <c r="I1195" s="590" t="s">
        <v>4157</v>
      </c>
      <c r="J1195" s="590"/>
      <c r="K1195" s="590"/>
      <c r="L1195" s="1687" t="s">
        <v>4158</v>
      </c>
      <c r="M1195" s="913"/>
      <c r="N1195" s="1619">
        <f ca="1">'11.700'!O321</f>
        <v>0</v>
      </c>
      <c r="O1195" s="1619">
        <f ca="1">IFERROR(INDEX(M1201:M1203,MATCH(W1195,INDIRECT(U1195),0)),0)*S1195</f>
        <v>0</v>
      </c>
      <c r="P1195" s="991" t="b">
        <v>1</v>
      </c>
      <c r="Q1195" s="991" t="b">
        <v>1</v>
      </c>
      <c r="R1195" s="991" t="b">
        <v>0</v>
      </c>
      <c r="S1195" s="991" t="b">
        <f ca="1">AND(S885=2,OR(AY914&lt;&gt;INDEX(ddHDucts,2),AY918&lt;&gt;INDEX(ddCDucts,2)),W1192&lt;&gt;TRUE,LEN(W1464)=0)</f>
        <v>0</v>
      </c>
      <c r="T1195" s="991" t="b">
        <f ca="1">AND(NOT(S1195),LEN(W1195)&gt;0)</f>
        <v>0</v>
      </c>
      <c r="U1195" s="991" t="str">
        <f>SUBSTITUTE(SUBSTITUTE(SUBSTITUTE("dd"&amp;B1195&amp;C1195&amp;D1195&amp;E1195&amp;F1195,".","_"),"(","_"),")","")</f>
        <v>dd703_4_4</v>
      </c>
      <c r="W1195" s="110"/>
      <c r="X1195" s="1601"/>
      <c r="Y1195" s="1881" t="str">
        <f>IF(LEN('11.700'!X321)=0,"None",'11.700'!X321)</f>
        <v>None</v>
      </c>
      <c r="Z1195" s="1600"/>
      <c r="AC1195" s="1150" t="b">
        <f ca="1">OR(AD1195:AE1195)</f>
        <v>0</v>
      </c>
      <c r="AD1195" s="1150" t="b">
        <f ca="1">T1195</f>
        <v>0</v>
      </c>
      <c r="AE1195" s="1150"/>
      <c r="AL1195" s="1352"/>
      <c r="AM1195" s="1352"/>
      <c r="AN1195" s="1352" t="str">
        <f>SUBSTITUTE(SUBSTITUTE(SUBSTITUTE("vpc"&amp;$B1195&amp;$C1195&amp;$D1195&amp;$E1195&amp;$F1195,".","_"),"(","_"),")","")</f>
        <v>vpc703_4_4</v>
      </c>
      <c r="AO1195" s="1352">
        <f ca="1">O1195</f>
        <v>0</v>
      </c>
      <c r="AP1195" s="1352" t="str">
        <f>SUBSTITUTE(SUBSTITUTE(SUBSTITUTE("vch"&amp;$B1195&amp;$C1195&amp;$D1195&amp;$E1195&amp;$F1195,".","_"),"(","_"),")","")</f>
        <v>vch703_4_4</v>
      </c>
      <c r="AQ1195" s="1352" t="str">
        <f>IF(LEN(W1195)=0,"",W1195)</f>
        <v/>
      </c>
      <c r="AR1195" s="1352" t="str">
        <f>SUBSTITUTE(SUBSTITUTE(SUBSTITUTE("vnt"&amp;$B1195&amp;$C1195&amp;$D1195&amp;$E1195&amp;$F1195,".","_"),"(","_"),")","")</f>
        <v>vnt703_4_4</v>
      </c>
      <c r="AS1195" s="1352" t="str">
        <f>IF(LEN(X1195)=0,"",X1195)</f>
        <v/>
      </c>
    </row>
    <row r="1196" spans="1:45" s="905" customFormat="1" hidden="1" x14ac:dyDescent="0.2">
      <c r="A1196" s="1507">
        <v>7</v>
      </c>
      <c r="B1196" s="1516" t="s">
        <v>4435</v>
      </c>
      <c r="C1196" s="1516"/>
      <c r="D1196" s="1516"/>
      <c r="E1196" s="1516"/>
      <c r="F1196" s="1511"/>
      <c r="G1196" s="1509" t="str">
        <f t="shared" ref="G1196:G1203" ca="1" si="96">G1195</f>
        <v/>
      </c>
      <c r="H1196" s="1510" t="s">
        <v>3197</v>
      </c>
      <c r="I1196" s="590"/>
      <c r="J1196" s="590"/>
      <c r="K1196" s="590"/>
      <c r="L1196" s="1687"/>
      <c r="M1196" s="1747" t="s">
        <v>5106</v>
      </c>
      <c r="N1196" s="1619"/>
      <c r="O1196" s="1619"/>
      <c r="P1196" s="991"/>
      <c r="Q1196" s="991"/>
      <c r="R1196" s="991"/>
      <c r="S1196" s="991"/>
      <c r="T1196" s="991"/>
      <c r="U1196" s="991"/>
      <c r="W1196" s="1277" t="s">
        <v>5104</v>
      </c>
      <c r="X1196" s="1601"/>
      <c r="Y1196" s="1881"/>
      <c r="Z1196" s="1600"/>
      <c r="AC1196" s="1150"/>
      <c r="AD1196" s="1150"/>
      <c r="AE1196" s="1150"/>
      <c r="AL1196" s="1352" t="str">
        <f>SUBSTITUTE(SUBSTITUTE(SUBSTITUTE("vpa"&amp;$B1196&amp;$C1196&amp;$D1196&amp;$E1196&amp;$F1196,".","_"),"(","_"),")","")</f>
        <v>vpa703_4_4</v>
      </c>
      <c r="AM1196" s="1352" t="str">
        <f>M1196</f>
        <v>Leakage greater than 6% of design</v>
      </c>
      <c r="AN1196" s="1352"/>
      <c r="AO1196" s="1352"/>
      <c r="AP1196" s="1352"/>
      <c r="AQ1196" s="1352"/>
      <c r="AR1196" s="1352"/>
      <c r="AS1196" s="1352"/>
    </row>
    <row r="1197" spans="1:45" s="905" customFormat="1" hidden="1" x14ac:dyDescent="0.2">
      <c r="A1197" s="1507">
        <v>7</v>
      </c>
      <c r="B1197" s="1516" t="s">
        <v>4435</v>
      </c>
      <c r="C1197" s="1516" t="s">
        <v>3921</v>
      </c>
      <c r="D1197" s="1516"/>
      <c r="E1197" s="1516"/>
      <c r="F1197" s="1511"/>
      <c r="G1197" s="1509" t="str">
        <f t="shared" ca="1" si="96"/>
        <v/>
      </c>
      <c r="H1197" s="1510" t="s">
        <v>3197</v>
      </c>
      <c r="I1197" s="590"/>
      <c r="J1197" s="590"/>
      <c r="K1197" s="590"/>
      <c r="L1197" s="1687"/>
      <c r="M1197" s="1747"/>
      <c r="N1197" s="1619"/>
      <c r="O1197" s="1619"/>
      <c r="P1197" s="1277" t="b">
        <v>1</v>
      </c>
      <c r="Q1197" s="1277" t="b">
        <v>1</v>
      </c>
      <c r="R1197" s="1277" t="b">
        <f ca="1">S1197</f>
        <v>0</v>
      </c>
      <c r="S1197" s="1277" t="b">
        <f ca="1">S1195</f>
        <v>0</v>
      </c>
      <c r="T1197" s="1277" t="b">
        <f ca="1">AND(NOT(S1197),LEN(W1197)&gt;0)</f>
        <v>0</v>
      </c>
      <c r="U1197" s="991"/>
      <c r="W1197" s="980"/>
      <c r="X1197" s="1601"/>
      <c r="Y1197" s="1881"/>
      <c r="Z1197" s="1600"/>
      <c r="AC1197" s="1276" t="b">
        <f ca="1">OR(AD1197:AE1197)</f>
        <v>0</v>
      </c>
      <c r="AD1197" s="1276" t="b">
        <f ca="1">T1197</f>
        <v>0</v>
      </c>
      <c r="AE1197" s="1276" t="b">
        <f ca="1">AND(R1197,OR(W1197="Not Met",W1197=""))</f>
        <v>0</v>
      </c>
      <c r="AL1197" s="1352"/>
      <c r="AM1197" s="1352"/>
      <c r="AN1197" s="1352"/>
      <c r="AO1197" s="1352"/>
      <c r="AP1197" s="1352" t="str">
        <f>SUBSTITUTE(SUBSTITUTE(SUBSTITUTE("vch"&amp;$B1197&amp;$C1197&amp;$D1197&amp;$E1197&amp;$F1197,".","_"),"(","_"),")","")</f>
        <v>vch703_4_4_1</v>
      </c>
      <c r="AQ1197" s="1352" t="str">
        <f>IF(LEN(W1197)=0,"",W1197)</f>
        <v/>
      </c>
      <c r="AR1197" s="1352"/>
      <c r="AS1197" s="1352"/>
    </row>
    <row r="1198" spans="1:45" s="905" customFormat="1" hidden="1" x14ac:dyDescent="0.2">
      <c r="A1198" s="1507">
        <v>7</v>
      </c>
      <c r="B1198" s="1516" t="s">
        <v>4435</v>
      </c>
      <c r="C1198" s="1516"/>
      <c r="D1198" s="1516"/>
      <c r="E1198" s="1516"/>
      <c r="F1198" s="1511"/>
      <c r="G1198" s="1509" t="str">
        <f t="shared" ca="1" si="96"/>
        <v/>
      </c>
      <c r="H1198" s="1510" t="s">
        <v>3197</v>
      </c>
      <c r="I1198" s="590"/>
      <c r="J1198" s="590"/>
      <c r="K1198" s="590"/>
      <c r="L1198" s="1687"/>
      <c r="M1198" s="1747"/>
      <c r="N1198" s="1619"/>
      <c r="O1198" s="1619"/>
      <c r="P1198" s="1277"/>
      <c r="Q1198" s="1277"/>
      <c r="R1198" s="1277"/>
      <c r="S1198" s="1277"/>
      <c r="T1198" s="1277"/>
      <c r="U1198" s="991"/>
      <c r="W1198" s="1276" t="s">
        <v>5105</v>
      </c>
      <c r="X1198" s="1601"/>
      <c r="Y1198" s="1881"/>
      <c r="Z1198" s="1600"/>
      <c r="AC1198" s="1150"/>
      <c r="AD1198" s="1150"/>
      <c r="AE1198" s="1150"/>
      <c r="AL1198" s="1352"/>
      <c r="AM1198" s="1352"/>
      <c r="AN1198" s="1352"/>
      <c r="AO1198" s="1352"/>
      <c r="AP1198" s="1352"/>
      <c r="AQ1198" s="1352"/>
      <c r="AR1198" s="1352"/>
      <c r="AS1198" s="1352"/>
    </row>
    <row r="1199" spans="1:45" s="905" customFormat="1" hidden="1" x14ac:dyDescent="0.2">
      <c r="A1199" s="1507">
        <v>7</v>
      </c>
      <c r="B1199" s="1516" t="s">
        <v>4435</v>
      </c>
      <c r="C1199" s="1516" t="s">
        <v>3922</v>
      </c>
      <c r="D1199" s="1516"/>
      <c r="E1199" s="1516"/>
      <c r="F1199" s="1511"/>
      <c r="G1199" s="1509" t="str">
        <f t="shared" ca="1" si="96"/>
        <v/>
      </c>
      <c r="H1199" s="1510" t="s">
        <v>3197</v>
      </c>
      <c r="I1199" s="590"/>
      <c r="J1199" s="590"/>
      <c r="K1199" s="590"/>
      <c r="L1199" s="1687"/>
      <c r="M1199" s="1747"/>
      <c r="N1199" s="1619"/>
      <c r="O1199" s="1619"/>
      <c r="P1199" s="1277" t="b">
        <v>1</v>
      </c>
      <c r="Q1199" s="1277" t="b">
        <v>1</v>
      </c>
      <c r="R1199" s="1277" t="b">
        <f ca="1">S1199</f>
        <v>0</v>
      </c>
      <c r="S1199" s="1277" t="b">
        <f ca="1">S1195</f>
        <v>0</v>
      </c>
      <c r="T1199" s="1277" t="b">
        <f ca="1">OR(AND(NOT(S1199),LEN(W1199)&gt;0),T1200&gt;6)</f>
        <v>0</v>
      </c>
      <c r="U1199" s="991"/>
      <c r="W1199" s="980"/>
      <c r="X1199" s="1601"/>
      <c r="Y1199" s="1881"/>
      <c r="Z1199" s="1600"/>
      <c r="AC1199" s="1276" t="b">
        <f ca="1">OR(AD1199:AE1199)</f>
        <v>0</v>
      </c>
      <c r="AD1199" s="1276" t="b">
        <f ca="1">T1199</f>
        <v>0</v>
      </c>
      <c r="AE1199" s="1276" t="b">
        <f ca="1">AND(R1199,OR(W1199="Not Met",W1199=""))</f>
        <v>0</v>
      </c>
      <c r="AL1199" s="1352"/>
      <c r="AM1199" s="1352"/>
      <c r="AN1199" s="1352"/>
      <c r="AO1199" s="1352"/>
      <c r="AP1199" s="1352" t="str">
        <f>SUBSTITUTE(SUBSTITUTE(SUBSTITUTE("vch"&amp;$B1199&amp;$C1199&amp;$D1199&amp;$E1199&amp;$F1199,".","_"),"(","_"),")","")</f>
        <v>vch703_4_4_2</v>
      </c>
      <c r="AQ1199" s="1352" t="str">
        <f>IF(LEN(W1199)=0,"",W1199)</f>
        <v/>
      </c>
      <c r="AR1199" s="1352"/>
      <c r="AS1199" s="1352"/>
    </row>
    <row r="1200" spans="1:45" s="905" customFormat="1" hidden="1" x14ac:dyDescent="0.2">
      <c r="A1200" s="1507">
        <v>7</v>
      </c>
      <c r="B1200" s="1516" t="s">
        <v>4435</v>
      </c>
      <c r="C1200" s="1516"/>
      <c r="D1200" s="1516"/>
      <c r="E1200" s="1516"/>
      <c r="F1200" s="1511"/>
      <c r="G1200" s="1509" t="str">
        <f t="shared" ca="1" si="96"/>
        <v/>
      </c>
      <c r="H1200" s="1510" t="s">
        <v>3197</v>
      </c>
      <c r="I1200" s="590"/>
      <c r="J1200" s="590"/>
      <c r="K1200" s="590"/>
      <c r="L1200" s="1687"/>
      <c r="M1200" s="913"/>
      <c r="N1200" s="129"/>
      <c r="O1200" s="908"/>
      <c r="P1200" s="1277"/>
      <c r="Q1200" s="1277"/>
      <c r="R1200" s="1277"/>
      <c r="S1200" s="411" t="s">
        <v>5107</v>
      </c>
      <c r="T1200" s="198">
        <f>IFERROR(W1199/W1197*100,0)</f>
        <v>0</v>
      </c>
      <c r="U1200" s="991"/>
      <c r="W1200" s="1135"/>
      <c r="X1200" s="1601"/>
      <c r="Y1200" s="1881"/>
      <c r="Z1200" s="1600"/>
      <c r="AC1200" s="1150"/>
      <c r="AD1200" s="1150"/>
      <c r="AE1200" s="1150"/>
      <c r="AL1200" s="1352"/>
      <c r="AM1200" s="1352"/>
      <c r="AN1200" s="1352"/>
      <c r="AO1200" s="1352"/>
      <c r="AP1200" s="1352"/>
      <c r="AQ1200" s="1352"/>
      <c r="AR1200" s="1352"/>
      <c r="AS1200" s="1352"/>
    </row>
    <row r="1201" spans="1:45" s="905" customFormat="1" hidden="1" x14ac:dyDescent="0.2">
      <c r="A1201" s="1507">
        <v>7</v>
      </c>
      <c r="B1201" s="1516" t="s">
        <v>4435</v>
      </c>
      <c r="C1201" s="1516" t="s">
        <v>254</v>
      </c>
      <c r="D1201" s="1516"/>
      <c r="E1201" s="1516"/>
      <c r="F1201" s="1511"/>
      <c r="G1201" s="1509" t="str">
        <f t="shared" ca="1" si="96"/>
        <v/>
      </c>
      <c r="H1201" s="1510" t="s">
        <v>3197</v>
      </c>
      <c r="I1201" s="590"/>
      <c r="J1201" s="606" t="s">
        <v>254</v>
      </c>
      <c r="K1201" s="606"/>
      <c r="L1201" s="923" t="s">
        <v>4159</v>
      </c>
      <c r="M1201" s="937">
        <f>IFERROR(INDEX({4,5,4,3,2,1,1,1},T1121),0)</f>
        <v>4</v>
      </c>
      <c r="N1201" s="129"/>
      <c r="O1201" s="908"/>
      <c r="P1201" s="991"/>
      <c r="Q1201" s="991"/>
      <c r="R1201" s="991"/>
      <c r="S1201" s="991"/>
      <c r="T1201" s="991"/>
      <c r="U1201" s="991"/>
      <c r="W1201" s="1135"/>
      <c r="X1201" s="1601"/>
      <c r="Y1201" s="1881"/>
      <c r="Z1201" s="1600"/>
      <c r="AC1201" s="1150"/>
      <c r="AD1201" s="1150"/>
      <c r="AE1201" s="1150"/>
      <c r="AL1201" s="1352" t="str">
        <f>SUBSTITUTE(SUBSTITUTE(SUBSTITUTE("vpa"&amp;$B1201&amp;$C1201&amp;$D1201&amp;$E1201&amp;$F1201,".","_"),"(","_"),")","")</f>
        <v>vpa703_4_4_1</v>
      </c>
      <c r="AM1201" s="1352">
        <f>M1201</f>
        <v>4</v>
      </c>
      <c r="AN1201" s="1352"/>
      <c r="AO1201" s="1352"/>
      <c r="AP1201" s="1352"/>
      <c r="AQ1201" s="1352"/>
      <c r="AR1201" s="1352"/>
      <c r="AS1201" s="1352"/>
    </row>
    <row r="1202" spans="1:45" s="905" customFormat="1" hidden="1" x14ac:dyDescent="0.2">
      <c r="A1202" s="1507">
        <v>7</v>
      </c>
      <c r="B1202" s="1516" t="s">
        <v>4435</v>
      </c>
      <c r="C1202" s="1516" t="s">
        <v>255</v>
      </c>
      <c r="D1202" s="1516"/>
      <c r="E1202" s="1516"/>
      <c r="F1202" s="1511"/>
      <c r="G1202" s="1509" t="str">
        <f t="shared" ca="1" si="96"/>
        <v/>
      </c>
      <c r="H1202" s="1510" t="s">
        <v>3197</v>
      </c>
      <c r="I1202" s="590"/>
      <c r="J1202" s="607" t="s">
        <v>255</v>
      </c>
      <c r="K1202" s="607"/>
      <c r="L1202" s="1075" t="s">
        <v>5081</v>
      </c>
      <c r="M1202" s="379">
        <f>IFERROR(INDEX({1,1,1,1,1,1,1,1},T1121),0)</f>
        <v>1</v>
      </c>
      <c r="N1202" s="129"/>
      <c r="O1202" s="908"/>
      <c r="P1202" s="991"/>
      <c r="Q1202" s="991"/>
      <c r="R1202" s="991"/>
      <c r="S1202" s="991"/>
      <c r="T1202" s="991"/>
      <c r="U1202" s="991"/>
      <c r="W1202" s="1135"/>
      <c r="X1202" s="1601"/>
      <c r="Y1202" s="1881"/>
      <c r="Z1202" s="1600"/>
      <c r="AC1202" s="1150"/>
      <c r="AD1202" s="1150"/>
      <c r="AE1202" s="1150"/>
      <c r="AL1202" s="1352" t="str">
        <f>SUBSTITUTE(SUBSTITUTE(SUBSTITUTE("vpa"&amp;$B1202&amp;$C1202&amp;$D1202&amp;$E1202&amp;$F1202,".","_"),"(","_"),")","")</f>
        <v>vpa703_4_4_2</v>
      </c>
      <c r="AM1202" s="1352">
        <f>M1202</f>
        <v>1</v>
      </c>
      <c r="AN1202" s="1352"/>
      <c r="AO1202" s="1352"/>
      <c r="AP1202" s="1352"/>
      <c r="AQ1202" s="1352"/>
      <c r="AR1202" s="1352"/>
      <c r="AS1202" s="1352"/>
    </row>
    <row r="1203" spans="1:45" s="905" customFormat="1" ht="16" hidden="1" thickBot="1" x14ac:dyDescent="0.25">
      <c r="A1203" s="1507">
        <v>7</v>
      </c>
      <c r="B1203" s="1516" t="s">
        <v>4435</v>
      </c>
      <c r="C1203" s="1516" t="s">
        <v>256</v>
      </c>
      <c r="D1203" s="1516"/>
      <c r="E1203" s="1516"/>
      <c r="F1203" s="1511"/>
      <c r="G1203" s="1509" t="str">
        <f t="shared" ca="1" si="96"/>
        <v/>
      </c>
      <c r="H1203" s="1510" t="s">
        <v>3197</v>
      </c>
      <c r="I1203" s="594"/>
      <c r="J1203" s="594" t="s">
        <v>256</v>
      </c>
      <c r="K1203" s="594"/>
      <c r="L1203" s="920" t="s">
        <v>4160</v>
      </c>
      <c r="M1203" s="914">
        <f>IFERROR(INDEX({3,4,3,2,1,1,1,1},T1121),0)</f>
        <v>3</v>
      </c>
      <c r="N1203" s="239"/>
      <c r="O1203" s="922"/>
      <c r="P1203" s="100"/>
      <c r="Q1203" s="100"/>
      <c r="R1203" s="100"/>
      <c r="S1203" s="100"/>
      <c r="T1203" s="100"/>
      <c r="U1203" s="100"/>
      <c r="W1203" s="100"/>
      <c r="X1203" s="1602"/>
      <c r="Y1203" s="1882"/>
      <c r="Z1203" s="1602"/>
      <c r="AC1203" s="1150"/>
      <c r="AD1203" s="1150"/>
      <c r="AE1203" s="1150"/>
      <c r="AL1203" s="1352" t="str">
        <f>SUBSTITUTE(SUBSTITUTE(SUBSTITUTE("vpa"&amp;$B1203&amp;$C1203&amp;$D1203&amp;$E1203&amp;$F1203,".","_"),"(","_"),")","")</f>
        <v>vpa703_4_4_3</v>
      </c>
      <c r="AM1203" s="1352">
        <f>M1203</f>
        <v>3</v>
      </c>
      <c r="AN1203" s="1352"/>
      <c r="AO1203" s="1352"/>
      <c r="AP1203" s="1352"/>
      <c r="AQ1203" s="1352"/>
      <c r="AR1203" s="1352"/>
      <c r="AS1203" s="1352"/>
    </row>
    <row r="1204" spans="1:45" s="905" customFormat="1" hidden="1" x14ac:dyDescent="0.2">
      <c r="A1204" s="1507">
        <v>7</v>
      </c>
      <c r="B1204" s="1516">
        <v>703.5</v>
      </c>
      <c r="C1204" s="1516"/>
      <c r="D1204" s="1516"/>
      <c r="E1204" s="1516"/>
      <c r="F1204" s="1511"/>
      <c r="G1204" s="1513" t="str">
        <f ca="1">IF(COUNTIF(G1205:G1260,"P")&gt;0,"P","")</f>
        <v/>
      </c>
      <c r="H1204" s="1510" t="s">
        <v>3197</v>
      </c>
      <c r="I1204" s="589" t="s">
        <v>4161</v>
      </c>
      <c r="J1204" s="589"/>
      <c r="K1204" s="589"/>
      <c r="L1204" s="946" t="s">
        <v>4162</v>
      </c>
      <c r="M1204" s="991"/>
      <c r="N1204" s="991"/>
      <c r="O1204" s="991"/>
      <c r="P1204" s="991"/>
      <c r="Q1204" s="991"/>
      <c r="R1204" s="991"/>
      <c r="S1204" s="991"/>
      <c r="T1204" s="991"/>
      <c r="Z1204" s="1122"/>
      <c r="AC1204" s="1150"/>
      <c r="AD1204" s="1150"/>
      <c r="AE1204" s="1150"/>
      <c r="AL1204" s="1352"/>
      <c r="AM1204" s="1352"/>
      <c r="AN1204" s="1352"/>
      <c r="AO1204" s="1352"/>
      <c r="AP1204" s="1352"/>
      <c r="AQ1204" s="1352"/>
      <c r="AR1204" s="1352"/>
      <c r="AS1204" s="1352"/>
    </row>
    <row r="1205" spans="1:45" s="905" customFormat="1" ht="15" hidden="1" customHeight="1" x14ac:dyDescent="0.2">
      <c r="A1205" s="1507">
        <v>7</v>
      </c>
      <c r="B1205" s="1516" t="s">
        <v>4436</v>
      </c>
      <c r="C1205" s="1516"/>
      <c r="D1205" s="1516"/>
      <c r="E1205" s="1516"/>
      <c r="F1205" s="1511"/>
      <c r="G1205" s="1513" t="str">
        <f ca="1">IF(COUNTIF(G1212:G1253,"P")&gt;0,"P","")</f>
        <v/>
      </c>
      <c r="H1205" s="1510" t="s">
        <v>3197</v>
      </c>
      <c r="I1205" s="589" t="s">
        <v>4163</v>
      </c>
      <c r="J1205" s="589"/>
      <c r="K1205" s="589"/>
      <c r="L1205" s="1687" t="s">
        <v>4164</v>
      </c>
      <c r="M1205" s="991"/>
      <c r="N1205" s="991"/>
      <c r="O1205" s="991"/>
      <c r="P1205" s="991"/>
      <c r="Q1205" s="991"/>
      <c r="R1205" s="991"/>
      <c r="S1205" s="991"/>
      <c r="T1205" s="991"/>
      <c r="W1205" s="905" t="s">
        <v>4512</v>
      </c>
      <c r="X1205" s="1600"/>
      <c r="Y1205" s="1874" t="str">
        <f>IF(LEN('11.700'!X331)=0,"None",'11.700'!X331)</f>
        <v>None</v>
      </c>
      <c r="Z1205" s="1600"/>
      <c r="AC1205" s="1150"/>
      <c r="AD1205" s="1150"/>
      <c r="AE1205" s="1150"/>
      <c r="AL1205" s="1352"/>
      <c r="AM1205" s="1352"/>
      <c r="AN1205" s="1352"/>
      <c r="AO1205" s="1352"/>
      <c r="AP1205" s="1352"/>
      <c r="AQ1205" s="1352"/>
      <c r="AR1205" s="1352" t="str">
        <f>SUBSTITUTE(SUBSTITUTE(SUBSTITUTE("vnt"&amp;$B1205&amp;$C1205&amp;$D1205&amp;$E1205&amp;$F1205,".","_"),"(","_"),")","")</f>
        <v>vnt703_5_1</v>
      </c>
      <c r="AS1205" s="1352" t="str">
        <f>IF(LEN(X1205)=0,"",X1205)</f>
        <v/>
      </c>
    </row>
    <row r="1206" spans="1:45" s="905" customFormat="1" hidden="1" x14ac:dyDescent="0.2">
      <c r="A1206" s="1507">
        <v>7</v>
      </c>
      <c r="B1206" s="1516" t="s">
        <v>4436</v>
      </c>
      <c r="C1206" s="1516"/>
      <c r="D1206" s="1516"/>
      <c r="E1206" s="1516"/>
      <c r="F1206" s="1511"/>
      <c r="G1206" s="1509" t="str">
        <f t="shared" ref="G1206:G1211" ca="1" si="97">G1205</f>
        <v/>
      </c>
      <c r="H1206" s="1510" t="s">
        <v>3197</v>
      </c>
      <c r="I1206" s="589"/>
      <c r="J1206" s="589"/>
      <c r="K1206" s="589"/>
      <c r="L1206" s="1687"/>
      <c r="M1206" s="913"/>
      <c r="N1206" s="129"/>
      <c r="O1206" s="129"/>
      <c r="P1206" s="991" t="b">
        <v>1</v>
      </c>
      <c r="Q1206" s="991" t="b">
        <v>1</v>
      </c>
      <c r="R1206" s="991" t="b">
        <v>0</v>
      </c>
      <c r="S1206" s="991" t="b">
        <f ca="1">AND(S885=2,LEN(W1262)=0)</f>
        <v>0</v>
      </c>
      <c r="T1206" s="991" t="b">
        <f ca="1">AND(NOT(S1206),LEN(W1206)&gt;0)</f>
        <v>0</v>
      </c>
      <c r="U1206" s="905" t="str">
        <f>SUBSTITUTE(SUBSTITUTE(SUBSTITUTE("dd"&amp;B1206&amp;C1206&amp;D1206&amp;E1206&amp;F1206,".","_"),"(","_"),")","")</f>
        <v>dd703_5_1</v>
      </c>
      <c r="W1206" s="12"/>
      <c r="X1206" s="1600"/>
      <c r="Y1206" s="1874"/>
      <c r="Z1206" s="1600"/>
      <c r="AC1206" s="1150" t="b">
        <f ca="1">OR(AD1206:AE1206)</f>
        <v>0</v>
      </c>
      <c r="AD1206" s="1150" t="b">
        <f ca="1">T1206</f>
        <v>0</v>
      </c>
      <c r="AE1206" s="1150"/>
      <c r="AL1206" s="1352"/>
      <c r="AM1206" s="1352"/>
      <c r="AN1206" s="1352"/>
      <c r="AO1206" s="1352"/>
      <c r="AP1206" s="1352" t="str">
        <f>SUBSTITUTE(SUBSTITUTE(SUBSTITUTE("vch"&amp;$B1206&amp;$C1206&amp;$D1206&amp;$E1206&amp;$F1206,".","_"),"(","_"),")","")</f>
        <v>vch703_5_1</v>
      </c>
      <c r="AQ1206" s="1352" t="str">
        <f>IF(LEN(W1206)=0,"",W1206)</f>
        <v/>
      </c>
      <c r="AR1206" s="1352"/>
      <c r="AS1206" s="1352"/>
    </row>
    <row r="1207" spans="1:45" s="905" customFormat="1" hidden="1" x14ac:dyDescent="0.2">
      <c r="A1207" s="1507">
        <v>7</v>
      </c>
      <c r="B1207" s="1516" t="s">
        <v>4436</v>
      </c>
      <c r="C1207" s="1516"/>
      <c r="D1207" s="1516"/>
      <c r="E1207" s="1516"/>
      <c r="F1207" s="1511"/>
      <c r="G1207" s="1509" t="str">
        <f t="shared" ca="1" si="97"/>
        <v/>
      </c>
      <c r="H1207" s="1510" t="s">
        <v>3197</v>
      </c>
      <c r="I1207" s="589"/>
      <c r="J1207" s="589"/>
      <c r="K1207" s="589"/>
      <c r="L1207" s="1687"/>
      <c r="M1207" s="991"/>
      <c r="N1207" s="991"/>
      <c r="O1207" s="991"/>
      <c r="P1207" s="991"/>
      <c r="Q1207" s="991"/>
      <c r="R1207" s="991"/>
      <c r="S1207" s="991"/>
      <c r="T1207" s="991"/>
      <c r="W1207" s="905" t="s">
        <v>4505</v>
      </c>
      <c r="X1207" s="1600"/>
      <c r="Y1207" s="1874"/>
      <c r="Z1207" s="1600"/>
      <c r="AC1207" s="1150"/>
      <c r="AD1207" s="1150"/>
      <c r="AE1207" s="1150"/>
      <c r="AL1207" s="1352"/>
      <c r="AM1207" s="1352"/>
      <c r="AN1207" s="1352"/>
      <c r="AO1207" s="1352"/>
      <c r="AP1207" s="1352"/>
      <c r="AQ1207" s="1352"/>
      <c r="AR1207" s="1352"/>
      <c r="AS1207" s="1352"/>
    </row>
    <row r="1208" spans="1:45" s="905" customFormat="1" hidden="1" x14ac:dyDescent="0.2">
      <c r="A1208" s="1507">
        <v>7</v>
      </c>
      <c r="B1208" s="1516" t="s">
        <v>4436</v>
      </c>
      <c r="C1208" s="1516" t="s">
        <v>3921</v>
      </c>
      <c r="D1208" s="1516"/>
      <c r="E1208" s="1516"/>
      <c r="F1208" s="1511"/>
      <c r="G1208" s="1509" t="str">
        <f t="shared" ca="1" si="97"/>
        <v/>
      </c>
      <c r="H1208" s="1510" t="s">
        <v>3197</v>
      </c>
      <c r="I1208" s="589"/>
      <c r="J1208" s="589"/>
      <c r="K1208" s="589"/>
      <c r="L1208" s="1687"/>
      <c r="M1208" s="991"/>
      <c r="N1208" s="991"/>
      <c r="O1208" s="991"/>
      <c r="P1208" s="991" t="b">
        <v>1</v>
      </c>
      <c r="Q1208" s="991" t="b">
        <v>1</v>
      </c>
      <c r="R1208" s="991" t="b">
        <v>0</v>
      </c>
      <c r="S1208" s="991" t="b">
        <f ca="1">S1206</f>
        <v>0</v>
      </c>
      <c r="T1208" s="991" t="b">
        <f ca="1">AND(NOT(S1208),LEN(W1208)&gt;0)</f>
        <v>0</v>
      </c>
      <c r="W1208" s="336"/>
      <c r="X1208" s="1600"/>
      <c r="Y1208" s="1874"/>
      <c r="Z1208" s="1600"/>
      <c r="AC1208" s="1150" t="b">
        <f ca="1">OR(AD1208:AE1208)</f>
        <v>0</v>
      </c>
      <c r="AD1208" s="1150" t="b">
        <f ca="1">T1208</f>
        <v>0</v>
      </c>
      <c r="AE1208" s="1150"/>
      <c r="AL1208" s="1352"/>
      <c r="AM1208" s="1352"/>
      <c r="AN1208" s="1352"/>
      <c r="AO1208" s="1352"/>
      <c r="AP1208" s="1352" t="str">
        <f>SUBSTITUTE(SUBSTITUTE(SUBSTITUTE("vch"&amp;$B1208&amp;$C1208&amp;$D1208&amp;$E1208&amp;$F1208,".","_"),"(","_"),")","")</f>
        <v>vch703_5_1_1</v>
      </c>
      <c r="AQ1208" s="1352" t="str">
        <f>IF(LEN(W1208)=0,"",W1208)</f>
        <v/>
      </c>
      <c r="AR1208" s="1352"/>
      <c r="AS1208" s="1352"/>
    </row>
    <row r="1209" spans="1:45" s="905" customFormat="1" hidden="1" x14ac:dyDescent="0.2">
      <c r="A1209" s="1507">
        <v>7</v>
      </c>
      <c r="B1209" s="1516" t="s">
        <v>4436</v>
      </c>
      <c r="C1209" s="1516"/>
      <c r="D1209" s="1516"/>
      <c r="E1209" s="1516"/>
      <c r="F1209" s="1511"/>
      <c r="G1209" s="1509" t="str">
        <f t="shared" ca="1" si="97"/>
        <v/>
      </c>
      <c r="H1209" s="1510" t="s">
        <v>3197</v>
      </c>
      <c r="I1209" s="589"/>
      <c r="J1209" s="589"/>
      <c r="K1209" s="589"/>
      <c r="L1209" s="1687"/>
      <c r="M1209" s="991"/>
      <c r="N1209" s="991"/>
      <c r="O1209" s="991"/>
      <c r="P1209" s="991"/>
      <c r="Q1209" s="991"/>
      <c r="R1209" s="991"/>
      <c r="S1209" s="991"/>
      <c r="T1209" s="991"/>
      <c r="X1209" s="1600"/>
      <c r="Y1209" s="1874"/>
      <c r="Z1209" s="1600"/>
      <c r="AC1209" s="1150"/>
      <c r="AD1209" s="1150"/>
      <c r="AE1209" s="1150"/>
      <c r="AL1209" s="1352"/>
      <c r="AM1209" s="1352"/>
      <c r="AN1209" s="1352"/>
      <c r="AO1209" s="1352"/>
      <c r="AP1209" s="1352"/>
      <c r="AQ1209" s="1352"/>
      <c r="AR1209" s="1352"/>
      <c r="AS1209" s="1352"/>
    </row>
    <row r="1210" spans="1:45" s="905" customFormat="1" hidden="1" x14ac:dyDescent="0.2">
      <c r="A1210" s="1507">
        <v>7</v>
      </c>
      <c r="B1210" s="1516" t="s">
        <v>4436</v>
      </c>
      <c r="C1210" s="1516"/>
      <c r="D1210" s="1516"/>
      <c r="E1210" s="1516"/>
      <c r="F1210" s="1511"/>
      <c r="G1210" s="1509" t="str">
        <f t="shared" ca="1" si="97"/>
        <v/>
      </c>
      <c r="H1210" s="1510" t="s">
        <v>3197</v>
      </c>
      <c r="I1210" s="589"/>
      <c r="J1210" s="589"/>
      <c r="K1210" s="589"/>
      <c r="L1210" s="1687"/>
      <c r="M1210" s="991"/>
      <c r="N1210" s="991"/>
      <c r="O1210" s="991"/>
      <c r="P1210" s="991"/>
      <c r="Q1210" s="991"/>
      <c r="R1210" s="991"/>
      <c r="S1210" s="991"/>
      <c r="T1210" s="991"/>
      <c r="X1210" s="1600"/>
      <c r="Y1210" s="1874"/>
      <c r="Z1210" s="1600"/>
      <c r="AC1210" s="1150"/>
      <c r="AD1210" s="1150"/>
      <c r="AE1210" s="1150"/>
      <c r="AL1210" s="1352"/>
      <c r="AM1210" s="1352"/>
      <c r="AN1210" s="1352"/>
      <c r="AO1210" s="1352"/>
      <c r="AP1210" s="1352"/>
      <c r="AQ1210" s="1352"/>
      <c r="AR1210" s="1352"/>
      <c r="AS1210" s="1352"/>
    </row>
    <row r="1211" spans="1:45" s="905" customFormat="1" hidden="1" x14ac:dyDescent="0.2">
      <c r="A1211" s="1507">
        <v>7</v>
      </c>
      <c r="B1211" s="1516" t="s">
        <v>4436</v>
      </c>
      <c r="C1211" s="1516"/>
      <c r="D1211" s="1516"/>
      <c r="E1211" s="1516"/>
      <c r="F1211" s="1511"/>
      <c r="G1211" s="1509" t="str">
        <f t="shared" ca="1" si="97"/>
        <v/>
      </c>
      <c r="H1211" s="1510" t="s">
        <v>3197</v>
      </c>
      <c r="I1211" s="589"/>
      <c r="J1211" s="589"/>
      <c r="K1211" s="589"/>
      <c r="L1211" s="1687"/>
      <c r="M1211" s="991"/>
      <c r="N1211" s="991"/>
      <c r="O1211" s="991"/>
      <c r="P1211" s="991"/>
      <c r="Q1211" s="991"/>
      <c r="R1211" s="991"/>
      <c r="S1211" s="991"/>
      <c r="T1211" s="991"/>
      <c r="X1211" s="1600"/>
      <c r="Y1211" s="1874"/>
      <c r="Z1211" s="1600"/>
      <c r="AC1211" s="1150"/>
      <c r="AD1211" s="1150"/>
      <c r="AE1211" s="1150"/>
      <c r="AL1211" s="1352"/>
      <c r="AM1211" s="1352"/>
      <c r="AN1211" s="1352"/>
      <c r="AO1211" s="1352"/>
      <c r="AP1211" s="1352"/>
      <c r="AQ1211" s="1352"/>
      <c r="AR1211" s="1352"/>
      <c r="AS1211" s="1352"/>
    </row>
    <row r="1212" spans="1:45" s="905" customFormat="1" hidden="1" x14ac:dyDescent="0.2">
      <c r="A1212" s="1507">
        <v>7</v>
      </c>
      <c r="B1212" s="1516" t="s">
        <v>4436</v>
      </c>
      <c r="C1212" s="1516" t="s">
        <v>254</v>
      </c>
      <c r="D1212" s="1516"/>
      <c r="E1212" s="1516"/>
      <c r="F1212" s="1511"/>
      <c r="G1212" s="1513" t="str">
        <f ca="1">IF(COUNTIF(G1213:G1227,"P")&gt;0,"P","")</f>
        <v/>
      </c>
      <c r="H1212" s="1510" t="s">
        <v>3197</v>
      </c>
      <c r="I1212" s="589"/>
      <c r="J1212" s="589" t="s">
        <v>254</v>
      </c>
      <c r="K1212" s="589"/>
      <c r="L1212" s="1271" t="s">
        <v>4165</v>
      </c>
      <c r="M1212" s="991"/>
      <c r="N1212" s="991"/>
      <c r="O1212" s="991"/>
      <c r="P1212" s="991"/>
      <c r="Q1212" s="991"/>
      <c r="R1212" s="991"/>
      <c r="S1212" s="991"/>
      <c r="T1212" s="991"/>
      <c r="Z1212" s="1122"/>
      <c r="AL1212" s="1352"/>
      <c r="AM1212" s="1352"/>
      <c r="AN1212" s="1352"/>
      <c r="AO1212" s="1352"/>
      <c r="AP1212" s="1352"/>
      <c r="AQ1212" s="1352"/>
      <c r="AR1212" s="1352"/>
      <c r="AS1212" s="1352"/>
    </row>
    <row r="1213" spans="1:45" s="905" customFormat="1" ht="15" hidden="1" customHeight="1" x14ac:dyDescent="0.2">
      <c r="A1213" s="1507">
        <v>7</v>
      </c>
      <c r="B1213" s="1516" t="s">
        <v>4436</v>
      </c>
      <c r="C1213" s="1516" t="s">
        <v>254</v>
      </c>
      <c r="D1213" s="1516" t="s">
        <v>121</v>
      </c>
      <c r="E1213" s="1516"/>
      <c r="F1213" s="1511"/>
      <c r="G1213" s="1509" t="str">
        <f>IF(N1213&gt;0,"P","")</f>
        <v/>
      </c>
      <c r="H1213" s="1510" t="s">
        <v>3197</v>
      </c>
      <c r="I1213" s="589"/>
      <c r="J1213" s="589"/>
      <c r="K1213" s="590" t="s">
        <v>121</v>
      </c>
      <c r="L1213" s="1634" t="s">
        <v>4166</v>
      </c>
      <c r="M1213" s="991"/>
      <c r="N1213" s="991"/>
      <c r="O1213" s="991"/>
      <c r="P1213" s="991"/>
      <c r="Q1213" s="991"/>
      <c r="R1213" s="991"/>
      <c r="S1213" s="991"/>
      <c r="T1213" s="991"/>
      <c r="Z1213" s="1122"/>
      <c r="AL1213" s="1352"/>
      <c r="AM1213" s="1352"/>
      <c r="AN1213" s="1352"/>
      <c r="AO1213" s="1352"/>
      <c r="AP1213" s="1352"/>
      <c r="AQ1213" s="1352"/>
      <c r="AR1213" s="1352"/>
      <c r="AS1213" s="1352"/>
    </row>
    <row r="1214" spans="1:45" s="905" customFormat="1" hidden="1" x14ac:dyDescent="0.2">
      <c r="A1214" s="1507">
        <v>7</v>
      </c>
      <c r="B1214" s="1516" t="s">
        <v>4436</v>
      </c>
      <c r="C1214" s="1516" t="s">
        <v>254</v>
      </c>
      <c r="D1214" s="1516" t="s">
        <v>121</v>
      </c>
      <c r="E1214" s="1516"/>
      <c r="F1214" s="1511"/>
      <c r="G1214" s="1509" t="str">
        <f>G1213</f>
        <v/>
      </c>
      <c r="H1214" s="1510" t="s">
        <v>3197</v>
      </c>
      <c r="I1214" s="589"/>
      <c r="J1214" s="589"/>
      <c r="K1214" s="590"/>
      <c r="L1214" s="1634"/>
      <c r="M1214" s="913"/>
      <c r="N1214" s="1125">
        <f ca="1">'11.700'!O340</f>
        <v>0</v>
      </c>
      <c r="O1214" s="908">
        <f ca="1">IFERROR(INDEX(M1215:M1216,MATCH(W1208,{0.65,0.78},1)),0)*S1214*S1206</f>
        <v>0</v>
      </c>
      <c r="P1214" s="991"/>
      <c r="Q1214" s="991"/>
      <c r="R1214" s="991"/>
      <c r="S1214" s="198" t="b">
        <f ca="1">W1206=INDEX(INDIRECT(U1206),1)</f>
        <v>0</v>
      </c>
      <c r="T1214" s="991"/>
      <c r="Z1214" s="1122"/>
      <c r="AL1214" s="1352"/>
      <c r="AM1214" s="1352"/>
      <c r="AN1214" s="1352" t="str">
        <f>SUBSTITUTE(SUBSTITUTE(SUBSTITUTE("vpc"&amp;$B1214&amp;$C1214&amp;$D1214&amp;$E1214&amp;$F1214,".","_"),"(","_"),")","")</f>
        <v>vpc703_5_1_1_a</v>
      </c>
      <c r="AO1214" s="1352">
        <f ca="1">O1214</f>
        <v>0</v>
      </c>
      <c r="AP1214" s="1352"/>
      <c r="AQ1214" s="1352"/>
      <c r="AR1214" s="1352"/>
      <c r="AS1214" s="1352"/>
    </row>
    <row r="1215" spans="1:45" s="905" customFormat="1" hidden="1" x14ac:dyDescent="0.2">
      <c r="A1215" s="1507">
        <v>7</v>
      </c>
      <c r="B1215" s="1516" t="s">
        <v>4436</v>
      </c>
      <c r="C1215" s="1516" t="s">
        <v>254</v>
      </c>
      <c r="D1215" s="1516" t="s">
        <v>121</v>
      </c>
      <c r="E1215" s="1516" t="s">
        <v>3921</v>
      </c>
      <c r="F1215" s="1511"/>
      <c r="G1215" s="1509" t="str">
        <f>G1214</f>
        <v/>
      </c>
      <c r="H1215" s="1510" t="s">
        <v>3197</v>
      </c>
      <c r="I1215" s="589"/>
      <c r="J1215" s="589"/>
      <c r="K1215" s="102"/>
      <c r="L1215" s="1271" t="s">
        <v>5091</v>
      </c>
      <c r="M1215" s="913">
        <f ca="1">IFERROR(INDEX({2,2,2,2,2,2,2,1},T1121),0)*IF(T1191,2,1)</f>
        <v>2</v>
      </c>
      <c r="N1215" s="129"/>
      <c r="O1215" s="908"/>
      <c r="P1215" s="991"/>
      <c r="Q1215" s="991"/>
      <c r="R1215" s="991"/>
      <c r="S1215" s="991"/>
      <c r="T1215" s="991"/>
      <c r="Z1215" s="1122"/>
      <c r="AL1215" s="1352" t="str">
        <f>SUBSTITUTE(SUBSTITUTE(SUBSTITUTE("vpa"&amp;$B1215&amp;$C1215&amp;$D1215&amp;$E1215&amp;$F1215,".","_"),"(","_"),")","")</f>
        <v>vpa703_5_1_1_a_1</v>
      </c>
      <c r="AM1215" s="1352">
        <f ca="1">M1215</f>
        <v>2</v>
      </c>
      <c r="AN1215" s="1352"/>
      <c r="AO1215" s="1352"/>
      <c r="AP1215" s="1352"/>
      <c r="AQ1215" s="1352"/>
      <c r="AR1215" s="1352"/>
      <c r="AS1215" s="1352"/>
    </row>
    <row r="1216" spans="1:45" s="905" customFormat="1" hidden="1" x14ac:dyDescent="0.2">
      <c r="A1216" s="1507">
        <v>7</v>
      </c>
      <c r="B1216" s="1516" t="s">
        <v>4436</v>
      </c>
      <c r="C1216" s="1516" t="s">
        <v>254</v>
      </c>
      <c r="D1216" s="1516" t="s">
        <v>121</v>
      </c>
      <c r="E1216" s="1516" t="s">
        <v>3922</v>
      </c>
      <c r="F1216" s="1511"/>
      <c r="G1216" s="1509" t="str">
        <f>G1215</f>
        <v/>
      </c>
      <c r="H1216" s="1510" t="s">
        <v>3197</v>
      </c>
      <c r="I1216" s="589"/>
      <c r="J1216" s="589"/>
      <c r="K1216" s="591"/>
      <c r="L1216" s="1272" t="s">
        <v>5092</v>
      </c>
      <c r="M1216" s="937">
        <f ca="1">IFERROR(INDEX({2,3,3,3,3,3,3,2},T1121),0)*IF(T1191,2,1)</f>
        <v>2</v>
      </c>
      <c r="N1216" s="213"/>
      <c r="O1216" s="909"/>
      <c r="P1216" s="991"/>
      <c r="Q1216" s="991"/>
      <c r="R1216" s="991"/>
      <c r="S1216" s="991"/>
      <c r="T1216" s="991"/>
      <c r="Z1216" s="1122"/>
      <c r="AL1216" s="1352" t="str">
        <f>SUBSTITUTE(SUBSTITUTE(SUBSTITUTE("vpa"&amp;$B1216&amp;$C1216&amp;$D1216&amp;$E1216&amp;$F1216,".","_"),"(","_"),")","")</f>
        <v>vpa703_5_1_1_a_2</v>
      </c>
      <c r="AM1216" s="1352">
        <f ca="1">M1216</f>
        <v>2</v>
      </c>
      <c r="AN1216" s="1352"/>
      <c r="AO1216" s="1352"/>
      <c r="AP1216" s="1352"/>
      <c r="AQ1216" s="1352"/>
      <c r="AR1216" s="1352"/>
      <c r="AS1216" s="1352"/>
    </row>
    <row r="1217" spans="1:45" s="905" customFormat="1" ht="15" hidden="1" customHeight="1" x14ac:dyDescent="0.2">
      <c r="A1217" s="1507">
        <v>7</v>
      </c>
      <c r="B1217" s="1516" t="s">
        <v>4436</v>
      </c>
      <c r="C1217" s="1516" t="s">
        <v>254</v>
      </c>
      <c r="D1217" s="1516" t="s">
        <v>122</v>
      </c>
      <c r="E1217" s="1516"/>
      <c r="F1217" s="1511"/>
      <c r="G1217" s="1509" t="str">
        <f ca="1">IF(N1217&gt;0,"P","")</f>
        <v/>
      </c>
      <c r="H1217" s="1510" t="s">
        <v>3197</v>
      </c>
      <c r="I1217" s="589"/>
      <c r="J1217" s="589"/>
      <c r="K1217" s="608" t="s">
        <v>122</v>
      </c>
      <c r="L1217" s="1633" t="s">
        <v>4167</v>
      </c>
      <c r="M1217" s="1757">
        <v>1</v>
      </c>
      <c r="N1217" s="1637">
        <f ca="1">'11.700'!O343</f>
        <v>0</v>
      </c>
      <c r="O1217" s="1758">
        <f ca="1">IF(W1208&gt;=0.78,M1217,0)*S1217*S1206</f>
        <v>0</v>
      </c>
      <c r="P1217" s="991"/>
      <c r="Q1217" s="991"/>
      <c r="R1217" s="991"/>
      <c r="S1217" s="198" t="b">
        <f ca="1">W1206=INDEX(INDIRECT(U1206),2)</f>
        <v>0</v>
      </c>
      <c r="T1217" s="991"/>
      <c r="Z1217" s="1122"/>
      <c r="AL1217" s="1352" t="str">
        <f>SUBSTITUTE(SUBSTITUTE(SUBSTITUTE("vpa"&amp;$B1217&amp;$C1217&amp;$D1217&amp;$E1217&amp;$F1217,".","_"),"(","_"),")","")</f>
        <v>vpa703_5_1_1_b</v>
      </c>
      <c r="AM1217" s="1352">
        <f>M1217</f>
        <v>1</v>
      </c>
      <c r="AN1217" s="1352" t="str">
        <f>SUBSTITUTE(SUBSTITUTE(SUBSTITUTE("vpc"&amp;$B1217&amp;$C1217&amp;$D1217&amp;$E1217&amp;$F1217,".","_"),"(","_"),")","")</f>
        <v>vpc703_5_1_1_b</v>
      </c>
      <c r="AO1217" s="1352">
        <f ca="1">O1217</f>
        <v>0</v>
      </c>
      <c r="AP1217" s="1352"/>
      <c r="AQ1217" s="1352"/>
      <c r="AR1217" s="1352"/>
      <c r="AS1217" s="1352"/>
    </row>
    <row r="1218" spans="1:45" s="905" customFormat="1" hidden="1" x14ac:dyDescent="0.2">
      <c r="A1218" s="1507">
        <v>7</v>
      </c>
      <c r="B1218" s="1516" t="s">
        <v>4436</v>
      </c>
      <c r="C1218" s="1516" t="s">
        <v>254</v>
      </c>
      <c r="D1218" s="1516" t="s">
        <v>122</v>
      </c>
      <c r="E1218" s="1516"/>
      <c r="F1218" s="1511"/>
      <c r="G1218" s="1509" t="str">
        <f ca="1">G1217</f>
        <v/>
      </c>
      <c r="H1218" s="1510" t="s">
        <v>3197</v>
      </c>
      <c r="I1218" s="589"/>
      <c r="J1218" s="589"/>
      <c r="K1218" s="606"/>
      <c r="L1218" s="1639"/>
      <c r="M1218" s="1754"/>
      <c r="N1218" s="1620"/>
      <c r="O1218" s="1756"/>
      <c r="P1218" s="991"/>
      <c r="Q1218" s="991"/>
      <c r="R1218" s="991"/>
      <c r="S1218" s="991"/>
      <c r="T1218" s="991"/>
      <c r="Z1218" s="1122"/>
      <c r="AL1218" s="1352"/>
      <c r="AM1218" s="1352"/>
      <c r="AN1218" s="1352"/>
      <c r="AO1218" s="1352"/>
      <c r="AP1218" s="1352"/>
      <c r="AQ1218" s="1352"/>
      <c r="AR1218" s="1352"/>
      <c r="AS1218" s="1352"/>
    </row>
    <row r="1219" spans="1:45" s="905" customFormat="1" hidden="1" x14ac:dyDescent="0.2">
      <c r="A1219" s="1507">
        <v>7</v>
      </c>
      <c r="B1219" s="1516" t="s">
        <v>4436</v>
      </c>
      <c r="C1219" s="1516" t="s">
        <v>254</v>
      </c>
      <c r="D1219" s="1516" t="s">
        <v>123</v>
      </c>
      <c r="E1219" s="1516"/>
      <c r="F1219" s="1511"/>
      <c r="G1219" s="1509" t="str">
        <f ca="1">IF(N1219&gt;0,"P","")</f>
        <v/>
      </c>
      <c r="H1219" s="1510" t="s">
        <v>3197</v>
      </c>
      <c r="I1219" s="589"/>
      <c r="J1219" s="589"/>
      <c r="K1219" s="608" t="s">
        <v>123</v>
      </c>
      <c r="L1219" s="1270" t="s">
        <v>4168</v>
      </c>
      <c r="M1219" s="195"/>
      <c r="N1219" s="1125">
        <f ca="1">'11.700'!O345</f>
        <v>0</v>
      </c>
      <c r="O1219" s="973">
        <f ca="1">IFERROR(INDEX(M1220:M1221,MATCH(W1208,{0.9,0.95},1)),0)*S1219*S1206</f>
        <v>0</v>
      </c>
      <c r="P1219" s="991"/>
      <c r="Q1219" s="991"/>
      <c r="R1219" s="991"/>
      <c r="S1219" s="198" t="b">
        <f ca="1">W1206=INDEX(INDIRECT(U1206),3)</f>
        <v>0</v>
      </c>
      <c r="T1219" s="991"/>
      <c r="Z1219" s="1122"/>
      <c r="AL1219" s="1352"/>
      <c r="AM1219" s="1352"/>
      <c r="AN1219" s="1352" t="str">
        <f>SUBSTITUTE(SUBSTITUTE(SUBSTITUTE("vpc"&amp;$B1219&amp;$C1219&amp;$D1219&amp;$E1219&amp;$F1219,".","_"),"(","_"),")","")</f>
        <v>vpc703_5_1_1_c</v>
      </c>
      <c r="AO1219" s="1352">
        <f ca="1">O1219</f>
        <v>0</v>
      </c>
      <c r="AP1219" s="1352"/>
      <c r="AQ1219" s="1352"/>
      <c r="AR1219" s="1352"/>
      <c r="AS1219" s="1352"/>
    </row>
    <row r="1220" spans="1:45" s="905" customFormat="1" hidden="1" x14ac:dyDescent="0.2">
      <c r="A1220" s="1507">
        <v>7</v>
      </c>
      <c r="B1220" s="1516" t="s">
        <v>4436</v>
      </c>
      <c r="C1220" s="1516" t="s">
        <v>254</v>
      </c>
      <c r="D1220" s="1516" t="s">
        <v>123</v>
      </c>
      <c r="E1220" s="1516" t="s">
        <v>3921</v>
      </c>
      <c r="F1220" s="1511"/>
      <c r="G1220" s="1509" t="str">
        <f ca="1">G1219</f>
        <v/>
      </c>
      <c r="H1220" s="1510" t="s">
        <v>3197</v>
      </c>
      <c r="I1220" s="589"/>
      <c r="J1220" s="589"/>
      <c r="K1220" s="590"/>
      <c r="L1220" s="1271" t="s">
        <v>4169</v>
      </c>
      <c r="M1220" s="913">
        <f>IFERROR(INDEX({6,6,5,3,3,3,3,2},T1121),0)</f>
        <v>6</v>
      </c>
      <c r="N1220" s="991"/>
      <c r="O1220" s="991"/>
      <c r="P1220" s="991"/>
      <c r="Q1220" s="991"/>
      <c r="R1220" s="991"/>
      <c r="S1220" s="991"/>
      <c r="T1220" s="991"/>
      <c r="Z1220" s="1122"/>
      <c r="AL1220" s="1352" t="str">
        <f>SUBSTITUTE(SUBSTITUTE(SUBSTITUTE("vpa"&amp;$B1220&amp;$C1220&amp;$D1220&amp;$E1220&amp;$F1220,".","_"),"(","_"),")","")</f>
        <v>vpa703_5_1_1_c_1</v>
      </c>
      <c r="AM1220" s="1352">
        <f>M1220</f>
        <v>6</v>
      </c>
      <c r="AN1220" s="1352"/>
      <c r="AO1220" s="1352"/>
      <c r="AP1220" s="1352"/>
      <c r="AQ1220" s="1352"/>
      <c r="AR1220" s="1352"/>
      <c r="AS1220" s="1352"/>
    </row>
    <row r="1221" spans="1:45" s="905" customFormat="1" hidden="1" x14ac:dyDescent="0.2">
      <c r="A1221" s="1507">
        <v>7</v>
      </c>
      <c r="B1221" s="1516" t="s">
        <v>4436</v>
      </c>
      <c r="C1221" s="1516" t="s">
        <v>254</v>
      </c>
      <c r="D1221" s="1516" t="s">
        <v>123</v>
      </c>
      <c r="E1221" s="1516" t="s">
        <v>3922</v>
      </c>
      <c r="F1221" s="1511"/>
      <c r="G1221" s="1509" t="str">
        <f ca="1">G1220</f>
        <v/>
      </c>
      <c r="H1221" s="1510" t="s">
        <v>3197</v>
      </c>
      <c r="I1221" s="589"/>
      <c r="J1221" s="589"/>
      <c r="K1221" s="591"/>
      <c r="L1221" s="1272" t="s">
        <v>4170</v>
      </c>
      <c r="M1221" s="937">
        <f>IFERROR(INDEX({7,7,5,4,4,4,4,2},T1121),0)</f>
        <v>7</v>
      </c>
      <c r="N1221" s="173"/>
      <c r="O1221" s="173"/>
      <c r="P1221" s="991"/>
      <c r="Q1221" s="991"/>
      <c r="R1221" s="991"/>
      <c r="S1221" s="991"/>
      <c r="T1221" s="991"/>
      <c r="Z1221" s="1122"/>
      <c r="AL1221" s="1352" t="str">
        <f>SUBSTITUTE(SUBSTITUTE(SUBSTITUTE("vpa"&amp;$B1221&amp;$C1221&amp;$D1221&amp;$E1221&amp;$F1221,".","_"),"(","_"),")","")</f>
        <v>vpa703_5_1_1_c_2</v>
      </c>
      <c r="AM1221" s="1352">
        <f>M1221</f>
        <v>7</v>
      </c>
      <c r="AN1221" s="1352"/>
      <c r="AO1221" s="1352"/>
      <c r="AP1221" s="1352"/>
      <c r="AQ1221" s="1352"/>
      <c r="AR1221" s="1352"/>
      <c r="AS1221" s="1352"/>
    </row>
    <row r="1222" spans="1:45" s="905" customFormat="1" ht="15" hidden="1" customHeight="1" x14ac:dyDescent="0.2">
      <c r="A1222" s="1507">
        <v>7</v>
      </c>
      <c r="B1222" s="1516" t="s">
        <v>4436</v>
      </c>
      <c r="C1222" s="1516" t="s">
        <v>254</v>
      </c>
      <c r="D1222" s="1516" t="s">
        <v>366</v>
      </c>
      <c r="E1222" s="1516"/>
      <c r="F1222" s="1511"/>
      <c r="G1222" s="1509" t="str">
        <f ca="1">IF(N1222&gt;0,"P","")</f>
        <v/>
      </c>
      <c r="H1222" s="1510" t="s">
        <v>3197</v>
      </c>
      <c r="I1222" s="589"/>
      <c r="J1222" s="589"/>
      <c r="K1222" s="608" t="s">
        <v>366</v>
      </c>
      <c r="L1222" s="1633" t="s">
        <v>4171</v>
      </c>
      <c r="M1222" s="195"/>
      <c r="N1222" s="1637">
        <f ca="1">'11.700'!O348</f>
        <v>0</v>
      </c>
      <c r="O1222" s="1637">
        <f ca="1">IFERROR(INDEX(M1225:M1226,MATCH(W1208,{0.92,0.95},1)),0)*S1222*S1206</f>
        <v>0</v>
      </c>
      <c r="P1222" s="991"/>
      <c r="Q1222" s="991"/>
      <c r="R1222" s="991"/>
      <c r="S1222" s="198" t="b">
        <f ca="1">W1206=INDEX(INDIRECT(U1206),4)</f>
        <v>0</v>
      </c>
      <c r="T1222" s="991"/>
      <c r="Z1222" s="1122"/>
      <c r="AL1222" s="1352"/>
      <c r="AM1222" s="1352"/>
      <c r="AN1222" s="1352" t="str">
        <f>SUBSTITUTE(SUBSTITUTE(SUBSTITUTE("vpc"&amp;$B1222&amp;$C1222&amp;$D1222&amp;$E1222&amp;$F1222,".","_"),"(","_"),")","")</f>
        <v>vpc703_5_1_1_d</v>
      </c>
      <c r="AO1222" s="1352">
        <f ca="1">O1222</f>
        <v>0</v>
      </c>
      <c r="AP1222" s="1352"/>
      <c r="AQ1222" s="1352"/>
      <c r="AR1222" s="1352"/>
      <c r="AS1222" s="1352"/>
    </row>
    <row r="1223" spans="1:45" s="905" customFormat="1" hidden="1" x14ac:dyDescent="0.2">
      <c r="A1223" s="1507">
        <v>7</v>
      </c>
      <c r="B1223" s="1516" t="s">
        <v>4436</v>
      </c>
      <c r="C1223" s="1516" t="s">
        <v>254</v>
      </c>
      <c r="D1223" s="1516" t="s">
        <v>366</v>
      </c>
      <c r="E1223" s="1516"/>
      <c r="F1223" s="1511"/>
      <c r="G1223" s="1509" t="str">
        <f ca="1">G1222</f>
        <v/>
      </c>
      <c r="H1223" s="1510" t="s">
        <v>3197</v>
      </c>
      <c r="I1223" s="589"/>
      <c r="J1223" s="589"/>
      <c r="K1223" s="590"/>
      <c r="L1223" s="1634"/>
      <c r="M1223" s="913"/>
      <c r="N1223" s="1619"/>
      <c r="O1223" s="1619"/>
      <c r="P1223" s="991"/>
      <c r="Q1223" s="991"/>
      <c r="R1223" s="991"/>
      <c r="S1223" s="991"/>
      <c r="T1223" s="991"/>
      <c r="Z1223" s="1122"/>
      <c r="AL1223" s="1352"/>
      <c r="AM1223" s="1352"/>
      <c r="AN1223" s="1352"/>
      <c r="AO1223" s="1352"/>
      <c r="AP1223" s="1352"/>
      <c r="AQ1223" s="1352"/>
      <c r="AR1223" s="1352"/>
      <c r="AS1223" s="1352"/>
    </row>
    <row r="1224" spans="1:45" s="905" customFormat="1" hidden="1" x14ac:dyDescent="0.2">
      <c r="A1224" s="1507">
        <v>7</v>
      </c>
      <c r="B1224" s="1516" t="s">
        <v>4436</v>
      </c>
      <c r="C1224" s="1516" t="s">
        <v>254</v>
      </c>
      <c r="D1224" s="1516" t="s">
        <v>366</v>
      </c>
      <c r="E1224" s="1516"/>
      <c r="F1224" s="1511"/>
      <c r="G1224" s="1509" t="str">
        <f ca="1">G1223</f>
        <v/>
      </c>
      <c r="H1224" s="1510" t="s">
        <v>3197</v>
      </c>
      <c r="I1224" s="589"/>
      <c r="J1224" s="589"/>
      <c r="K1224" s="590"/>
      <c r="L1224" s="1634"/>
      <c r="M1224" s="913"/>
      <c r="N1224" s="1619"/>
      <c r="O1224" s="1619"/>
      <c r="P1224" s="991"/>
      <c r="Q1224" s="991"/>
      <c r="R1224" s="991"/>
      <c r="S1224" s="991"/>
      <c r="T1224" s="991"/>
      <c r="Z1224" s="1122"/>
      <c r="AL1224" s="1352"/>
      <c r="AM1224" s="1352"/>
      <c r="AN1224" s="1352"/>
      <c r="AO1224" s="1352"/>
      <c r="AP1224" s="1352"/>
      <c r="AQ1224" s="1352"/>
      <c r="AR1224" s="1352"/>
      <c r="AS1224" s="1352"/>
    </row>
    <row r="1225" spans="1:45" s="905" customFormat="1" hidden="1" x14ac:dyDescent="0.2">
      <c r="A1225" s="1507">
        <v>7</v>
      </c>
      <c r="B1225" s="1516" t="s">
        <v>4436</v>
      </c>
      <c r="C1225" s="1516" t="s">
        <v>254</v>
      </c>
      <c r="D1225" s="1516" t="s">
        <v>366</v>
      </c>
      <c r="E1225" s="1516" t="s">
        <v>3921</v>
      </c>
      <c r="F1225" s="1511"/>
      <c r="G1225" s="1509" t="str">
        <f ca="1">G1224</f>
        <v/>
      </c>
      <c r="H1225" s="1510" t="s">
        <v>3197</v>
      </c>
      <c r="I1225" s="589"/>
      <c r="J1225" s="589"/>
      <c r="K1225" s="102"/>
      <c r="L1225" s="1271" t="s">
        <v>4172</v>
      </c>
      <c r="M1225" s="913">
        <v>1</v>
      </c>
      <c r="N1225" s="129"/>
      <c r="O1225" s="908"/>
      <c r="P1225" s="991"/>
      <c r="Q1225" s="991"/>
      <c r="R1225" s="991"/>
      <c r="S1225" s="991"/>
      <c r="T1225" s="991"/>
      <c r="Z1225" s="1122"/>
      <c r="AL1225" s="1352" t="str">
        <f>SUBSTITUTE(SUBSTITUTE(SUBSTITUTE("vpa"&amp;$B1225&amp;$C1225&amp;$D1225&amp;$E1225&amp;$F1225,".","_"),"(","_"),")","")</f>
        <v>vpa703_5_1_1_d_1</v>
      </c>
      <c r="AM1225" s="1352">
        <f>M1225</f>
        <v>1</v>
      </c>
      <c r="AN1225" s="1352"/>
      <c r="AO1225" s="1352"/>
      <c r="AP1225" s="1352"/>
      <c r="AQ1225" s="1352"/>
      <c r="AR1225" s="1352"/>
      <c r="AS1225" s="1352"/>
    </row>
    <row r="1226" spans="1:45" s="905" customFormat="1" hidden="1" x14ac:dyDescent="0.2">
      <c r="A1226" s="1507">
        <v>7</v>
      </c>
      <c r="B1226" s="1516" t="s">
        <v>4436</v>
      </c>
      <c r="C1226" s="1516" t="s">
        <v>254</v>
      </c>
      <c r="D1226" s="1516" t="s">
        <v>366</v>
      </c>
      <c r="E1226" s="1516" t="s">
        <v>3922</v>
      </c>
      <c r="F1226" s="1511"/>
      <c r="G1226" s="1509" t="str">
        <f ca="1">G1225</f>
        <v/>
      </c>
      <c r="H1226" s="1510" t="s">
        <v>3197</v>
      </c>
      <c r="I1226" s="589"/>
      <c r="J1226" s="589"/>
      <c r="K1226" s="606"/>
      <c r="L1226" s="1272" t="s">
        <v>4170</v>
      </c>
      <c r="M1226" s="937">
        <f>IFERROR(INDEX({2,2,2,2,2,2,2,1},BF928),0)</f>
        <v>2</v>
      </c>
      <c r="N1226" s="213"/>
      <c r="O1226" s="909"/>
      <c r="P1226" s="991"/>
      <c r="Q1226" s="991"/>
      <c r="R1226" s="991"/>
      <c r="S1226" s="991"/>
      <c r="T1226" s="991"/>
      <c r="Z1226" s="1122"/>
      <c r="AL1226" s="1352" t="str">
        <f>SUBSTITUTE(SUBSTITUTE(SUBSTITUTE("vpa"&amp;$B1226&amp;$C1226&amp;$D1226&amp;$E1226&amp;$F1226,".","_"),"(","_"),")","")</f>
        <v>vpa703_5_1_1_d_2</v>
      </c>
      <c r="AM1226" s="1352">
        <f>M1226</f>
        <v>2</v>
      </c>
      <c r="AN1226" s="1352"/>
      <c r="AO1226" s="1352"/>
      <c r="AP1226" s="1352"/>
      <c r="AQ1226" s="1352"/>
      <c r="AR1226" s="1352"/>
      <c r="AS1226" s="1352"/>
    </row>
    <row r="1227" spans="1:45" s="905" customFormat="1" ht="15" hidden="1" customHeight="1" x14ac:dyDescent="0.2">
      <c r="A1227" s="1507">
        <v>7</v>
      </c>
      <c r="B1227" s="1516" t="s">
        <v>4436</v>
      </c>
      <c r="C1227" s="1516" t="s">
        <v>254</v>
      </c>
      <c r="D1227" s="1516" t="s">
        <v>472</v>
      </c>
      <c r="E1227" s="1516"/>
      <c r="F1227" s="1511"/>
      <c r="G1227" s="1509" t="str">
        <f ca="1">IF(N1227&gt;0,"P","")</f>
        <v/>
      </c>
      <c r="H1227" s="1510" t="s">
        <v>3197</v>
      </c>
      <c r="I1227" s="589"/>
      <c r="J1227" s="589"/>
      <c r="K1227" s="589" t="s">
        <v>472</v>
      </c>
      <c r="L1227" s="1634" t="s">
        <v>4173</v>
      </c>
      <c r="M1227" s="991"/>
      <c r="N1227" s="1125">
        <f ca="1">'11.700'!O353</f>
        <v>0</v>
      </c>
      <c r="O1227" s="974">
        <f ca="1">IFERROR(INDEX(M1229:M1230,MATCH(W1208,{0.89,0.94},1)),0)*S1227*S1206</f>
        <v>0</v>
      </c>
      <c r="P1227" s="991"/>
      <c r="Q1227" s="991"/>
      <c r="R1227" s="991"/>
      <c r="S1227" s="198" t="b">
        <f ca="1">W1206=INDEX(INDIRECT(U1206),5)</f>
        <v>0</v>
      </c>
      <c r="T1227" s="991"/>
      <c r="Z1227" s="1122"/>
      <c r="AL1227" s="1352"/>
      <c r="AM1227" s="1352"/>
      <c r="AN1227" s="1352" t="str">
        <f>SUBSTITUTE(SUBSTITUTE(SUBSTITUTE("vpc"&amp;$B1227&amp;$C1227&amp;$D1227&amp;$E1227&amp;$F1227,".","_"),"(","_"),")","")</f>
        <v>vpc703_5_1_1_e</v>
      </c>
      <c r="AO1227" s="1352">
        <f ca="1">O1227</f>
        <v>0</v>
      </c>
      <c r="AP1227" s="1352"/>
      <c r="AQ1227" s="1352"/>
      <c r="AR1227" s="1352"/>
      <c r="AS1227" s="1352"/>
    </row>
    <row r="1228" spans="1:45" s="905" customFormat="1" hidden="1" x14ac:dyDescent="0.2">
      <c r="A1228" s="1507">
        <v>7</v>
      </c>
      <c r="B1228" s="1516" t="s">
        <v>4436</v>
      </c>
      <c r="C1228" s="1516" t="s">
        <v>254</v>
      </c>
      <c r="D1228" s="1516" t="s">
        <v>472</v>
      </c>
      <c r="E1228" s="1516"/>
      <c r="F1228" s="1511"/>
      <c r="G1228" s="1509" t="str">
        <f ca="1">G1227</f>
        <v/>
      </c>
      <c r="H1228" s="1510" t="s">
        <v>3197</v>
      </c>
      <c r="I1228" s="589"/>
      <c r="J1228" s="589"/>
      <c r="K1228" s="589"/>
      <c r="L1228" s="1634"/>
      <c r="M1228" s="991"/>
      <c r="N1228" s="991"/>
      <c r="O1228" s="991"/>
      <c r="P1228" s="991"/>
      <c r="Q1228" s="991"/>
      <c r="R1228" s="991"/>
      <c r="S1228" s="991"/>
      <c r="T1228" s="991"/>
      <c r="Z1228" s="1122"/>
      <c r="AL1228" s="1352"/>
      <c r="AM1228" s="1352"/>
      <c r="AN1228" s="1352"/>
      <c r="AO1228" s="1352"/>
      <c r="AP1228" s="1352"/>
      <c r="AQ1228" s="1352"/>
      <c r="AR1228" s="1352"/>
      <c r="AS1228" s="1352"/>
    </row>
    <row r="1229" spans="1:45" s="905" customFormat="1" hidden="1" x14ac:dyDescent="0.2">
      <c r="A1229" s="1507">
        <v>7</v>
      </c>
      <c r="B1229" s="1516" t="s">
        <v>4436</v>
      </c>
      <c r="C1229" s="1516" t="s">
        <v>254</v>
      </c>
      <c r="D1229" s="1516" t="s">
        <v>472</v>
      </c>
      <c r="E1229" s="1516" t="s">
        <v>3921</v>
      </c>
      <c r="F1229" s="1511"/>
      <c r="G1229" s="1509" t="str">
        <f ca="1">G1228</f>
        <v/>
      </c>
      <c r="H1229" s="1510" t="s">
        <v>3197</v>
      </c>
      <c r="I1229" s="589"/>
      <c r="J1229" s="589"/>
      <c r="K1229" s="589"/>
      <c r="L1229" s="1271" t="s">
        <v>5093</v>
      </c>
      <c r="M1229" s="913">
        <f>IFERROR(INDEX({2,2,2,1,1,1,1,1},T1121),0)</f>
        <v>2</v>
      </c>
      <c r="N1229" s="991"/>
      <c r="O1229" s="991"/>
      <c r="P1229" s="991"/>
      <c r="Q1229" s="991"/>
      <c r="R1229" s="991"/>
      <c r="S1229" s="991"/>
      <c r="T1229" s="991"/>
      <c r="Z1229" s="1122"/>
      <c r="AL1229" s="1352" t="str">
        <f>SUBSTITUTE(SUBSTITUTE(SUBSTITUTE("vpa"&amp;$B1229&amp;$C1229&amp;$D1229&amp;$E1229&amp;$F1229,".","_"),"(","_"),")","")</f>
        <v>vpa703_5_1_1_e_1</v>
      </c>
      <c r="AM1229" s="1352">
        <f>M1229</f>
        <v>2</v>
      </c>
      <c r="AN1229" s="1352"/>
      <c r="AO1229" s="1352"/>
      <c r="AP1229" s="1352"/>
      <c r="AQ1229" s="1352"/>
      <c r="AR1229" s="1352"/>
      <c r="AS1229" s="1352"/>
    </row>
    <row r="1230" spans="1:45" s="905" customFormat="1" hidden="1" x14ac:dyDescent="0.2">
      <c r="A1230" s="1507">
        <v>7</v>
      </c>
      <c r="B1230" s="1516" t="s">
        <v>4436</v>
      </c>
      <c r="C1230" s="1516" t="s">
        <v>254</v>
      </c>
      <c r="D1230" s="1516" t="s">
        <v>472</v>
      </c>
      <c r="E1230" s="1516" t="s">
        <v>3922</v>
      </c>
      <c r="F1230" s="1511"/>
      <c r="G1230" s="1509" t="str">
        <f ca="1">G1229</f>
        <v/>
      </c>
      <c r="H1230" s="1510" t="s">
        <v>3197</v>
      </c>
      <c r="I1230" s="589"/>
      <c r="J1230" s="606"/>
      <c r="K1230" s="606"/>
      <c r="L1230" s="1272" t="s">
        <v>5094</v>
      </c>
      <c r="M1230" s="937">
        <f>IFERROR(INDEX({3,3,2,2,2,2,2,1},T1121),0)</f>
        <v>3</v>
      </c>
      <c r="N1230" s="173"/>
      <c r="O1230" s="173"/>
      <c r="P1230" s="991"/>
      <c r="Q1230" s="991"/>
      <c r="R1230" s="991"/>
      <c r="S1230" s="991"/>
      <c r="T1230" s="991"/>
      <c r="Z1230" s="1122"/>
      <c r="AL1230" s="1352" t="str">
        <f>SUBSTITUTE(SUBSTITUTE(SUBSTITUTE("vpa"&amp;$B1230&amp;$C1230&amp;$D1230&amp;$E1230&amp;$F1230,".","_"),"(","_"),")","")</f>
        <v>vpa703_5_1_1_e_2</v>
      </c>
      <c r="AM1230" s="1352">
        <f>M1230</f>
        <v>3</v>
      </c>
      <c r="AN1230" s="1352"/>
      <c r="AO1230" s="1352"/>
      <c r="AP1230" s="1352"/>
      <c r="AQ1230" s="1352"/>
      <c r="AR1230" s="1352"/>
      <c r="AS1230" s="1352"/>
    </row>
    <row r="1231" spans="1:45" s="905" customFormat="1" hidden="1" x14ac:dyDescent="0.2">
      <c r="A1231" s="1507">
        <v>7</v>
      </c>
      <c r="B1231" s="1516" t="s">
        <v>4436</v>
      </c>
      <c r="C1231" s="1516" t="s">
        <v>255</v>
      </c>
      <c r="D1231" s="1516"/>
      <c r="E1231" s="1516"/>
      <c r="F1231" s="1511"/>
      <c r="G1231" s="1513" t="str">
        <f ca="1">IF(COUNTIF(G1232:G1251,"P")&gt;0,"P","")</f>
        <v/>
      </c>
      <c r="H1231" s="1510" t="s">
        <v>3197</v>
      </c>
      <c r="I1231" s="589"/>
      <c r="J1231" s="589" t="s">
        <v>255</v>
      </c>
      <c r="K1231" s="589"/>
      <c r="L1231" s="1271" t="s">
        <v>4174</v>
      </c>
      <c r="M1231" s="991"/>
      <c r="N1231" s="991"/>
      <c r="O1231" s="991"/>
      <c r="P1231" s="991"/>
      <c r="Q1231" s="991"/>
      <c r="R1231" s="991"/>
      <c r="S1231" s="991"/>
      <c r="T1231" s="991"/>
      <c r="Z1231" s="1122"/>
      <c r="AL1231" s="1352"/>
      <c r="AM1231" s="1352"/>
      <c r="AN1231" s="1352"/>
      <c r="AO1231" s="1352"/>
      <c r="AP1231" s="1352"/>
      <c r="AQ1231" s="1352"/>
      <c r="AR1231" s="1352"/>
      <c r="AS1231" s="1352"/>
    </row>
    <row r="1232" spans="1:45" s="905" customFormat="1" ht="15" hidden="1" customHeight="1" x14ac:dyDescent="0.2">
      <c r="A1232" s="1507">
        <v>7</v>
      </c>
      <c r="B1232" s="1516" t="s">
        <v>4436</v>
      </c>
      <c r="C1232" s="1516" t="s">
        <v>255</v>
      </c>
      <c r="D1232" s="1516" t="s">
        <v>121</v>
      </c>
      <c r="E1232" s="1516"/>
      <c r="F1232" s="1511"/>
      <c r="G1232" s="1509" t="str">
        <f ca="1">IF(N1232&gt;0,"P","")</f>
        <v/>
      </c>
      <c r="H1232" s="1510" t="s">
        <v>3197</v>
      </c>
      <c r="I1232" s="589"/>
      <c r="J1232" s="589"/>
      <c r="K1232" s="589" t="s">
        <v>121</v>
      </c>
      <c r="L1232" s="1634" t="s">
        <v>4175</v>
      </c>
      <c r="M1232" s="991"/>
      <c r="N1232" s="1125">
        <f ca="1">'11.700'!O358</f>
        <v>0</v>
      </c>
      <c r="O1232" s="908">
        <f ca="1">IFERROR(INDEX(M1234:M1240,MATCH(W1208,{0.94,1,1.5,2,2.2,2.5,3},1)),0)*S1232*S1206</f>
        <v>0</v>
      </c>
      <c r="P1232" s="991"/>
      <c r="Q1232" s="991"/>
      <c r="R1232" s="991"/>
      <c r="S1232" s="198" t="b">
        <f ca="1">W1206=INDEX(INDIRECT(U1206),6)</f>
        <v>0</v>
      </c>
      <c r="T1232" s="991"/>
      <c r="Z1232" s="1122"/>
      <c r="AL1232" s="1352"/>
      <c r="AM1232" s="1352"/>
      <c r="AN1232" s="1352" t="str">
        <f>SUBSTITUTE(SUBSTITUTE(SUBSTITUTE("vpc"&amp;$B1232&amp;$C1232&amp;$D1232&amp;$E1232&amp;$F1232,".","_"),"(","_"),")","")</f>
        <v>vpc703_5_1_2_a</v>
      </c>
      <c r="AO1232" s="1352">
        <f ca="1">O1232</f>
        <v>0</v>
      </c>
      <c r="AP1232" s="1352"/>
      <c r="AQ1232" s="1352"/>
      <c r="AR1232" s="1352"/>
      <c r="AS1232" s="1352"/>
    </row>
    <row r="1233" spans="1:45" s="905" customFormat="1" hidden="1" x14ac:dyDescent="0.2">
      <c r="A1233" s="1507">
        <v>7</v>
      </c>
      <c r="B1233" s="1516" t="s">
        <v>4436</v>
      </c>
      <c r="C1233" s="1516" t="s">
        <v>255</v>
      </c>
      <c r="D1233" s="1516" t="s">
        <v>121</v>
      </c>
      <c r="E1233" s="1516"/>
      <c r="F1233" s="1511"/>
      <c r="G1233" s="1509" t="str">
        <f t="shared" ref="G1233:G1240" ca="1" si="98">G1232</f>
        <v/>
      </c>
      <c r="H1233" s="1510" t="s">
        <v>3197</v>
      </c>
      <c r="I1233" s="589"/>
      <c r="J1233" s="589"/>
      <c r="K1233" s="589"/>
      <c r="L1233" s="1634"/>
      <c r="M1233" s="913"/>
      <c r="N1233" s="129"/>
      <c r="O1233" s="908"/>
      <c r="P1233" s="991"/>
      <c r="Q1233" s="991"/>
      <c r="R1233" s="991"/>
      <c r="S1233" s="991"/>
      <c r="T1233" s="991"/>
      <c r="Z1233" s="1122"/>
      <c r="AL1233" s="1352"/>
      <c r="AM1233" s="1352"/>
      <c r="AN1233" s="1352"/>
      <c r="AO1233" s="1352"/>
      <c r="AP1233" s="1352"/>
      <c r="AQ1233" s="1352"/>
      <c r="AR1233" s="1352"/>
      <c r="AS1233" s="1352"/>
    </row>
    <row r="1234" spans="1:45" s="905" customFormat="1" hidden="1" x14ac:dyDescent="0.2">
      <c r="A1234" s="1507">
        <v>7</v>
      </c>
      <c r="B1234" s="1516" t="s">
        <v>4436</v>
      </c>
      <c r="C1234" s="1516" t="s">
        <v>255</v>
      </c>
      <c r="D1234" s="1516" t="s">
        <v>121</v>
      </c>
      <c r="E1234" s="1516" t="s">
        <v>3921</v>
      </c>
      <c r="F1234" s="1511"/>
      <c r="G1234" s="1509" t="str">
        <f t="shared" ca="1" si="98"/>
        <v/>
      </c>
      <c r="H1234" s="1510" t="s">
        <v>3197</v>
      </c>
      <c r="I1234" s="589"/>
      <c r="J1234" s="589"/>
      <c r="K1234" s="136"/>
      <c r="L1234" s="1271" t="s">
        <v>5095</v>
      </c>
      <c r="M1234" s="913">
        <v>1</v>
      </c>
      <c r="N1234" s="129"/>
      <c r="O1234" s="991"/>
      <c r="P1234" s="991"/>
      <c r="Q1234" s="991"/>
      <c r="R1234" s="991"/>
      <c r="S1234" s="991"/>
      <c r="T1234" s="991"/>
      <c r="Z1234" s="1122"/>
      <c r="AL1234" s="1352" t="str">
        <f t="shared" ref="AL1234:AL1240" si="99">SUBSTITUTE(SUBSTITUTE(SUBSTITUTE("vpa"&amp;$B1234&amp;$C1234&amp;$D1234&amp;$E1234&amp;$F1234,".","_"),"(","_"),")","")</f>
        <v>vpa703_5_1_2_a_1</v>
      </c>
      <c r="AM1234" s="1352">
        <f t="shared" ref="AM1234:AM1240" si="100">M1234</f>
        <v>1</v>
      </c>
      <c r="AN1234" s="1352"/>
      <c r="AO1234" s="1352"/>
      <c r="AP1234" s="1352"/>
      <c r="AQ1234" s="1352"/>
      <c r="AR1234" s="1352"/>
      <c r="AS1234" s="1352"/>
    </row>
    <row r="1235" spans="1:45" s="905" customFormat="1" hidden="1" x14ac:dyDescent="0.2">
      <c r="A1235" s="1507">
        <v>7</v>
      </c>
      <c r="B1235" s="1516" t="s">
        <v>4436</v>
      </c>
      <c r="C1235" s="1516" t="s">
        <v>255</v>
      </c>
      <c r="D1235" s="1516" t="s">
        <v>121</v>
      </c>
      <c r="E1235" s="1516" t="s">
        <v>3922</v>
      </c>
      <c r="F1235" s="1511"/>
      <c r="G1235" s="1509" t="str">
        <f t="shared" ca="1" si="98"/>
        <v/>
      </c>
      <c r="H1235" s="1510" t="s">
        <v>3197</v>
      </c>
      <c r="I1235" s="589"/>
      <c r="J1235" s="589"/>
      <c r="K1235" s="136"/>
      <c r="L1235" s="1271" t="s">
        <v>5096</v>
      </c>
      <c r="M1235" s="913">
        <f>IFERROR(INDEX({4,2,2,2,1,1,1,1},T1121),0)</f>
        <v>4</v>
      </c>
      <c r="N1235" s="129"/>
      <c r="O1235" s="991"/>
      <c r="P1235" s="991"/>
      <c r="Q1235" s="991"/>
      <c r="R1235" s="991"/>
      <c r="S1235" s="991"/>
      <c r="T1235" s="991"/>
      <c r="Z1235" s="1122"/>
      <c r="AL1235" s="1352" t="str">
        <f t="shared" si="99"/>
        <v>vpa703_5_1_2_a_2</v>
      </c>
      <c r="AM1235" s="1352">
        <f t="shared" si="100"/>
        <v>4</v>
      </c>
      <c r="AN1235" s="1352"/>
      <c r="AO1235" s="1352"/>
      <c r="AP1235" s="1352"/>
      <c r="AQ1235" s="1352"/>
      <c r="AR1235" s="1352"/>
      <c r="AS1235" s="1352"/>
    </row>
    <row r="1236" spans="1:45" s="905" customFormat="1" hidden="1" x14ac:dyDescent="0.2">
      <c r="A1236" s="1507">
        <v>7</v>
      </c>
      <c r="B1236" s="1516" t="s">
        <v>4436</v>
      </c>
      <c r="C1236" s="1516" t="s">
        <v>255</v>
      </c>
      <c r="D1236" s="1516" t="s">
        <v>121</v>
      </c>
      <c r="E1236" s="1516" t="s">
        <v>3923</v>
      </c>
      <c r="F1236" s="1511"/>
      <c r="G1236" s="1509" t="str">
        <f t="shared" ca="1" si="98"/>
        <v/>
      </c>
      <c r="H1236" s="1510" t="s">
        <v>3197</v>
      </c>
      <c r="I1236" s="589"/>
      <c r="J1236" s="589"/>
      <c r="K1236" s="136"/>
      <c r="L1236" s="1271" t="s">
        <v>5097</v>
      </c>
      <c r="M1236" s="913">
        <f>IFERROR(INDEX({7,4,3,2,2,2,1,1},T1121),0)</f>
        <v>7</v>
      </c>
      <c r="N1236" s="991"/>
      <c r="O1236" s="991"/>
      <c r="P1236" s="991"/>
      <c r="Q1236" s="991"/>
      <c r="R1236" s="991"/>
      <c r="S1236" s="991"/>
      <c r="T1236" s="991"/>
      <c r="Z1236" s="1122"/>
      <c r="AL1236" s="1352" t="str">
        <f t="shared" si="99"/>
        <v>vpa703_5_1_2_a_3</v>
      </c>
      <c r="AM1236" s="1352">
        <f t="shared" si="100"/>
        <v>7</v>
      </c>
      <c r="AN1236" s="1352"/>
      <c r="AO1236" s="1352"/>
      <c r="AP1236" s="1352"/>
      <c r="AQ1236" s="1352"/>
      <c r="AR1236" s="1352"/>
      <c r="AS1236" s="1352"/>
    </row>
    <row r="1237" spans="1:45" s="905" customFormat="1" hidden="1" x14ac:dyDescent="0.2">
      <c r="A1237" s="1507">
        <v>7</v>
      </c>
      <c r="B1237" s="1516" t="s">
        <v>4436</v>
      </c>
      <c r="C1237" s="1516" t="s">
        <v>255</v>
      </c>
      <c r="D1237" s="1516" t="s">
        <v>121</v>
      </c>
      <c r="E1237" s="1516" t="s">
        <v>3924</v>
      </c>
      <c r="F1237" s="1511"/>
      <c r="G1237" s="1509" t="str">
        <f t="shared" ca="1" si="98"/>
        <v/>
      </c>
      <c r="H1237" s="1510" t="s">
        <v>3197</v>
      </c>
      <c r="I1237" s="589"/>
      <c r="J1237" s="589"/>
      <c r="K1237" s="136"/>
      <c r="L1237" s="97" t="s">
        <v>5098</v>
      </c>
      <c r="M1237" s="913">
        <f>IFERROR(INDEX({14,8,7,5,4,4,2,2},T1121),0)</f>
        <v>14</v>
      </c>
      <c r="N1237" s="991"/>
      <c r="O1237" s="991"/>
      <c r="P1237" s="991"/>
      <c r="Q1237" s="991"/>
      <c r="R1237" s="991"/>
      <c r="S1237" s="991"/>
      <c r="T1237" s="991"/>
      <c r="Z1237" s="1122"/>
      <c r="AL1237" s="1352" t="str">
        <f t="shared" si="99"/>
        <v>vpa703_5_1_2_a_4</v>
      </c>
      <c r="AM1237" s="1352">
        <f t="shared" si="100"/>
        <v>14</v>
      </c>
      <c r="AN1237" s="1352"/>
      <c r="AO1237" s="1352"/>
      <c r="AP1237" s="1352"/>
      <c r="AQ1237" s="1352"/>
      <c r="AR1237" s="1352"/>
      <c r="AS1237" s="1352"/>
    </row>
    <row r="1238" spans="1:45" s="905" customFormat="1" hidden="1" x14ac:dyDescent="0.2">
      <c r="A1238" s="1507">
        <v>7</v>
      </c>
      <c r="B1238" s="1516" t="s">
        <v>4436</v>
      </c>
      <c r="C1238" s="1516" t="s">
        <v>255</v>
      </c>
      <c r="D1238" s="1516" t="s">
        <v>121</v>
      </c>
      <c r="E1238" s="1516" t="s">
        <v>3925</v>
      </c>
      <c r="F1238" s="1511"/>
      <c r="G1238" s="1509" t="str">
        <f t="shared" ca="1" si="98"/>
        <v/>
      </c>
      <c r="H1238" s="1510" t="s">
        <v>3197</v>
      </c>
      <c r="I1238" s="589"/>
      <c r="J1238" s="589"/>
      <c r="K1238" s="136"/>
      <c r="L1238" s="97" t="s">
        <v>5099</v>
      </c>
      <c r="M1238" s="913">
        <f>IFERROR(INDEX({17,9,8,6,5,4,3,3},T1121),0)</f>
        <v>17</v>
      </c>
      <c r="N1238" s="991"/>
      <c r="O1238" s="991"/>
      <c r="P1238" s="991"/>
      <c r="Q1238" s="991"/>
      <c r="R1238" s="991"/>
      <c r="S1238" s="991"/>
      <c r="T1238" s="991"/>
      <c r="Z1238" s="1122"/>
      <c r="AL1238" s="1352" t="str">
        <f t="shared" si="99"/>
        <v>vpa703_5_1_2_a_5</v>
      </c>
      <c r="AM1238" s="1352">
        <f t="shared" si="100"/>
        <v>17</v>
      </c>
      <c r="AN1238" s="1352"/>
      <c r="AO1238" s="1352"/>
      <c r="AP1238" s="1352"/>
      <c r="AQ1238" s="1352"/>
      <c r="AR1238" s="1352"/>
      <c r="AS1238" s="1352"/>
    </row>
    <row r="1239" spans="1:45" s="905" customFormat="1" hidden="1" x14ac:dyDescent="0.2">
      <c r="A1239" s="1507">
        <v>7</v>
      </c>
      <c r="B1239" s="1516" t="s">
        <v>4436</v>
      </c>
      <c r="C1239" s="1516" t="s">
        <v>255</v>
      </c>
      <c r="D1239" s="1516" t="s">
        <v>121</v>
      </c>
      <c r="E1239" s="1516" t="s">
        <v>3926</v>
      </c>
      <c r="F1239" s="1511"/>
      <c r="G1239" s="1509" t="str">
        <f t="shared" ca="1" si="98"/>
        <v/>
      </c>
      <c r="H1239" s="1510" t="s">
        <v>3197</v>
      </c>
      <c r="I1239" s="589"/>
      <c r="J1239" s="589"/>
      <c r="K1239" s="102"/>
      <c r="L1239" s="1271" t="s">
        <v>5100</v>
      </c>
      <c r="M1239" s="913">
        <f>IFERROR(INDEX({18,12,10,8,6,6,3,3},T1121),0)</f>
        <v>18</v>
      </c>
      <c r="N1239" s="991"/>
      <c r="O1239" s="991"/>
      <c r="P1239" s="991"/>
      <c r="Q1239" s="991"/>
      <c r="R1239" s="991"/>
      <c r="S1239" s="991"/>
      <c r="T1239" s="991"/>
      <c r="Z1239" s="1122"/>
      <c r="AL1239" s="1352" t="str">
        <f t="shared" si="99"/>
        <v>vpa703_5_1_2_a_6</v>
      </c>
      <c r="AM1239" s="1352">
        <f t="shared" si="100"/>
        <v>18</v>
      </c>
      <c r="AN1239" s="1352"/>
      <c r="AO1239" s="1352"/>
      <c r="AP1239" s="1352"/>
      <c r="AQ1239" s="1352"/>
      <c r="AR1239" s="1352"/>
      <c r="AS1239" s="1352"/>
    </row>
    <row r="1240" spans="1:45" s="905" customFormat="1" hidden="1" x14ac:dyDescent="0.2">
      <c r="A1240" s="1507">
        <v>7</v>
      </c>
      <c r="B1240" s="1516" t="s">
        <v>4436</v>
      </c>
      <c r="C1240" s="1516" t="s">
        <v>255</v>
      </c>
      <c r="D1240" s="1516" t="s">
        <v>121</v>
      </c>
      <c r="E1240" s="1516" t="s">
        <v>3927</v>
      </c>
      <c r="F1240" s="1511"/>
      <c r="G1240" s="1509" t="str">
        <f t="shared" ca="1" si="98"/>
        <v/>
      </c>
      <c r="H1240" s="1510" t="s">
        <v>3197</v>
      </c>
      <c r="I1240" s="589"/>
      <c r="J1240" s="589"/>
      <c r="K1240" s="591"/>
      <c r="L1240" s="170" t="s">
        <v>5101</v>
      </c>
      <c r="M1240" s="937">
        <f>IFERROR(INDEX({22,16,13,11,8,8,4,3},T1121),0)</f>
        <v>22</v>
      </c>
      <c r="N1240" s="173"/>
      <c r="O1240" s="173"/>
      <c r="P1240" s="991"/>
      <c r="Q1240" s="991"/>
      <c r="R1240" s="991"/>
      <c r="S1240" s="991"/>
      <c r="T1240" s="991"/>
      <c r="Z1240" s="1122"/>
      <c r="AL1240" s="1352" t="str">
        <f t="shared" si="99"/>
        <v>vpa703_5_1_2_a_7</v>
      </c>
      <c r="AM1240" s="1352">
        <f t="shared" si="100"/>
        <v>22</v>
      </c>
      <c r="AN1240" s="1352"/>
      <c r="AO1240" s="1352"/>
      <c r="AP1240" s="1352"/>
      <c r="AQ1240" s="1352"/>
      <c r="AR1240" s="1352"/>
      <c r="AS1240" s="1352"/>
    </row>
    <row r="1241" spans="1:45" s="905" customFormat="1" ht="15" hidden="1" customHeight="1" x14ac:dyDescent="0.2">
      <c r="A1241" s="1507">
        <v>7</v>
      </c>
      <c r="B1241" s="1516" t="s">
        <v>4436</v>
      </c>
      <c r="C1241" s="1516" t="s">
        <v>255</v>
      </c>
      <c r="D1241" s="1516" t="s">
        <v>122</v>
      </c>
      <c r="E1241" s="1516"/>
      <c r="F1241" s="1511"/>
      <c r="G1241" s="1509" t="str">
        <f ca="1">IF(N1241&gt;0,"P","")</f>
        <v/>
      </c>
      <c r="H1241" s="1510" t="s">
        <v>3197</v>
      </c>
      <c r="I1241" s="589"/>
      <c r="J1241" s="589"/>
      <c r="K1241" s="589" t="s">
        <v>122</v>
      </c>
      <c r="L1241" s="1634" t="s">
        <v>4176</v>
      </c>
      <c r="M1241" s="991"/>
      <c r="N1241" s="1125">
        <f ca="1">'11.700'!O367</f>
        <v>0</v>
      </c>
      <c r="O1241" s="974">
        <f ca="1">IFERROR(INDEX(M1243:M1246,MATCH(W1208,{2.2,2.5,3,3.5},1)),0)*S1241*S1206</f>
        <v>0</v>
      </c>
      <c r="P1241" s="991"/>
      <c r="Q1241" s="991"/>
      <c r="R1241" s="991"/>
      <c r="S1241" s="198" t="b">
        <f ca="1">W1206=INDEX(INDIRECT(U1206),7)</f>
        <v>0</v>
      </c>
      <c r="T1241" s="991"/>
      <c r="Z1241" s="1122"/>
      <c r="AL1241" s="1352"/>
      <c r="AM1241" s="1352"/>
      <c r="AN1241" s="1352" t="str">
        <f>SUBSTITUTE(SUBSTITUTE(SUBSTITUTE("vpc"&amp;$B1241&amp;$C1241&amp;$D1241&amp;$E1241&amp;$F1241,".","_"),"(","_"),")","")</f>
        <v>vpc703_5_1_2_b</v>
      </c>
      <c r="AO1241" s="1352">
        <f ca="1">O1241</f>
        <v>0</v>
      </c>
      <c r="AP1241" s="1352"/>
      <c r="AQ1241" s="1352"/>
      <c r="AR1241" s="1352"/>
      <c r="AS1241" s="1352"/>
    </row>
    <row r="1242" spans="1:45" s="905" customFormat="1" hidden="1" x14ac:dyDescent="0.2">
      <c r="A1242" s="1507">
        <v>7</v>
      </c>
      <c r="B1242" s="1516" t="s">
        <v>4436</v>
      </c>
      <c r="C1242" s="1516" t="s">
        <v>255</v>
      </c>
      <c r="D1242" s="1516" t="s">
        <v>122</v>
      </c>
      <c r="E1242" s="1516"/>
      <c r="F1242" s="1511"/>
      <c r="G1242" s="1509" t="str">
        <f ca="1">G1241</f>
        <v/>
      </c>
      <c r="H1242" s="1510" t="s">
        <v>3197</v>
      </c>
      <c r="I1242" s="589"/>
      <c r="J1242" s="589"/>
      <c r="K1242" s="589"/>
      <c r="L1242" s="1634"/>
      <c r="M1242" s="991"/>
      <c r="N1242" s="991"/>
      <c r="O1242" s="991"/>
      <c r="P1242" s="991"/>
      <c r="Q1242" s="991"/>
      <c r="R1242" s="991"/>
      <c r="S1242" s="991"/>
      <c r="T1242" s="991"/>
      <c r="Z1242" s="1122"/>
      <c r="AL1242" s="1352"/>
      <c r="AM1242" s="1352"/>
      <c r="AN1242" s="1352"/>
      <c r="AO1242" s="1352"/>
      <c r="AP1242" s="1352"/>
      <c r="AQ1242" s="1352"/>
      <c r="AR1242" s="1352"/>
      <c r="AS1242" s="1352"/>
    </row>
    <row r="1243" spans="1:45" s="905" customFormat="1" hidden="1" x14ac:dyDescent="0.2">
      <c r="A1243" s="1507">
        <v>7</v>
      </c>
      <c r="B1243" s="1516" t="s">
        <v>4436</v>
      </c>
      <c r="C1243" s="1516" t="s">
        <v>255</v>
      </c>
      <c r="D1243" s="1516" t="s">
        <v>122</v>
      </c>
      <c r="E1243" s="1516" t="s">
        <v>3921</v>
      </c>
      <c r="F1243" s="1511"/>
      <c r="G1243" s="1509" t="str">
        <f ca="1">G1242</f>
        <v/>
      </c>
      <c r="H1243" s="1510" t="s">
        <v>3197</v>
      </c>
      <c r="I1243" s="589"/>
      <c r="J1243" s="589"/>
      <c r="K1243" s="136"/>
      <c r="L1243" s="97" t="s">
        <v>5099</v>
      </c>
      <c r="M1243" s="989">
        <f>IFERROR(INDEX({6,4,3,3,2,2,1,1},T1121),0)</f>
        <v>6</v>
      </c>
      <c r="N1243" s="991"/>
      <c r="O1243" s="991"/>
      <c r="P1243" s="991"/>
      <c r="Q1243" s="991"/>
      <c r="R1243" s="991"/>
      <c r="S1243" s="991"/>
      <c r="T1243" s="991"/>
      <c r="Z1243" s="1122"/>
      <c r="AL1243" s="1352" t="str">
        <f>SUBSTITUTE(SUBSTITUTE(SUBSTITUTE("vpa"&amp;$B1243&amp;$C1243&amp;$D1243&amp;$E1243&amp;$F1243,".","_"),"(","_"),")","")</f>
        <v>vpa703_5_1_2_b_1</v>
      </c>
      <c r="AM1243" s="1352">
        <f>M1243</f>
        <v>6</v>
      </c>
      <c r="AN1243" s="1352"/>
      <c r="AO1243" s="1352"/>
      <c r="AP1243" s="1352"/>
      <c r="AQ1243" s="1352"/>
      <c r="AR1243" s="1352"/>
      <c r="AS1243" s="1352"/>
    </row>
    <row r="1244" spans="1:45" s="905" customFormat="1" hidden="1" x14ac:dyDescent="0.2">
      <c r="A1244" s="1507">
        <v>7</v>
      </c>
      <c r="B1244" s="1516" t="s">
        <v>4436</v>
      </c>
      <c r="C1244" s="1516" t="s">
        <v>255</v>
      </c>
      <c r="D1244" s="1516" t="s">
        <v>122</v>
      </c>
      <c r="E1244" s="1516" t="s">
        <v>3922</v>
      </c>
      <c r="F1244" s="1511"/>
      <c r="G1244" s="1509" t="str">
        <f ca="1">G1243</f>
        <v/>
      </c>
      <c r="H1244" s="1510" t="s">
        <v>3197</v>
      </c>
      <c r="I1244" s="589"/>
      <c r="J1244" s="589"/>
      <c r="K1244" s="589"/>
      <c r="L1244" s="97" t="s">
        <v>5100</v>
      </c>
      <c r="M1244" s="989">
        <f>IFERROR(INDEX({7,5,4,3,3,3,2,2},T1121),0)</f>
        <v>7</v>
      </c>
      <c r="N1244" s="991"/>
      <c r="O1244" s="991"/>
      <c r="P1244" s="991"/>
      <c r="Q1244" s="991"/>
      <c r="R1244" s="991"/>
      <c r="S1244" s="991"/>
      <c r="T1244" s="991"/>
      <c r="Z1244" s="1122"/>
      <c r="AL1244" s="1352" t="str">
        <f>SUBSTITUTE(SUBSTITUTE(SUBSTITUTE("vpa"&amp;$B1244&amp;$C1244&amp;$D1244&amp;$E1244&amp;$F1244,".","_"),"(","_"),")","")</f>
        <v>vpa703_5_1_2_b_2</v>
      </c>
      <c r="AM1244" s="1352">
        <f>M1244</f>
        <v>7</v>
      </c>
      <c r="AN1244" s="1352"/>
      <c r="AO1244" s="1352"/>
      <c r="AP1244" s="1352"/>
      <c r="AQ1244" s="1352"/>
      <c r="AR1244" s="1352"/>
      <c r="AS1244" s="1352"/>
    </row>
    <row r="1245" spans="1:45" s="905" customFormat="1" hidden="1" x14ac:dyDescent="0.2">
      <c r="A1245" s="1507">
        <v>7</v>
      </c>
      <c r="B1245" s="1516" t="s">
        <v>4436</v>
      </c>
      <c r="C1245" s="1516" t="s">
        <v>255</v>
      </c>
      <c r="D1245" s="1516" t="s">
        <v>122</v>
      </c>
      <c r="E1245" s="1516" t="s">
        <v>3923</v>
      </c>
      <c r="F1245" s="1511"/>
      <c r="G1245" s="1509" t="str">
        <f ca="1">G1244</f>
        <v/>
      </c>
      <c r="H1245" s="1510" t="s">
        <v>3197</v>
      </c>
      <c r="I1245" s="589"/>
      <c r="J1245" s="589"/>
      <c r="K1245" s="136"/>
      <c r="L1245" s="1271" t="s">
        <v>5102</v>
      </c>
      <c r="M1245" s="989">
        <f>IFERROR(INDEX({8,5,5,4,3,3,3,2},T1121),0)</f>
        <v>8</v>
      </c>
      <c r="N1245" s="991"/>
      <c r="O1245" s="991"/>
      <c r="P1245" s="991"/>
      <c r="Q1245" s="991"/>
      <c r="R1245" s="991"/>
      <c r="S1245" s="991"/>
      <c r="T1245" s="991"/>
      <c r="Z1245" s="1122"/>
      <c r="AL1245" s="1352" t="str">
        <f>SUBSTITUTE(SUBSTITUTE(SUBSTITUTE("vpa"&amp;$B1245&amp;$C1245&amp;$D1245&amp;$E1245&amp;$F1245,".","_"),"(","_"),")","")</f>
        <v>vpa703_5_1_2_b_3</v>
      </c>
      <c r="AM1245" s="1352">
        <f>M1245</f>
        <v>8</v>
      </c>
      <c r="AN1245" s="1352"/>
      <c r="AO1245" s="1352"/>
      <c r="AP1245" s="1352"/>
      <c r="AQ1245" s="1352"/>
      <c r="AR1245" s="1352"/>
      <c r="AS1245" s="1352"/>
    </row>
    <row r="1246" spans="1:45" s="905" customFormat="1" hidden="1" x14ac:dyDescent="0.2">
      <c r="A1246" s="1507">
        <v>7</v>
      </c>
      <c r="B1246" s="1516" t="s">
        <v>4436</v>
      </c>
      <c r="C1246" s="1516" t="s">
        <v>255</v>
      </c>
      <c r="D1246" s="1516" t="s">
        <v>122</v>
      </c>
      <c r="E1246" s="1516" t="s">
        <v>3924</v>
      </c>
      <c r="F1246" s="1511"/>
      <c r="G1246" s="1509" t="str">
        <f ca="1">G1245</f>
        <v/>
      </c>
      <c r="H1246" s="1510" t="s">
        <v>3197</v>
      </c>
      <c r="I1246" s="589"/>
      <c r="J1246" s="589"/>
      <c r="K1246" s="591"/>
      <c r="L1246" s="170" t="s">
        <v>5103</v>
      </c>
      <c r="M1246" s="1097">
        <f>IFERROR(INDEX({9,6,6,5,4,4,3,2},T1121),0)</f>
        <v>9</v>
      </c>
      <c r="N1246" s="173"/>
      <c r="O1246" s="173"/>
      <c r="P1246" s="991"/>
      <c r="Q1246" s="991"/>
      <c r="R1246" s="991"/>
      <c r="S1246" s="991"/>
      <c r="T1246" s="991"/>
      <c r="Z1246" s="1122"/>
      <c r="AL1246" s="1352" t="str">
        <f>SUBSTITUTE(SUBSTITUTE(SUBSTITUTE("vpa"&amp;$B1246&amp;$C1246&amp;$D1246&amp;$E1246&amp;$F1246,".","_"),"(","_"),")","")</f>
        <v>vpa703_5_1_2_b_4</v>
      </c>
      <c r="AM1246" s="1352">
        <f>M1246</f>
        <v>9</v>
      </c>
      <c r="AN1246" s="1352"/>
      <c r="AO1246" s="1352"/>
      <c r="AP1246" s="1352"/>
      <c r="AQ1246" s="1352"/>
      <c r="AR1246" s="1352"/>
      <c r="AS1246" s="1352"/>
    </row>
    <row r="1247" spans="1:45" s="905" customFormat="1" ht="15" hidden="1" customHeight="1" x14ac:dyDescent="0.2">
      <c r="A1247" s="1507">
        <v>7</v>
      </c>
      <c r="B1247" s="1516" t="s">
        <v>4436</v>
      </c>
      <c r="C1247" s="1516" t="s">
        <v>255</v>
      </c>
      <c r="D1247" s="1516" t="s">
        <v>123</v>
      </c>
      <c r="E1247" s="1516"/>
      <c r="F1247" s="1511"/>
      <c r="G1247" s="1509" t="str">
        <f ca="1">IF(N1247&gt;0,"P","")</f>
        <v/>
      </c>
      <c r="H1247" s="1510" t="s">
        <v>3197</v>
      </c>
      <c r="I1247" s="589"/>
      <c r="J1247" s="589"/>
      <c r="K1247" s="608" t="s">
        <v>123</v>
      </c>
      <c r="L1247" s="1633" t="s">
        <v>4177</v>
      </c>
      <c r="M1247" s="1757">
        <v>1</v>
      </c>
      <c r="N1247" s="1637">
        <f ca="1">'11.700'!O373</f>
        <v>0</v>
      </c>
      <c r="O1247" s="1758">
        <f ca="1">IF(W1208&gt;=0.91,M1247,0)*S1247*S1206</f>
        <v>0</v>
      </c>
      <c r="P1247" s="991"/>
      <c r="Q1247" s="991"/>
      <c r="R1247" s="991"/>
      <c r="S1247" s="198" t="b">
        <f ca="1">W1206=INDEX(INDIRECT(U1206),8)</f>
        <v>0</v>
      </c>
      <c r="T1247" s="991"/>
      <c r="Z1247" s="1122"/>
      <c r="AL1247" s="1352" t="str">
        <f>SUBSTITUTE(SUBSTITUTE(SUBSTITUTE("vpa"&amp;$B1247&amp;$C1247&amp;$D1247&amp;$E1247&amp;$F1247,".","_"),"(","_"),")","")</f>
        <v>vpa703_5_1_2_c</v>
      </c>
      <c r="AM1247" s="1352">
        <f>M1247</f>
        <v>1</v>
      </c>
      <c r="AN1247" s="1352" t="str">
        <f>SUBSTITUTE(SUBSTITUTE(SUBSTITUTE("vpc"&amp;$B1247&amp;$C1247&amp;$D1247&amp;$E1247&amp;$F1247,".","_"),"(","_"),")","")</f>
        <v>vpc703_5_1_2_c</v>
      </c>
      <c r="AO1247" s="1352">
        <f ca="1">O1247</f>
        <v>0</v>
      </c>
      <c r="AP1247" s="1352"/>
      <c r="AQ1247" s="1352"/>
      <c r="AR1247" s="1352"/>
      <c r="AS1247" s="1352"/>
    </row>
    <row r="1248" spans="1:45" s="905" customFormat="1" hidden="1" x14ac:dyDescent="0.2">
      <c r="A1248" s="1507">
        <v>7</v>
      </c>
      <c r="B1248" s="1516" t="s">
        <v>4436</v>
      </c>
      <c r="C1248" s="1516" t="s">
        <v>255</v>
      </c>
      <c r="D1248" s="1516" t="s">
        <v>123</v>
      </c>
      <c r="E1248" s="1516"/>
      <c r="F1248" s="1511"/>
      <c r="G1248" s="1509" t="str">
        <f ca="1">G1247</f>
        <v/>
      </c>
      <c r="H1248" s="1510" t="s">
        <v>3197</v>
      </c>
      <c r="I1248" s="589"/>
      <c r="J1248" s="589"/>
      <c r="K1248" s="606"/>
      <c r="L1248" s="1639"/>
      <c r="M1248" s="1754"/>
      <c r="N1248" s="1620"/>
      <c r="O1248" s="1756"/>
      <c r="P1248" s="991"/>
      <c r="Q1248" s="991"/>
      <c r="R1248" s="991"/>
      <c r="S1248" s="991"/>
      <c r="T1248" s="991"/>
      <c r="Z1248" s="1122"/>
      <c r="AL1248" s="1352"/>
      <c r="AM1248" s="1352"/>
      <c r="AN1248" s="1352"/>
      <c r="AO1248" s="1352"/>
      <c r="AP1248" s="1352"/>
      <c r="AQ1248" s="1352"/>
      <c r="AR1248" s="1352"/>
      <c r="AS1248" s="1352"/>
    </row>
    <row r="1249" spans="1:45" s="905" customFormat="1" ht="15" hidden="1" customHeight="1" x14ac:dyDescent="0.2">
      <c r="A1249" s="1507">
        <v>7</v>
      </c>
      <c r="B1249" s="1516" t="s">
        <v>4436</v>
      </c>
      <c r="C1249" s="1516" t="s">
        <v>255</v>
      </c>
      <c r="D1249" s="1516" t="s">
        <v>366</v>
      </c>
      <c r="E1249" s="1516"/>
      <c r="F1249" s="1511"/>
      <c r="G1249" s="1509" t="str">
        <f ca="1">IF(N1249&gt;0,"P","")</f>
        <v/>
      </c>
      <c r="H1249" s="1510" t="s">
        <v>3197</v>
      </c>
      <c r="I1249" s="589"/>
      <c r="J1249" s="589"/>
      <c r="K1249" s="608" t="s">
        <v>366</v>
      </c>
      <c r="L1249" s="1633" t="s">
        <v>4178</v>
      </c>
      <c r="M1249" s="1757">
        <v>2</v>
      </c>
      <c r="N1249" s="1637">
        <f ca="1">'11.700'!O375</f>
        <v>0</v>
      </c>
      <c r="O1249" s="1758">
        <f ca="1">IF(W1208&gt;=0.97,M1249,0)*S1249*S1206</f>
        <v>0</v>
      </c>
      <c r="P1249" s="991"/>
      <c r="Q1249" s="991"/>
      <c r="R1249" s="991"/>
      <c r="S1249" s="198" t="b">
        <f ca="1">W1206=INDEX(INDIRECT(U1206),9)</f>
        <v>0</v>
      </c>
      <c r="T1249" s="991"/>
      <c r="Z1249" s="1122"/>
      <c r="AL1249" s="1352" t="str">
        <f>SUBSTITUTE(SUBSTITUTE(SUBSTITUTE("vpa"&amp;$B1249&amp;$C1249&amp;$D1249&amp;$E1249&amp;$F1249,".","_"),"(","_"),")","")</f>
        <v>vpa703_5_1_2_d</v>
      </c>
      <c r="AM1249" s="1352">
        <f>M1249</f>
        <v>2</v>
      </c>
      <c r="AN1249" s="1352" t="str">
        <f>SUBSTITUTE(SUBSTITUTE(SUBSTITUTE("vpc"&amp;$B1249&amp;$C1249&amp;$D1249&amp;$E1249&amp;$F1249,".","_"),"(","_"),")","")</f>
        <v>vpc703_5_1_2_d</v>
      </c>
      <c r="AO1249" s="1352">
        <f ca="1">O1249</f>
        <v>0</v>
      </c>
      <c r="AP1249" s="1352"/>
      <c r="AQ1249" s="1352"/>
      <c r="AR1249" s="1352"/>
      <c r="AS1249" s="1352"/>
    </row>
    <row r="1250" spans="1:45" s="905" customFormat="1" hidden="1" x14ac:dyDescent="0.2">
      <c r="A1250" s="1507">
        <v>7</v>
      </c>
      <c r="B1250" s="1516" t="s">
        <v>4436</v>
      </c>
      <c r="C1250" s="1516" t="s">
        <v>255</v>
      </c>
      <c r="D1250" s="1516" t="s">
        <v>366</v>
      </c>
      <c r="E1250" s="1516"/>
      <c r="F1250" s="1511"/>
      <c r="G1250" s="1509" t="str">
        <f ca="1">G1249</f>
        <v/>
      </c>
      <c r="H1250" s="1510" t="s">
        <v>3197</v>
      </c>
      <c r="I1250" s="589"/>
      <c r="J1250" s="589"/>
      <c r="K1250" s="606"/>
      <c r="L1250" s="1639"/>
      <c r="M1250" s="1754"/>
      <c r="N1250" s="1620"/>
      <c r="O1250" s="1756"/>
      <c r="P1250" s="991"/>
      <c r="Q1250" s="991"/>
      <c r="R1250" s="991"/>
      <c r="S1250" s="991"/>
      <c r="T1250" s="991"/>
      <c r="Z1250" s="1122"/>
      <c r="AL1250" s="1352"/>
      <c r="AM1250" s="1352"/>
      <c r="AN1250" s="1352"/>
      <c r="AO1250" s="1352"/>
      <c r="AP1250" s="1352"/>
      <c r="AQ1250" s="1352"/>
      <c r="AR1250" s="1352"/>
      <c r="AS1250" s="1352"/>
    </row>
    <row r="1251" spans="1:45" s="905" customFormat="1" ht="15" hidden="1" customHeight="1" x14ac:dyDescent="0.2">
      <c r="A1251" s="1507">
        <v>7</v>
      </c>
      <c r="B1251" s="1516" t="s">
        <v>4436</v>
      </c>
      <c r="C1251" s="1516" t="s">
        <v>255</v>
      </c>
      <c r="D1251" s="1516" t="s">
        <v>472</v>
      </c>
      <c r="E1251" s="1516"/>
      <c r="F1251" s="1511"/>
      <c r="G1251" s="1509" t="str">
        <f ca="1">IF(N1251&gt;0,"P","")</f>
        <v/>
      </c>
      <c r="H1251" s="1510" t="s">
        <v>3197</v>
      </c>
      <c r="I1251" s="589"/>
      <c r="J1251" s="590"/>
      <c r="K1251" s="590" t="s">
        <v>472</v>
      </c>
      <c r="L1251" s="1634" t="s">
        <v>4179</v>
      </c>
      <c r="M1251" s="1752">
        <v>1</v>
      </c>
      <c r="N1251" s="1637">
        <f ca="1">'11.700'!O377</f>
        <v>0</v>
      </c>
      <c r="O1251" s="1755">
        <f ca="1">IF(W1208&gt;=0.95,M1251,0)*S1251*S1206</f>
        <v>0</v>
      </c>
      <c r="P1251" s="991"/>
      <c r="Q1251" s="991"/>
      <c r="R1251" s="991"/>
      <c r="S1251" s="198" t="b">
        <f ca="1">W1206=INDEX(INDIRECT(U1206),10)</f>
        <v>0</v>
      </c>
      <c r="T1251" s="991"/>
      <c r="Z1251" s="1122"/>
      <c r="AL1251" s="1352" t="str">
        <f>SUBSTITUTE(SUBSTITUTE(SUBSTITUTE("vpa"&amp;$B1251&amp;$C1251&amp;$D1251&amp;$E1251&amp;$F1251,".","_"),"(","_"),")","")</f>
        <v>vpa703_5_1_2_e</v>
      </c>
      <c r="AM1251" s="1352">
        <f>M1251</f>
        <v>1</v>
      </c>
      <c r="AN1251" s="1352" t="str">
        <f>SUBSTITUTE(SUBSTITUTE(SUBSTITUTE("vpc"&amp;$B1251&amp;$C1251&amp;$D1251&amp;$E1251&amp;$F1251,".","_"),"(","_"),")","")</f>
        <v>vpc703_5_1_2_e</v>
      </c>
      <c r="AO1251" s="1352">
        <f ca="1">O1251</f>
        <v>0</v>
      </c>
      <c r="AP1251" s="1352"/>
      <c r="AQ1251" s="1352"/>
      <c r="AR1251" s="1352"/>
      <c r="AS1251" s="1352"/>
    </row>
    <row r="1252" spans="1:45" s="905" customFormat="1" hidden="1" x14ac:dyDescent="0.2">
      <c r="A1252" s="1507">
        <v>7</v>
      </c>
      <c r="B1252" s="1516" t="s">
        <v>4436</v>
      </c>
      <c r="C1252" s="1516" t="s">
        <v>255</v>
      </c>
      <c r="D1252" s="1516" t="s">
        <v>472</v>
      </c>
      <c r="E1252" s="1516"/>
      <c r="F1252" s="1511"/>
      <c r="G1252" s="1509" t="str">
        <f ca="1">G1251</f>
        <v/>
      </c>
      <c r="H1252" s="1510" t="s">
        <v>3197</v>
      </c>
      <c r="I1252" s="589"/>
      <c r="J1252" s="606"/>
      <c r="K1252" s="606"/>
      <c r="L1252" s="1639"/>
      <c r="M1252" s="1754"/>
      <c r="N1252" s="1620"/>
      <c r="O1252" s="1756"/>
      <c r="P1252" s="991"/>
      <c r="Q1252" s="991"/>
      <c r="R1252" s="991"/>
      <c r="S1252" s="991"/>
      <c r="T1252" s="991"/>
      <c r="Z1252" s="1122"/>
      <c r="AL1252" s="1352"/>
      <c r="AM1252" s="1352"/>
      <c r="AN1252" s="1352"/>
      <c r="AO1252" s="1352"/>
      <c r="AP1252" s="1352"/>
      <c r="AQ1252" s="1352"/>
      <c r="AR1252" s="1352"/>
      <c r="AS1252" s="1352"/>
    </row>
    <row r="1253" spans="1:45" s="905" customFormat="1" hidden="1" x14ac:dyDescent="0.2">
      <c r="A1253" s="1507">
        <v>7</v>
      </c>
      <c r="B1253" s="1516" t="s">
        <v>4436</v>
      </c>
      <c r="C1253" s="1516" t="s">
        <v>256</v>
      </c>
      <c r="D1253" s="1516"/>
      <c r="E1253" s="1516"/>
      <c r="F1253" s="1511"/>
      <c r="G1253" s="1509" t="str">
        <f ca="1">IF(N1253&gt;0,"P","")</f>
        <v/>
      </c>
      <c r="H1253" s="1510" t="s">
        <v>3197</v>
      </c>
      <c r="I1253" s="606"/>
      <c r="J1253" s="606" t="s">
        <v>256</v>
      </c>
      <c r="K1253" s="606"/>
      <c r="L1253" s="923" t="s">
        <v>4180</v>
      </c>
      <c r="M1253" s="937">
        <v>1</v>
      </c>
      <c r="N1253" s="378">
        <f ca="1">'11.700'!O379</f>
        <v>0</v>
      </c>
      <c r="O1253" s="909">
        <f ca="1">IF(W1208&gt;=0.62,M1253,0)*S1253*S1206</f>
        <v>0</v>
      </c>
      <c r="P1253" s="991"/>
      <c r="Q1253" s="991"/>
      <c r="R1253" s="991"/>
      <c r="S1253" s="198" t="b">
        <f ca="1">W1206=INDEX(INDIRECT(U1206),11)</f>
        <v>0</v>
      </c>
      <c r="T1253" s="991"/>
      <c r="Z1253" s="1122"/>
      <c r="AL1253" s="1352" t="str">
        <f>SUBSTITUTE(SUBSTITUTE(SUBSTITUTE("vpa"&amp;$B1253&amp;$C1253&amp;$D1253&amp;$E1253&amp;$F1253,".","_"),"(","_"),")","")</f>
        <v>vpa703_5_1_3</v>
      </c>
      <c r="AM1253" s="1352">
        <f>M1253</f>
        <v>1</v>
      </c>
      <c r="AN1253" s="1352" t="str">
        <f>SUBSTITUTE(SUBSTITUTE(SUBSTITUTE("vpc"&amp;$B1253&amp;$C1253&amp;$D1253&amp;$E1253&amp;$F1253,".","_"),"(","_"),")","")</f>
        <v>vpc703_5_1_3</v>
      </c>
      <c r="AO1253" s="1352">
        <f ca="1">O1253</f>
        <v>0</v>
      </c>
      <c r="AP1253" s="1352"/>
      <c r="AQ1253" s="1352"/>
      <c r="AR1253" s="1352"/>
      <c r="AS1253" s="1352"/>
    </row>
    <row r="1254" spans="1:45" s="905" customFormat="1" ht="15" hidden="1" customHeight="1" x14ac:dyDescent="0.2">
      <c r="A1254" s="1507">
        <v>7</v>
      </c>
      <c r="B1254" s="1516" t="s">
        <v>4437</v>
      </c>
      <c r="C1254" s="1516"/>
      <c r="D1254" s="1516"/>
      <c r="E1254" s="1516"/>
      <c r="F1254" s="1511"/>
      <c r="G1254" s="1509" t="str">
        <f ca="1">IF(N1254&gt;0,"P","")</f>
        <v/>
      </c>
      <c r="H1254" s="1510" t="s">
        <v>3197</v>
      </c>
      <c r="I1254" s="608" t="s">
        <v>4181</v>
      </c>
      <c r="J1254" s="608"/>
      <c r="K1254" s="608"/>
      <c r="L1254" s="1686" t="s">
        <v>4182</v>
      </c>
      <c r="M1254" s="1748">
        <f>IFERROR(INDEX({23,17,9,7,5,4,2,2},BF947),0)</f>
        <v>23</v>
      </c>
      <c r="N1254" s="1619">
        <f ca="1">'11.700'!O380</f>
        <v>0</v>
      </c>
      <c r="O1254" s="1637">
        <f ca="1">M1254*S1254*W1254</f>
        <v>0</v>
      </c>
      <c r="P1254" s="991" t="b">
        <v>1</v>
      </c>
      <c r="Q1254" s="991" t="b">
        <v>1</v>
      </c>
      <c r="R1254" s="991" t="b">
        <v>0</v>
      </c>
      <c r="S1254" s="991" t="b">
        <f ca="1">S885=2</f>
        <v>0</v>
      </c>
      <c r="T1254" s="991" t="b">
        <f ca="1">AND(NOT(S1254),W1254=TRUE)</f>
        <v>0</v>
      </c>
      <c r="W1254" s="27"/>
      <c r="X1254" s="1600"/>
      <c r="Y1254" s="1874" t="str">
        <f>IF(LEN('11.700'!X380)=0,"None",'11.700'!X380)</f>
        <v>None</v>
      </c>
      <c r="Z1254" s="1600"/>
      <c r="AC1254" s="1150" t="b">
        <f ca="1">OR(AD1254:AE1254)</f>
        <v>0</v>
      </c>
      <c r="AD1254" s="1150" t="b">
        <f ca="1">T1254</f>
        <v>0</v>
      </c>
      <c r="AE1254" s="1150"/>
      <c r="AL1254" s="1352" t="str">
        <f>SUBSTITUTE(SUBSTITUTE(SUBSTITUTE("vpa"&amp;$B1254&amp;$C1254&amp;$D1254&amp;$E1254&amp;$F1254,".","_"),"(","_"),")","")</f>
        <v>vpa703_5_2</v>
      </c>
      <c r="AM1254" s="1352">
        <f>M1254</f>
        <v>23</v>
      </c>
      <c r="AN1254" s="1352" t="str">
        <f>SUBSTITUTE(SUBSTITUTE(SUBSTITUTE("vpc"&amp;$B1254&amp;$C1254&amp;$D1254&amp;$E1254&amp;$F1254,".","_"),"(","_"),")","")</f>
        <v>vpc703_5_2</v>
      </c>
      <c r="AO1254" s="1352">
        <f ca="1">O1254</f>
        <v>0</v>
      </c>
      <c r="AP1254" s="1352" t="str">
        <f>SUBSTITUTE(SUBSTITUTE(SUBSTITUTE("vch"&amp;$B1254&amp;$C1254&amp;$D1254&amp;$E1254&amp;$F1254,".","_"),"(","_"),")","")</f>
        <v>vch703_5_2</v>
      </c>
      <c r="AQ1254" s="1352" t="str">
        <f>IF(LEN(W1254)=0,"",W1254)</f>
        <v/>
      </c>
      <c r="AR1254" s="1352" t="str">
        <f>SUBSTITUTE(SUBSTITUTE(SUBSTITUTE("vnt"&amp;$B1254&amp;$C1254&amp;$D1254&amp;$E1254&amp;$F1254,".","_"),"(","_"),")","")</f>
        <v>vnt703_5_2</v>
      </c>
      <c r="AS1254" s="1352" t="str">
        <f>IF(LEN(X1254)=0,"",X1254)</f>
        <v/>
      </c>
    </row>
    <row r="1255" spans="1:45" s="905" customFormat="1" hidden="1" x14ac:dyDescent="0.2">
      <c r="A1255" s="1507">
        <v>7</v>
      </c>
      <c r="B1255" s="1516" t="s">
        <v>4437</v>
      </c>
      <c r="C1255" s="1516"/>
      <c r="D1255" s="1516"/>
      <c r="E1255" s="1516"/>
      <c r="F1255" s="1511"/>
      <c r="G1255" s="1509" t="str">
        <f ca="1">G1254</f>
        <v/>
      </c>
      <c r="H1255" s="1510" t="s">
        <v>3197</v>
      </c>
      <c r="I1255" s="606"/>
      <c r="J1255" s="606"/>
      <c r="K1255" s="606"/>
      <c r="L1255" s="1688"/>
      <c r="M1255" s="1749"/>
      <c r="N1255" s="1620"/>
      <c r="O1255" s="1620"/>
      <c r="P1255" s="991"/>
      <c r="Q1255" s="991"/>
      <c r="R1255" s="991"/>
      <c r="S1255" s="991"/>
      <c r="T1255" s="991"/>
      <c r="X1255" s="1600"/>
      <c r="Y1255" s="1874"/>
      <c r="Z1255" s="1600"/>
      <c r="AC1255" s="1150"/>
      <c r="AD1255" s="1150"/>
      <c r="AE1255" s="1150"/>
      <c r="AL1255" s="1352"/>
      <c r="AM1255" s="1352"/>
      <c r="AN1255" s="1352"/>
      <c r="AO1255" s="1352"/>
      <c r="AP1255" s="1352"/>
      <c r="AQ1255" s="1352"/>
      <c r="AR1255" s="1352"/>
      <c r="AS1255" s="1352"/>
    </row>
    <row r="1256" spans="1:45" s="905" customFormat="1" hidden="1" x14ac:dyDescent="0.2">
      <c r="A1256" s="1507">
        <v>7</v>
      </c>
      <c r="B1256" s="1516" t="s">
        <v>4438</v>
      </c>
      <c r="C1256" s="1516"/>
      <c r="D1256" s="1516"/>
      <c r="E1256" s="1516"/>
      <c r="F1256" s="1511"/>
      <c r="G1256" s="1509" t="str">
        <f ca="1">IF(N1256&gt;0,"P","")</f>
        <v/>
      </c>
      <c r="H1256" s="1510" t="s">
        <v>3197</v>
      </c>
      <c r="I1256" s="608" t="s">
        <v>4183</v>
      </c>
      <c r="J1256" s="608"/>
      <c r="K1256" s="608"/>
      <c r="L1256" s="874" t="s">
        <v>4184</v>
      </c>
      <c r="M1256" s="1748">
        <v>2</v>
      </c>
      <c r="N1256" s="1637">
        <f ca="1">'11.700'!O382</f>
        <v>0</v>
      </c>
      <c r="O1256" s="1637">
        <f ca="1">M1256*S1256*W1256</f>
        <v>0</v>
      </c>
      <c r="P1256" s="991" t="b">
        <v>1</v>
      </c>
      <c r="Q1256" s="991" t="b">
        <v>1</v>
      </c>
      <c r="R1256" s="991" t="b">
        <v>0</v>
      </c>
      <c r="S1256" s="991" t="b">
        <f ca="1">S885=2</f>
        <v>0</v>
      </c>
      <c r="T1256" s="991" t="b">
        <f ca="1">AND(NOT(S1256),W1256=TRUE)</f>
        <v>0</v>
      </c>
      <c r="W1256" s="27"/>
      <c r="X1256" s="1600"/>
      <c r="Y1256" s="1874" t="str">
        <f>IF(LEN('11.700'!X382)=0,"None",'11.700'!X382)</f>
        <v>None</v>
      </c>
      <c r="Z1256" s="1600"/>
      <c r="AC1256" s="1150" t="b">
        <f ca="1">OR(AD1256:AE1256)</f>
        <v>0</v>
      </c>
      <c r="AD1256" s="1150" t="b">
        <f ca="1">T1256</f>
        <v>0</v>
      </c>
      <c r="AE1256" s="1150"/>
      <c r="AL1256" s="1352" t="str">
        <f>SUBSTITUTE(SUBSTITUTE(SUBSTITUTE("vpa"&amp;$B1256&amp;$C1256&amp;$D1256&amp;$E1256&amp;$F1256,".","_"),"(","_"),")","")</f>
        <v>vpa703_5_3</v>
      </c>
      <c r="AM1256" s="1352">
        <f>M1256</f>
        <v>2</v>
      </c>
      <c r="AN1256" s="1352" t="str">
        <f>SUBSTITUTE(SUBSTITUTE(SUBSTITUTE("vpc"&amp;$B1256&amp;$C1256&amp;$D1256&amp;$E1256&amp;$F1256,".","_"),"(","_"),")","")</f>
        <v>vpc703_5_3</v>
      </c>
      <c r="AO1256" s="1352">
        <f ca="1">O1256</f>
        <v>0</v>
      </c>
      <c r="AP1256" s="1352" t="str">
        <f>SUBSTITUTE(SUBSTITUTE(SUBSTITUTE("vch"&amp;$B1256&amp;$C1256&amp;$D1256&amp;$E1256&amp;$F1256,".","_"),"(","_"),")","")</f>
        <v>vch703_5_3</v>
      </c>
      <c r="AQ1256" s="1352" t="str">
        <f>IF(LEN(W1256)=0,"",W1256)</f>
        <v/>
      </c>
      <c r="AR1256" s="1352" t="str">
        <f>SUBSTITUTE(SUBSTITUTE(SUBSTITUTE("vnt"&amp;$B1256&amp;$C1256&amp;$D1256&amp;$E1256&amp;$F1256,".","_"),"(","_"),")","")</f>
        <v>vnt703_5_3</v>
      </c>
      <c r="AS1256" s="1352" t="str">
        <f>IF(LEN(X1256)=0,"",X1256)</f>
        <v/>
      </c>
    </row>
    <row r="1257" spans="1:45" s="905" customFormat="1" hidden="1" x14ac:dyDescent="0.2">
      <c r="A1257" s="1507">
        <v>7</v>
      </c>
      <c r="B1257" s="1516" t="s">
        <v>4438</v>
      </c>
      <c r="C1257" s="1516"/>
      <c r="D1257" s="1516"/>
      <c r="E1257" s="1516"/>
      <c r="F1257" s="1511"/>
      <c r="G1257" s="1509" t="str">
        <f ca="1">G1256</f>
        <v/>
      </c>
      <c r="H1257" s="1510" t="s">
        <v>3197</v>
      </c>
      <c r="I1257" s="606"/>
      <c r="J1257" s="606"/>
      <c r="K1257" s="606"/>
      <c r="L1257" s="1098"/>
      <c r="M1257" s="1749"/>
      <c r="N1257" s="1620"/>
      <c r="O1257" s="1620"/>
      <c r="P1257" s="991"/>
      <c r="Q1257" s="991"/>
      <c r="R1257" s="991"/>
      <c r="S1257" s="991"/>
      <c r="T1257" s="991"/>
      <c r="X1257" s="1600"/>
      <c r="Y1257" s="1874"/>
      <c r="Z1257" s="1600"/>
      <c r="AC1257" s="1150"/>
      <c r="AD1257" s="1150"/>
      <c r="AE1257" s="1150"/>
      <c r="AL1257" s="1352"/>
      <c r="AM1257" s="1352"/>
      <c r="AN1257" s="1352"/>
      <c r="AO1257" s="1352"/>
      <c r="AP1257" s="1352"/>
      <c r="AQ1257" s="1352"/>
      <c r="AR1257" s="1352"/>
      <c r="AS1257" s="1352"/>
    </row>
    <row r="1258" spans="1:45" s="905" customFormat="1" ht="15" hidden="1" customHeight="1" x14ac:dyDescent="0.2">
      <c r="A1258" s="1507">
        <v>7</v>
      </c>
      <c r="B1258" s="1516" t="s">
        <v>4439</v>
      </c>
      <c r="C1258" s="1516"/>
      <c r="D1258" s="1516"/>
      <c r="E1258" s="1516"/>
      <c r="F1258" s="1511"/>
      <c r="G1258" s="1509" t="str">
        <f ca="1">IF(N1258&gt;0,"P","")</f>
        <v/>
      </c>
      <c r="H1258" s="1510" t="s">
        <v>3197</v>
      </c>
      <c r="I1258" s="608" t="s">
        <v>4185</v>
      </c>
      <c r="J1258" s="608"/>
      <c r="K1258" s="608"/>
      <c r="L1258" s="1686" t="s">
        <v>4186</v>
      </c>
      <c r="M1258" s="1748">
        <v>1</v>
      </c>
      <c r="N1258" s="1637">
        <f ca="1">'11.700'!O384</f>
        <v>0</v>
      </c>
      <c r="O1258" s="1637">
        <f ca="1">M1258*S1258*W1258</f>
        <v>0</v>
      </c>
      <c r="P1258" s="991" t="b">
        <v>1</v>
      </c>
      <c r="Q1258" s="991" t="b">
        <v>1</v>
      </c>
      <c r="R1258" s="991" t="b">
        <v>0</v>
      </c>
      <c r="S1258" s="991" t="b">
        <f ca="1">AND(S885=2,OR(AY910=INDEX(ddHeat1,2),AY911=INDEX(ddHeat2,2),AY912=INDEX(ddHeat3,2)))</f>
        <v>0</v>
      </c>
      <c r="T1258" s="991" t="b">
        <f ca="1">AND(NOT(S1258),W1258=TRUE)</f>
        <v>0</v>
      </c>
      <c r="W1258" s="27"/>
      <c r="X1258" s="1600"/>
      <c r="Y1258" s="1874" t="str">
        <f>IF(LEN('11.700'!X384)=0,"None",'11.700'!X384)</f>
        <v>None</v>
      </c>
      <c r="Z1258" s="1600"/>
      <c r="AC1258" s="1150" t="b">
        <f ca="1">OR(AD1258:AE1258)</f>
        <v>0</v>
      </c>
      <c r="AD1258" s="1150" t="b">
        <f ca="1">T1258</f>
        <v>0</v>
      </c>
      <c r="AE1258" s="1150"/>
      <c r="AL1258" s="1352" t="str">
        <f>SUBSTITUTE(SUBSTITUTE(SUBSTITUTE("vpa"&amp;$B1258&amp;$C1258&amp;$D1258&amp;$E1258&amp;$F1258,".","_"),"(","_"),")","")</f>
        <v>vpa703_5_4</v>
      </c>
      <c r="AM1258" s="1352">
        <f>M1258</f>
        <v>1</v>
      </c>
      <c r="AN1258" s="1352" t="str">
        <f>SUBSTITUTE(SUBSTITUTE(SUBSTITUTE("vpc"&amp;$B1258&amp;$C1258&amp;$D1258&amp;$E1258&amp;$F1258,".","_"),"(","_"),")","")</f>
        <v>vpc703_5_4</v>
      </c>
      <c r="AO1258" s="1352">
        <f ca="1">O1258</f>
        <v>0</v>
      </c>
      <c r="AP1258" s="1352" t="str">
        <f>SUBSTITUTE(SUBSTITUTE(SUBSTITUTE("vch"&amp;$B1258&amp;$C1258&amp;$D1258&amp;$E1258&amp;$F1258,".","_"),"(","_"),")","")</f>
        <v>vch703_5_4</v>
      </c>
      <c r="AQ1258" s="1352" t="str">
        <f>IF(LEN(W1258)=0,"",W1258)</f>
        <v/>
      </c>
      <c r="AR1258" s="1352" t="str">
        <f>SUBSTITUTE(SUBSTITUTE(SUBSTITUTE("vnt"&amp;$B1258&amp;$C1258&amp;$D1258&amp;$E1258&amp;$F1258,".","_"),"(","_"),")","")</f>
        <v>vnt703_5_4</v>
      </c>
      <c r="AS1258" s="1352" t="str">
        <f>IF(LEN(X1258)=0,"",X1258)</f>
        <v/>
      </c>
    </row>
    <row r="1259" spans="1:45" s="905" customFormat="1" hidden="1" x14ac:dyDescent="0.2">
      <c r="A1259" s="1507">
        <v>7</v>
      </c>
      <c r="B1259" s="1516" t="s">
        <v>4439</v>
      </c>
      <c r="C1259" s="1516"/>
      <c r="D1259" s="1516"/>
      <c r="E1259" s="1516"/>
      <c r="F1259" s="1511"/>
      <c r="G1259" s="1509" t="str">
        <f ca="1">G1258</f>
        <v/>
      </c>
      <c r="H1259" s="1510" t="s">
        <v>3197</v>
      </c>
      <c r="I1259" s="606"/>
      <c r="J1259" s="606"/>
      <c r="K1259" s="606"/>
      <c r="L1259" s="1688"/>
      <c r="M1259" s="1749"/>
      <c r="N1259" s="1620"/>
      <c r="O1259" s="1620"/>
      <c r="P1259" s="991"/>
      <c r="Q1259" s="991"/>
      <c r="R1259" s="991"/>
      <c r="S1259" s="991"/>
      <c r="T1259" s="991"/>
      <c r="X1259" s="1600"/>
      <c r="Y1259" s="1874"/>
      <c r="Z1259" s="1600"/>
      <c r="AC1259" s="1150"/>
      <c r="AD1259" s="1150"/>
      <c r="AE1259" s="1150"/>
      <c r="AL1259" s="1352"/>
      <c r="AM1259" s="1352"/>
      <c r="AN1259" s="1352"/>
      <c r="AO1259" s="1352"/>
      <c r="AP1259" s="1352"/>
      <c r="AQ1259" s="1352"/>
      <c r="AR1259" s="1352"/>
      <c r="AS1259" s="1352"/>
    </row>
    <row r="1260" spans="1:45" s="905" customFormat="1" ht="15" hidden="1" customHeight="1" x14ac:dyDescent="0.2">
      <c r="A1260" s="1507">
        <v>7</v>
      </c>
      <c r="B1260" s="1516" t="s">
        <v>4440</v>
      </c>
      <c r="C1260" s="1516"/>
      <c r="D1260" s="1516"/>
      <c r="E1260" s="1516"/>
      <c r="F1260" s="1511"/>
      <c r="G1260" s="1513" t="str">
        <f ca="1">IF(COUNTIF(G1264:G1271,"P")&gt;0,"P","")</f>
        <v/>
      </c>
      <c r="H1260" s="1510" t="s">
        <v>3197</v>
      </c>
      <c r="I1260" s="589" t="s">
        <v>4187</v>
      </c>
      <c r="J1260" s="589"/>
      <c r="K1260" s="589"/>
      <c r="L1260" s="1687" t="s">
        <v>4188</v>
      </c>
      <c r="M1260" s="991"/>
      <c r="N1260" s="991"/>
      <c r="O1260" s="1750"/>
      <c r="P1260" s="991" t="b">
        <v>1</v>
      </c>
      <c r="Q1260" s="991" t="b">
        <v>1</v>
      </c>
      <c r="R1260" s="991" t="b">
        <v>0</v>
      </c>
      <c r="S1260" s="991" t="b">
        <f ca="1">AND(S885=2,LEN(W1206)=0,LEN(W1208)=0)</f>
        <v>0</v>
      </c>
      <c r="T1260" s="991" t="b">
        <f ca="1">AND(NOT(S1260),LEN(W1260)&gt;0)</f>
        <v>0</v>
      </c>
      <c r="U1260" s="905" t="str">
        <f>SUBSTITUTE(SUBSTITUTE(SUBSTITUTE("dd"&amp;B1260&amp;C1260&amp;D1260&amp;E1260&amp;F1260,".","_"),"(","_"),")","")</f>
        <v>dd703_5_5</v>
      </c>
      <c r="W1260" s="12"/>
      <c r="X1260" s="1600"/>
      <c r="Y1260" s="1874" t="str">
        <f>IF(LEN('11.700'!X386)=0,"None",'11.700'!X386)</f>
        <v>None</v>
      </c>
      <c r="Z1260" s="1600"/>
      <c r="AC1260" s="1150" t="b">
        <f ca="1">OR(AD1260:AE1260)</f>
        <v>0</v>
      </c>
      <c r="AD1260" s="1150" t="b">
        <f ca="1">T1260</f>
        <v>0</v>
      </c>
      <c r="AE1260" s="1150"/>
      <c r="AL1260" s="1352"/>
      <c r="AM1260" s="1352"/>
      <c r="AN1260" s="1352"/>
      <c r="AO1260" s="1352"/>
      <c r="AP1260" s="1352" t="str">
        <f>SUBSTITUTE(SUBSTITUTE(SUBSTITUTE("vch"&amp;$B1260&amp;$C1260&amp;$D1260&amp;$E1260&amp;$F1260,".","_"),"(","_"),")","")</f>
        <v>vch703_5_5</v>
      </c>
      <c r="AQ1260" s="1352" t="str">
        <f>IF(LEN(W1260)=0,"",W1260)</f>
        <v/>
      </c>
      <c r="AR1260" s="1352" t="str">
        <f>SUBSTITUTE(SUBSTITUTE(SUBSTITUTE("vnt"&amp;$B1260&amp;$C1260&amp;$D1260&amp;$E1260&amp;$F1260,".","_"),"(","_"),")","")</f>
        <v>vnt703_5_5</v>
      </c>
      <c r="AS1260" s="1352" t="str">
        <f>IF(LEN(X1260)=0,"",X1260)</f>
        <v/>
      </c>
    </row>
    <row r="1261" spans="1:45" s="905" customFormat="1" hidden="1" x14ac:dyDescent="0.2">
      <c r="A1261" s="1507">
        <v>7</v>
      </c>
      <c r="B1261" s="1516" t="s">
        <v>4440</v>
      </c>
      <c r="C1261" s="1516"/>
      <c r="D1261" s="1516"/>
      <c r="E1261" s="1516"/>
      <c r="F1261" s="1511"/>
      <c r="G1261" s="1509" t="str">
        <f ca="1">G1260</f>
        <v/>
      </c>
      <c r="H1261" s="1510" t="s">
        <v>3197</v>
      </c>
      <c r="I1261" s="589"/>
      <c r="J1261" s="589"/>
      <c r="K1261" s="589"/>
      <c r="L1261" s="1687"/>
      <c r="M1261" s="991"/>
      <c r="N1261" s="991"/>
      <c r="O1261" s="1750"/>
      <c r="P1261" s="991"/>
      <c r="Q1261" s="991"/>
      <c r="R1261" s="991"/>
      <c r="S1261" s="991"/>
      <c r="T1261" s="991"/>
      <c r="W1261" s="195" t="s">
        <v>4500</v>
      </c>
      <c r="X1261" s="1600"/>
      <c r="Y1261" s="1874"/>
      <c r="Z1261" s="1600"/>
      <c r="AC1261" s="1150"/>
      <c r="AD1261" s="1150"/>
      <c r="AE1261" s="1150"/>
      <c r="AL1261" s="1352"/>
      <c r="AM1261" s="1352"/>
      <c r="AN1261" s="1352"/>
      <c r="AO1261" s="1352"/>
      <c r="AP1261" s="1352"/>
      <c r="AQ1261" s="1352"/>
      <c r="AR1261" s="1352"/>
      <c r="AS1261" s="1352"/>
    </row>
    <row r="1262" spans="1:45" s="905" customFormat="1" hidden="1" x14ac:dyDescent="0.2">
      <c r="A1262" s="1507">
        <v>7</v>
      </c>
      <c r="B1262" s="1516" t="s">
        <v>4440</v>
      </c>
      <c r="C1262" s="1516" t="s">
        <v>3921</v>
      </c>
      <c r="D1262" s="1516"/>
      <c r="E1262" s="1516"/>
      <c r="F1262" s="1511"/>
      <c r="G1262" s="1509" t="str">
        <f ca="1">G1261</f>
        <v/>
      </c>
      <c r="H1262" s="1510" t="s">
        <v>3197</v>
      </c>
      <c r="I1262" s="589"/>
      <c r="J1262" s="589"/>
      <c r="K1262" s="589"/>
      <c r="L1262" s="1687"/>
      <c r="M1262" s="991"/>
      <c r="N1262" s="991"/>
      <c r="O1262" s="1750"/>
      <c r="P1262" s="991" t="b">
        <v>1</v>
      </c>
      <c r="Q1262" s="991" t="b">
        <v>1</v>
      </c>
      <c r="R1262" s="991" t="b">
        <v>0</v>
      </c>
      <c r="S1262" s="991" t="b">
        <f ca="1">S1260</f>
        <v>0</v>
      </c>
      <c r="T1262" s="991" t="b">
        <f ca="1">AND(NOT(S1262),LEN(W1262)&gt;0)</f>
        <v>0</v>
      </c>
      <c r="W1262" s="336"/>
      <c r="X1262" s="1600"/>
      <c r="Y1262" s="1874"/>
      <c r="Z1262" s="1600"/>
      <c r="AC1262" s="1150" t="b">
        <f ca="1">OR(AD1262:AE1262)</f>
        <v>0</v>
      </c>
      <c r="AD1262" s="1150" t="b">
        <f ca="1">T1262</f>
        <v>0</v>
      </c>
      <c r="AE1262" s="1150"/>
      <c r="AL1262" s="1352"/>
      <c r="AM1262" s="1352"/>
      <c r="AN1262" s="1352"/>
      <c r="AO1262" s="1352"/>
      <c r="AP1262" s="1352" t="str">
        <f>SUBSTITUTE(SUBSTITUTE(SUBSTITUTE("vch"&amp;$B1262&amp;$C1262&amp;$D1262&amp;$E1262&amp;$F1262,".","_"),"(","_"),")","")</f>
        <v>vch703_5_5_1</v>
      </c>
      <c r="AQ1262" s="1352" t="str">
        <f>IF(LEN(W1262)=0,"",W1262)</f>
        <v/>
      </c>
      <c r="AR1262" s="1352"/>
      <c r="AS1262" s="1352"/>
    </row>
    <row r="1263" spans="1:45" s="905" customFormat="1" hidden="1" x14ac:dyDescent="0.2">
      <c r="A1263" s="1507">
        <v>7</v>
      </c>
      <c r="B1263" s="1516" t="s">
        <v>4440</v>
      </c>
      <c r="C1263" s="1516"/>
      <c r="D1263" s="1516"/>
      <c r="E1263" s="1516"/>
      <c r="F1263" s="1511"/>
      <c r="G1263" s="1509" t="str">
        <f ca="1">G1262</f>
        <v/>
      </c>
      <c r="H1263" s="1510" t="s">
        <v>3197</v>
      </c>
      <c r="I1263" s="589"/>
      <c r="J1263" s="589"/>
      <c r="K1263" s="589"/>
      <c r="L1263" s="1687"/>
      <c r="M1263" s="991"/>
      <c r="N1263" s="991"/>
      <c r="O1263" s="1750"/>
      <c r="P1263" s="991"/>
      <c r="Q1263" s="991"/>
      <c r="R1263" s="991"/>
      <c r="S1263" s="991"/>
      <c r="T1263" s="991"/>
      <c r="X1263" s="1600"/>
      <c r="Y1263" s="1874"/>
      <c r="Z1263" s="1600"/>
      <c r="AC1263" s="1150"/>
      <c r="AD1263" s="1150"/>
      <c r="AE1263" s="1150"/>
      <c r="AL1263" s="1352"/>
      <c r="AM1263" s="1352"/>
      <c r="AN1263" s="1352"/>
      <c r="AO1263" s="1352"/>
      <c r="AP1263" s="1352"/>
      <c r="AQ1263" s="1352"/>
      <c r="AR1263" s="1352"/>
      <c r="AS1263" s="1352"/>
    </row>
    <row r="1264" spans="1:45" s="905" customFormat="1" ht="15" hidden="1" customHeight="1" x14ac:dyDescent="0.2">
      <c r="A1264" s="1507">
        <v>7</v>
      </c>
      <c r="B1264" s="1516" t="s">
        <v>4440</v>
      </c>
      <c r="C1264" s="1516" t="s">
        <v>121</v>
      </c>
      <c r="D1264" s="1516"/>
      <c r="E1264" s="1516"/>
      <c r="F1264" s="1511"/>
      <c r="G1264" s="1509" t="str">
        <f ca="1">IF(N1264&gt;0,"P","")</f>
        <v/>
      </c>
      <c r="H1264" s="1510" t="s">
        <v>3197</v>
      </c>
      <c r="I1264" s="589"/>
      <c r="J1264" s="589"/>
      <c r="K1264" s="589" t="s">
        <v>121</v>
      </c>
      <c r="L1264" s="1634" t="s">
        <v>4189</v>
      </c>
      <c r="M1264" s="913"/>
      <c r="N1264" s="1619">
        <f ca="1">'11.700'!O390</f>
        <v>0</v>
      </c>
      <c r="O1264" s="1619">
        <f ca="1">IFERROR(INDEX(M1266:M1270,MATCH(W1262,{1.3,1.51,1.81,2.31,3.01},1)),0)*S1262*S1264</f>
        <v>0</v>
      </c>
      <c r="P1264" s="991"/>
      <c r="Q1264" s="991"/>
      <c r="R1264" s="991"/>
      <c r="S1264" s="198" t="b">
        <f ca="1">W1260=INDEX(INDIRECT(U1260),1)</f>
        <v>0</v>
      </c>
      <c r="T1264" s="991"/>
      <c r="Z1264" s="1122"/>
      <c r="AL1264" s="1352"/>
      <c r="AM1264" s="1352"/>
      <c r="AN1264" s="1352" t="str">
        <f>SUBSTITUTE(SUBSTITUTE(SUBSTITUTE("vpc"&amp;$B1264&amp;$C1264&amp;$D1264&amp;$E1264&amp;$F1264,".","_"),"(","_"),")","")</f>
        <v>vpc703_5_5_a</v>
      </c>
      <c r="AO1264" s="1352">
        <f ca="1">O1264</f>
        <v>0</v>
      </c>
      <c r="AP1264" s="1352"/>
      <c r="AQ1264" s="1352"/>
      <c r="AR1264" s="1352"/>
      <c r="AS1264" s="1352"/>
    </row>
    <row r="1265" spans="1:45" s="905" customFormat="1" hidden="1" x14ac:dyDescent="0.2">
      <c r="A1265" s="1507">
        <v>7</v>
      </c>
      <c r="B1265" s="1516" t="s">
        <v>4440</v>
      </c>
      <c r="C1265" s="1516" t="s">
        <v>121</v>
      </c>
      <c r="D1265" s="1516"/>
      <c r="E1265" s="1516"/>
      <c r="F1265" s="1511"/>
      <c r="G1265" s="1509" t="str">
        <f t="shared" ref="G1265:G1270" ca="1" si="101">G1264</f>
        <v/>
      </c>
      <c r="H1265" s="1510" t="s">
        <v>3197</v>
      </c>
      <c r="I1265" s="589"/>
      <c r="J1265" s="589"/>
      <c r="K1265" s="589"/>
      <c r="L1265" s="1634"/>
      <c r="M1265" s="913"/>
      <c r="N1265" s="1619"/>
      <c r="O1265" s="1619"/>
      <c r="P1265" s="991"/>
      <c r="Q1265" s="991"/>
      <c r="R1265" s="991"/>
      <c r="S1265" s="991"/>
      <c r="T1265" s="991"/>
      <c r="Z1265" s="1122"/>
      <c r="AL1265" s="1352"/>
      <c r="AM1265" s="1352"/>
      <c r="AN1265" s="1352"/>
      <c r="AO1265" s="1352"/>
      <c r="AP1265" s="1352"/>
      <c r="AQ1265" s="1352"/>
      <c r="AR1265" s="1352"/>
      <c r="AS1265" s="1352"/>
    </row>
    <row r="1266" spans="1:45" s="905" customFormat="1" hidden="1" x14ac:dyDescent="0.2">
      <c r="A1266" s="1507">
        <v>7</v>
      </c>
      <c r="B1266" s="1516" t="s">
        <v>4440</v>
      </c>
      <c r="C1266" s="1516" t="s">
        <v>121</v>
      </c>
      <c r="D1266" s="1516" t="s">
        <v>3921</v>
      </c>
      <c r="E1266" s="1516"/>
      <c r="F1266" s="1511"/>
      <c r="G1266" s="1509" t="str">
        <f t="shared" ca="1" si="101"/>
        <v/>
      </c>
      <c r="H1266" s="1510" t="s">
        <v>3197</v>
      </c>
      <c r="I1266" s="589"/>
      <c r="J1266" s="589"/>
      <c r="K1266" s="136"/>
      <c r="L1266" s="917" t="s">
        <v>4190</v>
      </c>
      <c r="M1266" s="990">
        <f>IFERROR(INDEX({1,2,3,5,6,7,6,6},T1121),0)</f>
        <v>1</v>
      </c>
      <c r="N1266" s="129"/>
      <c r="O1266" s="908"/>
      <c r="P1266" s="991"/>
      <c r="Q1266" s="991"/>
      <c r="R1266" s="991"/>
      <c r="S1266" s="991"/>
      <c r="T1266" s="991"/>
      <c r="Z1266" s="1122"/>
      <c r="AL1266" s="1352" t="str">
        <f>SUBSTITUTE(SUBSTITUTE(SUBSTITUTE("vpa"&amp;$B1266&amp;$C1266&amp;$D1266&amp;$E1266&amp;$F1266,".","_"),"(","_"),")","")</f>
        <v>vpa703_5_5_a_1</v>
      </c>
      <c r="AM1266" s="1352">
        <f>M1266</f>
        <v>1</v>
      </c>
      <c r="AN1266" s="1352"/>
      <c r="AO1266" s="1352"/>
      <c r="AP1266" s="1352"/>
      <c r="AQ1266" s="1352"/>
      <c r="AR1266" s="1352"/>
      <c r="AS1266" s="1352"/>
    </row>
    <row r="1267" spans="1:45" s="905" customFormat="1" hidden="1" x14ac:dyDescent="0.2">
      <c r="A1267" s="1507">
        <v>7</v>
      </c>
      <c r="B1267" s="1516" t="s">
        <v>4440</v>
      </c>
      <c r="C1267" s="1516" t="s">
        <v>121</v>
      </c>
      <c r="D1267" s="1516" t="s">
        <v>3922</v>
      </c>
      <c r="E1267" s="1516"/>
      <c r="F1267" s="1511"/>
      <c r="G1267" s="1509" t="str">
        <f t="shared" ca="1" si="101"/>
        <v/>
      </c>
      <c r="H1267" s="1510" t="s">
        <v>3197</v>
      </c>
      <c r="I1267" s="589"/>
      <c r="J1267" s="589"/>
      <c r="K1267" s="136"/>
      <c r="L1267" s="917" t="s">
        <v>4191</v>
      </c>
      <c r="M1267" s="990">
        <f>IFERROR(INDEX({2,2,4,6,9,10,10,10},T1121),0)</f>
        <v>2</v>
      </c>
      <c r="N1267" s="129"/>
      <c r="O1267" s="908"/>
      <c r="P1267" s="991"/>
      <c r="Q1267" s="991"/>
      <c r="R1267" s="991"/>
      <c r="S1267" s="991"/>
      <c r="T1267" s="991"/>
      <c r="Z1267" s="1122"/>
      <c r="AL1267" s="1352" t="str">
        <f>SUBSTITUTE(SUBSTITUTE(SUBSTITUTE("vpa"&amp;$B1267&amp;$C1267&amp;$D1267&amp;$E1267&amp;$F1267,".","_"),"(","_"),")","")</f>
        <v>vpa703_5_5_a_2</v>
      </c>
      <c r="AM1267" s="1352">
        <f>M1267</f>
        <v>2</v>
      </c>
      <c r="AN1267" s="1352"/>
      <c r="AO1267" s="1352"/>
      <c r="AP1267" s="1352"/>
      <c r="AQ1267" s="1352"/>
      <c r="AR1267" s="1352"/>
      <c r="AS1267" s="1352"/>
    </row>
    <row r="1268" spans="1:45" s="905" customFormat="1" hidden="1" x14ac:dyDescent="0.2">
      <c r="A1268" s="1507">
        <v>7</v>
      </c>
      <c r="B1268" s="1516" t="s">
        <v>4440</v>
      </c>
      <c r="C1268" s="1516" t="s">
        <v>121</v>
      </c>
      <c r="D1268" s="1516" t="s">
        <v>3923</v>
      </c>
      <c r="E1268" s="1516"/>
      <c r="F1268" s="1511"/>
      <c r="G1268" s="1509" t="str">
        <f t="shared" ca="1" si="101"/>
        <v/>
      </c>
      <c r="H1268" s="1510" t="s">
        <v>3197</v>
      </c>
      <c r="I1268" s="589"/>
      <c r="J1268" s="589"/>
      <c r="K1268" s="136"/>
      <c r="L1268" s="917" t="s">
        <v>4192</v>
      </c>
      <c r="M1268" s="990">
        <f>IFERROR(INDEX({2,3,5,9,13,14,14,14},T1121),0)</f>
        <v>2</v>
      </c>
      <c r="N1268" s="129"/>
      <c r="O1268" s="908"/>
      <c r="P1268" s="991"/>
      <c r="Q1268" s="991"/>
      <c r="R1268" s="991"/>
      <c r="S1268" s="991"/>
      <c r="T1268" s="991"/>
      <c r="Z1268" s="1122"/>
      <c r="AL1268" s="1352" t="str">
        <f>SUBSTITUTE(SUBSTITUTE(SUBSTITUTE("vpa"&amp;$B1268&amp;$C1268&amp;$D1268&amp;$E1268&amp;$F1268,".","_"),"(","_"),")","")</f>
        <v>vpa703_5_5_a_3</v>
      </c>
      <c r="AM1268" s="1352">
        <f>M1268</f>
        <v>2</v>
      </c>
      <c r="AN1268" s="1352"/>
      <c r="AO1268" s="1352"/>
      <c r="AP1268" s="1352"/>
      <c r="AQ1268" s="1352"/>
      <c r="AR1268" s="1352"/>
      <c r="AS1268" s="1352"/>
    </row>
    <row r="1269" spans="1:45" s="905" customFormat="1" hidden="1" x14ac:dyDescent="0.2">
      <c r="A1269" s="1507">
        <v>7</v>
      </c>
      <c r="B1269" s="1516" t="s">
        <v>4440</v>
      </c>
      <c r="C1269" s="1516" t="s">
        <v>121</v>
      </c>
      <c r="D1269" s="1516" t="s">
        <v>3924</v>
      </c>
      <c r="E1269" s="1516"/>
      <c r="F1269" s="1511"/>
      <c r="G1269" s="1509" t="str">
        <f t="shared" ca="1" si="101"/>
        <v/>
      </c>
      <c r="H1269" s="1510" t="s">
        <v>3197</v>
      </c>
      <c r="I1269" s="589"/>
      <c r="J1269" s="589"/>
      <c r="K1269" s="136"/>
      <c r="L1269" s="917" t="s">
        <v>4193</v>
      </c>
      <c r="M1269" s="990">
        <f>IFERROR(INDEX({4,5,8,14,19,21,20,20},T1121),0)</f>
        <v>4</v>
      </c>
      <c r="N1269" s="129"/>
      <c r="O1269" s="908"/>
      <c r="P1269" s="991"/>
      <c r="Q1269" s="991"/>
      <c r="R1269" s="991"/>
      <c r="S1269" s="991"/>
      <c r="T1269" s="991"/>
      <c r="Z1269" s="1122"/>
      <c r="AL1269" s="1352" t="str">
        <f>SUBSTITUTE(SUBSTITUTE(SUBSTITUTE("vpa"&amp;$B1269&amp;$C1269&amp;$D1269&amp;$E1269&amp;$F1269,".","_"),"(","_"),")","")</f>
        <v>vpa703_5_5_a_4</v>
      </c>
      <c r="AM1269" s="1352">
        <f>M1269</f>
        <v>4</v>
      </c>
      <c r="AN1269" s="1352"/>
      <c r="AO1269" s="1352"/>
      <c r="AP1269" s="1352"/>
      <c r="AQ1269" s="1352"/>
      <c r="AR1269" s="1352"/>
      <c r="AS1269" s="1352"/>
    </row>
    <row r="1270" spans="1:45" s="905" customFormat="1" hidden="1" x14ac:dyDescent="0.2">
      <c r="A1270" s="1507">
        <v>7</v>
      </c>
      <c r="B1270" s="1516" t="s">
        <v>4440</v>
      </c>
      <c r="C1270" s="1516" t="s">
        <v>121</v>
      </c>
      <c r="D1270" s="1516" t="s">
        <v>3925</v>
      </c>
      <c r="E1270" s="1516"/>
      <c r="F1270" s="1511"/>
      <c r="G1270" s="1509" t="str">
        <f t="shared" ca="1" si="101"/>
        <v/>
      </c>
      <c r="H1270" s="1510" t="s">
        <v>3197</v>
      </c>
      <c r="I1270" s="589"/>
      <c r="J1270" s="589"/>
      <c r="K1270" s="591"/>
      <c r="L1270" s="923" t="s">
        <v>4194</v>
      </c>
      <c r="M1270" s="1099">
        <f>IFERROR(INDEX({5,7,11,21,27,31,30,30},T1121),0)</f>
        <v>5</v>
      </c>
      <c r="N1270" s="213"/>
      <c r="O1270" s="909"/>
      <c r="P1270" s="991"/>
      <c r="Q1270" s="991"/>
      <c r="R1270" s="991"/>
      <c r="S1270" s="991"/>
      <c r="T1270" s="991"/>
      <c r="Z1270" s="1122"/>
      <c r="AL1270" s="1352" t="str">
        <f>SUBSTITUTE(SUBSTITUTE(SUBSTITUTE("vpa"&amp;$B1270&amp;$C1270&amp;$D1270&amp;$E1270&amp;$F1270,".","_"),"(","_"),")","")</f>
        <v>vpa703_5_5_a_5</v>
      </c>
      <c r="AM1270" s="1352">
        <f>M1270</f>
        <v>5</v>
      </c>
      <c r="AN1270" s="1352"/>
      <c r="AO1270" s="1352"/>
      <c r="AP1270" s="1352"/>
      <c r="AQ1270" s="1352"/>
      <c r="AR1270" s="1352"/>
      <c r="AS1270" s="1352"/>
    </row>
    <row r="1271" spans="1:45" s="905" customFormat="1" ht="15" hidden="1" customHeight="1" x14ac:dyDescent="0.2">
      <c r="A1271" s="1507">
        <v>7</v>
      </c>
      <c r="B1271" s="1516" t="s">
        <v>4440</v>
      </c>
      <c r="C1271" s="1516" t="s">
        <v>122</v>
      </c>
      <c r="D1271" s="1516"/>
      <c r="E1271" s="1516"/>
      <c r="F1271" s="1511"/>
      <c r="G1271" s="1509" t="str">
        <f ca="1">IF(N1271&gt;0,"P","")</f>
        <v/>
      </c>
      <c r="H1271" s="1510" t="s">
        <v>3197</v>
      </c>
      <c r="I1271" s="589"/>
      <c r="J1271" s="589"/>
      <c r="K1271" s="589" t="s">
        <v>122</v>
      </c>
      <c r="L1271" s="1634" t="s">
        <v>4195</v>
      </c>
      <c r="M1271" s="913"/>
      <c r="N1271" s="1637">
        <f ca="1">'11.700'!O397</f>
        <v>0</v>
      </c>
      <c r="O1271" s="1619">
        <f ca="1">IFERROR(INDEX(M1273:M1277,MATCH(W1262,{1.3,1.51,1.81,2.31,3.01},1)),0)*S1262*S1271</f>
        <v>0</v>
      </c>
      <c r="P1271" s="991"/>
      <c r="Q1271" s="991"/>
      <c r="R1271" s="991"/>
      <c r="S1271" s="198" t="b">
        <f ca="1">W1260=INDEX(INDIRECT(U1260),2)</f>
        <v>0</v>
      </c>
      <c r="T1271" s="991"/>
      <c r="Z1271" s="1122"/>
      <c r="AL1271" s="1352"/>
      <c r="AM1271" s="1352"/>
      <c r="AN1271" s="1352" t="str">
        <f>SUBSTITUTE(SUBSTITUTE(SUBSTITUTE("vpc"&amp;$B1271&amp;$C1271&amp;$D1271&amp;$E1271&amp;$F1271,".","_"),"(","_"),")","")</f>
        <v>vpc703_5_5_b</v>
      </c>
      <c r="AO1271" s="1352">
        <f ca="1">O1271</f>
        <v>0</v>
      </c>
      <c r="AP1271" s="1352"/>
      <c r="AQ1271" s="1352"/>
      <c r="AR1271" s="1352"/>
      <c r="AS1271" s="1352"/>
    </row>
    <row r="1272" spans="1:45" s="905" customFormat="1" hidden="1" x14ac:dyDescent="0.2">
      <c r="A1272" s="1507">
        <v>7</v>
      </c>
      <c r="B1272" s="1516" t="s">
        <v>4440</v>
      </c>
      <c r="C1272" s="1516" t="s">
        <v>122</v>
      </c>
      <c r="D1272" s="1516"/>
      <c r="E1272" s="1516"/>
      <c r="F1272" s="1511"/>
      <c r="G1272" s="1509" t="str">
        <f t="shared" ref="G1272:G1277" ca="1" si="102">G1271</f>
        <v/>
      </c>
      <c r="H1272" s="1510" t="s">
        <v>3197</v>
      </c>
      <c r="I1272" s="589"/>
      <c r="J1272" s="589"/>
      <c r="K1272" s="136"/>
      <c r="L1272" s="1634"/>
      <c r="M1272" s="913"/>
      <c r="N1272" s="1619"/>
      <c r="O1272" s="1619"/>
      <c r="P1272" s="991"/>
      <c r="Q1272" s="991"/>
      <c r="R1272" s="991"/>
      <c r="S1272" s="991"/>
      <c r="T1272" s="991"/>
      <c r="Z1272" s="1122"/>
      <c r="AL1272" s="1352"/>
      <c r="AM1272" s="1352"/>
      <c r="AN1272" s="1352"/>
      <c r="AO1272" s="1352"/>
      <c r="AP1272" s="1352"/>
      <c r="AQ1272" s="1352"/>
      <c r="AR1272" s="1352"/>
      <c r="AS1272" s="1352"/>
    </row>
    <row r="1273" spans="1:45" s="905" customFormat="1" hidden="1" x14ac:dyDescent="0.2">
      <c r="A1273" s="1507">
        <v>7</v>
      </c>
      <c r="B1273" s="1516" t="s">
        <v>4440</v>
      </c>
      <c r="C1273" s="1516" t="s">
        <v>122</v>
      </c>
      <c r="D1273" s="1516" t="s">
        <v>3921</v>
      </c>
      <c r="E1273" s="1516"/>
      <c r="F1273" s="1511"/>
      <c r="G1273" s="1509" t="str">
        <f t="shared" ca="1" si="102"/>
        <v/>
      </c>
      <c r="H1273" s="1510" t="s">
        <v>3197</v>
      </c>
      <c r="I1273" s="589"/>
      <c r="J1273" s="589"/>
      <c r="K1273" s="136"/>
      <c r="L1273" s="917" t="s">
        <v>4190</v>
      </c>
      <c r="M1273" s="990">
        <f>IFERROR(INDEX({1,1,2,3,4,5,4,4},T1121),0)</f>
        <v>1</v>
      </c>
      <c r="N1273" s="129"/>
      <c r="O1273" s="908"/>
      <c r="P1273" s="991"/>
      <c r="Q1273" s="991"/>
      <c r="R1273" s="991"/>
      <c r="S1273" s="991"/>
      <c r="T1273" s="991"/>
      <c r="Z1273" s="1122"/>
      <c r="AL1273" s="1352" t="str">
        <f>SUBSTITUTE(SUBSTITUTE(SUBSTITUTE("vpa"&amp;$B1273&amp;$C1273&amp;$D1273&amp;$E1273&amp;$F1273,".","_"),"(","_"),")","")</f>
        <v>vpa703_5_5_b_1</v>
      </c>
      <c r="AM1273" s="1352">
        <f>M1273</f>
        <v>1</v>
      </c>
      <c r="AN1273" s="1352"/>
      <c r="AO1273" s="1352"/>
      <c r="AP1273" s="1352"/>
      <c r="AQ1273" s="1352"/>
      <c r="AR1273" s="1352"/>
      <c r="AS1273" s="1352"/>
    </row>
    <row r="1274" spans="1:45" s="905" customFormat="1" hidden="1" x14ac:dyDescent="0.2">
      <c r="A1274" s="1507">
        <v>7</v>
      </c>
      <c r="B1274" s="1516" t="s">
        <v>4440</v>
      </c>
      <c r="C1274" s="1516" t="s">
        <v>122</v>
      </c>
      <c r="D1274" s="1516" t="s">
        <v>3922</v>
      </c>
      <c r="E1274" s="1516"/>
      <c r="F1274" s="1511"/>
      <c r="G1274" s="1509" t="str">
        <f t="shared" ca="1" si="102"/>
        <v/>
      </c>
      <c r="H1274" s="1510" t="s">
        <v>3197</v>
      </c>
      <c r="I1274" s="589"/>
      <c r="J1274" s="589"/>
      <c r="K1274" s="589"/>
      <c r="L1274" s="917" t="s">
        <v>4191</v>
      </c>
      <c r="M1274" s="990">
        <f>IFERROR(INDEX({1,1,2,4,6,7,7,7},T1121),0)</f>
        <v>1</v>
      </c>
      <c r="N1274" s="129"/>
      <c r="O1274" s="908"/>
      <c r="P1274" s="991"/>
      <c r="Q1274" s="991"/>
      <c r="R1274" s="991"/>
      <c r="S1274" s="991"/>
      <c r="T1274" s="991"/>
      <c r="Z1274" s="1122"/>
      <c r="AL1274" s="1352" t="str">
        <f>SUBSTITUTE(SUBSTITUTE(SUBSTITUTE("vpa"&amp;$B1274&amp;$C1274&amp;$D1274&amp;$E1274&amp;$F1274,".","_"),"(","_"),")","")</f>
        <v>vpa703_5_5_b_2</v>
      </c>
      <c r="AM1274" s="1352">
        <f>M1274</f>
        <v>1</v>
      </c>
      <c r="AN1274" s="1352"/>
      <c r="AO1274" s="1352"/>
      <c r="AP1274" s="1352"/>
      <c r="AQ1274" s="1352"/>
      <c r="AR1274" s="1352"/>
      <c r="AS1274" s="1352"/>
    </row>
    <row r="1275" spans="1:45" s="905" customFormat="1" hidden="1" x14ac:dyDescent="0.2">
      <c r="A1275" s="1507">
        <v>7</v>
      </c>
      <c r="B1275" s="1516" t="s">
        <v>4440</v>
      </c>
      <c r="C1275" s="1516" t="s">
        <v>122</v>
      </c>
      <c r="D1275" s="1516" t="s">
        <v>3923</v>
      </c>
      <c r="E1275" s="1516"/>
      <c r="F1275" s="1511"/>
      <c r="G1275" s="1509" t="str">
        <f t="shared" ca="1" si="102"/>
        <v/>
      </c>
      <c r="H1275" s="1510" t="s">
        <v>3197</v>
      </c>
      <c r="I1275" s="589"/>
      <c r="J1275" s="589"/>
      <c r="K1275" s="589"/>
      <c r="L1275" s="917" t="s">
        <v>4192</v>
      </c>
      <c r="M1275" s="990">
        <f>IFERROR(INDEX({1,2,4,6,8,10,9,9},T1121),0)</f>
        <v>1</v>
      </c>
      <c r="N1275" s="129"/>
      <c r="O1275" s="908"/>
      <c r="P1275" s="991"/>
      <c r="Q1275" s="991"/>
      <c r="R1275" s="991"/>
      <c r="S1275" s="991"/>
      <c r="T1275" s="991"/>
      <c r="Z1275" s="1122"/>
      <c r="AL1275" s="1352" t="str">
        <f>SUBSTITUTE(SUBSTITUTE(SUBSTITUTE("vpa"&amp;$B1275&amp;$C1275&amp;$D1275&amp;$E1275&amp;$F1275,".","_"),"(","_"),")","")</f>
        <v>vpa703_5_5_b_3</v>
      </c>
      <c r="AM1275" s="1352">
        <f>M1275</f>
        <v>1</v>
      </c>
      <c r="AN1275" s="1352"/>
      <c r="AO1275" s="1352"/>
      <c r="AP1275" s="1352"/>
      <c r="AQ1275" s="1352"/>
      <c r="AR1275" s="1352"/>
      <c r="AS1275" s="1352"/>
    </row>
    <row r="1276" spans="1:45" s="905" customFormat="1" hidden="1" x14ac:dyDescent="0.2">
      <c r="A1276" s="1507">
        <v>7</v>
      </c>
      <c r="B1276" s="1516" t="s">
        <v>4440</v>
      </c>
      <c r="C1276" s="1516" t="s">
        <v>122</v>
      </c>
      <c r="D1276" s="1516" t="s">
        <v>3924</v>
      </c>
      <c r="E1276" s="1516"/>
      <c r="F1276" s="1511"/>
      <c r="G1276" s="1509" t="str">
        <f t="shared" ca="1" si="102"/>
        <v/>
      </c>
      <c r="H1276" s="1510" t="s">
        <v>3197</v>
      </c>
      <c r="I1276" s="589"/>
      <c r="J1276" s="589"/>
      <c r="K1276" s="589"/>
      <c r="L1276" s="917" t="s">
        <v>4193</v>
      </c>
      <c r="M1276" s="990">
        <f>IFERROR(INDEX({2,3,5,10,13,14,13,13},T1121),0)</f>
        <v>2</v>
      </c>
      <c r="N1276" s="129"/>
      <c r="O1276" s="908"/>
      <c r="P1276" s="991"/>
      <c r="Q1276" s="991"/>
      <c r="R1276" s="991"/>
      <c r="S1276" s="991"/>
      <c r="T1276" s="991"/>
      <c r="Z1276" s="1122"/>
      <c r="AL1276" s="1352" t="str">
        <f>SUBSTITUTE(SUBSTITUTE(SUBSTITUTE("vpa"&amp;$B1276&amp;$C1276&amp;$D1276&amp;$E1276&amp;$F1276,".","_"),"(","_"),")","")</f>
        <v>vpa703_5_5_b_4</v>
      </c>
      <c r="AM1276" s="1352">
        <f>M1276</f>
        <v>2</v>
      </c>
      <c r="AN1276" s="1352"/>
      <c r="AO1276" s="1352"/>
      <c r="AP1276" s="1352"/>
      <c r="AQ1276" s="1352"/>
      <c r="AR1276" s="1352"/>
      <c r="AS1276" s="1352"/>
    </row>
    <row r="1277" spans="1:45" s="905" customFormat="1" ht="16" hidden="1" thickBot="1" x14ac:dyDescent="0.25">
      <c r="A1277" s="1507">
        <v>7</v>
      </c>
      <c r="B1277" s="1516" t="s">
        <v>4440</v>
      </c>
      <c r="C1277" s="1516" t="s">
        <v>122</v>
      </c>
      <c r="D1277" s="1516" t="s">
        <v>3925</v>
      </c>
      <c r="E1277" s="1516"/>
      <c r="F1277" s="1511"/>
      <c r="G1277" s="1509" t="str">
        <f t="shared" ca="1" si="102"/>
        <v/>
      </c>
      <c r="H1277" s="1510" t="s">
        <v>3197</v>
      </c>
      <c r="I1277" s="594"/>
      <c r="J1277" s="594"/>
      <c r="K1277" s="594"/>
      <c r="L1277" s="920" t="s">
        <v>4194</v>
      </c>
      <c r="M1277" s="1100">
        <f>IFERROR(INDEX({4,5,7,14,18,20,20,20},T1121),0)</f>
        <v>4</v>
      </c>
      <c r="N1277" s="239"/>
      <c r="O1277" s="922"/>
      <c r="P1277" s="100"/>
      <c r="Q1277" s="100"/>
      <c r="R1277" s="100"/>
      <c r="S1277" s="100"/>
      <c r="T1277" s="100"/>
      <c r="U1277" s="100"/>
      <c r="W1277" s="100"/>
      <c r="X1277" s="100"/>
      <c r="Y1277" s="100"/>
      <c r="Z1277" s="100"/>
      <c r="AL1277" s="1352" t="str">
        <f>SUBSTITUTE(SUBSTITUTE(SUBSTITUTE("vpa"&amp;$B1277&amp;$C1277&amp;$D1277&amp;$E1277&amp;$F1277,".","_"),"(","_"),")","")</f>
        <v>vpa703_5_5_b_5</v>
      </c>
      <c r="AM1277" s="1352">
        <f>M1277</f>
        <v>4</v>
      </c>
      <c r="AN1277" s="1352"/>
      <c r="AO1277" s="1352"/>
      <c r="AP1277" s="1352"/>
      <c r="AQ1277" s="1352"/>
      <c r="AR1277" s="1352"/>
      <c r="AS1277" s="1352"/>
    </row>
    <row r="1278" spans="1:45" s="905" customFormat="1" hidden="1" x14ac:dyDescent="0.2">
      <c r="A1278" s="1507">
        <v>7</v>
      </c>
      <c r="B1278" s="1516">
        <v>703.6</v>
      </c>
      <c r="C1278" s="1516"/>
      <c r="D1278" s="1516"/>
      <c r="E1278" s="1516"/>
      <c r="F1278" s="1511"/>
      <c r="G1278" s="1513" t="str">
        <f ca="1">IF(COUNTIF(G1279:G1287,"P")&gt;0,"P","")</f>
        <v/>
      </c>
      <c r="H1278" s="1530" t="s">
        <v>3199</v>
      </c>
      <c r="I1278" s="589" t="s">
        <v>4196</v>
      </c>
      <c r="J1278" s="589"/>
      <c r="K1278" s="589"/>
      <c r="L1278" s="946" t="s">
        <v>4197</v>
      </c>
      <c r="M1278" s="991"/>
      <c r="N1278" s="991"/>
      <c r="O1278" s="991"/>
      <c r="P1278" s="991"/>
      <c r="Q1278" s="991"/>
      <c r="R1278" s="991"/>
      <c r="S1278" s="991"/>
      <c r="T1278" s="991"/>
      <c r="Z1278" s="1122"/>
      <c r="AL1278" s="1352"/>
      <c r="AM1278" s="1352"/>
      <c r="AN1278" s="1352"/>
      <c r="AO1278" s="1352"/>
      <c r="AP1278" s="1352"/>
      <c r="AQ1278" s="1352"/>
      <c r="AR1278" s="1352"/>
      <c r="AS1278" s="1352"/>
    </row>
    <row r="1279" spans="1:45" s="905" customFormat="1" ht="15" hidden="1" customHeight="1" x14ac:dyDescent="0.2">
      <c r="A1279" s="1507">
        <v>7</v>
      </c>
      <c r="B1279" s="1516" t="s">
        <v>4441</v>
      </c>
      <c r="C1279" s="1516"/>
      <c r="D1279" s="1516"/>
      <c r="E1279" s="1516"/>
      <c r="F1279" s="1511"/>
      <c r="G1279" s="1513" t="str">
        <f ca="1">IF(COUNTIF(G1281:G1285,"P")&gt;0,"P","")</f>
        <v/>
      </c>
      <c r="H1279" s="1530" t="s">
        <v>3199</v>
      </c>
      <c r="I1279" s="589" t="s">
        <v>4198</v>
      </c>
      <c r="J1279" s="589"/>
      <c r="K1279" s="589"/>
      <c r="L1279" s="1687" t="s">
        <v>4199</v>
      </c>
      <c r="M1279" s="991"/>
      <c r="N1279" s="991"/>
      <c r="O1279" s="991"/>
      <c r="P1279" s="991"/>
      <c r="Q1279" s="991"/>
      <c r="R1279" s="991"/>
      <c r="S1279" s="991"/>
      <c r="T1279" s="991"/>
      <c r="Z1279" s="1122"/>
      <c r="AL1279" s="1352"/>
      <c r="AM1279" s="1352"/>
      <c r="AN1279" s="1352"/>
      <c r="AO1279" s="1352"/>
      <c r="AP1279" s="1352"/>
      <c r="AQ1279" s="1352"/>
      <c r="AR1279" s="1352"/>
      <c r="AS1279" s="1352"/>
    </row>
    <row r="1280" spans="1:45" s="905" customFormat="1" hidden="1" x14ac:dyDescent="0.2">
      <c r="A1280" s="1507">
        <v>7</v>
      </c>
      <c r="B1280" s="1516" t="s">
        <v>4441</v>
      </c>
      <c r="C1280" s="1516"/>
      <c r="D1280" s="1516"/>
      <c r="E1280" s="1516"/>
      <c r="F1280" s="1511"/>
      <c r="G1280" s="1509" t="str">
        <f ca="1">G1279</f>
        <v/>
      </c>
      <c r="H1280" s="1530" t="s">
        <v>3199</v>
      </c>
      <c r="I1280" s="589"/>
      <c r="J1280" s="589"/>
      <c r="K1280" s="589"/>
      <c r="L1280" s="1687"/>
      <c r="M1280" s="991"/>
      <c r="N1280" s="991"/>
      <c r="O1280" s="991"/>
      <c r="P1280" s="991"/>
      <c r="Q1280" s="991"/>
      <c r="R1280" s="991"/>
      <c r="S1280" s="991"/>
      <c r="T1280" s="991"/>
      <c r="Z1280" s="1122"/>
      <c r="AL1280" s="1352"/>
      <c r="AM1280" s="1352"/>
      <c r="AN1280" s="1352"/>
      <c r="AO1280" s="1352"/>
      <c r="AP1280" s="1352"/>
      <c r="AQ1280" s="1352"/>
      <c r="AR1280" s="1352"/>
      <c r="AS1280" s="1352"/>
    </row>
    <row r="1281" spans="1:45" s="905" customFormat="1" ht="15" hidden="1" customHeight="1" x14ac:dyDescent="0.2">
      <c r="A1281" s="1507">
        <v>7</v>
      </c>
      <c r="B1281" s="1516" t="s">
        <v>4441</v>
      </c>
      <c r="C1281" s="1516" t="s">
        <v>254</v>
      </c>
      <c r="D1281" s="1516"/>
      <c r="E1281" s="1516"/>
      <c r="F1281" s="1511"/>
      <c r="G1281" s="1509" t="str">
        <f ca="1">IF(N1281&gt;0,"P","")</f>
        <v/>
      </c>
      <c r="H1281" s="1530" t="s">
        <v>3199</v>
      </c>
      <c r="I1281" s="589"/>
      <c r="J1281" s="590" t="s">
        <v>254</v>
      </c>
      <c r="K1281" s="590"/>
      <c r="L1281" s="1634" t="s">
        <v>5636</v>
      </c>
      <c r="M1281" s="1623">
        <f>IFERROR(INDEX({3,3,3,2,2,2,2,2},T1121),0)</f>
        <v>3</v>
      </c>
      <c r="N1281" s="1619">
        <f ca="1">'11.700'!O407</f>
        <v>0</v>
      </c>
      <c r="O1281" s="1619">
        <f ca="1">M1281*S1281*W1281</f>
        <v>0</v>
      </c>
      <c r="P1281" s="991" t="b">
        <v>0</v>
      </c>
      <c r="Q1281" s="991" t="b">
        <v>1</v>
      </c>
      <c r="R1281" s="991" t="b">
        <v>0</v>
      </c>
      <c r="S1281" s="991" t="b">
        <f ca="1">AND(S885=2,NOT(W1285),NOT(W1283))</f>
        <v>0</v>
      </c>
      <c r="T1281" s="991" t="b">
        <f ca="1">AND(NOT(S1281),W1281=TRUE)</f>
        <v>0</v>
      </c>
      <c r="W1281" s="27"/>
      <c r="X1281" s="1600"/>
      <c r="Y1281" s="1874" t="str">
        <f>IF(LEN('11.700'!X407)=0,"None",'11.700'!X407)</f>
        <v>None</v>
      </c>
      <c r="Z1281" s="1600"/>
      <c r="AC1281" s="1150" t="b">
        <f ca="1">OR(AD1281:AE1281)</f>
        <v>0</v>
      </c>
      <c r="AD1281" s="1150" t="b">
        <f ca="1">T1281</f>
        <v>0</v>
      </c>
      <c r="AE1281" s="1150"/>
      <c r="AL1281" s="1352" t="str">
        <f>SUBSTITUTE(SUBSTITUTE(SUBSTITUTE("vpa"&amp;$B1281&amp;$C1281&amp;$D1281&amp;$E1281&amp;$F1281,".","_"),"(","_"),")","")</f>
        <v>vpa703_6_1_1</v>
      </c>
      <c r="AM1281" s="1352">
        <f>M1281</f>
        <v>3</v>
      </c>
      <c r="AN1281" s="1352" t="str">
        <f>SUBSTITUTE(SUBSTITUTE(SUBSTITUTE("vpc"&amp;$B1281&amp;$C1281&amp;$D1281&amp;$E1281&amp;$F1281,".","_"),"(","_"),")","")</f>
        <v>vpc703_6_1_1</v>
      </c>
      <c r="AO1281" s="1352">
        <f ca="1">O1281</f>
        <v>0</v>
      </c>
      <c r="AP1281" s="1352" t="str">
        <f>SUBSTITUTE(SUBSTITUTE(SUBSTITUTE("vch"&amp;$B1281&amp;$C1281&amp;$D1281&amp;$E1281&amp;$F1281,".","_"),"(","_"),")","")</f>
        <v>vch703_6_1_1</v>
      </c>
      <c r="AQ1281" s="1352" t="str">
        <f>IF(LEN(W1281)=0,"",W1281)</f>
        <v/>
      </c>
      <c r="AR1281" s="1352" t="str">
        <f>SUBSTITUTE(SUBSTITUTE(SUBSTITUTE("vnt"&amp;$B1281&amp;$C1281&amp;$D1281&amp;$E1281&amp;$F1281,".","_"),"(","_"),")","")</f>
        <v>vnt703_6_1_1</v>
      </c>
      <c r="AS1281" s="1352" t="str">
        <f>IF(LEN(X1281)=0,"",X1281)</f>
        <v/>
      </c>
    </row>
    <row r="1282" spans="1:45" s="905" customFormat="1" hidden="1" x14ac:dyDescent="0.2">
      <c r="A1282" s="1507">
        <v>7</v>
      </c>
      <c r="B1282" s="1516" t="s">
        <v>4441</v>
      </c>
      <c r="C1282" s="1516" t="s">
        <v>254</v>
      </c>
      <c r="D1282" s="1516"/>
      <c r="E1282" s="1516"/>
      <c r="F1282" s="1511"/>
      <c r="G1282" s="1509" t="str">
        <f ca="1">G1281</f>
        <v/>
      </c>
      <c r="H1282" s="1530" t="s">
        <v>3199</v>
      </c>
      <c r="I1282" s="589"/>
      <c r="J1282" s="606"/>
      <c r="K1282" s="606"/>
      <c r="L1282" s="1639"/>
      <c r="M1282" s="1624"/>
      <c r="N1282" s="1620"/>
      <c r="O1282" s="1620"/>
      <c r="P1282" s="991"/>
      <c r="Q1282" s="991"/>
      <c r="R1282" s="991"/>
      <c r="S1282" s="991"/>
      <c r="T1282" s="991"/>
      <c r="X1282" s="1600"/>
      <c r="Y1282" s="1874"/>
      <c r="Z1282" s="1600"/>
      <c r="AC1282" s="1150"/>
      <c r="AD1282" s="1150"/>
      <c r="AE1282" s="1150"/>
      <c r="AL1282" s="1352"/>
      <c r="AM1282" s="1352"/>
      <c r="AN1282" s="1352"/>
      <c r="AO1282" s="1352"/>
      <c r="AP1282" s="1352"/>
      <c r="AQ1282" s="1352"/>
      <c r="AR1282" s="1352"/>
      <c r="AS1282" s="1352"/>
    </row>
    <row r="1283" spans="1:45" s="905" customFormat="1" ht="15" hidden="1" customHeight="1" x14ac:dyDescent="0.2">
      <c r="A1283" s="1507">
        <v>7</v>
      </c>
      <c r="B1283" s="1516" t="s">
        <v>4441</v>
      </c>
      <c r="C1283" s="1516" t="s">
        <v>255</v>
      </c>
      <c r="D1283" s="1516"/>
      <c r="E1283" s="1516"/>
      <c r="F1283" s="1511"/>
      <c r="G1283" s="1509" t="str">
        <f ca="1">IF(N1283&gt;0,"P","")</f>
        <v/>
      </c>
      <c r="H1283" s="1530" t="s">
        <v>3199</v>
      </c>
      <c r="I1283" s="589"/>
      <c r="J1283" s="608" t="s">
        <v>255</v>
      </c>
      <c r="K1283" s="608"/>
      <c r="L1283" s="1633" t="s">
        <v>4200</v>
      </c>
      <c r="M1283" s="1636">
        <v>1</v>
      </c>
      <c r="N1283" s="1637">
        <f ca="1">'11.700'!O409</f>
        <v>0</v>
      </c>
      <c r="O1283" s="1637">
        <f ca="1">M1283*S1283*W1283</f>
        <v>0</v>
      </c>
      <c r="P1283" s="991" t="b">
        <v>0</v>
      </c>
      <c r="Q1283" s="991" t="b">
        <v>1</v>
      </c>
      <c r="R1283" s="991" t="b">
        <v>0</v>
      </c>
      <c r="S1283" s="991" t="b">
        <f ca="1">AND(S885=2,NOT(W1285),NOT(W1281))</f>
        <v>0</v>
      </c>
      <c r="T1283" s="991" t="b">
        <f ca="1">AND(NOT(S1283),W1283=TRUE)</f>
        <v>0</v>
      </c>
      <c r="W1283" s="27"/>
      <c r="X1283" s="1600"/>
      <c r="Y1283" s="1874" t="str">
        <f>IF(LEN('11.700'!X409)=0,"None",'11.700'!X409)</f>
        <v>None</v>
      </c>
      <c r="Z1283" s="1600"/>
      <c r="AC1283" s="1150" t="b">
        <f ca="1">OR(AD1283:AE1283)</f>
        <v>0</v>
      </c>
      <c r="AD1283" s="1150" t="b">
        <f ca="1">T1283</f>
        <v>0</v>
      </c>
      <c r="AE1283" s="1150"/>
      <c r="AL1283" s="1352" t="str">
        <f>SUBSTITUTE(SUBSTITUTE(SUBSTITUTE("vpa"&amp;$B1283&amp;$C1283&amp;$D1283&amp;$E1283&amp;$F1283,".","_"),"(","_"),")","")</f>
        <v>vpa703_6_1_2</v>
      </c>
      <c r="AM1283" s="1352">
        <f>M1283</f>
        <v>1</v>
      </c>
      <c r="AN1283" s="1352" t="str">
        <f>SUBSTITUTE(SUBSTITUTE(SUBSTITUTE("vpc"&amp;$B1283&amp;$C1283&amp;$D1283&amp;$E1283&amp;$F1283,".","_"),"(","_"),")","")</f>
        <v>vpc703_6_1_2</v>
      </c>
      <c r="AO1283" s="1352">
        <f ca="1">O1283</f>
        <v>0</v>
      </c>
      <c r="AP1283" s="1352" t="str">
        <f>SUBSTITUTE(SUBSTITUTE(SUBSTITUTE("vch"&amp;$B1283&amp;$C1283&amp;$D1283&amp;$E1283&amp;$F1283,".","_"),"(","_"),")","")</f>
        <v>vch703_6_1_2</v>
      </c>
      <c r="AQ1283" s="1352" t="str">
        <f>IF(LEN(W1283)=0,"",W1283)</f>
        <v/>
      </c>
      <c r="AR1283" s="1352" t="str">
        <f>SUBSTITUTE(SUBSTITUTE(SUBSTITUTE("vnt"&amp;$B1283&amp;$C1283&amp;$D1283&amp;$E1283&amp;$F1283,".","_"),"(","_"),")","")</f>
        <v>vnt703_6_1_2</v>
      </c>
      <c r="AS1283" s="1352" t="str">
        <f>IF(LEN(X1283)=0,"",X1283)</f>
        <v/>
      </c>
    </row>
    <row r="1284" spans="1:45" s="905" customFormat="1" hidden="1" x14ac:dyDescent="0.2">
      <c r="A1284" s="1507">
        <v>7</v>
      </c>
      <c r="B1284" s="1516" t="s">
        <v>4441</v>
      </c>
      <c r="C1284" s="1516" t="s">
        <v>255</v>
      </c>
      <c r="D1284" s="1516"/>
      <c r="E1284" s="1516"/>
      <c r="F1284" s="1511"/>
      <c r="G1284" s="1509" t="str">
        <f ca="1">G1283</f>
        <v/>
      </c>
      <c r="H1284" s="1530" t="s">
        <v>3199</v>
      </c>
      <c r="I1284" s="589"/>
      <c r="J1284" s="606"/>
      <c r="K1284" s="606"/>
      <c r="L1284" s="1639"/>
      <c r="M1284" s="1624"/>
      <c r="N1284" s="1620"/>
      <c r="O1284" s="1620"/>
      <c r="P1284" s="991"/>
      <c r="Q1284" s="991"/>
      <c r="R1284" s="991"/>
      <c r="S1284" s="991"/>
      <c r="T1284" s="991"/>
      <c r="X1284" s="1600"/>
      <c r="Y1284" s="1874"/>
      <c r="Z1284" s="1600"/>
      <c r="AC1284" s="1150"/>
      <c r="AD1284" s="1150"/>
      <c r="AE1284" s="1150"/>
      <c r="AL1284" s="1352"/>
      <c r="AM1284" s="1352"/>
      <c r="AN1284" s="1352"/>
      <c r="AO1284" s="1352"/>
      <c r="AP1284" s="1352"/>
      <c r="AQ1284" s="1352"/>
      <c r="AR1284" s="1352"/>
      <c r="AS1284" s="1352"/>
    </row>
    <row r="1285" spans="1:45" s="905" customFormat="1" ht="15" hidden="1" customHeight="1" x14ac:dyDescent="0.2">
      <c r="A1285" s="1507">
        <v>7</v>
      </c>
      <c r="B1285" s="1516" t="s">
        <v>4441</v>
      </c>
      <c r="C1285" s="1516" t="s">
        <v>256</v>
      </c>
      <c r="D1285" s="1516"/>
      <c r="E1285" s="1516"/>
      <c r="F1285" s="1511"/>
      <c r="G1285" s="1509" t="str">
        <f ca="1">IF(N1285&gt;0,"P","")</f>
        <v/>
      </c>
      <c r="H1285" s="1530" t="s">
        <v>3199</v>
      </c>
      <c r="I1285" s="590"/>
      <c r="J1285" s="590" t="s">
        <v>256</v>
      </c>
      <c r="K1285" s="590"/>
      <c r="L1285" s="1634" t="s">
        <v>4201</v>
      </c>
      <c r="M1285" s="1623">
        <v>7</v>
      </c>
      <c r="N1285" s="1637">
        <f ca="1">'11.700'!O411</f>
        <v>0</v>
      </c>
      <c r="O1285" s="1619">
        <f ca="1">M1285*S1285*W1285</f>
        <v>0</v>
      </c>
      <c r="P1285" s="991" t="b">
        <v>0</v>
      </c>
      <c r="Q1285" s="991" t="b">
        <v>1</v>
      </c>
      <c r="R1285" s="991" t="b">
        <v>0</v>
      </c>
      <c r="S1285" s="991" t="b">
        <f ca="1">AND(S885=2,IF(AY893=INDEX(ddSingleOrMulti,2),TRUE,FALSE),NOT(W1283),NOT(W1281))</f>
        <v>0</v>
      </c>
      <c r="T1285" s="991" t="b">
        <f ca="1">AND(NOT(S1285),W1285=TRUE)</f>
        <v>0</v>
      </c>
      <c r="W1285" s="27"/>
      <c r="X1285" s="1600"/>
      <c r="Y1285" s="1874" t="str">
        <f>IF(LEN('11.700'!X411)=0,"None",'11.700'!X411)</f>
        <v>None</v>
      </c>
      <c r="Z1285" s="1600"/>
      <c r="AC1285" s="1150" t="b">
        <f ca="1">OR(AD1285:AE1285)</f>
        <v>0</v>
      </c>
      <c r="AD1285" s="1150" t="b">
        <f ca="1">T1285</f>
        <v>0</v>
      </c>
      <c r="AE1285" s="1150"/>
      <c r="AL1285" s="1352" t="str">
        <f>SUBSTITUTE(SUBSTITUTE(SUBSTITUTE("vpa"&amp;$B1285&amp;$C1285&amp;$D1285&amp;$E1285&amp;$F1285,".","_"),"(","_"),")","")</f>
        <v>vpa703_6_1_3</v>
      </c>
      <c r="AM1285" s="1352">
        <f>M1285</f>
        <v>7</v>
      </c>
      <c r="AN1285" s="1352" t="str">
        <f>SUBSTITUTE(SUBSTITUTE(SUBSTITUTE("vpc"&amp;$B1285&amp;$C1285&amp;$D1285&amp;$E1285&amp;$F1285,".","_"),"(","_"),")","")</f>
        <v>vpc703_6_1_3</v>
      </c>
      <c r="AO1285" s="1352">
        <f ca="1">O1285</f>
        <v>0</v>
      </c>
      <c r="AP1285" s="1352" t="str">
        <f>SUBSTITUTE(SUBSTITUTE(SUBSTITUTE("vch"&amp;$B1285&amp;$C1285&amp;$D1285&amp;$E1285&amp;$F1285,".","_"),"(","_"),")","")</f>
        <v>vch703_6_1_3</v>
      </c>
      <c r="AQ1285" s="1352" t="str">
        <f>IF(LEN(W1285)=0,"",W1285)</f>
        <v/>
      </c>
      <c r="AR1285" s="1352" t="str">
        <f>SUBSTITUTE(SUBSTITUTE(SUBSTITUTE("vnt"&amp;$B1285&amp;$C1285&amp;$D1285&amp;$E1285&amp;$F1285,".","_"),"(","_"),")","")</f>
        <v>vnt703_6_1_3</v>
      </c>
      <c r="AS1285" s="1352" t="str">
        <f>IF(LEN(X1285)=0,"",X1285)</f>
        <v/>
      </c>
    </row>
    <row r="1286" spans="1:45" s="905" customFormat="1" hidden="1" x14ac:dyDescent="0.2">
      <c r="A1286" s="1507">
        <v>7</v>
      </c>
      <c r="B1286" s="1516" t="s">
        <v>4441</v>
      </c>
      <c r="C1286" s="1516" t="s">
        <v>256</v>
      </c>
      <c r="D1286" s="1516"/>
      <c r="E1286" s="1516"/>
      <c r="F1286" s="1511"/>
      <c r="G1286" s="1509" t="str">
        <f ca="1">G1285</f>
        <v/>
      </c>
      <c r="H1286" s="1530" t="s">
        <v>3199</v>
      </c>
      <c r="I1286" s="606"/>
      <c r="J1286" s="606"/>
      <c r="K1286" s="606"/>
      <c r="L1286" s="1639"/>
      <c r="M1286" s="1624"/>
      <c r="N1286" s="1620"/>
      <c r="O1286" s="1620"/>
      <c r="P1286" s="991"/>
      <c r="Q1286" s="991"/>
      <c r="R1286" s="991"/>
      <c r="S1286" s="991"/>
      <c r="T1286" s="991"/>
      <c r="X1286" s="1600"/>
      <c r="Y1286" s="1874"/>
      <c r="Z1286" s="1600"/>
      <c r="AC1286" s="1150"/>
      <c r="AD1286" s="1150"/>
      <c r="AE1286" s="1150"/>
      <c r="AL1286" s="1352"/>
      <c r="AM1286" s="1352"/>
      <c r="AN1286" s="1352"/>
      <c r="AO1286" s="1352"/>
      <c r="AP1286" s="1352"/>
      <c r="AQ1286" s="1352"/>
      <c r="AR1286" s="1352"/>
      <c r="AS1286" s="1352"/>
    </row>
    <row r="1287" spans="1:45" s="905" customFormat="1" hidden="1" x14ac:dyDescent="0.2">
      <c r="A1287" s="1507">
        <v>7</v>
      </c>
      <c r="B1287" s="1516" t="s">
        <v>4442</v>
      </c>
      <c r="C1287" s="1516"/>
      <c r="D1287" s="1516"/>
      <c r="E1287" s="1516"/>
      <c r="F1287" s="1511"/>
      <c r="G1287" s="1513" t="str">
        <f ca="1">IF(COUNTIF(G1288:G1290,"P")&gt;0,"P","")</f>
        <v/>
      </c>
      <c r="H1287" s="1530" t="s">
        <v>3199</v>
      </c>
      <c r="I1287" s="589" t="s">
        <v>4202</v>
      </c>
      <c r="J1287" s="589"/>
      <c r="K1287" s="589"/>
      <c r="L1287" s="946" t="s">
        <v>4203</v>
      </c>
      <c r="M1287" s="991"/>
      <c r="N1287" s="991"/>
      <c r="O1287" s="991"/>
      <c r="P1287" s="991"/>
      <c r="Q1287" s="991"/>
      <c r="R1287" s="991"/>
      <c r="S1287" s="991"/>
      <c r="T1287" s="991"/>
      <c r="X1287" s="1122"/>
      <c r="Z1287" s="1122"/>
      <c r="AC1287" s="1150"/>
      <c r="AD1287" s="1150"/>
      <c r="AE1287" s="1150"/>
      <c r="AL1287" s="1352"/>
      <c r="AM1287" s="1352"/>
      <c r="AN1287" s="1352"/>
      <c r="AO1287" s="1352"/>
      <c r="AP1287" s="1352"/>
      <c r="AQ1287" s="1352"/>
      <c r="AR1287" s="1352"/>
      <c r="AS1287" s="1352"/>
    </row>
    <row r="1288" spans="1:45" s="905" customFormat="1" ht="16" hidden="1" x14ac:dyDescent="0.2">
      <c r="A1288" s="1507">
        <v>7</v>
      </c>
      <c r="B1288" s="1516" t="s">
        <v>4442</v>
      </c>
      <c r="C1288" s="1516" t="s">
        <v>254</v>
      </c>
      <c r="D1288" s="1516"/>
      <c r="E1288" s="1516"/>
      <c r="F1288" s="1511"/>
      <c r="G1288" s="1509" t="str">
        <f ca="1">IF(N1288&gt;0,"P","")</f>
        <v/>
      </c>
      <c r="H1288" s="1530" t="s">
        <v>3199</v>
      </c>
      <c r="I1288" s="589"/>
      <c r="J1288" s="606" t="s">
        <v>254</v>
      </c>
      <c r="K1288" s="606"/>
      <c r="L1288" s="923" t="s">
        <v>4204</v>
      </c>
      <c r="M1288" s="937">
        <v>1</v>
      </c>
      <c r="N1288" s="1411">
        <f ca="1">'11.700'!O414</f>
        <v>0</v>
      </c>
      <c r="O1288" s="909">
        <f ca="1">M1288*S1288*W1288</f>
        <v>0</v>
      </c>
      <c r="P1288" s="991" t="b">
        <v>0</v>
      </c>
      <c r="Q1288" s="991" t="b">
        <v>1</v>
      </c>
      <c r="R1288" s="991" t="b">
        <v>0</v>
      </c>
      <c r="S1288" s="991" t="b">
        <f ca="1">S885=2</f>
        <v>0</v>
      </c>
      <c r="T1288" s="991" t="b">
        <f ca="1">AND(NOT(S1288),W1288=TRUE)</f>
        <v>0</v>
      </c>
      <c r="W1288" s="27"/>
      <c r="X1288" s="1123"/>
      <c r="Y1288" s="1139" t="str">
        <f>IF(LEN('11.700'!X414)=0,"None",'11.700'!X414)</f>
        <v>None</v>
      </c>
      <c r="Z1288" s="1123"/>
      <c r="AC1288" s="1150" t="b">
        <f ca="1">OR(AD1288:AE1288)</f>
        <v>0</v>
      </c>
      <c r="AD1288" s="1150" t="b">
        <f ca="1">T1288</f>
        <v>0</v>
      </c>
      <c r="AE1288" s="1150"/>
      <c r="AL1288" s="1352" t="str">
        <f>SUBSTITUTE(SUBSTITUTE(SUBSTITUTE("vpa"&amp;$B1288&amp;$C1288&amp;$D1288&amp;$E1288&amp;$F1288,".","_"),"(","_"),")","")</f>
        <v>vpa703_6_2_1</v>
      </c>
      <c r="AM1288" s="1352">
        <f>M1288</f>
        <v>1</v>
      </c>
      <c r="AN1288" s="1352" t="str">
        <f>SUBSTITUTE(SUBSTITUTE(SUBSTITUTE("vpc"&amp;$B1288&amp;$C1288&amp;$D1288&amp;$E1288&amp;$F1288,".","_"),"(","_"),")","")</f>
        <v>vpc703_6_2_1</v>
      </c>
      <c r="AO1288" s="1352">
        <f ca="1">O1288</f>
        <v>0</v>
      </c>
      <c r="AP1288" s="1352" t="str">
        <f>SUBSTITUTE(SUBSTITUTE(SUBSTITUTE("vch"&amp;$B1288&amp;$C1288&amp;$D1288&amp;$E1288&amp;$F1288,".","_"),"(","_"),")","")</f>
        <v>vch703_6_2_1</v>
      </c>
      <c r="AQ1288" s="1352" t="str">
        <f>IF(LEN(W1288)=0,"",W1288)</f>
        <v/>
      </c>
      <c r="AR1288" s="1352" t="str">
        <f>SUBSTITUTE(SUBSTITUTE(SUBSTITUTE("vnt"&amp;$B1288&amp;$C1288&amp;$D1288&amp;$E1288&amp;$F1288,".","_"),"(","_"),")","")</f>
        <v>vnt703_6_2_1</v>
      </c>
      <c r="AS1288" s="1352" t="str">
        <f>IF(LEN(X1288)=0,"",X1288)</f>
        <v/>
      </c>
    </row>
    <row r="1289" spans="1:45" s="905" customFormat="1" ht="16" hidden="1" x14ac:dyDescent="0.2">
      <c r="A1289" s="1507">
        <v>7</v>
      </c>
      <c r="B1289" s="1516" t="s">
        <v>4442</v>
      </c>
      <c r="C1289" s="1516" t="s">
        <v>255</v>
      </c>
      <c r="D1289" s="1516"/>
      <c r="E1289" s="1516"/>
      <c r="F1289" s="1511"/>
      <c r="G1289" s="1509" t="str">
        <f ca="1">IF(N1289&gt;0,"P","")</f>
        <v/>
      </c>
      <c r="H1289" s="1530" t="s">
        <v>3199</v>
      </c>
      <c r="I1289" s="589"/>
      <c r="J1289" s="607" t="s">
        <v>255</v>
      </c>
      <c r="K1289" s="607"/>
      <c r="L1289" s="1075" t="s">
        <v>4205</v>
      </c>
      <c r="M1289" s="379">
        <v>1</v>
      </c>
      <c r="N1289" s="1411">
        <f ca="1">'11.700'!O415</f>
        <v>0</v>
      </c>
      <c r="O1289" s="378">
        <f ca="1">M1289*S1289*W1289</f>
        <v>0</v>
      </c>
      <c r="P1289" s="991" t="b">
        <v>0</v>
      </c>
      <c r="Q1289" s="991" t="b">
        <v>1</v>
      </c>
      <c r="R1289" s="991" t="b">
        <v>0</v>
      </c>
      <c r="S1289" s="991" t="b">
        <f ca="1">S885=2</f>
        <v>0</v>
      </c>
      <c r="T1289" s="991" t="b">
        <f ca="1">AND(NOT(S1289),W1289=TRUE)</f>
        <v>0</v>
      </c>
      <c r="W1289" s="27"/>
      <c r="X1289" s="1123"/>
      <c r="Y1289" s="1139" t="str">
        <f>IF(LEN('11.700'!X415)=0,"None",'11.700'!X415)</f>
        <v>None</v>
      </c>
      <c r="Z1289" s="1123"/>
      <c r="AC1289" s="1150" t="b">
        <f ca="1">OR(AD1289:AE1289)</f>
        <v>0</v>
      </c>
      <c r="AD1289" s="1150" t="b">
        <f ca="1">T1289</f>
        <v>0</v>
      </c>
      <c r="AE1289" s="1150"/>
      <c r="AL1289" s="1352" t="str">
        <f>SUBSTITUTE(SUBSTITUTE(SUBSTITUTE("vpa"&amp;$B1289&amp;$C1289&amp;$D1289&amp;$E1289&amp;$F1289,".","_"),"(","_"),")","")</f>
        <v>vpa703_6_2_2</v>
      </c>
      <c r="AM1289" s="1352">
        <f>M1289</f>
        <v>1</v>
      </c>
      <c r="AN1289" s="1352" t="str">
        <f>SUBSTITUTE(SUBSTITUTE(SUBSTITUTE("vpc"&amp;$B1289&amp;$C1289&amp;$D1289&amp;$E1289&amp;$F1289,".","_"),"(","_"),")","")</f>
        <v>vpc703_6_2_2</v>
      </c>
      <c r="AO1289" s="1352">
        <f ca="1">O1289</f>
        <v>0</v>
      </c>
      <c r="AP1289" s="1352" t="str">
        <f>SUBSTITUTE(SUBSTITUTE(SUBSTITUTE("vch"&amp;$B1289&amp;$C1289&amp;$D1289&amp;$E1289&amp;$F1289,".","_"),"(","_"),")","")</f>
        <v>vch703_6_2_2</v>
      </c>
      <c r="AQ1289" s="1352" t="str">
        <f>IF(LEN(W1289)=0,"",W1289)</f>
        <v/>
      </c>
      <c r="AR1289" s="1352" t="str">
        <f>SUBSTITUTE(SUBSTITUTE(SUBSTITUTE("vnt"&amp;$B1289&amp;$C1289&amp;$D1289&amp;$E1289&amp;$F1289,".","_"),"(","_"),")","")</f>
        <v>vnt703_6_2_2</v>
      </c>
      <c r="AS1289" s="1352" t="str">
        <f>IF(LEN(X1289)=0,"",X1289)</f>
        <v/>
      </c>
    </row>
    <row r="1290" spans="1:45" s="905" customFormat="1" hidden="1" x14ac:dyDescent="0.2">
      <c r="A1290" s="1507">
        <v>7</v>
      </c>
      <c r="B1290" s="1516" t="s">
        <v>4442</v>
      </c>
      <c r="C1290" s="1516" t="s">
        <v>256</v>
      </c>
      <c r="D1290" s="1516"/>
      <c r="E1290" s="1516"/>
      <c r="F1290" s="1511"/>
      <c r="G1290" s="1509" t="str">
        <f ca="1">IF(N1290&gt;0,"P","")</f>
        <v/>
      </c>
      <c r="H1290" s="1530" t="s">
        <v>3199</v>
      </c>
      <c r="I1290" s="590"/>
      <c r="J1290" s="590" t="s">
        <v>256</v>
      </c>
      <c r="K1290" s="590"/>
      <c r="L1290" s="917" t="s">
        <v>4206</v>
      </c>
      <c r="M1290" s="913">
        <v>4</v>
      </c>
      <c r="N1290" s="1125">
        <f ca="1">'11.700'!O416</f>
        <v>0</v>
      </c>
      <c r="O1290" s="908">
        <f ca="1">M1290*S1290*W1290</f>
        <v>0</v>
      </c>
      <c r="P1290" s="991" t="b">
        <v>0</v>
      </c>
      <c r="Q1290" s="991" t="b">
        <v>1</v>
      </c>
      <c r="R1290" s="991" t="b">
        <v>0</v>
      </c>
      <c r="S1290" s="991" t="b">
        <f ca="1">S885=2</f>
        <v>0</v>
      </c>
      <c r="T1290" s="991" t="b">
        <f ca="1">AND(NOT(S1290),W1290=TRUE)</f>
        <v>0</v>
      </c>
      <c r="U1290" s="991"/>
      <c r="W1290" s="333"/>
      <c r="X1290" s="1601"/>
      <c r="Y1290" s="1881" t="str">
        <f>IF(LEN('11.700'!X416)=0,"None",'11.700'!X416)</f>
        <v>None</v>
      </c>
      <c r="Z1290" s="1600"/>
      <c r="AC1290" s="1150" t="b">
        <f ca="1">OR(AD1290:AE1290)</f>
        <v>0</v>
      </c>
      <c r="AD1290" s="1150" t="b">
        <f ca="1">T1290</f>
        <v>0</v>
      </c>
      <c r="AE1290" s="1150"/>
      <c r="AL1290" s="1352" t="str">
        <f>SUBSTITUTE(SUBSTITUTE(SUBSTITUTE("vpa"&amp;$B1290&amp;$C1290&amp;$D1290&amp;$E1290&amp;$F1290,".","_"),"(","_"),")","")</f>
        <v>vpa703_6_2_3</v>
      </c>
      <c r="AM1290" s="1352">
        <f>M1290</f>
        <v>4</v>
      </c>
      <c r="AN1290" s="1352" t="str">
        <f>SUBSTITUTE(SUBSTITUTE(SUBSTITUTE("vpc"&amp;$B1290&amp;$C1290&amp;$D1290&amp;$E1290&amp;$F1290,".","_"),"(","_"),")","")</f>
        <v>vpc703_6_2_3</v>
      </c>
      <c r="AO1290" s="1352">
        <f ca="1">O1290</f>
        <v>0</v>
      </c>
      <c r="AP1290" s="1352" t="str">
        <f>SUBSTITUTE(SUBSTITUTE(SUBSTITUTE("vch"&amp;$B1290&amp;$C1290&amp;$D1290&amp;$E1290&amp;$F1290,".","_"),"(","_"),")","")</f>
        <v>vch703_6_2_3</v>
      </c>
      <c r="AQ1290" s="1352" t="str">
        <f>IF(LEN(W1290)=0,"",W1290)</f>
        <v/>
      </c>
      <c r="AR1290" s="1352" t="str">
        <f>SUBSTITUTE(SUBSTITUTE(SUBSTITUTE("vnt"&amp;$B1290&amp;$C1290&amp;$D1290&amp;$E1290&amp;$F1290,".","_"),"(","_"),")","")</f>
        <v>vnt703_6_2_3</v>
      </c>
      <c r="AS1290" s="1352" t="str">
        <f>IF(LEN(X1290)=0,"",X1290)</f>
        <v/>
      </c>
    </row>
    <row r="1291" spans="1:45" s="905" customFormat="1" ht="16" hidden="1" thickBot="1" x14ac:dyDescent="0.25">
      <c r="A1291" s="1507">
        <v>7</v>
      </c>
      <c r="B1291" s="1516" t="s">
        <v>4442</v>
      </c>
      <c r="C1291" s="1516" t="s">
        <v>256</v>
      </c>
      <c r="D1291" s="467"/>
      <c r="E1291" s="467"/>
      <c r="F1291" s="467"/>
      <c r="G1291" s="1509" t="str">
        <f ca="1">G1290</f>
        <v/>
      </c>
      <c r="H1291" s="1510" t="s">
        <v>3199</v>
      </c>
      <c r="I1291" s="100"/>
      <c r="J1291" s="100"/>
      <c r="K1291" s="100"/>
      <c r="L1291" s="709" t="s">
        <v>4846</v>
      </c>
      <c r="M1291" s="100"/>
      <c r="N1291" s="100"/>
      <c r="O1291" s="100"/>
      <c r="P1291" s="100"/>
      <c r="Q1291" s="100"/>
      <c r="R1291" s="100"/>
      <c r="S1291" s="100"/>
      <c r="T1291" s="100"/>
      <c r="U1291" s="100"/>
      <c r="W1291" s="100"/>
      <c r="X1291" s="1602"/>
      <c r="Y1291" s="1882"/>
      <c r="Z1291" s="1602"/>
      <c r="AC1291" s="1150"/>
      <c r="AD1291" s="1150"/>
      <c r="AE1291" s="1150"/>
      <c r="AL1291" s="1352"/>
      <c r="AM1291" s="1352"/>
      <c r="AN1291" s="1352"/>
      <c r="AO1291" s="1352"/>
      <c r="AP1291" s="1352"/>
      <c r="AQ1291" s="1352"/>
      <c r="AR1291" s="1352"/>
      <c r="AS1291" s="1352"/>
    </row>
    <row r="1292" spans="1:45" s="905" customFormat="1" hidden="1" x14ac:dyDescent="0.2">
      <c r="A1292" s="1507">
        <v>7</v>
      </c>
      <c r="B1292" s="1516">
        <v>703.7</v>
      </c>
      <c r="C1292" s="1516"/>
      <c r="D1292" s="1516"/>
      <c r="E1292" s="1516"/>
      <c r="F1292" s="1511"/>
      <c r="G1292" s="1513" t="str">
        <f ca="1">IF(COUNTIF(G1293:G1350,"P")&gt;0,"P","")</f>
        <v/>
      </c>
      <c r="H1292" s="1510" t="s">
        <v>3197</v>
      </c>
      <c r="I1292" s="589" t="s">
        <v>4207</v>
      </c>
      <c r="J1292" s="589"/>
      <c r="K1292" s="589"/>
      <c r="L1292" s="946" t="s">
        <v>4208</v>
      </c>
      <c r="M1292" s="991"/>
      <c r="N1292" s="991"/>
      <c r="O1292" s="991"/>
      <c r="P1292" s="991"/>
      <c r="Q1292" s="991"/>
      <c r="R1292" s="991"/>
      <c r="S1292" s="991"/>
      <c r="T1292" s="991"/>
      <c r="Z1292" s="1122"/>
      <c r="AC1292" s="1150"/>
      <c r="AD1292" s="1150"/>
      <c r="AE1292" s="1150"/>
      <c r="AL1292" s="1352"/>
      <c r="AM1292" s="1352"/>
      <c r="AN1292" s="1352"/>
      <c r="AO1292" s="1352"/>
      <c r="AP1292" s="1352"/>
      <c r="AQ1292" s="1352"/>
      <c r="AR1292" s="1352"/>
      <c r="AS1292" s="1352"/>
    </row>
    <row r="1293" spans="1:45" s="905" customFormat="1" ht="15" hidden="1" customHeight="1" x14ac:dyDescent="0.2">
      <c r="A1293" s="1507">
        <v>7</v>
      </c>
      <c r="B1293" s="1516" t="s">
        <v>4443</v>
      </c>
      <c r="C1293" s="1516"/>
      <c r="D1293" s="1516"/>
      <c r="E1293" s="1516"/>
      <c r="F1293" s="1511"/>
      <c r="G1293" s="1509" t="str">
        <f ca="1">IF(N1293&gt;0,"P","")</f>
        <v/>
      </c>
      <c r="H1293" s="1510" t="s">
        <v>3197</v>
      </c>
      <c r="I1293" s="589" t="s">
        <v>4209</v>
      </c>
      <c r="J1293" s="589"/>
      <c r="K1293" s="589"/>
      <c r="L1293" s="1687" t="s">
        <v>4210</v>
      </c>
      <c r="M1293" s="1623">
        <v>4</v>
      </c>
      <c r="N1293" s="1619">
        <f ca="1">'11.700'!O419</f>
        <v>0</v>
      </c>
      <c r="O1293" s="1619">
        <f ca="1">M1293*S1293*W1293</f>
        <v>0</v>
      </c>
      <c r="P1293" s="991" t="b">
        <v>1</v>
      </c>
      <c r="Q1293" s="991" t="b">
        <v>1</v>
      </c>
      <c r="R1293" s="991" t="b">
        <v>0</v>
      </c>
      <c r="S1293" s="991" t="b">
        <f ca="1">S885=2</f>
        <v>0</v>
      </c>
      <c r="T1293" s="991" t="b">
        <f ca="1">AND(NOT(S1293),W1293=TRUE)</f>
        <v>0</v>
      </c>
      <c r="W1293" s="27"/>
      <c r="Z1293" s="1122"/>
      <c r="AC1293" s="1150" t="b">
        <f ca="1">OR(AD1293:AE1293)</f>
        <v>0</v>
      </c>
      <c r="AD1293" s="1150" t="b">
        <f ca="1">T1293</f>
        <v>0</v>
      </c>
      <c r="AE1293" s="1150"/>
      <c r="AL1293" s="1352" t="str">
        <f>SUBSTITUTE(SUBSTITUTE(SUBSTITUTE("vpa"&amp;$B1293&amp;$C1293&amp;$D1293&amp;$E1293&amp;$F1293,".","_"),"(","_"),")","")</f>
        <v>vpa703_7_1</v>
      </c>
      <c r="AM1293" s="1352">
        <f>M1293</f>
        <v>4</v>
      </c>
      <c r="AN1293" s="1352" t="str">
        <f>SUBSTITUTE(SUBSTITUTE(SUBSTITUTE("vpc"&amp;$B1293&amp;$C1293&amp;$D1293&amp;$E1293&amp;$F1293,".","_"),"(","_"),")","")</f>
        <v>vpc703_7_1</v>
      </c>
      <c r="AO1293" s="1352">
        <f ca="1">O1293</f>
        <v>0</v>
      </c>
      <c r="AP1293" s="1352" t="str">
        <f>SUBSTITUTE(SUBSTITUTE(SUBSTITUTE("vch"&amp;$B1293&amp;$C1293&amp;$D1293&amp;$E1293&amp;$F1293,".","_"),"(","_"),")","")</f>
        <v>vch703_7_1</v>
      </c>
      <c r="AQ1293" s="1352" t="str">
        <f>IF(LEN(W1293)=0,"",W1293)</f>
        <v/>
      </c>
      <c r="AR1293" s="1352"/>
      <c r="AS1293" s="1352"/>
    </row>
    <row r="1294" spans="1:45" s="905" customFormat="1" hidden="1" x14ac:dyDescent="0.2">
      <c r="A1294" s="1507">
        <v>7</v>
      </c>
      <c r="B1294" s="1516" t="s">
        <v>4443</v>
      </c>
      <c r="C1294" s="1516"/>
      <c r="D1294" s="1516"/>
      <c r="E1294" s="1516"/>
      <c r="F1294" s="1511"/>
      <c r="G1294" s="1509" t="str">
        <f t="shared" ref="G1294:G1320" ca="1" si="103">G1293</f>
        <v/>
      </c>
      <c r="H1294" s="1510" t="s">
        <v>3197</v>
      </c>
      <c r="I1294" s="589"/>
      <c r="J1294" s="589"/>
      <c r="K1294" s="589"/>
      <c r="L1294" s="1687"/>
      <c r="M1294" s="1623"/>
      <c r="N1294" s="1619"/>
      <c r="O1294" s="1619"/>
      <c r="P1294" s="991"/>
      <c r="Q1294" s="991"/>
      <c r="R1294" s="991"/>
      <c r="S1294" s="991"/>
      <c r="T1294" s="991"/>
      <c r="Z1294" s="1122"/>
      <c r="AL1294" s="1352"/>
      <c r="AM1294" s="1352"/>
      <c r="AN1294" s="1352"/>
      <c r="AO1294" s="1352"/>
      <c r="AP1294" s="1352"/>
      <c r="AQ1294" s="1352"/>
      <c r="AR1294" s="1352"/>
      <c r="AS1294" s="1352"/>
    </row>
    <row r="1295" spans="1:45" s="905" customFormat="1" ht="15" hidden="1" customHeight="1" x14ac:dyDescent="0.2">
      <c r="A1295" s="1507">
        <v>7</v>
      </c>
      <c r="B1295" s="1516" t="s">
        <v>4443</v>
      </c>
      <c r="C1295" s="1516" t="s">
        <v>254</v>
      </c>
      <c r="D1295" s="1516"/>
      <c r="E1295" s="1516"/>
      <c r="F1295" s="1511"/>
      <c r="G1295" s="1509" t="str">
        <f t="shared" ca="1" si="103"/>
        <v/>
      </c>
      <c r="H1295" s="1510" t="s">
        <v>3197</v>
      </c>
      <c r="I1295" s="589"/>
      <c r="J1295" s="590" t="s">
        <v>254</v>
      </c>
      <c r="K1295" s="590"/>
      <c r="L1295" s="1634" t="s">
        <v>4211</v>
      </c>
      <c r="M1295" s="991"/>
      <c r="N1295" s="991"/>
      <c r="O1295" s="991"/>
      <c r="P1295" s="991"/>
      <c r="Q1295" s="991"/>
      <c r="R1295" s="991"/>
      <c r="S1295" s="991"/>
      <c r="T1295" s="991"/>
      <c r="X1295" s="1600"/>
      <c r="Y1295" s="1874" t="str">
        <f>IF(LEN('11.700'!X421)=0,"None",'11.700'!X421)</f>
        <v>None</v>
      </c>
      <c r="Z1295" s="1600"/>
      <c r="AL1295" s="1352"/>
      <c r="AM1295" s="1352"/>
      <c r="AN1295" s="1352"/>
      <c r="AO1295" s="1352"/>
      <c r="AP1295" s="1352"/>
      <c r="AQ1295" s="1352"/>
      <c r="AR1295" s="1352" t="str">
        <f>SUBSTITUTE(SUBSTITUTE(SUBSTITUTE("vnt"&amp;$B1295&amp;$C1295&amp;$D1295&amp;$E1295&amp;$F1295,".","_"),"(","_"),")","")</f>
        <v>vnt703_7_1_1</v>
      </c>
      <c r="AS1295" s="1352" t="str">
        <f>IF(LEN(X1295)=0,"",X1295)</f>
        <v/>
      </c>
    </row>
    <row r="1296" spans="1:45" s="905" customFormat="1" hidden="1" x14ac:dyDescent="0.2">
      <c r="A1296" s="1507">
        <v>7</v>
      </c>
      <c r="B1296" s="1516" t="s">
        <v>4443</v>
      </c>
      <c r="C1296" s="1516" t="s">
        <v>254</v>
      </c>
      <c r="D1296" s="1516"/>
      <c r="E1296" s="1516"/>
      <c r="F1296" s="1511"/>
      <c r="G1296" s="1509" t="str">
        <f t="shared" ca="1" si="103"/>
        <v/>
      </c>
      <c r="H1296" s="1510" t="s">
        <v>3197</v>
      </c>
      <c r="I1296" s="589"/>
      <c r="J1296" s="606"/>
      <c r="K1296" s="606"/>
      <c r="L1296" s="1639"/>
      <c r="M1296" s="991"/>
      <c r="N1296" s="991"/>
      <c r="O1296" s="991"/>
      <c r="P1296" s="991"/>
      <c r="Q1296" s="991"/>
      <c r="R1296" s="991"/>
      <c r="S1296" s="991"/>
      <c r="T1296" s="991"/>
      <c r="X1296" s="1600"/>
      <c r="Y1296" s="1874"/>
      <c r="Z1296" s="1600"/>
      <c r="AL1296" s="1352"/>
      <c r="AM1296" s="1352"/>
      <c r="AN1296" s="1352"/>
      <c r="AO1296" s="1352"/>
      <c r="AP1296" s="1352"/>
      <c r="AQ1296" s="1352"/>
      <c r="AR1296" s="1352"/>
      <c r="AS1296" s="1352"/>
    </row>
    <row r="1297" spans="1:45" s="905" customFormat="1" ht="15" hidden="1" customHeight="1" x14ac:dyDescent="0.2">
      <c r="A1297" s="1507">
        <v>7</v>
      </c>
      <c r="B1297" s="1516" t="s">
        <v>4443</v>
      </c>
      <c r="C1297" s="1516" t="s">
        <v>255</v>
      </c>
      <c r="D1297" s="1516"/>
      <c r="E1297" s="1516"/>
      <c r="F1297" s="1511"/>
      <c r="G1297" s="1509" t="str">
        <f t="shared" ca="1" si="103"/>
        <v/>
      </c>
      <c r="H1297" s="1510" t="s">
        <v>3197</v>
      </c>
      <c r="I1297" s="589"/>
      <c r="J1297" s="608" t="s">
        <v>255</v>
      </c>
      <c r="K1297" s="608"/>
      <c r="L1297" s="1633" t="s">
        <v>4212</v>
      </c>
      <c r="M1297" s="991"/>
      <c r="N1297" s="991"/>
      <c r="O1297" s="991"/>
      <c r="P1297" s="991"/>
      <c r="Q1297" s="991"/>
      <c r="R1297" s="991"/>
      <c r="S1297" s="991"/>
      <c r="T1297" s="991"/>
      <c r="X1297" s="1600"/>
      <c r="Y1297" s="1874" t="str">
        <f>IF(LEN('11.700'!X423)=0,"None",'11.700'!X423)</f>
        <v>None</v>
      </c>
      <c r="Z1297" s="1600"/>
      <c r="AL1297" s="1352"/>
      <c r="AM1297" s="1352"/>
      <c r="AN1297" s="1352"/>
      <c r="AO1297" s="1352"/>
      <c r="AP1297" s="1352"/>
      <c r="AQ1297" s="1352"/>
      <c r="AR1297" s="1352" t="str">
        <f>SUBSTITUTE(SUBSTITUTE(SUBSTITUTE("vnt"&amp;$B1297&amp;$C1297&amp;$D1297&amp;$E1297&amp;$F1297,".","_"),"(","_"),")","")</f>
        <v>vnt703_7_1_2</v>
      </c>
      <c r="AS1297" s="1352" t="str">
        <f>IF(LEN(X1297)=0,"",X1297)</f>
        <v/>
      </c>
    </row>
    <row r="1298" spans="1:45" s="905" customFormat="1" hidden="1" x14ac:dyDescent="0.2">
      <c r="A1298" s="1507">
        <v>7</v>
      </c>
      <c r="B1298" s="1516" t="s">
        <v>4443</v>
      </c>
      <c r="C1298" s="1516" t="s">
        <v>255</v>
      </c>
      <c r="D1298" s="1516"/>
      <c r="E1298" s="1516"/>
      <c r="F1298" s="1511"/>
      <c r="G1298" s="1509" t="str">
        <f t="shared" ca="1" si="103"/>
        <v/>
      </c>
      <c r="H1298" s="1510" t="s">
        <v>3197</v>
      </c>
      <c r="I1298" s="589"/>
      <c r="J1298" s="590"/>
      <c r="K1298" s="590"/>
      <c r="L1298" s="1634"/>
      <c r="M1298" s="991"/>
      <c r="N1298" s="991"/>
      <c r="O1298" s="991"/>
      <c r="P1298" s="991"/>
      <c r="Q1298" s="991"/>
      <c r="R1298" s="991"/>
      <c r="S1298" s="991"/>
      <c r="T1298" s="991"/>
      <c r="X1298" s="1600"/>
      <c r="Y1298" s="1874"/>
      <c r="Z1298" s="1600"/>
      <c r="AL1298" s="1352"/>
      <c r="AM1298" s="1352"/>
      <c r="AN1298" s="1352"/>
      <c r="AO1298" s="1352"/>
      <c r="AP1298" s="1352"/>
      <c r="AQ1298" s="1352"/>
      <c r="AR1298" s="1352"/>
      <c r="AS1298" s="1352"/>
    </row>
    <row r="1299" spans="1:45" s="905" customFormat="1" hidden="1" x14ac:dyDescent="0.2">
      <c r="A1299" s="1507">
        <v>7</v>
      </c>
      <c r="B1299" s="1516" t="s">
        <v>4443</v>
      </c>
      <c r="C1299" s="1516" t="s">
        <v>255</v>
      </c>
      <c r="D1299" s="1516"/>
      <c r="E1299" s="1516"/>
      <c r="F1299" s="1511"/>
      <c r="G1299" s="1509" t="str">
        <f t="shared" ca="1" si="103"/>
        <v/>
      </c>
      <c r="H1299" s="1510" t="s">
        <v>3197</v>
      </c>
      <c r="I1299" s="589"/>
      <c r="J1299" s="606"/>
      <c r="K1299" s="606"/>
      <c r="L1299" s="1639"/>
      <c r="M1299" s="991"/>
      <c r="N1299" s="991"/>
      <c r="O1299" s="991"/>
      <c r="P1299" s="991"/>
      <c r="Q1299" s="991"/>
      <c r="R1299" s="991"/>
      <c r="S1299" s="991"/>
      <c r="T1299" s="991"/>
      <c r="X1299" s="1600"/>
      <c r="Y1299" s="1874"/>
      <c r="Z1299" s="1600"/>
      <c r="AL1299" s="1352"/>
      <c r="AM1299" s="1352"/>
      <c r="AN1299" s="1352"/>
      <c r="AO1299" s="1352"/>
      <c r="AP1299" s="1352"/>
      <c r="AQ1299" s="1352"/>
      <c r="AR1299" s="1352"/>
      <c r="AS1299" s="1352"/>
    </row>
    <row r="1300" spans="1:45" s="905" customFormat="1" ht="15" hidden="1" customHeight="1" x14ac:dyDescent="0.2">
      <c r="A1300" s="1507">
        <v>7</v>
      </c>
      <c r="B1300" s="1516" t="s">
        <v>4443</v>
      </c>
      <c r="C1300" s="1516" t="s">
        <v>256</v>
      </c>
      <c r="D1300" s="1516"/>
      <c r="E1300" s="1516"/>
      <c r="F1300" s="1511"/>
      <c r="G1300" s="1509" t="str">
        <f t="shared" ca="1" si="103"/>
        <v/>
      </c>
      <c r="H1300" s="1510" t="s">
        <v>3197</v>
      </c>
      <c r="I1300" s="589"/>
      <c r="J1300" s="608" t="s">
        <v>256</v>
      </c>
      <c r="K1300" s="608"/>
      <c r="L1300" s="1633" t="s">
        <v>4213</v>
      </c>
      <c r="M1300" s="991"/>
      <c r="N1300" s="991"/>
      <c r="O1300" s="991"/>
      <c r="P1300" s="991"/>
      <c r="Q1300" s="991"/>
      <c r="R1300" s="991"/>
      <c r="S1300" s="991"/>
      <c r="T1300" s="991"/>
      <c r="X1300" s="1600"/>
      <c r="Y1300" s="1874" t="str">
        <f>IF(LEN('11.700'!X426)=0,"None",'11.700'!X426)</f>
        <v>None</v>
      </c>
      <c r="Z1300" s="1600"/>
      <c r="AL1300" s="1352"/>
      <c r="AM1300" s="1352"/>
      <c r="AN1300" s="1352"/>
      <c r="AO1300" s="1352"/>
      <c r="AP1300" s="1352"/>
      <c r="AQ1300" s="1352"/>
      <c r="AR1300" s="1352" t="str">
        <f>SUBSTITUTE(SUBSTITUTE(SUBSTITUTE("vnt"&amp;$B1300&amp;$C1300&amp;$D1300&amp;$E1300&amp;$F1300,".","_"),"(","_"),")","")</f>
        <v>vnt703_7_1_3</v>
      </c>
      <c r="AS1300" s="1352" t="str">
        <f>IF(LEN(X1300)=0,"",X1300)</f>
        <v/>
      </c>
    </row>
    <row r="1301" spans="1:45" s="905" customFormat="1" hidden="1" x14ac:dyDescent="0.2">
      <c r="A1301" s="1507">
        <v>7</v>
      </c>
      <c r="B1301" s="1516" t="s">
        <v>4443</v>
      </c>
      <c r="C1301" s="1516" t="s">
        <v>256</v>
      </c>
      <c r="D1301" s="1516"/>
      <c r="E1301" s="1516"/>
      <c r="F1301" s="1511"/>
      <c r="G1301" s="1509" t="str">
        <f t="shared" ca="1" si="103"/>
        <v/>
      </c>
      <c r="H1301" s="1510" t="s">
        <v>3197</v>
      </c>
      <c r="I1301" s="589"/>
      <c r="J1301" s="606"/>
      <c r="K1301" s="606"/>
      <c r="L1301" s="1639"/>
      <c r="M1301" s="991"/>
      <c r="N1301" s="991"/>
      <c r="O1301" s="991"/>
      <c r="P1301" s="991"/>
      <c r="Q1301" s="991"/>
      <c r="R1301" s="991"/>
      <c r="S1301" s="991"/>
      <c r="T1301" s="991"/>
      <c r="X1301" s="1600"/>
      <c r="Y1301" s="1874"/>
      <c r="Z1301" s="1600"/>
      <c r="AL1301" s="1352"/>
      <c r="AM1301" s="1352"/>
      <c r="AN1301" s="1352"/>
      <c r="AO1301" s="1352"/>
      <c r="AP1301" s="1352"/>
      <c r="AQ1301" s="1352"/>
      <c r="AR1301" s="1352"/>
      <c r="AS1301" s="1352"/>
    </row>
    <row r="1302" spans="1:45" s="905" customFormat="1" ht="15" hidden="1" customHeight="1" x14ac:dyDescent="0.2">
      <c r="A1302" s="1507">
        <v>7</v>
      </c>
      <c r="B1302" s="1516" t="s">
        <v>4443</v>
      </c>
      <c r="C1302" s="1516" t="s">
        <v>259</v>
      </c>
      <c r="D1302" s="1516"/>
      <c r="E1302" s="1516"/>
      <c r="F1302" s="1511"/>
      <c r="G1302" s="1509" t="str">
        <f t="shared" ca="1" si="103"/>
        <v/>
      </c>
      <c r="H1302" s="1510" t="s">
        <v>3197</v>
      </c>
      <c r="I1302" s="589"/>
      <c r="J1302" s="608" t="s">
        <v>259</v>
      </c>
      <c r="K1302" s="608"/>
      <c r="L1302" s="1633" t="s">
        <v>4214</v>
      </c>
      <c r="M1302" s="991"/>
      <c r="N1302" s="991"/>
      <c r="O1302" s="991"/>
      <c r="P1302" s="991"/>
      <c r="Q1302" s="991"/>
      <c r="R1302" s="991"/>
      <c r="S1302" s="991"/>
      <c r="T1302" s="991"/>
      <c r="X1302" s="1600"/>
      <c r="Y1302" s="1874" t="str">
        <f>IF(LEN('11.700'!X428)=0,"None",'11.700'!X428)</f>
        <v>None</v>
      </c>
      <c r="Z1302" s="1600"/>
      <c r="AL1302" s="1352"/>
      <c r="AM1302" s="1352"/>
      <c r="AN1302" s="1352"/>
      <c r="AO1302" s="1352"/>
      <c r="AP1302" s="1352"/>
      <c r="AQ1302" s="1352"/>
      <c r="AR1302" s="1352" t="str">
        <f>SUBSTITUTE(SUBSTITUTE(SUBSTITUTE("vnt"&amp;$B1302&amp;$C1302&amp;$D1302&amp;$E1302&amp;$F1302,".","_"),"(","_"),")","")</f>
        <v>vnt703_7_1_4</v>
      </c>
      <c r="AS1302" s="1352" t="str">
        <f>IF(LEN(X1302)=0,"",X1302)</f>
        <v/>
      </c>
    </row>
    <row r="1303" spans="1:45" s="905" customFormat="1" hidden="1" x14ac:dyDescent="0.2">
      <c r="A1303" s="1507">
        <v>7</v>
      </c>
      <c r="B1303" s="1516" t="s">
        <v>4443</v>
      </c>
      <c r="C1303" s="1516" t="s">
        <v>259</v>
      </c>
      <c r="D1303" s="1516"/>
      <c r="E1303" s="1516"/>
      <c r="F1303" s="1511"/>
      <c r="G1303" s="1509" t="str">
        <f t="shared" ca="1" si="103"/>
        <v/>
      </c>
      <c r="H1303" s="1510" t="s">
        <v>3197</v>
      </c>
      <c r="I1303" s="589"/>
      <c r="J1303" s="606"/>
      <c r="K1303" s="606"/>
      <c r="L1303" s="1639"/>
      <c r="M1303" s="991"/>
      <c r="N1303" s="991"/>
      <c r="O1303" s="991"/>
      <c r="P1303" s="991"/>
      <c r="Q1303" s="991"/>
      <c r="R1303" s="991"/>
      <c r="S1303" s="991"/>
      <c r="T1303" s="991"/>
      <c r="X1303" s="1600"/>
      <c r="Y1303" s="1874"/>
      <c r="Z1303" s="1600"/>
      <c r="AL1303" s="1352"/>
      <c r="AM1303" s="1352"/>
      <c r="AN1303" s="1352"/>
      <c r="AO1303" s="1352"/>
      <c r="AP1303" s="1352"/>
      <c r="AQ1303" s="1352"/>
      <c r="AR1303" s="1352"/>
      <c r="AS1303" s="1352"/>
    </row>
    <row r="1304" spans="1:45" s="905" customFormat="1" ht="15" hidden="1" customHeight="1" x14ac:dyDescent="0.2">
      <c r="A1304" s="1507">
        <v>7</v>
      </c>
      <c r="B1304" s="1516" t="s">
        <v>4443</v>
      </c>
      <c r="C1304" s="1516" t="s">
        <v>263</v>
      </c>
      <c r="D1304" s="1516"/>
      <c r="E1304" s="1516"/>
      <c r="F1304" s="1511"/>
      <c r="G1304" s="1509" t="str">
        <f t="shared" ca="1" si="103"/>
        <v/>
      </c>
      <c r="H1304" s="1510" t="s">
        <v>3197</v>
      </c>
      <c r="I1304" s="589"/>
      <c r="J1304" s="608" t="s">
        <v>263</v>
      </c>
      <c r="K1304" s="608"/>
      <c r="L1304" s="1633" t="s">
        <v>4215</v>
      </c>
      <c r="M1304" s="991"/>
      <c r="N1304" s="991"/>
      <c r="O1304" s="991"/>
      <c r="P1304" s="991"/>
      <c r="Q1304" s="991"/>
      <c r="R1304" s="991"/>
      <c r="S1304" s="991"/>
      <c r="T1304" s="991"/>
      <c r="X1304" s="1600"/>
      <c r="Y1304" s="1874" t="str">
        <f>IF(LEN('11.700'!X430)=0,"None",'11.700'!X430)</f>
        <v>None</v>
      </c>
      <c r="Z1304" s="1600"/>
      <c r="AL1304" s="1352"/>
      <c r="AM1304" s="1352"/>
      <c r="AN1304" s="1352"/>
      <c r="AO1304" s="1352"/>
      <c r="AP1304" s="1352"/>
      <c r="AQ1304" s="1352"/>
      <c r="AR1304" s="1352" t="str">
        <f>SUBSTITUTE(SUBSTITUTE(SUBSTITUTE("vnt"&amp;$B1304&amp;$C1304&amp;$D1304&amp;$E1304&amp;$F1304,".","_"),"(","_"),")","")</f>
        <v>vnt703_7_1_5</v>
      </c>
      <c r="AS1304" s="1352" t="str">
        <f>IF(LEN(X1304)=0,"",X1304)</f>
        <v/>
      </c>
    </row>
    <row r="1305" spans="1:45" s="905" customFormat="1" hidden="1" x14ac:dyDescent="0.2">
      <c r="A1305" s="1507">
        <v>7</v>
      </c>
      <c r="B1305" s="1516" t="s">
        <v>4443</v>
      </c>
      <c r="C1305" s="1516" t="s">
        <v>263</v>
      </c>
      <c r="D1305" s="1516"/>
      <c r="E1305" s="1516"/>
      <c r="F1305" s="1511"/>
      <c r="G1305" s="1509" t="str">
        <f t="shared" ca="1" si="103"/>
        <v/>
      </c>
      <c r="H1305" s="1510" t="s">
        <v>3197</v>
      </c>
      <c r="I1305" s="589"/>
      <c r="J1305" s="606"/>
      <c r="K1305" s="606"/>
      <c r="L1305" s="1639"/>
      <c r="M1305" s="991"/>
      <c r="N1305" s="991"/>
      <c r="O1305" s="991"/>
      <c r="P1305" s="991"/>
      <c r="Q1305" s="991"/>
      <c r="R1305" s="991"/>
      <c r="S1305" s="991"/>
      <c r="T1305" s="991"/>
      <c r="X1305" s="1600"/>
      <c r="Y1305" s="1874"/>
      <c r="Z1305" s="1600"/>
      <c r="AL1305" s="1352"/>
      <c r="AM1305" s="1352"/>
      <c r="AN1305" s="1352"/>
      <c r="AO1305" s="1352"/>
      <c r="AP1305" s="1352"/>
      <c r="AQ1305" s="1352"/>
      <c r="AR1305" s="1352"/>
      <c r="AS1305" s="1352"/>
    </row>
    <row r="1306" spans="1:45" s="905" customFormat="1" hidden="1" x14ac:dyDescent="0.2">
      <c r="A1306" s="1507">
        <v>7</v>
      </c>
      <c r="B1306" s="1516" t="s">
        <v>4443</v>
      </c>
      <c r="C1306" s="1516" t="s">
        <v>264</v>
      </c>
      <c r="D1306" s="1516"/>
      <c r="E1306" s="1516"/>
      <c r="F1306" s="1511"/>
      <c r="G1306" s="1509" t="str">
        <f t="shared" ca="1" si="103"/>
        <v/>
      </c>
      <c r="H1306" s="1510" t="s">
        <v>3197</v>
      </c>
      <c r="I1306" s="589"/>
      <c r="J1306" s="589" t="s">
        <v>264</v>
      </c>
      <c r="K1306" s="589"/>
      <c r="L1306" s="917" t="s">
        <v>4216</v>
      </c>
      <c r="M1306" s="991"/>
      <c r="N1306" s="991"/>
      <c r="O1306" s="991"/>
      <c r="P1306" s="991"/>
      <c r="Q1306" s="991"/>
      <c r="R1306" s="991"/>
      <c r="S1306" s="991"/>
      <c r="T1306" s="991"/>
      <c r="X1306" s="1122"/>
      <c r="Z1306" s="1122"/>
      <c r="AL1306" s="1352"/>
      <c r="AM1306" s="1352"/>
      <c r="AN1306" s="1352"/>
      <c r="AO1306" s="1352"/>
      <c r="AP1306" s="1352"/>
      <c r="AQ1306" s="1352"/>
      <c r="AR1306" s="1352"/>
      <c r="AS1306" s="1352"/>
    </row>
    <row r="1307" spans="1:45" s="905" customFormat="1" ht="16" hidden="1" x14ac:dyDescent="0.2">
      <c r="A1307" s="1507">
        <v>7</v>
      </c>
      <c r="B1307" s="1516" t="s">
        <v>4443</v>
      </c>
      <c r="C1307" s="1516" t="s">
        <v>264</v>
      </c>
      <c r="D1307" s="1516" t="s">
        <v>121</v>
      </c>
      <c r="E1307" s="1516"/>
      <c r="F1307" s="1511"/>
      <c r="G1307" s="1509" t="str">
        <f t="shared" ca="1" si="103"/>
        <v/>
      </c>
      <c r="H1307" s="1510" t="s">
        <v>3197</v>
      </c>
      <c r="I1307" s="589"/>
      <c r="J1307" s="589"/>
      <c r="K1307" s="589" t="s">
        <v>121</v>
      </c>
      <c r="L1307" s="917" t="s">
        <v>4217</v>
      </c>
      <c r="M1307" s="991"/>
      <c r="N1307" s="991"/>
      <c r="O1307" s="991"/>
      <c r="P1307" s="991"/>
      <c r="Q1307" s="991"/>
      <c r="R1307" s="991"/>
      <c r="S1307" s="991"/>
      <c r="T1307" s="991"/>
      <c r="X1307" s="1123"/>
      <c r="Y1307" s="1139" t="str">
        <f>IF(LEN('11.700'!X433)=0,"None",'11.700'!X433)</f>
        <v>None</v>
      </c>
      <c r="Z1307" s="1123"/>
      <c r="AL1307" s="1352"/>
      <c r="AM1307" s="1352"/>
      <c r="AN1307" s="1352"/>
      <c r="AO1307" s="1352"/>
      <c r="AP1307" s="1352"/>
      <c r="AQ1307" s="1352"/>
      <c r="AR1307" s="1352" t="str">
        <f>SUBSTITUTE(SUBSTITUTE(SUBSTITUTE("vnt"&amp;$B1307&amp;$C1307&amp;$D1307&amp;$E1307&amp;$F1307,".","_"),"(","_"),")","")</f>
        <v>vnt703_7_1_6_a</v>
      </c>
      <c r="AS1307" s="1352" t="str">
        <f>IF(LEN(X1307)=0,"",X1307)</f>
        <v/>
      </c>
    </row>
    <row r="1308" spans="1:45" s="905" customFormat="1" ht="16" hidden="1" x14ac:dyDescent="0.2">
      <c r="A1308" s="1507">
        <v>7</v>
      </c>
      <c r="B1308" s="1516" t="s">
        <v>4443</v>
      </c>
      <c r="C1308" s="1516" t="s">
        <v>264</v>
      </c>
      <c r="D1308" s="1516" t="s">
        <v>122</v>
      </c>
      <c r="E1308" s="1516"/>
      <c r="F1308" s="1511"/>
      <c r="G1308" s="1509" t="str">
        <f t="shared" ca="1" si="103"/>
        <v/>
      </c>
      <c r="H1308" s="1510" t="s">
        <v>3197</v>
      </c>
      <c r="I1308" s="589"/>
      <c r="J1308" s="589"/>
      <c r="K1308" s="589" t="s">
        <v>122</v>
      </c>
      <c r="L1308" s="917" t="s">
        <v>4218</v>
      </c>
      <c r="M1308" s="991"/>
      <c r="N1308" s="991"/>
      <c r="O1308" s="991"/>
      <c r="P1308" s="991"/>
      <c r="Q1308" s="991"/>
      <c r="R1308" s="991"/>
      <c r="S1308" s="991"/>
      <c r="T1308" s="991"/>
      <c r="X1308" s="1123"/>
      <c r="Y1308" s="1139" t="str">
        <f>IF(LEN('11.700'!X434)=0,"None",'11.700'!X434)</f>
        <v>None</v>
      </c>
      <c r="Z1308" s="1123"/>
      <c r="AL1308" s="1352"/>
      <c r="AM1308" s="1352"/>
      <c r="AN1308" s="1352"/>
      <c r="AO1308" s="1352"/>
      <c r="AP1308" s="1352"/>
      <c r="AQ1308" s="1352"/>
      <c r="AR1308" s="1352" t="str">
        <f>SUBSTITUTE(SUBSTITUTE(SUBSTITUTE("vnt"&amp;$B1308&amp;$C1308&amp;$D1308&amp;$E1308&amp;$F1308,".","_"),"(","_"),")","")</f>
        <v>vnt703_7_1_6_b</v>
      </c>
      <c r="AS1308" s="1352" t="str">
        <f>IF(LEN(X1308)=0,"",X1308)</f>
        <v/>
      </c>
    </row>
    <row r="1309" spans="1:45" s="905" customFormat="1" ht="15" hidden="1" customHeight="1" x14ac:dyDescent="0.2">
      <c r="A1309" s="1507">
        <v>7</v>
      </c>
      <c r="B1309" s="1516" t="s">
        <v>4443</v>
      </c>
      <c r="C1309" s="1516" t="s">
        <v>264</v>
      </c>
      <c r="D1309" s="1516" t="s">
        <v>123</v>
      </c>
      <c r="E1309" s="1516"/>
      <c r="F1309" s="1511"/>
      <c r="G1309" s="1509" t="str">
        <f t="shared" ca="1" si="103"/>
        <v/>
      </c>
      <c r="H1309" s="1510" t="s">
        <v>3197</v>
      </c>
      <c r="I1309" s="589"/>
      <c r="J1309" s="590"/>
      <c r="K1309" s="590" t="s">
        <v>123</v>
      </c>
      <c r="L1309" s="1634" t="s">
        <v>4219</v>
      </c>
      <c r="M1309" s="991"/>
      <c r="N1309" s="991"/>
      <c r="O1309" s="991"/>
      <c r="P1309" s="991"/>
      <c r="Q1309" s="991"/>
      <c r="R1309" s="991"/>
      <c r="S1309" s="991"/>
      <c r="T1309" s="991"/>
      <c r="X1309" s="1600"/>
      <c r="Y1309" s="1874" t="str">
        <f>IF(LEN('11.700'!X435)=0,"None",'11.700'!X435)</f>
        <v>None</v>
      </c>
      <c r="Z1309" s="1600"/>
      <c r="AL1309" s="1352"/>
      <c r="AM1309" s="1352"/>
      <c r="AN1309" s="1352"/>
      <c r="AO1309" s="1352"/>
      <c r="AP1309" s="1352"/>
      <c r="AQ1309" s="1352"/>
      <c r="AR1309" s="1352" t="str">
        <f>SUBSTITUTE(SUBSTITUTE(SUBSTITUTE("vnt"&amp;$B1309&amp;$C1309&amp;$D1309&amp;$E1309&amp;$F1309,".","_"),"(","_"),")","")</f>
        <v>vnt703_7_1_6_c</v>
      </c>
      <c r="AS1309" s="1352" t="str">
        <f>IF(LEN(X1309)=0,"",X1309)</f>
        <v/>
      </c>
    </row>
    <row r="1310" spans="1:45" s="905" customFormat="1" hidden="1" x14ac:dyDescent="0.2">
      <c r="A1310" s="1507">
        <v>7</v>
      </c>
      <c r="B1310" s="1516" t="s">
        <v>4443</v>
      </c>
      <c r="C1310" s="1516" t="s">
        <v>264</v>
      </c>
      <c r="D1310" s="1516" t="s">
        <v>123</v>
      </c>
      <c r="E1310" s="1516"/>
      <c r="F1310" s="1511"/>
      <c r="G1310" s="1509" t="str">
        <f t="shared" ca="1" si="103"/>
        <v/>
      </c>
      <c r="H1310" s="1510" t="s">
        <v>3197</v>
      </c>
      <c r="I1310" s="589"/>
      <c r="J1310" s="606"/>
      <c r="K1310" s="606"/>
      <c r="L1310" s="1639"/>
      <c r="M1310" s="991"/>
      <c r="N1310" s="991"/>
      <c r="O1310" s="991"/>
      <c r="P1310" s="991"/>
      <c r="Q1310" s="991"/>
      <c r="R1310" s="991"/>
      <c r="S1310" s="991"/>
      <c r="T1310" s="991"/>
      <c r="X1310" s="1600"/>
      <c r="Y1310" s="1874"/>
      <c r="Z1310" s="1600"/>
      <c r="AL1310" s="1352"/>
      <c r="AM1310" s="1352"/>
      <c r="AN1310" s="1352"/>
      <c r="AO1310" s="1352"/>
      <c r="AP1310" s="1352"/>
      <c r="AQ1310" s="1352"/>
      <c r="AR1310" s="1352"/>
      <c r="AS1310" s="1352"/>
    </row>
    <row r="1311" spans="1:45" s="905" customFormat="1" ht="15" hidden="1" customHeight="1" x14ac:dyDescent="0.2">
      <c r="A1311" s="1507">
        <v>7</v>
      </c>
      <c r="B1311" s="1516" t="s">
        <v>4443</v>
      </c>
      <c r="C1311" s="1516" t="s">
        <v>356</v>
      </c>
      <c r="D1311" s="1516"/>
      <c r="E1311" s="1516"/>
      <c r="F1311" s="1511"/>
      <c r="G1311" s="1509" t="str">
        <f t="shared" ca="1" si="103"/>
        <v/>
      </c>
      <c r="H1311" s="1510" t="s">
        <v>3197</v>
      </c>
      <c r="I1311" s="589"/>
      <c r="J1311" s="608" t="s">
        <v>356</v>
      </c>
      <c r="K1311" s="608"/>
      <c r="L1311" s="1633" t="s">
        <v>4220</v>
      </c>
      <c r="M1311" s="991"/>
      <c r="N1311" s="991"/>
      <c r="O1311" s="991"/>
      <c r="P1311" s="991"/>
      <c r="Q1311" s="991"/>
      <c r="R1311" s="991"/>
      <c r="S1311" s="991"/>
      <c r="T1311" s="991"/>
      <c r="X1311" s="1600"/>
      <c r="Y1311" s="1874" t="str">
        <f>IF(LEN('11.700'!X437)=0,"None",'11.700'!X437)</f>
        <v>None</v>
      </c>
      <c r="Z1311" s="1600"/>
      <c r="AL1311" s="1352"/>
      <c r="AM1311" s="1352"/>
      <c r="AN1311" s="1352"/>
      <c r="AO1311" s="1352"/>
      <c r="AP1311" s="1352"/>
      <c r="AQ1311" s="1352"/>
      <c r="AR1311" s="1352" t="str">
        <f>SUBSTITUTE(SUBSTITUTE(SUBSTITUTE("vnt"&amp;$B1311&amp;$C1311&amp;$D1311&amp;$E1311&amp;$F1311,".","_"),"(","_"),")","")</f>
        <v>vnt703_7_1_7</v>
      </c>
      <c r="AS1311" s="1352" t="str">
        <f>IF(LEN(X1311)=0,"",X1311)</f>
        <v/>
      </c>
    </row>
    <row r="1312" spans="1:45" s="905" customFormat="1" hidden="1" x14ac:dyDescent="0.2">
      <c r="A1312" s="1507">
        <v>7</v>
      </c>
      <c r="B1312" s="1516" t="s">
        <v>4443</v>
      </c>
      <c r="C1312" s="1516" t="s">
        <v>356</v>
      </c>
      <c r="D1312" s="1516"/>
      <c r="E1312" s="1516"/>
      <c r="F1312" s="1511"/>
      <c r="G1312" s="1509" t="str">
        <f t="shared" ca="1" si="103"/>
        <v/>
      </c>
      <c r="H1312" s="1510" t="s">
        <v>3197</v>
      </c>
      <c r="I1312" s="589"/>
      <c r="J1312" s="606"/>
      <c r="K1312" s="606"/>
      <c r="L1312" s="1639"/>
      <c r="M1312" s="991"/>
      <c r="N1312" s="991"/>
      <c r="O1312" s="991"/>
      <c r="P1312" s="991"/>
      <c r="Q1312" s="991"/>
      <c r="R1312" s="991"/>
      <c r="S1312" s="991"/>
      <c r="T1312" s="991"/>
      <c r="X1312" s="1600"/>
      <c r="Y1312" s="1874"/>
      <c r="Z1312" s="1600"/>
      <c r="AL1312" s="1352"/>
      <c r="AM1312" s="1352"/>
      <c r="AN1312" s="1352"/>
      <c r="AO1312" s="1352"/>
      <c r="AP1312" s="1352"/>
      <c r="AQ1312" s="1352"/>
      <c r="AR1312" s="1352"/>
      <c r="AS1312" s="1352"/>
    </row>
    <row r="1313" spans="1:45" s="905" customFormat="1" ht="16" hidden="1" x14ac:dyDescent="0.2">
      <c r="A1313" s="1507">
        <v>7</v>
      </c>
      <c r="B1313" s="1516" t="s">
        <v>4443</v>
      </c>
      <c r="C1313" s="1516" t="s">
        <v>389</v>
      </c>
      <c r="D1313" s="1516"/>
      <c r="E1313" s="1516"/>
      <c r="F1313" s="1511"/>
      <c r="G1313" s="1509" t="str">
        <f t="shared" ca="1" si="103"/>
        <v/>
      </c>
      <c r="H1313" s="1510" t="s">
        <v>3197</v>
      </c>
      <c r="I1313" s="589"/>
      <c r="J1313" s="607" t="s">
        <v>389</v>
      </c>
      <c r="K1313" s="607"/>
      <c r="L1313" s="1075" t="s">
        <v>4221</v>
      </c>
      <c r="M1313" s="991"/>
      <c r="N1313" s="991"/>
      <c r="O1313" s="991"/>
      <c r="P1313" s="991"/>
      <c r="Q1313" s="991"/>
      <c r="R1313" s="991"/>
      <c r="S1313" s="991"/>
      <c r="T1313" s="991"/>
      <c r="X1313" s="1123"/>
      <c r="Y1313" s="1139" t="str">
        <f>IF(LEN('11.700'!X439)=0,"None",'11.700'!X439)</f>
        <v>None</v>
      </c>
      <c r="Z1313" s="1123"/>
      <c r="AL1313" s="1352"/>
      <c r="AM1313" s="1352"/>
      <c r="AN1313" s="1352"/>
      <c r="AO1313" s="1352"/>
      <c r="AP1313" s="1352"/>
      <c r="AQ1313" s="1352"/>
      <c r="AR1313" s="1352" t="str">
        <f>SUBSTITUTE(SUBSTITUTE(SUBSTITUTE("vnt"&amp;$B1313&amp;$C1313&amp;$D1313&amp;$E1313&amp;$F1313,".","_"),"(","_"),")","")</f>
        <v>vnt703_7_1_8</v>
      </c>
      <c r="AS1313" s="1352" t="str">
        <f>IF(LEN(X1313)=0,"",X1313)</f>
        <v/>
      </c>
    </row>
    <row r="1314" spans="1:45" s="905" customFormat="1" hidden="1" x14ac:dyDescent="0.2">
      <c r="A1314" s="1507">
        <v>7</v>
      </c>
      <c r="B1314" s="1516" t="s">
        <v>4443</v>
      </c>
      <c r="C1314" s="1516" t="s">
        <v>391</v>
      </c>
      <c r="D1314" s="1516"/>
      <c r="E1314" s="1516"/>
      <c r="F1314" s="1511"/>
      <c r="G1314" s="1509" t="str">
        <f t="shared" ca="1" si="103"/>
        <v/>
      </c>
      <c r="H1314" s="1510" t="s">
        <v>3197</v>
      </c>
      <c r="I1314" s="589"/>
      <c r="J1314" s="589" t="s">
        <v>391</v>
      </c>
      <c r="K1314" s="589"/>
      <c r="L1314" s="917" t="s">
        <v>4222</v>
      </c>
      <c r="M1314" s="991"/>
      <c r="N1314" s="991"/>
      <c r="O1314" s="991"/>
      <c r="P1314" s="991"/>
      <c r="Q1314" s="991"/>
      <c r="R1314" s="991"/>
      <c r="S1314" s="991"/>
      <c r="T1314" s="991"/>
      <c r="X1314" s="1600"/>
      <c r="Y1314" s="1874" t="str">
        <f>IF(LEN('11.700'!X440)=0,"None",'11.700'!X440)</f>
        <v>None</v>
      </c>
      <c r="Z1314" s="1600"/>
      <c r="AL1314" s="1352"/>
      <c r="AM1314" s="1352"/>
      <c r="AN1314" s="1352"/>
      <c r="AO1314" s="1352"/>
      <c r="AP1314" s="1352"/>
      <c r="AQ1314" s="1352"/>
      <c r="AR1314" s="1352" t="str">
        <f>SUBSTITUTE(SUBSTITUTE(SUBSTITUTE("vnt"&amp;$B1314&amp;$C1314&amp;$D1314&amp;$E1314&amp;$F1314,".","_"),"(","_"),")","")</f>
        <v>vnt703_7_1_9</v>
      </c>
      <c r="AS1314" s="1352" t="str">
        <f>IF(LEN(X1314)=0,"",X1314)</f>
        <v/>
      </c>
    </row>
    <row r="1315" spans="1:45" s="905" customFormat="1" ht="15" hidden="1" customHeight="1" x14ac:dyDescent="0.2">
      <c r="A1315" s="1507">
        <v>7</v>
      </c>
      <c r="B1315" s="1516" t="s">
        <v>4443</v>
      </c>
      <c r="C1315" s="1516" t="s">
        <v>391</v>
      </c>
      <c r="D1315" s="1516"/>
      <c r="E1315" s="1516"/>
      <c r="F1315" s="1511"/>
      <c r="G1315" s="1509" t="str">
        <f t="shared" ca="1" si="103"/>
        <v/>
      </c>
      <c r="H1315" s="1510" t="s">
        <v>3197</v>
      </c>
      <c r="I1315" s="590"/>
      <c r="J1315" s="590"/>
      <c r="K1315" s="590"/>
      <c r="L1315" s="1730" t="s">
        <v>4847</v>
      </c>
      <c r="M1315" s="991"/>
      <c r="N1315" s="991"/>
      <c r="O1315" s="991"/>
      <c r="P1315" s="991"/>
      <c r="Q1315" s="991"/>
      <c r="R1315" s="991"/>
      <c r="S1315" s="991"/>
      <c r="T1315" s="991"/>
      <c r="X1315" s="1600"/>
      <c r="Y1315" s="1874"/>
      <c r="Z1315" s="1600"/>
      <c r="AL1315" s="1352"/>
      <c r="AM1315" s="1352"/>
      <c r="AN1315" s="1352"/>
      <c r="AO1315" s="1352"/>
      <c r="AP1315" s="1352"/>
      <c r="AQ1315" s="1352"/>
      <c r="AR1315" s="1352"/>
      <c r="AS1315" s="1352"/>
    </row>
    <row r="1316" spans="1:45" s="905" customFormat="1" hidden="1" x14ac:dyDescent="0.2">
      <c r="A1316" s="1507">
        <v>7</v>
      </c>
      <c r="B1316" s="1516" t="s">
        <v>4443</v>
      </c>
      <c r="C1316" s="1516" t="s">
        <v>391</v>
      </c>
      <c r="D1316" s="1516"/>
      <c r="E1316" s="1516"/>
      <c r="F1316" s="1511"/>
      <c r="G1316" s="1509" t="str">
        <f t="shared" ca="1" si="103"/>
        <v/>
      </c>
      <c r="H1316" s="1510" t="s">
        <v>3197</v>
      </c>
      <c r="I1316" s="590"/>
      <c r="J1316" s="590"/>
      <c r="K1316" s="590"/>
      <c r="L1316" s="1730"/>
      <c r="M1316" s="991"/>
      <c r="N1316" s="991"/>
      <c r="O1316" s="991"/>
      <c r="P1316" s="991"/>
      <c r="Q1316" s="991"/>
      <c r="R1316" s="991"/>
      <c r="S1316" s="991"/>
      <c r="T1316" s="991"/>
      <c r="X1316" s="1600"/>
      <c r="Y1316" s="1874"/>
      <c r="Z1316" s="1600"/>
      <c r="AL1316" s="1352"/>
      <c r="AM1316" s="1352"/>
      <c r="AN1316" s="1352"/>
      <c r="AO1316" s="1352"/>
      <c r="AP1316" s="1352"/>
      <c r="AQ1316" s="1352"/>
      <c r="AR1316" s="1352"/>
      <c r="AS1316" s="1352"/>
    </row>
    <row r="1317" spans="1:45" s="905" customFormat="1" hidden="1" x14ac:dyDescent="0.2">
      <c r="A1317" s="1507">
        <v>7</v>
      </c>
      <c r="B1317" s="1516" t="s">
        <v>4443</v>
      </c>
      <c r="C1317" s="1516" t="s">
        <v>391</v>
      </c>
      <c r="D1317" s="1516"/>
      <c r="E1317" s="1516"/>
      <c r="F1317" s="1511"/>
      <c r="G1317" s="1509" t="str">
        <f t="shared" ca="1" si="103"/>
        <v/>
      </c>
      <c r="H1317" s="1510" t="s">
        <v>3197</v>
      </c>
      <c r="I1317" s="590"/>
      <c r="J1317" s="590"/>
      <c r="K1317" s="590"/>
      <c r="L1317" s="1730"/>
      <c r="M1317" s="991"/>
      <c r="N1317" s="991"/>
      <c r="O1317" s="991"/>
      <c r="P1317" s="991"/>
      <c r="Q1317" s="991"/>
      <c r="R1317" s="991"/>
      <c r="S1317" s="991"/>
      <c r="T1317" s="991"/>
      <c r="X1317" s="1600"/>
      <c r="Y1317" s="1874"/>
      <c r="Z1317" s="1600"/>
      <c r="AL1317" s="1352"/>
      <c r="AM1317" s="1352"/>
      <c r="AN1317" s="1352"/>
      <c r="AO1317" s="1352"/>
      <c r="AP1317" s="1352"/>
      <c r="AQ1317" s="1352"/>
      <c r="AR1317" s="1352"/>
      <c r="AS1317" s="1352"/>
    </row>
    <row r="1318" spans="1:45" s="905" customFormat="1" hidden="1" x14ac:dyDescent="0.2">
      <c r="A1318" s="1507">
        <v>7</v>
      </c>
      <c r="B1318" s="1516" t="s">
        <v>4443</v>
      </c>
      <c r="C1318" s="1516" t="s">
        <v>391</v>
      </c>
      <c r="D1318" s="1516"/>
      <c r="E1318" s="1516"/>
      <c r="F1318" s="1511"/>
      <c r="G1318" s="1509" t="str">
        <f t="shared" ca="1" si="103"/>
        <v/>
      </c>
      <c r="H1318" s="1510" t="s">
        <v>3197</v>
      </c>
      <c r="I1318" s="590"/>
      <c r="J1318" s="590"/>
      <c r="K1318" s="590"/>
      <c r="L1318" s="1730"/>
      <c r="M1318" s="991"/>
      <c r="N1318" s="991"/>
      <c r="O1318" s="991"/>
      <c r="P1318" s="991"/>
      <c r="Q1318" s="991"/>
      <c r="R1318" s="991"/>
      <c r="S1318" s="991"/>
      <c r="T1318" s="991"/>
      <c r="X1318" s="1600"/>
      <c r="Y1318" s="1874"/>
      <c r="Z1318" s="1600"/>
      <c r="AL1318" s="1352"/>
      <c r="AM1318" s="1352"/>
      <c r="AN1318" s="1352"/>
      <c r="AO1318" s="1352"/>
      <c r="AP1318" s="1352"/>
      <c r="AQ1318" s="1352"/>
      <c r="AR1318" s="1352"/>
      <c r="AS1318" s="1352"/>
    </row>
    <row r="1319" spans="1:45" s="905" customFormat="1" hidden="1" x14ac:dyDescent="0.2">
      <c r="A1319" s="1507">
        <v>7</v>
      </c>
      <c r="B1319" s="1516" t="s">
        <v>4443</v>
      </c>
      <c r="C1319" s="1516" t="s">
        <v>391</v>
      </c>
      <c r="D1319" s="1516"/>
      <c r="E1319" s="1516"/>
      <c r="F1319" s="1511"/>
      <c r="G1319" s="1509" t="str">
        <f t="shared" ca="1" si="103"/>
        <v/>
      </c>
      <c r="H1319" s="1510" t="s">
        <v>3197</v>
      </c>
      <c r="I1319" s="590"/>
      <c r="J1319" s="590"/>
      <c r="K1319" s="590"/>
      <c r="L1319" s="1730"/>
      <c r="M1319" s="991"/>
      <c r="N1319" s="991"/>
      <c r="O1319" s="991"/>
      <c r="P1319" s="991"/>
      <c r="Q1319" s="991"/>
      <c r="R1319" s="991"/>
      <c r="S1319" s="991"/>
      <c r="T1319" s="991"/>
      <c r="X1319" s="1600"/>
      <c r="Y1319" s="1874"/>
      <c r="Z1319" s="1600"/>
      <c r="AL1319" s="1352"/>
      <c r="AM1319" s="1352"/>
      <c r="AN1319" s="1352"/>
      <c r="AO1319" s="1352"/>
      <c r="AP1319" s="1352"/>
      <c r="AQ1319" s="1352"/>
      <c r="AR1319" s="1352"/>
      <c r="AS1319" s="1352"/>
    </row>
    <row r="1320" spans="1:45" s="905" customFormat="1" hidden="1" x14ac:dyDescent="0.2">
      <c r="A1320" s="1507">
        <v>7</v>
      </c>
      <c r="B1320" s="1516" t="s">
        <v>4443</v>
      </c>
      <c r="C1320" s="1516" t="s">
        <v>391</v>
      </c>
      <c r="D1320" s="1516"/>
      <c r="E1320" s="1516"/>
      <c r="F1320" s="1511"/>
      <c r="G1320" s="1509" t="str">
        <f t="shared" ca="1" si="103"/>
        <v/>
      </c>
      <c r="H1320" s="1510" t="s">
        <v>3197</v>
      </c>
      <c r="I1320" s="606"/>
      <c r="J1320" s="606"/>
      <c r="K1320" s="606"/>
      <c r="L1320" s="1731"/>
      <c r="M1320" s="173"/>
      <c r="N1320" s="173"/>
      <c r="O1320" s="173"/>
      <c r="P1320" s="991"/>
      <c r="Q1320" s="991"/>
      <c r="R1320" s="991"/>
      <c r="S1320" s="991"/>
      <c r="T1320" s="991"/>
      <c r="X1320" s="1600"/>
      <c r="Y1320" s="1874"/>
      <c r="Z1320" s="1600"/>
      <c r="AL1320" s="1352"/>
      <c r="AM1320" s="1352"/>
      <c r="AN1320" s="1352"/>
      <c r="AO1320" s="1352"/>
      <c r="AP1320" s="1352"/>
      <c r="AQ1320" s="1352"/>
      <c r="AR1320" s="1352"/>
      <c r="AS1320" s="1352"/>
    </row>
    <row r="1321" spans="1:45" s="905" customFormat="1" ht="15" hidden="1" customHeight="1" x14ac:dyDescent="0.2">
      <c r="A1321" s="1507">
        <v>7</v>
      </c>
      <c r="B1321" s="1516" t="s">
        <v>4444</v>
      </c>
      <c r="C1321" s="1516"/>
      <c r="D1321" s="1516"/>
      <c r="E1321" s="1516"/>
      <c r="F1321" s="1511"/>
      <c r="G1321" s="1509" t="str">
        <f ca="1">IF(N1321&gt;0,"P","")</f>
        <v/>
      </c>
      <c r="H1321" s="1510" t="s">
        <v>3197</v>
      </c>
      <c r="I1321" s="608" t="s">
        <v>4223</v>
      </c>
      <c r="J1321" s="608"/>
      <c r="K1321" s="608"/>
      <c r="L1321" s="1686" t="s">
        <v>4224</v>
      </c>
      <c r="M1321" s="1636">
        <v>1</v>
      </c>
      <c r="N1321" s="1637">
        <f ca="1">'11.700'!O447</f>
        <v>0</v>
      </c>
      <c r="O1321" s="1637">
        <f ca="1">M1321*S1321*W1321</f>
        <v>0</v>
      </c>
      <c r="P1321" s="991" t="b">
        <v>1</v>
      </c>
      <c r="Q1321" s="991" t="b">
        <v>1</v>
      </c>
      <c r="R1321" s="991" t="b">
        <v>0</v>
      </c>
      <c r="S1321" s="991" t="b">
        <f ca="1">S885=2</f>
        <v>0</v>
      </c>
      <c r="T1321" s="991" t="b">
        <f ca="1">AND(NOT(S1321),W1321=TRUE)</f>
        <v>0</v>
      </c>
      <c r="W1321" s="27"/>
      <c r="X1321" s="1600"/>
      <c r="Y1321" s="1874" t="str">
        <f>IF(LEN('11.700'!X447)=0,"None",'11.700'!X447)</f>
        <v>None</v>
      </c>
      <c r="Z1321" s="1600"/>
      <c r="AC1321" s="1150" t="b">
        <f ca="1">OR(AD1321:AE1321)</f>
        <v>0</v>
      </c>
      <c r="AD1321" s="1150" t="b">
        <f ca="1">T1321</f>
        <v>0</v>
      </c>
      <c r="AE1321" s="1150"/>
      <c r="AL1321" s="1352" t="str">
        <f>SUBSTITUTE(SUBSTITUTE(SUBSTITUTE("vpa"&amp;$B1321&amp;$C1321&amp;$D1321&amp;$E1321&amp;$F1321,".","_"),"(","_"),")","")</f>
        <v>vpa703_7_2</v>
      </c>
      <c r="AM1321" s="1352">
        <f>M1321</f>
        <v>1</v>
      </c>
      <c r="AN1321" s="1352" t="str">
        <f>SUBSTITUTE(SUBSTITUTE(SUBSTITUTE("vpc"&amp;$B1321&amp;$C1321&amp;$D1321&amp;$E1321&amp;$F1321,".","_"),"(","_"),")","")</f>
        <v>vpc703_7_2</v>
      </c>
      <c r="AO1321" s="1352">
        <f ca="1">O1321</f>
        <v>0</v>
      </c>
      <c r="AP1321" s="1352" t="str">
        <f>SUBSTITUTE(SUBSTITUTE(SUBSTITUTE("vch"&amp;$B1321&amp;$C1321&amp;$D1321&amp;$E1321&amp;$F1321,".","_"),"(","_"),")","")</f>
        <v>vch703_7_2</v>
      </c>
      <c r="AQ1321" s="1352" t="str">
        <f>IF(LEN(W1321)=0,"",W1321)</f>
        <v/>
      </c>
      <c r="AR1321" s="1352" t="str">
        <f>SUBSTITUTE(SUBSTITUTE(SUBSTITUTE("vnt"&amp;$B1321&amp;$C1321&amp;$D1321&amp;$E1321&amp;$F1321,".","_"),"(","_"),")","")</f>
        <v>vnt703_7_2</v>
      </c>
      <c r="AS1321" s="1352" t="str">
        <f>IF(LEN(X1321)=0,"",X1321)</f>
        <v/>
      </c>
    </row>
    <row r="1322" spans="1:45" s="905" customFormat="1" hidden="1" x14ac:dyDescent="0.2">
      <c r="A1322" s="1507">
        <v>7</v>
      </c>
      <c r="B1322" s="1516" t="s">
        <v>4444</v>
      </c>
      <c r="C1322" s="1516"/>
      <c r="D1322" s="1516"/>
      <c r="E1322" s="1516"/>
      <c r="F1322" s="1511"/>
      <c r="G1322" s="1509" t="str">
        <f ca="1">G1321</f>
        <v/>
      </c>
      <c r="H1322" s="1510" t="s">
        <v>3197</v>
      </c>
      <c r="I1322" s="606"/>
      <c r="J1322" s="606"/>
      <c r="K1322" s="606"/>
      <c r="L1322" s="1688"/>
      <c r="M1322" s="1624"/>
      <c r="N1322" s="1620"/>
      <c r="O1322" s="1620"/>
      <c r="P1322" s="991"/>
      <c r="Q1322" s="991"/>
      <c r="R1322" s="991"/>
      <c r="S1322" s="991"/>
      <c r="T1322" s="991"/>
      <c r="X1322" s="1600"/>
      <c r="Y1322" s="1874"/>
      <c r="Z1322" s="1600"/>
      <c r="AC1322" s="1150"/>
      <c r="AD1322" s="1150"/>
      <c r="AE1322" s="1150"/>
      <c r="AL1322" s="1352"/>
      <c r="AM1322" s="1352"/>
      <c r="AN1322" s="1352"/>
      <c r="AO1322" s="1352"/>
      <c r="AP1322" s="1352"/>
      <c r="AQ1322" s="1352"/>
      <c r="AR1322" s="1352"/>
      <c r="AS1322" s="1352"/>
    </row>
    <row r="1323" spans="1:45" s="905" customFormat="1" ht="15" hidden="1" customHeight="1" x14ac:dyDescent="0.2">
      <c r="A1323" s="1507">
        <v>7</v>
      </c>
      <c r="B1323" s="1516" t="s">
        <v>4445</v>
      </c>
      <c r="C1323" s="1516"/>
      <c r="D1323" s="1516"/>
      <c r="E1323" s="1516"/>
      <c r="F1323" s="1511"/>
      <c r="G1323" s="1509" t="str">
        <f ca="1">IF(N1323&gt;0,"P","")</f>
        <v/>
      </c>
      <c r="H1323" s="1510" t="s">
        <v>3197</v>
      </c>
      <c r="I1323" s="589" t="s">
        <v>4225</v>
      </c>
      <c r="J1323" s="589"/>
      <c r="K1323" s="589"/>
      <c r="L1323" s="1687" t="s">
        <v>4226</v>
      </c>
      <c r="M1323" s="913"/>
      <c r="N1323" s="1637">
        <f ca="1">'11.700'!O449</f>
        <v>0</v>
      </c>
      <c r="O1323" s="1619">
        <f ca="1">INDEX({0,3,4},MATCH(S1325,{0,3,4},1))*S1329</f>
        <v>0</v>
      </c>
      <c r="P1323" s="991"/>
      <c r="Q1323" s="991"/>
      <c r="R1323" s="991"/>
      <c r="S1323" s="991"/>
      <c r="T1323" s="991"/>
      <c r="Z1323" s="1122"/>
      <c r="AC1323" s="1150"/>
      <c r="AD1323" s="1150"/>
      <c r="AE1323" s="1150"/>
      <c r="AL1323" s="1352"/>
      <c r="AM1323" s="1352"/>
      <c r="AN1323" s="1352" t="str">
        <f>SUBSTITUTE(SUBSTITUTE(SUBSTITUTE("vpc"&amp;$B1323&amp;$C1323&amp;$D1323&amp;$E1323&amp;$F1323,".","_"),"(","_"),")","")</f>
        <v>vpc703_7_3</v>
      </c>
      <c r="AO1323" s="1352">
        <f ca="1">O1323</f>
        <v>0</v>
      </c>
      <c r="AP1323" s="1352"/>
      <c r="AQ1323" s="1352"/>
      <c r="AR1323" s="1352"/>
      <c r="AS1323" s="1352"/>
    </row>
    <row r="1324" spans="1:45" s="905" customFormat="1" hidden="1" x14ac:dyDescent="0.2">
      <c r="A1324" s="1507">
        <v>7</v>
      </c>
      <c r="B1324" s="1516" t="s">
        <v>4445</v>
      </c>
      <c r="C1324" s="1516"/>
      <c r="D1324" s="1516"/>
      <c r="E1324" s="1516"/>
      <c r="F1324" s="1511"/>
      <c r="G1324" s="1509" t="str">
        <f t="shared" ref="G1324:G1349" ca="1" si="104">G1323</f>
        <v/>
      </c>
      <c r="H1324" s="1510" t="s">
        <v>3197</v>
      </c>
      <c r="I1324" s="589"/>
      <c r="J1324" s="589"/>
      <c r="K1324" s="589"/>
      <c r="L1324" s="1687"/>
      <c r="M1324" s="913"/>
      <c r="N1324" s="1619"/>
      <c r="O1324" s="1619"/>
      <c r="P1324" s="991"/>
      <c r="Q1324" s="991"/>
      <c r="R1324" s="991"/>
      <c r="S1324" s="991"/>
      <c r="T1324" s="991"/>
      <c r="Z1324" s="1122"/>
      <c r="AC1324" s="1150"/>
      <c r="AD1324" s="1150"/>
      <c r="AE1324" s="1150"/>
      <c r="AL1324" s="1352"/>
      <c r="AM1324" s="1352"/>
      <c r="AN1324" s="1352"/>
      <c r="AO1324" s="1352"/>
      <c r="AP1324" s="1352"/>
      <c r="AQ1324" s="1352"/>
      <c r="AR1324" s="1352"/>
      <c r="AS1324" s="1352"/>
    </row>
    <row r="1325" spans="1:45" s="905" customFormat="1" hidden="1" x14ac:dyDescent="0.2">
      <c r="A1325" s="1507">
        <v>7</v>
      </c>
      <c r="B1325" s="1516" t="s">
        <v>4445</v>
      </c>
      <c r="C1325" s="1516" t="s">
        <v>3921</v>
      </c>
      <c r="D1325" s="1516"/>
      <c r="E1325" s="1516"/>
      <c r="F1325" s="1511"/>
      <c r="G1325" s="1509" t="str">
        <f t="shared" ca="1" si="104"/>
        <v/>
      </c>
      <c r="H1325" s="1510" t="s">
        <v>3197</v>
      </c>
      <c r="I1325" s="589"/>
      <c r="J1325" s="589"/>
      <c r="K1325" s="589"/>
      <c r="L1325" s="960" t="s">
        <v>4227</v>
      </c>
      <c r="M1325" s="913">
        <v>3</v>
      </c>
      <c r="N1325" s="129"/>
      <c r="O1325" s="908"/>
      <c r="P1325" s="991"/>
      <c r="Q1325" s="991"/>
      <c r="R1325" s="991" t="s">
        <v>4481</v>
      </c>
      <c r="S1325" s="198">
        <f ca="1">(1*MIN(1,COUNTIF(W1329:W1333,TRUE))+1*S1335*W1335+1*W1337+1*S1339*W1339+1*MIN(1,COUNTIF(W1344:W1346,TRUE))+1*W1348)</f>
        <v>0</v>
      </c>
      <c r="T1325" s="991"/>
      <c r="Z1325" s="1122"/>
      <c r="AC1325" s="1150"/>
      <c r="AD1325" s="1150"/>
      <c r="AE1325" s="1150"/>
      <c r="AL1325" s="1352" t="str">
        <f>SUBSTITUTE(SUBSTITUTE(SUBSTITUTE("vpa"&amp;$B1325&amp;$C1325&amp;$D1325&amp;$E1325&amp;$F1325,".","_"),"(","_"),")","")</f>
        <v>vpa703_7_3_1</v>
      </c>
      <c r="AM1325" s="1352">
        <f>M1325</f>
        <v>3</v>
      </c>
      <c r="AN1325" s="1352"/>
      <c r="AO1325" s="1352"/>
      <c r="AP1325" s="1352"/>
      <c r="AQ1325" s="1352"/>
      <c r="AR1325" s="1352"/>
      <c r="AS1325" s="1352"/>
    </row>
    <row r="1326" spans="1:45" s="905" customFormat="1" hidden="1" x14ac:dyDescent="0.2">
      <c r="A1326" s="1507">
        <v>7</v>
      </c>
      <c r="B1326" s="1516" t="s">
        <v>4445</v>
      </c>
      <c r="C1326" s="1516" t="s">
        <v>3922</v>
      </c>
      <c r="D1326" s="1516"/>
      <c r="E1326" s="1516"/>
      <c r="F1326" s="1511"/>
      <c r="G1326" s="1509" t="str">
        <f t="shared" ca="1" si="104"/>
        <v/>
      </c>
      <c r="H1326" s="1510" t="s">
        <v>3197</v>
      </c>
      <c r="I1326" s="589"/>
      <c r="J1326" s="589"/>
      <c r="K1326" s="589"/>
      <c r="L1326" s="960" t="s">
        <v>4228</v>
      </c>
      <c r="M1326" s="913">
        <v>1</v>
      </c>
      <c r="N1326" s="129"/>
      <c r="O1326" s="908"/>
      <c r="P1326" s="991"/>
      <c r="Q1326" s="991"/>
      <c r="R1326" s="991"/>
      <c r="S1326" s="991"/>
      <c r="T1326" s="991"/>
      <c r="Z1326" s="1122"/>
      <c r="AC1326" s="1150"/>
      <c r="AD1326" s="1150"/>
      <c r="AE1326" s="1150"/>
      <c r="AL1326" s="1352" t="str">
        <f>SUBSTITUTE(SUBSTITUTE(SUBSTITUTE("vpa"&amp;$B1326&amp;$C1326&amp;$D1326&amp;$E1326&amp;$F1326,".","_"),"(","_"),")","")</f>
        <v>vpa703_7_3_2</v>
      </c>
      <c r="AM1326" s="1352">
        <f>M1326</f>
        <v>1</v>
      </c>
      <c r="AN1326" s="1352"/>
      <c r="AO1326" s="1352"/>
      <c r="AP1326" s="1352"/>
      <c r="AQ1326" s="1352"/>
      <c r="AR1326" s="1352"/>
      <c r="AS1326" s="1352"/>
    </row>
    <row r="1327" spans="1:45" s="905" customFormat="1" ht="15" hidden="1" customHeight="1" x14ac:dyDescent="0.2">
      <c r="A1327" s="1507">
        <v>7</v>
      </c>
      <c r="B1327" s="1516" t="s">
        <v>4445</v>
      </c>
      <c r="C1327" s="1516" t="s">
        <v>254</v>
      </c>
      <c r="D1327" s="1516"/>
      <c r="E1327" s="1516"/>
      <c r="F1327" s="1511"/>
      <c r="G1327" s="1509" t="str">
        <f t="shared" ca="1" si="104"/>
        <v/>
      </c>
      <c r="H1327" s="1510" t="s">
        <v>3197</v>
      </c>
      <c r="I1327" s="589"/>
      <c r="J1327" s="589" t="s">
        <v>254</v>
      </c>
      <c r="K1327" s="589"/>
      <c r="L1327" s="1634" t="s">
        <v>4229</v>
      </c>
      <c r="M1327" s="913"/>
      <c r="N1327" s="129"/>
      <c r="O1327" s="908"/>
      <c r="P1327" s="991"/>
      <c r="Q1327" s="991"/>
      <c r="R1327" s="991"/>
      <c r="S1327" s="991"/>
      <c r="T1327" s="991"/>
      <c r="Z1327" s="1122"/>
      <c r="AC1327" s="1150"/>
      <c r="AD1327" s="1150"/>
      <c r="AE1327" s="1150"/>
      <c r="AL1327" s="1352"/>
      <c r="AM1327" s="1352"/>
      <c r="AN1327" s="1352"/>
      <c r="AO1327" s="1352"/>
      <c r="AP1327" s="1352"/>
      <c r="AQ1327" s="1352"/>
      <c r="AR1327" s="1352"/>
      <c r="AS1327" s="1352"/>
    </row>
    <row r="1328" spans="1:45" s="905" customFormat="1" hidden="1" x14ac:dyDescent="0.2">
      <c r="A1328" s="1507">
        <v>7</v>
      </c>
      <c r="B1328" s="1516" t="s">
        <v>4445</v>
      </c>
      <c r="C1328" s="1516" t="s">
        <v>254</v>
      </c>
      <c r="D1328" s="1516"/>
      <c r="E1328" s="1516"/>
      <c r="F1328" s="1511"/>
      <c r="G1328" s="1509" t="str">
        <f t="shared" ca="1" si="104"/>
        <v/>
      </c>
      <c r="H1328" s="1510" t="s">
        <v>3197</v>
      </c>
      <c r="I1328" s="589"/>
      <c r="J1328" s="589"/>
      <c r="K1328" s="589"/>
      <c r="L1328" s="1634"/>
      <c r="M1328" s="913"/>
      <c r="N1328" s="129"/>
      <c r="O1328" s="908"/>
      <c r="P1328" s="991"/>
      <c r="Q1328" s="991"/>
      <c r="R1328" s="991"/>
      <c r="S1328" s="991"/>
      <c r="T1328" s="991"/>
      <c r="Z1328" s="1122"/>
      <c r="AC1328" s="1150"/>
      <c r="AD1328" s="1150"/>
      <c r="AE1328" s="1150"/>
      <c r="AL1328" s="1352"/>
      <c r="AM1328" s="1352"/>
      <c r="AN1328" s="1352"/>
      <c r="AO1328" s="1352"/>
      <c r="AP1328" s="1352"/>
      <c r="AQ1328" s="1352"/>
      <c r="AR1328" s="1352"/>
      <c r="AS1328" s="1352"/>
    </row>
    <row r="1329" spans="1:45" s="905" customFormat="1" ht="15" hidden="1" customHeight="1" x14ac:dyDescent="0.2">
      <c r="A1329" s="1507">
        <v>7</v>
      </c>
      <c r="B1329" s="1516" t="s">
        <v>4445</v>
      </c>
      <c r="C1329" s="1516" t="s">
        <v>254</v>
      </c>
      <c r="D1329" s="1516" t="s">
        <v>121</v>
      </c>
      <c r="E1329" s="1516"/>
      <c r="F1329" s="1511"/>
      <c r="G1329" s="1509" t="str">
        <f t="shared" ca="1" si="104"/>
        <v/>
      </c>
      <c r="H1329" s="1510" t="s">
        <v>3197</v>
      </c>
      <c r="I1329" s="589"/>
      <c r="J1329" s="589"/>
      <c r="K1329" s="590" t="s">
        <v>121</v>
      </c>
      <c r="L1329" s="1634" t="s">
        <v>4230</v>
      </c>
      <c r="M1329" s="913"/>
      <c r="N1329" s="129"/>
      <c r="O1329" s="908"/>
      <c r="P1329" s="991" t="b">
        <v>1</v>
      </c>
      <c r="Q1329" s="991" t="b">
        <v>1</v>
      </c>
      <c r="R1329" s="991" t="b">
        <v>0</v>
      </c>
      <c r="S1329" s="991" t="b">
        <f ca="1">S885=2</f>
        <v>0</v>
      </c>
      <c r="T1329" s="991" t="b">
        <f ca="1">AND(NOT(S1329),W1329=TRUE)</f>
        <v>0</v>
      </c>
      <c r="W1329" s="27"/>
      <c r="X1329" s="1600"/>
      <c r="Y1329" s="1874" t="str">
        <f>IF(LEN('11.700'!X455)=0,"None",'11.700'!X455)</f>
        <v>None</v>
      </c>
      <c r="Z1329" s="1600"/>
      <c r="AC1329" s="1150" t="b">
        <f ca="1">OR(AD1329:AE1329)</f>
        <v>0</v>
      </c>
      <c r="AD1329" s="1150" t="b">
        <f ca="1">T1329</f>
        <v>0</v>
      </c>
      <c r="AE1329" s="1150"/>
      <c r="AL1329" s="1352"/>
      <c r="AM1329" s="1352"/>
      <c r="AN1329" s="1352"/>
      <c r="AO1329" s="1352"/>
      <c r="AP1329" s="1352" t="str">
        <f>SUBSTITUTE(SUBSTITUTE(SUBSTITUTE("vch"&amp;$B1329&amp;$C1329&amp;$D1329&amp;$E1329&amp;$F1329,".","_"),"(","_"),")","")</f>
        <v>vch703_7_3_1_a</v>
      </c>
      <c r="AQ1329" s="1352" t="str">
        <f>IF(LEN(W1329)=0,"",W1329)</f>
        <v/>
      </c>
      <c r="AR1329" s="1352" t="str">
        <f>SUBSTITUTE(SUBSTITUTE(SUBSTITUTE("vnt"&amp;$B1329&amp;$C1329&amp;$D1329&amp;$E1329&amp;$F1329,".","_"),"(","_"),")","")</f>
        <v>vnt703_7_3_1_a</v>
      </c>
      <c r="AS1329" s="1352" t="str">
        <f>IF(LEN(X1329)=0,"",X1329)</f>
        <v/>
      </c>
    </row>
    <row r="1330" spans="1:45" s="905" customFormat="1" hidden="1" x14ac:dyDescent="0.2">
      <c r="A1330" s="1507">
        <v>7</v>
      </c>
      <c r="B1330" s="1516" t="s">
        <v>4445</v>
      </c>
      <c r="C1330" s="1516" t="s">
        <v>254</v>
      </c>
      <c r="D1330" s="1516" t="s">
        <v>121</v>
      </c>
      <c r="E1330" s="1516"/>
      <c r="F1330" s="1511"/>
      <c r="G1330" s="1509" t="str">
        <f t="shared" ca="1" si="104"/>
        <v/>
      </c>
      <c r="H1330" s="1510" t="s">
        <v>3197</v>
      </c>
      <c r="I1330" s="589"/>
      <c r="J1330" s="589"/>
      <c r="K1330" s="606"/>
      <c r="L1330" s="1639"/>
      <c r="M1330" s="913"/>
      <c r="N1330" s="129"/>
      <c r="O1330" s="908"/>
      <c r="P1330" s="991"/>
      <c r="Q1330" s="991"/>
      <c r="R1330" s="991"/>
      <c r="S1330" s="991"/>
      <c r="T1330" s="991"/>
      <c r="X1330" s="1600"/>
      <c r="Y1330" s="1874"/>
      <c r="Z1330" s="1600"/>
      <c r="AC1330" s="1150"/>
      <c r="AD1330" s="1150"/>
      <c r="AE1330" s="1150"/>
      <c r="AL1330" s="1352"/>
      <c r="AM1330" s="1352"/>
      <c r="AN1330" s="1352"/>
      <c r="AO1330" s="1352"/>
      <c r="AP1330" s="1352"/>
      <c r="AQ1330" s="1352"/>
      <c r="AR1330" s="1352"/>
      <c r="AS1330" s="1352"/>
    </row>
    <row r="1331" spans="1:45" s="905" customFormat="1" ht="16" hidden="1" x14ac:dyDescent="0.2">
      <c r="A1331" s="1507">
        <v>7</v>
      </c>
      <c r="B1331" s="1516" t="s">
        <v>4445</v>
      </c>
      <c r="C1331" s="1516" t="s">
        <v>254</v>
      </c>
      <c r="D1331" s="1516" t="s">
        <v>122</v>
      </c>
      <c r="E1331" s="1516"/>
      <c r="F1331" s="1511"/>
      <c r="G1331" s="1509" t="str">
        <f t="shared" ca="1" si="104"/>
        <v/>
      </c>
      <c r="H1331" s="1510" t="s">
        <v>3197</v>
      </c>
      <c r="I1331" s="589"/>
      <c r="J1331" s="589"/>
      <c r="K1331" s="606" t="s">
        <v>122</v>
      </c>
      <c r="L1331" s="1412" t="s">
        <v>4231</v>
      </c>
      <c r="M1331" s="913"/>
      <c r="N1331" s="129"/>
      <c r="O1331" s="908"/>
      <c r="P1331" s="991" t="b">
        <v>1</v>
      </c>
      <c r="Q1331" s="991" t="b">
        <v>1</v>
      </c>
      <c r="R1331" s="991" t="b">
        <v>0</v>
      </c>
      <c r="S1331" s="991" t="b">
        <f ca="1">S885=2</f>
        <v>0</v>
      </c>
      <c r="T1331" s="991" t="b">
        <f ca="1">AND(NOT(S1331),W1331=TRUE)</f>
        <v>0</v>
      </c>
      <c r="W1331" s="27"/>
      <c r="X1331" s="1123"/>
      <c r="Y1331" s="1139" t="str">
        <f>IF(LEN('11.700'!X457)=0,"None",'11.700'!X457)</f>
        <v>None</v>
      </c>
      <c r="Z1331" s="1123"/>
      <c r="AC1331" s="1150" t="b">
        <f ca="1">OR(AD1331:AE1331)</f>
        <v>0</v>
      </c>
      <c r="AD1331" s="1150" t="b">
        <f ca="1">T1331</f>
        <v>0</v>
      </c>
      <c r="AE1331" s="1150"/>
      <c r="AL1331" s="1352"/>
      <c r="AM1331" s="1352"/>
      <c r="AN1331" s="1352"/>
      <c r="AO1331" s="1352"/>
      <c r="AP1331" s="1352" t="str">
        <f>SUBSTITUTE(SUBSTITUTE(SUBSTITUTE("vch"&amp;$B1331&amp;$C1331&amp;$D1331&amp;$E1331&amp;$F1331,".","_"),"(","_"),")","")</f>
        <v>vch703_7_3_1_b</v>
      </c>
      <c r="AQ1331" s="1352" t="str">
        <f>IF(LEN(W1331)=0,"",W1331)</f>
        <v/>
      </c>
      <c r="AR1331" s="1352" t="str">
        <f>SUBSTITUTE(SUBSTITUTE(SUBSTITUTE("vnt"&amp;$B1331&amp;$C1331&amp;$D1331&amp;$E1331&amp;$F1331,".","_"),"(","_"),")","")</f>
        <v>vnt703_7_3_1_b</v>
      </c>
      <c r="AS1331" s="1352" t="str">
        <f>IF(LEN(X1331)=0,"",X1331)</f>
        <v/>
      </c>
    </row>
    <row r="1332" spans="1:45" s="905" customFormat="1" ht="16" hidden="1" x14ac:dyDescent="0.2">
      <c r="A1332" s="1507">
        <v>7</v>
      </c>
      <c r="B1332" s="1516" t="s">
        <v>4445</v>
      </c>
      <c r="C1332" s="1516" t="s">
        <v>254</v>
      </c>
      <c r="D1332" s="1516" t="s">
        <v>123</v>
      </c>
      <c r="E1332" s="1516"/>
      <c r="F1332" s="1511"/>
      <c r="G1332" s="1509" t="str">
        <f t="shared" ca="1" si="104"/>
        <v/>
      </c>
      <c r="H1332" s="1510" t="s">
        <v>3197</v>
      </c>
      <c r="I1332" s="589"/>
      <c r="J1332" s="589"/>
      <c r="K1332" s="606" t="s">
        <v>123</v>
      </c>
      <c r="L1332" s="1412" t="s">
        <v>4232</v>
      </c>
      <c r="M1332" s="913"/>
      <c r="N1332" s="129"/>
      <c r="O1332" s="908"/>
      <c r="P1332" s="991" t="b">
        <v>1</v>
      </c>
      <c r="Q1332" s="991" t="b">
        <v>1</v>
      </c>
      <c r="R1332" s="991" t="b">
        <v>0</v>
      </c>
      <c r="S1332" s="991" t="b">
        <f ca="1">S885=2</f>
        <v>0</v>
      </c>
      <c r="T1332" s="991" t="b">
        <f ca="1">AND(NOT(S1332),W1332=TRUE)</f>
        <v>0</v>
      </c>
      <c r="W1332" s="27"/>
      <c r="X1332" s="1123"/>
      <c r="Y1332" s="1139" t="str">
        <f>IF(LEN('11.700'!X458)=0,"None",'11.700'!X458)</f>
        <v>None</v>
      </c>
      <c r="Z1332" s="1123"/>
      <c r="AC1332" s="1150" t="b">
        <f ca="1">OR(AD1332:AE1332)</f>
        <v>0</v>
      </c>
      <c r="AD1332" s="1150" t="b">
        <f ca="1">T1332</f>
        <v>0</v>
      </c>
      <c r="AE1332" s="1150"/>
      <c r="AL1332" s="1352"/>
      <c r="AM1332" s="1352"/>
      <c r="AN1332" s="1352"/>
      <c r="AO1332" s="1352"/>
      <c r="AP1332" s="1352" t="str">
        <f>SUBSTITUTE(SUBSTITUTE(SUBSTITUTE("vch"&amp;$B1332&amp;$C1332&amp;$D1332&amp;$E1332&amp;$F1332,".","_"),"(","_"),")","")</f>
        <v>vch703_7_3_1_c</v>
      </c>
      <c r="AQ1332" s="1352" t="str">
        <f>IF(LEN(W1332)=0,"",W1332)</f>
        <v/>
      </c>
      <c r="AR1332" s="1352" t="str">
        <f>SUBSTITUTE(SUBSTITUTE(SUBSTITUTE("vnt"&amp;$B1332&amp;$C1332&amp;$D1332&amp;$E1332&amp;$F1332,".","_"),"(","_"),")","")</f>
        <v>vnt703_7_3_1_c</v>
      </c>
      <c r="AS1332" s="1352" t="str">
        <f>IF(LEN(X1332)=0,"",X1332)</f>
        <v/>
      </c>
    </row>
    <row r="1333" spans="1:45" s="905" customFormat="1" ht="15" hidden="1" customHeight="1" x14ac:dyDescent="0.2">
      <c r="A1333" s="1507">
        <v>7</v>
      </c>
      <c r="B1333" s="1516" t="s">
        <v>4445</v>
      </c>
      <c r="C1333" s="1516" t="s">
        <v>254</v>
      </c>
      <c r="D1333" s="1516" t="s">
        <v>366</v>
      </c>
      <c r="E1333" s="1516"/>
      <c r="F1333" s="1511"/>
      <c r="G1333" s="1509" t="str">
        <f t="shared" ca="1" si="104"/>
        <v/>
      </c>
      <c r="H1333" s="1510" t="s">
        <v>3197</v>
      </c>
      <c r="I1333" s="589"/>
      <c r="J1333" s="590"/>
      <c r="K1333" s="590" t="s">
        <v>366</v>
      </c>
      <c r="L1333" s="1634" t="s">
        <v>4233</v>
      </c>
      <c r="M1333" s="913"/>
      <c r="N1333" s="129"/>
      <c r="O1333" s="908"/>
      <c r="P1333" s="991" t="b">
        <v>1</v>
      </c>
      <c r="Q1333" s="991" t="b">
        <v>1</v>
      </c>
      <c r="R1333" s="991" t="b">
        <v>0</v>
      </c>
      <c r="S1333" s="991" t="b">
        <f ca="1">S885=2</f>
        <v>0</v>
      </c>
      <c r="T1333" s="991" t="b">
        <f ca="1">AND(NOT(S1333),W1333=TRUE)</f>
        <v>0</v>
      </c>
      <c r="W1333" s="27"/>
      <c r="X1333" s="1600"/>
      <c r="Y1333" s="1874" t="str">
        <f>IF(LEN('11.700'!X459)=0,"None",'11.700'!X459)</f>
        <v>None</v>
      </c>
      <c r="Z1333" s="1600"/>
      <c r="AC1333" s="1150" t="b">
        <f ca="1">OR(AD1333:AE1333)</f>
        <v>0</v>
      </c>
      <c r="AD1333" s="1150" t="b">
        <f ca="1">T1333</f>
        <v>0</v>
      </c>
      <c r="AE1333" s="1150"/>
      <c r="AL1333" s="1352"/>
      <c r="AM1333" s="1352"/>
      <c r="AN1333" s="1352"/>
      <c r="AO1333" s="1352"/>
      <c r="AP1333" s="1352" t="str">
        <f>SUBSTITUTE(SUBSTITUTE(SUBSTITUTE("vch"&amp;$B1333&amp;$C1333&amp;$D1333&amp;$E1333&amp;$F1333,".","_"),"(","_"),")","")</f>
        <v>vch703_7_3_1_d</v>
      </c>
      <c r="AQ1333" s="1352" t="str">
        <f>IF(LEN(W1333)=0,"",W1333)</f>
        <v/>
      </c>
      <c r="AR1333" s="1352" t="str">
        <f>SUBSTITUTE(SUBSTITUTE(SUBSTITUTE("vnt"&amp;$B1333&amp;$C1333&amp;$D1333&amp;$E1333&amp;$F1333,".","_"),"(","_"),")","")</f>
        <v>vnt703_7_3_1_d</v>
      </c>
      <c r="AS1333" s="1352" t="str">
        <f>IF(LEN(X1333)=0,"",X1333)</f>
        <v/>
      </c>
    </row>
    <row r="1334" spans="1:45" s="905" customFormat="1" hidden="1" x14ac:dyDescent="0.2">
      <c r="A1334" s="1507">
        <v>7</v>
      </c>
      <c r="B1334" s="1516" t="s">
        <v>4445</v>
      </c>
      <c r="C1334" s="1516" t="s">
        <v>254</v>
      </c>
      <c r="D1334" s="1516" t="s">
        <v>366</v>
      </c>
      <c r="E1334" s="1516"/>
      <c r="F1334" s="1511"/>
      <c r="G1334" s="1509" t="str">
        <f t="shared" ca="1" si="104"/>
        <v/>
      </c>
      <c r="H1334" s="1510" t="s">
        <v>3197</v>
      </c>
      <c r="I1334" s="589"/>
      <c r="J1334" s="606"/>
      <c r="K1334" s="606"/>
      <c r="L1334" s="1639"/>
      <c r="M1334" s="991"/>
      <c r="N1334" s="991"/>
      <c r="O1334" s="991"/>
      <c r="P1334" s="991"/>
      <c r="Q1334" s="991"/>
      <c r="R1334" s="991"/>
      <c r="S1334" s="991"/>
      <c r="T1334" s="991"/>
      <c r="X1334" s="1600"/>
      <c r="Y1334" s="1874"/>
      <c r="Z1334" s="1600"/>
      <c r="AL1334" s="1352"/>
      <c r="AM1334" s="1352"/>
      <c r="AN1334" s="1352"/>
      <c r="AO1334" s="1352"/>
      <c r="AP1334" s="1352"/>
      <c r="AQ1334" s="1352"/>
      <c r="AR1334" s="1352"/>
      <c r="AS1334" s="1352"/>
    </row>
    <row r="1335" spans="1:45" s="905" customFormat="1" ht="15" hidden="1" customHeight="1" x14ac:dyDescent="0.2">
      <c r="A1335" s="1507">
        <v>7</v>
      </c>
      <c r="B1335" s="1516" t="s">
        <v>4445</v>
      </c>
      <c r="C1335" s="1516" t="s">
        <v>255</v>
      </c>
      <c r="D1335" s="1516"/>
      <c r="E1335" s="1516"/>
      <c r="F1335" s="1511"/>
      <c r="G1335" s="1509" t="str">
        <f t="shared" ca="1" si="104"/>
        <v/>
      </c>
      <c r="H1335" s="1510" t="s">
        <v>3197</v>
      </c>
      <c r="I1335" s="589"/>
      <c r="J1335" s="608" t="s">
        <v>255</v>
      </c>
      <c r="K1335" s="608"/>
      <c r="L1335" s="1633" t="s">
        <v>4234</v>
      </c>
      <c r="M1335" s="913"/>
      <c r="N1335" s="129"/>
      <c r="O1335" s="908"/>
      <c r="P1335" s="991" t="b">
        <v>1</v>
      </c>
      <c r="Q1335" s="991" t="b">
        <v>1</v>
      </c>
      <c r="R1335" s="991" t="b">
        <v>0</v>
      </c>
      <c r="S1335" s="991" t="b">
        <f ca="1">AND(S885=2,NOT(W1293=TRUE))</f>
        <v>0</v>
      </c>
      <c r="T1335" s="991" t="b">
        <f ca="1">AND(NOT(S1335),W1335=TRUE)</f>
        <v>0</v>
      </c>
      <c r="W1335" s="27"/>
      <c r="X1335" s="1600"/>
      <c r="Y1335" s="1874" t="str">
        <f>IF(LEN('11.700'!X461)=0,"None",'11.700'!X461)</f>
        <v>None</v>
      </c>
      <c r="Z1335" s="1600"/>
      <c r="AC1335" s="1150" t="b">
        <f ca="1">OR(AD1335:AE1335)</f>
        <v>0</v>
      </c>
      <c r="AD1335" s="1150" t="b">
        <f ca="1">T1335</f>
        <v>0</v>
      </c>
      <c r="AE1335" s="1150"/>
      <c r="AL1335" s="1352"/>
      <c r="AM1335" s="1352"/>
      <c r="AN1335" s="1352"/>
      <c r="AO1335" s="1352"/>
      <c r="AP1335" s="1352" t="str">
        <f>SUBSTITUTE(SUBSTITUTE(SUBSTITUTE("vch"&amp;$B1335&amp;$C1335&amp;$D1335&amp;$E1335&amp;$F1335,".","_"),"(","_"),")","")</f>
        <v>vch703_7_3_2</v>
      </c>
      <c r="AQ1335" s="1352" t="str">
        <f>IF(LEN(W1335)=0,"",W1335)</f>
        <v/>
      </c>
      <c r="AR1335" s="1352" t="str">
        <f>SUBSTITUTE(SUBSTITUTE(SUBSTITUTE("vnt"&amp;$B1335&amp;$C1335&amp;$D1335&amp;$E1335&amp;$F1335,".","_"),"(","_"),")","")</f>
        <v>vnt703_7_3_2</v>
      </c>
      <c r="AS1335" s="1352" t="str">
        <f>IF(LEN(X1335)=0,"",X1335)</f>
        <v/>
      </c>
    </row>
    <row r="1336" spans="1:45" s="905" customFormat="1" hidden="1" x14ac:dyDescent="0.2">
      <c r="A1336" s="1507">
        <v>7</v>
      </c>
      <c r="B1336" s="1516" t="s">
        <v>4445</v>
      </c>
      <c r="C1336" s="1516" t="s">
        <v>255</v>
      </c>
      <c r="D1336" s="1516"/>
      <c r="E1336" s="1516"/>
      <c r="F1336" s="1511"/>
      <c r="G1336" s="1509" t="str">
        <f t="shared" ca="1" si="104"/>
        <v/>
      </c>
      <c r="H1336" s="1510" t="s">
        <v>3197</v>
      </c>
      <c r="I1336" s="589"/>
      <c r="J1336" s="606"/>
      <c r="K1336" s="606"/>
      <c r="L1336" s="1639"/>
      <c r="M1336" s="913"/>
      <c r="N1336" s="129"/>
      <c r="O1336" s="908"/>
      <c r="P1336" s="991"/>
      <c r="Q1336" s="991"/>
      <c r="R1336" s="991"/>
      <c r="S1336" s="991"/>
      <c r="T1336" s="991"/>
      <c r="X1336" s="1600"/>
      <c r="Y1336" s="1874"/>
      <c r="Z1336" s="1600"/>
      <c r="AC1336" s="1150"/>
      <c r="AD1336" s="1150"/>
      <c r="AE1336" s="1150"/>
      <c r="AL1336" s="1352"/>
      <c r="AM1336" s="1352"/>
      <c r="AN1336" s="1352"/>
      <c r="AO1336" s="1352"/>
      <c r="AP1336" s="1352"/>
      <c r="AQ1336" s="1352"/>
      <c r="AR1336" s="1352"/>
      <c r="AS1336" s="1352"/>
    </row>
    <row r="1337" spans="1:45" s="905" customFormat="1" ht="15" hidden="1" customHeight="1" x14ac:dyDescent="0.2">
      <c r="A1337" s="1507">
        <v>7</v>
      </c>
      <c r="B1337" s="1516" t="s">
        <v>4445</v>
      </c>
      <c r="C1337" s="1516" t="s">
        <v>256</v>
      </c>
      <c r="D1337" s="1516"/>
      <c r="E1337" s="1516"/>
      <c r="F1337" s="1511"/>
      <c r="G1337" s="1509" t="str">
        <f t="shared" ca="1" si="104"/>
        <v/>
      </c>
      <c r="H1337" s="1510" t="s">
        <v>3197</v>
      </c>
      <c r="I1337" s="589"/>
      <c r="J1337" s="608" t="s">
        <v>256</v>
      </c>
      <c r="K1337" s="608"/>
      <c r="L1337" s="1633" t="s">
        <v>4235</v>
      </c>
      <c r="M1337" s="913"/>
      <c r="N1337" s="129"/>
      <c r="O1337" s="908"/>
      <c r="P1337" s="991" t="b">
        <v>1</v>
      </c>
      <c r="Q1337" s="991" t="b">
        <v>1</v>
      </c>
      <c r="R1337" s="991" t="b">
        <v>0</v>
      </c>
      <c r="S1337" s="991" t="b">
        <f ca="1">S885=2</f>
        <v>0</v>
      </c>
      <c r="T1337" s="991" t="b">
        <f ca="1">AND(NOT(S1337),W1337=TRUE)</f>
        <v>0</v>
      </c>
      <c r="W1337" s="27"/>
      <c r="X1337" s="1600"/>
      <c r="Y1337" s="1874" t="str">
        <f>IF(LEN('11.700'!X463)=0,"None",'11.700'!X463)</f>
        <v>None</v>
      </c>
      <c r="Z1337" s="1600"/>
      <c r="AC1337" s="1150" t="b">
        <f ca="1">OR(AD1337:AE1337)</f>
        <v>0</v>
      </c>
      <c r="AD1337" s="1150" t="b">
        <f ca="1">T1337</f>
        <v>0</v>
      </c>
      <c r="AE1337" s="1150"/>
      <c r="AL1337" s="1352"/>
      <c r="AM1337" s="1352"/>
      <c r="AN1337" s="1352"/>
      <c r="AO1337" s="1352"/>
      <c r="AP1337" s="1352" t="str">
        <f>SUBSTITUTE(SUBSTITUTE(SUBSTITUTE("vch"&amp;$B1337&amp;$C1337&amp;$D1337&amp;$E1337&amp;$F1337,".","_"),"(","_"),")","")</f>
        <v>vch703_7_3_3</v>
      </c>
      <c r="AQ1337" s="1352" t="str">
        <f>IF(LEN(W1337)=0,"",W1337)</f>
        <v/>
      </c>
      <c r="AR1337" s="1352" t="str">
        <f>SUBSTITUTE(SUBSTITUTE(SUBSTITUTE("vnt"&amp;$B1337&amp;$C1337&amp;$D1337&amp;$E1337&amp;$F1337,".","_"),"(","_"),")","")</f>
        <v>vnt703_7_3_3</v>
      </c>
      <c r="AS1337" s="1352" t="str">
        <f>IF(LEN(X1337)=0,"",X1337)</f>
        <v/>
      </c>
    </row>
    <row r="1338" spans="1:45" s="905" customFormat="1" hidden="1" x14ac:dyDescent="0.2">
      <c r="A1338" s="1507">
        <v>7</v>
      </c>
      <c r="B1338" s="1516" t="s">
        <v>4445</v>
      </c>
      <c r="C1338" s="1516" t="s">
        <v>256</v>
      </c>
      <c r="D1338" s="1516"/>
      <c r="E1338" s="1516"/>
      <c r="F1338" s="1511"/>
      <c r="G1338" s="1509" t="str">
        <f t="shared" ca="1" si="104"/>
        <v/>
      </c>
      <c r="H1338" s="1510" t="s">
        <v>3197</v>
      </c>
      <c r="I1338" s="589"/>
      <c r="J1338" s="606"/>
      <c r="K1338" s="606"/>
      <c r="L1338" s="1639"/>
      <c r="M1338" s="991"/>
      <c r="N1338" s="991"/>
      <c r="O1338" s="991"/>
      <c r="P1338" s="991"/>
      <c r="Q1338" s="991"/>
      <c r="R1338" s="991"/>
      <c r="S1338" s="991"/>
      <c r="T1338" s="991"/>
      <c r="X1338" s="1600"/>
      <c r="Y1338" s="1874"/>
      <c r="Z1338" s="1600"/>
      <c r="AC1338" s="1150"/>
      <c r="AD1338" s="1150"/>
      <c r="AE1338" s="1150"/>
      <c r="AL1338" s="1352"/>
      <c r="AM1338" s="1352"/>
      <c r="AN1338" s="1352"/>
      <c r="AO1338" s="1352"/>
      <c r="AP1338" s="1352"/>
      <c r="AQ1338" s="1352"/>
      <c r="AR1338" s="1352"/>
      <c r="AS1338" s="1352"/>
    </row>
    <row r="1339" spans="1:45" s="905" customFormat="1" ht="15" hidden="1" customHeight="1" x14ac:dyDescent="0.2">
      <c r="A1339" s="1507">
        <v>7</v>
      </c>
      <c r="B1339" s="1516" t="s">
        <v>4445</v>
      </c>
      <c r="C1339" s="1516" t="s">
        <v>259</v>
      </c>
      <c r="D1339" s="1516"/>
      <c r="E1339" s="1516"/>
      <c r="F1339" s="1511"/>
      <c r="G1339" s="1509" t="str">
        <f t="shared" ca="1" si="104"/>
        <v/>
      </c>
      <c r="H1339" s="1510" t="s">
        <v>3197</v>
      </c>
      <c r="I1339" s="589"/>
      <c r="J1339" s="608" t="s">
        <v>259</v>
      </c>
      <c r="K1339" s="608"/>
      <c r="L1339" s="1633" t="s">
        <v>4236</v>
      </c>
      <c r="M1339" s="913"/>
      <c r="N1339" s="129"/>
      <c r="O1339" s="908"/>
      <c r="P1339" s="991" t="b">
        <v>1</v>
      </c>
      <c r="Q1339" s="991" t="b">
        <v>1</v>
      </c>
      <c r="R1339" s="991" t="b">
        <v>0</v>
      </c>
      <c r="S1339" s="991" t="b">
        <f ca="1">AND(S885=2,OR(T1121=1,T1121=2,T1121=3))</f>
        <v>0</v>
      </c>
      <c r="T1339" s="991" t="b">
        <f ca="1">AND(NOT(S1339),W1339=TRUE)</f>
        <v>0</v>
      </c>
      <c r="W1339" s="27"/>
      <c r="X1339" s="1600"/>
      <c r="Y1339" s="1874" t="str">
        <f>IF(LEN('11.700'!X465)=0,"None",'11.700'!X465)</f>
        <v>None</v>
      </c>
      <c r="Z1339" s="1600"/>
      <c r="AC1339" s="1150" t="b">
        <f ca="1">OR(AD1339:AE1339)</f>
        <v>0</v>
      </c>
      <c r="AD1339" s="1150" t="b">
        <f ca="1">T1339</f>
        <v>0</v>
      </c>
      <c r="AE1339" s="1150"/>
      <c r="AL1339" s="1352"/>
      <c r="AM1339" s="1352"/>
      <c r="AN1339" s="1352"/>
      <c r="AO1339" s="1352"/>
      <c r="AP1339" s="1352" t="str">
        <f>SUBSTITUTE(SUBSTITUTE(SUBSTITUTE("vch"&amp;$B1339&amp;$C1339&amp;$D1339&amp;$E1339&amp;$F1339,".","_"),"(","_"),")","")</f>
        <v>vch703_7_3_4</v>
      </c>
      <c r="AQ1339" s="1352" t="str">
        <f>IF(LEN(W1339)=0,"",W1339)</f>
        <v/>
      </c>
      <c r="AR1339" s="1352" t="str">
        <f>SUBSTITUTE(SUBSTITUTE(SUBSTITUTE("vnt"&amp;$B1339&amp;$C1339&amp;$D1339&amp;$E1339&amp;$F1339,".","_"),"(","_"),")","")</f>
        <v>vnt703_7_3_4</v>
      </c>
      <c r="AS1339" s="1352" t="str">
        <f>IF(LEN(X1339)=0,"",X1339)</f>
        <v/>
      </c>
    </row>
    <row r="1340" spans="1:45" s="905" customFormat="1" hidden="1" x14ac:dyDescent="0.2">
      <c r="A1340" s="1507">
        <v>7</v>
      </c>
      <c r="B1340" s="1516" t="s">
        <v>4445</v>
      </c>
      <c r="C1340" s="1516" t="s">
        <v>259</v>
      </c>
      <c r="D1340" s="1516"/>
      <c r="E1340" s="1516"/>
      <c r="F1340" s="1511"/>
      <c r="G1340" s="1509" t="str">
        <f t="shared" ca="1" si="104"/>
        <v/>
      </c>
      <c r="H1340" s="1510" t="s">
        <v>3197</v>
      </c>
      <c r="I1340" s="589"/>
      <c r="J1340" s="606"/>
      <c r="K1340" s="606"/>
      <c r="L1340" s="1639"/>
      <c r="M1340" s="991"/>
      <c r="N1340" s="991"/>
      <c r="O1340" s="991"/>
      <c r="P1340" s="991"/>
      <c r="Q1340" s="991"/>
      <c r="R1340" s="991"/>
      <c r="S1340" s="991"/>
      <c r="T1340" s="991"/>
      <c r="X1340" s="1600"/>
      <c r="Y1340" s="1874"/>
      <c r="Z1340" s="1600"/>
      <c r="AC1340" s="1150"/>
      <c r="AD1340" s="1150"/>
      <c r="AE1340" s="1150"/>
      <c r="AL1340" s="1352"/>
      <c r="AM1340" s="1352"/>
      <c r="AN1340" s="1352"/>
      <c r="AO1340" s="1352"/>
      <c r="AP1340" s="1352"/>
      <c r="AQ1340" s="1352"/>
      <c r="AR1340" s="1352"/>
      <c r="AS1340" s="1352"/>
    </row>
    <row r="1341" spans="1:45" s="905" customFormat="1" ht="15" hidden="1" customHeight="1" x14ac:dyDescent="0.2">
      <c r="A1341" s="1507">
        <v>7</v>
      </c>
      <c r="B1341" s="1516" t="s">
        <v>4445</v>
      </c>
      <c r="C1341" s="1516" t="s">
        <v>263</v>
      </c>
      <c r="D1341" s="1516"/>
      <c r="E1341" s="1516"/>
      <c r="F1341" s="1511"/>
      <c r="G1341" s="1509" t="str">
        <f t="shared" ca="1" si="104"/>
        <v/>
      </c>
      <c r="H1341" s="1510" t="s">
        <v>3197</v>
      </c>
      <c r="I1341" s="589"/>
      <c r="J1341" s="589" t="s">
        <v>263</v>
      </c>
      <c r="K1341" s="589"/>
      <c r="L1341" s="1634" t="s">
        <v>4237</v>
      </c>
      <c r="M1341" s="991"/>
      <c r="N1341" s="991"/>
      <c r="O1341" s="991"/>
      <c r="P1341" s="991"/>
      <c r="Q1341" s="991"/>
      <c r="R1341" s="991"/>
      <c r="S1341" s="991"/>
      <c r="T1341" s="991"/>
      <c r="Z1341" s="1122"/>
      <c r="AC1341" s="1150"/>
      <c r="AD1341" s="1150"/>
      <c r="AE1341" s="1150"/>
      <c r="AL1341" s="1352"/>
      <c r="AM1341" s="1352"/>
      <c r="AN1341" s="1352"/>
      <c r="AO1341" s="1352"/>
      <c r="AP1341" s="1352"/>
      <c r="AQ1341" s="1352"/>
      <c r="AR1341" s="1352"/>
      <c r="AS1341" s="1352"/>
    </row>
    <row r="1342" spans="1:45" s="905" customFormat="1" hidden="1" x14ac:dyDescent="0.2">
      <c r="A1342" s="1507">
        <v>7</v>
      </c>
      <c r="B1342" s="1516" t="s">
        <v>4445</v>
      </c>
      <c r="C1342" s="1516" t="s">
        <v>263</v>
      </c>
      <c r="D1342" s="1516"/>
      <c r="E1342" s="1516"/>
      <c r="F1342" s="1511"/>
      <c r="G1342" s="1509" t="str">
        <f t="shared" ca="1" si="104"/>
        <v/>
      </c>
      <c r="H1342" s="1510" t="s">
        <v>3197</v>
      </c>
      <c r="I1342" s="589"/>
      <c r="J1342" s="589"/>
      <c r="K1342" s="589"/>
      <c r="L1342" s="1634"/>
      <c r="M1342" s="991"/>
      <c r="N1342" s="991"/>
      <c r="O1342" s="991"/>
      <c r="P1342" s="991"/>
      <c r="Q1342" s="991"/>
      <c r="R1342" s="991"/>
      <c r="S1342" s="991"/>
      <c r="T1342" s="991"/>
      <c r="Z1342" s="1122"/>
      <c r="AC1342" s="1150"/>
      <c r="AD1342" s="1150"/>
      <c r="AE1342" s="1150"/>
      <c r="AL1342" s="1352"/>
      <c r="AM1342" s="1352"/>
      <c r="AN1342" s="1352"/>
      <c r="AO1342" s="1352"/>
      <c r="AP1342" s="1352"/>
      <c r="AQ1342" s="1352"/>
      <c r="AR1342" s="1352"/>
      <c r="AS1342" s="1352"/>
    </row>
    <row r="1343" spans="1:45" s="905" customFormat="1" hidden="1" x14ac:dyDescent="0.2">
      <c r="A1343" s="1507">
        <v>7</v>
      </c>
      <c r="B1343" s="1516" t="s">
        <v>4445</v>
      </c>
      <c r="C1343" s="1516" t="s">
        <v>263</v>
      </c>
      <c r="D1343" s="1516"/>
      <c r="E1343" s="1516"/>
      <c r="F1343" s="1511"/>
      <c r="G1343" s="1509" t="str">
        <f t="shared" ca="1" si="104"/>
        <v/>
      </c>
      <c r="H1343" s="1510" t="s">
        <v>3197</v>
      </c>
      <c r="I1343" s="589"/>
      <c r="J1343" s="589"/>
      <c r="K1343" s="589"/>
      <c r="L1343" s="1634"/>
      <c r="M1343" s="991"/>
      <c r="N1343" s="991"/>
      <c r="O1343" s="991"/>
      <c r="P1343" s="991"/>
      <c r="Q1343" s="991"/>
      <c r="R1343" s="991"/>
      <c r="S1343" s="991"/>
      <c r="T1343" s="991"/>
      <c r="Z1343" s="1122"/>
      <c r="AC1343" s="1150"/>
      <c r="AD1343" s="1150"/>
      <c r="AE1343" s="1150"/>
      <c r="AL1343" s="1352"/>
      <c r="AM1343" s="1352"/>
      <c r="AN1343" s="1352"/>
      <c r="AO1343" s="1352"/>
      <c r="AP1343" s="1352"/>
      <c r="AQ1343" s="1352"/>
      <c r="AR1343" s="1352"/>
      <c r="AS1343" s="1352"/>
    </row>
    <row r="1344" spans="1:45" s="905" customFormat="1" ht="15" hidden="1" customHeight="1" x14ac:dyDescent="0.2">
      <c r="A1344" s="1507">
        <v>7</v>
      </c>
      <c r="B1344" s="1516" t="s">
        <v>4445</v>
      </c>
      <c r="C1344" s="1516" t="s">
        <v>263</v>
      </c>
      <c r="D1344" s="1516" t="s">
        <v>121</v>
      </c>
      <c r="E1344" s="1516"/>
      <c r="F1344" s="1511"/>
      <c r="G1344" s="1509" t="str">
        <f t="shared" ca="1" si="104"/>
        <v/>
      </c>
      <c r="H1344" s="1510" t="s">
        <v>3197</v>
      </c>
      <c r="I1344" s="589"/>
      <c r="J1344" s="589"/>
      <c r="K1344" s="590" t="s">
        <v>121</v>
      </c>
      <c r="L1344" s="1634" t="s">
        <v>4238</v>
      </c>
      <c r="M1344" s="913"/>
      <c r="N1344" s="129"/>
      <c r="O1344" s="908"/>
      <c r="P1344" s="991" t="b">
        <v>1</v>
      </c>
      <c r="Q1344" s="991" t="b">
        <v>1</v>
      </c>
      <c r="R1344" s="991" t="b">
        <v>0</v>
      </c>
      <c r="S1344" s="991" t="b">
        <f ca="1">S885=2</f>
        <v>0</v>
      </c>
      <c r="T1344" s="991" t="b">
        <f ca="1">AND(NOT(S1344),W1344=TRUE)</f>
        <v>0</v>
      </c>
      <c r="W1344" s="27"/>
      <c r="X1344" s="1600"/>
      <c r="Y1344" s="1874" t="str">
        <f>IF(LEN('11.700'!X470)=0,"None",'11.700'!X470)</f>
        <v>None</v>
      </c>
      <c r="Z1344" s="1600"/>
      <c r="AC1344" s="1150" t="b">
        <f ca="1">OR(AD1344:AE1344)</f>
        <v>0</v>
      </c>
      <c r="AD1344" s="1150" t="b">
        <f ca="1">T1344</f>
        <v>0</v>
      </c>
      <c r="AE1344" s="1150"/>
      <c r="AL1344" s="1352"/>
      <c r="AM1344" s="1352"/>
      <c r="AN1344" s="1352"/>
      <c r="AO1344" s="1352"/>
      <c r="AP1344" s="1352" t="str">
        <f>SUBSTITUTE(SUBSTITUTE(SUBSTITUTE("vch"&amp;$B1344&amp;$C1344&amp;$D1344&amp;$E1344&amp;$F1344,".","_"),"(","_"),")","")</f>
        <v>vch703_7_3_5_a</v>
      </c>
      <c r="AQ1344" s="1352" t="str">
        <f>IF(LEN(W1344)=0,"",W1344)</f>
        <v/>
      </c>
      <c r="AR1344" s="1352" t="str">
        <f>SUBSTITUTE(SUBSTITUTE(SUBSTITUTE("vnt"&amp;$B1344&amp;$C1344&amp;$D1344&amp;$E1344&amp;$F1344,".","_"),"(","_"),")","")</f>
        <v>vnt703_7_3_5_a</v>
      </c>
      <c r="AS1344" s="1352" t="str">
        <f>IF(LEN(X1344)=0,"",X1344)</f>
        <v/>
      </c>
    </row>
    <row r="1345" spans="1:45" s="905" customFormat="1" hidden="1" x14ac:dyDescent="0.2">
      <c r="A1345" s="1507">
        <v>7</v>
      </c>
      <c r="B1345" s="1516" t="s">
        <v>4445</v>
      </c>
      <c r="C1345" s="1516" t="s">
        <v>263</v>
      </c>
      <c r="D1345" s="1516" t="s">
        <v>121</v>
      </c>
      <c r="E1345" s="1516"/>
      <c r="F1345" s="1511"/>
      <c r="G1345" s="1509" t="str">
        <f t="shared" ca="1" si="104"/>
        <v/>
      </c>
      <c r="H1345" s="1510" t="s">
        <v>3197</v>
      </c>
      <c r="I1345" s="589"/>
      <c r="J1345" s="589"/>
      <c r="K1345" s="606"/>
      <c r="L1345" s="1639"/>
      <c r="M1345" s="913"/>
      <c r="N1345" s="129"/>
      <c r="O1345" s="908"/>
      <c r="P1345" s="991"/>
      <c r="Q1345" s="991"/>
      <c r="R1345" s="991"/>
      <c r="S1345" s="991"/>
      <c r="T1345" s="991"/>
      <c r="X1345" s="1600"/>
      <c r="Y1345" s="1874"/>
      <c r="Z1345" s="1600"/>
      <c r="AC1345" s="1150"/>
      <c r="AD1345" s="1150"/>
      <c r="AE1345" s="1150"/>
      <c r="AL1345" s="1352"/>
      <c r="AM1345" s="1352"/>
      <c r="AN1345" s="1352"/>
      <c r="AO1345" s="1352"/>
      <c r="AP1345" s="1352"/>
      <c r="AQ1345" s="1352"/>
      <c r="AR1345" s="1352"/>
      <c r="AS1345" s="1352"/>
    </row>
    <row r="1346" spans="1:45" s="905" customFormat="1" ht="15" hidden="1" customHeight="1" x14ac:dyDescent="0.2">
      <c r="A1346" s="1507">
        <v>7</v>
      </c>
      <c r="B1346" s="1516" t="s">
        <v>4445</v>
      </c>
      <c r="C1346" s="1516" t="s">
        <v>263</v>
      </c>
      <c r="D1346" s="1516" t="s">
        <v>122</v>
      </c>
      <c r="E1346" s="1516"/>
      <c r="F1346" s="1511"/>
      <c r="G1346" s="1509" t="str">
        <f t="shared" ca="1" si="104"/>
        <v/>
      </c>
      <c r="H1346" s="1510" t="s">
        <v>3197</v>
      </c>
      <c r="I1346" s="589"/>
      <c r="J1346" s="590"/>
      <c r="K1346" s="590" t="s">
        <v>122</v>
      </c>
      <c r="L1346" s="1634" t="s">
        <v>4239</v>
      </c>
      <c r="M1346" s="913"/>
      <c r="N1346" s="129"/>
      <c r="O1346" s="908"/>
      <c r="P1346" s="991" t="b">
        <v>1</v>
      </c>
      <c r="Q1346" s="991" t="b">
        <v>1</v>
      </c>
      <c r="R1346" s="991" t="b">
        <v>0</v>
      </c>
      <c r="S1346" s="991" t="b">
        <f ca="1">S885=2</f>
        <v>0</v>
      </c>
      <c r="T1346" s="991" t="b">
        <f ca="1">AND(NOT(S1346),W1346=TRUE)</f>
        <v>0</v>
      </c>
      <c r="W1346" s="27"/>
      <c r="X1346" s="1600"/>
      <c r="Y1346" s="1874" t="str">
        <f>IF(LEN('11.700'!X472)=0,"None",'11.700'!X472)</f>
        <v>None</v>
      </c>
      <c r="Z1346" s="1600"/>
      <c r="AC1346" s="1150" t="b">
        <f ca="1">OR(AD1346:AE1346)</f>
        <v>0</v>
      </c>
      <c r="AD1346" s="1150" t="b">
        <f ca="1">T1346</f>
        <v>0</v>
      </c>
      <c r="AE1346" s="1150"/>
      <c r="AL1346" s="1352"/>
      <c r="AM1346" s="1352"/>
      <c r="AN1346" s="1352"/>
      <c r="AO1346" s="1352"/>
      <c r="AP1346" s="1352" t="str">
        <f>SUBSTITUTE(SUBSTITUTE(SUBSTITUTE("vch"&amp;$B1346&amp;$C1346&amp;$D1346&amp;$E1346&amp;$F1346,".","_"),"(","_"),")","")</f>
        <v>vch703_7_3_5_b</v>
      </c>
      <c r="AQ1346" s="1352" t="str">
        <f>IF(LEN(W1346)=0,"",W1346)</f>
        <v/>
      </c>
      <c r="AR1346" s="1352" t="str">
        <f>SUBSTITUTE(SUBSTITUTE(SUBSTITUTE("vnt"&amp;$B1346&amp;$C1346&amp;$D1346&amp;$E1346&amp;$F1346,".","_"),"(","_"),")","")</f>
        <v>vnt703_7_3_5_b</v>
      </c>
      <c r="AS1346" s="1352" t="str">
        <f>IF(LEN(X1346)=0,"",X1346)</f>
        <v/>
      </c>
    </row>
    <row r="1347" spans="1:45" s="905" customFormat="1" hidden="1" x14ac:dyDescent="0.2">
      <c r="A1347" s="1507">
        <v>7</v>
      </c>
      <c r="B1347" s="1516" t="s">
        <v>4445</v>
      </c>
      <c r="C1347" s="1516" t="s">
        <v>263</v>
      </c>
      <c r="D1347" s="1516" t="s">
        <v>122</v>
      </c>
      <c r="E1347" s="1516"/>
      <c r="F1347" s="1511"/>
      <c r="G1347" s="1509" t="str">
        <f t="shared" ca="1" si="104"/>
        <v/>
      </c>
      <c r="H1347" s="1510" t="s">
        <v>3197</v>
      </c>
      <c r="I1347" s="589"/>
      <c r="J1347" s="606"/>
      <c r="K1347" s="606"/>
      <c r="L1347" s="1639"/>
      <c r="M1347" s="913"/>
      <c r="N1347" s="129"/>
      <c r="O1347" s="908"/>
      <c r="P1347" s="991"/>
      <c r="Q1347" s="991"/>
      <c r="R1347" s="991"/>
      <c r="S1347" s="991"/>
      <c r="T1347" s="991"/>
      <c r="X1347" s="1600"/>
      <c r="Y1347" s="1874"/>
      <c r="Z1347" s="1600"/>
      <c r="AC1347" s="1150"/>
      <c r="AD1347" s="1150"/>
      <c r="AE1347" s="1150"/>
      <c r="AL1347" s="1352"/>
      <c r="AM1347" s="1352"/>
      <c r="AN1347" s="1352"/>
      <c r="AO1347" s="1352"/>
      <c r="AP1347" s="1352"/>
      <c r="AQ1347" s="1352"/>
      <c r="AR1347" s="1352"/>
      <c r="AS1347" s="1352"/>
    </row>
    <row r="1348" spans="1:45" s="905" customFormat="1" ht="15" hidden="1" customHeight="1" x14ac:dyDescent="0.2">
      <c r="A1348" s="1507">
        <v>7</v>
      </c>
      <c r="B1348" s="1516" t="s">
        <v>4445</v>
      </c>
      <c r="C1348" s="1516" t="s">
        <v>264</v>
      </c>
      <c r="D1348" s="1516"/>
      <c r="E1348" s="1516"/>
      <c r="F1348" s="1511"/>
      <c r="G1348" s="1509" t="str">
        <f t="shared" ca="1" si="104"/>
        <v/>
      </c>
      <c r="H1348" s="1510" t="s">
        <v>3197</v>
      </c>
      <c r="I1348" s="590"/>
      <c r="J1348" s="590" t="s">
        <v>264</v>
      </c>
      <c r="K1348" s="590"/>
      <c r="L1348" s="1634" t="s">
        <v>4240</v>
      </c>
      <c r="M1348" s="913"/>
      <c r="N1348" s="129"/>
      <c r="O1348" s="908"/>
      <c r="P1348" s="991" t="b">
        <v>1</v>
      </c>
      <c r="Q1348" s="991" t="b">
        <v>1</v>
      </c>
      <c r="R1348" s="991" t="b">
        <v>0</v>
      </c>
      <c r="S1348" s="991" t="b">
        <f ca="1">S885=2</f>
        <v>0</v>
      </c>
      <c r="T1348" s="991" t="b">
        <f ca="1">AND(NOT(S1348),W1348=TRUE)</f>
        <v>0</v>
      </c>
      <c r="W1348" s="27"/>
      <c r="X1348" s="1600"/>
      <c r="Y1348" s="1874" t="str">
        <f>IF(LEN('11.700'!X474)=0,"None",'11.700'!X474)</f>
        <v>None</v>
      </c>
      <c r="Z1348" s="1600"/>
      <c r="AC1348" s="1150" t="b">
        <f ca="1">OR(AD1348:AE1348)</f>
        <v>0</v>
      </c>
      <c r="AD1348" s="1150" t="b">
        <f ca="1">T1348</f>
        <v>0</v>
      </c>
      <c r="AE1348" s="1150"/>
      <c r="AL1348" s="1352"/>
      <c r="AM1348" s="1352"/>
      <c r="AN1348" s="1352"/>
      <c r="AO1348" s="1352"/>
      <c r="AP1348" s="1352" t="str">
        <f>SUBSTITUTE(SUBSTITUTE(SUBSTITUTE("vch"&amp;$B1348&amp;$C1348&amp;$D1348&amp;$E1348&amp;$F1348,".","_"),"(","_"),")","")</f>
        <v>vch703_7_3_6</v>
      </c>
      <c r="AQ1348" s="1352" t="str">
        <f>IF(LEN(W1348)=0,"",W1348)</f>
        <v/>
      </c>
      <c r="AR1348" s="1352" t="str">
        <f>SUBSTITUTE(SUBSTITUTE(SUBSTITUTE("vnt"&amp;$B1348&amp;$C1348&amp;$D1348&amp;$E1348&amp;$F1348,".","_"),"(","_"),")","")</f>
        <v>vnt703_7_3_6</v>
      </c>
      <c r="AS1348" s="1352" t="str">
        <f>IF(LEN(X1348)=0,"",X1348)</f>
        <v/>
      </c>
    </row>
    <row r="1349" spans="1:45" s="905" customFormat="1" hidden="1" x14ac:dyDescent="0.2">
      <c r="A1349" s="1507">
        <v>7</v>
      </c>
      <c r="B1349" s="1516" t="s">
        <v>4445</v>
      </c>
      <c r="C1349" s="1516" t="s">
        <v>264</v>
      </c>
      <c r="D1349" s="1516"/>
      <c r="E1349" s="1516"/>
      <c r="F1349" s="1511"/>
      <c r="G1349" s="1509" t="str">
        <f t="shared" ca="1" si="104"/>
        <v/>
      </c>
      <c r="H1349" s="1510" t="s">
        <v>3197</v>
      </c>
      <c r="I1349" s="606"/>
      <c r="J1349" s="606"/>
      <c r="K1349" s="606"/>
      <c r="L1349" s="1639"/>
      <c r="M1349" s="937"/>
      <c r="N1349" s="213"/>
      <c r="O1349" s="909"/>
      <c r="P1349" s="991"/>
      <c r="Q1349" s="991"/>
      <c r="R1349" s="991"/>
      <c r="S1349" s="991"/>
      <c r="T1349" s="991"/>
      <c r="X1349" s="1600"/>
      <c r="Y1349" s="1874"/>
      <c r="Z1349" s="1600"/>
      <c r="AC1349" s="1150"/>
      <c r="AD1349" s="1150"/>
      <c r="AE1349" s="1150"/>
      <c r="AL1349" s="1352"/>
      <c r="AM1349" s="1352"/>
      <c r="AN1349" s="1352"/>
      <c r="AO1349" s="1352"/>
      <c r="AP1349" s="1352"/>
      <c r="AQ1349" s="1352"/>
      <c r="AR1349" s="1352"/>
      <c r="AS1349" s="1352"/>
    </row>
    <row r="1350" spans="1:45" s="905" customFormat="1" ht="15" hidden="1" customHeight="1" x14ac:dyDescent="0.2">
      <c r="A1350" s="1507">
        <v>7</v>
      </c>
      <c r="B1350" s="1516" t="s">
        <v>4446</v>
      </c>
      <c r="C1350" s="1516"/>
      <c r="D1350" s="1516"/>
      <c r="E1350" s="1516"/>
      <c r="F1350" s="1511"/>
      <c r="G1350" s="1509" t="str">
        <f ca="1">IF(N1350&gt;0,"P","")</f>
        <v/>
      </c>
      <c r="H1350" s="1510" t="s">
        <v>3197</v>
      </c>
      <c r="I1350" s="589" t="s">
        <v>4241</v>
      </c>
      <c r="J1350" s="589"/>
      <c r="K1350" s="589"/>
      <c r="L1350" s="1687" t="s">
        <v>4242</v>
      </c>
      <c r="M1350" s="1623">
        <v>4</v>
      </c>
      <c r="N1350" s="1637">
        <f ca="1">'11.700'!O476</f>
        <v>0</v>
      </c>
      <c r="O1350" s="1619">
        <f ca="1">M1350*S1350*W1350</f>
        <v>0</v>
      </c>
      <c r="P1350" s="991" t="b">
        <v>1</v>
      </c>
      <c r="Q1350" s="991" t="b">
        <v>1</v>
      </c>
      <c r="R1350" s="991" t="b">
        <v>0</v>
      </c>
      <c r="S1350" s="991" t="b">
        <f ca="1">AND(S885=2,W1293=TRUE,NOT(BI890="Tropical"))</f>
        <v>0</v>
      </c>
      <c r="T1350" s="991" t="b">
        <f ca="1">AND(NOT(S1350),W1350=TRUE)</f>
        <v>0</v>
      </c>
      <c r="W1350" s="27"/>
      <c r="Z1350" s="1122"/>
      <c r="AC1350" s="1150" t="b">
        <f ca="1">OR(AD1350:AE1350)</f>
        <v>0</v>
      </c>
      <c r="AD1350" s="1150" t="b">
        <f ca="1">T1350</f>
        <v>0</v>
      </c>
      <c r="AE1350" s="1150"/>
      <c r="AL1350" s="1352" t="str">
        <f>SUBSTITUTE(SUBSTITUTE(SUBSTITUTE("vpa"&amp;$B1350&amp;$C1350&amp;$D1350&amp;$E1350&amp;$F1350,".","_"),"(","_"),")","")</f>
        <v>vpa703_7_4</v>
      </c>
      <c r="AM1350" s="1352">
        <f>M1350</f>
        <v>4</v>
      </c>
      <c r="AN1350" s="1352" t="str">
        <f>SUBSTITUTE(SUBSTITUTE(SUBSTITUTE("vpc"&amp;$B1350&amp;$C1350&amp;$D1350&amp;$E1350&amp;$F1350,".","_"),"(","_"),")","")</f>
        <v>vpc703_7_4</v>
      </c>
      <c r="AO1350" s="1352">
        <f ca="1">O1350</f>
        <v>0</v>
      </c>
      <c r="AP1350" s="1352" t="str">
        <f>SUBSTITUTE(SUBSTITUTE(SUBSTITUTE("vch"&amp;$B1350&amp;$C1350&amp;$D1350&amp;$E1350&amp;$F1350,".","_"),"(","_"),")","")</f>
        <v>vch703_7_4</v>
      </c>
      <c r="AQ1350" s="1352" t="str">
        <f>IF(LEN(W1350)=0,"",W1350)</f>
        <v/>
      </c>
      <c r="AR1350" s="1352"/>
      <c r="AS1350" s="1352"/>
    </row>
    <row r="1351" spans="1:45" s="905" customFormat="1" hidden="1" x14ac:dyDescent="0.2">
      <c r="A1351" s="1507">
        <v>7</v>
      </c>
      <c r="B1351" s="1516" t="s">
        <v>4446</v>
      </c>
      <c r="C1351" s="1516"/>
      <c r="D1351" s="1516"/>
      <c r="E1351" s="1516"/>
      <c r="F1351" s="1511"/>
      <c r="G1351" s="1509" t="str">
        <f t="shared" ref="G1351:G1372" ca="1" si="105">G1350</f>
        <v/>
      </c>
      <c r="H1351" s="1510" t="s">
        <v>3197</v>
      </c>
      <c r="I1351" s="589"/>
      <c r="J1351" s="589"/>
      <c r="K1351" s="589"/>
      <c r="L1351" s="1687"/>
      <c r="M1351" s="1623"/>
      <c r="N1351" s="1619"/>
      <c r="O1351" s="1619"/>
      <c r="P1351" s="991"/>
      <c r="Q1351" s="991"/>
      <c r="R1351" s="991"/>
      <c r="S1351" s="991"/>
      <c r="T1351" s="991"/>
      <c r="Z1351" s="1122"/>
      <c r="AL1351" s="1352"/>
      <c r="AM1351" s="1352"/>
      <c r="AN1351" s="1352"/>
      <c r="AO1351" s="1352"/>
      <c r="AP1351" s="1352"/>
      <c r="AQ1351" s="1352"/>
      <c r="AR1351" s="1352"/>
      <c r="AS1351" s="1352"/>
    </row>
    <row r="1352" spans="1:45" s="905" customFormat="1" hidden="1" x14ac:dyDescent="0.2">
      <c r="A1352" s="1507">
        <v>7</v>
      </c>
      <c r="B1352" s="1516" t="s">
        <v>4446</v>
      </c>
      <c r="C1352" s="1516"/>
      <c r="D1352" s="1516"/>
      <c r="E1352" s="1516"/>
      <c r="F1352" s="1511"/>
      <c r="G1352" s="1509" t="str">
        <f t="shared" ca="1" si="105"/>
        <v/>
      </c>
      <c r="H1352" s="1510" t="s">
        <v>3197</v>
      </c>
      <c r="I1352" s="589"/>
      <c r="J1352" s="589"/>
      <c r="K1352" s="589"/>
      <c r="L1352" s="1687"/>
      <c r="M1352" s="991"/>
      <c r="N1352" s="991"/>
      <c r="O1352" s="991"/>
      <c r="P1352" s="991"/>
      <c r="Q1352" s="991"/>
      <c r="R1352" s="991"/>
      <c r="S1352" s="991"/>
      <c r="T1352" s="991"/>
      <c r="Z1352" s="1122"/>
      <c r="AL1352" s="1352"/>
      <c r="AM1352" s="1352"/>
      <c r="AN1352" s="1352"/>
      <c r="AO1352" s="1352"/>
      <c r="AP1352" s="1352"/>
      <c r="AQ1352" s="1352"/>
      <c r="AR1352" s="1352"/>
      <c r="AS1352" s="1352"/>
    </row>
    <row r="1353" spans="1:45" s="905" customFormat="1" ht="15" hidden="1" customHeight="1" x14ac:dyDescent="0.2">
      <c r="A1353" s="1507">
        <v>7</v>
      </c>
      <c r="B1353" s="1516" t="s">
        <v>4446</v>
      </c>
      <c r="C1353" s="1516" t="s">
        <v>254</v>
      </c>
      <c r="D1353" s="1516"/>
      <c r="E1353" s="1516"/>
      <c r="F1353" s="1511"/>
      <c r="G1353" s="1509" t="str">
        <f t="shared" ca="1" si="105"/>
        <v/>
      </c>
      <c r="H1353" s="1510" t="s">
        <v>3197</v>
      </c>
      <c r="I1353" s="589"/>
      <c r="J1353" s="590" t="s">
        <v>254</v>
      </c>
      <c r="K1353" s="590"/>
      <c r="L1353" s="1634" t="s">
        <v>4243</v>
      </c>
      <c r="M1353" s="991"/>
      <c r="N1353" s="991"/>
      <c r="O1353" s="991"/>
      <c r="P1353" s="991"/>
      <c r="Q1353" s="991"/>
      <c r="R1353" s="991"/>
      <c r="S1353" s="991"/>
      <c r="T1353" s="991"/>
      <c r="X1353" s="1600"/>
      <c r="Y1353" s="1874" t="str">
        <f>IF(LEN('11.700'!X479)=0,"None",'11.700'!X479)</f>
        <v>None</v>
      </c>
      <c r="Z1353" s="1600"/>
      <c r="AL1353" s="1352"/>
      <c r="AM1353" s="1352"/>
      <c r="AN1353" s="1352"/>
      <c r="AO1353" s="1352"/>
      <c r="AP1353" s="1352"/>
      <c r="AQ1353" s="1352"/>
      <c r="AR1353" s="1352" t="str">
        <f>SUBSTITUTE(SUBSTITUTE(SUBSTITUTE("vnt"&amp;$B1353&amp;$C1353&amp;$D1353&amp;$E1353&amp;$F1353,".","_"),"(","_"),")","")</f>
        <v>vnt703_7_4_1</v>
      </c>
      <c r="AS1353" s="1352" t="str">
        <f>IF(LEN(X1353)=0,"",X1353)</f>
        <v/>
      </c>
    </row>
    <row r="1354" spans="1:45" s="905" customFormat="1" hidden="1" x14ac:dyDescent="0.2">
      <c r="A1354" s="1507">
        <v>7</v>
      </c>
      <c r="B1354" s="1516" t="s">
        <v>4446</v>
      </c>
      <c r="C1354" s="1516" t="s">
        <v>254</v>
      </c>
      <c r="D1354" s="1516"/>
      <c r="E1354" s="1516"/>
      <c r="F1354" s="1511"/>
      <c r="G1354" s="1509" t="str">
        <f t="shared" ca="1" si="105"/>
        <v/>
      </c>
      <c r="H1354" s="1510" t="s">
        <v>3197</v>
      </c>
      <c r="I1354" s="589"/>
      <c r="J1354" s="606"/>
      <c r="K1354" s="606"/>
      <c r="L1354" s="1639"/>
      <c r="M1354" s="991"/>
      <c r="N1354" s="991"/>
      <c r="O1354" s="991"/>
      <c r="P1354" s="991"/>
      <c r="Q1354" s="991"/>
      <c r="R1354" s="991"/>
      <c r="S1354" s="991"/>
      <c r="T1354" s="991"/>
      <c r="X1354" s="1600"/>
      <c r="Y1354" s="1874"/>
      <c r="Z1354" s="1600"/>
      <c r="AL1354" s="1352"/>
      <c r="AM1354" s="1352"/>
      <c r="AN1354" s="1352"/>
      <c r="AO1354" s="1352"/>
      <c r="AP1354" s="1352"/>
      <c r="AQ1354" s="1352"/>
      <c r="AR1354" s="1352"/>
      <c r="AS1354" s="1352"/>
    </row>
    <row r="1355" spans="1:45" s="905" customFormat="1" ht="15" hidden="1" customHeight="1" x14ac:dyDescent="0.2">
      <c r="A1355" s="1507">
        <v>7</v>
      </c>
      <c r="B1355" s="1516" t="s">
        <v>4446</v>
      </c>
      <c r="C1355" s="1516" t="s">
        <v>255</v>
      </c>
      <c r="D1355" s="1516"/>
      <c r="E1355" s="1516"/>
      <c r="F1355" s="1511"/>
      <c r="G1355" s="1509" t="str">
        <f t="shared" ca="1" si="105"/>
        <v/>
      </c>
      <c r="H1355" s="1510" t="s">
        <v>3197</v>
      </c>
      <c r="I1355" s="589"/>
      <c r="J1355" s="589" t="s">
        <v>255</v>
      </c>
      <c r="K1355" s="589"/>
      <c r="L1355" s="1634" t="s">
        <v>4244</v>
      </c>
      <c r="M1355" s="991"/>
      <c r="N1355" s="991"/>
      <c r="O1355" s="991"/>
      <c r="P1355" s="991"/>
      <c r="Q1355" s="991"/>
      <c r="R1355" s="991"/>
      <c r="S1355" s="991"/>
      <c r="T1355" s="991"/>
      <c r="X1355" s="1122"/>
      <c r="Z1355" s="1122"/>
      <c r="AL1355" s="1352"/>
      <c r="AM1355" s="1352"/>
      <c r="AN1355" s="1352"/>
      <c r="AO1355" s="1352"/>
      <c r="AP1355" s="1352"/>
      <c r="AQ1355" s="1352"/>
      <c r="AR1355" s="1352"/>
      <c r="AS1355" s="1352"/>
    </row>
    <row r="1356" spans="1:45" s="905" customFormat="1" hidden="1" x14ac:dyDescent="0.2">
      <c r="A1356" s="1507">
        <v>7</v>
      </c>
      <c r="B1356" s="1516" t="s">
        <v>4446</v>
      </c>
      <c r="C1356" s="1516" t="s">
        <v>255</v>
      </c>
      <c r="D1356" s="1516"/>
      <c r="E1356" s="1516"/>
      <c r="F1356" s="1511"/>
      <c r="G1356" s="1509" t="str">
        <f t="shared" ca="1" si="105"/>
        <v/>
      </c>
      <c r="H1356" s="1510" t="s">
        <v>3197</v>
      </c>
      <c r="I1356" s="589"/>
      <c r="J1356" s="589"/>
      <c r="K1356" s="589"/>
      <c r="L1356" s="1634"/>
      <c r="M1356" s="991"/>
      <c r="N1356" s="991"/>
      <c r="O1356" s="991"/>
      <c r="P1356" s="991"/>
      <c r="Q1356" s="991"/>
      <c r="R1356" s="991"/>
      <c r="S1356" s="991"/>
      <c r="T1356" s="991"/>
      <c r="X1356" s="1122"/>
      <c r="Z1356" s="1122"/>
      <c r="AL1356" s="1352"/>
      <c r="AM1356" s="1352"/>
      <c r="AN1356" s="1352"/>
      <c r="AO1356" s="1352"/>
      <c r="AP1356" s="1352"/>
      <c r="AQ1356" s="1352"/>
      <c r="AR1356" s="1352"/>
      <c r="AS1356" s="1352"/>
    </row>
    <row r="1357" spans="1:45" s="905" customFormat="1" ht="15" hidden="1" customHeight="1" x14ac:dyDescent="0.2">
      <c r="A1357" s="1507">
        <v>7</v>
      </c>
      <c r="B1357" s="1516" t="s">
        <v>4446</v>
      </c>
      <c r="C1357" s="1516" t="s">
        <v>255</v>
      </c>
      <c r="D1357" s="1516" t="s">
        <v>121</v>
      </c>
      <c r="E1357" s="1516"/>
      <c r="F1357" s="1511"/>
      <c r="G1357" s="1509" t="str">
        <f t="shared" ca="1" si="105"/>
        <v/>
      </c>
      <c r="H1357" s="1510" t="s">
        <v>3197</v>
      </c>
      <c r="I1357" s="589"/>
      <c r="J1357" s="589"/>
      <c r="K1357" s="589" t="s">
        <v>121</v>
      </c>
      <c r="L1357" s="1634" t="s">
        <v>4245</v>
      </c>
      <c r="M1357" s="991"/>
      <c r="N1357" s="991"/>
      <c r="O1357" s="991"/>
      <c r="P1357" s="991"/>
      <c r="Q1357" s="991"/>
      <c r="R1357" s="991"/>
      <c r="S1357" s="991"/>
      <c r="T1357" s="991"/>
      <c r="X1357" s="1600"/>
      <c r="Y1357" s="1874" t="str">
        <f>IF(LEN('11.700'!X483)=0,"None",'11.700'!X483)</f>
        <v>None</v>
      </c>
      <c r="Z1357" s="1600"/>
      <c r="AL1357" s="1352"/>
      <c r="AM1357" s="1352"/>
      <c r="AN1357" s="1352"/>
      <c r="AO1357" s="1352"/>
      <c r="AP1357" s="1352"/>
      <c r="AQ1357" s="1352"/>
      <c r="AR1357" s="1352" t="str">
        <f>SUBSTITUTE(SUBSTITUTE(SUBSTITUTE("vnt"&amp;$B1357&amp;$C1357&amp;$D1357&amp;$E1357&amp;$F1357,".","_"),"(","_"),")","")</f>
        <v>vnt703_7_4_2_a</v>
      </c>
      <c r="AS1357" s="1352" t="str">
        <f>IF(LEN(X1357)=0,"",X1357)</f>
        <v/>
      </c>
    </row>
    <row r="1358" spans="1:45" s="905" customFormat="1" hidden="1" x14ac:dyDescent="0.2">
      <c r="A1358" s="1507">
        <v>7</v>
      </c>
      <c r="B1358" s="1516" t="s">
        <v>4446</v>
      </c>
      <c r="C1358" s="1516" t="s">
        <v>255</v>
      </c>
      <c r="D1358" s="1516" t="s">
        <v>121</v>
      </c>
      <c r="E1358" s="1516"/>
      <c r="F1358" s="1511"/>
      <c r="G1358" s="1509" t="str">
        <f t="shared" ca="1" si="105"/>
        <v/>
      </c>
      <c r="H1358" s="1510" t="s">
        <v>3197</v>
      </c>
      <c r="I1358" s="589"/>
      <c r="J1358" s="589"/>
      <c r="K1358" s="589"/>
      <c r="L1358" s="1634"/>
      <c r="M1358" s="991"/>
      <c r="N1358" s="991"/>
      <c r="O1358" s="991"/>
      <c r="P1358" s="991"/>
      <c r="Q1358" s="991"/>
      <c r="R1358" s="991"/>
      <c r="S1358" s="991"/>
      <c r="T1358" s="991"/>
      <c r="X1358" s="1600"/>
      <c r="Y1358" s="1874"/>
      <c r="Z1358" s="1600"/>
      <c r="AL1358" s="1352"/>
      <c r="AM1358" s="1352"/>
      <c r="AN1358" s="1352"/>
      <c r="AO1358" s="1352"/>
      <c r="AP1358" s="1352"/>
      <c r="AQ1358" s="1352"/>
      <c r="AR1358" s="1352"/>
      <c r="AS1358" s="1352"/>
    </row>
    <row r="1359" spans="1:45" s="905" customFormat="1" hidden="1" x14ac:dyDescent="0.2">
      <c r="A1359" s="1507">
        <v>7</v>
      </c>
      <c r="B1359" s="1516" t="s">
        <v>4446</v>
      </c>
      <c r="C1359" s="1516" t="s">
        <v>255</v>
      </c>
      <c r="D1359" s="1516" t="s">
        <v>121</v>
      </c>
      <c r="E1359" s="1516"/>
      <c r="F1359" s="1511"/>
      <c r="G1359" s="1509" t="str">
        <f t="shared" ca="1" si="105"/>
        <v/>
      </c>
      <c r="H1359" s="1510" t="s">
        <v>3197</v>
      </c>
      <c r="I1359" s="589"/>
      <c r="J1359" s="589"/>
      <c r="K1359" s="589"/>
      <c r="L1359" s="1634"/>
      <c r="M1359" s="991"/>
      <c r="N1359" s="991"/>
      <c r="O1359" s="991"/>
      <c r="P1359" s="991"/>
      <c r="Q1359" s="991"/>
      <c r="R1359" s="991"/>
      <c r="S1359" s="991"/>
      <c r="T1359" s="991"/>
      <c r="X1359" s="1600"/>
      <c r="Y1359" s="1874"/>
      <c r="Z1359" s="1600"/>
      <c r="AL1359" s="1352"/>
      <c r="AM1359" s="1352"/>
      <c r="AN1359" s="1352"/>
      <c r="AO1359" s="1352"/>
      <c r="AP1359" s="1352"/>
      <c r="AQ1359" s="1352"/>
      <c r="AR1359" s="1352"/>
      <c r="AS1359" s="1352"/>
    </row>
    <row r="1360" spans="1:45" s="905" customFormat="1" ht="15" hidden="1" customHeight="1" x14ac:dyDescent="0.2">
      <c r="A1360" s="1507">
        <v>7</v>
      </c>
      <c r="B1360" s="1516" t="s">
        <v>4446</v>
      </c>
      <c r="C1360" s="1516" t="s">
        <v>255</v>
      </c>
      <c r="D1360" s="1516" t="s">
        <v>122</v>
      </c>
      <c r="E1360" s="1516"/>
      <c r="F1360" s="1511"/>
      <c r="G1360" s="1509" t="str">
        <f t="shared" ca="1" si="105"/>
        <v/>
      </c>
      <c r="H1360" s="1510" t="s">
        <v>3197</v>
      </c>
      <c r="I1360" s="589"/>
      <c r="J1360" s="589"/>
      <c r="K1360" s="589" t="s">
        <v>122</v>
      </c>
      <c r="L1360" s="1634" t="s">
        <v>4246</v>
      </c>
      <c r="M1360" s="991"/>
      <c r="N1360" s="991"/>
      <c r="O1360" s="991"/>
      <c r="P1360" s="991"/>
      <c r="Q1360" s="991"/>
      <c r="R1360" s="991"/>
      <c r="S1360" s="991"/>
      <c r="T1360" s="991"/>
      <c r="X1360" s="1600"/>
      <c r="Y1360" s="1874" t="str">
        <f>IF(LEN('11.700'!X486)=0,"None",'11.700'!X486)</f>
        <v>None</v>
      </c>
      <c r="Z1360" s="1600"/>
      <c r="AL1360" s="1352"/>
      <c r="AM1360" s="1352"/>
      <c r="AN1360" s="1352"/>
      <c r="AO1360" s="1352"/>
      <c r="AP1360" s="1352"/>
      <c r="AQ1360" s="1352"/>
      <c r="AR1360" s="1352" t="str">
        <f>SUBSTITUTE(SUBSTITUTE(SUBSTITUTE("vnt"&amp;$B1360&amp;$C1360&amp;$D1360&amp;$E1360&amp;$F1360,".","_"),"(","_"),")","")</f>
        <v>vnt703_7_4_2_b</v>
      </c>
      <c r="AS1360" s="1352" t="str">
        <f>IF(LEN(X1360)=0,"",X1360)</f>
        <v/>
      </c>
    </row>
    <row r="1361" spans="1:46" s="905" customFormat="1" hidden="1" x14ac:dyDescent="0.2">
      <c r="A1361" s="1507">
        <v>7</v>
      </c>
      <c r="B1361" s="1516" t="s">
        <v>4446</v>
      </c>
      <c r="C1361" s="1516" t="s">
        <v>255</v>
      </c>
      <c r="D1361" s="1516" t="s">
        <v>122</v>
      </c>
      <c r="E1361" s="1516"/>
      <c r="F1361" s="1511"/>
      <c r="G1361" s="1509" t="str">
        <f t="shared" ca="1" si="105"/>
        <v/>
      </c>
      <c r="H1361" s="1510" t="s">
        <v>3197</v>
      </c>
      <c r="I1361" s="589"/>
      <c r="J1361" s="589"/>
      <c r="K1361" s="589"/>
      <c r="L1361" s="1634"/>
      <c r="M1361" s="991"/>
      <c r="N1361" s="991"/>
      <c r="O1361" s="991"/>
      <c r="P1361" s="991"/>
      <c r="Q1361" s="991"/>
      <c r="R1361" s="991"/>
      <c r="S1361" s="991"/>
      <c r="T1361" s="991"/>
      <c r="X1361" s="1600"/>
      <c r="Y1361" s="1874"/>
      <c r="Z1361" s="1600"/>
      <c r="AL1361" s="1352"/>
      <c r="AM1361" s="1352"/>
      <c r="AN1361" s="1352"/>
      <c r="AO1361" s="1352"/>
      <c r="AP1361" s="1352"/>
      <c r="AQ1361" s="1352"/>
      <c r="AR1361" s="1352"/>
      <c r="AS1361" s="1352"/>
    </row>
    <row r="1362" spans="1:46" s="905" customFormat="1" ht="15" hidden="1" customHeight="1" x14ac:dyDescent="0.2">
      <c r="A1362" s="1507">
        <v>7</v>
      </c>
      <c r="B1362" s="1516" t="s">
        <v>4446</v>
      </c>
      <c r="C1362" s="1516" t="s">
        <v>255</v>
      </c>
      <c r="D1362" s="1516" t="s">
        <v>648</v>
      </c>
      <c r="E1362" s="1516"/>
      <c r="F1362" s="1511"/>
      <c r="G1362" s="1509" t="str">
        <f t="shared" ca="1" si="105"/>
        <v/>
      </c>
      <c r="H1362" s="1510" t="s">
        <v>3197</v>
      </c>
      <c r="I1362" s="589"/>
      <c r="J1362" s="589"/>
      <c r="K1362" s="873" t="s">
        <v>648</v>
      </c>
      <c r="L1362" s="1634" t="s">
        <v>4247</v>
      </c>
      <c r="M1362" s="991"/>
      <c r="N1362" s="991"/>
      <c r="O1362" s="991"/>
      <c r="P1362" s="991"/>
      <c r="Q1362" s="991"/>
      <c r="R1362" s="991"/>
      <c r="S1362" s="991"/>
      <c r="T1362" s="991"/>
      <c r="X1362" s="1600"/>
      <c r="Y1362" s="1874"/>
      <c r="Z1362" s="1600"/>
      <c r="AL1362" s="1352"/>
      <c r="AM1362" s="1352"/>
      <c r="AN1362" s="1352"/>
      <c r="AO1362" s="1352"/>
      <c r="AP1362" s="1352"/>
      <c r="AQ1362" s="1352"/>
      <c r="AR1362" s="1352"/>
      <c r="AS1362" s="1352"/>
    </row>
    <row r="1363" spans="1:46" s="905" customFormat="1" hidden="1" x14ac:dyDescent="0.2">
      <c r="A1363" s="1507">
        <v>7</v>
      </c>
      <c r="B1363" s="1516" t="s">
        <v>4446</v>
      </c>
      <c r="C1363" s="1516" t="s">
        <v>255</v>
      </c>
      <c r="D1363" s="1516" t="s">
        <v>648</v>
      </c>
      <c r="E1363" s="1516"/>
      <c r="F1363" s="1511"/>
      <c r="G1363" s="1509" t="str">
        <f t="shared" ca="1" si="105"/>
        <v/>
      </c>
      <c r="H1363" s="1510" t="s">
        <v>3197</v>
      </c>
      <c r="I1363" s="589"/>
      <c r="J1363" s="589"/>
      <c r="K1363" s="873"/>
      <c r="L1363" s="1634"/>
      <c r="M1363" s="991"/>
      <c r="N1363" s="991"/>
      <c r="O1363" s="991"/>
      <c r="P1363" s="991"/>
      <c r="Q1363" s="991"/>
      <c r="R1363" s="991"/>
      <c r="S1363" s="991"/>
      <c r="T1363" s="991"/>
      <c r="X1363" s="1600"/>
      <c r="Y1363" s="1874"/>
      <c r="Z1363" s="1600"/>
      <c r="AL1363" s="1352"/>
      <c r="AM1363" s="1352"/>
      <c r="AN1363" s="1352"/>
      <c r="AO1363" s="1352"/>
      <c r="AP1363" s="1352"/>
      <c r="AQ1363" s="1352"/>
      <c r="AR1363" s="1352"/>
      <c r="AS1363" s="1352"/>
    </row>
    <row r="1364" spans="1:46" s="905" customFormat="1" ht="15" hidden="1" customHeight="1" x14ac:dyDescent="0.2">
      <c r="A1364" s="1507">
        <v>7</v>
      </c>
      <c r="B1364" s="1516" t="s">
        <v>4446</v>
      </c>
      <c r="C1364" s="1516" t="s">
        <v>255</v>
      </c>
      <c r="D1364" s="1516" t="s">
        <v>4248</v>
      </c>
      <c r="E1364" s="1516"/>
      <c r="F1364" s="1511"/>
      <c r="G1364" s="1509" t="str">
        <f t="shared" ca="1" si="105"/>
        <v/>
      </c>
      <c r="H1364" s="1510" t="s">
        <v>3197</v>
      </c>
      <c r="I1364" s="589"/>
      <c r="J1364" s="589"/>
      <c r="K1364" s="873" t="s">
        <v>4248</v>
      </c>
      <c r="L1364" s="1634" t="s">
        <v>4249</v>
      </c>
      <c r="M1364" s="991"/>
      <c r="N1364" s="991"/>
      <c r="O1364" s="991"/>
      <c r="P1364" s="991"/>
      <c r="Q1364" s="991"/>
      <c r="R1364" s="991"/>
      <c r="S1364" s="991"/>
      <c r="T1364" s="991"/>
      <c r="X1364" s="1600"/>
      <c r="Y1364" s="1874"/>
      <c r="Z1364" s="1600"/>
      <c r="AL1364" s="1352"/>
      <c r="AM1364" s="1352"/>
      <c r="AN1364" s="1352"/>
      <c r="AO1364" s="1352"/>
      <c r="AP1364" s="1352"/>
      <c r="AQ1364" s="1352"/>
      <c r="AR1364" s="1352"/>
      <c r="AS1364" s="1352"/>
    </row>
    <row r="1365" spans="1:46" s="905" customFormat="1" hidden="1" x14ac:dyDescent="0.2">
      <c r="A1365" s="1507">
        <v>7</v>
      </c>
      <c r="B1365" s="1516" t="s">
        <v>4446</v>
      </c>
      <c r="C1365" s="1516" t="s">
        <v>255</v>
      </c>
      <c r="D1365" s="1516" t="s">
        <v>4248</v>
      </c>
      <c r="E1365" s="1516"/>
      <c r="F1365" s="1511"/>
      <c r="G1365" s="1509" t="str">
        <f t="shared" ca="1" si="105"/>
        <v/>
      </c>
      <c r="H1365" s="1510" t="s">
        <v>3197</v>
      </c>
      <c r="I1365" s="589"/>
      <c r="J1365" s="589"/>
      <c r="K1365" s="873"/>
      <c r="L1365" s="1634"/>
      <c r="M1365" s="991"/>
      <c r="N1365" s="991"/>
      <c r="O1365" s="991"/>
      <c r="P1365" s="991"/>
      <c r="Q1365" s="991"/>
      <c r="R1365" s="991"/>
      <c r="S1365" s="991"/>
      <c r="T1365" s="991"/>
      <c r="X1365" s="1600"/>
      <c r="Y1365" s="1874"/>
      <c r="Z1365" s="1600"/>
      <c r="AL1365" s="1352"/>
      <c r="AM1365" s="1352"/>
      <c r="AN1365" s="1352"/>
      <c r="AO1365" s="1352"/>
      <c r="AP1365" s="1352"/>
      <c r="AQ1365" s="1352"/>
      <c r="AR1365" s="1352"/>
      <c r="AS1365" s="1352"/>
    </row>
    <row r="1366" spans="1:46" s="905" customFormat="1" ht="15" hidden="1" customHeight="1" x14ac:dyDescent="0.2">
      <c r="A1366" s="1507">
        <v>7</v>
      </c>
      <c r="B1366" s="1516" t="s">
        <v>4446</v>
      </c>
      <c r="C1366" s="1516" t="s">
        <v>255</v>
      </c>
      <c r="D1366" s="1516" t="s">
        <v>4250</v>
      </c>
      <c r="E1366" s="1516"/>
      <c r="F1366" s="1511"/>
      <c r="G1366" s="1509" t="str">
        <f t="shared" ca="1" si="105"/>
        <v/>
      </c>
      <c r="H1366" s="1510" t="s">
        <v>3197</v>
      </c>
      <c r="I1366" s="589"/>
      <c r="J1366" s="589"/>
      <c r="K1366" s="873" t="s">
        <v>4250</v>
      </c>
      <c r="L1366" s="1634" t="s">
        <v>4251</v>
      </c>
      <c r="M1366" s="991"/>
      <c r="N1366" s="991"/>
      <c r="O1366" s="991"/>
      <c r="P1366" s="991"/>
      <c r="Q1366" s="991"/>
      <c r="R1366" s="991"/>
      <c r="S1366" s="991"/>
      <c r="T1366" s="991"/>
      <c r="X1366" s="1600"/>
      <c r="Y1366" s="1874"/>
      <c r="Z1366" s="1600"/>
      <c r="AL1366" s="1352"/>
      <c r="AM1366" s="1352"/>
      <c r="AN1366" s="1352"/>
      <c r="AO1366" s="1352"/>
      <c r="AP1366" s="1352"/>
      <c r="AQ1366" s="1352"/>
      <c r="AR1366" s="1352"/>
      <c r="AS1366" s="1352"/>
    </row>
    <row r="1367" spans="1:46" s="905" customFormat="1" hidden="1" x14ac:dyDescent="0.2">
      <c r="A1367" s="1507">
        <v>7</v>
      </c>
      <c r="B1367" s="1516" t="s">
        <v>4446</v>
      </c>
      <c r="C1367" s="1516" t="s">
        <v>255</v>
      </c>
      <c r="D1367" s="1516" t="s">
        <v>4250</v>
      </c>
      <c r="E1367" s="1516"/>
      <c r="F1367" s="1511"/>
      <c r="G1367" s="1509" t="str">
        <f t="shared" ca="1" si="105"/>
        <v/>
      </c>
      <c r="H1367" s="1510" t="s">
        <v>3197</v>
      </c>
      <c r="I1367" s="589"/>
      <c r="J1367" s="589"/>
      <c r="K1367" s="589"/>
      <c r="L1367" s="1634"/>
      <c r="M1367" s="991"/>
      <c r="N1367" s="991"/>
      <c r="O1367" s="991"/>
      <c r="P1367" s="991"/>
      <c r="Q1367" s="991"/>
      <c r="R1367" s="991"/>
      <c r="S1367" s="991"/>
      <c r="T1367" s="991"/>
      <c r="X1367" s="1600"/>
      <c r="Y1367" s="1874"/>
      <c r="Z1367" s="1600"/>
      <c r="AL1367" s="1352"/>
      <c r="AM1367" s="1352"/>
      <c r="AN1367" s="1352"/>
      <c r="AO1367" s="1352"/>
      <c r="AP1367" s="1352"/>
      <c r="AQ1367" s="1352"/>
      <c r="AR1367" s="1352"/>
      <c r="AS1367" s="1352"/>
    </row>
    <row r="1368" spans="1:46" s="905" customFormat="1" ht="15" hidden="1" customHeight="1" x14ac:dyDescent="0.2">
      <c r="A1368" s="1507">
        <v>7</v>
      </c>
      <c r="B1368" s="1516" t="s">
        <v>4446</v>
      </c>
      <c r="C1368" s="1516" t="s">
        <v>255</v>
      </c>
      <c r="D1368" s="1516" t="s">
        <v>123</v>
      </c>
      <c r="E1368" s="1516"/>
      <c r="F1368" s="1511"/>
      <c r="G1368" s="1509" t="str">
        <f t="shared" ca="1" si="105"/>
        <v/>
      </c>
      <c r="H1368" s="1510" t="s">
        <v>3197</v>
      </c>
      <c r="I1368" s="589"/>
      <c r="J1368" s="590"/>
      <c r="K1368" s="590" t="s">
        <v>123</v>
      </c>
      <c r="L1368" s="1634" t="s">
        <v>4252</v>
      </c>
      <c r="M1368" s="991"/>
      <c r="N1368" s="991"/>
      <c r="O1368" s="991"/>
      <c r="P1368" s="991"/>
      <c r="Q1368" s="991"/>
      <c r="R1368" s="991"/>
      <c r="S1368" s="991"/>
      <c r="T1368" s="991"/>
      <c r="X1368" s="1600"/>
      <c r="Y1368" s="1874" t="str">
        <f>IF(LEN('11.700'!X494)=0,"None",'11.700'!X494)</f>
        <v>None</v>
      </c>
      <c r="Z1368" s="1600"/>
      <c r="AL1368" s="1352"/>
      <c r="AM1368" s="1352"/>
      <c r="AN1368" s="1352"/>
      <c r="AO1368" s="1352"/>
      <c r="AP1368" s="1352"/>
      <c r="AQ1368" s="1352"/>
      <c r="AR1368" s="1352" t="str">
        <f>SUBSTITUTE(SUBSTITUTE(SUBSTITUTE("vnt"&amp;$B1368&amp;$C1368&amp;$D1368&amp;$E1368&amp;$F1368,".","_"),"(","_"),")","")</f>
        <v>vnt703_7_4_2_c</v>
      </c>
      <c r="AS1368" s="1352" t="str">
        <f>IF(LEN(X1368)=0,"",X1368)</f>
        <v/>
      </c>
    </row>
    <row r="1369" spans="1:46" s="905" customFormat="1" hidden="1" x14ac:dyDescent="0.2">
      <c r="A1369" s="1507">
        <v>7</v>
      </c>
      <c r="B1369" s="1516" t="s">
        <v>4446</v>
      </c>
      <c r="C1369" s="1516" t="s">
        <v>255</v>
      </c>
      <c r="D1369" s="1516" t="s">
        <v>123</v>
      </c>
      <c r="E1369" s="1516"/>
      <c r="F1369" s="1511"/>
      <c r="G1369" s="1509" t="str">
        <f t="shared" ca="1" si="105"/>
        <v/>
      </c>
      <c r="H1369" s="1510" t="s">
        <v>3197</v>
      </c>
      <c r="I1369" s="589"/>
      <c r="J1369" s="590"/>
      <c r="K1369" s="590"/>
      <c r="L1369" s="1634"/>
      <c r="M1369" s="991"/>
      <c r="N1369" s="991"/>
      <c r="O1369" s="991"/>
      <c r="P1369" s="991"/>
      <c r="Q1369" s="991"/>
      <c r="R1369" s="991"/>
      <c r="S1369" s="991"/>
      <c r="T1369" s="991"/>
      <c r="X1369" s="1600"/>
      <c r="Y1369" s="1874"/>
      <c r="Z1369" s="1600"/>
      <c r="AL1369" s="1352"/>
      <c r="AM1369" s="1352"/>
      <c r="AN1369" s="1352"/>
      <c r="AO1369" s="1352"/>
      <c r="AP1369" s="1352"/>
      <c r="AQ1369" s="1352"/>
      <c r="AR1369" s="1352"/>
      <c r="AS1369" s="1352"/>
    </row>
    <row r="1370" spans="1:46" s="905" customFormat="1" hidden="1" x14ac:dyDescent="0.2">
      <c r="A1370" s="1507">
        <v>7</v>
      </c>
      <c r="B1370" s="1516" t="s">
        <v>4446</v>
      </c>
      <c r="C1370" s="1516" t="s">
        <v>255</v>
      </c>
      <c r="D1370" s="1516" t="s">
        <v>123</v>
      </c>
      <c r="E1370" s="1516"/>
      <c r="F1370" s="1511"/>
      <c r="G1370" s="1509" t="str">
        <f t="shared" ca="1" si="105"/>
        <v/>
      </c>
      <c r="H1370" s="1510" t="s">
        <v>3197</v>
      </c>
      <c r="I1370" s="589"/>
      <c r="J1370" s="606"/>
      <c r="K1370" s="606"/>
      <c r="L1370" s="1639"/>
      <c r="M1370" s="991"/>
      <c r="N1370" s="991"/>
      <c r="O1370" s="991"/>
      <c r="P1370" s="991"/>
      <c r="Q1370" s="991"/>
      <c r="R1370" s="991"/>
      <c r="S1370" s="991"/>
      <c r="T1370" s="991"/>
      <c r="X1370" s="1600"/>
      <c r="Y1370" s="1874"/>
      <c r="Z1370" s="1600"/>
      <c r="AL1370" s="1352"/>
      <c r="AM1370" s="1352"/>
      <c r="AN1370" s="1352"/>
      <c r="AO1370" s="1352"/>
      <c r="AP1370" s="1352"/>
      <c r="AQ1370" s="1352"/>
      <c r="AR1370" s="1352"/>
      <c r="AS1370" s="1352"/>
    </row>
    <row r="1371" spans="1:46" s="905" customFormat="1" ht="15" hidden="1" customHeight="1" x14ac:dyDescent="0.2">
      <c r="A1371" s="1507">
        <v>7</v>
      </c>
      <c r="B1371" s="1516" t="s">
        <v>4446</v>
      </c>
      <c r="C1371" s="1516" t="s">
        <v>256</v>
      </c>
      <c r="D1371" s="1516"/>
      <c r="E1371" s="1516"/>
      <c r="F1371" s="1511"/>
      <c r="G1371" s="1509" t="str">
        <f t="shared" ca="1" si="105"/>
        <v/>
      </c>
      <c r="H1371" s="1510" t="s">
        <v>3197</v>
      </c>
      <c r="I1371" s="589"/>
      <c r="J1371" s="589" t="s">
        <v>256</v>
      </c>
      <c r="K1371" s="589"/>
      <c r="L1371" s="1634" t="s">
        <v>4253</v>
      </c>
      <c r="M1371" s="991"/>
      <c r="N1371" s="991"/>
      <c r="O1371" s="991"/>
      <c r="P1371" s="991"/>
      <c r="Q1371" s="991"/>
      <c r="R1371" s="991"/>
      <c r="S1371" s="991"/>
      <c r="T1371" s="991"/>
      <c r="X1371" s="1600"/>
      <c r="Y1371" s="1874" t="str">
        <f>IF(LEN('11.700'!X497)=0,"None",'11.700'!X497)</f>
        <v>None</v>
      </c>
      <c r="Z1371" s="1600"/>
      <c r="AL1371" s="1352"/>
      <c r="AM1371" s="1352"/>
      <c r="AN1371" s="1352"/>
      <c r="AO1371" s="1352"/>
      <c r="AP1371" s="1352"/>
      <c r="AQ1371" s="1352"/>
      <c r="AR1371" s="1352" t="str">
        <f>SUBSTITUTE(SUBSTITUTE(SUBSTITUTE("vnt"&amp;$B1371&amp;$C1371&amp;$D1371&amp;$E1371&amp;$F1371,".","_"),"(","_"),")","")</f>
        <v>vnt703_7_4_3</v>
      </c>
      <c r="AS1371" s="1352" t="str">
        <f>IF(LEN(X1371)=0,"",X1371)</f>
        <v/>
      </c>
    </row>
    <row r="1372" spans="1:46" s="905" customFormat="1" hidden="1" x14ac:dyDescent="0.2">
      <c r="A1372" s="1507">
        <v>7</v>
      </c>
      <c r="B1372" s="1516" t="s">
        <v>4446</v>
      </c>
      <c r="C1372" s="1516" t="s">
        <v>256</v>
      </c>
      <c r="D1372" s="1516"/>
      <c r="E1372" s="1516"/>
      <c r="F1372" s="1511"/>
      <c r="G1372" s="1509" t="str">
        <f t="shared" ca="1" si="105"/>
        <v/>
      </c>
      <c r="H1372" s="1510" t="s">
        <v>3197</v>
      </c>
      <c r="I1372" s="589"/>
      <c r="J1372" s="589"/>
      <c r="K1372" s="589"/>
      <c r="L1372" s="1634"/>
      <c r="M1372" s="991"/>
      <c r="N1372" s="991"/>
      <c r="O1372" s="991"/>
      <c r="P1372" s="991"/>
      <c r="Q1372" s="991"/>
      <c r="R1372" s="991"/>
      <c r="S1372" s="991"/>
      <c r="T1372" s="991"/>
      <c r="X1372" s="1600"/>
      <c r="Y1372" s="1874"/>
      <c r="Z1372" s="1600"/>
      <c r="AL1372" s="1352"/>
      <c r="AM1372" s="1352"/>
      <c r="AN1372" s="1352"/>
      <c r="AO1372" s="1352"/>
      <c r="AP1372" s="1352"/>
      <c r="AQ1372" s="1352"/>
      <c r="AR1372" s="1352"/>
      <c r="AS1372" s="1352"/>
    </row>
    <row r="1373" spans="1:46" s="905" customFormat="1" ht="19" x14ac:dyDescent="0.25">
      <c r="A1373" s="1507">
        <v>7</v>
      </c>
      <c r="B1373" s="1516">
        <v>705</v>
      </c>
      <c r="C1373" s="1516"/>
      <c r="D1373" s="1516"/>
      <c r="E1373" s="1516"/>
      <c r="F1373" s="1511"/>
      <c r="G1373" s="1511" t="s">
        <v>3200</v>
      </c>
      <c r="H1373" s="1510" t="s">
        <v>3197</v>
      </c>
      <c r="I1373" s="1004" t="s">
        <v>4254</v>
      </c>
      <c r="J1373" s="81"/>
      <c r="K1373" s="81"/>
      <c r="L1373" s="1004"/>
      <c r="M1373" s="994"/>
      <c r="N1373" s="994"/>
      <c r="O1373" s="994"/>
      <c r="P1373" s="994"/>
      <c r="Q1373" s="994"/>
      <c r="R1373" s="994"/>
      <c r="S1373" s="994"/>
      <c r="T1373" s="994"/>
      <c r="U1373" s="25"/>
      <c r="V1373" s="25"/>
      <c r="W1373" s="25"/>
      <c r="X1373" s="25"/>
      <c r="Y1373" s="25"/>
      <c r="Z1373" s="25"/>
      <c r="AL1373" s="1352"/>
      <c r="AM1373" s="1352"/>
      <c r="AN1373" s="1352"/>
      <c r="AO1373" s="1352"/>
      <c r="AP1373" s="1352"/>
      <c r="AQ1373" s="1352"/>
      <c r="AR1373" s="1352"/>
      <c r="AS1373" s="1352"/>
    </row>
    <row r="1374" spans="1:46" ht="19" x14ac:dyDescent="0.25">
      <c r="A1374" s="1507">
        <v>7</v>
      </c>
      <c r="B1374" s="1516">
        <v>705</v>
      </c>
      <c r="G1374" s="1511" t="s">
        <v>3200</v>
      </c>
      <c r="H1374" s="1510" t="s">
        <v>3197</v>
      </c>
      <c r="I1374" s="1198"/>
      <c r="J1374" s="1198"/>
      <c r="K1374" s="1198"/>
      <c r="L1374" s="1215" t="s">
        <v>5023</v>
      </c>
      <c r="M1374"/>
      <c r="N1374"/>
      <c r="O1374"/>
      <c r="P1374"/>
      <c r="Q1374"/>
      <c r="R1374"/>
      <c r="S1374"/>
      <c r="T1374"/>
      <c r="U1374"/>
      <c r="V1374"/>
      <c r="W1374"/>
      <c r="X1374"/>
      <c r="Y1374"/>
      <c r="Z1374"/>
      <c r="AA1374"/>
      <c r="AC1374"/>
      <c r="AD1374"/>
      <c r="AE1374"/>
      <c r="AF1374"/>
      <c r="AG1374"/>
      <c r="AH1374"/>
      <c r="AI1374"/>
      <c r="AJ1374"/>
      <c r="AK1374"/>
      <c r="AL1374" s="1352"/>
      <c r="AM1374" s="1352"/>
      <c r="AN1374" s="1352"/>
      <c r="AO1374" s="1352"/>
      <c r="AP1374" s="1352"/>
      <c r="AQ1374" s="1352"/>
      <c r="AR1374" s="1352"/>
      <c r="AS1374" s="1352"/>
      <c r="AT1374"/>
    </row>
    <row r="1375" spans="1:46" s="905" customFormat="1" hidden="1" x14ac:dyDescent="0.2">
      <c r="A1375" s="1507">
        <v>7</v>
      </c>
      <c r="B1375" s="1516">
        <v>705.2</v>
      </c>
      <c r="C1375" s="1516"/>
      <c r="D1375" s="1516"/>
      <c r="E1375" s="1516"/>
      <c r="F1375" s="1511"/>
      <c r="G1375" s="1513" t="str">
        <f ca="1">IF(COUNTIF(G1376:G1406,"P")&gt;0,"P","")</f>
        <v/>
      </c>
      <c r="H1375" s="1510" t="s">
        <v>3197</v>
      </c>
      <c r="I1375" s="589" t="s">
        <v>4255</v>
      </c>
      <c r="J1375" s="589"/>
      <c r="K1375" s="589"/>
      <c r="L1375" s="946" t="s">
        <v>4256</v>
      </c>
      <c r="M1375" s="991"/>
      <c r="N1375" s="991"/>
      <c r="O1375" s="991"/>
      <c r="P1375" s="991"/>
      <c r="Q1375" s="991"/>
      <c r="R1375" s="991"/>
      <c r="S1375" s="991"/>
      <c r="T1375" s="991"/>
      <c r="Z1375" s="1122"/>
      <c r="AL1375" s="1352"/>
      <c r="AM1375" s="1352"/>
      <c r="AN1375" s="1352"/>
      <c r="AO1375" s="1352"/>
      <c r="AP1375" s="1352"/>
      <c r="AQ1375" s="1352"/>
      <c r="AR1375" s="1352"/>
      <c r="AS1375" s="1352"/>
    </row>
    <row r="1376" spans="1:46" s="905" customFormat="1" ht="15" hidden="1" customHeight="1" x14ac:dyDescent="0.2">
      <c r="A1376" s="1507">
        <v>7</v>
      </c>
      <c r="B1376" s="1516" t="s">
        <v>4447</v>
      </c>
      <c r="C1376" s="1516"/>
      <c r="D1376" s="1516"/>
      <c r="E1376" s="1516"/>
      <c r="F1376" s="1511"/>
      <c r="G1376" s="1513" t="str">
        <f ca="1">IF(COUNTIF(G1379:G1396,"P")&gt;0,"P","")</f>
        <v/>
      </c>
      <c r="H1376" s="1530" t="s">
        <v>3199</v>
      </c>
      <c r="I1376" s="589" t="s">
        <v>4257</v>
      </c>
      <c r="J1376" s="589"/>
      <c r="K1376" s="589"/>
      <c r="L1376" s="1687" t="s">
        <v>4258</v>
      </c>
      <c r="M1376" s="991"/>
      <c r="N1376" s="991"/>
      <c r="O1376" s="991"/>
      <c r="P1376" s="991"/>
      <c r="Q1376" s="991"/>
      <c r="R1376" s="991"/>
      <c r="S1376" s="991"/>
      <c r="T1376" s="991"/>
      <c r="Z1376" s="1122"/>
      <c r="AL1376" s="1352"/>
      <c r="AM1376" s="1352"/>
      <c r="AN1376" s="1352"/>
      <c r="AO1376" s="1352"/>
      <c r="AP1376" s="1352"/>
      <c r="AQ1376" s="1352"/>
      <c r="AR1376" s="1352"/>
      <c r="AS1376" s="1352"/>
    </row>
    <row r="1377" spans="1:45" s="905" customFormat="1" hidden="1" x14ac:dyDescent="0.2">
      <c r="A1377" s="1507">
        <v>7</v>
      </c>
      <c r="B1377" s="1516" t="s">
        <v>4447</v>
      </c>
      <c r="C1377" s="1516"/>
      <c r="D1377" s="1516"/>
      <c r="E1377" s="1516"/>
      <c r="F1377" s="1511"/>
      <c r="G1377" s="1509" t="str">
        <f ca="1">G1376</f>
        <v/>
      </c>
      <c r="H1377" s="1530" t="s">
        <v>3199</v>
      </c>
      <c r="I1377" s="589"/>
      <c r="J1377" s="589"/>
      <c r="K1377" s="589"/>
      <c r="L1377" s="1687"/>
      <c r="M1377" s="991"/>
      <c r="N1377" s="991"/>
      <c r="O1377" s="991"/>
      <c r="P1377" s="991"/>
      <c r="Q1377" s="991"/>
      <c r="R1377" s="991"/>
      <c r="S1377" s="991"/>
      <c r="T1377" s="991"/>
      <c r="Z1377" s="1122"/>
      <c r="AL1377" s="1352"/>
      <c r="AM1377" s="1352"/>
      <c r="AN1377" s="1352"/>
      <c r="AO1377" s="1352"/>
      <c r="AP1377" s="1352"/>
      <c r="AQ1377" s="1352"/>
      <c r="AR1377" s="1352"/>
      <c r="AS1377" s="1352"/>
    </row>
    <row r="1378" spans="1:45" s="905" customFormat="1" hidden="1" x14ac:dyDescent="0.2">
      <c r="A1378" s="1507">
        <v>7</v>
      </c>
      <c r="B1378" s="1516" t="s">
        <v>4447</v>
      </c>
      <c r="C1378" s="1516"/>
      <c r="D1378" s="1516"/>
      <c r="E1378" s="1516"/>
      <c r="F1378" s="1511"/>
      <c r="G1378" s="1509" t="str">
        <f ca="1">G1377</f>
        <v/>
      </c>
      <c r="H1378" s="1530" t="s">
        <v>3199</v>
      </c>
      <c r="I1378" s="589"/>
      <c r="J1378" s="589"/>
      <c r="K1378" s="589"/>
      <c r="L1378" s="1687"/>
      <c r="M1378" s="991"/>
      <c r="N1378" s="991"/>
      <c r="O1378" s="991"/>
      <c r="P1378" s="991"/>
      <c r="Q1378" s="991"/>
      <c r="R1378" s="991"/>
      <c r="S1378" s="991"/>
      <c r="T1378" s="991"/>
      <c r="Z1378" s="1122"/>
      <c r="AL1378" s="1352"/>
      <c r="AM1378" s="1352"/>
      <c r="AN1378" s="1352"/>
      <c r="AO1378" s="1352"/>
      <c r="AP1378" s="1352"/>
      <c r="AQ1378" s="1352"/>
      <c r="AR1378" s="1352"/>
      <c r="AS1378" s="1352"/>
    </row>
    <row r="1379" spans="1:45" s="905" customFormat="1" ht="15" hidden="1" customHeight="1" x14ac:dyDescent="0.2">
      <c r="A1379" s="1507">
        <v>7</v>
      </c>
      <c r="B1379" s="1516" t="s">
        <v>4448</v>
      </c>
      <c r="C1379" s="1516"/>
      <c r="D1379" s="1516"/>
      <c r="E1379" s="1516"/>
      <c r="F1379" s="1511"/>
      <c r="G1379" s="1509" t="str">
        <f ca="1">IF(N1379&gt;0,"P","")</f>
        <v/>
      </c>
      <c r="H1379" s="1530" t="s">
        <v>3199</v>
      </c>
      <c r="I1379" s="589" t="s">
        <v>4259</v>
      </c>
      <c r="J1379" s="589"/>
      <c r="K1379" s="589"/>
      <c r="L1379" s="1687" t="s">
        <v>4260</v>
      </c>
      <c r="M1379" s="913"/>
      <c r="N1379" s="1619">
        <f ca="1">'11.700'!O505</f>
        <v>0</v>
      </c>
      <c r="O1379" s="1619">
        <f ca="1">IFERROR(INDEX({1,2},MATCH(W1379,INDIRECT(U1379),0)),0)*S1379</f>
        <v>0</v>
      </c>
      <c r="P1379" s="991" t="b">
        <v>0</v>
      </c>
      <c r="Q1379" s="991" t="b">
        <v>1</v>
      </c>
      <c r="R1379" s="991" t="b">
        <v>0</v>
      </c>
      <c r="S1379" s="991" t="b">
        <f ca="1">S885=2</f>
        <v>0</v>
      </c>
      <c r="T1379" s="991" t="b">
        <v>0</v>
      </c>
      <c r="U1379" s="905" t="str">
        <f>SUBSTITUTE(SUBSTITUTE(SUBSTITUTE("dd"&amp;B1379&amp;C1379&amp;D1379&amp;E1379&amp;F1379,".","_"),"(","_"),")","")</f>
        <v>dd705_2_1_1</v>
      </c>
      <c r="W1379" s="12"/>
      <c r="X1379" s="1600"/>
      <c r="Y1379" s="1874" t="str">
        <f>IF(LEN('11.700'!X505)=0,"None",'11.700'!X505)</f>
        <v>None</v>
      </c>
      <c r="Z1379" s="1600"/>
      <c r="AC1379" s="1150" t="b">
        <f>OR(AD1379:AE1379)</f>
        <v>0</v>
      </c>
      <c r="AD1379" s="1150" t="b">
        <f>T1379</f>
        <v>0</v>
      </c>
      <c r="AE1379" s="1150"/>
      <c r="AL1379" s="1352"/>
      <c r="AM1379" s="1352"/>
      <c r="AN1379" s="1352" t="str">
        <f>SUBSTITUTE(SUBSTITUTE(SUBSTITUTE("vpc"&amp;$B1379&amp;$C1379&amp;$D1379&amp;$E1379&amp;$F1379,".","_"),"(","_"),")","")</f>
        <v>vpc705_2_1_1</v>
      </c>
      <c r="AO1379" s="1352">
        <f ca="1">O1379</f>
        <v>0</v>
      </c>
      <c r="AP1379" s="1352" t="str">
        <f>SUBSTITUTE(SUBSTITUTE(SUBSTITUTE("vch"&amp;$B1379&amp;$C1379&amp;$D1379&amp;$E1379&amp;$F1379,".","_"),"(","_"),")","")</f>
        <v>vch705_2_1_1</v>
      </c>
      <c r="AQ1379" s="1352" t="str">
        <f>IF(LEN(W1379)=0,"",W1379)</f>
        <v/>
      </c>
      <c r="AR1379" s="1352" t="str">
        <f>SUBSTITUTE(SUBSTITUTE(SUBSTITUTE("vnt"&amp;$B1379&amp;$C1379&amp;$D1379&amp;$E1379&amp;$F1379,".","_"),"(","_"),")","")</f>
        <v>vnt705_2_1_1</v>
      </c>
      <c r="AS1379" s="1352" t="str">
        <f>IF(LEN(X1379)=0,"",X1379)</f>
        <v/>
      </c>
    </row>
    <row r="1380" spans="1:45" s="905" customFormat="1" hidden="1" x14ac:dyDescent="0.2">
      <c r="A1380" s="1507">
        <v>7</v>
      </c>
      <c r="B1380" s="1516" t="s">
        <v>4448</v>
      </c>
      <c r="C1380" s="1516"/>
      <c r="D1380" s="1516"/>
      <c r="E1380" s="1516"/>
      <c r="F1380" s="1511"/>
      <c r="G1380" s="1509" t="str">
        <f ca="1">G1379</f>
        <v/>
      </c>
      <c r="H1380" s="1530" t="s">
        <v>3199</v>
      </c>
      <c r="I1380" s="589"/>
      <c r="J1380" s="589"/>
      <c r="K1380" s="589"/>
      <c r="L1380" s="1687"/>
      <c r="M1380" s="913"/>
      <c r="N1380" s="1619"/>
      <c r="O1380" s="1619"/>
      <c r="P1380" s="991"/>
      <c r="Q1380" s="991"/>
      <c r="R1380" s="991"/>
      <c r="S1380" s="991"/>
      <c r="T1380" s="991"/>
      <c r="X1380" s="1600"/>
      <c r="Y1380" s="1874"/>
      <c r="Z1380" s="1600"/>
      <c r="AC1380" s="1150"/>
      <c r="AD1380" s="1150"/>
      <c r="AE1380" s="1150"/>
      <c r="AL1380" s="1352"/>
      <c r="AM1380" s="1352"/>
      <c r="AN1380" s="1352"/>
      <c r="AO1380" s="1352"/>
      <c r="AP1380" s="1352"/>
      <c r="AQ1380" s="1352"/>
      <c r="AR1380" s="1352"/>
      <c r="AS1380" s="1352"/>
    </row>
    <row r="1381" spans="1:45" s="905" customFormat="1" hidden="1" x14ac:dyDescent="0.2">
      <c r="A1381" s="1507">
        <v>7</v>
      </c>
      <c r="B1381" s="1516" t="s">
        <v>4448</v>
      </c>
      <c r="C1381" s="1516" t="s">
        <v>254</v>
      </c>
      <c r="D1381" s="1516"/>
      <c r="E1381" s="1516"/>
      <c r="F1381" s="1511"/>
      <c r="G1381" s="1509" t="str">
        <f ca="1">G1380</f>
        <v/>
      </c>
      <c r="H1381" s="1530" t="s">
        <v>3199</v>
      </c>
      <c r="I1381" s="589"/>
      <c r="J1381" s="606" t="s">
        <v>254</v>
      </c>
      <c r="K1381" s="606"/>
      <c r="L1381" s="923" t="s">
        <v>4261</v>
      </c>
      <c r="M1381" s="937">
        <v>1</v>
      </c>
      <c r="N1381" s="129"/>
      <c r="O1381" s="908"/>
      <c r="P1381" s="991"/>
      <c r="Q1381" s="991"/>
      <c r="R1381" s="991"/>
      <c r="S1381" s="991"/>
      <c r="T1381" s="991"/>
      <c r="X1381" s="1600"/>
      <c r="Y1381" s="1874"/>
      <c r="Z1381" s="1600"/>
      <c r="AC1381" s="1150"/>
      <c r="AD1381" s="1150"/>
      <c r="AE1381" s="1150"/>
      <c r="AL1381" s="1352" t="str">
        <f>SUBSTITUTE(SUBSTITUTE(SUBSTITUTE("vpa"&amp;$B1381&amp;$C1381&amp;$D1381&amp;$E1381&amp;$F1381,".","_"),"(","_"),")","")</f>
        <v>vpa705_2_1_1_1</v>
      </c>
      <c r="AM1381" s="1352">
        <f>M1381</f>
        <v>1</v>
      </c>
      <c r="AN1381" s="1352"/>
      <c r="AO1381" s="1352"/>
      <c r="AP1381" s="1352"/>
      <c r="AQ1381" s="1352"/>
      <c r="AR1381" s="1352"/>
      <c r="AS1381" s="1352"/>
    </row>
    <row r="1382" spans="1:45" s="905" customFormat="1" hidden="1" x14ac:dyDescent="0.2">
      <c r="A1382" s="1507">
        <v>7</v>
      </c>
      <c r="B1382" s="1516" t="s">
        <v>4448</v>
      </c>
      <c r="C1382" s="1516" t="s">
        <v>255</v>
      </c>
      <c r="D1382" s="1516"/>
      <c r="E1382" s="1516"/>
      <c r="F1382" s="1511"/>
      <c r="G1382" s="1509" t="str">
        <f ca="1">G1381</f>
        <v/>
      </c>
      <c r="H1382" s="1530" t="s">
        <v>3199</v>
      </c>
      <c r="I1382" s="606"/>
      <c r="J1382" s="606" t="s">
        <v>255</v>
      </c>
      <c r="K1382" s="606"/>
      <c r="L1382" s="923" t="s">
        <v>4262</v>
      </c>
      <c r="M1382" s="937">
        <v>2</v>
      </c>
      <c r="N1382" s="213"/>
      <c r="O1382" s="909"/>
      <c r="P1382" s="991"/>
      <c r="Q1382" s="991"/>
      <c r="R1382" s="991"/>
      <c r="S1382" s="991"/>
      <c r="T1382" s="991"/>
      <c r="X1382" s="1600"/>
      <c r="Y1382" s="1874"/>
      <c r="Z1382" s="1600"/>
      <c r="AC1382" s="1150"/>
      <c r="AD1382" s="1150"/>
      <c r="AE1382" s="1150"/>
      <c r="AL1382" s="1352" t="str">
        <f>SUBSTITUTE(SUBSTITUTE(SUBSTITUTE("vpa"&amp;$B1382&amp;$C1382&amp;$D1382&amp;$E1382&amp;$F1382,".","_"),"(","_"),")","")</f>
        <v>vpa705_2_1_1_2</v>
      </c>
      <c r="AM1382" s="1352">
        <f>M1382</f>
        <v>2</v>
      </c>
      <c r="AN1382" s="1352"/>
      <c r="AO1382" s="1352"/>
      <c r="AP1382" s="1352"/>
      <c r="AQ1382" s="1352"/>
      <c r="AR1382" s="1352"/>
      <c r="AS1382" s="1352"/>
    </row>
    <row r="1383" spans="1:45" s="905" customFormat="1" ht="15" hidden="1" customHeight="1" x14ac:dyDescent="0.2">
      <c r="A1383" s="1507">
        <v>7</v>
      </c>
      <c r="B1383" s="1516" t="s">
        <v>4449</v>
      </c>
      <c r="C1383" s="1516"/>
      <c r="D1383" s="1516"/>
      <c r="E1383" s="1516"/>
      <c r="F1383" s="1511"/>
      <c r="G1383" s="1509" t="str">
        <f ca="1">IF(N1383&gt;0,"P","")</f>
        <v/>
      </c>
      <c r="H1383" s="1530" t="s">
        <v>3199</v>
      </c>
      <c r="I1383" s="590" t="s">
        <v>4263</v>
      </c>
      <c r="J1383" s="590"/>
      <c r="K1383" s="590"/>
      <c r="L1383" s="1687" t="s">
        <v>4264</v>
      </c>
      <c r="M1383" s="1623">
        <v>1</v>
      </c>
      <c r="N1383" s="1637">
        <f ca="1">'11.700'!O509</f>
        <v>0</v>
      </c>
      <c r="O1383" s="1619">
        <f ca="1">M1383*S1383*W1383</f>
        <v>0</v>
      </c>
      <c r="P1383" s="991" t="b">
        <v>0</v>
      </c>
      <c r="Q1383" s="991" t="b">
        <v>1</v>
      </c>
      <c r="R1383" s="991" t="b">
        <v>0</v>
      </c>
      <c r="S1383" s="991" t="b">
        <f ca="1">S885=2</f>
        <v>0</v>
      </c>
      <c r="T1383" s="991" t="b">
        <v>0</v>
      </c>
      <c r="U1383" s="991"/>
      <c r="W1383" s="27"/>
      <c r="X1383" s="1600"/>
      <c r="Y1383" s="1874" t="str">
        <f>IF(LEN('11.700'!X509)=0,"None",'11.700'!X509)</f>
        <v>None</v>
      </c>
      <c r="Z1383" s="1600"/>
      <c r="AC1383" s="1150" t="b">
        <f>OR(AD1383:AE1383)</f>
        <v>0</v>
      </c>
      <c r="AD1383" s="1150" t="b">
        <f>T1383</f>
        <v>0</v>
      </c>
      <c r="AE1383" s="1150"/>
      <c r="AL1383" s="1352" t="str">
        <f>SUBSTITUTE(SUBSTITUTE(SUBSTITUTE("vpa"&amp;$B1383&amp;$C1383&amp;$D1383&amp;$E1383&amp;$F1383,".","_"),"(","_"),")","")</f>
        <v>vpa705_2_1_2</v>
      </c>
      <c r="AM1383" s="1352">
        <f>M1383</f>
        <v>1</v>
      </c>
      <c r="AN1383" s="1352" t="str">
        <f>SUBSTITUTE(SUBSTITUTE(SUBSTITUTE("vpc"&amp;$B1383&amp;$C1383&amp;$D1383&amp;$E1383&amp;$F1383,".","_"),"(","_"),")","")</f>
        <v>vpc705_2_1_2</v>
      </c>
      <c r="AO1383" s="1352">
        <f ca="1">O1383</f>
        <v>0</v>
      </c>
      <c r="AP1383" s="1352" t="str">
        <f>SUBSTITUTE(SUBSTITUTE(SUBSTITUTE("vch"&amp;$B1383&amp;$C1383&amp;$D1383&amp;$E1383&amp;$F1383,".","_"),"(","_"),")","")</f>
        <v>vch705_2_1_2</v>
      </c>
      <c r="AQ1383" s="1352" t="str">
        <f>IF(LEN(W1383)=0,"",W1383)</f>
        <v/>
      </c>
      <c r="AR1383" s="1352" t="str">
        <f>SUBSTITUTE(SUBSTITUTE(SUBSTITUTE("vnt"&amp;$B1383&amp;$C1383&amp;$D1383&amp;$E1383&amp;$F1383,".","_"),"(","_"),")","")</f>
        <v>vnt705_2_1_2</v>
      </c>
      <c r="AS1383" s="1352" t="str">
        <f>IF(LEN(X1383)=0,"",X1383)</f>
        <v/>
      </c>
    </row>
    <row r="1384" spans="1:45" s="905" customFormat="1" hidden="1" x14ac:dyDescent="0.2">
      <c r="A1384" s="1507">
        <v>7</v>
      </c>
      <c r="B1384" s="1516" t="s">
        <v>4449</v>
      </c>
      <c r="C1384" s="1516"/>
      <c r="D1384" s="1516"/>
      <c r="E1384" s="1516"/>
      <c r="F1384" s="1511"/>
      <c r="G1384" s="1509" t="str">
        <f ca="1">G1383</f>
        <v/>
      </c>
      <c r="H1384" s="1530" t="s">
        <v>3199</v>
      </c>
      <c r="I1384" s="590"/>
      <c r="J1384" s="590"/>
      <c r="K1384" s="590"/>
      <c r="L1384" s="1687"/>
      <c r="M1384" s="1623"/>
      <c r="N1384" s="1619"/>
      <c r="O1384" s="1619"/>
      <c r="P1384" s="991"/>
      <c r="Q1384" s="991"/>
      <c r="R1384" s="991"/>
      <c r="S1384" s="991"/>
      <c r="T1384" s="991"/>
      <c r="U1384" s="991"/>
      <c r="X1384" s="1600"/>
      <c r="Y1384" s="1874"/>
      <c r="Z1384" s="1600"/>
      <c r="AC1384" s="1150"/>
      <c r="AD1384" s="1150"/>
      <c r="AE1384" s="1150"/>
      <c r="AL1384" s="1352"/>
      <c r="AM1384" s="1352"/>
      <c r="AN1384" s="1352"/>
      <c r="AO1384" s="1352"/>
      <c r="AP1384" s="1352"/>
      <c r="AQ1384" s="1352"/>
      <c r="AR1384" s="1352"/>
      <c r="AS1384" s="1352"/>
    </row>
    <row r="1385" spans="1:45" s="905" customFormat="1" hidden="1" x14ac:dyDescent="0.2">
      <c r="A1385" s="1507">
        <v>7</v>
      </c>
      <c r="B1385" s="1516" t="s">
        <v>4449</v>
      </c>
      <c r="C1385" s="1516"/>
      <c r="D1385" s="1516"/>
      <c r="E1385" s="1516"/>
      <c r="F1385" s="1511"/>
      <c r="G1385" s="1509" t="str">
        <f ca="1">G1384</f>
        <v/>
      </c>
      <c r="H1385" s="1530" t="s">
        <v>3199</v>
      </c>
      <c r="I1385" s="606"/>
      <c r="J1385" s="606"/>
      <c r="K1385" s="606"/>
      <c r="L1385" s="1688"/>
      <c r="M1385" s="173"/>
      <c r="N1385" s="173"/>
      <c r="O1385" s="173"/>
      <c r="P1385" s="173"/>
      <c r="Q1385" s="173"/>
      <c r="R1385" s="173"/>
      <c r="S1385" s="173"/>
      <c r="T1385" s="173"/>
      <c r="U1385" s="173"/>
      <c r="X1385" s="1600"/>
      <c r="Y1385" s="1874"/>
      <c r="Z1385" s="1600"/>
      <c r="AC1385" s="1150"/>
      <c r="AD1385" s="1150"/>
      <c r="AE1385" s="1150"/>
      <c r="AL1385" s="1352"/>
      <c r="AM1385" s="1352"/>
      <c r="AN1385" s="1352"/>
      <c r="AO1385" s="1352"/>
      <c r="AP1385" s="1352"/>
      <c r="AQ1385" s="1352"/>
      <c r="AR1385" s="1352"/>
      <c r="AS1385" s="1352"/>
    </row>
    <row r="1386" spans="1:45" s="905" customFormat="1" hidden="1" x14ac:dyDescent="0.2">
      <c r="A1386" s="1507">
        <v>7</v>
      </c>
      <c r="B1386" s="1516" t="s">
        <v>4450</v>
      </c>
      <c r="C1386" s="1516"/>
      <c r="D1386" s="1516"/>
      <c r="E1386" s="1516"/>
      <c r="F1386" s="1511"/>
      <c r="G1386" s="1513" t="str">
        <f ca="1">IF(COUNTIF(G1387:G1391,"P")&gt;0,"P","")</f>
        <v/>
      </c>
      <c r="H1386" s="1530" t="s">
        <v>3199</v>
      </c>
      <c r="I1386" s="589" t="s">
        <v>4265</v>
      </c>
      <c r="J1386" s="589"/>
      <c r="K1386" s="589"/>
      <c r="L1386" s="946" t="s">
        <v>4266</v>
      </c>
      <c r="M1386" s="991"/>
      <c r="N1386" s="991"/>
      <c r="O1386" s="991"/>
      <c r="P1386" s="991"/>
      <c r="Q1386" s="991"/>
      <c r="R1386" s="991"/>
      <c r="S1386" s="991"/>
      <c r="T1386" s="991"/>
      <c r="X1386" s="1122"/>
      <c r="Z1386" s="1122"/>
      <c r="AC1386" s="1150"/>
      <c r="AD1386" s="1150"/>
      <c r="AE1386" s="1150"/>
      <c r="AL1386" s="1352"/>
      <c r="AM1386" s="1352"/>
      <c r="AN1386" s="1352"/>
      <c r="AO1386" s="1352"/>
      <c r="AP1386" s="1352"/>
      <c r="AQ1386" s="1352"/>
      <c r="AR1386" s="1352"/>
      <c r="AS1386" s="1352"/>
    </row>
    <row r="1387" spans="1:45" s="905" customFormat="1" ht="15" hidden="1" customHeight="1" x14ac:dyDescent="0.2">
      <c r="A1387" s="1507">
        <v>7</v>
      </c>
      <c r="B1387" s="1516" t="s">
        <v>4450</v>
      </c>
      <c r="C1387" s="1516" t="s">
        <v>254</v>
      </c>
      <c r="D1387" s="1516"/>
      <c r="E1387" s="1516"/>
      <c r="F1387" s="1511"/>
      <c r="G1387" s="1509" t="str">
        <f ca="1">IF(N1387&gt;0,"P","")</f>
        <v/>
      </c>
      <c r="H1387" s="1530" t="s">
        <v>3199</v>
      </c>
      <c r="I1387" s="589"/>
      <c r="J1387" s="589" t="s">
        <v>254</v>
      </c>
      <c r="K1387" s="589"/>
      <c r="L1387" s="1634" t="s">
        <v>4267</v>
      </c>
      <c r="M1387" s="913"/>
      <c r="N1387" s="1619">
        <f ca="1">'11.700'!O513</f>
        <v>0</v>
      </c>
      <c r="O1387" s="1619">
        <f ca="1">IFERROR(INDEX({1,2},MATCH(W1387,INDIRECT(U1387),0)),0)*S1387</f>
        <v>0</v>
      </c>
      <c r="P1387" s="991" t="b">
        <v>0</v>
      </c>
      <c r="Q1387" s="991" t="b">
        <v>1</v>
      </c>
      <c r="R1387" s="991" t="b">
        <v>0</v>
      </c>
      <c r="S1387" s="991" t="b">
        <f ca="1">IF(AND(S885=2,AY893=INDEX(INDIRECT("ddSingleOrMulti"),2)),TRUE,FALSE)</f>
        <v>0</v>
      </c>
      <c r="T1387" s="991" t="b">
        <f ca="1">AND(NOT(S1387),LEN(W1387)&gt;0)</f>
        <v>0</v>
      </c>
      <c r="U1387" s="905" t="str">
        <f>SUBSTITUTE(SUBSTITUTE(SUBSTITUTE("dd"&amp;B1387&amp;C1387&amp;D1387&amp;E1387&amp;F1387,".","_"),"(","_"),")","")</f>
        <v>dd705_2_1_3_1</v>
      </c>
      <c r="W1387" s="12"/>
      <c r="X1387" s="1600"/>
      <c r="Y1387" s="1874" t="str">
        <f>IF(LEN('11.700'!X513)=0,"None",'11.700'!X513)</f>
        <v>None</v>
      </c>
      <c r="Z1387" s="1600"/>
      <c r="AC1387" s="1150" t="b">
        <f ca="1">OR(AD1387:AE1387)</f>
        <v>0</v>
      </c>
      <c r="AD1387" s="1150" t="b">
        <f ca="1">T1387</f>
        <v>0</v>
      </c>
      <c r="AE1387" s="1150"/>
      <c r="AL1387" s="1352"/>
      <c r="AM1387" s="1352"/>
      <c r="AN1387" s="1352" t="str">
        <f>SUBSTITUTE(SUBSTITUTE(SUBSTITUTE("vpc"&amp;$B1387&amp;$C1387&amp;$D1387&amp;$E1387&amp;$F1387,".","_"),"(","_"),")","")</f>
        <v>vpc705_2_1_3_1</v>
      </c>
      <c r="AO1387" s="1352">
        <f ca="1">O1387</f>
        <v>0</v>
      </c>
      <c r="AP1387" s="1352" t="str">
        <f>SUBSTITUTE(SUBSTITUTE(SUBSTITUTE("vch"&amp;$B1387&amp;$C1387&amp;$D1387&amp;$E1387&amp;$F1387,".","_"),"(","_"),")","")</f>
        <v>vch705_2_1_3_1</v>
      </c>
      <c r="AQ1387" s="1352" t="str">
        <f>IF(LEN(W1387)=0,"",W1387)</f>
        <v/>
      </c>
      <c r="AR1387" s="1352" t="str">
        <f>SUBSTITUTE(SUBSTITUTE(SUBSTITUTE("vnt"&amp;$B1387&amp;$C1387&amp;$D1387&amp;$E1387&amp;$F1387,".","_"),"(","_"),")","")</f>
        <v>vnt705_2_1_3_1</v>
      </c>
      <c r="AS1387" s="1352" t="str">
        <f>IF(LEN(X1387)=0,"",X1387)</f>
        <v/>
      </c>
    </row>
    <row r="1388" spans="1:45" s="905" customFormat="1" hidden="1" x14ac:dyDescent="0.2">
      <c r="A1388" s="1507">
        <v>7</v>
      </c>
      <c r="B1388" s="1516" t="s">
        <v>4450</v>
      </c>
      <c r="C1388" s="1516" t="s">
        <v>254</v>
      </c>
      <c r="D1388" s="1516"/>
      <c r="E1388" s="1516"/>
      <c r="F1388" s="1511"/>
      <c r="G1388" s="1509" t="str">
        <f ca="1">G1387</f>
        <v/>
      </c>
      <c r="H1388" s="1530" t="s">
        <v>3199</v>
      </c>
      <c r="I1388" s="589"/>
      <c r="J1388" s="589"/>
      <c r="K1388" s="589"/>
      <c r="L1388" s="1634"/>
      <c r="M1388" s="913"/>
      <c r="N1388" s="1619"/>
      <c r="O1388" s="1619"/>
      <c r="P1388" s="991"/>
      <c r="Q1388" s="991"/>
      <c r="R1388" s="991"/>
      <c r="S1388" s="991"/>
      <c r="T1388" s="991"/>
      <c r="X1388" s="1600"/>
      <c r="Y1388" s="1874"/>
      <c r="Z1388" s="1600"/>
      <c r="AC1388" s="1150"/>
      <c r="AD1388" s="1150"/>
      <c r="AE1388" s="1150"/>
      <c r="AL1388" s="1352"/>
      <c r="AM1388" s="1352"/>
      <c r="AN1388" s="1352"/>
      <c r="AO1388" s="1352"/>
      <c r="AP1388" s="1352"/>
      <c r="AQ1388" s="1352"/>
      <c r="AR1388" s="1352"/>
      <c r="AS1388" s="1352"/>
    </row>
    <row r="1389" spans="1:45" s="905" customFormat="1" hidden="1" x14ac:dyDescent="0.2">
      <c r="A1389" s="1507">
        <v>7</v>
      </c>
      <c r="B1389" s="1516" t="s">
        <v>4450</v>
      </c>
      <c r="C1389" s="1516" t="s">
        <v>254</v>
      </c>
      <c r="D1389" s="1516" t="s">
        <v>121</v>
      </c>
      <c r="E1389" s="1516"/>
      <c r="F1389" s="1511"/>
      <c r="G1389" s="1509" t="str">
        <f ca="1">G1388</f>
        <v/>
      </c>
      <c r="H1389" s="1530" t="s">
        <v>3199</v>
      </c>
      <c r="I1389" s="589"/>
      <c r="J1389" s="589"/>
      <c r="K1389" s="606" t="s">
        <v>121</v>
      </c>
      <c r="L1389" s="923" t="s">
        <v>4261</v>
      </c>
      <c r="M1389" s="937">
        <v>1</v>
      </c>
      <c r="N1389" s="129"/>
      <c r="O1389" s="908"/>
      <c r="P1389" s="991"/>
      <c r="Q1389" s="991"/>
      <c r="R1389" s="991"/>
      <c r="S1389" s="991"/>
      <c r="T1389" s="991"/>
      <c r="X1389" s="1600"/>
      <c r="Y1389" s="1874"/>
      <c r="Z1389" s="1600"/>
      <c r="AC1389" s="1150"/>
      <c r="AD1389" s="1150"/>
      <c r="AE1389" s="1150"/>
      <c r="AL1389" s="1352" t="str">
        <f>SUBSTITUTE(SUBSTITUTE(SUBSTITUTE("vpa"&amp;$B1389&amp;$C1389&amp;$D1389&amp;$E1389&amp;$F1389,".","_"),"(","_"),")","")</f>
        <v>vpa705_2_1_3_1_a</v>
      </c>
      <c r="AM1389" s="1352">
        <f>M1389</f>
        <v>1</v>
      </c>
      <c r="AN1389" s="1352"/>
      <c r="AO1389" s="1352"/>
      <c r="AP1389" s="1352"/>
      <c r="AQ1389" s="1352"/>
      <c r="AR1389" s="1352"/>
      <c r="AS1389" s="1352"/>
    </row>
    <row r="1390" spans="1:45" s="905" customFormat="1" hidden="1" x14ac:dyDescent="0.2">
      <c r="A1390" s="1507">
        <v>7</v>
      </c>
      <c r="B1390" s="1516" t="s">
        <v>4450</v>
      </c>
      <c r="C1390" s="1516" t="s">
        <v>254</v>
      </c>
      <c r="D1390" s="1516" t="s">
        <v>122</v>
      </c>
      <c r="E1390" s="1516"/>
      <c r="F1390" s="1511"/>
      <c r="G1390" s="1509" t="str">
        <f ca="1">G1389</f>
        <v/>
      </c>
      <c r="H1390" s="1530" t="s">
        <v>3199</v>
      </c>
      <c r="I1390" s="589"/>
      <c r="J1390" s="606"/>
      <c r="K1390" s="606" t="s">
        <v>122</v>
      </c>
      <c r="L1390" s="923" t="s">
        <v>4262</v>
      </c>
      <c r="M1390" s="937">
        <v>2</v>
      </c>
      <c r="N1390" s="129"/>
      <c r="O1390" s="908"/>
      <c r="P1390" s="991"/>
      <c r="Q1390" s="991"/>
      <c r="R1390" s="991"/>
      <c r="S1390" s="991"/>
      <c r="T1390" s="991"/>
      <c r="X1390" s="1600"/>
      <c r="Y1390" s="1874"/>
      <c r="Z1390" s="1600"/>
      <c r="AC1390" s="1150"/>
      <c r="AD1390" s="1150"/>
      <c r="AE1390" s="1150"/>
      <c r="AL1390" s="1352" t="str">
        <f>SUBSTITUTE(SUBSTITUTE(SUBSTITUTE("vpa"&amp;$B1390&amp;$C1390&amp;$D1390&amp;$E1390&amp;$F1390,".","_"),"(","_"),")","")</f>
        <v>vpa705_2_1_3_1_b</v>
      </c>
      <c r="AM1390" s="1352">
        <f>M1390</f>
        <v>2</v>
      </c>
      <c r="AN1390" s="1352"/>
      <c r="AO1390" s="1352"/>
      <c r="AP1390" s="1352"/>
      <c r="AQ1390" s="1352"/>
      <c r="AR1390" s="1352"/>
      <c r="AS1390" s="1352"/>
    </row>
    <row r="1391" spans="1:45" s="905" customFormat="1" ht="15" hidden="1" customHeight="1" x14ac:dyDescent="0.2">
      <c r="A1391" s="1507">
        <v>7</v>
      </c>
      <c r="B1391" s="1516" t="s">
        <v>4450</v>
      </c>
      <c r="C1391" s="1516" t="s">
        <v>255</v>
      </c>
      <c r="D1391" s="1516"/>
      <c r="E1391" s="1516"/>
      <c r="F1391" s="1511"/>
      <c r="G1391" s="1509" t="str">
        <f ca="1">IF(N1391&gt;0,"P","")</f>
        <v/>
      </c>
      <c r="H1391" s="1530" t="s">
        <v>3199</v>
      </c>
      <c r="I1391" s="589"/>
      <c r="J1391" s="589" t="s">
        <v>255</v>
      </c>
      <c r="K1391" s="589"/>
      <c r="L1391" s="1634" t="s">
        <v>4268</v>
      </c>
      <c r="M1391" s="913"/>
      <c r="N1391" s="1619">
        <f ca="1">'11.700'!O517</f>
        <v>0</v>
      </c>
      <c r="O1391" s="1619">
        <f ca="1">IFERROR(INDEX({2,3},MATCH(W1391,INDIRECT(U1391),0)),0)*S1391</f>
        <v>0</v>
      </c>
      <c r="P1391" s="991" t="b">
        <v>0</v>
      </c>
      <c r="Q1391" s="991" t="b">
        <v>1</v>
      </c>
      <c r="R1391" s="991" t="b">
        <v>0</v>
      </c>
      <c r="S1391" s="991" t="b">
        <f ca="1">IF(AND(S885=2,AY893=INDEX(INDIRECT("ddSingleOrMulti"),2)),TRUE,FALSE)</f>
        <v>0</v>
      </c>
      <c r="T1391" s="991" t="b">
        <f ca="1">AND(NOT(S1391),LEN(W1391)&gt;0)</f>
        <v>0</v>
      </c>
      <c r="U1391" s="905" t="str">
        <f>SUBSTITUTE(SUBSTITUTE(SUBSTITUTE("dd"&amp;B1391&amp;C1391&amp;D1391&amp;E1391&amp;F1391,".","_"),"(","_"),")","")</f>
        <v>dd705_2_1_3_2</v>
      </c>
      <c r="W1391" s="12"/>
      <c r="X1391" s="1600"/>
      <c r="Y1391" s="1874" t="str">
        <f>IF(LEN('11.700'!X517)=0,"None",'11.700'!X517)</f>
        <v>None</v>
      </c>
      <c r="Z1391" s="1600"/>
      <c r="AC1391" s="1150" t="b">
        <f ca="1">OR(AD1391:AE1391)</f>
        <v>0</v>
      </c>
      <c r="AD1391" s="1150" t="b">
        <f ca="1">T1391</f>
        <v>0</v>
      </c>
      <c r="AE1391" s="1150"/>
      <c r="AL1391" s="1352"/>
      <c r="AM1391" s="1352"/>
      <c r="AN1391" s="1352" t="str">
        <f>SUBSTITUTE(SUBSTITUTE(SUBSTITUTE("vpc"&amp;$B1391&amp;$C1391&amp;$D1391&amp;$E1391&amp;$F1391,".","_"),"(","_"),")","")</f>
        <v>vpc705_2_1_3_2</v>
      </c>
      <c r="AO1391" s="1352">
        <f ca="1">O1391</f>
        <v>0</v>
      </c>
      <c r="AP1391" s="1352" t="str">
        <f>SUBSTITUTE(SUBSTITUTE(SUBSTITUTE("vch"&amp;$B1391&amp;$C1391&amp;$D1391&amp;$E1391&amp;$F1391,".","_"),"(","_"),")","")</f>
        <v>vch705_2_1_3_2</v>
      </c>
      <c r="AQ1391" s="1352" t="str">
        <f>IF(LEN(W1391)=0,"",W1391)</f>
        <v/>
      </c>
      <c r="AR1391" s="1352" t="str">
        <f>SUBSTITUTE(SUBSTITUTE(SUBSTITUTE("vnt"&amp;$B1391&amp;$C1391&amp;$D1391&amp;$E1391&amp;$F1391,".","_"),"(","_"),")","")</f>
        <v>vnt705_2_1_3_2</v>
      </c>
      <c r="AS1391" s="1352" t="str">
        <f>IF(LEN(X1391)=0,"",X1391)</f>
        <v/>
      </c>
    </row>
    <row r="1392" spans="1:45" s="905" customFormat="1" hidden="1" x14ac:dyDescent="0.2">
      <c r="A1392" s="1507">
        <v>7</v>
      </c>
      <c r="B1392" s="1516" t="s">
        <v>4450</v>
      </c>
      <c r="C1392" s="1516" t="s">
        <v>255</v>
      </c>
      <c r="D1392" s="1516"/>
      <c r="E1392" s="1516"/>
      <c r="F1392" s="1511"/>
      <c r="G1392" s="1509" t="str">
        <f ca="1">G1391</f>
        <v/>
      </c>
      <c r="H1392" s="1530" t="s">
        <v>3199</v>
      </c>
      <c r="I1392" s="589"/>
      <c r="J1392" s="589"/>
      <c r="K1392" s="589"/>
      <c r="L1392" s="1634"/>
      <c r="M1392" s="913"/>
      <c r="N1392" s="1619"/>
      <c r="O1392" s="1619"/>
      <c r="P1392" s="991"/>
      <c r="Q1392" s="991"/>
      <c r="R1392" s="991"/>
      <c r="S1392" s="991"/>
      <c r="T1392" s="991"/>
      <c r="X1392" s="1600"/>
      <c r="Y1392" s="1874"/>
      <c r="Z1392" s="1600"/>
      <c r="AL1392" s="1352"/>
      <c r="AM1392" s="1352"/>
      <c r="AN1392" s="1352"/>
      <c r="AO1392" s="1352"/>
      <c r="AP1392" s="1352"/>
      <c r="AQ1392" s="1352"/>
      <c r="AR1392" s="1352"/>
      <c r="AS1392" s="1352"/>
    </row>
    <row r="1393" spans="1:45" s="905" customFormat="1" hidden="1" x14ac:dyDescent="0.2">
      <c r="A1393" s="1507">
        <v>7</v>
      </c>
      <c r="B1393" s="1516" t="s">
        <v>4450</v>
      </c>
      <c r="C1393" s="1516" t="s">
        <v>255</v>
      </c>
      <c r="D1393" s="1516"/>
      <c r="E1393" s="1516"/>
      <c r="F1393" s="1511"/>
      <c r="G1393" s="1509" t="str">
        <f ca="1">G1392</f>
        <v/>
      </c>
      <c r="H1393" s="1530" t="s">
        <v>3199</v>
      </c>
      <c r="I1393" s="589"/>
      <c r="J1393" s="589"/>
      <c r="K1393" s="589"/>
      <c r="L1393" s="1634"/>
      <c r="M1393" s="913"/>
      <c r="N1393" s="1619"/>
      <c r="O1393" s="1619"/>
      <c r="P1393" s="991"/>
      <c r="Q1393" s="991"/>
      <c r="R1393" s="991"/>
      <c r="S1393" s="991"/>
      <c r="T1393" s="991"/>
      <c r="X1393" s="1600"/>
      <c r="Y1393" s="1874"/>
      <c r="Z1393" s="1600"/>
      <c r="AL1393" s="1352"/>
      <c r="AM1393" s="1352"/>
      <c r="AN1393" s="1352"/>
      <c r="AO1393" s="1352"/>
      <c r="AP1393" s="1352"/>
      <c r="AQ1393" s="1352"/>
      <c r="AR1393" s="1352"/>
      <c r="AS1393" s="1352"/>
    </row>
    <row r="1394" spans="1:45" s="905" customFormat="1" hidden="1" x14ac:dyDescent="0.2">
      <c r="A1394" s="1507">
        <v>7</v>
      </c>
      <c r="B1394" s="1516" t="s">
        <v>4450</v>
      </c>
      <c r="C1394" s="1516" t="s">
        <v>255</v>
      </c>
      <c r="D1394" s="1516" t="s">
        <v>121</v>
      </c>
      <c r="E1394" s="1516"/>
      <c r="F1394" s="1511"/>
      <c r="G1394" s="1509" t="str">
        <f ca="1">G1393</f>
        <v/>
      </c>
      <c r="H1394" s="1530" t="s">
        <v>3199</v>
      </c>
      <c r="I1394" s="589"/>
      <c r="J1394" s="589"/>
      <c r="K1394" s="589" t="s">
        <v>121</v>
      </c>
      <c r="L1394" s="917" t="s">
        <v>4269</v>
      </c>
      <c r="M1394" s="913">
        <v>2</v>
      </c>
      <c r="N1394" s="129"/>
      <c r="O1394" s="908"/>
      <c r="P1394" s="991"/>
      <c r="Q1394" s="991"/>
      <c r="R1394" s="991"/>
      <c r="S1394" s="991"/>
      <c r="T1394" s="991"/>
      <c r="X1394" s="1600"/>
      <c r="Y1394" s="1874"/>
      <c r="Z1394" s="1600"/>
      <c r="AL1394" s="1352" t="str">
        <f>SUBSTITUTE(SUBSTITUTE(SUBSTITUTE("vpa"&amp;$B1394&amp;$C1394&amp;$D1394&amp;$E1394&amp;$F1394,".","_"),"(","_"),")","")</f>
        <v>vpa705_2_1_3_2_a</v>
      </c>
      <c r="AM1394" s="1352">
        <f>M1394</f>
        <v>2</v>
      </c>
      <c r="AN1394" s="1352"/>
      <c r="AO1394" s="1352"/>
      <c r="AP1394" s="1352"/>
      <c r="AQ1394" s="1352"/>
      <c r="AR1394" s="1352"/>
      <c r="AS1394" s="1352"/>
    </row>
    <row r="1395" spans="1:45" s="905" customFormat="1" hidden="1" x14ac:dyDescent="0.2">
      <c r="A1395" s="1507">
        <v>7</v>
      </c>
      <c r="B1395" s="1516" t="s">
        <v>4450</v>
      </c>
      <c r="C1395" s="1516" t="s">
        <v>255</v>
      </c>
      <c r="D1395" s="1516" t="s">
        <v>122</v>
      </c>
      <c r="E1395" s="1516"/>
      <c r="F1395" s="1511"/>
      <c r="G1395" s="1509" t="str">
        <f ca="1">G1394</f>
        <v/>
      </c>
      <c r="H1395" s="1530" t="s">
        <v>3199</v>
      </c>
      <c r="I1395" s="606"/>
      <c r="J1395" s="606"/>
      <c r="K1395" s="606" t="s">
        <v>122</v>
      </c>
      <c r="L1395" s="923" t="s">
        <v>4270</v>
      </c>
      <c r="M1395" s="937">
        <v>3</v>
      </c>
      <c r="N1395" s="213"/>
      <c r="O1395" s="909"/>
      <c r="P1395" s="991"/>
      <c r="Q1395" s="991"/>
      <c r="R1395" s="991"/>
      <c r="S1395" s="991"/>
      <c r="T1395" s="991"/>
      <c r="X1395" s="1600"/>
      <c r="Y1395" s="1874"/>
      <c r="Z1395" s="1600"/>
      <c r="AL1395" s="1352" t="str">
        <f>SUBSTITUTE(SUBSTITUTE(SUBSTITUTE("vpa"&amp;$B1395&amp;$C1395&amp;$D1395&amp;$E1395&amp;$F1395,".","_"),"(","_"),")","")</f>
        <v>vpa705_2_1_3_2_b</v>
      </c>
      <c r="AM1395" s="1352">
        <f>M1395</f>
        <v>3</v>
      </c>
      <c r="AN1395" s="1352"/>
      <c r="AO1395" s="1352"/>
      <c r="AP1395" s="1352"/>
      <c r="AQ1395" s="1352"/>
      <c r="AR1395" s="1352"/>
      <c r="AS1395" s="1352"/>
    </row>
    <row r="1396" spans="1:45" s="905" customFormat="1" ht="15" hidden="1" customHeight="1" x14ac:dyDescent="0.2">
      <c r="A1396" s="1507">
        <v>7</v>
      </c>
      <c r="B1396" s="1516" t="s">
        <v>4451</v>
      </c>
      <c r="C1396" s="1516"/>
      <c r="D1396" s="1516"/>
      <c r="E1396" s="1516"/>
      <c r="F1396" s="1511"/>
      <c r="G1396" s="1509" t="str">
        <f ca="1">IF(N1396&gt;0,"P","")</f>
        <v/>
      </c>
      <c r="H1396" s="1530" t="s">
        <v>3199</v>
      </c>
      <c r="I1396" s="589" t="s">
        <v>4271</v>
      </c>
      <c r="J1396" s="589"/>
      <c r="K1396" s="589"/>
      <c r="L1396" s="1687" t="s">
        <v>4272</v>
      </c>
      <c r="M1396" s="913"/>
      <c r="N1396" s="1637">
        <f ca="1">'11.700'!O522</f>
        <v>0</v>
      </c>
      <c r="O1396" s="1619">
        <f ca="1">IFERROR(INDEX({2,3},MATCH(W1396,INDIRECT(U1396),0)),0)*S1396</f>
        <v>0</v>
      </c>
      <c r="P1396" s="991" t="b">
        <v>0</v>
      </c>
      <c r="Q1396" s="991" t="b">
        <v>1</v>
      </c>
      <c r="R1396" s="991" t="b">
        <v>0</v>
      </c>
      <c r="S1396" s="991" t="b">
        <f ca="1">IF(AND(S885=2,AY893=INDEX(INDIRECT("ddSingleOrMulti"),2)),TRUE,FALSE)</f>
        <v>0</v>
      </c>
      <c r="T1396" s="991" t="b">
        <f ca="1">AND(NOT(S1396),LEN(W1396)&gt;0)</f>
        <v>0</v>
      </c>
      <c r="U1396" s="905" t="str">
        <f>SUBSTITUTE(SUBSTITUTE(SUBSTITUTE("dd"&amp;B1396&amp;C1396&amp;D1396&amp;E1396&amp;F1396,".","_"),"(","_"),")","")</f>
        <v>dd705_2_1_4</v>
      </c>
      <c r="W1396" s="12"/>
      <c r="X1396" s="1600"/>
      <c r="Y1396" s="1874" t="str">
        <f>IF(LEN('11.700'!X522)=0,"None",'11.700'!X522)</f>
        <v>None</v>
      </c>
      <c r="Z1396" s="1600"/>
      <c r="AC1396" s="1150" t="b">
        <f ca="1">OR(AD1396:AE1396)</f>
        <v>0</v>
      </c>
      <c r="AD1396" s="1150" t="b">
        <f ca="1">T1396</f>
        <v>0</v>
      </c>
      <c r="AE1396" s="1150"/>
      <c r="AL1396" s="1352"/>
      <c r="AM1396" s="1352"/>
      <c r="AN1396" s="1352" t="str">
        <f>SUBSTITUTE(SUBSTITUTE(SUBSTITUTE("vpc"&amp;$B1396&amp;$C1396&amp;$D1396&amp;$E1396&amp;$F1396,".","_"),"(","_"),")","")</f>
        <v>vpc705_2_1_4</v>
      </c>
      <c r="AO1396" s="1352">
        <f ca="1">O1396</f>
        <v>0</v>
      </c>
      <c r="AP1396" s="1352" t="str">
        <f>SUBSTITUTE(SUBSTITUTE(SUBSTITUTE("vch"&amp;$B1396&amp;$C1396&amp;$D1396&amp;$E1396&amp;$F1396,".","_"),"(","_"),")","")</f>
        <v>vch705_2_1_4</v>
      </c>
      <c r="AQ1396" s="1352" t="str">
        <f>IF(LEN(W1396)=0,"",W1396)</f>
        <v/>
      </c>
      <c r="AR1396" s="1352" t="str">
        <f>SUBSTITUTE(SUBSTITUTE(SUBSTITUTE("vnt"&amp;$B1396&amp;$C1396&amp;$D1396&amp;$E1396&amp;$F1396,".","_"),"(","_"),")","")</f>
        <v>vnt705_2_1_4</v>
      </c>
      <c r="AS1396" s="1352" t="str">
        <f>IF(LEN(X1396)=0,"",X1396)</f>
        <v/>
      </c>
    </row>
    <row r="1397" spans="1:45" s="905" customFormat="1" hidden="1" x14ac:dyDescent="0.2">
      <c r="A1397" s="1507">
        <v>7</v>
      </c>
      <c r="B1397" s="1516" t="s">
        <v>4451</v>
      </c>
      <c r="C1397" s="1516"/>
      <c r="D1397" s="1516"/>
      <c r="E1397" s="1516"/>
      <c r="F1397" s="1511"/>
      <c r="G1397" s="1509" t="str">
        <f ca="1">G1396</f>
        <v/>
      </c>
      <c r="H1397" s="1530" t="s">
        <v>3199</v>
      </c>
      <c r="I1397" s="589"/>
      <c r="J1397" s="589"/>
      <c r="K1397" s="589"/>
      <c r="L1397" s="1687"/>
      <c r="M1397" s="913"/>
      <c r="N1397" s="1619"/>
      <c r="O1397" s="1619"/>
      <c r="P1397" s="991"/>
      <c r="Q1397" s="991"/>
      <c r="R1397" s="991"/>
      <c r="S1397" s="991"/>
      <c r="T1397" s="991"/>
      <c r="X1397" s="1600"/>
      <c r="Y1397" s="1874"/>
      <c r="Z1397" s="1600"/>
      <c r="AC1397" s="1150"/>
      <c r="AD1397" s="1150"/>
      <c r="AE1397" s="1150"/>
      <c r="AL1397" s="1352"/>
      <c r="AM1397" s="1352"/>
      <c r="AN1397" s="1352"/>
      <c r="AO1397" s="1352"/>
      <c r="AP1397" s="1352"/>
      <c r="AQ1397" s="1352"/>
      <c r="AR1397" s="1352"/>
      <c r="AS1397" s="1352"/>
    </row>
    <row r="1398" spans="1:45" s="905" customFormat="1" hidden="1" x14ac:dyDescent="0.2">
      <c r="A1398" s="1507">
        <v>7</v>
      </c>
      <c r="B1398" s="1516" t="s">
        <v>4451</v>
      </c>
      <c r="C1398" s="1516"/>
      <c r="D1398" s="1516"/>
      <c r="E1398" s="1516"/>
      <c r="F1398" s="1511"/>
      <c r="G1398" s="1509" t="str">
        <f ca="1">G1397</f>
        <v/>
      </c>
      <c r="H1398" s="1530" t="s">
        <v>3199</v>
      </c>
      <c r="I1398" s="589"/>
      <c r="J1398" s="589"/>
      <c r="K1398" s="589"/>
      <c r="L1398" s="1687"/>
      <c r="M1398" s="913"/>
      <c r="N1398" s="1619"/>
      <c r="O1398" s="1619"/>
      <c r="P1398" s="991"/>
      <c r="Q1398" s="991"/>
      <c r="R1398" s="991"/>
      <c r="S1398" s="991"/>
      <c r="T1398" s="991"/>
      <c r="X1398" s="1600"/>
      <c r="Y1398" s="1874"/>
      <c r="Z1398" s="1600"/>
      <c r="AC1398" s="1150"/>
      <c r="AD1398" s="1150"/>
      <c r="AE1398" s="1150"/>
      <c r="AL1398" s="1352"/>
      <c r="AM1398" s="1352"/>
      <c r="AN1398" s="1352"/>
      <c r="AO1398" s="1352"/>
      <c r="AP1398" s="1352"/>
      <c r="AQ1398" s="1352"/>
      <c r="AR1398" s="1352"/>
      <c r="AS1398" s="1352"/>
    </row>
    <row r="1399" spans="1:45" s="905" customFormat="1" hidden="1" x14ac:dyDescent="0.2">
      <c r="A1399" s="1507">
        <v>7</v>
      </c>
      <c r="B1399" s="1516" t="s">
        <v>4451</v>
      </c>
      <c r="C1399" s="1516" t="s">
        <v>254</v>
      </c>
      <c r="D1399" s="1516"/>
      <c r="E1399" s="1516"/>
      <c r="F1399" s="1511"/>
      <c r="G1399" s="1509" t="str">
        <f ca="1">G1398</f>
        <v/>
      </c>
      <c r="H1399" s="1530" t="s">
        <v>3199</v>
      </c>
      <c r="I1399" s="589"/>
      <c r="J1399" s="606" t="s">
        <v>254</v>
      </c>
      <c r="K1399" s="606"/>
      <c r="L1399" s="923" t="s">
        <v>4269</v>
      </c>
      <c r="M1399" s="937">
        <v>2</v>
      </c>
      <c r="N1399" s="129"/>
      <c r="O1399" s="908"/>
      <c r="P1399" s="991"/>
      <c r="Q1399" s="991"/>
      <c r="R1399" s="991"/>
      <c r="S1399" s="991"/>
      <c r="T1399" s="991"/>
      <c r="X1399" s="1600"/>
      <c r="Y1399" s="1874"/>
      <c r="Z1399" s="1600"/>
      <c r="AC1399" s="1150"/>
      <c r="AD1399" s="1150"/>
      <c r="AE1399" s="1150"/>
      <c r="AL1399" s="1352" t="str">
        <f>SUBSTITUTE(SUBSTITUTE(SUBSTITUTE("vpa"&amp;$B1399&amp;$C1399&amp;$D1399&amp;$E1399&amp;$F1399,".","_"),"(","_"),")","")</f>
        <v>vpa705_2_1_4_1</v>
      </c>
      <c r="AM1399" s="1352">
        <f>M1399</f>
        <v>2</v>
      </c>
      <c r="AN1399" s="1352"/>
      <c r="AO1399" s="1352"/>
      <c r="AP1399" s="1352"/>
      <c r="AQ1399" s="1352"/>
      <c r="AR1399" s="1352"/>
      <c r="AS1399" s="1352"/>
    </row>
    <row r="1400" spans="1:45" s="905" customFormat="1" hidden="1" x14ac:dyDescent="0.2">
      <c r="A1400" s="1507">
        <v>7</v>
      </c>
      <c r="B1400" s="1516" t="s">
        <v>4451</v>
      </c>
      <c r="C1400" s="1516" t="s">
        <v>255</v>
      </c>
      <c r="D1400" s="1516"/>
      <c r="E1400" s="1516"/>
      <c r="F1400" s="1511"/>
      <c r="G1400" s="1509" t="str">
        <f ca="1">G1399</f>
        <v/>
      </c>
      <c r="H1400" s="1530" t="s">
        <v>3199</v>
      </c>
      <c r="I1400" s="606"/>
      <c r="J1400" s="606" t="s">
        <v>255</v>
      </c>
      <c r="K1400" s="606"/>
      <c r="L1400" s="923" t="s">
        <v>4273</v>
      </c>
      <c r="M1400" s="937">
        <v>3</v>
      </c>
      <c r="N1400" s="213"/>
      <c r="O1400" s="909"/>
      <c r="P1400" s="991"/>
      <c r="Q1400" s="991"/>
      <c r="R1400" s="991"/>
      <c r="S1400" s="991"/>
      <c r="T1400" s="991"/>
      <c r="X1400" s="1600"/>
      <c r="Y1400" s="1874"/>
      <c r="Z1400" s="1600"/>
      <c r="AC1400" s="1150"/>
      <c r="AD1400" s="1150"/>
      <c r="AE1400" s="1150"/>
      <c r="AL1400" s="1352" t="str">
        <f>SUBSTITUTE(SUBSTITUTE(SUBSTITUTE("vpa"&amp;$B1400&amp;$C1400&amp;$D1400&amp;$E1400&amp;$F1400,".","_"),"(","_"),")","")</f>
        <v>vpa705_2_1_4_2</v>
      </c>
      <c r="AM1400" s="1352">
        <f>M1400</f>
        <v>3</v>
      </c>
      <c r="AN1400" s="1352"/>
      <c r="AO1400" s="1352"/>
      <c r="AP1400" s="1352"/>
      <c r="AQ1400" s="1352"/>
      <c r="AR1400" s="1352"/>
      <c r="AS1400" s="1352"/>
    </row>
    <row r="1401" spans="1:45" s="905" customFormat="1" ht="15" hidden="1" customHeight="1" x14ac:dyDescent="0.2">
      <c r="A1401" s="1507">
        <v>7</v>
      </c>
      <c r="B1401" s="1516" t="s">
        <v>4452</v>
      </c>
      <c r="C1401" s="1516"/>
      <c r="D1401" s="1516"/>
      <c r="E1401" s="1516"/>
      <c r="F1401" s="1511"/>
      <c r="G1401" s="1509" t="str">
        <f ca="1">IF(N1401&gt;0,"P","")</f>
        <v/>
      </c>
      <c r="H1401" s="1510" t="s">
        <v>3197</v>
      </c>
      <c r="I1401" s="608" t="s">
        <v>4274</v>
      </c>
      <c r="J1401" s="608"/>
      <c r="K1401" s="608"/>
      <c r="L1401" s="1686" t="s">
        <v>4275</v>
      </c>
      <c r="M1401" s="1636">
        <v>2</v>
      </c>
      <c r="N1401" s="1637">
        <f ca="1">'11.700'!O527</f>
        <v>0</v>
      </c>
      <c r="O1401" s="1637">
        <f ca="1">M1401*S1401*W1401</f>
        <v>0</v>
      </c>
      <c r="P1401" s="991" t="b">
        <v>1</v>
      </c>
      <c r="Q1401" s="991" t="b">
        <v>1</v>
      </c>
      <c r="R1401" s="991" t="b">
        <v>0</v>
      </c>
      <c r="S1401" s="991" t="b">
        <f ca="1">S885=2</f>
        <v>0</v>
      </c>
      <c r="T1401" s="991" t="b">
        <v>0</v>
      </c>
      <c r="W1401" s="27"/>
      <c r="X1401" s="1600"/>
      <c r="Y1401" s="1874" t="str">
        <f>IF(LEN('11.700'!X527)=0,"None",'11.700'!X527)</f>
        <v>None</v>
      </c>
      <c r="Z1401" s="1600"/>
      <c r="AC1401" s="1150" t="b">
        <f>OR(AD1401:AE1401)</f>
        <v>0</v>
      </c>
      <c r="AD1401" s="1150" t="b">
        <f>T1401</f>
        <v>0</v>
      </c>
      <c r="AE1401" s="1150"/>
      <c r="AL1401" s="1352" t="str">
        <f>SUBSTITUTE(SUBSTITUTE(SUBSTITUTE("vpa"&amp;$B1401&amp;$C1401&amp;$D1401&amp;$E1401&amp;$F1401,".","_"),"(","_"),")","")</f>
        <v>vpa705_2_2</v>
      </c>
      <c r="AM1401" s="1352">
        <f>M1401</f>
        <v>2</v>
      </c>
      <c r="AN1401" s="1352" t="str">
        <f>SUBSTITUTE(SUBSTITUTE(SUBSTITUTE("vpc"&amp;$B1401&amp;$C1401&amp;$D1401&amp;$E1401&amp;$F1401,".","_"),"(","_"),")","")</f>
        <v>vpc705_2_2</v>
      </c>
      <c r="AO1401" s="1352">
        <f ca="1">O1401</f>
        <v>0</v>
      </c>
      <c r="AP1401" s="1352" t="str">
        <f>SUBSTITUTE(SUBSTITUTE(SUBSTITUTE("vch"&amp;$B1401&amp;$C1401&amp;$D1401&amp;$E1401&amp;$F1401,".","_"),"(","_"),")","")</f>
        <v>vch705_2_2</v>
      </c>
      <c r="AQ1401" s="1352" t="str">
        <f>IF(LEN(W1401)=0,"",W1401)</f>
        <v/>
      </c>
      <c r="AR1401" s="1352" t="str">
        <f>SUBSTITUTE(SUBSTITUTE(SUBSTITUTE("vnt"&amp;$B1401&amp;$C1401&amp;$D1401&amp;$E1401&amp;$F1401,".","_"),"(","_"),")","")</f>
        <v>vnt705_2_2</v>
      </c>
      <c r="AS1401" s="1352" t="str">
        <f>IF(LEN(X1401)=0,"",X1401)</f>
        <v/>
      </c>
    </row>
    <row r="1402" spans="1:45" s="905" customFormat="1" hidden="1" x14ac:dyDescent="0.2">
      <c r="A1402" s="1507">
        <v>7</v>
      </c>
      <c r="B1402" s="1516" t="s">
        <v>4452</v>
      </c>
      <c r="C1402" s="1516"/>
      <c r="D1402" s="1516"/>
      <c r="E1402" s="1516"/>
      <c r="F1402" s="1511"/>
      <c r="G1402" s="1509" t="str">
        <f ca="1">G1401</f>
        <v/>
      </c>
      <c r="H1402" s="1510" t="s">
        <v>3197</v>
      </c>
      <c r="I1402" s="590"/>
      <c r="J1402" s="590"/>
      <c r="K1402" s="590"/>
      <c r="L1402" s="1687"/>
      <c r="M1402" s="1623"/>
      <c r="N1402" s="1619"/>
      <c r="O1402" s="1619"/>
      <c r="P1402" s="991"/>
      <c r="Q1402" s="991"/>
      <c r="R1402" s="991"/>
      <c r="S1402" s="991"/>
      <c r="T1402" s="991"/>
      <c r="X1402" s="1600"/>
      <c r="Y1402" s="1874"/>
      <c r="Z1402" s="1600"/>
      <c r="AC1402" s="1150"/>
      <c r="AD1402" s="1150"/>
      <c r="AE1402" s="1150"/>
      <c r="AL1402" s="1352"/>
      <c r="AM1402" s="1352"/>
      <c r="AN1402" s="1352"/>
      <c r="AO1402" s="1352"/>
      <c r="AP1402" s="1352"/>
      <c r="AQ1402" s="1352"/>
      <c r="AR1402" s="1352"/>
      <c r="AS1402" s="1352"/>
    </row>
    <row r="1403" spans="1:45" s="905" customFormat="1" hidden="1" x14ac:dyDescent="0.2">
      <c r="A1403" s="1507">
        <v>7</v>
      </c>
      <c r="B1403" s="1516" t="s">
        <v>4452</v>
      </c>
      <c r="C1403" s="1516"/>
      <c r="D1403" s="1516"/>
      <c r="E1403" s="1516"/>
      <c r="F1403" s="1511"/>
      <c r="G1403" s="1509" t="str">
        <f ca="1">G1402</f>
        <v/>
      </c>
      <c r="H1403" s="1510" t="s">
        <v>3197</v>
      </c>
      <c r="I1403" s="606"/>
      <c r="J1403" s="606"/>
      <c r="K1403" s="606"/>
      <c r="L1403" s="1688"/>
      <c r="M1403" s="173"/>
      <c r="N1403" s="173"/>
      <c r="O1403" s="173"/>
      <c r="P1403" s="991"/>
      <c r="Q1403" s="991"/>
      <c r="R1403" s="991"/>
      <c r="S1403" s="991"/>
      <c r="T1403" s="991"/>
      <c r="X1403" s="1600"/>
      <c r="Y1403" s="1874"/>
      <c r="Z1403" s="1600"/>
      <c r="AC1403" s="1150"/>
      <c r="AD1403" s="1150"/>
      <c r="AE1403" s="1150"/>
      <c r="AL1403" s="1352"/>
      <c r="AM1403" s="1352"/>
      <c r="AN1403" s="1352"/>
      <c r="AO1403" s="1352"/>
      <c r="AP1403" s="1352"/>
      <c r="AQ1403" s="1352"/>
      <c r="AR1403" s="1352"/>
      <c r="AS1403" s="1352"/>
    </row>
    <row r="1404" spans="1:45" s="905" customFormat="1" ht="15" hidden="1" customHeight="1" x14ac:dyDescent="0.2">
      <c r="A1404" s="1507">
        <v>7</v>
      </c>
      <c r="B1404" s="1516" t="s">
        <v>4453</v>
      </c>
      <c r="C1404" s="1516"/>
      <c r="D1404" s="1516"/>
      <c r="E1404" s="1516"/>
      <c r="F1404" s="1511"/>
      <c r="G1404" s="1509" t="str">
        <f ca="1">IF(N1404&gt;0,"P","")</f>
        <v/>
      </c>
      <c r="H1404" s="1530" t="s">
        <v>3199</v>
      </c>
      <c r="I1404" s="608" t="s">
        <v>4276</v>
      </c>
      <c r="J1404" s="608"/>
      <c r="K1404" s="608"/>
      <c r="L1404" s="1686" t="s">
        <v>4277</v>
      </c>
      <c r="M1404" s="1636">
        <v>1</v>
      </c>
      <c r="N1404" s="1637">
        <f ca="1">'11.700'!O530</f>
        <v>0</v>
      </c>
      <c r="O1404" s="1637">
        <f ca="1">M1404*S1404*W1404</f>
        <v>0</v>
      </c>
      <c r="P1404" s="991" t="b">
        <v>0</v>
      </c>
      <c r="Q1404" s="991" t="b">
        <v>1</v>
      </c>
      <c r="R1404" s="991" t="b">
        <v>0</v>
      </c>
      <c r="S1404" s="991" t="b">
        <f ca="1">S885=2</f>
        <v>0</v>
      </c>
      <c r="T1404" s="991" t="b">
        <v>0</v>
      </c>
      <c r="W1404" s="27"/>
      <c r="X1404" s="1600"/>
      <c r="Y1404" s="1874" t="str">
        <f>IF(LEN('11.700'!X530)=0,"None",'11.700'!X530)</f>
        <v>None</v>
      </c>
      <c r="Z1404" s="1600"/>
      <c r="AC1404" s="1150" t="b">
        <f>OR(AD1404:AE1404)</f>
        <v>0</v>
      </c>
      <c r="AD1404" s="1150" t="b">
        <f>T1404</f>
        <v>0</v>
      </c>
      <c r="AE1404" s="1150"/>
      <c r="AL1404" s="1352" t="str">
        <f>SUBSTITUTE(SUBSTITUTE(SUBSTITUTE("vpa"&amp;$B1404&amp;$C1404&amp;$D1404&amp;$E1404&amp;$F1404,".","_"),"(","_"),")","")</f>
        <v>vpa705_2_3</v>
      </c>
      <c r="AM1404" s="1352">
        <f>M1404</f>
        <v>1</v>
      </c>
      <c r="AN1404" s="1352" t="str">
        <f>SUBSTITUTE(SUBSTITUTE(SUBSTITUTE("vpc"&amp;$B1404&amp;$C1404&amp;$D1404&amp;$E1404&amp;$F1404,".","_"),"(","_"),")","")</f>
        <v>vpc705_2_3</v>
      </c>
      <c r="AO1404" s="1352">
        <f ca="1">O1404</f>
        <v>0</v>
      </c>
      <c r="AP1404" s="1352" t="str">
        <f>SUBSTITUTE(SUBSTITUTE(SUBSTITUTE("vch"&amp;$B1404&amp;$C1404&amp;$D1404&amp;$E1404&amp;$F1404,".","_"),"(","_"),")","")</f>
        <v>vch705_2_3</v>
      </c>
      <c r="AQ1404" s="1352" t="str">
        <f>IF(LEN(W1404)=0,"",W1404)</f>
        <v/>
      </c>
      <c r="AR1404" s="1352" t="str">
        <f>SUBSTITUTE(SUBSTITUTE(SUBSTITUTE("vnt"&amp;$B1404&amp;$C1404&amp;$D1404&amp;$E1404&amp;$F1404,".","_"),"(","_"),")","")</f>
        <v>vnt705_2_3</v>
      </c>
      <c r="AS1404" s="1352" t="str">
        <f>IF(LEN(X1404)=0,"",X1404)</f>
        <v/>
      </c>
    </row>
    <row r="1405" spans="1:45" s="905" customFormat="1" hidden="1" x14ac:dyDescent="0.2">
      <c r="A1405" s="1507">
        <v>7</v>
      </c>
      <c r="B1405" s="1516" t="s">
        <v>4453</v>
      </c>
      <c r="C1405" s="1516"/>
      <c r="D1405" s="1516"/>
      <c r="E1405" s="1516"/>
      <c r="F1405" s="1511"/>
      <c r="G1405" s="1509" t="str">
        <f ca="1">G1404</f>
        <v/>
      </c>
      <c r="H1405" s="1530" t="s">
        <v>3199</v>
      </c>
      <c r="I1405" s="606"/>
      <c r="J1405" s="606"/>
      <c r="K1405" s="606"/>
      <c r="L1405" s="1688"/>
      <c r="M1405" s="1624"/>
      <c r="N1405" s="1620"/>
      <c r="O1405" s="1620"/>
      <c r="P1405" s="991"/>
      <c r="Q1405" s="991"/>
      <c r="R1405" s="991"/>
      <c r="S1405" s="991"/>
      <c r="T1405" s="991"/>
      <c r="X1405" s="1600"/>
      <c r="Y1405" s="1874"/>
      <c r="Z1405" s="1600"/>
      <c r="AC1405" s="1150"/>
      <c r="AD1405" s="1150"/>
      <c r="AE1405" s="1150"/>
      <c r="AL1405" s="1352"/>
      <c r="AM1405" s="1352"/>
      <c r="AN1405" s="1352"/>
      <c r="AO1405" s="1352"/>
      <c r="AP1405" s="1352"/>
      <c r="AQ1405" s="1352"/>
      <c r="AR1405" s="1352"/>
      <c r="AS1405" s="1352"/>
    </row>
    <row r="1406" spans="1:45" s="905" customFormat="1" ht="15" hidden="1" customHeight="1" x14ac:dyDescent="0.2">
      <c r="A1406" s="1507">
        <v>7</v>
      </c>
      <c r="B1406" s="1516" t="s">
        <v>4454</v>
      </c>
      <c r="C1406" s="1516"/>
      <c r="D1406" s="1516"/>
      <c r="E1406" s="1516"/>
      <c r="F1406" s="1511"/>
      <c r="G1406" s="1509" t="str">
        <f>IF(N1406&gt;0,"P","")</f>
        <v/>
      </c>
      <c r="H1406" s="1530" t="s">
        <v>3199</v>
      </c>
      <c r="I1406" s="590" t="s">
        <v>4278</v>
      </c>
      <c r="J1406" s="590"/>
      <c r="K1406" s="590"/>
      <c r="L1406" s="1687" t="s">
        <v>4279</v>
      </c>
      <c r="M1406" s="1623">
        <v>1</v>
      </c>
      <c r="N1406" s="1637">
        <f>'11.700'!O532</f>
        <v>0</v>
      </c>
      <c r="O1406" s="1619">
        <f>IFERROR(IF(AND(NOT(ISBLANK(W1407)),(W1407/W1408)&lt;(1/400)),1,0),0)</f>
        <v>0</v>
      </c>
      <c r="P1406" s="991"/>
      <c r="Q1406" s="991"/>
      <c r="R1406" s="149"/>
      <c r="S1406" s="991"/>
      <c r="T1406" s="991"/>
      <c r="U1406" s="991"/>
      <c r="W1406" s="991" t="s">
        <v>4501</v>
      </c>
      <c r="X1406" s="1600"/>
      <c r="Y1406" s="1881" t="str">
        <f>IF(LEN('11.700'!X532)=0,"None",'11.700'!X532)</f>
        <v>None</v>
      </c>
      <c r="Z1406" s="1600"/>
      <c r="AC1406" s="1150"/>
      <c r="AD1406" s="1150"/>
      <c r="AE1406" s="1150"/>
      <c r="AL1406" s="1352" t="str">
        <f>SUBSTITUTE(SUBSTITUTE(SUBSTITUTE("vpa"&amp;$B1406&amp;$C1406&amp;$D1406&amp;$E1406&amp;$F1406,".","_"),"(","_"),")","")</f>
        <v>vpa705_2_4</v>
      </c>
      <c r="AM1406" s="1352">
        <f>M1406</f>
        <v>1</v>
      </c>
      <c r="AN1406" s="1352" t="str">
        <f>SUBSTITUTE(SUBSTITUTE(SUBSTITUTE("vpc"&amp;$B1406&amp;$C1406&amp;$D1406&amp;$E1406&amp;$F1406,".","_"),"(","_"),")","")</f>
        <v>vpc705_2_4</v>
      </c>
      <c r="AO1406" s="1352">
        <f>O1406</f>
        <v>0</v>
      </c>
      <c r="AP1406" s="1352"/>
      <c r="AQ1406" s="1352"/>
      <c r="AR1406" s="1352" t="str">
        <f>SUBSTITUTE(SUBSTITUTE(SUBSTITUTE("vnt"&amp;$B1406&amp;$C1406&amp;$D1406&amp;$E1406&amp;$F1406,".","_"),"(","_"),")","")</f>
        <v>vnt705_2_4</v>
      </c>
      <c r="AS1406" s="1352" t="str">
        <f>IF(LEN(X1406)=0,"",X1406)</f>
        <v/>
      </c>
    </row>
    <row r="1407" spans="1:45" s="905" customFormat="1" hidden="1" x14ac:dyDescent="0.2">
      <c r="A1407" s="1507">
        <v>7</v>
      </c>
      <c r="B1407" s="1516" t="s">
        <v>4454</v>
      </c>
      <c r="C1407" s="1516"/>
      <c r="D1407" s="1516"/>
      <c r="E1407" s="1516"/>
      <c r="F1407" s="1511"/>
      <c r="G1407" s="1509" t="str">
        <f>G1406</f>
        <v/>
      </c>
      <c r="H1407" s="1530" t="s">
        <v>3199</v>
      </c>
      <c r="I1407" s="590"/>
      <c r="J1407" s="590"/>
      <c r="K1407" s="590"/>
      <c r="L1407" s="1687"/>
      <c r="M1407" s="1623"/>
      <c r="N1407" s="1619"/>
      <c r="O1407" s="1619"/>
      <c r="P1407" s="991" t="b">
        <v>0</v>
      </c>
      <c r="Q1407" s="991" t="b">
        <v>1</v>
      </c>
      <c r="R1407" s="991" t="b">
        <v>0</v>
      </c>
      <c r="S1407" s="991" t="b">
        <f ca="1">AND(S885=2,OR(W991="Met",W991="N/A"))</f>
        <v>0</v>
      </c>
      <c r="T1407" s="991" t="b">
        <f ca="1">OR(AND(NOT(S1407),LEN(W1407)&gt;0),AND(W1407&gt;0,W1035="N/A"))</f>
        <v>0</v>
      </c>
      <c r="U1407" s="991"/>
      <c r="W1407" s="981"/>
      <c r="X1407" s="1600"/>
      <c r="Y1407" s="1881"/>
      <c r="Z1407" s="1600"/>
      <c r="AC1407" s="1150" t="b">
        <f ca="1">OR(AD1407:AE1407)</f>
        <v>0</v>
      </c>
      <c r="AD1407" s="1150" t="b">
        <f ca="1">T1407</f>
        <v>0</v>
      </c>
      <c r="AE1407" s="1150"/>
      <c r="AL1407" s="1352"/>
      <c r="AM1407" s="1352"/>
      <c r="AN1407" s="1352"/>
      <c r="AO1407" s="1352"/>
      <c r="AP1407" s="1352" t="str">
        <f>SUBSTITUTE(SUBSTITUTE(SUBSTITUTE("vch"&amp;$B1407&amp;$C1407&amp;$D1407&amp;$E1407&amp;$F1407,".","_"),"(","_"),")","")</f>
        <v>vch705_2_4</v>
      </c>
      <c r="AQ1407" s="1352" t="str">
        <f>IF(LEN(W1407)=0,"",W1407)</f>
        <v/>
      </c>
      <c r="AR1407" s="1352"/>
      <c r="AS1407" s="1352"/>
    </row>
    <row r="1408" spans="1:45" s="905" customFormat="1" ht="16" hidden="1" thickBot="1" x14ac:dyDescent="0.25">
      <c r="A1408" s="1507">
        <v>7</v>
      </c>
      <c r="B1408" s="1516" t="s">
        <v>4454</v>
      </c>
      <c r="C1408" s="1516"/>
      <c r="D1408" s="1516"/>
      <c r="E1408" s="1516"/>
      <c r="F1408" s="1511"/>
      <c r="G1408" s="1509" t="str">
        <f>G1407</f>
        <v/>
      </c>
      <c r="H1408" s="1530" t="s">
        <v>3199</v>
      </c>
      <c r="I1408" s="594"/>
      <c r="J1408" s="594"/>
      <c r="K1408" s="594"/>
      <c r="L1408" s="1738"/>
      <c r="M1408" s="1627"/>
      <c r="N1408" s="1638"/>
      <c r="O1408" s="1638"/>
      <c r="P1408" s="100"/>
      <c r="Q1408" s="100"/>
      <c r="R1408" s="100"/>
      <c r="S1408" s="100"/>
      <c r="T1408" s="100"/>
      <c r="U1408" s="100"/>
      <c r="W1408" s="982">
        <f>AY898</f>
        <v>20128</v>
      </c>
      <c r="X1408" s="1602"/>
      <c r="Y1408" s="1882"/>
      <c r="Z1408" s="1602"/>
      <c r="AC1408" s="1150"/>
      <c r="AD1408" s="1150"/>
      <c r="AE1408" s="1150"/>
      <c r="AL1408" s="1352"/>
      <c r="AM1408" s="1352"/>
      <c r="AN1408" s="1352"/>
      <c r="AO1408" s="1352"/>
      <c r="AP1408" s="1352"/>
      <c r="AQ1408" s="1352"/>
      <c r="AR1408" s="1352"/>
      <c r="AS1408" s="1352"/>
    </row>
    <row r="1409" spans="1:45" s="905" customFormat="1" ht="18" hidden="1" thickTop="1" thickBot="1" x14ac:dyDescent="0.25">
      <c r="A1409" s="1507">
        <v>7</v>
      </c>
      <c r="B1409" s="1516">
        <v>705.3</v>
      </c>
      <c r="C1409" s="1516"/>
      <c r="D1409" s="1516"/>
      <c r="E1409" s="1516"/>
      <c r="F1409" s="1511"/>
      <c r="G1409" s="1509" t="str">
        <f ca="1">IF(N1409&gt;0,"P","")</f>
        <v/>
      </c>
      <c r="H1409" s="1530" t="s">
        <v>3199</v>
      </c>
      <c r="I1409" s="605" t="s">
        <v>4280</v>
      </c>
      <c r="J1409" s="605"/>
      <c r="K1409" s="605"/>
      <c r="L1409" s="1101" t="s">
        <v>4281</v>
      </c>
      <c r="M1409" s="1102">
        <v>1</v>
      </c>
      <c r="N1409" s="1104">
        <f ca="1">'11.700'!O535</f>
        <v>0</v>
      </c>
      <c r="O1409" s="1104">
        <f ca="1">M1409*S1409*W1409</f>
        <v>0</v>
      </c>
      <c r="P1409" s="118" t="b">
        <v>0</v>
      </c>
      <c r="Q1409" s="118" t="b">
        <v>1</v>
      </c>
      <c r="R1409" s="118" t="b">
        <v>0</v>
      </c>
      <c r="S1409" s="118" t="b">
        <f ca="1">S885=2</f>
        <v>0</v>
      </c>
      <c r="T1409" s="118" t="b">
        <v>0</v>
      </c>
      <c r="U1409" s="118"/>
      <c r="W1409" s="120"/>
      <c r="X1409" s="128"/>
      <c r="Y1409" s="1141" t="str">
        <f>IF(LEN('11.700'!X535)=0,"None",'11.700'!X535)</f>
        <v>None</v>
      </c>
      <c r="Z1409" s="128"/>
      <c r="AC1409" s="1150" t="b">
        <f>OR(AD1409:AE1409)</f>
        <v>0</v>
      </c>
      <c r="AD1409" s="1150" t="b">
        <f>T1409</f>
        <v>0</v>
      </c>
      <c r="AE1409" s="1150"/>
      <c r="AL1409" s="1352" t="str">
        <f>SUBSTITUTE(SUBSTITUTE(SUBSTITUTE("vpa"&amp;$B1409&amp;$C1409&amp;$D1409&amp;$E1409&amp;$F1409,".","_"),"(","_"),")","")</f>
        <v>vpa705_3</v>
      </c>
      <c r="AM1409" s="1352">
        <f>M1409</f>
        <v>1</v>
      </c>
      <c r="AN1409" s="1352" t="str">
        <f>SUBSTITUTE(SUBSTITUTE(SUBSTITUTE("vpc"&amp;$B1409&amp;$C1409&amp;$D1409&amp;$E1409&amp;$F1409,".","_"),"(","_"),")","")</f>
        <v>vpc705_3</v>
      </c>
      <c r="AO1409" s="1352">
        <f ca="1">O1409</f>
        <v>0</v>
      </c>
      <c r="AP1409" s="1352" t="str">
        <f>SUBSTITUTE(SUBSTITUTE(SUBSTITUTE("vch"&amp;$B1409&amp;$C1409&amp;$D1409&amp;$E1409&amp;$F1409,".","_"),"(","_"),")","")</f>
        <v>vch705_3</v>
      </c>
      <c r="AQ1409" s="1352" t="str">
        <f>IF(LEN(W1409)=0,"",W1409)</f>
        <v/>
      </c>
      <c r="AR1409" s="1352" t="str">
        <f>SUBSTITUTE(SUBSTITUTE(SUBSTITUTE("vnt"&amp;$B1409&amp;$C1409&amp;$D1409&amp;$E1409&amp;$F1409,".","_"),"(","_"),")","")</f>
        <v>vnt705_3</v>
      </c>
      <c r="AS1409" s="1352" t="str">
        <f>IF(LEN(X1409)=0,"",X1409)</f>
        <v/>
      </c>
    </row>
    <row r="1410" spans="1:45" s="905" customFormat="1" ht="15.75" hidden="1" customHeight="1" thickTop="1" x14ac:dyDescent="0.2">
      <c r="A1410" s="1507">
        <v>7</v>
      </c>
      <c r="B1410" s="1516">
        <v>705.4</v>
      </c>
      <c r="C1410" s="1516"/>
      <c r="D1410" s="1516"/>
      <c r="E1410" s="1516"/>
      <c r="F1410" s="1511"/>
      <c r="G1410" s="1509" t="str">
        <f ca="1">IF(N1410&gt;0,"P","")</f>
        <v/>
      </c>
      <c r="H1410" s="1510" t="s">
        <v>3197</v>
      </c>
      <c r="I1410" s="603" t="s">
        <v>4282</v>
      </c>
      <c r="J1410" s="603"/>
      <c r="K1410" s="603"/>
      <c r="L1410" s="1740" t="s">
        <v>4283</v>
      </c>
      <c r="M1410" s="1685">
        <v>2</v>
      </c>
      <c r="N1410" s="1619">
        <f ca="1">'11.700'!O536</f>
        <v>0</v>
      </c>
      <c r="O1410" s="1682">
        <f ca="1">M1410*S1410*W1410</f>
        <v>0</v>
      </c>
      <c r="P1410" s="106" t="b">
        <v>1</v>
      </c>
      <c r="Q1410" s="106" t="b">
        <v>1</v>
      </c>
      <c r="R1410" s="106" t="b">
        <v>0</v>
      </c>
      <c r="S1410" s="106" t="b">
        <f ca="1">S885=2</f>
        <v>0</v>
      </c>
      <c r="T1410" s="106" t="b">
        <v>0</v>
      </c>
      <c r="U1410" s="106"/>
      <c r="W1410" s="334"/>
      <c r="X1410" s="1603"/>
      <c r="Y1410" s="1883" t="str">
        <f>IF(LEN('11.700'!X536)=0,"None",'11.700'!X536)</f>
        <v>None</v>
      </c>
      <c r="Z1410" s="1603"/>
      <c r="AC1410" s="1150" t="b">
        <f>OR(AD1410:AE1410)</f>
        <v>0</v>
      </c>
      <c r="AD1410" s="1150" t="b">
        <f>T1410</f>
        <v>0</v>
      </c>
      <c r="AE1410" s="1150"/>
      <c r="AL1410" s="1352" t="str">
        <f>SUBSTITUTE(SUBSTITUTE(SUBSTITUTE("vpa"&amp;$B1410&amp;$C1410&amp;$D1410&amp;$E1410&amp;$F1410,".","_"),"(","_"),")","")</f>
        <v>vpa705_4</v>
      </c>
      <c r="AM1410" s="1352">
        <f>M1410</f>
        <v>2</v>
      </c>
      <c r="AN1410" s="1352" t="str">
        <f>SUBSTITUTE(SUBSTITUTE(SUBSTITUTE("vpc"&amp;$B1410&amp;$C1410&amp;$D1410&amp;$E1410&amp;$F1410,".","_"),"(","_"),")","")</f>
        <v>vpc705_4</v>
      </c>
      <c r="AO1410" s="1352">
        <f ca="1">O1410</f>
        <v>0</v>
      </c>
      <c r="AP1410" s="1352" t="str">
        <f>SUBSTITUTE(SUBSTITUTE(SUBSTITUTE("vch"&amp;$B1410&amp;$C1410&amp;$D1410&amp;$E1410&amp;$F1410,".","_"),"(","_"),")","")</f>
        <v>vch705_4</v>
      </c>
      <c r="AQ1410" s="1352" t="str">
        <f>IF(LEN(W1410)=0,"",W1410)</f>
        <v/>
      </c>
      <c r="AR1410" s="1352" t="str">
        <f>SUBSTITUTE(SUBSTITUTE(SUBSTITUTE("vnt"&amp;$B1410&amp;$C1410&amp;$D1410&amp;$E1410&amp;$F1410,".","_"),"(","_"),")","")</f>
        <v>vnt705_4</v>
      </c>
      <c r="AS1410" s="1352" t="str">
        <f>IF(LEN(X1410)=0,"",X1410)</f>
        <v/>
      </c>
    </row>
    <row r="1411" spans="1:45" s="905" customFormat="1" hidden="1" x14ac:dyDescent="0.2">
      <c r="A1411" s="1507">
        <v>7</v>
      </c>
      <c r="B1411" s="1516">
        <v>705.4</v>
      </c>
      <c r="C1411" s="1516"/>
      <c r="D1411" s="1516"/>
      <c r="E1411" s="1516"/>
      <c r="F1411" s="1511"/>
      <c r="G1411" s="1509" t="str">
        <f ca="1">G1410</f>
        <v/>
      </c>
      <c r="H1411" s="1510" t="s">
        <v>3197</v>
      </c>
      <c r="I1411" s="590"/>
      <c r="J1411" s="590"/>
      <c r="K1411" s="590"/>
      <c r="L1411" s="1687"/>
      <c r="M1411" s="1623"/>
      <c r="N1411" s="1619"/>
      <c r="O1411" s="1619"/>
      <c r="P1411" s="991"/>
      <c r="Q1411" s="991"/>
      <c r="R1411" s="991"/>
      <c r="S1411" s="991"/>
      <c r="T1411" s="991"/>
      <c r="U1411" s="991"/>
      <c r="W1411" s="1135"/>
      <c r="X1411" s="1601"/>
      <c r="Y1411" s="1881"/>
      <c r="Z1411" s="1600"/>
      <c r="AC1411" s="1150"/>
      <c r="AD1411" s="1150"/>
      <c r="AE1411" s="1150"/>
      <c r="AL1411" s="1352"/>
      <c r="AM1411" s="1352"/>
      <c r="AN1411" s="1352"/>
      <c r="AO1411" s="1352"/>
      <c r="AP1411" s="1352"/>
      <c r="AQ1411" s="1352"/>
      <c r="AR1411" s="1352"/>
      <c r="AS1411" s="1352"/>
    </row>
    <row r="1412" spans="1:45" s="905" customFormat="1" ht="16" hidden="1" thickBot="1" x14ac:dyDescent="0.25">
      <c r="A1412" s="1507">
        <v>7</v>
      </c>
      <c r="B1412" s="1516">
        <v>705.4</v>
      </c>
      <c r="C1412" s="1516"/>
      <c r="D1412" s="1516"/>
      <c r="E1412" s="1516"/>
      <c r="F1412" s="1511"/>
      <c r="G1412" s="1509" t="str">
        <f ca="1">G1411</f>
        <v/>
      </c>
      <c r="H1412" s="1510" t="s">
        <v>3197</v>
      </c>
      <c r="I1412" s="594"/>
      <c r="J1412" s="594"/>
      <c r="K1412" s="594"/>
      <c r="L1412" s="1738"/>
      <c r="M1412" s="1627"/>
      <c r="N1412" s="1638"/>
      <c r="O1412" s="1638"/>
      <c r="P1412" s="100"/>
      <c r="Q1412" s="100"/>
      <c r="R1412" s="100"/>
      <c r="S1412" s="100"/>
      <c r="T1412" s="100"/>
      <c r="U1412" s="100"/>
      <c r="W1412" s="100"/>
      <c r="X1412" s="1602"/>
      <c r="Y1412" s="1882"/>
      <c r="Z1412" s="1602"/>
      <c r="AC1412" s="1150"/>
      <c r="AD1412" s="1150"/>
      <c r="AE1412" s="1150"/>
      <c r="AL1412" s="1352"/>
      <c r="AM1412" s="1352"/>
      <c r="AN1412" s="1352"/>
      <c r="AO1412" s="1352"/>
      <c r="AP1412" s="1352"/>
      <c r="AQ1412" s="1352"/>
      <c r="AR1412" s="1352"/>
      <c r="AS1412" s="1352"/>
    </row>
    <row r="1413" spans="1:45" s="905" customFormat="1" hidden="1" x14ac:dyDescent="0.2">
      <c r="A1413" s="1507">
        <v>7</v>
      </c>
      <c r="B1413" s="1516">
        <v>705.5</v>
      </c>
      <c r="C1413" s="1516"/>
      <c r="D1413" s="1516"/>
      <c r="E1413" s="1516"/>
      <c r="F1413" s="1511"/>
      <c r="G1413" s="1513" t="str">
        <f ca="1">IF(COUNTIF(G1414:G1428,"P")&gt;0,"P","")</f>
        <v/>
      </c>
      <c r="H1413" s="1510" t="s">
        <v>3197</v>
      </c>
      <c r="I1413" s="589" t="s">
        <v>4284</v>
      </c>
      <c r="J1413" s="589"/>
      <c r="K1413" s="589"/>
      <c r="L1413" s="946" t="s">
        <v>4285</v>
      </c>
      <c r="M1413" s="991"/>
      <c r="N1413" s="991"/>
      <c r="O1413" s="991"/>
      <c r="P1413" s="991"/>
      <c r="Q1413" s="991"/>
      <c r="R1413" s="991"/>
      <c r="S1413" s="991"/>
      <c r="T1413" s="991"/>
      <c r="Z1413" s="1122"/>
      <c r="AC1413" s="1150"/>
      <c r="AD1413" s="1150"/>
      <c r="AE1413" s="1150"/>
      <c r="AL1413" s="1352"/>
      <c r="AM1413" s="1352"/>
      <c r="AN1413" s="1352"/>
      <c r="AO1413" s="1352"/>
      <c r="AP1413" s="1352"/>
      <c r="AQ1413" s="1352"/>
      <c r="AR1413" s="1352"/>
      <c r="AS1413" s="1352"/>
    </row>
    <row r="1414" spans="1:45" s="905" customFormat="1" hidden="1" x14ac:dyDescent="0.2">
      <c r="A1414" s="1507">
        <v>7</v>
      </c>
      <c r="B1414" s="1516" t="s">
        <v>4455</v>
      </c>
      <c r="C1414" s="1516"/>
      <c r="D1414" s="1516"/>
      <c r="E1414" s="1516"/>
      <c r="F1414" s="1511"/>
      <c r="G1414" s="1513" t="str">
        <f ca="1">IF(COUNTIF(G1415:G1418,"P")&gt;0,"P","")</f>
        <v/>
      </c>
      <c r="H1414" s="1510" t="s">
        <v>3197</v>
      </c>
      <c r="I1414" s="589" t="s">
        <v>4286</v>
      </c>
      <c r="J1414" s="589"/>
      <c r="K1414" s="589"/>
      <c r="L1414" s="946" t="s">
        <v>4287</v>
      </c>
      <c r="M1414" s="991"/>
      <c r="N1414" s="991"/>
      <c r="O1414" s="991"/>
      <c r="P1414" s="991"/>
      <c r="Q1414" s="991"/>
      <c r="R1414" s="991"/>
      <c r="S1414" s="991"/>
      <c r="T1414" s="991"/>
      <c r="Z1414" s="1122"/>
      <c r="AC1414" s="1150"/>
      <c r="AD1414" s="1150"/>
      <c r="AE1414" s="1150"/>
      <c r="AL1414" s="1352"/>
      <c r="AM1414" s="1352"/>
      <c r="AN1414" s="1352"/>
      <c r="AO1414" s="1352"/>
      <c r="AP1414" s="1352"/>
      <c r="AQ1414" s="1352"/>
      <c r="AR1414" s="1352"/>
      <c r="AS1414" s="1352"/>
    </row>
    <row r="1415" spans="1:45" s="905" customFormat="1" ht="15" hidden="1" customHeight="1" x14ac:dyDescent="0.2">
      <c r="A1415" s="1507">
        <v>7</v>
      </c>
      <c r="B1415" s="1516" t="s">
        <v>4455</v>
      </c>
      <c r="C1415" s="1516" t="s">
        <v>254</v>
      </c>
      <c r="D1415" s="1516"/>
      <c r="E1415" s="1516"/>
      <c r="F1415" s="1511"/>
      <c r="G1415" s="1509" t="str">
        <f ca="1">IF(N1415&gt;0,"P","")</f>
        <v/>
      </c>
      <c r="H1415" s="1510" t="s">
        <v>3197</v>
      </c>
      <c r="I1415" s="589"/>
      <c r="J1415" s="590" t="s">
        <v>254</v>
      </c>
      <c r="K1415" s="590"/>
      <c r="L1415" s="1634" t="s">
        <v>4288</v>
      </c>
      <c r="M1415" s="1623">
        <v>1</v>
      </c>
      <c r="N1415" s="1619">
        <f ca="1">'11.700'!O541</f>
        <v>0</v>
      </c>
      <c r="O1415" s="1619">
        <f ca="1">M1415*S1415*W1415</f>
        <v>0</v>
      </c>
      <c r="P1415" s="991" t="b">
        <v>1</v>
      </c>
      <c r="Q1415" s="991" t="b">
        <v>1</v>
      </c>
      <c r="R1415" s="991" t="b">
        <v>0</v>
      </c>
      <c r="S1415" s="991" t="b">
        <f ca="1">S885=2</f>
        <v>0</v>
      </c>
      <c r="T1415" s="991" t="b">
        <v>0</v>
      </c>
      <c r="W1415" s="27"/>
      <c r="X1415" s="1600"/>
      <c r="Y1415" s="1874" t="str">
        <f>IF(LEN('11.700'!X541)=0,"None",'11.700'!X541)</f>
        <v>None</v>
      </c>
      <c r="Z1415" s="1600"/>
      <c r="AC1415" s="1150" t="b">
        <f>OR(AD1415:AE1415)</f>
        <v>0</v>
      </c>
      <c r="AD1415" s="1150" t="b">
        <f>T1415</f>
        <v>0</v>
      </c>
      <c r="AE1415" s="1150"/>
      <c r="AL1415" s="1352" t="str">
        <f>SUBSTITUTE(SUBSTITUTE(SUBSTITUTE("vpa"&amp;$B1415&amp;$C1415&amp;$D1415&amp;$E1415&amp;$F1415,".","_"),"(","_"),")","")</f>
        <v>vpa705_5_1_1</v>
      </c>
      <c r="AM1415" s="1352">
        <f>M1415</f>
        <v>1</v>
      </c>
      <c r="AN1415" s="1352" t="str">
        <f>SUBSTITUTE(SUBSTITUTE(SUBSTITUTE("vpc"&amp;$B1415&amp;$C1415&amp;$D1415&amp;$E1415&amp;$F1415,".","_"),"(","_"),")","")</f>
        <v>vpc705_5_1_1</v>
      </c>
      <c r="AO1415" s="1352">
        <f ca="1">O1415</f>
        <v>0</v>
      </c>
      <c r="AP1415" s="1352" t="str">
        <f>SUBSTITUTE(SUBSTITUTE(SUBSTITUTE("vch"&amp;$B1415&amp;$C1415&amp;$D1415&amp;$E1415&amp;$F1415,".","_"),"(","_"),")","")</f>
        <v>vch705_5_1_1</v>
      </c>
      <c r="AQ1415" s="1352" t="str">
        <f>IF(LEN(W1415)=0,"",W1415)</f>
        <v/>
      </c>
      <c r="AR1415" s="1352" t="str">
        <f>SUBSTITUTE(SUBSTITUTE(SUBSTITUTE("vnt"&amp;$B1415&amp;$C1415&amp;$D1415&amp;$E1415&amp;$F1415,".","_"),"(","_"),")","")</f>
        <v>vnt705_5_1_1</v>
      </c>
      <c r="AS1415" s="1352" t="str">
        <f>IF(LEN(X1415)=0,"",X1415)</f>
        <v/>
      </c>
    </row>
    <row r="1416" spans="1:45" s="905" customFormat="1" hidden="1" x14ac:dyDescent="0.2">
      <c r="A1416" s="1507">
        <v>7</v>
      </c>
      <c r="B1416" s="1516" t="s">
        <v>4455</v>
      </c>
      <c r="C1416" s="1516" t="s">
        <v>254</v>
      </c>
      <c r="D1416" s="1516"/>
      <c r="E1416" s="1516"/>
      <c r="F1416" s="1511"/>
      <c r="G1416" s="1509" t="str">
        <f ca="1">G1415</f>
        <v/>
      </c>
      <c r="H1416" s="1510" t="s">
        <v>3197</v>
      </c>
      <c r="I1416" s="589"/>
      <c r="J1416" s="590"/>
      <c r="K1416" s="590"/>
      <c r="L1416" s="1634"/>
      <c r="M1416" s="1623"/>
      <c r="N1416" s="1619"/>
      <c r="O1416" s="1619"/>
      <c r="P1416" s="991"/>
      <c r="Q1416" s="991"/>
      <c r="R1416" s="991"/>
      <c r="S1416" s="991"/>
      <c r="T1416" s="991"/>
      <c r="X1416" s="1600"/>
      <c r="Y1416" s="1874"/>
      <c r="Z1416" s="1600"/>
      <c r="AC1416" s="1150"/>
      <c r="AD1416" s="1150"/>
      <c r="AE1416" s="1150"/>
      <c r="AL1416" s="1352"/>
      <c r="AM1416" s="1352"/>
      <c r="AN1416" s="1352"/>
      <c r="AO1416" s="1352"/>
      <c r="AP1416" s="1352"/>
      <c r="AQ1416" s="1352"/>
      <c r="AR1416" s="1352"/>
      <c r="AS1416" s="1352"/>
    </row>
    <row r="1417" spans="1:45" s="905" customFormat="1" hidden="1" x14ac:dyDescent="0.2">
      <c r="A1417" s="1507">
        <v>7</v>
      </c>
      <c r="B1417" s="1516" t="s">
        <v>4455</v>
      </c>
      <c r="C1417" s="1516" t="s">
        <v>254</v>
      </c>
      <c r="D1417" s="1516"/>
      <c r="E1417" s="1516"/>
      <c r="F1417" s="1511"/>
      <c r="G1417" s="1509" t="str">
        <f ca="1">G1416</f>
        <v/>
      </c>
      <c r="H1417" s="1510" t="s">
        <v>3197</v>
      </c>
      <c r="I1417" s="589"/>
      <c r="J1417" s="606"/>
      <c r="K1417" s="606"/>
      <c r="L1417" s="1639"/>
      <c r="M1417" s="1624"/>
      <c r="N1417" s="1620"/>
      <c r="O1417" s="1620"/>
      <c r="P1417" s="991"/>
      <c r="Q1417" s="991"/>
      <c r="R1417" s="991"/>
      <c r="S1417" s="991"/>
      <c r="T1417" s="991"/>
      <c r="X1417" s="1600"/>
      <c r="Y1417" s="1874"/>
      <c r="Z1417" s="1600"/>
      <c r="AC1417" s="1150"/>
      <c r="AD1417" s="1150"/>
      <c r="AE1417" s="1150"/>
      <c r="AL1417" s="1352"/>
      <c r="AM1417" s="1352"/>
      <c r="AN1417" s="1352"/>
      <c r="AO1417" s="1352"/>
      <c r="AP1417" s="1352"/>
      <c r="AQ1417" s="1352"/>
      <c r="AR1417" s="1352"/>
      <c r="AS1417" s="1352"/>
    </row>
    <row r="1418" spans="1:45" s="905" customFormat="1" ht="15" hidden="1" customHeight="1" x14ac:dyDescent="0.2">
      <c r="A1418" s="1507">
        <v>7</v>
      </c>
      <c r="B1418" s="1516" t="s">
        <v>4455</v>
      </c>
      <c r="C1418" s="1516" t="s">
        <v>255</v>
      </c>
      <c r="D1418" s="1516"/>
      <c r="E1418" s="1516"/>
      <c r="F1418" s="1511"/>
      <c r="G1418" s="1509" t="str">
        <f ca="1">IF(N1418&gt;0,"P","")</f>
        <v/>
      </c>
      <c r="H1418" s="1510" t="s">
        <v>3197</v>
      </c>
      <c r="I1418" s="590"/>
      <c r="J1418" s="590" t="s">
        <v>255</v>
      </c>
      <c r="K1418" s="590"/>
      <c r="L1418" s="1634" t="s">
        <v>4289</v>
      </c>
      <c r="M1418" s="1623">
        <v>1</v>
      </c>
      <c r="N1418" s="1637">
        <f ca="1">'11.700'!O544</f>
        <v>0</v>
      </c>
      <c r="O1418" s="1619">
        <f ca="1">M1418*S1418*W1418</f>
        <v>0</v>
      </c>
      <c r="P1418" s="991" t="b">
        <v>1</v>
      </c>
      <c r="Q1418" s="991" t="b">
        <v>1</v>
      </c>
      <c r="R1418" s="991" t="b">
        <v>0</v>
      </c>
      <c r="S1418" s="991" t="b">
        <f ca="1">S885=2</f>
        <v>0</v>
      </c>
      <c r="T1418" s="991" t="b">
        <v>0</v>
      </c>
      <c r="W1418" s="27"/>
      <c r="X1418" s="1600"/>
      <c r="Y1418" s="1874" t="str">
        <f>IF(LEN('11.700'!X544)=0,"None",'11.700'!X544)</f>
        <v>None</v>
      </c>
      <c r="Z1418" s="1600"/>
      <c r="AC1418" s="1150" t="b">
        <f>OR(AD1418:AE1418)</f>
        <v>0</v>
      </c>
      <c r="AD1418" s="1150" t="b">
        <f>T1418</f>
        <v>0</v>
      </c>
      <c r="AE1418" s="1150"/>
      <c r="AL1418" s="1352" t="str">
        <f>SUBSTITUTE(SUBSTITUTE(SUBSTITUTE("vpa"&amp;$B1418&amp;$C1418&amp;$D1418&amp;$E1418&amp;$F1418,".","_"),"(","_"),")","")</f>
        <v>vpa705_5_1_2</v>
      </c>
      <c r="AM1418" s="1352">
        <f>M1418</f>
        <v>1</v>
      </c>
      <c r="AN1418" s="1352" t="str">
        <f>SUBSTITUTE(SUBSTITUTE(SUBSTITUTE("vpc"&amp;$B1418&amp;$C1418&amp;$D1418&amp;$E1418&amp;$F1418,".","_"),"(","_"),")","")</f>
        <v>vpc705_5_1_2</v>
      </c>
      <c r="AO1418" s="1352">
        <f ca="1">O1418</f>
        <v>0</v>
      </c>
      <c r="AP1418" s="1352" t="str">
        <f>SUBSTITUTE(SUBSTITUTE(SUBSTITUTE("vch"&amp;$B1418&amp;$C1418&amp;$D1418&amp;$E1418&amp;$F1418,".","_"),"(","_"),")","")</f>
        <v>vch705_5_1_2</v>
      </c>
      <c r="AQ1418" s="1352" t="str">
        <f>IF(LEN(W1418)=0,"",W1418)</f>
        <v/>
      </c>
      <c r="AR1418" s="1352" t="str">
        <f>SUBSTITUTE(SUBSTITUTE(SUBSTITUTE("vnt"&amp;$B1418&amp;$C1418&amp;$D1418&amp;$E1418&amp;$F1418,".","_"),"(","_"),")","")</f>
        <v>vnt705_5_1_2</v>
      </c>
      <c r="AS1418" s="1352" t="str">
        <f>IF(LEN(X1418)=0,"",X1418)</f>
        <v/>
      </c>
    </row>
    <row r="1419" spans="1:45" s="905" customFormat="1" hidden="1" x14ac:dyDescent="0.2">
      <c r="A1419" s="1507">
        <v>7</v>
      </c>
      <c r="B1419" s="1516" t="s">
        <v>4455</v>
      </c>
      <c r="C1419" s="1516" t="s">
        <v>255</v>
      </c>
      <c r="D1419" s="1516"/>
      <c r="E1419" s="1516"/>
      <c r="F1419" s="1511"/>
      <c r="G1419" s="1509" t="str">
        <f ca="1">G1418</f>
        <v/>
      </c>
      <c r="H1419" s="1510" t="s">
        <v>3197</v>
      </c>
      <c r="I1419" s="606"/>
      <c r="J1419" s="606"/>
      <c r="K1419" s="606"/>
      <c r="L1419" s="1639"/>
      <c r="M1419" s="1624"/>
      <c r="N1419" s="1620"/>
      <c r="O1419" s="1620"/>
      <c r="P1419" s="991"/>
      <c r="Q1419" s="991"/>
      <c r="R1419" s="991"/>
      <c r="S1419" s="991"/>
      <c r="T1419" s="991"/>
      <c r="X1419" s="1600"/>
      <c r="Y1419" s="1874"/>
      <c r="Z1419" s="1600"/>
      <c r="AL1419" s="1352"/>
      <c r="AM1419" s="1352"/>
      <c r="AN1419" s="1352"/>
      <c r="AO1419" s="1352"/>
      <c r="AP1419" s="1352"/>
      <c r="AQ1419" s="1352"/>
      <c r="AR1419" s="1352"/>
      <c r="AS1419" s="1352"/>
    </row>
    <row r="1420" spans="1:45" s="905" customFormat="1" ht="15" hidden="1" customHeight="1" x14ac:dyDescent="0.2">
      <c r="A1420" s="1507">
        <v>7</v>
      </c>
      <c r="B1420" s="1516" t="s">
        <v>4456</v>
      </c>
      <c r="C1420" s="1516"/>
      <c r="D1420" s="1516"/>
      <c r="E1420" s="1516"/>
      <c r="F1420" s="1511"/>
      <c r="G1420" s="1509" t="str">
        <f ca="1">IF(N1420&gt;0,"P","")</f>
        <v/>
      </c>
      <c r="H1420" s="1530" t="s">
        <v>3199</v>
      </c>
      <c r="I1420" s="589" t="s">
        <v>4290</v>
      </c>
      <c r="J1420" s="589"/>
      <c r="K1420" s="589"/>
      <c r="L1420" s="1687" t="s">
        <v>4291</v>
      </c>
      <c r="M1420" s="1623">
        <v>3</v>
      </c>
      <c r="N1420" s="1637">
        <f ca="1">'11.700'!O546</f>
        <v>0</v>
      </c>
      <c r="O1420" s="1619">
        <f ca="1">M1420*S1420*W1420</f>
        <v>0</v>
      </c>
      <c r="P1420" s="991" t="b">
        <v>0</v>
      </c>
      <c r="Q1420" s="991" t="b">
        <v>1</v>
      </c>
      <c r="R1420" s="991" t="b">
        <v>0</v>
      </c>
      <c r="S1420" s="991" t="b">
        <f ca="1">S885=2</f>
        <v>0</v>
      </c>
      <c r="T1420" s="991" t="b">
        <v>0</v>
      </c>
      <c r="W1420" s="27"/>
      <c r="X1420" s="1600"/>
      <c r="Y1420" s="1874" t="str">
        <f>IF(LEN('11.700'!X546)=0,"None",'11.700'!X546)</f>
        <v>None</v>
      </c>
      <c r="Z1420" s="1600"/>
      <c r="AC1420" s="1150" t="b">
        <f>OR(AD1420:AE1420)</f>
        <v>0</v>
      </c>
      <c r="AD1420" s="1150" t="b">
        <f>T1420</f>
        <v>0</v>
      </c>
      <c r="AE1420" s="1150"/>
      <c r="AL1420" s="1352" t="str">
        <f>SUBSTITUTE(SUBSTITUTE(SUBSTITUTE("vpa"&amp;$B1420&amp;$C1420&amp;$D1420&amp;$E1420&amp;$F1420,".","_"),"(","_"),")","")</f>
        <v>vpa705_5_2</v>
      </c>
      <c r="AM1420" s="1352">
        <f>M1420</f>
        <v>3</v>
      </c>
      <c r="AN1420" s="1352" t="str">
        <f>SUBSTITUTE(SUBSTITUTE(SUBSTITUTE("vpc"&amp;$B1420&amp;$C1420&amp;$D1420&amp;$E1420&amp;$F1420,".","_"),"(","_"),")","")</f>
        <v>vpc705_5_2</v>
      </c>
      <c r="AO1420" s="1352">
        <f ca="1">O1420</f>
        <v>0</v>
      </c>
      <c r="AP1420" s="1352" t="str">
        <f>SUBSTITUTE(SUBSTITUTE(SUBSTITUTE("vch"&amp;$B1420&amp;$C1420&amp;$D1420&amp;$E1420&amp;$F1420,".","_"),"(","_"),")","")</f>
        <v>vch705_5_2</v>
      </c>
      <c r="AQ1420" s="1352" t="str">
        <f>IF(LEN(W1420)=0,"",W1420)</f>
        <v/>
      </c>
      <c r="AR1420" s="1352" t="str">
        <f>SUBSTITUTE(SUBSTITUTE(SUBSTITUTE("vnt"&amp;$B1420&amp;$C1420&amp;$D1420&amp;$E1420&amp;$F1420,".","_"),"(","_"),")","")</f>
        <v>vnt705_5_2</v>
      </c>
      <c r="AS1420" s="1352" t="str">
        <f>IF(LEN(X1420)=0,"",X1420)</f>
        <v/>
      </c>
    </row>
    <row r="1421" spans="1:45" s="905" customFormat="1" hidden="1" x14ac:dyDescent="0.2">
      <c r="A1421" s="1507">
        <v>7</v>
      </c>
      <c r="B1421" s="1516" t="s">
        <v>4456</v>
      </c>
      <c r="C1421" s="1516"/>
      <c r="D1421" s="1516"/>
      <c r="E1421" s="1516"/>
      <c r="F1421" s="1511"/>
      <c r="G1421" s="1509" t="str">
        <f t="shared" ref="G1421:G1427" ca="1" si="106">G1420</f>
        <v/>
      </c>
      <c r="H1421" s="1530" t="s">
        <v>3199</v>
      </c>
      <c r="I1421" s="589"/>
      <c r="J1421" s="589"/>
      <c r="K1421" s="589"/>
      <c r="L1421" s="1687"/>
      <c r="M1421" s="1623"/>
      <c r="N1421" s="1619"/>
      <c r="O1421" s="1619"/>
      <c r="P1421" s="991"/>
      <c r="Q1421" s="991"/>
      <c r="R1421" s="991"/>
      <c r="S1421" s="991"/>
      <c r="T1421" s="991"/>
      <c r="X1421" s="1600"/>
      <c r="Y1421" s="1874"/>
      <c r="Z1421" s="1600"/>
      <c r="AC1421" s="1150"/>
      <c r="AD1421" s="1150"/>
      <c r="AE1421" s="1150"/>
      <c r="AL1421" s="1352"/>
      <c r="AM1421" s="1352"/>
      <c r="AN1421" s="1352"/>
      <c r="AO1421" s="1352"/>
      <c r="AP1421" s="1352"/>
      <c r="AQ1421" s="1352"/>
      <c r="AR1421" s="1352"/>
      <c r="AS1421" s="1352"/>
    </row>
    <row r="1422" spans="1:45" s="905" customFormat="1" ht="16" hidden="1" x14ac:dyDescent="0.2">
      <c r="A1422" s="1507">
        <v>7</v>
      </c>
      <c r="B1422" s="1516" t="s">
        <v>4456</v>
      </c>
      <c r="C1422" s="1516" t="s">
        <v>254</v>
      </c>
      <c r="D1422" s="1516"/>
      <c r="E1422" s="1516"/>
      <c r="F1422" s="1511"/>
      <c r="G1422" s="1509" t="str">
        <f t="shared" ca="1" si="106"/>
        <v/>
      </c>
      <c r="H1422" s="1530" t="s">
        <v>3199</v>
      </c>
      <c r="I1422" s="589"/>
      <c r="J1422" s="606" t="s">
        <v>254</v>
      </c>
      <c r="K1422" s="606"/>
      <c r="L1422" s="923" t="s">
        <v>4292</v>
      </c>
      <c r="M1422" s="991"/>
      <c r="N1422" s="991"/>
      <c r="O1422" s="991"/>
      <c r="P1422" s="991"/>
      <c r="Q1422" s="991"/>
      <c r="R1422" s="991"/>
      <c r="S1422" s="991"/>
      <c r="T1422" s="991"/>
      <c r="X1422" s="1123"/>
      <c r="Y1422" s="1139" t="str">
        <f>IF(LEN('11.700'!X548)=0,"None",'11.700'!X548)</f>
        <v>None</v>
      </c>
      <c r="Z1422" s="1123"/>
      <c r="AC1422" s="1150"/>
      <c r="AD1422" s="1150"/>
      <c r="AE1422" s="1150"/>
      <c r="AL1422" s="1352"/>
      <c r="AM1422" s="1352"/>
      <c r="AN1422" s="1352"/>
      <c r="AO1422" s="1352"/>
      <c r="AP1422" s="1352"/>
      <c r="AQ1422" s="1352"/>
      <c r="AR1422" s="1352" t="str">
        <f t="shared" ref="AR1422:AR1427" si="107">SUBSTITUTE(SUBSTITUTE(SUBSTITUTE("vnt"&amp;$B1422&amp;$C1422&amp;$D1422&amp;$E1422&amp;$F1422,".","_"),"(","_"),")","")</f>
        <v>vnt705_5_2_1</v>
      </c>
      <c r="AS1422" s="1352" t="str">
        <f t="shared" ref="AS1422:AS1427" si="108">IF(LEN(X1422)=0,"",X1422)</f>
        <v/>
      </c>
    </row>
    <row r="1423" spans="1:45" s="905" customFormat="1" ht="16" hidden="1" x14ac:dyDescent="0.2">
      <c r="A1423" s="1507">
        <v>7</v>
      </c>
      <c r="B1423" s="1516" t="s">
        <v>4456</v>
      </c>
      <c r="C1423" s="1516" t="s">
        <v>255</v>
      </c>
      <c r="D1423" s="1516"/>
      <c r="E1423" s="1516"/>
      <c r="F1423" s="1511"/>
      <c r="G1423" s="1509" t="str">
        <f t="shared" ca="1" si="106"/>
        <v/>
      </c>
      <c r="H1423" s="1530" t="s">
        <v>3199</v>
      </c>
      <c r="I1423" s="589"/>
      <c r="J1423" s="607" t="s">
        <v>255</v>
      </c>
      <c r="K1423" s="607"/>
      <c r="L1423" s="1075" t="s">
        <v>4293</v>
      </c>
      <c r="M1423" s="991"/>
      <c r="N1423" s="991"/>
      <c r="O1423" s="991"/>
      <c r="P1423" s="991"/>
      <c r="Q1423" s="991"/>
      <c r="R1423" s="991"/>
      <c r="S1423" s="991"/>
      <c r="T1423" s="991"/>
      <c r="X1423" s="1123"/>
      <c r="Y1423" s="1139" t="str">
        <f>IF(LEN('11.700'!X549)=0,"None",'11.700'!X549)</f>
        <v>None</v>
      </c>
      <c r="Z1423" s="1123"/>
      <c r="AC1423" s="1150"/>
      <c r="AD1423" s="1150"/>
      <c r="AE1423" s="1150"/>
      <c r="AL1423" s="1352"/>
      <c r="AM1423" s="1352"/>
      <c r="AN1423" s="1352"/>
      <c r="AO1423" s="1352"/>
      <c r="AP1423" s="1352"/>
      <c r="AQ1423" s="1352"/>
      <c r="AR1423" s="1352" t="str">
        <f t="shared" si="107"/>
        <v>vnt705_5_2_2</v>
      </c>
      <c r="AS1423" s="1352" t="str">
        <f t="shared" si="108"/>
        <v/>
      </c>
    </row>
    <row r="1424" spans="1:45" s="905" customFormat="1" ht="16" hidden="1" x14ac:dyDescent="0.2">
      <c r="A1424" s="1507">
        <v>7</v>
      </c>
      <c r="B1424" s="1516" t="s">
        <v>4456</v>
      </c>
      <c r="C1424" s="1516" t="s">
        <v>256</v>
      </c>
      <c r="D1424" s="1516"/>
      <c r="E1424" s="1516"/>
      <c r="F1424" s="1511"/>
      <c r="G1424" s="1509" t="str">
        <f t="shared" ca="1" si="106"/>
        <v/>
      </c>
      <c r="H1424" s="1530" t="s">
        <v>3199</v>
      </c>
      <c r="I1424" s="589"/>
      <c r="J1424" s="607" t="s">
        <v>256</v>
      </c>
      <c r="K1424" s="607"/>
      <c r="L1424" s="1075" t="s">
        <v>4294</v>
      </c>
      <c r="M1424" s="991"/>
      <c r="N1424" s="991"/>
      <c r="O1424" s="991"/>
      <c r="P1424" s="991"/>
      <c r="Q1424" s="991"/>
      <c r="R1424" s="991"/>
      <c r="S1424" s="991"/>
      <c r="T1424" s="991"/>
      <c r="X1424" s="1123"/>
      <c r="Y1424" s="1139" t="str">
        <f>IF(LEN('11.700'!X550)=0,"None",'11.700'!X550)</f>
        <v>None</v>
      </c>
      <c r="Z1424" s="1123"/>
      <c r="AC1424" s="1150"/>
      <c r="AD1424" s="1150"/>
      <c r="AE1424" s="1150"/>
      <c r="AL1424" s="1352"/>
      <c r="AM1424" s="1352"/>
      <c r="AN1424" s="1352"/>
      <c r="AO1424" s="1352"/>
      <c r="AP1424" s="1352"/>
      <c r="AQ1424" s="1352"/>
      <c r="AR1424" s="1352" t="str">
        <f t="shared" si="107"/>
        <v>vnt705_5_2_3</v>
      </c>
      <c r="AS1424" s="1352" t="str">
        <f t="shared" si="108"/>
        <v/>
      </c>
    </row>
    <row r="1425" spans="1:45" s="905" customFormat="1" ht="16" hidden="1" x14ac:dyDescent="0.2">
      <c r="A1425" s="1507">
        <v>7</v>
      </c>
      <c r="B1425" s="1516" t="s">
        <v>4456</v>
      </c>
      <c r="C1425" s="1516" t="s">
        <v>259</v>
      </c>
      <c r="D1425" s="1516"/>
      <c r="E1425" s="1516"/>
      <c r="F1425" s="1511"/>
      <c r="G1425" s="1509" t="str">
        <f t="shared" ca="1" si="106"/>
        <v/>
      </c>
      <c r="H1425" s="1530" t="s">
        <v>3199</v>
      </c>
      <c r="I1425" s="589"/>
      <c r="J1425" s="607" t="s">
        <v>259</v>
      </c>
      <c r="K1425" s="607"/>
      <c r="L1425" s="1075" t="s">
        <v>4295</v>
      </c>
      <c r="M1425" s="991"/>
      <c r="N1425" s="991"/>
      <c r="O1425" s="991"/>
      <c r="P1425" s="991"/>
      <c r="Q1425" s="991"/>
      <c r="R1425" s="991"/>
      <c r="S1425" s="991"/>
      <c r="T1425" s="991"/>
      <c r="X1425" s="1123"/>
      <c r="Y1425" s="1139" t="str">
        <f>IF(LEN('11.700'!X551)=0,"None",'11.700'!X551)</f>
        <v>None</v>
      </c>
      <c r="Z1425" s="1123"/>
      <c r="AC1425" s="1150"/>
      <c r="AD1425" s="1150"/>
      <c r="AE1425" s="1150"/>
      <c r="AL1425" s="1352"/>
      <c r="AM1425" s="1352"/>
      <c r="AN1425" s="1352"/>
      <c r="AO1425" s="1352"/>
      <c r="AP1425" s="1352"/>
      <c r="AQ1425" s="1352"/>
      <c r="AR1425" s="1352" t="str">
        <f t="shared" si="107"/>
        <v>vnt705_5_2_4</v>
      </c>
      <c r="AS1425" s="1352" t="str">
        <f t="shared" si="108"/>
        <v/>
      </c>
    </row>
    <row r="1426" spans="1:45" s="905" customFormat="1" ht="16" hidden="1" x14ac:dyDescent="0.2">
      <c r="A1426" s="1507">
        <v>7</v>
      </c>
      <c r="B1426" s="1516" t="s">
        <v>4456</v>
      </c>
      <c r="C1426" s="1516" t="s">
        <v>263</v>
      </c>
      <c r="D1426" s="1516"/>
      <c r="E1426" s="1516"/>
      <c r="F1426" s="1511"/>
      <c r="G1426" s="1509" t="str">
        <f t="shared" ca="1" si="106"/>
        <v/>
      </c>
      <c r="H1426" s="1530" t="s">
        <v>3199</v>
      </c>
      <c r="I1426" s="589"/>
      <c r="J1426" s="607" t="s">
        <v>263</v>
      </c>
      <c r="K1426" s="607"/>
      <c r="L1426" s="1075" t="s">
        <v>4296</v>
      </c>
      <c r="M1426" s="991"/>
      <c r="N1426" s="991"/>
      <c r="O1426" s="991"/>
      <c r="P1426" s="991"/>
      <c r="Q1426" s="991"/>
      <c r="R1426" s="991"/>
      <c r="S1426" s="991"/>
      <c r="T1426" s="991"/>
      <c r="X1426" s="1123"/>
      <c r="Y1426" s="1139" t="str">
        <f>IF(LEN('11.700'!X552)=0,"None",'11.700'!X552)</f>
        <v>None</v>
      </c>
      <c r="Z1426" s="1123"/>
      <c r="AC1426" s="1150"/>
      <c r="AD1426" s="1150"/>
      <c r="AE1426" s="1150"/>
      <c r="AL1426" s="1352"/>
      <c r="AM1426" s="1352"/>
      <c r="AN1426" s="1352"/>
      <c r="AO1426" s="1352"/>
      <c r="AP1426" s="1352"/>
      <c r="AQ1426" s="1352"/>
      <c r="AR1426" s="1352" t="str">
        <f t="shared" si="107"/>
        <v>vnt705_5_2_5</v>
      </c>
      <c r="AS1426" s="1352" t="str">
        <f t="shared" si="108"/>
        <v/>
      </c>
    </row>
    <row r="1427" spans="1:45" s="905" customFormat="1" ht="16" hidden="1" x14ac:dyDescent="0.2">
      <c r="A1427" s="1507">
        <v>7</v>
      </c>
      <c r="B1427" s="1516" t="s">
        <v>4456</v>
      </c>
      <c r="C1427" s="1516" t="s">
        <v>264</v>
      </c>
      <c r="D1427" s="1516"/>
      <c r="E1427" s="1516"/>
      <c r="F1427" s="1511"/>
      <c r="G1427" s="1509" t="str">
        <f t="shared" ca="1" si="106"/>
        <v/>
      </c>
      <c r="H1427" s="1530" t="s">
        <v>3199</v>
      </c>
      <c r="I1427" s="606"/>
      <c r="J1427" s="606" t="s">
        <v>264</v>
      </c>
      <c r="K1427" s="606"/>
      <c r="L1427" s="923" t="s">
        <v>4297</v>
      </c>
      <c r="M1427" s="173"/>
      <c r="N1427" s="173"/>
      <c r="O1427" s="173"/>
      <c r="P1427" s="173"/>
      <c r="Q1427" s="173"/>
      <c r="R1427" s="173"/>
      <c r="S1427" s="173"/>
      <c r="T1427" s="173"/>
      <c r="U1427" s="173"/>
      <c r="X1427" s="1123"/>
      <c r="Y1427" s="1139" t="str">
        <f>IF(LEN('11.700'!X553)=0,"None",'11.700'!X553)</f>
        <v>None</v>
      </c>
      <c r="Z1427" s="1123"/>
      <c r="AC1427" s="1150"/>
      <c r="AD1427" s="1150"/>
      <c r="AE1427" s="1150"/>
      <c r="AL1427" s="1352"/>
      <c r="AM1427" s="1352"/>
      <c r="AN1427" s="1352"/>
      <c r="AO1427" s="1352"/>
      <c r="AP1427" s="1352"/>
      <c r="AQ1427" s="1352"/>
      <c r="AR1427" s="1352" t="str">
        <f t="shared" si="107"/>
        <v>vnt705_5_2_6</v>
      </c>
      <c r="AS1427" s="1352" t="str">
        <f t="shared" si="108"/>
        <v/>
      </c>
    </row>
    <row r="1428" spans="1:45" s="905" customFormat="1" hidden="1" x14ac:dyDescent="0.2">
      <c r="A1428" s="1507">
        <v>7</v>
      </c>
      <c r="B1428" s="1516" t="s">
        <v>4503</v>
      </c>
      <c r="C1428" s="1516"/>
      <c r="D1428" s="1516"/>
      <c r="E1428" s="1516"/>
      <c r="F1428" s="1511"/>
      <c r="G1428" s="1513" t="str">
        <f ca="1">IF(COUNTIF(G1429:G1431,"P")&gt;0,"P","")</f>
        <v/>
      </c>
      <c r="H1428" s="1530" t="s">
        <v>3199</v>
      </c>
      <c r="I1428" s="589" t="s">
        <v>4502</v>
      </c>
      <c r="J1428" s="589"/>
      <c r="K1428" s="589"/>
      <c r="L1428" s="946" t="s">
        <v>4298</v>
      </c>
      <c r="M1428" s="991"/>
      <c r="N1428" s="991"/>
      <c r="O1428" s="991"/>
      <c r="P1428" s="991"/>
      <c r="Q1428" s="991"/>
      <c r="R1428" s="991"/>
      <c r="S1428" s="991"/>
      <c r="T1428" s="991"/>
      <c r="Z1428" s="1122"/>
      <c r="AC1428" s="1150"/>
      <c r="AD1428" s="1150"/>
      <c r="AE1428" s="1150"/>
      <c r="AL1428" s="1352"/>
      <c r="AM1428" s="1352"/>
      <c r="AN1428" s="1352"/>
      <c r="AO1428" s="1352"/>
      <c r="AP1428" s="1352"/>
      <c r="AQ1428" s="1352"/>
      <c r="AR1428" s="1352"/>
      <c r="AS1428" s="1352"/>
    </row>
    <row r="1429" spans="1:45" s="905" customFormat="1" ht="15" hidden="1" customHeight="1" x14ac:dyDescent="0.2">
      <c r="A1429" s="1507">
        <v>7</v>
      </c>
      <c r="B1429" s="1516" t="s">
        <v>4503</v>
      </c>
      <c r="C1429" s="1516" t="s">
        <v>254</v>
      </c>
      <c r="D1429" s="1516"/>
      <c r="E1429" s="1516"/>
      <c r="F1429" s="1511"/>
      <c r="G1429" s="1509" t="str">
        <f ca="1">IF(N1429&gt;0,"P","")</f>
        <v/>
      </c>
      <c r="H1429" s="1530" t="s">
        <v>3199</v>
      </c>
      <c r="I1429" s="589"/>
      <c r="J1429" s="590" t="s">
        <v>254</v>
      </c>
      <c r="K1429" s="590"/>
      <c r="L1429" s="1634" t="s">
        <v>4299</v>
      </c>
      <c r="M1429" s="1623">
        <v>3</v>
      </c>
      <c r="N1429" s="1619">
        <f ca="1">'11.700'!O555</f>
        <v>0</v>
      </c>
      <c r="O1429" s="1619">
        <f ca="1">M1429*S1429*W1429</f>
        <v>0</v>
      </c>
      <c r="P1429" s="991" t="b">
        <v>0</v>
      </c>
      <c r="Q1429" s="991" t="b">
        <v>1</v>
      </c>
      <c r="R1429" s="991" t="b">
        <v>0</v>
      </c>
      <c r="S1429" s="991" t="b">
        <f ca="1">S885=2</f>
        <v>0</v>
      </c>
      <c r="T1429" s="991" t="b">
        <v>0</v>
      </c>
      <c r="W1429" s="27"/>
      <c r="X1429" s="1600"/>
      <c r="Y1429" s="1874" t="str">
        <f>IF(LEN('11.700'!X555)=0,"None",'11.700'!X555)</f>
        <v>None</v>
      </c>
      <c r="Z1429" s="1600"/>
      <c r="AC1429" s="1150" t="b">
        <f>OR(AD1429:AE1429)</f>
        <v>0</v>
      </c>
      <c r="AD1429" s="1150" t="b">
        <f>T1429</f>
        <v>0</v>
      </c>
      <c r="AE1429" s="1150"/>
      <c r="AL1429" s="1352" t="str">
        <f>SUBSTITUTE(SUBSTITUTE(SUBSTITUTE("vpa"&amp;$B1429&amp;$C1429&amp;$D1429&amp;$E1429&amp;$F1429,".","_"),"(","_"),")","")</f>
        <v>vpa705_5_3_1</v>
      </c>
      <c r="AM1429" s="1352">
        <f>M1429</f>
        <v>3</v>
      </c>
      <c r="AN1429" s="1352" t="str">
        <f>SUBSTITUTE(SUBSTITUTE(SUBSTITUTE("vpc"&amp;$B1429&amp;$C1429&amp;$D1429&amp;$E1429&amp;$F1429,".","_"),"(","_"),")","")</f>
        <v>vpc705_5_3_1</v>
      </c>
      <c r="AO1429" s="1352">
        <f ca="1">O1429</f>
        <v>0</v>
      </c>
      <c r="AP1429" s="1352" t="str">
        <f>SUBSTITUTE(SUBSTITUTE(SUBSTITUTE("vch"&amp;$B1429&amp;$C1429&amp;$D1429&amp;$E1429&amp;$F1429,".","_"),"(","_"),")","")</f>
        <v>vch705_5_3_1</v>
      </c>
      <c r="AQ1429" s="1352" t="str">
        <f>IF(LEN(W1429)=0,"",W1429)</f>
        <v/>
      </c>
      <c r="AR1429" s="1352" t="str">
        <f>SUBSTITUTE(SUBSTITUTE(SUBSTITUTE("vnt"&amp;$B1429&amp;$C1429&amp;$D1429&amp;$E1429&amp;$F1429,".","_"),"(","_"),")","")</f>
        <v>vnt705_5_3_1</v>
      </c>
      <c r="AS1429" s="1352" t="str">
        <f>IF(LEN(X1429)=0,"",X1429)</f>
        <v/>
      </c>
    </row>
    <row r="1430" spans="1:45" s="905" customFormat="1" hidden="1" x14ac:dyDescent="0.2">
      <c r="A1430" s="1507">
        <v>7</v>
      </c>
      <c r="B1430" s="1516" t="s">
        <v>4503</v>
      </c>
      <c r="C1430" s="1516" t="s">
        <v>254</v>
      </c>
      <c r="D1430" s="1516"/>
      <c r="E1430" s="1516"/>
      <c r="F1430" s="1511"/>
      <c r="G1430" s="1509" t="str">
        <f ca="1">G1429</f>
        <v/>
      </c>
      <c r="H1430" s="1530" t="s">
        <v>3199</v>
      </c>
      <c r="I1430" s="589"/>
      <c r="J1430" s="606"/>
      <c r="K1430" s="606"/>
      <c r="L1430" s="1639"/>
      <c r="M1430" s="1624"/>
      <c r="N1430" s="1620"/>
      <c r="O1430" s="1620"/>
      <c r="P1430" s="991"/>
      <c r="Q1430" s="991"/>
      <c r="R1430" s="991"/>
      <c r="S1430" s="991"/>
      <c r="T1430" s="991"/>
      <c r="X1430" s="1600"/>
      <c r="Y1430" s="1874"/>
      <c r="Z1430" s="1600"/>
      <c r="AC1430" s="1150"/>
      <c r="AD1430" s="1150"/>
      <c r="AE1430" s="1150"/>
      <c r="AL1430" s="1352"/>
      <c r="AM1430" s="1352"/>
      <c r="AN1430" s="1352"/>
      <c r="AO1430" s="1352"/>
      <c r="AP1430" s="1352"/>
      <c r="AQ1430" s="1352"/>
      <c r="AR1430" s="1352"/>
      <c r="AS1430" s="1352"/>
    </row>
    <row r="1431" spans="1:45" s="905" customFormat="1" ht="17" hidden="1" thickBot="1" x14ac:dyDescent="0.25">
      <c r="A1431" s="1507">
        <v>7</v>
      </c>
      <c r="B1431" s="1516" t="s">
        <v>4503</v>
      </c>
      <c r="C1431" s="1516" t="s">
        <v>255</v>
      </c>
      <c r="D1431" s="1516"/>
      <c r="E1431" s="1516"/>
      <c r="F1431" s="1511"/>
      <c r="G1431" s="1509" t="str">
        <f ca="1">IF(N1431&gt;0,"P","")</f>
        <v/>
      </c>
      <c r="H1431" s="1530" t="s">
        <v>3199</v>
      </c>
      <c r="I1431" s="594"/>
      <c r="J1431" s="594" t="s">
        <v>255</v>
      </c>
      <c r="K1431" s="594"/>
      <c r="L1431" s="920" t="s">
        <v>4300</v>
      </c>
      <c r="M1431" s="914">
        <v>3</v>
      </c>
      <c r="N1431" s="1131">
        <f ca="1">'11.700'!O557</f>
        <v>0</v>
      </c>
      <c r="O1431" s="1131">
        <f ca="1">M1431*S1431*W1431</f>
        <v>0</v>
      </c>
      <c r="P1431" s="100" t="b">
        <v>0</v>
      </c>
      <c r="Q1431" s="100" t="b">
        <v>1</v>
      </c>
      <c r="R1431" s="100" t="b">
        <v>0</v>
      </c>
      <c r="S1431" s="100" t="b">
        <f ca="1">S885=2</f>
        <v>0</v>
      </c>
      <c r="T1431" s="100" t="b">
        <v>0</v>
      </c>
      <c r="U1431" s="100"/>
      <c r="V1431" s="100"/>
      <c r="W1431" s="101"/>
      <c r="X1431" s="1124"/>
      <c r="Y1431" s="1137" t="str">
        <f>IF(LEN('11.700'!X557)=0,"None",'11.700'!X557)</f>
        <v>None</v>
      </c>
      <c r="Z1431" s="1124"/>
      <c r="AC1431" s="1150" t="b">
        <f>OR(AD1431:AE1431)</f>
        <v>0</v>
      </c>
      <c r="AD1431" s="1150" t="b">
        <f>T1431</f>
        <v>0</v>
      </c>
      <c r="AE1431" s="1150"/>
      <c r="AL1431" s="1352" t="str">
        <f>SUBSTITUTE(SUBSTITUTE(SUBSTITUTE("vpa"&amp;$B1431&amp;$C1431&amp;$D1431&amp;$E1431&amp;$F1431,".","_"),"(","_"),")","")</f>
        <v>vpa705_5_3_2</v>
      </c>
      <c r="AM1431" s="1352">
        <f>M1431</f>
        <v>3</v>
      </c>
      <c r="AN1431" s="1352" t="str">
        <f>SUBSTITUTE(SUBSTITUTE(SUBSTITUTE("vpc"&amp;$B1431&amp;$C1431&amp;$D1431&amp;$E1431&amp;$F1431,".","_"),"(","_"),")","")</f>
        <v>vpc705_5_3_2</v>
      </c>
      <c r="AO1431" s="1352">
        <f ca="1">O1431</f>
        <v>0</v>
      </c>
      <c r="AP1431" s="1352" t="str">
        <f>SUBSTITUTE(SUBSTITUTE(SUBSTITUTE("vch"&amp;$B1431&amp;$C1431&amp;$D1431&amp;$E1431&amp;$F1431,".","_"),"(","_"),")","")</f>
        <v>vch705_5_3_2</v>
      </c>
      <c r="AQ1431" s="1352" t="str">
        <f>IF(LEN(W1431)=0,"",W1431)</f>
        <v/>
      </c>
      <c r="AR1431" s="1352"/>
      <c r="AS1431" s="1352"/>
    </row>
    <row r="1432" spans="1:45" s="905" customFormat="1" hidden="1" x14ac:dyDescent="0.2">
      <c r="A1432" s="1507">
        <v>7</v>
      </c>
      <c r="B1432" s="1516">
        <v>705.6</v>
      </c>
      <c r="C1432" s="1516"/>
      <c r="D1432" s="1516"/>
      <c r="E1432" s="1516"/>
      <c r="F1432" s="1511"/>
      <c r="G1432" s="1513" t="str">
        <f ca="1">IF(COUNTIF(G1433:G1481,"P")&gt;0,"P","")</f>
        <v/>
      </c>
      <c r="H1432" s="1510" t="s">
        <v>3197</v>
      </c>
      <c r="I1432" s="589" t="s">
        <v>4301</v>
      </c>
      <c r="J1432" s="589"/>
      <c r="K1432" s="589"/>
      <c r="L1432" s="946" t="s">
        <v>4302</v>
      </c>
      <c r="M1432" s="913"/>
      <c r="N1432" s="991"/>
      <c r="O1432" s="908"/>
      <c r="P1432" s="991"/>
      <c r="Q1432" s="991"/>
      <c r="R1432" s="991"/>
      <c r="S1432" s="991"/>
      <c r="T1432" s="991"/>
      <c r="X1432" s="1122"/>
      <c r="Z1432" s="1122"/>
      <c r="AL1432" s="1352"/>
      <c r="AM1432" s="1352"/>
      <c r="AN1432" s="1352"/>
      <c r="AO1432" s="1352"/>
      <c r="AP1432" s="1352"/>
      <c r="AQ1432" s="1352"/>
      <c r="AR1432" s="1352"/>
      <c r="AS1432" s="1352"/>
    </row>
    <row r="1433" spans="1:45" s="905" customFormat="1" ht="15" hidden="1" customHeight="1" x14ac:dyDescent="0.2">
      <c r="A1433" s="1507">
        <v>7</v>
      </c>
      <c r="B1433" s="1516" t="s">
        <v>4457</v>
      </c>
      <c r="C1433" s="1516"/>
      <c r="D1433" s="1516"/>
      <c r="E1433" s="1516"/>
      <c r="F1433" s="1511"/>
      <c r="G1433" s="1509" t="str">
        <f ca="1">IF(N1433&gt;0,"P","")</f>
        <v/>
      </c>
      <c r="H1433" s="1510" t="s">
        <v>3197</v>
      </c>
      <c r="I1433" s="589" t="s">
        <v>4303</v>
      </c>
      <c r="J1433" s="589"/>
      <c r="K1433" s="589"/>
      <c r="L1433" s="1687" t="s">
        <v>4304</v>
      </c>
      <c r="M1433" s="1623">
        <v>3</v>
      </c>
      <c r="N1433" s="1619">
        <f ca="1">'11.700'!O559</f>
        <v>0</v>
      </c>
      <c r="O1433" s="1619">
        <f ca="1">M1433*S1433</f>
        <v>0</v>
      </c>
      <c r="P1433" s="991" t="b">
        <v>1</v>
      </c>
      <c r="Q1433" s="991" t="b">
        <v>1</v>
      </c>
      <c r="R1433" s="991" t="b">
        <v>0</v>
      </c>
      <c r="S1433" s="991" t="b">
        <f ca="1">S885=2</f>
        <v>0</v>
      </c>
      <c r="T1433" s="991" t="b">
        <v>0</v>
      </c>
      <c r="W1433" s="1751" t="s">
        <v>4504</v>
      </c>
      <c r="X1433" s="1600"/>
      <c r="Y1433" s="1874" t="str">
        <f>IF(LEN('11.700'!X559)=0,"None",'11.700'!X559)</f>
        <v>None</v>
      </c>
      <c r="Z1433" s="1600"/>
      <c r="AL1433" s="1352" t="str">
        <f>SUBSTITUTE(SUBSTITUTE(SUBSTITUTE("vpa"&amp;$B1433&amp;$C1433&amp;$D1433&amp;$E1433&amp;$F1433,".","_"),"(","_"),")","")</f>
        <v>vpa705_6_1</v>
      </c>
      <c r="AM1433" s="1352">
        <f>M1433</f>
        <v>3</v>
      </c>
      <c r="AN1433" s="1352" t="str">
        <f>SUBSTITUTE(SUBSTITUTE(SUBSTITUTE("vpc"&amp;$B1433&amp;$C1433&amp;$D1433&amp;$E1433&amp;$F1433,".","_"),"(","_"),")","")</f>
        <v>vpc705_6_1</v>
      </c>
      <c r="AO1433" s="1352">
        <f ca="1">O1433</f>
        <v>0</v>
      </c>
      <c r="AP1433" s="1352"/>
      <c r="AQ1433" s="1352"/>
      <c r="AR1433" s="1352" t="str">
        <f>SUBSTITUTE(SUBSTITUTE(SUBSTITUTE("vnt"&amp;$B1433&amp;$C1433&amp;$D1433&amp;$E1433&amp;$F1433,".","_"),"(","_"),")","")</f>
        <v>vnt705_6_1</v>
      </c>
      <c r="AS1433" s="1352" t="str">
        <f>IF(LEN(X1433)=0,"",X1433)</f>
        <v/>
      </c>
    </row>
    <row r="1434" spans="1:45" s="905" customFormat="1" hidden="1" x14ac:dyDescent="0.2">
      <c r="A1434" s="1507">
        <v>7</v>
      </c>
      <c r="B1434" s="1516" t="s">
        <v>4457</v>
      </c>
      <c r="C1434" s="1516"/>
      <c r="D1434" s="1516"/>
      <c r="E1434" s="1516"/>
      <c r="F1434" s="1511"/>
      <c r="G1434" s="1509" t="str">
        <f t="shared" ref="G1434:G1443" ca="1" si="109">G1433</f>
        <v/>
      </c>
      <c r="H1434" s="1510" t="s">
        <v>3197</v>
      </c>
      <c r="I1434" s="589"/>
      <c r="J1434" s="589"/>
      <c r="K1434" s="589"/>
      <c r="L1434" s="1687"/>
      <c r="M1434" s="1623"/>
      <c r="N1434" s="1619"/>
      <c r="O1434" s="1619"/>
      <c r="P1434" s="991"/>
      <c r="Q1434" s="991"/>
      <c r="R1434" s="991"/>
      <c r="S1434" s="991"/>
      <c r="T1434" s="991"/>
      <c r="W1434" s="1751"/>
      <c r="X1434" s="1600"/>
      <c r="Y1434" s="1874"/>
      <c r="Z1434" s="1600"/>
      <c r="AL1434" s="1352"/>
      <c r="AM1434" s="1352"/>
      <c r="AN1434" s="1352"/>
      <c r="AO1434" s="1352"/>
      <c r="AP1434" s="1352"/>
      <c r="AQ1434" s="1352"/>
      <c r="AR1434" s="1352"/>
      <c r="AS1434" s="1352"/>
    </row>
    <row r="1435" spans="1:45" s="905" customFormat="1" hidden="1" x14ac:dyDescent="0.2">
      <c r="A1435" s="1507">
        <v>7</v>
      </c>
      <c r="B1435" s="1516" t="s">
        <v>4457</v>
      </c>
      <c r="C1435" s="1516"/>
      <c r="D1435" s="1516"/>
      <c r="E1435" s="1516"/>
      <c r="F1435" s="1511"/>
      <c r="G1435" s="1509" t="str">
        <f t="shared" ca="1" si="109"/>
        <v/>
      </c>
      <c r="H1435" s="1510" t="s">
        <v>3197</v>
      </c>
      <c r="I1435" s="589"/>
      <c r="J1435" s="589"/>
      <c r="K1435" s="589"/>
      <c r="L1435" s="1687"/>
      <c r="M1435" s="1623"/>
      <c r="N1435" s="1619"/>
      <c r="O1435" s="1619"/>
      <c r="P1435" s="991"/>
      <c r="Q1435" s="991"/>
      <c r="R1435" s="991"/>
      <c r="S1435" s="991"/>
      <c r="T1435" s="991"/>
      <c r="W1435" s="1751"/>
      <c r="X1435" s="1600"/>
      <c r="Y1435" s="1874"/>
      <c r="Z1435" s="1600"/>
      <c r="AL1435" s="1352"/>
      <c r="AM1435" s="1352"/>
      <c r="AN1435" s="1352"/>
      <c r="AO1435" s="1352"/>
      <c r="AP1435" s="1352"/>
      <c r="AQ1435" s="1352"/>
      <c r="AR1435" s="1352"/>
      <c r="AS1435" s="1352"/>
    </row>
    <row r="1436" spans="1:45" s="905" customFormat="1" hidden="1" x14ac:dyDescent="0.2">
      <c r="A1436" s="1507">
        <v>7</v>
      </c>
      <c r="B1436" s="1516" t="s">
        <v>4457</v>
      </c>
      <c r="C1436" s="1516"/>
      <c r="D1436" s="1516"/>
      <c r="E1436" s="1516"/>
      <c r="F1436" s="1511"/>
      <c r="G1436" s="1509" t="str">
        <f t="shared" ca="1" si="109"/>
        <v/>
      </c>
      <c r="H1436" s="1510" t="s">
        <v>3197</v>
      </c>
      <c r="I1436" s="589"/>
      <c r="J1436" s="589"/>
      <c r="K1436" s="589"/>
      <c r="L1436" s="1687"/>
      <c r="M1436" s="1623"/>
      <c r="N1436" s="1619"/>
      <c r="O1436" s="1619"/>
      <c r="P1436" s="991"/>
      <c r="Q1436" s="991"/>
      <c r="R1436" s="991"/>
      <c r="S1436" s="991"/>
      <c r="T1436" s="991"/>
      <c r="W1436" s="1751"/>
      <c r="X1436" s="1600"/>
      <c r="Y1436" s="1874"/>
      <c r="Z1436" s="1600"/>
      <c r="AL1436" s="1352"/>
      <c r="AM1436" s="1352"/>
      <c r="AN1436" s="1352"/>
      <c r="AO1436" s="1352"/>
      <c r="AP1436" s="1352"/>
      <c r="AQ1436" s="1352"/>
      <c r="AR1436" s="1352"/>
      <c r="AS1436" s="1352"/>
    </row>
    <row r="1437" spans="1:45" s="905" customFormat="1" hidden="1" x14ac:dyDescent="0.2">
      <c r="A1437" s="1507">
        <v>7</v>
      </c>
      <c r="B1437" s="1516" t="s">
        <v>4457</v>
      </c>
      <c r="C1437" s="1516"/>
      <c r="D1437" s="1516"/>
      <c r="E1437" s="1516"/>
      <c r="F1437" s="1511"/>
      <c r="G1437" s="1509" t="str">
        <f t="shared" ca="1" si="109"/>
        <v/>
      </c>
      <c r="H1437" s="1510" t="s">
        <v>3197</v>
      </c>
      <c r="I1437" s="589"/>
      <c r="J1437" s="589"/>
      <c r="K1437" s="589"/>
      <c r="L1437" s="1687"/>
      <c r="M1437" s="1623"/>
      <c r="N1437" s="1619"/>
      <c r="O1437" s="1619"/>
      <c r="P1437" s="991"/>
      <c r="Q1437" s="991"/>
      <c r="R1437" s="991"/>
      <c r="S1437" s="991"/>
      <c r="T1437" s="991"/>
      <c r="W1437" s="1751"/>
      <c r="X1437" s="1600"/>
      <c r="Y1437" s="1874"/>
      <c r="Z1437" s="1600"/>
      <c r="AL1437" s="1352"/>
      <c r="AM1437" s="1352"/>
      <c r="AN1437" s="1352"/>
      <c r="AO1437" s="1352"/>
      <c r="AP1437" s="1352"/>
      <c r="AQ1437" s="1352"/>
      <c r="AR1437" s="1352"/>
      <c r="AS1437" s="1352"/>
    </row>
    <row r="1438" spans="1:45" s="905" customFormat="1" hidden="1" x14ac:dyDescent="0.2">
      <c r="A1438" s="1507">
        <v>7</v>
      </c>
      <c r="B1438" s="1516" t="s">
        <v>4457</v>
      </c>
      <c r="C1438" s="1516"/>
      <c r="D1438" s="1516"/>
      <c r="E1438" s="1516"/>
      <c r="F1438" s="1511"/>
      <c r="G1438" s="1509" t="str">
        <f t="shared" ca="1" si="109"/>
        <v/>
      </c>
      <c r="H1438" s="1510" t="s">
        <v>3197</v>
      </c>
      <c r="I1438" s="589"/>
      <c r="J1438" s="589"/>
      <c r="K1438" s="589"/>
      <c r="L1438" s="1687"/>
      <c r="M1438" s="1623"/>
      <c r="N1438" s="1619"/>
      <c r="O1438" s="1619"/>
      <c r="P1438" s="991"/>
      <c r="Q1438" s="991"/>
      <c r="R1438" s="991"/>
      <c r="S1438" s="991"/>
      <c r="T1438" s="991"/>
      <c r="W1438" s="1751"/>
      <c r="X1438" s="1600"/>
      <c r="Y1438" s="1874"/>
      <c r="Z1438" s="1600"/>
      <c r="AL1438" s="1352"/>
      <c r="AM1438" s="1352"/>
      <c r="AN1438" s="1352"/>
      <c r="AO1438" s="1352"/>
      <c r="AP1438" s="1352"/>
      <c r="AQ1438" s="1352"/>
      <c r="AR1438" s="1352"/>
      <c r="AS1438" s="1352"/>
    </row>
    <row r="1439" spans="1:45" s="905" customFormat="1" hidden="1" x14ac:dyDescent="0.2">
      <c r="A1439" s="1507">
        <v>7</v>
      </c>
      <c r="B1439" s="1516" t="s">
        <v>4457</v>
      </c>
      <c r="C1439" s="1516" t="s">
        <v>254</v>
      </c>
      <c r="D1439" s="1516"/>
      <c r="E1439" s="1516"/>
      <c r="F1439" s="1511"/>
      <c r="G1439" s="1509" t="str">
        <f t="shared" ca="1" si="109"/>
        <v/>
      </c>
      <c r="H1439" s="1510" t="s">
        <v>3197</v>
      </c>
      <c r="I1439" s="589"/>
      <c r="J1439" s="589" t="s">
        <v>254</v>
      </c>
      <c r="K1439" s="589"/>
      <c r="L1439" s="917" t="s">
        <v>4305</v>
      </c>
      <c r="M1439" s="991"/>
      <c r="N1439" s="991"/>
      <c r="O1439" s="991"/>
      <c r="P1439" s="991"/>
      <c r="Q1439" s="991"/>
      <c r="R1439" s="991"/>
      <c r="S1439" s="991"/>
      <c r="T1439" s="991"/>
      <c r="X1439" s="1600"/>
      <c r="Y1439" s="1874"/>
      <c r="Z1439" s="1600"/>
      <c r="AL1439" s="1352"/>
      <c r="AM1439" s="1352"/>
      <c r="AN1439" s="1352"/>
      <c r="AO1439" s="1352"/>
      <c r="AP1439" s="1352"/>
      <c r="AQ1439" s="1352"/>
      <c r="AR1439" s="1352"/>
      <c r="AS1439" s="1352"/>
    </row>
    <row r="1440" spans="1:45" s="905" customFormat="1" hidden="1" x14ac:dyDescent="0.2">
      <c r="A1440" s="1507">
        <v>7</v>
      </c>
      <c r="B1440" s="1516" t="s">
        <v>4457</v>
      </c>
      <c r="C1440" s="1516" t="s">
        <v>255</v>
      </c>
      <c r="D1440" s="1516"/>
      <c r="E1440" s="1516"/>
      <c r="F1440" s="1511"/>
      <c r="G1440" s="1509" t="str">
        <f t="shared" ca="1" si="109"/>
        <v/>
      </c>
      <c r="H1440" s="1510" t="s">
        <v>3197</v>
      </c>
      <c r="I1440" s="589"/>
      <c r="J1440" s="589" t="s">
        <v>255</v>
      </c>
      <c r="K1440" s="589"/>
      <c r="L1440" s="917" t="s">
        <v>4306</v>
      </c>
      <c r="M1440" s="991"/>
      <c r="N1440" s="991"/>
      <c r="O1440" s="991"/>
      <c r="P1440" s="991"/>
      <c r="Q1440" s="991"/>
      <c r="R1440" s="991"/>
      <c r="S1440" s="991"/>
      <c r="T1440" s="991"/>
      <c r="X1440" s="1600"/>
      <c r="Y1440" s="1874"/>
      <c r="Z1440" s="1600"/>
      <c r="AL1440" s="1352"/>
      <c r="AM1440" s="1352"/>
      <c r="AN1440" s="1352"/>
      <c r="AO1440" s="1352"/>
      <c r="AP1440" s="1352"/>
      <c r="AQ1440" s="1352"/>
      <c r="AR1440" s="1352"/>
      <c r="AS1440" s="1352"/>
    </row>
    <row r="1441" spans="1:45" s="905" customFormat="1" hidden="1" x14ac:dyDescent="0.2">
      <c r="A1441" s="1507">
        <v>7</v>
      </c>
      <c r="B1441" s="1516" t="s">
        <v>4457</v>
      </c>
      <c r="C1441" s="1516" t="s">
        <v>256</v>
      </c>
      <c r="D1441" s="1516"/>
      <c r="E1441" s="1516"/>
      <c r="F1441" s="1511"/>
      <c r="G1441" s="1509" t="str">
        <f t="shared" ca="1" si="109"/>
        <v/>
      </c>
      <c r="H1441" s="1510" t="s">
        <v>3197</v>
      </c>
      <c r="I1441" s="589"/>
      <c r="J1441" s="589" t="s">
        <v>256</v>
      </c>
      <c r="K1441" s="589"/>
      <c r="L1441" s="917" t="s">
        <v>4307</v>
      </c>
      <c r="M1441" s="991"/>
      <c r="N1441" s="991"/>
      <c r="O1441" s="991"/>
      <c r="P1441" s="991"/>
      <c r="Q1441" s="991"/>
      <c r="R1441" s="991"/>
      <c r="S1441" s="991"/>
      <c r="T1441" s="991"/>
      <c r="X1441" s="1600"/>
      <c r="Y1441" s="1874"/>
      <c r="Z1441" s="1600"/>
      <c r="AL1441" s="1352"/>
      <c r="AM1441" s="1352"/>
      <c r="AN1441" s="1352"/>
      <c r="AO1441" s="1352"/>
      <c r="AP1441" s="1352"/>
      <c r="AQ1441" s="1352"/>
      <c r="AR1441" s="1352"/>
      <c r="AS1441" s="1352"/>
    </row>
    <row r="1442" spans="1:45" s="905" customFormat="1" ht="15" hidden="1" customHeight="1" x14ac:dyDescent="0.2">
      <c r="A1442" s="1507">
        <v>7</v>
      </c>
      <c r="B1442" s="1516" t="s">
        <v>4457</v>
      </c>
      <c r="C1442" s="1516" t="s">
        <v>259</v>
      </c>
      <c r="D1442" s="1516"/>
      <c r="E1442" s="1516"/>
      <c r="F1442" s="1511"/>
      <c r="G1442" s="1509" t="str">
        <f t="shared" ca="1" si="109"/>
        <v/>
      </c>
      <c r="H1442" s="1510" t="s">
        <v>3197</v>
      </c>
      <c r="I1442" s="590"/>
      <c r="J1442" s="590" t="s">
        <v>259</v>
      </c>
      <c r="K1442" s="590"/>
      <c r="L1442" s="1634" t="s">
        <v>4308</v>
      </c>
      <c r="M1442" s="991"/>
      <c r="N1442" s="991"/>
      <c r="O1442" s="991"/>
      <c r="P1442" s="991"/>
      <c r="Q1442" s="991"/>
      <c r="R1442" s="991"/>
      <c r="S1442" s="991"/>
      <c r="T1442" s="991"/>
      <c r="U1442" s="991"/>
      <c r="X1442" s="1600"/>
      <c r="Y1442" s="1874"/>
      <c r="Z1442" s="1600"/>
      <c r="AL1442" s="1352"/>
      <c r="AM1442" s="1352"/>
      <c r="AN1442" s="1352"/>
      <c r="AO1442" s="1352"/>
      <c r="AP1442" s="1352"/>
      <c r="AQ1442" s="1352"/>
      <c r="AR1442" s="1352"/>
      <c r="AS1442" s="1352"/>
    </row>
    <row r="1443" spans="1:45" s="905" customFormat="1" hidden="1" x14ac:dyDescent="0.2">
      <c r="A1443" s="1507">
        <v>7</v>
      </c>
      <c r="B1443" s="1516" t="s">
        <v>4457</v>
      </c>
      <c r="C1443" s="1516" t="s">
        <v>259</v>
      </c>
      <c r="D1443" s="1516"/>
      <c r="E1443" s="1516"/>
      <c r="F1443" s="1511"/>
      <c r="G1443" s="1509" t="str">
        <f t="shared" ca="1" si="109"/>
        <v/>
      </c>
      <c r="H1443" s="1510" t="s">
        <v>3197</v>
      </c>
      <c r="I1443" s="606"/>
      <c r="J1443" s="606"/>
      <c r="K1443" s="606"/>
      <c r="L1443" s="1639"/>
      <c r="M1443" s="173"/>
      <c r="N1443" s="173"/>
      <c r="O1443" s="173"/>
      <c r="P1443" s="173"/>
      <c r="Q1443" s="173"/>
      <c r="R1443" s="173"/>
      <c r="S1443" s="173"/>
      <c r="T1443" s="173"/>
      <c r="U1443" s="173"/>
      <c r="X1443" s="1600"/>
      <c r="Y1443" s="1874"/>
      <c r="Z1443" s="1600"/>
      <c r="AL1443" s="1352"/>
      <c r="AM1443" s="1352"/>
      <c r="AN1443" s="1352"/>
      <c r="AO1443" s="1352"/>
      <c r="AP1443" s="1352"/>
      <c r="AQ1443" s="1352"/>
      <c r="AR1443" s="1352"/>
      <c r="AS1443" s="1352"/>
    </row>
    <row r="1444" spans="1:45" s="905" customFormat="1" hidden="1" x14ac:dyDescent="0.2">
      <c r="A1444" s="1507">
        <v>7</v>
      </c>
      <c r="B1444" s="1516" t="s">
        <v>4458</v>
      </c>
      <c r="C1444" s="1516"/>
      <c r="D1444" s="1516"/>
      <c r="E1444" s="1516"/>
      <c r="F1444" s="1511"/>
      <c r="G1444" s="1513" t="str">
        <f ca="1">IF(COUNTIF(G1445:G1464,"P")&gt;0,"P","")</f>
        <v/>
      </c>
      <c r="H1444" s="1530" t="s">
        <v>3199</v>
      </c>
      <c r="I1444" s="589" t="s">
        <v>4309</v>
      </c>
      <c r="J1444" s="589"/>
      <c r="K1444" s="589"/>
      <c r="L1444" s="946" t="s">
        <v>4310</v>
      </c>
      <c r="M1444" s="991"/>
      <c r="N1444" s="991"/>
      <c r="O1444" s="991"/>
      <c r="P1444" s="991"/>
      <c r="Q1444" s="991"/>
      <c r="R1444" s="991"/>
      <c r="S1444" s="991"/>
      <c r="T1444" s="991"/>
      <c r="Z1444" s="1122"/>
      <c r="AL1444" s="1352"/>
      <c r="AM1444" s="1352"/>
      <c r="AN1444" s="1352"/>
      <c r="AO1444" s="1352"/>
      <c r="AP1444" s="1352"/>
      <c r="AQ1444" s="1352"/>
      <c r="AR1444" s="1352"/>
      <c r="AS1444" s="1352"/>
    </row>
    <row r="1445" spans="1:45" s="905" customFormat="1" ht="15" hidden="1" customHeight="1" x14ac:dyDescent="0.2">
      <c r="A1445" s="1507">
        <v>7</v>
      </c>
      <c r="B1445" s="1516" t="s">
        <v>4459</v>
      </c>
      <c r="C1445" s="1516"/>
      <c r="D1445" s="1516"/>
      <c r="E1445" s="1516"/>
      <c r="F1445" s="1511"/>
      <c r="G1445" s="1513" t="str">
        <f ca="1">IF(COUNTIF(G1450:G1453,"P")&gt;0,"P","")</f>
        <v/>
      </c>
      <c r="H1445" s="1530" t="s">
        <v>3199</v>
      </c>
      <c r="I1445" s="589" t="s">
        <v>4311</v>
      </c>
      <c r="J1445" s="589"/>
      <c r="K1445" s="589"/>
      <c r="L1445" s="1687" t="s">
        <v>4312</v>
      </c>
      <c r="M1445" s="991"/>
      <c r="N1445" s="991"/>
      <c r="O1445" s="991"/>
      <c r="P1445" s="991"/>
      <c r="Q1445" s="991"/>
      <c r="R1445" s="991"/>
      <c r="S1445" s="991"/>
      <c r="T1445" s="991"/>
      <c r="Z1445" s="1122"/>
      <c r="AL1445" s="1352"/>
      <c r="AM1445" s="1352"/>
      <c r="AN1445" s="1352"/>
      <c r="AO1445" s="1352"/>
      <c r="AP1445" s="1352"/>
      <c r="AQ1445" s="1352"/>
      <c r="AR1445" s="1352"/>
      <c r="AS1445" s="1352"/>
    </row>
    <row r="1446" spans="1:45" s="905" customFormat="1" hidden="1" x14ac:dyDescent="0.2">
      <c r="A1446" s="1507">
        <v>7</v>
      </c>
      <c r="B1446" s="1516" t="s">
        <v>4459</v>
      </c>
      <c r="C1446" s="1516"/>
      <c r="D1446" s="1516"/>
      <c r="E1446" s="1516"/>
      <c r="F1446" s="1511"/>
      <c r="G1446" s="1509" t="str">
        <f ca="1">G1445</f>
        <v/>
      </c>
      <c r="H1446" s="1530" t="s">
        <v>3199</v>
      </c>
      <c r="I1446" s="589"/>
      <c r="J1446" s="589"/>
      <c r="K1446" s="589"/>
      <c r="L1446" s="1687"/>
      <c r="M1446" s="991"/>
      <c r="N1446" s="991"/>
      <c r="O1446" s="991"/>
      <c r="P1446" s="991"/>
      <c r="Q1446" s="991"/>
      <c r="R1446" s="991"/>
      <c r="S1446" s="991"/>
      <c r="T1446" s="991"/>
      <c r="Z1446" s="1122"/>
      <c r="AL1446" s="1352"/>
      <c r="AM1446" s="1352"/>
      <c r="AN1446" s="1352"/>
      <c r="AO1446" s="1352"/>
      <c r="AP1446" s="1352"/>
      <c r="AQ1446" s="1352"/>
      <c r="AR1446" s="1352"/>
      <c r="AS1446" s="1352"/>
    </row>
    <row r="1447" spans="1:45" s="905" customFormat="1" hidden="1" x14ac:dyDescent="0.2">
      <c r="A1447" s="1507">
        <v>7</v>
      </c>
      <c r="B1447" s="1516" t="s">
        <v>4459</v>
      </c>
      <c r="C1447" s="1516"/>
      <c r="D1447" s="1516"/>
      <c r="E1447" s="1516"/>
      <c r="F1447" s="1511"/>
      <c r="G1447" s="1509" t="str">
        <f ca="1">G1446</f>
        <v/>
      </c>
      <c r="H1447" s="1530" t="s">
        <v>3199</v>
      </c>
      <c r="I1447" s="589"/>
      <c r="J1447" s="589"/>
      <c r="K1447" s="589"/>
      <c r="L1447" s="1687"/>
      <c r="M1447" s="991"/>
      <c r="N1447" s="991"/>
      <c r="O1447" s="991"/>
      <c r="P1447" s="991"/>
      <c r="Q1447" s="991"/>
      <c r="R1447" s="991"/>
      <c r="S1447" s="991"/>
      <c r="T1447" s="991"/>
      <c r="Z1447" s="1122"/>
      <c r="AL1447" s="1352"/>
      <c r="AM1447" s="1352"/>
      <c r="AN1447" s="1352"/>
      <c r="AO1447" s="1352"/>
      <c r="AP1447" s="1352"/>
      <c r="AQ1447" s="1352"/>
      <c r="AR1447" s="1352"/>
      <c r="AS1447" s="1352"/>
    </row>
    <row r="1448" spans="1:45" s="905" customFormat="1" hidden="1" x14ac:dyDescent="0.2">
      <c r="A1448" s="1507">
        <v>7</v>
      </c>
      <c r="B1448" s="1516" t="s">
        <v>4459</v>
      </c>
      <c r="C1448" s="1516"/>
      <c r="D1448" s="1516"/>
      <c r="E1448" s="1516"/>
      <c r="F1448" s="1511"/>
      <c r="G1448" s="1509" t="str">
        <f ca="1">G1447</f>
        <v/>
      </c>
      <c r="H1448" s="1530" t="s">
        <v>3199</v>
      </c>
      <c r="I1448" s="589"/>
      <c r="J1448" s="589"/>
      <c r="K1448" s="589"/>
      <c r="L1448" s="1687"/>
      <c r="M1448" s="991"/>
      <c r="N1448" s="991"/>
      <c r="O1448" s="991"/>
      <c r="P1448" s="991"/>
      <c r="Q1448" s="991"/>
      <c r="R1448" s="991"/>
      <c r="S1448" s="991"/>
      <c r="T1448" s="991"/>
      <c r="Z1448" s="1122"/>
      <c r="AL1448" s="1352"/>
      <c r="AM1448" s="1352"/>
      <c r="AN1448" s="1352"/>
      <c r="AO1448" s="1352"/>
      <c r="AP1448" s="1352"/>
      <c r="AQ1448" s="1352"/>
      <c r="AR1448" s="1352"/>
      <c r="AS1448" s="1352"/>
    </row>
    <row r="1449" spans="1:45" s="905" customFormat="1" hidden="1" x14ac:dyDescent="0.2">
      <c r="A1449" s="1507">
        <v>7</v>
      </c>
      <c r="B1449" s="1516" t="s">
        <v>4459</v>
      </c>
      <c r="C1449" s="1516"/>
      <c r="D1449" s="1516"/>
      <c r="E1449" s="1516"/>
      <c r="F1449" s="1511"/>
      <c r="G1449" s="1509" t="str">
        <f ca="1">G1448</f>
        <v/>
      </c>
      <c r="H1449" s="1530" t="s">
        <v>3199</v>
      </c>
      <c r="I1449" s="589"/>
      <c r="J1449" s="589"/>
      <c r="K1449" s="589"/>
      <c r="L1449" s="1687"/>
      <c r="M1449" s="991"/>
      <c r="N1449" s="991"/>
      <c r="O1449" s="991"/>
      <c r="P1449" s="991"/>
      <c r="Q1449" s="991"/>
      <c r="R1449" s="991"/>
      <c r="S1449" s="991"/>
      <c r="T1449" s="991"/>
      <c r="W1449" s="905" t="s">
        <v>3029</v>
      </c>
      <c r="Z1449" s="1122"/>
      <c r="AL1449" s="1352"/>
      <c r="AM1449" s="1352"/>
      <c r="AN1449" s="1352"/>
      <c r="AO1449" s="1352"/>
      <c r="AP1449" s="1352"/>
      <c r="AQ1449" s="1352"/>
      <c r="AR1449" s="1352"/>
      <c r="AS1449" s="1352"/>
    </row>
    <row r="1450" spans="1:45" s="905" customFormat="1" hidden="1" x14ac:dyDescent="0.2">
      <c r="A1450" s="1507">
        <v>7</v>
      </c>
      <c r="B1450" s="1516" t="s">
        <v>4459</v>
      </c>
      <c r="C1450" s="1516" t="s">
        <v>254</v>
      </c>
      <c r="D1450" s="1516"/>
      <c r="E1450" s="1516"/>
      <c r="F1450" s="1511"/>
      <c r="G1450" s="1509" t="str">
        <f>IF(N1450&gt;0,"P","")</f>
        <v/>
      </c>
      <c r="H1450" s="1530" t="s">
        <v>3199</v>
      </c>
      <c r="I1450" s="589"/>
      <c r="J1450" s="590" t="s">
        <v>254</v>
      </c>
      <c r="K1450" s="590"/>
      <c r="L1450" s="1217" t="s">
        <v>4313</v>
      </c>
      <c r="M1450" s="1623">
        <v>3</v>
      </c>
      <c r="N1450" s="1619">
        <f>'11.700'!O576</f>
        <v>0</v>
      </c>
      <c r="O1450" s="1619">
        <f>IF(OR(LEN(W1450)&gt;0,LEN(W1452)&gt;0),M1450,0)</f>
        <v>0</v>
      </c>
      <c r="P1450" s="1219" t="b">
        <v>0</v>
      </c>
      <c r="Q1450" s="1219" t="b">
        <v>1</v>
      </c>
      <c r="R1450" s="1219" t="b">
        <v>0</v>
      </c>
      <c r="S1450" s="1219" t="b">
        <f ca="1">AND(S885=2,OR(S912,AND(OR(AND(BF890=2,BG890="Dry"),BI890="Tropical"),S998,O1065&gt;0)),LEN(W1452)=0)</f>
        <v>0</v>
      </c>
      <c r="T1450" s="1219" t="b">
        <f ca="1">AND(NOT(S1450),LEN(W1450)&gt;0)</f>
        <v>0</v>
      </c>
      <c r="W1450" s="336"/>
      <c r="X1450" s="1600"/>
      <c r="Y1450" s="1874" t="str">
        <f>IF(LEN('11.700'!X576)=0,"None",'11.700'!X576)</f>
        <v>None</v>
      </c>
      <c r="Z1450" s="1600"/>
      <c r="AC1450" s="1150" t="b">
        <f ca="1">OR(AD1450:AE1450)</f>
        <v>0</v>
      </c>
      <c r="AD1450" s="1150" t="b">
        <f ca="1">T1450</f>
        <v>0</v>
      </c>
      <c r="AE1450" s="1150"/>
      <c r="AL1450" s="1352" t="str">
        <f>SUBSTITUTE(SUBSTITUTE(SUBSTITUTE("vpa"&amp;$B1450&amp;$C1450&amp;$D1450&amp;$E1450&amp;$F1450,".","_"),"(","_"),")","")</f>
        <v>vpa705_6_2_1_1</v>
      </c>
      <c r="AM1450" s="1352">
        <f>M1450</f>
        <v>3</v>
      </c>
      <c r="AN1450" s="1352" t="str">
        <f>SUBSTITUTE(SUBSTITUTE(SUBSTITUTE("vpc"&amp;$B1450&amp;$C1450&amp;$D1450&amp;$E1450&amp;$F1450,".","_"),"(","_"),")","")</f>
        <v>vpc705_6_2_1_1</v>
      </c>
      <c r="AO1450" s="1352">
        <f>O1450</f>
        <v>0</v>
      </c>
      <c r="AP1450" s="1352" t="str">
        <f>SUBSTITUTE(SUBSTITUTE(SUBSTITUTE("vch"&amp;$B1450&amp;$C1450&amp;$D1450&amp;$E1450&amp;$F1450,".","_"),"(","_"),")","")</f>
        <v>vch705_6_2_1_1</v>
      </c>
      <c r="AQ1450" s="1352" t="str">
        <f>IF(LEN(W1450)=0,"",W1450)</f>
        <v/>
      </c>
      <c r="AR1450" s="1352" t="str">
        <f>SUBSTITUTE(SUBSTITUTE(SUBSTITUTE("vnt"&amp;$B1450&amp;$C1450&amp;$D1450&amp;$E1450&amp;$F1450,".","_"),"(","_"),")","")</f>
        <v>vnt705_6_2_1_1</v>
      </c>
      <c r="AS1450" s="1352" t="str">
        <f>IF(LEN(X1450)=0,"",X1450)</f>
        <v/>
      </c>
    </row>
    <row r="1451" spans="1:45" s="1216" customFormat="1" hidden="1" x14ac:dyDescent="0.2">
      <c r="A1451" s="1507">
        <v>7</v>
      </c>
      <c r="B1451" s="1516" t="s">
        <v>4459</v>
      </c>
      <c r="C1451" s="1516" t="s">
        <v>254</v>
      </c>
      <c r="D1451" s="467"/>
      <c r="E1451" s="467"/>
      <c r="F1451" s="467"/>
      <c r="G1451" s="1509" t="str">
        <f t="shared" ref="G1451:G1452" si="110">G1450</f>
        <v/>
      </c>
      <c r="H1451" s="1530" t="s">
        <v>3199</v>
      </c>
      <c r="I1451" s="589"/>
      <c r="J1451" s="590"/>
      <c r="K1451" s="590"/>
      <c r="L1451" s="1217"/>
      <c r="M1451" s="1623"/>
      <c r="N1451" s="1619"/>
      <c r="O1451" s="1619"/>
      <c r="W1451" s="1216" t="s">
        <v>3445</v>
      </c>
      <c r="X1451" s="1600"/>
      <c r="Y1451" s="1874"/>
      <c r="Z1451" s="1600"/>
      <c r="AL1451" s="1352"/>
      <c r="AM1451" s="1352"/>
      <c r="AN1451" s="1352"/>
      <c r="AO1451" s="1352"/>
      <c r="AP1451" s="1352"/>
      <c r="AQ1451" s="1352"/>
      <c r="AR1451" s="1352"/>
      <c r="AS1451" s="1352"/>
    </row>
    <row r="1452" spans="1:45" s="1216" customFormat="1" hidden="1" x14ac:dyDescent="0.2">
      <c r="A1452" s="1507">
        <v>7</v>
      </c>
      <c r="B1452" s="1516" t="s">
        <v>4459</v>
      </c>
      <c r="C1452" s="1516" t="s">
        <v>254</v>
      </c>
      <c r="D1452" s="467" t="s">
        <v>3921</v>
      </c>
      <c r="E1452" s="467"/>
      <c r="F1452" s="467"/>
      <c r="G1452" s="1509" t="str">
        <f t="shared" si="110"/>
        <v/>
      </c>
      <c r="H1452" s="1530" t="s">
        <v>3199</v>
      </c>
      <c r="I1452" s="589"/>
      <c r="J1452" s="606"/>
      <c r="K1452" s="606"/>
      <c r="L1452" s="1218"/>
      <c r="M1452" s="1624"/>
      <c r="N1452" s="1620"/>
      <c r="O1452" s="1620"/>
      <c r="P1452" s="1219" t="b">
        <v>0</v>
      </c>
      <c r="Q1452" s="1219" t="b">
        <v>1</v>
      </c>
      <c r="R1452" s="1219" t="b">
        <v>0</v>
      </c>
      <c r="S1452" s="1216" t="b">
        <f ca="1">AND(S885=2,OR(S912,AND(OR(AND(BF890=2,BG890="Dry"),BI890="Tropical"),S998,O1065&gt;0)),LEN(W1450)=0)</f>
        <v>0</v>
      </c>
      <c r="T1452" s="1219" t="b">
        <f ca="1">AND(NOT(S1452),LEN(W1452)&gt;0)</f>
        <v>0</v>
      </c>
      <c r="W1452" s="336"/>
      <c r="X1452" s="1600"/>
      <c r="Y1452" s="1874"/>
      <c r="Z1452" s="1600"/>
      <c r="AL1452" s="1352"/>
      <c r="AM1452" s="1352"/>
      <c r="AN1452" s="1352"/>
      <c r="AO1452" s="1352"/>
      <c r="AP1452" s="1352" t="str">
        <f>SUBSTITUTE(SUBSTITUTE(SUBSTITUTE("vch"&amp;$B1452&amp;$C1452&amp;$D1452&amp;$E1452&amp;$F1452,".","_"),"(","_"),")","")</f>
        <v>vch705_6_2_1_1_1</v>
      </c>
      <c r="AQ1452" s="1352" t="str">
        <f>IF(LEN(W1452)=0,"",W1452)</f>
        <v/>
      </c>
      <c r="AR1452" s="1352"/>
      <c r="AS1452" s="1352"/>
    </row>
    <row r="1453" spans="1:45" s="905" customFormat="1" hidden="1" x14ac:dyDescent="0.2">
      <c r="A1453" s="1507">
        <v>7</v>
      </c>
      <c r="B1453" s="1516" t="s">
        <v>4459</v>
      </c>
      <c r="C1453" s="1516" t="s">
        <v>255</v>
      </c>
      <c r="D1453" s="1516"/>
      <c r="E1453" s="1516"/>
      <c r="F1453" s="1511"/>
      <c r="G1453" s="1509" t="str">
        <f ca="1">IF(N1453&gt;0,"P","")</f>
        <v/>
      </c>
      <c r="H1453" s="1530" t="s">
        <v>3199</v>
      </c>
      <c r="I1453" s="589"/>
      <c r="J1453" s="589" t="s">
        <v>255</v>
      </c>
      <c r="K1453" s="589"/>
      <c r="L1453" s="917" t="s">
        <v>4314</v>
      </c>
      <c r="M1453" s="913">
        <v>5</v>
      </c>
      <c r="N1453" s="1125">
        <f ca="1">'11.700'!O579</f>
        <v>0</v>
      </c>
      <c r="O1453" s="908">
        <f ca="1">M1453*S1453*W1453</f>
        <v>0</v>
      </c>
      <c r="P1453" s="991" t="b">
        <v>0</v>
      </c>
      <c r="Q1453" s="991" t="b">
        <v>1</v>
      </c>
      <c r="R1453" s="991" t="b">
        <v>0</v>
      </c>
      <c r="S1453" s="991" t="b">
        <f ca="1">AND(S885=2,O1450&gt;0)</f>
        <v>0</v>
      </c>
      <c r="T1453" s="991" t="b">
        <f ca="1">AND(NOT(S1453),W1453=TRUE)</f>
        <v>0</v>
      </c>
      <c r="W1453" s="27"/>
      <c r="X1453" s="1600"/>
      <c r="Y1453" s="1874" t="str">
        <f>IF(LEN('11.700'!X579)=0,"None",'11.700'!X579)</f>
        <v>None</v>
      </c>
      <c r="Z1453" s="1600"/>
      <c r="AC1453" s="1150" t="b">
        <f ca="1">OR(AD1453:AE1453)</f>
        <v>0</v>
      </c>
      <c r="AD1453" s="1150" t="b">
        <f ca="1">T1453</f>
        <v>0</v>
      </c>
      <c r="AE1453" s="1" t="b">
        <f>AND(W1453=TRUE,LEN(X1453)=0)</f>
        <v>0</v>
      </c>
      <c r="AL1453" s="1352" t="str">
        <f>SUBSTITUTE(SUBSTITUTE(SUBSTITUTE("vpa"&amp;$B1453&amp;$C1453&amp;$D1453&amp;$E1453&amp;$F1453,".","_"),"(","_"),")","")</f>
        <v>vpa705_6_2_1_2</v>
      </c>
      <c r="AM1453" s="1352">
        <f>M1453</f>
        <v>5</v>
      </c>
      <c r="AN1453" s="1352" t="str">
        <f>SUBSTITUTE(SUBSTITUTE(SUBSTITUTE("vpc"&amp;$B1453&amp;$C1453&amp;$D1453&amp;$E1453&amp;$F1453,".","_"),"(","_"),")","")</f>
        <v>vpc705_6_2_1_2</v>
      </c>
      <c r="AO1453" s="1352">
        <f ca="1">O1453</f>
        <v>0</v>
      </c>
      <c r="AP1453" s="1352" t="str">
        <f>SUBSTITUTE(SUBSTITUTE(SUBSTITUTE("vch"&amp;$B1453&amp;$C1453&amp;$D1453&amp;$E1453&amp;$F1453,".","_"),"(","_"),")","")</f>
        <v>vch705_6_2_1_2</v>
      </c>
      <c r="AQ1453" s="1352" t="str">
        <f>IF(LEN(W1453)=0,"",W1453)</f>
        <v/>
      </c>
      <c r="AR1453" s="1352" t="str">
        <f>SUBSTITUTE(SUBSTITUTE(SUBSTITUTE("vnt"&amp;$B1453&amp;$C1453&amp;$D1453&amp;$E1453&amp;$F1453,".","_"),"(","_"),")","")</f>
        <v>vnt705_6_2_1_2</v>
      </c>
      <c r="AS1453" s="1352" t="str">
        <f>IF(LEN(X1453)=0,"",X1453)</f>
        <v/>
      </c>
    </row>
    <row r="1454" spans="1:45" s="905" customFormat="1" ht="15" hidden="1" customHeight="1" x14ac:dyDescent="0.2">
      <c r="A1454" s="1507">
        <v>7</v>
      </c>
      <c r="B1454" s="1516" t="s">
        <v>4459</v>
      </c>
      <c r="C1454" s="1516" t="s">
        <v>255</v>
      </c>
      <c r="D1454" s="1516"/>
      <c r="E1454" s="1516"/>
      <c r="F1454" s="1511"/>
      <c r="G1454" s="1509" t="str">
        <f ca="1">G1453</f>
        <v/>
      </c>
      <c r="H1454" s="1530" t="s">
        <v>3199</v>
      </c>
      <c r="I1454" s="590"/>
      <c r="J1454" s="590"/>
      <c r="K1454" s="590"/>
      <c r="L1454" s="1730" t="s">
        <v>4848</v>
      </c>
      <c r="M1454" s="913"/>
      <c r="N1454" s="129"/>
      <c r="O1454" s="908"/>
      <c r="P1454" s="991"/>
      <c r="Q1454" s="991"/>
      <c r="R1454" s="991"/>
      <c r="S1454" s="991"/>
      <c r="T1454" s="991"/>
      <c r="U1454" s="991"/>
      <c r="X1454" s="1600"/>
      <c r="Y1454" s="1874"/>
      <c r="Z1454" s="1600"/>
      <c r="AC1454" s="1150"/>
      <c r="AD1454" s="1150"/>
      <c r="AE1454" s="1150"/>
      <c r="AL1454" s="1352"/>
      <c r="AM1454" s="1352"/>
      <c r="AN1454" s="1352"/>
      <c r="AO1454" s="1352"/>
      <c r="AP1454" s="1352"/>
      <c r="AQ1454" s="1352"/>
      <c r="AR1454" s="1352"/>
      <c r="AS1454" s="1352"/>
    </row>
    <row r="1455" spans="1:45" s="905" customFormat="1" hidden="1" x14ac:dyDescent="0.2">
      <c r="A1455" s="1507">
        <v>7</v>
      </c>
      <c r="B1455" s="1516" t="s">
        <v>4459</v>
      </c>
      <c r="C1455" s="1516" t="s">
        <v>255</v>
      </c>
      <c r="D1455" s="1516"/>
      <c r="E1455" s="1516"/>
      <c r="F1455" s="1511"/>
      <c r="G1455" s="1509" t="str">
        <f ca="1">G1454</f>
        <v/>
      </c>
      <c r="H1455" s="1530" t="s">
        <v>3199</v>
      </c>
      <c r="I1455" s="606"/>
      <c r="J1455" s="606"/>
      <c r="K1455" s="606"/>
      <c r="L1455" s="1731"/>
      <c r="M1455" s="937"/>
      <c r="N1455" s="213"/>
      <c r="O1455" s="909"/>
      <c r="P1455" s="173"/>
      <c r="Q1455" s="173"/>
      <c r="R1455" s="173"/>
      <c r="S1455" s="173"/>
      <c r="T1455" s="173"/>
      <c r="U1455" s="173"/>
      <c r="X1455" s="1600"/>
      <c r="Y1455" s="1874"/>
      <c r="Z1455" s="1600"/>
      <c r="AC1455" s="1150"/>
      <c r="AD1455" s="1150"/>
      <c r="AE1455" s="1150"/>
      <c r="AL1455" s="1352"/>
      <c r="AM1455" s="1352"/>
      <c r="AN1455" s="1352"/>
      <c r="AO1455" s="1352"/>
      <c r="AP1455" s="1352"/>
      <c r="AQ1455" s="1352"/>
      <c r="AR1455" s="1352"/>
      <c r="AS1455" s="1352"/>
    </row>
    <row r="1456" spans="1:45" s="905" customFormat="1" ht="15" hidden="1" customHeight="1" x14ac:dyDescent="0.2">
      <c r="A1456" s="1507">
        <v>7</v>
      </c>
      <c r="B1456" s="1516" t="s">
        <v>4460</v>
      </c>
      <c r="C1456" s="1516"/>
      <c r="D1456" s="1516"/>
      <c r="E1456" s="1516"/>
      <c r="F1456" s="1511"/>
      <c r="G1456" s="1513" t="str">
        <f ca="1">IF(COUNTIF(G1459:G1461,"P")&gt;0,"P","")</f>
        <v/>
      </c>
      <c r="H1456" s="1530" t="s">
        <v>3199</v>
      </c>
      <c r="I1456" s="589" t="s">
        <v>4315</v>
      </c>
      <c r="J1456" s="589"/>
      <c r="K1456" s="589"/>
      <c r="L1456" s="1687" t="s">
        <v>4316</v>
      </c>
      <c r="X1456" s="1122"/>
      <c r="Z1456" s="1122"/>
      <c r="AC1456" s="1150"/>
      <c r="AD1456" s="1150"/>
      <c r="AE1456" s="1150"/>
      <c r="AL1456" s="1352"/>
      <c r="AM1456" s="1352"/>
      <c r="AN1456" s="1352"/>
      <c r="AO1456" s="1352"/>
      <c r="AP1456" s="1352"/>
      <c r="AQ1456" s="1352"/>
      <c r="AR1456" s="1352"/>
      <c r="AS1456" s="1352"/>
    </row>
    <row r="1457" spans="1:45" s="905" customFormat="1" hidden="1" x14ac:dyDescent="0.2">
      <c r="A1457" s="1507">
        <v>7</v>
      </c>
      <c r="B1457" s="1516" t="s">
        <v>4460</v>
      </c>
      <c r="C1457" s="1516"/>
      <c r="D1457" s="1516"/>
      <c r="E1457" s="1516"/>
      <c r="F1457" s="1511"/>
      <c r="G1457" s="1509" t="str">
        <f ca="1">G1456</f>
        <v/>
      </c>
      <c r="H1457" s="1530" t="s">
        <v>3199</v>
      </c>
      <c r="I1457" s="589"/>
      <c r="J1457" s="589"/>
      <c r="K1457" s="589"/>
      <c r="L1457" s="1687"/>
      <c r="X1457" s="1122"/>
      <c r="Z1457" s="1122"/>
      <c r="AC1457" s="1150"/>
      <c r="AD1457" s="1150"/>
      <c r="AE1457" s="1150"/>
      <c r="AL1457" s="1352"/>
      <c r="AM1457" s="1352"/>
      <c r="AN1457" s="1352"/>
      <c r="AO1457" s="1352"/>
      <c r="AP1457" s="1352"/>
      <c r="AQ1457" s="1352"/>
      <c r="AR1457" s="1352"/>
      <c r="AS1457" s="1352"/>
    </row>
    <row r="1458" spans="1:45" s="905" customFormat="1" hidden="1" x14ac:dyDescent="0.2">
      <c r="A1458" s="1507">
        <v>7</v>
      </c>
      <c r="B1458" s="1516" t="s">
        <v>4460</v>
      </c>
      <c r="C1458" s="1516"/>
      <c r="D1458" s="1516"/>
      <c r="E1458" s="1516"/>
      <c r="F1458" s="1511"/>
      <c r="G1458" s="1509" t="str">
        <f ca="1">G1457</f>
        <v/>
      </c>
      <c r="H1458" s="1530" t="s">
        <v>3199</v>
      </c>
      <c r="I1458" s="589"/>
      <c r="J1458" s="589"/>
      <c r="K1458" s="589"/>
      <c r="L1458" s="1687"/>
      <c r="M1458" s="913"/>
      <c r="N1458" s="129"/>
      <c r="O1458" s="908"/>
      <c r="P1458" s="991"/>
      <c r="Q1458" s="991"/>
      <c r="R1458" s="991"/>
      <c r="S1458" s="991"/>
      <c r="T1458" s="991"/>
      <c r="X1458" s="1122"/>
      <c r="Z1458" s="1122"/>
      <c r="AC1458" s="1150"/>
      <c r="AD1458" s="1150"/>
      <c r="AE1458" s="1150"/>
      <c r="AL1458" s="1352"/>
      <c r="AM1458" s="1352"/>
      <c r="AN1458" s="1352"/>
      <c r="AO1458" s="1352"/>
      <c r="AP1458" s="1352"/>
      <c r="AQ1458" s="1352"/>
      <c r="AR1458" s="1352"/>
      <c r="AS1458" s="1352"/>
    </row>
    <row r="1459" spans="1:45" s="905" customFormat="1" ht="15" hidden="1" customHeight="1" x14ac:dyDescent="0.2">
      <c r="A1459" s="1507">
        <v>7</v>
      </c>
      <c r="B1459" s="1516" t="s">
        <v>4460</v>
      </c>
      <c r="C1459" s="1516" t="s">
        <v>254</v>
      </c>
      <c r="D1459" s="1516"/>
      <c r="E1459" s="1516"/>
      <c r="F1459" s="1511"/>
      <c r="G1459" s="1509" t="str">
        <f ca="1">IF(N1459&gt;0,"P","")</f>
        <v/>
      </c>
      <c r="H1459" s="1530" t="s">
        <v>3199</v>
      </c>
      <c r="I1459" s="589"/>
      <c r="J1459" s="590" t="s">
        <v>254</v>
      </c>
      <c r="K1459" s="590"/>
      <c r="L1459" s="1634" t="s">
        <v>4317</v>
      </c>
      <c r="M1459" s="1623">
        <v>5</v>
      </c>
      <c r="N1459" s="1619">
        <f ca="1">'11.700'!O585</f>
        <v>0</v>
      </c>
      <c r="O1459" s="1619">
        <f ca="1">M1459*S1459*W1459</f>
        <v>0</v>
      </c>
      <c r="P1459" s="991" t="b">
        <v>0</v>
      </c>
      <c r="Q1459" s="991" t="b">
        <v>1</v>
      </c>
      <c r="R1459" s="991" t="b">
        <v>0</v>
      </c>
      <c r="S1459" s="991" t="b">
        <f ca="1">S885=2</f>
        <v>0</v>
      </c>
      <c r="T1459" s="991" t="b">
        <v>0</v>
      </c>
      <c r="W1459" s="27"/>
      <c r="X1459" s="1600"/>
      <c r="Y1459" s="1874" t="str">
        <f>IF(LEN('11.700'!X585)=0,"None",'11.700'!X585)</f>
        <v>None</v>
      </c>
      <c r="Z1459" s="1600"/>
      <c r="AC1459" s="1150" t="b">
        <f>OR(AD1459:AE1459)</f>
        <v>0</v>
      </c>
      <c r="AD1459" s="1150" t="b">
        <f>T1459</f>
        <v>0</v>
      </c>
      <c r="AE1459" s="1150"/>
      <c r="AL1459" s="1352" t="str">
        <f>SUBSTITUTE(SUBSTITUTE(SUBSTITUTE("vpa"&amp;$B1459&amp;$C1459&amp;$D1459&amp;$E1459&amp;$F1459,".","_"),"(","_"),")","")</f>
        <v>vpa705_6_2_2_1</v>
      </c>
      <c r="AM1459" s="1352">
        <f>M1459</f>
        <v>5</v>
      </c>
      <c r="AN1459" s="1352" t="str">
        <f>SUBSTITUTE(SUBSTITUTE(SUBSTITUTE("vpc"&amp;$B1459&amp;$C1459&amp;$D1459&amp;$E1459&amp;$F1459,".","_"),"(","_"),")","")</f>
        <v>vpc705_6_2_2_1</v>
      </c>
      <c r="AO1459" s="1352">
        <f ca="1">O1459</f>
        <v>0</v>
      </c>
      <c r="AP1459" s="1352" t="str">
        <f>SUBSTITUTE(SUBSTITUTE(SUBSTITUTE("vch"&amp;$B1459&amp;$C1459&amp;$D1459&amp;$E1459&amp;$F1459,".","_"),"(","_"),")","")</f>
        <v>vch705_6_2_2_1</v>
      </c>
      <c r="AQ1459" s="1352" t="str">
        <f>IF(LEN(W1459)=0,"",W1459)</f>
        <v/>
      </c>
      <c r="AR1459" s="1352" t="str">
        <f>SUBSTITUTE(SUBSTITUTE(SUBSTITUTE("vnt"&amp;$B1459&amp;$C1459&amp;$D1459&amp;$E1459&amp;$F1459,".","_"),"(","_"),")","")</f>
        <v>vnt705_6_2_2_1</v>
      </c>
      <c r="AS1459" s="1352" t="str">
        <f>IF(LEN(X1459)=0,"",X1459)</f>
        <v/>
      </c>
    </row>
    <row r="1460" spans="1:45" s="905" customFormat="1" hidden="1" x14ac:dyDescent="0.2">
      <c r="A1460" s="1507">
        <v>7</v>
      </c>
      <c r="B1460" s="1516" t="s">
        <v>4460</v>
      </c>
      <c r="C1460" s="1516" t="s">
        <v>254</v>
      </c>
      <c r="D1460" s="1516"/>
      <c r="E1460" s="1516"/>
      <c r="F1460" s="1511"/>
      <c r="G1460" s="1509" t="str">
        <f ca="1">G1459</f>
        <v/>
      </c>
      <c r="H1460" s="1530" t="s">
        <v>3199</v>
      </c>
      <c r="I1460" s="589"/>
      <c r="J1460" s="606"/>
      <c r="K1460" s="606"/>
      <c r="L1460" s="1639"/>
      <c r="M1460" s="1624"/>
      <c r="N1460" s="1620"/>
      <c r="O1460" s="1620"/>
      <c r="P1460" s="991"/>
      <c r="Q1460" s="991"/>
      <c r="R1460" s="991"/>
      <c r="S1460" s="991"/>
      <c r="T1460" s="991"/>
      <c r="X1460" s="1600"/>
      <c r="Y1460" s="1874"/>
      <c r="Z1460" s="1600"/>
      <c r="AC1460" s="1150"/>
      <c r="AD1460" s="1150"/>
      <c r="AE1460" s="1150"/>
      <c r="AL1460" s="1352"/>
      <c r="AM1460" s="1352"/>
      <c r="AN1460" s="1352"/>
      <c r="AO1460" s="1352"/>
      <c r="AP1460" s="1352"/>
      <c r="AQ1460" s="1352"/>
      <c r="AR1460" s="1352"/>
      <c r="AS1460" s="1352"/>
    </row>
    <row r="1461" spans="1:45" s="905" customFormat="1" hidden="1" x14ac:dyDescent="0.2">
      <c r="A1461" s="1507">
        <v>7</v>
      </c>
      <c r="B1461" s="1516" t="s">
        <v>4460</v>
      </c>
      <c r="C1461" s="1516" t="s">
        <v>255</v>
      </c>
      <c r="D1461" s="1516"/>
      <c r="E1461" s="1516"/>
      <c r="F1461" s="1511"/>
      <c r="G1461" s="1509" t="str">
        <f ca="1">IF(N1461&gt;0,"P","")</f>
        <v/>
      </c>
      <c r="H1461" s="1530" t="s">
        <v>3199</v>
      </c>
      <c r="I1461" s="589"/>
      <c r="J1461" s="589" t="s">
        <v>255</v>
      </c>
      <c r="K1461" s="589"/>
      <c r="L1461" s="917" t="s">
        <v>4318</v>
      </c>
      <c r="M1461" s="913">
        <v>3</v>
      </c>
      <c r="N1461" s="1125">
        <f ca="1">'11.700'!O587</f>
        <v>0</v>
      </c>
      <c r="O1461" s="908">
        <f ca="1">M1461*S1461*W1461</f>
        <v>0</v>
      </c>
      <c r="P1461" s="991" t="b">
        <v>0</v>
      </c>
      <c r="Q1461" s="991" t="b">
        <v>1</v>
      </c>
      <c r="R1461" s="991" t="b">
        <v>0</v>
      </c>
      <c r="S1461" s="991" t="b">
        <f ca="1">S885=2</f>
        <v>0</v>
      </c>
      <c r="T1461" s="991" t="b">
        <v>0</v>
      </c>
      <c r="W1461" s="27"/>
      <c r="X1461" s="1600"/>
      <c r="Y1461" s="1874" t="str">
        <f>IF(LEN('11.700'!X587)=0,"None",'11.700'!X587)</f>
        <v>None</v>
      </c>
      <c r="Z1461" s="1600"/>
      <c r="AC1461" s="1150" t="b">
        <f>OR(AD1461:AE1461)</f>
        <v>0</v>
      </c>
      <c r="AD1461" s="1150" t="b">
        <f>T1461</f>
        <v>0</v>
      </c>
      <c r="AE1461" s="1" t="b">
        <f>AND(W1461=TRUE,LEN(X1461)=0)</f>
        <v>0</v>
      </c>
      <c r="AL1461" s="1352" t="str">
        <f>SUBSTITUTE(SUBSTITUTE(SUBSTITUTE("vpa"&amp;$B1461&amp;$C1461&amp;$D1461&amp;$E1461&amp;$F1461,".","_"),"(","_"),")","")</f>
        <v>vpa705_6_2_2_2</v>
      </c>
      <c r="AM1461" s="1352">
        <f>M1461</f>
        <v>3</v>
      </c>
      <c r="AN1461" s="1352" t="str">
        <f>SUBSTITUTE(SUBSTITUTE(SUBSTITUTE("vpc"&amp;$B1461&amp;$C1461&amp;$D1461&amp;$E1461&amp;$F1461,".","_"),"(","_"),")","")</f>
        <v>vpc705_6_2_2_2</v>
      </c>
      <c r="AO1461" s="1352">
        <f ca="1">O1461</f>
        <v>0</v>
      </c>
      <c r="AP1461" s="1352" t="str">
        <f>SUBSTITUTE(SUBSTITUTE(SUBSTITUTE("vch"&amp;$B1461&amp;$C1461&amp;$D1461&amp;$E1461&amp;$F1461,".","_"),"(","_"),")","")</f>
        <v>vch705_6_2_2_2</v>
      </c>
      <c r="AQ1461" s="1352" t="str">
        <f>IF(LEN(W1461)=0,"",W1461)</f>
        <v/>
      </c>
      <c r="AR1461" s="1352" t="str">
        <f>SUBSTITUTE(SUBSTITUTE(SUBSTITUTE("vnt"&amp;$B1461&amp;$C1461&amp;$D1461&amp;$E1461&amp;$F1461,".","_"),"(","_"),")","")</f>
        <v>vnt705_6_2_2_2</v>
      </c>
      <c r="AS1461" s="1352" t="str">
        <f>IF(LEN(X1461)=0,"",X1461)</f>
        <v/>
      </c>
    </row>
    <row r="1462" spans="1:45" s="905" customFormat="1" ht="15" hidden="1" customHeight="1" x14ac:dyDescent="0.2">
      <c r="A1462" s="1507">
        <v>7</v>
      </c>
      <c r="B1462" s="1516" t="s">
        <v>4460</v>
      </c>
      <c r="C1462" s="1516" t="s">
        <v>255</v>
      </c>
      <c r="D1462" s="467"/>
      <c r="E1462" s="467"/>
      <c r="F1462" s="467"/>
      <c r="G1462" s="1509" t="str">
        <f ca="1">G1461</f>
        <v/>
      </c>
      <c r="H1462" s="1510" t="s">
        <v>3199</v>
      </c>
      <c r="I1462" s="991"/>
      <c r="J1462" s="991"/>
      <c r="K1462" s="991"/>
      <c r="L1462" s="1730" t="s">
        <v>4849</v>
      </c>
      <c r="M1462" s="991"/>
      <c r="N1462" s="991"/>
      <c r="O1462" s="991"/>
      <c r="X1462" s="1600"/>
      <c r="Y1462" s="1874"/>
      <c r="Z1462" s="1600"/>
      <c r="AC1462" s="1150"/>
      <c r="AD1462" s="1150"/>
      <c r="AE1462" s="1150"/>
      <c r="AL1462" s="1352"/>
      <c r="AM1462" s="1352"/>
      <c r="AN1462" s="1352"/>
      <c r="AO1462" s="1352"/>
      <c r="AP1462" s="1352"/>
      <c r="AQ1462" s="1352"/>
      <c r="AR1462" s="1352"/>
      <c r="AS1462" s="1352"/>
    </row>
    <row r="1463" spans="1:45" s="905" customFormat="1" hidden="1" x14ac:dyDescent="0.2">
      <c r="A1463" s="1507">
        <v>7</v>
      </c>
      <c r="B1463" s="1516" t="s">
        <v>4460</v>
      </c>
      <c r="C1463" s="1516" t="s">
        <v>255</v>
      </c>
      <c r="D1463" s="467"/>
      <c r="E1463" s="467"/>
      <c r="F1463" s="467"/>
      <c r="G1463" s="1509" t="str">
        <f ca="1">G1462</f>
        <v/>
      </c>
      <c r="H1463" s="1510" t="s">
        <v>3199</v>
      </c>
      <c r="I1463" s="173"/>
      <c r="J1463" s="173"/>
      <c r="K1463" s="173"/>
      <c r="L1463" s="1731"/>
      <c r="M1463" s="173"/>
      <c r="N1463" s="173"/>
      <c r="O1463" s="173"/>
      <c r="X1463" s="1600"/>
      <c r="Y1463" s="1874"/>
      <c r="Z1463" s="1600"/>
      <c r="AC1463" s="1150"/>
      <c r="AD1463" s="1150"/>
      <c r="AE1463" s="1150"/>
      <c r="AL1463" s="1352"/>
      <c r="AM1463" s="1352"/>
      <c r="AN1463" s="1352"/>
      <c r="AO1463" s="1352"/>
      <c r="AP1463" s="1352"/>
      <c r="AQ1463" s="1352"/>
      <c r="AR1463" s="1352"/>
      <c r="AS1463" s="1352"/>
    </row>
    <row r="1464" spans="1:45" s="905" customFormat="1" ht="15" hidden="1" customHeight="1" x14ac:dyDescent="0.2">
      <c r="A1464" s="1507">
        <v>7</v>
      </c>
      <c r="B1464" s="1516" t="s">
        <v>4461</v>
      </c>
      <c r="C1464" s="1516"/>
      <c r="D1464" s="1516"/>
      <c r="E1464" s="1516"/>
      <c r="F1464" s="1511"/>
      <c r="G1464" s="1509" t="str">
        <f ca="1">IF(N1464&gt;0,"P","")</f>
        <v/>
      </c>
      <c r="H1464" s="1530" t="s">
        <v>3199</v>
      </c>
      <c r="I1464" s="589" t="s">
        <v>4319</v>
      </c>
      <c r="J1464" s="589"/>
      <c r="K1464" s="589"/>
      <c r="L1464" s="1687" t="s">
        <v>4320</v>
      </c>
      <c r="M1464" s="913"/>
      <c r="N1464" s="1637">
        <f ca="1">'11.700'!O590</f>
        <v>0</v>
      </c>
      <c r="O1464" s="1619">
        <f ca="1">IFERROR(INDEX({3,5},MATCH(W1464,INDIRECT(U1464),0)),0)*S1464</f>
        <v>0</v>
      </c>
      <c r="P1464" s="991" t="b">
        <v>0</v>
      </c>
      <c r="Q1464" s="991" t="b">
        <v>1</v>
      </c>
      <c r="R1464" s="991" t="b">
        <v>0</v>
      </c>
      <c r="S1464" s="991" t="b">
        <f ca="1">AND(S885=2,OR(AY914&lt;&gt;INDEX(ddHDucts,2),AY918&lt;&gt;INDEX(ddCDucts,2)),LEN(W1195)=0)</f>
        <v>0</v>
      </c>
      <c r="T1464" s="991" t="b">
        <f ca="1">AND(NOT(S1464),LEN(W1464)&gt;0)</f>
        <v>0</v>
      </c>
      <c r="U1464" s="905" t="str">
        <f>SUBSTITUTE(SUBSTITUTE(SUBSTITUTE("dd"&amp;B1464&amp;C1464&amp;D1464&amp;E1464&amp;F1464,".","_"),"(","_"),")","")</f>
        <v>dd705_6_2_3</v>
      </c>
      <c r="W1464" s="12"/>
      <c r="X1464" s="1600"/>
      <c r="Y1464" s="1874" t="str">
        <f>IF(LEN('11.700'!X590)=0,"None",'11.700'!X590)</f>
        <v>None</v>
      </c>
      <c r="Z1464" s="1600"/>
      <c r="AC1464" s="1150" t="b">
        <f ca="1">OR(AD1464:AE1464)</f>
        <v>0</v>
      </c>
      <c r="AD1464" s="1150" t="b">
        <f ca="1">T1464</f>
        <v>0</v>
      </c>
      <c r="AE1464" s="1150"/>
      <c r="AL1464" s="1352"/>
      <c r="AM1464" s="1352"/>
      <c r="AN1464" s="1352" t="str">
        <f>SUBSTITUTE(SUBSTITUTE(SUBSTITUTE("vpc"&amp;$B1464&amp;$C1464&amp;$D1464&amp;$E1464&amp;$F1464,".","_"),"(","_"),")","")</f>
        <v>vpc705_6_2_3</v>
      </c>
      <c r="AO1464" s="1352">
        <f ca="1">O1464</f>
        <v>0</v>
      </c>
      <c r="AP1464" s="1352" t="str">
        <f>SUBSTITUTE(SUBSTITUTE(SUBSTITUTE("vch"&amp;$B1464&amp;$C1464&amp;$D1464&amp;$E1464&amp;$F1464,".","_"),"(","_"),")","")</f>
        <v>vch705_6_2_3</v>
      </c>
      <c r="AQ1464" s="1352" t="str">
        <f>IF(LEN(W1464)=0,"",W1464)</f>
        <v/>
      </c>
      <c r="AR1464" s="1352" t="str">
        <f>SUBSTITUTE(SUBSTITUTE(SUBSTITUTE("vnt"&amp;$B1464&amp;$C1464&amp;$D1464&amp;$E1464&amp;$F1464,".","_"),"(","_"),")","")</f>
        <v>vnt705_6_2_3</v>
      </c>
      <c r="AS1464" s="1352" t="str">
        <f>IF(LEN(X1464)=0,"",X1464)</f>
        <v/>
      </c>
    </row>
    <row r="1465" spans="1:45" s="905" customFormat="1" hidden="1" x14ac:dyDescent="0.2">
      <c r="A1465" s="1507">
        <v>7</v>
      </c>
      <c r="B1465" s="1516" t="s">
        <v>4461</v>
      </c>
      <c r="C1465" s="1516"/>
      <c r="D1465" s="1516"/>
      <c r="E1465" s="1516"/>
      <c r="F1465" s="1511"/>
      <c r="G1465" s="1509" t="str">
        <f ca="1">G1464</f>
        <v/>
      </c>
      <c r="H1465" s="1530" t="s">
        <v>3199</v>
      </c>
      <c r="I1465" s="589"/>
      <c r="J1465" s="589"/>
      <c r="K1465" s="589"/>
      <c r="L1465" s="1687"/>
      <c r="M1465" s="913"/>
      <c r="N1465" s="1619"/>
      <c r="O1465" s="1619"/>
      <c r="P1465" s="991"/>
      <c r="Q1465" s="991"/>
      <c r="R1465" s="991"/>
      <c r="S1465" s="991"/>
      <c r="T1465" s="991"/>
      <c r="X1465" s="1600"/>
      <c r="Y1465" s="1874"/>
      <c r="Z1465" s="1600"/>
      <c r="AC1465" s="1150"/>
      <c r="AD1465" s="1150"/>
      <c r="AE1465" s="1150"/>
      <c r="AL1465" s="1352"/>
      <c r="AM1465" s="1352"/>
      <c r="AN1465" s="1352"/>
      <c r="AO1465" s="1352"/>
      <c r="AP1465" s="1352"/>
      <c r="AQ1465" s="1352"/>
      <c r="AR1465" s="1352"/>
      <c r="AS1465" s="1352"/>
    </row>
    <row r="1466" spans="1:45" s="905" customFormat="1" hidden="1" x14ac:dyDescent="0.2">
      <c r="A1466" s="1507">
        <v>7</v>
      </c>
      <c r="B1466" s="1516" t="s">
        <v>4461</v>
      </c>
      <c r="C1466" s="1516"/>
      <c r="D1466" s="1516"/>
      <c r="E1466" s="1516"/>
      <c r="F1466" s="1511"/>
      <c r="G1466" s="1509" t="str">
        <f ca="1">G1465</f>
        <v/>
      </c>
      <c r="H1466" s="1530" t="s">
        <v>3199</v>
      </c>
      <c r="I1466" s="589"/>
      <c r="J1466" s="589"/>
      <c r="K1466" s="589"/>
      <c r="L1466" s="1687"/>
      <c r="M1466" s="913"/>
      <c r="N1466" s="1619"/>
      <c r="O1466" s="1619"/>
      <c r="P1466" s="991"/>
      <c r="Q1466" s="991"/>
      <c r="R1466" s="991"/>
      <c r="S1466" s="991"/>
      <c r="T1466" s="991"/>
      <c r="X1466" s="1600"/>
      <c r="Y1466" s="1874"/>
      <c r="Z1466" s="1600"/>
      <c r="AC1466" s="1150"/>
      <c r="AD1466" s="1150"/>
      <c r="AE1466" s="1150"/>
      <c r="AL1466" s="1352"/>
      <c r="AM1466" s="1352"/>
      <c r="AN1466" s="1352"/>
      <c r="AO1466" s="1352"/>
      <c r="AP1466" s="1352"/>
      <c r="AQ1466" s="1352"/>
      <c r="AR1466" s="1352"/>
      <c r="AS1466" s="1352"/>
    </row>
    <row r="1467" spans="1:45" s="905" customFormat="1" hidden="1" x14ac:dyDescent="0.2">
      <c r="A1467" s="1507">
        <v>7</v>
      </c>
      <c r="B1467" s="1516" t="s">
        <v>4461</v>
      </c>
      <c r="C1467" s="1516" t="s">
        <v>254</v>
      </c>
      <c r="D1467" s="1516"/>
      <c r="E1467" s="1516"/>
      <c r="F1467" s="1511"/>
      <c r="G1467" s="1509" t="str">
        <f ca="1">G1466</f>
        <v/>
      </c>
      <c r="H1467" s="1530" t="s">
        <v>3199</v>
      </c>
      <c r="I1467" s="589"/>
      <c r="J1467" s="606" t="s">
        <v>254</v>
      </c>
      <c r="K1467" s="606"/>
      <c r="L1467" s="923" t="s">
        <v>4321</v>
      </c>
      <c r="M1467" s="937">
        <v>3</v>
      </c>
      <c r="N1467" s="129"/>
      <c r="O1467" s="908"/>
      <c r="P1467" s="991"/>
      <c r="Q1467" s="991"/>
      <c r="R1467" s="991"/>
      <c r="S1467" s="991"/>
      <c r="T1467" s="991"/>
      <c r="X1467" s="1600"/>
      <c r="Y1467" s="1874"/>
      <c r="Z1467" s="1600"/>
      <c r="AC1467" s="1150"/>
      <c r="AD1467" s="1150"/>
      <c r="AE1467" s="1150"/>
      <c r="AL1467" s="1352" t="str">
        <f>SUBSTITUTE(SUBSTITUTE(SUBSTITUTE("vpa"&amp;$B1467&amp;$C1467&amp;$D1467&amp;$E1467&amp;$F1467,".","_"),"(","_"),")","")</f>
        <v>vpa705_6_2_3_1</v>
      </c>
      <c r="AM1467" s="1352">
        <f>M1467</f>
        <v>3</v>
      </c>
      <c r="AN1467" s="1352"/>
      <c r="AO1467" s="1352"/>
      <c r="AP1467" s="1352"/>
      <c r="AQ1467" s="1352"/>
      <c r="AR1467" s="1352"/>
      <c r="AS1467" s="1352"/>
    </row>
    <row r="1468" spans="1:45" s="905" customFormat="1" ht="15" hidden="1" customHeight="1" x14ac:dyDescent="0.2">
      <c r="A1468" s="1507">
        <v>7</v>
      </c>
      <c r="B1468" s="1516" t="s">
        <v>4461</v>
      </c>
      <c r="C1468" s="1516" t="s">
        <v>255</v>
      </c>
      <c r="D1468" s="1516"/>
      <c r="E1468" s="1516"/>
      <c r="F1468" s="1511"/>
      <c r="G1468" s="1509" t="str">
        <f ca="1">G1467</f>
        <v/>
      </c>
      <c r="H1468" s="1530" t="s">
        <v>3199</v>
      </c>
      <c r="I1468" s="590"/>
      <c r="J1468" s="590" t="s">
        <v>255</v>
      </c>
      <c r="K1468" s="590"/>
      <c r="L1468" s="1634" t="s">
        <v>4322</v>
      </c>
      <c r="M1468" s="1623">
        <v>5</v>
      </c>
      <c r="N1468" s="129"/>
      <c r="O1468" s="908"/>
      <c r="P1468" s="991"/>
      <c r="Q1468" s="991"/>
      <c r="R1468" s="991"/>
      <c r="S1468" s="991"/>
      <c r="T1468" s="991"/>
      <c r="X1468" s="1600"/>
      <c r="Y1468" s="1874"/>
      <c r="Z1468" s="1600"/>
      <c r="AC1468" s="1150"/>
      <c r="AD1468" s="1150"/>
      <c r="AE1468" s="1150"/>
      <c r="AL1468" s="1352" t="str">
        <f>SUBSTITUTE(SUBSTITUTE(SUBSTITUTE("vpa"&amp;$B1468&amp;$C1468&amp;$D1468&amp;$E1468&amp;$F1468,".","_"),"(","_"),")","")</f>
        <v>vpa705_6_2_3_2</v>
      </c>
      <c r="AM1468" s="1352">
        <f>M1468</f>
        <v>5</v>
      </c>
      <c r="AN1468" s="1352"/>
      <c r="AO1468" s="1352"/>
      <c r="AP1468" s="1352"/>
      <c r="AQ1468" s="1352"/>
      <c r="AR1468" s="1352"/>
      <c r="AS1468" s="1352"/>
    </row>
    <row r="1469" spans="1:45" s="905" customFormat="1" hidden="1" x14ac:dyDescent="0.2">
      <c r="A1469" s="1507">
        <v>7</v>
      </c>
      <c r="B1469" s="1516" t="s">
        <v>4461</v>
      </c>
      <c r="C1469" s="1516" t="s">
        <v>255</v>
      </c>
      <c r="D1469" s="1516"/>
      <c r="E1469" s="1516"/>
      <c r="F1469" s="1511"/>
      <c r="G1469" s="1509" t="str">
        <f ca="1">G1468</f>
        <v/>
      </c>
      <c r="H1469" s="1530" t="s">
        <v>3199</v>
      </c>
      <c r="I1469" s="606"/>
      <c r="J1469" s="606"/>
      <c r="K1469" s="606"/>
      <c r="L1469" s="1639"/>
      <c r="M1469" s="1624"/>
      <c r="N1469" s="213"/>
      <c r="O1469" s="909"/>
      <c r="P1469" s="991"/>
      <c r="Q1469" s="991"/>
      <c r="R1469" s="991"/>
      <c r="S1469" s="991"/>
      <c r="T1469" s="991"/>
      <c r="X1469" s="1600"/>
      <c r="Y1469" s="1874"/>
      <c r="Z1469" s="1600"/>
      <c r="AC1469" s="1150"/>
      <c r="AD1469" s="1150"/>
      <c r="AE1469" s="1150"/>
      <c r="AL1469" s="1352"/>
      <c r="AM1469" s="1352"/>
      <c r="AN1469" s="1352"/>
      <c r="AO1469" s="1352"/>
      <c r="AP1469" s="1352"/>
      <c r="AQ1469" s="1352"/>
      <c r="AR1469" s="1352"/>
      <c r="AS1469" s="1352"/>
    </row>
    <row r="1470" spans="1:45" s="905" customFormat="1" ht="15" hidden="1" customHeight="1" x14ac:dyDescent="0.2">
      <c r="A1470" s="1507">
        <v>7</v>
      </c>
      <c r="B1470" s="1516" t="s">
        <v>4462</v>
      </c>
      <c r="C1470" s="1516"/>
      <c r="D1470" s="1516"/>
      <c r="E1470" s="1516"/>
      <c r="F1470" s="1511"/>
      <c r="G1470" s="1509" t="str">
        <f ca="1">IF(N1470&gt;0,"P","")</f>
        <v/>
      </c>
      <c r="H1470" s="1530" t="s">
        <v>3198</v>
      </c>
      <c r="I1470" s="589" t="s">
        <v>4323</v>
      </c>
      <c r="J1470" s="589"/>
      <c r="K1470" s="589"/>
      <c r="L1470" s="1687" t="s">
        <v>4324</v>
      </c>
      <c r="M1470" s="1623">
        <v>1</v>
      </c>
      <c r="N1470" s="1637">
        <f ca="1">'11.700'!O596</f>
        <v>0</v>
      </c>
      <c r="O1470" s="1619">
        <f ca="1">M1470*S1470*W1470*NOT(W1472)</f>
        <v>0</v>
      </c>
      <c r="P1470" s="991" t="b">
        <v>1</v>
      </c>
      <c r="Q1470" s="991" t="b">
        <v>0</v>
      </c>
      <c r="R1470" s="991" t="b">
        <v>0</v>
      </c>
      <c r="S1470" s="991" t="b">
        <f ca="1">S885=2</f>
        <v>0</v>
      </c>
      <c r="T1470" s="991" t="b">
        <v>0</v>
      </c>
      <c r="W1470" s="27"/>
      <c r="Z1470" s="1122"/>
      <c r="AC1470" s="1150" t="b">
        <f>OR(AD1470:AE1470)</f>
        <v>0</v>
      </c>
      <c r="AD1470" s="1150" t="b">
        <f>T1470</f>
        <v>0</v>
      </c>
      <c r="AE1470" s="1150"/>
      <c r="AL1470" s="1352" t="str">
        <f>SUBSTITUTE(SUBSTITUTE(SUBSTITUTE("vpa"&amp;$B1470&amp;$C1470&amp;$D1470&amp;$E1470&amp;$F1470,".","_"),"(","_"),")","")</f>
        <v>vpa705_6_3</v>
      </c>
      <c r="AM1470" s="1352">
        <f>M1470</f>
        <v>1</v>
      </c>
      <c r="AN1470" s="1352" t="str">
        <f>SUBSTITUTE(SUBSTITUTE(SUBSTITUTE("vpc"&amp;$B1470&amp;$C1470&amp;$D1470&amp;$E1470&amp;$F1470,".","_"),"(","_"),")","")</f>
        <v>vpc705_6_3</v>
      </c>
      <c r="AO1470" s="1352">
        <f ca="1">O1470</f>
        <v>0</v>
      </c>
      <c r="AP1470" s="1352" t="str">
        <f>SUBSTITUTE(SUBSTITUTE(SUBSTITUTE("vch"&amp;$B1470&amp;$C1470&amp;$D1470&amp;$E1470&amp;$F1470,".","_"),"(","_"),")","")</f>
        <v>vch705_6_3</v>
      </c>
      <c r="AQ1470" s="1352" t="str">
        <f>IF(LEN(W1470)=0,"",W1470)</f>
        <v/>
      </c>
      <c r="AR1470" s="1352"/>
      <c r="AS1470" s="1352"/>
    </row>
    <row r="1471" spans="1:45" s="905" customFormat="1" hidden="1" x14ac:dyDescent="0.2">
      <c r="A1471" s="1507">
        <v>7</v>
      </c>
      <c r="B1471" s="1516" t="s">
        <v>4462</v>
      </c>
      <c r="C1471" s="1516"/>
      <c r="D1471" s="1516"/>
      <c r="E1471" s="1516"/>
      <c r="F1471" s="1511"/>
      <c r="G1471" s="1509" t="str">
        <f t="shared" ref="G1471:G1480" ca="1" si="111">G1470</f>
        <v/>
      </c>
      <c r="H1471" s="1530" t="s">
        <v>3198</v>
      </c>
      <c r="I1471" s="589"/>
      <c r="J1471" s="589"/>
      <c r="K1471" s="589"/>
      <c r="L1471" s="1687"/>
      <c r="M1471" s="1623"/>
      <c r="N1471" s="1619"/>
      <c r="O1471" s="1619"/>
      <c r="P1471" s="991"/>
      <c r="Q1471" s="991"/>
      <c r="R1471" s="991"/>
      <c r="S1471" s="991"/>
      <c r="T1471" s="991"/>
      <c r="W1471" s="905" t="s">
        <v>4506</v>
      </c>
      <c r="Z1471" s="1122"/>
      <c r="AC1471" s="1150"/>
      <c r="AD1471" s="1150"/>
      <c r="AE1471" s="1150"/>
      <c r="AL1471" s="1352"/>
      <c r="AM1471" s="1352"/>
      <c r="AN1471" s="1352"/>
      <c r="AO1471" s="1352"/>
      <c r="AP1471" s="1352"/>
      <c r="AQ1471" s="1352"/>
      <c r="AR1471" s="1352"/>
      <c r="AS1471" s="1352"/>
    </row>
    <row r="1472" spans="1:45" s="905" customFormat="1" hidden="1" x14ac:dyDescent="0.2">
      <c r="A1472" s="1507">
        <v>7</v>
      </c>
      <c r="B1472" s="1516" t="s">
        <v>4462</v>
      </c>
      <c r="C1472" s="1516" t="s">
        <v>3921</v>
      </c>
      <c r="D1472" s="1516"/>
      <c r="E1472" s="1516"/>
      <c r="F1472" s="1511"/>
      <c r="G1472" s="1509" t="str">
        <f t="shared" ca="1" si="111"/>
        <v/>
      </c>
      <c r="H1472" s="1530" t="s">
        <v>3198</v>
      </c>
      <c r="I1472" s="589"/>
      <c r="J1472" s="589"/>
      <c r="K1472" s="589"/>
      <c r="L1472" s="1687"/>
      <c r="M1472" s="913"/>
      <c r="N1472" s="129"/>
      <c r="O1472" s="908"/>
      <c r="P1472" s="991" t="b">
        <v>1</v>
      </c>
      <c r="Q1472" s="991" t="b">
        <v>0</v>
      </c>
      <c r="R1472" s="991" t="b">
        <v>0</v>
      </c>
      <c r="S1472" s="991" t="b">
        <f ca="1">S885=2</f>
        <v>0</v>
      </c>
      <c r="T1472" s="991" t="b">
        <v>0</v>
      </c>
      <c r="W1472" s="27"/>
      <c r="Z1472" s="1122"/>
      <c r="AC1472" s="1150" t="b">
        <f>OR(AD1472:AE1472)</f>
        <v>0</v>
      </c>
      <c r="AD1472" s="1150" t="b">
        <f>T1472</f>
        <v>0</v>
      </c>
      <c r="AE1472" s="1150"/>
      <c r="AL1472" s="1352"/>
      <c r="AM1472" s="1352"/>
      <c r="AN1472" s="1352"/>
      <c r="AO1472" s="1352"/>
      <c r="AP1472" s="1352" t="str">
        <f>SUBSTITUTE(SUBSTITUTE(SUBSTITUTE("vch"&amp;$B1472&amp;$C1472&amp;$D1472&amp;$E1472&amp;$F1472,".","_"),"(","_"),")","")</f>
        <v>vch705_6_3_1</v>
      </c>
      <c r="AQ1472" s="1352" t="str">
        <f>IF(LEN(W1472)=0,"",W1472)</f>
        <v/>
      </c>
      <c r="AR1472" s="1352"/>
      <c r="AS1472" s="1352"/>
    </row>
    <row r="1473" spans="1:45" s="905" customFormat="1" ht="16" hidden="1" x14ac:dyDescent="0.2">
      <c r="A1473" s="1507">
        <v>7</v>
      </c>
      <c r="B1473" s="1516" t="s">
        <v>4462</v>
      </c>
      <c r="C1473" s="1516"/>
      <c r="D1473" s="1516" t="s">
        <v>121</v>
      </c>
      <c r="E1473" s="1516"/>
      <c r="F1473" s="1511"/>
      <c r="G1473" s="1509" t="str">
        <f t="shared" ca="1" si="111"/>
        <v/>
      </c>
      <c r="H1473" s="1530" t="s">
        <v>3198</v>
      </c>
      <c r="I1473" s="589"/>
      <c r="J1473" s="589"/>
      <c r="K1473" s="589" t="s">
        <v>121</v>
      </c>
      <c r="L1473" s="917" t="s">
        <v>4325</v>
      </c>
      <c r="M1473" s="991"/>
      <c r="N1473" s="991"/>
      <c r="O1473" s="991"/>
      <c r="P1473" s="991"/>
      <c r="Q1473" s="991"/>
      <c r="R1473" s="991"/>
      <c r="S1473" s="991"/>
      <c r="T1473" s="991"/>
      <c r="X1473" s="1123"/>
      <c r="Y1473" s="1139" t="str">
        <f>IF(LEN('11.700'!X599)=0,"None",'11.700'!X599)</f>
        <v>None</v>
      </c>
      <c r="Z1473" s="1123"/>
      <c r="AL1473" s="1352"/>
      <c r="AM1473" s="1352"/>
      <c r="AN1473" s="1352"/>
      <c r="AO1473" s="1352"/>
      <c r="AP1473" s="1352"/>
      <c r="AQ1473" s="1352"/>
      <c r="AR1473" s="1352" t="str">
        <f t="shared" ref="AR1473:AR1479" si="112">SUBSTITUTE(SUBSTITUTE(SUBSTITUTE("vnt"&amp;$B1473&amp;$C1473&amp;$D1473&amp;$E1473&amp;$F1473,".","_"),"(","_"),")","")</f>
        <v>vnt705_6_3_a</v>
      </c>
      <c r="AS1473" s="1352" t="str">
        <f t="shared" ref="AS1473:AS1479" si="113">IF(LEN(X1473)=0,"",X1473)</f>
        <v/>
      </c>
    </row>
    <row r="1474" spans="1:45" s="905" customFormat="1" ht="16" hidden="1" x14ac:dyDescent="0.2">
      <c r="A1474" s="1507">
        <v>7</v>
      </c>
      <c r="B1474" s="1516" t="s">
        <v>4462</v>
      </c>
      <c r="C1474" s="1516"/>
      <c r="D1474" s="1516" t="s">
        <v>122</v>
      </c>
      <c r="E1474" s="1516"/>
      <c r="F1474" s="1511"/>
      <c r="G1474" s="1509" t="str">
        <f t="shared" ca="1" si="111"/>
        <v/>
      </c>
      <c r="H1474" s="1530" t="s">
        <v>3198</v>
      </c>
      <c r="I1474" s="589"/>
      <c r="J1474" s="589"/>
      <c r="K1474" s="589" t="s">
        <v>122</v>
      </c>
      <c r="L1474" s="917" t="s">
        <v>4326</v>
      </c>
      <c r="M1474" s="991"/>
      <c r="N1474" s="991"/>
      <c r="O1474" s="991"/>
      <c r="P1474" s="991"/>
      <c r="Q1474" s="991"/>
      <c r="R1474" s="991"/>
      <c r="S1474" s="991"/>
      <c r="T1474" s="991"/>
      <c r="X1474" s="1123"/>
      <c r="Y1474" s="1139" t="str">
        <f>IF(LEN('11.700'!X600)=0,"None",'11.700'!X600)</f>
        <v>None</v>
      </c>
      <c r="Z1474" s="1123"/>
      <c r="AL1474" s="1352"/>
      <c r="AM1474" s="1352"/>
      <c r="AN1474" s="1352"/>
      <c r="AO1474" s="1352"/>
      <c r="AP1474" s="1352"/>
      <c r="AQ1474" s="1352"/>
      <c r="AR1474" s="1352" t="str">
        <f t="shared" si="112"/>
        <v>vnt705_6_3_b</v>
      </c>
      <c r="AS1474" s="1352" t="str">
        <f t="shared" si="113"/>
        <v/>
      </c>
    </row>
    <row r="1475" spans="1:45" s="905" customFormat="1" ht="16" hidden="1" x14ac:dyDescent="0.2">
      <c r="A1475" s="1507">
        <v>7</v>
      </c>
      <c r="B1475" s="1516" t="s">
        <v>4462</v>
      </c>
      <c r="C1475" s="1516"/>
      <c r="D1475" s="1516" t="s">
        <v>123</v>
      </c>
      <c r="E1475" s="1516"/>
      <c r="F1475" s="1511"/>
      <c r="G1475" s="1509" t="str">
        <f t="shared" ca="1" si="111"/>
        <v/>
      </c>
      <c r="H1475" s="1530" t="s">
        <v>3198</v>
      </c>
      <c r="I1475" s="589"/>
      <c r="J1475" s="589"/>
      <c r="K1475" s="589" t="s">
        <v>123</v>
      </c>
      <c r="L1475" s="917" t="s">
        <v>4327</v>
      </c>
      <c r="M1475" s="991"/>
      <c r="N1475" s="991"/>
      <c r="O1475" s="991"/>
      <c r="P1475" s="991"/>
      <c r="Q1475" s="991"/>
      <c r="R1475" s="991"/>
      <c r="S1475" s="991"/>
      <c r="T1475" s="991"/>
      <c r="X1475" s="1123"/>
      <c r="Y1475" s="1139" t="str">
        <f>IF(LEN('11.700'!X601)=0,"None",'11.700'!X601)</f>
        <v>None</v>
      </c>
      <c r="Z1475" s="1123"/>
      <c r="AL1475" s="1352"/>
      <c r="AM1475" s="1352"/>
      <c r="AN1475" s="1352"/>
      <c r="AO1475" s="1352"/>
      <c r="AP1475" s="1352"/>
      <c r="AQ1475" s="1352"/>
      <c r="AR1475" s="1352" t="str">
        <f t="shared" si="112"/>
        <v>vnt705_6_3_c</v>
      </c>
      <c r="AS1475" s="1352" t="str">
        <f t="shared" si="113"/>
        <v/>
      </c>
    </row>
    <row r="1476" spans="1:45" s="905" customFormat="1" ht="16" hidden="1" x14ac:dyDescent="0.2">
      <c r="A1476" s="1507">
        <v>7</v>
      </c>
      <c r="B1476" s="1516" t="s">
        <v>4462</v>
      </c>
      <c r="C1476" s="1516"/>
      <c r="D1476" s="1516" t="s">
        <v>366</v>
      </c>
      <c r="E1476" s="1516"/>
      <c r="F1476" s="1511"/>
      <c r="G1476" s="1509" t="str">
        <f t="shared" ca="1" si="111"/>
        <v/>
      </c>
      <c r="H1476" s="1530" t="s">
        <v>3198</v>
      </c>
      <c r="I1476" s="589"/>
      <c r="J1476" s="589"/>
      <c r="K1476" s="589" t="s">
        <v>366</v>
      </c>
      <c r="L1476" s="917" t="s">
        <v>4328</v>
      </c>
      <c r="M1476" s="991"/>
      <c r="N1476" s="991"/>
      <c r="O1476" s="991"/>
      <c r="P1476" s="991"/>
      <c r="Q1476" s="991"/>
      <c r="R1476" s="991"/>
      <c r="S1476" s="991"/>
      <c r="T1476" s="991"/>
      <c r="X1476" s="1123"/>
      <c r="Y1476" s="1139" t="str">
        <f>IF(LEN('11.700'!X602)=0,"None",'11.700'!X602)</f>
        <v>None</v>
      </c>
      <c r="Z1476" s="1123"/>
      <c r="AL1476" s="1352"/>
      <c r="AM1476" s="1352"/>
      <c r="AN1476" s="1352"/>
      <c r="AO1476" s="1352"/>
      <c r="AP1476" s="1352"/>
      <c r="AQ1476" s="1352"/>
      <c r="AR1476" s="1352" t="str">
        <f t="shared" si="112"/>
        <v>vnt705_6_3_d</v>
      </c>
      <c r="AS1476" s="1352" t="str">
        <f t="shared" si="113"/>
        <v/>
      </c>
    </row>
    <row r="1477" spans="1:45" s="905" customFormat="1" ht="16" hidden="1" x14ac:dyDescent="0.2">
      <c r="A1477" s="1507">
        <v>7</v>
      </c>
      <c r="B1477" s="1516" t="s">
        <v>4462</v>
      </c>
      <c r="C1477" s="1516"/>
      <c r="D1477" s="1516" t="s">
        <v>472</v>
      </c>
      <c r="E1477" s="1516"/>
      <c r="F1477" s="1511"/>
      <c r="G1477" s="1509" t="str">
        <f t="shared" ca="1" si="111"/>
        <v/>
      </c>
      <c r="H1477" s="1530" t="s">
        <v>3198</v>
      </c>
      <c r="I1477" s="589"/>
      <c r="J1477" s="589"/>
      <c r="K1477" s="589" t="s">
        <v>472</v>
      </c>
      <c r="L1477" s="917" t="s">
        <v>4329</v>
      </c>
      <c r="M1477" s="991"/>
      <c r="N1477" s="991"/>
      <c r="O1477" s="991"/>
      <c r="P1477" s="991"/>
      <c r="Q1477" s="991"/>
      <c r="R1477" s="991"/>
      <c r="S1477" s="991"/>
      <c r="T1477" s="991"/>
      <c r="X1477" s="1123"/>
      <c r="Y1477" s="1139" t="str">
        <f>IF(LEN('11.700'!X603)=0,"None",'11.700'!X603)</f>
        <v>None</v>
      </c>
      <c r="Z1477" s="1123"/>
      <c r="AL1477" s="1352"/>
      <c r="AM1477" s="1352"/>
      <c r="AN1477" s="1352"/>
      <c r="AO1477" s="1352"/>
      <c r="AP1477" s="1352"/>
      <c r="AQ1477" s="1352"/>
      <c r="AR1477" s="1352" t="str">
        <f t="shared" si="112"/>
        <v>vnt705_6_3_e</v>
      </c>
      <c r="AS1477" s="1352" t="str">
        <f t="shared" si="113"/>
        <v/>
      </c>
    </row>
    <row r="1478" spans="1:45" s="905" customFormat="1" ht="16" hidden="1" x14ac:dyDescent="0.2">
      <c r="A1478" s="1507">
        <v>7</v>
      </c>
      <c r="B1478" s="1516" t="s">
        <v>4462</v>
      </c>
      <c r="C1478" s="1516"/>
      <c r="D1478" s="1516" t="s">
        <v>510</v>
      </c>
      <c r="E1478" s="1516"/>
      <c r="F1478" s="1511"/>
      <c r="G1478" s="1509" t="str">
        <f t="shared" ca="1" si="111"/>
        <v/>
      </c>
      <c r="H1478" s="1530" t="s">
        <v>3198</v>
      </c>
      <c r="I1478" s="589"/>
      <c r="J1478" s="589"/>
      <c r="K1478" s="589" t="s">
        <v>510</v>
      </c>
      <c r="L1478" s="917" t="s">
        <v>4330</v>
      </c>
      <c r="M1478" s="991"/>
      <c r="N1478" s="991"/>
      <c r="O1478" s="991"/>
      <c r="P1478" s="991"/>
      <c r="Q1478" s="991"/>
      <c r="R1478" s="991"/>
      <c r="S1478" s="991"/>
      <c r="T1478" s="991"/>
      <c r="X1478" s="1123"/>
      <c r="Y1478" s="1139" t="str">
        <f>IF(LEN('11.700'!X604)=0,"None",'11.700'!X604)</f>
        <v>None</v>
      </c>
      <c r="Z1478" s="1123"/>
      <c r="AL1478" s="1352"/>
      <c r="AM1478" s="1352"/>
      <c r="AN1478" s="1352"/>
      <c r="AO1478" s="1352"/>
      <c r="AP1478" s="1352"/>
      <c r="AQ1478" s="1352"/>
      <c r="AR1478" s="1352" t="str">
        <f t="shared" si="112"/>
        <v>vnt705_6_3_f</v>
      </c>
      <c r="AS1478" s="1352" t="str">
        <f t="shared" si="113"/>
        <v/>
      </c>
    </row>
    <row r="1479" spans="1:45" s="905" customFormat="1" ht="15" hidden="1" customHeight="1" x14ac:dyDescent="0.2">
      <c r="A1479" s="1507">
        <v>7</v>
      </c>
      <c r="B1479" s="1516" t="s">
        <v>4462</v>
      </c>
      <c r="C1479" s="1516"/>
      <c r="D1479" s="1516" t="s">
        <v>512</v>
      </c>
      <c r="E1479" s="1516"/>
      <c r="F1479" s="1511"/>
      <c r="G1479" s="1509" t="str">
        <f t="shared" ca="1" si="111"/>
        <v/>
      </c>
      <c r="H1479" s="1530" t="s">
        <v>3198</v>
      </c>
      <c r="I1479" s="590"/>
      <c r="J1479" s="590"/>
      <c r="K1479" s="590" t="s">
        <v>512</v>
      </c>
      <c r="L1479" s="1634" t="s">
        <v>4331</v>
      </c>
      <c r="M1479" s="991"/>
      <c r="N1479" s="991"/>
      <c r="O1479" s="991"/>
      <c r="P1479" s="991"/>
      <c r="Q1479" s="991"/>
      <c r="R1479" s="991"/>
      <c r="S1479" s="991"/>
      <c r="T1479" s="991"/>
      <c r="U1479" s="991"/>
      <c r="X1479" s="1600"/>
      <c r="Y1479" s="1874" t="str">
        <f>IF(LEN('11.700'!X605)=0,"None",'11.700'!X605)</f>
        <v>None</v>
      </c>
      <c r="Z1479" s="1600"/>
      <c r="AL1479" s="1352"/>
      <c r="AM1479" s="1352"/>
      <c r="AN1479" s="1352"/>
      <c r="AO1479" s="1352"/>
      <c r="AP1479" s="1352"/>
      <c r="AQ1479" s="1352"/>
      <c r="AR1479" s="1352" t="str">
        <f t="shared" si="112"/>
        <v>vnt705_6_3_g</v>
      </c>
      <c r="AS1479" s="1352" t="str">
        <f t="shared" si="113"/>
        <v/>
      </c>
    </row>
    <row r="1480" spans="1:45" s="905" customFormat="1" hidden="1" x14ac:dyDescent="0.2">
      <c r="A1480" s="1507">
        <v>7</v>
      </c>
      <c r="B1480" s="1516" t="s">
        <v>4462</v>
      </c>
      <c r="C1480" s="1516"/>
      <c r="D1480" s="1516" t="s">
        <v>512</v>
      </c>
      <c r="E1480" s="1516"/>
      <c r="F1480" s="1511"/>
      <c r="G1480" s="1509" t="str">
        <f t="shared" ca="1" si="111"/>
        <v/>
      </c>
      <c r="H1480" s="1530" t="s">
        <v>3198</v>
      </c>
      <c r="I1480" s="606"/>
      <c r="J1480" s="606"/>
      <c r="K1480" s="606"/>
      <c r="L1480" s="1639"/>
      <c r="M1480" s="173"/>
      <c r="N1480" s="173"/>
      <c r="O1480" s="173"/>
      <c r="P1480" s="173"/>
      <c r="Q1480" s="173"/>
      <c r="R1480" s="173"/>
      <c r="S1480" s="173"/>
      <c r="T1480" s="173"/>
      <c r="U1480" s="173"/>
      <c r="X1480" s="1600"/>
      <c r="Y1480" s="1874"/>
      <c r="Z1480" s="1600"/>
      <c r="AL1480" s="1352"/>
      <c r="AM1480" s="1352"/>
      <c r="AN1480" s="1352"/>
      <c r="AO1480" s="1352"/>
      <c r="AP1480" s="1352"/>
      <c r="AQ1480" s="1352"/>
      <c r="AR1480" s="1352"/>
      <c r="AS1480" s="1352"/>
    </row>
    <row r="1481" spans="1:45" s="905" customFormat="1" hidden="1" x14ac:dyDescent="0.2">
      <c r="A1481" s="1507">
        <v>7</v>
      </c>
      <c r="B1481" s="1516" t="s">
        <v>4463</v>
      </c>
      <c r="C1481" s="1516"/>
      <c r="D1481" s="1516"/>
      <c r="E1481" s="1516"/>
      <c r="F1481" s="1511"/>
      <c r="G1481" s="1513" t="str">
        <f ca="1">IF(COUNTIF(G1482:G1484,"P")&gt;0,"P","")</f>
        <v/>
      </c>
      <c r="H1481" s="1510" t="s">
        <v>3197</v>
      </c>
      <c r="I1481" s="589" t="s">
        <v>4332</v>
      </c>
      <c r="J1481" s="589"/>
      <c r="K1481" s="589"/>
      <c r="L1481" s="946" t="s">
        <v>4333</v>
      </c>
      <c r="M1481" s="991"/>
      <c r="N1481" s="991"/>
      <c r="O1481" s="991"/>
      <c r="P1481" s="991"/>
      <c r="Q1481" s="991"/>
      <c r="R1481" s="991"/>
      <c r="S1481" s="991"/>
      <c r="T1481" s="991"/>
      <c r="X1481" s="1122"/>
      <c r="Z1481" s="1122"/>
      <c r="AL1481" s="1352"/>
      <c r="AM1481" s="1352"/>
      <c r="AN1481" s="1352"/>
      <c r="AO1481" s="1352"/>
      <c r="AP1481" s="1352"/>
      <c r="AQ1481" s="1352"/>
      <c r="AR1481" s="1352"/>
      <c r="AS1481" s="1352"/>
    </row>
    <row r="1482" spans="1:45" s="905" customFormat="1" ht="15" hidden="1" customHeight="1" x14ac:dyDescent="0.2">
      <c r="A1482" s="1507">
        <v>7</v>
      </c>
      <c r="B1482" s="1516" t="s">
        <v>4464</v>
      </c>
      <c r="C1482" s="1516"/>
      <c r="D1482" s="1516"/>
      <c r="E1482" s="1516"/>
      <c r="F1482" s="1511"/>
      <c r="G1482" s="1509" t="str">
        <f ca="1">IF(N1482&gt;0,"P","")</f>
        <v/>
      </c>
      <c r="H1482" s="1510" t="s">
        <v>3197</v>
      </c>
      <c r="I1482" s="590" t="s">
        <v>4334</v>
      </c>
      <c r="J1482" s="590"/>
      <c r="K1482" s="590"/>
      <c r="L1482" s="1687" t="s">
        <v>4335</v>
      </c>
      <c r="M1482" s="1623">
        <v>1</v>
      </c>
      <c r="N1482" s="1619">
        <f ca="1">'11.700'!O608</f>
        <v>0</v>
      </c>
      <c r="O1482" s="1619">
        <f ca="1">M1482*S1482*W1482</f>
        <v>0</v>
      </c>
      <c r="P1482" s="991" t="b">
        <v>1</v>
      </c>
      <c r="Q1482" s="991" t="b">
        <v>1</v>
      </c>
      <c r="R1482" s="991" t="b">
        <v>0</v>
      </c>
      <c r="S1482" s="991" t="b">
        <f ca="1">IF(AND(S885=2,AY893=INDEX(INDIRECT("ddSingleOrMulti"),1)),TRUE,FALSE)</f>
        <v>0</v>
      </c>
      <c r="T1482" s="991" t="b">
        <f ca="1">AND(NOT(S1482),W1482=TRUE)</f>
        <v>0</v>
      </c>
      <c r="W1482" s="27"/>
      <c r="X1482" s="1600"/>
      <c r="Y1482" s="1874" t="str">
        <f>IF(LEN('11.700'!X608)=0,"None",'11.700'!X608)</f>
        <v>None</v>
      </c>
      <c r="Z1482" s="1600"/>
      <c r="AC1482" s="1150" t="b">
        <f ca="1">OR(AD1482:AE1482)</f>
        <v>0</v>
      </c>
      <c r="AD1482" s="1150" t="b">
        <f ca="1">T1482</f>
        <v>0</v>
      </c>
      <c r="AE1482" s="1150"/>
      <c r="AL1482" s="1352" t="str">
        <f>SUBSTITUTE(SUBSTITUTE(SUBSTITUTE("vpa"&amp;$B1482&amp;$C1482&amp;$D1482&amp;$E1482&amp;$F1482,".","_"),"(","_"),")","")</f>
        <v>vpa705_6_4_1</v>
      </c>
      <c r="AM1482" s="1352">
        <f>M1482</f>
        <v>1</v>
      </c>
      <c r="AN1482" s="1352" t="str">
        <f>SUBSTITUTE(SUBSTITUTE(SUBSTITUTE("vpc"&amp;$B1482&amp;$C1482&amp;$D1482&amp;$E1482&amp;$F1482,".","_"),"(","_"),")","")</f>
        <v>vpc705_6_4_1</v>
      </c>
      <c r="AO1482" s="1352">
        <f ca="1">O1482</f>
        <v>0</v>
      </c>
      <c r="AP1482" s="1352" t="str">
        <f>SUBSTITUTE(SUBSTITUTE(SUBSTITUTE("vch"&amp;$B1482&amp;$C1482&amp;$D1482&amp;$E1482&amp;$F1482,".","_"),"(","_"),")","")</f>
        <v>vch705_6_4_1</v>
      </c>
      <c r="AQ1482" s="1352" t="str">
        <f>IF(LEN(W1482)=0,"",W1482)</f>
        <v/>
      </c>
      <c r="AR1482" s="1352" t="str">
        <f>SUBSTITUTE(SUBSTITUTE(SUBSTITUTE("vnt"&amp;$B1482&amp;$C1482&amp;$D1482&amp;$E1482&amp;$F1482,".","_"),"(","_"),")","")</f>
        <v>vnt705_6_4_1</v>
      </c>
      <c r="AS1482" s="1352" t="str">
        <f>IF(LEN(X1482)=0,"",X1482)</f>
        <v/>
      </c>
    </row>
    <row r="1483" spans="1:45" s="905" customFormat="1" hidden="1" x14ac:dyDescent="0.2">
      <c r="A1483" s="1507">
        <v>7</v>
      </c>
      <c r="B1483" s="1516" t="s">
        <v>4464</v>
      </c>
      <c r="C1483" s="1516"/>
      <c r="D1483" s="1516"/>
      <c r="E1483" s="1516"/>
      <c r="F1483" s="1511"/>
      <c r="G1483" s="1509" t="str">
        <f ca="1">G1482</f>
        <v/>
      </c>
      <c r="H1483" s="1510" t="s">
        <v>3197</v>
      </c>
      <c r="I1483" s="606"/>
      <c r="J1483" s="606"/>
      <c r="K1483" s="606"/>
      <c r="L1483" s="1688"/>
      <c r="M1483" s="1624"/>
      <c r="N1483" s="1620"/>
      <c r="O1483" s="1620"/>
      <c r="P1483" s="991"/>
      <c r="Q1483" s="991"/>
      <c r="R1483" s="991"/>
      <c r="S1483" s="991"/>
      <c r="T1483" s="991"/>
      <c r="X1483" s="1600"/>
      <c r="Y1483" s="1874"/>
      <c r="Z1483" s="1600"/>
      <c r="AC1483" s="1150"/>
      <c r="AD1483" s="1150"/>
      <c r="AE1483" s="1150"/>
      <c r="AL1483" s="1352"/>
      <c r="AM1483" s="1352"/>
      <c r="AN1483" s="1352"/>
      <c r="AO1483" s="1352"/>
      <c r="AP1483" s="1352"/>
      <c r="AQ1483" s="1352"/>
      <c r="AR1483" s="1352"/>
      <c r="AS1483" s="1352"/>
    </row>
    <row r="1484" spans="1:45" s="905" customFormat="1" ht="15" hidden="1" customHeight="1" x14ac:dyDescent="0.2">
      <c r="A1484" s="1507">
        <v>7</v>
      </c>
      <c r="B1484" s="1516" t="s">
        <v>4465</v>
      </c>
      <c r="C1484" s="1516"/>
      <c r="D1484" s="1516"/>
      <c r="E1484" s="1516"/>
      <c r="F1484" s="1511"/>
      <c r="G1484" s="1509" t="str">
        <f ca="1">IF(N1484&gt;0,"P","")</f>
        <v/>
      </c>
      <c r="H1484" s="1510" t="s">
        <v>3197</v>
      </c>
      <c r="I1484" s="590" t="s">
        <v>4336</v>
      </c>
      <c r="J1484" s="590"/>
      <c r="K1484" s="590"/>
      <c r="L1484" s="1687" t="s">
        <v>4337</v>
      </c>
      <c r="M1484" s="1623">
        <v>2</v>
      </c>
      <c r="N1484" s="1637">
        <f ca="1">'11.700'!O610</f>
        <v>0</v>
      </c>
      <c r="O1484" s="1619">
        <f ca="1">M1484*S1484*W1484</f>
        <v>0</v>
      </c>
      <c r="P1484" s="991" t="b">
        <v>1</v>
      </c>
      <c r="Q1484" s="991" t="b">
        <v>1</v>
      </c>
      <c r="R1484" s="991" t="b">
        <v>0</v>
      </c>
      <c r="S1484" s="991" t="b">
        <f ca="1">IF(AND(S885=2,AY893=INDEX(INDIRECT("ddSingleOrMulti"),2)),TRUE,FALSE)</f>
        <v>0</v>
      </c>
      <c r="T1484" s="991" t="b">
        <f ca="1">AND(NOT(S1484),W1484=TRUE)</f>
        <v>0</v>
      </c>
      <c r="U1484" s="991"/>
      <c r="W1484" s="333"/>
      <c r="X1484" s="1601"/>
      <c r="Y1484" s="1881" t="str">
        <f>IF(LEN('11.700'!X610)=0,"None",'11.700'!X610)</f>
        <v>None</v>
      </c>
      <c r="Z1484" s="1600"/>
      <c r="AC1484" s="1150" t="b">
        <f ca="1">OR(AD1484:AE1484)</f>
        <v>0</v>
      </c>
      <c r="AD1484" s="1150" t="b">
        <f ca="1">T1484</f>
        <v>0</v>
      </c>
      <c r="AE1484" s="1150"/>
      <c r="AL1484" s="1352" t="str">
        <f>SUBSTITUTE(SUBSTITUTE(SUBSTITUTE("vpa"&amp;$B1484&amp;$C1484&amp;$D1484&amp;$E1484&amp;$F1484,".","_"),"(","_"),")","")</f>
        <v>vpa705_6_4_2</v>
      </c>
      <c r="AM1484" s="1352">
        <f>M1484</f>
        <v>2</v>
      </c>
      <c r="AN1484" s="1352" t="str">
        <f>SUBSTITUTE(SUBSTITUTE(SUBSTITUTE("vpc"&amp;$B1484&amp;$C1484&amp;$D1484&amp;$E1484&amp;$F1484,".","_"),"(","_"),")","")</f>
        <v>vpc705_6_4_2</v>
      </c>
      <c r="AO1484" s="1352">
        <f ca="1">O1484</f>
        <v>0</v>
      </c>
      <c r="AP1484" s="1352" t="str">
        <f>SUBSTITUTE(SUBSTITUTE(SUBSTITUTE("vch"&amp;$B1484&amp;$C1484&amp;$D1484&amp;$E1484&amp;$F1484,".","_"),"(","_"),")","")</f>
        <v>vch705_6_4_2</v>
      </c>
      <c r="AQ1484" s="1352" t="str">
        <f>IF(LEN(W1484)=0,"",W1484)</f>
        <v/>
      </c>
      <c r="AR1484" s="1352" t="str">
        <f>SUBSTITUTE(SUBSTITUTE(SUBSTITUTE("vnt"&amp;$B1484&amp;$C1484&amp;$D1484&amp;$E1484&amp;$F1484,".","_"),"(","_"),")","")</f>
        <v>vnt705_6_4_2</v>
      </c>
      <c r="AS1484" s="1352" t="str">
        <f>IF(LEN(X1484)=0,"",X1484)</f>
        <v/>
      </c>
    </row>
    <row r="1485" spans="1:45" s="905" customFormat="1" ht="16" hidden="1" thickBot="1" x14ac:dyDescent="0.25">
      <c r="A1485" s="1507">
        <v>7</v>
      </c>
      <c r="B1485" s="1516" t="s">
        <v>4465</v>
      </c>
      <c r="C1485" s="1516"/>
      <c r="D1485" s="1516"/>
      <c r="E1485" s="1516"/>
      <c r="F1485" s="1511"/>
      <c r="G1485" s="1509" t="str">
        <f ca="1">G1484</f>
        <v/>
      </c>
      <c r="H1485" s="1510" t="s">
        <v>3197</v>
      </c>
      <c r="I1485" s="594"/>
      <c r="J1485" s="594"/>
      <c r="K1485" s="594"/>
      <c r="L1485" s="1738"/>
      <c r="M1485" s="1627"/>
      <c r="N1485" s="1638"/>
      <c r="O1485" s="1638"/>
      <c r="P1485" s="100"/>
      <c r="Q1485" s="100"/>
      <c r="R1485" s="100"/>
      <c r="S1485" s="100"/>
      <c r="T1485" s="100"/>
      <c r="U1485" s="100"/>
      <c r="W1485" s="100"/>
      <c r="X1485" s="1602"/>
      <c r="Y1485" s="1882"/>
      <c r="Z1485" s="1602"/>
      <c r="AC1485" s="1150"/>
      <c r="AD1485" s="1150"/>
      <c r="AE1485" s="1150"/>
      <c r="AL1485" s="1352"/>
      <c r="AM1485" s="1352"/>
      <c r="AN1485" s="1352"/>
      <c r="AO1485" s="1352"/>
      <c r="AP1485" s="1352"/>
      <c r="AQ1485" s="1352"/>
      <c r="AR1485" s="1352"/>
      <c r="AS1485" s="1352"/>
    </row>
    <row r="1486" spans="1:45" s="905" customFormat="1" ht="15.75" hidden="1" customHeight="1" thickTop="1" x14ac:dyDescent="0.2">
      <c r="A1486" s="1507">
        <v>7</v>
      </c>
      <c r="B1486" s="1516">
        <v>705.7</v>
      </c>
      <c r="C1486" s="1516"/>
      <c r="D1486" s="1516"/>
      <c r="E1486" s="1516"/>
      <c r="F1486" s="1511"/>
      <c r="G1486" s="1509" t="str">
        <f ca="1">IF(N1486&gt;0,"P","")</f>
        <v/>
      </c>
      <c r="H1486" s="1530" t="s">
        <v>3199</v>
      </c>
      <c r="I1486" s="589" t="s">
        <v>4338</v>
      </c>
      <c r="J1486" s="589"/>
      <c r="K1486" s="589"/>
      <c r="L1486" s="1687" t="s">
        <v>4339</v>
      </c>
      <c r="M1486" s="1623">
        <v>1</v>
      </c>
      <c r="N1486" s="1682">
        <f ca="1">'11.700'!O612</f>
        <v>0</v>
      </c>
      <c r="O1486" s="1619">
        <f ca="1">M1486*S1486*W1486</f>
        <v>0</v>
      </c>
      <c r="P1486" s="991" t="b">
        <v>0</v>
      </c>
      <c r="Q1486" s="991" t="b">
        <v>1</v>
      </c>
      <c r="R1486" s="991" t="b">
        <v>0</v>
      </c>
      <c r="S1486" s="991" t="b">
        <f ca="1">IF(AND(S885=2,AY893=INDEX(INDIRECT("ddSingleOrMulti"),2)),TRUE,FALSE)</f>
        <v>0</v>
      </c>
      <c r="T1486" s="991" t="b">
        <f ca="1">AND(NOT(S1486),W1486=TRUE)</f>
        <v>0</v>
      </c>
      <c r="W1486" s="119"/>
      <c r="X1486" s="1599"/>
      <c r="Y1486" s="1877" t="str">
        <f>IF(LEN('11.700'!X612)=0,"None",'11.700'!X612)</f>
        <v>None</v>
      </c>
      <c r="Z1486" s="1599"/>
      <c r="AC1486" s="1150" t="b">
        <f ca="1">OR(AD1486:AE1486)</f>
        <v>0</v>
      </c>
      <c r="AD1486" s="1150" t="b">
        <f ca="1">T1486</f>
        <v>0</v>
      </c>
      <c r="AE1486" s="1150"/>
      <c r="AL1486" s="1352" t="str">
        <f>SUBSTITUTE(SUBSTITUTE(SUBSTITUTE("vpa"&amp;$B1486&amp;$C1486&amp;$D1486&amp;$E1486&amp;$F1486,".","_"),"(","_"),")","")</f>
        <v>vpa705_7</v>
      </c>
      <c r="AM1486" s="1352">
        <f>M1486</f>
        <v>1</v>
      </c>
      <c r="AN1486" s="1352" t="str">
        <f>SUBSTITUTE(SUBSTITUTE(SUBSTITUTE("vpc"&amp;$B1486&amp;$C1486&amp;$D1486&amp;$E1486&amp;$F1486,".","_"),"(","_"),")","")</f>
        <v>vpc705_7</v>
      </c>
      <c r="AO1486" s="1352">
        <f ca="1">O1486</f>
        <v>0</v>
      </c>
      <c r="AP1486" s="1352" t="str">
        <f>SUBSTITUTE(SUBSTITUTE(SUBSTITUTE("vch"&amp;$B1486&amp;$C1486&amp;$D1486&amp;$E1486&amp;$F1486,".","_"),"(","_"),")","")</f>
        <v>vch705_7</v>
      </c>
      <c r="AQ1486" s="1352" t="str">
        <f>IF(LEN(W1486)=0,"",W1486)</f>
        <v/>
      </c>
      <c r="AR1486" s="1352" t="str">
        <f>SUBSTITUTE(SUBSTITUTE(SUBSTITUTE("vnt"&amp;$B1486&amp;$C1486&amp;$D1486&amp;$E1486&amp;$F1486,".","_"),"(","_"),")","")</f>
        <v>vnt705_7</v>
      </c>
      <c r="AS1486" s="1352" t="str">
        <f>IF(LEN(X1486)=0,"",X1486)</f>
        <v/>
      </c>
    </row>
    <row r="1487" spans="1:45" s="905" customFormat="1" hidden="1" x14ac:dyDescent="0.2">
      <c r="A1487" s="1507">
        <v>7</v>
      </c>
      <c r="B1487" s="1516">
        <v>705.7</v>
      </c>
      <c r="C1487" s="1516"/>
      <c r="D1487" s="1516"/>
      <c r="E1487" s="1516"/>
      <c r="F1487" s="1511"/>
      <c r="G1487" s="1509" t="str">
        <f ca="1">G1486</f>
        <v/>
      </c>
      <c r="H1487" s="1530" t="s">
        <v>3199</v>
      </c>
      <c r="I1487" s="589"/>
      <c r="J1487" s="589"/>
      <c r="K1487" s="589"/>
      <c r="L1487" s="1687"/>
      <c r="M1487" s="1623"/>
      <c r="N1487" s="1619"/>
      <c r="O1487" s="1619"/>
      <c r="P1487" s="991"/>
      <c r="Q1487" s="991"/>
      <c r="R1487" s="991"/>
      <c r="S1487" s="991"/>
      <c r="T1487" s="991"/>
      <c r="X1487" s="1600"/>
      <c r="Y1487" s="1874"/>
      <c r="Z1487" s="1600"/>
      <c r="AL1487" s="1352"/>
      <c r="AM1487" s="1352"/>
      <c r="AN1487" s="1352"/>
      <c r="AO1487" s="1352"/>
      <c r="AP1487" s="1352"/>
      <c r="AQ1487" s="1352"/>
      <c r="AR1487" s="1352"/>
      <c r="AS1487" s="1352"/>
    </row>
    <row r="1488" spans="1:45" s="905" customFormat="1" hidden="1" x14ac:dyDescent="0.2">
      <c r="A1488" s="1507">
        <v>7</v>
      </c>
      <c r="B1488" s="1516">
        <v>705.7</v>
      </c>
      <c r="C1488" s="1516"/>
      <c r="D1488" s="1516"/>
      <c r="E1488" s="1516"/>
      <c r="F1488" s="1511"/>
      <c r="G1488" s="1509" t="str">
        <f ca="1">G1487</f>
        <v/>
      </c>
      <c r="H1488" s="1530" t="s">
        <v>3199</v>
      </c>
      <c r="I1488" s="589"/>
      <c r="J1488" s="589"/>
      <c r="K1488" s="589"/>
      <c r="L1488" s="1687"/>
      <c r="M1488" s="1623"/>
      <c r="N1488" s="1619"/>
      <c r="O1488" s="1619"/>
      <c r="P1488" s="991"/>
      <c r="Q1488" s="991"/>
      <c r="R1488" s="991"/>
      <c r="S1488" s="991"/>
      <c r="T1488" s="991"/>
      <c r="X1488" s="1600"/>
      <c r="Y1488" s="1874"/>
      <c r="Z1488" s="1600"/>
      <c r="AL1488" s="1352"/>
      <c r="AM1488" s="1352"/>
      <c r="AN1488" s="1352"/>
      <c r="AO1488" s="1352"/>
      <c r="AP1488" s="1352"/>
      <c r="AQ1488" s="1352"/>
      <c r="AR1488" s="1352"/>
      <c r="AS1488" s="1352"/>
    </row>
    <row r="1489" spans="1:45" s="905" customFormat="1" hidden="1" x14ac:dyDescent="0.2">
      <c r="A1489" s="1507">
        <v>7</v>
      </c>
      <c r="B1489" s="1516">
        <v>705.7</v>
      </c>
      <c r="C1489" s="1516"/>
      <c r="D1489" s="1516"/>
      <c r="E1489" s="1516"/>
      <c r="F1489" s="1511"/>
      <c r="G1489" s="1509" t="str">
        <f ca="1">G1488</f>
        <v/>
      </c>
      <c r="H1489" s="1530" t="s">
        <v>3199</v>
      </c>
      <c r="I1489" s="589"/>
      <c r="J1489" s="589"/>
      <c r="K1489" s="589"/>
      <c r="L1489" s="1687"/>
      <c r="M1489" s="1623"/>
      <c r="N1489" s="1619"/>
      <c r="O1489" s="1619"/>
      <c r="P1489" s="991"/>
      <c r="Q1489" s="991"/>
      <c r="R1489" s="991"/>
      <c r="S1489" s="991"/>
      <c r="T1489" s="991"/>
      <c r="X1489" s="1600"/>
      <c r="Y1489" s="1874"/>
      <c r="Z1489" s="1600"/>
      <c r="AL1489" s="1352"/>
      <c r="AM1489" s="1352"/>
      <c r="AN1489" s="1352"/>
      <c r="AO1489" s="1352"/>
      <c r="AP1489" s="1352"/>
      <c r="AQ1489" s="1352"/>
      <c r="AR1489" s="1352"/>
      <c r="AS1489" s="1352"/>
    </row>
    <row r="1490" spans="1:45" s="905" customFormat="1" ht="19" x14ac:dyDescent="0.25">
      <c r="A1490" s="1507">
        <v>7</v>
      </c>
      <c r="B1490" s="1516">
        <v>706</v>
      </c>
      <c r="C1490" s="1516"/>
      <c r="D1490" s="1516"/>
      <c r="E1490" s="1516"/>
      <c r="F1490" s="1511"/>
      <c r="G1490" s="1511" t="s">
        <v>3200</v>
      </c>
      <c r="H1490" s="1510" t="s">
        <v>3197</v>
      </c>
      <c r="I1490" s="1004" t="s">
        <v>4340</v>
      </c>
      <c r="J1490" s="81"/>
      <c r="K1490" s="81"/>
      <c r="L1490" s="1004"/>
      <c r="M1490" s="994"/>
      <c r="N1490" s="994"/>
      <c r="O1490" s="994"/>
      <c r="P1490" s="994"/>
      <c r="Q1490" s="994"/>
      <c r="R1490" s="994"/>
      <c r="S1490" s="994"/>
      <c r="T1490" s="994"/>
      <c r="U1490" s="25"/>
      <c r="V1490" s="25"/>
      <c r="W1490" s="25"/>
      <c r="X1490" s="25"/>
      <c r="Y1490" s="25"/>
      <c r="Z1490" s="25"/>
      <c r="AL1490" s="1352"/>
      <c r="AM1490" s="1352"/>
      <c r="AN1490" s="1352"/>
      <c r="AO1490" s="1352"/>
      <c r="AP1490" s="1352"/>
      <c r="AQ1490" s="1352"/>
      <c r="AR1490" s="1352"/>
      <c r="AS1490" s="1352"/>
    </row>
    <row r="1491" spans="1:45" s="905" customFormat="1" ht="15" hidden="1" customHeight="1" x14ac:dyDescent="0.2">
      <c r="A1491" s="1507">
        <v>7</v>
      </c>
      <c r="B1491" s="1516">
        <v>706.1</v>
      </c>
      <c r="C1491" s="1516"/>
      <c r="D1491" s="1516"/>
      <c r="E1491" s="1516"/>
      <c r="F1491" s="1511"/>
      <c r="G1491" s="1509" t="str">
        <f ca="1">IF(N1491&gt;0,"P","")</f>
        <v/>
      </c>
      <c r="H1491" s="1530" t="s">
        <v>3199</v>
      </c>
      <c r="I1491" s="589" t="s">
        <v>4341</v>
      </c>
      <c r="J1491" s="589"/>
      <c r="K1491" s="589"/>
      <c r="L1491" s="1687" t="s">
        <v>4342</v>
      </c>
      <c r="M1491" s="1623" t="s">
        <v>4482</v>
      </c>
      <c r="N1491" s="1619">
        <f ca="1">'11.700'!O617</f>
        <v>0</v>
      </c>
      <c r="O1491" s="1619">
        <f ca="1">MIN(3,(M1493*S1493*W1493+M1494*S1494*W1494+M1495*S1495*W1495+M1496*S1496*W1496+M1498*S1498*W1498))</f>
        <v>0</v>
      </c>
      <c r="P1491" s="991"/>
      <c r="Q1491" s="991"/>
      <c r="R1491" s="991"/>
      <c r="S1491" s="991"/>
      <c r="T1491" s="991"/>
      <c r="Z1491" s="1122"/>
      <c r="AL1491" s="1352" t="str">
        <f>SUBSTITUTE(SUBSTITUTE(SUBSTITUTE("vpa"&amp;$B1491&amp;$C1491&amp;$D1491&amp;$E1491&amp;$F1491,".","_"),"(","_"),")","")</f>
        <v>vpa706_1</v>
      </c>
      <c r="AM1491" s="1352" t="str">
        <f>M1491</f>
        <v>3 Max</v>
      </c>
      <c r="AN1491" s="1352" t="str">
        <f>SUBSTITUTE(SUBSTITUTE(SUBSTITUTE("vpc"&amp;$B1491&amp;$C1491&amp;$D1491&amp;$E1491&amp;$F1491,".","_"),"(","_"),")","")</f>
        <v>vpc706_1</v>
      </c>
      <c r="AO1491" s="1352">
        <f ca="1">O1491</f>
        <v>0</v>
      </c>
      <c r="AP1491" s="1352"/>
      <c r="AQ1491" s="1352"/>
      <c r="AR1491" s="1352"/>
      <c r="AS1491" s="1352"/>
    </row>
    <row r="1492" spans="1:45" s="905" customFormat="1" hidden="1" x14ac:dyDescent="0.2">
      <c r="A1492" s="1507">
        <v>7</v>
      </c>
      <c r="B1492" s="1516">
        <v>706.1</v>
      </c>
      <c r="C1492" s="1516"/>
      <c r="D1492" s="1516"/>
      <c r="E1492" s="1516"/>
      <c r="F1492" s="1511"/>
      <c r="G1492" s="1509" t="str">
        <f t="shared" ref="G1492:G1498" ca="1" si="114">G1491</f>
        <v/>
      </c>
      <c r="H1492" s="1530" t="s">
        <v>3199</v>
      </c>
      <c r="I1492" s="589"/>
      <c r="J1492" s="589"/>
      <c r="K1492" s="589"/>
      <c r="L1492" s="1687"/>
      <c r="M1492" s="1623"/>
      <c r="N1492" s="1619"/>
      <c r="O1492" s="1619"/>
      <c r="P1492" s="991"/>
      <c r="Q1492" s="991"/>
      <c r="R1492" s="991"/>
      <c r="S1492" s="991"/>
      <c r="T1492" s="991"/>
      <c r="Z1492" s="1122"/>
      <c r="AL1492" s="1352"/>
      <c r="AM1492" s="1352"/>
      <c r="AN1492" s="1352"/>
      <c r="AO1492" s="1352"/>
      <c r="AP1492" s="1352"/>
      <c r="AQ1492" s="1352"/>
      <c r="AR1492" s="1352"/>
      <c r="AS1492" s="1352"/>
    </row>
    <row r="1493" spans="1:45" s="905" customFormat="1" ht="16" hidden="1" x14ac:dyDescent="0.2">
      <c r="A1493" s="1507">
        <v>7</v>
      </c>
      <c r="B1493" s="1516">
        <v>706.1</v>
      </c>
      <c r="C1493" s="1516" t="s">
        <v>254</v>
      </c>
      <c r="D1493" s="1516"/>
      <c r="E1493" s="1516"/>
      <c r="F1493" s="1511"/>
      <c r="G1493" s="1509" t="str">
        <f t="shared" ca="1" si="114"/>
        <v/>
      </c>
      <c r="H1493" s="1530" t="s">
        <v>3199</v>
      </c>
      <c r="I1493" s="589"/>
      <c r="J1493" s="606" t="s">
        <v>254</v>
      </c>
      <c r="K1493" s="606"/>
      <c r="L1493" s="923" t="s">
        <v>4343</v>
      </c>
      <c r="M1493" s="937">
        <v>1</v>
      </c>
      <c r="N1493" s="129"/>
      <c r="O1493" s="908"/>
      <c r="P1493" s="991" t="b">
        <v>0</v>
      </c>
      <c r="Q1493" s="991" t="b">
        <v>1</v>
      </c>
      <c r="R1493" s="991" t="b">
        <v>0</v>
      </c>
      <c r="S1493" s="991" t="b">
        <f ca="1">S885=2</f>
        <v>0</v>
      </c>
      <c r="T1493" s="991" t="b">
        <v>0</v>
      </c>
      <c r="W1493" s="27"/>
      <c r="X1493" s="1123"/>
      <c r="Y1493" s="1139" t="str">
        <f>IF(LEN('11.700'!X619)=0,"None",'11.700'!X619)</f>
        <v>None</v>
      </c>
      <c r="Z1493" s="1123"/>
      <c r="AC1493" s="1150" t="b">
        <f>OR(AD1493:AE1493)</f>
        <v>0</v>
      </c>
      <c r="AD1493" s="1150" t="b">
        <f>T1493</f>
        <v>0</v>
      </c>
      <c r="AE1493" s="1150"/>
      <c r="AL1493" s="1352" t="str">
        <f>SUBSTITUTE(SUBSTITUTE(SUBSTITUTE("vpa"&amp;$B1493&amp;$C1493&amp;$D1493&amp;$E1493&amp;$F1493,".","_"),"(","_"),")","")</f>
        <v>vpa706_1_1</v>
      </c>
      <c r="AM1493" s="1352">
        <f>M1493</f>
        <v>1</v>
      </c>
      <c r="AN1493" s="1352"/>
      <c r="AO1493" s="1352"/>
      <c r="AP1493" s="1352" t="str">
        <f>SUBSTITUTE(SUBSTITUTE(SUBSTITUTE("vch"&amp;$B1493&amp;$C1493&amp;$D1493&amp;$E1493&amp;$F1493,".","_"),"(","_"),")","")</f>
        <v>vch706_1_1</v>
      </c>
      <c r="AQ1493" s="1352" t="str">
        <f t="shared" ref="AQ1493:AQ1496" si="115">IF(LEN(W1493)=0,"",W1493)</f>
        <v/>
      </c>
      <c r="AR1493" s="1352" t="str">
        <f>SUBSTITUTE(SUBSTITUTE(SUBSTITUTE("vnt"&amp;$B1493&amp;$C1493&amp;$D1493&amp;$E1493&amp;$F1493,".","_"),"(","_"),")","")</f>
        <v>vnt706_1_1</v>
      </c>
      <c r="AS1493" s="1352" t="str">
        <f>IF(LEN(X1493)=0,"",X1493)</f>
        <v/>
      </c>
    </row>
    <row r="1494" spans="1:45" s="905" customFormat="1" ht="16" hidden="1" x14ac:dyDescent="0.2">
      <c r="A1494" s="1507">
        <v>7</v>
      </c>
      <c r="B1494" s="1516">
        <v>706.1</v>
      </c>
      <c r="C1494" s="1516" t="s">
        <v>255</v>
      </c>
      <c r="D1494" s="1516"/>
      <c r="E1494" s="1516"/>
      <c r="F1494" s="1511"/>
      <c r="G1494" s="1509" t="str">
        <f t="shared" ca="1" si="114"/>
        <v/>
      </c>
      <c r="H1494" s="1530" t="s">
        <v>3199</v>
      </c>
      <c r="I1494" s="589"/>
      <c r="J1494" s="606" t="s">
        <v>255</v>
      </c>
      <c r="K1494" s="606"/>
      <c r="L1494" s="923" t="s">
        <v>4344</v>
      </c>
      <c r="M1494" s="937">
        <v>1</v>
      </c>
      <c r="N1494" s="129"/>
      <c r="O1494" s="908"/>
      <c r="P1494" s="991" t="b">
        <v>0</v>
      </c>
      <c r="Q1494" s="991" t="b">
        <v>1</v>
      </c>
      <c r="R1494" s="991" t="b">
        <v>0</v>
      </c>
      <c r="S1494" s="991" t="b">
        <f ca="1">S885=2</f>
        <v>0</v>
      </c>
      <c r="T1494" s="991" t="b">
        <v>0</v>
      </c>
      <c r="W1494" s="27"/>
      <c r="X1494" s="1123"/>
      <c r="Y1494" s="1139" t="str">
        <f>IF(LEN('11.700'!X620)=0,"None",'11.700'!X620)</f>
        <v>None</v>
      </c>
      <c r="Z1494" s="1123"/>
      <c r="AC1494" s="1150" t="b">
        <f>OR(AD1494:AE1494)</f>
        <v>0</v>
      </c>
      <c r="AD1494" s="1150" t="b">
        <f>T1494</f>
        <v>0</v>
      </c>
      <c r="AE1494" s="1150"/>
      <c r="AL1494" s="1352" t="str">
        <f>SUBSTITUTE(SUBSTITUTE(SUBSTITUTE("vpa"&amp;$B1494&amp;$C1494&amp;$D1494&amp;$E1494&amp;$F1494,".","_"),"(","_"),")","")</f>
        <v>vpa706_1_2</v>
      </c>
      <c r="AM1494" s="1352">
        <f>M1494</f>
        <v>1</v>
      </c>
      <c r="AN1494" s="1352"/>
      <c r="AO1494" s="1352"/>
      <c r="AP1494" s="1352" t="str">
        <f>SUBSTITUTE(SUBSTITUTE(SUBSTITUTE("vch"&amp;$B1494&amp;$C1494&amp;$D1494&amp;$E1494&amp;$F1494,".","_"),"(","_"),")","")</f>
        <v>vch706_1_2</v>
      </c>
      <c r="AQ1494" s="1352" t="str">
        <f t="shared" si="115"/>
        <v/>
      </c>
      <c r="AR1494" s="1352" t="str">
        <f>SUBSTITUTE(SUBSTITUTE(SUBSTITUTE("vnt"&amp;$B1494&amp;$C1494&amp;$D1494&amp;$E1494&amp;$F1494,".","_"),"(","_"),")","")</f>
        <v>vnt706_1_2</v>
      </c>
      <c r="AS1494" s="1352" t="str">
        <f>IF(LEN(X1494)=0,"",X1494)</f>
        <v/>
      </c>
    </row>
    <row r="1495" spans="1:45" s="905" customFormat="1" ht="16" hidden="1" x14ac:dyDescent="0.2">
      <c r="A1495" s="1507">
        <v>7</v>
      </c>
      <c r="B1495" s="1516">
        <v>706.1</v>
      </c>
      <c r="C1495" s="1516" t="s">
        <v>256</v>
      </c>
      <c r="D1495" s="1516"/>
      <c r="E1495" s="1516"/>
      <c r="F1495" s="1511"/>
      <c r="G1495" s="1509" t="str">
        <f t="shared" ca="1" si="114"/>
        <v/>
      </c>
      <c r="H1495" s="1530" t="s">
        <v>3199</v>
      </c>
      <c r="I1495" s="589"/>
      <c r="J1495" s="606" t="s">
        <v>256</v>
      </c>
      <c r="K1495" s="606"/>
      <c r="L1495" s="923" t="s">
        <v>4345</v>
      </c>
      <c r="M1495" s="937">
        <v>3</v>
      </c>
      <c r="N1495" s="129"/>
      <c r="O1495" s="908"/>
      <c r="P1495" s="991" t="b">
        <v>0</v>
      </c>
      <c r="Q1495" s="991" t="b">
        <v>1</v>
      </c>
      <c r="R1495" s="991" t="b">
        <v>0</v>
      </c>
      <c r="S1495" s="991" t="b">
        <f ca="1">S885=2</f>
        <v>0</v>
      </c>
      <c r="T1495" s="991" t="b">
        <v>0</v>
      </c>
      <c r="W1495" s="27"/>
      <c r="X1495" s="1123"/>
      <c r="Y1495" s="1139" t="str">
        <f>IF(LEN('11.700'!X621)=0,"None",'11.700'!X621)</f>
        <v>None</v>
      </c>
      <c r="Z1495" s="1123"/>
      <c r="AC1495" s="1150" t="b">
        <f>OR(AD1495:AE1495)</f>
        <v>0</v>
      </c>
      <c r="AD1495" s="1150" t="b">
        <f>T1495</f>
        <v>0</v>
      </c>
      <c r="AE1495" s="1150"/>
      <c r="AL1495" s="1352" t="str">
        <f>SUBSTITUTE(SUBSTITUTE(SUBSTITUTE("vpa"&amp;$B1495&amp;$C1495&amp;$D1495&amp;$E1495&amp;$F1495,".","_"),"(","_"),")","")</f>
        <v>vpa706_1_3</v>
      </c>
      <c r="AM1495" s="1352">
        <f>M1495</f>
        <v>3</v>
      </c>
      <c r="AN1495" s="1352"/>
      <c r="AO1495" s="1352"/>
      <c r="AP1495" s="1352" t="str">
        <f>SUBSTITUTE(SUBSTITUTE(SUBSTITUTE("vch"&amp;$B1495&amp;$C1495&amp;$D1495&amp;$E1495&amp;$F1495,".","_"),"(","_"),")","")</f>
        <v>vch706_1_3</v>
      </c>
      <c r="AQ1495" s="1352" t="str">
        <f t="shared" si="115"/>
        <v/>
      </c>
      <c r="AR1495" s="1352" t="str">
        <f>SUBSTITUTE(SUBSTITUTE(SUBSTITUTE("vnt"&amp;$B1495&amp;$C1495&amp;$D1495&amp;$E1495&amp;$F1495,".","_"),"(","_"),")","")</f>
        <v>vnt706_1_3</v>
      </c>
      <c r="AS1495" s="1352" t="str">
        <f>IF(LEN(X1495)=0,"",X1495)</f>
        <v/>
      </c>
    </row>
    <row r="1496" spans="1:45" s="905" customFormat="1" ht="15" hidden="1" customHeight="1" x14ac:dyDescent="0.2">
      <c r="A1496" s="1507">
        <v>7</v>
      </c>
      <c r="B1496" s="1516">
        <v>706.1</v>
      </c>
      <c r="C1496" s="1516" t="s">
        <v>259</v>
      </c>
      <c r="D1496" s="1516"/>
      <c r="E1496" s="1516"/>
      <c r="F1496" s="1511"/>
      <c r="G1496" s="1509" t="str">
        <f t="shared" ca="1" si="114"/>
        <v/>
      </c>
      <c r="H1496" s="1530" t="s">
        <v>3199</v>
      </c>
      <c r="I1496" s="589"/>
      <c r="J1496" s="590" t="s">
        <v>259</v>
      </c>
      <c r="K1496" s="590"/>
      <c r="L1496" s="1634" t="s">
        <v>4346</v>
      </c>
      <c r="M1496" s="1623">
        <v>1</v>
      </c>
      <c r="N1496" s="129"/>
      <c r="O1496" s="908"/>
      <c r="P1496" s="991" t="b">
        <v>0</v>
      </c>
      <c r="Q1496" s="991" t="b">
        <v>1</v>
      </c>
      <c r="R1496" s="991" t="b">
        <v>0</v>
      </c>
      <c r="S1496" s="991" t="b">
        <f ca="1">S885=2</f>
        <v>0</v>
      </c>
      <c r="T1496" s="991" t="b">
        <v>0</v>
      </c>
      <c r="W1496" s="27"/>
      <c r="X1496" s="1600"/>
      <c r="Y1496" s="1874" t="str">
        <f>IF(LEN('11.700'!X622)=0,"None",'11.700'!X622)</f>
        <v>None</v>
      </c>
      <c r="Z1496" s="1600"/>
      <c r="AC1496" s="1150" t="b">
        <f>OR(AD1496:AE1496)</f>
        <v>0</v>
      </c>
      <c r="AD1496" s="1150" t="b">
        <f>T1496</f>
        <v>0</v>
      </c>
      <c r="AE1496" s="1150"/>
      <c r="AL1496" s="1352" t="str">
        <f>SUBSTITUTE(SUBSTITUTE(SUBSTITUTE("vpa"&amp;$B1496&amp;$C1496&amp;$D1496&amp;$E1496&amp;$F1496,".","_"),"(","_"),")","")</f>
        <v>vpa706_1_4</v>
      </c>
      <c r="AM1496" s="1352">
        <f>M1496</f>
        <v>1</v>
      </c>
      <c r="AN1496" s="1352"/>
      <c r="AO1496" s="1352"/>
      <c r="AP1496" s="1352" t="str">
        <f>SUBSTITUTE(SUBSTITUTE(SUBSTITUTE("vch"&amp;$B1496&amp;$C1496&amp;$D1496&amp;$E1496&amp;$F1496,".","_"),"(","_"),")","")</f>
        <v>vch706_1_4</v>
      </c>
      <c r="AQ1496" s="1352" t="str">
        <f t="shared" si="115"/>
        <v/>
      </c>
      <c r="AR1496" s="1352" t="str">
        <f>SUBSTITUTE(SUBSTITUTE(SUBSTITUTE("vnt"&amp;$B1496&amp;$C1496&amp;$D1496&amp;$E1496&amp;$F1496,".","_"),"(","_"),")","")</f>
        <v>vnt706_1_4</v>
      </c>
      <c r="AS1496" s="1352" t="str">
        <f>IF(LEN(X1496)=0,"",X1496)</f>
        <v/>
      </c>
    </row>
    <row r="1497" spans="1:45" s="905" customFormat="1" hidden="1" x14ac:dyDescent="0.2">
      <c r="A1497" s="1507">
        <v>7</v>
      </c>
      <c r="B1497" s="1516">
        <v>706.1</v>
      </c>
      <c r="C1497" s="1516" t="s">
        <v>259</v>
      </c>
      <c r="D1497" s="1516"/>
      <c r="E1497" s="1516"/>
      <c r="F1497" s="1511"/>
      <c r="G1497" s="1509" t="str">
        <f t="shared" ca="1" si="114"/>
        <v/>
      </c>
      <c r="H1497" s="1530" t="s">
        <v>3199</v>
      </c>
      <c r="I1497" s="589"/>
      <c r="J1497" s="606"/>
      <c r="K1497" s="606"/>
      <c r="L1497" s="1639"/>
      <c r="M1497" s="1624"/>
      <c r="N1497" s="129"/>
      <c r="O1497" s="908"/>
      <c r="P1497" s="991"/>
      <c r="Q1497" s="991"/>
      <c r="R1497" s="991"/>
      <c r="S1497" s="991"/>
      <c r="T1497" s="991"/>
      <c r="X1497" s="1600"/>
      <c r="Y1497" s="1874"/>
      <c r="Z1497" s="1600"/>
      <c r="AC1497" s="1150"/>
      <c r="AD1497" s="1150"/>
      <c r="AE1497" s="1150"/>
      <c r="AL1497" s="1352"/>
      <c r="AM1497" s="1352"/>
      <c r="AN1497" s="1352"/>
      <c r="AO1497" s="1352"/>
      <c r="AP1497" s="1352"/>
      <c r="AQ1497" s="1352"/>
      <c r="AR1497" s="1352"/>
      <c r="AS1497" s="1352"/>
    </row>
    <row r="1498" spans="1:45" s="905" customFormat="1" ht="17" hidden="1" thickBot="1" x14ac:dyDescent="0.25">
      <c r="A1498" s="1507">
        <v>7</v>
      </c>
      <c r="B1498" s="1516">
        <v>706.1</v>
      </c>
      <c r="C1498" s="1516" t="s">
        <v>263</v>
      </c>
      <c r="D1498" s="1516"/>
      <c r="E1498" s="1516"/>
      <c r="F1498" s="1511"/>
      <c r="G1498" s="1509" t="str">
        <f t="shared" ca="1" si="114"/>
        <v/>
      </c>
      <c r="H1498" s="1530" t="s">
        <v>3199</v>
      </c>
      <c r="I1498" s="594"/>
      <c r="J1498" s="594" t="s">
        <v>263</v>
      </c>
      <c r="K1498" s="594"/>
      <c r="L1498" s="920" t="s">
        <v>4347</v>
      </c>
      <c r="M1498" s="914">
        <v>1</v>
      </c>
      <c r="N1498" s="239"/>
      <c r="O1498" s="922"/>
      <c r="P1498" s="100" t="b">
        <v>0</v>
      </c>
      <c r="Q1498" s="100" t="b">
        <v>1</v>
      </c>
      <c r="R1498" s="100" t="b">
        <v>0</v>
      </c>
      <c r="S1498" s="100" t="b">
        <f ca="1">S885=2</f>
        <v>0</v>
      </c>
      <c r="T1498" s="100" t="b">
        <v>0</v>
      </c>
      <c r="U1498" s="100"/>
      <c r="W1498" s="101"/>
      <c r="X1498" s="1124"/>
      <c r="Y1498" s="1137" t="str">
        <f>IF(LEN('11.700'!X624)=0,"None",'11.700'!X624)</f>
        <v>None</v>
      </c>
      <c r="Z1498" s="1124"/>
      <c r="AC1498" s="1150" t="b">
        <f>OR(AD1498:AE1498)</f>
        <v>0</v>
      </c>
      <c r="AD1498" s="1150" t="b">
        <f>T1498</f>
        <v>0</v>
      </c>
      <c r="AE1498" s="1150"/>
      <c r="AL1498" s="1352" t="str">
        <f>SUBSTITUTE(SUBSTITUTE(SUBSTITUTE("vpa"&amp;$B1498&amp;$C1498&amp;$D1498&amp;$E1498&amp;$F1498,".","_"),"(","_"),")","")</f>
        <v>vpa706_1_5</v>
      </c>
      <c r="AM1498" s="1352">
        <f>M1498</f>
        <v>1</v>
      </c>
      <c r="AN1498" s="1352"/>
      <c r="AO1498" s="1352"/>
      <c r="AP1498" s="1352" t="str">
        <f>SUBSTITUTE(SUBSTITUTE(SUBSTITUTE("vch"&amp;$B1498&amp;$C1498&amp;$D1498&amp;$E1498&amp;$F1498,".","_"),"(","_"),")","")</f>
        <v>vch706_1_5</v>
      </c>
      <c r="AQ1498" s="1352" t="str">
        <f>IF(LEN(W1498)=0,"",W1498)</f>
        <v/>
      </c>
      <c r="AR1498" s="1352" t="str">
        <f>SUBSTITUTE(SUBSTITUTE(SUBSTITUTE("vnt"&amp;$B1498&amp;$C1498&amp;$D1498&amp;$E1498&amp;$F1498,".","_"),"(","_"),")","")</f>
        <v>vnt706_1_5</v>
      </c>
      <c r="AS1498" s="1352" t="str">
        <f>IF(LEN(X1498)=0,"",X1498)</f>
        <v/>
      </c>
    </row>
    <row r="1499" spans="1:45" s="905" customFormat="1" hidden="1" x14ac:dyDescent="0.2">
      <c r="A1499" s="1507">
        <v>7</v>
      </c>
      <c r="B1499" s="1516">
        <v>706.2</v>
      </c>
      <c r="C1499" s="1516"/>
      <c r="D1499" s="1516"/>
      <c r="E1499" s="1516"/>
      <c r="F1499" s="1511"/>
      <c r="G1499" s="1513" t="str">
        <f ca="1">IF(COUNTIF(G1501:G1506,"P")&gt;0,"P","")</f>
        <v/>
      </c>
      <c r="H1499" s="1530" t="s">
        <v>3199</v>
      </c>
      <c r="I1499" s="589" t="s">
        <v>4348</v>
      </c>
      <c r="J1499" s="589"/>
      <c r="K1499" s="589"/>
      <c r="L1499" s="1687" t="s">
        <v>4349</v>
      </c>
      <c r="M1499" s="991"/>
      <c r="N1499" s="991"/>
      <c r="O1499" s="991"/>
      <c r="P1499" s="991"/>
      <c r="Q1499" s="991"/>
      <c r="R1499" s="991"/>
      <c r="S1499" s="991"/>
      <c r="T1499" s="991"/>
      <c r="X1499" s="1122"/>
      <c r="Z1499" s="1122"/>
      <c r="AC1499" s="1150"/>
      <c r="AD1499" s="1150"/>
      <c r="AE1499" s="1150"/>
      <c r="AL1499" s="1352"/>
      <c r="AM1499" s="1352"/>
      <c r="AN1499" s="1352"/>
      <c r="AO1499" s="1352"/>
      <c r="AP1499" s="1352"/>
      <c r="AQ1499" s="1352"/>
      <c r="AR1499" s="1352"/>
      <c r="AS1499" s="1352"/>
    </row>
    <row r="1500" spans="1:45" s="905" customFormat="1" hidden="1" x14ac:dyDescent="0.2">
      <c r="A1500" s="1507">
        <v>7</v>
      </c>
      <c r="B1500" s="1516">
        <v>706.2</v>
      </c>
      <c r="C1500" s="1516"/>
      <c r="D1500" s="1516"/>
      <c r="E1500" s="1516"/>
      <c r="F1500" s="1511"/>
      <c r="G1500" s="1509" t="str">
        <f ca="1">G1499</f>
        <v/>
      </c>
      <c r="H1500" s="1530" t="s">
        <v>3199</v>
      </c>
      <c r="I1500" s="589"/>
      <c r="J1500" s="589"/>
      <c r="K1500" s="589"/>
      <c r="L1500" s="1687"/>
      <c r="M1500" s="991"/>
      <c r="N1500" s="991"/>
      <c r="O1500" s="991"/>
      <c r="P1500" s="991"/>
      <c r="Q1500" s="991"/>
      <c r="R1500" s="991"/>
      <c r="S1500" s="991"/>
      <c r="T1500" s="991"/>
      <c r="X1500" s="1122"/>
      <c r="Z1500" s="1122"/>
      <c r="AC1500" s="1150"/>
      <c r="AD1500" s="1150"/>
      <c r="AE1500" s="1150"/>
      <c r="AL1500" s="1352"/>
      <c r="AM1500" s="1352"/>
      <c r="AN1500" s="1352"/>
      <c r="AO1500" s="1352"/>
      <c r="AP1500" s="1352"/>
      <c r="AQ1500" s="1352"/>
      <c r="AR1500" s="1352"/>
      <c r="AS1500" s="1352"/>
    </row>
    <row r="1501" spans="1:45" s="905" customFormat="1" ht="15" hidden="1" customHeight="1" x14ac:dyDescent="0.2">
      <c r="A1501" s="1507">
        <v>7</v>
      </c>
      <c r="B1501" s="1516">
        <v>706.2</v>
      </c>
      <c r="C1501" s="1516" t="s">
        <v>254</v>
      </c>
      <c r="D1501" s="1516"/>
      <c r="E1501" s="1516"/>
      <c r="F1501" s="1511"/>
      <c r="G1501" s="1509" t="str">
        <f ca="1">IF(N1501&gt;0,"P","")</f>
        <v/>
      </c>
      <c r="H1501" s="1530" t="s">
        <v>3199</v>
      </c>
      <c r="I1501" s="589"/>
      <c r="J1501" s="590" t="s">
        <v>254</v>
      </c>
      <c r="K1501" s="590"/>
      <c r="L1501" s="1634" t="s">
        <v>4350</v>
      </c>
      <c r="M1501" s="1623">
        <v>1</v>
      </c>
      <c r="N1501" s="1619">
        <f ca="1">'11.700'!O627</f>
        <v>0</v>
      </c>
      <c r="O1501" s="1619">
        <f ca="1">M1501*S1501*W1501</f>
        <v>0</v>
      </c>
      <c r="P1501" s="991" t="b">
        <v>0</v>
      </c>
      <c r="Q1501" s="991" t="b">
        <v>1</v>
      </c>
      <c r="R1501" s="991" t="b">
        <v>0</v>
      </c>
      <c r="S1501" s="991" t="b">
        <f ca="1">S885=2</f>
        <v>0</v>
      </c>
      <c r="T1501" s="991" t="b">
        <v>0</v>
      </c>
      <c r="W1501" s="27"/>
      <c r="X1501" s="1600"/>
      <c r="Y1501" s="1874" t="str">
        <f>IF(LEN('11.700'!X627)=0,"None",'11.700'!X627)</f>
        <v>None</v>
      </c>
      <c r="Z1501" s="1600"/>
      <c r="AC1501" s="1150" t="b">
        <f>OR(AD1501:AE1501)</f>
        <v>0</v>
      </c>
      <c r="AD1501" s="1150" t="b">
        <f>T1501</f>
        <v>0</v>
      </c>
      <c r="AE1501" s="1150"/>
      <c r="AL1501" s="1352" t="str">
        <f>SUBSTITUTE(SUBSTITUTE(SUBSTITUTE("vpa"&amp;$B1501&amp;$C1501&amp;$D1501&amp;$E1501&amp;$F1501,".","_"),"(","_"),")","")</f>
        <v>vpa706_2_1</v>
      </c>
      <c r="AM1501" s="1352">
        <f>M1501</f>
        <v>1</v>
      </c>
      <c r="AN1501" s="1352" t="str">
        <f>SUBSTITUTE(SUBSTITUTE(SUBSTITUTE("vpc"&amp;$B1501&amp;$C1501&amp;$D1501&amp;$E1501&amp;$F1501,".","_"),"(","_"),")","")</f>
        <v>vpc706_2_1</v>
      </c>
      <c r="AO1501" s="1352">
        <f ca="1">O1501</f>
        <v>0</v>
      </c>
      <c r="AP1501" s="1352" t="str">
        <f>SUBSTITUTE(SUBSTITUTE(SUBSTITUTE("vch"&amp;$B1501&amp;$C1501&amp;$D1501&amp;$E1501&amp;$F1501,".","_"),"(","_"),")","")</f>
        <v>vch706_2_1</v>
      </c>
      <c r="AQ1501" s="1352" t="str">
        <f>IF(LEN(W1501)=0,"",W1501)</f>
        <v/>
      </c>
      <c r="AR1501" s="1352" t="str">
        <f>SUBSTITUTE(SUBSTITUTE(SUBSTITUTE("vnt"&amp;$B1501&amp;$C1501&amp;$D1501&amp;$E1501&amp;$F1501,".","_"),"(","_"),")","")</f>
        <v>vnt706_2_1</v>
      </c>
      <c r="AS1501" s="1352" t="str">
        <f>IF(LEN(X1501)=0,"",X1501)</f>
        <v/>
      </c>
    </row>
    <row r="1502" spans="1:45" s="905" customFormat="1" hidden="1" x14ac:dyDescent="0.2">
      <c r="A1502" s="1507">
        <v>7</v>
      </c>
      <c r="B1502" s="1516">
        <v>706.2</v>
      </c>
      <c r="C1502" s="1516" t="s">
        <v>254</v>
      </c>
      <c r="D1502" s="1516"/>
      <c r="E1502" s="1516"/>
      <c r="F1502" s="1511"/>
      <c r="G1502" s="1509" t="str">
        <f ca="1">G1501</f>
        <v/>
      </c>
      <c r="H1502" s="1530" t="s">
        <v>3199</v>
      </c>
      <c r="I1502" s="589"/>
      <c r="J1502" s="590"/>
      <c r="K1502" s="590"/>
      <c r="L1502" s="1634"/>
      <c r="M1502" s="1623"/>
      <c r="N1502" s="1619"/>
      <c r="O1502" s="1619"/>
      <c r="P1502" s="991"/>
      <c r="Q1502" s="991"/>
      <c r="R1502" s="991"/>
      <c r="S1502" s="991"/>
      <c r="T1502" s="991"/>
      <c r="X1502" s="1600"/>
      <c r="Y1502" s="1874"/>
      <c r="Z1502" s="1600"/>
      <c r="AL1502" s="1352"/>
      <c r="AM1502" s="1352"/>
      <c r="AN1502" s="1352"/>
      <c r="AO1502" s="1352"/>
      <c r="AP1502" s="1352"/>
      <c r="AQ1502" s="1352"/>
      <c r="AR1502" s="1352"/>
      <c r="AS1502" s="1352"/>
    </row>
    <row r="1503" spans="1:45" s="905" customFormat="1" hidden="1" x14ac:dyDescent="0.2">
      <c r="A1503" s="1507">
        <v>7</v>
      </c>
      <c r="B1503" s="1516">
        <v>706.2</v>
      </c>
      <c r="C1503" s="1516" t="s">
        <v>254</v>
      </c>
      <c r="D1503" s="1516"/>
      <c r="E1503" s="1516"/>
      <c r="F1503" s="1511"/>
      <c r="G1503" s="1509" t="str">
        <f ca="1">G1502</f>
        <v/>
      </c>
      <c r="H1503" s="1530" t="s">
        <v>3199</v>
      </c>
      <c r="I1503" s="589"/>
      <c r="J1503" s="590"/>
      <c r="K1503" s="590"/>
      <c r="L1503" s="1634"/>
      <c r="M1503" s="1623"/>
      <c r="N1503" s="1619"/>
      <c r="O1503" s="1619"/>
      <c r="P1503" s="991"/>
      <c r="Q1503" s="991"/>
      <c r="R1503" s="991"/>
      <c r="S1503" s="991"/>
      <c r="T1503" s="991"/>
      <c r="X1503" s="1600"/>
      <c r="Y1503" s="1874"/>
      <c r="Z1503" s="1600"/>
      <c r="AL1503" s="1352"/>
      <c r="AM1503" s="1352"/>
      <c r="AN1503" s="1352"/>
      <c r="AO1503" s="1352"/>
      <c r="AP1503" s="1352"/>
      <c r="AQ1503" s="1352"/>
      <c r="AR1503" s="1352"/>
      <c r="AS1503" s="1352"/>
    </row>
    <row r="1504" spans="1:45" s="905" customFormat="1" hidden="1" x14ac:dyDescent="0.2">
      <c r="A1504" s="1507">
        <v>7</v>
      </c>
      <c r="B1504" s="1516">
        <v>706.2</v>
      </c>
      <c r="C1504" s="1516" t="s">
        <v>254</v>
      </c>
      <c r="D1504" s="1516"/>
      <c r="E1504" s="1516"/>
      <c r="F1504" s="1511"/>
      <c r="G1504" s="1509" t="str">
        <f ca="1">G1503</f>
        <v/>
      </c>
      <c r="H1504" s="1530" t="s">
        <v>3199</v>
      </c>
      <c r="I1504" s="589"/>
      <c r="J1504" s="590"/>
      <c r="K1504" s="590"/>
      <c r="L1504" s="1634"/>
      <c r="M1504" s="1623"/>
      <c r="N1504" s="1619"/>
      <c r="O1504" s="1619"/>
      <c r="P1504" s="991"/>
      <c r="Q1504" s="991"/>
      <c r="R1504" s="991"/>
      <c r="S1504" s="991"/>
      <c r="T1504" s="991"/>
      <c r="X1504" s="1600"/>
      <c r="Y1504" s="1874"/>
      <c r="Z1504" s="1600"/>
      <c r="AL1504" s="1352"/>
      <c r="AM1504" s="1352"/>
      <c r="AN1504" s="1352"/>
      <c r="AO1504" s="1352"/>
      <c r="AP1504" s="1352"/>
      <c r="AQ1504" s="1352"/>
      <c r="AR1504" s="1352"/>
      <c r="AS1504" s="1352"/>
    </row>
    <row r="1505" spans="1:45" s="905" customFormat="1" hidden="1" x14ac:dyDescent="0.2">
      <c r="A1505" s="1507">
        <v>7</v>
      </c>
      <c r="B1505" s="1516">
        <v>706.2</v>
      </c>
      <c r="C1505" s="1516" t="s">
        <v>254</v>
      </c>
      <c r="D1505" s="1516"/>
      <c r="E1505" s="1516"/>
      <c r="F1505" s="1511"/>
      <c r="G1505" s="1509" t="str">
        <f ca="1">G1504</f>
        <v/>
      </c>
      <c r="H1505" s="1530" t="s">
        <v>3199</v>
      </c>
      <c r="I1505" s="589"/>
      <c r="J1505" s="606"/>
      <c r="K1505" s="606"/>
      <c r="L1505" s="1639"/>
      <c r="M1505" s="1624"/>
      <c r="N1505" s="1620"/>
      <c r="O1505" s="1620"/>
      <c r="P1505" s="991"/>
      <c r="Q1505" s="991"/>
      <c r="R1505" s="991"/>
      <c r="S1505" s="991"/>
      <c r="T1505" s="991"/>
      <c r="X1505" s="1600"/>
      <c r="Y1505" s="1874"/>
      <c r="Z1505" s="1600"/>
      <c r="AL1505" s="1352"/>
      <c r="AM1505" s="1352"/>
      <c r="AN1505" s="1352"/>
      <c r="AO1505" s="1352"/>
      <c r="AP1505" s="1352"/>
      <c r="AQ1505" s="1352"/>
      <c r="AR1505" s="1352"/>
      <c r="AS1505" s="1352"/>
    </row>
    <row r="1506" spans="1:45" s="905" customFormat="1" ht="15" hidden="1" customHeight="1" x14ac:dyDescent="0.2">
      <c r="A1506" s="1507">
        <v>7</v>
      </c>
      <c r="B1506" s="1516">
        <v>706.2</v>
      </c>
      <c r="C1506" s="1516" t="s">
        <v>255</v>
      </c>
      <c r="D1506" s="1516"/>
      <c r="E1506" s="1516"/>
      <c r="F1506" s="1511"/>
      <c r="G1506" s="1509" t="str">
        <f ca="1">IF(N1506&gt;0,"P","")</f>
        <v/>
      </c>
      <c r="H1506" s="1530" t="s">
        <v>3199</v>
      </c>
      <c r="I1506" s="590"/>
      <c r="J1506" s="590" t="s">
        <v>255</v>
      </c>
      <c r="K1506" s="590"/>
      <c r="L1506" s="1634" t="s">
        <v>4351</v>
      </c>
      <c r="M1506" s="913"/>
      <c r="N1506" s="1637">
        <f ca="1">'11.700'!O632</f>
        <v>0</v>
      </c>
      <c r="O1506" s="1619">
        <f ca="1">IFERROR(INDEX({1,2},MATCH(W1506,INDIRECT(U1506),0)),0)</f>
        <v>0</v>
      </c>
      <c r="P1506" s="991" t="b">
        <v>0</v>
      </c>
      <c r="Q1506" s="991" t="b">
        <v>1</v>
      </c>
      <c r="R1506" s="991" t="b">
        <v>0</v>
      </c>
      <c r="S1506" s="991" t="b">
        <f ca="1">S885=2</f>
        <v>0</v>
      </c>
      <c r="T1506" s="991" t="b">
        <v>0</v>
      </c>
      <c r="U1506" s="991" t="str">
        <f>SUBSTITUTE(SUBSTITUTE(SUBSTITUTE("dd"&amp;B1506&amp;C1506&amp;D1506&amp;E1506&amp;F1506,".","_"),"(","_"),")","")</f>
        <v>dd706_2_2</v>
      </c>
      <c r="W1506" s="110"/>
      <c r="X1506" s="1601"/>
      <c r="Y1506" s="1881" t="str">
        <f>IF(LEN('11.700'!X632)=0,"None",'11.700'!X632)</f>
        <v>None</v>
      </c>
      <c r="Z1506" s="1600"/>
      <c r="AC1506" s="1150" t="b">
        <f>OR(AD1506:AE1506)</f>
        <v>0</v>
      </c>
      <c r="AD1506" s="1150" t="b">
        <f>T1506</f>
        <v>0</v>
      </c>
      <c r="AE1506" s="1150"/>
      <c r="AL1506" s="1352"/>
      <c r="AM1506" s="1352"/>
      <c r="AN1506" s="1352" t="str">
        <f>SUBSTITUTE(SUBSTITUTE(SUBSTITUTE("vpc"&amp;$B1506&amp;$C1506&amp;$D1506&amp;$E1506&amp;$F1506,".","_"),"(","_"),")","")</f>
        <v>vpc706_2_2</v>
      </c>
      <c r="AO1506" s="1352">
        <f ca="1">O1506</f>
        <v>0</v>
      </c>
      <c r="AP1506" s="1352" t="str">
        <f>SUBSTITUTE(SUBSTITUTE(SUBSTITUTE("vch"&amp;$B1506&amp;$C1506&amp;$D1506&amp;$E1506&amp;$F1506,".","_"),"(","_"),")","")</f>
        <v>vch706_2_2</v>
      </c>
      <c r="AQ1506" s="1352" t="str">
        <f>IF(LEN(W1506)=0,"",W1506)</f>
        <v/>
      </c>
      <c r="AR1506" s="1352" t="str">
        <f>SUBSTITUTE(SUBSTITUTE(SUBSTITUTE("vnt"&amp;$B1506&amp;$C1506&amp;$D1506&amp;$E1506&amp;$F1506,".","_"),"(","_"),")","")</f>
        <v>vnt706_2_2</v>
      </c>
      <c r="AS1506" s="1352" t="str">
        <f>IF(LEN(X1506)=0,"",X1506)</f>
        <v/>
      </c>
    </row>
    <row r="1507" spans="1:45" s="905" customFormat="1" hidden="1" x14ac:dyDescent="0.2">
      <c r="A1507" s="1507">
        <v>7</v>
      </c>
      <c r="B1507" s="1516">
        <v>706.2</v>
      </c>
      <c r="C1507" s="1516" t="s">
        <v>255</v>
      </c>
      <c r="D1507" s="1516"/>
      <c r="E1507" s="1516"/>
      <c r="F1507" s="1511"/>
      <c r="G1507" s="1509" t="str">
        <f t="shared" ref="G1507:G1512" ca="1" si="116">G1506</f>
        <v/>
      </c>
      <c r="H1507" s="1530" t="s">
        <v>3199</v>
      </c>
      <c r="I1507" s="590"/>
      <c r="J1507" s="590"/>
      <c r="K1507" s="590"/>
      <c r="L1507" s="1634"/>
      <c r="M1507" s="913"/>
      <c r="N1507" s="1619"/>
      <c r="O1507" s="1619"/>
      <c r="P1507" s="991"/>
      <c r="Q1507" s="991"/>
      <c r="R1507" s="991"/>
      <c r="S1507" s="991"/>
      <c r="T1507" s="991"/>
      <c r="U1507" s="991"/>
      <c r="W1507" s="1135"/>
      <c r="X1507" s="1601"/>
      <c r="Y1507" s="1881"/>
      <c r="Z1507" s="1600"/>
      <c r="AC1507" s="1150"/>
      <c r="AD1507" s="1150"/>
      <c r="AE1507" s="1150"/>
      <c r="AL1507" s="1352"/>
      <c r="AM1507" s="1352"/>
      <c r="AN1507" s="1352"/>
      <c r="AO1507" s="1352"/>
      <c r="AP1507" s="1352"/>
      <c r="AQ1507" s="1352"/>
      <c r="AR1507" s="1352"/>
      <c r="AS1507" s="1352"/>
    </row>
    <row r="1508" spans="1:45" s="905" customFormat="1" hidden="1" x14ac:dyDescent="0.2">
      <c r="A1508" s="1507">
        <v>7</v>
      </c>
      <c r="B1508" s="1516">
        <v>706.2</v>
      </c>
      <c r="C1508" s="1516" t="s">
        <v>255</v>
      </c>
      <c r="D1508" s="1516"/>
      <c r="E1508" s="1516"/>
      <c r="F1508" s="1511"/>
      <c r="G1508" s="1509" t="str">
        <f t="shared" ca="1" si="116"/>
        <v/>
      </c>
      <c r="H1508" s="1530" t="s">
        <v>3199</v>
      </c>
      <c r="I1508" s="590"/>
      <c r="J1508" s="590"/>
      <c r="K1508" s="590"/>
      <c r="L1508" s="1634"/>
      <c r="M1508" s="913"/>
      <c r="N1508" s="1619"/>
      <c r="O1508" s="1619"/>
      <c r="P1508" s="991"/>
      <c r="Q1508" s="991"/>
      <c r="R1508" s="991"/>
      <c r="S1508" s="991"/>
      <c r="T1508" s="991"/>
      <c r="U1508" s="991"/>
      <c r="W1508" s="1135"/>
      <c r="X1508" s="1601"/>
      <c r="Y1508" s="1881"/>
      <c r="Z1508" s="1600"/>
      <c r="AC1508" s="1150"/>
      <c r="AD1508" s="1150"/>
      <c r="AE1508" s="1150"/>
      <c r="AL1508" s="1352"/>
      <c r="AM1508" s="1352"/>
      <c r="AN1508" s="1352"/>
      <c r="AO1508" s="1352"/>
      <c r="AP1508" s="1352"/>
      <c r="AQ1508" s="1352"/>
      <c r="AR1508" s="1352"/>
      <c r="AS1508" s="1352"/>
    </row>
    <row r="1509" spans="1:45" s="905" customFormat="1" ht="15" hidden="1" customHeight="1" x14ac:dyDescent="0.2">
      <c r="A1509" s="1507">
        <v>7</v>
      </c>
      <c r="B1509" s="1516">
        <v>706.2</v>
      </c>
      <c r="C1509" s="1516" t="s">
        <v>255</v>
      </c>
      <c r="D1509" s="1516" t="s">
        <v>121</v>
      </c>
      <c r="E1509" s="1516"/>
      <c r="F1509" s="1511"/>
      <c r="G1509" s="1509" t="str">
        <f t="shared" ca="1" si="116"/>
        <v/>
      </c>
      <c r="H1509" s="1530" t="s">
        <v>3199</v>
      </c>
      <c r="I1509" s="590"/>
      <c r="J1509" s="590"/>
      <c r="K1509" s="590" t="s">
        <v>121</v>
      </c>
      <c r="L1509" s="1634" t="s">
        <v>4352</v>
      </c>
      <c r="M1509" s="1623">
        <v>1</v>
      </c>
      <c r="N1509" s="129"/>
      <c r="O1509" s="908"/>
      <c r="P1509" s="991"/>
      <c r="Q1509" s="991"/>
      <c r="R1509" s="991"/>
      <c r="S1509" s="991"/>
      <c r="T1509" s="991"/>
      <c r="U1509" s="991"/>
      <c r="W1509" s="1135"/>
      <c r="X1509" s="1601"/>
      <c r="Y1509" s="1881"/>
      <c r="Z1509" s="1600"/>
      <c r="AC1509" s="1150"/>
      <c r="AD1509" s="1150"/>
      <c r="AE1509" s="1150"/>
      <c r="AL1509" s="1352" t="str">
        <f>SUBSTITUTE(SUBSTITUTE(SUBSTITUTE("vpa"&amp;$B1509&amp;$C1509&amp;$D1509&amp;$E1509&amp;$F1509,".","_"),"(","_"),")","")</f>
        <v>vpa706_2_2_a</v>
      </c>
      <c r="AM1509" s="1352">
        <f>M1509</f>
        <v>1</v>
      </c>
      <c r="AN1509" s="1352"/>
      <c r="AO1509" s="1352"/>
      <c r="AP1509" s="1352"/>
      <c r="AQ1509" s="1352"/>
      <c r="AR1509" s="1352"/>
      <c r="AS1509" s="1352"/>
    </row>
    <row r="1510" spans="1:45" s="905" customFormat="1" hidden="1" x14ac:dyDescent="0.2">
      <c r="A1510" s="1507">
        <v>7</v>
      </c>
      <c r="B1510" s="1516">
        <v>706.2</v>
      </c>
      <c r="C1510" s="1516" t="s">
        <v>255</v>
      </c>
      <c r="D1510" s="1516" t="s">
        <v>121</v>
      </c>
      <c r="E1510" s="1516"/>
      <c r="F1510" s="1511"/>
      <c r="G1510" s="1509" t="str">
        <f t="shared" ca="1" si="116"/>
        <v/>
      </c>
      <c r="H1510" s="1530" t="s">
        <v>3199</v>
      </c>
      <c r="I1510" s="590"/>
      <c r="J1510" s="590"/>
      <c r="K1510" s="606"/>
      <c r="L1510" s="1639"/>
      <c r="M1510" s="1624"/>
      <c r="N1510" s="129"/>
      <c r="O1510" s="908"/>
      <c r="P1510" s="991"/>
      <c r="Q1510" s="991"/>
      <c r="R1510" s="991"/>
      <c r="S1510" s="991"/>
      <c r="T1510" s="991"/>
      <c r="U1510" s="991"/>
      <c r="W1510" s="1135"/>
      <c r="X1510" s="1601"/>
      <c r="Y1510" s="1881"/>
      <c r="Z1510" s="1600"/>
      <c r="AC1510" s="1150"/>
      <c r="AD1510" s="1150"/>
      <c r="AE1510" s="1150"/>
      <c r="AL1510" s="1352"/>
      <c r="AM1510" s="1352"/>
      <c r="AN1510" s="1352"/>
      <c r="AO1510" s="1352"/>
      <c r="AP1510" s="1352"/>
      <c r="AQ1510" s="1352"/>
      <c r="AR1510" s="1352"/>
      <c r="AS1510" s="1352"/>
    </row>
    <row r="1511" spans="1:45" s="905" customFormat="1" ht="15" hidden="1" customHeight="1" x14ac:dyDescent="0.2">
      <c r="A1511" s="1507">
        <v>7</v>
      </c>
      <c r="B1511" s="1516">
        <v>706.2</v>
      </c>
      <c r="C1511" s="1516" t="s">
        <v>255</v>
      </c>
      <c r="D1511" s="1516" t="s">
        <v>122</v>
      </c>
      <c r="E1511" s="1516"/>
      <c r="F1511" s="1511"/>
      <c r="G1511" s="1509" t="str">
        <f t="shared" ca="1" si="116"/>
        <v/>
      </c>
      <c r="H1511" s="1530" t="s">
        <v>3199</v>
      </c>
      <c r="I1511" s="590"/>
      <c r="J1511" s="590"/>
      <c r="K1511" s="590" t="s">
        <v>122</v>
      </c>
      <c r="L1511" s="1634" t="s">
        <v>4353</v>
      </c>
      <c r="M1511" s="1623">
        <v>2</v>
      </c>
      <c r="N1511" s="129"/>
      <c r="O1511" s="908"/>
      <c r="P1511" s="991"/>
      <c r="Q1511" s="991"/>
      <c r="R1511" s="991"/>
      <c r="S1511" s="991"/>
      <c r="T1511" s="991"/>
      <c r="U1511" s="991"/>
      <c r="W1511" s="1135"/>
      <c r="X1511" s="1601"/>
      <c r="Y1511" s="1881"/>
      <c r="Z1511" s="1600"/>
      <c r="AC1511" s="1150"/>
      <c r="AD1511" s="1150"/>
      <c r="AE1511" s="1150"/>
      <c r="AL1511" s="1352" t="str">
        <f>SUBSTITUTE(SUBSTITUTE(SUBSTITUTE("vpa"&amp;$B1511&amp;$C1511&amp;$D1511&amp;$E1511&amp;$F1511,".","_"),"(","_"),")","")</f>
        <v>vpa706_2_2_b</v>
      </c>
      <c r="AM1511" s="1352">
        <f>M1511</f>
        <v>2</v>
      </c>
      <c r="AN1511" s="1352"/>
      <c r="AO1511" s="1352"/>
      <c r="AP1511" s="1352"/>
      <c r="AQ1511" s="1352"/>
      <c r="AR1511" s="1352"/>
      <c r="AS1511" s="1352"/>
    </row>
    <row r="1512" spans="1:45" s="905" customFormat="1" ht="16" hidden="1" thickBot="1" x14ac:dyDescent="0.25">
      <c r="A1512" s="1507">
        <v>7</v>
      </c>
      <c r="B1512" s="1516">
        <v>706.2</v>
      </c>
      <c r="C1512" s="1516" t="s">
        <v>255</v>
      </c>
      <c r="D1512" s="1516" t="s">
        <v>122</v>
      </c>
      <c r="E1512" s="1516"/>
      <c r="F1512" s="1511"/>
      <c r="G1512" s="1509" t="str">
        <f t="shared" ca="1" si="116"/>
        <v/>
      </c>
      <c r="H1512" s="1530" t="s">
        <v>3199</v>
      </c>
      <c r="I1512" s="594"/>
      <c r="J1512" s="594"/>
      <c r="K1512" s="594"/>
      <c r="L1512" s="1635"/>
      <c r="M1512" s="1627"/>
      <c r="N1512" s="239"/>
      <c r="O1512" s="922"/>
      <c r="P1512" s="100"/>
      <c r="Q1512" s="100"/>
      <c r="R1512" s="100"/>
      <c r="S1512" s="100"/>
      <c r="T1512" s="100"/>
      <c r="U1512" s="100"/>
      <c r="W1512" s="100"/>
      <c r="X1512" s="1602"/>
      <c r="Y1512" s="1882"/>
      <c r="Z1512" s="1602"/>
      <c r="AC1512" s="1150"/>
      <c r="AD1512" s="1150"/>
      <c r="AE1512" s="1150"/>
      <c r="AL1512" s="1352"/>
      <c r="AM1512" s="1352"/>
      <c r="AN1512" s="1352"/>
      <c r="AO1512" s="1352"/>
      <c r="AP1512" s="1352"/>
      <c r="AQ1512" s="1352"/>
      <c r="AR1512" s="1352"/>
      <c r="AS1512" s="1352"/>
    </row>
    <row r="1513" spans="1:45" s="905" customFormat="1" ht="15.75" hidden="1" customHeight="1" thickTop="1" x14ac:dyDescent="0.2">
      <c r="A1513" s="1507">
        <v>7</v>
      </c>
      <c r="B1513" s="1516">
        <v>706.3</v>
      </c>
      <c r="C1513" s="1516"/>
      <c r="D1513" s="1516"/>
      <c r="E1513" s="1516"/>
      <c r="F1513" s="1511"/>
      <c r="G1513" s="1509" t="str">
        <f ca="1">IF(N1513&gt;0,"P","")</f>
        <v/>
      </c>
      <c r="H1513" s="1530" t="s">
        <v>3199</v>
      </c>
      <c r="I1513" s="589" t="s">
        <v>4354</v>
      </c>
      <c r="J1513" s="589"/>
      <c r="K1513" s="589"/>
      <c r="L1513" s="1687" t="s">
        <v>4355</v>
      </c>
      <c r="M1513" s="913"/>
      <c r="N1513" s="1682">
        <f ca="1">'11.700'!O639</f>
        <v>0</v>
      </c>
      <c r="O1513" s="1619">
        <f ca="1">IFERROR(INDEX({0,1,2},MATCH((1*S1517*W1517+1*S1518*W1518+1*S1519*W1519+1*S1520*W1520+1*S1521*W1521+1*S1522*W1522+2*S1523*W1523+2*S1524*W1524),{0,3,6},1)),0)</f>
        <v>0</v>
      </c>
      <c r="P1513" s="991"/>
      <c r="Q1513" s="991"/>
      <c r="R1513" s="991"/>
      <c r="S1513" s="991"/>
      <c r="T1513" s="991"/>
      <c r="X1513" s="1599"/>
      <c r="Y1513" s="1877" t="str">
        <f>IF(LEN('11.700'!X639)=0,"None",'11.700'!X639)</f>
        <v>None</v>
      </c>
      <c r="Z1513" s="1599"/>
      <c r="AC1513" s="1150"/>
      <c r="AD1513" s="1150"/>
      <c r="AE1513" s="1150"/>
      <c r="AL1513" s="1352"/>
      <c r="AM1513" s="1352"/>
      <c r="AN1513" s="1352" t="str">
        <f>SUBSTITUTE(SUBSTITUTE(SUBSTITUTE("vpc"&amp;$B1513&amp;$C1513&amp;$D1513&amp;$E1513&amp;$F1513,".","_"),"(","_"),")","")</f>
        <v>vpc706_3</v>
      </c>
      <c r="AO1513" s="1352">
        <f ca="1">O1513</f>
        <v>0</v>
      </c>
      <c r="AP1513" s="1352"/>
      <c r="AQ1513" s="1352"/>
      <c r="AR1513" s="1352" t="str">
        <f>SUBSTITUTE(SUBSTITUTE(SUBSTITUTE("vnt"&amp;$B1513&amp;$C1513&amp;$D1513&amp;$E1513&amp;$F1513,".","_"),"(","_"),")","")</f>
        <v>vnt706_3</v>
      </c>
      <c r="AS1513" s="1352" t="str">
        <f>IF(LEN(X1513)=0,"",X1513)</f>
        <v/>
      </c>
    </row>
    <row r="1514" spans="1:45" s="905" customFormat="1" hidden="1" x14ac:dyDescent="0.2">
      <c r="A1514" s="1507">
        <v>7</v>
      </c>
      <c r="B1514" s="1516">
        <v>706.3</v>
      </c>
      <c r="C1514" s="1516"/>
      <c r="D1514" s="1516"/>
      <c r="E1514" s="1516"/>
      <c r="F1514" s="1511"/>
      <c r="G1514" s="1509" t="str">
        <f t="shared" ref="G1514:G1528" ca="1" si="117">G1513</f>
        <v/>
      </c>
      <c r="H1514" s="1530" t="s">
        <v>3199</v>
      </c>
      <c r="I1514" s="589"/>
      <c r="J1514" s="589"/>
      <c r="K1514" s="589"/>
      <c r="L1514" s="1687"/>
      <c r="M1514" s="913"/>
      <c r="N1514" s="1619"/>
      <c r="O1514" s="1619"/>
      <c r="P1514" s="991"/>
      <c r="Q1514" s="991"/>
      <c r="R1514" s="991"/>
      <c r="S1514" s="991"/>
      <c r="T1514" s="991"/>
      <c r="X1514" s="1600"/>
      <c r="Y1514" s="1874"/>
      <c r="Z1514" s="1600"/>
      <c r="AC1514" s="1150"/>
      <c r="AD1514" s="1150"/>
      <c r="AE1514" s="1150"/>
      <c r="AL1514" s="1352"/>
      <c r="AM1514" s="1352"/>
      <c r="AN1514" s="1352"/>
      <c r="AO1514" s="1352"/>
      <c r="AP1514" s="1352"/>
      <c r="AQ1514" s="1352"/>
      <c r="AR1514" s="1352"/>
      <c r="AS1514" s="1352"/>
    </row>
    <row r="1515" spans="1:45" s="905" customFormat="1" hidden="1" x14ac:dyDescent="0.2">
      <c r="A1515" s="1507">
        <v>7</v>
      </c>
      <c r="B1515" s="1516">
        <v>706.3</v>
      </c>
      <c r="C1515" s="1516" t="s">
        <v>3921</v>
      </c>
      <c r="D1515" s="1516"/>
      <c r="E1515" s="1516"/>
      <c r="F1515" s="1511"/>
      <c r="G1515" s="1509" t="str">
        <f t="shared" ca="1" si="117"/>
        <v/>
      </c>
      <c r="H1515" s="1530" t="s">
        <v>3199</v>
      </c>
      <c r="I1515" s="589"/>
      <c r="J1515" s="589"/>
      <c r="K1515" s="589"/>
      <c r="L1515" s="917" t="s">
        <v>4362</v>
      </c>
      <c r="M1515" s="913">
        <v>1</v>
      </c>
      <c r="N1515" s="129"/>
      <c r="O1515" s="908"/>
      <c r="P1515" s="991"/>
      <c r="Q1515" s="991"/>
      <c r="R1515" s="991"/>
      <c r="S1515" s="991"/>
      <c r="T1515" s="991"/>
      <c r="X1515" s="1600"/>
      <c r="Y1515" s="1874"/>
      <c r="Z1515" s="1600"/>
      <c r="AC1515" s="1150"/>
      <c r="AD1515" s="1150"/>
      <c r="AE1515" s="1150"/>
      <c r="AL1515" s="1352" t="str">
        <f>SUBSTITUTE(SUBSTITUTE(SUBSTITUTE("vpa"&amp;$B1515&amp;$C1515&amp;$D1515&amp;$E1515&amp;$F1515,".","_"),"(","_"),")","")</f>
        <v>vpa706_3_1</v>
      </c>
      <c r="AM1515" s="1352">
        <f>M1515</f>
        <v>1</v>
      </c>
      <c r="AN1515" s="1352"/>
      <c r="AO1515" s="1352"/>
      <c r="AP1515" s="1352"/>
      <c r="AQ1515" s="1352"/>
      <c r="AR1515" s="1352"/>
      <c r="AS1515" s="1352"/>
    </row>
    <row r="1516" spans="1:45" s="905" customFormat="1" hidden="1" x14ac:dyDescent="0.2">
      <c r="A1516" s="1507">
        <v>7</v>
      </c>
      <c r="B1516" s="1516">
        <v>706.3</v>
      </c>
      <c r="C1516" s="1516" t="s">
        <v>3922</v>
      </c>
      <c r="D1516" s="1516"/>
      <c r="E1516" s="1516"/>
      <c r="F1516" s="1511"/>
      <c r="G1516" s="1509" t="str">
        <f t="shared" ca="1" si="117"/>
        <v/>
      </c>
      <c r="H1516" s="1530" t="s">
        <v>3199</v>
      </c>
      <c r="I1516" s="589"/>
      <c r="J1516" s="589"/>
      <c r="K1516" s="589"/>
      <c r="L1516" s="917" t="s">
        <v>4363</v>
      </c>
      <c r="M1516" s="913">
        <v>2</v>
      </c>
      <c r="N1516" s="129"/>
      <c r="O1516" s="908"/>
      <c r="P1516" s="991"/>
      <c r="Q1516" s="991"/>
      <c r="R1516" s="991"/>
      <c r="S1516" s="991"/>
      <c r="T1516" s="991"/>
      <c r="X1516" s="1600"/>
      <c r="Y1516" s="1874"/>
      <c r="Z1516" s="1600"/>
      <c r="AC1516" s="1150"/>
      <c r="AD1516" s="1150"/>
      <c r="AE1516" s="1150"/>
      <c r="AL1516" s="1352" t="str">
        <f>SUBSTITUTE(SUBSTITUTE(SUBSTITUTE("vpa"&amp;$B1516&amp;$C1516&amp;$D1516&amp;$E1516&amp;$F1516,".","_"),"(","_"),")","")</f>
        <v>vpa706_3_2</v>
      </c>
      <c r="AM1516" s="1352">
        <f>M1516</f>
        <v>2</v>
      </c>
      <c r="AN1516" s="1352"/>
      <c r="AO1516" s="1352"/>
      <c r="AP1516" s="1352"/>
      <c r="AQ1516" s="1352"/>
      <c r="AR1516" s="1352"/>
      <c r="AS1516" s="1352"/>
    </row>
    <row r="1517" spans="1:45" s="905" customFormat="1" ht="16" hidden="1" x14ac:dyDescent="0.2">
      <c r="A1517" s="1507">
        <v>7</v>
      </c>
      <c r="B1517" s="1516">
        <v>706.3</v>
      </c>
      <c r="C1517" s="1516" t="s">
        <v>254</v>
      </c>
      <c r="D1517" s="1516"/>
      <c r="E1517" s="1516"/>
      <c r="F1517" s="1511"/>
      <c r="G1517" s="1509" t="str">
        <f t="shared" ca="1" si="117"/>
        <v/>
      </c>
      <c r="H1517" s="1530" t="s">
        <v>3199</v>
      </c>
      <c r="I1517" s="589"/>
      <c r="J1517" s="589" t="s">
        <v>254</v>
      </c>
      <c r="K1517" s="589"/>
      <c r="L1517" s="917" t="s">
        <v>4204</v>
      </c>
      <c r="M1517" s="913"/>
      <c r="N1517" s="129"/>
      <c r="O1517" s="908"/>
      <c r="P1517" s="991" t="b">
        <v>0</v>
      </c>
      <c r="Q1517" s="991" t="b">
        <v>1</v>
      </c>
      <c r="R1517" s="991" t="b">
        <v>0</v>
      </c>
      <c r="S1517" s="991" t="b">
        <f ca="1">AND(S885=2,IFERROR(NOT(OR(W1558:W1559,W1568)),TRUE))</f>
        <v>0</v>
      </c>
      <c r="T1517" s="991" t="b">
        <f t="shared" ref="T1517:T1524" ca="1" si="118">AND(NOT(S1517),W1517=TRUE)</f>
        <v>0</v>
      </c>
      <c r="W1517" s="27"/>
      <c r="X1517" s="1123"/>
      <c r="Y1517" s="1139" t="str">
        <f>IF(LEN('11.700'!X643)=0,"None",'11.700'!X643)</f>
        <v>None</v>
      </c>
      <c r="Z1517" s="1123"/>
      <c r="AC1517" s="1150" t="b">
        <f t="shared" ref="AC1517:AC1524" ca="1" si="119">OR(AD1517:AE1517)</f>
        <v>0</v>
      </c>
      <c r="AD1517" s="1150" t="b">
        <f t="shared" ref="AD1517:AD1524" ca="1" si="120">T1517</f>
        <v>0</v>
      </c>
      <c r="AE1517" s="1150"/>
      <c r="AL1517" s="1352"/>
      <c r="AM1517" s="1352"/>
      <c r="AN1517" s="1352"/>
      <c r="AO1517" s="1352"/>
      <c r="AP1517" s="1352" t="str">
        <f t="shared" ref="AP1517:AP1524" si="121">SUBSTITUTE(SUBSTITUTE(SUBSTITUTE("vch"&amp;$B1517&amp;$C1517&amp;$D1517&amp;$E1517&amp;$F1517,".","_"),"(","_"),")","")</f>
        <v>vch706_3_1</v>
      </c>
      <c r="AQ1517" s="1352" t="str">
        <f t="shared" ref="AQ1517:AQ1524" si="122">IF(LEN(W1517)=0,"",W1517)</f>
        <v/>
      </c>
      <c r="AR1517" s="1352" t="str">
        <f t="shared" ref="AR1517:AR1524" si="123">SUBSTITUTE(SUBSTITUTE(SUBSTITUTE("vnt"&amp;$B1517&amp;$C1517&amp;$D1517&amp;$E1517&amp;$F1517,".","_"),"(","_"),")","")</f>
        <v>vnt706_3_1</v>
      </c>
      <c r="AS1517" s="1352" t="str">
        <f t="shared" ref="AS1517:AS1524" si="124">IF(LEN(X1517)=0,"",X1517)</f>
        <v/>
      </c>
    </row>
    <row r="1518" spans="1:45" s="905" customFormat="1" ht="16" hidden="1" x14ac:dyDescent="0.2">
      <c r="A1518" s="1507">
        <v>7</v>
      </c>
      <c r="B1518" s="1516">
        <v>706.3</v>
      </c>
      <c r="C1518" s="1516" t="s">
        <v>255</v>
      </c>
      <c r="D1518" s="1516"/>
      <c r="E1518" s="1516"/>
      <c r="F1518" s="1511"/>
      <c r="G1518" s="1509" t="str">
        <f t="shared" ca="1" si="117"/>
        <v/>
      </c>
      <c r="H1518" s="1530" t="s">
        <v>3199</v>
      </c>
      <c r="I1518" s="589"/>
      <c r="J1518" s="589" t="s">
        <v>255</v>
      </c>
      <c r="K1518" s="589"/>
      <c r="L1518" s="917" t="s">
        <v>4356</v>
      </c>
      <c r="M1518" s="913"/>
      <c r="N1518" s="129"/>
      <c r="O1518" s="908"/>
      <c r="P1518" s="991" t="b">
        <v>0</v>
      </c>
      <c r="Q1518" s="991" t="b">
        <v>1</v>
      </c>
      <c r="R1518" s="991" t="b">
        <v>0</v>
      </c>
      <c r="S1518" s="991" t="b">
        <f ca="1">AND(S885=2,IFERROR(NOT(OR(W1558:W1559,W1568)),TRUE))</f>
        <v>0</v>
      </c>
      <c r="T1518" s="991" t="b">
        <f t="shared" ca="1" si="118"/>
        <v>0</v>
      </c>
      <c r="W1518" s="27"/>
      <c r="X1518" s="1123"/>
      <c r="Y1518" s="1139" t="str">
        <f>IF(LEN('11.700'!X644)=0,"None",'11.700'!X644)</f>
        <v>None</v>
      </c>
      <c r="Z1518" s="1123"/>
      <c r="AC1518" s="1150" t="b">
        <f t="shared" ca="1" si="119"/>
        <v>0</v>
      </c>
      <c r="AD1518" s="1150" t="b">
        <f t="shared" ca="1" si="120"/>
        <v>0</v>
      </c>
      <c r="AE1518" s="1150"/>
      <c r="AL1518" s="1352"/>
      <c r="AM1518" s="1352"/>
      <c r="AN1518" s="1352"/>
      <c r="AO1518" s="1352"/>
      <c r="AP1518" s="1352" t="str">
        <f t="shared" si="121"/>
        <v>vch706_3_2</v>
      </c>
      <c r="AQ1518" s="1352" t="str">
        <f t="shared" si="122"/>
        <v/>
      </c>
      <c r="AR1518" s="1352" t="str">
        <f t="shared" si="123"/>
        <v>vnt706_3_2</v>
      </c>
      <c r="AS1518" s="1352" t="str">
        <f t="shared" si="124"/>
        <v/>
      </c>
    </row>
    <row r="1519" spans="1:45" s="905" customFormat="1" ht="16" hidden="1" x14ac:dyDescent="0.2">
      <c r="A1519" s="1507">
        <v>7</v>
      </c>
      <c r="B1519" s="1516">
        <v>706.3</v>
      </c>
      <c r="C1519" s="1516" t="s">
        <v>256</v>
      </c>
      <c r="D1519" s="1516"/>
      <c r="E1519" s="1516"/>
      <c r="F1519" s="1511"/>
      <c r="G1519" s="1509" t="str">
        <f t="shared" ca="1" si="117"/>
        <v/>
      </c>
      <c r="H1519" s="1530" t="s">
        <v>3199</v>
      </c>
      <c r="I1519" s="589"/>
      <c r="J1519" s="589" t="s">
        <v>256</v>
      </c>
      <c r="K1519" s="589"/>
      <c r="L1519" s="917" t="s">
        <v>674</v>
      </c>
      <c r="M1519" s="913"/>
      <c r="N1519" s="129"/>
      <c r="O1519" s="908"/>
      <c r="P1519" s="991" t="b">
        <v>0</v>
      </c>
      <c r="Q1519" s="991" t="b">
        <v>1</v>
      </c>
      <c r="R1519" s="991" t="b">
        <v>0</v>
      </c>
      <c r="S1519" s="991" t="b">
        <f ca="1">AND(S885=2,IFERROR(NOT(OR(W1558:W1559,W1568)),TRUE))</f>
        <v>0</v>
      </c>
      <c r="T1519" s="991" t="b">
        <f t="shared" ca="1" si="118"/>
        <v>0</v>
      </c>
      <c r="W1519" s="27"/>
      <c r="X1519" s="1123"/>
      <c r="Y1519" s="1139" t="str">
        <f>IF(LEN('11.700'!X645)=0,"None",'11.700'!X645)</f>
        <v>None</v>
      </c>
      <c r="Z1519" s="1123"/>
      <c r="AC1519" s="1150" t="b">
        <f t="shared" ca="1" si="119"/>
        <v>0</v>
      </c>
      <c r="AD1519" s="1150" t="b">
        <f t="shared" ca="1" si="120"/>
        <v>0</v>
      </c>
      <c r="AE1519" s="1150"/>
      <c r="AL1519" s="1352"/>
      <c r="AM1519" s="1352"/>
      <c r="AN1519" s="1352"/>
      <c r="AO1519" s="1352"/>
      <c r="AP1519" s="1352" t="str">
        <f t="shared" si="121"/>
        <v>vch706_3_3</v>
      </c>
      <c r="AQ1519" s="1352" t="str">
        <f t="shared" si="122"/>
        <v/>
      </c>
      <c r="AR1519" s="1352" t="str">
        <f t="shared" si="123"/>
        <v>vnt706_3_3</v>
      </c>
      <c r="AS1519" s="1352" t="str">
        <f t="shared" si="124"/>
        <v/>
      </c>
    </row>
    <row r="1520" spans="1:45" s="905" customFormat="1" ht="16" hidden="1" x14ac:dyDescent="0.2">
      <c r="A1520" s="1507">
        <v>7</v>
      </c>
      <c r="B1520" s="1516">
        <v>706.3</v>
      </c>
      <c r="C1520" s="1516" t="s">
        <v>259</v>
      </c>
      <c r="D1520" s="1516"/>
      <c r="E1520" s="1516"/>
      <c r="F1520" s="1511"/>
      <c r="G1520" s="1509" t="str">
        <f t="shared" ca="1" si="117"/>
        <v/>
      </c>
      <c r="H1520" s="1530" t="s">
        <v>3199</v>
      </c>
      <c r="I1520" s="589"/>
      <c r="J1520" s="589" t="s">
        <v>259</v>
      </c>
      <c r="K1520" s="589"/>
      <c r="L1520" s="917" t="s">
        <v>4357</v>
      </c>
      <c r="M1520" s="913"/>
      <c r="N1520" s="129"/>
      <c r="O1520" s="908"/>
      <c r="P1520" s="991" t="b">
        <v>0</v>
      </c>
      <c r="Q1520" s="991" t="b">
        <v>1</v>
      </c>
      <c r="R1520" s="991" t="b">
        <v>0</v>
      </c>
      <c r="S1520" s="991" t="b">
        <f ca="1">AND(S885=2,IFERROR(NOT(OR(W1558:W1559,W1568)),TRUE))</f>
        <v>0</v>
      </c>
      <c r="T1520" s="991" t="b">
        <f t="shared" ca="1" si="118"/>
        <v>0</v>
      </c>
      <c r="W1520" s="27"/>
      <c r="X1520" s="1123"/>
      <c r="Y1520" s="1139" t="str">
        <f>IF(LEN('11.700'!X646)=0,"None",'11.700'!X646)</f>
        <v>None</v>
      </c>
      <c r="Z1520" s="1123"/>
      <c r="AC1520" s="1150" t="b">
        <f t="shared" ca="1" si="119"/>
        <v>0</v>
      </c>
      <c r="AD1520" s="1150" t="b">
        <f t="shared" ca="1" si="120"/>
        <v>0</v>
      </c>
      <c r="AE1520" s="1150"/>
      <c r="AL1520" s="1352"/>
      <c r="AM1520" s="1352"/>
      <c r="AN1520" s="1352"/>
      <c r="AO1520" s="1352"/>
      <c r="AP1520" s="1352" t="str">
        <f t="shared" si="121"/>
        <v>vch706_3_4</v>
      </c>
      <c r="AQ1520" s="1352" t="str">
        <f t="shared" si="122"/>
        <v/>
      </c>
      <c r="AR1520" s="1352" t="str">
        <f t="shared" si="123"/>
        <v>vnt706_3_4</v>
      </c>
      <c r="AS1520" s="1352" t="str">
        <f t="shared" si="124"/>
        <v/>
      </c>
    </row>
    <row r="1521" spans="1:45" s="905" customFormat="1" ht="16" hidden="1" x14ac:dyDescent="0.2">
      <c r="A1521" s="1507">
        <v>7</v>
      </c>
      <c r="B1521" s="1516">
        <v>706.3</v>
      </c>
      <c r="C1521" s="1516" t="s">
        <v>263</v>
      </c>
      <c r="D1521" s="1516"/>
      <c r="E1521" s="1516"/>
      <c r="F1521" s="1511"/>
      <c r="G1521" s="1509" t="str">
        <f t="shared" ca="1" si="117"/>
        <v/>
      </c>
      <c r="H1521" s="1530" t="s">
        <v>3199</v>
      </c>
      <c r="I1521" s="589"/>
      <c r="J1521" s="589" t="s">
        <v>263</v>
      </c>
      <c r="K1521" s="589"/>
      <c r="L1521" s="917" t="s">
        <v>4358</v>
      </c>
      <c r="M1521" s="913"/>
      <c r="N1521" s="129"/>
      <c r="O1521" s="908"/>
      <c r="P1521" s="991" t="b">
        <v>0</v>
      </c>
      <c r="Q1521" s="991" t="b">
        <v>1</v>
      </c>
      <c r="R1521" s="991" t="b">
        <v>0</v>
      </c>
      <c r="S1521" s="991" t="b">
        <f ca="1">AND(S885=2,IFERROR(NOT(OR(W1558:W1559,W1568)),TRUE))</f>
        <v>0</v>
      </c>
      <c r="T1521" s="991" t="b">
        <f t="shared" ca="1" si="118"/>
        <v>0</v>
      </c>
      <c r="W1521" s="27"/>
      <c r="X1521" s="1123"/>
      <c r="Y1521" s="1139" t="str">
        <f>IF(LEN('11.700'!X647)=0,"None",'11.700'!X647)</f>
        <v>None</v>
      </c>
      <c r="Z1521" s="1123"/>
      <c r="AC1521" s="1150" t="b">
        <f t="shared" ca="1" si="119"/>
        <v>0</v>
      </c>
      <c r="AD1521" s="1150" t="b">
        <f t="shared" ca="1" si="120"/>
        <v>0</v>
      </c>
      <c r="AE1521" s="1150"/>
      <c r="AL1521" s="1352"/>
      <c r="AM1521" s="1352"/>
      <c r="AN1521" s="1352"/>
      <c r="AO1521" s="1352"/>
      <c r="AP1521" s="1352" t="str">
        <f t="shared" si="121"/>
        <v>vch706_3_5</v>
      </c>
      <c r="AQ1521" s="1352" t="str">
        <f t="shared" si="122"/>
        <v/>
      </c>
      <c r="AR1521" s="1352" t="str">
        <f t="shared" si="123"/>
        <v>vnt706_3_5</v>
      </c>
      <c r="AS1521" s="1352" t="str">
        <f t="shared" si="124"/>
        <v/>
      </c>
    </row>
    <row r="1522" spans="1:45" s="905" customFormat="1" ht="16" hidden="1" x14ac:dyDescent="0.2">
      <c r="A1522" s="1507">
        <v>7</v>
      </c>
      <c r="B1522" s="1516">
        <v>706.3</v>
      </c>
      <c r="C1522" s="1516" t="s">
        <v>264</v>
      </c>
      <c r="D1522" s="1516"/>
      <c r="E1522" s="1516"/>
      <c r="F1522" s="1511"/>
      <c r="G1522" s="1509" t="str">
        <f t="shared" ca="1" si="117"/>
        <v/>
      </c>
      <c r="H1522" s="1530" t="s">
        <v>3199</v>
      </c>
      <c r="I1522" s="589"/>
      <c r="J1522" s="589" t="s">
        <v>264</v>
      </c>
      <c r="K1522" s="589"/>
      <c r="L1522" s="917" t="s">
        <v>4359</v>
      </c>
      <c r="M1522" s="913"/>
      <c r="N1522" s="129"/>
      <c r="O1522" s="908"/>
      <c r="P1522" s="991" t="b">
        <v>0</v>
      </c>
      <c r="Q1522" s="991" t="b">
        <v>1</v>
      </c>
      <c r="R1522" s="991" t="b">
        <v>0</v>
      </c>
      <c r="S1522" s="991" t="b">
        <f ca="1">AND(S885=2,IFERROR(NOT(OR(W1558:W1559,W1568)),TRUE))</f>
        <v>0</v>
      </c>
      <c r="T1522" s="991" t="b">
        <f t="shared" ca="1" si="118"/>
        <v>0</v>
      </c>
      <c r="W1522" s="27"/>
      <c r="X1522" s="1123"/>
      <c r="Y1522" s="1139" t="str">
        <f>IF(LEN('11.700'!X648)=0,"None",'11.700'!X648)</f>
        <v>None</v>
      </c>
      <c r="Z1522" s="1123"/>
      <c r="AC1522" s="1150" t="b">
        <f t="shared" ca="1" si="119"/>
        <v>0</v>
      </c>
      <c r="AD1522" s="1150" t="b">
        <f t="shared" ca="1" si="120"/>
        <v>0</v>
      </c>
      <c r="AE1522" s="1150"/>
      <c r="AL1522" s="1352"/>
      <c r="AM1522" s="1352"/>
      <c r="AN1522" s="1352"/>
      <c r="AO1522" s="1352"/>
      <c r="AP1522" s="1352" t="str">
        <f t="shared" si="121"/>
        <v>vch706_3_6</v>
      </c>
      <c r="AQ1522" s="1352" t="str">
        <f t="shared" si="122"/>
        <v/>
      </c>
      <c r="AR1522" s="1352" t="str">
        <f t="shared" si="123"/>
        <v>vnt706_3_6</v>
      </c>
      <c r="AS1522" s="1352" t="str">
        <f t="shared" si="124"/>
        <v/>
      </c>
    </row>
    <row r="1523" spans="1:45" s="905" customFormat="1" ht="16" hidden="1" x14ac:dyDescent="0.2">
      <c r="A1523" s="1507">
        <v>7</v>
      </c>
      <c r="B1523" s="1516">
        <v>706.3</v>
      </c>
      <c r="C1523" s="1516" t="s">
        <v>356</v>
      </c>
      <c r="D1523" s="1516"/>
      <c r="E1523" s="1516"/>
      <c r="F1523" s="1511"/>
      <c r="G1523" s="1509" t="str">
        <f t="shared" ca="1" si="117"/>
        <v/>
      </c>
      <c r="H1523" s="1530" t="s">
        <v>3199</v>
      </c>
      <c r="I1523" s="589"/>
      <c r="J1523" s="589" t="s">
        <v>356</v>
      </c>
      <c r="K1523" s="589"/>
      <c r="L1523" s="917" t="s">
        <v>4360</v>
      </c>
      <c r="M1523" s="913"/>
      <c r="N1523" s="129"/>
      <c r="O1523" s="908"/>
      <c r="P1523" s="991" t="b">
        <v>0</v>
      </c>
      <c r="Q1523" s="991" t="b">
        <v>1</v>
      </c>
      <c r="R1523" s="991" t="b">
        <v>0</v>
      </c>
      <c r="S1523" s="991" t="b">
        <f ca="1">AND(S885=2,IFERROR(NOT(OR(W1558:W1559,W1568)),TRUE))</f>
        <v>0</v>
      </c>
      <c r="T1523" s="991" t="b">
        <f t="shared" ca="1" si="118"/>
        <v>0</v>
      </c>
      <c r="W1523" s="27"/>
      <c r="X1523" s="1123"/>
      <c r="Y1523" s="1139" t="str">
        <f>IF(LEN('11.700'!X649)=0,"None",'11.700'!X649)</f>
        <v>None</v>
      </c>
      <c r="Z1523" s="1123"/>
      <c r="AC1523" s="1150" t="b">
        <f t="shared" ca="1" si="119"/>
        <v>0</v>
      </c>
      <c r="AD1523" s="1150" t="b">
        <f t="shared" ca="1" si="120"/>
        <v>0</v>
      </c>
      <c r="AE1523" s="1150"/>
      <c r="AL1523" s="1352"/>
      <c r="AM1523" s="1352"/>
      <c r="AN1523" s="1352"/>
      <c r="AO1523" s="1352"/>
      <c r="AP1523" s="1352" t="str">
        <f t="shared" si="121"/>
        <v>vch706_3_7</v>
      </c>
      <c r="AQ1523" s="1352" t="str">
        <f t="shared" si="122"/>
        <v/>
      </c>
      <c r="AR1523" s="1352" t="str">
        <f t="shared" si="123"/>
        <v>vnt706_3_7</v>
      </c>
      <c r="AS1523" s="1352" t="str">
        <f t="shared" si="124"/>
        <v/>
      </c>
    </row>
    <row r="1524" spans="1:45" s="905" customFormat="1" ht="16" hidden="1" x14ac:dyDescent="0.2">
      <c r="A1524" s="1507">
        <v>7</v>
      </c>
      <c r="B1524" s="1516">
        <v>706.3</v>
      </c>
      <c r="C1524" s="1516" t="s">
        <v>389</v>
      </c>
      <c r="D1524" s="1516"/>
      <c r="E1524" s="1516"/>
      <c r="F1524" s="1511"/>
      <c r="G1524" s="1509" t="str">
        <f t="shared" ca="1" si="117"/>
        <v/>
      </c>
      <c r="H1524" s="1530" t="s">
        <v>3199</v>
      </c>
      <c r="I1524" s="589"/>
      <c r="J1524" s="589" t="s">
        <v>389</v>
      </c>
      <c r="K1524" s="589"/>
      <c r="L1524" s="917" t="s">
        <v>4361</v>
      </c>
      <c r="M1524" s="913"/>
      <c r="N1524" s="129"/>
      <c r="O1524" s="908"/>
      <c r="P1524" s="991" t="b">
        <v>0</v>
      </c>
      <c r="Q1524" s="991" t="b">
        <v>1</v>
      </c>
      <c r="R1524" s="991" t="b">
        <v>0</v>
      </c>
      <c r="S1524" s="991" t="b">
        <f ca="1">AND(S885=2,IFERROR(NOT(OR(W1558:W1559,W1568)),TRUE))</f>
        <v>0</v>
      </c>
      <c r="T1524" s="991" t="b">
        <f t="shared" ca="1" si="118"/>
        <v>0</v>
      </c>
      <c r="W1524" s="27"/>
      <c r="X1524" s="1123"/>
      <c r="Y1524" s="1139" t="str">
        <f>IF(LEN('11.700'!X650)=0,"None",'11.700'!X650)</f>
        <v>None</v>
      </c>
      <c r="Z1524" s="1123"/>
      <c r="AC1524" s="1150" t="b">
        <f t="shared" ca="1" si="119"/>
        <v>0</v>
      </c>
      <c r="AD1524" s="1150" t="b">
        <f t="shared" ca="1" si="120"/>
        <v>0</v>
      </c>
      <c r="AE1524" s="1150"/>
      <c r="AL1524" s="1352"/>
      <c r="AM1524" s="1352"/>
      <c r="AN1524" s="1352"/>
      <c r="AO1524" s="1352"/>
      <c r="AP1524" s="1352" t="str">
        <f t="shared" si="121"/>
        <v>vch706_3_8</v>
      </c>
      <c r="AQ1524" s="1352" t="str">
        <f t="shared" si="122"/>
        <v/>
      </c>
      <c r="AR1524" s="1352" t="str">
        <f t="shared" si="123"/>
        <v>vnt706_3_8</v>
      </c>
      <c r="AS1524" s="1352" t="str">
        <f t="shared" si="124"/>
        <v/>
      </c>
    </row>
    <row r="1525" spans="1:45" s="905" customFormat="1" ht="15" hidden="1" customHeight="1" x14ac:dyDescent="0.2">
      <c r="A1525" s="1507">
        <v>7</v>
      </c>
      <c r="B1525" s="1516">
        <v>706.3</v>
      </c>
      <c r="C1525" s="1516" t="s">
        <v>389</v>
      </c>
      <c r="D1525" s="1516"/>
      <c r="E1525" s="1516"/>
      <c r="F1525" s="1511"/>
      <c r="G1525" s="1509" t="str">
        <f t="shared" ca="1" si="117"/>
        <v/>
      </c>
      <c r="H1525" s="1530" t="s">
        <v>3199</v>
      </c>
      <c r="I1525" s="589"/>
      <c r="J1525" s="589"/>
      <c r="K1525" s="589"/>
      <c r="L1525" s="1745" t="s">
        <v>4364</v>
      </c>
      <c r="M1525" s="991"/>
      <c r="N1525" s="991"/>
      <c r="O1525" s="991"/>
      <c r="P1525" s="991"/>
      <c r="Q1525" s="991"/>
      <c r="R1525" s="991"/>
      <c r="S1525" s="991"/>
      <c r="T1525" s="991"/>
      <c r="Z1525" s="1122"/>
      <c r="AC1525" s="1150"/>
      <c r="AD1525" s="1150"/>
      <c r="AE1525" s="1150"/>
      <c r="AL1525" s="1352"/>
      <c r="AM1525" s="1352"/>
      <c r="AN1525" s="1352"/>
      <c r="AO1525" s="1352"/>
      <c r="AP1525" s="1352"/>
      <c r="AQ1525" s="1352"/>
      <c r="AR1525" s="1352"/>
      <c r="AS1525" s="1352"/>
    </row>
    <row r="1526" spans="1:45" s="905" customFormat="1" hidden="1" x14ac:dyDescent="0.2">
      <c r="A1526" s="1507">
        <v>7</v>
      </c>
      <c r="B1526" s="1516">
        <v>706.3</v>
      </c>
      <c r="C1526" s="1516" t="s">
        <v>389</v>
      </c>
      <c r="D1526" s="1516"/>
      <c r="E1526" s="1516"/>
      <c r="F1526" s="1511"/>
      <c r="G1526" s="1509" t="str">
        <f t="shared" ca="1" si="117"/>
        <v/>
      </c>
      <c r="H1526" s="1530" t="s">
        <v>3199</v>
      </c>
      <c r="I1526" s="589"/>
      <c r="J1526" s="589"/>
      <c r="K1526" s="589"/>
      <c r="L1526" s="1745"/>
      <c r="M1526" s="991"/>
      <c r="N1526" s="991"/>
      <c r="O1526" s="991"/>
      <c r="P1526" s="991"/>
      <c r="Q1526" s="991"/>
      <c r="R1526" s="991"/>
      <c r="S1526" s="991"/>
      <c r="T1526" s="991"/>
      <c r="Z1526" s="1122"/>
      <c r="AC1526" s="1150"/>
      <c r="AD1526" s="1150"/>
      <c r="AE1526" s="1150"/>
      <c r="AL1526" s="1352"/>
      <c r="AM1526" s="1352"/>
      <c r="AN1526" s="1352"/>
      <c r="AO1526" s="1352"/>
      <c r="AP1526" s="1352"/>
      <c r="AQ1526" s="1352"/>
      <c r="AR1526" s="1352"/>
      <c r="AS1526" s="1352"/>
    </row>
    <row r="1527" spans="1:45" s="905" customFormat="1" ht="15" hidden="1" customHeight="1" x14ac:dyDescent="0.2">
      <c r="A1527" s="1507">
        <v>7</v>
      </c>
      <c r="B1527" s="1516">
        <v>706.3</v>
      </c>
      <c r="C1527" s="1516" t="s">
        <v>389</v>
      </c>
      <c r="D1527" s="1516"/>
      <c r="E1527" s="1516"/>
      <c r="F1527" s="1511"/>
      <c r="G1527" s="1509" t="str">
        <f t="shared" ca="1" si="117"/>
        <v/>
      </c>
      <c r="H1527" s="1530" t="s">
        <v>3199</v>
      </c>
      <c r="I1527" s="590"/>
      <c r="J1527" s="590"/>
      <c r="K1527" s="590"/>
      <c r="L1527" s="1745" t="s">
        <v>4851</v>
      </c>
      <c r="M1527" s="991"/>
      <c r="N1527" s="991"/>
      <c r="O1527" s="991"/>
      <c r="P1527" s="991"/>
      <c r="Q1527" s="991"/>
      <c r="R1527" s="991"/>
      <c r="S1527" s="991"/>
      <c r="T1527" s="991"/>
      <c r="U1527" s="991"/>
      <c r="Z1527" s="1122"/>
      <c r="AC1527" s="1150"/>
      <c r="AD1527" s="1150"/>
      <c r="AE1527" s="1150"/>
      <c r="AL1527" s="1352"/>
      <c r="AM1527" s="1352"/>
      <c r="AN1527" s="1352"/>
      <c r="AO1527" s="1352"/>
      <c r="AP1527" s="1352"/>
      <c r="AQ1527" s="1352"/>
      <c r="AR1527" s="1352"/>
      <c r="AS1527" s="1352"/>
    </row>
    <row r="1528" spans="1:45" s="905" customFormat="1" ht="16" hidden="1" thickBot="1" x14ac:dyDescent="0.25">
      <c r="A1528" s="1507">
        <v>7</v>
      </c>
      <c r="B1528" s="1516">
        <v>706.3</v>
      </c>
      <c r="C1528" s="1516" t="s">
        <v>389</v>
      </c>
      <c r="D1528" s="1516"/>
      <c r="E1528" s="1516"/>
      <c r="F1528" s="1511"/>
      <c r="G1528" s="1509" t="str">
        <f t="shared" ca="1" si="117"/>
        <v/>
      </c>
      <c r="H1528" s="1530" t="s">
        <v>3199</v>
      </c>
      <c r="I1528" s="594"/>
      <c r="J1528" s="594"/>
      <c r="K1528" s="594"/>
      <c r="L1528" s="1746"/>
      <c r="M1528" s="100"/>
      <c r="N1528" s="100"/>
      <c r="O1528" s="100"/>
      <c r="P1528" s="100"/>
      <c r="Q1528" s="100"/>
      <c r="R1528" s="100"/>
      <c r="S1528" s="100"/>
      <c r="T1528" s="100"/>
      <c r="U1528" s="100"/>
      <c r="W1528" s="100"/>
      <c r="X1528" s="100"/>
      <c r="Y1528" s="100"/>
      <c r="Z1528" s="100"/>
      <c r="AC1528" s="1150"/>
      <c r="AD1528" s="1150"/>
      <c r="AE1528" s="1150"/>
      <c r="AL1528" s="1352"/>
      <c r="AM1528" s="1352"/>
      <c r="AN1528" s="1352"/>
      <c r="AO1528" s="1352"/>
      <c r="AP1528" s="1352"/>
      <c r="AQ1528" s="1352"/>
      <c r="AR1528" s="1352"/>
      <c r="AS1528" s="1352"/>
    </row>
    <row r="1529" spans="1:45" s="905" customFormat="1" hidden="1" x14ac:dyDescent="0.2">
      <c r="A1529" s="1507">
        <v>7</v>
      </c>
      <c r="B1529" s="1516">
        <v>706.4</v>
      </c>
      <c r="C1529" s="1516"/>
      <c r="D1529" s="1516"/>
      <c r="E1529" s="1516"/>
      <c r="F1529" s="1511"/>
      <c r="G1529" s="1513" t="str">
        <f ca="1">IF(COUNTIF(G1530:G1535,"P")&gt;0,"P","")</f>
        <v/>
      </c>
      <c r="H1529" s="1510" t="s">
        <v>3197</v>
      </c>
      <c r="I1529" s="589" t="s">
        <v>4365</v>
      </c>
      <c r="J1529" s="589"/>
      <c r="K1529" s="589"/>
      <c r="L1529" s="946" t="s">
        <v>4366</v>
      </c>
      <c r="M1529" s="991"/>
      <c r="N1529" s="991"/>
      <c r="O1529" s="991"/>
      <c r="P1529" s="991"/>
      <c r="Q1529" s="991"/>
      <c r="R1529" s="991"/>
      <c r="S1529" s="991"/>
      <c r="T1529" s="991"/>
      <c r="Z1529" s="1122"/>
      <c r="AC1529" s="1150"/>
      <c r="AD1529" s="1150"/>
      <c r="AE1529" s="1150"/>
      <c r="AL1529" s="1352"/>
      <c r="AM1529" s="1352"/>
      <c r="AN1529" s="1352"/>
      <c r="AO1529" s="1352"/>
      <c r="AP1529" s="1352"/>
      <c r="AQ1529" s="1352"/>
      <c r="AR1529" s="1352"/>
      <c r="AS1529" s="1352"/>
    </row>
    <row r="1530" spans="1:45" s="905" customFormat="1" hidden="1" x14ac:dyDescent="0.2">
      <c r="A1530" s="1507">
        <v>7</v>
      </c>
      <c r="B1530" s="1516" t="s">
        <v>4466</v>
      </c>
      <c r="C1530" s="1516"/>
      <c r="D1530" s="1516"/>
      <c r="E1530" s="1516"/>
      <c r="F1530" s="1511"/>
      <c r="G1530" s="1513" t="str">
        <f ca="1">IF(COUNTIF(G1531:G1533,"P")&gt;0,"P","")</f>
        <v/>
      </c>
      <c r="H1530" s="1510" t="s">
        <v>3197</v>
      </c>
      <c r="I1530" s="589" t="s">
        <v>4367</v>
      </c>
      <c r="J1530" s="589"/>
      <c r="K1530" s="589"/>
      <c r="L1530" s="946" t="s">
        <v>4368</v>
      </c>
      <c r="M1530" s="991"/>
      <c r="N1530" s="991"/>
      <c r="O1530" s="991"/>
      <c r="P1530" s="991"/>
      <c r="Q1530" s="991"/>
      <c r="R1530" s="991"/>
      <c r="S1530" s="991"/>
      <c r="T1530" s="991"/>
      <c r="Z1530" s="1122"/>
      <c r="AC1530" s="1150"/>
      <c r="AD1530" s="1150"/>
      <c r="AE1530" s="1150"/>
      <c r="AL1530" s="1352"/>
      <c r="AM1530" s="1352"/>
      <c r="AN1530" s="1352"/>
      <c r="AO1530" s="1352"/>
      <c r="AP1530" s="1352"/>
      <c r="AQ1530" s="1352"/>
      <c r="AR1530" s="1352"/>
      <c r="AS1530" s="1352"/>
    </row>
    <row r="1531" spans="1:45" s="905" customFormat="1" ht="15" hidden="1" customHeight="1" x14ac:dyDescent="0.2">
      <c r="A1531" s="1507">
        <v>7</v>
      </c>
      <c r="B1531" s="1516" t="s">
        <v>4466</v>
      </c>
      <c r="C1531" s="1516" t="s">
        <v>254</v>
      </c>
      <c r="D1531" s="1516"/>
      <c r="E1531" s="1516"/>
      <c r="F1531" s="1511"/>
      <c r="G1531" s="1509" t="str">
        <f ca="1">IF(N1531&gt;0,"P","")</f>
        <v/>
      </c>
      <c r="H1531" s="1510" t="s">
        <v>3197</v>
      </c>
      <c r="I1531" s="589"/>
      <c r="J1531" s="590" t="s">
        <v>254</v>
      </c>
      <c r="K1531" s="590"/>
      <c r="L1531" s="1634" t="s">
        <v>4369</v>
      </c>
      <c r="M1531" s="1623">
        <v>1</v>
      </c>
      <c r="N1531" s="1619">
        <f ca="1">'11.700'!O657</f>
        <v>0</v>
      </c>
      <c r="O1531" s="1619">
        <f ca="1">M1531*S1531*W1531</f>
        <v>0</v>
      </c>
      <c r="P1531" s="991" t="b">
        <v>1</v>
      </c>
      <c r="Q1531" s="991" t="b">
        <v>1</v>
      </c>
      <c r="R1531" s="991" t="b">
        <v>0</v>
      </c>
      <c r="S1531" s="991" t="b">
        <f ca="1">S885=2</f>
        <v>0</v>
      </c>
      <c r="T1531" s="991" t="b">
        <v>0</v>
      </c>
      <c r="W1531" s="27"/>
      <c r="X1531" s="1600"/>
      <c r="Y1531" s="1874" t="str">
        <f>IF(LEN('11.700'!X657)=0,"None",'11.700'!X657)</f>
        <v>None</v>
      </c>
      <c r="Z1531" s="1600"/>
      <c r="AC1531" s="1150" t="b">
        <f>OR(AD1531:AE1531)</f>
        <v>0</v>
      </c>
      <c r="AD1531" s="1150" t="b">
        <f>T1531</f>
        <v>0</v>
      </c>
      <c r="AE1531" s="1150"/>
      <c r="AL1531" s="1352" t="str">
        <f>SUBSTITUTE(SUBSTITUTE(SUBSTITUTE("vpa"&amp;$B1531&amp;$C1531&amp;$D1531&amp;$E1531&amp;$F1531,".","_"),"(","_"),")","")</f>
        <v>vpa706_4_1_1</v>
      </c>
      <c r="AM1531" s="1352">
        <f>M1531</f>
        <v>1</v>
      </c>
      <c r="AN1531" s="1352" t="str">
        <f>SUBSTITUTE(SUBSTITUTE(SUBSTITUTE("vpc"&amp;$B1531&amp;$C1531&amp;$D1531&amp;$E1531&amp;$F1531,".","_"),"(","_"),")","")</f>
        <v>vpc706_4_1_1</v>
      </c>
      <c r="AO1531" s="1352">
        <f ca="1">O1531</f>
        <v>0</v>
      </c>
      <c r="AP1531" s="1352" t="str">
        <f>SUBSTITUTE(SUBSTITUTE(SUBSTITUTE("vch"&amp;$B1531&amp;$C1531&amp;$D1531&amp;$E1531&amp;$F1531,".","_"),"(","_"),")","")</f>
        <v>vch706_4_1_1</v>
      </c>
      <c r="AQ1531" s="1352" t="str">
        <f>IF(LEN(W1531)=0,"",W1531)</f>
        <v/>
      </c>
      <c r="AR1531" s="1352" t="str">
        <f>SUBSTITUTE(SUBSTITUTE(SUBSTITUTE("vnt"&amp;$B1531&amp;$C1531&amp;$D1531&amp;$E1531&amp;$F1531,".","_"),"(","_"),")","")</f>
        <v>vnt706_4_1_1</v>
      </c>
      <c r="AS1531" s="1352" t="str">
        <f>IF(LEN(X1531)=0,"",X1531)</f>
        <v/>
      </c>
    </row>
    <row r="1532" spans="1:45" s="905" customFormat="1" hidden="1" x14ac:dyDescent="0.2">
      <c r="A1532" s="1507">
        <v>7</v>
      </c>
      <c r="B1532" s="1516" t="s">
        <v>4466</v>
      </c>
      <c r="C1532" s="1516" t="s">
        <v>254</v>
      </c>
      <c r="D1532" s="1516"/>
      <c r="E1532" s="1516"/>
      <c r="F1532" s="1511"/>
      <c r="G1532" s="1509" t="str">
        <f ca="1">G1531</f>
        <v/>
      </c>
      <c r="H1532" s="1510" t="s">
        <v>3197</v>
      </c>
      <c r="I1532" s="589"/>
      <c r="J1532" s="606"/>
      <c r="K1532" s="606"/>
      <c r="L1532" s="1639"/>
      <c r="M1532" s="1624"/>
      <c r="N1532" s="1620"/>
      <c r="O1532" s="1620"/>
      <c r="P1532" s="991"/>
      <c r="Q1532" s="991"/>
      <c r="R1532" s="991"/>
      <c r="S1532" s="991"/>
      <c r="T1532" s="991"/>
      <c r="X1532" s="1600"/>
      <c r="Y1532" s="1874"/>
      <c r="Z1532" s="1600"/>
      <c r="AL1532" s="1352"/>
      <c r="AM1532" s="1352"/>
      <c r="AN1532" s="1352"/>
      <c r="AO1532" s="1352"/>
      <c r="AP1532" s="1352"/>
      <c r="AQ1532" s="1352"/>
      <c r="AR1532" s="1352"/>
      <c r="AS1532" s="1352"/>
    </row>
    <row r="1533" spans="1:45" s="905" customFormat="1" ht="15" hidden="1" customHeight="1" x14ac:dyDescent="0.2">
      <c r="A1533" s="1507">
        <v>7</v>
      </c>
      <c r="B1533" s="1516" t="s">
        <v>4466</v>
      </c>
      <c r="C1533" s="1516" t="s">
        <v>255</v>
      </c>
      <c r="D1533" s="1516"/>
      <c r="E1533" s="1516"/>
      <c r="F1533" s="1511"/>
      <c r="G1533" s="1509" t="str">
        <f ca="1">IF(N1533&gt;0,"P","")</f>
        <v/>
      </c>
      <c r="H1533" s="1510" t="s">
        <v>3197</v>
      </c>
      <c r="I1533" s="590"/>
      <c r="J1533" s="590" t="s">
        <v>255</v>
      </c>
      <c r="K1533" s="590"/>
      <c r="L1533" s="1634" t="s">
        <v>4370</v>
      </c>
      <c r="M1533" s="1623">
        <v>3</v>
      </c>
      <c r="N1533" s="1637">
        <f ca="1">'11.700'!O659</f>
        <v>0</v>
      </c>
      <c r="O1533" s="1619">
        <f ca="1">M1533*S1533*W1533</f>
        <v>0</v>
      </c>
      <c r="P1533" s="991" t="b">
        <v>1</v>
      </c>
      <c r="Q1533" s="991" t="b">
        <v>1</v>
      </c>
      <c r="R1533" s="991" t="b">
        <v>0</v>
      </c>
      <c r="S1533" s="991" t="b">
        <f ca="1">S885=2</f>
        <v>0</v>
      </c>
      <c r="T1533" s="991" t="b">
        <v>0</v>
      </c>
      <c r="W1533" s="27"/>
      <c r="X1533" s="1600"/>
      <c r="Y1533" s="1874" t="str">
        <f>IF(LEN('11.700'!X659)=0,"None",'11.700'!X659)</f>
        <v>None</v>
      </c>
      <c r="Z1533" s="1600"/>
      <c r="AC1533" s="1150" t="b">
        <f>OR(AD1533:AE1533)</f>
        <v>0</v>
      </c>
      <c r="AD1533" s="1150" t="b">
        <f>T1533</f>
        <v>0</v>
      </c>
      <c r="AE1533" s="1150"/>
      <c r="AL1533" s="1352" t="str">
        <f>SUBSTITUTE(SUBSTITUTE(SUBSTITUTE("vpa"&amp;$B1533&amp;$C1533&amp;$D1533&amp;$E1533&amp;$F1533,".","_"),"(","_"),")","")</f>
        <v>vpa706_4_1_2</v>
      </c>
      <c r="AM1533" s="1352">
        <f>M1533</f>
        <v>3</v>
      </c>
      <c r="AN1533" s="1352" t="str">
        <f>SUBSTITUTE(SUBSTITUTE(SUBSTITUTE("vpc"&amp;$B1533&amp;$C1533&amp;$D1533&amp;$E1533&amp;$F1533,".","_"),"(","_"),")","")</f>
        <v>vpc706_4_1_2</v>
      </c>
      <c r="AO1533" s="1352">
        <f ca="1">O1533</f>
        <v>0</v>
      </c>
      <c r="AP1533" s="1352" t="str">
        <f>SUBSTITUTE(SUBSTITUTE(SUBSTITUTE("vch"&amp;$B1533&amp;$C1533&amp;$D1533&amp;$E1533&amp;$F1533,".","_"),"(","_"),")","")</f>
        <v>vch706_4_1_2</v>
      </c>
      <c r="AQ1533" s="1352" t="str">
        <f>IF(LEN(W1533)=0,"",W1533)</f>
        <v/>
      </c>
      <c r="AR1533" s="1352" t="str">
        <f>SUBSTITUTE(SUBSTITUTE(SUBSTITUTE("vnt"&amp;$B1533&amp;$C1533&amp;$D1533&amp;$E1533&amp;$F1533,".","_"),"(","_"),")","")</f>
        <v>vnt706_4_1_2</v>
      </c>
      <c r="AS1533" s="1352" t="str">
        <f>IF(LEN(X1533)=0,"",X1533)</f>
        <v/>
      </c>
    </row>
    <row r="1534" spans="1:45" s="905" customFormat="1" hidden="1" x14ac:dyDescent="0.2">
      <c r="A1534" s="1507">
        <v>7</v>
      </c>
      <c r="B1534" s="1516" t="s">
        <v>4466</v>
      </c>
      <c r="C1534" s="1516" t="s">
        <v>255</v>
      </c>
      <c r="D1534" s="1516"/>
      <c r="E1534" s="1516"/>
      <c r="F1534" s="1511"/>
      <c r="G1534" s="1509" t="str">
        <f ca="1">G1533</f>
        <v/>
      </c>
      <c r="H1534" s="1510" t="s">
        <v>3197</v>
      </c>
      <c r="I1534" s="606"/>
      <c r="J1534" s="606"/>
      <c r="K1534" s="606"/>
      <c r="L1534" s="1639"/>
      <c r="M1534" s="1624"/>
      <c r="N1534" s="1620"/>
      <c r="O1534" s="1620"/>
      <c r="P1534" s="991"/>
      <c r="Q1534" s="991"/>
      <c r="R1534" s="991"/>
      <c r="S1534" s="991"/>
      <c r="T1534" s="991"/>
      <c r="X1534" s="1600"/>
      <c r="Y1534" s="1874"/>
      <c r="Z1534" s="1600"/>
      <c r="AC1534" s="1150"/>
      <c r="AD1534" s="1150"/>
      <c r="AE1534" s="1150"/>
      <c r="AL1534" s="1352"/>
      <c r="AM1534" s="1352"/>
      <c r="AN1534" s="1352"/>
      <c r="AO1534" s="1352"/>
      <c r="AP1534" s="1352"/>
      <c r="AQ1534" s="1352"/>
      <c r="AR1534" s="1352"/>
      <c r="AS1534" s="1352"/>
    </row>
    <row r="1535" spans="1:45" s="905" customFormat="1" ht="15" hidden="1" customHeight="1" x14ac:dyDescent="0.2">
      <c r="A1535" s="1507">
        <v>7</v>
      </c>
      <c r="B1535" s="1516" t="s">
        <v>4467</v>
      </c>
      <c r="C1535" s="1516"/>
      <c r="D1535" s="1516"/>
      <c r="E1535" s="1516"/>
      <c r="F1535" s="1511"/>
      <c r="G1535" s="1509" t="str">
        <f ca="1">IF(N1535&gt;0,"P","")</f>
        <v/>
      </c>
      <c r="H1535" s="1510" t="s">
        <v>3197</v>
      </c>
      <c r="I1535" s="590" t="s">
        <v>4371</v>
      </c>
      <c r="J1535" s="590"/>
      <c r="K1535" s="590"/>
      <c r="L1535" s="1687" t="s">
        <v>4372</v>
      </c>
      <c r="M1535" s="1623">
        <v>1</v>
      </c>
      <c r="N1535" s="1637">
        <f ca="1">'11.700'!O661</f>
        <v>0</v>
      </c>
      <c r="O1535" s="1619">
        <f ca="1">M1535*S1535*W1535</f>
        <v>0</v>
      </c>
      <c r="P1535" s="991" t="b">
        <v>1</v>
      </c>
      <c r="Q1535" s="991" t="b">
        <v>1</v>
      </c>
      <c r="R1535" s="991" t="b">
        <v>0</v>
      </c>
      <c r="S1535" s="991" t="b">
        <f ca="1">S885=2</f>
        <v>0</v>
      </c>
      <c r="T1535" s="991" t="b">
        <v>0</v>
      </c>
      <c r="U1535" s="991"/>
      <c r="W1535" s="333"/>
      <c r="X1535" s="1601"/>
      <c r="Y1535" s="1881" t="str">
        <f>IF(LEN('11.700'!X661)=0,"None",'11.700'!X661)</f>
        <v>None</v>
      </c>
      <c r="Z1535" s="1600"/>
      <c r="AC1535" s="1150" t="b">
        <f>OR(AD1535:AE1535)</f>
        <v>0</v>
      </c>
      <c r="AD1535" s="1150" t="b">
        <f>T1535</f>
        <v>0</v>
      </c>
      <c r="AE1535" s="1150"/>
      <c r="AL1535" s="1352" t="str">
        <f>SUBSTITUTE(SUBSTITUTE(SUBSTITUTE("vpa"&amp;$B1535&amp;$C1535&amp;$D1535&amp;$E1535&amp;$F1535,".","_"),"(","_"),")","")</f>
        <v>vpa706_4_2</v>
      </c>
      <c r="AM1535" s="1352">
        <f>M1535</f>
        <v>1</v>
      </c>
      <c r="AN1535" s="1352" t="str">
        <f>SUBSTITUTE(SUBSTITUTE(SUBSTITUTE("vpc"&amp;$B1535&amp;$C1535&amp;$D1535&amp;$E1535&amp;$F1535,".","_"),"(","_"),")","")</f>
        <v>vpc706_4_2</v>
      </c>
      <c r="AO1535" s="1352">
        <f ca="1">O1535</f>
        <v>0</v>
      </c>
      <c r="AP1535" s="1352" t="str">
        <f>SUBSTITUTE(SUBSTITUTE(SUBSTITUTE("vch"&amp;$B1535&amp;$C1535&amp;$D1535&amp;$E1535&amp;$F1535,".","_"),"(","_"),")","")</f>
        <v>vch706_4_2</v>
      </c>
      <c r="AQ1535" s="1352" t="str">
        <f>IF(LEN(W1535)=0,"",W1535)</f>
        <v/>
      </c>
      <c r="AR1535" s="1352" t="str">
        <f>SUBSTITUTE(SUBSTITUTE(SUBSTITUTE("vnt"&amp;$B1535&amp;$C1535&amp;$D1535&amp;$E1535&amp;$F1535,".","_"),"(","_"),")","")</f>
        <v>vnt706_4_2</v>
      </c>
      <c r="AS1535" s="1352" t="str">
        <f>IF(LEN(X1535)=0,"",X1535)</f>
        <v/>
      </c>
    </row>
    <row r="1536" spans="1:45" s="905" customFormat="1" ht="16" hidden="1" thickBot="1" x14ac:dyDescent="0.25">
      <c r="A1536" s="1507">
        <v>7</v>
      </c>
      <c r="B1536" s="1516" t="s">
        <v>4467</v>
      </c>
      <c r="C1536" s="1516"/>
      <c r="D1536" s="1516"/>
      <c r="E1536" s="1516"/>
      <c r="F1536" s="1511"/>
      <c r="G1536" s="1509" t="str">
        <f ca="1">G1535</f>
        <v/>
      </c>
      <c r="H1536" s="1510" t="s">
        <v>3197</v>
      </c>
      <c r="I1536" s="594"/>
      <c r="J1536" s="594"/>
      <c r="K1536" s="594"/>
      <c r="L1536" s="1738"/>
      <c r="M1536" s="1627"/>
      <c r="N1536" s="1638"/>
      <c r="O1536" s="1638"/>
      <c r="P1536" s="100"/>
      <c r="Q1536" s="100"/>
      <c r="R1536" s="100"/>
      <c r="S1536" s="100"/>
      <c r="T1536" s="100"/>
      <c r="U1536" s="100"/>
      <c r="W1536" s="100"/>
      <c r="X1536" s="1602"/>
      <c r="Y1536" s="1882"/>
      <c r="Z1536" s="1602"/>
      <c r="AC1536" s="1150"/>
      <c r="AD1536" s="1150"/>
      <c r="AE1536" s="1150"/>
      <c r="AL1536" s="1352"/>
      <c r="AM1536" s="1352"/>
      <c r="AN1536" s="1352"/>
      <c r="AO1536" s="1352"/>
      <c r="AP1536" s="1352"/>
      <c r="AQ1536" s="1352"/>
      <c r="AR1536" s="1352"/>
      <c r="AS1536" s="1352"/>
    </row>
    <row r="1537" spans="1:45" s="905" customFormat="1" ht="15" hidden="1" customHeight="1" thickTop="1" x14ac:dyDescent="0.2">
      <c r="A1537" s="1507">
        <v>7</v>
      </c>
      <c r="B1537" s="1516">
        <v>706.5</v>
      </c>
      <c r="C1537" s="1516"/>
      <c r="D1537" s="1516"/>
      <c r="E1537" s="1516"/>
      <c r="F1537" s="1511"/>
      <c r="G1537" s="1513" t="str">
        <f ca="1">IF(COUNTIF(G1538:G1542,"P")&gt;0,"P","")</f>
        <v/>
      </c>
      <c r="H1537" s="1530" t="s">
        <v>3199</v>
      </c>
      <c r="I1537" s="589" t="s">
        <v>4373</v>
      </c>
      <c r="J1537" s="589"/>
      <c r="K1537" s="589"/>
      <c r="L1537" s="946" t="s">
        <v>4374</v>
      </c>
      <c r="M1537" s="991"/>
      <c r="N1537" s="991"/>
      <c r="O1537" s="991"/>
      <c r="P1537" s="991"/>
      <c r="Q1537" s="991"/>
      <c r="R1537" s="991"/>
      <c r="S1537" s="991"/>
      <c r="T1537" s="991"/>
      <c r="X1537" s="1122"/>
      <c r="Z1537" s="1122"/>
      <c r="AC1537" s="1150"/>
      <c r="AD1537" s="1150"/>
      <c r="AE1537" s="1150"/>
      <c r="AL1537" s="1352"/>
      <c r="AM1537" s="1352"/>
      <c r="AN1537" s="1352"/>
      <c r="AO1537" s="1352"/>
      <c r="AP1537" s="1352"/>
      <c r="AQ1537" s="1352"/>
      <c r="AR1537" s="1352"/>
      <c r="AS1537" s="1352"/>
    </row>
    <row r="1538" spans="1:45" s="905" customFormat="1" hidden="1" x14ac:dyDescent="0.2">
      <c r="A1538" s="1507">
        <v>7</v>
      </c>
      <c r="B1538" s="1516">
        <v>706.5</v>
      </c>
      <c r="C1538" s="1516" t="s">
        <v>254</v>
      </c>
      <c r="D1538" s="1516"/>
      <c r="E1538" s="1516"/>
      <c r="F1538" s="1511"/>
      <c r="G1538" s="1509" t="str">
        <f ca="1">IF(N1538&gt;0,"P","")</f>
        <v/>
      </c>
      <c r="H1538" s="1530" t="s">
        <v>3199</v>
      </c>
      <c r="I1538" s="589"/>
      <c r="J1538" s="590" t="s">
        <v>254</v>
      </c>
      <c r="K1538" s="590"/>
      <c r="L1538" s="917" t="s">
        <v>4375</v>
      </c>
      <c r="M1538" s="1623">
        <v>1</v>
      </c>
      <c r="N1538" s="1619">
        <f ca="1">'11.700'!O664</f>
        <v>0</v>
      </c>
      <c r="O1538" s="1619">
        <f ca="1">M1538*S1538*W1538</f>
        <v>0</v>
      </c>
      <c r="P1538" s="991" t="b">
        <v>0</v>
      </c>
      <c r="Q1538" s="991" t="b">
        <v>1</v>
      </c>
      <c r="R1538" s="991" t="b">
        <v>0</v>
      </c>
      <c r="S1538" s="991" t="b">
        <f ca="1">S885=2</f>
        <v>0</v>
      </c>
      <c r="T1538" s="991" t="b">
        <v>0</v>
      </c>
      <c r="W1538" s="27"/>
      <c r="X1538" s="1600"/>
      <c r="Y1538" s="1874" t="str">
        <f>IF(LEN('11.700'!X664)=0,"None",'11.700'!X664)</f>
        <v>None</v>
      </c>
      <c r="Z1538" s="1600"/>
      <c r="AC1538" s="1150" t="b">
        <f>OR(AD1538:AE1538)</f>
        <v>0</v>
      </c>
      <c r="AD1538" s="1150" t="b">
        <f>T1538</f>
        <v>0</v>
      </c>
      <c r="AE1538" s="1150"/>
      <c r="AL1538" s="1352" t="str">
        <f>SUBSTITUTE(SUBSTITUTE(SUBSTITUTE("vpa"&amp;$B1538&amp;$C1538&amp;$D1538&amp;$E1538&amp;$F1538,".","_"),"(","_"),")","")</f>
        <v>vpa706_5_1</v>
      </c>
      <c r="AM1538" s="1352">
        <f>M1538</f>
        <v>1</v>
      </c>
      <c r="AN1538" s="1352" t="str">
        <f>SUBSTITUTE(SUBSTITUTE(SUBSTITUTE("vpc"&amp;$B1538&amp;$C1538&amp;$D1538&amp;$E1538&amp;$F1538,".","_"),"(","_"),")","")</f>
        <v>vpc706_5_1</v>
      </c>
      <c r="AO1538" s="1352">
        <f ca="1">O1538</f>
        <v>0</v>
      </c>
      <c r="AP1538" s="1352" t="str">
        <f>SUBSTITUTE(SUBSTITUTE(SUBSTITUTE("vch"&amp;$B1538&amp;$C1538&amp;$D1538&amp;$E1538&amp;$F1538,".","_"),"(","_"),")","")</f>
        <v>vch706_5_1</v>
      </c>
      <c r="AQ1538" s="1352" t="str">
        <f>IF(LEN(W1538)=0,"",W1538)</f>
        <v/>
      </c>
      <c r="AR1538" s="1352" t="str">
        <f>SUBSTITUTE(SUBSTITUTE(SUBSTITUTE("vnt"&amp;$B1538&amp;$C1538&amp;$D1538&amp;$E1538&amp;$F1538,".","_"),"(","_"),")","")</f>
        <v>vnt706_5_1</v>
      </c>
      <c r="AS1538" s="1352" t="str">
        <f>IF(LEN(X1538)=0,"",X1538)</f>
        <v/>
      </c>
    </row>
    <row r="1539" spans="1:45" s="905" customFormat="1" hidden="1" x14ac:dyDescent="0.2">
      <c r="A1539" s="1507">
        <v>7</v>
      </c>
      <c r="B1539" s="1516">
        <v>706.5</v>
      </c>
      <c r="C1539" s="1516" t="s">
        <v>254</v>
      </c>
      <c r="D1539" s="1516"/>
      <c r="E1539" s="1516"/>
      <c r="F1539" s="1511"/>
      <c r="G1539" s="1509" t="str">
        <f ca="1">G1538</f>
        <v/>
      </c>
      <c r="H1539" s="1530" t="s">
        <v>3199</v>
      </c>
      <c r="I1539" s="589"/>
      <c r="J1539" s="606"/>
      <c r="K1539" s="606"/>
      <c r="L1539" s="923"/>
      <c r="M1539" s="1624"/>
      <c r="N1539" s="1620"/>
      <c r="O1539" s="1620"/>
      <c r="P1539" s="991"/>
      <c r="Q1539" s="991"/>
      <c r="R1539" s="991"/>
      <c r="S1539" s="198">
        <f ca="1">IF(AY893=INDEX(INDIRECT("ddSingleOrMulti"),1),1,AY894)</f>
        <v>48</v>
      </c>
      <c r="T1539" s="991"/>
      <c r="W1539" s="991" t="str">
        <f ca="1">"kW per "&amp;IF(AY893=INDEX(INDIRECT("ddSingleOrMulti"),1),"1 unit:",AY894&amp;" units:")</f>
        <v>kW per 48 units:</v>
      </c>
      <c r="X1539" s="1600"/>
      <c r="Y1539" s="1874"/>
      <c r="Z1539" s="1600"/>
      <c r="AC1539" s="1150"/>
      <c r="AD1539" s="1150"/>
      <c r="AE1539" s="1150"/>
      <c r="AL1539" s="1352"/>
      <c r="AM1539" s="1352"/>
      <c r="AN1539" s="1352"/>
      <c r="AO1539" s="1352"/>
      <c r="AP1539" s="1352"/>
      <c r="AQ1539" s="1352"/>
      <c r="AR1539" s="1352"/>
      <c r="AS1539" s="1352"/>
    </row>
    <row r="1540" spans="1:45" s="905" customFormat="1" hidden="1" x14ac:dyDescent="0.2">
      <c r="A1540" s="1507">
        <v>7</v>
      </c>
      <c r="B1540" s="1516">
        <v>706.5</v>
      </c>
      <c r="C1540" s="1516" t="s">
        <v>255</v>
      </c>
      <c r="D1540" s="1516"/>
      <c r="E1540" s="1516"/>
      <c r="F1540" s="1511"/>
      <c r="G1540" s="1509" t="str">
        <f ca="1">IF(N1540&gt;0,"P","")</f>
        <v/>
      </c>
      <c r="H1540" s="1530" t="s">
        <v>3199</v>
      </c>
      <c r="I1540" s="589"/>
      <c r="J1540" s="590" t="s">
        <v>255</v>
      </c>
      <c r="K1540" s="590"/>
      <c r="L1540" s="917" t="s">
        <v>4376</v>
      </c>
      <c r="M1540" s="1692" t="s">
        <v>4507</v>
      </c>
      <c r="N1540" s="1637">
        <f ca="1">'11.700'!O666</f>
        <v>0</v>
      </c>
      <c r="O1540" s="1619">
        <f ca="1">IFERROR(ROUNDDOWN(2*W1540/S1539,0),0)*S1540</f>
        <v>0</v>
      </c>
      <c r="P1540" s="991" t="b">
        <v>0</v>
      </c>
      <c r="Q1540" s="991" t="b">
        <v>1</v>
      </c>
      <c r="R1540" s="991" t="b">
        <v>0</v>
      </c>
      <c r="S1540" s="991" t="b">
        <f ca="1">S885=2</f>
        <v>0</v>
      </c>
      <c r="T1540" s="991" t="b">
        <v>0</v>
      </c>
      <c r="W1540" s="983"/>
      <c r="X1540" s="1600"/>
      <c r="Y1540" s="1874"/>
      <c r="Z1540" s="1600"/>
      <c r="AC1540" s="1150" t="b">
        <f>OR(AD1540:AE1540)</f>
        <v>0</v>
      </c>
      <c r="AD1540" s="1150" t="b">
        <f>T1540</f>
        <v>0</v>
      </c>
      <c r="AE1540" s="1150"/>
      <c r="AL1540" s="1352" t="str">
        <f>SUBSTITUTE(SUBSTITUTE(SUBSTITUTE("vpa"&amp;$B1540&amp;$C1540&amp;$D1540&amp;$E1540&amp;$F1540,".","_"),"(","_"),")","")</f>
        <v>vpa706_5_2</v>
      </c>
      <c r="AM1540" s="1352" t="str">
        <f>M1540</f>
        <v>2 per kW</v>
      </c>
      <c r="AN1540" s="1352" t="str">
        <f>SUBSTITUTE(SUBSTITUTE(SUBSTITUTE("vpc"&amp;$B1540&amp;$C1540&amp;$D1540&amp;$E1540&amp;$F1540,".","_"),"(","_"),")","")</f>
        <v>vpc706_5_2</v>
      </c>
      <c r="AO1540" s="1352">
        <f ca="1">O1540</f>
        <v>0</v>
      </c>
      <c r="AP1540" s="1352" t="str">
        <f>SUBSTITUTE(SUBSTITUTE(SUBSTITUTE("vch"&amp;$B1540&amp;$C1540&amp;$D1540&amp;$E1540&amp;$F1540,".","_"),"(","_"),")","")</f>
        <v>vch706_5_2</v>
      </c>
      <c r="AQ1540" s="1352" t="str">
        <f>IF(LEN(W1540)=0,"",W1540)</f>
        <v/>
      </c>
      <c r="AR1540" s="1352"/>
      <c r="AS1540" s="1352"/>
    </row>
    <row r="1541" spans="1:45" s="905" customFormat="1" hidden="1" x14ac:dyDescent="0.2">
      <c r="A1541" s="1507">
        <v>7</v>
      </c>
      <c r="B1541" s="1516">
        <v>706.5</v>
      </c>
      <c r="C1541" s="1516" t="s">
        <v>255</v>
      </c>
      <c r="D1541" s="1516"/>
      <c r="E1541" s="1516"/>
      <c r="F1541" s="1511"/>
      <c r="G1541" s="1509" t="str">
        <f ca="1">G1540</f>
        <v/>
      </c>
      <c r="H1541" s="1530" t="s">
        <v>3199</v>
      </c>
      <c r="I1541" s="589"/>
      <c r="J1541" s="606"/>
      <c r="K1541" s="606"/>
      <c r="L1541" s="923"/>
      <c r="M1541" s="1711"/>
      <c r="N1541" s="1620"/>
      <c r="O1541" s="1620"/>
      <c r="P1541" s="991"/>
      <c r="Q1541" s="991"/>
      <c r="R1541" s="991"/>
      <c r="S1541" s="991"/>
      <c r="T1541" s="991"/>
      <c r="W1541" s="903" t="str">
        <f ca="1">"kWh of storage/ "&amp;IF(AY893=INDEX(INDIRECT("ddSingleOrMulti"),1),"1 unit:",AY894&amp;" units:")</f>
        <v>kWh of storage/ 48 units:</v>
      </c>
      <c r="X1541" s="1600"/>
      <c r="Y1541" s="1874"/>
      <c r="Z1541" s="1600"/>
      <c r="AC1541" s="1150"/>
      <c r="AD1541" s="1150"/>
      <c r="AE1541" s="1150"/>
      <c r="AL1541" s="1352"/>
      <c r="AM1541" s="1352"/>
      <c r="AN1541" s="1352"/>
      <c r="AO1541" s="1352"/>
      <c r="AP1541" s="1352"/>
      <c r="AQ1541" s="1352"/>
      <c r="AR1541" s="1352"/>
      <c r="AS1541" s="1352"/>
    </row>
    <row r="1542" spans="1:45" s="905" customFormat="1" ht="15" hidden="1" customHeight="1" x14ac:dyDescent="0.2">
      <c r="A1542" s="1507">
        <v>7</v>
      </c>
      <c r="B1542" s="1516">
        <v>706.5</v>
      </c>
      <c r="C1542" s="1516" t="s">
        <v>256</v>
      </c>
      <c r="D1542" s="1516"/>
      <c r="E1542" s="1516"/>
      <c r="F1542" s="1511"/>
      <c r="G1542" s="1509" t="str">
        <f ca="1">IF(N1542&gt;0,"P","")</f>
        <v/>
      </c>
      <c r="H1542" s="1530" t="s">
        <v>3199</v>
      </c>
      <c r="I1542" s="589"/>
      <c r="J1542" s="589" t="s">
        <v>256</v>
      </c>
      <c r="K1542" s="589"/>
      <c r="L1542" s="1634" t="s">
        <v>4377</v>
      </c>
      <c r="M1542" s="1692" t="s">
        <v>4508</v>
      </c>
      <c r="N1542" s="1637">
        <f ca="1">'11.700'!O668</f>
        <v>0</v>
      </c>
      <c r="O1542" s="1619">
        <f ca="1">IFERROR(ROUNDDOWN(W1542/2/S1539,0),0)*S1542</f>
        <v>0</v>
      </c>
      <c r="P1542" s="991" t="b">
        <v>0</v>
      </c>
      <c r="Q1542" s="991" t="b">
        <v>1</v>
      </c>
      <c r="R1542" s="991" t="b">
        <v>0</v>
      </c>
      <c r="S1542" s="991" t="b">
        <f ca="1">AND(S885=2,W1540&gt;0)</f>
        <v>0</v>
      </c>
      <c r="T1542" s="991" t="b">
        <v>0</v>
      </c>
      <c r="W1542" s="984"/>
      <c r="X1542" s="1600"/>
      <c r="Y1542" s="1874"/>
      <c r="Z1542" s="1600"/>
      <c r="AC1542" s="1150" t="b">
        <f>OR(AD1542:AE1542)</f>
        <v>0</v>
      </c>
      <c r="AD1542" s="1150" t="b">
        <f>T1542</f>
        <v>0</v>
      </c>
      <c r="AE1542" s="1150"/>
      <c r="AL1542" s="1352" t="str">
        <f>SUBSTITUTE(SUBSTITUTE(SUBSTITUTE("vpa"&amp;$B1542&amp;$C1542&amp;$D1542&amp;$E1542&amp;$F1542,".","_"),"(","_"),")","")</f>
        <v>vpa706_5_3</v>
      </c>
      <c r="AM1542" s="1352" t="str">
        <f>M1542</f>
        <v>2 per kW,
1 per 2 kWh</v>
      </c>
      <c r="AN1542" s="1352" t="str">
        <f>SUBSTITUTE(SUBSTITUTE(SUBSTITUTE("vpc"&amp;$B1542&amp;$C1542&amp;$D1542&amp;$E1542&amp;$F1542,".","_"),"(","_"),")","")</f>
        <v>vpc706_5_3</v>
      </c>
      <c r="AO1542" s="1352">
        <f ca="1">O1542</f>
        <v>0</v>
      </c>
      <c r="AP1542" s="1352" t="str">
        <f>SUBSTITUTE(SUBSTITUTE(SUBSTITUTE("vch"&amp;$B1542&amp;$C1542&amp;$D1542&amp;$E1542&amp;$F1542,".","_"),"(","_"),")","")</f>
        <v>vch706_5_3</v>
      </c>
      <c r="AQ1542" s="1352" t="str">
        <f>IF(LEN(W1542)=0,"",W1542)</f>
        <v/>
      </c>
      <c r="AR1542" s="1352"/>
      <c r="AS1542" s="1352"/>
    </row>
    <row r="1543" spans="1:45" s="905" customFormat="1" hidden="1" x14ac:dyDescent="0.2">
      <c r="A1543" s="1507">
        <v>7</v>
      </c>
      <c r="B1543" s="1516">
        <v>706.5</v>
      </c>
      <c r="C1543" s="1516" t="s">
        <v>256</v>
      </c>
      <c r="D1543" s="1516"/>
      <c r="E1543" s="1516"/>
      <c r="F1543" s="1511"/>
      <c r="G1543" s="1509" t="str">
        <f t="shared" ref="G1543:G1551" ca="1" si="125">G1542</f>
        <v/>
      </c>
      <c r="H1543" s="1530" t="s">
        <v>3199</v>
      </c>
      <c r="I1543" s="589"/>
      <c r="J1543" s="589"/>
      <c r="K1543" s="589"/>
      <c r="L1543" s="1634"/>
      <c r="M1543" s="1692"/>
      <c r="N1543" s="1619"/>
      <c r="O1543" s="1619"/>
      <c r="P1543" s="991"/>
      <c r="Q1543" s="991"/>
      <c r="R1543" s="991"/>
      <c r="S1543" s="991"/>
      <c r="T1543" s="991"/>
      <c r="X1543" s="1600"/>
      <c r="Y1543" s="1874"/>
      <c r="Z1543" s="1600"/>
      <c r="AC1543" s="1150"/>
      <c r="AD1543" s="1150"/>
      <c r="AE1543" s="1150"/>
      <c r="AL1543" s="1352"/>
      <c r="AM1543" s="1352"/>
      <c r="AN1543" s="1352"/>
      <c r="AO1543" s="1352"/>
      <c r="AP1543" s="1352"/>
      <c r="AQ1543" s="1352"/>
      <c r="AR1543" s="1352"/>
      <c r="AS1543" s="1352"/>
    </row>
    <row r="1544" spans="1:45" s="905" customFormat="1" ht="15" hidden="1" customHeight="1" x14ac:dyDescent="0.2">
      <c r="A1544" s="1507">
        <v>7</v>
      </c>
      <c r="B1544" s="1516">
        <v>706.5</v>
      </c>
      <c r="C1544" s="1516"/>
      <c r="D1544" s="1516"/>
      <c r="E1544" s="1516"/>
      <c r="F1544" s="1511"/>
      <c r="G1544" s="1509" t="str">
        <f t="shared" ca="1" si="125"/>
        <v/>
      </c>
      <c r="H1544" s="1530" t="s">
        <v>3199</v>
      </c>
      <c r="I1544" s="589"/>
      <c r="J1544" s="589"/>
      <c r="K1544" s="589"/>
      <c r="L1544" s="1727" t="s">
        <v>5068</v>
      </c>
      <c r="M1544" s="992"/>
      <c r="N1544" s="991"/>
      <c r="O1544" s="991"/>
      <c r="Z1544" s="1122"/>
      <c r="AC1544" s="1150"/>
      <c r="AD1544" s="1150"/>
      <c r="AE1544" s="1150"/>
      <c r="AL1544" s="1352"/>
      <c r="AM1544" s="1352"/>
      <c r="AN1544" s="1352"/>
      <c r="AO1544" s="1352"/>
      <c r="AP1544" s="1352"/>
      <c r="AQ1544" s="1352"/>
      <c r="AR1544" s="1352"/>
      <c r="AS1544" s="1352"/>
    </row>
    <row r="1545" spans="1:45" s="905" customFormat="1" hidden="1" x14ac:dyDescent="0.2">
      <c r="A1545" s="1507">
        <v>7</v>
      </c>
      <c r="B1545" s="1516">
        <v>706.5</v>
      </c>
      <c r="C1545" s="1516"/>
      <c r="D1545" s="1516"/>
      <c r="E1545" s="1516"/>
      <c r="F1545" s="1511"/>
      <c r="G1545" s="1509" t="str">
        <f t="shared" ca="1" si="125"/>
        <v/>
      </c>
      <c r="H1545" s="1530" t="s">
        <v>3199</v>
      </c>
      <c r="I1545" s="589"/>
      <c r="J1545" s="589"/>
      <c r="K1545" s="589"/>
      <c r="L1545" s="1727"/>
      <c r="M1545" s="992"/>
      <c r="N1545" s="991"/>
      <c r="O1545" s="991"/>
      <c r="P1545" s="991"/>
      <c r="Q1545" s="991"/>
      <c r="R1545" s="991"/>
      <c r="S1545" s="991"/>
      <c r="T1545" s="991"/>
      <c r="Z1545" s="1122"/>
      <c r="AC1545" s="1150"/>
      <c r="AD1545" s="1150"/>
      <c r="AE1545" s="1150"/>
      <c r="AL1545" s="1352"/>
      <c r="AM1545" s="1352"/>
      <c r="AN1545" s="1352"/>
      <c r="AO1545" s="1352"/>
      <c r="AP1545" s="1352"/>
      <c r="AQ1545" s="1352"/>
      <c r="AR1545" s="1352"/>
      <c r="AS1545" s="1352"/>
    </row>
    <row r="1546" spans="1:45" s="905" customFormat="1" hidden="1" x14ac:dyDescent="0.2">
      <c r="A1546" s="1507">
        <v>7</v>
      </c>
      <c r="B1546" s="1516">
        <v>706.5</v>
      </c>
      <c r="C1546" s="1516"/>
      <c r="D1546" s="1516"/>
      <c r="E1546" s="1516"/>
      <c r="F1546" s="1511"/>
      <c r="G1546" s="1509" t="str">
        <f t="shared" ca="1" si="125"/>
        <v/>
      </c>
      <c r="H1546" s="1530" t="s">
        <v>3199</v>
      </c>
      <c r="I1546" s="589"/>
      <c r="J1546" s="589"/>
      <c r="K1546" s="589"/>
      <c r="L1546" s="1727"/>
      <c r="M1546" s="992"/>
      <c r="N1546" s="991"/>
      <c r="O1546" s="991"/>
      <c r="P1546" s="991"/>
      <c r="Q1546" s="991"/>
      <c r="R1546" s="991"/>
      <c r="S1546" s="991"/>
      <c r="T1546" s="991"/>
      <c r="Z1546" s="1122"/>
      <c r="AC1546" s="1150"/>
      <c r="AD1546" s="1150"/>
      <c r="AE1546" s="1150"/>
      <c r="AL1546" s="1352"/>
      <c r="AM1546" s="1352"/>
      <c r="AN1546" s="1352"/>
      <c r="AO1546" s="1352"/>
      <c r="AP1546" s="1352"/>
      <c r="AQ1546" s="1352"/>
      <c r="AR1546" s="1352"/>
      <c r="AS1546" s="1352"/>
    </row>
    <row r="1547" spans="1:45" s="905" customFormat="1" ht="15" hidden="1" customHeight="1" x14ac:dyDescent="0.2">
      <c r="A1547" s="1507">
        <v>7</v>
      </c>
      <c r="B1547" s="1516">
        <v>706.5</v>
      </c>
      <c r="C1547" s="1516"/>
      <c r="D1547" s="1516"/>
      <c r="E1547" s="1516"/>
      <c r="F1547" s="1511"/>
      <c r="G1547" s="1509" t="str">
        <f t="shared" ca="1" si="125"/>
        <v/>
      </c>
      <c r="H1547" s="1530" t="s">
        <v>3199</v>
      </c>
      <c r="I1547" s="589"/>
      <c r="J1547" s="589"/>
      <c r="K1547" s="589"/>
      <c r="L1547" s="1727"/>
      <c r="M1547" s="991"/>
      <c r="N1547" s="991"/>
      <c r="O1547" s="991"/>
      <c r="P1547" s="991"/>
      <c r="Q1547" s="991"/>
      <c r="R1547" s="991"/>
      <c r="S1547" s="991"/>
      <c r="T1547" s="991"/>
      <c r="Z1547" s="1122"/>
      <c r="AC1547" s="1150"/>
      <c r="AD1547" s="1150"/>
      <c r="AE1547" s="1150"/>
      <c r="AL1547" s="1352"/>
      <c r="AM1547" s="1352"/>
      <c r="AN1547" s="1352"/>
      <c r="AO1547" s="1352"/>
      <c r="AP1547" s="1352"/>
      <c r="AQ1547" s="1352"/>
      <c r="AR1547" s="1352"/>
      <c r="AS1547" s="1352"/>
    </row>
    <row r="1548" spans="1:45" s="905" customFormat="1" hidden="1" x14ac:dyDescent="0.2">
      <c r="A1548" s="1507">
        <v>7</v>
      </c>
      <c r="B1548" s="1516">
        <v>706.5</v>
      </c>
      <c r="C1548" s="1516"/>
      <c r="D1548" s="1516"/>
      <c r="E1548" s="1516"/>
      <c r="F1548" s="1511"/>
      <c r="G1548" s="1509" t="str">
        <f t="shared" ca="1" si="125"/>
        <v/>
      </c>
      <c r="H1548" s="1530" t="s">
        <v>3199</v>
      </c>
      <c r="I1548" s="589"/>
      <c r="J1548" s="589"/>
      <c r="K1548" s="589"/>
      <c r="L1548" s="1727"/>
      <c r="M1548" s="991"/>
      <c r="N1548" s="991"/>
      <c r="O1548" s="991"/>
      <c r="P1548" s="991"/>
      <c r="Q1548" s="991"/>
      <c r="R1548" s="991"/>
      <c r="S1548" s="991"/>
      <c r="T1548" s="991"/>
      <c r="Z1548" s="1122"/>
      <c r="AC1548" s="1150"/>
      <c r="AD1548" s="1150"/>
      <c r="AE1548" s="1150"/>
      <c r="AL1548" s="1352"/>
      <c r="AM1548" s="1352"/>
      <c r="AN1548" s="1352"/>
      <c r="AO1548" s="1352"/>
      <c r="AP1548" s="1352"/>
      <c r="AQ1548" s="1352"/>
      <c r="AR1548" s="1352"/>
      <c r="AS1548" s="1352"/>
    </row>
    <row r="1549" spans="1:45" s="905" customFormat="1" ht="15" hidden="1" customHeight="1" x14ac:dyDescent="0.2">
      <c r="A1549" s="1507">
        <v>7</v>
      </c>
      <c r="B1549" s="1516">
        <v>706.5</v>
      </c>
      <c r="C1549" s="1516"/>
      <c r="D1549" s="1516"/>
      <c r="E1549" s="1516"/>
      <c r="F1549" s="1511"/>
      <c r="G1549" s="1509" t="str">
        <f t="shared" ca="1" si="125"/>
        <v/>
      </c>
      <c r="H1549" s="1530" t="s">
        <v>3199</v>
      </c>
      <c r="I1549" s="589"/>
      <c r="J1549" s="589"/>
      <c r="K1549" s="589"/>
      <c r="L1549" s="1727"/>
      <c r="M1549" s="991"/>
      <c r="N1549" s="991"/>
      <c r="O1549" s="991"/>
      <c r="P1549" s="991"/>
      <c r="Q1549" s="991"/>
      <c r="R1549" s="991"/>
      <c r="S1549" s="991"/>
      <c r="T1549" s="991"/>
      <c r="Z1549" s="1122"/>
      <c r="AC1549" s="1150"/>
      <c r="AD1549" s="1150"/>
      <c r="AE1549" s="1150"/>
      <c r="AL1549" s="1352"/>
      <c r="AM1549" s="1352"/>
      <c r="AN1549" s="1352"/>
      <c r="AO1549" s="1352"/>
      <c r="AP1549" s="1352"/>
      <c r="AQ1549" s="1352"/>
      <c r="AR1549" s="1352"/>
      <c r="AS1549" s="1352"/>
    </row>
    <row r="1550" spans="1:45" s="905" customFormat="1" ht="15" hidden="1" customHeight="1" x14ac:dyDescent="0.2">
      <c r="A1550" s="1507">
        <v>7</v>
      </c>
      <c r="B1550" s="1516">
        <v>706.5</v>
      </c>
      <c r="C1550" s="1516"/>
      <c r="D1550" s="1516"/>
      <c r="E1550" s="1516"/>
      <c r="F1550" s="1511"/>
      <c r="G1550" s="1509" t="str">
        <f t="shared" ca="1" si="125"/>
        <v/>
      </c>
      <c r="H1550" s="1530" t="s">
        <v>3199</v>
      </c>
      <c r="I1550" s="590"/>
      <c r="J1550" s="590"/>
      <c r="K1550" s="590"/>
      <c r="L1550" s="1743" t="s">
        <v>4378</v>
      </c>
      <c r="M1550" s="991"/>
      <c r="N1550" s="991"/>
      <c r="O1550" s="991"/>
      <c r="P1550" s="991"/>
      <c r="Q1550" s="991"/>
      <c r="R1550" s="991"/>
      <c r="S1550" s="991"/>
      <c r="T1550" s="991"/>
      <c r="U1550" s="991"/>
      <c r="Z1550" s="1122"/>
      <c r="AC1550" s="1150"/>
      <c r="AD1550" s="1150"/>
      <c r="AE1550" s="1150"/>
      <c r="AL1550" s="1352"/>
      <c r="AM1550" s="1352"/>
      <c r="AN1550" s="1352"/>
      <c r="AO1550" s="1352"/>
      <c r="AP1550" s="1352"/>
      <c r="AQ1550" s="1352"/>
      <c r="AR1550" s="1352"/>
      <c r="AS1550" s="1352"/>
    </row>
    <row r="1551" spans="1:45" s="905" customFormat="1" ht="16" hidden="1" thickBot="1" x14ac:dyDescent="0.25">
      <c r="A1551" s="1507">
        <v>7</v>
      </c>
      <c r="B1551" s="1516">
        <v>706.5</v>
      </c>
      <c r="C1551" s="1516"/>
      <c r="D1551" s="1516"/>
      <c r="E1551" s="1516"/>
      <c r="F1551" s="1511"/>
      <c r="G1551" s="1509" t="str">
        <f t="shared" ca="1" si="125"/>
        <v/>
      </c>
      <c r="H1551" s="1530" t="s">
        <v>3199</v>
      </c>
      <c r="I1551" s="594"/>
      <c r="J1551" s="594"/>
      <c r="K1551" s="594"/>
      <c r="L1551" s="1744"/>
      <c r="M1551" s="100"/>
      <c r="N1551" s="100"/>
      <c r="O1551" s="100"/>
      <c r="P1551" s="100"/>
      <c r="Q1551" s="100"/>
      <c r="R1551" s="100"/>
      <c r="S1551" s="100"/>
      <c r="T1551" s="100"/>
      <c r="U1551" s="100"/>
      <c r="W1551" s="100"/>
      <c r="X1551" s="100"/>
      <c r="Y1551" s="100"/>
      <c r="Z1551" s="1122"/>
      <c r="AC1551" s="1150"/>
      <c r="AD1551" s="1150"/>
      <c r="AE1551" s="1150"/>
      <c r="AL1551" s="1352"/>
      <c r="AM1551" s="1352"/>
      <c r="AN1551" s="1352"/>
      <c r="AO1551" s="1352"/>
      <c r="AP1551" s="1352"/>
      <c r="AQ1551" s="1352"/>
      <c r="AR1551" s="1352"/>
      <c r="AS1551" s="1352"/>
    </row>
    <row r="1552" spans="1:45" s="905" customFormat="1" ht="15.75" hidden="1" customHeight="1" thickTop="1" x14ac:dyDescent="0.2">
      <c r="A1552" s="1507">
        <v>7</v>
      </c>
      <c r="B1552" s="1516">
        <v>706.6</v>
      </c>
      <c r="C1552" s="1516"/>
      <c r="D1552" s="1516"/>
      <c r="E1552" s="1516"/>
      <c r="F1552" s="1511"/>
      <c r="G1552" s="1509" t="str">
        <f ca="1">IF(N1552&gt;0,"P","")</f>
        <v/>
      </c>
      <c r="H1552" s="1510" t="s">
        <v>3197</v>
      </c>
      <c r="I1552" s="603" t="s">
        <v>4379</v>
      </c>
      <c r="J1552" s="603"/>
      <c r="K1552" s="603"/>
      <c r="L1552" s="1740" t="s">
        <v>4380</v>
      </c>
      <c r="M1552" s="1685">
        <v>2</v>
      </c>
      <c r="N1552" s="1682">
        <f ca="1">'11.700'!O678</f>
        <v>0</v>
      </c>
      <c r="O1552" s="1682">
        <f ca="1">M1552*S1552*W1552</f>
        <v>0</v>
      </c>
      <c r="P1552" s="106" t="b">
        <v>1</v>
      </c>
      <c r="Q1552" s="106" t="b">
        <v>1</v>
      </c>
      <c r="R1552" s="106" t="b">
        <v>0</v>
      </c>
      <c r="S1552" s="106" t="b">
        <f ca="1">AND(S885=2,AY893=INDEX(INDIRECT("ddSingleOrMulti"),2))</f>
        <v>0</v>
      </c>
      <c r="T1552" s="106" t="b">
        <f ca="1">AND(NOT(S1552),W1552=TRUE)</f>
        <v>0</v>
      </c>
      <c r="U1552" s="106"/>
      <c r="W1552" s="334"/>
      <c r="X1552" s="1603"/>
      <c r="Y1552" s="1883" t="str">
        <f>IF(LEN('11.700'!X678)=0,"None",'11.700'!X678)</f>
        <v>None</v>
      </c>
      <c r="Z1552" s="1603"/>
      <c r="AC1552" s="1150" t="b">
        <f ca="1">OR(AD1552:AE1552)</f>
        <v>0</v>
      </c>
      <c r="AD1552" s="1150" t="b">
        <f ca="1">T1552</f>
        <v>0</v>
      </c>
      <c r="AE1552" s="1150"/>
      <c r="AL1552" s="1352" t="str">
        <f>SUBSTITUTE(SUBSTITUTE(SUBSTITUTE("vpa"&amp;$B1552&amp;$C1552&amp;$D1552&amp;$E1552&amp;$F1552,".","_"),"(","_"),")","")</f>
        <v>vpa706_6</v>
      </c>
      <c r="AM1552" s="1352">
        <f>M1552</f>
        <v>2</v>
      </c>
      <c r="AN1552" s="1352" t="str">
        <f>SUBSTITUTE(SUBSTITUTE(SUBSTITUTE("vpc"&amp;$B1552&amp;$C1552&amp;$D1552&amp;$E1552&amp;$F1552,".","_"),"(","_"),")","")</f>
        <v>vpc706_6</v>
      </c>
      <c r="AO1552" s="1352">
        <f ca="1">O1552</f>
        <v>0</v>
      </c>
      <c r="AP1552" s="1352" t="str">
        <f>SUBSTITUTE(SUBSTITUTE(SUBSTITUTE("vch"&amp;$B1552&amp;$C1552&amp;$D1552&amp;$E1552&amp;$F1552,".","_"),"(","_"),")","")</f>
        <v>vch706_6</v>
      </c>
      <c r="AQ1552" s="1352" t="str">
        <f>IF(LEN(W1552)=0,"",W1552)</f>
        <v/>
      </c>
      <c r="AR1552" s="1352" t="str">
        <f>SUBSTITUTE(SUBSTITUTE(SUBSTITUTE("vnt"&amp;$B1552&amp;$C1552&amp;$D1552&amp;$E1552&amp;$F1552,".","_"),"(","_"),")","")</f>
        <v>vnt706_6</v>
      </c>
      <c r="AS1552" s="1352" t="str">
        <f>IF(LEN(X1552)=0,"",X1552)</f>
        <v/>
      </c>
    </row>
    <row r="1553" spans="1:45" s="905" customFormat="1" ht="16" hidden="1" thickBot="1" x14ac:dyDescent="0.25">
      <c r="A1553" s="1507">
        <v>7</v>
      </c>
      <c r="B1553" s="1516">
        <v>706.6</v>
      </c>
      <c r="C1553" s="1516"/>
      <c r="D1553" s="1516"/>
      <c r="E1553" s="1516"/>
      <c r="F1553" s="1511"/>
      <c r="G1553" s="1509" t="str">
        <f ca="1">G1552</f>
        <v/>
      </c>
      <c r="H1553" s="1510" t="s">
        <v>3197</v>
      </c>
      <c r="I1553" s="594"/>
      <c r="J1553" s="594"/>
      <c r="K1553" s="594"/>
      <c r="L1553" s="1738"/>
      <c r="M1553" s="1627"/>
      <c r="N1553" s="1638"/>
      <c r="O1553" s="1638"/>
      <c r="P1553" s="100"/>
      <c r="Q1553" s="100"/>
      <c r="R1553" s="100"/>
      <c r="S1553" s="100"/>
      <c r="T1553" s="100"/>
      <c r="U1553" s="100"/>
      <c r="W1553" s="100"/>
      <c r="X1553" s="1602"/>
      <c r="Y1553" s="1882"/>
      <c r="Z1553" s="1602"/>
      <c r="AL1553" s="1352"/>
      <c r="AM1553" s="1352"/>
      <c r="AN1553" s="1352"/>
      <c r="AO1553" s="1352"/>
      <c r="AP1553" s="1352"/>
      <c r="AQ1553" s="1352"/>
      <c r="AR1553" s="1352"/>
      <c r="AS1553" s="1352"/>
    </row>
    <row r="1554" spans="1:45" s="905" customFormat="1" ht="15.75" hidden="1" customHeight="1" thickTop="1" x14ac:dyDescent="0.2">
      <c r="A1554" s="1507">
        <v>7</v>
      </c>
      <c r="B1554" s="1516">
        <v>706.7</v>
      </c>
      <c r="C1554" s="1516"/>
      <c r="D1554" s="1516"/>
      <c r="E1554" s="1516"/>
      <c r="F1554" s="1511"/>
      <c r="G1554" s="1513" t="str">
        <f ca="1">IF(COUNTIF(G1558:G1559,"P")&gt;0,"P","")</f>
        <v/>
      </c>
      <c r="H1554" s="1530" t="s">
        <v>3199</v>
      </c>
      <c r="I1554" s="589" t="s">
        <v>4381</v>
      </c>
      <c r="J1554" s="589"/>
      <c r="K1554" s="589"/>
      <c r="L1554" s="1687" t="s">
        <v>4852</v>
      </c>
      <c r="M1554" s="991"/>
      <c r="N1554" s="991"/>
      <c r="O1554" s="991"/>
      <c r="P1554" s="991"/>
      <c r="Q1554" s="991"/>
      <c r="R1554" s="991"/>
      <c r="S1554" s="991"/>
      <c r="T1554" s="991"/>
      <c r="X1554" s="1122"/>
      <c r="Z1554" s="1122"/>
      <c r="AL1554" s="1352"/>
      <c r="AM1554" s="1352"/>
      <c r="AN1554" s="1352"/>
      <c r="AO1554" s="1352"/>
      <c r="AP1554" s="1352"/>
      <c r="AQ1554" s="1352"/>
      <c r="AR1554" s="1352"/>
      <c r="AS1554" s="1352"/>
    </row>
    <row r="1555" spans="1:45" s="905" customFormat="1" hidden="1" x14ac:dyDescent="0.2">
      <c r="A1555" s="1507">
        <v>7</v>
      </c>
      <c r="B1555" s="1516">
        <v>706.7</v>
      </c>
      <c r="C1555" s="1516"/>
      <c r="D1555" s="1516"/>
      <c r="E1555" s="1516"/>
      <c r="F1555" s="1511"/>
      <c r="G1555" s="1509" t="str">
        <f ca="1">G1554</f>
        <v/>
      </c>
      <c r="H1555" s="1530" t="s">
        <v>3199</v>
      </c>
      <c r="I1555" s="589"/>
      <c r="J1555" s="589"/>
      <c r="K1555" s="589"/>
      <c r="L1555" s="1687"/>
      <c r="M1555" s="991"/>
      <c r="N1555" s="991"/>
      <c r="O1555" s="991"/>
      <c r="P1555" s="991"/>
      <c r="Q1555" s="991"/>
      <c r="R1555" s="991"/>
      <c r="S1555" s="991"/>
      <c r="T1555" s="991"/>
      <c r="X1555" s="1122"/>
      <c r="Z1555" s="1122"/>
      <c r="AL1555" s="1352"/>
      <c r="AM1555" s="1352"/>
      <c r="AN1555" s="1352"/>
      <c r="AO1555" s="1352"/>
      <c r="AP1555" s="1352"/>
      <c r="AQ1555" s="1352"/>
      <c r="AR1555" s="1352"/>
      <c r="AS1555" s="1352"/>
    </row>
    <row r="1556" spans="1:45" s="905" customFormat="1" hidden="1" x14ac:dyDescent="0.2">
      <c r="A1556" s="1507">
        <v>7</v>
      </c>
      <c r="B1556" s="1516">
        <v>706.7</v>
      </c>
      <c r="C1556" s="1516"/>
      <c r="D1556" s="1516"/>
      <c r="E1556" s="1516"/>
      <c r="F1556" s="1511"/>
      <c r="G1556" s="1509" t="str">
        <f ca="1">G1555</f>
        <v/>
      </c>
      <c r="H1556" s="1530" t="s">
        <v>3199</v>
      </c>
      <c r="I1556" s="589"/>
      <c r="J1556" s="589"/>
      <c r="K1556" s="589"/>
      <c r="L1556" s="1687"/>
      <c r="M1556" s="991"/>
      <c r="N1556" s="991"/>
      <c r="O1556" s="991"/>
      <c r="P1556" s="991"/>
      <c r="Q1556" s="991"/>
      <c r="R1556" s="991"/>
      <c r="S1556" s="991"/>
      <c r="T1556" s="991"/>
      <c r="X1556" s="1122"/>
      <c r="Z1556" s="1122"/>
      <c r="AL1556" s="1352"/>
      <c r="AM1556" s="1352"/>
      <c r="AN1556" s="1352"/>
      <c r="AO1556" s="1352"/>
      <c r="AP1556" s="1352"/>
      <c r="AQ1556" s="1352"/>
      <c r="AR1556" s="1352"/>
      <c r="AS1556" s="1352"/>
    </row>
    <row r="1557" spans="1:45" s="905" customFormat="1" hidden="1" x14ac:dyDescent="0.2">
      <c r="A1557" s="1507">
        <v>7</v>
      </c>
      <c r="B1557" s="1516">
        <v>706.7</v>
      </c>
      <c r="C1557" s="1516"/>
      <c r="D1557" s="1516"/>
      <c r="E1557" s="1516"/>
      <c r="F1557" s="1511"/>
      <c r="G1557" s="1509" t="str">
        <f ca="1">G1556</f>
        <v/>
      </c>
      <c r="H1557" s="1530" t="s">
        <v>3199</v>
      </c>
      <c r="I1557" s="589"/>
      <c r="J1557" s="589"/>
      <c r="K1557" s="589"/>
      <c r="L1557" s="1687"/>
      <c r="M1557" s="991"/>
      <c r="N1557" s="991"/>
      <c r="O1557" s="991"/>
      <c r="P1557" s="991"/>
      <c r="Q1557" s="991"/>
      <c r="R1557" s="991"/>
      <c r="S1557" s="991"/>
      <c r="T1557" s="991"/>
      <c r="X1557" s="1122"/>
      <c r="Z1557" s="1122"/>
      <c r="AL1557" s="1352"/>
      <c r="AM1557" s="1352"/>
      <c r="AN1557" s="1352"/>
      <c r="AO1557" s="1352"/>
      <c r="AP1557" s="1352"/>
      <c r="AQ1557" s="1352"/>
      <c r="AR1557" s="1352"/>
      <c r="AS1557" s="1352"/>
    </row>
    <row r="1558" spans="1:45" s="905" customFormat="1" ht="16" hidden="1" x14ac:dyDescent="0.2">
      <c r="A1558" s="1507">
        <v>7</v>
      </c>
      <c r="B1558" s="1516">
        <v>706.7</v>
      </c>
      <c r="C1558" s="1516" t="s">
        <v>254</v>
      </c>
      <c r="D1558" s="1516"/>
      <c r="E1558" s="1516"/>
      <c r="F1558" s="1511"/>
      <c r="G1558" s="1509" t="str">
        <f ca="1">IF(N1558&gt;0,"P","")</f>
        <v/>
      </c>
      <c r="H1558" s="1530" t="s">
        <v>3199</v>
      </c>
      <c r="I1558" s="589"/>
      <c r="J1558" s="606" t="s">
        <v>254</v>
      </c>
      <c r="K1558" s="606"/>
      <c r="L1558" s="923" t="s">
        <v>4382</v>
      </c>
      <c r="M1558" s="937">
        <v>1</v>
      </c>
      <c r="N1558" s="1126">
        <f ca="1">'11.700'!O684</f>
        <v>0</v>
      </c>
      <c r="O1558" s="909">
        <f ca="1">M1558*S1558*W1558</f>
        <v>0</v>
      </c>
      <c r="P1558" s="991" t="b">
        <v>0</v>
      </c>
      <c r="Q1558" s="991" t="b">
        <v>1</v>
      </c>
      <c r="R1558" s="991" t="b">
        <v>0</v>
      </c>
      <c r="S1558" s="991" t="b">
        <f ca="1">AND(S885=2,IFERROR(NOT(OR(W1517:W1524,W1568)),TRUE))</f>
        <v>0</v>
      </c>
      <c r="T1558" s="991" t="b">
        <f ca="1">AND(NOT(S1558),W1558=TRUE)</f>
        <v>0</v>
      </c>
      <c r="W1558" s="27"/>
      <c r="X1558" s="1123"/>
      <c r="Y1558" s="1139" t="str">
        <f>IF(LEN('11.700'!X684)=0,"None",'11.700'!X684)</f>
        <v>None</v>
      </c>
      <c r="Z1558" s="1123"/>
      <c r="AC1558" s="1150" t="b">
        <f ca="1">OR(AD1558:AE1558)</f>
        <v>0</v>
      </c>
      <c r="AD1558" s="1150" t="b">
        <f ca="1">T1558</f>
        <v>0</v>
      </c>
      <c r="AE1558" s="1150"/>
      <c r="AL1558" s="1352" t="str">
        <f>SUBSTITUTE(SUBSTITUTE(SUBSTITUTE("vpa"&amp;$B1558&amp;$C1558&amp;$D1558&amp;$E1558&amp;$F1558,".","_"),"(","_"),")","")</f>
        <v>vpa706_7_1</v>
      </c>
      <c r="AM1558" s="1352">
        <f>M1558</f>
        <v>1</v>
      </c>
      <c r="AN1558" s="1352" t="str">
        <f>SUBSTITUTE(SUBSTITUTE(SUBSTITUTE("vpc"&amp;$B1558&amp;$C1558&amp;$D1558&amp;$E1558&amp;$F1558,".","_"),"(","_"),")","")</f>
        <v>vpc706_7_1</v>
      </c>
      <c r="AO1558" s="1352">
        <f ca="1">O1558</f>
        <v>0</v>
      </c>
      <c r="AP1558" s="1352" t="str">
        <f>SUBSTITUTE(SUBSTITUTE(SUBSTITUTE("vch"&amp;$B1558&amp;$C1558&amp;$D1558&amp;$E1558&amp;$F1558,".","_"),"(","_"),")","")</f>
        <v>vch706_7_1</v>
      </c>
      <c r="AQ1558" s="1352" t="str">
        <f>IF(LEN(W1558)=0,"",W1558)</f>
        <v/>
      </c>
      <c r="AR1558" s="1352" t="str">
        <f>SUBSTITUTE(SUBSTITUTE(SUBSTITUTE("vnt"&amp;$B1558&amp;$C1558&amp;$D1558&amp;$E1558&amp;$F1558,".","_"),"(","_"),")","")</f>
        <v>vnt706_7_1</v>
      </c>
      <c r="AS1558" s="1352" t="str">
        <f>IF(LEN(X1558)=0,"",X1558)</f>
        <v/>
      </c>
    </row>
    <row r="1559" spans="1:45" s="905" customFormat="1" ht="17" hidden="1" thickBot="1" x14ac:dyDescent="0.25">
      <c r="A1559" s="1507">
        <v>7</v>
      </c>
      <c r="B1559" s="1516">
        <v>706.7</v>
      </c>
      <c r="C1559" s="1516" t="s">
        <v>255</v>
      </c>
      <c r="D1559" s="1516"/>
      <c r="E1559" s="1516"/>
      <c r="F1559" s="1511"/>
      <c r="G1559" s="1509" t="str">
        <f ca="1">IF(N1559&gt;0,"P","")</f>
        <v/>
      </c>
      <c r="H1559" s="1530" t="s">
        <v>3199</v>
      </c>
      <c r="I1559" s="594"/>
      <c r="J1559" s="594" t="s">
        <v>255</v>
      </c>
      <c r="K1559" s="594"/>
      <c r="L1559" s="920" t="s">
        <v>4383</v>
      </c>
      <c r="M1559" s="914">
        <v>1</v>
      </c>
      <c r="N1559" s="1131">
        <f ca="1">'11.700'!O685</f>
        <v>0</v>
      </c>
      <c r="O1559" s="922">
        <f ca="1">M1559*S1559*W1559</f>
        <v>0</v>
      </c>
      <c r="P1559" s="100" t="b">
        <v>0</v>
      </c>
      <c r="Q1559" s="100" t="b">
        <v>1</v>
      </c>
      <c r="R1559" s="100" t="b">
        <v>0</v>
      </c>
      <c r="S1559" s="100" t="b">
        <f ca="1">AND(S885=2,IFERROR(NOT(OR(W1517:W1524,W1568)),TRUE))</f>
        <v>0</v>
      </c>
      <c r="T1559" s="100" t="b">
        <f ca="1">AND(NOT(S1559),W1559=TRUE)</f>
        <v>0</v>
      </c>
      <c r="U1559" s="100"/>
      <c r="W1559" s="101"/>
      <c r="X1559" s="1124"/>
      <c r="Y1559" s="1137" t="str">
        <f>IF(LEN('11.700'!X685)=0,"None",'11.700'!X685)</f>
        <v>None</v>
      </c>
      <c r="Z1559" s="1124"/>
      <c r="AC1559" s="1150" t="b">
        <f ca="1">OR(AD1559:AE1559)</f>
        <v>0</v>
      </c>
      <c r="AD1559" s="1150" t="b">
        <f ca="1">T1559</f>
        <v>0</v>
      </c>
      <c r="AE1559" s="1150"/>
      <c r="AL1559" s="1352" t="str">
        <f>SUBSTITUTE(SUBSTITUTE(SUBSTITUTE("vpa"&amp;$B1559&amp;$C1559&amp;$D1559&amp;$E1559&amp;$F1559,".","_"),"(","_"),")","")</f>
        <v>vpa706_7_2</v>
      </c>
      <c r="AM1559" s="1352">
        <f>M1559</f>
        <v>1</v>
      </c>
      <c r="AN1559" s="1352" t="str">
        <f>SUBSTITUTE(SUBSTITUTE(SUBSTITUTE("vpc"&amp;$B1559&amp;$C1559&amp;$D1559&amp;$E1559&amp;$F1559,".","_"),"(","_"),")","")</f>
        <v>vpc706_7_2</v>
      </c>
      <c r="AO1559" s="1352">
        <f ca="1">O1559</f>
        <v>0</v>
      </c>
      <c r="AP1559" s="1352" t="str">
        <f>SUBSTITUTE(SUBSTITUTE(SUBSTITUTE("vch"&amp;$B1559&amp;$C1559&amp;$D1559&amp;$E1559&amp;$F1559,".","_"),"(","_"),")","")</f>
        <v>vch706_7_2</v>
      </c>
      <c r="AQ1559" s="1352" t="str">
        <f>IF(LEN(W1559)=0,"",W1559)</f>
        <v/>
      </c>
      <c r="AR1559" s="1352" t="str">
        <f>SUBSTITUTE(SUBSTITUTE(SUBSTITUTE("vnt"&amp;$B1559&amp;$C1559&amp;$D1559&amp;$E1559&amp;$F1559,".","_"),"(","_"),")","")</f>
        <v>vnt706_7_2</v>
      </c>
      <c r="AS1559" s="1352" t="str">
        <f>IF(LEN(X1559)=0,"",X1559)</f>
        <v/>
      </c>
    </row>
    <row r="1560" spans="1:45" s="905" customFormat="1" ht="15.75" hidden="1" customHeight="1" thickTop="1" x14ac:dyDescent="0.2">
      <c r="A1560" s="1507">
        <v>7</v>
      </c>
      <c r="B1560" s="1516">
        <v>706.8</v>
      </c>
      <c r="C1560" s="1516"/>
      <c r="D1560" s="1516"/>
      <c r="E1560" s="1516"/>
      <c r="F1560" s="1511"/>
      <c r="G1560" s="1509" t="str">
        <f ca="1">IF(N1560&gt;0,"P","")</f>
        <v/>
      </c>
      <c r="H1560" s="1510" t="s">
        <v>3197</v>
      </c>
      <c r="I1560" s="603" t="s">
        <v>4384</v>
      </c>
      <c r="J1560" s="603"/>
      <c r="K1560" s="603"/>
      <c r="L1560" s="1740" t="s">
        <v>4385</v>
      </c>
      <c r="M1560" s="1685">
        <v>2</v>
      </c>
      <c r="N1560" s="1619">
        <f ca="1">'11.700'!O686</f>
        <v>0</v>
      </c>
      <c r="O1560" s="1682">
        <f ca="1">M1560*S1560*W1560</f>
        <v>0</v>
      </c>
      <c r="P1560" s="106" t="b">
        <v>1</v>
      </c>
      <c r="Q1560" s="106" t="b">
        <v>1</v>
      </c>
      <c r="R1560" s="106" t="b">
        <v>0</v>
      </c>
      <c r="S1560" s="106" t="b">
        <f ca="1">S885=2</f>
        <v>0</v>
      </c>
      <c r="T1560" s="106" t="b">
        <v>0</v>
      </c>
      <c r="U1560" s="106"/>
      <c r="W1560" s="334"/>
      <c r="X1560" s="1603"/>
      <c r="Y1560" s="1883" t="str">
        <f>IF(LEN('11.700'!X686)=0,"None",'11.700'!X686)</f>
        <v>None</v>
      </c>
      <c r="Z1560" s="1603"/>
      <c r="AC1560" s="1150" t="b">
        <f>OR(AD1560:AE1560)</f>
        <v>0</v>
      </c>
      <c r="AD1560" s="1150" t="b">
        <f>T1560</f>
        <v>0</v>
      </c>
      <c r="AE1560" s="1150"/>
      <c r="AL1560" s="1352" t="str">
        <f>SUBSTITUTE(SUBSTITUTE(SUBSTITUTE("vpa"&amp;$B1560&amp;$C1560&amp;$D1560&amp;$E1560&amp;$F1560,".","_"),"(","_"),")","")</f>
        <v>vpa706_8</v>
      </c>
      <c r="AM1560" s="1352">
        <f>M1560</f>
        <v>2</v>
      </c>
      <c r="AN1560" s="1352" t="str">
        <f>SUBSTITUTE(SUBSTITUTE(SUBSTITUTE("vpc"&amp;$B1560&amp;$C1560&amp;$D1560&amp;$E1560&amp;$F1560,".","_"),"(","_"),")","")</f>
        <v>vpc706_8</v>
      </c>
      <c r="AO1560" s="1352">
        <f ca="1">O1560</f>
        <v>0</v>
      </c>
      <c r="AP1560" s="1352" t="str">
        <f>SUBSTITUTE(SUBSTITUTE(SUBSTITUTE("vch"&amp;$B1560&amp;$C1560&amp;$D1560&amp;$E1560&amp;$F1560,".","_"),"(","_"),")","")</f>
        <v>vch706_8</v>
      </c>
      <c r="AQ1560" s="1352" t="str">
        <f>IF(LEN(W1560)=0,"",W1560)</f>
        <v/>
      </c>
      <c r="AR1560" s="1352" t="str">
        <f>SUBSTITUTE(SUBSTITUTE(SUBSTITUTE("vnt"&amp;$B1560&amp;$C1560&amp;$D1560&amp;$E1560&amp;$F1560,".","_"),"(","_"),")","")</f>
        <v>vnt706_8</v>
      </c>
      <c r="AS1560" s="1352" t="str">
        <f>IF(LEN(X1560)=0,"",X1560)</f>
        <v/>
      </c>
    </row>
    <row r="1561" spans="1:45" s="905" customFormat="1" hidden="1" x14ac:dyDescent="0.2">
      <c r="A1561" s="1507">
        <v>7</v>
      </c>
      <c r="B1561" s="1516">
        <v>706.8</v>
      </c>
      <c r="C1561" s="1516"/>
      <c r="D1561" s="1516"/>
      <c r="E1561" s="1516"/>
      <c r="F1561" s="1511"/>
      <c r="G1561" s="1509" t="str">
        <f ca="1">G1560</f>
        <v/>
      </c>
      <c r="H1561" s="1510" t="s">
        <v>3197</v>
      </c>
      <c r="I1561" s="590"/>
      <c r="J1561" s="590"/>
      <c r="K1561" s="590"/>
      <c r="L1561" s="1687"/>
      <c r="M1561" s="1623"/>
      <c r="N1561" s="1619"/>
      <c r="O1561" s="1619"/>
      <c r="P1561" s="991"/>
      <c r="Q1561" s="991"/>
      <c r="R1561" s="991"/>
      <c r="S1561" s="991"/>
      <c r="T1561" s="991"/>
      <c r="U1561" s="991"/>
      <c r="W1561" s="1135"/>
      <c r="X1561" s="1601"/>
      <c r="Y1561" s="1881"/>
      <c r="Z1561" s="1600"/>
      <c r="AC1561" s="1150"/>
      <c r="AD1561" s="1150"/>
      <c r="AE1561" s="1150"/>
      <c r="AL1561" s="1352"/>
      <c r="AM1561" s="1352"/>
      <c r="AN1561" s="1352"/>
      <c r="AO1561" s="1352"/>
      <c r="AP1561" s="1352"/>
      <c r="AQ1561" s="1352"/>
      <c r="AR1561" s="1352"/>
      <c r="AS1561" s="1352"/>
    </row>
    <row r="1562" spans="1:45" s="905" customFormat="1" ht="16" hidden="1" thickBot="1" x14ac:dyDescent="0.25">
      <c r="A1562" s="1507">
        <v>7</v>
      </c>
      <c r="B1562" s="1516">
        <v>706.8</v>
      </c>
      <c r="C1562" s="1516"/>
      <c r="D1562" s="1516"/>
      <c r="E1562" s="1516"/>
      <c r="F1562" s="1511"/>
      <c r="G1562" s="1509" t="str">
        <f ca="1">G1561</f>
        <v/>
      </c>
      <c r="H1562" s="1510" t="s">
        <v>3197</v>
      </c>
      <c r="I1562" s="594"/>
      <c r="J1562" s="594"/>
      <c r="K1562" s="594"/>
      <c r="L1562" s="1738"/>
      <c r="M1562" s="1627"/>
      <c r="N1562" s="1638"/>
      <c r="O1562" s="1638"/>
      <c r="P1562" s="100"/>
      <c r="Q1562" s="100"/>
      <c r="R1562" s="100"/>
      <c r="S1562" s="100"/>
      <c r="T1562" s="100"/>
      <c r="U1562" s="100"/>
      <c r="W1562" s="100"/>
      <c r="X1562" s="1602"/>
      <c r="Y1562" s="1882"/>
      <c r="Z1562" s="1602"/>
      <c r="AC1562" s="1150"/>
      <c r="AD1562" s="1150"/>
      <c r="AE1562" s="1150"/>
      <c r="AL1562" s="1352"/>
      <c r="AM1562" s="1352"/>
      <c r="AN1562" s="1352"/>
      <c r="AO1562" s="1352"/>
      <c r="AP1562" s="1352"/>
      <c r="AQ1562" s="1352"/>
      <c r="AR1562" s="1352"/>
      <c r="AS1562" s="1352"/>
    </row>
    <row r="1563" spans="1:45" s="905" customFormat="1" ht="15.75" hidden="1" customHeight="1" thickTop="1" x14ac:dyDescent="0.2">
      <c r="A1563" s="1507">
        <v>7</v>
      </c>
      <c r="B1563" s="1516">
        <v>706.9</v>
      </c>
      <c r="C1563" s="1516"/>
      <c r="D1563" s="1516"/>
      <c r="E1563" s="1516"/>
      <c r="F1563" s="1511"/>
      <c r="G1563" s="1509" t="str">
        <f ca="1">IF(N1563&gt;0,"P","")</f>
        <v/>
      </c>
      <c r="H1563" s="1510" t="s">
        <v>3197</v>
      </c>
      <c r="I1563" s="603" t="s">
        <v>4386</v>
      </c>
      <c r="J1563" s="603"/>
      <c r="K1563" s="603"/>
      <c r="L1563" s="1740" t="s">
        <v>4387</v>
      </c>
      <c r="M1563" s="1685">
        <v>1</v>
      </c>
      <c r="N1563" s="1682">
        <f ca="1">'11.700'!O689</f>
        <v>0</v>
      </c>
      <c r="O1563" s="1682">
        <f ca="1">M1563*S1563*W1563</f>
        <v>0</v>
      </c>
      <c r="P1563" s="1105" t="b">
        <v>1</v>
      </c>
      <c r="Q1563" s="1105" t="b">
        <v>1</v>
      </c>
      <c r="R1563" s="1105" t="b">
        <v>0</v>
      </c>
      <c r="S1563" s="1105" t="b">
        <f ca="1">S885=2</f>
        <v>0</v>
      </c>
      <c r="T1563" s="1105" t="b">
        <v>0</v>
      </c>
      <c r="U1563" s="106"/>
      <c r="W1563" s="119"/>
      <c r="X1563" s="1599"/>
      <c r="Y1563" s="1877" t="str">
        <f>IF(LEN('11.700'!X689)=0,"None",'11.700'!X689)</f>
        <v>None</v>
      </c>
      <c r="Z1563" s="1603"/>
      <c r="AC1563" s="1150" t="b">
        <f>OR(AD1563:AE1563)</f>
        <v>0</v>
      </c>
      <c r="AD1563" s="1150" t="b">
        <f>T1563</f>
        <v>0</v>
      </c>
      <c r="AE1563" s="1150"/>
      <c r="AL1563" s="1352" t="str">
        <f>SUBSTITUTE(SUBSTITUTE(SUBSTITUTE("vpa"&amp;$B1563&amp;$C1563&amp;$D1563&amp;$E1563&amp;$F1563,".","_"),"(","_"),")","")</f>
        <v>vpa706_9</v>
      </c>
      <c r="AM1563" s="1352">
        <f>M1563</f>
        <v>1</v>
      </c>
      <c r="AN1563" s="1352" t="str">
        <f>SUBSTITUTE(SUBSTITUTE(SUBSTITUTE("vpc"&amp;$B1563&amp;$C1563&amp;$D1563&amp;$E1563&amp;$F1563,".","_"),"(","_"),")","")</f>
        <v>vpc706_9</v>
      </c>
      <c r="AO1563" s="1352">
        <f ca="1">O1563</f>
        <v>0</v>
      </c>
      <c r="AP1563" s="1352" t="str">
        <f>SUBSTITUTE(SUBSTITUTE(SUBSTITUTE("vch"&amp;$B1563&amp;$C1563&amp;$D1563&amp;$E1563&amp;$F1563,".","_"),"(","_"),")","")</f>
        <v>vch706_9</v>
      </c>
      <c r="AQ1563" s="1352" t="str">
        <f>IF(LEN(W1563)=0,"",W1563)</f>
        <v/>
      </c>
      <c r="AR1563" s="1352" t="str">
        <f>SUBSTITUTE(SUBSTITUTE(SUBSTITUTE("vnt"&amp;$B1563&amp;$C1563&amp;$D1563&amp;$E1563&amp;$F1563,".","_"),"(","_"),")","")</f>
        <v>vnt706_9</v>
      </c>
      <c r="AS1563" s="1352" t="str">
        <f>IF(LEN(X1563)=0,"",X1563)</f>
        <v/>
      </c>
    </row>
    <row r="1564" spans="1:45" s="905" customFormat="1" hidden="1" x14ac:dyDescent="0.2">
      <c r="A1564" s="1507">
        <v>7</v>
      </c>
      <c r="B1564" s="1516">
        <v>706.9</v>
      </c>
      <c r="C1564" s="1516"/>
      <c r="D1564" s="1516"/>
      <c r="E1564" s="1516"/>
      <c r="F1564" s="1511"/>
      <c r="G1564" s="1509" t="str">
        <f ca="1">G1563</f>
        <v/>
      </c>
      <c r="H1564" s="1510" t="s">
        <v>3197</v>
      </c>
      <c r="I1564" s="590"/>
      <c r="J1564" s="590"/>
      <c r="K1564" s="590"/>
      <c r="L1564" s="1687"/>
      <c r="M1564" s="1623"/>
      <c r="N1564" s="1619"/>
      <c r="O1564" s="1619"/>
      <c r="P1564" s="991"/>
      <c r="Q1564" s="991"/>
      <c r="R1564" s="991"/>
      <c r="S1564" s="991"/>
      <c r="T1564" s="991"/>
      <c r="U1564" s="991"/>
      <c r="X1564" s="1600"/>
      <c r="Y1564" s="1881"/>
      <c r="Z1564" s="1600"/>
      <c r="AC1564" s="1150"/>
      <c r="AD1564" s="1150"/>
      <c r="AE1564" s="1150"/>
      <c r="AL1564" s="1352"/>
      <c r="AM1564" s="1352"/>
      <c r="AN1564" s="1352"/>
      <c r="AO1564" s="1352"/>
      <c r="AP1564" s="1352"/>
      <c r="AQ1564" s="1352"/>
      <c r="AR1564" s="1352"/>
      <c r="AS1564" s="1352"/>
    </row>
    <row r="1565" spans="1:45" s="905" customFormat="1" hidden="1" x14ac:dyDescent="0.2">
      <c r="A1565" s="1507">
        <v>7</v>
      </c>
      <c r="B1565" s="1516">
        <v>706.9</v>
      </c>
      <c r="C1565" s="1516"/>
      <c r="D1565" s="1516"/>
      <c r="E1565" s="1516"/>
      <c r="F1565" s="1511"/>
      <c r="G1565" s="1509" t="str">
        <f ca="1">G1564</f>
        <v/>
      </c>
      <c r="H1565" s="1510" t="s">
        <v>3197</v>
      </c>
      <c r="I1565" s="590"/>
      <c r="J1565" s="590"/>
      <c r="K1565" s="590"/>
      <c r="L1565" s="1687"/>
      <c r="M1565" s="1623"/>
      <c r="N1565" s="1619"/>
      <c r="O1565" s="1619"/>
      <c r="P1565" s="991"/>
      <c r="Q1565" s="991"/>
      <c r="R1565" s="991"/>
      <c r="S1565" s="991"/>
      <c r="T1565" s="991"/>
      <c r="U1565" s="991"/>
      <c r="X1565" s="1600"/>
      <c r="Y1565" s="1881"/>
      <c r="Z1565" s="1600"/>
      <c r="AC1565" s="1150"/>
      <c r="AD1565" s="1150"/>
      <c r="AE1565" s="1150"/>
      <c r="AL1565" s="1352"/>
      <c r="AM1565" s="1352"/>
      <c r="AN1565" s="1352"/>
      <c r="AO1565" s="1352"/>
      <c r="AP1565" s="1352"/>
      <c r="AQ1565" s="1352"/>
      <c r="AR1565" s="1352"/>
      <c r="AS1565" s="1352"/>
    </row>
    <row r="1566" spans="1:45" s="905" customFormat="1" hidden="1" x14ac:dyDescent="0.2">
      <c r="A1566" s="1507">
        <v>7</v>
      </c>
      <c r="B1566" s="1516">
        <v>706.9</v>
      </c>
      <c r="C1566" s="1516"/>
      <c r="D1566" s="1516"/>
      <c r="E1566" s="1516"/>
      <c r="F1566" s="1511"/>
      <c r="G1566" s="1509" t="str">
        <f ca="1">G1565</f>
        <v/>
      </c>
      <c r="H1566" s="1510" t="s">
        <v>3197</v>
      </c>
      <c r="I1566" s="590"/>
      <c r="J1566" s="590"/>
      <c r="K1566" s="590"/>
      <c r="L1566" s="1687"/>
      <c r="M1566" s="1623"/>
      <c r="N1566" s="1619"/>
      <c r="O1566" s="1619"/>
      <c r="P1566" s="991"/>
      <c r="Q1566" s="991"/>
      <c r="R1566" s="991"/>
      <c r="S1566" s="991"/>
      <c r="T1566" s="991"/>
      <c r="U1566" s="991"/>
      <c r="X1566" s="1600"/>
      <c r="Y1566" s="1881"/>
      <c r="Z1566" s="1600"/>
      <c r="AC1566" s="1150"/>
      <c r="AD1566" s="1150"/>
      <c r="AE1566" s="1150"/>
      <c r="AL1566" s="1352"/>
      <c r="AM1566" s="1352"/>
      <c r="AN1566" s="1352"/>
      <c r="AO1566" s="1352"/>
      <c r="AP1566" s="1352"/>
      <c r="AQ1566" s="1352"/>
      <c r="AR1566" s="1352"/>
      <c r="AS1566" s="1352"/>
    </row>
    <row r="1567" spans="1:45" s="905" customFormat="1" ht="16" hidden="1" thickBot="1" x14ac:dyDescent="0.25">
      <c r="A1567" s="1507">
        <v>7</v>
      </c>
      <c r="B1567" s="1516">
        <v>706.9</v>
      </c>
      <c r="C1567" s="1516"/>
      <c r="D1567" s="1516"/>
      <c r="E1567" s="1516"/>
      <c r="F1567" s="1511"/>
      <c r="G1567" s="1509" t="str">
        <f ca="1">G1566</f>
        <v/>
      </c>
      <c r="H1567" s="1510" t="s">
        <v>3197</v>
      </c>
      <c r="I1567" s="594"/>
      <c r="J1567" s="594"/>
      <c r="K1567" s="594"/>
      <c r="L1567" s="1738"/>
      <c r="M1567" s="1627"/>
      <c r="N1567" s="1638"/>
      <c r="O1567" s="1638"/>
      <c r="P1567" s="100"/>
      <c r="Q1567" s="100"/>
      <c r="R1567" s="100"/>
      <c r="S1567" s="100"/>
      <c r="T1567" s="100"/>
      <c r="U1567" s="100"/>
      <c r="W1567" s="113"/>
      <c r="X1567" s="1602"/>
      <c r="Y1567" s="1882"/>
      <c r="Z1567" s="1602"/>
      <c r="AC1567" s="1150"/>
      <c r="AD1567" s="1150"/>
      <c r="AE1567" s="1150"/>
      <c r="AL1567" s="1352"/>
      <c r="AM1567" s="1352"/>
      <c r="AN1567" s="1352"/>
      <c r="AO1567" s="1352"/>
      <c r="AP1567" s="1352"/>
      <c r="AQ1567" s="1352"/>
      <c r="AR1567" s="1352"/>
      <c r="AS1567" s="1352"/>
    </row>
    <row r="1568" spans="1:45" s="905" customFormat="1" ht="15.75" hidden="1" customHeight="1" thickTop="1" x14ac:dyDescent="0.2">
      <c r="A1568" s="1507">
        <v>7</v>
      </c>
      <c r="B1568" s="1516" t="s">
        <v>4513</v>
      </c>
      <c r="C1568" s="1516"/>
      <c r="D1568" s="1516"/>
      <c r="E1568" s="1516"/>
      <c r="F1568" s="1511"/>
      <c r="G1568" s="1509" t="str">
        <f ca="1">IF(N1568&gt;0,"P","")</f>
        <v/>
      </c>
      <c r="H1568" s="1510" t="s">
        <v>3197</v>
      </c>
      <c r="I1568" s="603" t="s">
        <v>4388</v>
      </c>
      <c r="J1568" s="603"/>
      <c r="K1568" s="603"/>
      <c r="L1568" s="1740" t="s">
        <v>4853</v>
      </c>
      <c r="M1568" s="1685">
        <v>1</v>
      </c>
      <c r="N1568" s="1682">
        <f ca="1">'11.700'!O694</f>
        <v>0</v>
      </c>
      <c r="O1568" s="1682">
        <f ca="1">M1568*S1568*W1568</f>
        <v>0</v>
      </c>
      <c r="P1568" s="106" t="b">
        <v>1</v>
      </c>
      <c r="Q1568" s="106" t="b">
        <v>1</v>
      </c>
      <c r="R1568" s="106" t="b">
        <v>0</v>
      </c>
      <c r="S1568" s="106" t="b">
        <f ca="1">AND(S885=2,IFERROR(NOT(OR(W1517:W1524,W1558:W1559)),TRUE))</f>
        <v>0</v>
      </c>
      <c r="T1568" s="106" t="b">
        <f ca="1">AND(NOT(S1568),W1568=TRUE)</f>
        <v>0</v>
      </c>
      <c r="U1568" s="106"/>
      <c r="W1568" s="334"/>
      <c r="X1568" s="1603"/>
      <c r="Y1568" s="1883" t="str">
        <f>IF(LEN('11.700'!X694)=0,"None",'11.700'!X694)</f>
        <v>None</v>
      </c>
      <c r="Z1568" s="1603"/>
      <c r="AC1568" s="1150" t="b">
        <f ca="1">OR(AD1568:AE1568)</f>
        <v>0</v>
      </c>
      <c r="AD1568" s="1150" t="b">
        <f ca="1">T1568</f>
        <v>0</v>
      </c>
      <c r="AE1568" s="1150"/>
      <c r="AL1568" s="1352" t="str">
        <f>SUBSTITUTE(SUBSTITUTE(SUBSTITUTE("vpa"&amp;$B1568&amp;$C1568&amp;$D1568&amp;$E1568&amp;$F1568,".","_"),"(","_"),")","")</f>
        <v>vpa706_10</v>
      </c>
      <c r="AM1568" s="1352">
        <f>M1568</f>
        <v>1</v>
      </c>
      <c r="AN1568" s="1352" t="str">
        <f>SUBSTITUTE(SUBSTITUTE(SUBSTITUTE("vpc"&amp;$B1568&amp;$C1568&amp;$D1568&amp;$E1568&amp;$F1568,".","_"),"(","_"),")","")</f>
        <v>vpc706_10</v>
      </c>
      <c r="AO1568" s="1352">
        <f ca="1">O1568</f>
        <v>0</v>
      </c>
      <c r="AP1568" s="1352" t="str">
        <f>SUBSTITUTE(SUBSTITUTE(SUBSTITUTE("vch"&amp;$B1568&amp;$C1568&amp;$D1568&amp;$E1568&amp;$F1568,".","_"),"(","_"),")","")</f>
        <v>vch706_10</v>
      </c>
      <c r="AQ1568" s="1352" t="str">
        <f>IF(LEN(W1568)=0,"",W1568)</f>
        <v/>
      </c>
      <c r="AR1568" s="1352" t="str">
        <f>SUBSTITUTE(SUBSTITUTE(SUBSTITUTE("vnt"&amp;$B1568&amp;$C1568&amp;$D1568&amp;$E1568&amp;$F1568,".","_"),"(","_"),")","")</f>
        <v>vnt706_10</v>
      </c>
      <c r="AS1568" s="1352" t="str">
        <f>IF(LEN(X1568)=0,"",X1568)</f>
        <v/>
      </c>
    </row>
    <row r="1569" spans="1:45" s="905" customFormat="1" hidden="1" x14ac:dyDescent="0.2">
      <c r="A1569" s="1507">
        <v>7</v>
      </c>
      <c r="B1569" s="1516" t="s">
        <v>4513</v>
      </c>
      <c r="C1569" s="1516"/>
      <c r="D1569" s="1516"/>
      <c r="E1569" s="1516"/>
      <c r="F1569" s="1511"/>
      <c r="G1569" s="1509" t="str">
        <f ca="1">G1568</f>
        <v/>
      </c>
      <c r="H1569" s="1510" t="s">
        <v>3197</v>
      </c>
      <c r="I1569" s="590"/>
      <c r="J1569" s="590"/>
      <c r="K1569" s="590"/>
      <c r="L1569" s="1687"/>
      <c r="M1569" s="1623"/>
      <c r="N1569" s="1619"/>
      <c r="O1569" s="1619"/>
      <c r="P1569" s="991"/>
      <c r="Q1569" s="991"/>
      <c r="R1569" s="991"/>
      <c r="S1569" s="991"/>
      <c r="T1569" s="991"/>
      <c r="U1569" s="991"/>
      <c r="W1569" s="1135"/>
      <c r="X1569" s="1601"/>
      <c r="Y1569" s="1881"/>
      <c r="Z1569" s="1600"/>
      <c r="AC1569" s="1150"/>
      <c r="AD1569" s="1150"/>
      <c r="AE1569" s="1150"/>
      <c r="AL1569" s="1352"/>
      <c r="AM1569" s="1352"/>
      <c r="AN1569" s="1352"/>
      <c r="AO1569" s="1352"/>
      <c r="AP1569" s="1352"/>
      <c r="AQ1569" s="1352"/>
      <c r="AR1569" s="1352"/>
      <c r="AS1569" s="1352"/>
    </row>
    <row r="1570" spans="1:45" s="905" customFormat="1" hidden="1" x14ac:dyDescent="0.2">
      <c r="A1570" s="1507">
        <v>7</v>
      </c>
      <c r="B1570" s="1516" t="s">
        <v>4513</v>
      </c>
      <c r="C1570" s="1516"/>
      <c r="D1570" s="1516"/>
      <c r="E1570" s="1516"/>
      <c r="F1570" s="1511"/>
      <c r="G1570" s="1509" t="str">
        <f ca="1">G1569</f>
        <v/>
      </c>
      <c r="H1570" s="1510" t="s">
        <v>3197</v>
      </c>
      <c r="I1570" s="590"/>
      <c r="J1570" s="590"/>
      <c r="K1570" s="590"/>
      <c r="L1570" s="1687"/>
      <c r="M1570" s="1623"/>
      <c r="N1570" s="1619"/>
      <c r="O1570" s="1619"/>
      <c r="P1570" s="991"/>
      <c r="Q1570" s="991"/>
      <c r="R1570" s="991"/>
      <c r="S1570" s="991"/>
      <c r="T1570" s="991"/>
      <c r="U1570" s="991"/>
      <c r="W1570" s="1135"/>
      <c r="X1570" s="1601"/>
      <c r="Y1570" s="1881"/>
      <c r="Z1570" s="1600"/>
      <c r="AC1570" s="1150"/>
      <c r="AD1570" s="1150"/>
      <c r="AE1570" s="1150"/>
      <c r="AL1570" s="1352"/>
      <c r="AM1570" s="1352"/>
      <c r="AN1570" s="1352"/>
      <c r="AO1570" s="1352"/>
      <c r="AP1570" s="1352"/>
      <c r="AQ1570" s="1352"/>
      <c r="AR1570" s="1352"/>
      <c r="AS1570" s="1352"/>
    </row>
    <row r="1571" spans="1:45" s="905" customFormat="1" hidden="1" x14ac:dyDescent="0.2">
      <c r="A1571" s="1507">
        <v>7</v>
      </c>
      <c r="B1571" s="1516" t="s">
        <v>4513</v>
      </c>
      <c r="C1571" s="1516"/>
      <c r="D1571" s="1516"/>
      <c r="E1571" s="1516"/>
      <c r="F1571" s="1511"/>
      <c r="G1571" s="1509" t="str">
        <f ca="1">G1570</f>
        <v/>
      </c>
      <c r="H1571" s="1510" t="s">
        <v>3197</v>
      </c>
      <c r="I1571" s="590"/>
      <c r="J1571" s="590"/>
      <c r="K1571" s="590"/>
      <c r="L1571" s="1687"/>
      <c r="M1571" s="991"/>
      <c r="N1571" s="991"/>
      <c r="O1571" s="991"/>
      <c r="P1571" s="991"/>
      <c r="Q1571" s="991"/>
      <c r="R1571" s="991"/>
      <c r="S1571" s="991"/>
      <c r="T1571" s="991"/>
      <c r="U1571" s="991"/>
      <c r="W1571" s="1135"/>
      <c r="X1571" s="1601"/>
      <c r="Y1571" s="1881"/>
      <c r="Z1571" s="1600"/>
      <c r="AC1571" s="1150"/>
      <c r="AD1571" s="1150"/>
      <c r="AE1571" s="1150"/>
      <c r="AL1571" s="1352"/>
      <c r="AM1571" s="1352"/>
      <c r="AN1571" s="1352"/>
      <c r="AO1571" s="1352"/>
      <c r="AP1571" s="1352"/>
      <c r="AQ1571" s="1352"/>
      <c r="AR1571" s="1352"/>
      <c r="AS1571" s="1352"/>
    </row>
    <row r="1572" spans="1:45" s="905" customFormat="1" ht="16" hidden="1" thickBot="1" x14ac:dyDescent="0.25">
      <c r="A1572" s="1507">
        <v>7</v>
      </c>
      <c r="B1572" s="1516" t="s">
        <v>4513</v>
      </c>
      <c r="C1572" s="1516"/>
      <c r="D1572" s="1516"/>
      <c r="E1572" s="1516"/>
      <c r="F1572" s="1511"/>
      <c r="G1572" s="1509" t="str">
        <f ca="1">G1571</f>
        <v/>
      </c>
      <c r="H1572" s="1510" t="s">
        <v>3197</v>
      </c>
      <c r="I1572" s="594"/>
      <c r="J1572" s="594"/>
      <c r="K1572" s="594"/>
      <c r="L1572" s="1738"/>
      <c r="M1572" s="100"/>
      <c r="N1572" s="100"/>
      <c r="O1572" s="100"/>
      <c r="P1572" s="100"/>
      <c r="Q1572" s="100"/>
      <c r="R1572" s="100"/>
      <c r="S1572" s="100"/>
      <c r="T1572" s="100"/>
      <c r="U1572" s="100"/>
      <c r="W1572" s="100"/>
      <c r="X1572" s="1602"/>
      <c r="Y1572" s="1882"/>
      <c r="Z1572" s="1602"/>
      <c r="AC1572" s="1150"/>
      <c r="AD1572" s="1150"/>
      <c r="AE1572" s="1150"/>
      <c r="AL1572" s="1352"/>
      <c r="AM1572" s="1352"/>
      <c r="AN1572" s="1352"/>
      <c r="AO1572" s="1352"/>
      <c r="AP1572" s="1352"/>
      <c r="AQ1572" s="1352"/>
      <c r="AR1572" s="1352"/>
      <c r="AS1572" s="1352"/>
    </row>
    <row r="1573" spans="1:45" s="905" customFormat="1" ht="15.75" hidden="1" customHeight="1" thickTop="1" x14ac:dyDescent="0.2">
      <c r="A1573" s="1507">
        <v>7</v>
      </c>
      <c r="B1573" s="1516">
        <v>706.11</v>
      </c>
      <c r="C1573" s="1516"/>
      <c r="D1573" s="1516"/>
      <c r="E1573" s="1516"/>
      <c r="F1573" s="1511"/>
      <c r="G1573" s="1509" t="str">
        <f ca="1">IF(N1573&gt;0,"P","")</f>
        <v/>
      </c>
      <c r="H1573" s="1510" t="s">
        <v>3197</v>
      </c>
      <c r="I1573" s="603" t="s">
        <v>4389</v>
      </c>
      <c r="J1573" s="603"/>
      <c r="K1573" s="603"/>
      <c r="L1573" s="1740" t="s">
        <v>4390</v>
      </c>
      <c r="M1573" s="1685">
        <v>2</v>
      </c>
      <c r="N1573" s="1682">
        <f ca="1">'11.700'!O699</f>
        <v>0</v>
      </c>
      <c r="O1573" s="1682">
        <f ca="1">M1573*S1573*W1573</f>
        <v>0</v>
      </c>
      <c r="P1573" s="1105" t="b">
        <v>1</v>
      </c>
      <c r="Q1573" s="1105" t="b">
        <v>1</v>
      </c>
      <c r="R1573" s="1105" t="b">
        <v>0</v>
      </c>
      <c r="S1573" s="1105" t="b">
        <f ca="1">S885=2</f>
        <v>0</v>
      </c>
      <c r="T1573" s="1105" t="b">
        <v>0</v>
      </c>
      <c r="U1573" s="106"/>
      <c r="W1573" s="334"/>
      <c r="X1573" s="1603"/>
      <c r="Y1573" s="1883" t="str">
        <f>IF(LEN('11.700'!X699)=0,"None",'11.700'!X699)</f>
        <v>None</v>
      </c>
      <c r="Z1573" s="1603"/>
      <c r="AC1573" s="1150" t="b">
        <f>OR(AD1573:AE1573)</f>
        <v>0</v>
      </c>
      <c r="AD1573" s="1150" t="b">
        <f>T1573</f>
        <v>0</v>
      </c>
      <c r="AE1573" s="1150"/>
      <c r="AL1573" s="1352" t="str">
        <f>SUBSTITUTE(SUBSTITUTE(SUBSTITUTE("vpa"&amp;$B1573&amp;$C1573&amp;$D1573&amp;$E1573&amp;$F1573,".","_"),"(","_"),")","")</f>
        <v>vpa706_11</v>
      </c>
      <c r="AM1573" s="1352">
        <f>M1573</f>
        <v>2</v>
      </c>
      <c r="AN1573" s="1352" t="str">
        <f>SUBSTITUTE(SUBSTITUTE(SUBSTITUTE("vpc"&amp;$B1573&amp;$C1573&amp;$D1573&amp;$E1573&amp;$F1573,".","_"),"(","_"),")","")</f>
        <v>vpc706_11</v>
      </c>
      <c r="AO1573" s="1352">
        <f ca="1">O1573</f>
        <v>0</v>
      </c>
      <c r="AP1573" s="1352" t="str">
        <f>SUBSTITUTE(SUBSTITUTE(SUBSTITUTE("vch"&amp;$B1573&amp;$C1573&amp;$D1573&amp;$E1573&amp;$F1573,".","_"),"(","_"),")","")</f>
        <v>vch706_11</v>
      </c>
      <c r="AQ1573" s="1352" t="str">
        <f>IF(LEN(W1573)=0,"",W1573)</f>
        <v/>
      </c>
      <c r="AR1573" s="1352" t="str">
        <f>SUBSTITUTE(SUBSTITUTE(SUBSTITUTE("vnt"&amp;$B1573&amp;$C1573&amp;$D1573&amp;$E1573&amp;$F1573,".","_"),"(","_"),")","")</f>
        <v>vnt706_11</v>
      </c>
      <c r="AS1573" s="1352" t="str">
        <f>IF(LEN(X1573)=0,"",X1573)</f>
        <v/>
      </c>
    </row>
    <row r="1574" spans="1:45" s="905" customFormat="1" ht="16" hidden="1" thickBot="1" x14ac:dyDescent="0.25">
      <c r="A1574" s="1507">
        <v>7</v>
      </c>
      <c r="B1574" s="1516">
        <v>706.11</v>
      </c>
      <c r="C1574" s="1516"/>
      <c r="D1574" s="1516"/>
      <c r="E1574" s="1516"/>
      <c r="F1574" s="1511"/>
      <c r="G1574" s="1509" t="str">
        <f ca="1">G1573</f>
        <v/>
      </c>
      <c r="H1574" s="1510" t="s">
        <v>3197</v>
      </c>
      <c r="I1574" s="594"/>
      <c r="J1574" s="594"/>
      <c r="K1574" s="594"/>
      <c r="L1574" s="1738"/>
      <c r="M1574" s="1627"/>
      <c r="N1574" s="1638"/>
      <c r="O1574" s="1638"/>
      <c r="P1574" s="100"/>
      <c r="Q1574" s="100"/>
      <c r="R1574" s="100"/>
      <c r="S1574" s="100"/>
      <c r="T1574" s="100"/>
      <c r="U1574" s="100"/>
      <c r="W1574" s="100"/>
      <c r="X1574" s="1602"/>
      <c r="Y1574" s="1882"/>
      <c r="Z1574" s="1602"/>
      <c r="AC1574" s="1150"/>
      <c r="AD1574" s="1150"/>
      <c r="AE1574" s="1150"/>
      <c r="AL1574" s="1352"/>
      <c r="AM1574" s="1352"/>
      <c r="AN1574" s="1352"/>
      <c r="AO1574" s="1352"/>
      <c r="AP1574" s="1352"/>
      <c r="AQ1574" s="1352"/>
      <c r="AR1574" s="1352"/>
      <c r="AS1574" s="1352"/>
    </row>
    <row r="1575" spans="1:45" s="905" customFormat="1" ht="15.75" hidden="1" customHeight="1" thickTop="1" x14ac:dyDescent="0.2">
      <c r="A1575" s="1507">
        <v>7</v>
      </c>
      <c r="B1575" s="1516">
        <v>706.12</v>
      </c>
      <c r="C1575" s="1516"/>
      <c r="D1575" s="1516"/>
      <c r="E1575" s="1516"/>
      <c r="F1575" s="1511"/>
      <c r="G1575" s="1509" t="str">
        <f ca="1">IF(N1575&gt;0,"P","")</f>
        <v/>
      </c>
      <c r="H1575" s="1510" t="s">
        <v>3197</v>
      </c>
      <c r="I1575" s="603" t="s">
        <v>4391</v>
      </c>
      <c r="J1575" s="603"/>
      <c r="K1575" s="603"/>
      <c r="L1575" s="1740" t="s">
        <v>4392</v>
      </c>
      <c r="M1575" s="1685">
        <v>1</v>
      </c>
      <c r="N1575" s="1682">
        <f ca="1">'11.700'!O701</f>
        <v>0</v>
      </c>
      <c r="O1575" s="1682">
        <f ca="1">M1575*S1575*W1575</f>
        <v>0</v>
      </c>
      <c r="P1575" s="1105" t="b">
        <v>1</v>
      </c>
      <c r="Q1575" s="1105" t="b">
        <v>1</v>
      </c>
      <c r="R1575" s="1105" t="b">
        <v>0</v>
      </c>
      <c r="S1575" s="1105" t="b">
        <f ca="1">S885=2</f>
        <v>0</v>
      </c>
      <c r="T1575" s="1105" t="b">
        <v>0</v>
      </c>
      <c r="U1575" s="106"/>
      <c r="W1575" s="119"/>
      <c r="X1575" s="1599"/>
      <c r="Y1575" s="1883" t="str">
        <f>IF(LEN('11.700'!X701)=0,"None",'11.700'!X701)</f>
        <v>None</v>
      </c>
      <c r="Z1575" s="1603"/>
      <c r="AC1575" s="1150" t="b">
        <f>OR(AD1575:AE1575)</f>
        <v>0</v>
      </c>
      <c r="AD1575" s="1150" t="b">
        <f>T1575</f>
        <v>0</v>
      </c>
      <c r="AE1575" s="1150"/>
      <c r="AL1575" s="1352" t="str">
        <f>SUBSTITUTE(SUBSTITUTE(SUBSTITUTE("vpa"&amp;$B1575&amp;$C1575&amp;$D1575&amp;$E1575&amp;$F1575,".","_"),"(","_"),")","")</f>
        <v>vpa706_12</v>
      </c>
      <c r="AM1575" s="1352">
        <f>M1575</f>
        <v>1</v>
      </c>
      <c r="AN1575" s="1352" t="str">
        <f>SUBSTITUTE(SUBSTITUTE(SUBSTITUTE("vpc"&amp;$B1575&amp;$C1575&amp;$D1575&amp;$E1575&amp;$F1575,".","_"),"(","_"),")","")</f>
        <v>vpc706_12</v>
      </c>
      <c r="AO1575" s="1352">
        <f ca="1">O1575</f>
        <v>0</v>
      </c>
      <c r="AP1575" s="1352" t="str">
        <f>SUBSTITUTE(SUBSTITUTE(SUBSTITUTE("vch"&amp;$B1575&amp;$C1575&amp;$D1575&amp;$E1575&amp;$F1575,".","_"),"(","_"),")","")</f>
        <v>vch706_12</v>
      </c>
      <c r="AQ1575" s="1352" t="str">
        <f>IF(LEN(W1575)=0,"",W1575)</f>
        <v/>
      </c>
      <c r="AR1575" s="1352" t="str">
        <f>SUBSTITUTE(SUBSTITUTE(SUBSTITUTE("vnt"&amp;$B1575&amp;$C1575&amp;$D1575&amp;$E1575&amp;$F1575,".","_"),"(","_"),")","")</f>
        <v>vnt706_12</v>
      </c>
      <c r="AS1575" s="1352" t="str">
        <f>IF(LEN(X1575)=0,"",X1575)</f>
        <v/>
      </c>
    </row>
    <row r="1576" spans="1:45" s="905" customFormat="1" hidden="1" x14ac:dyDescent="0.2">
      <c r="A1576" s="1507">
        <v>7</v>
      </c>
      <c r="B1576" s="1516">
        <v>706.12</v>
      </c>
      <c r="C1576" s="1516"/>
      <c r="D1576" s="1516"/>
      <c r="E1576" s="1516"/>
      <c r="F1576" s="1511"/>
      <c r="G1576" s="1509" t="str">
        <f ca="1">G1575</f>
        <v/>
      </c>
      <c r="H1576" s="1510" t="s">
        <v>3197</v>
      </c>
      <c r="I1576" s="590"/>
      <c r="J1576" s="590"/>
      <c r="K1576" s="590"/>
      <c r="L1576" s="1687"/>
      <c r="M1576" s="1623"/>
      <c r="N1576" s="1619"/>
      <c r="O1576" s="1619"/>
      <c r="P1576" s="991"/>
      <c r="Q1576" s="991"/>
      <c r="R1576" s="991"/>
      <c r="S1576" s="991"/>
      <c r="T1576" s="991"/>
      <c r="U1576" s="991"/>
      <c r="X1576" s="1600"/>
      <c r="Y1576" s="1881"/>
      <c r="Z1576" s="1600"/>
      <c r="AC1576" s="1150"/>
      <c r="AD1576" s="1150"/>
      <c r="AE1576" s="1150"/>
      <c r="AL1576" s="1352"/>
      <c r="AM1576" s="1352"/>
      <c r="AN1576" s="1352"/>
      <c r="AO1576" s="1352"/>
      <c r="AP1576" s="1352"/>
      <c r="AQ1576" s="1352"/>
      <c r="AR1576" s="1352"/>
      <c r="AS1576" s="1352"/>
    </row>
    <row r="1577" spans="1:45" s="905" customFormat="1" hidden="1" x14ac:dyDescent="0.2">
      <c r="A1577" s="1507">
        <v>7</v>
      </c>
      <c r="B1577" s="1516">
        <v>706.12</v>
      </c>
      <c r="C1577" s="1516"/>
      <c r="D1577" s="1516"/>
      <c r="E1577" s="1516"/>
      <c r="F1577" s="1511"/>
      <c r="G1577" s="1509" t="str">
        <f ca="1">G1576</f>
        <v/>
      </c>
      <c r="H1577" s="1510" t="s">
        <v>3197</v>
      </c>
      <c r="I1577" s="590"/>
      <c r="J1577" s="590"/>
      <c r="K1577" s="590"/>
      <c r="L1577" s="1687"/>
      <c r="M1577" s="1623"/>
      <c r="N1577" s="1619"/>
      <c r="O1577" s="1619"/>
      <c r="P1577" s="991"/>
      <c r="Q1577" s="991"/>
      <c r="R1577" s="991"/>
      <c r="S1577" s="991"/>
      <c r="T1577" s="991"/>
      <c r="U1577" s="991"/>
      <c r="X1577" s="1600"/>
      <c r="Y1577" s="1881"/>
      <c r="Z1577" s="1600"/>
      <c r="AC1577" s="1150"/>
      <c r="AD1577" s="1150"/>
      <c r="AE1577" s="1150"/>
      <c r="AL1577" s="1352"/>
      <c r="AM1577" s="1352"/>
      <c r="AN1577" s="1352"/>
      <c r="AO1577" s="1352"/>
      <c r="AP1577" s="1352"/>
      <c r="AQ1577" s="1352"/>
      <c r="AR1577" s="1352"/>
      <c r="AS1577" s="1352"/>
    </row>
    <row r="1578" spans="1:45" s="905" customFormat="1" ht="16" hidden="1" thickBot="1" x14ac:dyDescent="0.25">
      <c r="A1578" s="1507">
        <v>7</v>
      </c>
      <c r="B1578" s="1516">
        <v>706.12</v>
      </c>
      <c r="C1578" s="1516"/>
      <c r="D1578" s="1516"/>
      <c r="E1578" s="1516"/>
      <c r="F1578" s="1511"/>
      <c r="G1578" s="1509" t="str">
        <f ca="1">G1577</f>
        <v/>
      </c>
      <c r="H1578" s="1510" t="s">
        <v>3197</v>
      </c>
      <c r="I1578" s="594"/>
      <c r="J1578" s="594"/>
      <c r="K1578" s="594"/>
      <c r="L1578" s="1738"/>
      <c r="M1578" s="1627"/>
      <c r="N1578" s="1638"/>
      <c r="O1578" s="1638"/>
      <c r="P1578" s="100"/>
      <c r="Q1578" s="100"/>
      <c r="R1578" s="100"/>
      <c r="S1578" s="100"/>
      <c r="T1578" s="100"/>
      <c r="U1578" s="100"/>
      <c r="W1578" s="113"/>
      <c r="X1578" s="1602"/>
      <c r="Y1578" s="1882"/>
      <c r="Z1578" s="1602"/>
      <c r="AC1578" s="1150"/>
      <c r="AD1578" s="1150"/>
      <c r="AE1578" s="1150"/>
      <c r="AL1578" s="1352"/>
      <c r="AM1578" s="1352"/>
      <c r="AN1578" s="1352"/>
      <c r="AO1578" s="1352"/>
      <c r="AP1578" s="1352"/>
      <c r="AQ1578" s="1352"/>
      <c r="AR1578" s="1352"/>
      <c r="AS1578" s="1352"/>
    </row>
    <row r="1579" spans="1:45" s="905" customFormat="1" ht="15.75" hidden="1" customHeight="1" thickTop="1" x14ac:dyDescent="0.2">
      <c r="A1579" s="1507">
        <v>7</v>
      </c>
      <c r="B1579" s="1516">
        <v>706.13</v>
      </c>
      <c r="C1579" s="1516"/>
      <c r="D1579" s="1516"/>
      <c r="E1579" s="1516"/>
      <c r="F1579" s="1511"/>
      <c r="G1579" s="1509" t="str">
        <f ca="1">IF(N1579&gt;0,"P","")</f>
        <v/>
      </c>
      <c r="H1579" s="1530" t="s">
        <v>3199</v>
      </c>
      <c r="I1579" s="603" t="s">
        <v>4393</v>
      </c>
      <c r="J1579" s="603"/>
      <c r="K1579" s="603"/>
      <c r="L1579" s="1740" t="s">
        <v>4394</v>
      </c>
      <c r="M1579" s="106"/>
      <c r="N1579" s="1682">
        <f ca="1">'11.700'!O705</f>
        <v>0</v>
      </c>
      <c r="O1579" s="1682">
        <f ca="1">IFERROR(INDEX({1,2},MATCH(W1579,INDIRECT(U1579),0)),0)</f>
        <v>0</v>
      </c>
      <c r="P1579" s="1105" t="b">
        <v>0</v>
      </c>
      <c r="Q1579" s="1105" t="b">
        <v>1</v>
      </c>
      <c r="R1579" s="1105" t="b">
        <v>0</v>
      </c>
      <c r="S1579" s="1105" t="b">
        <f ca="1">S885=2</f>
        <v>0</v>
      </c>
      <c r="T1579" s="1105" t="b">
        <v>0</v>
      </c>
      <c r="U1579" s="106" t="str">
        <f>SUBSTITUTE(SUBSTITUTE(SUBSTITUTE("dd"&amp;B1579&amp;C1579&amp;D1579&amp;E1579&amp;F1579,".","_"),"(","_"),")","")</f>
        <v>dd706_13</v>
      </c>
      <c r="W1579" s="269"/>
      <c r="X1579" s="1603"/>
      <c r="Y1579" s="1883" t="str">
        <f>IF(LEN('11.700'!X705)=0,"None",'11.700'!X705)</f>
        <v>None</v>
      </c>
      <c r="Z1579" s="1603"/>
      <c r="AC1579" s="1150" t="b">
        <f>OR(AD1579:AE1579)</f>
        <v>0</v>
      </c>
      <c r="AD1579" s="1150" t="b">
        <f>T1579</f>
        <v>0</v>
      </c>
      <c r="AE1579" s="1150"/>
      <c r="AL1579" s="1352"/>
      <c r="AM1579" s="1352"/>
      <c r="AN1579" s="1352" t="str">
        <f>SUBSTITUTE(SUBSTITUTE(SUBSTITUTE("vpc"&amp;$B1579&amp;$C1579&amp;$D1579&amp;$E1579&amp;$F1579,".","_"),"(","_"),")","")</f>
        <v>vpc706_13</v>
      </c>
      <c r="AO1579" s="1352">
        <f ca="1">O1579</f>
        <v>0</v>
      </c>
      <c r="AP1579" s="1352" t="str">
        <f>SUBSTITUTE(SUBSTITUTE(SUBSTITUTE("vch"&amp;$B1579&amp;$C1579&amp;$D1579&amp;$E1579&amp;$F1579,".","_"),"(","_"),")","")</f>
        <v>vch706_13</v>
      </c>
      <c r="AQ1579" s="1352" t="str">
        <f>IF(LEN(W1579)=0,"",W1579)</f>
        <v/>
      </c>
      <c r="AR1579" s="1352" t="str">
        <f>SUBSTITUTE(SUBSTITUTE(SUBSTITUTE("vnt"&amp;$B1579&amp;$C1579&amp;$D1579&amp;$E1579&amp;$F1579,".","_"),"(","_"),")","")</f>
        <v>vnt706_13</v>
      </c>
      <c r="AS1579" s="1352" t="str">
        <f>IF(LEN(X1579)=0,"",X1579)</f>
        <v/>
      </c>
    </row>
    <row r="1580" spans="1:45" s="905" customFormat="1" hidden="1" x14ac:dyDescent="0.2">
      <c r="A1580" s="1507">
        <v>7</v>
      </c>
      <c r="B1580" s="1516">
        <v>706.13</v>
      </c>
      <c r="C1580" s="1516"/>
      <c r="D1580" s="1516"/>
      <c r="E1580" s="1516"/>
      <c r="F1580" s="1511"/>
      <c r="G1580" s="1509" t="str">
        <f ca="1">G1579</f>
        <v/>
      </c>
      <c r="H1580" s="1530" t="s">
        <v>3199</v>
      </c>
      <c r="I1580" s="590"/>
      <c r="J1580" s="590"/>
      <c r="K1580" s="590"/>
      <c r="L1580" s="1687"/>
      <c r="M1580" s="991"/>
      <c r="N1580" s="1619"/>
      <c r="O1580" s="1619"/>
      <c r="P1580" s="991"/>
      <c r="Q1580" s="991"/>
      <c r="R1580" s="991"/>
      <c r="S1580" s="991"/>
      <c r="T1580" s="991"/>
      <c r="U1580" s="991"/>
      <c r="X1580" s="1600"/>
      <c r="Y1580" s="1881"/>
      <c r="Z1580" s="1600"/>
      <c r="AL1580" s="1352"/>
      <c r="AM1580" s="1352"/>
      <c r="AN1580" s="1352"/>
      <c r="AO1580" s="1352"/>
      <c r="AP1580" s="1352"/>
      <c r="AQ1580" s="1352"/>
      <c r="AR1580" s="1352"/>
      <c r="AS1580" s="1352"/>
    </row>
    <row r="1581" spans="1:45" s="905" customFormat="1" hidden="1" x14ac:dyDescent="0.2">
      <c r="A1581" s="1507">
        <v>7</v>
      </c>
      <c r="B1581" s="1516">
        <v>706.13</v>
      </c>
      <c r="C1581" s="1516" t="s">
        <v>254</v>
      </c>
      <c r="D1581" s="1516"/>
      <c r="E1581" s="1516"/>
      <c r="F1581" s="1511"/>
      <c r="G1581" s="1509" t="str">
        <f ca="1">G1580</f>
        <v/>
      </c>
      <c r="H1581" s="1530" t="s">
        <v>3199</v>
      </c>
      <c r="I1581" s="590"/>
      <c r="J1581" s="606" t="s">
        <v>254</v>
      </c>
      <c r="K1581" s="606"/>
      <c r="L1581" s="923" t="s">
        <v>4395</v>
      </c>
      <c r="M1581" s="1097">
        <v>1</v>
      </c>
      <c r="N1581" s="991"/>
      <c r="O1581" s="908"/>
      <c r="P1581" s="991"/>
      <c r="Q1581" s="991"/>
      <c r="R1581" s="991"/>
      <c r="S1581" s="991"/>
      <c r="T1581" s="991"/>
      <c r="U1581" s="991"/>
      <c r="X1581" s="1600"/>
      <c r="Y1581" s="1881"/>
      <c r="Z1581" s="1600"/>
      <c r="AL1581" s="1352" t="str">
        <f>SUBSTITUTE(SUBSTITUTE(SUBSTITUTE("vpa"&amp;$B1581&amp;$C1581&amp;$D1581&amp;$E1581&amp;$F1581,".","_"),"(","_"),")","")</f>
        <v>vpa706_13_1</v>
      </c>
      <c r="AM1581" s="1352">
        <f>M1581</f>
        <v>1</v>
      </c>
      <c r="AN1581" s="1352"/>
      <c r="AO1581" s="1352"/>
      <c r="AP1581" s="1352"/>
      <c r="AQ1581" s="1352"/>
      <c r="AR1581" s="1352"/>
      <c r="AS1581" s="1352"/>
    </row>
    <row r="1582" spans="1:45" s="905" customFormat="1" ht="16" hidden="1" thickBot="1" x14ac:dyDescent="0.25">
      <c r="A1582" s="1507">
        <v>7</v>
      </c>
      <c r="B1582" s="1516">
        <v>706.13</v>
      </c>
      <c r="C1582" s="1516" t="s">
        <v>255</v>
      </c>
      <c r="D1582" s="1516"/>
      <c r="E1582" s="1516"/>
      <c r="F1582" s="1511"/>
      <c r="G1582" s="1509" t="str">
        <f ca="1">G1581</f>
        <v/>
      </c>
      <c r="H1582" s="1530" t="s">
        <v>3199</v>
      </c>
      <c r="I1582" s="594"/>
      <c r="J1582" s="594" t="s">
        <v>255</v>
      </c>
      <c r="K1582" s="594"/>
      <c r="L1582" s="920" t="s">
        <v>4396</v>
      </c>
      <c r="M1582" s="1106">
        <v>2</v>
      </c>
      <c r="N1582" s="100"/>
      <c r="O1582" s="100"/>
      <c r="P1582" s="100"/>
      <c r="Q1582" s="100"/>
      <c r="R1582" s="100"/>
      <c r="S1582" s="100"/>
      <c r="T1582" s="100"/>
      <c r="U1582" s="100"/>
      <c r="W1582" s="113"/>
      <c r="X1582" s="1602"/>
      <c r="Y1582" s="1882"/>
      <c r="Z1582" s="1602"/>
      <c r="AL1582" s="1352" t="str">
        <f>SUBSTITUTE(SUBSTITUTE(SUBSTITUTE("vpa"&amp;$B1582&amp;$C1582&amp;$D1582&amp;$E1582&amp;$F1582,".","_"),"(","_"),")","")</f>
        <v>vpa706_13_2</v>
      </c>
      <c r="AM1582" s="1352">
        <f>M1582</f>
        <v>2</v>
      </c>
      <c r="AN1582" s="1352"/>
      <c r="AO1582" s="1352"/>
      <c r="AP1582" s="1352"/>
      <c r="AQ1582" s="1352"/>
      <c r="AR1582" s="1352"/>
      <c r="AS1582" s="1352"/>
    </row>
    <row r="1583" spans="1:45" s="905" customFormat="1" hidden="1" x14ac:dyDescent="0.2">
      <c r="A1583" s="1507">
        <v>7</v>
      </c>
      <c r="B1583" s="1516">
        <v>706.14</v>
      </c>
      <c r="C1583" s="1516"/>
      <c r="D1583" s="1516"/>
      <c r="E1583" s="1516"/>
      <c r="F1583" s="1511"/>
      <c r="G1583" s="1513" t="str">
        <f ca="1">IF(COUNTIF(G1584:G1588,"P")&gt;0,"P","")</f>
        <v/>
      </c>
      <c r="H1583" s="1510" t="s">
        <v>3197</v>
      </c>
      <c r="I1583" s="589" t="s">
        <v>4397</v>
      </c>
      <c r="J1583" s="589"/>
      <c r="K1583" s="589"/>
      <c r="L1583" s="946" t="s">
        <v>4398</v>
      </c>
      <c r="M1583" s="991"/>
      <c r="N1583" s="991"/>
      <c r="O1583" s="991"/>
      <c r="P1583" s="991"/>
      <c r="Q1583" s="991"/>
      <c r="R1583" s="991"/>
      <c r="S1583" s="991"/>
      <c r="T1583" s="991"/>
      <c r="Z1583" s="1122"/>
      <c r="AL1583" s="1352"/>
      <c r="AM1583" s="1352"/>
      <c r="AN1583" s="1352"/>
      <c r="AO1583" s="1352"/>
      <c r="AP1583" s="1352"/>
      <c r="AQ1583" s="1352"/>
      <c r="AR1583" s="1352"/>
      <c r="AS1583" s="1352"/>
    </row>
    <row r="1584" spans="1:45" s="905" customFormat="1" ht="15" hidden="1" customHeight="1" x14ac:dyDescent="0.2">
      <c r="A1584" s="1507">
        <v>7</v>
      </c>
      <c r="B1584" s="1516">
        <v>706.14</v>
      </c>
      <c r="C1584" s="1516" t="s">
        <v>254</v>
      </c>
      <c r="D1584" s="1516"/>
      <c r="E1584" s="1516"/>
      <c r="F1584" s="1511"/>
      <c r="G1584" s="1509" t="str">
        <f ca="1">IF(N1584&gt;0,"P","")</f>
        <v/>
      </c>
      <c r="H1584" s="1510" t="s">
        <v>3197</v>
      </c>
      <c r="I1584" s="590"/>
      <c r="J1584" s="590" t="s">
        <v>254</v>
      </c>
      <c r="K1584" s="590"/>
      <c r="L1584" s="1634" t="s">
        <v>4399</v>
      </c>
      <c r="M1584" s="1752">
        <v>3</v>
      </c>
      <c r="N1584" s="1619">
        <f ca="1">'11.700'!O710</f>
        <v>0</v>
      </c>
      <c r="O1584" s="1755">
        <f ca="1">M1584*S1584*W1584</f>
        <v>0</v>
      </c>
      <c r="P1584" s="464" t="b">
        <v>1</v>
      </c>
      <c r="Q1584" s="464" t="b">
        <v>1</v>
      </c>
      <c r="R1584" s="464" t="b">
        <v>0</v>
      </c>
      <c r="S1584" s="464" t="b">
        <f ca="1">S885=2</f>
        <v>0</v>
      </c>
      <c r="T1584" s="464" t="b">
        <v>0</v>
      </c>
      <c r="U1584" s="991"/>
      <c r="W1584" s="27"/>
      <c r="X1584" s="1600"/>
      <c r="Y1584" s="1874" t="str">
        <f>IF(LEN('11.700'!X710)=0,"None",'11.700'!X710)</f>
        <v>None</v>
      </c>
      <c r="Z1584" s="1600"/>
      <c r="AC1584" s="1150" t="b">
        <f>OR(AD1584:AE1584)</f>
        <v>0</v>
      </c>
      <c r="AD1584" s="1150" t="b">
        <f>T1584</f>
        <v>0</v>
      </c>
      <c r="AE1584" s="1150"/>
      <c r="AL1584" s="1352" t="str">
        <f>SUBSTITUTE(SUBSTITUTE(SUBSTITUTE("vpa"&amp;$B1584&amp;$C1584&amp;$D1584&amp;$E1584&amp;$F1584,".","_"),"(","_"),")","")</f>
        <v>vpa706_14_1</v>
      </c>
      <c r="AM1584" s="1352">
        <f>M1584</f>
        <v>3</v>
      </c>
      <c r="AN1584" s="1352" t="str">
        <f>SUBSTITUTE(SUBSTITUTE(SUBSTITUTE("vpc"&amp;$B1584&amp;$C1584&amp;$D1584&amp;$E1584&amp;$F1584,".","_"),"(","_"),")","")</f>
        <v>vpc706_14_1</v>
      </c>
      <c r="AO1584" s="1352">
        <f ca="1">O1584</f>
        <v>0</v>
      </c>
      <c r="AP1584" s="1352" t="str">
        <f>SUBSTITUTE(SUBSTITUTE(SUBSTITUTE("vch"&amp;$B1584&amp;$C1584&amp;$D1584&amp;$E1584&amp;$F1584,".","_"),"(","_"),")","")</f>
        <v>vch706_14_1</v>
      </c>
      <c r="AQ1584" s="1352" t="str">
        <f>IF(LEN(W1584)=0,"",W1584)</f>
        <v/>
      </c>
      <c r="AR1584" s="1352" t="str">
        <f>SUBSTITUTE(SUBSTITUTE(SUBSTITUTE("vnt"&amp;$B1584&amp;$C1584&amp;$D1584&amp;$E1584&amp;$F1584,".","_"),"(","_"),")","")</f>
        <v>vnt706_14_1</v>
      </c>
      <c r="AS1584" s="1352" t="str">
        <f>IF(LEN(X1584)=0,"",X1584)</f>
        <v/>
      </c>
    </row>
    <row r="1585" spans="1:51" s="905" customFormat="1" hidden="1" x14ac:dyDescent="0.2">
      <c r="A1585" s="1507">
        <v>7</v>
      </c>
      <c r="B1585" s="1516">
        <v>706.14</v>
      </c>
      <c r="C1585" s="1516" t="s">
        <v>254</v>
      </c>
      <c r="D1585" s="1516"/>
      <c r="E1585" s="1516"/>
      <c r="F1585" s="1511"/>
      <c r="G1585" s="1509" t="str">
        <f ca="1">G1584</f>
        <v/>
      </c>
      <c r="H1585" s="1510" t="s">
        <v>3197</v>
      </c>
      <c r="I1585" s="590"/>
      <c r="J1585" s="590"/>
      <c r="K1585" s="590"/>
      <c r="L1585" s="1634"/>
      <c r="M1585" s="1752"/>
      <c r="N1585" s="1619"/>
      <c r="O1585" s="1755"/>
      <c r="P1585" s="991"/>
      <c r="Q1585" s="991"/>
      <c r="R1585" s="991"/>
      <c r="S1585" s="991"/>
      <c r="T1585" s="991"/>
      <c r="U1585" s="991"/>
      <c r="X1585" s="1600"/>
      <c r="Y1585" s="1874"/>
      <c r="Z1585" s="1600"/>
      <c r="AC1585" s="1150"/>
      <c r="AD1585" s="1150"/>
      <c r="AE1585" s="1150"/>
      <c r="AL1585" s="1352"/>
      <c r="AM1585" s="1352"/>
      <c r="AN1585" s="1352"/>
      <c r="AO1585" s="1352"/>
      <c r="AP1585" s="1352"/>
      <c r="AQ1585" s="1352"/>
      <c r="AR1585" s="1352"/>
      <c r="AS1585" s="1352"/>
    </row>
    <row r="1586" spans="1:51" s="905" customFormat="1" hidden="1" x14ac:dyDescent="0.2">
      <c r="A1586" s="1507">
        <v>7</v>
      </c>
      <c r="B1586" s="1516">
        <v>706.14</v>
      </c>
      <c r="C1586" s="1516" t="s">
        <v>254</v>
      </c>
      <c r="D1586" s="1516"/>
      <c r="E1586" s="1516"/>
      <c r="F1586" s="1511"/>
      <c r="G1586" s="1509" t="str">
        <f ca="1">G1585</f>
        <v/>
      </c>
      <c r="H1586" s="1510" t="s">
        <v>3197</v>
      </c>
      <c r="I1586" s="590"/>
      <c r="J1586" s="590"/>
      <c r="K1586" s="590"/>
      <c r="L1586" s="1634"/>
      <c r="M1586" s="1752"/>
      <c r="N1586" s="1619"/>
      <c r="O1586" s="1755"/>
      <c r="P1586" s="991"/>
      <c r="Q1586" s="991"/>
      <c r="R1586" s="991"/>
      <c r="S1586" s="991"/>
      <c r="T1586" s="991"/>
      <c r="U1586" s="991"/>
      <c r="X1586" s="1600"/>
      <c r="Y1586" s="1874"/>
      <c r="Z1586" s="1600"/>
      <c r="AC1586" s="1150"/>
      <c r="AD1586" s="1150"/>
      <c r="AE1586" s="1150"/>
      <c r="AL1586" s="1352"/>
      <c r="AM1586" s="1352"/>
      <c r="AN1586" s="1352"/>
      <c r="AO1586" s="1352"/>
      <c r="AP1586" s="1352"/>
      <c r="AQ1586" s="1352"/>
      <c r="AR1586" s="1352"/>
      <c r="AS1586" s="1352"/>
    </row>
    <row r="1587" spans="1:51" s="905" customFormat="1" hidden="1" x14ac:dyDescent="0.2">
      <c r="A1587" s="1507">
        <v>7</v>
      </c>
      <c r="B1587" s="1516">
        <v>706.14</v>
      </c>
      <c r="C1587" s="1516" t="s">
        <v>254</v>
      </c>
      <c r="D1587" s="1516"/>
      <c r="E1587" s="1516"/>
      <c r="F1587" s="1511"/>
      <c r="G1587" s="1509" t="str">
        <f ca="1">G1586</f>
        <v/>
      </c>
      <c r="H1587" s="1510" t="s">
        <v>3197</v>
      </c>
      <c r="I1587" s="590"/>
      <c r="J1587" s="606"/>
      <c r="K1587" s="606"/>
      <c r="L1587" s="1639"/>
      <c r="M1587" s="1754"/>
      <c r="N1587" s="1620"/>
      <c r="O1587" s="1756"/>
      <c r="P1587" s="991"/>
      <c r="Q1587" s="991"/>
      <c r="R1587" s="991"/>
      <c r="S1587" s="991"/>
      <c r="T1587" s="991"/>
      <c r="U1587" s="991"/>
      <c r="X1587" s="1600"/>
      <c r="Y1587" s="1874"/>
      <c r="Z1587" s="1600"/>
      <c r="AC1587" s="1150"/>
      <c r="AD1587" s="1150"/>
      <c r="AE1587" s="1150"/>
      <c r="AL1587" s="1352"/>
      <c r="AM1587" s="1352"/>
      <c r="AN1587" s="1352"/>
      <c r="AO1587" s="1352"/>
      <c r="AP1587" s="1352"/>
      <c r="AQ1587" s="1352"/>
      <c r="AR1587" s="1352"/>
      <c r="AS1587" s="1352"/>
    </row>
    <row r="1588" spans="1:51" s="905" customFormat="1" ht="15" hidden="1" customHeight="1" x14ac:dyDescent="0.2">
      <c r="A1588" s="1507">
        <v>7</v>
      </c>
      <c r="B1588" s="1516">
        <v>706.14</v>
      </c>
      <c r="C1588" s="1516" t="s">
        <v>255</v>
      </c>
      <c r="D1588" s="1516"/>
      <c r="E1588" s="1516"/>
      <c r="F1588" s="1511"/>
      <c r="G1588" s="1509" t="str">
        <f ca="1">IF(N1588&gt;0,"P","")</f>
        <v/>
      </c>
      <c r="H1588" s="1530" t="s">
        <v>3199</v>
      </c>
      <c r="I1588" s="590"/>
      <c r="J1588" s="590" t="s">
        <v>255</v>
      </c>
      <c r="K1588" s="590"/>
      <c r="L1588" s="1634" t="s">
        <v>4400</v>
      </c>
      <c r="M1588" s="1752">
        <v>1</v>
      </c>
      <c r="N1588" s="1637">
        <f ca="1">'11.700'!O714</f>
        <v>0</v>
      </c>
      <c r="O1588" s="1755">
        <f ca="1">M1588*S1588*W1588</f>
        <v>0</v>
      </c>
      <c r="P1588" s="464" t="b">
        <v>0</v>
      </c>
      <c r="Q1588" s="464" t="b">
        <v>1</v>
      </c>
      <c r="R1588" s="464" t="b">
        <v>0</v>
      </c>
      <c r="S1588" s="464" t="b">
        <f ca="1">S885=2</f>
        <v>0</v>
      </c>
      <c r="T1588" s="464" t="b">
        <v>0</v>
      </c>
      <c r="U1588" s="991"/>
      <c r="W1588" s="333"/>
      <c r="X1588" s="1601"/>
      <c r="Y1588" s="1881" t="str">
        <f>IF(LEN('11.700'!X714)=0,"None",'11.700'!X714)</f>
        <v>None</v>
      </c>
      <c r="Z1588" s="1600"/>
      <c r="AC1588" s="1150" t="b">
        <f>OR(AD1588:AE1588)</f>
        <v>0</v>
      </c>
      <c r="AD1588" s="1150" t="b">
        <f>T1588</f>
        <v>0</v>
      </c>
      <c r="AE1588" s="1150"/>
      <c r="AL1588" s="1352" t="str">
        <f>SUBSTITUTE(SUBSTITUTE(SUBSTITUTE("vpa"&amp;$B1588&amp;$C1588&amp;$D1588&amp;$E1588&amp;$F1588,".","_"),"(","_"),")","")</f>
        <v>vpa706_14_2</v>
      </c>
      <c r="AM1588" s="1352">
        <f>M1588</f>
        <v>1</v>
      </c>
      <c r="AN1588" s="1352" t="str">
        <f>SUBSTITUTE(SUBSTITUTE(SUBSTITUTE("vpc"&amp;$B1588&amp;$C1588&amp;$D1588&amp;$E1588&amp;$F1588,".","_"),"(","_"),")","")</f>
        <v>vpc706_14_2</v>
      </c>
      <c r="AO1588" s="1352">
        <f ca="1">O1588</f>
        <v>0</v>
      </c>
      <c r="AP1588" s="1352" t="str">
        <f>SUBSTITUTE(SUBSTITUTE(SUBSTITUTE("vch"&amp;$B1588&amp;$C1588&amp;$D1588&amp;$E1588&amp;$F1588,".","_"),"(","_"),")","")</f>
        <v>vch706_14_2</v>
      </c>
      <c r="AQ1588" s="1352" t="str">
        <f>IF(LEN(W1588)=0,"",W1588)</f>
        <v/>
      </c>
      <c r="AR1588" s="1352" t="str">
        <f>SUBSTITUTE(SUBSTITUTE(SUBSTITUTE("vnt"&amp;$B1588&amp;$C1588&amp;$D1588&amp;$E1588&amp;$F1588,".","_"),"(","_"),")","")</f>
        <v>vnt706_14_2</v>
      </c>
      <c r="AS1588" s="1352" t="str">
        <f>IF(LEN(X1588)=0,"",X1588)</f>
        <v/>
      </c>
    </row>
    <row r="1589" spans="1:51" s="905" customFormat="1" ht="16" hidden="1" thickBot="1" x14ac:dyDescent="0.25">
      <c r="A1589" s="1507">
        <v>7</v>
      </c>
      <c r="B1589" s="1516">
        <v>706.14</v>
      </c>
      <c r="C1589" s="1516" t="s">
        <v>255</v>
      </c>
      <c r="D1589" s="1516"/>
      <c r="E1589" s="1516"/>
      <c r="F1589" s="1511"/>
      <c r="G1589" s="1509" t="str">
        <f ca="1">G1588</f>
        <v/>
      </c>
      <c r="H1589" s="1530" t="s">
        <v>3199</v>
      </c>
      <c r="I1589" s="594"/>
      <c r="J1589" s="594"/>
      <c r="K1589" s="594"/>
      <c r="L1589" s="1635"/>
      <c r="M1589" s="1753"/>
      <c r="N1589" s="1638"/>
      <c r="O1589" s="1645"/>
      <c r="P1589" s="100"/>
      <c r="Q1589" s="100"/>
      <c r="R1589" s="100"/>
      <c r="S1589" s="100"/>
      <c r="T1589" s="100"/>
      <c r="U1589" s="100"/>
      <c r="W1589" s="100"/>
      <c r="X1589" s="1602"/>
      <c r="Y1589" s="1882"/>
      <c r="Z1589" s="1602"/>
      <c r="AC1589" s="1150"/>
      <c r="AD1589" s="1150"/>
      <c r="AE1589" s="1150"/>
      <c r="AL1589" s="1352"/>
      <c r="AM1589" s="1352"/>
      <c r="AN1589" s="1352"/>
      <c r="AO1589" s="1352"/>
      <c r="AP1589" s="1352"/>
      <c r="AQ1589" s="1352"/>
      <c r="AR1589" s="1352"/>
      <c r="AS1589" s="1352"/>
    </row>
    <row r="1590" spans="1:51" s="905" customFormat="1" ht="15.75" hidden="1" customHeight="1" thickTop="1" x14ac:dyDescent="0.2">
      <c r="A1590" s="1507">
        <v>7</v>
      </c>
      <c r="B1590" s="1516">
        <v>706.15</v>
      </c>
      <c r="C1590" s="1516"/>
      <c r="D1590" s="1516"/>
      <c r="E1590" s="1516"/>
      <c r="F1590" s="1511"/>
      <c r="G1590" s="1513" t="str">
        <f ca="1">IF(COUNTIF(G1593:G1594,"P")&gt;0,"P","")</f>
        <v/>
      </c>
      <c r="H1590" s="1510" t="s">
        <v>3197</v>
      </c>
      <c r="I1590" s="589" t="s">
        <v>4401</v>
      </c>
      <c r="J1590" s="589"/>
      <c r="K1590" s="589"/>
      <c r="L1590" s="1687" t="s">
        <v>4402</v>
      </c>
      <c r="M1590" s="991"/>
      <c r="N1590" s="991"/>
      <c r="O1590" s="991"/>
      <c r="P1590" s="991"/>
      <c r="Q1590" s="991"/>
      <c r="R1590" s="991"/>
      <c r="S1590" s="991"/>
      <c r="T1590" s="991"/>
      <c r="X1590" s="1122"/>
      <c r="Z1590" s="1122"/>
      <c r="AC1590" s="1150"/>
      <c r="AD1590" s="1150"/>
      <c r="AE1590" s="1150"/>
      <c r="AL1590" s="1352"/>
      <c r="AM1590" s="1352"/>
      <c r="AN1590" s="1352"/>
      <c r="AO1590" s="1352"/>
      <c r="AP1590" s="1352"/>
      <c r="AQ1590" s="1352"/>
      <c r="AR1590" s="1352"/>
      <c r="AS1590" s="1352"/>
    </row>
    <row r="1591" spans="1:51" s="905" customFormat="1" hidden="1" x14ac:dyDescent="0.2">
      <c r="A1591" s="1507">
        <v>7</v>
      </c>
      <c r="B1591" s="1516">
        <v>706.15</v>
      </c>
      <c r="C1591" s="1516"/>
      <c r="D1591" s="1516"/>
      <c r="E1591" s="1516"/>
      <c r="F1591" s="1511"/>
      <c r="G1591" s="1509" t="str">
        <f ca="1">G1590</f>
        <v/>
      </c>
      <c r="H1591" s="1510" t="s">
        <v>3197</v>
      </c>
      <c r="I1591" s="589"/>
      <c r="J1591" s="589"/>
      <c r="K1591" s="589"/>
      <c r="L1591" s="1687"/>
      <c r="M1591" s="991"/>
      <c r="N1591" s="991"/>
      <c r="O1591" s="991"/>
      <c r="P1591" s="991"/>
      <c r="Q1591" s="991"/>
      <c r="R1591" s="991"/>
      <c r="S1591" s="991"/>
      <c r="T1591" s="991"/>
      <c r="X1591" s="1122"/>
      <c r="Z1591" s="1122"/>
      <c r="AC1591" s="1150"/>
      <c r="AD1591" s="1150"/>
      <c r="AE1591" s="1150"/>
      <c r="AL1591" s="1352"/>
      <c r="AM1591" s="1352"/>
      <c r="AN1591" s="1352"/>
      <c r="AO1591" s="1352"/>
      <c r="AP1591" s="1352"/>
      <c r="AQ1591" s="1352"/>
      <c r="AR1591" s="1352"/>
      <c r="AS1591" s="1352"/>
    </row>
    <row r="1592" spans="1:51" s="905" customFormat="1" hidden="1" x14ac:dyDescent="0.2">
      <c r="A1592" s="1507">
        <v>7</v>
      </c>
      <c r="B1592" s="1516">
        <v>706.15</v>
      </c>
      <c r="C1592" s="1516"/>
      <c r="D1592" s="1516"/>
      <c r="E1592" s="1516"/>
      <c r="F1592" s="1511"/>
      <c r="G1592" s="1509" t="str">
        <f ca="1">G1591</f>
        <v/>
      </c>
      <c r="H1592" s="1510" t="s">
        <v>3197</v>
      </c>
      <c r="I1592" s="589"/>
      <c r="J1592" s="589"/>
      <c r="K1592" s="589"/>
      <c r="L1592" s="1687"/>
      <c r="M1592" s="991"/>
      <c r="N1592" s="991"/>
      <c r="O1592" s="991"/>
      <c r="P1592" s="991"/>
      <c r="Q1592" s="991"/>
      <c r="R1592" s="991"/>
      <c r="S1592" s="991"/>
      <c r="T1592" s="991"/>
      <c r="X1592" s="1122"/>
      <c r="Z1592" s="1122"/>
      <c r="AC1592" s="1150"/>
      <c r="AD1592" s="1150"/>
      <c r="AE1592" s="1150"/>
      <c r="AL1592" s="1352"/>
      <c r="AM1592" s="1352"/>
      <c r="AN1592" s="1352"/>
      <c r="AO1592" s="1352"/>
      <c r="AP1592" s="1352"/>
      <c r="AQ1592" s="1352"/>
      <c r="AR1592" s="1352"/>
      <c r="AS1592" s="1352"/>
    </row>
    <row r="1593" spans="1:51" s="905" customFormat="1" ht="16" hidden="1" x14ac:dyDescent="0.2">
      <c r="A1593" s="1507">
        <v>7</v>
      </c>
      <c r="B1593" s="1516">
        <v>706.15</v>
      </c>
      <c r="C1593" s="1516" t="s">
        <v>254</v>
      </c>
      <c r="D1593" s="1516"/>
      <c r="E1593" s="1516"/>
      <c r="F1593" s="1511"/>
      <c r="G1593" s="1509" t="str">
        <f ca="1">IF(N1593&gt;0,"P","")</f>
        <v/>
      </c>
      <c r="H1593" s="1510" t="s">
        <v>3197</v>
      </c>
      <c r="I1593" s="589"/>
      <c r="J1593" s="606" t="s">
        <v>254</v>
      </c>
      <c r="K1593" s="606"/>
      <c r="L1593" s="923" t="s">
        <v>4403</v>
      </c>
      <c r="M1593" s="972">
        <v>2</v>
      </c>
      <c r="N1593" s="1126">
        <f ca="1">'11.700'!O719</f>
        <v>0</v>
      </c>
      <c r="O1593" s="909">
        <f ca="1">M1593*S1593*W1593</f>
        <v>0</v>
      </c>
      <c r="P1593" s="464" t="b">
        <v>1</v>
      </c>
      <c r="Q1593" s="464" t="b">
        <v>1</v>
      </c>
      <c r="R1593" s="464" t="b">
        <v>0</v>
      </c>
      <c r="S1593" s="464" t="b">
        <f ca="1">S885=2</f>
        <v>0</v>
      </c>
      <c r="T1593" s="464" t="b">
        <v>0</v>
      </c>
      <c r="W1593" s="27"/>
      <c r="X1593" s="1123"/>
      <c r="Y1593" s="1139" t="str">
        <f>IF(LEN('11.700'!X719)=0,"None",'11.700'!X719)</f>
        <v>None</v>
      </c>
      <c r="Z1593" s="1123"/>
      <c r="AC1593" s="1150" t="b">
        <f>OR(AD1593:AE1593)</f>
        <v>0</v>
      </c>
      <c r="AD1593" s="1150" t="b">
        <f>T1593</f>
        <v>0</v>
      </c>
      <c r="AE1593" s="1150"/>
      <c r="AL1593" s="1352" t="str">
        <f>SUBSTITUTE(SUBSTITUTE(SUBSTITUTE("vpa"&amp;$B1593&amp;$C1593&amp;$D1593&amp;$E1593&amp;$F1593,".","_"),"(","_"),")","")</f>
        <v>vpa706_15_1</v>
      </c>
      <c r="AM1593" s="1352">
        <f>M1593</f>
        <v>2</v>
      </c>
      <c r="AN1593" s="1352" t="str">
        <f>SUBSTITUTE(SUBSTITUTE(SUBSTITUTE("vpc"&amp;$B1593&amp;$C1593&amp;$D1593&amp;$E1593&amp;$F1593,".","_"),"(","_"),")","")</f>
        <v>vpc706_15_1</v>
      </c>
      <c r="AO1593" s="1352">
        <f ca="1">O1593</f>
        <v>0</v>
      </c>
      <c r="AP1593" s="1352" t="str">
        <f>SUBSTITUTE(SUBSTITUTE(SUBSTITUTE("vch"&amp;$B1593&amp;$C1593&amp;$D1593&amp;$E1593&amp;$F1593,".","_"),"(","_"),")","")</f>
        <v>vch706_15_1</v>
      </c>
      <c r="AQ1593" s="1352" t="str">
        <f>IF(LEN(W1593)=0,"",W1593)</f>
        <v/>
      </c>
      <c r="AR1593" s="1352" t="str">
        <f>SUBSTITUTE(SUBSTITUTE(SUBSTITUTE("vnt"&amp;$B1593&amp;$C1593&amp;$D1593&amp;$E1593&amp;$F1593,".","_"),"(","_"),")","")</f>
        <v>vnt706_15_1</v>
      </c>
      <c r="AS1593" s="1352" t="str">
        <f>IF(LEN(X1593)=0,"",X1593)</f>
        <v/>
      </c>
    </row>
    <row r="1594" spans="1:51" s="905" customFormat="1" ht="16" hidden="1" x14ac:dyDescent="0.2">
      <c r="A1594" s="1507">
        <v>7</v>
      </c>
      <c r="B1594" s="1516">
        <v>706.15</v>
      </c>
      <c r="C1594" s="1516" t="s">
        <v>255</v>
      </c>
      <c r="D1594" s="1516"/>
      <c r="E1594" s="1516"/>
      <c r="F1594" s="1511"/>
      <c r="G1594" s="1509" t="str">
        <f ca="1">IF(N1594&gt;0,"P","")</f>
        <v/>
      </c>
      <c r="H1594" s="1510" t="s">
        <v>3197</v>
      </c>
      <c r="I1594" s="589"/>
      <c r="J1594" s="589" t="s">
        <v>255</v>
      </c>
      <c r="K1594" s="589"/>
      <c r="L1594" s="917" t="s">
        <v>4404</v>
      </c>
      <c r="M1594" s="1110">
        <v>2</v>
      </c>
      <c r="N1594" s="1125">
        <f ca="1">'11.700'!O720</f>
        <v>0</v>
      </c>
      <c r="O1594" s="378">
        <f ca="1">M1594*S1594*W1594</f>
        <v>0</v>
      </c>
      <c r="P1594" s="464" t="b">
        <v>1</v>
      </c>
      <c r="Q1594" s="464" t="b">
        <v>1</v>
      </c>
      <c r="R1594" s="464" t="b">
        <v>0</v>
      </c>
      <c r="S1594" s="464" t="b">
        <f ca="1">S885=2</f>
        <v>0</v>
      </c>
      <c r="T1594" s="464" t="b">
        <v>0</v>
      </c>
      <c r="W1594" s="27"/>
      <c r="X1594" s="1123"/>
      <c r="Y1594" s="1139" t="str">
        <f>IF(LEN('11.700'!X720)=0,"None",'11.700'!X720)</f>
        <v>None</v>
      </c>
      <c r="Z1594" s="1123"/>
      <c r="AC1594" s="1150" t="b">
        <f>OR(AD1594:AE1594)</f>
        <v>0</v>
      </c>
      <c r="AD1594" s="1150" t="b">
        <f>T1594</f>
        <v>0</v>
      </c>
      <c r="AE1594" s="1150"/>
      <c r="AL1594" s="1352" t="str">
        <f>SUBSTITUTE(SUBSTITUTE(SUBSTITUTE("vpa"&amp;$B1594&amp;$C1594&amp;$D1594&amp;$E1594&amp;$F1594,".","_"),"(","_"),")","")</f>
        <v>vpa706_15_2</v>
      </c>
      <c r="AM1594" s="1352">
        <f>M1594</f>
        <v>2</v>
      </c>
      <c r="AN1594" s="1352" t="str">
        <f>SUBSTITUTE(SUBSTITUTE(SUBSTITUTE("vpc"&amp;$B1594&amp;$C1594&amp;$D1594&amp;$E1594&amp;$F1594,".","_"),"(","_"),")","")</f>
        <v>vpc706_15_2</v>
      </c>
      <c r="AO1594" s="1352">
        <f ca="1">O1594</f>
        <v>0</v>
      </c>
      <c r="AP1594" s="1352" t="str">
        <f>SUBSTITUTE(SUBSTITUTE(SUBSTITUTE("vch"&amp;$B1594&amp;$C1594&amp;$D1594&amp;$E1594&amp;$F1594,".","_"),"(","_"),")","")</f>
        <v>vch706_15_2</v>
      </c>
      <c r="AQ1594" s="1352" t="str">
        <f>IF(LEN(W1594)=0,"",W1594)</f>
        <v/>
      </c>
      <c r="AR1594" s="1352" t="str">
        <f>SUBSTITUTE(SUBSTITUTE(SUBSTITUTE("vnt"&amp;$B1594&amp;$C1594&amp;$D1594&amp;$E1594&amp;$F1594,".","_"),"(","_"),")","")</f>
        <v>vnt706_15_2</v>
      </c>
      <c r="AS1594" s="1352" t="str">
        <f>IF(LEN(X1594)=0,"",X1594)</f>
        <v/>
      </c>
    </row>
    <row r="1595" spans="1:51" ht="19" x14ac:dyDescent="0.25">
      <c r="A1595" s="1515">
        <v>8</v>
      </c>
      <c r="B1595" s="1516">
        <v>801</v>
      </c>
      <c r="G1595" s="467" t="s">
        <v>3200</v>
      </c>
      <c r="H1595" s="1510" t="s">
        <v>3197</v>
      </c>
      <c r="I1595" s="24" t="s">
        <v>4515</v>
      </c>
      <c r="J1595" s="24"/>
      <c r="K1595" s="24"/>
      <c r="L1595" s="25"/>
      <c r="M1595" s="25"/>
      <c r="N1595" s="25"/>
      <c r="O1595" s="25"/>
      <c r="P1595" s="25"/>
      <c r="Q1595" s="25"/>
      <c r="R1595" s="25"/>
      <c r="S1595" s="25"/>
      <c r="T1595" s="25"/>
      <c r="U1595" s="25"/>
      <c r="V1595" s="25"/>
      <c r="W1595" s="25"/>
      <c r="X1595" s="25"/>
      <c r="Y1595" s="25"/>
      <c r="Z1595" s="25"/>
      <c r="AA1595"/>
      <c r="AC1595"/>
      <c r="AD1595"/>
      <c r="AE1595"/>
      <c r="AF1595"/>
      <c r="AG1595"/>
      <c r="AH1595"/>
      <c r="AI1595"/>
      <c r="AJ1595"/>
      <c r="AK1595"/>
      <c r="AL1595"/>
      <c r="AM1595"/>
      <c r="AN1595"/>
      <c r="AO1595"/>
      <c r="AP1595"/>
      <c r="AQ1595"/>
      <c r="AR1595"/>
      <c r="AS1595"/>
      <c r="AT1595"/>
    </row>
    <row r="1596" spans="1:51" x14ac:dyDescent="0.2">
      <c r="A1596" s="1515">
        <v>8</v>
      </c>
      <c r="B1596" s="1516" t="s">
        <v>4695</v>
      </c>
      <c r="C1596" s="1517"/>
      <c r="D1596" s="1517"/>
      <c r="E1596" s="1516"/>
      <c r="F1596" s="1511"/>
      <c r="G1596" s="467" t="s">
        <v>3200</v>
      </c>
      <c r="H1596" s="1510" t="s">
        <v>3197</v>
      </c>
      <c r="I1596" s="590" t="s">
        <v>4516</v>
      </c>
      <c r="J1596" s="1068"/>
      <c r="K1596" s="1068"/>
      <c r="L1596" s="1687" t="s">
        <v>4517</v>
      </c>
      <c r="M1596"/>
      <c r="N1596"/>
      <c r="O1596"/>
      <c r="P1596"/>
      <c r="Q1596"/>
      <c r="R1596"/>
      <c r="S1596"/>
      <c r="T1596"/>
      <c r="U1596"/>
      <c r="V1596"/>
      <c r="W1596"/>
      <c r="X1596"/>
      <c r="Y1596" s="1198"/>
      <c r="Z1596"/>
      <c r="AA1596"/>
      <c r="AC1596"/>
      <c r="AD1596"/>
      <c r="AE1596"/>
      <c r="AF1596"/>
      <c r="AG1596"/>
      <c r="AH1596"/>
      <c r="AI1596"/>
      <c r="AJ1596"/>
      <c r="AK1596"/>
      <c r="AL1596"/>
      <c r="AM1596"/>
      <c r="AN1596"/>
      <c r="AO1596"/>
      <c r="AP1596"/>
      <c r="AQ1596"/>
      <c r="AR1596"/>
      <c r="AS1596"/>
      <c r="AT1596"/>
    </row>
    <row r="1597" spans="1:51" x14ac:dyDescent="0.2">
      <c r="A1597" s="1515">
        <v>8</v>
      </c>
      <c r="B1597" s="1516" t="s">
        <v>4695</v>
      </c>
      <c r="C1597" s="1537"/>
      <c r="D1597" s="1537"/>
      <c r="E1597" s="1537"/>
      <c r="F1597" s="1521"/>
      <c r="G1597" s="467" t="s">
        <v>3200</v>
      </c>
      <c r="H1597" s="1510" t="s">
        <v>3197</v>
      </c>
      <c r="I1597" s="991"/>
      <c r="J1597" s="991"/>
      <c r="K1597" s="991"/>
      <c r="L1597" s="1687"/>
      <c r="M1597"/>
      <c r="N1597"/>
      <c r="O1597"/>
      <c r="P1597"/>
      <c r="Q1597"/>
      <c r="R1597"/>
      <c r="S1597"/>
      <c r="T1597"/>
      <c r="U1597"/>
      <c r="V1597"/>
      <c r="W1597"/>
      <c r="X1597"/>
      <c r="Y1597" s="1198"/>
      <c r="Z1597"/>
      <c r="AA1597"/>
      <c r="AC1597"/>
      <c r="AD1597"/>
      <c r="AE1597"/>
      <c r="AF1597"/>
      <c r="AG1597"/>
      <c r="AH1597"/>
      <c r="AI1597"/>
      <c r="AJ1597"/>
      <c r="AK1597"/>
      <c r="AL1597"/>
      <c r="AM1597"/>
      <c r="AN1597"/>
      <c r="AO1597"/>
      <c r="AP1597"/>
      <c r="AQ1597"/>
      <c r="AR1597"/>
      <c r="AS1597"/>
      <c r="AT1597"/>
      <c r="AX1597" s="904" t="str">
        <f>'Overview (Verification)'!A10</f>
        <v>Builder Name:</v>
      </c>
      <c r="AY1597" s="1169" t="str">
        <f>IF(LEN('Overview (Verification)'!P10)=0,0,'Overview (Verification)'!P10)</f>
        <v>TWG Development</v>
      </c>
    </row>
    <row r="1598" spans="1:51" ht="16" thickBot="1" x14ac:dyDescent="0.25">
      <c r="A1598" s="1515">
        <v>8</v>
      </c>
      <c r="B1598" s="1516" t="s">
        <v>4695</v>
      </c>
      <c r="C1598" s="1537"/>
      <c r="D1598" s="1537"/>
      <c r="E1598" s="1537"/>
      <c r="F1598" s="1521"/>
      <c r="G1598" s="467" t="s">
        <v>3200</v>
      </c>
      <c r="H1598" s="1510" t="s">
        <v>3197</v>
      </c>
      <c r="I1598" s="100"/>
      <c r="J1598" s="100"/>
      <c r="K1598" s="100"/>
      <c r="L1598" s="1738"/>
      <c r="M1598"/>
      <c r="N1598"/>
      <c r="O1598"/>
      <c r="P1598"/>
      <c r="Q1598"/>
      <c r="R1598"/>
      <c r="S1598"/>
      <c r="T1598"/>
      <c r="U1598"/>
      <c r="V1598"/>
      <c r="W1598" s="173"/>
      <c r="X1598"/>
      <c r="Y1598" s="1198"/>
      <c r="Z1598"/>
      <c r="AA1598"/>
      <c r="AC1598"/>
      <c r="AD1598"/>
      <c r="AE1598"/>
      <c r="AF1598"/>
      <c r="AG1598"/>
      <c r="AH1598"/>
      <c r="AI1598"/>
      <c r="AJ1598"/>
      <c r="AK1598"/>
      <c r="AL1598"/>
      <c r="AM1598"/>
      <c r="AN1598"/>
      <c r="AO1598"/>
      <c r="AP1598"/>
      <c r="AQ1598"/>
      <c r="AR1598"/>
      <c r="AS1598"/>
      <c r="AT1598"/>
      <c r="AX1598" s="904" t="str">
        <f>'Overview (Verification)'!A11</f>
        <v>Physical Address of Home:</v>
      </c>
      <c r="AY1598" s="1169" t="str">
        <f>IF(LEN('Overview (Verification)'!P11)=0,0,'Overview (Verification)'!P11)</f>
        <v>330 Brownlee Road SW</v>
      </c>
    </row>
    <row r="1599" spans="1:51" ht="15.75" customHeight="1" thickTop="1" x14ac:dyDescent="0.2">
      <c r="A1599" s="1515">
        <v>8</v>
      </c>
      <c r="B1599" s="1516">
        <v>801.1</v>
      </c>
      <c r="C1599" s="1517"/>
      <c r="D1599" s="1517"/>
      <c r="E1599" s="1516"/>
      <c r="F1599" s="1511"/>
      <c r="G1599" s="467" t="s">
        <v>3200</v>
      </c>
      <c r="H1599" s="1510" t="s">
        <v>3198</v>
      </c>
      <c r="I1599" s="603" t="s">
        <v>4518</v>
      </c>
      <c r="J1599" s="1070"/>
      <c r="K1599" s="1070"/>
      <c r="L1599" s="1740" t="s">
        <v>5008</v>
      </c>
      <c r="M1599"/>
      <c r="N1599"/>
      <c r="O1599"/>
      <c r="P1599" s="1071" t="b">
        <v>1</v>
      </c>
      <c r="Q1599" s="1071" t="b">
        <v>0</v>
      </c>
      <c r="R1599" s="1071" t="b">
        <v>1</v>
      </c>
      <c r="S1599" s="1071" t="b">
        <v>1</v>
      </c>
      <c r="T1599" s="587" t="b">
        <f ca="1">(W1599="Path not chosen")</f>
        <v>0</v>
      </c>
      <c r="U1599" s="106" t="str">
        <f>SUBSTITUTE(SUBSTITUTE(SUBSTITUTE("dd"&amp;B1599&amp;C1599&amp;D1599&amp;E1599&amp;F1599,".","_"),"(","_"),")","")</f>
        <v>dd801_1</v>
      </c>
      <c r="V1599"/>
      <c r="W1599" s="1183" t="str">
        <f ca="1">IFERROR(INDEX(INDIRECT(U1599),MATCH(AY1619,ddWaterPath,0)),"Path not chosen")</f>
        <v>Prescriptive Path</v>
      </c>
      <c r="X1599"/>
      <c r="Y1599" s="1198"/>
      <c r="Z1599"/>
      <c r="AA1599"/>
      <c r="AC1599" s="1150" t="b">
        <f ca="1">OR(AD1599:AE1599)</f>
        <v>0</v>
      </c>
      <c r="AD1599" s="1150" t="b">
        <f ca="1">T1599</f>
        <v>0</v>
      </c>
      <c r="AE1599" s="1150" t="b">
        <f ca="1">AND(R1599,NOT(LEN(W1599)&gt;0))</f>
        <v>0</v>
      </c>
      <c r="AF1599" s="1150" t="b">
        <f ca="1">AND(AE1599,NOT(Q1599))</f>
        <v>0</v>
      </c>
      <c r="AG1599"/>
      <c r="AH1599"/>
      <c r="AI1599"/>
      <c r="AJ1599"/>
      <c r="AK1599"/>
      <c r="AL1599"/>
      <c r="AM1599"/>
      <c r="AN1599"/>
      <c r="AO1599"/>
      <c r="AP1599"/>
      <c r="AQ1599"/>
      <c r="AR1599"/>
      <c r="AS1599"/>
      <c r="AT1599"/>
      <c r="AX1599" s="904" t="str">
        <f>'Overview (Verification)'!A12</f>
        <v>Community/Lot #:</v>
      </c>
      <c r="AY1599" s="1169">
        <f>IF(LEN('Overview (Verification)'!P12)=0,0,'Overview (Verification)'!P12)</f>
        <v>0</v>
      </c>
    </row>
    <row r="1600" spans="1:51" x14ac:dyDescent="0.2">
      <c r="A1600" s="1515">
        <v>8</v>
      </c>
      <c r="B1600" s="1516">
        <v>801.1</v>
      </c>
      <c r="C1600" s="1517"/>
      <c r="D1600" s="1517"/>
      <c r="E1600" s="1516"/>
      <c r="F1600" s="1511"/>
      <c r="G1600" s="467" t="s">
        <v>3200</v>
      </c>
      <c r="H1600" s="1510" t="s">
        <v>3198</v>
      </c>
      <c r="I1600" s="590"/>
      <c r="J1600" s="1068"/>
      <c r="K1600" s="1068"/>
      <c r="L1600" s="1687"/>
      <c r="M1600"/>
      <c r="N1600"/>
      <c r="O1600"/>
      <c r="P1600" s="991"/>
      <c r="Q1600" s="991"/>
      <c r="R1600" s="991"/>
      <c r="S1600" s="991">
        <f ca="1">IFERROR(MATCH(W1599,INDIRECT(U1599),0),0)</f>
        <v>1</v>
      </c>
      <c r="T1600" s="991"/>
      <c r="U1600" s="991"/>
      <c r="V1600"/>
      <c r="W1600"/>
      <c r="X1600"/>
      <c r="Y1600" s="1198"/>
      <c r="Z1600"/>
      <c r="AA1600"/>
      <c r="AC1600"/>
      <c r="AD1600"/>
      <c r="AE1600"/>
      <c r="AF1600"/>
      <c r="AG1600"/>
      <c r="AH1600"/>
      <c r="AI1600"/>
      <c r="AJ1600"/>
      <c r="AK1600"/>
      <c r="AL1600"/>
      <c r="AM1600"/>
      <c r="AN1600"/>
      <c r="AO1600"/>
      <c r="AP1600"/>
      <c r="AQ1600"/>
      <c r="AR1600"/>
      <c r="AS1600"/>
      <c r="AT1600"/>
      <c r="AX1600" s="904" t="str">
        <f>'Overview (Verification)'!A13</f>
        <v>City:</v>
      </c>
      <c r="AY1600" s="1169" t="str">
        <f>IF(LEN('Overview (Verification)'!P13)=0,0,'Overview (Verification)'!P13)</f>
        <v>Atlanta</v>
      </c>
    </row>
    <row r="1601" spans="1:62" x14ac:dyDescent="0.2">
      <c r="A1601" s="1515">
        <v>8</v>
      </c>
      <c r="B1601" s="1516">
        <v>801.1</v>
      </c>
      <c r="C1601" s="1517"/>
      <c r="D1601" s="1517"/>
      <c r="E1601" s="1516"/>
      <c r="F1601" s="1511"/>
      <c r="G1601" s="467" t="s">
        <v>3200</v>
      </c>
      <c r="H1601" s="1510" t="s">
        <v>3198</v>
      </c>
      <c r="I1601" s="590"/>
      <c r="J1601" s="1068"/>
      <c r="K1601" s="1068"/>
      <c r="L1601" s="1687"/>
      <c r="M1601"/>
      <c r="N1601"/>
      <c r="O1601"/>
      <c r="P1601"/>
      <c r="Q1601"/>
      <c r="R1601"/>
      <c r="S1601"/>
      <c r="T1601"/>
      <c r="U1601"/>
      <c r="V1601"/>
      <c r="W1601"/>
      <c r="X1601"/>
      <c r="Y1601" s="1198"/>
      <c r="Z1601"/>
      <c r="AA1601"/>
      <c r="AC1601"/>
      <c r="AD1601"/>
      <c r="AE1601"/>
      <c r="AF1601"/>
      <c r="AG1601"/>
      <c r="AH1601"/>
      <c r="AI1601"/>
      <c r="AJ1601"/>
      <c r="AK1601"/>
      <c r="AL1601"/>
      <c r="AM1601"/>
      <c r="AN1601"/>
      <c r="AO1601"/>
      <c r="AP1601"/>
      <c r="AQ1601"/>
      <c r="AR1601"/>
      <c r="AS1601"/>
      <c r="AT1601"/>
      <c r="AX1601" s="904" t="str">
        <f>'Overview (Verification)'!A14</f>
        <v>State:</v>
      </c>
      <c r="AY1601" s="1169" t="str">
        <f>IF(LEN('Overview (Verification)'!P14)=0,0,'Overview (Verification)'!P14)</f>
        <v>Georgia</v>
      </c>
      <c r="BC1601" s="1170" t="str">
        <f>'Overview (Verification)'!T14</f>
        <v>State</v>
      </c>
      <c r="BD1601" s="1170" t="str">
        <f>'Overview (Verification)'!U14</f>
        <v>County</v>
      </c>
      <c r="BE1601" s="1170" t="str">
        <f>'Overview (Verification)'!V14</f>
        <v>Radon</v>
      </c>
      <c r="BF1601" s="1170" t="str">
        <f>'Overview (Verification)'!W14</f>
        <v>Climate</v>
      </c>
      <c r="BG1601" s="1170" t="str">
        <f>'Overview (Verification)'!X14</f>
        <v>Moist</v>
      </c>
      <c r="BH1601" s="1170" t="str">
        <f>'Overview (Verification)'!Y14</f>
        <v>WarmHumid</v>
      </c>
      <c r="BI1601" s="1170" t="str">
        <f>'Overview (Verification)'!Z14</f>
        <v>Tropical</v>
      </c>
      <c r="BJ1601" s="1170"/>
    </row>
    <row r="1602" spans="1:62" x14ac:dyDescent="0.2">
      <c r="A1602" s="1515">
        <v>8</v>
      </c>
      <c r="B1602" s="1516">
        <v>801.1</v>
      </c>
      <c r="C1602" s="1517"/>
      <c r="D1602" s="1517"/>
      <c r="E1602" s="1516"/>
      <c r="F1602" s="1511"/>
      <c r="G1602" s="467" t="s">
        <v>3200</v>
      </c>
      <c r="H1602" s="1510" t="s">
        <v>3198</v>
      </c>
      <c r="I1602" s="590"/>
      <c r="J1602" s="1068"/>
      <c r="K1602" s="1068"/>
      <c r="L1602" s="1687"/>
      <c r="M1602"/>
      <c r="N1602"/>
      <c r="O1602"/>
      <c r="P1602"/>
      <c r="Q1602"/>
      <c r="R1602"/>
      <c r="S1602"/>
      <c r="T1602"/>
      <c r="U1602"/>
      <c r="V1602"/>
      <c r="W1602"/>
      <c r="X1602"/>
      <c r="Y1602" s="1198"/>
      <c r="Z1602"/>
      <c r="AA1602"/>
      <c r="AC1602"/>
      <c r="AD1602"/>
      <c r="AE1602"/>
      <c r="AF1602"/>
      <c r="AG1602"/>
      <c r="AH1602"/>
      <c r="AI1602"/>
      <c r="AJ1602"/>
      <c r="AK1602"/>
      <c r="AL1602"/>
      <c r="AM1602"/>
      <c r="AN1602"/>
      <c r="AO1602"/>
      <c r="AP1602"/>
      <c r="AQ1602"/>
      <c r="AR1602"/>
      <c r="AS1602"/>
      <c r="AT1602"/>
      <c r="AX1602" s="904" t="str">
        <f>'Overview (Verification)'!A15</f>
        <v>County:</v>
      </c>
      <c r="AY1602" s="1169" t="str">
        <f>IF(LEN('Overview (Verification)'!P15)=0,0,'Overview (Verification)'!P15)</f>
        <v xml:space="preserve">Fulton  </v>
      </c>
      <c r="BC1602" s="1170" t="str">
        <f>'Overview (Verification)'!T15</f>
        <v>Georgia</v>
      </c>
      <c r="BD1602" s="1170" t="str">
        <f>'Overview (Verification)'!U15</f>
        <v xml:space="preserve">Fulton  </v>
      </c>
      <c r="BE1602" s="1170">
        <f>'Overview (Verification)'!V15</f>
        <v>1</v>
      </c>
      <c r="BF1602" s="1170">
        <f>'Overview (Verification)'!W15</f>
        <v>3</v>
      </c>
      <c r="BG1602" s="1170" t="str">
        <f>'Overview (Verification)'!X15</f>
        <v>Moist</v>
      </c>
      <c r="BH1602" s="1170" t="str">
        <f>'Overview (Verification)'!Y15</f>
        <v xml:space="preserve"> </v>
      </c>
      <c r="BI1602" s="1170" t="str">
        <f>'Overview (Verification)'!Z15</f>
        <v xml:space="preserve"> </v>
      </c>
    </row>
    <row r="1603" spans="1:62" x14ac:dyDescent="0.2">
      <c r="A1603" s="1515">
        <v>8</v>
      </c>
      <c r="B1603" s="1516">
        <v>801.1</v>
      </c>
      <c r="C1603" s="1517"/>
      <c r="D1603" s="1517"/>
      <c r="E1603" s="1516"/>
      <c r="F1603" s="1511"/>
      <c r="G1603" s="467" t="s">
        <v>3200</v>
      </c>
      <c r="H1603" s="1510" t="s">
        <v>3198</v>
      </c>
      <c r="I1603" s="590"/>
      <c r="J1603" s="1068"/>
      <c r="K1603" s="1068"/>
      <c r="L1603" s="1687"/>
      <c r="M1603"/>
      <c r="N1603"/>
      <c r="O1603"/>
      <c r="P1603"/>
      <c r="Q1603"/>
      <c r="R1603"/>
      <c r="S1603"/>
      <c r="T1603"/>
      <c r="U1603"/>
      <c r="V1603"/>
      <c r="W1603"/>
      <c r="X1603"/>
      <c r="Y1603" s="1198"/>
      <c r="Z1603"/>
      <c r="AA1603"/>
      <c r="AC1603"/>
      <c r="AD1603"/>
      <c r="AE1603"/>
      <c r="AF1603"/>
      <c r="AG1603"/>
      <c r="AH1603"/>
      <c r="AI1603"/>
      <c r="AJ1603"/>
      <c r="AK1603"/>
      <c r="AL1603"/>
      <c r="AM1603"/>
      <c r="AN1603"/>
      <c r="AO1603"/>
      <c r="AP1603"/>
      <c r="AQ1603"/>
      <c r="AR1603"/>
      <c r="AS1603"/>
      <c r="AT1603"/>
      <c r="AX1603" s="904" t="str">
        <f>'Overview (Verification)'!A16</f>
        <v>Zip:</v>
      </c>
      <c r="AY1603" s="1169" t="str">
        <f>IF(LEN('Overview (Verification)'!P16)=0,0,'Overview (Verification)'!P16)</f>
        <v>30311</v>
      </c>
    </row>
    <row r="1604" spans="1:62" ht="16" thickBot="1" x14ac:dyDescent="0.25">
      <c r="A1604" s="1515">
        <v>8</v>
      </c>
      <c r="B1604" s="1516">
        <v>801.1</v>
      </c>
      <c r="C1604" s="1517"/>
      <c r="D1604" s="1517"/>
      <c r="E1604" s="1516"/>
      <c r="F1604" s="1511"/>
      <c r="G1604" s="467" t="s">
        <v>3200</v>
      </c>
      <c r="H1604" s="1510" t="s">
        <v>3198</v>
      </c>
      <c r="I1604" s="594"/>
      <c r="J1604" s="1069"/>
      <c r="K1604" s="1069"/>
      <c r="L1604" s="1738"/>
      <c r="M1604"/>
      <c r="N1604"/>
      <c r="O1604"/>
      <c r="P1604"/>
      <c r="Q1604"/>
      <c r="R1604"/>
      <c r="S1604"/>
      <c r="T1604"/>
      <c r="U1604"/>
      <c r="V1604"/>
      <c r="W1604"/>
      <c r="X1604"/>
      <c r="Y1604" s="1198"/>
      <c r="Z1604"/>
      <c r="AA1604"/>
      <c r="AC1604"/>
      <c r="AD1604"/>
      <c r="AE1604"/>
      <c r="AF1604"/>
      <c r="AG1604"/>
      <c r="AH1604"/>
      <c r="AI1604"/>
      <c r="AJ1604"/>
      <c r="AK1604"/>
      <c r="AL1604"/>
      <c r="AM1604"/>
      <c r="AN1604"/>
      <c r="AO1604"/>
      <c r="AP1604"/>
      <c r="AQ1604"/>
      <c r="AR1604"/>
      <c r="AS1604"/>
      <c r="AT1604"/>
      <c r="AX1604" s="904"/>
      <c r="AY1604" s="1169"/>
    </row>
    <row r="1605" spans="1:62" s="808" customFormat="1" ht="15" customHeight="1" thickTop="1" x14ac:dyDescent="0.2">
      <c r="A1605" s="1507">
        <v>8</v>
      </c>
      <c r="B1605" s="1516" t="s">
        <v>4698</v>
      </c>
      <c r="C1605" s="1516"/>
      <c r="D1605" s="1516"/>
      <c r="E1605" s="1516"/>
      <c r="F1605" s="1511"/>
      <c r="G1605" s="1509" t="s">
        <v>3200</v>
      </c>
      <c r="H1605" s="1510" t="s">
        <v>3197</v>
      </c>
      <c r="I1605" s="589" t="s">
        <v>4698</v>
      </c>
      <c r="J1605" s="69"/>
      <c r="K1605" s="69"/>
      <c r="L1605" s="1611" t="s">
        <v>4697</v>
      </c>
      <c r="M1605" s="1198"/>
      <c r="N1605" s="1198"/>
      <c r="O1605" s="1198"/>
      <c r="P1605" s="1198"/>
      <c r="Q1605" s="1198"/>
      <c r="R1605" s="1198"/>
      <c r="S1605" s="1198"/>
      <c r="T1605" s="1198"/>
      <c r="Y1605" s="1198"/>
      <c r="AX1605" s="904" t="str">
        <f>'Overview (Verification)'!A18</f>
        <v>Single-Family or Multifamily:</v>
      </c>
      <c r="AY1605" s="1169" t="str">
        <f>IF(LEN('Overview (Verification)'!P18)=0,0,'Overview (Verification)'!P18)</f>
        <v>Multifamily</v>
      </c>
      <c r="AZ1605"/>
      <c r="BA1605"/>
      <c r="BB1605"/>
      <c r="BC1605"/>
      <c r="BD1605"/>
      <c r="BE1605"/>
      <c r="BF1605"/>
      <c r="BG1605"/>
      <c r="BH1605"/>
      <c r="BI1605"/>
    </row>
    <row r="1606" spans="1:62" s="905" customFormat="1" ht="15" customHeight="1" x14ac:dyDescent="0.2">
      <c r="A1606" s="1507">
        <v>8</v>
      </c>
      <c r="B1606" s="1516" t="s">
        <v>4698</v>
      </c>
      <c r="C1606" s="1537"/>
      <c r="D1606" s="1537"/>
      <c r="E1606" s="1537"/>
      <c r="F1606" s="1521"/>
      <c r="G1606" s="1509" t="s">
        <v>3200</v>
      </c>
      <c r="H1606" s="1510" t="s">
        <v>3197</v>
      </c>
      <c r="I1606" s="1198"/>
      <c r="J1606" s="1198"/>
      <c r="K1606" s="1198"/>
      <c r="L1606" s="1611"/>
      <c r="M1606" s="1206"/>
      <c r="N1606" s="1198"/>
      <c r="O1606" s="1206"/>
      <c r="P1606" s="1198"/>
      <c r="Q1606" s="1198"/>
      <c r="R1606" s="1198"/>
      <c r="S1606" s="1198"/>
      <c r="T1606" s="1198"/>
      <c r="Y1606" s="1198"/>
      <c r="AX1606" s="904" t="str">
        <f>'Overview (Verification)'!A19</f>
        <v>Number of Units:</v>
      </c>
      <c r="AY1606" s="1169">
        <f>IF(LEN('Overview (Verification)'!P19)=0,0,'Overview (Verification)'!P19)</f>
        <v>48</v>
      </c>
      <c r="AZ1606" s="808"/>
      <c r="BA1606" s="808"/>
      <c r="BB1606" s="808"/>
      <c r="BC1606" s="808"/>
      <c r="BD1606" s="808"/>
      <c r="BE1606" s="808"/>
      <c r="BF1606" s="808"/>
      <c r="BG1606" s="808"/>
      <c r="BH1606" s="808"/>
      <c r="BI1606" s="808"/>
    </row>
    <row r="1607" spans="1:62" s="808" customFormat="1" x14ac:dyDescent="0.2">
      <c r="A1607" s="1507">
        <v>8</v>
      </c>
      <c r="B1607" s="1516" t="s">
        <v>4698</v>
      </c>
      <c r="C1607" s="1537"/>
      <c r="D1607" s="1537"/>
      <c r="E1607" s="1537"/>
      <c r="F1607" s="1521"/>
      <c r="G1607" s="1509" t="s">
        <v>3200</v>
      </c>
      <c r="H1607" s="1510" t="s">
        <v>3197</v>
      </c>
      <c r="I1607" s="1198"/>
      <c r="J1607" s="1198"/>
      <c r="K1607" s="1198"/>
      <c r="L1607" s="1611"/>
      <c r="M1607" s="1206"/>
      <c r="N1607" s="1198"/>
      <c r="O1607" s="1206"/>
      <c r="P1607" s="1198"/>
      <c r="Q1607" s="1198"/>
      <c r="R1607" s="1198"/>
      <c r="S1607" s="1198"/>
      <c r="T1607" s="1198"/>
      <c r="Y1607" s="1198"/>
      <c r="AC1607"/>
      <c r="AD1607"/>
      <c r="AE1607"/>
      <c r="AF1607"/>
      <c r="AX1607" s="904" t="str">
        <f>'Overview (Verification)'!A23</f>
        <v>Project Name:</v>
      </c>
      <c r="AY1607" s="1169" t="str">
        <f>IF(LEN('Overview (Verification)'!P23)=0,0,'Overview (Verification)'!P23)</f>
        <v>Towne West Manor</v>
      </c>
      <c r="AZ1607" s="905"/>
      <c r="BA1607" s="905"/>
      <c r="BB1607" s="905"/>
      <c r="BC1607" s="905"/>
      <c r="BD1607" s="905"/>
      <c r="BE1607" s="905"/>
      <c r="BF1607" s="905"/>
      <c r="BG1607" s="905"/>
      <c r="BH1607" s="905"/>
      <c r="BI1607" s="905"/>
    </row>
    <row r="1608" spans="1:62" s="808" customFormat="1" x14ac:dyDescent="0.2">
      <c r="A1608" s="1507">
        <v>8</v>
      </c>
      <c r="B1608" s="1516" t="s">
        <v>4698</v>
      </c>
      <c r="C1608" s="1537"/>
      <c r="D1608" s="1537"/>
      <c r="E1608" s="1537"/>
      <c r="F1608" s="1521"/>
      <c r="G1608" s="1509" t="s">
        <v>3200</v>
      </c>
      <c r="H1608" s="1510" t="s">
        <v>3197</v>
      </c>
      <c r="I1608" s="1198"/>
      <c r="J1608" s="1198"/>
      <c r="K1608" s="1198"/>
      <c r="L1608" s="870" t="s">
        <v>5006</v>
      </c>
      <c r="M1608" s="1206"/>
      <c r="N1608" s="1198"/>
      <c r="O1608" s="1206"/>
      <c r="P1608" s="1198"/>
      <c r="Q1608" s="1198"/>
      <c r="R1608" s="1198"/>
      <c r="S1608" s="1198"/>
      <c r="T1608" s="1198"/>
      <c r="Y1608" s="1198"/>
      <c r="AX1608" s="904"/>
      <c r="AY1608" s="1169"/>
    </row>
    <row r="1609" spans="1:62" s="1198" customFormat="1" x14ac:dyDescent="0.2">
      <c r="A1609" s="1507">
        <v>8</v>
      </c>
      <c r="B1609" s="1516" t="s">
        <v>4698</v>
      </c>
      <c r="C1609" s="1537"/>
      <c r="D1609" s="1537"/>
      <c r="E1609" s="1537"/>
      <c r="F1609" s="1521"/>
      <c r="G1609" s="1509" t="s">
        <v>3200</v>
      </c>
      <c r="H1609" s="1510" t="s">
        <v>3197</v>
      </c>
      <c r="L1609" s="1611" t="s">
        <v>4696</v>
      </c>
      <c r="M1609" s="1206"/>
      <c r="O1609" s="1206"/>
      <c r="X1609" s="1621"/>
      <c r="Y1609" s="1874" t="str">
        <f>IF(LEN('11.800'!X23)=0,"None",'11.800'!X23)</f>
        <v>None</v>
      </c>
      <c r="Z1609" s="1600"/>
      <c r="AL1609" s="1352"/>
      <c r="AM1609" s="1352"/>
      <c r="AN1609" s="1352"/>
      <c r="AO1609" s="1352"/>
      <c r="AP1609" s="1352"/>
      <c r="AQ1609" s="1352"/>
      <c r="AR1609" s="1352" t="str">
        <f>SUBSTITUTE(SUBSTITUTE(SUBSTITUTE("vnt"&amp;$B1609&amp;$C1609&amp;$D1609&amp;$E1609&amp;$F1609,".","_"),"(","_"),")","")</f>
        <v>vnt305_2_6_1</v>
      </c>
      <c r="AS1609" s="1352" t="str">
        <f>IF(LEN(X1609)=0,"",X1609)</f>
        <v/>
      </c>
      <c r="AX1609" s="904" t="str">
        <f>'Overview (Verification)'!A25</f>
        <v>Above grade plane finished floor area:</v>
      </c>
      <c r="AY1609" s="1169">
        <f>IF(LEN('Overview (Verification)'!P25)=0,0,'Overview (Verification)'!P25)</f>
        <v>1184</v>
      </c>
    </row>
    <row r="1610" spans="1:62" s="1198" customFormat="1" x14ac:dyDescent="0.2">
      <c r="A1610" s="1507">
        <v>8</v>
      </c>
      <c r="B1610" s="1516" t="s">
        <v>4698</v>
      </c>
      <c r="C1610" s="1537"/>
      <c r="D1610" s="1537"/>
      <c r="E1610" s="1537"/>
      <c r="F1610" s="1521"/>
      <c r="G1610" s="1509" t="s">
        <v>3200</v>
      </c>
      <c r="H1610" s="1510" t="s">
        <v>3197</v>
      </c>
      <c r="L1610" s="1611"/>
      <c r="M1610" s="1206"/>
      <c r="O1610" s="1206"/>
      <c r="X1610" s="1632"/>
      <c r="Y1610" s="1874"/>
      <c r="Z1610" s="1600"/>
      <c r="AL1610" s="1352"/>
      <c r="AM1610" s="1352"/>
      <c r="AN1610" s="1352"/>
      <c r="AO1610" s="1352"/>
      <c r="AP1610" s="1352"/>
      <c r="AQ1610" s="1352"/>
      <c r="AR1610" s="1352"/>
      <c r="AS1610" s="1352"/>
      <c r="AX1610" s="904" t="str">
        <f>'Overview (Verification)'!A26</f>
        <v>Total conditioned floor area:</v>
      </c>
      <c r="AY1610" s="1169">
        <f>IF(LEN('Overview (Verification)'!P26)=0,0,'Overview (Verification)'!P26)</f>
        <v>20128</v>
      </c>
    </row>
    <row r="1611" spans="1:62" s="1198" customFormat="1" x14ac:dyDescent="0.2">
      <c r="A1611" s="1507">
        <v>8</v>
      </c>
      <c r="B1611" s="1516" t="s">
        <v>4698</v>
      </c>
      <c r="C1611" s="1537"/>
      <c r="D1611" s="1537"/>
      <c r="E1611" s="1537"/>
      <c r="F1611" s="1521"/>
      <c r="G1611" s="1509" t="s">
        <v>3200</v>
      </c>
      <c r="H1611" s="1510" t="s">
        <v>3197</v>
      </c>
      <c r="L1611" s="1611"/>
      <c r="M1611" s="1206"/>
      <c r="O1611" s="1206"/>
      <c r="X1611" s="1632"/>
      <c r="Y1611" s="1874"/>
      <c r="Z1611" s="1600"/>
      <c r="AL1611" s="1352"/>
      <c r="AM1611" s="1352"/>
      <c r="AN1611" s="1352"/>
      <c r="AO1611" s="1352"/>
      <c r="AP1611" s="1352"/>
      <c r="AQ1611" s="1352"/>
      <c r="AR1611" s="1352"/>
      <c r="AS1611" s="1352"/>
      <c r="AX1611" s="904" t="str">
        <f>'Overview (Verification)'!A27</f>
        <v>Stories above grade:</v>
      </c>
      <c r="AY1611" s="1169">
        <f>IF(LEN('Overview (Verification)'!P27)=0,0,'Overview (Verification)'!P27)</f>
        <v>2</v>
      </c>
    </row>
    <row r="1612" spans="1:62" s="1198" customFormat="1" x14ac:dyDescent="0.2">
      <c r="A1612" s="1507">
        <v>8</v>
      </c>
      <c r="B1612" s="1516" t="s">
        <v>4698</v>
      </c>
      <c r="C1612" s="1537"/>
      <c r="D1612" s="1537"/>
      <c r="E1612" s="1537"/>
      <c r="F1612" s="1521"/>
      <c r="G1612" s="1509" t="s">
        <v>3200</v>
      </c>
      <c r="H1612" s="1510" t="s">
        <v>3197</v>
      </c>
      <c r="L1612" s="1611"/>
      <c r="M1612" s="1206"/>
      <c r="O1612" s="1206"/>
      <c r="W1612" s="1212" t="s">
        <v>5012</v>
      </c>
      <c r="X1612" s="1632"/>
      <c r="Y1612" s="1874"/>
      <c r="Z1612" s="1600"/>
      <c r="AL1612" s="1352"/>
      <c r="AM1612" s="1352"/>
      <c r="AN1612" s="1352"/>
      <c r="AO1612" s="1352"/>
      <c r="AP1612" s="1352"/>
      <c r="AQ1612" s="1352"/>
      <c r="AR1612" s="1352"/>
      <c r="AS1612" s="1352"/>
      <c r="AX1612" s="905"/>
      <c r="AY1612" s="1169"/>
    </row>
    <row r="1613" spans="1:62" s="1198" customFormat="1" x14ac:dyDescent="0.2">
      <c r="A1613" s="1507">
        <v>8</v>
      </c>
      <c r="B1613" s="1516" t="s">
        <v>4698</v>
      </c>
      <c r="C1613" s="1537"/>
      <c r="D1613" s="1537"/>
      <c r="E1613" s="1537"/>
      <c r="F1613" s="1521"/>
      <c r="G1613" s="1509" t="s">
        <v>3200</v>
      </c>
      <c r="H1613" s="1510" t="s">
        <v>3197</v>
      </c>
      <c r="L1613" s="1759" t="s">
        <v>3472</v>
      </c>
      <c r="M1613" s="1206"/>
      <c r="O1613" s="1206"/>
      <c r="P1613" s="1198" t="b">
        <v>0</v>
      </c>
      <c r="Q1613" s="1198" t="b">
        <v>1</v>
      </c>
      <c r="R1613" s="1198" t="b">
        <f ca="1">S1613</f>
        <v>0</v>
      </c>
      <c r="S1613" s="1198" t="b">
        <f ca="1">S1600=2</f>
        <v>0</v>
      </c>
      <c r="T1613" s="1208" t="b">
        <f ca="1">IF(AND(NOT(S1613),LEN(W1613)&gt;0),TRUE,FALSE)</f>
        <v>0</v>
      </c>
      <c r="W1613" s="977"/>
      <c r="X1613" s="1632"/>
      <c r="Y1613" s="1874"/>
      <c r="Z1613" s="1600"/>
      <c r="AC1613" s="1198" t="b">
        <f ca="1">OR(AD1613:AE1613)</f>
        <v>0</v>
      </c>
      <c r="AD1613" s="1198" t="b">
        <f ca="1">T1613</f>
        <v>0</v>
      </c>
      <c r="AE1613" s="1198" t="b">
        <f ca="1">AND(R1613,OR(W1613="Not Met",W1613=""))</f>
        <v>0</v>
      </c>
      <c r="AL1613" s="1352"/>
      <c r="AM1613" s="1352"/>
      <c r="AN1613" s="1352"/>
      <c r="AO1613" s="1352"/>
      <c r="AP1613" s="1352" t="str">
        <f>SUBSTITUTE(SUBSTITUTE(SUBSTITUTE("vch"&amp;$B1613&amp;$C1613&amp;$D1613&amp;$E1613&amp;$F1613,".","_"),"(","_"),")","")</f>
        <v>vch305_2_6_1</v>
      </c>
      <c r="AQ1613" s="1352" t="str">
        <f>IF(LEN(W1613)=0,"",W1613)</f>
        <v/>
      </c>
      <c r="AR1613" s="1352"/>
      <c r="AS1613" s="1352"/>
      <c r="AX1613" s="904" t="str">
        <f>'Overview (Verification)'!A29</f>
        <v>Year Built:</v>
      </c>
      <c r="AY1613" s="1169">
        <f>IF(LEN('Overview (Verification)'!P29)=0,0,'Overview (Verification)'!P29)</f>
        <v>1969</v>
      </c>
    </row>
    <row r="1614" spans="1:62" s="1198" customFormat="1" x14ac:dyDescent="0.2">
      <c r="A1614" s="1507">
        <v>8</v>
      </c>
      <c r="B1614" s="1516" t="s">
        <v>4698</v>
      </c>
      <c r="C1614" s="1537"/>
      <c r="D1614" s="1537"/>
      <c r="E1614" s="1537"/>
      <c r="F1614" s="1521"/>
      <c r="G1614" s="1509" t="s">
        <v>3200</v>
      </c>
      <c r="H1614" s="1510" t="s">
        <v>3197</v>
      </c>
      <c r="L1614" s="1759"/>
      <c r="M1614" s="1206"/>
      <c r="O1614" s="1206"/>
      <c r="X1614" s="1632"/>
      <c r="Y1614" s="1874"/>
      <c r="Z1614" s="1600"/>
      <c r="AL1614" s="1352"/>
      <c r="AM1614" s="1352"/>
      <c r="AN1614" s="1352"/>
      <c r="AO1614" s="1352"/>
      <c r="AP1614" s="1352"/>
      <c r="AQ1614" s="1352"/>
      <c r="AR1614" s="1352"/>
      <c r="AS1614" s="1352"/>
      <c r="AX1614" s="1167" t="str">
        <f>'Overview (Verification)'!A30</f>
        <v>Energy Baseline Year:</v>
      </c>
      <c r="AY1614" s="1169">
        <f>IF(LEN('Overview (Verification)'!P30)=0,0,'Overview (Verification)'!P30)</f>
        <v>2020</v>
      </c>
    </row>
    <row r="1615" spans="1:62" s="1198" customFormat="1" x14ac:dyDescent="0.2">
      <c r="A1615" s="1507">
        <v>8</v>
      </c>
      <c r="B1615" s="1516" t="s">
        <v>4698</v>
      </c>
      <c r="C1615" s="1537"/>
      <c r="D1615" s="1537"/>
      <c r="E1615" s="1537"/>
      <c r="F1615" s="1521"/>
      <c r="G1615" s="1509" t="s">
        <v>3200</v>
      </c>
      <c r="H1615" s="1510" t="s">
        <v>3197</v>
      </c>
      <c r="L1615" s="1611" t="s">
        <v>3473</v>
      </c>
      <c r="M1615" s="1206"/>
      <c r="O1615" s="1206"/>
      <c r="X1615" s="1632"/>
      <c r="Y1615" s="1874"/>
      <c r="Z1615" s="1600"/>
      <c r="AL1615" s="1352"/>
      <c r="AM1615" s="1352"/>
      <c r="AN1615" s="1352"/>
      <c r="AO1615" s="1352"/>
      <c r="AP1615" s="1352"/>
      <c r="AQ1615" s="1352"/>
      <c r="AR1615" s="1352"/>
      <c r="AS1615" s="1352"/>
      <c r="AX1615" s="1167" t="str">
        <f>'Overview (Verification)'!A31</f>
        <v>Water Baseline Year:</v>
      </c>
      <c r="AY1615" s="1169">
        <f>IF(LEN('Overview (Verification)'!P31)=0,0,'Overview (Verification)'!P31)</f>
        <v>2020</v>
      </c>
    </row>
    <row r="1616" spans="1:62" s="1198" customFormat="1" x14ac:dyDescent="0.2">
      <c r="A1616" s="1507">
        <v>8</v>
      </c>
      <c r="B1616" s="1516" t="s">
        <v>4698</v>
      </c>
      <c r="C1616" s="1537"/>
      <c r="D1616" s="1537"/>
      <c r="E1616" s="1537"/>
      <c r="F1616" s="1521"/>
      <c r="G1616" s="1509" t="s">
        <v>3200</v>
      </c>
      <c r="H1616" s="1510" t="s">
        <v>3197</v>
      </c>
      <c r="L1616" s="1611"/>
      <c r="M1616" s="1206"/>
      <c r="O1616" s="1206"/>
      <c r="X1616" s="1632"/>
      <c r="Y1616" s="1874"/>
      <c r="Z1616" s="1600"/>
      <c r="AL1616" s="1352"/>
      <c r="AM1616" s="1352"/>
      <c r="AN1616" s="1352"/>
      <c r="AO1616" s="1352"/>
      <c r="AP1616" s="1352"/>
      <c r="AQ1616" s="1352"/>
      <c r="AR1616" s="1352"/>
      <c r="AS1616" s="1352"/>
      <c r="AX1616" s="904" t="str">
        <f>'Overview (Verification)'!A32</f>
        <v xml:space="preserve">Project Description: </v>
      </c>
      <c r="AY1616" s="1169" t="str">
        <f>IF(LEN('Overview (Verification)'!P32)=0,0,'Overview (Verification)'!P32)</f>
        <v>n/a</v>
      </c>
    </row>
    <row r="1617" spans="1:61" s="1198" customFormat="1" x14ac:dyDescent="0.2">
      <c r="A1617" s="1507">
        <v>8</v>
      </c>
      <c r="B1617" s="1516" t="s">
        <v>4698</v>
      </c>
      <c r="C1617" s="1537"/>
      <c r="D1617" s="1537"/>
      <c r="E1617" s="1537"/>
      <c r="F1617" s="1521"/>
      <c r="G1617" s="1509" t="s">
        <v>3200</v>
      </c>
      <c r="H1617" s="1510" t="s">
        <v>3197</v>
      </c>
      <c r="L1617" s="1611"/>
      <c r="M1617" s="1206"/>
      <c r="O1617" s="1206"/>
      <c r="X1617" s="1632"/>
      <c r="Y1617" s="1874"/>
      <c r="Z1617" s="1600"/>
      <c r="AL1617" s="1352"/>
      <c r="AM1617" s="1352"/>
      <c r="AN1617" s="1352"/>
      <c r="AO1617" s="1352"/>
      <c r="AP1617" s="1352"/>
      <c r="AQ1617" s="1352"/>
      <c r="AR1617" s="1352"/>
      <c r="AS1617" s="1352"/>
      <c r="AX1617" s="1167"/>
      <c r="AY1617" s="1169"/>
    </row>
    <row r="1618" spans="1:61" s="1198" customFormat="1" x14ac:dyDescent="0.2">
      <c r="A1618" s="1507">
        <v>8</v>
      </c>
      <c r="B1618" s="1516" t="s">
        <v>4698</v>
      </c>
      <c r="C1618" s="1537"/>
      <c r="D1618" s="1537"/>
      <c r="E1618" s="1537"/>
      <c r="F1618" s="1521"/>
      <c r="G1618" s="1509" t="s">
        <v>3200</v>
      </c>
      <c r="H1618" s="1510" t="s">
        <v>3197</v>
      </c>
      <c r="L1618" s="1611"/>
      <c r="M1618" s="1206"/>
      <c r="O1618" s="1206"/>
      <c r="X1618" s="1632"/>
      <c r="Y1618" s="1874"/>
      <c r="Z1618" s="1600"/>
      <c r="AL1618" s="1352"/>
      <c r="AM1618" s="1352"/>
      <c r="AN1618" s="1352"/>
      <c r="AO1618" s="1352"/>
      <c r="AP1618" s="1352"/>
      <c r="AQ1618" s="1352"/>
      <c r="AR1618" s="1352"/>
      <c r="AS1618" s="1352"/>
      <c r="AX1618" s="1167" t="str">
        <f>'Overview (Verification)'!A34</f>
        <v>Selected Energy Compliance Path:</v>
      </c>
      <c r="AY1618" s="1169" t="str">
        <f>IF(LEN('Overview (Verification)'!P34)=0,0,'Overview (Verification)'!P34)</f>
        <v>Performance</v>
      </c>
    </row>
    <row r="1619" spans="1:61" s="1198" customFormat="1" x14ac:dyDescent="0.2">
      <c r="A1619" s="1507">
        <v>8</v>
      </c>
      <c r="B1619" s="1516" t="s">
        <v>4698</v>
      </c>
      <c r="C1619" s="1537"/>
      <c r="D1619" s="1537"/>
      <c r="E1619" s="1537"/>
      <c r="F1619" s="1521"/>
      <c r="G1619" s="1509" t="s">
        <v>3200</v>
      </c>
      <c r="H1619" s="1510" t="s">
        <v>3197</v>
      </c>
      <c r="L1619" s="1611"/>
      <c r="M1619" s="1206"/>
      <c r="O1619" s="1206"/>
      <c r="X1619" s="1632"/>
      <c r="Y1619" s="1874"/>
      <c r="Z1619" s="1600"/>
      <c r="AL1619" s="1352"/>
      <c r="AM1619" s="1352"/>
      <c r="AN1619" s="1352"/>
      <c r="AO1619" s="1352"/>
      <c r="AP1619" s="1352"/>
      <c r="AQ1619" s="1352"/>
      <c r="AR1619" s="1352"/>
      <c r="AS1619" s="1352"/>
      <c r="AX1619" s="1167" t="str">
        <f>'Overview (Verification)'!A35</f>
        <v>Selected Water Compliance Path:</v>
      </c>
      <c r="AY1619" s="1169" t="str">
        <f>IF(LEN('Overview (Verification)'!P35)=0,0,'Overview (Verification)'!P35)</f>
        <v>Prescriptive</v>
      </c>
    </row>
    <row r="1620" spans="1:61" s="1198" customFormat="1" x14ac:dyDescent="0.2">
      <c r="A1620" s="1507">
        <v>8</v>
      </c>
      <c r="B1620" s="1516" t="s">
        <v>4698</v>
      </c>
      <c r="C1620" s="1537"/>
      <c r="D1620" s="1537"/>
      <c r="E1620" s="1537"/>
      <c r="F1620" s="1521"/>
      <c r="G1620" s="1509" t="s">
        <v>3200</v>
      </c>
      <c r="H1620" s="1510" t="s">
        <v>3197</v>
      </c>
      <c r="L1620" s="1611"/>
      <c r="M1620" s="1206"/>
      <c r="O1620" s="1206"/>
      <c r="X1620" s="1632"/>
      <c r="Y1620" s="1874"/>
      <c r="Z1620" s="1600"/>
      <c r="AL1620" s="1352"/>
      <c r="AM1620" s="1352"/>
      <c r="AN1620" s="1352"/>
      <c r="AO1620" s="1352"/>
      <c r="AP1620" s="1352"/>
      <c r="AQ1620" s="1352"/>
      <c r="AR1620" s="1352"/>
      <c r="AS1620" s="1352"/>
      <c r="AX1620" s="904" t="str">
        <f>'Overview (Verification)'!A36</f>
        <v>Foundation Type:</v>
      </c>
      <c r="AY1620" s="1169" t="str">
        <f>IF(LEN('Overview (Verification)'!P36)=0,0,'Overview (Verification)'!P36)</f>
        <v>Slab on grade</v>
      </c>
    </row>
    <row r="1621" spans="1:61" s="1198" customFormat="1" x14ac:dyDescent="0.2">
      <c r="A1621" s="1507">
        <v>8</v>
      </c>
      <c r="B1621" s="1516" t="s">
        <v>4698</v>
      </c>
      <c r="C1621" s="1537"/>
      <c r="D1621" s="1537"/>
      <c r="E1621" s="1537"/>
      <c r="F1621" s="1521"/>
      <c r="G1621" s="1509" t="s">
        <v>3200</v>
      </c>
      <c r="H1621" s="1510" t="s">
        <v>3197</v>
      </c>
      <c r="L1621" s="1611" t="s">
        <v>5007</v>
      </c>
      <c r="M1621" s="1206"/>
      <c r="O1621" s="1206"/>
      <c r="X1621" s="1632"/>
      <c r="Y1621" s="1874"/>
      <c r="Z1621" s="1600"/>
      <c r="AL1621" s="1352"/>
      <c r="AM1621" s="1352"/>
      <c r="AN1621" s="1352"/>
      <c r="AO1621" s="1352"/>
      <c r="AP1621" s="1352"/>
      <c r="AQ1621" s="1352"/>
      <c r="AR1621" s="1352"/>
      <c r="AS1621" s="1352"/>
      <c r="AX1621" s="905"/>
      <c r="AY1621" s="1169"/>
    </row>
    <row r="1622" spans="1:61" s="1198" customFormat="1" x14ac:dyDescent="0.2">
      <c r="A1622" s="1507">
        <v>8</v>
      </c>
      <c r="B1622" s="1516" t="s">
        <v>4698</v>
      </c>
      <c r="C1622" s="1537"/>
      <c r="D1622" s="1537"/>
      <c r="E1622" s="1537"/>
      <c r="F1622" s="1521"/>
      <c r="G1622" s="1509" t="s">
        <v>3200</v>
      </c>
      <c r="H1622" s="1510" t="s">
        <v>3197</v>
      </c>
      <c r="L1622" s="1611"/>
      <c r="M1622" s="1206"/>
      <c r="O1622" s="1206"/>
      <c r="X1622" s="1632"/>
      <c r="Y1622" s="1874"/>
      <c r="Z1622" s="1600"/>
      <c r="AL1622" s="1352"/>
      <c r="AM1622" s="1352"/>
      <c r="AN1622" s="1352"/>
      <c r="AO1622" s="1352"/>
      <c r="AP1622" s="1352"/>
      <c r="AQ1622" s="1352"/>
      <c r="AR1622" s="1352"/>
      <c r="AS1622" s="1352"/>
      <c r="AX1622" s="904" t="str">
        <f>'Overview (Verification)'!A38</f>
        <v>Type of Heating System (main system):</v>
      </c>
      <c r="AY1622" s="1169" t="str">
        <f>IF(LEN('Overview (Verification)'!P38)=0,0,'Overview (Verification)'!P38)</f>
        <v>Heat Pump</v>
      </c>
    </row>
    <row r="1623" spans="1:61" s="1198" customFormat="1" x14ac:dyDescent="0.2">
      <c r="A1623" s="1507">
        <v>8</v>
      </c>
      <c r="B1623" s="1516" t="s">
        <v>4698</v>
      </c>
      <c r="C1623" s="1537"/>
      <c r="D1623" s="1537"/>
      <c r="E1623" s="1537"/>
      <c r="F1623" s="1521"/>
      <c r="G1623" s="1509" t="s">
        <v>3200</v>
      </c>
      <c r="H1623" s="1510" t="s">
        <v>3197</v>
      </c>
      <c r="L1623" s="1611"/>
      <c r="M1623" s="1206"/>
      <c r="O1623" s="1206"/>
      <c r="X1623" s="1632"/>
      <c r="Y1623" s="1874"/>
      <c r="Z1623" s="1600"/>
      <c r="AL1623" s="1352"/>
      <c r="AM1623" s="1352"/>
      <c r="AN1623" s="1352"/>
      <c r="AO1623" s="1352"/>
      <c r="AP1623" s="1352"/>
      <c r="AQ1623" s="1352"/>
      <c r="AR1623" s="1352"/>
      <c r="AS1623" s="1352"/>
      <c r="AX1623" s="904" t="str">
        <f>'Overview (Verification)'!A39</f>
        <v>Type of Heating System (system 2):</v>
      </c>
      <c r="AY1623" s="1169">
        <f>IF(LEN('Overview (Verification)'!P39)=0,0,'Overview (Verification)'!P39)</f>
        <v>0</v>
      </c>
    </row>
    <row r="1624" spans="1:61" s="1198" customFormat="1" x14ac:dyDescent="0.2">
      <c r="A1624" s="1507">
        <v>8</v>
      </c>
      <c r="B1624" s="1516" t="s">
        <v>4698</v>
      </c>
      <c r="C1624" s="1537"/>
      <c r="D1624" s="1537"/>
      <c r="E1624" s="1537"/>
      <c r="F1624" s="1521"/>
      <c r="G1624" s="1509" t="s">
        <v>3200</v>
      </c>
      <c r="H1624" s="1510" t="s">
        <v>3197</v>
      </c>
      <c r="L1624" s="1611"/>
      <c r="M1624" s="1206"/>
      <c r="O1624" s="1206"/>
      <c r="X1624" s="1599"/>
      <c r="Y1624" s="1874"/>
      <c r="Z1624" s="1600"/>
      <c r="AL1624" s="1352"/>
      <c r="AM1624" s="1352"/>
      <c r="AN1624" s="1352"/>
      <c r="AO1624" s="1352"/>
      <c r="AP1624" s="1352"/>
      <c r="AQ1624" s="1352"/>
      <c r="AR1624" s="1352"/>
      <c r="AS1624" s="1352"/>
      <c r="AX1624" s="904" t="str">
        <f>'Overview (Verification)'!A40</f>
        <v>Type of Heating System (system 3):</v>
      </c>
      <c r="AY1624" s="1169">
        <f>IF(LEN('Overview (Verification)'!P40)=0,0,'Overview (Verification)'!P40)</f>
        <v>0</v>
      </c>
    </row>
    <row r="1625" spans="1:61" s="905" customFormat="1" ht="19" x14ac:dyDescent="0.25">
      <c r="A1625" s="1507">
        <v>8</v>
      </c>
      <c r="B1625" s="1516">
        <v>802</v>
      </c>
      <c r="C1625" s="1517"/>
      <c r="D1625" s="1517"/>
      <c r="E1625" s="1516"/>
      <c r="F1625" s="1511"/>
      <c r="G1625" s="1512" t="s">
        <v>3200</v>
      </c>
      <c r="H1625" s="1530" t="s">
        <v>3197</v>
      </c>
      <c r="I1625" s="1004" t="s">
        <v>4519</v>
      </c>
      <c r="J1625" s="1003"/>
      <c r="K1625" s="1003"/>
      <c r="L1625" s="1004"/>
      <c r="M1625" s="25"/>
      <c r="N1625" s="25"/>
      <c r="O1625" s="25"/>
      <c r="P1625" s="25"/>
      <c r="Q1625" s="25"/>
      <c r="R1625" s="25"/>
      <c r="S1625" s="25"/>
      <c r="T1625" s="25"/>
      <c r="U1625" s="25"/>
      <c r="V1625" s="25"/>
      <c r="W1625" s="25"/>
      <c r="X1625" s="25"/>
      <c r="Y1625" s="25"/>
      <c r="Z1625" s="25"/>
      <c r="AL1625" s="1352"/>
      <c r="AM1625" s="1352"/>
      <c r="AN1625" s="1352"/>
      <c r="AO1625" s="1352"/>
      <c r="AP1625" s="1352"/>
      <c r="AQ1625" s="1352"/>
      <c r="AR1625" s="1352"/>
      <c r="AS1625" s="1352"/>
      <c r="AX1625" s="904" t="str">
        <f>'Overview (Verification)'!A41</f>
        <v>Primary Heating Fuel:</v>
      </c>
      <c r="AY1625" s="1169">
        <f>IF(LEN('Overview (Verification)'!P41)=0,0,'Overview (Verification)'!P41)</f>
        <v>0</v>
      </c>
      <c r="AZ1625" s="808"/>
      <c r="BA1625" s="808"/>
      <c r="BB1625" s="808"/>
      <c r="BC1625" s="808"/>
      <c r="BD1625" s="808"/>
      <c r="BE1625" s="808"/>
      <c r="BF1625" s="808"/>
      <c r="BG1625" s="808"/>
      <c r="BH1625" s="808"/>
      <c r="BI1625" s="808"/>
    </row>
    <row r="1626" spans="1:61" s="905" customFormat="1" hidden="1" x14ac:dyDescent="0.2">
      <c r="A1626" s="1507">
        <v>8</v>
      </c>
      <c r="B1626" s="1516">
        <v>802.1</v>
      </c>
      <c r="C1626" s="1517"/>
      <c r="D1626" s="1517"/>
      <c r="E1626" s="1516"/>
      <c r="F1626" s="1511"/>
      <c r="G1626" s="1509" t="str">
        <f ca="1">IF(N1626&gt;0,"P","")</f>
        <v/>
      </c>
      <c r="H1626" s="1530" t="s">
        <v>3197</v>
      </c>
      <c r="I1626" s="589" t="s">
        <v>4520</v>
      </c>
      <c r="J1626" s="873"/>
      <c r="K1626" s="873"/>
      <c r="L1626" s="1687" t="s">
        <v>4857</v>
      </c>
      <c r="M1626" s="911"/>
      <c r="N1626" s="1669">
        <f ca="1">'11.800'!O40</f>
        <v>0</v>
      </c>
      <c r="O1626" s="1669">
        <f ca="1">IFERROR(INDEX({8,12,20,24,28,9},MATCH(W1627,INDIRECT(U1627),0)),0)*S1627*NOT(T1627)</f>
        <v>0</v>
      </c>
      <c r="U1626" s="991"/>
      <c r="Y1626" s="1198"/>
      <c r="AL1626" s="1352"/>
      <c r="AM1626" s="1352"/>
      <c r="AN1626" s="1352" t="str">
        <f>SUBSTITUTE(SUBSTITUTE(SUBSTITUTE("vpc"&amp;$B1626&amp;$C1626&amp;$D1626&amp;$E1626&amp;$F1626,".","_"),"(","_"),")","")</f>
        <v>vpc802_1</v>
      </c>
      <c r="AO1626" s="1352">
        <f ca="1">O1626</f>
        <v>0</v>
      </c>
      <c r="AP1626" s="1352"/>
      <c r="AQ1626" s="1352"/>
      <c r="AR1626" s="1352"/>
      <c r="AS1626" s="1352"/>
      <c r="AX1626" s="904" t="str">
        <f>'Overview (Verification)'!A42</f>
        <v>Heating Ducts:</v>
      </c>
      <c r="AY1626" s="1169" t="str">
        <f>IF(LEN('Overview (Verification)'!P42)=0,0,'Overview (Verification)'!P42)</f>
        <v>Ducted</v>
      </c>
    </row>
    <row r="1627" spans="1:61" s="905" customFormat="1" hidden="1" x14ac:dyDescent="0.2">
      <c r="A1627" s="1507">
        <v>8</v>
      </c>
      <c r="B1627" s="1516">
        <v>802.1</v>
      </c>
      <c r="C1627" s="1517"/>
      <c r="D1627" s="1517"/>
      <c r="E1627" s="1516"/>
      <c r="F1627" s="1511"/>
      <c r="G1627" s="1509" t="str">
        <f t="shared" ref="G1627:G1652" ca="1" si="126">G1626</f>
        <v/>
      </c>
      <c r="H1627" s="1530" t="s">
        <v>3197</v>
      </c>
      <c r="I1627" s="589"/>
      <c r="J1627" s="873"/>
      <c r="K1627" s="873"/>
      <c r="L1627" s="1687"/>
      <c r="M1627" s="911"/>
      <c r="N1627" s="1669"/>
      <c r="O1627" s="1669"/>
      <c r="P1627" s="905" t="b">
        <v>1</v>
      </c>
      <c r="Q1627" s="905" t="b">
        <v>1</v>
      </c>
      <c r="R1627" s="905" t="b">
        <v>0</v>
      </c>
      <c r="S1627" s="905" t="b">
        <f ca="1">AND(S1629,S1630,S1600=1)</f>
        <v>0</v>
      </c>
      <c r="T1627" s="991" t="b">
        <f ca="1">OR(IF(AND(NOT(S1627),LEN(W1627)&gt;0),TRUE,FALSE),AND(W1627=INDEX(INDIRECT(U1627),6),NOT(AY1605=INDEX(ddSingleOrMulti,2))))</f>
        <v>0</v>
      </c>
      <c r="U1627" s="991" t="str">
        <f>SUBSTITUTE(SUBSTITUTE(SUBSTITUTE("dd"&amp;B1627&amp;C1627&amp;D1627&amp;E1627&amp;F1627,".","_"),"(","_"),")","")</f>
        <v>dd802_1</v>
      </c>
      <c r="W1627" s="12"/>
      <c r="Y1627" s="1198"/>
      <c r="AC1627" s="1150" t="b">
        <f ca="1">OR(AD1627:AE1627)</f>
        <v>0</v>
      </c>
      <c r="AD1627" s="1150" t="b">
        <f ca="1">T1627</f>
        <v>0</v>
      </c>
      <c r="AL1627" s="1352"/>
      <c r="AM1627" s="1352"/>
      <c r="AN1627" s="1352"/>
      <c r="AO1627" s="1352"/>
      <c r="AP1627" s="1352" t="str">
        <f>SUBSTITUTE(SUBSTITUTE(SUBSTITUTE("vch"&amp;$B1627&amp;$C1627&amp;$D1627&amp;$E1627&amp;$F1627,".","_"),"(","_"),")","")</f>
        <v>vch802_1</v>
      </c>
      <c r="AQ1627" s="1352" t="str">
        <f>IF(LEN(W1627)=0,"",W1627)</f>
        <v/>
      </c>
      <c r="AR1627" s="1352"/>
      <c r="AS1627" s="1352"/>
      <c r="AX1627" s="904" t="str">
        <f>'Overview (Verification)'!A43</f>
        <v>Type of Cooling System (main system):</v>
      </c>
      <c r="AY1627" s="1169" t="str">
        <f>IF(LEN('Overview (Verification)'!P43)=0,0,'Overview (Verification)'!P43)</f>
        <v>Heat Pump</v>
      </c>
    </row>
    <row r="1628" spans="1:61" s="905" customFormat="1" hidden="1" x14ac:dyDescent="0.2">
      <c r="A1628" s="1507">
        <v>8</v>
      </c>
      <c r="B1628" s="1516">
        <v>802.1</v>
      </c>
      <c r="C1628" s="1517"/>
      <c r="D1628" s="1517"/>
      <c r="E1628" s="1516"/>
      <c r="F1628" s="1511"/>
      <c r="G1628" s="1509" t="str">
        <f t="shared" ca="1" si="126"/>
        <v/>
      </c>
      <c r="H1628" s="1530" t="s">
        <v>3197</v>
      </c>
      <c r="I1628" s="589"/>
      <c r="J1628" s="873"/>
      <c r="K1628" s="873"/>
      <c r="L1628" s="1687"/>
      <c r="M1628" s="911"/>
      <c r="N1628" s="1669"/>
      <c r="O1628" s="1669"/>
      <c r="Y1628" s="1198"/>
      <c r="AL1628" s="1352"/>
      <c r="AM1628" s="1352"/>
      <c r="AN1628" s="1352"/>
      <c r="AO1628" s="1352"/>
      <c r="AP1628" s="1352"/>
      <c r="AQ1628" s="1352"/>
      <c r="AR1628" s="1352"/>
      <c r="AS1628" s="1352"/>
      <c r="AX1628" s="904" t="str">
        <f>'Overview (Verification)'!A44</f>
        <v>Type of Cooling System (system 2):</v>
      </c>
      <c r="AY1628" s="1169">
        <f>IF(LEN('Overview (Verification)'!P44)=0,0,'Overview (Verification)'!P44)</f>
        <v>0</v>
      </c>
    </row>
    <row r="1629" spans="1:61" s="905" customFormat="1" hidden="1" x14ac:dyDescent="0.2">
      <c r="A1629" s="1507">
        <v>8</v>
      </c>
      <c r="B1629" s="1516">
        <v>802.1</v>
      </c>
      <c r="C1629" s="1517"/>
      <c r="D1629" s="1517"/>
      <c r="E1629" s="1516"/>
      <c r="F1629" s="1511"/>
      <c r="G1629" s="1509" t="str">
        <f t="shared" ca="1" si="126"/>
        <v/>
      </c>
      <c r="H1629" s="1530" t="s">
        <v>3197</v>
      </c>
      <c r="I1629" s="589"/>
      <c r="J1629" s="873"/>
      <c r="K1629" s="873"/>
      <c r="L1629" s="1687"/>
      <c r="M1629" s="911"/>
      <c r="N1629" s="1669"/>
      <c r="O1629" s="1669"/>
      <c r="S1629" s="722" t="b">
        <f ca="1">(S1470=TRUE)</f>
        <v>0</v>
      </c>
      <c r="Y1629" s="1198"/>
      <c r="AL1629" s="1352"/>
      <c r="AM1629" s="1352"/>
      <c r="AN1629" s="1352"/>
      <c r="AO1629" s="1352"/>
      <c r="AP1629" s="1352"/>
      <c r="AQ1629" s="1352"/>
      <c r="AR1629" s="1352"/>
      <c r="AS1629" s="1352"/>
      <c r="AX1629" s="904" t="str">
        <f>'Overview (Verification)'!A45</f>
        <v>Type of Cooling System (system 3):</v>
      </c>
      <c r="AY1629" s="1169">
        <f>IF(LEN('Overview (Verification)'!P45)=0,0,'Overview (Verification)'!P45)</f>
        <v>0</v>
      </c>
    </row>
    <row r="1630" spans="1:61" s="905" customFormat="1" hidden="1" x14ac:dyDescent="0.2">
      <c r="A1630" s="1507">
        <v>8</v>
      </c>
      <c r="B1630" s="1516">
        <v>802.1</v>
      </c>
      <c r="C1630" s="1517"/>
      <c r="D1630" s="1517"/>
      <c r="E1630" s="1516"/>
      <c r="F1630" s="1511"/>
      <c r="G1630" s="1509" t="str">
        <f t="shared" ca="1" si="126"/>
        <v/>
      </c>
      <c r="H1630" s="1530" t="s">
        <v>3197</v>
      </c>
      <c r="I1630" s="589"/>
      <c r="J1630" s="873"/>
      <c r="K1630" s="873"/>
      <c r="L1630" s="1687"/>
      <c r="M1630" s="911"/>
      <c r="N1630" s="1669"/>
      <c r="O1630" s="1669"/>
      <c r="S1630" s="722" t="b">
        <f>(W1470=TRUE)</f>
        <v>0</v>
      </c>
      <c r="Y1630" s="1198"/>
      <c r="AL1630" s="1352"/>
      <c r="AM1630" s="1352"/>
      <c r="AN1630" s="1352"/>
      <c r="AO1630" s="1352"/>
      <c r="AP1630" s="1352"/>
      <c r="AQ1630" s="1352"/>
      <c r="AR1630" s="1352"/>
      <c r="AS1630" s="1352"/>
      <c r="AX1630" s="904" t="str">
        <f>'Overview (Verification)'!A46</f>
        <v>Cooling Ducts:</v>
      </c>
      <c r="AY1630" s="1169" t="str">
        <f>IF(LEN('Overview (Verification)'!P46)=0,0,'Overview (Verification)'!P46)</f>
        <v>Ducted</v>
      </c>
    </row>
    <row r="1631" spans="1:61" s="905" customFormat="1" hidden="1" x14ac:dyDescent="0.2">
      <c r="A1631" s="1507">
        <v>8</v>
      </c>
      <c r="B1631" s="1516">
        <v>802.1</v>
      </c>
      <c r="C1631" s="1517"/>
      <c r="D1631" s="1517"/>
      <c r="E1631" s="1516"/>
      <c r="F1631" s="1511"/>
      <c r="G1631" s="1509" t="str">
        <f t="shared" ca="1" si="126"/>
        <v/>
      </c>
      <c r="H1631" s="1530" t="s">
        <v>3197</v>
      </c>
      <c r="I1631" s="589"/>
      <c r="J1631" s="873"/>
      <c r="K1631" s="873"/>
      <c r="L1631" s="1687"/>
      <c r="M1631" s="911"/>
      <c r="N1631" s="935"/>
      <c r="O1631" s="935"/>
      <c r="Y1631" s="1198"/>
      <c r="AL1631" s="1352"/>
      <c r="AM1631" s="1352"/>
      <c r="AN1631" s="1352"/>
      <c r="AO1631" s="1352"/>
      <c r="AP1631" s="1352"/>
      <c r="AQ1631" s="1352"/>
      <c r="AR1631" s="1352"/>
      <c r="AS1631" s="1352"/>
      <c r="AX1631" s="904"/>
      <c r="AY1631" s="1169"/>
    </row>
    <row r="1632" spans="1:61" s="905" customFormat="1" hidden="1" x14ac:dyDescent="0.2">
      <c r="A1632" s="1507">
        <v>8</v>
      </c>
      <c r="B1632" s="1516">
        <v>802.1</v>
      </c>
      <c r="C1632" s="1517"/>
      <c r="D1632" s="1517"/>
      <c r="E1632" s="1516"/>
      <c r="F1632" s="1511"/>
      <c r="G1632" s="1509" t="str">
        <f t="shared" ca="1" si="126"/>
        <v/>
      </c>
      <c r="H1632" s="1530" t="s">
        <v>3197</v>
      </c>
      <c r="I1632" s="589"/>
      <c r="J1632" s="873"/>
      <c r="K1632" s="873"/>
      <c r="L1632" s="1687"/>
      <c r="M1632" s="911"/>
      <c r="N1632" s="935"/>
      <c r="O1632" s="935"/>
      <c r="Y1632" s="1198"/>
      <c r="AL1632" s="1352"/>
      <c r="AM1632" s="1352"/>
      <c r="AN1632" s="1352"/>
      <c r="AO1632" s="1352"/>
      <c r="AP1632" s="1352"/>
      <c r="AQ1632" s="1352"/>
      <c r="AR1632" s="1352"/>
      <c r="AS1632" s="1352"/>
      <c r="AX1632" s="904" t="str">
        <f>'Overview (Verification)'!A48</f>
        <v>Maximum window and door SHGC:</v>
      </c>
      <c r="AY1632" s="1169">
        <f>IF(LEN('Overview (Verification)'!P48)=0,0,'Overview (Verification)'!P48)</f>
        <v>0.22</v>
      </c>
    </row>
    <row r="1633" spans="1:51" s="905" customFormat="1" hidden="1" x14ac:dyDescent="0.2">
      <c r="A1633" s="1507">
        <v>8</v>
      </c>
      <c r="B1633" s="1516">
        <v>802.1</v>
      </c>
      <c r="C1633" s="1517"/>
      <c r="D1633" s="1517"/>
      <c r="E1633" s="1516"/>
      <c r="F1633" s="1511"/>
      <c r="G1633" s="1509" t="str">
        <f t="shared" ca="1" si="126"/>
        <v/>
      </c>
      <c r="H1633" s="1530" t="s">
        <v>3197</v>
      </c>
      <c r="I1633" s="589"/>
      <c r="J1633" s="873"/>
      <c r="K1633" s="873"/>
      <c r="L1633" s="1687"/>
      <c r="M1633" s="911"/>
      <c r="N1633" s="935"/>
      <c r="O1633" s="935"/>
      <c r="Y1633" s="1198"/>
      <c r="AL1633" s="1352"/>
      <c r="AM1633" s="1352"/>
      <c r="AN1633" s="1352"/>
      <c r="AO1633" s="1352"/>
      <c r="AP1633" s="1352"/>
      <c r="AQ1633" s="1352"/>
      <c r="AR1633" s="1352"/>
      <c r="AS1633" s="1352"/>
      <c r="AX1633" s="904" t="str">
        <f>'Overview (Verification)'!A49</f>
        <v>Maximum skylight SHGC:</v>
      </c>
      <c r="AY1633" s="1169">
        <f>IF(LEN('Overview (Verification)'!P49)=0,0,'Overview (Verification)'!P49)</f>
        <v>0</v>
      </c>
    </row>
    <row r="1634" spans="1:51" s="905" customFormat="1" hidden="1" x14ac:dyDescent="0.2">
      <c r="A1634" s="1507">
        <v>8</v>
      </c>
      <c r="B1634" s="1516">
        <v>802.1</v>
      </c>
      <c r="C1634" s="1517"/>
      <c r="D1634" s="1517"/>
      <c r="E1634" s="1516"/>
      <c r="F1634" s="1511"/>
      <c r="G1634" s="1509" t="str">
        <f t="shared" ca="1" si="126"/>
        <v/>
      </c>
      <c r="H1634" s="1530" t="s">
        <v>3197</v>
      </c>
      <c r="I1634" s="589"/>
      <c r="J1634" s="873"/>
      <c r="K1634" s="873"/>
      <c r="L1634" s="1687"/>
      <c r="M1634" s="911"/>
      <c r="N1634" s="935"/>
      <c r="O1634" s="935"/>
      <c r="Y1634" s="1198"/>
      <c r="AL1634" s="1352"/>
      <c r="AM1634" s="1352"/>
      <c r="AN1634" s="1352"/>
      <c r="AO1634" s="1352"/>
      <c r="AP1634" s="1352"/>
      <c r="AQ1634" s="1352"/>
      <c r="AR1634" s="1352"/>
      <c r="AS1634" s="1352"/>
      <c r="AX1634" s="904" t="str">
        <f>'Overview (Verification)'!A50</f>
        <v>Maximum window and door U-value:</v>
      </c>
      <c r="AY1634" s="1169">
        <f>IF(LEN('Overview (Verification)'!P50)=0,0,'Overview (Verification)'!P50)</f>
        <v>0.28999999999999998</v>
      </c>
    </row>
    <row r="1635" spans="1:51" s="905" customFormat="1" hidden="1" x14ac:dyDescent="0.2">
      <c r="A1635" s="1507">
        <v>8</v>
      </c>
      <c r="B1635" s="1516">
        <v>802.1</v>
      </c>
      <c r="C1635" s="1517"/>
      <c r="D1635" s="1517"/>
      <c r="E1635" s="1516"/>
      <c r="F1635" s="1511"/>
      <c r="G1635" s="1509" t="str">
        <f t="shared" ca="1" si="126"/>
        <v/>
      </c>
      <c r="H1635" s="1530" t="s">
        <v>3197</v>
      </c>
      <c r="I1635" s="589"/>
      <c r="J1635" s="873"/>
      <c r="K1635" s="873"/>
      <c r="L1635" s="1687"/>
      <c r="M1635" s="911"/>
      <c r="N1635" s="935"/>
      <c r="O1635" s="935"/>
      <c r="Y1635" s="1198"/>
      <c r="AL1635" s="1352"/>
      <c r="AM1635" s="1352"/>
      <c r="AN1635" s="1352"/>
      <c r="AO1635" s="1352"/>
      <c r="AP1635" s="1352"/>
      <c r="AQ1635" s="1352"/>
      <c r="AR1635" s="1352"/>
      <c r="AS1635" s="1352"/>
      <c r="AX1635" s="904" t="str">
        <f>'Overview (Verification)'!A51</f>
        <v>Maximum skylight U-value:</v>
      </c>
      <c r="AY1635" s="1169">
        <f>IF(LEN('Overview (Verification)'!P51)=0,0,'Overview (Verification)'!P51)</f>
        <v>0</v>
      </c>
    </row>
    <row r="1636" spans="1:51" s="905" customFormat="1" hidden="1" x14ac:dyDescent="0.2">
      <c r="A1636" s="1507">
        <v>8</v>
      </c>
      <c r="B1636" s="1516">
        <v>802.1</v>
      </c>
      <c r="C1636" s="1517"/>
      <c r="D1636" s="1517"/>
      <c r="E1636" s="1516"/>
      <c r="F1636" s="1511"/>
      <c r="G1636" s="1509" t="str">
        <f t="shared" ca="1" si="126"/>
        <v/>
      </c>
      <c r="H1636" s="1530" t="s">
        <v>3197</v>
      </c>
      <c r="I1636" s="589"/>
      <c r="J1636" s="873"/>
      <c r="K1636" s="873"/>
      <c r="L1636" s="1687"/>
      <c r="M1636" s="911"/>
      <c r="N1636" s="935"/>
      <c r="O1636" s="935"/>
      <c r="Y1636" s="1198"/>
      <c r="AL1636" s="1352"/>
      <c r="AM1636" s="1352"/>
      <c r="AN1636" s="1352"/>
      <c r="AO1636" s="1352"/>
      <c r="AP1636" s="1352"/>
      <c r="AQ1636" s="1352"/>
      <c r="AR1636" s="1352"/>
      <c r="AS1636" s="1352"/>
      <c r="AX1636" s="904" t="str">
        <f>'Overview (Verification)'!A52</f>
        <v>Renewable Energy:</v>
      </c>
      <c r="AY1636" s="1169">
        <f>IF(LEN('Overview (Verification)'!P52)=0,0,'Overview (Verification)'!P52)</f>
        <v>0</v>
      </c>
    </row>
    <row r="1637" spans="1:51" s="905" customFormat="1" hidden="1" x14ac:dyDescent="0.2">
      <c r="A1637" s="1507">
        <v>8</v>
      </c>
      <c r="B1637" s="1516">
        <v>802.1</v>
      </c>
      <c r="C1637" s="1517" t="s">
        <v>254</v>
      </c>
      <c r="D1637" s="1517"/>
      <c r="E1637" s="1516"/>
      <c r="F1637" s="1511"/>
      <c r="G1637" s="1509" t="str">
        <f t="shared" ca="1" si="126"/>
        <v/>
      </c>
      <c r="H1637" s="1530" t="s">
        <v>3197</v>
      </c>
      <c r="I1637" s="589"/>
      <c r="J1637" s="1068" t="s">
        <v>254</v>
      </c>
      <c r="K1637" s="1068"/>
      <c r="L1637" s="1634" t="s">
        <v>4521</v>
      </c>
      <c r="M1637" s="1623">
        <v>8</v>
      </c>
      <c r="N1637" s="935"/>
      <c r="O1637" s="935"/>
      <c r="X1637" s="1600"/>
      <c r="Y1637" s="1874" t="str">
        <f>IF(LEN('11.800'!X51)=0,"None",'11.800'!X51)</f>
        <v>None</v>
      </c>
      <c r="Z1637" s="1600"/>
      <c r="AL1637" s="1352" t="str">
        <f>SUBSTITUTE(SUBSTITUTE(SUBSTITUTE("vpa"&amp;$B1637&amp;$C1637&amp;$D1637&amp;$E1637&amp;$F1637,".","_"),"(","_"),")","")</f>
        <v>vpa802_1_1</v>
      </c>
      <c r="AM1637" s="1352">
        <f>M1637</f>
        <v>8</v>
      </c>
      <c r="AN1637" s="1352"/>
      <c r="AO1637" s="1352"/>
      <c r="AP1637" s="1352"/>
      <c r="AQ1637" s="1352"/>
      <c r="AR1637" s="1352" t="str">
        <f>SUBSTITUTE(SUBSTITUTE(SUBSTITUTE("vnt"&amp;$B1637&amp;$C1637&amp;$D1637&amp;$E1637&amp;$F1637,".","_"),"(","_"),")","")</f>
        <v>vnt802_1_1</v>
      </c>
      <c r="AS1637" s="1352" t="str">
        <f>IF(LEN(X1637)=0,"",X1637)</f>
        <v/>
      </c>
      <c r="AX1637" s="904" t="str">
        <f>'Overview (Verification)'!A53</f>
        <v>Thermal Envelope Insulation:</v>
      </c>
      <c r="AY1637" s="1169">
        <f>IF(LEN('Overview (Verification)'!P53)=0,0,'Overview (Verification)'!P53)</f>
        <v>0</v>
      </c>
    </row>
    <row r="1638" spans="1:51" s="905" customFormat="1" hidden="1" x14ac:dyDescent="0.2">
      <c r="A1638" s="1507">
        <v>8</v>
      </c>
      <c r="B1638" s="1516">
        <v>802.1</v>
      </c>
      <c r="C1638" s="1517" t="s">
        <v>254</v>
      </c>
      <c r="D1638" s="1517"/>
      <c r="E1638" s="1516"/>
      <c r="F1638" s="1511"/>
      <c r="G1638" s="1509" t="str">
        <f t="shared" ca="1" si="126"/>
        <v/>
      </c>
      <c r="H1638" s="1530" t="s">
        <v>3197</v>
      </c>
      <c r="I1638" s="589"/>
      <c r="J1638" s="1072"/>
      <c r="K1638" s="1072"/>
      <c r="L1638" s="1639"/>
      <c r="M1638" s="1624"/>
      <c r="N1638" s="935"/>
      <c r="O1638" s="935"/>
      <c r="X1638" s="1600"/>
      <c r="Y1638" s="1874"/>
      <c r="Z1638" s="1600"/>
      <c r="AL1638" s="1352"/>
      <c r="AM1638" s="1352"/>
      <c r="AN1638" s="1352"/>
      <c r="AO1638" s="1352"/>
      <c r="AP1638" s="1352"/>
      <c r="AQ1638" s="1352"/>
      <c r="AR1638" s="1352"/>
      <c r="AS1638" s="1352"/>
      <c r="AX1638" s="904" t="str">
        <f>'Overview (Verification)'!A54</f>
        <v>Attic Type:</v>
      </c>
      <c r="AY1638" s="1169" t="str">
        <f>IF(LEN('Overview (Verification)'!P54)=0,0,'Overview (Verification)'!P54)</f>
        <v>Vented</v>
      </c>
    </row>
    <row r="1639" spans="1:51" s="905" customFormat="1" hidden="1" x14ac:dyDescent="0.2">
      <c r="A1639" s="1507">
        <v>8</v>
      </c>
      <c r="B1639" s="1516">
        <v>802.1</v>
      </c>
      <c r="C1639" s="1517" t="s">
        <v>255</v>
      </c>
      <c r="D1639" s="1517"/>
      <c r="E1639" s="1516"/>
      <c r="F1639" s="1511"/>
      <c r="G1639" s="1509" t="str">
        <f t="shared" ca="1" si="126"/>
        <v/>
      </c>
      <c r="H1639" s="1530" t="s">
        <v>3197</v>
      </c>
      <c r="I1639" s="589"/>
      <c r="J1639" s="873" t="s">
        <v>255</v>
      </c>
      <c r="K1639" s="1073"/>
      <c r="L1639" s="1633" t="s">
        <v>4522</v>
      </c>
      <c r="M1639" s="1636">
        <v>12</v>
      </c>
      <c r="N1639" s="935"/>
      <c r="O1639" s="935"/>
      <c r="X1639" s="1600"/>
      <c r="Y1639" s="1874"/>
      <c r="Z1639" s="1600"/>
      <c r="AL1639" s="1352" t="str">
        <f>SUBSTITUTE(SUBSTITUTE(SUBSTITUTE("vpa"&amp;$B1639&amp;$C1639&amp;$D1639&amp;$E1639&amp;$F1639,".","_"),"(","_"),")","")</f>
        <v>vpa802_1_2</v>
      </c>
      <c r="AM1639" s="1352">
        <f>M1639</f>
        <v>12</v>
      </c>
      <c r="AN1639" s="1352"/>
      <c r="AO1639" s="1352"/>
      <c r="AP1639" s="1352"/>
      <c r="AQ1639" s="1352"/>
      <c r="AR1639" s="1352"/>
      <c r="AS1639" s="1352"/>
      <c r="AX1639" s="904" t="str">
        <f>'Overview (Verification)'!A55</f>
        <v>Attached Garage:</v>
      </c>
      <c r="AY1639" s="1169" t="str">
        <f>IF(LEN('Overview (Verification)'!P55)=0,0,'Overview (Verification)'!P55)</f>
        <v>No</v>
      </c>
    </row>
    <row r="1640" spans="1:51" s="905" customFormat="1" hidden="1" x14ac:dyDescent="0.2">
      <c r="A1640" s="1507">
        <v>8</v>
      </c>
      <c r="B1640" s="1516">
        <v>802.1</v>
      </c>
      <c r="C1640" s="1517" t="s">
        <v>255</v>
      </c>
      <c r="D1640" s="1517"/>
      <c r="E1640" s="1516"/>
      <c r="F1640" s="1511"/>
      <c r="G1640" s="1509" t="str">
        <f t="shared" ca="1" si="126"/>
        <v/>
      </c>
      <c r="H1640" s="1530" t="s">
        <v>3197</v>
      </c>
      <c r="I1640" s="589"/>
      <c r="J1640" s="1072"/>
      <c r="K1640" s="1072"/>
      <c r="L1640" s="1639"/>
      <c r="M1640" s="1624"/>
      <c r="N1640" s="935"/>
      <c r="O1640" s="935"/>
      <c r="X1640" s="1600"/>
      <c r="Y1640" s="1874"/>
      <c r="Z1640" s="1600"/>
      <c r="AL1640" s="1352"/>
      <c r="AM1640" s="1352"/>
      <c r="AN1640" s="1352"/>
      <c r="AO1640" s="1352"/>
      <c r="AP1640" s="1352"/>
      <c r="AQ1640" s="1352"/>
      <c r="AR1640" s="1352"/>
      <c r="AS1640" s="1352"/>
      <c r="AX1640" s="904" t="str">
        <f>'Overview (Verification)'!A56</f>
        <v>Recessed Lighting:</v>
      </c>
      <c r="AY1640" s="1169">
        <f>IF(LEN('Overview (Verification)'!P56)=0,0,'Overview (Verification)'!P56)</f>
        <v>0</v>
      </c>
    </row>
    <row r="1641" spans="1:51" s="905" customFormat="1" hidden="1" x14ac:dyDescent="0.2">
      <c r="A1641" s="1507">
        <v>8</v>
      </c>
      <c r="B1641" s="1516">
        <v>802.1</v>
      </c>
      <c r="C1641" s="1517" t="s">
        <v>256</v>
      </c>
      <c r="D1641" s="1517"/>
      <c r="E1641" s="1516"/>
      <c r="F1641" s="1511"/>
      <c r="G1641" s="1509" t="str">
        <f t="shared" ca="1" si="126"/>
        <v/>
      </c>
      <c r="H1641" s="1530" t="s">
        <v>3197</v>
      </c>
      <c r="I1641" s="589"/>
      <c r="J1641" s="873" t="s">
        <v>256</v>
      </c>
      <c r="K1641" s="1073"/>
      <c r="L1641" s="1633" t="s">
        <v>4523</v>
      </c>
      <c r="M1641" s="1636">
        <v>20</v>
      </c>
      <c r="N1641" s="935"/>
      <c r="O1641" s="935"/>
      <c r="X1641" s="1600"/>
      <c r="Y1641" s="1874"/>
      <c r="Z1641" s="1600"/>
      <c r="AL1641" s="1352" t="str">
        <f>SUBSTITUTE(SUBSTITUTE(SUBSTITUTE("vpa"&amp;$B1641&amp;$C1641&amp;$D1641&amp;$E1641&amp;$F1641,".","_"),"(","_"),")","")</f>
        <v>vpa802_1_3</v>
      </c>
      <c r="AM1641" s="1352">
        <f>M1641</f>
        <v>20</v>
      </c>
      <c r="AN1641" s="1352"/>
      <c r="AO1641" s="1352"/>
      <c r="AP1641" s="1352"/>
      <c r="AQ1641" s="1352"/>
      <c r="AR1641" s="1352"/>
      <c r="AS1641" s="1352"/>
      <c r="AX1641" s="904"/>
      <c r="AY1641" s="1169"/>
    </row>
    <row r="1642" spans="1:51" s="905" customFormat="1" hidden="1" x14ac:dyDescent="0.2">
      <c r="A1642" s="1507">
        <v>8</v>
      </c>
      <c r="B1642" s="1516">
        <v>802.1</v>
      </c>
      <c r="C1642" s="1517" t="s">
        <v>256</v>
      </c>
      <c r="D1642" s="1517"/>
      <c r="E1642" s="1516"/>
      <c r="F1642" s="1511"/>
      <c r="G1642" s="1509" t="str">
        <f t="shared" ca="1" si="126"/>
        <v/>
      </c>
      <c r="H1642" s="1530" t="s">
        <v>3197</v>
      </c>
      <c r="I1642" s="589"/>
      <c r="J1642" s="1072"/>
      <c r="K1642" s="1072"/>
      <c r="L1642" s="1639"/>
      <c r="M1642" s="1624"/>
      <c r="N1642" s="935"/>
      <c r="O1642" s="935"/>
      <c r="X1642" s="1600"/>
      <c r="Y1642" s="1874"/>
      <c r="Z1642" s="1600"/>
      <c r="AL1642" s="1352"/>
      <c r="AM1642" s="1352"/>
      <c r="AN1642" s="1352"/>
      <c r="AO1642" s="1352"/>
      <c r="AP1642" s="1352"/>
      <c r="AQ1642" s="1352"/>
      <c r="AR1642" s="1352"/>
      <c r="AS1642" s="1352"/>
      <c r="AX1642" s="904" t="str">
        <f>'Overview (Verification)'!A58</f>
        <v>Special Design Features:</v>
      </c>
      <c r="AY1642" s="1169">
        <f>IF(LEN('Overview (Verification)'!P58)=0,0,'Overview (Verification)'!P58)</f>
        <v>0</v>
      </c>
    </row>
    <row r="1643" spans="1:51" s="905" customFormat="1" hidden="1" x14ac:dyDescent="0.2">
      <c r="A1643" s="1507">
        <v>8</v>
      </c>
      <c r="B1643" s="1516">
        <v>802.1</v>
      </c>
      <c r="C1643" s="1517" t="s">
        <v>259</v>
      </c>
      <c r="D1643" s="1517"/>
      <c r="E1643" s="1516"/>
      <c r="F1643" s="1511"/>
      <c r="G1643" s="1509" t="str">
        <f t="shared" ca="1" si="126"/>
        <v/>
      </c>
      <c r="H1643" s="1530" t="s">
        <v>3197</v>
      </c>
      <c r="I1643" s="589"/>
      <c r="J1643" s="873" t="s">
        <v>259</v>
      </c>
      <c r="K1643" s="873"/>
      <c r="L1643" s="1634" t="s">
        <v>4524</v>
      </c>
      <c r="M1643" s="1628">
        <v>24</v>
      </c>
      <c r="N1643" s="935"/>
      <c r="O1643" s="935"/>
      <c r="X1643" s="1600"/>
      <c r="Y1643" s="1874"/>
      <c r="Z1643" s="1600"/>
      <c r="AL1643" s="1352" t="str">
        <f>SUBSTITUTE(SUBSTITUTE(SUBSTITUTE("vpa"&amp;$B1643&amp;$C1643&amp;$D1643&amp;$E1643&amp;$F1643,".","_"),"(","_"),")","")</f>
        <v>vpa802_1_4</v>
      </c>
      <c r="AM1643" s="1352">
        <f>M1643</f>
        <v>24</v>
      </c>
      <c r="AN1643" s="1352"/>
      <c r="AO1643" s="1352"/>
      <c r="AP1643" s="1352"/>
      <c r="AQ1643" s="1352"/>
      <c r="AR1643" s="1352"/>
      <c r="AS1643" s="1352"/>
      <c r="AX1643" s="904" t="str">
        <f>'Overview (Verification)'!A59</f>
        <v>Passive Solar:</v>
      </c>
      <c r="AY1643" s="1169">
        <f>IF(LEN('Overview (Verification)'!P59)=0,0,'Overview (Verification)'!P59)</f>
        <v>0</v>
      </c>
    </row>
    <row r="1644" spans="1:51" s="905" customFormat="1" hidden="1" x14ac:dyDescent="0.2">
      <c r="A1644" s="1507">
        <v>8</v>
      </c>
      <c r="B1644" s="1516">
        <v>802.1</v>
      </c>
      <c r="C1644" s="1517" t="s">
        <v>259</v>
      </c>
      <c r="D1644" s="1517"/>
      <c r="E1644" s="1516"/>
      <c r="F1644" s="1511"/>
      <c r="G1644" s="1509" t="str">
        <f t="shared" ca="1" si="126"/>
        <v/>
      </c>
      <c r="H1644" s="1530" t="s">
        <v>3197</v>
      </c>
      <c r="I1644" s="589"/>
      <c r="J1644" s="873"/>
      <c r="K1644" s="873"/>
      <c r="L1644" s="1634"/>
      <c r="M1644" s="1628"/>
      <c r="N1644" s="935"/>
      <c r="O1644" s="935"/>
      <c r="X1644" s="1600"/>
      <c r="Y1644" s="1874"/>
      <c r="Z1644" s="1600"/>
      <c r="AL1644" s="1352"/>
      <c r="AM1644" s="1352"/>
      <c r="AN1644" s="1352"/>
      <c r="AO1644" s="1352"/>
      <c r="AP1644" s="1352"/>
      <c r="AQ1644" s="1352"/>
      <c r="AR1644" s="1352"/>
      <c r="AS1644" s="1352"/>
      <c r="AX1644" s="904" t="str">
        <f>'Overview (Verification)'!A60</f>
        <v>Mass Walls:</v>
      </c>
      <c r="AY1644" s="1169">
        <f>IF(LEN('Overview (Verification)'!P60)=0,0,'Overview (Verification)'!P60)</f>
        <v>0</v>
      </c>
    </row>
    <row r="1645" spans="1:51" s="905" customFormat="1" hidden="1" x14ac:dyDescent="0.2">
      <c r="A1645" s="1507">
        <v>8</v>
      </c>
      <c r="B1645" s="1516">
        <v>802.1</v>
      </c>
      <c r="C1645" s="1517" t="s">
        <v>259</v>
      </c>
      <c r="D1645" s="1517"/>
      <c r="E1645" s="1516"/>
      <c r="F1645" s="1511"/>
      <c r="G1645" s="1509" t="str">
        <f t="shared" ca="1" si="126"/>
        <v/>
      </c>
      <c r="H1645" s="1530" t="s">
        <v>3197</v>
      </c>
      <c r="I1645" s="589"/>
      <c r="J1645" s="873"/>
      <c r="K1645" s="873"/>
      <c r="L1645" s="1634"/>
      <c r="M1645" s="1628"/>
      <c r="N1645" s="935"/>
      <c r="O1645" s="935"/>
      <c r="X1645" s="1600"/>
      <c r="Y1645" s="1874"/>
      <c r="Z1645" s="1600"/>
      <c r="AL1645" s="1352"/>
      <c r="AM1645" s="1352"/>
      <c r="AN1645" s="1352"/>
      <c r="AO1645" s="1352"/>
      <c r="AP1645" s="1352"/>
      <c r="AQ1645" s="1352"/>
      <c r="AR1645" s="1352"/>
      <c r="AS1645" s="1352"/>
      <c r="AX1645" s="904" t="str">
        <f>'Overview (Verification)'!A61</f>
        <v>Radiant/Hydronic:</v>
      </c>
      <c r="AY1645" s="1169">
        <f>IF(LEN('Overview (Verification)'!P61)=0,0,'Overview (Verification)'!P61)</f>
        <v>0</v>
      </c>
    </row>
    <row r="1646" spans="1:51" s="905" customFormat="1" hidden="1" x14ac:dyDescent="0.2">
      <c r="A1646" s="1507">
        <v>8</v>
      </c>
      <c r="B1646" s="1516">
        <v>802.1</v>
      </c>
      <c r="C1646" s="1517" t="s">
        <v>259</v>
      </c>
      <c r="D1646" s="1517" t="s">
        <v>121</v>
      </c>
      <c r="E1646" s="1516"/>
      <c r="F1646" s="1511"/>
      <c r="G1646" s="1509" t="str">
        <f t="shared" ca="1" si="126"/>
        <v/>
      </c>
      <c r="H1646" s="1530" t="s">
        <v>3197</v>
      </c>
      <c r="I1646" s="589"/>
      <c r="J1646" s="873"/>
      <c r="K1646" s="1068" t="s">
        <v>121</v>
      </c>
      <c r="L1646" s="1634" t="s">
        <v>4525</v>
      </c>
      <c r="M1646" s="1623" t="s">
        <v>4658</v>
      </c>
      <c r="N1646" s="935"/>
      <c r="O1646" s="935"/>
      <c r="X1646" s="1600"/>
      <c r="Y1646" s="1874"/>
      <c r="Z1646" s="1600"/>
      <c r="AL1646" s="1352" t="str">
        <f>SUBSTITUTE(SUBSTITUTE(SUBSTITUTE("vpa"&amp;$B1646&amp;$C1646&amp;$D1646&amp;$E1646&amp;$F1646,".","_"),"(","_"),")","")</f>
        <v>vpa802_1_4_a</v>
      </c>
      <c r="AM1646" s="1352" t="str">
        <f>M1646</f>
        <v>4 Additional</v>
      </c>
      <c r="AN1646" s="1352"/>
      <c r="AO1646" s="1352"/>
      <c r="AP1646" s="1352"/>
      <c r="AQ1646" s="1352"/>
      <c r="AR1646" s="1352"/>
      <c r="AS1646" s="1352"/>
      <c r="AX1646" s="904" t="str">
        <f>'Overview (Verification)'!A62</f>
        <v>Tankless Water Heater:</v>
      </c>
      <c r="AY1646" s="1169">
        <f>IF(LEN('Overview (Verification)'!P62)=0,0,'Overview (Verification)'!P62)</f>
        <v>0</v>
      </c>
    </row>
    <row r="1647" spans="1:51" s="905" customFormat="1" hidden="1" x14ac:dyDescent="0.2">
      <c r="A1647" s="1507">
        <v>8</v>
      </c>
      <c r="B1647" s="1516">
        <v>802.1</v>
      </c>
      <c r="C1647" s="1517" t="s">
        <v>259</v>
      </c>
      <c r="D1647" s="1517" t="s">
        <v>121</v>
      </c>
      <c r="E1647" s="1516"/>
      <c r="F1647" s="1511"/>
      <c r="G1647" s="1509" t="str">
        <f t="shared" ca="1" si="126"/>
        <v/>
      </c>
      <c r="H1647" s="1530" t="s">
        <v>3197</v>
      </c>
      <c r="I1647" s="589"/>
      <c r="J1647" s="1072"/>
      <c r="K1647" s="1072"/>
      <c r="L1647" s="1639"/>
      <c r="M1647" s="1624"/>
      <c r="N1647" s="935"/>
      <c r="O1647" s="935"/>
      <c r="X1647" s="1600"/>
      <c r="Y1647" s="1874"/>
      <c r="Z1647" s="1600"/>
      <c r="AL1647" s="1352"/>
      <c r="AM1647" s="1352"/>
      <c r="AN1647" s="1352"/>
      <c r="AO1647" s="1352"/>
      <c r="AP1647" s="1352"/>
      <c r="AQ1647" s="1352"/>
      <c r="AR1647" s="1352"/>
      <c r="AS1647" s="1352"/>
      <c r="AX1647" s="904" t="str">
        <f>'Overview (Verification)'!A63</f>
        <v>Composting Toilet:</v>
      </c>
      <c r="AY1647" s="1169">
        <f>IF(LEN('Overview (Verification)'!P63)=0,0,'Overview (Verification)'!P63)</f>
        <v>0</v>
      </c>
    </row>
    <row r="1648" spans="1:51" s="905" customFormat="1" hidden="1" x14ac:dyDescent="0.2">
      <c r="A1648" s="1507">
        <v>8</v>
      </c>
      <c r="B1648" s="1516">
        <v>802.1</v>
      </c>
      <c r="C1648" s="1517" t="s">
        <v>263</v>
      </c>
      <c r="D1648" s="1517"/>
      <c r="E1648" s="1516"/>
      <c r="F1648" s="1511"/>
      <c r="G1648" s="1509" t="str">
        <f t="shared" ca="1" si="126"/>
        <v/>
      </c>
      <c r="H1648" s="1530" t="s">
        <v>3197</v>
      </c>
      <c r="I1648" s="589"/>
      <c r="J1648" s="1073" t="s">
        <v>263</v>
      </c>
      <c r="K1648" s="1073"/>
      <c r="L1648" s="1633" t="s">
        <v>4526</v>
      </c>
      <c r="M1648" s="1623">
        <v>9</v>
      </c>
      <c r="N1648" s="908"/>
      <c r="O1648" s="908"/>
      <c r="X1648" s="1600"/>
      <c r="Y1648" s="1874" t="str">
        <f>IF(LEN('11.800'!X62)=0,"None",'11.800'!X62)</f>
        <v>None</v>
      </c>
      <c r="Z1648" s="1600"/>
      <c r="AL1648" s="1352" t="str">
        <f>SUBSTITUTE(SUBSTITUTE(SUBSTITUTE("vpa"&amp;$B1648&amp;$C1648&amp;$D1648&amp;$E1648&amp;$F1648,".","_"),"(","_"),")","")</f>
        <v>vpa802_1_5</v>
      </c>
      <c r="AM1648" s="1352">
        <f>M1648</f>
        <v>9</v>
      </c>
      <c r="AN1648" s="1352"/>
      <c r="AO1648" s="1352"/>
      <c r="AP1648" s="1352"/>
      <c r="AQ1648" s="1352"/>
      <c r="AR1648" s="1352" t="str">
        <f>SUBSTITUTE(SUBSTITUTE(SUBSTITUTE("vnt"&amp;$B1648&amp;$C1648&amp;$D1648&amp;$E1648&amp;$F1648,".","_"),"(","_"),")","")</f>
        <v>vnt802_1_5</v>
      </c>
      <c r="AS1648" s="1352" t="str">
        <f>IF(LEN(X1648)=0,"",X1648)</f>
        <v/>
      </c>
      <c r="AX1648" s="904"/>
      <c r="AY1648" s="1169"/>
    </row>
    <row r="1649" spans="1:51" s="905" customFormat="1" hidden="1" x14ac:dyDescent="0.2">
      <c r="A1649" s="1507">
        <v>8</v>
      </c>
      <c r="B1649" s="1516">
        <v>802.1</v>
      </c>
      <c r="C1649" s="1517" t="s">
        <v>263</v>
      </c>
      <c r="D1649" s="1517"/>
      <c r="E1649" s="1516"/>
      <c r="F1649" s="1511"/>
      <c r="G1649" s="1509" t="str">
        <f t="shared" ca="1" si="126"/>
        <v/>
      </c>
      <c r="H1649" s="1530" t="s">
        <v>3197</v>
      </c>
      <c r="I1649" s="589"/>
      <c r="J1649" s="1068"/>
      <c r="K1649" s="1068"/>
      <c r="L1649" s="1634"/>
      <c r="M1649" s="1623"/>
      <c r="N1649" s="908"/>
      <c r="O1649" s="908"/>
      <c r="X1649" s="1600"/>
      <c r="Y1649" s="1874"/>
      <c r="Z1649" s="1600"/>
      <c r="AL1649" s="1352"/>
      <c r="AM1649" s="1352"/>
      <c r="AN1649" s="1352"/>
      <c r="AO1649" s="1352"/>
      <c r="AP1649" s="1352"/>
      <c r="AQ1649" s="1352"/>
      <c r="AR1649" s="1352"/>
      <c r="AS1649" s="1352"/>
      <c r="AX1649" s="904" t="str">
        <f>'Overview (Verification)'!A65</f>
        <v>Local Energy Code:</v>
      </c>
      <c r="AY1649" s="1169" t="str">
        <f>IF(LEN('Overview (Verification)'!P65)=0,0,'Overview (Verification)'!P65)</f>
        <v>2015 IECC</v>
      </c>
    </row>
    <row r="1650" spans="1:51" s="905" customFormat="1" hidden="1" x14ac:dyDescent="0.2">
      <c r="A1650" s="1507">
        <v>8</v>
      </c>
      <c r="B1650" s="1516">
        <v>802.1</v>
      </c>
      <c r="C1650" s="1517" t="s">
        <v>263</v>
      </c>
      <c r="D1650" s="1517"/>
      <c r="E1650" s="1516"/>
      <c r="F1650" s="1511"/>
      <c r="G1650" s="1509" t="str">
        <f t="shared" ca="1" si="126"/>
        <v/>
      </c>
      <c r="H1650" s="1530" t="s">
        <v>3197</v>
      </c>
      <c r="I1650" s="589"/>
      <c r="J1650" s="1068"/>
      <c r="K1650" s="1068"/>
      <c r="L1650" s="1634"/>
      <c r="M1650" s="1623"/>
      <c r="N1650" s="908"/>
      <c r="O1650" s="908"/>
      <c r="X1650" s="1600"/>
      <c r="Y1650" s="1874"/>
      <c r="Z1650" s="1600"/>
      <c r="AL1650" s="1352"/>
      <c r="AM1650" s="1352"/>
      <c r="AN1650" s="1352"/>
      <c r="AO1650" s="1352"/>
      <c r="AP1650" s="1352"/>
      <c r="AQ1650" s="1352"/>
      <c r="AR1650" s="1352"/>
      <c r="AS1650" s="1352"/>
      <c r="AX1650" s="904" t="str">
        <f>'Overview (Verification)'!A66</f>
        <v>Local Building Code:</v>
      </c>
      <c r="AY1650" s="1169" t="str">
        <f>IF(LEN('Overview (Verification)'!P66)=0,0,'Overview (Verification)'!P66)</f>
        <v>2018 IBC</v>
      </c>
    </row>
    <row r="1651" spans="1:51" s="905" customFormat="1" hidden="1" x14ac:dyDescent="0.2">
      <c r="A1651" s="1507">
        <v>8</v>
      </c>
      <c r="B1651" s="1516">
        <v>802.1</v>
      </c>
      <c r="C1651" s="1517" t="s">
        <v>263</v>
      </c>
      <c r="D1651" s="1517"/>
      <c r="E1651" s="1516"/>
      <c r="F1651" s="1511"/>
      <c r="G1651" s="1509" t="str">
        <f t="shared" ca="1" si="126"/>
        <v/>
      </c>
      <c r="H1651" s="1530" t="s">
        <v>3197</v>
      </c>
      <c r="I1651" s="589"/>
      <c r="J1651" s="1068"/>
      <c r="K1651" s="1068"/>
      <c r="L1651" s="1634"/>
      <c r="M1651" s="1623"/>
      <c r="N1651" s="908"/>
      <c r="O1651" s="908"/>
      <c r="X1651" s="1600"/>
      <c r="Y1651" s="1874"/>
      <c r="Z1651" s="1600"/>
      <c r="AL1651" s="1352"/>
      <c r="AM1651" s="1352"/>
      <c r="AN1651" s="1352"/>
      <c r="AO1651" s="1352"/>
      <c r="AP1651" s="1352"/>
      <c r="AQ1651" s="1352"/>
      <c r="AR1651" s="1352"/>
      <c r="AS1651" s="1352"/>
    </row>
    <row r="1652" spans="1:51" s="905" customFormat="1" hidden="1" x14ac:dyDescent="0.2">
      <c r="A1652" s="1507">
        <v>8</v>
      </c>
      <c r="B1652" s="1516">
        <v>802.1</v>
      </c>
      <c r="C1652" s="1517" t="s">
        <v>263</v>
      </c>
      <c r="D1652" s="1517"/>
      <c r="E1652" s="1516"/>
      <c r="F1652" s="1511"/>
      <c r="G1652" s="1509" t="str">
        <f t="shared" ca="1" si="126"/>
        <v/>
      </c>
      <c r="H1652" s="1530" t="s">
        <v>3197</v>
      </c>
      <c r="I1652" s="589"/>
      <c r="J1652" s="1072"/>
      <c r="K1652" s="1072"/>
      <c r="L1652" s="1639"/>
      <c r="M1652" s="1624"/>
      <c r="N1652" s="909"/>
      <c r="O1652" s="909"/>
      <c r="X1652" s="1600"/>
      <c r="Y1652" s="1874"/>
      <c r="Z1652" s="1600"/>
      <c r="AL1652" s="1352"/>
      <c r="AM1652" s="1352"/>
      <c r="AN1652" s="1352"/>
      <c r="AO1652" s="1352"/>
      <c r="AP1652" s="1352"/>
      <c r="AQ1652" s="1352"/>
      <c r="AR1652" s="1352"/>
      <c r="AS1652" s="1352"/>
    </row>
    <row r="1653" spans="1:51" s="905" customFormat="1" hidden="1" x14ac:dyDescent="0.2">
      <c r="A1653" s="1507">
        <v>8</v>
      </c>
      <c r="B1653" s="1516">
        <v>802.1</v>
      </c>
      <c r="C1653" s="1517" t="s">
        <v>264</v>
      </c>
      <c r="D1653" s="1517"/>
      <c r="E1653" s="1516"/>
      <c r="F1653" s="1511"/>
      <c r="G1653" s="1509" t="str">
        <f ca="1">IF(N1653&gt;0,"P","")</f>
        <v/>
      </c>
      <c r="H1653" s="1530" t="s">
        <v>3197</v>
      </c>
      <c r="I1653" s="590"/>
      <c r="J1653" s="1068" t="s">
        <v>264</v>
      </c>
      <c r="K1653" s="1068"/>
      <c r="L1653" s="1634" t="s">
        <v>4527</v>
      </c>
      <c r="M1653" s="1623" t="s">
        <v>4658</v>
      </c>
      <c r="N1653" s="1637">
        <f ca="1">'11.800'!O67</f>
        <v>0</v>
      </c>
      <c r="O1653" s="1619">
        <f ca="1">4*S1653*W1653</f>
        <v>0</v>
      </c>
      <c r="P1653" s="991" t="b">
        <v>1</v>
      </c>
      <c r="Q1653" s="991" t="b">
        <v>1</v>
      </c>
      <c r="R1653" s="991" t="b">
        <v>0</v>
      </c>
      <c r="S1653" s="991" t="b">
        <f ca="1">AND(S1627,NOT(W1627=""),S1600=1)</f>
        <v>0</v>
      </c>
      <c r="T1653" s="991" t="b">
        <f ca="1">IF(AND(NOT(S1653),W1653=TRUE),TRUE,FALSE)</f>
        <v>0</v>
      </c>
      <c r="U1653" s="991"/>
      <c r="W1653" s="333"/>
      <c r="X1653" s="1601"/>
      <c r="Y1653" s="1881" t="str">
        <f>IF(LEN('11.800'!X67)=0,"None",'11.800'!X67)</f>
        <v>None</v>
      </c>
      <c r="Z1653" s="1600"/>
      <c r="AC1653" s="1150" t="b">
        <f ca="1">OR(AD1653:AE1653)</f>
        <v>0</v>
      </c>
      <c r="AD1653" s="1150" t="b">
        <f ca="1">T1653</f>
        <v>0</v>
      </c>
      <c r="AL1653" s="1352" t="str">
        <f>SUBSTITUTE(SUBSTITUTE(SUBSTITUTE("vpa"&amp;$B1653&amp;$C1653&amp;$D1653&amp;$E1653&amp;$F1653,".","_"),"(","_"),")","")</f>
        <v>vpa802_1_6</v>
      </c>
      <c r="AM1653" s="1352" t="str">
        <f>M1653</f>
        <v>4 Additional</v>
      </c>
      <c r="AN1653" s="1352" t="str">
        <f>SUBSTITUTE(SUBSTITUTE(SUBSTITUTE("vpc"&amp;$B1653&amp;$C1653&amp;$D1653&amp;$E1653&amp;$F1653,".","_"),"(","_"),")","")</f>
        <v>vpc802_1_6</v>
      </c>
      <c r="AO1653" s="1352">
        <f ca="1">O1653</f>
        <v>0</v>
      </c>
      <c r="AP1653" s="1352" t="str">
        <f>SUBSTITUTE(SUBSTITUTE(SUBSTITUTE("vch"&amp;$B1653&amp;$C1653&amp;$D1653&amp;$E1653&amp;$F1653,".","_"),"(","_"),")","")</f>
        <v>vch802_1_6</v>
      </c>
      <c r="AQ1653" s="1352" t="str">
        <f>IF(LEN(W1653)=0,"",W1653)</f>
        <v/>
      </c>
      <c r="AR1653" s="1352" t="str">
        <f>SUBSTITUTE(SUBSTITUTE(SUBSTITUTE("vnt"&amp;$B1653&amp;$C1653&amp;$D1653&amp;$E1653&amp;$F1653,".","_"),"(","_"),")","")</f>
        <v>vnt802_1_6</v>
      </c>
      <c r="AS1653" s="1352" t="str">
        <f>IF(LEN(X1653)=0,"",X1653)</f>
        <v/>
      </c>
    </row>
    <row r="1654" spans="1:51" s="905" customFormat="1" hidden="1" x14ac:dyDescent="0.2">
      <c r="A1654" s="1507">
        <v>8</v>
      </c>
      <c r="B1654" s="1516">
        <v>802.1</v>
      </c>
      <c r="C1654" s="1517" t="s">
        <v>264</v>
      </c>
      <c r="D1654" s="1517"/>
      <c r="E1654" s="1516"/>
      <c r="F1654" s="1511"/>
      <c r="G1654" s="1509" t="str">
        <f ca="1">G1653</f>
        <v/>
      </c>
      <c r="H1654" s="1530" t="s">
        <v>3197</v>
      </c>
      <c r="I1654" s="590"/>
      <c r="J1654" s="1068"/>
      <c r="K1654" s="1068"/>
      <c r="L1654" s="1634"/>
      <c r="M1654" s="1623"/>
      <c r="N1654" s="1619"/>
      <c r="O1654" s="1619"/>
      <c r="P1654" s="991"/>
      <c r="Q1654" s="991"/>
      <c r="R1654" s="991"/>
      <c r="S1654" s="991"/>
      <c r="T1654" s="991"/>
      <c r="U1654" s="991"/>
      <c r="W1654" s="1135"/>
      <c r="X1654" s="1601"/>
      <c r="Y1654" s="1881"/>
      <c r="Z1654" s="1600"/>
      <c r="AC1654" s="1150"/>
      <c r="AD1654" s="1150"/>
      <c r="AL1654" s="1352"/>
      <c r="AM1654" s="1352"/>
      <c r="AN1654" s="1352"/>
      <c r="AO1654" s="1352"/>
      <c r="AP1654" s="1352"/>
      <c r="AQ1654" s="1352"/>
      <c r="AR1654" s="1352"/>
      <c r="AS1654" s="1352"/>
    </row>
    <row r="1655" spans="1:51" s="905" customFormat="1" ht="16" hidden="1" thickBot="1" x14ac:dyDescent="0.25">
      <c r="A1655" s="1507">
        <v>8</v>
      </c>
      <c r="B1655" s="1516">
        <v>802.1</v>
      </c>
      <c r="C1655" s="1517" t="s">
        <v>264</v>
      </c>
      <c r="D1655" s="1517"/>
      <c r="E1655" s="1516"/>
      <c r="F1655" s="1511"/>
      <c r="G1655" s="1509" t="str">
        <f ca="1">G1654</f>
        <v/>
      </c>
      <c r="H1655" s="1530" t="s">
        <v>3197</v>
      </c>
      <c r="I1655" s="594"/>
      <c r="J1655" s="1069"/>
      <c r="K1655" s="1069"/>
      <c r="L1655" s="1635"/>
      <c r="M1655" s="1627"/>
      <c r="N1655" s="1638"/>
      <c r="O1655" s="1638"/>
      <c r="P1655" s="100"/>
      <c r="Q1655" s="100"/>
      <c r="R1655" s="100"/>
      <c r="S1655" s="100"/>
      <c r="T1655" s="100"/>
      <c r="U1655" s="100"/>
      <c r="W1655" s="100"/>
      <c r="X1655" s="1602"/>
      <c r="Y1655" s="1882"/>
      <c r="Z1655" s="1602"/>
      <c r="AC1655" s="1150"/>
      <c r="AD1655" s="1150"/>
      <c r="AL1655" s="1352"/>
      <c r="AM1655" s="1352"/>
      <c r="AN1655" s="1352"/>
      <c r="AO1655" s="1352"/>
      <c r="AP1655" s="1352"/>
      <c r="AQ1655" s="1352"/>
      <c r="AR1655" s="1352"/>
      <c r="AS1655" s="1352"/>
    </row>
    <row r="1656" spans="1:51" s="905" customFormat="1" x14ac:dyDescent="0.2">
      <c r="A1656" s="1507">
        <v>8</v>
      </c>
      <c r="B1656" s="1516">
        <v>802.2</v>
      </c>
      <c r="C1656" s="1517"/>
      <c r="D1656" s="1517"/>
      <c r="E1656" s="1516"/>
      <c r="F1656" s="1511"/>
      <c r="G1656" s="1513" t="str">
        <f ca="1">IF(COUNTIF(G1658:G1659,"P")&gt;0,"P","")</f>
        <v>P</v>
      </c>
      <c r="H1656" s="1530" t="s">
        <v>3199</v>
      </c>
      <c r="I1656" s="589" t="s">
        <v>4528</v>
      </c>
      <c r="J1656" s="873"/>
      <c r="K1656" s="873"/>
      <c r="L1656" s="1687" t="s">
        <v>4529</v>
      </c>
      <c r="M1656" s="911"/>
      <c r="N1656" s="935"/>
      <c r="O1656" s="935"/>
      <c r="Y1656" s="1198"/>
      <c r="AC1656" s="1150"/>
      <c r="AD1656" s="1150"/>
      <c r="AL1656" s="1352"/>
      <c r="AM1656" s="1352"/>
      <c r="AN1656" s="1352"/>
      <c r="AO1656" s="1352"/>
      <c r="AP1656" s="1352"/>
      <c r="AQ1656" s="1352"/>
      <c r="AR1656" s="1352"/>
      <c r="AS1656" s="1352"/>
    </row>
    <row r="1657" spans="1:51" s="905" customFormat="1" x14ac:dyDescent="0.2">
      <c r="A1657" s="1507">
        <v>8</v>
      </c>
      <c r="B1657" s="1516">
        <v>802.2</v>
      </c>
      <c r="C1657" s="1517"/>
      <c r="D1657" s="1517"/>
      <c r="E1657" s="1516"/>
      <c r="F1657" s="1511"/>
      <c r="G1657" s="1509" t="str">
        <f ca="1">G1656</f>
        <v>P</v>
      </c>
      <c r="H1657" s="1530" t="s">
        <v>3199</v>
      </c>
      <c r="I1657" s="589"/>
      <c r="J1657" s="873"/>
      <c r="K1657" s="873"/>
      <c r="L1657" s="1687"/>
      <c r="M1657" s="911"/>
      <c r="N1657" s="935"/>
      <c r="O1657" s="935"/>
      <c r="Y1657" s="1198"/>
      <c r="AC1657" s="1150"/>
      <c r="AD1657" s="1150"/>
      <c r="AL1657" s="1352"/>
      <c r="AM1657" s="1352"/>
      <c r="AN1657" s="1352"/>
      <c r="AO1657" s="1352"/>
      <c r="AP1657" s="1352"/>
      <c r="AQ1657" s="1352"/>
      <c r="AR1657" s="1352"/>
      <c r="AS1657" s="1352"/>
    </row>
    <row r="1658" spans="1:51" s="905" customFormat="1" ht="16" x14ac:dyDescent="0.2">
      <c r="A1658" s="1507">
        <v>8</v>
      </c>
      <c r="B1658" s="1516">
        <v>802.2</v>
      </c>
      <c r="C1658" s="1517" t="s">
        <v>254</v>
      </c>
      <c r="D1658" s="1517"/>
      <c r="E1658" s="1516"/>
      <c r="F1658" s="1511"/>
      <c r="G1658" s="1509" t="str">
        <f ca="1">IF(N1658&gt;0,"P","")</f>
        <v>P</v>
      </c>
      <c r="H1658" s="1530" t="s">
        <v>3199</v>
      </c>
      <c r="I1658" s="589"/>
      <c r="J1658" s="1072" t="s">
        <v>254</v>
      </c>
      <c r="K1658" s="1072"/>
      <c r="L1658" s="923" t="s">
        <v>5082</v>
      </c>
      <c r="M1658" s="937">
        <v>2</v>
      </c>
      <c r="N1658" s="909">
        <f ca="1">'11.800'!O72</f>
        <v>2</v>
      </c>
      <c r="O1658" s="909">
        <f ca="1">2*S1658*W1658</f>
        <v>0</v>
      </c>
      <c r="P1658" s="991" t="b">
        <v>0</v>
      </c>
      <c r="Q1658" s="905" t="b">
        <v>1</v>
      </c>
      <c r="R1658" s="905" t="b">
        <v>0</v>
      </c>
      <c r="S1658" s="905" t="b">
        <f ca="1">S1600=1</f>
        <v>1</v>
      </c>
      <c r="T1658" s="991" t="b">
        <f ca="1">IF(AND(NOT(S1658),W1658=TRUE),TRUE,FALSE)</f>
        <v>0</v>
      </c>
      <c r="U1658" s="991"/>
      <c r="W1658" s="27" t="b">
        <v>0</v>
      </c>
      <c r="X1658" s="1123"/>
      <c r="Y1658" s="1210" t="str">
        <f>IF(LEN('11.800'!X72)=0,"None",'11.800'!X72)</f>
        <v>None</v>
      </c>
      <c r="Z1658" s="1123"/>
      <c r="AC1658" s="1150" t="b">
        <f ca="1">OR(AD1658:AE1658)</f>
        <v>0</v>
      </c>
      <c r="AD1658" s="1150" t="b">
        <f ca="1">T1658</f>
        <v>0</v>
      </c>
      <c r="AL1658" s="1352" t="str">
        <f>SUBSTITUTE(SUBSTITUTE(SUBSTITUTE("vpa"&amp;$B1658&amp;$C1658&amp;$D1658&amp;$E1658&amp;$F1658,".","_"),"(","_"),")","")</f>
        <v>vpa802_2_1</v>
      </c>
      <c r="AM1658" s="1352">
        <f>M1658</f>
        <v>2</v>
      </c>
      <c r="AN1658" s="1352" t="str">
        <f>SUBSTITUTE(SUBSTITUTE(SUBSTITUTE("vpc"&amp;$B1658&amp;$C1658&amp;$D1658&amp;$E1658&amp;$F1658,".","_"),"(","_"),")","")</f>
        <v>vpc802_2_1</v>
      </c>
      <c r="AO1658" s="1352">
        <f ca="1">O1658</f>
        <v>0</v>
      </c>
      <c r="AP1658" s="1352" t="str">
        <f>SUBSTITUTE(SUBSTITUTE(SUBSTITUTE("vch"&amp;$B1658&amp;$C1658&amp;$D1658&amp;$E1658&amp;$F1658,".","_"),"(","_"),")","")</f>
        <v>vch802_2_1</v>
      </c>
      <c r="AQ1658" s="1352" t="b">
        <f>IF(LEN(W1658)=0,"",W1658)</f>
        <v>0</v>
      </c>
      <c r="AR1658" s="1352" t="str">
        <f>SUBSTITUTE(SUBSTITUTE(SUBSTITUTE("vnt"&amp;$B1658&amp;$C1658&amp;$D1658&amp;$E1658&amp;$F1658,".","_"),"(","_"),")","")</f>
        <v>vnt802_2_1</v>
      </c>
      <c r="AS1658" s="1352" t="str">
        <f>IF(LEN(X1658)=0,"",X1658)</f>
        <v/>
      </c>
    </row>
    <row r="1659" spans="1:51" s="905" customFormat="1" hidden="1" x14ac:dyDescent="0.2">
      <c r="A1659" s="1507">
        <v>8</v>
      </c>
      <c r="B1659" s="1516">
        <v>802.2</v>
      </c>
      <c r="C1659" s="1517" t="s">
        <v>255</v>
      </c>
      <c r="D1659" s="1517"/>
      <c r="E1659" s="1516"/>
      <c r="F1659" s="1511"/>
      <c r="G1659" s="1509" t="str">
        <f ca="1">IF(N1659&gt;0,"P","")</f>
        <v/>
      </c>
      <c r="H1659" s="1530" t="s">
        <v>3199</v>
      </c>
      <c r="I1659" s="590"/>
      <c r="J1659" s="1074" t="s">
        <v>255</v>
      </c>
      <c r="K1659" s="1074"/>
      <c r="L1659" s="1075" t="s">
        <v>4530</v>
      </c>
      <c r="M1659" s="937">
        <v>13</v>
      </c>
      <c r="N1659" s="1637">
        <f ca="1">'11.800'!O73</f>
        <v>0</v>
      </c>
      <c r="O1659" s="1619">
        <f ca="1">IFERROR(INDEX({13,18},MATCH(W1659,INDIRECT(U1659),0)),0)</f>
        <v>0</v>
      </c>
      <c r="P1659" s="991" t="b">
        <v>0</v>
      </c>
      <c r="Q1659" s="991" t="b">
        <v>1</v>
      </c>
      <c r="R1659" s="991" t="b">
        <v>0</v>
      </c>
      <c r="S1659" s="991" t="b">
        <f ca="1">S1600=1</f>
        <v>1</v>
      </c>
      <c r="T1659" s="991" t="b">
        <f ca="1">IF(AND(NOT(S1659),LEN(W1659)&gt;0),TRUE,FALSE)</f>
        <v>0</v>
      </c>
      <c r="U1659" s="991" t="str">
        <f>SUBSTITUTE(SUBSTITUTE(SUBSTITUTE("dd"&amp;B1659&amp;C1659&amp;D1659&amp;E1659&amp;F1659,".","_"),"(","_"),")","")</f>
        <v>dd802_2_2</v>
      </c>
      <c r="W1659" s="110"/>
      <c r="X1659" s="1601"/>
      <c r="Y1659" s="1881" t="str">
        <f>IF(LEN('11.800'!X73)=0,"None",'11.800'!X73)</f>
        <v>None</v>
      </c>
      <c r="Z1659" s="1600"/>
      <c r="AC1659" s="1150" t="b">
        <f ca="1">OR(AD1659:AE1659)</f>
        <v>0</v>
      </c>
      <c r="AD1659" s="1150" t="b">
        <f ca="1">T1659</f>
        <v>0</v>
      </c>
      <c r="AL1659" s="1352" t="str">
        <f>SUBSTITUTE(SUBSTITUTE(SUBSTITUTE("vpa"&amp;$B1659&amp;$C1659&amp;$D1659&amp;$E1659&amp;$F1659,".","_"),"(","_"),")","")</f>
        <v>vpa802_2_2</v>
      </c>
      <c r="AM1659" s="1352">
        <f>M1659</f>
        <v>13</v>
      </c>
      <c r="AN1659" s="1352" t="str">
        <f>SUBSTITUTE(SUBSTITUTE(SUBSTITUTE("vpc"&amp;$B1659&amp;$C1659&amp;$D1659&amp;$E1659&amp;$F1659,".","_"),"(","_"),")","")</f>
        <v>vpc802_2_2</v>
      </c>
      <c r="AO1659" s="1352">
        <f ca="1">O1659</f>
        <v>0</v>
      </c>
      <c r="AP1659" s="1352" t="str">
        <f>SUBSTITUTE(SUBSTITUTE(SUBSTITUTE("vch"&amp;$B1659&amp;$C1659&amp;$D1659&amp;$E1659&amp;$F1659,".","_"),"(","_"),")","")</f>
        <v>vch802_2_2</v>
      </c>
      <c r="AQ1659" s="1352" t="str">
        <f>IF(LEN(W1659)=0,"",W1659)</f>
        <v/>
      </c>
      <c r="AR1659" s="1352" t="str">
        <f>SUBSTITUTE(SUBSTITUTE(SUBSTITUTE("vnt"&amp;$B1659&amp;$C1659&amp;$D1659&amp;$E1659&amp;$F1659,".","_"),"(","_"),")","")</f>
        <v>vnt802_2_2</v>
      </c>
      <c r="AS1659" s="1352" t="str">
        <f>IF(LEN(X1659)=0,"",X1659)</f>
        <v/>
      </c>
    </row>
    <row r="1660" spans="1:51" s="905" customFormat="1" hidden="1" x14ac:dyDescent="0.2">
      <c r="A1660" s="1507">
        <v>8</v>
      </c>
      <c r="B1660" s="1516">
        <v>802.2</v>
      </c>
      <c r="C1660" s="1517" t="s">
        <v>256</v>
      </c>
      <c r="D1660" s="1517"/>
      <c r="E1660" s="1516"/>
      <c r="F1660" s="1511"/>
      <c r="G1660" s="1509" t="str">
        <f ca="1">G1659</f>
        <v/>
      </c>
      <c r="H1660" s="1530" t="s">
        <v>3199</v>
      </c>
      <c r="I1660" s="590"/>
      <c r="J1660" s="1068" t="s">
        <v>256</v>
      </c>
      <c r="K1660" s="1068"/>
      <c r="L1660" s="917" t="s">
        <v>4531</v>
      </c>
      <c r="M1660" s="913">
        <v>18</v>
      </c>
      <c r="N1660" s="1619"/>
      <c r="O1660" s="1619"/>
      <c r="P1660" s="991"/>
      <c r="Q1660" s="991"/>
      <c r="R1660" s="991"/>
      <c r="S1660" s="991"/>
      <c r="T1660" s="991"/>
      <c r="U1660" s="991"/>
      <c r="W1660" s="1135"/>
      <c r="X1660" s="1601"/>
      <c r="Y1660" s="1881"/>
      <c r="Z1660" s="1600"/>
      <c r="AC1660" s="1150"/>
      <c r="AD1660" s="1150"/>
      <c r="AL1660" s="1352" t="str">
        <f>SUBSTITUTE(SUBSTITUTE(SUBSTITUTE("vpa"&amp;$B1660&amp;$C1660&amp;$D1660&amp;$E1660&amp;$F1660,".","_"),"(","_"),")","")</f>
        <v>vpa802_2_3</v>
      </c>
      <c r="AM1660" s="1352">
        <f>M1660</f>
        <v>18</v>
      </c>
      <c r="AN1660" s="1352"/>
      <c r="AO1660" s="1352"/>
      <c r="AP1660" s="1352"/>
      <c r="AQ1660" s="1352"/>
      <c r="AR1660" s="1352"/>
      <c r="AS1660" s="1352"/>
    </row>
    <row r="1661" spans="1:51" s="905" customFormat="1" hidden="1" x14ac:dyDescent="0.2">
      <c r="A1661" s="1507">
        <v>8</v>
      </c>
      <c r="B1661" s="1516">
        <v>802.2</v>
      </c>
      <c r="C1661" s="1517"/>
      <c r="D1661" s="1517"/>
      <c r="E1661" s="1516"/>
      <c r="F1661" s="1511"/>
      <c r="G1661" s="1509" t="str">
        <f ca="1">G1660</f>
        <v/>
      </c>
      <c r="H1661" s="1530" t="s">
        <v>3199</v>
      </c>
      <c r="I1661" s="590"/>
      <c r="J1661" s="1068"/>
      <c r="K1661" s="1068"/>
      <c r="L1661" s="1730" t="s">
        <v>4861</v>
      </c>
      <c r="M1661" s="913"/>
      <c r="N1661" s="908"/>
      <c r="O1661" s="908"/>
      <c r="P1661" s="991"/>
      <c r="Q1661" s="991"/>
      <c r="R1661" s="991"/>
      <c r="S1661" s="991"/>
      <c r="T1661" s="991"/>
      <c r="U1661" s="991"/>
      <c r="W1661" s="1135"/>
      <c r="X1661" s="1601"/>
      <c r="Y1661" s="1881"/>
      <c r="Z1661" s="1600"/>
      <c r="AC1661" s="1150"/>
      <c r="AD1661" s="1150"/>
      <c r="AL1661" s="1352"/>
      <c r="AM1661" s="1352"/>
      <c r="AN1661" s="1352"/>
      <c r="AO1661" s="1352"/>
      <c r="AP1661" s="1352"/>
      <c r="AQ1661" s="1352"/>
      <c r="AR1661" s="1352"/>
      <c r="AS1661" s="1352"/>
    </row>
    <row r="1662" spans="1:51" s="905" customFormat="1" ht="16" hidden="1" thickBot="1" x14ac:dyDescent="0.25">
      <c r="A1662" s="1507">
        <v>8</v>
      </c>
      <c r="B1662" s="1516">
        <v>802.2</v>
      </c>
      <c r="C1662" s="1517"/>
      <c r="D1662" s="1517"/>
      <c r="E1662" s="1516"/>
      <c r="F1662" s="1511"/>
      <c r="G1662" s="1509" t="str">
        <f ca="1">G1661</f>
        <v/>
      </c>
      <c r="H1662" s="1530" t="s">
        <v>3199</v>
      </c>
      <c r="I1662" s="594"/>
      <c r="J1662" s="1069"/>
      <c r="K1662" s="1069"/>
      <c r="L1662" s="1739"/>
      <c r="M1662" s="914"/>
      <c r="N1662" s="922"/>
      <c r="O1662" s="922"/>
      <c r="P1662" s="100"/>
      <c r="Q1662" s="100"/>
      <c r="R1662" s="100"/>
      <c r="S1662" s="100"/>
      <c r="T1662" s="100"/>
      <c r="U1662" s="100"/>
      <c r="W1662" s="100"/>
      <c r="X1662" s="1602"/>
      <c r="Y1662" s="1882"/>
      <c r="Z1662" s="1602"/>
      <c r="AC1662" s="1150"/>
      <c r="AD1662" s="1150"/>
      <c r="AL1662" s="1352"/>
      <c r="AM1662" s="1352"/>
      <c r="AN1662" s="1352"/>
      <c r="AO1662" s="1352"/>
      <c r="AP1662" s="1352"/>
      <c r="AQ1662" s="1352"/>
      <c r="AR1662" s="1352"/>
      <c r="AS1662" s="1352"/>
    </row>
    <row r="1663" spans="1:51" s="905" customFormat="1" hidden="1" x14ac:dyDescent="0.2">
      <c r="A1663" s="1507">
        <v>8</v>
      </c>
      <c r="B1663" s="1516">
        <v>802.3</v>
      </c>
      <c r="C1663" s="1517"/>
      <c r="D1663" s="1517"/>
      <c r="E1663" s="1516"/>
      <c r="F1663" s="1511"/>
      <c r="G1663" s="1513" t="str">
        <f ca="1">IF(COUNTIF(G1664:G1671,"P")&gt;0,"P","")</f>
        <v/>
      </c>
      <c r="H1663" s="1530" t="s">
        <v>3199</v>
      </c>
      <c r="I1663" s="589" t="s">
        <v>4532</v>
      </c>
      <c r="J1663" s="873"/>
      <c r="K1663" s="873"/>
      <c r="L1663" s="946" t="s">
        <v>4533</v>
      </c>
      <c r="M1663" s="913"/>
      <c r="N1663" s="908"/>
      <c r="O1663" s="908"/>
      <c r="P1663" s="991"/>
      <c r="Q1663" s="991"/>
      <c r="R1663" s="991"/>
      <c r="S1663" s="991"/>
      <c r="T1663" s="991"/>
      <c r="U1663" s="991"/>
      <c r="Y1663" s="1198"/>
      <c r="Z1663" s="1122"/>
      <c r="AC1663" s="1150"/>
      <c r="AD1663" s="1150"/>
      <c r="AL1663" s="1352"/>
      <c r="AM1663" s="1352"/>
      <c r="AN1663" s="1352"/>
      <c r="AO1663" s="1352"/>
      <c r="AP1663" s="1352"/>
      <c r="AQ1663" s="1352"/>
      <c r="AR1663" s="1352"/>
      <c r="AS1663" s="1352"/>
    </row>
    <row r="1664" spans="1:51" s="905" customFormat="1" hidden="1" x14ac:dyDescent="0.2">
      <c r="A1664" s="1507">
        <v>8</v>
      </c>
      <c r="B1664" s="1516">
        <v>802.3</v>
      </c>
      <c r="C1664" s="1517" t="s">
        <v>254</v>
      </c>
      <c r="D1664" s="1517"/>
      <c r="E1664" s="1516"/>
      <c r="F1664" s="1511"/>
      <c r="G1664" s="1513" t="str">
        <f ca="1">IF(COUNTIF(G1665:G1667,"P")&gt;0,"P","")</f>
        <v/>
      </c>
      <c r="H1664" s="1530" t="s">
        <v>3199</v>
      </c>
      <c r="I1664" s="589"/>
      <c r="J1664" s="873" t="s">
        <v>254</v>
      </c>
      <c r="K1664" s="873"/>
      <c r="L1664" s="917" t="s">
        <v>4534</v>
      </c>
      <c r="M1664" s="913"/>
      <c r="N1664" s="908"/>
      <c r="O1664" s="908"/>
      <c r="P1664" s="991"/>
      <c r="Q1664" s="991"/>
      <c r="R1664" s="991"/>
      <c r="S1664" s="991"/>
      <c r="T1664" s="991"/>
      <c r="U1664" s="991"/>
      <c r="Y1664" s="1198"/>
      <c r="Z1664" s="1122"/>
      <c r="AC1664" s="1150"/>
      <c r="AD1664" s="1150"/>
      <c r="AL1664" s="1352"/>
      <c r="AM1664" s="1352"/>
      <c r="AN1664" s="1352"/>
      <c r="AO1664" s="1352"/>
      <c r="AP1664" s="1352"/>
      <c r="AQ1664" s="1352"/>
      <c r="AR1664" s="1352"/>
      <c r="AS1664" s="1352"/>
    </row>
    <row r="1665" spans="1:45" s="905" customFormat="1" hidden="1" x14ac:dyDescent="0.2">
      <c r="A1665" s="1507">
        <v>8</v>
      </c>
      <c r="B1665" s="1516">
        <v>802.3</v>
      </c>
      <c r="C1665" s="1517" t="s">
        <v>254</v>
      </c>
      <c r="D1665" s="1517" t="s">
        <v>121</v>
      </c>
      <c r="E1665" s="1516"/>
      <c r="F1665" s="1511"/>
      <c r="G1665" s="1509" t="str">
        <f ca="1">IF(N1665&gt;0,"P","")</f>
        <v/>
      </c>
      <c r="H1665" s="1530" t="s">
        <v>3199</v>
      </c>
      <c r="I1665" s="589"/>
      <c r="J1665" s="873"/>
      <c r="K1665" s="1068" t="s">
        <v>121</v>
      </c>
      <c r="L1665" s="1634" t="s">
        <v>4535</v>
      </c>
      <c r="M1665" s="1711" t="s">
        <v>4680</v>
      </c>
      <c r="N1665" s="1619">
        <f ca="1">'11.800'!O79</f>
        <v>0</v>
      </c>
      <c r="O1665" s="1619">
        <f ca="1">W1665*2*S1665</f>
        <v>0</v>
      </c>
      <c r="P1665" s="905" t="b">
        <v>0</v>
      </c>
      <c r="Q1665" s="905" t="b">
        <v>1</v>
      </c>
      <c r="R1665" s="991" t="b">
        <v>0</v>
      </c>
      <c r="S1665" s="464" t="b">
        <f ca="1">AND(AY1605=INDEX(INDIRECT("ddSingleOrMulti"),1),S1600=1)</f>
        <v>0</v>
      </c>
      <c r="T1665" s="991" t="b">
        <f ca="1">IF(AND(NOT(S1665),LEN(W1665)&gt;0),TRUE,FALSE)</f>
        <v>0</v>
      </c>
      <c r="U1665" s="991"/>
      <c r="W1665" s="1002"/>
      <c r="X1665" s="1600"/>
      <c r="Y1665" s="1874" t="str">
        <f>IF(LEN('11.800'!X79)=0,"None",'11.800'!X79)</f>
        <v>None</v>
      </c>
      <c r="Z1665" s="1600"/>
      <c r="AC1665" s="1150" t="b">
        <f ca="1">OR(AD1665:AE1665)</f>
        <v>0</v>
      </c>
      <c r="AD1665" s="1150" t="b">
        <f ca="1">T1665</f>
        <v>0</v>
      </c>
      <c r="AL1665" s="1352" t="str">
        <f>SUBSTITUTE(SUBSTITUTE(SUBSTITUTE("vpa"&amp;$B1665&amp;$C1665&amp;$D1665&amp;$E1665&amp;$F1665,".","_"),"(","_"),")","")</f>
        <v>vpa802_3_1_a</v>
      </c>
      <c r="AM1665" s="1352" t="str">
        <f>M1665</f>
        <v>2 per unique meter</v>
      </c>
      <c r="AN1665" s="1352" t="str">
        <f>SUBSTITUTE(SUBSTITUTE(SUBSTITUTE("vpc"&amp;$B1665&amp;$C1665&amp;$D1665&amp;$E1665&amp;$F1665,".","_"),"(","_"),")","")</f>
        <v>vpc802_3_1_a</v>
      </c>
      <c r="AO1665" s="1352">
        <f ca="1">O1665</f>
        <v>0</v>
      </c>
      <c r="AP1665" s="1352" t="str">
        <f>SUBSTITUTE(SUBSTITUTE(SUBSTITUTE("vch"&amp;$B1665&amp;$C1665&amp;$D1665&amp;$E1665&amp;$F1665,".","_"),"(","_"),")","")</f>
        <v>vch802_3_1_a</v>
      </c>
      <c r="AQ1665" s="1352" t="str">
        <f>IF(LEN(W1665)=0,"",W1665)</f>
        <v/>
      </c>
      <c r="AR1665" s="1352" t="str">
        <f>SUBSTITUTE(SUBSTITUTE(SUBSTITUTE("vnt"&amp;$B1665&amp;$C1665&amp;$D1665&amp;$E1665&amp;$F1665,".","_"),"(","_"),")","")</f>
        <v>vnt802_3_1_a</v>
      </c>
      <c r="AS1665" s="1352" t="str">
        <f>IF(LEN(X1665)=0,"",X1665)</f>
        <v/>
      </c>
    </row>
    <row r="1666" spans="1:45" s="905" customFormat="1" hidden="1" x14ac:dyDescent="0.2">
      <c r="A1666" s="1507">
        <v>8</v>
      </c>
      <c r="B1666" s="1516">
        <v>802.3</v>
      </c>
      <c r="C1666" s="1517" t="s">
        <v>254</v>
      </c>
      <c r="D1666" s="1517" t="s">
        <v>121</v>
      </c>
      <c r="E1666" s="1516"/>
      <c r="F1666" s="1511"/>
      <c r="G1666" s="1509" t="str">
        <f ca="1">G1665</f>
        <v/>
      </c>
      <c r="H1666" s="1530" t="s">
        <v>3199</v>
      </c>
      <c r="I1666" s="589"/>
      <c r="J1666" s="873"/>
      <c r="K1666" s="1072"/>
      <c r="L1666" s="1639"/>
      <c r="M1666" s="1711"/>
      <c r="N1666" s="1620"/>
      <c r="O1666" s="1620"/>
      <c r="P1666" s="991"/>
      <c r="Q1666" s="991"/>
      <c r="R1666" s="991"/>
      <c r="S1666" s="991"/>
      <c r="T1666" s="991"/>
      <c r="U1666" s="991"/>
      <c r="X1666" s="1600"/>
      <c r="Y1666" s="1874"/>
      <c r="Z1666" s="1600"/>
      <c r="AC1666" s="1150"/>
      <c r="AD1666" s="1150"/>
      <c r="AL1666" s="1352"/>
      <c r="AM1666" s="1352"/>
      <c r="AN1666" s="1352"/>
      <c r="AO1666" s="1352"/>
      <c r="AP1666" s="1352"/>
      <c r="AQ1666" s="1352"/>
      <c r="AR1666" s="1352"/>
      <c r="AS1666" s="1352"/>
    </row>
    <row r="1667" spans="1:45" s="905" customFormat="1" hidden="1" x14ac:dyDescent="0.2">
      <c r="A1667" s="1507">
        <v>8</v>
      </c>
      <c r="B1667" s="1516">
        <v>802.3</v>
      </c>
      <c r="C1667" s="1517" t="s">
        <v>254</v>
      </c>
      <c r="D1667" s="1517" t="s">
        <v>122</v>
      </c>
      <c r="E1667" s="1516"/>
      <c r="F1667" s="1511"/>
      <c r="G1667" s="1509" t="str">
        <f ca="1">IF(N1667&gt;0,"P","")</f>
        <v/>
      </c>
      <c r="H1667" s="1530" t="s">
        <v>3199</v>
      </c>
      <c r="I1667" s="589"/>
      <c r="J1667" s="1068"/>
      <c r="K1667" s="1068" t="s">
        <v>122</v>
      </c>
      <c r="L1667" s="1634" t="s">
        <v>4536</v>
      </c>
      <c r="M1667" s="1734" t="s">
        <v>4681</v>
      </c>
      <c r="N1667" s="1637">
        <f ca="1">'11.800'!O81</f>
        <v>0</v>
      </c>
      <c r="O1667" s="1619">
        <f ca="1">W1667*2*S1667</f>
        <v>0</v>
      </c>
      <c r="P1667" s="905" t="b">
        <v>0</v>
      </c>
      <c r="Q1667" s="905" t="b">
        <v>1</v>
      </c>
      <c r="R1667" s="991" t="b">
        <v>0</v>
      </c>
      <c r="S1667" s="464" t="b">
        <f ca="1">AND(AY1605=INDEX(INDIRECT("ddSingleOrMulti"),1),S1600=1)</f>
        <v>0</v>
      </c>
      <c r="T1667" s="991" t="b">
        <f ca="1">IF(AND(NOT(S1667),LEN(W1667)&gt;0),TRUE,FALSE)</f>
        <v>0</v>
      </c>
      <c r="U1667" s="991"/>
      <c r="W1667" s="1002"/>
      <c r="X1667" s="1600"/>
      <c r="Y1667" s="1874" t="str">
        <f>IF(LEN('11.800'!X81)=0,"None",'11.800'!X81)</f>
        <v>None</v>
      </c>
      <c r="Z1667" s="1600"/>
      <c r="AC1667" s="1150" t="b">
        <f ca="1">OR(AD1667:AE1667)</f>
        <v>0</v>
      </c>
      <c r="AD1667" s="1150" t="b">
        <f ca="1">T1667</f>
        <v>0</v>
      </c>
      <c r="AL1667" s="1352" t="str">
        <f>SUBSTITUTE(SUBSTITUTE(SUBSTITUTE("vpa"&amp;$B1667&amp;$C1667&amp;$D1667&amp;$E1667&amp;$F1667,".","_"),"(","_"),")","")</f>
        <v>vpa802_3_1_b</v>
      </c>
      <c r="AM1667" s="1352" t="str">
        <f>M1667</f>
        <v>2 per sensor package</v>
      </c>
      <c r="AN1667" s="1352" t="str">
        <f>SUBSTITUTE(SUBSTITUTE(SUBSTITUTE("vpc"&amp;$B1667&amp;$C1667&amp;$D1667&amp;$E1667&amp;$F1667,".","_"),"(","_"),")","")</f>
        <v>vpc802_3_1_b</v>
      </c>
      <c r="AO1667" s="1352">
        <f ca="1">O1667</f>
        <v>0</v>
      </c>
      <c r="AP1667" s="1352" t="str">
        <f>SUBSTITUTE(SUBSTITUTE(SUBSTITUTE("vch"&amp;$B1667&amp;$C1667&amp;$D1667&amp;$E1667&amp;$F1667,".","_"),"(","_"),")","")</f>
        <v>vch802_3_1_b</v>
      </c>
      <c r="AQ1667" s="1352" t="str">
        <f>IF(LEN(W1667)=0,"",W1667)</f>
        <v/>
      </c>
      <c r="AR1667" s="1352" t="str">
        <f>SUBSTITUTE(SUBSTITUTE(SUBSTITUTE("vnt"&amp;$B1667&amp;$C1667&amp;$D1667&amp;$E1667&amp;$F1667,".","_"),"(","_"),")","")</f>
        <v>vnt802_3_1_b</v>
      </c>
      <c r="AS1667" s="1352" t="str">
        <f>IF(LEN(X1667)=0,"",X1667)</f>
        <v/>
      </c>
    </row>
    <row r="1668" spans="1:45" s="905" customFormat="1" hidden="1" x14ac:dyDescent="0.2">
      <c r="A1668" s="1507">
        <v>8</v>
      </c>
      <c r="B1668" s="1516">
        <v>802.3</v>
      </c>
      <c r="C1668" s="1517" t="s">
        <v>254</v>
      </c>
      <c r="D1668" s="1517" t="s">
        <v>122</v>
      </c>
      <c r="E1668" s="1516"/>
      <c r="F1668" s="1511"/>
      <c r="G1668" s="1509" t="str">
        <f ca="1">G1667</f>
        <v/>
      </c>
      <c r="H1668" s="1530" t="s">
        <v>3199</v>
      </c>
      <c r="I1668" s="589"/>
      <c r="J1668" s="1068"/>
      <c r="K1668" s="1068"/>
      <c r="L1668" s="1634"/>
      <c r="M1668" s="1692"/>
      <c r="N1668" s="1619"/>
      <c r="O1668" s="1619"/>
      <c r="P1668" s="991"/>
      <c r="Q1668" s="991"/>
      <c r="R1668" s="991"/>
      <c r="S1668" s="991"/>
      <c r="T1668" s="991"/>
      <c r="U1668" s="991"/>
      <c r="X1668" s="1600"/>
      <c r="Y1668" s="1874"/>
      <c r="Z1668" s="1600"/>
      <c r="AC1668" s="1150"/>
      <c r="AD1668" s="1150"/>
      <c r="AL1668" s="1352"/>
      <c r="AM1668" s="1352"/>
      <c r="AN1668" s="1352"/>
      <c r="AO1668" s="1352"/>
      <c r="AP1668" s="1352"/>
      <c r="AQ1668" s="1352"/>
      <c r="AR1668" s="1352"/>
      <c r="AS1668" s="1352"/>
    </row>
    <row r="1669" spans="1:45" s="905" customFormat="1" hidden="1" x14ac:dyDescent="0.2">
      <c r="A1669" s="1507">
        <v>8</v>
      </c>
      <c r="B1669" s="1516">
        <v>802.3</v>
      </c>
      <c r="C1669" s="1517" t="s">
        <v>254</v>
      </c>
      <c r="D1669" s="1517" t="s">
        <v>122</v>
      </c>
      <c r="E1669" s="1516"/>
      <c r="F1669" s="1511"/>
      <c r="G1669" s="1509" t="str">
        <f ca="1">G1668</f>
        <v/>
      </c>
      <c r="H1669" s="1530" t="s">
        <v>3199</v>
      </c>
      <c r="I1669" s="589"/>
      <c r="J1669" s="1068"/>
      <c r="K1669" s="1068"/>
      <c r="L1669" s="1634"/>
      <c r="M1669" s="1692"/>
      <c r="N1669" s="1619"/>
      <c r="O1669" s="1619"/>
      <c r="P1669" s="991"/>
      <c r="Q1669" s="991"/>
      <c r="R1669" s="991"/>
      <c r="S1669" s="991"/>
      <c r="T1669" s="991"/>
      <c r="U1669" s="991"/>
      <c r="X1669" s="1600"/>
      <c r="Y1669" s="1874"/>
      <c r="Z1669" s="1600"/>
      <c r="AC1669" s="1150"/>
      <c r="AD1669" s="1150"/>
      <c r="AL1669" s="1352"/>
      <c r="AM1669" s="1352"/>
      <c r="AN1669" s="1352"/>
      <c r="AO1669" s="1352"/>
      <c r="AP1669" s="1352"/>
      <c r="AQ1669" s="1352"/>
      <c r="AR1669" s="1352"/>
      <c r="AS1669" s="1352"/>
    </row>
    <row r="1670" spans="1:45" s="905" customFormat="1" hidden="1" x14ac:dyDescent="0.2">
      <c r="A1670" s="1507">
        <v>8</v>
      </c>
      <c r="B1670" s="1516">
        <v>802.3</v>
      </c>
      <c r="C1670" s="1517" t="s">
        <v>254</v>
      </c>
      <c r="D1670" s="1517" t="s">
        <v>122</v>
      </c>
      <c r="E1670" s="1516"/>
      <c r="F1670" s="1511"/>
      <c r="G1670" s="1509" t="str">
        <f ca="1">G1669</f>
        <v/>
      </c>
      <c r="H1670" s="1530" t="s">
        <v>3199</v>
      </c>
      <c r="I1670" s="589"/>
      <c r="J1670" s="1072"/>
      <c r="K1670" s="1072"/>
      <c r="L1670" s="1639"/>
      <c r="M1670" s="1711"/>
      <c r="N1670" s="1620"/>
      <c r="O1670" s="1620"/>
      <c r="P1670" s="991"/>
      <c r="Q1670" s="991"/>
      <c r="R1670" s="991"/>
      <c r="S1670" s="991"/>
      <c r="T1670" s="991"/>
      <c r="U1670" s="991"/>
      <c r="X1670" s="1600"/>
      <c r="Y1670" s="1874"/>
      <c r="Z1670" s="1600"/>
      <c r="AC1670" s="1150"/>
      <c r="AD1670" s="1150"/>
      <c r="AL1670" s="1352"/>
      <c r="AM1670" s="1352"/>
      <c r="AN1670" s="1352"/>
      <c r="AO1670" s="1352"/>
      <c r="AP1670" s="1352"/>
      <c r="AQ1670" s="1352"/>
      <c r="AR1670" s="1352"/>
      <c r="AS1670" s="1352"/>
    </row>
    <row r="1671" spans="1:45" s="905" customFormat="1" hidden="1" x14ac:dyDescent="0.2">
      <c r="A1671" s="1507">
        <v>8</v>
      </c>
      <c r="B1671" s="1516">
        <v>802.3</v>
      </c>
      <c r="C1671" s="1517" t="s">
        <v>255</v>
      </c>
      <c r="D1671" s="1517"/>
      <c r="E1671" s="1516"/>
      <c r="F1671" s="1511"/>
      <c r="G1671" s="1513" t="str">
        <f>IF(COUNTIF(G1674:G1676,"P")&gt;0,"P","")</f>
        <v/>
      </c>
      <c r="H1671" s="1530" t="s">
        <v>3199</v>
      </c>
      <c r="I1671" s="589"/>
      <c r="J1671" s="873" t="s">
        <v>255</v>
      </c>
      <c r="K1671" s="873"/>
      <c r="L1671" s="1634" t="s">
        <v>4537</v>
      </c>
      <c r="M1671" s="1199"/>
      <c r="N1671" s="129"/>
      <c r="O1671" s="1201"/>
      <c r="P1671" s="198"/>
      <c r="Q1671" s="411" t="s">
        <v>5013</v>
      </c>
      <c r="R1671" s="1213">
        <f ca="1">SUM(O1626:O1670)+SUM(O1681:O1855)</f>
        <v>22</v>
      </c>
      <c r="S1671" s="991"/>
      <c r="T1671" s="991"/>
      <c r="U1671" s="991"/>
      <c r="Y1671" s="1198"/>
      <c r="AC1671" s="1150"/>
      <c r="AD1671" s="1150"/>
      <c r="AL1671" s="1352"/>
      <c r="AM1671" s="1352"/>
      <c r="AN1671" s="1352"/>
      <c r="AO1671" s="1352"/>
      <c r="AP1671" s="1352"/>
      <c r="AQ1671" s="1352"/>
      <c r="AR1671" s="1352"/>
      <c r="AS1671" s="1352"/>
    </row>
    <row r="1672" spans="1:45" s="905" customFormat="1" hidden="1" x14ac:dyDescent="0.2">
      <c r="A1672" s="1507">
        <v>8</v>
      </c>
      <c r="B1672" s="1516">
        <v>802.3</v>
      </c>
      <c r="C1672" s="1517" t="s">
        <v>255</v>
      </c>
      <c r="D1672" s="1517"/>
      <c r="E1672" s="1516"/>
      <c r="F1672" s="1511"/>
      <c r="G1672" s="1509" t="str">
        <f>G1671</f>
        <v/>
      </c>
      <c r="H1672" s="1530" t="s">
        <v>3199</v>
      </c>
      <c r="I1672" s="589"/>
      <c r="J1672" s="873"/>
      <c r="K1672" s="873"/>
      <c r="L1672" s="1634"/>
      <c r="M1672" s="1768" t="s">
        <v>5015</v>
      </c>
      <c r="N1672" s="129"/>
      <c r="O1672" s="1201"/>
      <c r="P1672" s="198"/>
      <c r="Q1672" s="411" t="s">
        <v>5016</v>
      </c>
      <c r="R1672" s="198" t="b">
        <f ca="1">OR(O1674&lt;R1675,O1676&lt;R1677)</f>
        <v>0</v>
      </c>
      <c r="S1672" s="991"/>
      <c r="T1672" s="991"/>
      <c r="U1672" s="991"/>
      <c r="Y1672" s="1198"/>
      <c r="AC1672" s="1150"/>
      <c r="AD1672" s="1150"/>
      <c r="AL1672" s="1352" t="str">
        <f>SUBSTITUTE(SUBSTITUTE(SUBSTITUTE("vpa"&amp;$B1672&amp;$C1672&amp;$D1672&amp;$E1672&amp;$F1672,".","_"),"(","_"),")","")</f>
        <v>vpa802_3_2</v>
      </c>
      <c r="AM1672" s="1352" t="str">
        <f>M1672</f>
        <v>Points Reduced</v>
      </c>
      <c r="AN1672" s="1352"/>
      <c r="AO1672" s="1352"/>
      <c r="AP1672" s="1352"/>
      <c r="AQ1672" s="1352"/>
      <c r="AR1672" s="1352"/>
      <c r="AS1672" s="1352"/>
    </row>
    <row r="1673" spans="1:45" s="905" customFormat="1" hidden="1" x14ac:dyDescent="0.2">
      <c r="A1673" s="1507">
        <v>8</v>
      </c>
      <c r="B1673" s="1516">
        <v>802.3</v>
      </c>
      <c r="C1673" s="1517" t="s">
        <v>255</v>
      </c>
      <c r="D1673" s="1517"/>
      <c r="E1673" s="1516"/>
      <c r="F1673" s="1511"/>
      <c r="G1673" s="1509" t="str">
        <f>G1672</f>
        <v/>
      </c>
      <c r="H1673" s="1530" t="s">
        <v>3199</v>
      </c>
      <c r="I1673" s="589"/>
      <c r="J1673" s="873"/>
      <c r="K1673" s="873"/>
      <c r="L1673" s="1634"/>
      <c r="M1673" s="1768"/>
      <c r="N1673" s="129"/>
      <c r="O1673" s="1201"/>
      <c r="P1673" s="1208"/>
      <c r="Q1673" s="1208"/>
      <c r="R1673" s="1208"/>
      <c r="S1673" s="991"/>
      <c r="T1673" s="991"/>
      <c r="U1673" s="991"/>
      <c r="Y1673" s="1198"/>
      <c r="AC1673" s="1150"/>
      <c r="AD1673" s="1150"/>
      <c r="AL1673" s="1352"/>
      <c r="AM1673" s="1352"/>
      <c r="AN1673" s="1352"/>
      <c r="AO1673" s="1352"/>
      <c r="AP1673" s="1352"/>
      <c r="AQ1673" s="1352"/>
      <c r="AR1673" s="1352"/>
      <c r="AS1673" s="1352"/>
    </row>
    <row r="1674" spans="1:45" s="905" customFormat="1" ht="15" hidden="1" customHeight="1" x14ac:dyDescent="0.2">
      <c r="A1674" s="1507">
        <v>8</v>
      </c>
      <c r="B1674" s="1516">
        <v>802.3</v>
      </c>
      <c r="C1674" s="1517" t="s">
        <v>255</v>
      </c>
      <c r="D1674" s="1517" t="s">
        <v>121</v>
      </c>
      <c r="E1674" s="1516"/>
      <c r="F1674" s="1511"/>
      <c r="G1674" s="1509" t="str">
        <f>IF(N1674&gt;0,"P","")</f>
        <v/>
      </c>
      <c r="H1674" s="1530" t="s">
        <v>3199</v>
      </c>
      <c r="I1674" s="589"/>
      <c r="J1674" s="873"/>
      <c r="K1674" s="1068" t="s">
        <v>121</v>
      </c>
      <c r="L1674" s="1634" t="s">
        <v>4535</v>
      </c>
      <c r="M1674" s="1711" t="s">
        <v>4682</v>
      </c>
      <c r="N1674" s="129"/>
      <c r="O1674" s="1619">
        <f ca="1">IF((R1677+R1675)&lt;=R1671,R1675,IF(R1675&lt;=R1677,MIN(R1671/2,R1675),(R1671-O1676)))</f>
        <v>0</v>
      </c>
      <c r="P1674" s="1198" t="b">
        <v>0</v>
      </c>
      <c r="Q1674" s="1198" t="b">
        <v>1</v>
      </c>
      <c r="R1674" s="1208" t="b">
        <v>0</v>
      </c>
      <c r="S1674" s="464" t="b">
        <f ca="1">AND(AY1605=INDEX(INDIRECT("ddSingleOrMulti"),2),S1600=1)</f>
        <v>1</v>
      </c>
      <c r="T1674" s="991" t="b">
        <f ca="1">IF(AND(NOT(S1674),LEN(W1674)&gt;0),TRUE,FALSE)</f>
        <v>0</v>
      </c>
      <c r="U1674" s="991"/>
      <c r="W1674" s="1002"/>
      <c r="X1674" s="1600"/>
      <c r="Y1674" s="1874" t="str">
        <f>IF(LEN('11.800'!X88)=0,"None",'11.800'!X88)</f>
        <v>None</v>
      </c>
      <c r="Z1674" s="1600"/>
      <c r="AC1674" s="1150" t="b">
        <f ca="1">OR(AD1674:AE1674)</f>
        <v>0</v>
      </c>
      <c r="AD1674" s="1150" t="b">
        <f ca="1">T1674</f>
        <v>0</v>
      </c>
      <c r="AL1674" s="1352" t="str">
        <f>SUBSTITUTE(SUBSTITUTE(SUBSTITUTE("vpa"&amp;$B1674&amp;$C1674&amp;$D1674&amp;$E1674&amp;$F1674,".","_"),"(","_"),")","")</f>
        <v>vpa802_3_2_a</v>
      </c>
      <c r="AM1674" s="1352" t="str">
        <f>M1674</f>
        <v>2 per unique use meter</v>
      </c>
      <c r="AN1674" s="1352" t="str">
        <f>SUBSTITUTE(SUBSTITUTE(SUBSTITUTE("vpc"&amp;$B1674&amp;$C1674&amp;$D1674&amp;$E1674&amp;$F1674,".","_"),"(","_"),")","")</f>
        <v>vpc802_3_2_a</v>
      </c>
      <c r="AO1674" s="1352">
        <f ca="1">O1674</f>
        <v>0</v>
      </c>
      <c r="AP1674" s="1352" t="str">
        <f>SUBSTITUTE(SUBSTITUTE(SUBSTITUTE("vch"&amp;$B1674&amp;$C1674&amp;$D1674&amp;$E1674&amp;$F1674,".","_"),"(","_"),")","")</f>
        <v>vch802_3_2_a</v>
      </c>
      <c r="AQ1674" s="1352" t="str">
        <f>IF(LEN(W1674)=0,"",W1674)</f>
        <v/>
      </c>
      <c r="AR1674" s="1352" t="str">
        <f>SUBSTITUTE(SUBSTITUTE(SUBSTITUTE("vnt"&amp;$B1674&amp;$C1674&amp;$D1674&amp;$E1674&amp;$F1674,".","_"),"(","_"),")","")</f>
        <v>vnt802_3_2_a</v>
      </c>
      <c r="AS1674" s="1352" t="str">
        <f>IF(LEN(X1674)=0,"",X1674)</f>
        <v/>
      </c>
    </row>
    <row r="1675" spans="1:45" s="905" customFormat="1" hidden="1" x14ac:dyDescent="0.2">
      <c r="A1675" s="1507">
        <v>8</v>
      </c>
      <c r="B1675" s="1516">
        <v>802.3</v>
      </c>
      <c r="C1675" s="1517" t="s">
        <v>255</v>
      </c>
      <c r="D1675" s="1517" t="s">
        <v>121</v>
      </c>
      <c r="E1675" s="1516"/>
      <c r="F1675" s="1511"/>
      <c r="G1675" s="1509" t="str">
        <f>G1674</f>
        <v/>
      </c>
      <c r="H1675" s="1530" t="s">
        <v>3199</v>
      </c>
      <c r="I1675" s="589"/>
      <c r="J1675" s="873"/>
      <c r="K1675" s="1072"/>
      <c r="L1675" s="1639"/>
      <c r="M1675" s="1711"/>
      <c r="N1675" s="129"/>
      <c r="O1675" s="1620"/>
      <c r="P1675" s="198"/>
      <c r="Q1675" s="411" t="s">
        <v>5014</v>
      </c>
      <c r="R1675" s="1213">
        <f ca="1">W1674*2*S1674</f>
        <v>0</v>
      </c>
      <c r="S1675" s="991"/>
      <c r="T1675" s="991"/>
      <c r="U1675" s="991"/>
      <c r="X1675" s="1600"/>
      <c r="Y1675" s="1874"/>
      <c r="Z1675" s="1600"/>
      <c r="AC1675" s="1150"/>
      <c r="AD1675" s="1150"/>
      <c r="AL1675" s="1352"/>
      <c r="AM1675" s="1352"/>
      <c r="AN1675" s="1352"/>
      <c r="AO1675" s="1352"/>
      <c r="AP1675" s="1352"/>
      <c r="AQ1675" s="1352"/>
      <c r="AR1675" s="1352"/>
      <c r="AS1675" s="1352"/>
    </row>
    <row r="1676" spans="1:45" s="905" customFormat="1" ht="15" hidden="1" customHeight="1" x14ac:dyDescent="0.2">
      <c r="A1676" s="1507">
        <v>8</v>
      </c>
      <c r="B1676" s="1516">
        <v>802.3</v>
      </c>
      <c r="C1676" s="1517" t="s">
        <v>255</v>
      </c>
      <c r="D1676" s="1517" t="s">
        <v>122</v>
      </c>
      <c r="E1676" s="1516"/>
      <c r="F1676" s="1511"/>
      <c r="G1676" s="1509" t="str">
        <f>IF(N1676&gt;0,"P","")</f>
        <v/>
      </c>
      <c r="H1676" s="1530" t="s">
        <v>3199</v>
      </c>
      <c r="I1676" s="590"/>
      <c r="J1676" s="1068"/>
      <c r="K1676" s="1068" t="s">
        <v>122</v>
      </c>
      <c r="L1676" s="1634" t="s">
        <v>4536</v>
      </c>
      <c r="M1676" s="1734" t="s">
        <v>4681</v>
      </c>
      <c r="N1676" s="129"/>
      <c r="O1676" s="1619">
        <f ca="1">IF((R1677+R1675)&lt;=R1671,R1677,IF(R1677&lt;=R1675,MIN(R1671/2,R1677),(R1671-O1674)))</f>
        <v>0</v>
      </c>
      <c r="P1676" s="1198" t="b">
        <v>0</v>
      </c>
      <c r="Q1676" s="1198" t="b">
        <v>1</v>
      </c>
      <c r="R1676" s="1208" t="b">
        <v>0</v>
      </c>
      <c r="S1676" s="464" t="b">
        <f ca="1">AND(AY1605=INDEX(INDIRECT("ddSingleOrMulti"),2),S1600=1)</f>
        <v>1</v>
      </c>
      <c r="T1676" s="991" t="b">
        <f ca="1">IF(AND(NOT(S1676),LEN(W1676)&gt;0),TRUE,FALSE)</f>
        <v>0</v>
      </c>
      <c r="U1676" s="991"/>
      <c r="W1676" s="1002"/>
      <c r="X1676" s="1601"/>
      <c r="Y1676" s="1881" t="str">
        <f>IF(LEN('11.800'!X90)=0,"None",'11.800'!X90)</f>
        <v>None</v>
      </c>
      <c r="Z1676" s="1600"/>
      <c r="AC1676" s="1150" t="b">
        <f ca="1">OR(AD1676:AE1676)</f>
        <v>0</v>
      </c>
      <c r="AD1676" s="1150" t="b">
        <f ca="1">T1676</f>
        <v>0</v>
      </c>
      <c r="AL1676" s="1352" t="str">
        <f>SUBSTITUTE(SUBSTITUTE(SUBSTITUTE("vpa"&amp;$B1676&amp;$C1676&amp;$D1676&amp;$E1676&amp;$F1676,".","_"),"(","_"),")","")</f>
        <v>vpa802_3_2_b</v>
      </c>
      <c r="AM1676" s="1352" t="str">
        <f>M1676</f>
        <v>2 per sensor package</v>
      </c>
      <c r="AN1676" s="1352" t="str">
        <f>SUBSTITUTE(SUBSTITUTE(SUBSTITUTE("vpc"&amp;$B1676&amp;$C1676&amp;$D1676&amp;$E1676&amp;$F1676,".","_"),"(","_"),")","")</f>
        <v>vpc802_3_2_b</v>
      </c>
      <c r="AO1676" s="1352">
        <f ca="1">O1676</f>
        <v>0</v>
      </c>
      <c r="AP1676" s="1352" t="str">
        <f>SUBSTITUTE(SUBSTITUTE(SUBSTITUTE("vch"&amp;$B1676&amp;$C1676&amp;$D1676&amp;$E1676&amp;$F1676,".","_"),"(","_"),")","")</f>
        <v>vch802_3_2_b</v>
      </c>
      <c r="AQ1676" s="1352" t="str">
        <f>IF(LEN(W1676)=0,"",W1676)</f>
        <v/>
      </c>
      <c r="AR1676" s="1352" t="str">
        <f>SUBSTITUTE(SUBSTITUTE(SUBSTITUTE("vnt"&amp;$B1676&amp;$C1676&amp;$D1676&amp;$E1676&amp;$F1676,".","_"),"(","_"),")","")</f>
        <v>vnt802_3_2_b</v>
      </c>
      <c r="AS1676" s="1352" t="str">
        <f>IF(LEN(X1676)=0,"",X1676)</f>
        <v/>
      </c>
    </row>
    <row r="1677" spans="1:45" s="905" customFormat="1" hidden="1" x14ac:dyDescent="0.2">
      <c r="A1677" s="1507">
        <v>8</v>
      </c>
      <c r="B1677" s="1516">
        <v>802.3</v>
      </c>
      <c r="C1677" s="1517" t="s">
        <v>255</v>
      </c>
      <c r="D1677" s="1517" t="s">
        <v>122</v>
      </c>
      <c r="E1677" s="1516"/>
      <c r="F1677" s="1511"/>
      <c r="G1677" s="1509" t="str">
        <f>G1676</f>
        <v/>
      </c>
      <c r="H1677" s="1530" t="s">
        <v>3199</v>
      </c>
      <c r="I1677" s="590"/>
      <c r="J1677" s="1068"/>
      <c r="K1677" s="1068"/>
      <c r="L1677" s="1634"/>
      <c r="M1677" s="1692"/>
      <c r="N1677" s="129"/>
      <c r="O1677" s="1619"/>
      <c r="P1677" s="198"/>
      <c r="Q1677" s="411" t="s">
        <v>5014</v>
      </c>
      <c r="R1677" s="1213">
        <f ca="1">W1676*2*S1676</f>
        <v>0</v>
      </c>
      <c r="S1677" s="991"/>
      <c r="T1677" s="991"/>
      <c r="U1677" s="991"/>
      <c r="W1677" s="1135"/>
      <c r="X1677" s="1601"/>
      <c r="Y1677" s="1881"/>
      <c r="Z1677" s="1600"/>
      <c r="AL1677" s="1352"/>
      <c r="AM1677" s="1352"/>
      <c r="AN1677" s="1352"/>
      <c r="AO1677" s="1352"/>
      <c r="AP1677" s="1352"/>
      <c r="AQ1677" s="1352"/>
      <c r="AR1677" s="1352"/>
      <c r="AS1677" s="1352"/>
    </row>
    <row r="1678" spans="1:45" s="905" customFormat="1" hidden="1" x14ac:dyDescent="0.2">
      <c r="A1678" s="1507">
        <v>8</v>
      </c>
      <c r="B1678" s="1516">
        <v>802.3</v>
      </c>
      <c r="C1678" s="1517" t="s">
        <v>255</v>
      </c>
      <c r="D1678" s="1517" t="s">
        <v>122</v>
      </c>
      <c r="E1678" s="1516"/>
      <c r="F1678" s="1511"/>
      <c r="G1678" s="1509" t="str">
        <f>G1677</f>
        <v/>
      </c>
      <c r="H1678" s="1530" t="s">
        <v>3199</v>
      </c>
      <c r="I1678" s="590"/>
      <c r="J1678" s="1068"/>
      <c r="K1678" s="1068"/>
      <c r="L1678" s="1634"/>
      <c r="M1678" s="1692"/>
      <c r="N1678" s="129"/>
      <c r="O1678" s="1619"/>
      <c r="P1678"/>
      <c r="Q1678"/>
      <c r="R1678"/>
      <c r="S1678" s="991"/>
      <c r="T1678" s="991"/>
      <c r="U1678" s="991"/>
      <c r="W1678" s="1135"/>
      <c r="X1678" s="1601"/>
      <c r="Y1678" s="1881"/>
      <c r="Z1678" s="1600"/>
      <c r="AL1678" s="1352"/>
      <c r="AM1678" s="1352"/>
      <c r="AN1678" s="1352"/>
      <c r="AO1678" s="1352"/>
      <c r="AP1678" s="1352"/>
      <c r="AQ1678" s="1352"/>
      <c r="AR1678" s="1352"/>
      <c r="AS1678" s="1352"/>
    </row>
    <row r="1679" spans="1:45" s="905" customFormat="1" ht="16" hidden="1" thickBot="1" x14ac:dyDescent="0.25">
      <c r="A1679" s="1507">
        <v>8</v>
      </c>
      <c r="B1679" s="1516">
        <v>802.3</v>
      </c>
      <c r="C1679" s="1517" t="s">
        <v>255</v>
      </c>
      <c r="D1679" s="1517" t="s">
        <v>122</v>
      </c>
      <c r="E1679" s="1516"/>
      <c r="F1679" s="1511"/>
      <c r="G1679" s="1509" t="str">
        <f>G1678</f>
        <v/>
      </c>
      <c r="H1679" s="1530" t="s">
        <v>3199</v>
      </c>
      <c r="I1679" s="594"/>
      <c r="J1679" s="1069"/>
      <c r="K1679" s="1069"/>
      <c r="L1679" s="1635"/>
      <c r="M1679" s="1763"/>
      <c r="N1679" s="239"/>
      <c r="O1679" s="1638"/>
      <c r="P1679"/>
      <c r="Q1679"/>
      <c r="R1679"/>
      <c r="S1679" s="100"/>
      <c r="T1679" s="100"/>
      <c r="U1679" s="100"/>
      <c r="W1679" s="100"/>
      <c r="X1679" s="1602"/>
      <c r="Y1679" s="1882"/>
      <c r="Z1679" s="1602"/>
      <c r="AL1679" s="1352"/>
      <c r="AM1679" s="1352"/>
      <c r="AN1679" s="1352"/>
      <c r="AO1679" s="1352"/>
      <c r="AP1679" s="1352"/>
      <c r="AQ1679" s="1352"/>
      <c r="AR1679" s="1352"/>
      <c r="AS1679" s="1352"/>
    </row>
    <row r="1680" spans="1:45" s="905" customFormat="1" x14ac:dyDescent="0.2">
      <c r="A1680" s="1507">
        <v>8</v>
      </c>
      <c r="B1680" s="1516">
        <v>802.4</v>
      </c>
      <c r="C1680" s="1517"/>
      <c r="D1680" s="1517"/>
      <c r="E1680" s="1516"/>
      <c r="F1680" s="1511"/>
      <c r="G1680" s="1513" t="str">
        <f ca="1">IF(COUNTIF(G1681:G1697,"P")&gt;0,"P","")</f>
        <v>P</v>
      </c>
      <c r="H1680" s="1530" t="s">
        <v>3199</v>
      </c>
      <c r="I1680" s="589" t="s">
        <v>4643</v>
      </c>
      <c r="J1680" s="873"/>
      <c r="K1680" s="873"/>
      <c r="L1680" s="946" t="s">
        <v>4538</v>
      </c>
      <c r="M1680" s="414"/>
      <c r="N1680" s="935"/>
      <c r="O1680" s="935"/>
      <c r="W1680" s="1122" t="s">
        <v>4659</v>
      </c>
      <c r="X1680" s="1122"/>
      <c r="Y1680" s="1198"/>
      <c r="AL1680" s="1352"/>
      <c r="AM1680" s="1352"/>
      <c r="AN1680" s="1352"/>
      <c r="AO1680" s="1352"/>
      <c r="AP1680" s="1352"/>
      <c r="AQ1680" s="1352"/>
      <c r="AR1680" s="1352"/>
      <c r="AS1680" s="1352"/>
    </row>
    <row r="1681" spans="1:45" s="905" customFormat="1" x14ac:dyDescent="0.2">
      <c r="A1681" s="1507">
        <v>8</v>
      </c>
      <c r="B1681" s="1516">
        <v>802.4</v>
      </c>
      <c r="C1681" s="1517" t="s">
        <v>254</v>
      </c>
      <c r="D1681" s="1517"/>
      <c r="E1681" s="1516"/>
      <c r="F1681" s="1511"/>
      <c r="G1681" s="1509" t="str">
        <f ca="1">IF(N1681&gt;0,"P","")</f>
        <v>P</v>
      </c>
      <c r="H1681" s="1530" t="s">
        <v>3199</v>
      </c>
      <c r="I1681" s="589"/>
      <c r="J1681" s="873" t="s">
        <v>254</v>
      </c>
      <c r="K1681" s="873"/>
      <c r="L1681" s="1634" t="s">
        <v>4539</v>
      </c>
      <c r="M1681" s="1722" t="s">
        <v>4660</v>
      </c>
      <c r="N1681" s="1669">
        <f ca="1">'11.800'!O95</f>
        <v>4</v>
      </c>
      <c r="O1681" s="1669">
        <f ca="1">IFERROR(INDEX({4,5,6,7},MATCH(W1681,INDIRECT(U1681),0)),0)*S1681</f>
        <v>4</v>
      </c>
      <c r="P1681" s="991" t="b">
        <v>0</v>
      </c>
      <c r="Q1681" s="905" t="b">
        <v>1</v>
      </c>
      <c r="R1681" s="905" t="b">
        <v>0</v>
      </c>
      <c r="S1681" s="905" t="b">
        <f ca="1">S1600=1</f>
        <v>1</v>
      </c>
      <c r="T1681" s="991" t="b">
        <f ca="1">IF(AND(NOT(S1681),LEN(W1681)&gt;0),TRUE,FALSE)</f>
        <v>0</v>
      </c>
      <c r="U1681" s="991" t="str">
        <f>SUBSTITUTE(SUBSTITUTE(SUBSTITUTE("dd"&amp;B1681&amp;C1681&amp;D1681&amp;E1681&amp;F1681,".","_"),"(","_"),")","")</f>
        <v>dd802_4_1</v>
      </c>
      <c r="W1681" s="12" t="s">
        <v>4676</v>
      </c>
      <c r="X1681" s="1600"/>
      <c r="Y1681" s="1874" t="str">
        <f>IF(LEN('11.800'!X95)=0,"None",'11.800'!X95)</f>
        <v>None</v>
      </c>
      <c r="Z1681" s="1600"/>
      <c r="AC1681" s="1150" t="b">
        <f ca="1">OR(AD1681:AE1681)</f>
        <v>0</v>
      </c>
      <c r="AD1681" s="1150" t="b">
        <f ca="1">T1681</f>
        <v>0</v>
      </c>
      <c r="AL1681" s="1352" t="str">
        <f>SUBSTITUTE(SUBSTITUTE(SUBSTITUTE("vpa"&amp;$B1681&amp;$C1681&amp;$D1681&amp;$E1681&amp;$F1681,".","_"),"(","_"),")","")</f>
        <v>vpa802_4_1</v>
      </c>
      <c r="AM1681" s="1352" t="str">
        <f>M1681</f>
        <v xml:space="preserve">4 for first compartment </v>
      </c>
      <c r="AN1681" s="1352" t="str">
        <f>SUBSTITUTE(SUBSTITUTE(SUBSTITUTE("vpc"&amp;$B1681&amp;$C1681&amp;$D1681&amp;$E1681&amp;$F1681,".","_"),"(","_"),")","")</f>
        <v>vpc802_4_1</v>
      </c>
      <c r="AO1681" s="1352">
        <f ca="1">O1681</f>
        <v>4</v>
      </c>
      <c r="AP1681" s="1352" t="str">
        <f>SUBSTITUTE(SUBSTITUTE(SUBSTITUTE("vch"&amp;$B1681&amp;$C1681&amp;$D1681&amp;$E1681&amp;$F1681,".","_"),"(","_"),")","")</f>
        <v>vch802_4_1</v>
      </c>
      <c r="AQ1681" s="1352" t="str">
        <f>IF(LEN(W1681)=0,"",W1681)</f>
        <v>1 compartment</v>
      </c>
      <c r="AR1681" s="1352" t="str">
        <f>SUBSTITUTE(SUBSTITUTE(SUBSTITUTE("vnt"&amp;$B1681&amp;$C1681&amp;$D1681&amp;$E1681&amp;$F1681,".","_"),"(","_"),")","")</f>
        <v>vnt802_4_1</v>
      </c>
      <c r="AS1681" s="1352" t="str">
        <f>IF(LEN(X1681)=0,"",X1681)</f>
        <v/>
      </c>
    </row>
    <row r="1682" spans="1:45" s="905" customFormat="1" x14ac:dyDescent="0.2">
      <c r="A1682" s="1507">
        <v>8</v>
      </c>
      <c r="B1682" s="1516">
        <v>802.4</v>
      </c>
      <c r="C1682" s="1517" t="s">
        <v>254</v>
      </c>
      <c r="D1682" s="1517"/>
      <c r="E1682" s="1516"/>
      <c r="F1682" s="1511"/>
      <c r="G1682" s="1509" t="str">
        <f t="shared" ref="G1682:G1691" ca="1" si="127">G1681</f>
        <v>P</v>
      </c>
      <c r="H1682" s="1530" t="s">
        <v>3199</v>
      </c>
      <c r="I1682" s="589"/>
      <c r="J1682" s="873"/>
      <c r="K1682" s="873"/>
      <c r="L1682" s="1634"/>
      <c r="M1682" s="1722"/>
      <c r="N1682" s="1669"/>
      <c r="O1682" s="1669"/>
      <c r="X1682" s="1600"/>
      <c r="Y1682" s="1874"/>
      <c r="Z1682" s="1600"/>
      <c r="AC1682" s="1150"/>
      <c r="AD1682" s="1150"/>
      <c r="AL1682" s="1352"/>
      <c r="AM1682" s="1352"/>
      <c r="AN1682" s="1352"/>
      <c r="AO1682" s="1352"/>
      <c r="AP1682" s="1352"/>
      <c r="AQ1682" s="1352"/>
      <c r="AR1682" s="1352"/>
      <c r="AS1682" s="1352"/>
    </row>
    <row r="1683" spans="1:45" s="905" customFormat="1" x14ac:dyDescent="0.2">
      <c r="A1683" s="1507">
        <v>8</v>
      </c>
      <c r="B1683" s="1516">
        <v>802.4</v>
      </c>
      <c r="C1683" s="1517" t="s">
        <v>254</v>
      </c>
      <c r="D1683" s="1517" t="s">
        <v>3921</v>
      </c>
      <c r="E1683" s="1516"/>
      <c r="F1683" s="1511"/>
      <c r="G1683" s="1509" t="str">
        <f t="shared" ca="1" si="127"/>
        <v>P</v>
      </c>
      <c r="H1683" s="1530" t="s">
        <v>3199</v>
      </c>
      <c r="I1683" s="589"/>
      <c r="J1683" s="873"/>
      <c r="K1683" s="873"/>
      <c r="L1683" s="1634"/>
      <c r="M1683" s="1722" t="s">
        <v>4661</v>
      </c>
      <c r="N1683" s="1669"/>
      <c r="O1683" s="1669"/>
      <c r="X1683" s="1600"/>
      <c r="Y1683" s="1874"/>
      <c r="Z1683" s="1600"/>
      <c r="AC1683" s="1150"/>
      <c r="AD1683" s="1150"/>
      <c r="AL1683" s="1352" t="str">
        <f>SUBSTITUTE(SUBSTITUTE(SUBSTITUTE("vpa"&amp;$B1683&amp;$C1683&amp;$D1683&amp;$E1683&amp;$F1683,".","_"),"(","_"),")","")</f>
        <v>vpa802_4_1_1</v>
      </c>
      <c r="AM1683" s="1352" t="str">
        <f>M1683</f>
        <v>1 for each additional compartment in dwelling</v>
      </c>
      <c r="AN1683" s="1352"/>
      <c r="AO1683" s="1352"/>
      <c r="AP1683" s="1352"/>
      <c r="AQ1683" s="1352"/>
      <c r="AR1683" s="1352"/>
      <c r="AS1683" s="1352"/>
    </row>
    <row r="1684" spans="1:45" s="905" customFormat="1" x14ac:dyDescent="0.2">
      <c r="A1684" s="1507">
        <v>8</v>
      </c>
      <c r="B1684" s="1516">
        <v>802.4</v>
      </c>
      <c r="C1684" s="1517" t="s">
        <v>254</v>
      </c>
      <c r="D1684" s="1517"/>
      <c r="E1684" s="1516"/>
      <c r="F1684" s="1511"/>
      <c r="G1684" s="1509" t="str">
        <f t="shared" ca="1" si="127"/>
        <v>P</v>
      </c>
      <c r="H1684" s="1530" t="s">
        <v>3199</v>
      </c>
      <c r="I1684" s="589"/>
      <c r="J1684" s="873"/>
      <c r="K1684" s="873"/>
      <c r="L1684" s="1634"/>
      <c r="M1684" s="1722"/>
      <c r="N1684" s="1669"/>
      <c r="O1684" s="1669"/>
      <c r="X1684" s="1600"/>
      <c r="Y1684" s="1874"/>
      <c r="Z1684" s="1600"/>
      <c r="AC1684" s="1150"/>
      <c r="AD1684" s="1150"/>
      <c r="AL1684" s="1352"/>
      <c r="AM1684" s="1352"/>
      <c r="AN1684" s="1352"/>
      <c r="AO1684" s="1352"/>
      <c r="AP1684" s="1352"/>
      <c r="AQ1684" s="1352"/>
      <c r="AR1684" s="1352"/>
      <c r="AS1684" s="1352"/>
    </row>
    <row r="1685" spans="1:45" s="905" customFormat="1" x14ac:dyDescent="0.2">
      <c r="A1685" s="1507">
        <v>8</v>
      </c>
      <c r="B1685" s="1516">
        <v>802.4</v>
      </c>
      <c r="C1685" s="1517" t="s">
        <v>254</v>
      </c>
      <c r="D1685" s="1517"/>
      <c r="E1685" s="1516"/>
      <c r="F1685" s="1511"/>
      <c r="G1685" s="1509" t="str">
        <f t="shared" ca="1" si="127"/>
        <v>P</v>
      </c>
      <c r="H1685" s="1530" t="s">
        <v>3199</v>
      </c>
      <c r="I1685" s="589"/>
      <c r="J1685" s="873"/>
      <c r="K1685" s="873"/>
      <c r="L1685" s="1634"/>
      <c r="M1685" s="1722"/>
      <c r="N1685" s="1669"/>
      <c r="O1685" s="1669"/>
      <c r="X1685" s="1600"/>
      <c r="Y1685" s="1874"/>
      <c r="Z1685" s="1600"/>
      <c r="AC1685" s="1150"/>
      <c r="AD1685" s="1150"/>
      <c r="AL1685" s="1352"/>
      <c r="AM1685" s="1352"/>
      <c r="AN1685" s="1352"/>
      <c r="AO1685" s="1352"/>
      <c r="AP1685" s="1352"/>
      <c r="AQ1685" s="1352"/>
      <c r="AR1685" s="1352"/>
      <c r="AS1685" s="1352"/>
    </row>
    <row r="1686" spans="1:45" s="905" customFormat="1" x14ac:dyDescent="0.2">
      <c r="A1686" s="1507">
        <v>8</v>
      </c>
      <c r="B1686" s="1516">
        <v>802.4</v>
      </c>
      <c r="C1686" s="1517" t="s">
        <v>254</v>
      </c>
      <c r="D1686" s="1517"/>
      <c r="E1686" s="1516"/>
      <c r="F1686" s="1511"/>
      <c r="G1686" s="1509" t="str">
        <f t="shared" ca="1" si="127"/>
        <v>P</v>
      </c>
      <c r="H1686" s="1530" t="s">
        <v>3199</v>
      </c>
      <c r="I1686" s="589"/>
      <c r="J1686" s="873"/>
      <c r="K1686" s="873"/>
      <c r="L1686" s="1634"/>
      <c r="M1686" s="1722"/>
      <c r="N1686" s="1669"/>
      <c r="O1686" s="1669"/>
      <c r="X1686" s="1600"/>
      <c r="Y1686" s="1874"/>
      <c r="Z1686" s="1600"/>
      <c r="AC1686" s="1150"/>
      <c r="AD1686" s="1150"/>
      <c r="AL1686" s="1352"/>
      <c r="AM1686" s="1352"/>
      <c r="AN1686" s="1352"/>
      <c r="AO1686" s="1352"/>
      <c r="AP1686" s="1352"/>
      <c r="AQ1686" s="1352"/>
      <c r="AR1686" s="1352"/>
      <c r="AS1686" s="1352"/>
    </row>
    <row r="1687" spans="1:45" s="905" customFormat="1" x14ac:dyDescent="0.2">
      <c r="A1687" s="1507">
        <v>8</v>
      </c>
      <c r="B1687" s="1516">
        <v>802.4</v>
      </c>
      <c r="C1687" s="1517" t="s">
        <v>254</v>
      </c>
      <c r="D1687" s="1517"/>
      <c r="E1687" s="1516"/>
      <c r="F1687" s="1511"/>
      <c r="G1687" s="1509" t="str">
        <f t="shared" ca="1" si="127"/>
        <v>P</v>
      </c>
      <c r="H1687" s="1530" t="s">
        <v>3199</v>
      </c>
      <c r="I1687" s="589"/>
      <c r="J1687" s="873"/>
      <c r="K1687" s="873"/>
      <c r="L1687" s="1634"/>
      <c r="M1687" s="930"/>
      <c r="N1687" s="930"/>
      <c r="O1687" s="930"/>
      <c r="X1687" s="1600"/>
      <c r="Y1687" s="1874"/>
      <c r="Z1687" s="1600"/>
      <c r="AC1687" s="1150"/>
      <c r="AD1687" s="1150"/>
      <c r="AL1687" s="1352"/>
      <c r="AM1687" s="1352"/>
      <c r="AN1687" s="1352"/>
      <c r="AO1687" s="1352"/>
      <c r="AP1687" s="1352"/>
      <c r="AQ1687" s="1352"/>
      <c r="AR1687" s="1352"/>
      <c r="AS1687" s="1352"/>
    </row>
    <row r="1688" spans="1:45" s="905" customFormat="1" x14ac:dyDescent="0.2">
      <c r="A1688" s="1507">
        <v>8</v>
      </c>
      <c r="B1688" s="1516">
        <v>802.4</v>
      </c>
      <c r="C1688" s="1517" t="s">
        <v>254</v>
      </c>
      <c r="D1688" s="1517"/>
      <c r="E1688" s="1516"/>
      <c r="F1688" s="1511"/>
      <c r="G1688" s="1509" t="str">
        <f t="shared" ca="1" si="127"/>
        <v>P</v>
      </c>
      <c r="H1688" s="1530" t="s">
        <v>3199</v>
      </c>
      <c r="I1688" s="589"/>
      <c r="J1688" s="873"/>
      <c r="K1688" s="873"/>
      <c r="L1688" s="1634"/>
      <c r="M1688" s="930"/>
      <c r="N1688" s="930"/>
      <c r="O1688" s="930"/>
      <c r="X1688" s="1600"/>
      <c r="Y1688" s="1874"/>
      <c r="Z1688" s="1600"/>
      <c r="AC1688" s="1150"/>
      <c r="AD1688" s="1150"/>
      <c r="AL1688" s="1352"/>
      <c r="AM1688" s="1352"/>
      <c r="AN1688" s="1352"/>
      <c r="AO1688" s="1352"/>
      <c r="AP1688" s="1352"/>
      <c r="AQ1688" s="1352"/>
      <c r="AR1688" s="1352"/>
      <c r="AS1688" s="1352"/>
    </row>
    <row r="1689" spans="1:45" s="905" customFormat="1" x14ac:dyDescent="0.2">
      <c r="A1689" s="1507">
        <v>8</v>
      </c>
      <c r="B1689" s="1516">
        <v>802.4</v>
      </c>
      <c r="C1689" s="1517" t="s">
        <v>254</v>
      </c>
      <c r="D1689" s="1517" t="s">
        <v>3922</v>
      </c>
      <c r="E1689" s="1516"/>
      <c r="F1689" s="1511"/>
      <c r="G1689" s="1509" t="str">
        <f t="shared" ca="1" si="127"/>
        <v>P</v>
      </c>
      <c r="H1689" s="1530" t="s">
        <v>3199</v>
      </c>
      <c r="I1689" s="589"/>
      <c r="J1689" s="1068"/>
      <c r="K1689" s="1068"/>
      <c r="L1689" s="1745" t="s">
        <v>4540</v>
      </c>
      <c r="M1689" s="1623" t="s">
        <v>4662</v>
      </c>
      <c r="N1689" s="908"/>
      <c r="O1689" s="908"/>
      <c r="X1689" s="1600"/>
      <c r="Y1689" s="1874"/>
      <c r="Z1689" s="1600"/>
      <c r="AC1689" s="1150"/>
      <c r="AD1689" s="1150"/>
      <c r="AL1689" s="1352" t="str">
        <f>SUBSTITUTE(SUBSTITUTE(SUBSTITUTE("vpa"&amp;$B1689&amp;$C1689&amp;$D1689&amp;$E1689&amp;$F1689,".","_"),"(","_"),")","")</f>
        <v>vpa802_4_1_2</v>
      </c>
      <c r="AM1689" s="1352" t="str">
        <f>M1689</f>
        <v>7 Max</v>
      </c>
      <c r="AN1689" s="1352"/>
      <c r="AO1689" s="1352"/>
      <c r="AP1689" s="1352"/>
      <c r="AQ1689" s="1352"/>
      <c r="AR1689" s="1352"/>
      <c r="AS1689" s="1352"/>
    </row>
    <row r="1690" spans="1:45" s="905" customFormat="1" x14ac:dyDescent="0.2">
      <c r="A1690" s="1507">
        <v>8</v>
      </c>
      <c r="B1690" s="1516">
        <v>802.4</v>
      </c>
      <c r="C1690" s="1517" t="s">
        <v>254</v>
      </c>
      <c r="D1690" s="1517"/>
      <c r="E1690" s="1516"/>
      <c r="F1690" s="1511"/>
      <c r="G1690" s="1509" t="str">
        <f t="shared" ca="1" si="127"/>
        <v>P</v>
      </c>
      <c r="H1690" s="1530" t="s">
        <v>3199</v>
      </c>
      <c r="I1690" s="589"/>
      <c r="J1690" s="1068"/>
      <c r="K1690" s="1068"/>
      <c r="L1690" s="1745"/>
      <c r="M1690" s="1623"/>
      <c r="N1690" s="908"/>
      <c r="O1690" s="908"/>
      <c r="X1690" s="1600"/>
      <c r="Y1690" s="1874"/>
      <c r="Z1690" s="1600"/>
      <c r="AC1690" s="1150"/>
      <c r="AD1690" s="1150"/>
      <c r="AL1690" s="1352"/>
      <c r="AM1690" s="1352"/>
      <c r="AN1690" s="1352"/>
      <c r="AO1690" s="1352"/>
      <c r="AP1690" s="1352"/>
      <c r="AQ1690" s="1352"/>
      <c r="AR1690" s="1352"/>
      <c r="AS1690" s="1352"/>
    </row>
    <row r="1691" spans="1:45" s="905" customFormat="1" x14ac:dyDescent="0.2">
      <c r="A1691" s="1507">
        <v>8</v>
      </c>
      <c r="B1691" s="1516">
        <v>802.4</v>
      </c>
      <c r="C1691" s="1517" t="s">
        <v>254</v>
      </c>
      <c r="D1691" s="1517"/>
      <c r="E1691" s="1516"/>
      <c r="F1691" s="1511"/>
      <c r="G1691" s="1509" t="str">
        <f t="shared" ca="1" si="127"/>
        <v>P</v>
      </c>
      <c r="H1691" s="1530" t="s">
        <v>3199</v>
      </c>
      <c r="I1691" s="589"/>
      <c r="J1691" s="1072"/>
      <c r="K1691" s="1072"/>
      <c r="L1691" s="1760"/>
      <c r="M1691" s="1624"/>
      <c r="N1691" s="909"/>
      <c r="O1691" s="909"/>
      <c r="U1691" s="991"/>
      <c r="X1691" s="1600"/>
      <c r="Y1691" s="1874"/>
      <c r="Z1691" s="1600"/>
      <c r="AC1691" s="1150"/>
      <c r="AD1691" s="1150"/>
      <c r="AL1691" s="1352"/>
      <c r="AM1691" s="1352"/>
      <c r="AN1691" s="1352"/>
      <c r="AO1691" s="1352"/>
      <c r="AP1691" s="1352"/>
      <c r="AQ1691" s="1352"/>
      <c r="AR1691" s="1352"/>
      <c r="AS1691" s="1352"/>
    </row>
    <row r="1692" spans="1:45" s="905" customFormat="1" hidden="1" x14ac:dyDescent="0.2">
      <c r="A1692" s="1507">
        <v>8</v>
      </c>
      <c r="B1692" s="1516">
        <v>802.4</v>
      </c>
      <c r="C1692" s="1517" t="s">
        <v>255</v>
      </c>
      <c r="D1692" s="1517"/>
      <c r="E1692" s="1516"/>
      <c r="F1692" s="1511"/>
      <c r="G1692" s="1509" t="str">
        <f ca="1">IF(N1692&gt;0,"P","")</f>
        <v>P</v>
      </c>
      <c r="H1692" s="1530" t="s">
        <v>3199</v>
      </c>
      <c r="I1692" s="589"/>
      <c r="J1692" s="873" t="s">
        <v>255</v>
      </c>
      <c r="K1692" s="873"/>
      <c r="L1692" s="1634" t="s">
        <v>4858</v>
      </c>
      <c r="M1692" s="911"/>
      <c r="N1692" s="1637">
        <f ca="1">'11.800'!O106</f>
        <v>6</v>
      </c>
      <c r="O1692" s="1637">
        <f ca="1">IFERROR(INDEX({6,10,14},MATCH(W1692,INDIRECT(U1692),0)),0)*S1692</f>
        <v>0</v>
      </c>
      <c r="P1692" s="991" t="b">
        <v>0</v>
      </c>
      <c r="Q1692" s="905" t="b">
        <v>1</v>
      </c>
      <c r="R1692" s="905" t="b">
        <v>0</v>
      </c>
      <c r="S1692" s="905" t="b">
        <f ca="1">AND(LEN(W1681)&gt;0,S1600=1)</f>
        <v>1</v>
      </c>
      <c r="T1692" s="991" t="b">
        <f ca="1">IF(AND(NOT(S1692),LEN(W1692)&gt;0),TRUE,FALSE)</f>
        <v>0</v>
      </c>
      <c r="U1692" s="991" t="str">
        <f>SUBSTITUTE(SUBSTITUTE(SUBSTITUTE("dd"&amp;B1692&amp;C1692&amp;D1692&amp;E1692&amp;F1692,".","_"),"(","_"),")","")</f>
        <v>dd802_4_2</v>
      </c>
      <c r="W1692" s="12"/>
      <c r="X1692" s="1600"/>
      <c r="Y1692" s="1874" t="str">
        <f>IF(LEN('11.800'!X106)=0,"None",'11.800'!X106)</f>
        <v>None</v>
      </c>
      <c r="Z1692" s="1600"/>
      <c r="AC1692" s="1150" t="b">
        <f ca="1">OR(AD1692:AE1692)</f>
        <v>0</v>
      </c>
      <c r="AD1692" s="1150" t="b">
        <f ca="1">T1692</f>
        <v>0</v>
      </c>
      <c r="AL1692" s="1352"/>
      <c r="AM1692" s="1352"/>
      <c r="AN1692" s="1352" t="str">
        <f>SUBSTITUTE(SUBSTITUTE(SUBSTITUTE("vpc"&amp;$B1692&amp;$C1692&amp;$D1692&amp;$E1692&amp;$F1692,".","_"),"(","_"),")","")</f>
        <v>vpc802_4_2</v>
      </c>
      <c r="AO1692" s="1352">
        <f ca="1">O1692</f>
        <v>0</v>
      </c>
      <c r="AP1692" s="1352" t="str">
        <f>SUBSTITUTE(SUBSTITUTE(SUBSTITUTE("vch"&amp;$B1692&amp;$C1692&amp;$D1692&amp;$E1692&amp;$F1692,".","_"),"(","_"),")","")</f>
        <v>vch802_4_2</v>
      </c>
      <c r="AQ1692" s="1352" t="str">
        <f>IF(LEN(W1692)=0,"",W1692)</f>
        <v/>
      </c>
      <c r="AR1692" s="1352" t="str">
        <f>SUBSTITUTE(SUBSTITUTE(SUBSTITUTE("vnt"&amp;$B1692&amp;$C1692&amp;$D1692&amp;$E1692&amp;$F1692,".","_"),"(","_"),")","")</f>
        <v>vnt802_4_2</v>
      </c>
      <c r="AS1692" s="1352" t="str">
        <f>IF(LEN(X1692)=0,"",X1692)</f>
        <v/>
      </c>
    </row>
    <row r="1693" spans="1:45" s="905" customFormat="1" hidden="1" x14ac:dyDescent="0.2">
      <c r="A1693" s="1507">
        <v>8</v>
      </c>
      <c r="B1693" s="1516">
        <v>802.4</v>
      </c>
      <c r="C1693" s="1517" t="s">
        <v>255</v>
      </c>
      <c r="D1693" s="1517"/>
      <c r="E1693" s="1516"/>
      <c r="F1693" s="1511"/>
      <c r="G1693" s="1509" t="str">
        <f ca="1">G1692</f>
        <v>P</v>
      </c>
      <c r="H1693" s="1530" t="s">
        <v>3199</v>
      </c>
      <c r="I1693" s="589"/>
      <c r="J1693" s="873"/>
      <c r="K1693" s="873"/>
      <c r="L1693" s="1634"/>
      <c r="M1693" s="911"/>
      <c r="N1693" s="1619"/>
      <c r="O1693" s="1669"/>
      <c r="X1693" s="1600"/>
      <c r="Y1693" s="1874"/>
      <c r="Z1693" s="1600"/>
      <c r="AC1693" s="1150"/>
      <c r="AD1693" s="1150"/>
      <c r="AL1693" s="1352"/>
      <c r="AM1693" s="1352"/>
      <c r="AN1693" s="1352"/>
      <c r="AO1693" s="1352"/>
      <c r="AP1693" s="1352"/>
      <c r="AQ1693" s="1352"/>
      <c r="AR1693" s="1352"/>
      <c r="AS1693" s="1352"/>
    </row>
    <row r="1694" spans="1:45" s="905" customFormat="1" hidden="1" x14ac:dyDescent="0.2">
      <c r="A1694" s="1507">
        <v>8</v>
      </c>
      <c r="B1694" s="1516">
        <v>802.4</v>
      </c>
      <c r="C1694" s="1517" t="s">
        <v>255</v>
      </c>
      <c r="D1694" s="1517"/>
      <c r="E1694" s="1516"/>
      <c r="F1694" s="1511"/>
      <c r="G1694" s="1509" t="str">
        <f ca="1">G1693</f>
        <v>P</v>
      </c>
      <c r="H1694" s="1530" t="s">
        <v>3199</v>
      </c>
      <c r="I1694" s="589"/>
      <c r="J1694" s="873"/>
      <c r="K1694" s="873"/>
      <c r="L1694" s="1634"/>
      <c r="M1694" s="930"/>
      <c r="N1694" s="1619"/>
      <c r="O1694" s="1669"/>
      <c r="X1694" s="1600"/>
      <c r="Y1694" s="1874"/>
      <c r="Z1694" s="1600"/>
      <c r="AC1694" s="1150"/>
      <c r="AD1694" s="1150"/>
      <c r="AL1694" s="1352"/>
      <c r="AM1694" s="1352"/>
      <c r="AN1694" s="1352"/>
      <c r="AO1694" s="1352"/>
      <c r="AP1694" s="1352"/>
      <c r="AQ1694" s="1352"/>
      <c r="AR1694" s="1352"/>
      <c r="AS1694" s="1352"/>
    </row>
    <row r="1695" spans="1:45" s="905" customFormat="1" hidden="1" x14ac:dyDescent="0.2">
      <c r="A1695" s="1507">
        <v>8</v>
      </c>
      <c r="B1695" s="1516">
        <v>802.4</v>
      </c>
      <c r="C1695" s="1517" t="s">
        <v>255</v>
      </c>
      <c r="D1695" s="1517" t="s">
        <v>121</v>
      </c>
      <c r="E1695" s="1516"/>
      <c r="F1695" s="1511"/>
      <c r="G1695" s="1509" t="str">
        <f ca="1">G1694</f>
        <v>P</v>
      </c>
      <c r="H1695" s="1530" t="s">
        <v>3199</v>
      </c>
      <c r="I1695" s="589"/>
      <c r="J1695" s="873"/>
      <c r="K1695" s="1072" t="s">
        <v>121</v>
      </c>
      <c r="L1695" s="923" t="s">
        <v>4541</v>
      </c>
      <c r="M1695" s="937" t="s">
        <v>4663</v>
      </c>
      <c r="N1695" s="935"/>
      <c r="O1695" s="935"/>
      <c r="X1695" s="1600"/>
      <c r="Y1695" s="1874"/>
      <c r="Z1695" s="1600"/>
      <c r="AC1695" s="1150"/>
      <c r="AD1695" s="1150"/>
      <c r="AL1695" s="1352" t="str">
        <f>SUBSTITUTE(SUBSTITUTE(SUBSTITUTE("vpa"&amp;$B1695&amp;$C1695&amp;$D1695&amp;$E1695&amp;$F1695,".","_"),"(","_"),")","")</f>
        <v>vpa802_4_2_a</v>
      </c>
      <c r="AM1695" s="1352" t="str">
        <f>M1695</f>
        <v xml:space="preserve">6 Additional </v>
      </c>
      <c r="AN1695" s="1352"/>
      <c r="AO1695" s="1352"/>
      <c r="AP1695" s="1352"/>
      <c r="AQ1695" s="1352"/>
      <c r="AR1695" s="1352"/>
      <c r="AS1695" s="1352"/>
    </row>
    <row r="1696" spans="1:45" s="905" customFormat="1" hidden="1" x14ac:dyDescent="0.2">
      <c r="A1696" s="1507">
        <v>8</v>
      </c>
      <c r="B1696" s="1516">
        <v>802.4</v>
      </c>
      <c r="C1696" s="1517" t="s">
        <v>255</v>
      </c>
      <c r="D1696" s="1517" t="s">
        <v>122</v>
      </c>
      <c r="E1696" s="1516"/>
      <c r="F1696" s="1511"/>
      <c r="G1696" s="1509" t="str">
        <f ca="1">G1695</f>
        <v>P</v>
      </c>
      <c r="H1696" s="1530" t="s">
        <v>3199</v>
      </c>
      <c r="I1696" s="589"/>
      <c r="J1696" s="1072"/>
      <c r="K1696" s="1072" t="s">
        <v>122</v>
      </c>
      <c r="L1696" s="923" t="s">
        <v>4542</v>
      </c>
      <c r="M1696" s="937" t="s">
        <v>4664</v>
      </c>
      <c r="N1696" s="909"/>
      <c r="O1696" s="909"/>
      <c r="U1696" s="991"/>
      <c r="X1696" s="1600"/>
      <c r="Y1696" s="1874"/>
      <c r="Z1696" s="1600"/>
      <c r="AC1696" s="1150"/>
      <c r="AD1696" s="1150"/>
      <c r="AL1696" s="1352" t="str">
        <f>SUBSTITUTE(SUBSTITUTE(SUBSTITUTE("vpa"&amp;$B1696&amp;$C1696&amp;$D1696&amp;$E1696&amp;$F1696,".","_"),"(","_"),")","")</f>
        <v>vpa802_4_2_b</v>
      </c>
      <c r="AM1696" s="1352" t="str">
        <f>M1696</f>
        <v xml:space="preserve">10 Additional </v>
      </c>
      <c r="AN1696" s="1352"/>
      <c r="AO1696" s="1352"/>
      <c r="AP1696" s="1352"/>
      <c r="AQ1696" s="1352"/>
      <c r="AR1696" s="1352"/>
      <c r="AS1696" s="1352"/>
    </row>
    <row r="1697" spans="1:45" s="905" customFormat="1" hidden="1" x14ac:dyDescent="0.2">
      <c r="A1697" s="1507">
        <v>8</v>
      </c>
      <c r="B1697" s="1516">
        <v>802.4</v>
      </c>
      <c r="C1697" s="1517" t="s">
        <v>256</v>
      </c>
      <c r="D1697" s="1517"/>
      <c r="E1697" s="1516"/>
      <c r="F1697" s="1511"/>
      <c r="G1697" s="1509" t="str">
        <f ca="1">IF(N1697&gt;0,"P","")</f>
        <v/>
      </c>
      <c r="H1697" s="1530" t="s">
        <v>3199</v>
      </c>
      <c r="I1697" s="590"/>
      <c r="J1697" s="1068" t="s">
        <v>256</v>
      </c>
      <c r="K1697" s="1068"/>
      <c r="L1697" s="1634" t="s">
        <v>4543</v>
      </c>
      <c r="M1697" s="1692" t="s">
        <v>4665</v>
      </c>
      <c r="N1697" s="1637">
        <f ca="1">'11.800'!O111</f>
        <v>0</v>
      </c>
      <c r="O1697" s="1619">
        <f ca="1">IFERROR(MATCH(W1697,INDIRECT(U1697),0),0)*S1697</f>
        <v>0</v>
      </c>
      <c r="P1697" s="991" t="b">
        <v>0</v>
      </c>
      <c r="Q1697" s="991" t="b">
        <v>1</v>
      </c>
      <c r="R1697" s="991" t="b">
        <v>0</v>
      </c>
      <c r="S1697" s="991" t="b">
        <f ca="1">S1600=1</f>
        <v>1</v>
      </c>
      <c r="T1697" s="991" t="b">
        <f ca="1">IF(AND(NOT(S1697),LEN(W1697)&gt;0),TRUE,FALSE)</f>
        <v>0</v>
      </c>
      <c r="U1697" s="991" t="str">
        <f>SUBSTITUTE(SUBSTITUTE(SUBSTITUTE("dd"&amp;B1697&amp;C1697&amp;D1697&amp;E1697&amp;F1697,".","_"),"(","_"),")","")</f>
        <v>dd802_4_3</v>
      </c>
      <c r="W1697" s="110"/>
      <c r="X1697" s="1601"/>
      <c r="Y1697" s="1881" t="str">
        <f>IF(LEN('11.800'!X111)=0,"None",'11.800'!X111)</f>
        <v>None</v>
      </c>
      <c r="Z1697" s="1600"/>
      <c r="AC1697" s="1150" t="b">
        <f ca="1">OR(AD1697:AE1697)</f>
        <v>0</v>
      </c>
      <c r="AD1697" s="1150" t="b">
        <f ca="1">T1697</f>
        <v>0</v>
      </c>
      <c r="AL1697" s="1352" t="str">
        <f>SUBSTITUTE(SUBSTITUTE(SUBSTITUTE("vpa"&amp;$B1697&amp;$C1697&amp;$D1697&amp;$E1697&amp;$F1697,".","_"),"(","_"),")","")</f>
        <v>vpa802_4_3</v>
      </c>
      <c r="AM1697" s="1352" t="str">
        <f>M1697</f>
        <v>1
3 Max</v>
      </c>
      <c r="AN1697" s="1352" t="str">
        <f>SUBSTITUTE(SUBSTITUTE(SUBSTITUTE("vpc"&amp;$B1697&amp;$C1697&amp;$D1697&amp;$E1697&amp;$F1697,".","_"),"(","_"),")","")</f>
        <v>vpc802_4_3</v>
      </c>
      <c r="AO1697" s="1352">
        <f ca="1">O1697</f>
        <v>0</v>
      </c>
      <c r="AP1697" s="1352" t="str">
        <f>SUBSTITUTE(SUBSTITUTE(SUBSTITUTE("vch"&amp;$B1697&amp;$C1697&amp;$D1697&amp;$E1697&amp;$F1697,".","_"),"(","_"),")","")</f>
        <v>vch802_4_3</v>
      </c>
      <c r="AQ1697" s="1352" t="str">
        <f>IF(LEN(W1697)=0,"",W1697)</f>
        <v/>
      </c>
      <c r="AR1697" s="1352" t="str">
        <f>SUBSTITUTE(SUBSTITUTE(SUBSTITUTE("vnt"&amp;$B1697&amp;$C1697&amp;$D1697&amp;$E1697&amp;$F1697,".","_"),"(","_"),")","")</f>
        <v>vnt802_4_3</v>
      </c>
      <c r="AS1697" s="1352" t="str">
        <f>IF(LEN(X1697)=0,"",X1697)</f>
        <v/>
      </c>
    </row>
    <row r="1698" spans="1:45" s="905" customFormat="1" hidden="1" x14ac:dyDescent="0.2">
      <c r="A1698" s="1507">
        <v>8</v>
      </c>
      <c r="B1698" s="1516">
        <v>802.4</v>
      </c>
      <c r="C1698" s="1517" t="s">
        <v>256</v>
      </c>
      <c r="D1698" s="1517"/>
      <c r="E1698" s="1516"/>
      <c r="F1698" s="1511"/>
      <c r="G1698" s="1509" t="str">
        <f ca="1">G1697</f>
        <v/>
      </c>
      <c r="H1698" s="1530" t="s">
        <v>3199</v>
      </c>
      <c r="I1698" s="590"/>
      <c r="J1698" s="1068"/>
      <c r="K1698" s="1068"/>
      <c r="L1698" s="1634"/>
      <c r="M1698" s="1692"/>
      <c r="N1698" s="1619"/>
      <c r="O1698" s="1619"/>
      <c r="P1698" s="991"/>
      <c r="Q1698" s="991"/>
      <c r="R1698" s="991"/>
      <c r="S1698" s="991"/>
      <c r="T1698" s="991"/>
      <c r="U1698" s="991"/>
      <c r="W1698" s="1135"/>
      <c r="X1698" s="1601"/>
      <c r="Y1698" s="1881"/>
      <c r="Z1698" s="1600"/>
      <c r="AC1698" s="1150"/>
      <c r="AD1698" s="1150"/>
      <c r="AL1698" s="1352"/>
      <c r="AM1698" s="1352"/>
      <c r="AN1698" s="1352"/>
      <c r="AO1698" s="1352"/>
      <c r="AP1698" s="1352"/>
      <c r="AQ1698" s="1352"/>
      <c r="AR1698" s="1352"/>
      <c r="AS1698" s="1352"/>
    </row>
    <row r="1699" spans="1:45" s="905" customFormat="1" ht="16" hidden="1" thickBot="1" x14ac:dyDescent="0.25">
      <c r="A1699" s="1507">
        <v>8</v>
      </c>
      <c r="B1699" s="1516">
        <v>802.4</v>
      </c>
      <c r="C1699" s="1517" t="s">
        <v>256</v>
      </c>
      <c r="D1699" s="1517"/>
      <c r="E1699" s="1516"/>
      <c r="F1699" s="1511"/>
      <c r="G1699" s="1509" t="str">
        <f ca="1">G1698</f>
        <v/>
      </c>
      <c r="H1699" s="1530" t="s">
        <v>3199</v>
      </c>
      <c r="I1699" s="594"/>
      <c r="J1699" s="1069"/>
      <c r="K1699" s="1069"/>
      <c r="L1699" s="1635"/>
      <c r="M1699" s="914"/>
      <c r="N1699" s="922"/>
      <c r="O1699" s="922"/>
      <c r="P1699" s="100"/>
      <c r="Q1699" s="100"/>
      <c r="R1699" s="100"/>
      <c r="S1699" s="100"/>
      <c r="T1699" s="100"/>
      <c r="U1699" s="100"/>
      <c r="W1699" s="100"/>
      <c r="X1699" s="1602"/>
      <c r="Y1699" s="1882"/>
      <c r="Z1699" s="1602"/>
      <c r="AC1699" s="1150"/>
      <c r="AD1699" s="1150"/>
      <c r="AL1699" s="1352"/>
      <c r="AM1699" s="1352"/>
      <c r="AN1699" s="1352"/>
      <c r="AO1699" s="1352"/>
      <c r="AP1699" s="1352"/>
      <c r="AQ1699" s="1352"/>
      <c r="AR1699" s="1352"/>
      <c r="AS1699" s="1352"/>
    </row>
    <row r="1700" spans="1:45" s="905" customFormat="1" x14ac:dyDescent="0.2">
      <c r="A1700" s="1507">
        <v>8</v>
      </c>
      <c r="B1700" s="1516">
        <v>802.5</v>
      </c>
      <c r="C1700" s="1517"/>
      <c r="D1700" s="1517"/>
      <c r="E1700" s="1516"/>
      <c r="F1700" s="1511"/>
      <c r="G1700" s="1513" t="str">
        <f ca="1">IF(COUNTIF(G1701:G1720,"P")&gt;0,"P","")</f>
        <v>P</v>
      </c>
      <c r="H1700" s="1530" t="s">
        <v>3199</v>
      </c>
      <c r="I1700" s="589" t="s">
        <v>4544</v>
      </c>
      <c r="J1700" s="873"/>
      <c r="K1700" s="873"/>
      <c r="L1700" s="946" t="s">
        <v>4545</v>
      </c>
      <c r="M1700" s="913"/>
      <c r="N1700" s="908"/>
      <c r="O1700" s="908"/>
      <c r="P1700" s="991"/>
      <c r="Q1700" s="991"/>
      <c r="R1700" s="991"/>
      <c r="S1700" s="991"/>
      <c r="T1700" s="991"/>
      <c r="U1700" s="991"/>
      <c r="X1700" s="1122"/>
      <c r="Y1700" s="1198"/>
      <c r="AC1700" s="1150"/>
      <c r="AD1700" s="1150"/>
      <c r="AL1700" s="1352"/>
      <c r="AM1700" s="1352"/>
      <c r="AN1700" s="1352"/>
      <c r="AO1700" s="1352"/>
      <c r="AP1700" s="1352"/>
      <c r="AQ1700" s="1352"/>
      <c r="AR1700" s="1352"/>
      <c r="AS1700" s="1352"/>
    </row>
    <row r="1701" spans="1:45" s="905" customFormat="1" x14ac:dyDescent="0.2">
      <c r="A1701" s="1507">
        <v>8</v>
      </c>
      <c r="B1701" s="1516" t="s">
        <v>4644</v>
      </c>
      <c r="C1701" s="1517"/>
      <c r="D1701" s="1517"/>
      <c r="E1701" s="1516"/>
      <c r="F1701" s="1511"/>
      <c r="G1701" s="1509" t="str">
        <f ca="1">IF(N1701&gt;0,"P","")</f>
        <v>P</v>
      </c>
      <c r="H1701" s="1530" t="s">
        <v>3199</v>
      </c>
      <c r="I1701" s="589" t="s">
        <v>4546</v>
      </c>
      <c r="J1701" s="873"/>
      <c r="K1701" s="873"/>
      <c r="L1701" s="1687" t="s">
        <v>4547</v>
      </c>
      <c r="M1701" s="911"/>
      <c r="N1701" s="1669">
        <f ca="1">'11.800'!O115</f>
        <v>16</v>
      </c>
      <c r="O1701" s="1669">
        <f ca="1">(S1702*S1704+IFERROR(INDEX({0,0,6,8,12},MATCH(W1703,INDIRECT(U1703),0)),0))*S1701</f>
        <v>4</v>
      </c>
      <c r="P1701" s="991" t="b">
        <v>0</v>
      </c>
      <c r="Q1701" s="905" t="b">
        <v>1</v>
      </c>
      <c r="R1701" s="905" t="b">
        <v>0</v>
      </c>
      <c r="S1701" s="905" t="b">
        <f ca="1">S1600=1</f>
        <v>1</v>
      </c>
      <c r="T1701" s="991" t="b">
        <f ca="1">IF(AND(NOT(S1701),LEN(W1701)&gt;0),TRUE,FALSE)</f>
        <v>0</v>
      </c>
      <c r="U1701" s="991" t="str">
        <f>SUBSTITUTE(SUBSTITUTE(SUBSTITUTE("dd"&amp;B1701&amp;C1701&amp;D1701&amp;E1701&amp;F1701,".","_"),"(","_"),")","")</f>
        <v>dd802_5_1</v>
      </c>
      <c r="W1701" s="12" t="s">
        <v>4688</v>
      </c>
      <c r="X1701" s="1600"/>
      <c r="Y1701" s="1874" t="str">
        <f>IF(LEN('11.800'!X115)=0,"None",'11.800'!X115)</f>
        <v>None</v>
      </c>
      <c r="Z1701" s="1600"/>
      <c r="AC1701" s="1150" t="b">
        <f ca="1">OR(AD1701:AE1701)</f>
        <v>0</v>
      </c>
      <c r="AD1701" s="1150" t="b">
        <f ca="1">T1701</f>
        <v>0</v>
      </c>
      <c r="AL1701" s="1352"/>
      <c r="AM1701" s="1352"/>
      <c r="AN1701" s="1352" t="str">
        <f>SUBSTITUTE(SUBSTITUTE(SUBSTITUTE("vpc"&amp;$B1701&amp;$C1701&amp;$D1701&amp;$E1701&amp;$F1701,".","_"),"(","_"),")","")</f>
        <v>vpc802_5_1</v>
      </c>
      <c r="AO1701" s="1352">
        <f ca="1">O1701</f>
        <v>4</v>
      </c>
      <c r="AP1701" s="1352" t="str">
        <f>SUBSTITUTE(SUBSTITUTE(SUBSTITUTE("vch"&amp;$B1701&amp;$C1701&amp;$D1701&amp;$E1701&amp;$F1701,".","_"),"(","_"),")","")</f>
        <v>vch802_5_1</v>
      </c>
      <c r="AQ1701" s="1352" t="str">
        <f>IF(LEN(W1701)=0,"",W1701)</f>
        <v>2 fixtures</v>
      </c>
      <c r="AR1701" s="1352" t="str">
        <f>SUBSTITUTE(SUBSTITUTE(SUBSTITUTE("vnt"&amp;$B1701&amp;$C1701&amp;$D1701&amp;$E1701&amp;$F1701,".","_"),"(","_"),")","")</f>
        <v>vnt802_5_1</v>
      </c>
      <c r="AS1701" s="1352" t="str">
        <f>IF(LEN(X1701)=0,"",X1701)</f>
        <v/>
      </c>
    </row>
    <row r="1702" spans="1:45" s="905" customFormat="1" x14ac:dyDescent="0.2">
      <c r="A1702" s="1507">
        <v>8</v>
      </c>
      <c r="B1702" s="1516" t="s">
        <v>4644</v>
      </c>
      <c r="C1702" s="1517"/>
      <c r="D1702" s="1517"/>
      <c r="E1702" s="1516"/>
      <c r="F1702" s="1511"/>
      <c r="G1702" s="1509" t="str">
        <f t="shared" ref="G1702:G1712" ca="1" si="128">G1701</f>
        <v>P</v>
      </c>
      <c r="H1702" s="1530" t="s">
        <v>3199</v>
      </c>
      <c r="I1702" s="589"/>
      <c r="J1702" s="873"/>
      <c r="K1702" s="873"/>
      <c r="L1702" s="1687"/>
      <c r="N1702" s="1669"/>
      <c r="O1702" s="1669"/>
      <c r="S1702" s="1">
        <f ca="1">IFERROR(MATCH(W1701,INDIRECT(U1701),0),0)</f>
        <v>2</v>
      </c>
      <c r="U1702" s="991"/>
      <c r="X1702" s="1600"/>
      <c r="Y1702" s="1874"/>
      <c r="Z1702" s="1600"/>
      <c r="AC1702" s="1150"/>
      <c r="AD1702" s="1150"/>
      <c r="AL1702" s="1352"/>
      <c r="AM1702" s="1352"/>
      <c r="AN1702" s="1352"/>
      <c r="AO1702" s="1352"/>
      <c r="AP1702" s="1352"/>
      <c r="AQ1702" s="1352"/>
      <c r="AR1702" s="1352"/>
      <c r="AS1702" s="1352"/>
    </row>
    <row r="1703" spans="1:45" s="905" customFormat="1" x14ac:dyDescent="0.2">
      <c r="A1703" s="1507">
        <v>8</v>
      </c>
      <c r="B1703" s="1516" t="s">
        <v>4644</v>
      </c>
      <c r="C1703" s="1517" t="s">
        <v>3921</v>
      </c>
      <c r="D1703" s="1517"/>
      <c r="E1703" s="1516"/>
      <c r="F1703" s="1511"/>
      <c r="G1703" s="1509" t="str">
        <f t="shared" ca="1" si="128"/>
        <v>P</v>
      </c>
      <c r="H1703" s="1530" t="s">
        <v>3199</v>
      </c>
      <c r="I1703" s="589"/>
      <c r="J1703" s="873"/>
      <c r="K1703" s="873"/>
      <c r="L1703" s="1687"/>
      <c r="N1703" s="1669"/>
      <c r="O1703" s="1669"/>
      <c r="P1703" s="991" t="b">
        <v>0</v>
      </c>
      <c r="Q1703" s="905" t="b">
        <v>1</v>
      </c>
      <c r="R1703" s="173" t="b">
        <v>0</v>
      </c>
      <c r="S1703" s="173" t="b">
        <f ca="1">AND(LEN(W1701)&gt;0,S1600=1)</f>
        <v>1</v>
      </c>
      <c r="T1703" s="991" t="b">
        <f ca="1">IF(AND(NOT(S1703),LEN(W1703)&gt;0),TRUE,FALSE)</f>
        <v>0</v>
      </c>
      <c r="U1703" s="991" t="str">
        <f>SUBSTITUTE(SUBSTITUTE(SUBSTITUTE("dd"&amp;B1703&amp;C1703&amp;D1703&amp;E1703&amp;F1703,".","_"),"(","_"),")","")</f>
        <v>dd802_5_1_1</v>
      </c>
      <c r="W1703" s="12" t="s">
        <v>255</v>
      </c>
      <c r="X1703" s="1600"/>
      <c r="Y1703" s="1874"/>
      <c r="Z1703" s="1600"/>
      <c r="AC1703" s="1150" t="b">
        <f ca="1">OR(AD1703:AE1703)</f>
        <v>0</v>
      </c>
      <c r="AD1703" s="1150" t="b">
        <f ca="1">T1703</f>
        <v>0</v>
      </c>
      <c r="AL1703" s="1352"/>
      <c r="AM1703" s="1352"/>
      <c r="AN1703" s="1352"/>
      <c r="AO1703" s="1352"/>
      <c r="AP1703" s="1352" t="str">
        <f>SUBSTITUTE(SUBSTITUTE(SUBSTITUTE("vch"&amp;$B1703&amp;$C1703&amp;$D1703&amp;$E1703&amp;$F1703,".","_"),"(","_"),")","")</f>
        <v>vch802_5_1_1</v>
      </c>
      <c r="AQ1703" s="1352" t="str">
        <f>IF(LEN(W1703)=0,"",W1703)</f>
        <v>(2)</v>
      </c>
      <c r="AR1703" s="1352"/>
      <c r="AS1703" s="1352"/>
    </row>
    <row r="1704" spans="1:45" s="905" customFormat="1" x14ac:dyDescent="0.2">
      <c r="A1704" s="1507">
        <v>8</v>
      </c>
      <c r="B1704" s="1516" t="s">
        <v>4644</v>
      </c>
      <c r="C1704" s="1517" t="s">
        <v>254</v>
      </c>
      <c r="D1704" s="1517"/>
      <c r="E1704" s="1516"/>
      <c r="F1704" s="1511"/>
      <c r="G1704" s="1509" t="str">
        <f t="shared" ca="1" si="128"/>
        <v>P</v>
      </c>
      <c r="H1704" s="1530" t="s">
        <v>3199</v>
      </c>
      <c r="I1704" s="589"/>
      <c r="J1704" s="1068" t="s">
        <v>254</v>
      </c>
      <c r="K1704" s="1068"/>
      <c r="L1704" s="917" t="s">
        <v>4548</v>
      </c>
      <c r="M1704" s="1623" t="s">
        <v>4699</v>
      </c>
      <c r="N1704" s="908"/>
      <c r="O1704" s="908"/>
      <c r="S1704" s="1">
        <f ca="1">MIN(2,(IFERROR(MATCH(W1703,INDIRECT(U1703),0),0)))</f>
        <v>2</v>
      </c>
      <c r="U1704" s="991"/>
      <c r="X1704" s="1600"/>
      <c r="Y1704" s="1874"/>
      <c r="Z1704" s="1600"/>
      <c r="AL1704" s="1352" t="str">
        <f>SUBSTITUTE(SUBSTITUTE(SUBSTITUTE("vpa"&amp;$B1704&amp;$C1704&amp;$D1704&amp;$E1704&amp;$F1704,".","_"),"(","_"),")","")</f>
        <v>vpa802_5_1_1</v>
      </c>
      <c r="AM1704" s="1352" t="str">
        <f>M1704</f>
        <v>1 [3 max*]</v>
      </c>
      <c r="AN1704" s="1352"/>
      <c r="AO1704" s="1352"/>
      <c r="AP1704" s="1352"/>
      <c r="AQ1704" s="1352"/>
      <c r="AR1704" s="1352"/>
      <c r="AS1704" s="1352"/>
    </row>
    <row r="1705" spans="1:45" s="905" customFormat="1" x14ac:dyDescent="0.2">
      <c r="A1705" s="1507">
        <v>8</v>
      </c>
      <c r="B1705" s="1516" t="s">
        <v>4644</v>
      </c>
      <c r="C1705" s="1517" t="s">
        <v>254</v>
      </c>
      <c r="D1705" s="1517"/>
      <c r="E1705" s="1516"/>
      <c r="F1705" s="1511"/>
      <c r="G1705" s="1509" t="str">
        <f t="shared" ca="1" si="128"/>
        <v>P</v>
      </c>
      <c r="H1705" s="1530" t="s">
        <v>3199</v>
      </c>
      <c r="I1705" s="589"/>
      <c r="J1705" s="1068"/>
      <c r="K1705" s="1068"/>
      <c r="L1705" s="1745" t="s">
        <v>4549</v>
      </c>
      <c r="M1705" s="1623"/>
      <c r="U1705" s="991"/>
      <c r="X1705" s="1600"/>
      <c r="Y1705" s="1874"/>
      <c r="Z1705" s="1600"/>
      <c r="AL1705" s="1352"/>
      <c r="AM1705" s="1352"/>
      <c r="AN1705" s="1352"/>
      <c r="AO1705" s="1352"/>
      <c r="AP1705" s="1352"/>
      <c r="AQ1705" s="1352"/>
      <c r="AR1705" s="1352"/>
      <c r="AS1705" s="1352"/>
    </row>
    <row r="1706" spans="1:45" s="905" customFormat="1" x14ac:dyDescent="0.2">
      <c r="A1706" s="1507">
        <v>8</v>
      </c>
      <c r="B1706" s="1516" t="s">
        <v>4644</v>
      </c>
      <c r="C1706" s="1517" t="s">
        <v>254</v>
      </c>
      <c r="D1706" s="1517"/>
      <c r="E1706" s="1516"/>
      <c r="F1706" s="1511"/>
      <c r="G1706" s="1509" t="str">
        <f t="shared" ca="1" si="128"/>
        <v>P</v>
      </c>
      <c r="H1706" s="1530" t="s">
        <v>3199</v>
      </c>
      <c r="I1706" s="589"/>
      <c r="J1706" s="1068"/>
      <c r="K1706" s="1068"/>
      <c r="L1706" s="1745"/>
      <c r="M1706" s="1623"/>
      <c r="U1706" s="991"/>
      <c r="X1706" s="1600"/>
      <c r="Y1706" s="1874"/>
      <c r="Z1706" s="1600"/>
      <c r="AL1706" s="1352"/>
      <c r="AM1706" s="1352"/>
      <c r="AN1706" s="1352"/>
      <c r="AO1706" s="1352"/>
      <c r="AP1706" s="1352"/>
      <c r="AQ1706" s="1352"/>
      <c r="AR1706" s="1352"/>
      <c r="AS1706" s="1352"/>
    </row>
    <row r="1707" spans="1:45" s="905" customFormat="1" x14ac:dyDescent="0.2">
      <c r="A1707" s="1507">
        <v>8</v>
      </c>
      <c r="B1707" s="1516" t="s">
        <v>4644</v>
      </c>
      <c r="C1707" s="1517" t="s">
        <v>254</v>
      </c>
      <c r="D1707" s="1517"/>
      <c r="E1707" s="1516"/>
      <c r="F1707" s="1511"/>
      <c r="G1707" s="1509" t="str">
        <f t="shared" ca="1" si="128"/>
        <v>P</v>
      </c>
      <c r="H1707" s="1530" t="s">
        <v>3199</v>
      </c>
      <c r="I1707" s="589"/>
      <c r="J1707" s="1072"/>
      <c r="K1707" s="1072"/>
      <c r="L1707" s="1760"/>
      <c r="M1707" s="1624"/>
      <c r="N1707" s="908"/>
      <c r="O1707" s="908"/>
      <c r="P1707" s="991"/>
      <c r="R1707" s="991"/>
      <c r="S1707" s="991"/>
      <c r="T1707" s="991"/>
      <c r="U1707" s="991"/>
      <c r="X1707" s="1600"/>
      <c r="Y1707" s="1874"/>
      <c r="Z1707" s="1600"/>
      <c r="AL1707" s="1352"/>
      <c r="AM1707" s="1352"/>
      <c r="AN1707" s="1352"/>
      <c r="AO1707" s="1352"/>
      <c r="AP1707" s="1352"/>
      <c r="AQ1707" s="1352"/>
      <c r="AR1707" s="1352"/>
      <c r="AS1707" s="1352"/>
    </row>
    <row r="1708" spans="1:45" s="905" customFormat="1" x14ac:dyDescent="0.2">
      <c r="A1708" s="1507">
        <v>8</v>
      </c>
      <c r="B1708" s="1516" t="s">
        <v>4644</v>
      </c>
      <c r="C1708" s="1517" t="s">
        <v>255</v>
      </c>
      <c r="D1708" s="1517"/>
      <c r="E1708" s="1516"/>
      <c r="F1708" s="1511"/>
      <c r="G1708" s="1509" t="str">
        <f t="shared" ca="1" si="128"/>
        <v>P</v>
      </c>
      <c r="H1708" s="1530" t="s">
        <v>3199</v>
      </c>
      <c r="I1708" s="589"/>
      <c r="J1708" s="1074" t="s">
        <v>255</v>
      </c>
      <c r="K1708" s="1074"/>
      <c r="L1708" s="1075" t="s">
        <v>4550</v>
      </c>
      <c r="M1708" s="379" t="s">
        <v>4700</v>
      </c>
      <c r="N1708" s="908"/>
      <c r="O1708" s="908"/>
      <c r="P1708" s="991"/>
      <c r="R1708" s="991"/>
      <c r="S1708" s="991"/>
      <c r="T1708" s="991"/>
      <c r="U1708" s="991"/>
      <c r="X1708" s="1600"/>
      <c r="Y1708" s="1874"/>
      <c r="Z1708" s="1600"/>
      <c r="AL1708" s="1352" t="str">
        <f>SUBSTITUTE(SUBSTITUTE(SUBSTITUTE("vpa"&amp;$B1708&amp;$C1708&amp;$D1708&amp;$E1708&amp;$F1708,".","_"),"(","_"),")","")</f>
        <v>vpa802_5_1_2</v>
      </c>
      <c r="AM1708" s="1352" t="str">
        <f>M1708</f>
        <v>2 [6 max*]</v>
      </c>
      <c r="AN1708" s="1352"/>
      <c r="AO1708" s="1352"/>
      <c r="AP1708" s="1352"/>
      <c r="AQ1708" s="1352"/>
      <c r="AR1708" s="1352"/>
      <c r="AS1708" s="1352"/>
    </row>
    <row r="1709" spans="1:45" s="905" customFormat="1" x14ac:dyDescent="0.2">
      <c r="A1709" s="1507">
        <v>8</v>
      </c>
      <c r="B1709" s="1516" t="s">
        <v>4644</v>
      </c>
      <c r="C1709" s="1517" t="s">
        <v>256</v>
      </c>
      <c r="D1709" s="1517"/>
      <c r="E1709" s="1516"/>
      <c r="F1709" s="1511"/>
      <c r="G1709" s="1509" t="str">
        <f t="shared" ca="1" si="128"/>
        <v>P</v>
      </c>
      <c r="H1709" s="1530" t="s">
        <v>3199</v>
      </c>
      <c r="I1709" s="589"/>
      <c r="J1709" s="1074" t="s">
        <v>256</v>
      </c>
      <c r="K1709" s="1074"/>
      <c r="L1709" s="1075" t="s">
        <v>4551</v>
      </c>
      <c r="M1709" s="379" t="s">
        <v>4663</v>
      </c>
      <c r="N1709" s="908"/>
      <c r="O1709" s="908"/>
      <c r="P1709" s="991"/>
      <c r="R1709" s="991"/>
      <c r="S1709" s="991"/>
      <c r="T1709" s="991"/>
      <c r="U1709" s="991"/>
      <c r="X1709" s="1600"/>
      <c r="Y1709" s="1874"/>
      <c r="Z1709" s="1600"/>
      <c r="AL1709" s="1352" t="str">
        <f>SUBSTITUTE(SUBSTITUTE(SUBSTITUTE("vpa"&amp;$B1709&amp;$C1709&amp;$D1709&amp;$E1709&amp;$F1709,".","_"),"(","_"),")","")</f>
        <v>vpa802_5_1_3</v>
      </c>
      <c r="AM1709" s="1352" t="str">
        <f>M1709</f>
        <v xml:space="preserve">6 Additional </v>
      </c>
      <c r="AN1709" s="1352"/>
      <c r="AO1709" s="1352"/>
      <c r="AP1709" s="1352"/>
      <c r="AQ1709" s="1352"/>
      <c r="AR1709" s="1352"/>
      <c r="AS1709" s="1352"/>
    </row>
    <row r="1710" spans="1:45" s="905" customFormat="1" x14ac:dyDescent="0.2">
      <c r="A1710" s="1507">
        <v>8</v>
      </c>
      <c r="B1710" s="1516" t="s">
        <v>4644</v>
      </c>
      <c r="C1710" s="1517" t="s">
        <v>259</v>
      </c>
      <c r="D1710" s="1517"/>
      <c r="E1710" s="1516"/>
      <c r="F1710" s="1511"/>
      <c r="G1710" s="1509" t="str">
        <f t="shared" ca="1" si="128"/>
        <v>P</v>
      </c>
      <c r="H1710" s="1530" t="s">
        <v>3199</v>
      </c>
      <c r="I1710" s="589"/>
      <c r="J1710" s="1073" t="s">
        <v>259</v>
      </c>
      <c r="K1710" s="1073"/>
      <c r="L1710" s="1633" t="s">
        <v>4552</v>
      </c>
      <c r="M1710" s="921" t="s">
        <v>4701</v>
      </c>
      <c r="N1710" s="908"/>
      <c r="O1710" s="908"/>
      <c r="P1710" s="991"/>
      <c r="R1710" s="991"/>
      <c r="S1710" s="991"/>
      <c r="T1710" s="991"/>
      <c r="U1710" s="991"/>
      <c r="X1710" s="1600"/>
      <c r="Y1710" s="1874"/>
      <c r="Z1710" s="1600"/>
      <c r="AL1710" s="1352" t="str">
        <f>SUBSTITUTE(SUBSTITUTE(SUBSTITUTE("vpa"&amp;$B1710&amp;$C1710&amp;$D1710&amp;$E1710&amp;$F1710,".","_"),"(","_"),")","")</f>
        <v>vpa802_5_1_4</v>
      </c>
      <c r="AM1710" s="1352" t="str">
        <f>M1710</f>
        <v xml:space="preserve">8 Additional </v>
      </c>
      <c r="AN1710" s="1352"/>
      <c r="AO1710" s="1352"/>
      <c r="AP1710" s="1352"/>
      <c r="AQ1710" s="1352"/>
      <c r="AR1710" s="1352"/>
      <c r="AS1710" s="1352"/>
    </row>
    <row r="1711" spans="1:45" s="905" customFormat="1" x14ac:dyDescent="0.2">
      <c r="A1711" s="1507">
        <v>8</v>
      </c>
      <c r="B1711" s="1516" t="s">
        <v>4644</v>
      </c>
      <c r="C1711" s="1517" t="s">
        <v>259</v>
      </c>
      <c r="D1711" s="1517"/>
      <c r="E1711" s="1516"/>
      <c r="F1711" s="1511"/>
      <c r="G1711" s="1509" t="str">
        <f t="shared" ca="1" si="128"/>
        <v>P</v>
      </c>
      <c r="H1711" s="1530" t="s">
        <v>3199</v>
      </c>
      <c r="I1711" s="589"/>
      <c r="J1711" s="1072"/>
      <c r="K1711" s="1072"/>
      <c r="L1711" s="1639"/>
      <c r="M1711" s="937"/>
      <c r="N1711" s="908"/>
      <c r="O1711" s="908"/>
      <c r="P1711" s="991"/>
      <c r="R1711" s="991"/>
      <c r="S1711" s="991"/>
      <c r="T1711" s="991"/>
      <c r="U1711" s="991"/>
      <c r="X1711" s="1600"/>
      <c r="Y1711" s="1874"/>
      <c r="Z1711" s="1600"/>
      <c r="AL1711" s="1352"/>
      <c r="AM1711" s="1352"/>
      <c r="AN1711" s="1352"/>
      <c r="AO1711" s="1352"/>
      <c r="AP1711" s="1352"/>
      <c r="AQ1711" s="1352"/>
      <c r="AR1711" s="1352"/>
      <c r="AS1711" s="1352"/>
    </row>
    <row r="1712" spans="1:45" s="905" customFormat="1" x14ac:dyDescent="0.2">
      <c r="A1712" s="1507">
        <v>8</v>
      </c>
      <c r="B1712" s="1516" t="s">
        <v>4644</v>
      </c>
      <c r="C1712" s="1517" t="s">
        <v>263</v>
      </c>
      <c r="D1712" s="1517"/>
      <c r="E1712" s="1516"/>
      <c r="F1712" s="1511"/>
      <c r="G1712" s="1509" t="str">
        <f t="shared" ca="1" si="128"/>
        <v>P</v>
      </c>
      <c r="H1712" s="1530" t="s">
        <v>3199</v>
      </c>
      <c r="I1712" s="606"/>
      <c r="J1712" s="1072" t="s">
        <v>263</v>
      </c>
      <c r="K1712" s="1072"/>
      <c r="L1712" s="923" t="s">
        <v>4553</v>
      </c>
      <c r="M1712" s="937" t="s">
        <v>4702</v>
      </c>
      <c r="N1712" s="909"/>
      <c r="O1712" s="909"/>
      <c r="P1712" s="173"/>
      <c r="Q1712" s="173"/>
      <c r="R1712" s="173"/>
      <c r="S1712" s="173"/>
      <c r="T1712" s="173"/>
      <c r="U1712" s="173"/>
      <c r="X1712" s="1600"/>
      <c r="Y1712" s="1874"/>
      <c r="Z1712" s="1600"/>
      <c r="AL1712" s="1352" t="str">
        <f>SUBSTITUTE(SUBSTITUTE(SUBSTITUTE("vpa"&amp;$B1712&amp;$C1712&amp;$D1712&amp;$E1712&amp;$F1712,".","_"),"(","_"),")","")</f>
        <v>vpa802_5_1_5</v>
      </c>
      <c r="AM1712" s="1352" t="str">
        <f>M1712</f>
        <v xml:space="preserve">12 Additional </v>
      </c>
      <c r="AN1712" s="1352"/>
      <c r="AO1712" s="1352"/>
      <c r="AP1712" s="1352"/>
      <c r="AQ1712" s="1352"/>
      <c r="AR1712" s="1352"/>
      <c r="AS1712" s="1352"/>
    </row>
    <row r="1713" spans="1:45" s="905" customFormat="1" x14ac:dyDescent="0.2">
      <c r="A1713" s="1507">
        <v>8</v>
      </c>
      <c r="B1713" s="1516" t="s">
        <v>4645</v>
      </c>
      <c r="C1713" s="1517"/>
      <c r="D1713" s="1517"/>
      <c r="E1713" s="1516"/>
      <c r="F1713" s="1511"/>
      <c r="G1713" s="1509" t="str">
        <f ca="1">IF(N1713&gt;0,"P","")</f>
        <v>P</v>
      </c>
      <c r="H1713" s="1530" t="s">
        <v>3199</v>
      </c>
      <c r="I1713" s="589" t="s">
        <v>4554</v>
      </c>
      <c r="J1713" s="873"/>
      <c r="K1713" s="873"/>
      <c r="L1713" s="1687" t="s">
        <v>4555</v>
      </c>
      <c r="M1713" s="579"/>
      <c r="N1713" s="1637">
        <f ca="1">'11.800'!O127</f>
        <v>3</v>
      </c>
      <c r="O1713" s="1619">
        <f ca="1">IFERROR(INDEX({3,4},MATCH(W1713,INDIRECT(U1713),0)),0)*S1713</f>
        <v>3</v>
      </c>
      <c r="P1713" s="991" t="b">
        <v>0</v>
      </c>
      <c r="Q1713" s="905" t="b">
        <v>1</v>
      </c>
      <c r="R1713" s="991" t="b">
        <v>0</v>
      </c>
      <c r="S1713" s="464" t="b">
        <f ca="1">S1600=1</f>
        <v>1</v>
      </c>
      <c r="T1713" s="991" t="b">
        <f ca="1">IF(AND(NOT(S1713),LEN(W1713)&gt;0),TRUE,FALSE)</f>
        <v>0</v>
      </c>
      <c r="U1713" s="991" t="str">
        <f>SUBSTITUTE(SUBSTITUTE(SUBSTITUTE("dd"&amp;B1713&amp;C1713&amp;D1713&amp;E1713&amp;F1713,".","_"),"(","_"),")","")</f>
        <v>dd802_5_2</v>
      </c>
      <c r="W1713" s="12" t="s">
        <v>254</v>
      </c>
      <c r="X1713" s="1600"/>
      <c r="Y1713" s="1874" t="str">
        <f>IF(LEN('11.800'!X127)=0,"None",'11.800'!X127)</f>
        <v>None</v>
      </c>
      <c r="Z1713" s="1600"/>
      <c r="AC1713" s="1150" t="b">
        <f ca="1">OR(AD1713:AE1713)</f>
        <v>0</v>
      </c>
      <c r="AD1713" s="1150" t="b">
        <f ca="1">T1713</f>
        <v>0</v>
      </c>
      <c r="AL1713" s="1352"/>
      <c r="AM1713" s="1352"/>
      <c r="AN1713" s="1352" t="str">
        <f>SUBSTITUTE(SUBSTITUTE(SUBSTITUTE("vpc"&amp;$B1713&amp;$C1713&amp;$D1713&amp;$E1713&amp;$F1713,".","_"),"(","_"),")","")</f>
        <v>vpc802_5_2</v>
      </c>
      <c r="AO1713" s="1352">
        <f ca="1">O1713</f>
        <v>3</v>
      </c>
      <c r="AP1713" s="1352" t="str">
        <f>SUBSTITUTE(SUBSTITUTE(SUBSTITUTE("vch"&amp;$B1713&amp;$C1713&amp;$D1713&amp;$E1713&amp;$F1713,".","_"),"(","_"),")","")</f>
        <v>vch802_5_2</v>
      </c>
      <c r="AQ1713" s="1352" t="str">
        <f>IF(LEN(W1713)=0,"",W1713)</f>
        <v>(1)</v>
      </c>
      <c r="AR1713" s="1352" t="str">
        <f>SUBSTITUTE(SUBSTITUTE(SUBSTITUTE("vnt"&amp;$B1713&amp;$C1713&amp;$D1713&amp;$E1713&amp;$F1713,".","_"),"(","_"),")","")</f>
        <v>vnt802_5_2</v>
      </c>
      <c r="AS1713" s="1352" t="str">
        <f>IF(LEN(X1713)=0,"",X1713)</f>
        <v/>
      </c>
    </row>
    <row r="1714" spans="1:45" s="905" customFormat="1" x14ac:dyDescent="0.2">
      <c r="A1714" s="1507">
        <v>8</v>
      </c>
      <c r="B1714" s="1516" t="s">
        <v>4645</v>
      </c>
      <c r="C1714" s="1517"/>
      <c r="D1714" s="1517"/>
      <c r="E1714" s="1516"/>
      <c r="F1714" s="1511"/>
      <c r="G1714" s="1509" t="str">
        <f ca="1">G1713</f>
        <v>P</v>
      </c>
      <c r="H1714" s="1530" t="s">
        <v>3199</v>
      </c>
      <c r="I1714" s="589"/>
      <c r="J1714" s="873"/>
      <c r="K1714" s="873"/>
      <c r="L1714" s="1687"/>
      <c r="N1714" s="1619"/>
      <c r="O1714" s="1619"/>
      <c r="X1714" s="1600"/>
      <c r="Y1714" s="1874"/>
      <c r="Z1714" s="1600"/>
      <c r="AC1714" s="1150"/>
      <c r="AD1714" s="1150"/>
      <c r="AL1714" s="1352"/>
      <c r="AM1714" s="1352"/>
      <c r="AN1714" s="1352"/>
      <c r="AO1714" s="1352"/>
      <c r="AP1714" s="1352"/>
      <c r="AQ1714" s="1352"/>
      <c r="AR1714" s="1352"/>
      <c r="AS1714" s="1352"/>
    </row>
    <row r="1715" spans="1:45" s="905" customFormat="1" x14ac:dyDescent="0.2">
      <c r="A1715" s="1507">
        <v>8</v>
      </c>
      <c r="B1715" s="1516" t="s">
        <v>4645</v>
      </c>
      <c r="C1715" s="1517"/>
      <c r="D1715" s="1517"/>
      <c r="E1715" s="1516"/>
      <c r="F1715" s="1511"/>
      <c r="G1715" s="1509" t="str">
        <f ca="1">G1714</f>
        <v>P</v>
      </c>
      <c r="H1715" s="1530" t="s">
        <v>3199</v>
      </c>
      <c r="I1715" s="589"/>
      <c r="J1715" s="873"/>
      <c r="K1715" s="873"/>
      <c r="L1715" s="1687"/>
      <c r="N1715" s="1619"/>
      <c r="O1715" s="1619"/>
      <c r="X1715" s="1600"/>
      <c r="Y1715" s="1874"/>
      <c r="Z1715" s="1600"/>
      <c r="AC1715" s="1150"/>
      <c r="AD1715" s="1150"/>
      <c r="AL1715" s="1352"/>
      <c r="AM1715" s="1352"/>
      <c r="AN1715" s="1352"/>
      <c r="AO1715" s="1352"/>
      <c r="AP1715" s="1352"/>
      <c r="AQ1715" s="1352"/>
      <c r="AR1715" s="1352"/>
      <c r="AS1715" s="1352"/>
    </row>
    <row r="1716" spans="1:45" s="905" customFormat="1" x14ac:dyDescent="0.2">
      <c r="A1716" s="1507">
        <v>8</v>
      </c>
      <c r="B1716" s="1516" t="s">
        <v>4645</v>
      </c>
      <c r="C1716" s="1517" t="s">
        <v>254</v>
      </c>
      <c r="D1716" s="1517"/>
      <c r="E1716" s="1516"/>
      <c r="F1716" s="1511"/>
      <c r="G1716" s="1509" t="str">
        <f ca="1">G1715</f>
        <v>P</v>
      </c>
      <c r="H1716" s="1530" t="s">
        <v>3199</v>
      </c>
      <c r="I1716" s="589"/>
      <c r="J1716" s="1072" t="s">
        <v>254</v>
      </c>
      <c r="K1716" s="1072"/>
      <c r="L1716" s="923" t="s">
        <v>4556</v>
      </c>
      <c r="M1716" s="937">
        <v>3</v>
      </c>
      <c r="N1716" s="908"/>
      <c r="O1716" s="908"/>
      <c r="P1716" s="991"/>
      <c r="R1716" s="991"/>
      <c r="S1716" s="991"/>
      <c r="T1716" s="991"/>
      <c r="U1716" s="991"/>
      <c r="X1716" s="1600"/>
      <c r="Y1716" s="1874"/>
      <c r="Z1716" s="1600"/>
      <c r="AC1716" s="1150"/>
      <c r="AD1716" s="1150"/>
      <c r="AL1716" s="1352" t="str">
        <f>SUBSTITUTE(SUBSTITUTE(SUBSTITUTE("vpa"&amp;$B1716&amp;$C1716&amp;$D1716&amp;$E1716&amp;$F1716,".","_"),"(","_"),")","")</f>
        <v>vpa802_5_2_1</v>
      </c>
      <c r="AM1716" s="1352">
        <f>M1716</f>
        <v>3</v>
      </c>
      <c r="AN1716" s="1352"/>
      <c r="AO1716" s="1352"/>
      <c r="AP1716" s="1352"/>
      <c r="AQ1716" s="1352"/>
      <c r="AR1716" s="1352"/>
      <c r="AS1716" s="1352"/>
    </row>
    <row r="1717" spans="1:45" s="905" customFormat="1" x14ac:dyDescent="0.2">
      <c r="A1717" s="1507">
        <v>8</v>
      </c>
      <c r="B1717" s="1516" t="s">
        <v>4645</v>
      </c>
      <c r="C1717" s="1517" t="s">
        <v>255</v>
      </c>
      <c r="D1717" s="1517"/>
      <c r="E1717" s="1516"/>
      <c r="F1717" s="1511"/>
      <c r="G1717" s="1509" t="str">
        <f ca="1">G1716</f>
        <v>P</v>
      </c>
      <c r="H1717" s="1530" t="s">
        <v>3199</v>
      </c>
      <c r="I1717" s="606"/>
      <c r="J1717" s="1072" t="s">
        <v>255</v>
      </c>
      <c r="K1717" s="1072"/>
      <c r="L1717" s="923" t="s">
        <v>4557</v>
      </c>
      <c r="M1717" s="937" t="s">
        <v>4668</v>
      </c>
      <c r="N1717" s="173"/>
      <c r="O1717" s="173"/>
      <c r="U1717" s="991"/>
      <c r="X1717" s="1600"/>
      <c r="Y1717" s="1874"/>
      <c r="Z1717" s="1600"/>
      <c r="AC1717" s="1150"/>
      <c r="AD1717" s="1150"/>
      <c r="AL1717" s="1352" t="str">
        <f>SUBSTITUTE(SUBSTITUTE(SUBSTITUTE("vpa"&amp;$B1717&amp;$C1717&amp;$D1717&amp;$E1717&amp;$F1717,".","_"),"(","_"),")","")</f>
        <v>vpa802_5_2_2</v>
      </c>
      <c r="AM1717" s="1352" t="str">
        <f>M1717</f>
        <v>1 Additional</v>
      </c>
      <c r="AN1717" s="1352"/>
      <c r="AO1717" s="1352"/>
      <c r="AP1717" s="1352"/>
      <c r="AQ1717" s="1352"/>
      <c r="AR1717" s="1352"/>
      <c r="AS1717" s="1352"/>
    </row>
    <row r="1718" spans="1:45" s="905" customFormat="1" hidden="1" x14ac:dyDescent="0.2">
      <c r="A1718" s="1507">
        <v>8</v>
      </c>
      <c r="B1718" s="1516" t="s">
        <v>4646</v>
      </c>
      <c r="C1718" s="1517"/>
      <c r="D1718" s="1517"/>
      <c r="E1718" s="1516"/>
      <c r="F1718" s="1511"/>
      <c r="G1718" s="1509" t="str">
        <f ca="1">IF(N1718&gt;0,"P","")</f>
        <v/>
      </c>
      <c r="H1718" s="1530" t="s">
        <v>3199</v>
      </c>
      <c r="I1718" s="590" t="s">
        <v>4558</v>
      </c>
      <c r="J1718" s="1068"/>
      <c r="K1718" s="1068"/>
      <c r="L1718" s="1687" t="s">
        <v>4559</v>
      </c>
      <c r="M1718" s="1692" t="s">
        <v>4665</v>
      </c>
      <c r="N1718" s="1637">
        <f ca="1">'11.800'!O132</f>
        <v>0</v>
      </c>
      <c r="O1718" s="1619">
        <f ca="1">IFERROR(MATCH(W1718,INDIRECT(U1718),0),0)*S1718</f>
        <v>0</v>
      </c>
      <c r="P1718" s="991" t="b">
        <v>0</v>
      </c>
      <c r="Q1718" s="905" t="b">
        <v>1</v>
      </c>
      <c r="R1718" s="991" t="b">
        <v>0</v>
      </c>
      <c r="S1718" s="991" t="b">
        <f ca="1">S1600=1</f>
        <v>1</v>
      </c>
      <c r="T1718" s="991" t="b">
        <f ca="1">IF(AND(NOT(S1718),LEN(W1718)&gt;0),TRUE,FALSE)</f>
        <v>0</v>
      </c>
      <c r="U1718" s="991" t="str">
        <f>SUBSTITUTE(SUBSTITUTE(SUBSTITUTE("dd"&amp;B1718&amp;C1718&amp;D1718&amp;E1718&amp;F1718,".","_"),"(","_"),")","")</f>
        <v>dd802_5_3</v>
      </c>
      <c r="W1718" s="12"/>
      <c r="X1718" s="1600"/>
      <c r="Y1718" s="1874" t="str">
        <f>IF(LEN('11.800'!X132)=0,"None",'11.800'!X132)</f>
        <v>None</v>
      </c>
      <c r="Z1718" s="1600"/>
      <c r="AC1718" s="1150" t="b">
        <f ca="1">OR(AD1718:AE1718)</f>
        <v>0</v>
      </c>
      <c r="AD1718" s="1150" t="b">
        <f ca="1">T1718</f>
        <v>0</v>
      </c>
      <c r="AL1718" s="1352" t="str">
        <f>SUBSTITUTE(SUBSTITUTE(SUBSTITUTE("vpa"&amp;$B1718&amp;$C1718&amp;$D1718&amp;$E1718&amp;$F1718,".","_"),"(","_"),")","")</f>
        <v>vpa802_5_3</v>
      </c>
      <c r="AM1718" s="1352" t="str">
        <f>M1718</f>
        <v>1
3 Max</v>
      </c>
      <c r="AN1718" s="1352" t="str">
        <f>SUBSTITUTE(SUBSTITUTE(SUBSTITUTE("vpc"&amp;$B1718&amp;$C1718&amp;$D1718&amp;$E1718&amp;$F1718,".","_"),"(","_"),")","")</f>
        <v>vpc802_5_3</v>
      </c>
      <c r="AO1718" s="1352">
        <f ca="1">O1718</f>
        <v>0</v>
      </c>
      <c r="AP1718" s="1352" t="str">
        <f>SUBSTITUTE(SUBSTITUTE(SUBSTITUTE("vch"&amp;$B1718&amp;$C1718&amp;$D1718&amp;$E1718&amp;$F1718,".","_"),"(","_"),")","")</f>
        <v>vch802_5_3</v>
      </c>
      <c r="AQ1718" s="1352" t="str">
        <f>IF(LEN(W1718)=0,"",W1718)</f>
        <v/>
      </c>
      <c r="AR1718" s="1352" t="str">
        <f>SUBSTITUTE(SUBSTITUTE(SUBSTITUTE("vnt"&amp;$B1718&amp;$C1718&amp;$D1718&amp;$E1718&amp;$F1718,".","_"),"(","_"),")","")</f>
        <v>vnt802_5_3</v>
      </c>
      <c r="AS1718" s="1352" t="str">
        <f>IF(LEN(X1718)=0,"",X1718)</f>
        <v/>
      </c>
    </row>
    <row r="1719" spans="1:45" s="905" customFormat="1" hidden="1" x14ac:dyDescent="0.2">
      <c r="A1719" s="1507">
        <v>8</v>
      </c>
      <c r="B1719" s="1516" t="s">
        <v>4646</v>
      </c>
      <c r="C1719" s="1517"/>
      <c r="D1719" s="1517"/>
      <c r="E1719" s="1516"/>
      <c r="F1719" s="1511"/>
      <c r="G1719" s="1509" t="str">
        <f t="shared" ref="G1719:G1730" ca="1" si="129">G1718</f>
        <v/>
      </c>
      <c r="H1719" s="1530" t="s">
        <v>3199</v>
      </c>
      <c r="I1719" s="606"/>
      <c r="J1719" s="1072"/>
      <c r="K1719" s="1072"/>
      <c r="L1719" s="1688"/>
      <c r="M1719" s="1711"/>
      <c r="N1719" s="1620"/>
      <c r="O1719" s="1620"/>
      <c r="P1719" s="991"/>
      <c r="Q1719" s="991"/>
      <c r="R1719" s="991"/>
      <c r="S1719" s="991"/>
      <c r="T1719" s="991"/>
      <c r="U1719" s="991"/>
      <c r="X1719" s="1600"/>
      <c r="Y1719" s="1874"/>
      <c r="Z1719" s="1600"/>
      <c r="AC1719" s="1150"/>
      <c r="AD1719" s="1150"/>
      <c r="AL1719" s="1352"/>
      <c r="AM1719" s="1352"/>
      <c r="AN1719" s="1352"/>
      <c r="AO1719" s="1352"/>
      <c r="AP1719" s="1352"/>
      <c r="AQ1719" s="1352"/>
      <c r="AR1719" s="1352"/>
      <c r="AS1719" s="1352"/>
    </row>
    <row r="1720" spans="1:45" s="905" customFormat="1" x14ac:dyDescent="0.2">
      <c r="A1720" s="1507">
        <v>8</v>
      </c>
      <c r="B1720" s="1516" t="s">
        <v>4647</v>
      </c>
      <c r="C1720" s="1517"/>
      <c r="D1720" s="1517"/>
      <c r="E1720" s="1516"/>
      <c r="F1720" s="1511"/>
      <c r="G1720" s="1513" t="str">
        <f ca="1">IF(COUNTIF(G1724:G1732,"P")&gt;0,"P","")</f>
        <v>P</v>
      </c>
      <c r="H1720" s="1530" t="s">
        <v>3199</v>
      </c>
      <c r="I1720" s="589" t="s">
        <v>4560</v>
      </c>
      <c r="J1720" s="873"/>
      <c r="K1720" s="873"/>
      <c r="L1720" s="1687" t="s">
        <v>4854</v>
      </c>
      <c r="M1720" s="911"/>
      <c r="N1720" s="935"/>
      <c r="O1720" s="935"/>
      <c r="U1720" s="991"/>
      <c r="X1720" s="1122"/>
      <c r="Y1720" s="1198"/>
      <c r="AC1720" s="1150"/>
      <c r="AD1720" s="1150"/>
      <c r="AL1720" s="1352"/>
      <c r="AM1720" s="1352"/>
      <c r="AN1720" s="1352"/>
      <c r="AO1720" s="1352"/>
      <c r="AP1720" s="1352"/>
      <c r="AQ1720" s="1352"/>
      <c r="AR1720" s="1352"/>
      <c r="AS1720" s="1352"/>
    </row>
    <row r="1721" spans="1:45" s="905" customFormat="1" x14ac:dyDescent="0.2">
      <c r="A1721" s="1507">
        <v>8</v>
      </c>
      <c r="B1721" s="1516" t="s">
        <v>4647</v>
      </c>
      <c r="C1721" s="1517"/>
      <c r="D1721" s="1517"/>
      <c r="E1721" s="1516"/>
      <c r="F1721" s="1511"/>
      <c r="G1721" s="1509" t="str">
        <f t="shared" ca="1" si="129"/>
        <v>P</v>
      </c>
      <c r="H1721" s="1530" t="s">
        <v>3199</v>
      </c>
      <c r="I1721" s="589"/>
      <c r="J1721" s="873"/>
      <c r="K1721" s="873"/>
      <c r="L1721" s="1687"/>
      <c r="M1721" s="911"/>
      <c r="N1721" s="935"/>
      <c r="O1721" s="935"/>
      <c r="U1721" s="991"/>
      <c r="X1721" s="1122"/>
      <c r="Y1721" s="1198"/>
      <c r="AC1721" s="1150"/>
      <c r="AD1721" s="1150"/>
      <c r="AL1721" s="1352"/>
      <c r="AM1721" s="1352"/>
      <c r="AN1721" s="1352"/>
      <c r="AO1721" s="1352"/>
      <c r="AP1721" s="1352"/>
      <c r="AQ1721" s="1352"/>
      <c r="AR1721" s="1352"/>
      <c r="AS1721" s="1352"/>
    </row>
    <row r="1722" spans="1:45" s="905" customFormat="1" x14ac:dyDescent="0.2">
      <c r="A1722" s="1507">
        <v>8</v>
      </c>
      <c r="B1722" s="1516" t="s">
        <v>4647</v>
      </c>
      <c r="C1722" s="1517" t="s">
        <v>254</v>
      </c>
      <c r="D1722" s="1517"/>
      <c r="E1722" s="1516"/>
      <c r="F1722" s="1511"/>
      <c r="G1722" s="1509" t="str">
        <f t="shared" ca="1" si="129"/>
        <v>P</v>
      </c>
      <c r="H1722" s="1530" t="s">
        <v>3199</v>
      </c>
      <c r="I1722" s="589"/>
      <c r="J1722" s="1068" t="s">
        <v>254</v>
      </c>
      <c r="K1722" s="1068"/>
      <c r="L1722" s="1634" t="s">
        <v>4703</v>
      </c>
      <c r="M1722" s="1764" t="str">
        <f ca="1">IF(O1731&gt;0,"Met","Gold/Emerald not available")</f>
        <v>Met</v>
      </c>
      <c r="N1722" s="908"/>
      <c r="O1722" s="908"/>
      <c r="U1722" s="991"/>
      <c r="X1722" s="1600"/>
      <c r="Y1722" s="1874" t="str">
        <f>IF(LEN('11.800'!X136)=0,"None",'11.800'!X136)</f>
        <v>None</v>
      </c>
      <c r="Z1722" s="1600"/>
      <c r="AC1722" s="1150"/>
      <c r="AD1722" s="1150"/>
      <c r="AL1722" s="1352" t="str">
        <f>SUBSTITUTE(SUBSTITUTE(SUBSTITUTE("vpa"&amp;$B1722&amp;$C1722&amp;$D1722&amp;$E1722&amp;$F1722,".","_"),"(","_"),")","")</f>
        <v>vpa802_5_4_1</v>
      </c>
      <c r="AM1722" s="1352" t="str">
        <f ca="1">M1722</f>
        <v>Met</v>
      </c>
      <c r="AN1722" s="1352"/>
      <c r="AO1722" s="1352"/>
      <c r="AP1722" s="1352"/>
      <c r="AQ1722" s="1352"/>
      <c r="AR1722" s="1352" t="str">
        <f>SUBSTITUTE(SUBSTITUTE(SUBSTITUTE("vnt"&amp;$B1722&amp;$C1722&amp;$D1722&amp;$E1722&amp;$F1722,".","_"),"(","_"),")","")</f>
        <v>vnt802_5_4_1</v>
      </c>
      <c r="AS1722" s="1352" t="str">
        <f>IF(LEN(X1722)=0,"",X1722)</f>
        <v/>
      </c>
    </row>
    <row r="1723" spans="1:45" s="905" customFormat="1" x14ac:dyDescent="0.2">
      <c r="A1723" s="1507">
        <v>8</v>
      </c>
      <c r="B1723" s="1516" t="s">
        <v>4647</v>
      </c>
      <c r="C1723" s="1517" t="s">
        <v>254</v>
      </c>
      <c r="D1723" s="1517"/>
      <c r="E1723" s="1516"/>
      <c r="F1723" s="1511"/>
      <c r="G1723" s="1509" t="str">
        <f t="shared" ca="1" si="129"/>
        <v>P</v>
      </c>
      <c r="H1723" s="1530" t="s">
        <v>3199</v>
      </c>
      <c r="I1723" s="589"/>
      <c r="J1723" s="1072"/>
      <c r="K1723" s="1072"/>
      <c r="L1723" s="1639"/>
      <c r="M1723" s="1765"/>
      <c r="N1723" s="909"/>
      <c r="O1723" s="909"/>
      <c r="P1723" s="991"/>
      <c r="Q1723" s="991"/>
      <c r="R1723" s="991"/>
      <c r="S1723" s="991"/>
      <c r="T1723" s="991"/>
      <c r="U1723" s="991"/>
      <c r="X1723" s="1600"/>
      <c r="Y1723" s="1874"/>
      <c r="Z1723" s="1600"/>
      <c r="AC1723" s="1150"/>
      <c r="AD1723" s="1150"/>
      <c r="AL1723" s="1352"/>
      <c r="AM1723" s="1352"/>
      <c r="AN1723" s="1352"/>
      <c r="AO1723" s="1352"/>
      <c r="AP1723" s="1352"/>
      <c r="AQ1723" s="1352"/>
      <c r="AR1723" s="1352"/>
      <c r="AS1723" s="1352"/>
    </row>
    <row r="1724" spans="1:45" s="905" customFormat="1" x14ac:dyDescent="0.2">
      <c r="A1724" s="1507">
        <v>8</v>
      </c>
      <c r="B1724" s="1516" t="s">
        <v>4647</v>
      </c>
      <c r="C1724" s="1517" t="s">
        <v>255</v>
      </c>
      <c r="D1724" s="1517"/>
      <c r="E1724" s="1516"/>
      <c r="F1724" s="1511"/>
      <c r="G1724" s="1509" t="str">
        <f ca="1">IF(N1724&gt;0,"P","")</f>
        <v>P</v>
      </c>
      <c r="H1724" s="1530" t="s">
        <v>3199</v>
      </c>
      <c r="I1724" s="589"/>
      <c r="J1724" s="1073" t="s">
        <v>255</v>
      </c>
      <c r="K1724" s="1073"/>
      <c r="L1724" s="1633" t="s">
        <v>5083</v>
      </c>
      <c r="M1724" s="1722" t="s">
        <v>4666</v>
      </c>
      <c r="N1724" s="1637">
        <f ca="1">'11.800'!O138</f>
        <v>4</v>
      </c>
      <c r="O1724" s="1669">
        <f ca="1">IFERROR(2*MATCH(W1724,INDIRECT(U1724),0),0)*S1724</f>
        <v>4</v>
      </c>
      <c r="P1724" s="991" t="b">
        <v>0</v>
      </c>
      <c r="Q1724" s="905" t="b">
        <v>1</v>
      </c>
      <c r="R1724" s="905" t="b">
        <v>0</v>
      </c>
      <c r="S1724" s="905" t="b">
        <f ca="1">S1600=1</f>
        <v>1</v>
      </c>
      <c r="T1724" s="991" t="b">
        <f ca="1">IF(AND(NOT(S1724),LEN(W1724)&gt;0),TRUE,FALSE)</f>
        <v>0</v>
      </c>
      <c r="U1724" s="991" t="str">
        <f>SUBSTITUTE(SUBSTITUTE(SUBSTITUTE("dd"&amp;B1724&amp;C1724&amp;D1724&amp;E1724&amp;F1724,".","_"),"(","_"),")","")</f>
        <v>dd802_5_4_2</v>
      </c>
      <c r="W1724" s="12" t="s">
        <v>4688</v>
      </c>
      <c r="X1724" s="1600"/>
      <c r="Y1724" s="1874" t="str">
        <f>IF(LEN('11.800'!X138)=0,"None",'11.800'!X138)</f>
        <v>None</v>
      </c>
      <c r="Z1724" s="1600"/>
      <c r="AC1724" s="1150" t="b">
        <f ca="1">OR(AD1724:AE1724)</f>
        <v>0</v>
      </c>
      <c r="AD1724" s="1150" t="b">
        <f ca="1">T1724</f>
        <v>0</v>
      </c>
      <c r="AL1724" s="1352" t="str">
        <f>SUBSTITUTE(SUBSTITUTE(SUBSTITUTE("vpa"&amp;$B1724&amp;$C1724&amp;$D1724&amp;$E1724&amp;$F1724,".","_"),"(","_"),")","")</f>
        <v>vpa802_5_4_2</v>
      </c>
      <c r="AM1724" s="1352" t="str">
        <f>M1724</f>
        <v>2 
6 Max</v>
      </c>
      <c r="AN1724" s="1352" t="str">
        <f>SUBSTITUTE(SUBSTITUTE(SUBSTITUTE("vpc"&amp;$B1724&amp;$C1724&amp;$D1724&amp;$E1724&amp;$F1724,".","_"),"(","_"),")","")</f>
        <v>vpc802_5_4_2</v>
      </c>
      <c r="AO1724" s="1352">
        <f ca="1">O1724</f>
        <v>4</v>
      </c>
      <c r="AP1724" s="1352" t="str">
        <f>SUBSTITUTE(SUBSTITUTE(SUBSTITUTE("vch"&amp;$B1724&amp;$C1724&amp;$D1724&amp;$E1724&amp;$F1724,".","_"),"(","_"),")","")</f>
        <v>vch802_5_4_2</v>
      </c>
      <c r="AQ1724" s="1352" t="str">
        <f>IF(LEN(W1724)=0,"",W1724)</f>
        <v>2 fixtures</v>
      </c>
      <c r="AR1724" s="1352" t="str">
        <f>SUBSTITUTE(SUBSTITUTE(SUBSTITUTE("vnt"&amp;$B1724&amp;$C1724&amp;$D1724&amp;$E1724&amp;$F1724,".","_"),"(","_"),")","")</f>
        <v>vnt802_5_4_2</v>
      </c>
      <c r="AS1724" s="1352" t="str">
        <f>IF(LEN(X1724)=0,"",X1724)</f>
        <v/>
      </c>
    </row>
    <row r="1725" spans="1:45" s="905" customFormat="1" x14ac:dyDescent="0.2">
      <c r="A1725" s="1507">
        <v>8</v>
      </c>
      <c r="B1725" s="1516" t="s">
        <v>4647</v>
      </c>
      <c r="C1725" s="1517" t="s">
        <v>255</v>
      </c>
      <c r="D1725" s="1517"/>
      <c r="E1725" s="1516"/>
      <c r="F1725" s="1511"/>
      <c r="G1725" s="1509" t="str">
        <f t="shared" ca="1" si="129"/>
        <v>P</v>
      </c>
      <c r="H1725" s="1530" t="s">
        <v>3199</v>
      </c>
      <c r="I1725" s="589"/>
      <c r="J1725" s="1068"/>
      <c r="K1725" s="1068"/>
      <c r="L1725" s="1634"/>
      <c r="M1725" s="1722"/>
      <c r="N1725" s="1669"/>
      <c r="O1725" s="1669"/>
      <c r="U1725" s="991"/>
      <c r="X1725" s="1600"/>
      <c r="Y1725" s="1874"/>
      <c r="Z1725" s="1600"/>
      <c r="AC1725" s="1150"/>
      <c r="AD1725" s="1150"/>
      <c r="AL1725" s="1352"/>
      <c r="AM1725" s="1352"/>
      <c r="AN1725" s="1352"/>
      <c r="AO1725" s="1352"/>
      <c r="AP1725" s="1352"/>
      <c r="AQ1725" s="1352"/>
      <c r="AR1725" s="1352"/>
      <c r="AS1725" s="1352"/>
    </row>
    <row r="1726" spans="1:45" s="905" customFormat="1" x14ac:dyDescent="0.2">
      <c r="A1726" s="1507">
        <v>8</v>
      </c>
      <c r="B1726" s="1516" t="s">
        <v>4647</v>
      </c>
      <c r="C1726" s="1517" t="s">
        <v>255</v>
      </c>
      <c r="D1726" s="1517"/>
      <c r="E1726" s="1516"/>
      <c r="F1726" s="1511"/>
      <c r="G1726" s="1509" t="str">
        <f t="shared" ca="1" si="129"/>
        <v>P</v>
      </c>
      <c r="H1726" s="1530" t="s">
        <v>3199</v>
      </c>
      <c r="I1726" s="589"/>
      <c r="J1726" s="1068"/>
      <c r="K1726" s="1068"/>
      <c r="L1726" s="1634"/>
      <c r="M1726" s="1722"/>
      <c r="N1726" s="1669"/>
      <c r="O1726" s="1669"/>
      <c r="U1726" s="991"/>
      <c r="X1726" s="1600"/>
      <c r="Y1726" s="1874"/>
      <c r="Z1726" s="1600"/>
      <c r="AC1726" s="1150"/>
      <c r="AD1726" s="1150"/>
      <c r="AL1726" s="1352"/>
      <c r="AM1726" s="1352"/>
      <c r="AN1726" s="1352"/>
      <c r="AO1726" s="1352"/>
      <c r="AP1726" s="1352"/>
      <c r="AQ1726" s="1352"/>
      <c r="AR1726" s="1352"/>
      <c r="AS1726" s="1352"/>
    </row>
    <row r="1727" spans="1:45" s="905" customFormat="1" x14ac:dyDescent="0.2">
      <c r="A1727" s="1507">
        <v>8</v>
      </c>
      <c r="B1727" s="1516" t="s">
        <v>4647</v>
      </c>
      <c r="C1727" s="1517" t="s">
        <v>255</v>
      </c>
      <c r="D1727" s="1517"/>
      <c r="E1727" s="1516"/>
      <c r="F1727" s="1511"/>
      <c r="G1727" s="1509" t="str">
        <f t="shared" ca="1" si="129"/>
        <v>P</v>
      </c>
      <c r="H1727" s="1530" t="s">
        <v>3199</v>
      </c>
      <c r="I1727" s="589"/>
      <c r="J1727" s="1068"/>
      <c r="K1727" s="1068"/>
      <c r="L1727" s="1634"/>
      <c r="M1727" s="911"/>
      <c r="N1727" s="935"/>
      <c r="O1727" s="935"/>
      <c r="U1727" s="991"/>
      <c r="X1727" s="1600"/>
      <c r="Y1727" s="1874"/>
      <c r="Z1727" s="1600"/>
      <c r="AC1727" s="1150"/>
      <c r="AD1727" s="1150"/>
      <c r="AL1727" s="1352"/>
      <c r="AM1727" s="1352"/>
      <c r="AN1727" s="1352"/>
      <c r="AO1727" s="1352"/>
      <c r="AP1727" s="1352"/>
      <c r="AQ1727" s="1352"/>
      <c r="AR1727" s="1352"/>
      <c r="AS1727" s="1352"/>
    </row>
    <row r="1728" spans="1:45" s="905" customFormat="1" x14ac:dyDescent="0.2">
      <c r="A1728" s="1507">
        <v>8</v>
      </c>
      <c r="B1728" s="1516" t="s">
        <v>4647</v>
      </c>
      <c r="C1728" s="1517" t="s">
        <v>255</v>
      </c>
      <c r="D1728" s="1517"/>
      <c r="E1728" s="1516"/>
      <c r="F1728" s="1511"/>
      <c r="G1728" s="1509" t="str">
        <f t="shared" ca="1" si="129"/>
        <v>P</v>
      </c>
      <c r="H1728" s="1530" t="s">
        <v>3199</v>
      </c>
      <c r="I1728" s="589"/>
      <c r="J1728" s="1068"/>
      <c r="K1728" s="1068"/>
      <c r="L1728" s="1634"/>
      <c r="M1728" s="911"/>
      <c r="N1728" s="935"/>
      <c r="O1728" s="935"/>
      <c r="U1728" s="991"/>
      <c r="X1728" s="1600"/>
      <c r="Y1728" s="1874"/>
      <c r="Z1728" s="1600"/>
      <c r="AC1728" s="1150"/>
      <c r="AD1728" s="1150"/>
      <c r="AL1728" s="1352"/>
      <c r="AM1728" s="1352"/>
      <c r="AN1728" s="1352"/>
      <c r="AO1728" s="1352"/>
      <c r="AP1728" s="1352"/>
      <c r="AQ1728" s="1352"/>
      <c r="AR1728" s="1352"/>
      <c r="AS1728" s="1352"/>
    </row>
    <row r="1729" spans="1:45" s="905" customFormat="1" x14ac:dyDescent="0.2">
      <c r="A1729" s="1507">
        <v>8</v>
      </c>
      <c r="B1729" s="1516" t="s">
        <v>4647</v>
      </c>
      <c r="C1729" s="1517" t="s">
        <v>255</v>
      </c>
      <c r="D1729" s="1517"/>
      <c r="E1729" s="1516"/>
      <c r="F1729" s="1511"/>
      <c r="G1729" s="1509" t="str">
        <f t="shared" ca="1" si="129"/>
        <v>P</v>
      </c>
      <c r="H1729" s="1530" t="s">
        <v>3199</v>
      </c>
      <c r="I1729" s="589"/>
      <c r="J1729" s="1068"/>
      <c r="K1729" s="1068"/>
      <c r="L1729" s="1634"/>
      <c r="M1729" s="911"/>
      <c r="N1729" s="935"/>
      <c r="O1729" s="935"/>
      <c r="U1729" s="991"/>
      <c r="X1729" s="1600"/>
      <c r="Y1729" s="1874"/>
      <c r="Z1729" s="1600"/>
      <c r="AC1729" s="1150"/>
      <c r="AD1729" s="1150"/>
      <c r="AL1729" s="1352"/>
      <c r="AM1729" s="1352"/>
      <c r="AN1729" s="1352"/>
      <c r="AO1729" s="1352"/>
      <c r="AP1729" s="1352"/>
      <c r="AQ1729" s="1352"/>
      <c r="AR1729" s="1352"/>
      <c r="AS1729" s="1352"/>
    </row>
    <row r="1730" spans="1:45" s="905" customFormat="1" x14ac:dyDescent="0.2">
      <c r="A1730" s="1507">
        <v>8</v>
      </c>
      <c r="B1730" s="1516" t="s">
        <v>4647</v>
      </c>
      <c r="C1730" s="1517" t="s">
        <v>255</v>
      </c>
      <c r="D1730" s="1517"/>
      <c r="E1730" s="1516"/>
      <c r="F1730" s="1511"/>
      <c r="G1730" s="1509" t="str">
        <f t="shared" ca="1" si="129"/>
        <v>P</v>
      </c>
      <c r="H1730" s="1530" t="s">
        <v>3199</v>
      </c>
      <c r="I1730" s="589"/>
      <c r="J1730" s="1072"/>
      <c r="K1730" s="1072"/>
      <c r="L1730" s="1639"/>
      <c r="M1730" s="937"/>
      <c r="N1730" s="909"/>
      <c r="O1730" s="909"/>
      <c r="U1730" s="991"/>
      <c r="X1730" s="1600"/>
      <c r="Y1730" s="1874"/>
      <c r="Z1730" s="1600"/>
      <c r="AC1730" s="1150"/>
      <c r="AD1730" s="1150"/>
      <c r="AL1730" s="1352"/>
      <c r="AM1730" s="1352"/>
      <c r="AN1730" s="1352"/>
      <c r="AO1730" s="1352"/>
      <c r="AP1730" s="1352"/>
      <c r="AQ1730" s="1352"/>
      <c r="AR1730" s="1352"/>
      <c r="AS1730" s="1352"/>
    </row>
    <row r="1731" spans="1:45" s="905" customFormat="1" ht="16" x14ac:dyDescent="0.2">
      <c r="A1731" s="1507">
        <v>8</v>
      </c>
      <c r="B1731" s="1516" t="s">
        <v>4647</v>
      </c>
      <c r="C1731" s="1517" t="s">
        <v>256</v>
      </c>
      <c r="D1731" s="1517"/>
      <c r="E1731" s="1516"/>
      <c r="F1731" s="1511"/>
      <c r="G1731" s="1509" t="str">
        <f ca="1">IF(N1731&gt;0,"P","")</f>
        <v>P</v>
      </c>
      <c r="H1731" s="1530" t="s">
        <v>3199</v>
      </c>
      <c r="I1731" s="589"/>
      <c r="J1731" s="1072" t="s">
        <v>256</v>
      </c>
      <c r="K1731" s="1072"/>
      <c r="L1731" s="923" t="s">
        <v>4855</v>
      </c>
      <c r="M1731" s="998">
        <f ca="1">11-O1724</f>
        <v>7</v>
      </c>
      <c r="N1731" s="909">
        <f ca="1">'11.800'!O145</f>
        <v>7</v>
      </c>
      <c r="O1731" s="909">
        <f ca="1">M1731*W1731*S1731</f>
        <v>7</v>
      </c>
      <c r="P1731" s="991" t="b">
        <v>0</v>
      </c>
      <c r="Q1731" s="905" t="b">
        <v>1</v>
      </c>
      <c r="R1731" s="905" t="b">
        <v>0</v>
      </c>
      <c r="S1731" s="905" t="b">
        <f ca="1">AND(LEN(W1724)&gt;0,S1600=1)</f>
        <v>1</v>
      </c>
      <c r="T1731" s="991" t="b">
        <f ca="1">IF(AND(NOT(S1731),W1731=TRUE),TRUE,FALSE)</f>
        <v>0</v>
      </c>
      <c r="U1731" s="991"/>
      <c r="W1731" s="27" t="b">
        <v>1</v>
      </c>
      <c r="X1731" s="1123"/>
      <c r="Y1731" s="1210" t="str">
        <f>IF(LEN('11.800'!X145)=0,"None",'11.800'!X145)</f>
        <v>None</v>
      </c>
      <c r="Z1731" s="1123"/>
      <c r="AC1731" s="1150" t="b">
        <f ca="1">OR(AD1731:AE1731)</f>
        <v>0</v>
      </c>
      <c r="AD1731" s="1150" t="b">
        <f ca="1">T1731</f>
        <v>0</v>
      </c>
      <c r="AL1731" s="1352" t="str">
        <f>SUBSTITUTE(SUBSTITUTE(SUBSTITUTE("vpa"&amp;$B1731&amp;$C1731&amp;$D1731&amp;$E1731&amp;$F1731,".","_"),"(","_"),")","")</f>
        <v>vpa802_5_4_3</v>
      </c>
      <c r="AM1731" s="1352">
        <f ca="1">M1731</f>
        <v>7</v>
      </c>
      <c r="AN1731" s="1352" t="str">
        <f>SUBSTITUTE(SUBSTITUTE(SUBSTITUTE("vpc"&amp;$B1731&amp;$C1731&amp;$D1731&amp;$E1731&amp;$F1731,".","_"),"(","_"),")","")</f>
        <v>vpc802_5_4_3</v>
      </c>
      <c r="AO1731" s="1352">
        <f ca="1">O1731</f>
        <v>7</v>
      </c>
      <c r="AP1731" s="1352" t="str">
        <f>SUBSTITUTE(SUBSTITUTE(SUBSTITUTE("vch"&amp;$B1731&amp;$C1731&amp;$D1731&amp;$E1731&amp;$F1731,".","_"),"(","_"),")","")</f>
        <v>vch802_5_4_3</v>
      </c>
      <c r="AQ1731" s="1352" t="b">
        <f>IF(LEN(W1731)=0,"",W1731)</f>
        <v>1</v>
      </c>
      <c r="AR1731" s="1352" t="str">
        <f>SUBSTITUTE(SUBSTITUTE(SUBSTITUTE("vnt"&amp;$B1731&amp;$C1731&amp;$D1731&amp;$E1731&amp;$F1731,".","_"),"(","_"),")","")</f>
        <v>vnt802_5_4_3</v>
      </c>
      <c r="AS1731" s="1352" t="str">
        <f>IF(LEN(X1731)=0,"",X1731)</f>
        <v/>
      </c>
    </row>
    <row r="1732" spans="1:45" s="905" customFormat="1" hidden="1" x14ac:dyDescent="0.2">
      <c r="A1732" s="1507">
        <v>8</v>
      </c>
      <c r="B1732" s="1516" t="s">
        <v>4647</v>
      </c>
      <c r="C1732" s="1517" t="s">
        <v>259</v>
      </c>
      <c r="D1732" s="1517"/>
      <c r="E1732" s="1516"/>
      <c r="F1732" s="1511"/>
      <c r="G1732" s="1513" t="str">
        <f ca="1">IF(COUNTIF(G1734:G1740,"P")&gt;0,"P","")</f>
        <v/>
      </c>
      <c r="H1732" s="1530" t="s">
        <v>3199</v>
      </c>
      <c r="I1732" s="589"/>
      <c r="J1732" s="873" t="s">
        <v>259</v>
      </c>
      <c r="K1732" s="873"/>
      <c r="L1732" s="1634" t="s">
        <v>4856</v>
      </c>
      <c r="M1732" s="911"/>
      <c r="N1732" s="935"/>
      <c r="O1732" s="935"/>
      <c r="U1732" s="991"/>
      <c r="Y1732" s="1198"/>
      <c r="AC1732" s="1150"/>
      <c r="AD1732" s="1150"/>
      <c r="AL1732" s="1352"/>
      <c r="AM1732" s="1352"/>
      <c r="AN1732" s="1352"/>
      <c r="AO1732" s="1352"/>
      <c r="AP1732" s="1352"/>
      <c r="AQ1732" s="1352"/>
      <c r="AR1732" s="1352"/>
      <c r="AS1732" s="1352"/>
    </row>
    <row r="1733" spans="1:45" s="905" customFormat="1" hidden="1" x14ac:dyDescent="0.2">
      <c r="A1733" s="1507">
        <v>8</v>
      </c>
      <c r="B1733" s="1516" t="s">
        <v>4647</v>
      </c>
      <c r="C1733" s="1517" t="s">
        <v>259</v>
      </c>
      <c r="D1733" s="1517"/>
      <c r="E1733" s="1516"/>
      <c r="F1733" s="1511"/>
      <c r="G1733" s="1509" t="str">
        <f ca="1">G1732</f>
        <v/>
      </c>
      <c r="H1733" s="1530" t="s">
        <v>3199</v>
      </c>
      <c r="I1733" s="589"/>
      <c r="J1733" s="873"/>
      <c r="K1733" s="873"/>
      <c r="L1733" s="1634"/>
      <c r="M1733" s="911"/>
      <c r="N1733" s="935"/>
      <c r="O1733" s="935"/>
      <c r="U1733" s="991"/>
      <c r="Y1733" s="1198"/>
      <c r="AC1733" s="1150"/>
      <c r="AD1733" s="1150"/>
      <c r="AL1733" s="1352"/>
      <c r="AM1733" s="1352"/>
      <c r="AN1733" s="1352"/>
      <c r="AO1733" s="1352"/>
      <c r="AP1733" s="1352"/>
      <c r="AQ1733" s="1352"/>
      <c r="AR1733" s="1352"/>
      <c r="AS1733" s="1352"/>
    </row>
    <row r="1734" spans="1:45" s="905" customFormat="1" hidden="1" x14ac:dyDescent="0.2">
      <c r="A1734" s="1507">
        <v>8</v>
      </c>
      <c r="B1734" s="1516" t="s">
        <v>4647</v>
      </c>
      <c r="C1734" s="1517" t="s">
        <v>259</v>
      </c>
      <c r="D1734" s="1517" t="s">
        <v>121</v>
      </c>
      <c r="E1734" s="1516"/>
      <c r="F1734" s="1511"/>
      <c r="G1734" s="1509" t="str">
        <f ca="1">IF(N1734&gt;0,"P","")</f>
        <v/>
      </c>
      <c r="H1734" s="1530" t="s">
        <v>3199</v>
      </c>
      <c r="I1734" s="589"/>
      <c r="J1734" s="873"/>
      <c r="K1734" s="1068" t="s">
        <v>121</v>
      </c>
      <c r="L1734" s="1634" t="s">
        <v>4561</v>
      </c>
      <c r="M1734" s="1704" t="s">
        <v>4667</v>
      </c>
      <c r="N1734" s="1619">
        <f ca="1">'11.800'!O148</f>
        <v>0</v>
      </c>
      <c r="O1734" s="1619">
        <f ca="1">IFERROR(MATCH(W1734,INDIRECT(U1734),0),0)*S1734</f>
        <v>0</v>
      </c>
      <c r="P1734" s="991" t="b">
        <v>0</v>
      </c>
      <c r="Q1734" s="905" t="b">
        <v>1</v>
      </c>
      <c r="R1734" s="905" t="b">
        <v>0</v>
      </c>
      <c r="S1734" s="905" t="b">
        <f ca="1">AND(W1731=TRUE,S1731,S1600=1)</f>
        <v>1</v>
      </c>
      <c r="T1734" s="991" t="b">
        <f ca="1">IF(AND(NOT(S1734),LEN(W1734)&gt;0),TRUE,FALSE)</f>
        <v>0</v>
      </c>
      <c r="U1734" s="991" t="str">
        <f>SUBSTITUTE(SUBSTITUTE(SUBSTITUTE("dd"&amp;B1734&amp;C1734&amp;D1734&amp;E1734&amp;F1734,".","_"),"(","_"),")","")</f>
        <v>dd802_5_4_4_a</v>
      </c>
      <c r="W1734" s="12"/>
      <c r="X1734" s="1600"/>
      <c r="Y1734" s="1874" t="str">
        <f>IF(LEN('11.800'!X148)=0,"None",'11.800'!X148)</f>
        <v>None</v>
      </c>
      <c r="Z1734" s="1600"/>
      <c r="AC1734" s="1150" t="b">
        <f ca="1">OR(AD1734:AE1734)</f>
        <v>0</v>
      </c>
      <c r="AD1734" s="1150" t="b">
        <f ca="1">T1734</f>
        <v>0</v>
      </c>
      <c r="AL1734" s="1352" t="str">
        <f>SUBSTITUTE(SUBSTITUTE(SUBSTITUTE("vpa"&amp;$B1734&amp;$C1734&amp;$D1734&amp;$E1734&amp;$F1734,".","_"),"(","_"),")","")</f>
        <v>vpa802_5_4_4_a</v>
      </c>
      <c r="AM1734" s="1352" t="str">
        <f>M1734</f>
        <v>1 Additional
3 Max</v>
      </c>
      <c r="AN1734" s="1352" t="str">
        <f>SUBSTITUTE(SUBSTITUTE(SUBSTITUTE("vpc"&amp;$B1734&amp;$C1734&amp;$D1734&amp;$E1734&amp;$F1734,".","_"),"(","_"),")","")</f>
        <v>vpc802_5_4_4_a</v>
      </c>
      <c r="AO1734" s="1352">
        <f ca="1">O1734</f>
        <v>0</v>
      </c>
      <c r="AP1734" s="1352" t="str">
        <f>SUBSTITUTE(SUBSTITUTE(SUBSTITUTE("vch"&amp;$B1734&amp;$C1734&amp;$D1734&amp;$E1734&amp;$F1734,".","_"),"(","_"),")","")</f>
        <v>vch802_5_4_4_a</v>
      </c>
      <c r="AQ1734" s="1352" t="str">
        <f>IF(LEN(W1734)=0,"",W1734)</f>
        <v/>
      </c>
      <c r="AR1734" s="1352" t="str">
        <f>SUBSTITUTE(SUBSTITUTE(SUBSTITUTE("vnt"&amp;$B1734&amp;$C1734&amp;$D1734&amp;$E1734&amp;$F1734,".","_"),"(","_"),")","")</f>
        <v>vnt802_5_4_4_a</v>
      </c>
      <c r="AS1734" s="1352" t="str">
        <f>IF(LEN(X1734)=0,"",X1734)</f>
        <v/>
      </c>
    </row>
    <row r="1735" spans="1:45" s="905" customFormat="1" hidden="1" x14ac:dyDescent="0.2">
      <c r="A1735" s="1507">
        <v>8</v>
      </c>
      <c r="B1735" s="1516" t="s">
        <v>4647</v>
      </c>
      <c r="C1735" s="1517" t="s">
        <v>259</v>
      </c>
      <c r="D1735" s="1517" t="s">
        <v>121</v>
      </c>
      <c r="E1735" s="1516"/>
      <c r="F1735" s="1511"/>
      <c r="G1735" s="1509" t="str">
        <f ca="1">G1734</f>
        <v/>
      </c>
      <c r="H1735" s="1530" t="s">
        <v>3199</v>
      </c>
      <c r="I1735" s="589"/>
      <c r="J1735" s="873"/>
      <c r="K1735" s="1068"/>
      <c r="L1735" s="1634"/>
      <c r="M1735" s="1766"/>
      <c r="N1735" s="1619"/>
      <c r="O1735" s="1619"/>
      <c r="X1735" s="1600"/>
      <c r="Y1735" s="1874"/>
      <c r="Z1735" s="1600"/>
      <c r="AL1735" s="1352"/>
      <c r="AM1735" s="1352"/>
      <c r="AN1735" s="1352"/>
      <c r="AO1735" s="1352"/>
      <c r="AP1735" s="1352"/>
      <c r="AQ1735" s="1352"/>
      <c r="AR1735" s="1352"/>
      <c r="AS1735" s="1352"/>
    </row>
    <row r="1736" spans="1:45" s="905" customFormat="1" hidden="1" x14ac:dyDescent="0.2">
      <c r="A1736" s="1507">
        <v>8</v>
      </c>
      <c r="B1736" s="1516" t="s">
        <v>4647</v>
      </c>
      <c r="C1736" s="1517" t="s">
        <v>259</v>
      </c>
      <c r="D1736" s="1517" t="s">
        <v>121</v>
      </c>
      <c r="E1736" s="1516"/>
      <c r="F1736" s="1511"/>
      <c r="G1736" s="1509" t="str">
        <f ca="1">G1735</f>
        <v/>
      </c>
      <c r="H1736" s="1530" t="s">
        <v>3199</v>
      </c>
      <c r="I1736" s="589"/>
      <c r="J1736" s="873"/>
      <c r="K1736" s="1068"/>
      <c r="L1736" s="1634"/>
      <c r="M1736" s="1766"/>
      <c r="N1736" s="1619"/>
      <c r="O1736" s="1619"/>
      <c r="X1736" s="1600"/>
      <c r="Y1736" s="1874"/>
      <c r="Z1736" s="1600"/>
      <c r="AL1736" s="1352"/>
      <c r="AM1736" s="1352"/>
      <c r="AN1736" s="1352"/>
      <c r="AO1736" s="1352"/>
      <c r="AP1736" s="1352"/>
      <c r="AQ1736" s="1352"/>
      <c r="AR1736" s="1352"/>
      <c r="AS1736" s="1352"/>
    </row>
    <row r="1737" spans="1:45" s="905" customFormat="1" hidden="1" x14ac:dyDescent="0.2">
      <c r="A1737" s="1507">
        <v>8</v>
      </c>
      <c r="B1737" s="1516" t="s">
        <v>4647</v>
      </c>
      <c r="C1737" s="1517" t="s">
        <v>259</v>
      </c>
      <c r="D1737" s="1517" t="s">
        <v>121</v>
      </c>
      <c r="E1737" s="1516"/>
      <c r="F1737" s="1511"/>
      <c r="G1737" s="1509" t="str">
        <f ca="1">G1736</f>
        <v/>
      </c>
      <c r="H1737" s="1530" t="s">
        <v>3199</v>
      </c>
      <c r="I1737" s="589"/>
      <c r="J1737" s="873"/>
      <c r="K1737" s="1072"/>
      <c r="L1737" s="1639"/>
      <c r="M1737" s="1767"/>
      <c r="N1737" s="1620"/>
      <c r="O1737" s="1620"/>
      <c r="X1737" s="1600"/>
      <c r="Y1737" s="1874"/>
      <c r="Z1737" s="1600"/>
      <c r="AL1737" s="1352"/>
      <c r="AM1737" s="1352"/>
      <c r="AN1737" s="1352"/>
      <c r="AO1737" s="1352"/>
      <c r="AP1737" s="1352"/>
      <c r="AQ1737" s="1352"/>
      <c r="AR1737" s="1352"/>
      <c r="AS1737" s="1352"/>
    </row>
    <row r="1738" spans="1:45" s="905" customFormat="1" hidden="1" x14ac:dyDescent="0.2">
      <c r="A1738" s="1507">
        <v>8</v>
      </c>
      <c r="B1738" s="1516" t="s">
        <v>4647</v>
      </c>
      <c r="C1738" s="1517" t="s">
        <v>259</v>
      </c>
      <c r="D1738" s="1517" t="s">
        <v>122</v>
      </c>
      <c r="E1738" s="1516"/>
      <c r="F1738" s="1511"/>
      <c r="G1738" s="1509" t="str">
        <f ca="1">IF(N1738&gt;0,"P","")</f>
        <v/>
      </c>
      <c r="H1738" s="1530" t="s">
        <v>3199</v>
      </c>
      <c r="I1738" s="589"/>
      <c r="J1738" s="873"/>
      <c r="K1738" s="1073" t="s">
        <v>122</v>
      </c>
      <c r="L1738" s="1633" t="s">
        <v>4562</v>
      </c>
      <c r="M1738" s="1623" t="s">
        <v>4668</v>
      </c>
      <c r="N1738" s="1637">
        <f ca="1">'11.800'!O152</f>
        <v>0</v>
      </c>
      <c r="O1738" s="1619">
        <f ca="1">1*W1738*S1738</f>
        <v>0</v>
      </c>
      <c r="P1738" s="991" t="b">
        <v>0</v>
      </c>
      <c r="Q1738" s="905" t="b">
        <v>1</v>
      </c>
      <c r="R1738" s="905" t="b">
        <v>0</v>
      </c>
      <c r="S1738" s="905" t="b">
        <f ca="1">AND(W1731=TRUE,S1731,S1600=1)</f>
        <v>1</v>
      </c>
      <c r="T1738" s="991" t="b">
        <f ca="1">IF(AND(NOT(S1738),W1738=TRUE),TRUE,FALSE)</f>
        <v>0</v>
      </c>
      <c r="W1738" s="27"/>
      <c r="X1738" s="1600"/>
      <c r="Y1738" s="1874" t="str">
        <f>IF(LEN('11.800'!X152)=0,"None",'11.800'!X152)</f>
        <v>None</v>
      </c>
      <c r="Z1738" s="1600"/>
      <c r="AC1738" s="1150" t="b">
        <f ca="1">OR(AD1738:AE1738)</f>
        <v>0</v>
      </c>
      <c r="AD1738" s="1150" t="b">
        <f ca="1">T1738</f>
        <v>0</v>
      </c>
      <c r="AE1738" s="1150"/>
      <c r="AL1738" s="1352" t="str">
        <f>SUBSTITUTE(SUBSTITUTE(SUBSTITUTE("vpa"&amp;$B1738&amp;$C1738&amp;$D1738&amp;$E1738&amp;$F1738,".","_"),"(","_"),")","")</f>
        <v>vpa802_5_4_4_b</v>
      </c>
      <c r="AM1738" s="1352" t="str">
        <f>M1738</f>
        <v>1 Additional</v>
      </c>
      <c r="AN1738" s="1352" t="str">
        <f>SUBSTITUTE(SUBSTITUTE(SUBSTITUTE("vpc"&amp;$B1738&amp;$C1738&amp;$D1738&amp;$E1738&amp;$F1738,".","_"),"(","_"),")","")</f>
        <v>vpc802_5_4_4_b</v>
      </c>
      <c r="AO1738" s="1352">
        <f ca="1">O1738</f>
        <v>0</v>
      </c>
      <c r="AP1738" s="1352" t="str">
        <f>SUBSTITUTE(SUBSTITUTE(SUBSTITUTE("vch"&amp;$B1738&amp;$C1738&amp;$D1738&amp;$E1738&amp;$F1738,".","_"),"(","_"),")","")</f>
        <v>vch802_5_4_4_b</v>
      </c>
      <c r="AQ1738" s="1352" t="str">
        <f>IF(LEN(W1738)=0,"",W1738)</f>
        <v/>
      </c>
      <c r="AR1738" s="1352" t="str">
        <f>SUBSTITUTE(SUBSTITUTE(SUBSTITUTE("vnt"&amp;$B1738&amp;$C1738&amp;$D1738&amp;$E1738&amp;$F1738,".","_"),"(","_"),")","")</f>
        <v>vnt802_5_4_4_b</v>
      </c>
      <c r="AS1738" s="1352" t="str">
        <f>IF(LEN(X1738)=0,"",X1738)</f>
        <v/>
      </c>
    </row>
    <row r="1739" spans="1:45" s="905" customFormat="1" hidden="1" x14ac:dyDescent="0.2">
      <c r="A1739" s="1507">
        <v>8</v>
      </c>
      <c r="B1739" s="1516" t="s">
        <v>4647</v>
      </c>
      <c r="C1739" s="1517" t="s">
        <v>259</v>
      </c>
      <c r="D1739" s="1517" t="s">
        <v>122</v>
      </c>
      <c r="E1739" s="1516"/>
      <c r="F1739" s="1511"/>
      <c r="G1739" s="1509" t="str">
        <f ca="1">G1738</f>
        <v/>
      </c>
      <c r="H1739" s="1530" t="s">
        <v>3199</v>
      </c>
      <c r="I1739" s="589"/>
      <c r="J1739" s="873"/>
      <c r="K1739" s="1072"/>
      <c r="L1739" s="1639"/>
      <c r="M1739" s="1624"/>
      <c r="N1739" s="1620"/>
      <c r="O1739" s="1620"/>
      <c r="X1739" s="1600"/>
      <c r="Y1739" s="1874"/>
      <c r="Z1739" s="1600"/>
      <c r="AC1739" s="1150"/>
      <c r="AD1739" s="1150"/>
      <c r="AE1739" s="1150"/>
      <c r="AL1739" s="1352"/>
      <c r="AM1739" s="1352"/>
      <c r="AN1739" s="1352"/>
      <c r="AO1739" s="1352"/>
      <c r="AP1739" s="1352"/>
      <c r="AQ1739" s="1352"/>
      <c r="AR1739" s="1352"/>
      <c r="AS1739" s="1352"/>
    </row>
    <row r="1740" spans="1:45" s="905" customFormat="1" ht="16" hidden="1" thickBot="1" x14ac:dyDescent="0.25">
      <c r="A1740" s="1507">
        <v>8</v>
      </c>
      <c r="B1740" s="1516" t="s">
        <v>4647</v>
      </c>
      <c r="C1740" s="1517" t="s">
        <v>259</v>
      </c>
      <c r="D1740" s="1517" t="s">
        <v>123</v>
      </c>
      <c r="E1740" s="1516"/>
      <c r="F1740" s="1511"/>
      <c r="G1740" s="1509" t="str">
        <f ca="1">IF(N1740&gt;0,"P","")</f>
        <v/>
      </c>
      <c r="H1740" s="1530" t="s">
        <v>3199</v>
      </c>
      <c r="I1740" s="590"/>
      <c r="J1740" s="1068"/>
      <c r="K1740" s="1068" t="s">
        <v>123</v>
      </c>
      <c r="L1740" s="1634" t="s">
        <v>4563</v>
      </c>
      <c r="M1740" s="913" t="s">
        <v>4669</v>
      </c>
      <c r="N1740" s="908">
        <f ca="1">'11.800'!O154</f>
        <v>0</v>
      </c>
      <c r="O1740" s="908">
        <f ca="1">6*S1740*W1740</f>
        <v>0</v>
      </c>
      <c r="P1740" s="991" t="b">
        <v>0</v>
      </c>
      <c r="Q1740" s="991" t="b">
        <v>1</v>
      </c>
      <c r="R1740" s="100" t="b">
        <v>0</v>
      </c>
      <c r="S1740" s="100" t="b">
        <f ca="1">AND(W1731=TRUE,S1731,S1600=1)</f>
        <v>1</v>
      </c>
      <c r="T1740" s="100" t="b">
        <f ca="1">IF(AND(NOT(S1740),W1740=TRUE),TRUE,FALSE)</f>
        <v>0</v>
      </c>
      <c r="U1740" s="100"/>
      <c r="W1740" s="333"/>
      <c r="X1740" s="1601"/>
      <c r="Y1740" s="1881" t="str">
        <f>IF(LEN('11.800'!X154)=0,"None",'11.800'!X154)</f>
        <v>None</v>
      </c>
      <c r="Z1740" s="1600"/>
      <c r="AC1740" s="1150" t="b">
        <f ca="1">OR(AD1740:AE1740)</f>
        <v>0</v>
      </c>
      <c r="AD1740" s="1150" t="b">
        <f ca="1">T1740</f>
        <v>0</v>
      </c>
      <c r="AE1740" s="1150"/>
      <c r="AL1740" s="1352" t="str">
        <f>SUBSTITUTE(SUBSTITUTE(SUBSTITUTE("vpa"&amp;$B1740&amp;$C1740&amp;$D1740&amp;$E1740&amp;$F1740,".","_"),"(","_"),")","")</f>
        <v>vpa802_5_4_4_c</v>
      </c>
      <c r="AM1740" s="1352" t="str">
        <f>M1740</f>
        <v>6 Additional</v>
      </c>
      <c r="AN1740" s="1352" t="str">
        <f>SUBSTITUTE(SUBSTITUTE(SUBSTITUTE("vpc"&amp;$B1740&amp;$C1740&amp;$D1740&amp;$E1740&amp;$F1740,".","_"),"(","_"),")","")</f>
        <v>vpc802_5_4_4_c</v>
      </c>
      <c r="AO1740" s="1352">
        <f ca="1">O1740</f>
        <v>0</v>
      </c>
      <c r="AP1740" s="1352" t="str">
        <f>SUBSTITUTE(SUBSTITUTE(SUBSTITUTE("vch"&amp;$B1740&amp;$C1740&amp;$D1740&amp;$E1740&amp;$F1740,".","_"),"(","_"),")","")</f>
        <v>vch802_5_4_4_c</v>
      </c>
      <c r="AQ1740" s="1352" t="str">
        <f>IF(LEN(W1740)=0,"",W1740)</f>
        <v/>
      </c>
      <c r="AR1740" s="1352" t="str">
        <f>SUBSTITUTE(SUBSTITUTE(SUBSTITUTE("vnt"&amp;$B1740&amp;$C1740&amp;$D1740&amp;$E1740&amp;$F1740,".","_"),"(","_"),")","")</f>
        <v>vnt802_5_4_4_c</v>
      </c>
      <c r="AS1740" s="1352" t="str">
        <f>IF(LEN(X1740)=0,"",X1740)</f>
        <v/>
      </c>
    </row>
    <row r="1741" spans="1:45" s="905" customFormat="1" ht="16" hidden="1" thickBot="1" x14ac:dyDescent="0.25">
      <c r="A1741" s="1507">
        <v>8</v>
      </c>
      <c r="B1741" s="1516" t="s">
        <v>4647</v>
      </c>
      <c r="C1741" s="1517" t="s">
        <v>259</v>
      </c>
      <c r="D1741" s="1517" t="s">
        <v>123</v>
      </c>
      <c r="E1741" s="1516"/>
      <c r="F1741" s="1511"/>
      <c r="G1741" s="1509" t="str">
        <f ca="1">G1740</f>
        <v/>
      </c>
      <c r="H1741" s="1530" t="s">
        <v>3199</v>
      </c>
      <c r="I1741" s="594"/>
      <c r="J1741" s="1069"/>
      <c r="K1741" s="1069"/>
      <c r="L1741" s="1635"/>
      <c r="M1741" s="914"/>
      <c r="N1741" s="922"/>
      <c r="O1741" s="922"/>
      <c r="P1741" s="100"/>
      <c r="Q1741" s="100"/>
      <c r="R1741" s="100"/>
      <c r="S1741" s="100"/>
      <c r="T1741" s="100"/>
      <c r="U1741" s="100"/>
      <c r="W1741" s="100"/>
      <c r="X1741" s="1602"/>
      <c r="Y1741" s="1882"/>
      <c r="Z1741" s="1602"/>
      <c r="AC1741" s="1150"/>
      <c r="AD1741" s="1150"/>
      <c r="AE1741" s="1150"/>
      <c r="AL1741" s="1352"/>
      <c r="AM1741" s="1352"/>
      <c r="AN1741" s="1352"/>
      <c r="AO1741" s="1352"/>
      <c r="AP1741" s="1352"/>
      <c r="AQ1741" s="1352"/>
      <c r="AR1741" s="1352"/>
      <c r="AS1741" s="1352"/>
    </row>
    <row r="1742" spans="1:45" s="905" customFormat="1" x14ac:dyDescent="0.2">
      <c r="A1742" s="1507">
        <v>8</v>
      </c>
      <c r="B1742" s="1516">
        <v>802.6</v>
      </c>
      <c r="C1742" s="1517"/>
      <c r="D1742" s="1517"/>
      <c r="E1742" s="1516"/>
      <c r="F1742" s="1511"/>
      <c r="G1742" s="1513" t="str">
        <f ca="1">IF(COUNTIF(G1743:G1759,"P")&gt;0,"P","")</f>
        <v>P</v>
      </c>
      <c r="H1742" s="1530" t="s">
        <v>3199</v>
      </c>
      <c r="I1742" s="589" t="s">
        <v>4564</v>
      </c>
      <c r="J1742" s="873"/>
      <c r="K1742" s="873"/>
      <c r="L1742" s="946" t="s">
        <v>4565</v>
      </c>
      <c r="M1742" s="913"/>
      <c r="N1742" s="908"/>
      <c r="O1742" s="908"/>
      <c r="P1742" s="991"/>
      <c r="Q1742" s="991"/>
      <c r="R1742" s="991"/>
      <c r="S1742" s="991"/>
      <c r="T1742" s="991"/>
      <c r="U1742" s="991"/>
      <c r="X1742" s="1122"/>
      <c r="Y1742" s="1198"/>
      <c r="Z1742" s="1122"/>
      <c r="AC1742" s="1150"/>
      <c r="AD1742" s="1150"/>
      <c r="AE1742" s="1150"/>
      <c r="AL1742" s="1352"/>
      <c r="AM1742" s="1352"/>
      <c r="AN1742" s="1352"/>
      <c r="AO1742" s="1352"/>
      <c r="AP1742" s="1352"/>
      <c r="AQ1742" s="1352"/>
      <c r="AR1742" s="1352"/>
      <c r="AS1742" s="1352"/>
    </row>
    <row r="1743" spans="1:45" s="905" customFormat="1" x14ac:dyDescent="0.2">
      <c r="A1743" s="1507">
        <v>8</v>
      </c>
      <c r="B1743" s="1516" t="s">
        <v>4648</v>
      </c>
      <c r="C1743" s="1517"/>
      <c r="D1743" s="1517"/>
      <c r="E1743" s="1516"/>
      <c r="F1743" s="1511"/>
      <c r="G1743" s="1509" t="str">
        <f>IF(IFERROR(SEARCH("Mandatory",M1743),FALSE),"P","")</f>
        <v>P</v>
      </c>
      <c r="H1743" s="1530" t="s">
        <v>3199</v>
      </c>
      <c r="I1743" s="589" t="s">
        <v>4566</v>
      </c>
      <c r="J1743" s="873"/>
      <c r="K1743" s="873"/>
      <c r="L1743" s="1687" t="s">
        <v>4567</v>
      </c>
      <c r="M1743" s="1697" t="str">
        <f>IF(R1743,"Mandatory","N/A")</f>
        <v>Mandatory</v>
      </c>
      <c r="N1743" s="908"/>
      <c r="O1743" s="908"/>
      <c r="P1743" s="991" t="b">
        <v>0</v>
      </c>
      <c r="Q1743" s="905" t="b">
        <v>1</v>
      </c>
      <c r="R1743" s="991" t="b">
        <f>NOT(W1757=TRUE)</f>
        <v>1</v>
      </c>
      <c r="S1743" s="991" t="b">
        <f>NOT(W1757=TRUE)</f>
        <v>1</v>
      </c>
      <c r="T1743" s="991" t="b">
        <f>IF(AND(NOT(S1743),LEN(W1743)&gt;0),TRUE,FALSE)</f>
        <v>0</v>
      </c>
      <c r="U1743" s="991" t="str">
        <f>SUBSTITUTE(SUBSTITUTE(SUBSTITUTE("dd"&amp;B1743&amp;C1743&amp;D1743&amp;E1743&amp;F1743,".","_"),"(","_"),")","")</f>
        <v>dd802_6_1</v>
      </c>
      <c r="W1743" s="12" t="s">
        <v>2590</v>
      </c>
      <c r="X1743" s="1600"/>
      <c r="Y1743" s="1874" t="str">
        <f>IF(LEN('11.800'!X157)=0,"None",'11.800'!X157)</f>
        <v>None</v>
      </c>
      <c r="Z1743" s="1600"/>
      <c r="AC1743" s="1150" t="b">
        <f>OR(AD1743:AE1743)</f>
        <v>0</v>
      </c>
      <c r="AD1743" s="1150" t="b">
        <f>T1743</f>
        <v>0</v>
      </c>
      <c r="AE1743" s="1150" t="b">
        <f>AND(R1743,NOT(LEN(W1743)&gt;0))</f>
        <v>0</v>
      </c>
      <c r="AL1743" s="1352" t="str">
        <f>SUBSTITUTE(SUBSTITUTE(SUBSTITUTE("vpa"&amp;$B1743&amp;$C1743&amp;$D1743&amp;$E1743&amp;$F1743,".","_"),"(","_"),")","")</f>
        <v>vpa802_6_1</v>
      </c>
      <c r="AM1743" s="1352" t="str">
        <f>M1743</f>
        <v>Mandatory</v>
      </c>
      <c r="AN1743" s="1352"/>
      <c r="AO1743" s="1352"/>
      <c r="AP1743" s="1352" t="str">
        <f>SUBSTITUTE(SUBSTITUTE(SUBSTITUTE("vch"&amp;$B1743&amp;$C1743&amp;$D1743&amp;$E1743&amp;$F1743,".","_"),"(","_"),")","")</f>
        <v>vch802_6_1</v>
      </c>
      <c r="AQ1743" s="1352" t="str">
        <f>IF(LEN(W1743)=0,"",W1743)</f>
        <v>N/A</v>
      </c>
      <c r="AR1743" s="1352" t="str">
        <f>SUBSTITUTE(SUBSTITUTE(SUBSTITUTE("vnt"&amp;$B1743&amp;$C1743&amp;$D1743&amp;$E1743&amp;$F1743,".","_"),"(","_"),")","")</f>
        <v>vnt802_6_1</v>
      </c>
      <c r="AS1743" s="1352" t="str">
        <f>IF(LEN(X1743)=0,"",X1743)</f>
        <v/>
      </c>
    </row>
    <row r="1744" spans="1:45" s="905" customFormat="1" x14ac:dyDescent="0.2">
      <c r="A1744" s="1507">
        <v>8</v>
      </c>
      <c r="B1744" s="1516" t="s">
        <v>4648</v>
      </c>
      <c r="C1744" s="1517"/>
      <c r="D1744" s="1517"/>
      <c r="E1744" s="1516"/>
      <c r="F1744" s="1511"/>
      <c r="G1744" s="1509" t="str">
        <f>G1743</f>
        <v>P</v>
      </c>
      <c r="H1744" s="1530" t="s">
        <v>3199</v>
      </c>
      <c r="I1744" s="589"/>
      <c r="J1744" s="873"/>
      <c r="K1744" s="873"/>
      <c r="L1744" s="1687"/>
      <c r="M1744" s="1697"/>
      <c r="N1744" s="909"/>
      <c r="O1744" s="909"/>
      <c r="P1744" s="991"/>
      <c r="Q1744" s="991"/>
      <c r="R1744" s="991"/>
      <c r="S1744" s="991"/>
      <c r="T1744" s="991"/>
      <c r="U1744" s="991"/>
      <c r="X1744" s="1600"/>
      <c r="Y1744" s="1874"/>
      <c r="Z1744" s="1600"/>
      <c r="AC1744" s="1150"/>
      <c r="AD1744" s="1150"/>
      <c r="AE1744" s="1150"/>
      <c r="AL1744" s="1352"/>
      <c r="AM1744" s="1352"/>
      <c r="AN1744" s="1352"/>
      <c r="AO1744" s="1352"/>
      <c r="AP1744" s="1352"/>
      <c r="AQ1744" s="1352"/>
      <c r="AR1744" s="1352"/>
      <c r="AS1744" s="1352"/>
    </row>
    <row r="1745" spans="1:45" s="905" customFormat="1" hidden="1" x14ac:dyDescent="0.2">
      <c r="A1745" s="1507">
        <v>8</v>
      </c>
      <c r="B1745" s="1516" t="s">
        <v>4649</v>
      </c>
      <c r="C1745" s="1517"/>
      <c r="D1745" s="1517"/>
      <c r="E1745" s="1516"/>
      <c r="F1745" s="1511"/>
      <c r="G1745" s="1509" t="str">
        <f ca="1">IF(N1745&gt;0,"P","")</f>
        <v/>
      </c>
      <c r="H1745" s="1530" t="s">
        <v>3199</v>
      </c>
      <c r="I1745" s="608" t="s">
        <v>4568</v>
      </c>
      <c r="J1745" s="1073"/>
      <c r="K1745" s="1073"/>
      <c r="L1745" s="1686" t="s">
        <v>4569</v>
      </c>
      <c r="M1745" s="1636">
        <v>6</v>
      </c>
      <c r="N1745" s="1637">
        <f ca="1">'11.800'!O159</f>
        <v>0</v>
      </c>
      <c r="O1745" s="1619">
        <f ca="1">6*S1745*W1745</f>
        <v>0</v>
      </c>
      <c r="P1745" s="991" t="b">
        <v>0</v>
      </c>
      <c r="Q1745" s="905" t="b">
        <v>1</v>
      </c>
      <c r="R1745" s="991" t="b">
        <v>0</v>
      </c>
      <c r="S1745" s="991" t="b">
        <f ca="1">AND(NOT(W1757=TRUE),S1600=1)</f>
        <v>1</v>
      </c>
      <c r="T1745" s="991" t="b">
        <f ca="1">IF(AND(NOT(S1745),W1745=TRUE),TRUE,FALSE)</f>
        <v>0</v>
      </c>
      <c r="U1745" s="991"/>
      <c r="W1745" s="27"/>
      <c r="X1745" s="1600"/>
      <c r="Y1745" s="1874" t="str">
        <f>IF(LEN('11.800'!X159)=0,"None",'11.800'!X159)</f>
        <v>None</v>
      </c>
      <c r="Z1745" s="1600"/>
      <c r="AC1745" s="1150" t="b">
        <f ca="1">OR(AD1745:AE1745)</f>
        <v>0</v>
      </c>
      <c r="AD1745" s="1150" t="b">
        <f ca="1">T1745</f>
        <v>0</v>
      </c>
      <c r="AE1745" s="1150"/>
      <c r="AL1745" s="1352" t="str">
        <f>SUBSTITUTE(SUBSTITUTE(SUBSTITUTE("vpa"&amp;$B1745&amp;$C1745&amp;$D1745&amp;$E1745&amp;$F1745,".","_"),"(","_"),")","")</f>
        <v>vpa802_6_2</v>
      </c>
      <c r="AM1745" s="1352">
        <f>M1745</f>
        <v>6</v>
      </c>
      <c r="AN1745" s="1352" t="str">
        <f>SUBSTITUTE(SUBSTITUTE(SUBSTITUTE("vpc"&amp;$B1745&amp;$C1745&amp;$D1745&amp;$E1745&amp;$F1745,".","_"),"(","_"),")","")</f>
        <v>vpc802_6_2</v>
      </c>
      <c r="AO1745" s="1352">
        <f ca="1">O1745</f>
        <v>0</v>
      </c>
      <c r="AP1745" s="1352" t="str">
        <f>SUBSTITUTE(SUBSTITUTE(SUBSTITUTE("vch"&amp;$B1745&amp;$C1745&amp;$D1745&amp;$E1745&amp;$F1745,".","_"),"(","_"),")","")</f>
        <v>vch802_6_2</v>
      </c>
      <c r="AQ1745" s="1352" t="str">
        <f>IF(LEN(W1745)=0,"",W1745)</f>
        <v/>
      </c>
      <c r="AR1745" s="1352" t="str">
        <f>SUBSTITUTE(SUBSTITUTE(SUBSTITUTE("vnt"&amp;$B1745&amp;$C1745&amp;$D1745&amp;$E1745&amp;$F1745,".","_"),"(","_"),")","")</f>
        <v>vnt802_6_2</v>
      </c>
      <c r="AS1745" s="1352" t="str">
        <f>IF(LEN(X1745)=0,"",X1745)</f>
        <v/>
      </c>
    </row>
    <row r="1746" spans="1:45" s="905" customFormat="1" hidden="1" x14ac:dyDescent="0.2">
      <c r="A1746" s="1507">
        <v>8</v>
      </c>
      <c r="B1746" s="1516" t="s">
        <v>4649</v>
      </c>
      <c r="C1746" s="1517"/>
      <c r="D1746" s="1517"/>
      <c r="E1746" s="1516"/>
      <c r="F1746" s="1511"/>
      <c r="G1746" s="1509" t="str">
        <f ca="1">G1745</f>
        <v/>
      </c>
      <c r="H1746" s="1530" t="s">
        <v>3199</v>
      </c>
      <c r="I1746" s="590"/>
      <c r="J1746" s="1068"/>
      <c r="K1746" s="1068"/>
      <c r="L1746" s="1687"/>
      <c r="M1746" s="1623"/>
      <c r="N1746" s="1619"/>
      <c r="O1746" s="1619"/>
      <c r="P1746" s="991"/>
      <c r="Q1746" s="991"/>
      <c r="R1746" s="991"/>
      <c r="S1746" s="991"/>
      <c r="T1746" s="991"/>
      <c r="U1746" s="991"/>
      <c r="X1746" s="1600"/>
      <c r="Y1746" s="1874"/>
      <c r="Z1746" s="1600"/>
      <c r="AC1746" s="1150"/>
      <c r="AD1746" s="1150"/>
      <c r="AE1746" s="1150"/>
      <c r="AL1746" s="1352"/>
      <c r="AM1746" s="1352"/>
      <c r="AN1746" s="1352"/>
      <c r="AO1746" s="1352"/>
      <c r="AP1746" s="1352"/>
      <c r="AQ1746" s="1352"/>
      <c r="AR1746" s="1352"/>
      <c r="AS1746" s="1352"/>
    </row>
    <row r="1747" spans="1:45" s="905" customFormat="1" hidden="1" x14ac:dyDescent="0.2">
      <c r="A1747" s="1507">
        <v>8</v>
      </c>
      <c r="B1747" s="1516" t="s">
        <v>4649</v>
      </c>
      <c r="C1747" s="1517"/>
      <c r="D1747" s="1517"/>
      <c r="E1747" s="1516"/>
      <c r="F1747" s="1511"/>
      <c r="G1747" s="1509" t="str">
        <f ca="1">G1746</f>
        <v/>
      </c>
      <c r="H1747" s="1530" t="s">
        <v>3199</v>
      </c>
      <c r="I1747" s="606"/>
      <c r="J1747" s="1072"/>
      <c r="K1747" s="1072"/>
      <c r="L1747" s="1688"/>
      <c r="M1747" s="1624"/>
      <c r="N1747" s="1620"/>
      <c r="O1747" s="1620"/>
      <c r="P1747" s="173"/>
      <c r="Q1747" s="173"/>
      <c r="R1747" s="173"/>
      <c r="S1747" s="173"/>
      <c r="T1747" s="173"/>
      <c r="U1747" s="173"/>
      <c r="X1747" s="1600"/>
      <c r="Y1747" s="1874"/>
      <c r="Z1747" s="1600"/>
      <c r="AC1747" s="1150"/>
      <c r="AD1747" s="1150"/>
      <c r="AE1747" s="1150"/>
      <c r="AL1747" s="1352"/>
      <c r="AM1747" s="1352"/>
      <c r="AN1747" s="1352"/>
      <c r="AO1747" s="1352"/>
      <c r="AP1747" s="1352"/>
      <c r="AQ1747" s="1352"/>
      <c r="AR1747" s="1352"/>
      <c r="AS1747" s="1352"/>
    </row>
    <row r="1748" spans="1:45" s="905" customFormat="1" hidden="1" x14ac:dyDescent="0.2">
      <c r="A1748" s="1507">
        <v>8</v>
      </c>
      <c r="B1748" s="1516" t="s">
        <v>4650</v>
      </c>
      <c r="C1748" s="1517"/>
      <c r="D1748" s="1517"/>
      <c r="E1748" s="1516"/>
      <c r="F1748" s="1511"/>
      <c r="G1748" s="1513" t="str">
        <f ca="1">IF(COUNTIF(G1749:G1751,"P")&gt;0,"P","")</f>
        <v/>
      </c>
      <c r="H1748" s="1530" t="s">
        <v>3199</v>
      </c>
      <c r="I1748" s="589" t="s">
        <v>4570</v>
      </c>
      <c r="J1748" s="873"/>
      <c r="K1748" s="873"/>
      <c r="L1748" s="946" t="s">
        <v>4571</v>
      </c>
      <c r="M1748" s="911"/>
      <c r="N1748" s="935"/>
      <c r="O1748" s="935"/>
      <c r="X1748" s="1122"/>
      <c r="Y1748" s="1198"/>
      <c r="AC1748" s="1150"/>
      <c r="AD1748" s="1150"/>
      <c r="AE1748" s="1150"/>
      <c r="AL1748" s="1352"/>
      <c r="AM1748" s="1352"/>
      <c r="AN1748" s="1352"/>
      <c r="AO1748" s="1352"/>
      <c r="AP1748" s="1352"/>
      <c r="AQ1748" s="1352"/>
      <c r="AR1748" s="1352"/>
      <c r="AS1748" s="1352"/>
    </row>
    <row r="1749" spans="1:45" s="905" customFormat="1" ht="16" hidden="1" x14ac:dyDescent="0.2">
      <c r="A1749" s="1507">
        <v>8</v>
      </c>
      <c r="B1749" s="1516" t="s">
        <v>4650</v>
      </c>
      <c r="C1749" s="1517" t="s">
        <v>254</v>
      </c>
      <c r="D1749" s="1517"/>
      <c r="E1749" s="1516"/>
      <c r="F1749" s="1511"/>
      <c r="G1749" s="1509" t="str">
        <f ca="1">IF(N1749&gt;0,"P","")</f>
        <v/>
      </c>
      <c r="H1749" s="1530" t="s">
        <v>3199</v>
      </c>
      <c r="I1749" s="589"/>
      <c r="J1749" s="1072" t="s">
        <v>254</v>
      </c>
      <c r="K1749" s="1072"/>
      <c r="L1749" s="923" t="s">
        <v>4572</v>
      </c>
      <c r="M1749" s="937">
        <v>4</v>
      </c>
      <c r="N1749" s="909">
        <f ca="1">'11.800'!O163</f>
        <v>0</v>
      </c>
      <c r="O1749" s="909">
        <f ca="1">M1749*S1749*W1749</f>
        <v>0</v>
      </c>
      <c r="P1749" s="991" t="b">
        <v>0</v>
      </c>
      <c r="Q1749" s="905" t="b">
        <v>1</v>
      </c>
      <c r="R1749" s="905" t="b">
        <v>0</v>
      </c>
      <c r="S1749" s="905" t="b">
        <f ca="1">AND(NOT(W1757=TRUE),S1600=1)</f>
        <v>1</v>
      </c>
      <c r="T1749" s="991" t="b">
        <f ca="1">IF(AND(NOT(S1749),W1749=TRUE),TRUE,FALSE)</f>
        <v>0</v>
      </c>
      <c r="W1749" s="27"/>
      <c r="X1749" s="1123"/>
      <c r="Y1749" s="1210" t="str">
        <f>IF(LEN('11.800'!X163)=0,"None",'11.800'!X163)</f>
        <v>None</v>
      </c>
      <c r="Z1749" s="1123"/>
      <c r="AC1749" s="1150" t="b">
        <f ca="1">OR(AD1749:AE1749)</f>
        <v>0</v>
      </c>
      <c r="AD1749" s="1150" t="b">
        <f ca="1">T1749</f>
        <v>0</v>
      </c>
      <c r="AE1749" s="1150"/>
      <c r="AL1749" s="1352" t="str">
        <f>SUBSTITUTE(SUBSTITUTE(SUBSTITUTE("vpa"&amp;$B1749&amp;$C1749&amp;$D1749&amp;$E1749&amp;$F1749,".","_"),"(","_"),")","")</f>
        <v>vpa802_6_3_1</v>
      </c>
      <c r="AM1749" s="1352">
        <f>M1749</f>
        <v>4</v>
      </c>
      <c r="AN1749" s="1352" t="str">
        <f>SUBSTITUTE(SUBSTITUTE(SUBSTITUTE("vpc"&amp;$B1749&amp;$C1749&amp;$D1749&amp;$E1749&amp;$F1749,".","_"),"(","_"),")","")</f>
        <v>vpc802_6_3_1</v>
      </c>
      <c r="AO1749" s="1352">
        <f ca="1">O1749</f>
        <v>0</v>
      </c>
      <c r="AP1749" s="1352" t="str">
        <f>SUBSTITUTE(SUBSTITUTE(SUBSTITUTE("vch"&amp;$B1749&amp;$C1749&amp;$D1749&amp;$E1749&amp;$F1749,".","_"),"(","_"),")","")</f>
        <v>vch802_6_3_1</v>
      </c>
      <c r="AQ1749" s="1352" t="str">
        <f>IF(LEN(W1749)=0,"",W1749)</f>
        <v/>
      </c>
      <c r="AR1749" s="1352" t="str">
        <f>SUBSTITUTE(SUBSTITUTE(SUBSTITUTE("vnt"&amp;$B1749&amp;$C1749&amp;$D1749&amp;$E1749&amp;$F1749,".","_"),"(","_"),")","")</f>
        <v>vnt802_6_3_1</v>
      </c>
      <c r="AS1749" s="1352" t="str">
        <f>IF(LEN(X1749)=0,"",X1749)</f>
        <v/>
      </c>
    </row>
    <row r="1750" spans="1:45" s="905" customFormat="1" ht="16" hidden="1" x14ac:dyDescent="0.2">
      <c r="A1750" s="1507">
        <v>8</v>
      </c>
      <c r="B1750" s="1516" t="s">
        <v>4650</v>
      </c>
      <c r="C1750" s="1517" t="s">
        <v>255</v>
      </c>
      <c r="D1750" s="1517"/>
      <c r="E1750" s="1516"/>
      <c r="F1750" s="1511"/>
      <c r="G1750" s="1509" t="str">
        <f ca="1">IF(N1750&gt;0,"P","")</f>
        <v/>
      </c>
      <c r="H1750" s="1530" t="s">
        <v>3199</v>
      </c>
      <c r="I1750" s="589"/>
      <c r="J1750" s="1074" t="s">
        <v>255</v>
      </c>
      <c r="K1750" s="1074"/>
      <c r="L1750" s="1075" t="s">
        <v>4573</v>
      </c>
      <c r="M1750" s="937">
        <v>4</v>
      </c>
      <c r="N1750" s="909">
        <f ca="1">'11.800'!O164</f>
        <v>0</v>
      </c>
      <c r="O1750" s="909">
        <f ca="1">M1750*S1750*W1750</f>
        <v>0</v>
      </c>
      <c r="P1750" s="991" t="b">
        <v>0</v>
      </c>
      <c r="Q1750" s="905" t="b">
        <v>1</v>
      </c>
      <c r="R1750" s="905" t="b">
        <v>0</v>
      </c>
      <c r="S1750" s="905" t="b">
        <f ca="1">AND(NOT(W1757=TRUE),S1600=1)</f>
        <v>1</v>
      </c>
      <c r="T1750" s="991" t="b">
        <f ca="1">IF(AND(NOT(S1750),W1750=TRUE),TRUE,FALSE)</f>
        <v>0</v>
      </c>
      <c r="W1750" s="27"/>
      <c r="X1750" s="1123"/>
      <c r="Y1750" s="1210" t="str">
        <f>IF(LEN('11.800'!X164)=0,"None",'11.800'!X164)</f>
        <v>None</v>
      </c>
      <c r="Z1750" s="1123"/>
      <c r="AC1750" s="1150" t="b">
        <f ca="1">OR(AD1750:AE1750)</f>
        <v>0</v>
      </c>
      <c r="AD1750" s="1150" t="b">
        <f ca="1">T1750</f>
        <v>0</v>
      </c>
      <c r="AE1750" s="1150"/>
      <c r="AL1750" s="1352" t="str">
        <f>SUBSTITUTE(SUBSTITUTE(SUBSTITUTE("vpa"&amp;$B1750&amp;$C1750&amp;$D1750&amp;$E1750&amp;$F1750,".","_"),"(","_"),")","")</f>
        <v>vpa802_6_3_2</v>
      </c>
      <c r="AM1750" s="1352">
        <f>M1750</f>
        <v>4</v>
      </c>
      <c r="AN1750" s="1352" t="str">
        <f>SUBSTITUTE(SUBSTITUTE(SUBSTITUTE("vpc"&amp;$B1750&amp;$C1750&amp;$D1750&amp;$E1750&amp;$F1750,".","_"),"(","_"),")","")</f>
        <v>vpc802_6_3_2</v>
      </c>
      <c r="AO1750" s="1352">
        <f ca="1">O1750</f>
        <v>0</v>
      </c>
      <c r="AP1750" s="1352" t="str">
        <f>SUBSTITUTE(SUBSTITUTE(SUBSTITUTE("vch"&amp;$B1750&amp;$C1750&amp;$D1750&amp;$E1750&amp;$F1750,".","_"),"(","_"),")","")</f>
        <v>vch802_6_3_2</v>
      </c>
      <c r="AQ1750" s="1352" t="str">
        <f>IF(LEN(W1750)=0,"",W1750)</f>
        <v/>
      </c>
      <c r="AR1750" s="1352" t="str">
        <f>SUBSTITUTE(SUBSTITUTE(SUBSTITUTE("vnt"&amp;$B1750&amp;$C1750&amp;$D1750&amp;$E1750&amp;$F1750,".","_"),"(","_"),")","")</f>
        <v>vnt802_6_3_2</v>
      </c>
      <c r="AS1750" s="1352" t="str">
        <f>IF(LEN(X1750)=0,"",X1750)</f>
        <v/>
      </c>
    </row>
    <row r="1751" spans="1:45" s="905" customFormat="1" hidden="1" x14ac:dyDescent="0.2">
      <c r="A1751" s="1507">
        <v>8</v>
      </c>
      <c r="B1751" s="1516" t="s">
        <v>4650</v>
      </c>
      <c r="C1751" s="1517" t="s">
        <v>256</v>
      </c>
      <c r="D1751" s="1517"/>
      <c r="E1751" s="1516"/>
      <c r="F1751" s="1511"/>
      <c r="G1751" s="1509" t="str">
        <f ca="1">IF(N1751&gt;0,"P","")</f>
        <v/>
      </c>
      <c r="H1751" s="1530" t="s">
        <v>3199</v>
      </c>
      <c r="I1751" s="590"/>
      <c r="J1751" s="1073" t="s">
        <v>256</v>
      </c>
      <c r="K1751" s="1073"/>
      <c r="L1751" s="1633" t="s">
        <v>4574</v>
      </c>
      <c r="M1751" s="1623">
        <v>5</v>
      </c>
      <c r="N1751" s="1637">
        <f ca="1">'11.800'!O165</f>
        <v>0</v>
      </c>
      <c r="O1751" s="1619">
        <f ca="1">M1751*S1751*W1751</f>
        <v>0</v>
      </c>
      <c r="P1751" s="991" t="b">
        <v>0</v>
      </c>
      <c r="Q1751" s="905" t="b">
        <v>1</v>
      </c>
      <c r="R1751" s="991" t="b">
        <v>0</v>
      </c>
      <c r="S1751" s="991" t="b">
        <f ca="1">AND(W1749=TRUE,NOT(W1757=TRUE),S1600=1)</f>
        <v>0</v>
      </c>
      <c r="T1751" s="991" t="b">
        <f ca="1">IF(AND(NOT(S1751),W1751=TRUE),TRUE,FALSE)</f>
        <v>0</v>
      </c>
      <c r="U1751" s="991"/>
      <c r="W1751" s="27"/>
      <c r="X1751" s="1600"/>
      <c r="Y1751" s="1874" t="str">
        <f>IF(LEN('11.800'!X165)=0,"None",'11.800'!X165)</f>
        <v>None</v>
      </c>
      <c r="Z1751" s="1600"/>
      <c r="AC1751" s="1150" t="b">
        <f ca="1">OR(AD1751:AE1751)</f>
        <v>0</v>
      </c>
      <c r="AD1751" s="1150" t="b">
        <f ca="1">T1751</f>
        <v>0</v>
      </c>
      <c r="AE1751" s="1150"/>
      <c r="AL1751" s="1352" t="str">
        <f>SUBSTITUTE(SUBSTITUTE(SUBSTITUTE("vpa"&amp;$B1751&amp;$C1751&amp;$D1751&amp;$E1751&amp;$F1751,".","_"),"(","_"),")","")</f>
        <v>vpa802_6_3_3</v>
      </c>
      <c r="AM1751" s="1352">
        <f>M1751</f>
        <v>5</v>
      </c>
      <c r="AN1751" s="1352" t="str">
        <f>SUBSTITUTE(SUBSTITUTE(SUBSTITUTE("vpc"&amp;$B1751&amp;$C1751&amp;$D1751&amp;$E1751&amp;$F1751,".","_"),"(","_"),")","")</f>
        <v>vpc802_6_3_3</v>
      </c>
      <c r="AO1751" s="1352">
        <f ca="1">O1751</f>
        <v>0</v>
      </c>
      <c r="AP1751" s="1352" t="str">
        <f>SUBSTITUTE(SUBSTITUTE(SUBSTITUTE("vch"&amp;$B1751&amp;$C1751&amp;$D1751&amp;$E1751&amp;$F1751,".","_"),"(","_"),")","")</f>
        <v>vch802_6_3_3</v>
      </c>
      <c r="AQ1751" s="1352" t="str">
        <f>IF(LEN(W1751)=0,"",W1751)</f>
        <v/>
      </c>
      <c r="AR1751" s="1352" t="str">
        <f>SUBSTITUTE(SUBSTITUTE(SUBSTITUTE("vnt"&amp;$B1751&amp;$C1751&amp;$D1751&amp;$E1751&amp;$F1751,".","_"),"(","_"),")","")</f>
        <v>vnt802_6_3_3</v>
      </c>
      <c r="AS1751" s="1352" t="str">
        <f>IF(LEN(X1751)=0,"",X1751)</f>
        <v/>
      </c>
    </row>
    <row r="1752" spans="1:45" s="905" customFormat="1" hidden="1" x14ac:dyDescent="0.2">
      <c r="A1752" s="1507">
        <v>8</v>
      </c>
      <c r="B1752" s="1516" t="s">
        <v>4650</v>
      </c>
      <c r="C1752" s="1517" t="s">
        <v>256</v>
      </c>
      <c r="D1752" s="1517"/>
      <c r="E1752" s="1516"/>
      <c r="F1752" s="1511"/>
      <c r="G1752" s="1509" t="str">
        <f ca="1">G1751</f>
        <v/>
      </c>
      <c r="H1752" s="1530" t="s">
        <v>3199</v>
      </c>
      <c r="I1752" s="606"/>
      <c r="J1752" s="1072"/>
      <c r="K1752" s="1072"/>
      <c r="L1752" s="1639"/>
      <c r="M1752" s="1624"/>
      <c r="N1752" s="1620"/>
      <c r="O1752" s="1620"/>
      <c r="P1752" s="173"/>
      <c r="Q1752" s="173"/>
      <c r="R1752" s="173"/>
      <c r="S1752" s="173"/>
      <c r="T1752" s="173"/>
      <c r="U1752" s="173"/>
      <c r="X1752" s="1600"/>
      <c r="Y1752" s="1874"/>
      <c r="Z1752" s="1600"/>
      <c r="AC1752" s="1150"/>
      <c r="AD1752" s="1150"/>
      <c r="AE1752" s="1150"/>
      <c r="AL1752" s="1352"/>
      <c r="AM1752" s="1352"/>
      <c r="AN1752" s="1352"/>
      <c r="AO1752" s="1352"/>
      <c r="AP1752" s="1352"/>
      <c r="AQ1752" s="1352"/>
      <c r="AR1752" s="1352"/>
      <c r="AS1752" s="1352"/>
    </row>
    <row r="1753" spans="1:45" s="905" customFormat="1" hidden="1" x14ac:dyDescent="0.2">
      <c r="A1753" s="1507">
        <v>8</v>
      </c>
      <c r="B1753" s="1516" t="s">
        <v>4651</v>
      </c>
      <c r="C1753" s="1517"/>
      <c r="D1753" s="1517"/>
      <c r="E1753" s="1516"/>
      <c r="F1753" s="1511"/>
      <c r="G1753" s="1513" t="str">
        <f ca="1">IF(COUNTIF(G1755:G1757,"P")&gt;0,"P","")</f>
        <v/>
      </c>
      <c r="H1753" s="1530" t="s">
        <v>3199</v>
      </c>
      <c r="I1753" s="589" t="s">
        <v>4575</v>
      </c>
      <c r="J1753" s="873"/>
      <c r="K1753" s="873"/>
      <c r="L1753" s="1687" t="s">
        <v>4576</v>
      </c>
      <c r="M1753" s="930"/>
      <c r="N1753" s="930"/>
      <c r="O1753" s="930"/>
      <c r="Y1753" s="1198"/>
      <c r="Z1753" s="1122"/>
      <c r="AC1753" s="1150"/>
      <c r="AD1753" s="1150"/>
      <c r="AE1753" s="1150"/>
      <c r="AL1753" s="1352"/>
      <c r="AM1753" s="1352"/>
      <c r="AN1753" s="1352"/>
      <c r="AO1753" s="1352"/>
      <c r="AP1753" s="1352"/>
      <c r="AQ1753" s="1352"/>
      <c r="AR1753" s="1352"/>
      <c r="AS1753" s="1352"/>
    </row>
    <row r="1754" spans="1:45" s="905" customFormat="1" hidden="1" x14ac:dyDescent="0.2">
      <c r="A1754" s="1507">
        <v>8</v>
      </c>
      <c r="B1754" s="1516" t="s">
        <v>4651</v>
      </c>
      <c r="C1754" s="1517"/>
      <c r="D1754" s="1517"/>
      <c r="E1754" s="1516"/>
      <c r="F1754" s="1511"/>
      <c r="G1754" s="1509" t="str">
        <f ca="1">G1753</f>
        <v/>
      </c>
      <c r="H1754" s="1530" t="s">
        <v>3199</v>
      </c>
      <c r="I1754" s="589"/>
      <c r="J1754" s="873"/>
      <c r="K1754" s="873"/>
      <c r="L1754" s="1687"/>
      <c r="M1754" s="930"/>
      <c r="N1754" s="930"/>
      <c r="O1754" s="930"/>
      <c r="Y1754" s="1198"/>
      <c r="Z1754" s="1122"/>
      <c r="AC1754" s="1150"/>
      <c r="AD1754" s="1150"/>
      <c r="AE1754" s="1150"/>
      <c r="AL1754" s="1352"/>
      <c r="AM1754" s="1352"/>
      <c r="AN1754" s="1352"/>
      <c r="AO1754" s="1352"/>
      <c r="AP1754" s="1352"/>
      <c r="AQ1754" s="1352"/>
      <c r="AR1754" s="1352"/>
      <c r="AS1754" s="1352"/>
    </row>
    <row r="1755" spans="1:45" s="905" customFormat="1" hidden="1" x14ac:dyDescent="0.2">
      <c r="A1755" s="1507">
        <v>8</v>
      </c>
      <c r="B1755" s="1516" t="s">
        <v>4651</v>
      </c>
      <c r="C1755" s="1517" t="s">
        <v>254</v>
      </c>
      <c r="D1755" s="1517"/>
      <c r="E1755" s="1516"/>
      <c r="F1755" s="1511"/>
      <c r="G1755" s="1509" t="str">
        <f ca="1">IF(N1755&gt;0,"P","")</f>
        <v/>
      </c>
      <c r="H1755" s="1530" t="s">
        <v>3199</v>
      </c>
      <c r="I1755" s="589"/>
      <c r="J1755" s="1068" t="s">
        <v>254</v>
      </c>
      <c r="K1755" s="1068"/>
      <c r="L1755" s="1634" t="s">
        <v>4577</v>
      </c>
      <c r="M1755" s="1623">
        <v>10</v>
      </c>
      <c r="N1755" s="1619">
        <f ca="1">'11.800'!O169</f>
        <v>0</v>
      </c>
      <c r="O1755" s="1619">
        <f ca="1">M1755*S1755*W1755</f>
        <v>0</v>
      </c>
      <c r="P1755" s="991" t="b">
        <v>0</v>
      </c>
      <c r="Q1755" s="905" t="b">
        <v>1</v>
      </c>
      <c r="R1755" s="905" t="b">
        <v>0</v>
      </c>
      <c r="S1755" s="905" t="b">
        <f ca="1">AND(NOT(W1757=TRUE),S1600=1)</f>
        <v>1</v>
      </c>
      <c r="T1755" s="991" t="b">
        <f ca="1">IF(AND(NOT(S1755),W1755=TRUE),TRUE,FALSE)</f>
        <v>0</v>
      </c>
      <c r="W1755" s="27"/>
      <c r="X1755" s="1600"/>
      <c r="Y1755" s="1874" t="str">
        <f>IF(LEN('11.800'!X169)=0,"None",'11.800'!X169)</f>
        <v>None</v>
      </c>
      <c r="Z1755" s="1600"/>
      <c r="AC1755" s="1150" t="b">
        <f ca="1">OR(AD1755:AE1755)</f>
        <v>0</v>
      </c>
      <c r="AD1755" s="1150" t="b">
        <f ca="1">T1755</f>
        <v>0</v>
      </c>
      <c r="AE1755" s="1150"/>
      <c r="AL1755" s="1352" t="str">
        <f>SUBSTITUTE(SUBSTITUTE(SUBSTITUTE("vpa"&amp;$B1755&amp;$C1755&amp;$D1755&amp;$E1755&amp;$F1755,".","_"),"(","_"),")","")</f>
        <v>vpa802_6_4_1</v>
      </c>
      <c r="AM1755" s="1352">
        <f>M1755</f>
        <v>10</v>
      </c>
      <c r="AN1755" s="1352" t="str">
        <f>SUBSTITUTE(SUBSTITUTE(SUBSTITUTE("vpc"&amp;$B1755&amp;$C1755&amp;$D1755&amp;$E1755&amp;$F1755,".","_"),"(","_"),")","")</f>
        <v>vpc802_6_4_1</v>
      </c>
      <c r="AO1755" s="1352">
        <f ca="1">O1755</f>
        <v>0</v>
      </c>
      <c r="AP1755" s="1352" t="str">
        <f>SUBSTITUTE(SUBSTITUTE(SUBSTITUTE("vch"&amp;$B1755&amp;$C1755&amp;$D1755&amp;$E1755&amp;$F1755,".","_"),"(","_"),")","")</f>
        <v>vch802_6_4_1</v>
      </c>
      <c r="AQ1755" s="1352" t="str">
        <f>IF(LEN(W1755)=0,"",W1755)</f>
        <v/>
      </c>
      <c r="AR1755" s="1352" t="str">
        <f>SUBSTITUTE(SUBSTITUTE(SUBSTITUTE("vnt"&amp;$B1755&amp;$C1755&amp;$D1755&amp;$E1755&amp;$F1755,".","_"),"(","_"),")","")</f>
        <v>vnt802_6_4_1</v>
      </c>
      <c r="AS1755" s="1352" t="str">
        <f>IF(LEN(X1755)=0,"",X1755)</f>
        <v/>
      </c>
    </row>
    <row r="1756" spans="1:45" s="905" customFormat="1" hidden="1" x14ac:dyDescent="0.2">
      <c r="A1756" s="1507">
        <v>8</v>
      </c>
      <c r="B1756" s="1516" t="s">
        <v>4651</v>
      </c>
      <c r="C1756" s="1517" t="s">
        <v>254</v>
      </c>
      <c r="D1756" s="1517"/>
      <c r="E1756" s="1516"/>
      <c r="F1756" s="1511"/>
      <c r="G1756" s="1509" t="str">
        <f ca="1">G1755</f>
        <v/>
      </c>
      <c r="H1756" s="1530" t="s">
        <v>3199</v>
      </c>
      <c r="I1756" s="589"/>
      <c r="J1756" s="1072"/>
      <c r="K1756" s="1072"/>
      <c r="L1756" s="1639"/>
      <c r="M1756" s="1624"/>
      <c r="N1756" s="1620"/>
      <c r="O1756" s="1620"/>
      <c r="X1756" s="1600"/>
      <c r="Y1756" s="1874"/>
      <c r="Z1756" s="1600"/>
      <c r="AC1756" s="1150"/>
      <c r="AD1756" s="1150"/>
      <c r="AE1756" s="1150"/>
      <c r="AL1756" s="1352"/>
      <c r="AM1756" s="1352"/>
      <c r="AN1756" s="1352"/>
      <c r="AO1756" s="1352"/>
      <c r="AP1756" s="1352"/>
      <c r="AQ1756" s="1352"/>
      <c r="AR1756" s="1352"/>
      <c r="AS1756" s="1352"/>
    </row>
    <row r="1757" spans="1:45" s="905" customFormat="1" hidden="1" x14ac:dyDescent="0.2">
      <c r="A1757" s="1507">
        <v>8</v>
      </c>
      <c r="B1757" s="1516" t="s">
        <v>4651</v>
      </c>
      <c r="C1757" s="1517" t="s">
        <v>255</v>
      </c>
      <c r="D1757" s="1517"/>
      <c r="E1757" s="1516"/>
      <c r="F1757" s="1511"/>
      <c r="G1757" s="1509" t="str">
        <f ca="1">IF(N1757&gt;0,"P","")</f>
        <v/>
      </c>
      <c r="H1757" s="1530" t="s">
        <v>3199</v>
      </c>
      <c r="I1757" s="590"/>
      <c r="J1757" s="1068" t="s">
        <v>255</v>
      </c>
      <c r="K1757" s="1068"/>
      <c r="L1757" s="1634" t="s">
        <v>4578</v>
      </c>
      <c r="M1757" s="1623">
        <v>15</v>
      </c>
      <c r="N1757" s="1637">
        <f ca="1">'11.800'!O171</f>
        <v>0</v>
      </c>
      <c r="O1757" s="1619">
        <f ca="1">M1757*S1757*W1757</f>
        <v>0</v>
      </c>
      <c r="P1757" s="991" t="b">
        <v>0</v>
      </c>
      <c r="Q1757" s="991" t="b">
        <v>1</v>
      </c>
      <c r="R1757" s="991" t="b">
        <v>0</v>
      </c>
      <c r="S1757" s="991" t="b">
        <f ca="1">AND(NOT(W1745=TRUE),NOT(W1749=TRUE),NOT(W1750=TRUE),NOT(W1751=TRUE),NOT(W1743=TRUE),NOT(W1755=TRUE),NOT(W1761=TRUE),S1758,S1600=1)</f>
        <v>0</v>
      </c>
      <c r="T1757" s="991" t="b">
        <f ca="1">IF(AND(NOT(S1757),W1757=TRUE),TRUE,FALSE)</f>
        <v>0</v>
      </c>
      <c r="U1757" s="991"/>
      <c r="W1757" s="27"/>
      <c r="X1757" s="1600"/>
      <c r="Y1757" s="1874" t="str">
        <f>IF(LEN('11.800'!X171)=0,"None",'11.800'!X171)</f>
        <v>None</v>
      </c>
      <c r="Z1757" s="1600"/>
      <c r="AC1757" s="1150" t="b">
        <f ca="1">OR(AD1757:AE1757)</f>
        <v>0</v>
      </c>
      <c r="AD1757" s="1150" t="b">
        <f ca="1">T1757</f>
        <v>0</v>
      </c>
      <c r="AE1757" s="1150"/>
      <c r="AL1757" s="1352" t="str">
        <f>SUBSTITUTE(SUBSTITUTE(SUBSTITUTE("vpa"&amp;$B1757&amp;$C1757&amp;$D1757&amp;$E1757&amp;$F1757,".","_"),"(","_"),")","")</f>
        <v>vpa802_6_4_2</v>
      </c>
      <c r="AM1757" s="1352">
        <f>M1757</f>
        <v>15</v>
      </c>
      <c r="AN1757" s="1352" t="str">
        <f>SUBSTITUTE(SUBSTITUTE(SUBSTITUTE("vpc"&amp;$B1757&amp;$C1757&amp;$D1757&amp;$E1757&amp;$F1757,".","_"),"(","_"),")","")</f>
        <v>vpc802_6_4_2</v>
      </c>
      <c r="AO1757" s="1352">
        <f ca="1">O1757</f>
        <v>0</v>
      </c>
      <c r="AP1757" s="1352" t="str">
        <f>SUBSTITUTE(SUBSTITUTE(SUBSTITUTE("vch"&amp;$B1757&amp;$C1757&amp;$D1757&amp;$E1757&amp;$F1757,".","_"),"(","_"),")","")</f>
        <v>vch802_6_4_2</v>
      </c>
      <c r="AQ1757" s="1352" t="str">
        <f>IF(LEN(W1757)=0,"",W1757)</f>
        <v/>
      </c>
      <c r="AR1757" s="1352" t="str">
        <f>SUBSTITUTE(SUBSTITUTE(SUBSTITUTE("vnt"&amp;$B1757&amp;$C1757&amp;$D1757&amp;$E1757&amp;$F1757,".","_"),"(","_"),")","")</f>
        <v>vnt802_6_4_2</v>
      </c>
      <c r="AS1757" s="1352" t="str">
        <f>IF(LEN(X1757)=0,"",X1757)</f>
        <v/>
      </c>
    </row>
    <row r="1758" spans="1:45" s="905" customFormat="1" hidden="1" x14ac:dyDescent="0.2">
      <c r="A1758" s="1507">
        <v>8</v>
      </c>
      <c r="B1758" s="1516" t="s">
        <v>4651</v>
      </c>
      <c r="C1758" s="1517" t="s">
        <v>255</v>
      </c>
      <c r="D1758" s="1517"/>
      <c r="E1758" s="1516"/>
      <c r="F1758" s="1511"/>
      <c r="G1758" s="1509" t="str">
        <f ca="1">G1757</f>
        <v/>
      </c>
      <c r="H1758" s="1530" t="s">
        <v>3199</v>
      </c>
      <c r="I1758" s="606"/>
      <c r="J1758" s="1072"/>
      <c r="K1758" s="1072"/>
      <c r="L1758" s="1639"/>
      <c r="M1758" s="1624"/>
      <c r="N1758" s="1620"/>
      <c r="O1758" s="1620"/>
      <c r="P1758" s="173"/>
      <c r="Q1758" s="173"/>
      <c r="R1758" s="173"/>
      <c r="S1758" s="1178" t="b">
        <f ca="1">IFERROR(AND(MATCH(W134,INDIRECT(U134),0)=3,SUM(O136:O156)&gt;=5),FALSE)</f>
        <v>0</v>
      </c>
      <c r="T1758" s="173"/>
      <c r="U1758" s="173"/>
      <c r="X1758" s="1600"/>
      <c r="Y1758" s="1874"/>
      <c r="Z1758" s="1600"/>
      <c r="AC1758" s="1150"/>
      <c r="AD1758" s="1150"/>
      <c r="AE1758" s="1150"/>
      <c r="AL1758" s="1352"/>
      <c r="AM1758" s="1352"/>
      <c r="AN1758" s="1352"/>
      <c r="AO1758" s="1352"/>
      <c r="AP1758" s="1352"/>
      <c r="AQ1758" s="1352"/>
      <c r="AR1758" s="1352"/>
      <c r="AS1758" s="1352"/>
    </row>
    <row r="1759" spans="1:45" s="905" customFormat="1" hidden="1" x14ac:dyDescent="0.2">
      <c r="A1759" s="1507">
        <v>8</v>
      </c>
      <c r="B1759" s="1516" t="s">
        <v>4652</v>
      </c>
      <c r="C1759" s="1517"/>
      <c r="D1759" s="1517"/>
      <c r="E1759" s="1516"/>
      <c r="F1759" s="1511"/>
      <c r="G1759" s="1513" t="str">
        <f ca="1">IF(COUNTIF(G1761:G1768,"P")&gt;0,"P","")</f>
        <v/>
      </c>
      <c r="H1759" s="1530" t="s">
        <v>3199</v>
      </c>
      <c r="I1759" s="589" t="s">
        <v>4579</v>
      </c>
      <c r="J1759" s="873"/>
      <c r="K1759" s="873"/>
      <c r="L1759" s="946" t="s">
        <v>4580</v>
      </c>
      <c r="M1759" s="930"/>
      <c r="N1759" s="930"/>
      <c r="O1759" s="930"/>
      <c r="X1759" s="1122"/>
      <c r="Y1759" s="1198"/>
      <c r="AC1759" s="1150"/>
      <c r="AD1759" s="1150"/>
      <c r="AE1759" s="1150"/>
      <c r="AL1759" s="1352"/>
      <c r="AM1759" s="1352"/>
      <c r="AN1759" s="1352"/>
      <c r="AO1759" s="1352"/>
      <c r="AP1759" s="1352"/>
      <c r="AQ1759" s="1352"/>
      <c r="AR1759" s="1352"/>
      <c r="AS1759" s="1352"/>
    </row>
    <row r="1760" spans="1:45" s="905" customFormat="1" hidden="1" x14ac:dyDescent="0.2">
      <c r="A1760" s="1507">
        <v>8</v>
      </c>
      <c r="B1760" s="1516" t="s">
        <v>4652</v>
      </c>
      <c r="C1760" s="1517"/>
      <c r="D1760" s="1517"/>
      <c r="E1760" s="1516"/>
      <c r="F1760" s="1511"/>
      <c r="G1760" s="1509" t="str">
        <f ca="1">G1759</f>
        <v/>
      </c>
      <c r="H1760" s="1530" t="s">
        <v>3199</v>
      </c>
      <c r="I1760" s="589"/>
      <c r="J1760" s="873"/>
      <c r="K1760" s="873"/>
      <c r="L1760" s="960" t="s">
        <v>4581</v>
      </c>
      <c r="M1760" s="913"/>
      <c r="N1760" s="908"/>
      <c r="O1760" s="908"/>
      <c r="P1760" s="991"/>
      <c r="Q1760" s="991"/>
      <c r="R1760" s="991"/>
      <c r="T1760" s="991"/>
      <c r="U1760" s="991"/>
      <c r="X1760" s="1122"/>
      <c r="Y1760" s="1198"/>
      <c r="AC1760" s="1150"/>
      <c r="AD1760" s="1150"/>
      <c r="AE1760" s="1150"/>
      <c r="AL1760" s="1352"/>
      <c r="AM1760" s="1352"/>
      <c r="AN1760" s="1352"/>
      <c r="AO1760" s="1352"/>
      <c r="AP1760" s="1352"/>
      <c r="AQ1760" s="1352"/>
      <c r="AR1760" s="1352"/>
      <c r="AS1760" s="1352"/>
    </row>
    <row r="1761" spans="1:45" s="905" customFormat="1" hidden="1" x14ac:dyDescent="0.2">
      <c r="A1761" s="1507">
        <v>8</v>
      </c>
      <c r="B1761" s="1516" t="s">
        <v>4652</v>
      </c>
      <c r="C1761" s="1517" t="s">
        <v>254</v>
      </c>
      <c r="D1761" s="1517"/>
      <c r="E1761" s="1516"/>
      <c r="F1761" s="1511"/>
      <c r="G1761" s="1509" t="str">
        <f ca="1">IF(N1761&gt;0,"P","")</f>
        <v/>
      </c>
      <c r="H1761" s="1530" t="s">
        <v>3199</v>
      </c>
      <c r="I1761" s="589"/>
      <c r="J1761" s="1068" t="s">
        <v>254</v>
      </c>
      <c r="K1761" s="1068"/>
      <c r="L1761" s="1634" t="s">
        <v>4582</v>
      </c>
      <c r="M1761" s="1623">
        <v>3</v>
      </c>
      <c r="N1761" s="1619">
        <f ca="1">'11.800'!O175</f>
        <v>0</v>
      </c>
      <c r="O1761" s="1619">
        <f ca="1">M1761*S1761*W1761</f>
        <v>0</v>
      </c>
      <c r="P1761" s="991" t="b">
        <v>0</v>
      </c>
      <c r="Q1761" s="991" t="b">
        <v>1</v>
      </c>
      <c r="R1761" s="991" t="b">
        <v>0</v>
      </c>
      <c r="S1761" s="991" t="b">
        <f ca="1">AND(NOT(W1757=TRUE),S1600=1)</f>
        <v>1</v>
      </c>
      <c r="T1761" s="991" t="b">
        <f ca="1">IF(AND(NOT(S1761),W1761=TRUE),TRUE,FALSE)</f>
        <v>0</v>
      </c>
      <c r="U1761" s="991"/>
      <c r="W1761" s="27"/>
      <c r="X1761" s="1600"/>
      <c r="Y1761" s="1874" t="str">
        <f>IF(LEN('11.800'!X175)=0,"None",'11.800'!X175)</f>
        <v>None</v>
      </c>
      <c r="Z1761" s="1600"/>
      <c r="AC1761" s="1150" t="b">
        <f ca="1">OR(AD1761:AE1761)</f>
        <v>0</v>
      </c>
      <c r="AD1761" s="1150" t="b">
        <f ca="1">T1761</f>
        <v>0</v>
      </c>
      <c r="AE1761" s="1150"/>
      <c r="AL1761" s="1352" t="str">
        <f>SUBSTITUTE(SUBSTITUTE(SUBSTITUTE("vpa"&amp;$B1761&amp;$C1761&amp;$D1761&amp;$E1761&amp;$F1761,".","_"),"(","_"),")","")</f>
        <v>vpa802_6_5_1</v>
      </c>
      <c r="AM1761" s="1352">
        <f>M1761</f>
        <v>3</v>
      </c>
      <c r="AN1761" s="1352" t="str">
        <f>SUBSTITUTE(SUBSTITUTE(SUBSTITUTE("vpc"&amp;$B1761&amp;$C1761&amp;$D1761&amp;$E1761&amp;$F1761,".","_"),"(","_"),")","")</f>
        <v>vpc802_6_5_1</v>
      </c>
      <c r="AO1761" s="1352">
        <f ca="1">O1761</f>
        <v>0</v>
      </c>
      <c r="AP1761" s="1352" t="str">
        <f>SUBSTITUTE(SUBSTITUTE(SUBSTITUTE("vch"&amp;$B1761&amp;$C1761&amp;$D1761&amp;$E1761&amp;$F1761,".","_"),"(","_"),")","")</f>
        <v>vch802_6_5_1</v>
      </c>
      <c r="AQ1761" s="1352" t="str">
        <f>IF(LEN(W1761)=0,"",W1761)</f>
        <v/>
      </c>
      <c r="AR1761" s="1352" t="str">
        <f>SUBSTITUTE(SUBSTITUTE(SUBSTITUTE("vnt"&amp;$B1761&amp;$C1761&amp;$D1761&amp;$E1761&amp;$F1761,".","_"),"(","_"),")","")</f>
        <v>vnt802_6_5_1</v>
      </c>
      <c r="AS1761" s="1352" t="str">
        <f>IF(LEN(X1761)=0,"",X1761)</f>
        <v/>
      </c>
    </row>
    <row r="1762" spans="1:45" s="905" customFormat="1" hidden="1" x14ac:dyDescent="0.2">
      <c r="A1762" s="1507">
        <v>8</v>
      </c>
      <c r="B1762" s="1516" t="s">
        <v>4652</v>
      </c>
      <c r="C1762" s="1517" t="s">
        <v>254</v>
      </c>
      <c r="D1762" s="1517"/>
      <c r="E1762" s="1516"/>
      <c r="F1762" s="1511"/>
      <c r="G1762" s="1509" t="str">
        <f ca="1">G1761</f>
        <v/>
      </c>
      <c r="H1762" s="1530" t="s">
        <v>3199</v>
      </c>
      <c r="I1762" s="589"/>
      <c r="J1762" s="1072"/>
      <c r="K1762" s="1072"/>
      <c r="L1762" s="1639"/>
      <c r="M1762" s="1624"/>
      <c r="N1762" s="1620"/>
      <c r="O1762" s="1620"/>
      <c r="P1762" s="991"/>
      <c r="Q1762" s="991"/>
      <c r="R1762" s="991"/>
      <c r="S1762" s="991"/>
      <c r="T1762" s="991"/>
      <c r="U1762" s="991"/>
      <c r="X1762" s="1600"/>
      <c r="Y1762" s="1874"/>
      <c r="Z1762" s="1600"/>
      <c r="AL1762" s="1352"/>
      <c r="AM1762" s="1352"/>
      <c r="AN1762" s="1352"/>
      <c r="AO1762" s="1352"/>
      <c r="AP1762" s="1352"/>
      <c r="AQ1762" s="1352"/>
      <c r="AR1762" s="1352"/>
      <c r="AS1762" s="1352"/>
    </row>
    <row r="1763" spans="1:45" s="905" customFormat="1" hidden="1" x14ac:dyDescent="0.2">
      <c r="A1763" s="1507">
        <v>8</v>
      </c>
      <c r="B1763" s="1516" t="s">
        <v>4652</v>
      </c>
      <c r="C1763" s="1517" t="s">
        <v>255</v>
      </c>
      <c r="D1763" s="1517"/>
      <c r="E1763" s="1516"/>
      <c r="F1763" s="1511"/>
      <c r="G1763" s="1509" t="str">
        <f ca="1">IF(N1763&gt;0,"P","")</f>
        <v/>
      </c>
      <c r="H1763" s="1530" t="s">
        <v>3199</v>
      </c>
      <c r="I1763" s="589"/>
      <c r="J1763" s="1073" t="s">
        <v>255</v>
      </c>
      <c r="K1763" s="1073"/>
      <c r="L1763" s="1633" t="s">
        <v>4583</v>
      </c>
      <c r="M1763" s="1636">
        <v>3</v>
      </c>
      <c r="N1763" s="1637">
        <f ca="1">'11.800'!O177</f>
        <v>0</v>
      </c>
      <c r="O1763" s="1637">
        <f ca="1">M1763*S1763*W1763</f>
        <v>0</v>
      </c>
      <c r="P1763" s="991" t="b">
        <v>0</v>
      </c>
      <c r="Q1763" s="991" t="b">
        <v>1</v>
      </c>
      <c r="R1763" s="991" t="b">
        <v>0</v>
      </c>
      <c r="S1763" s="991" t="b">
        <f ca="1">AND(NOT(W1757=TRUE),S1600=1)</f>
        <v>1</v>
      </c>
      <c r="T1763" s="991" t="b">
        <f ca="1">IF(AND(NOT(S1763),W1763=TRUE),TRUE,FALSE)</f>
        <v>0</v>
      </c>
      <c r="U1763" s="991"/>
      <c r="W1763" s="27"/>
      <c r="X1763" s="1600"/>
      <c r="Y1763" s="1874" t="str">
        <f>IF(LEN('11.800'!X177)=0,"None",'11.800'!X177)</f>
        <v>None</v>
      </c>
      <c r="Z1763" s="1600"/>
      <c r="AC1763" s="1150" t="b">
        <f ca="1">OR(AD1763:AE1763)</f>
        <v>0</v>
      </c>
      <c r="AD1763" s="1150" t="b">
        <f ca="1">T1763</f>
        <v>0</v>
      </c>
      <c r="AL1763" s="1352" t="str">
        <f>SUBSTITUTE(SUBSTITUTE(SUBSTITUTE("vpa"&amp;$B1763&amp;$C1763&amp;$D1763&amp;$E1763&amp;$F1763,".","_"),"(","_"),")","")</f>
        <v>vpa802_6_5_2</v>
      </c>
      <c r="AM1763" s="1352">
        <f>M1763</f>
        <v>3</v>
      </c>
      <c r="AN1763" s="1352" t="str">
        <f>SUBSTITUTE(SUBSTITUTE(SUBSTITUTE("vpc"&amp;$B1763&amp;$C1763&amp;$D1763&amp;$E1763&amp;$F1763,".","_"),"(","_"),")","")</f>
        <v>vpc802_6_5_2</v>
      </c>
      <c r="AO1763" s="1352">
        <f ca="1">O1763</f>
        <v>0</v>
      </c>
      <c r="AP1763" s="1352" t="str">
        <f>SUBSTITUTE(SUBSTITUTE(SUBSTITUTE("vch"&amp;$B1763&amp;$C1763&amp;$D1763&amp;$E1763&amp;$F1763,".","_"),"(","_"),")","")</f>
        <v>vch802_6_5_2</v>
      </c>
      <c r="AQ1763" s="1352" t="str">
        <f>IF(LEN(W1763)=0,"",W1763)</f>
        <v/>
      </c>
      <c r="AR1763" s="1352" t="str">
        <f>SUBSTITUTE(SUBSTITUTE(SUBSTITUTE("vnt"&amp;$B1763&amp;$C1763&amp;$D1763&amp;$E1763&amp;$F1763,".","_"),"(","_"),")","")</f>
        <v>vnt802_6_5_2</v>
      </c>
      <c r="AS1763" s="1352" t="str">
        <f>IF(LEN(X1763)=0,"",X1763)</f>
        <v/>
      </c>
    </row>
    <row r="1764" spans="1:45" s="905" customFormat="1" hidden="1" x14ac:dyDescent="0.2">
      <c r="A1764" s="1507">
        <v>8</v>
      </c>
      <c r="B1764" s="1516" t="s">
        <v>4652</v>
      </c>
      <c r="C1764" s="1517" t="s">
        <v>255</v>
      </c>
      <c r="D1764" s="1517"/>
      <c r="E1764" s="1516"/>
      <c r="F1764" s="1511"/>
      <c r="G1764" s="1509" t="str">
        <f ca="1">G1763</f>
        <v/>
      </c>
      <c r="H1764" s="1530" t="s">
        <v>3199</v>
      </c>
      <c r="I1764" s="589"/>
      <c r="J1764" s="1072"/>
      <c r="K1764" s="1072"/>
      <c r="L1764" s="1639"/>
      <c r="M1764" s="1624"/>
      <c r="N1764" s="1620"/>
      <c r="O1764" s="1620"/>
      <c r="P1764" s="991"/>
      <c r="Q1764" s="991"/>
      <c r="R1764" s="991"/>
      <c r="S1764" s="991"/>
      <c r="T1764" s="991"/>
      <c r="U1764" s="991"/>
      <c r="X1764" s="1600"/>
      <c r="Y1764" s="1874"/>
      <c r="Z1764" s="1600"/>
      <c r="AC1764" s="1150"/>
      <c r="AD1764" s="1150"/>
      <c r="AL1764" s="1352"/>
      <c r="AM1764" s="1352"/>
      <c r="AN1764" s="1352"/>
      <c r="AO1764" s="1352"/>
      <c r="AP1764" s="1352"/>
      <c r="AQ1764" s="1352"/>
      <c r="AR1764" s="1352"/>
      <c r="AS1764" s="1352"/>
    </row>
    <row r="1765" spans="1:45" s="905" customFormat="1" ht="16" hidden="1" x14ac:dyDescent="0.2">
      <c r="A1765" s="1507">
        <v>8</v>
      </c>
      <c r="B1765" s="1516" t="s">
        <v>4652</v>
      </c>
      <c r="C1765" s="1517" t="s">
        <v>256</v>
      </c>
      <c r="D1765" s="1517"/>
      <c r="E1765" s="1516"/>
      <c r="F1765" s="1511"/>
      <c r="G1765" s="1509" t="str">
        <f ca="1">IF(N1765&gt;0,"P","")</f>
        <v/>
      </c>
      <c r="H1765" s="1530" t="s">
        <v>3199</v>
      </c>
      <c r="I1765" s="589"/>
      <c r="J1765" s="1074" t="s">
        <v>256</v>
      </c>
      <c r="K1765" s="1074"/>
      <c r="L1765" s="1075" t="s">
        <v>4584</v>
      </c>
      <c r="M1765" s="379">
        <v>3</v>
      </c>
      <c r="N1765" s="378">
        <f ca="1">'11.800'!O179</f>
        <v>0</v>
      </c>
      <c r="O1765" s="378">
        <f ca="1">M1765*S1765*W1765</f>
        <v>0</v>
      </c>
      <c r="P1765" s="991" t="b">
        <v>0</v>
      </c>
      <c r="Q1765" s="991" t="b">
        <v>1</v>
      </c>
      <c r="R1765" s="991" t="b">
        <v>0</v>
      </c>
      <c r="S1765" s="991" t="b">
        <f ca="1">AND(NOT(W1757=TRUE),S1600=1)</f>
        <v>1</v>
      </c>
      <c r="T1765" s="991" t="b">
        <f ca="1">IF(AND(NOT(S1765),W1765=TRUE),TRUE,FALSE)</f>
        <v>0</v>
      </c>
      <c r="U1765" s="991"/>
      <c r="W1765" s="27"/>
      <c r="X1765" s="1123"/>
      <c r="Y1765" s="1210" t="str">
        <f>IF(LEN('11.800'!X179)=0,"None",'11.800'!X179)</f>
        <v>None</v>
      </c>
      <c r="Z1765" s="1123"/>
      <c r="AC1765" s="1150" t="b">
        <f ca="1">OR(AD1765:AE1765)</f>
        <v>0</v>
      </c>
      <c r="AD1765" s="1150" t="b">
        <f ca="1">T1765</f>
        <v>0</v>
      </c>
      <c r="AL1765" s="1352" t="str">
        <f>SUBSTITUTE(SUBSTITUTE(SUBSTITUTE("vpa"&amp;$B1765&amp;$C1765&amp;$D1765&amp;$E1765&amp;$F1765,".","_"),"(","_"),")","")</f>
        <v>vpa802_6_5_3</v>
      </c>
      <c r="AM1765" s="1352">
        <f>M1765</f>
        <v>3</v>
      </c>
      <c r="AN1765" s="1352" t="str">
        <f>SUBSTITUTE(SUBSTITUTE(SUBSTITUTE("vpc"&amp;$B1765&amp;$C1765&amp;$D1765&amp;$E1765&amp;$F1765,".","_"),"(","_"),")","")</f>
        <v>vpc802_6_5_3</v>
      </c>
      <c r="AO1765" s="1352">
        <f ca="1">O1765</f>
        <v>0</v>
      </c>
      <c r="AP1765" s="1352" t="str">
        <f>SUBSTITUTE(SUBSTITUTE(SUBSTITUTE("vch"&amp;$B1765&amp;$C1765&amp;$D1765&amp;$E1765&amp;$F1765,".","_"),"(","_"),")","")</f>
        <v>vch802_6_5_3</v>
      </c>
      <c r="AQ1765" s="1352" t="str">
        <f>IF(LEN(W1765)=0,"",W1765)</f>
        <v/>
      </c>
      <c r="AR1765" s="1352" t="str">
        <f>SUBSTITUTE(SUBSTITUTE(SUBSTITUTE("vnt"&amp;$B1765&amp;$C1765&amp;$D1765&amp;$E1765&amp;$F1765,".","_"),"(","_"),")","")</f>
        <v>vnt802_6_5_3</v>
      </c>
      <c r="AS1765" s="1352" t="str">
        <f>IF(LEN(X1765)=0,"",X1765)</f>
        <v/>
      </c>
    </row>
    <row r="1766" spans="1:45" s="905" customFormat="1" hidden="1" x14ac:dyDescent="0.2">
      <c r="A1766" s="1507">
        <v>8</v>
      </c>
      <c r="B1766" s="1516" t="s">
        <v>4652</v>
      </c>
      <c r="C1766" s="1517" t="s">
        <v>259</v>
      </c>
      <c r="D1766" s="1517"/>
      <c r="E1766" s="1516"/>
      <c r="F1766" s="1511"/>
      <c r="G1766" s="1509" t="str">
        <f ca="1">IF(N1766&gt;0,"P","")</f>
        <v/>
      </c>
      <c r="H1766" s="1530" t="s">
        <v>3199</v>
      </c>
      <c r="I1766" s="589"/>
      <c r="J1766" s="1073" t="s">
        <v>259</v>
      </c>
      <c r="K1766" s="1073"/>
      <c r="L1766" s="1633" t="s">
        <v>4585</v>
      </c>
      <c r="M1766" s="1636">
        <v>3</v>
      </c>
      <c r="N1766" s="1637">
        <f ca="1">'11.800'!O180</f>
        <v>0</v>
      </c>
      <c r="O1766" s="1637">
        <f ca="1">M1766*S1766*W1766</f>
        <v>0</v>
      </c>
      <c r="P1766" s="991" t="b">
        <v>0</v>
      </c>
      <c r="Q1766" s="991" t="b">
        <v>1</v>
      </c>
      <c r="R1766" s="991" t="b">
        <v>0</v>
      </c>
      <c r="S1766" s="991" t="b">
        <f ca="1">AND(NOT(W1757=TRUE),S1600=1)</f>
        <v>1</v>
      </c>
      <c r="T1766" s="991" t="b">
        <f ca="1">IF(AND(NOT(S1766),W1766=TRUE),TRUE,FALSE)</f>
        <v>0</v>
      </c>
      <c r="U1766" s="991"/>
      <c r="W1766" s="27"/>
      <c r="X1766" s="1600"/>
      <c r="Y1766" s="1874" t="str">
        <f>IF(LEN('11.800'!X180)=0,"None",'11.800'!X180)</f>
        <v>None</v>
      </c>
      <c r="Z1766" s="1600"/>
      <c r="AC1766" s="1150" t="b">
        <f ca="1">OR(AD1766:AE1766)</f>
        <v>0</v>
      </c>
      <c r="AD1766" s="1150" t="b">
        <f ca="1">T1766</f>
        <v>0</v>
      </c>
      <c r="AL1766" s="1352" t="str">
        <f>SUBSTITUTE(SUBSTITUTE(SUBSTITUTE("vpa"&amp;$B1766&amp;$C1766&amp;$D1766&amp;$E1766&amp;$F1766,".","_"),"(","_"),")","")</f>
        <v>vpa802_6_5_4</v>
      </c>
      <c r="AM1766" s="1352">
        <f>M1766</f>
        <v>3</v>
      </c>
      <c r="AN1766" s="1352" t="str">
        <f>SUBSTITUTE(SUBSTITUTE(SUBSTITUTE("vpc"&amp;$B1766&amp;$C1766&amp;$D1766&amp;$E1766&amp;$F1766,".","_"),"(","_"),")","")</f>
        <v>vpc802_6_5_4</v>
      </c>
      <c r="AO1766" s="1352">
        <f ca="1">O1766</f>
        <v>0</v>
      </c>
      <c r="AP1766" s="1352" t="str">
        <f>SUBSTITUTE(SUBSTITUTE(SUBSTITUTE("vch"&amp;$B1766&amp;$C1766&amp;$D1766&amp;$E1766&amp;$F1766,".","_"),"(","_"),")","")</f>
        <v>vch802_6_5_4</v>
      </c>
      <c r="AQ1766" s="1352" t="str">
        <f>IF(LEN(W1766)=0,"",W1766)</f>
        <v/>
      </c>
      <c r="AR1766" s="1352" t="str">
        <f>SUBSTITUTE(SUBSTITUTE(SUBSTITUTE("vnt"&amp;$B1766&amp;$C1766&amp;$D1766&amp;$E1766&amp;$F1766,".","_"),"(","_"),")","")</f>
        <v>vnt802_6_5_4</v>
      </c>
      <c r="AS1766" s="1352" t="str">
        <f>IF(LEN(X1766)=0,"",X1766)</f>
        <v/>
      </c>
    </row>
    <row r="1767" spans="1:45" s="905" customFormat="1" hidden="1" x14ac:dyDescent="0.2">
      <c r="A1767" s="1507">
        <v>8</v>
      </c>
      <c r="B1767" s="1516" t="s">
        <v>4652</v>
      </c>
      <c r="C1767" s="1517" t="s">
        <v>259</v>
      </c>
      <c r="D1767" s="1517"/>
      <c r="E1767" s="1516"/>
      <c r="F1767" s="1511"/>
      <c r="G1767" s="1509" t="str">
        <f ca="1">G1766</f>
        <v/>
      </c>
      <c r="H1767" s="1530" t="s">
        <v>3199</v>
      </c>
      <c r="I1767" s="589"/>
      <c r="J1767" s="1072"/>
      <c r="K1767" s="1072"/>
      <c r="L1767" s="1639"/>
      <c r="M1767" s="1624"/>
      <c r="N1767" s="1620"/>
      <c r="O1767" s="1620"/>
      <c r="P1767" s="991"/>
      <c r="Q1767" s="991"/>
      <c r="R1767" s="991"/>
      <c r="S1767" s="991"/>
      <c r="T1767" s="991"/>
      <c r="U1767" s="991"/>
      <c r="X1767" s="1600"/>
      <c r="Y1767" s="1874"/>
      <c r="Z1767" s="1600"/>
      <c r="AC1767" s="1150"/>
      <c r="AD1767" s="1150"/>
      <c r="AL1767" s="1352"/>
      <c r="AM1767" s="1352"/>
      <c r="AN1767" s="1352"/>
      <c r="AO1767" s="1352"/>
      <c r="AP1767" s="1352"/>
      <c r="AQ1767" s="1352"/>
      <c r="AR1767" s="1352"/>
      <c r="AS1767" s="1352"/>
    </row>
    <row r="1768" spans="1:45" s="905" customFormat="1" hidden="1" x14ac:dyDescent="0.2">
      <c r="A1768" s="1507">
        <v>8</v>
      </c>
      <c r="B1768" s="1516" t="s">
        <v>4652</v>
      </c>
      <c r="C1768" s="1517" t="s">
        <v>263</v>
      </c>
      <c r="D1768" s="1517"/>
      <c r="E1768" s="1516"/>
      <c r="F1768" s="1511"/>
      <c r="G1768" s="1509" t="str">
        <f ca="1">IF(N1768&gt;0,"P","")</f>
        <v/>
      </c>
      <c r="H1768" s="1530" t="s">
        <v>3199</v>
      </c>
      <c r="I1768" s="590"/>
      <c r="J1768" s="1068" t="s">
        <v>263</v>
      </c>
      <c r="K1768" s="1068"/>
      <c r="L1768" s="1634" t="s">
        <v>4586</v>
      </c>
      <c r="M1768" s="1623">
        <v>3</v>
      </c>
      <c r="N1768" s="1637">
        <f ca="1">'11.800'!O182</f>
        <v>0</v>
      </c>
      <c r="O1768" s="1619">
        <f ca="1">M1768*S1768*W1768</f>
        <v>0</v>
      </c>
      <c r="P1768" s="991" t="b">
        <v>0</v>
      </c>
      <c r="Q1768" s="991" t="b">
        <v>1</v>
      </c>
      <c r="R1768" s="991" t="b">
        <v>0</v>
      </c>
      <c r="S1768" s="991" t="b">
        <f ca="1">AND(NOT(W1757=TRUE),S1600=1)</f>
        <v>1</v>
      </c>
      <c r="T1768" s="991" t="b">
        <f ca="1">IF(AND(NOT(S1768),W1768=TRUE),TRUE,FALSE)</f>
        <v>0</v>
      </c>
      <c r="U1768" s="991"/>
      <c r="W1768" s="333"/>
      <c r="X1768" s="1601"/>
      <c r="Y1768" s="1881" t="str">
        <f>IF(LEN('11.800'!X182)=0,"None",'11.800'!X182)</f>
        <v>None</v>
      </c>
      <c r="Z1768" s="1600"/>
      <c r="AC1768" s="1150" t="b">
        <f ca="1">OR(AD1768:AE1768)</f>
        <v>0</v>
      </c>
      <c r="AD1768" s="1150" t="b">
        <f ca="1">T1768</f>
        <v>0</v>
      </c>
      <c r="AL1768" s="1352" t="str">
        <f>SUBSTITUTE(SUBSTITUTE(SUBSTITUTE("vpa"&amp;$B1768&amp;$C1768&amp;$D1768&amp;$E1768&amp;$F1768,".","_"),"(","_"),")","")</f>
        <v>vpa802_6_5_5</v>
      </c>
      <c r="AM1768" s="1352">
        <f>M1768</f>
        <v>3</v>
      </c>
      <c r="AN1768" s="1352" t="str">
        <f>SUBSTITUTE(SUBSTITUTE(SUBSTITUTE("vpc"&amp;$B1768&amp;$C1768&amp;$D1768&amp;$E1768&amp;$F1768,".","_"),"(","_"),")","")</f>
        <v>vpc802_6_5_5</v>
      </c>
      <c r="AO1768" s="1352">
        <f ca="1">O1768</f>
        <v>0</v>
      </c>
      <c r="AP1768" s="1352" t="str">
        <f>SUBSTITUTE(SUBSTITUTE(SUBSTITUTE("vch"&amp;$B1768&amp;$C1768&amp;$D1768&amp;$E1768&amp;$F1768,".","_"),"(","_"),")","")</f>
        <v>vch802_6_5_5</v>
      </c>
      <c r="AQ1768" s="1352" t="str">
        <f>IF(LEN(W1768)=0,"",W1768)</f>
        <v/>
      </c>
      <c r="AR1768" s="1352" t="str">
        <f>SUBSTITUTE(SUBSTITUTE(SUBSTITUTE("vnt"&amp;$B1768&amp;$C1768&amp;$D1768&amp;$E1768&amp;$F1768,".","_"),"(","_"),")","")</f>
        <v>vnt802_6_5_5</v>
      </c>
      <c r="AS1768" s="1352" t="str">
        <f>IF(LEN(X1768)=0,"",X1768)</f>
        <v/>
      </c>
    </row>
    <row r="1769" spans="1:45" s="905" customFormat="1" ht="16" hidden="1" thickBot="1" x14ac:dyDescent="0.25">
      <c r="A1769" s="1507">
        <v>8</v>
      </c>
      <c r="B1769" s="1516" t="s">
        <v>4652</v>
      </c>
      <c r="C1769" s="1517" t="s">
        <v>263</v>
      </c>
      <c r="D1769" s="1517"/>
      <c r="E1769" s="1516"/>
      <c r="F1769" s="1511"/>
      <c r="G1769" s="1509" t="str">
        <f ca="1">G1768</f>
        <v/>
      </c>
      <c r="H1769" s="1530" t="s">
        <v>3199</v>
      </c>
      <c r="I1769" s="594"/>
      <c r="J1769" s="1069"/>
      <c r="K1769" s="1069"/>
      <c r="L1769" s="1635"/>
      <c r="M1769" s="1627"/>
      <c r="N1769" s="1638"/>
      <c r="O1769" s="1638"/>
      <c r="P1769" s="100"/>
      <c r="Q1769" s="100"/>
      <c r="R1769" s="100"/>
      <c r="S1769" s="100"/>
      <c r="T1769" s="100"/>
      <c r="U1769" s="100"/>
      <c r="W1769" s="100"/>
      <c r="X1769" s="1602"/>
      <c r="Y1769" s="1882"/>
      <c r="Z1769" s="1602"/>
      <c r="AC1769" s="1150"/>
      <c r="AD1769" s="1150"/>
      <c r="AL1769" s="1352"/>
      <c r="AM1769" s="1352"/>
      <c r="AN1769" s="1352"/>
      <c r="AO1769" s="1352"/>
      <c r="AP1769" s="1352"/>
      <c r="AQ1769" s="1352"/>
      <c r="AR1769" s="1352"/>
      <c r="AS1769" s="1352"/>
    </row>
    <row r="1770" spans="1:45" s="905" customFormat="1" hidden="1" x14ac:dyDescent="0.2">
      <c r="A1770" s="1507">
        <v>8</v>
      </c>
      <c r="B1770" s="1516">
        <v>802.7</v>
      </c>
      <c r="C1770" s="1517"/>
      <c r="D1770" s="1517"/>
      <c r="E1770" s="1516"/>
      <c r="F1770" s="1511"/>
      <c r="G1770" s="1513" t="str">
        <f ca="1">IF(COUNTIF(G1772:G1783,"P")&gt;0,"P","")</f>
        <v/>
      </c>
      <c r="H1770" s="1530" t="s">
        <v>3199</v>
      </c>
      <c r="I1770" s="589" t="s">
        <v>4587</v>
      </c>
      <c r="J1770" s="873"/>
      <c r="K1770" s="873"/>
      <c r="L1770" s="1687" t="s">
        <v>4588</v>
      </c>
      <c r="M1770" s="913"/>
      <c r="N1770" s="908"/>
      <c r="O1770" s="908"/>
      <c r="P1770" s="991"/>
      <c r="Q1770" s="991"/>
      <c r="R1770" s="991"/>
      <c r="S1770" s="991"/>
      <c r="T1770" s="991"/>
      <c r="U1770" s="991"/>
      <c r="Y1770" s="1198"/>
      <c r="AC1770" s="1150"/>
      <c r="AD1770" s="1150"/>
      <c r="AL1770" s="1352"/>
      <c r="AM1770" s="1352"/>
      <c r="AN1770" s="1352"/>
      <c r="AO1770" s="1352"/>
      <c r="AP1770" s="1352"/>
      <c r="AQ1770" s="1352"/>
      <c r="AR1770" s="1352"/>
      <c r="AS1770" s="1352"/>
    </row>
    <row r="1771" spans="1:45" s="905" customFormat="1" hidden="1" x14ac:dyDescent="0.2">
      <c r="A1771" s="1507">
        <v>8</v>
      </c>
      <c r="B1771" s="1516">
        <v>802.7</v>
      </c>
      <c r="C1771" s="1517"/>
      <c r="D1771" s="1517"/>
      <c r="E1771" s="1516"/>
      <c r="F1771" s="1511"/>
      <c r="G1771" s="1509" t="str">
        <f ca="1">G1770</f>
        <v/>
      </c>
      <c r="H1771" s="1530" t="s">
        <v>3199</v>
      </c>
      <c r="I1771" s="589"/>
      <c r="J1771" s="873"/>
      <c r="K1771" s="873"/>
      <c r="L1771" s="1687"/>
      <c r="M1771" s="913"/>
      <c r="N1771" s="908"/>
      <c r="O1771" s="908"/>
      <c r="P1771" s="991"/>
      <c r="Q1771" s="991"/>
      <c r="R1771" s="991"/>
      <c r="S1771" s="991"/>
      <c r="T1771" s="991"/>
      <c r="U1771" s="991"/>
      <c r="Y1771" s="1198"/>
      <c r="AC1771" s="1150"/>
      <c r="AD1771" s="1150"/>
      <c r="AL1771" s="1352"/>
      <c r="AM1771" s="1352"/>
      <c r="AN1771" s="1352"/>
      <c r="AO1771" s="1352"/>
      <c r="AP1771" s="1352"/>
      <c r="AQ1771" s="1352"/>
      <c r="AR1771" s="1352"/>
      <c r="AS1771" s="1352"/>
    </row>
    <row r="1772" spans="1:45" s="905" customFormat="1" hidden="1" x14ac:dyDescent="0.2">
      <c r="A1772" s="1507">
        <v>8</v>
      </c>
      <c r="B1772" s="1516" t="s">
        <v>4653</v>
      </c>
      <c r="C1772" s="1517"/>
      <c r="D1772" s="1517"/>
      <c r="E1772" s="1516"/>
      <c r="F1772" s="1511"/>
      <c r="G1772" s="1509" t="str">
        <f ca="1">IF(N1772&gt;0,"P","")</f>
        <v/>
      </c>
      <c r="H1772" s="1530" t="s">
        <v>3199</v>
      </c>
      <c r="I1772" s="589" t="s">
        <v>4589</v>
      </c>
      <c r="J1772" s="873"/>
      <c r="K1772" s="873"/>
      <c r="L1772" s="946" t="s">
        <v>4590</v>
      </c>
      <c r="M1772" s="913"/>
      <c r="N1772" s="908">
        <f ca="1">'11.800'!O186</f>
        <v>0</v>
      </c>
      <c r="O1772" s="908">
        <f ca="1">IFERROR(INDEX({5,5,10,15,25},MATCH(W1772,INDIRECT(U1772),0)),0)*S1772</f>
        <v>0</v>
      </c>
      <c r="P1772" s="991" t="b">
        <v>0</v>
      </c>
      <c r="Q1772" s="905" t="b">
        <v>1</v>
      </c>
      <c r="R1772" s="991" t="b">
        <v>0</v>
      </c>
      <c r="S1772" s="991" t="b">
        <f ca="1">S1600=1</f>
        <v>1</v>
      </c>
      <c r="T1772" s="991" t="b">
        <f ca="1">IF(AND(NOT(S1772),LEN(W1772)&gt;0),TRUE,FALSE)</f>
        <v>0</v>
      </c>
      <c r="U1772" s="991" t="str">
        <f>SUBSTITUTE(SUBSTITUTE(SUBSTITUTE("dd"&amp;B1772&amp;C1772&amp;D1772&amp;E1772&amp;F1772,".","_"),"(","_"),")","")</f>
        <v>dd802_7_1</v>
      </c>
      <c r="W1772" s="12"/>
      <c r="X1772" s="1600"/>
      <c r="Y1772" s="1874" t="str">
        <f>IF(LEN('11.800'!X186)=0,"None",'11.800'!X186)</f>
        <v>None</v>
      </c>
      <c r="Z1772" s="1600"/>
      <c r="AC1772" s="1150" t="b">
        <f ca="1">OR(AD1772:AE1772)</f>
        <v>0</v>
      </c>
      <c r="AD1772" s="1150" t="b">
        <f ca="1">T1772</f>
        <v>0</v>
      </c>
      <c r="AL1772" s="1352"/>
      <c r="AM1772" s="1352"/>
      <c r="AN1772" s="1352" t="str">
        <f>SUBSTITUTE(SUBSTITUTE(SUBSTITUTE("vpc"&amp;$B1772&amp;$C1772&amp;$D1772&amp;$E1772&amp;$F1772,".","_"),"(","_"),")","")</f>
        <v>vpc802_7_1</v>
      </c>
      <c r="AO1772" s="1352">
        <f ca="1">O1772</f>
        <v>0</v>
      </c>
      <c r="AP1772" s="1352" t="str">
        <f>SUBSTITUTE(SUBSTITUTE(SUBSTITUTE("vch"&amp;$B1772&amp;$C1772&amp;$D1772&amp;$E1772&amp;$F1772,".","_"),"(","_"),")","")</f>
        <v>vch802_7_1</v>
      </c>
      <c r="AQ1772" s="1352" t="str">
        <f>IF(LEN(W1772)=0,"",W1772)</f>
        <v/>
      </c>
      <c r="AR1772" s="1352" t="str">
        <f>SUBSTITUTE(SUBSTITUTE(SUBSTITUTE("vnt"&amp;$B1772&amp;$C1772&amp;$D1772&amp;$E1772&amp;$F1772,".","_"),"(","_"),")","")</f>
        <v>vnt802_7_1</v>
      </c>
      <c r="AS1772" s="1352" t="str">
        <f>IF(LEN(X1772)=0,"",X1772)</f>
        <v/>
      </c>
    </row>
    <row r="1773" spans="1:45" s="905" customFormat="1" hidden="1" x14ac:dyDescent="0.2">
      <c r="A1773" s="1507">
        <v>8</v>
      </c>
      <c r="B1773" s="1516" t="s">
        <v>4653</v>
      </c>
      <c r="C1773" s="1517" t="s">
        <v>254</v>
      </c>
      <c r="D1773" s="1517"/>
      <c r="E1773" s="1516"/>
      <c r="F1773" s="1511"/>
      <c r="G1773" s="1509" t="str">
        <f t="shared" ref="G1773:G1782" ca="1" si="130">G1772</f>
        <v/>
      </c>
      <c r="H1773" s="1530" t="s">
        <v>3199</v>
      </c>
      <c r="I1773" s="589"/>
      <c r="J1773" s="1072" t="s">
        <v>254</v>
      </c>
      <c r="K1773" s="1072"/>
      <c r="L1773" s="923" t="s">
        <v>4591</v>
      </c>
      <c r="M1773" s="937">
        <v>5</v>
      </c>
      <c r="N1773" s="908"/>
      <c r="O1773" s="908"/>
      <c r="P1773" s="991"/>
      <c r="Q1773" s="991"/>
      <c r="R1773" s="991"/>
      <c r="S1773" s="991"/>
      <c r="T1773" s="991"/>
      <c r="U1773" s="991"/>
      <c r="X1773" s="1600"/>
      <c r="Y1773" s="1874"/>
      <c r="Z1773" s="1600"/>
      <c r="AC1773" s="1150"/>
      <c r="AD1773" s="1150"/>
      <c r="AL1773" s="1352" t="str">
        <f>SUBSTITUTE(SUBSTITUTE(SUBSTITUTE("vpa"&amp;$B1773&amp;$C1773&amp;$D1773&amp;$E1773&amp;$F1773,".","_"),"(","_"),")","")</f>
        <v>vpa802_7_1_1</v>
      </c>
      <c r="AM1773" s="1352">
        <f>M1773</f>
        <v>5</v>
      </c>
      <c r="AN1773" s="1352"/>
      <c r="AO1773" s="1352"/>
      <c r="AP1773" s="1352"/>
      <c r="AQ1773" s="1352"/>
      <c r="AR1773" s="1352"/>
      <c r="AS1773" s="1352"/>
    </row>
    <row r="1774" spans="1:45" s="905" customFormat="1" hidden="1" x14ac:dyDescent="0.2">
      <c r="A1774" s="1507">
        <v>8</v>
      </c>
      <c r="B1774" s="1516" t="s">
        <v>4653</v>
      </c>
      <c r="C1774" s="1517" t="s">
        <v>255</v>
      </c>
      <c r="D1774" s="1517"/>
      <c r="E1774" s="1516"/>
      <c r="F1774" s="1511"/>
      <c r="G1774" s="1509" t="str">
        <f t="shared" ca="1" si="130"/>
        <v/>
      </c>
      <c r="H1774" s="1530" t="s">
        <v>3199</v>
      </c>
      <c r="I1774" s="589"/>
      <c r="J1774" s="873" t="s">
        <v>255</v>
      </c>
      <c r="K1774" s="873"/>
      <c r="L1774" s="1633" t="s">
        <v>4592</v>
      </c>
      <c r="M1774" s="913"/>
      <c r="N1774" s="908"/>
      <c r="O1774" s="908"/>
      <c r="P1774" s="991"/>
      <c r="Q1774" s="991"/>
      <c r="R1774" s="991"/>
      <c r="S1774" s="991"/>
      <c r="T1774" s="991"/>
      <c r="U1774" s="991"/>
      <c r="X1774" s="1600"/>
      <c r="Y1774" s="1874"/>
      <c r="Z1774" s="1600"/>
      <c r="AC1774" s="1150"/>
      <c r="AD1774" s="1150"/>
      <c r="AL1774" s="1352"/>
      <c r="AM1774" s="1352"/>
      <c r="AN1774" s="1352"/>
      <c r="AO1774" s="1352"/>
      <c r="AP1774" s="1352"/>
      <c r="AQ1774" s="1352"/>
      <c r="AR1774" s="1352"/>
      <c r="AS1774" s="1352"/>
    </row>
    <row r="1775" spans="1:45" s="905" customFormat="1" hidden="1" x14ac:dyDescent="0.2">
      <c r="A1775" s="1507">
        <v>8</v>
      </c>
      <c r="B1775" s="1516" t="s">
        <v>4653</v>
      </c>
      <c r="C1775" s="1517" t="s">
        <v>255</v>
      </c>
      <c r="D1775" s="1517"/>
      <c r="E1775" s="1516"/>
      <c r="F1775" s="1511"/>
      <c r="G1775" s="1509" t="str">
        <f t="shared" ca="1" si="130"/>
        <v/>
      </c>
      <c r="H1775" s="1530" t="s">
        <v>3199</v>
      </c>
      <c r="I1775" s="589"/>
      <c r="J1775" s="873"/>
      <c r="K1775" s="873"/>
      <c r="L1775" s="1634"/>
      <c r="M1775" s="913"/>
      <c r="N1775" s="908"/>
      <c r="O1775" s="908"/>
      <c r="P1775" s="991"/>
      <c r="Q1775" s="991"/>
      <c r="R1775" s="991"/>
      <c r="S1775" s="991"/>
      <c r="T1775" s="991"/>
      <c r="U1775" s="991"/>
      <c r="X1775" s="1600"/>
      <c r="Y1775" s="1874"/>
      <c r="Z1775" s="1600"/>
      <c r="AC1775" s="1150"/>
      <c r="AD1775" s="1150"/>
      <c r="AL1775" s="1352"/>
      <c r="AM1775" s="1352"/>
      <c r="AN1775" s="1352"/>
      <c r="AO1775" s="1352"/>
      <c r="AP1775" s="1352"/>
      <c r="AQ1775" s="1352"/>
      <c r="AR1775" s="1352"/>
      <c r="AS1775" s="1352"/>
    </row>
    <row r="1776" spans="1:45" s="905" customFormat="1" hidden="1" x14ac:dyDescent="0.2">
      <c r="A1776" s="1507">
        <v>8</v>
      </c>
      <c r="B1776" s="1516" t="s">
        <v>4653</v>
      </c>
      <c r="C1776" s="1517" t="s">
        <v>255</v>
      </c>
      <c r="D1776" s="1517" t="s">
        <v>121</v>
      </c>
      <c r="E1776" s="1516"/>
      <c r="F1776" s="1511"/>
      <c r="G1776" s="1509" t="str">
        <f t="shared" ca="1" si="130"/>
        <v/>
      </c>
      <c r="H1776" s="1530" t="s">
        <v>3199</v>
      </c>
      <c r="I1776" s="589"/>
      <c r="J1776" s="873"/>
      <c r="K1776" s="1072" t="s">
        <v>121</v>
      </c>
      <c r="L1776" s="923" t="s">
        <v>4593</v>
      </c>
      <c r="M1776" s="937">
        <v>5</v>
      </c>
      <c r="N1776" s="908"/>
      <c r="O1776" s="908"/>
      <c r="P1776" s="991"/>
      <c r="Q1776" s="991"/>
      <c r="R1776" s="991"/>
      <c r="S1776" s="991"/>
      <c r="T1776" s="991"/>
      <c r="U1776" s="991"/>
      <c r="X1776" s="1600"/>
      <c r="Y1776" s="1874"/>
      <c r="Z1776" s="1600"/>
      <c r="AC1776" s="1150"/>
      <c r="AD1776" s="1150"/>
      <c r="AL1776" s="1352" t="str">
        <f>SUBSTITUTE(SUBSTITUTE(SUBSTITUTE("vpa"&amp;$B1776&amp;$C1776&amp;$D1776&amp;$E1776&amp;$F1776,".","_"),"(","_"),")","")</f>
        <v>vpa802_7_1_2_a</v>
      </c>
      <c r="AM1776" s="1352">
        <f>M1776</f>
        <v>5</v>
      </c>
      <c r="AN1776" s="1352"/>
      <c r="AO1776" s="1352"/>
      <c r="AP1776" s="1352"/>
      <c r="AQ1776" s="1352"/>
      <c r="AR1776" s="1352"/>
      <c r="AS1776" s="1352"/>
    </row>
    <row r="1777" spans="1:45" s="905" customFormat="1" hidden="1" x14ac:dyDescent="0.2">
      <c r="A1777" s="1507">
        <v>8</v>
      </c>
      <c r="B1777" s="1516" t="s">
        <v>4653</v>
      </c>
      <c r="C1777" s="1517" t="s">
        <v>255</v>
      </c>
      <c r="D1777" s="1517" t="s">
        <v>122</v>
      </c>
      <c r="E1777" s="1516"/>
      <c r="F1777" s="1511"/>
      <c r="G1777" s="1509" t="str">
        <f t="shared" ca="1" si="130"/>
        <v/>
      </c>
      <c r="H1777" s="1530" t="s">
        <v>3199</v>
      </c>
      <c r="I1777" s="589"/>
      <c r="J1777" s="873"/>
      <c r="K1777" s="1074" t="s">
        <v>122</v>
      </c>
      <c r="L1777" s="1075" t="s">
        <v>4594</v>
      </c>
      <c r="M1777" s="937">
        <v>10</v>
      </c>
      <c r="N1777" s="908"/>
      <c r="O1777" s="908"/>
      <c r="P1777" s="991"/>
      <c r="Q1777" s="991"/>
      <c r="R1777" s="991"/>
      <c r="S1777" s="991"/>
      <c r="T1777" s="991"/>
      <c r="U1777" s="991"/>
      <c r="X1777" s="1600"/>
      <c r="Y1777" s="1874"/>
      <c r="Z1777" s="1600"/>
      <c r="AC1777" s="1150"/>
      <c r="AD1777" s="1150"/>
      <c r="AL1777" s="1352" t="str">
        <f>SUBSTITUTE(SUBSTITUTE(SUBSTITUTE("vpa"&amp;$B1777&amp;$C1777&amp;$D1777&amp;$E1777&amp;$F1777,".","_"),"(","_"),")","")</f>
        <v>vpa802_7_1_2_b</v>
      </c>
      <c r="AM1777" s="1352">
        <f>M1777</f>
        <v>10</v>
      </c>
      <c r="AN1777" s="1352"/>
      <c r="AO1777" s="1352"/>
      <c r="AP1777" s="1352"/>
      <c r="AQ1777" s="1352"/>
      <c r="AR1777" s="1352"/>
      <c r="AS1777" s="1352"/>
    </row>
    <row r="1778" spans="1:45" s="905" customFormat="1" hidden="1" x14ac:dyDescent="0.2">
      <c r="A1778" s="1507">
        <v>8</v>
      </c>
      <c r="B1778" s="1516" t="s">
        <v>4653</v>
      </c>
      <c r="C1778" s="1517" t="s">
        <v>255</v>
      </c>
      <c r="D1778" s="1517" t="s">
        <v>123</v>
      </c>
      <c r="E1778" s="1516"/>
      <c r="F1778" s="1511"/>
      <c r="G1778" s="1509" t="str">
        <f t="shared" ca="1" si="130"/>
        <v/>
      </c>
      <c r="H1778" s="1530" t="s">
        <v>3199</v>
      </c>
      <c r="I1778" s="589"/>
      <c r="J1778" s="873"/>
      <c r="K1778" s="1073" t="s">
        <v>123</v>
      </c>
      <c r="L1778" s="1633" t="s">
        <v>4595</v>
      </c>
      <c r="M1778" s="1623">
        <v>15</v>
      </c>
      <c r="N1778" s="908"/>
      <c r="O1778" s="908"/>
      <c r="P1778" s="991"/>
      <c r="Q1778" s="991"/>
      <c r="R1778" s="991"/>
      <c r="S1778" s="991"/>
      <c r="T1778" s="991"/>
      <c r="U1778" s="991"/>
      <c r="X1778" s="1600"/>
      <c r="Y1778" s="1874"/>
      <c r="Z1778" s="1600"/>
      <c r="AC1778" s="1150"/>
      <c r="AD1778" s="1150"/>
      <c r="AL1778" s="1352" t="str">
        <f>SUBSTITUTE(SUBSTITUTE(SUBSTITUTE("vpa"&amp;$B1778&amp;$C1778&amp;$D1778&amp;$E1778&amp;$F1778,".","_"),"(","_"),")","")</f>
        <v>vpa802_7_1_2_c</v>
      </c>
      <c r="AM1778" s="1352">
        <f>M1778</f>
        <v>15</v>
      </c>
      <c r="AN1778" s="1352"/>
      <c r="AO1778" s="1352"/>
      <c r="AP1778" s="1352"/>
      <c r="AQ1778" s="1352"/>
      <c r="AR1778" s="1352"/>
      <c r="AS1778" s="1352"/>
    </row>
    <row r="1779" spans="1:45" s="905" customFormat="1" hidden="1" x14ac:dyDescent="0.2">
      <c r="A1779" s="1507">
        <v>8</v>
      </c>
      <c r="B1779" s="1516" t="s">
        <v>4653</v>
      </c>
      <c r="C1779" s="1517" t="s">
        <v>255</v>
      </c>
      <c r="D1779" s="1517" t="s">
        <v>123</v>
      </c>
      <c r="E1779" s="1516"/>
      <c r="F1779" s="1511"/>
      <c r="G1779" s="1509" t="str">
        <f t="shared" ca="1" si="130"/>
        <v/>
      </c>
      <c r="H1779" s="1530" t="s">
        <v>3199</v>
      </c>
      <c r="I1779" s="589"/>
      <c r="J1779" s="873"/>
      <c r="K1779" s="1072"/>
      <c r="L1779" s="1639"/>
      <c r="M1779" s="1624"/>
      <c r="N1779" s="908"/>
      <c r="O1779" s="908"/>
      <c r="P1779" s="991"/>
      <c r="Q1779" s="991"/>
      <c r="R1779" s="991"/>
      <c r="S1779" s="991"/>
      <c r="T1779" s="991"/>
      <c r="U1779" s="991"/>
      <c r="X1779" s="1600"/>
      <c r="Y1779" s="1874"/>
      <c r="Z1779" s="1600"/>
      <c r="AC1779" s="1150"/>
      <c r="AD1779" s="1150"/>
      <c r="AL1779" s="1352"/>
      <c r="AM1779" s="1352"/>
      <c r="AN1779" s="1352"/>
      <c r="AO1779" s="1352"/>
      <c r="AP1779" s="1352"/>
      <c r="AQ1779" s="1352"/>
      <c r="AR1779" s="1352"/>
      <c r="AS1779" s="1352"/>
    </row>
    <row r="1780" spans="1:45" s="905" customFormat="1" hidden="1" x14ac:dyDescent="0.2">
      <c r="A1780" s="1507">
        <v>8</v>
      </c>
      <c r="B1780" s="1516" t="s">
        <v>4653</v>
      </c>
      <c r="C1780" s="1517" t="s">
        <v>255</v>
      </c>
      <c r="D1780" s="1517" t="s">
        <v>366</v>
      </c>
      <c r="E1780" s="1516"/>
      <c r="F1780" s="1511"/>
      <c r="G1780" s="1509" t="str">
        <f t="shared" ca="1" si="130"/>
        <v/>
      </c>
      <c r="H1780" s="1530" t="s">
        <v>3199</v>
      </c>
      <c r="I1780" s="590"/>
      <c r="J1780" s="1068"/>
      <c r="K1780" s="1068" t="s">
        <v>366</v>
      </c>
      <c r="L1780" s="1634" t="s">
        <v>4596</v>
      </c>
      <c r="M1780" s="1623">
        <v>25</v>
      </c>
      <c r="N1780" s="908"/>
      <c r="O1780" s="908"/>
      <c r="P1780" s="991"/>
      <c r="Q1780" s="991"/>
      <c r="R1780" s="991"/>
      <c r="S1780" s="991"/>
      <c r="T1780" s="991"/>
      <c r="U1780" s="991"/>
      <c r="X1780" s="1600"/>
      <c r="Y1780" s="1874"/>
      <c r="Z1780" s="1600"/>
      <c r="AC1780" s="1150"/>
      <c r="AD1780" s="1150"/>
      <c r="AL1780" s="1352" t="str">
        <f>SUBSTITUTE(SUBSTITUTE(SUBSTITUTE("vpa"&amp;$B1780&amp;$C1780&amp;$D1780&amp;$E1780&amp;$F1780,".","_"),"(","_"),")","")</f>
        <v>vpa802_7_1_2_d</v>
      </c>
      <c r="AM1780" s="1352">
        <f>M1780</f>
        <v>25</v>
      </c>
      <c r="AN1780" s="1352"/>
      <c r="AO1780" s="1352"/>
      <c r="AP1780" s="1352"/>
      <c r="AQ1780" s="1352"/>
      <c r="AR1780" s="1352"/>
      <c r="AS1780" s="1352"/>
    </row>
    <row r="1781" spans="1:45" s="905" customFormat="1" hidden="1" x14ac:dyDescent="0.2">
      <c r="A1781" s="1507">
        <v>8</v>
      </c>
      <c r="B1781" s="1516" t="s">
        <v>4653</v>
      </c>
      <c r="C1781" s="1517" t="s">
        <v>255</v>
      </c>
      <c r="D1781" s="1517" t="s">
        <v>366</v>
      </c>
      <c r="E1781" s="1516"/>
      <c r="F1781" s="1511"/>
      <c r="G1781" s="1509" t="str">
        <f t="shared" ca="1" si="130"/>
        <v/>
      </c>
      <c r="H1781" s="1530" t="s">
        <v>3199</v>
      </c>
      <c r="I1781" s="590"/>
      <c r="J1781" s="1068"/>
      <c r="K1781" s="1068"/>
      <c r="L1781" s="1634"/>
      <c r="M1781" s="1623"/>
      <c r="N1781" s="908"/>
      <c r="O1781" s="908"/>
      <c r="P1781" s="991"/>
      <c r="Q1781" s="991"/>
      <c r="R1781" s="991"/>
      <c r="S1781" s="991"/>
      <c r="T1781" s="991"/>
      <c r="U1781" s="991"/>
      <c r="X1781" s="1600"/>
      <c r="Y1781" s="1874"/>
      <c r="Z1781" s="1600"/>
      <c r="AC1781" s="1150"/>
      <c r="AD1781" s="1150"/>
      <c r="AL1781" s="1352"/>
      <c r="AM1781" s="1352"/>
      <c r="AN1781" s="1352"/>
      <c r="AO1781" s="1352"/>
      <c r="AP1781" s="1352"/>
      <c r="AQ1781" s="1352"/>
      <c r="AR1781" s="1352"/>
      <c r="AS1781" s="1352"/>
    </row>
    <row r="1782" spans="1:45" s="905" customFormat="1" hidden="1" x14ac:dyDescent="0.2">
      <c r="A1782" s="1507">
        <v>8</v>
      </c>
      <c r="B1782" s="1516" t="s">
        <v>4653</v>
      </c>
      <c r="C1782" s="1517" t="s">
        <v>255</v>
      </c>
      <c r="D1782" s="1517" t="s">
        <v>366</v>
      </c>
      <c r="E1782" s="1516"/>
      <c r="F1782" s="1511"/>
      <c r="G1782" s="1509" t="str">
        <f t="shared" ca="1" si="130"/>
        <v/>
      </c>
      <c r="H1782" s="1530" t="s">
        <v>3199</v>
      </c>
      <c r="I1782" s="606"/>
      <c r="J1782" s="1072"/>
      <c r="K1782" s="1072"/>
      <c r="L1782" s="1639"/>
      <c r="M1782" s="1624"/>
      <c r="N1782" s="909"/>
      <c r="O1782" s="909"/>
      <c r="P1782" s="173"/>
      <c r="Q1782" s="173"/>
      <c r="R1782" s="173"/>
      <c r="S1782" s="173"/>
      <c r="T1782" s="173"/>
      <c r="U1782" s="173"/>
      <c r="X1782" s="1600"/>
      <c r="Y1782" s="1874"/>
      <c r="Z1782" s="1600"/>
      <c r="AC1782" s="1150"/>
      <c r="AD1782" s="1150"/>
      <c r="AL1782" s="1352"/>
      <c r="AM1782" s="1352"/>
      <c r="AN1782" s="1352"/>
      <c r="AO1782" s="1352"/>
      <c r="AP1782" s="1352"/>
      <c r="AQ1782" s="1352"/>
      <c r="AR1782" s="1352"/>
      <c r="AS1782" s="1352"/>
    </row>
    <row r="1783" spans="1:45" s="905" customFormat="1" hidden="1" x14ac:dyDescent="0.2">
      <c r="A1783" s="1507">
        <v>8</v>
      </c>
      <c r="B1783" s="1516" t="s">
        <v>4654</v>
      </c>
      <c r="C1783" s="1517"/>
      <c r="D1783" s="1517"/>
      <c r="E1783" s="1516"/>
      <c r="F1783" s="1511"/>
      <c r="G1783" s="1509" t="str">
        <f ca="1">IF(N1783&gt;0,"P","")</f>
        <v/>
      </c>
      <c r="H1783" s="1530" t="s">
        <v>3199</v>
      </c>
      <c r="I1783" s="589" t="s">
        <v>4597</v>
      </c>
      <c r="J1783" s="873"/>
      <c r="K1783" s="873"/>
      <c r="L1783" s="1687" t="s">
        <v>4598</v>
      </c>
      <c r="M1783" s="911"/>
      <c r="N1783" s="1637">
        <f ca="1">'11.800'!O197</f>
        <v>0</v>
      </c>
      <c r="O1783" s="1669">
        <f ca="1">MAX(IFERROR(5*MATCH(W1786,INDIRECT(U1786),0),0)*S1786,M1788*S1788*W1788)*S1786</f>
        <v>0</v>
      </c>
      <c r="X1783" s="1122"/>
      <c r="Y1783" s="1198"/>
      <c r="AC1783" s="1150"/>
      <c r="AD1783" s="1150"/>
      <c r="AL1783" s="1352"/>
      <c r="AM1783" s="1352"/>
      <c r="AN1783" s="1352" t="str">
        <f>SUBSTITUTE(SUBSTITUTE(SUBSTITUTE("vpc"&amp;$B1783&amp;$C1783&amp;$D1783&amp;$E1783&amp;$F1783,".","_"),"(","_"),")","")</f>
        <v>vpc802_7_2</v>
      </c>
      <c r="AO1783" s="1352">
        <f ca="1">O1783</f>
        <v>0</v>
      </c>
      <c r="AP1783" s="1352"/>
      <c r="AQ1783" s="1352"/>
      <c r="AR1783" s="1352"/>
      <c r="AS1783" s="1352"/>
    </row>
    <row r="1784" spans="1:45" s="905" customFormat="1" hidden="1" x14ac:dyDescent="0.2">
      <c r="A1784" s="1507">
        <v>8</v>
      </c>
      <c r="B1784" s="1516" t="s">
        <v>4654</v>
      </c>
      <c r="C1784" s="1517"/>
      <c r="D1784" s="1517"/>
      <c r="E1784" s="1516"/>
      <c r="F1784" s="1511"/>
      <c r="G1784" s="1509" t="str">
        <f t="shared" ref="G1784:G1810" ca="1" si="131">G1783</f>
        <v/>
      </c>
      <c r="H1784" s="1530" t="s">
        <v>3199</v>
      </c>
      <c r="I1784" s="589"/>
      <c r="J1784" s="873"/>
      <c r="K1784" s="873"/>
      <c r="L1784" s="1687"/>
      <c r="M1784" s="911"/>
      <c r="N1784" s="1669"/>
      <c r="O1784" s="1669"/>
      <c r="X1784" s="1122"/>
      <c r="Y1784" s="1198"/>
      <c r="AC1784" s="1150"/>
      <c r="AD1784" s="1150"/>
      <c r="AL1784" s="1352"/>
      <c r="AM1784" s="1352"/>
      <c r="AN1784" s="1352"/>
      <c r="AO1784" s="1352"/>
      <c r="AP1784" s="1352"/>
      <c r="AQ1784" s="1352"/>
      <c r="AR1784" s="1352"/>
      <c r="AS1784" s="1352"/>
    </row>
    <row r="1785" spans="1:45" s="905" customFormat="1" hidden="1" x14ac:dyDescent="0.2">
      <c r="A1785" s="1507">
        <v>8</v>
      </c>
      <c r="B1785" s="1516" t="s">
        <v>4654</v>
      </c>
      <c r="C1785" s="1517"/>
      <c r="D1785" s="1517"/>
      <c r="E1785" s="1516"/>
      <c r="F1785" s="1511"/>
      <c r="G1785" s="1509" t="str">
        <f t="shared" ca="1" si="131"/>
        <v/>
      </c>
      <c r="H1785" s="1530" t="s">
        <v>3199</v>
      </c>
      <c r="I1785" s="589"/>
      <c r="J1785" s="873"/>
      <c r="K1785" s="873"/>
      <c r="L1785" s="1687"/>
      <c r="M1785" s="911"/>
      <c r="N1785" s="1669"/>
      <c r="O1785" s="1669"/>
      <c r="U1785" s="991"/>
      <c r="X1785" s="1122"/>
      <c r="Y1785" s="1198"/>
      <c r="AC1785" s="1150"/>
      <c r="AD1785" s="1150"/>
      <c r="AL1785" s="1352"/>
      <c r="AM1785" s="1352"/>
      <c r="AN1785" s="1352"/>
      <c r="AO1785" s="1352"/>
      <c r="AP1785" s="1352"/>
      <c r="AQ1785" s="1352"/>
      <c r="AR1785" s="1352"/>
      <c r="AS1785" s="1352"/>
    </row>
    <row r="1786" spans="1:45" s="905" customFormat="1" hidden="1" x14ac:dyDescent="0.2">
      <c r="A1786" s="1507">
        <v>8</v>
      </c>
      <c r="B1786" s="1516" t="s">
        <v>4654</v>
      </c>
      <c r="C1786" s="1517" t="s">
        <v>254</v>
      </c>
      <c r="D1786" s="1517"/>
      <c r="E1786" s="1516"/>
      <c r="F1786" s="1511"/>
      <c r="G1786" s="1509" t="str">
        <f t="shared" ca="1" si="131"/>
        <v/>
      </c>
      <c r="H1786" s="1530" t="s">
        <v>3199</v>
      </c>
      <c r="I1786" s="589"/>
      <c r="J1786" s="1068" t="s">
        <v>254</v>
      </c>
      <c r="K1786" s="1068"/>
      <c r="L1786" s="1634" t="s">
        <v>4599</v>
      </c>
      <c r="M1786" s="1692" t="s">
        <v>4670</v>
      </c>
      <c r="N1786" s="935"/>
      <c r="O1786" s="935"/>
      <c r="P1786" s="991" t="b">
        <v>0</v>
      </c>
      <c r="Q1786" s="905" t="b">
        <v>1</v>
      </c>
      <c r="R1786" s="905" t="b">
        <v>0</v>
      </c>
      <c r="S1786" s="905" t="b">
        <f ca="1">S1600=1</f>
        <v>1</v>
      </c>
      <c r="T1786" s="991" t="b">
        <f ca="1">IF(AND(NOT(S1786),LEN(W1786)&gt;0),TRUE,FALSE)</f>
        <v>0</v>
      </c>
      <c r="U1786" s="991" t="str">
        <f>SUBSTITUTE(SUBSTITUTE(SUBSTITUTE("dd"&amp;B1786&amp;C1786&amp;D1786&amp;E1786&amp;F1786,".","_"),"(","_"),")","")</f>
        <v>dd802_7_2_1</v>
      </c>
      <c r="W1786" s="12"/>
      <c r="X1786" s="1600"/>
      <c r="Y1786" s="1874" t="str">
        <f>IF(LEN('11.800'!X200)=0,"None",'11.800'!X200)</f>
        <v>None</v>
      </c>
      <c r="Z1786" s="1600"/>
      <c r="AC1786" s="1150" t="b">
        <f ca="1">OR(AD1786:AE1786)</f>
        <v>0</v>
      </c>
      <c r="AD1786" s="1150" t="b">
        <f ca="1">T1786</f>
        <v>0</v>
      </c>
      <c r="AL1786" s="1352" t="str">
        <f>SUBSTITUTE(SUBSTITUTE(SUBSTITUTE("vpa"&amp;$B1786&amp;$C1786&amp;$D1786&amp;$E1786&amp;$F1786,".","_"),"(","_"),")","")</f>
        <v>vpa802_7_2_1</v>
      </c>
      <c r="AM1786" s="1352" t="str">
        <f>M1786</f>
        <v>5
15 Max</v>
      </c>
      <c r="AN1786" s="1352"/>
      <c r="AO1786" s="1352"/>
      <c r="AP1786" s="1352" t="str">
        <f>SUBSTITUTE(SUBSTITUTE(SUBSTITUTE("vch"&amp;$B1786&amp;$C1786&amp;$D1786&amp;$E1786&amp;$F1786,".","_"),"(","_"),")","")</f>
        <v>vch802_7_2_1</v>
      </c>
      <c r="AQ1786" s="1352" t="str">
        <f>IF(LEN(W1786)=0,"",W1786)</f>
        <v/>
      </c>
      <c r="AR1786" s="1352" t="str">
        <f>SUBSTITUTE(SUBSTITUTE(SUBSTITUTE("vnt"&amp;$B1786&amp;$C1786&amp;$D1786&amp;$E1786&amp;$F1786,".","_"),"(","_"),")","")</f>
        <v>vnt802_7_2_1</v>
      </c>
      <c r="AS1786" s="1352" t="str">
        <f>IF(LEN(X1786)=0,"",X1786)</f>
        <v/>
      </c>
    </row>
    <row r="1787" spans="1:45" s="905" customFormat="1" hidden="1" x14ac:dyDescent="0.2">
      <c r="A1787" s="1507">
        <v>8</v>
      </c>
      <c r="B1787" s="1516" t="s">
        <v>4654</v>
      </c>
      <c r="C1787" s="1517" t="s">
        <v>254</v>
      </c>
      <c r="D1787" s="1517"/>
      <c r="E1787" s="1516"/>
      <c r="F1787" s="1511"/>
      <c r="G1787" s="1509" t="str">
        <f t="shared" ca="1" si="131"/>
        <v/>
      </c>
      <c r="H1787" s="1530" t="s">
        <v>3199</v>
      </c>
      <c r="I1787" s="589"/>
      <c r="J1787" s="1072"/>
      <c r="K1787" s="1072"/>
      <c r="L1787" s="1639"/>
      <c r="M1787" s="1624"/>
      <c r="N1787" s="935"/>
      <c r="O1787" s="935"/>
      <c r="X1787" s="1600"/>
      <c r="Y1787" s="1874"/>
      <c r="Z1787" s="1600"/>
      <c r="AC1787" s="1150"/>
      <c r="AD1787" s="1150"/>
      <c r="AL1787" s="1352"/>
      <c r="AM1787" s="1352"/>
      <c r="AN1787" s="1352"/>
      <c r="AO1787" s="1352"/>
      <c r="AP1787" s="1352"/>
      <c r="AQ1787" s="1352"/>
      <c r="AR1787" s="1352"/>
      <c r="AS1787" s="1352"/>
    </row>
    <row r="1788" spans="1:45" s="905" customFormat="1" ht="16" hidden="1" thickBot="1" x14ac:dyDescent="0.25">
      <c r="A1788" s="1507">
        <v>8</v>
      </c>
      <c r="B1788" s="1516" t="s">
        <v>4654</v>
      </c>
      <c r="C1788" s="1517" t="s">
        <v>255</v>
      </c>
      <c r="D1788" s="1517"/>
      <c r="E1788" s="1516"/>
      <c r="F1788" s="1511"/>
      <c r="G1788" s="1509" t="str">
        <f t="shared" ca="1" si="131"/>
        <v/>
      </c>
      <c r="H1788" s="1530" t="s">
        <v>3199</v>
      </c>
      <c r="I1788" s="589"/>
      <c r="J1788" s="873" t="s">
        <v>255</v>
      </c>
      <c r="K1788" s="873"/>
      <c r="L1788" s="1634" t="s">
        <v>4600</v>
      </c>
      <c r="M1788" s="913">
        <v>25</v>
      </c>
      <c r="N1788" s="908"/>
      <c r="O1788" s="908"/>
      <c r="P1788" s="991" t="b">
        <v>0</v>
      </c>
      <c r="Q1788" s="991" t="b">
        <v>1</v>
      </c>
      <c r="R1788" s="100" t="b">
        <v>0</v>
      </c>
      <c r="S1788" s="100" t="b">
        <f ca="1">S1600=1</f>
        <v>1</v>
      </c>
      <c r="T1788" s="991" t="b">
        <f ca="1">IF(AND(NOT(S1788),W1788=TRUE),TRUE,FALSE)</f>
        <v>0</v>
      </c>
      <c r="U1788" s="100"/>
      <c r="W1788" s="333"/>
      <c r="X1788" s="1601"/>
      <c r="Y1788" s="1881" t="str">
        <f>IF(LEN('11.800'!X202)=0,"None",'11.800'!X202)</f>
        <v>None</v>
      </c>
      <c r="Z1788" s="1600"/>
      <c r="AC1788" s="1150" t="b">
        <f ca="1">OR(AD1788:AE1788)</f>
        <v>0</v>
      </c>
      <c r="AD1788" s="1150" t="b">
        <f ca="1">T1788</f>
        <v>0</v>
      </c>
      <c r="AL1788" s="1352" t="str">
        <f>SUBSTITUTE(SUBSTITUTE(SUBSTITUTE("vpa"&amp;$B1788&amp;$C1788&amp;$D1788&amp;$E1788&amp;$F1788,".","_"),"(","_"),")","")</f>
        <v>vpa802_7_2_2</v>
      </c>
      <c r="AM1788" s="1352">
        <f>M1788</f>
        <v>25</v>
      </c>
      <c r="AN1788" s="1352"/>
      <c r="AO1788" s="1352"/>
      <c r="AP1788" s="1352" t="str">
        <f>SUBSTITUTE(SUBSTITUTE(SUBSTITUTE("vch"&amp;$B1788&amp;$C1788&amp;$D1788&amp;$E1788&amp;$F1788,".","_"),"(","_"),")","")</f>
        <v>vch802_7_2_2</v>
      </c>
      <c r="AQ1788" s="1352" t="str">
        <f>IF(LEN(W1788)=0,"",W1788)</f>
        <v/>
      </c>
      <c r="AR1788" s="1352" t="str">
        <f>SUBSTITUTE(SUBSTITUTE(SUBSTITUTE("vnt"&amp;$B1788&amp;$C1788&amp;$D1788&amp;$E1788&amp;$F1788,".","_"),"(","_"),")","")</f>
        <v>vnt802_7_2_2</v>
      </c>
      <c r="AS1788" s="1352" t="str">
        <f>IF(LEN(X1788)=0,"",X1788)</f>
        <v/>
      </c>
    </row>
    <row r="1789" spans="1:45" s="905" customFormat="1" hidden="1" x14ac:dyDescent="0.2">
      <c r="A1789" s="1507">
        <v>8</v>
      </c>
      <c r="B1789" s="1516" t="s">
        <v>4654</v>
      </c>
      <c r="C1789" s="1517" t="s">
        <v>255</v>
      </c>
      <c r="D1789" s="1517"/>
      <c r="E1789" s="1516"/>
      <c r="F1789" s="1511"/>
      <c r="G1789" s="1509" t="str">
        <f t="shared" ca="1" si="131"/>
        <v/>
      </c>
      <c r="H1789" s="1530" t="s">
        <v>3199</v>
      </c>
      <c r="I1789" s="589"/>
      <c r="J1789" s="873"/>
      <c r="K1789" s="873"/>
      <c r="L1789" s="1634"/>
      <c r="M1789" s="991"/>
      <c r="N1789" s="991"/>
      <c r="O1789" s="991"/>
      <c r="P1789" s="991"/>
      <c r="Q1789" s="991"/>
      <c r="R1789" s="991"/>
      <c r="S1789" s="991"/>
      <c r="T1789" s="991"/>
      <c r="U1789" s="991"/>
      <c r="W1789" s="1135"/>
      <c r="X1789" s="1601"/>
      <c r="Y1789" s="1881"/>
      <c r="Z1789" s="1600"/>
      <c r="AL1789" s="1352"/>
      <c r="AM1789" s="1352"/>
      <c r="AN1789" s="1352"/>
      <c r="AO1789" s="1352"/>
      <c r="AP1789" s="1352"/>
      <c r="AQ1789" s="1352"/>
      <c r="AR1789" s="1352"/>
      <c r="AS1789" s="1352"/>
    </row>
    <row r="1790" spans="1:45" s="905" customFormat="1" hidden="1" x14ac:dyDescent="0.2">
      <c r="A1790" s="1507">
        <v>8</v>
      </c>
      <c r="B1790" s="1516" t="s">
        <v>4654</v>
      </c>
      <c r="C1790" s="1517" t="s">
        <v>255</v>
      </c>
      <c r="D1790" s="1517"/>
      <c r="E1790" s="1516"/>
      <c r="F1790" s="1511"/>
      <c r="G1790" s="1509" t="str">
        <f t="shared" ca="1" si="131"/>
        <v/>
      </c>
      <c r="H1790" s="1530" t="s">
        <v>3199</v>
      </c>
      <c r="I1790" s="589"/>
      <c r="J1790" s="873"/>
      <c r="K1790" s="873"/>
      <c r="L1790" s="1634"/>
      <c r="M1790" s="991"/>
      <c r="N1790" s="991"/>
      <c r="O1790" s="991"/>
      <c r="P1790" s="991"/>
      <c r="Q1790" s="991"/>
      <c r="R1790" s="991"/>
      <c r="S1790" s="991"/>
      <c r="T1790" s="991"/>
      <c r="U1790" s="991"/>
      <c r="W1790" s="1135"/>
      <c r="X1790" s="1601"/>
      <c r="Y1790" s="1881"/>
      <c r="Z1790" s="1600"/>
      <c r="AL1790" s="1352"/>
      <c r="AM1790" s="1352"/>
      <c r="AN1790" s="1352"/>
      <c r="AO1790" s="1352"/>
      <c r="AP1790" s="1352"/>
      <c r="AQ1790" s="1352"/>
      <c r="AR1790" s="1352"/>
      <c r="AS1790" s="1352"/>
    </row>
    <row r="1791" spans="1:45" s="905" customFormat="1" hidden="1" x14ac:dyDescent="0.2">
      <c r="A1791" s="1507">
        <v>8</v>
      </c>
      <c r="B1791" s="1516" t="s">
        <v>4654</v>
      </c>
      <c r="C1791" s="1517" t="s">
        <v>255</v>
      </c>
      <c r="D1791" s="1517"/>
      <c r="E1791" s="1516"/>
      <c r="F1791" s="1511"/>
      <c r="G1791" s="1509" t="str">
        <f t="shared" ca="1" si="131"/>
        <v/>
      </c>
      <c r="H1791" s="1530" t="s">
        <v>3199</v>
      </c>
      <c r="I1791" s="589"/>
      <c r="J1791" s="873"/>
      <c r="K1791" s="873"/>
      <c r="L1791" s="1634"/>
      <c r="M1791" s="913"/>
      <c r="N1791" s="908"/>
      <c r="O1791" s="908"/>
      <c r="P1791" s="991"/>
      <c r="Q1791" s="991"/>
      <c r="R1791" s="991"/>
      <c r="S1791" s="991"/>
      <c r="T1791" s="991"/>
      <c r="U1791" s="991"/>
      <c r="W1791" s="1135"/>
      <c r="X1791" s="1601"/>
      <c r="Y1791" s="1881"/>
      <c r="Z1791" s="1600"/>
      <c r="AL1791" s="1352"/>
      <c r="AM1791" s="1352"/>
      <c r="AN1791" s="1352"/>
      <c r="AO1791" s="1352"/>
      <c r="AP1791" s="1352"/>
      <c r="AQ1791" s="1352"/>
      <c r="AR1791" s="1352"/>
      <c r="AS1791" s="1352"/>
    </row>
    <row r="1792" spans="1:45" s="905" customFormat="1" hidden="1" x14ac:dyDescent="0.2">
      <c r="A1792" s="1507">
        <v>8</v>
      </c>
      <c r="B1792" s="1516" t="s">
        <v>4654</v>
      </c>
      <c r="C1792" s="1517" t="s">
        <v>255</v>
      </c>
      <c r="D1792" s="1517" t="s">
        <v>121</v>
      </c>
      <c r="E1792" s="1516"/>
      <c r="F1792" s="1511"/>
      <c r="G1792" s="1509" t="str">
        <f t="shared" ca="1" si="131"/>
        <v/>
      </c>
      <c r="H1792" s="1530" t="s">
        <v>3199</v>
      </c>
      <c r="I1792" s="589"/>
      <c r="J1792" s="873"/>
      <c r="K1792" s="590" t="s">
        <v>121</v>
      </c>
      <c r="L1792" s="1634" t="s">
        <v>4601</v>
      </c>
      <c r="M1792" s="913"/>
      <c r="N1792" s="908"/>
      <c r="O1792" s="908"/>
      <c r="P1792" s="991"/>
      <c r="Q1792" s="991"/>
      <c r="R1792" s="991"/>
      <c r="S1792" s="991"/>
      <c r="T1792" s="991"/>
      <c r="U1792" s="991"/>
      <c r="W1792" s="1135"/>
      <c r="X1792" s="1601"/>
      <c r="Y1792" s="1881"/>
      <c r="Z1792" s="1600"/>
      <c r="AL1792" s="1352"/>
      <c r="AM1792" s="1352"/>
      <c r="AN1792" s="1352"/>
      <c r="AO1792" s="1352"/>
      <c r="AP1792" s="1352"/>
      <c r="AQ1792" s="1352"/>
      <c r="AR1792" s="1352"/>
      <c r="AS1792" s="1352"/>
    </row>
    <row r="1793" spans="1:45" s="905" customFormat="1" hidden="1" x14ac:dyDescent="0.2">
      <c r="A1793" s="1507">
        <v>8</v>
      </c>
      <c r="B1793" s="1516" t="s">
        <v>4654</v>
      </c>
      <c r="C1793" s="1517" t="s">
        <v>255</v>
      </c>
      <c r="D1793" s="1517" t="s">
        <v>121</v>
      </c>
      <c r="E1793" s="1516"/>
      <c r="F1793" s="1511"/>
      <c r="G1793" s="1509" t="str">
        <f t="shared" ca="1" si="131"/>
        <v/>
      </c>
      <c r="H1793" s="1530" t="s">
        <v>3199</v>
      </c>
      <c r="I1793" s="589"/>
      <c r="J1793" s="873"/>
      <c r="K1793" s="590"/>
      <c r="L1793" s="1634"/>
      <c r="M1793" s="913"/>
      <c r="N1793" s="908"/>
      <c r="O1793" s="908"/>
      <c r="P1793" s="991"/>
      <c r="Q1793" s="991"/>
      <c r="R1793" s="991"/>
      <c r="S1793" s="991"/>
      <c r="T1793" s="991"/>
      <c r="U1793" s="991"/>
      <c r="W1793" s="1135"/>
      <c r="X1793" s="1601"/>
      <c r="Y1793" s="1881"/>
      <c r="Z1793" s="1600"/>
      <c r="AL1793" s="1352"/>
      <c r="AM1793" s="1352"/>
      <c r="AN1793" s="1352"/>
      <c r="AO1793" s="1352"/>
      <c r="AP1793" s="1352"/>
      <c r="AQ1793" s="1352"/>
      <c r="AR1793" s="1352"/>
      <c r="AS1793" s="1352"/>
    </row>
    <row r="1794" spans="1:45" s="905" customFormat="1" hidden="1" x14ac:dyDescent="0.2">
      <c r="A1794" s="1507">
        <v>8</v>
      </c>
      <c r="B1794" s="1516" t="s">
        <v>4654</v>
      </c>
      <c r="C1794" s="1517" t="s">
        <v>255</v>
      </c>
      <c r="D1794" s="1517" t="s">
        <v>121</v>
      </c>
      <c r="E1794" s="1516"/>
      <c r="F1794" s="1511"/>
      <c r="G1794" s="1509" t="str">
        <f t="shared" ca="1" si="131"/>
        <v/>
      </c>
      <c r="H1794" s="1530" t="s">
        <v>3199</v>
      </c>
      <c r="I1794" s="589"/>
      <c r="J1794" s="873"/>
      <c r="K1794" s="590"/>
      <c r="L1794" s="1634"/>
      <c r="M1794" s="913"/>
      <c r="N1794" s="908"/>
      <c r="O1794" s="908"/>
      <c r="P1794" s="991"/>
      <c r="Q1794" s="991"/>
      <c r="R1794" s="991"/>
      <c r="S1794" s="991"/>
      <c r="T1794" s="991"/>
      <c r="U1794" s="991"/>
      <c r="W1794" s="1135"/>
      <c r="X1794" s="1601"/>
      <c r="Y1794" s="1881"/>
      <c r="Z1794" s="1600"/>
      <c r="AL1794" s="1352"/>
      <c r="AM1794" s="1352"/>
      <c r="AN1794" s="1352"/>
      <c r="AO1794" s="1352"/>
      <c r="AP1794" s="1352"/>
      <c r="AQ1794" s="1352"/>
      <c r="AR1794" s="1352"/>
      <c r="AS1794" s="1352"/>
    </row>
    <row r="1795" spans="1:45" s="905" customFormat="1" hidden="1" x14ac:dyDescent="0.2">
      <c r="A1795" s="1507">
        <v>8</v>
      </c>
      <c r="B1795" s="1516" t="s">
        <v>4654</v>
      </c>
      <c r="C1795" s="1517" t="s">
        <v>255</v>
      </c>
      <c r="D1795" s="1517" t="s">
        <v>122</v>
      </c>
      <c r="E1795" s="1516"/>
      <c r="F1795" s="1511"/>
      <c r="G1795" s="1509" t="str">
        <f t="shared" ca="1" si="131"/>
        <v/>
      </c>
      <c r="H1795" s="1530" t="s">
        <v>3199</v>
      </c>
      <c r="I1795" s="589"/>
      <c r="J1795" s="873"/>
      <c r="K1795" s="590" t="s">
        <v>122</v>
      </c>
      <c r="L1795" s="1634" t="s">
        <v>4602</v>
      </c>
      <c r="M1795" s="913"/>
      <c r="N1795" s="908"/>
      <c r="O1795" s="908"/>
      <c r="P1795" s="991"/>
      <c r="Q1795" s="991"/>
      <c r="R1795" s="991"/>
      <c r="S1795" s="991"/>
      <c r="T1795" s="991"/>
      <c r="U1795" s="991"/>
      <c r="W1795" s="1135"/>
      <c r="X1795" s="1601"/>
      <c r="Y1795" s="1881"/>
      <c r="Z1795" s="1600"/>
      <c r="AL1795" s="1352"/>
      <c r="AM1795" s="1352"/>
      <c r="AN1795" s="1352"/>
      <c r="AO1795" s="1352"/>
      <c r="AP1795" s="1352"/>
      <c r="AQ1795" s="1352"/>
      <c r="AR1795" s="1352"/>
      <c r="AS1795" s="1352"/>
    </row>
    <row r="1796" spans="1:45" s="905" customFormat="1" hidden="1" x14ac:dyDescent="0.2">
      <c r="A1796" s="1507">
        <v>8</v>
      </c>
      <c r="B1796" s="1516" t="s">
        <v>4654</v>
      </c>
      <c r="C1796" s="1517" t="s">
        <v>255</v>
      </c>
      <c r="D1796" s="1517" t="s">
        <v>122</v>
      </c>
      <c r="E1796" s="1516"/>
      <c r="F1796" s="1511"/>
      <c r="G1796" s="1509" t="str">
        <f t="shared" ca="1" si="131"/>
        <v/>
      </c>
      <c r="H1796" s="1530" t="s">
        <v>3199</v>
      </c>
      <c r="I1796" s="589"/>
      <c r="J1796" s="873"/>
      <c r="K1796" s="590"/>
      <c r="L1796" s="1634"/>
      <c r="M1796" s="913"/>
      <c r="N1796" s="908"/>
      <c r="O1796" s="908"/>
      <c r="P1796" s="991"/>
      <c r="Q1796" s="991"/>
      <c r="R1796" s="991"/>
      <c r="S1796" s="991"/>
      <c r="T1796" s="991"/>
      <c r="U1796" s="991"/>
      <c r="W1796" s="1135"/>
      <c r="X1796" s="1601"/>
      <c r="Y1796" s="1881"/>
      <c r="Z1796" s="1600"/>
      <c r="AL1796" s="1352"/>
      <c r="AM1796" s="1352"/>
      <c r="AN1796" s="1352"/>
      <c r="AO1796" s="1352"/>
      <c r="AP1796" s="1352"/>
      <c r="AQ1796" s="1352"/>
      <c r="AR1796" s="1352"/>
      <c r="AS1796" s="1352"/>
    </row>
    <row r="1797" spans="1:45" s="905" customFormat="1" hidden="1" x14ac:dyDescent="0.2">
      <c r="A1797" s="1507">
        <v>8</v>
      </c>
      <c r="B1797" s="1516" t="s">
        <v>4654</v>
      </c>
      <c r="C1797" s="1517" t="s">
        <v>255</v>
      </c>
      <c r="D1797" s="1517" t="s">
        <v>123</v>
      </c>
      <c r="E1797" s="1516"/>
      <c r="F1797" s="1511"/>
      <c r="G1797" s="1509" t="str">
        <f t="shared" ca="1" si="131"/>
        <v/>
      </c>
      <c r="H1797" s="1530" t="s">
        <v>3199</v>
      </c>
      <c r="I1797" s="589"/>
      <c r="J1797" s="873"/>
      <c r="K1797" s="590" t="s">
        <v>123</v>
      </c>
      <c r="L1797" s="917" t="s">
        <v>4603</v>
      </c>
      <c r="M1797" s="913"/>
      <c r="N1797" s="908"/>
      <c r="O1797" s="908"/>
      <c r="P1797" s="991"/>
      <c r="Q1797" s="991"/>
      <c r="R1797" s="991"/>
      <c r="S1797" s="991"/>
      <c r="T1797" s="991"/>
      <c r="U1797" s="991"/>
      <c r="W1797" s="1135"/>
      <c r="X1797" s="1601"/>
      <c r="Y1797" s="1881"/>
      <c r="Z1797" s="1600"/>
      <c r="AL1797" s="1352"/>
      <c r="AM1797" s="1352"/>
      <c r="AN1797" s="1352"/>
      <c r="AO1797" s="1352"/>
      <c r="AP1797" s="1352"/>
      <c r="AQ1797" s="1352"/>
      <c r="AR1797" s="1352"/>
      <c r="AS1797" s="1352"/>
    </row>
    <row r="1798" spans="1:45" s="905" customFormat="1" hidden="1" x14ac:dyDescent="0.2">
      <c r="A1798" s="1507">
        <v>8</v>
      </c>
      <c r="B1798" s="1516" t="s">
        <v>4654</v>
      </c>
      <c r="C1798" s="1517" t="s">
        <v>255</v>
      </c>
      <c r="D1798" s="1517" t="s">
        <v>648</v>
      </c>
      <c r="E1798" s="1516"/>
      <c r="F1798" s="1511"/>
      <c r="G1798" s="1509" t="str">
        <f t="shared" ca="1" si="131"/>
        <v/>
      </c>
      <c r="H1798" s="1530" t="s">
        <v>3199</v>
      </c>
      <c r="I1798" s="589"/>
      <c r="J1798" s="873"/>
      <c r="K1798" s="873" t="s">
        <v>648</v>
      </c>
      <c r="L1798" s="1634" t="s">
        <v>4604</v>
      </c>
      <c r="M1798" s="913"/>
      <c r="N1798" s="908"/>
      <c r="O1798" s="908"/>
      <c r="P1798" s="991"/>
      <c r="Q1798" s="991"/>
      <c r="R1798" s="991"/>
      <c r="S1798" s="991"/>
      <c r="T1798" s="991"/>
      <c r="U1798" s="991"/>
      <c r="W1798" s="1135"/>
      <c r="X1798" s="1601"/>
      <c r="Y1798" s="1881"/>
      <c r="Z1798" s="1600"/>
      <c r="AL1798" s="1352"/>
      <c r="AM1798" s="1352"/>
      <c r="AN1798" s="1352"/>
      <c r="AO1798" s="1352"/>
      <c r="AP1798" s="1352"/>
      <c r="AQ1798" s="1352"/>
      <c r="AR1798" s="1352"/>
      <c r="AS1798" s="1352"/>
    </row>
    <row r="1799" spans="1:45" s="905" customFormat="1" hidden="1" x14ac:dyDescent="0.2">
      <c r="A1799" s="1507">
        <v>8</v>
      </c>
      <c r="B1799" s="1516" t="s">
        <v>4654</v>
      </c>
      <c r="C1799" s="1517" t="s">
        <v>255</v>
      </c>
      <c r="D1799" s="1517" t="s">
        <v>648</v>
      </c>
      <c r="E1799" s="1516"/>
      <c r="F1799" s="1511"/>
      <c r="G1799" s="1509" t="str">
        <f t="shared" ca="1" si="131"/>
        <v/>
      </c>
      <c r="H1799" s="1530" t="s">
        <v>3199</v>
      </c>
      <c r="I1799" s="589"/>
      <c r="J1799" s="873"/>
      <c r="K1799" s="873"/>
      <c r="L1799" s="1634"/>
      <c r="M1799" s="913"/>
      <c r="N1799" s="908"/>
      <c r="O1799" s="908"/>
      <c r="P1799" s="991"/>
      <c r="Q1799" s="991"/>
      <c r="R1799" s="991"/>
      <c r="S1799" s="991"/>
      <c r="T1799" s="991"/>
      <c r="U1799" s="991"/>
      <c r="W1799" s="1135"/>
      <c r="X1799" s="1601"/>
      <c r="Y1799" s="1881"/>
      <c r="Z1799" s="1600"/>
      <c r="AL1799" s="1352"/>
      <c r="AM1799" s="1352"/>
      <c r="AN1799" s="1352"/>
      <c r="AO1799" s="1352"/>
      <c r="AP1799" s="1352"/>
      <c r="AQ1799" s="1352"/>
      <c r="AR1799" s="1352"/>
      <c r="AS1799" s="1352"/>
    </row>
    <row r="1800" spans="1:45" s="905" customFormat="1" hidden="1" x14ac:dyDescent="0.2">
      <c r="A1800" s="1507">
        <v>8</v>
      </c>
      <c r="B1800" s="1516" t="s">
        <v>4654</v>
      </c>
      <c r="C1800" s="1517" t="s">
        <v>255</v>
      </c>
      <c r="D1800" s="1517" t="s">
        <v>648</v>
      </c>
      <c r="E1800" s="1516"/>
      <c r="F1800" s="1511"/>
      <c r="G1800" s="1509" t="str">
        <f t="shared" ca="1" si="131"/>
        <v/>
      </c>
      <c r="H1800" s="1530" t="s">
        <v>3199</v>
      </c>
      <c r="I1800" s="589"/>
      <c r="J1800" s="873"/>
      <c r="K1800" s="873"/>
      <c r="L1800" s="1634"/>
      <c r="M1800" s="913"/>
      <c r="N1800" s="908"/>
      <c r="O1800" s="908"/>
      <c r="P1800" s="991"/>
      <c r="Q1800" s="991"/>
      <c r="R1800" s="991"/>
      <c r="S1800" s="991"/>
      <c r="T1800" s="991"/>
      <c r="U1800" s="991"/>
      <c r="W1800" s="1135"/>
      <c r="X1800" s="1601"/>
      <c r="Y1800" s="1881"/>
      <c r="Z1800" s="1600"/>
      <c r="AL1800" s="1352"/>
      <c r="AM1800" s="1352"/>
      <c r="AN1800" s="1352"/>
      <c r="AO1800" s="1352"/>
      <c r="AP1800" s="1352"/>
      <c r="AQ1800" s="1352"/>
      <c r="AR1800" s="1352"/>
      <c r="AS1800" s="1352"/>
    </row>
    <row r="1801" spans="1:45" s="905" customFormat="1" hidden="1" x14ac:dyDescent="0.2">
      <c r="A1801" s="1507">
        <v>8</v>
      </c>
      <c r="B1801" s="1516" t="s">
        <v>4654</v>
      </c>
      <c r="C1801" s="1517" t="s">
        <v>255</v>
      </c>
      <c r="D1801" s="1517" t="s">
        <v>648</v>
      </c>
      <c r="E1801" s="1516"/>
      <c r="F1801" s="1511"/>
      <c r="G1801" s="1509" t="str">
        <f t="shared" ca="1" si="131"/>
        <v/>
      </c>
      <c r="H1801" s="1530" t="s">
        <v>3199</v>
      </c>
      <c r="I1801" s="589"/>
      <c r="J1801" s="873"/>
      <c r="K1801" s="873"/>
      <c r="L1801" s="1634"/>
      <c r="M1801" s="913"/>
      <c r="N1801" s="908"/>
      <c r="O1801" s="908"/>
      <c r="P1801" s="991"/>
      <c r="Q1801" s="991"/>
      <c r="R1801" s="991"/>
      <c r="S1801" s="991"/>
      <c r="T1801" s="991"/>
      <c r="U1801" s="991"/>
      <c r="W1801" s="1135"/>
      <c r="X1801" s="1601"/>
      <c r="Y1801" s="1881"/>
      <c r="Z1801" s="1600"/>
      <c r="AL1801" s="1352"/>
      <c r="AM1801" s="1352"/>
      <c r="AN1801" s="1352"/>
      <c r="AO1801" s="1352"/>
      <c r="AP1801" s="1352"/>
      <c r="AQ1801" s="1352"/>
      <c r="AR1801" s="1352"/>
      <c r="AS1801" s="1352"/>
    </row>
    <row r="1802" spans="1:45" s="905" customFormat="1" hidden="1" x14ac:dyDescent="0.2">
      <c r="A1802" s="1507">
        <v>8</v>
      </c>
      <c r="B1802" s="1516" t="s">
        <v>4654</v>
      </c>
      <c r="C1802" s="1517" t="s">
        <v>255</v>
      </c>
      <c r="D1802" s="1517" t="s">
        <v>4248</v>
      </c>
      <c r="E1802" s="1516"/>
      <c r="F1802" s="1511"/>
      <c r="G1802" s="1509" t="str">
        <f t="shared" ca="1" si="131"/>
        <v/>
      </c>
      <c r="H1802" s="1530" t="s">
        <v>3199</v>
      </c>
      <c r="I1802" s="589"/>
      <c r="J1802" s="873"/>
      <c r="K1802" s="873" t="s">
        <v>4248</v>
      </c>
      <c r="L1802" s="917" t="s">
        <v>4605</v>
      </c>
      <c r="M1802" s="913"/>
      <c r="N1802" s="908"/>
      <c r="O1802" s="908"/>
      <c r="P1802" s="991"/>
      <c r="Q1802" s="991"/>
      <c r="R1802" s="991"/>
      <c r="S1802" s="991"/>
      <c r="T1802" s="991"/>
      <c r="U1802" s="991"/>
      <c r="W1802" s="1135"/>
      <c r="X1802" s="1601"/>
      <c r="Y1802" s="1881"/>
      <c r="Z1802" s="1600"/>
      <c r="AL1802" s="1352"/>
      <c r="AM1802" s="1352"/>
      <c r="AN1802" s="1352"/>
      <c r="AO1802" s="1352"/>
      <c r="AP1802" s="1352"/>
      <c r="AQ1802" s="1352"/>
      <c r="AR1802" s="1352"/>
      <c r="AS1802" s="1352"/>
    </row>
    <row r="1803" spans="1:45" s="905" customFormat="1" hidden="1" x14ac:dyDescent="0.2">
      <c r="A1803" s="1507">
        <v>8</v>
      </c>
      <c r="B1803" s="1516" t="s">
        <v>4654</v>
      </c>
      <c r="C1803" s="1517" t="s">
        <v>255</v>
      </c>
      <c r="D1803" s="1517" t="s">
        <v>4250</v>
      </c>
      <c r="E1803" s="1516"/>
      <c r="F1803" s="1511"/>
      <c r="G1803" s="1509" t="str">
        <f t="shared" ca="1" si="131"/>
        <v/>
      </c>
      <c r="H1803" s="1530" t="s">
        <v>3199</v>
      </c>
      <c r="I1803" s="589"/>
      <c r="J1803" s="873"/>
      <c r="K1803" s="873" t="s">
        <v>4250</v>
      </c>
      <c r="L1803" s="917" t="s">
        <v>4606</v>
      </c>
      <c r="M1803" s="913"/>
      <c r="N1803" s="908"/>
      <c r="O1803" s="908"/>
      <c r="P1803" s="991"/>
      <c r="Q1803" s="991"/>
      <c r="R1803" s="991"/>
      <c r="S1803" s="991"/>
      <c r="T1803" s="991"/>
      <c r="U1803" s="991"/>
      <c r="W1803" s="1135"/>
      <c r="X1803" s="1601"/>
      <c r="Y1803" s="1881"/>
      <c r="Z1803" s="1600"/>
      <c r="AL1803" s="1352"/>
      <c r="AM1803" s="1352"/>
      <c r="AN1803" s="1352"/>
      <c r="AO1803" s="1352"/>
      <c r="AP1803" s="1352"/>
      <c r="AQ1803" s="1352"/>
      <c r="AR1803" s="1352"/>
      <c r="AS1803" s="1352"/>
    </row>
    <row r="1804" spans="1:45" s="905" customFormat="1" hidden="1" x14ac:dyDescent="0.2">
      <c r="A1804" s="1507">
        <v>8</v>
      </c>
      <c r="B1804" s="1516" t="s">
        <v>4654</v>
      </c>
      <c r="C1804" s="1517" t="s">
        <v>255</v>
      </c>
      <c r="D1804" s="1517" t="s">
        <v>366</v>
      </c>
      <c r="E1804" s="1516"/>
      <c r="F1804" s="1511"/>
      <c r="G1804" s="1509" t="str">
        <f t="shared" ca="1" si="131"/>
        <v/>
      </c>
      <c r="H1804" s="1530" t="s">
        <v>3199</v>
      </c>
      <c r="I1804" s="589"/>
      <c r="J1804" s="873"/>
      <c r="K1804" s="873" t="s">
        <v>366</v>
      </c>
      <c r="L1804" s="1634" t="s">
        <v>4607</v>
      </c>
      <c r="M1804" s="991"/>
      <c r="N1804" s="991"/>
      <c r="O1804" s="991"/>
      <c r="P1804" s="991"/>
      <c r="Q1804" s="991"/>
      <c r="R1804" s="991"/>
      <c r="S1804" s="991"/>
      <c r="T1804" s="991"/>
      <c r="U1804" s="991"/>
      <c r="W1804" s="1135"/>
      <c r="X1804" s="1601"/>
      <c r="Y1804" s="1881"/>
      <c r="Z1804" s="1600"/>
      <c r="AL1804" s="1352"/>
      <c r="AM1804" s="1352"/>
      <c r="AN1804" s="1352"/>
      <c r="AO1804" s="1352"/>
      <c r="AP1804" s="1352"/>
      <c r="AQ1804" s="1352"/>
      <c r="AR1804" s="1352"/>
      <c r="AS1804" s="1352"/>
    </row>
    <row r="1805" spans="1:45" s="905" customFormat="1" hidden="1" x14ac:dyDescent="0.2">
      <c r="A1805" s="1507">
        <v>8</v>
      </c>
      <c r="B1805" s="1516" t="s">
        <v>4654</v>
      </c>
      <c r="C1805" s="1517" t="s">
        <v>255</v>
      </c>
      <c r="D1805" s="1517" t="s">
        <v>366</v>
      </c>
      <c r="E1805" s="1516"/>
      <c r="F1805" s="1511"/>
      <c r="G1805" s="1509" t="str">
        <f t="shared" ca="1" si="131"/>
        <v/>
      </c>
      <c r="H1805" s="1530" t="s">
        <v>3199</v>
      </c>
      <c r="I1805" s="589"/>
      <c r="J1805" s="873"/>
      <c r="K1805" s="873"/>
      <c r="L1805" s="1634"/>
      <c r="M1805" s="991"/>
      <c r="N1805" s="991"/>
      <c r="O1805" s="991"/>
      <c r="P1805" s="991"/>
      <c r="Q1805" s="991"/>
      <c r="R1805" s="991"/>
      <c r="S1805" s="991"/>
      <c r="T1805" s="991"/>
      <c r="U1805" s="991"/>
      <c r="W1805" s="1135"/>
      <c r="X1805" s="1601"/>
      <c r="Y1805" s="1881"/>
      <c r="Z1805" s="1600"/>
      <c r="AL1805" s="1352"/>
      <c r="AM1805" s="1352"/>
      <c r="AN1805" s="1352"/>
      <c r="AO1805" s="1352"/>
      <c r="AP1805" s="1352"/>
      <c r="AQ1805" s="1352"/>
      <c r="AR1805" s="1352"/>
      <c r="AS1805" s="1352"/>
    </row>
    <row r="1806" spans="1:45" s="905" customFormat="1" hidden="1" x14ac:dyDescent="0.2">
      <c r="A1806" s="1507">
        <v>8</v>
      </c>
      <c r="B1806" s="1516" t="s">
        <v>4654</v>
      </c>
      <c r="C1806" s="1517" t="s">
        <v>255</v>
      </c>
      <c r="D1806" s="1517" t="s">
        <v>472</v>
      </c>
      <c r="E1806" s="1516"/>
      <c r="F1806" s="1511"/>
      <c r="G1806" s="1509" t="str">
        <f t="shared" ca="1" si="131"/>
        <v/>
      </c>
      <c r="H1806" s="1530" t="s">
        <v>3199</v>
      </c>
      <c r="I1806" s="589"/>
      <c r="J1806" s="873"/>
      <c r="K1806" s="873" t="s">
        <v>472</v>
      </c>
      <c r="L1806" s="1634" t="s">
        <v>4608</v>
      </c>
      <c r="M1806" s="913"/>
      <c r="N1806" s="908"/>
      <c r="O1806" s="908"/>
      <c r="P1806" s="991"/>
      <c r="Q1806" s="991"/>
      <c r="R1806" s="991"/>
      <c r="S1806" s="991"/>
      <c r="T1806" s="991"/>
      <c r="U1806" s="991"/>
      <c r="W1806" s="1135"/>
      <c r="X1806" s="1601"/>
      <c r="Y1806" s="1881"/>
      <c r="Z1806" s="1600"/>
      <c r="AL1806" s="1352"/>
      <c r="AM1806" s="1352"/>
      <c r="AN1806" s="1352"/>
      <c r="AO1806" s="1352"/>
      <c r="AP1806" s="1352"/>
      <c r="AQ1806" s="1352"/>
      <c r="AR1806" s="1352"/>
      <c r="AS1806" s="1352"/>
    </row>
    <row r="1807" spans="1:45" s="905" customFormat="1" hidden="1" x14ac:dyDescent="0.2">
      <c r="A1807" s="1507">
        <v>8</v>
      </c>
      <c r="B1807" s="1516" t="s">
        <v>4654</v>
      </c>
      <c r="C1807" s="1517" t="s">
        <v>255</v>
      </c>
      <c r="D1807" s="1517" t="s">
        <v>472</v>
      </c>
      <c r="E1807" s="1516"/>
      <c r="F1807" s="1511"/>
      <c r="G1807" s="1509" t="str">
        <f t="shared" ca="1" si="131"/>
        <v/>
      </c>
      <c r="H1807" s="1530" t="s">
        <v>3199</v>
      </c>
      <c r="I1807" s="589"/>
      <c r="J1807" s="873"/>
      <c r="K1807" s="873"/>
      <c r="L1807" s="1634"/>
      <c r="M1807" s="913"/>
      <c r="N1807" s="908"/>
      <c r="O1807" s="908"/>
      <c r="P1807" s="991"/>
      <c r="Q1807" s="991"/>
      <c r="R1807" s="991"/>
      <c r="S1807" s="991"/>
      <c r="T1807" s="991"/>
      <c r="U1807" s="991"/>
      <c r="W1807" s="1135"/>
      <c r="X1807" s="1601"/>
      <c r="Y1807" s="1881"/>
      <c r="Z1807" s="1600"/>
      <c r="AL1807" s="1352"/>
      <c r="AM1807" s="1352"/>
      <c r="AN1807" s="1352"/>
      <c r="AO1807" s="1352"/>
      <c r="AP1807" s="1352"/>
      <c r="AQ1807" s="1352"/>
      <c r="AR1807" s="1352"/>
      <c r="AS1807" s="1352"/>
    </row>
    <row r="1808" spans="1:45" s="905" customFormat="1" hidden="1" x14ac:dyDescent="0.2">
      <c r="A1808" s="1507">
        <v>8</v>
      </c>
      <c r="B1808" s="1516" t="s">
        <v>4654</v>
      </c>
      <c r="C1808" s="1517" t="s">
        <v>255</v>
      </c>
      <c r="D1808" s="1517" t="s">
        <v>510</v>
      </c>
      <c r="E1808" s="1516"/>
      <c r="F1808" s="1511"/>
      <c r="G1808" s="1509" t="str">
        <f t="shared" ca="1" si="131"/>
        <v/>
      </c>
      <c r="H1808" s="1530" t="s">
        <v>3199</v>
      </c>
      <c r="I1808" s="589"/>
      <c r="J1808" s="873"/>
      <c r="K1808" s="873" t="s">
        <v>510</v>
      </c>
      <c r="L1808" s="917" t="s">
        <v>4609</v>
      </c>
      <c r="M1808" s="913"/>
      <c r="N1808" s="908"/>
      <c r="O1808" s="908"/>
      <c r="P1808" s="991"/>
      <c r="Q1808" s="991"/>
      <c r="R1808" s="991"/>
      <c r="S1808" s="991"/>
      <c r="T1808" s="991"/>
      <c r="U1808" s="991"/>
      <c r="W1808" s="1135"/>
      <c r="X1808" s="1601"/>
      <c r="Y1808" s="1881"/>
      <c r="Z1808" s="1600"/>
      <c r="AL1808" s="1352"/>
      <c r="AM1808" s="1352"/>
      <c r="AN1808" s="1352"/>
      <c r="AO1808" s="1352"/>
      <c r="AP1808" s="1352"/>
      <c r="AQ1808" s="1352"/>
      <c r="AR1808" s="1352"/>
      <c r="AS1808" s="1352"/>
    </row>
    <row r="1809" spans="1:45" s="905" customFormat="1" hidden="1" x14ac:dyDescent="0.2">
      <c r="A1809" s="1507">
        <v>8</v>
      </c>
      <c r="B1809" s="1516" t="s">
        <v>4654</v>
      </c>
      <c r="C1809" s="1517" t="s">
        <v>255</v>
      </c>
      <c r="D1809" s="1517" t="s">
        <v>512</v>
      </c>
      <c r="E1809" s="1516"/>
      <c r="F1809" s="1511"/>
      <c r="G1809" s="1509" t="str">
        <f t="shared" ca="1" si="131"/>
        <v/>
      </c>
      <c r="H1809" s="1530" t="s">
        <v>3199</v>
      </c>
      <c r="I1809" s="590"/>
      <c r="J1809" s="1068"/>
      <c r="K1809" s="1068" t="s">
        <v>512</v>
      </c>
      <c r="L1809" s="1634" t="s">
        <v>4610</v>
      </c>
      <c r="M1809" s="913"/>
      <c r="N1809" s="908"/>
      <c r="O1809" s="908"/>
      <c r="P1809" s="991"/>
      <c r="Q1809" s="991"/>
      <c r="R1809" s="991"/>
      <c r="S1809" s="991"/>
      <c r="T1809" s="991"/>
      <c r="U1809" s="991"/>
      <c r="W1809" s="1135"/>
      <c r="X1809" s="1601"/>
      <c r="Y1809" s="1881"/>
      <c r="Z1809" s="1600"/>
      <c r="AL1809" s="1352"/>
      <c r="AM1809" s="1352"/>
      <c r="AN1809" s="1352"/>
      <c r="AO1809" s="1352"/>
      <c r="AP1809" s="1352"/>
      <c r="AQ1809" s="1352"/>
      <c r="AR1809" s="1352"/>
      <c r="AS1809" s="1352"/>
    </row>
    <row r="1810" spans="1:45" s="905" customFormat="1" ht="16" hidden="1" thickBot="1" x14ac:dyDescent="0.25">
      <c r="A1810" s="1507">
        <v>8</v>
      </c>
      <c r="B1810" s="1516" t="s">
        <v>4654</v>
      </c>
      <c r="C1810" s="1517" t="s">
        <v>255</v>
      </c>
      <c r="D1810" s="1517" t="s">
        <v>512</v>
      </c>
      <c r="E1810" s="1516"/>
      <c r="F1810" s="1511"/>
      <c r="G1810" s="1509" t="str">
        <f t="shared" ca="1" si="131"/>
        <v/>
      </c>
      <c r="H1810" s="1530" t="s">
        <v>3199</v>
      </c>
      <c r="I1810" s="594"/>
      <c r="J1810" s="1069"/>
      <c r="K1810" s="1069"/>
      <c r="L1810" s="1635"/>
      <c r="M1810" s="914"/>
      <c r="N1810" s="922"/>
      <c r="O1810" s="922"/>
      <c r="P1810" s="100"/>
      <c r="Q1810" s="100"/>
      <c r="R1810" s="100"/>
      <c r="S1810" s="100"/>
      <c r="T1810" s="100"/>
      <c r="U1810" s="100"/>
      <c r="W1810" s="100"/>
      <c r="X1810" s="1602"/>
      <c r="Y1810" s="1882"/>
      <c r="Z1810" s="1602"/>
      <c r="AL1810" s="1352"/>
      <c r="AM1810" s="1352"/>
      <c r="AN1810" s="1352"/>
      <c r="AO1810" s="1352"/>
      <c r="AP1810" s="1352"/>
      <c r="AQ1810" s="1352"/>
      <c r="AR1810" s="1352"/>
      <c r="AS1810" s="1352"/>
    </row>
    <row r="1811" spans="1:45" s="905" customFormat="1" ht="16" hidden="1" thickTop="1" x14ac:dyDescent="0.2">
      <c r="A1811" s="1507">
        <v>8</v>
      </c>
      <c r="B1811" s="1516">
        <v>802.8</v>
      </c>
      <c r="C1811" s="1517"/>
      <c r="D1811" s="1517"/>
      <c r="E1811" s="1516"/>
      <c r="F1811" s="1511"/>
      <c r="G1811" s="1509" t="str">
        <f ca="1">IF(N1811&gt;0,"P","")</f>
        <v/>
      </c>
      <c r="H1811" s="1530" t="s">
        <v>3199</v>
      </c>
      <c r="I1811" s="590" t="s">
        <v>4611</v>
      </c>
      <c r="J1811" s="1068"/>
      <c r="K1811" s="1068"/>
      <c r="L1811" s="1687" t="s">
        <v>4612</v>
      </c>
      <c r="M1811" s="1623">
        <v>1</v>
      </c>
      <c r="N1811" s="1682">
        <f ca="1">'11.800'!O225</f>
        <v>0</v>
      </c>
      <c r="O1811" s="1619">
        <f ca="1">M1811*S1811*W1811</f>
        <v>0</v>
      </c>
      <c r="P1811" s="991" t="b">
        <v>0</v>
      </c>
      <c r="Q1811" s="991" t="b">
        <v>1</v>
      </c>
      <c r="R1811" s="991" t="b">
        <v>0</v>
      </c>
      <c r="S1811" s="991" t="b">
        <f ca="1">S1600=1</f>
        <v>1</v>
      </c>
      <c r="T1811" s="991" t="b">
        <f ca="1">IF(AND(NOT(S1811),W1811=TRUE),TRUE,FALSE)</f>
        <v>0</v>
      </c>
      <c r="U1811" s="991"/>
      <c r="W1811" s="334"/>
      <c r="X1811" s="1603"/>
      <c r="Y1811" s="1877" t="str">
        <f>IF(LEN('11.800'!X225)=0,"None",'11.800'!X225)</f>
        <v>None</v>
      </c>
      <c r="Z1811" s="1599"/>
      <c r="AC1811" s="1150" t="b">
        <f ca="1">OR(AD1811:AE1811)</f>
        <v>0</v>
      </c>
      <c r="AD1811" s="1150" t="b">
        <f ca="1">T1811</f>
        <v>0</v>
      </c>
      <c r="AL1811" s="1352" t="str">
        <f>SUBSTITUTE(SUBSTITUTE(SUBSTITUTE("vpa"&amp;$B1811&amp;$C1811&amp;$D1811&amp;$E1811&amp;$F1811,".","_"),"(","_"),")","")</f>
        <v>vpa802_8</v>
      </c>
      <c r="AM1811" s="1352">
        <f>M1811</f>
        <v>1</v>
      </c>
      <c r="AN1811" s="1352" t="str">
        <f>SUBSTITUTE(SUBSTITUTE(SUBSTITUTE("vpc"&amp;$B1811&amp;$C1811&amp;$D1811&amp;$E1811&amp;$F1811,".","_"),"(","_"),")","")</f>
        <v>vpc802_8</v>
      </c>
      <c r="AO1811" s="1352">
        <f ca="1">O1811</f>
        <v>0</v>
      </c>
      <c r="AP1811" s="1352" t="str">
        <f>SUBSTITUTE(SUBSTITUTE(SUBSTITUTE("vch"&amp;$B1811&amp;$C1811&amp;$D1811&amp;$E1811&amp;$F1811,".","_"),"(","_"),")","")</f>
        <v>vch802_8</v>
      </c>
      <c r="AQ1811" s="1352" t="str">
        <f>IF(LEN(W1811)=0,"",W1811)</f>
        <v/>
      </c>
      <c r="AR1811" s="1352" t="str">
        <f>SUBSTITUTE(SUBSTITUTE(SUBSTITUTE("vnt"&amp;$B1811&amp;$C1811&amp;$D1811&amp;$E1811&amp;$F1811,".","_"),"(","_"),")","")</f>
        <v>vnt802_8</v>
      </c>
      <c r="AS1811" s="1352" t="str">
        <f>IF(LEN(X1811)=0,"",X1811)</f>
        <v/>
      </c>
    </row>
    <row r="1812" spans="1:45" s="905" customFormat="1" ht="16" hidden="1" thickBot="1" x14ac:dyDescent="0.25">
      <c r="A1812" s="1507">
        <v>8</v>
      </c>
      <c r="B1812" s="1516">
        <v>802.8</v>
      </c>
      <c r="C1812" s="1517"/>
      <c r="D1812" s="1517"/>
      <c r="E1812" s="1516"/>
      <c r="F1812" s="1511"/>
      <c r="G1812" s="1509" t="str">
        <f ca="1">G1811</f>
        <v/>
      </c>
      <c r="H1812" s="1530" t="s">
        <v>3199</v>
      </c>
      <c r="I1812" s="594"/>
      <c r="J1812" s="1069"/>
      <c r="K1812" s="1069"/>
      <c r="L1812" s="1738"/>
      <c r="M1812" s="1627"/>
      <c r="N1812" s="1638"/>
      <c r="O1812" s="1638"/>
      <c r="P1812" s="100"/>
      <c r="Q1812" s="100"/>
      <c r="R1812" s="100"/>
      <c r="S1812" s="100"/>
      <c r="T1812" s="100"/>
      <c r="U1812" s="100"/>
      <c r="W1812" s="100"/>
      <c r="X1812" s="1602"/>
      <c r="Y1812" s="1882"/>
      <c r="Z1812" s="1602"/>
      <c r="AC1812" s="1150"/>
      <c r="AD1812" s="1150"/>
      <c r="AL1812" s="1352"/>
      <c r="AM1812" s="1352"/>
      <c r="AN1812" s="1352"/>
      <c r="AO1812" s="1352"/>
      <c r="AP1812" s="1352"/>
      <c r="AQ1812" s="1352"/>
      <c r="AR1812" s="1352"/>
      <c r="AS1812" s="1352"/>
    </row>
    <row r="1813" spans="1:45" s="905" customFormat="1" ht="16" hidden="1" thickTop="1" x14ac:dyDescent="0.2">
      <c r="A1813" s="1507">
        <v>8</v>
      </c>
      <c r="B1813" s="1516">
        <v>802.9</v>
      </c>
      <c r="C1813" s="1517"/>
      <c r="D1813" s="1517"/>
      <c r="E1813" s="1516"/>
      <c r="F1813" s="1511"/>
      <c r="G1813" s="1513" t="str">
        <f ca="1">IF(COUNTIF(G1814:G1822,"P")&gt;0,"P","")</f>
        <v/>
      </c>
      <c r="H1813" s="1530" t="s">
        <v>3199</v>
      </c>
      <c r="I1813" s="1076" t="s">
        <v>4613</v>
      </c>
      <c r="J1813" s="1077"/>
      <c r="K1813" s="1077"/>
      <c r="L1813" s="1078" t="s">
        <v>4614</v>
      </c>
      <c r="M1813" s="1079"/>
      <c r="N1813" s="1081"/>
      <c r="O1813" s="1081"/>
      <c r="U1813" s="991"/>
      <c r="X1813" s="1122"/>
      <c r="Y1813" s="1198"/>
      <c r="Z1813" s="1122"/>
      <c r="AC1813" s="1150"/>
      <c r="AD1813" s="1150"/>
      <c r="AL1813" s="1352"/>
      <c r="AM1813" s="1352"/>
      <c r="AN1813" s="1352"/>
      <c r="AO1813" s="1352"/>
      <c r="AP1813" s="1352"/>
      <c r="AQ1813" s="1352"/>
      <c r="AR1813" s="1352"/>
      <c r="AS1813" s="1352"/>
    </row>
    <row r="1814" spans="1:45" s="905" customFormat="1" hidden="1" x14ac:dyDescent="0.2">
      <c r="A1814" s="1507">
        <v>8</v>
      </c>
      <c r="B1814" s="1516" t="s">
        <v>4655</v>
      </c>
      <c r="C1814" s="1517"/>
      <c r="D1814" s="1517"/>
      <c r="E1814" s="1516"/>
      <c r="F1814" s="1511"/>
      <c r="G1814" s="1509" t="str">
        <f ca="1">IF(N1814&gt;0,"P","")</f>
        <v/>
      </c>
      <c r="H1814" s="1530" t="s">
        <v>3199</v>
      </c>
      <c r="I1814" s="589" t="s">
        <v>4615</v>
      </c>
      <c r="J1814" s="873"/>
      <c r="K1814" s="873"/>
      <c r="L1814" s="1687" t="s">
        <v>4616</v>
      </c>
      <c r="M1814" s="911"/>
      <c r="N1814" s="1637">
        <f ca="1">'11.800'!O228</f>
        <v>0</v>
      </c>
      <c r="O1814" s="1619">
        <f ca="1">IFERROR(INDEX({5,2},MATCH(W1814,INDIRECT(U1814),0)),0)*S1814</f>
        <v>0</v>
      </c>
      <c r="P1814" s="991" t="b">
        <v>0</v>
      </c>
      <c r="Q1814" s="905" t="b">
        <v>1</v>
      </c>
      <c r="R1814" s="905" t="b">
        <v>0</v>
      </c>
      <c r="S1814" s="905" t="b">
        <f ca="1">S1600=1</f>
        <v>1</v>
      </c>
      <c r="T1814" s="991" t="b">
        <f ca="1">IF(AND(NOT(S1814),LEN(W1814)&gt;0),TRUE,FALSE)</f>
        <v>0</v>
      </c>
      <c r="U1814" s="991" t="str">
        <f>SUBSTITUTE(SUBSTITUTE(SUBSTITUTE("dd"&amp;B1814&amp;C1814&amp;D1814&amp;E1814&amp;F1814,".","_"),"(","_"),")","")</f>
        <v>dd802_9_1</v>
      </c>
      <c r="W1814" s="12"/>
      <c r="X1814" s="1600"/>
      <c r="Y1814" s="1874" t="str">
        <f>IF(LEN('11.800'!X228)=0,"None",'11.800'!X228)</f>
        <v>None</v>
      </c>
      <c r="Z1814" s="1600"/>
      <c r="AC1814" s="1150" t="b">
        <f ca="1">OR(AD1814:AE1814)</f>
        <v>0</v>
      </c>
      <c r="AD1814" s="1150" t="b">
        <f ca="1">T1814</f>
        <v>0</v>
      </c>
      <c r="AL1814" s="1352"/>
      <c r="AM1814" s="1352"/>
      <c r="AN1814" s="1352" t="str">
        <f>SUBSTITUTE(SUBSTITUTE(SUBSTITUTE("vpc"&amp;$B1814&amp;$C1814&amp;$D1814&amp;$E1814&amp;$F1814,".","_"),"(","_"),")","")</f>
        <v>vpc802_9_1</v>
      </c>
      <c r="AO1814" s="1352">
        <f ca="1">O1814</f>
        <v>0</v>
      </c>
      <c r="AP1814" s="1352" t="str">
        <f>SUBSTITUTE(SUBSTITUTE(SUBSTITUTE("vch"&amp;$B1814&amp;$C1814&amp;$D1814&amp;$E1814&amp;$F1814,".","_"),"(","_"),")","")</f>
        <v>vch802_9_1</v>
      </c>
      <c r="AQ1814" s="1352" t="str">
        <f>IF(LEN(W1814)=0,"",W1814)</f>
        <v/>
      </c>
      <c r="AR1814" s="1352" t="str">
        <f>SUBSTITUTE(SUBSTITUTE(SUBSTITUTE("vnt"&amp;$B1814&amp;$C1814&amp;$D1814&amp;$E1814&amp;$F1814,".","_"),"(","_"),")","")</f>
        <v>vnt802_9_1</v>
      </c>
      <c r="AS1814" s="1352" t="str">
        <f>IF(LEN(X1814)=0,"",X1814)</f>
        <v/>
      </c>
    </row>
    <row r="1815" spans="1:45" s="905" customFormat="1" hidden="1" x14ac:dyDescent="0.2">
      <c r="A1815" s="1507">
        <v>8</v>
      </c>
      <c r="B1815" s="1516" t="s">
        <v>4655</v>
      </c>
      <c r="C1815" s="1517"/>
      <c r="D1815" s="1517"/>
      <c r="E1815" s="1516"/>
      <c r="F1815" s="1511"/>
      <c r="G1815" s="1509" t="str">
        <f t="shared" ref="G1815:G1821" ca="1" si="132">G1814</f>
        <v/>
      </c>
      <c r="H1815" s="1530" t="s">
        <v>3199</v>
      </c>
      <c r="I1815" s="589"/>
      <c r="J1815" s="873"/>
      <c r="K1815" s="873"/>
      <c r="L1815" s="1687"/>
      <c r="M1815" s="911"/>
      <c r="N1815" s="1619"/>
      <c r="O1815" s="1619"/>
      <c r="U1815" s="991"/>
      <c r="X1815" s="1600"/>
      <c r="Y1815" s="1874"/>
      <c r="Z1815" s="1600"/>
      <c r="AL1815" s="1352"/>
      <c r="AM1815" s="1352"/>
      <c r="AN1815" s="1352"/>
      <c r="AO1815" s="1352"/>
      <c r="AP1815" s="1352"/>
      <c r="AQ1815" s="1352"/>
      <c r="AR1815" s="1352"/>
      <c r="AS1815" s="1352"/>
    </row>
    <row r="1816" spans="1:45" s="905" customFormat="1" hidden="1" x14ac:dyDescent="0.2">
      <c r="A1816" s="1507">
        <v>8</v>
      </c>
      <c r="B1816" s="1516" t="s">
        <v>4655</v>
      </c>
      <c r="C1816" s="1517"/>
      <c r="D1816" s="1517"/>
      <c r="E1816" s="1516"/>
      <c r="F1816" s="1511"/>
      <c r="G1816" s="1509" t="str">
        <f t="shared" ca="1" si="132"/>
        <v/>
      </c>
      <c r="H1816" s="1530" t="s">
        <v>3199</v>
      </c>
      <c r="I1816" s="589"/>
      <c r="J1816" s="873"/>
      <c r="K1816" s="873"/>
      <c r="L1816" s="1687"/>
      <c r="M1816" s="911"/>
      <c r="N1816" s="1619"/>
      <c r="O1816" s="1619"/>
      <c r="U1816" s="991"/>
      <c r="X1816" s="1600"/>
      <c r="Y1816" s="1874"/>
      <c r="Z1816" s="1600"/>
      <c r="AL1816" s="1352"/>
      <c r="AM1816" s="1352"/>
      <c r="AN1816" s="1352"/>
      <c r="AO1816" s="1352"/>
      <c r="AP1816" s="1352"/>
      <c r="AQ1816" s="1352"/>
      <c r="AR1816" s="1352"/>
      <c r="AS1816" s="1352"/>
    </row>
    <row r="1817" spans="1:45" s="905" customFormat="1" hidden="1" x14ac:dyDescent="0.2">
      <c r="A1817" s="1507">
        <v>8</v>
      </c>
      <c r="B1817" s="1516" t="s">
        <v>4655</v>
      </c>
      <c r="C1817" s="1517"/>
      <c r="D1817" s="1517"/>
      <c r="E1817" s="1516"/>
      <c r="F1817" s="1511"/>
      <c r="G1817" s="1509" t="str">
        <f t="shared" ca="1" si="132"/>
        <v/>
      </c>
      <c r="H1817" s="1530" t="s">
        <v>3199</v>
      </c>
      <c r="I1817" s="589"/>
      <c r="J1817" s="873"/>
      <c r="K1817" s="873"/>
      <c r="L1817" s="1687"/>
      <c r="M1817" s="911"/>
      <c r="N1817" s="1619"/>
      <c r="O1817" s="1619"/>
      <c r="U1817" s="991"/>
      <c r="X1817" s="1600"/>
      <c r="Y1817" s="1874"/>
      <c r="Z1817" s="1600"/>
      <c r="AL1817" s="1352"/>
      <c r="AM1817" s="1352"/>
      <c r="AN1817" s="1352"/>
      <c r="AO1817" s="1352"/>
      <c r="AP1817" s="1352"/>
      <c r="AQ1817" s="1352"/>
      <c r="AR1817" s="1352"/>
      <c r="AS1817" s="1352"/>
    </row>
    <row r="1818" spans="1:45" s="905" customFormat="1" hidden="1" x14ac:dyDescent="0.2">
      <c r="A1818" s="1507">
        <v>8</v>
      </c>
      <c r="B1818" s="1516" t="s">
        <v>4655</v>
      </c>
      <c r="C1818" s="1517"/>
      <c r="D1818" s="1517"/>
      <c r="E1818" s="1516"/>
      <c r="F1818" s="1511"/>
      <c r="G1818" s="1509" t="str">
        <f t="shared" ca="1" si="132"/>
        <v/>
      </c>
      <c r="H1818" s="1530" t="s">
        <v>3199</v>
      </c>
      <c r="I1818" s="589"/>
      <c r="J1818" s="873"/>
      <c r="K1818" s="873"/>
      <c r="L1818" s="1687"/>
      <c r="M1818" s="911"/>
      <c r="N1818" s="1619"/>
      <c r="O1818" s="1619"/>
      <c r="U1818" s="991"/>
      <c r="X1818" s="1600"/>
      <c r="Y1818" s="1874"/>
      <c r="Z1818" s="1600"/>
      <c r="AL1818" s="1352"/>
      <c r="AM1818" s="1352"/>
      <c r="AN1818" s="1352"/>
      <c r="AO1818" s="1352"/>
      <c r="AP1818" s="1352"/>
      <c r="AQ1818" s="1352"/>
      <c r="AR1818" s="1352"/>
      <c r="AS1818" s="1352"/>
    </row>
    <row r="1819" spans="1:45" s="905" customFormat="1" hidden="1" x14ac:dyDescent="0.2">
      <c r="A1819" s="1507">
        <v>8</v>
      </c>
      <c r="B1819" s="1516" t="s">
        <v>4655</v>
      </c>
      <c r="C1819" s="1517"/>
      <c r="D1819" s="1517"/>
      <c r="E1819" s="1516"/>
      <c r="F1819" s="1511"/>
      <c r="G1819" s="1509" t="str">
        <f t="shared" ca="1" si="132"/>
        <v/>
      </c>
      <c r="H1819" s="1530" t="s">
        <v>3199</v>
      </c>
      <c r="I1819" s="589"/>
      <c r="J1819" s="873"/>
      <c r="K1819" s="873"/>
      <c r="L1819" s="1687"/>
      <c r="M1819" s="911"/>
      <c r="N1819" s="935"/>
      <c r="O1819" s="935"/>
      <c r="U1819" s="991"/>
      <c r="X1819" s="1600"/>
      <c r="Y1819" s="1874"/>
      <c r="Z1819" s="1600"/>
      <c r="AL1819" s="1352"/>
      <c r="AM1819" s="1352"/>
      <c r="AN1819" s="1352"/>
      <c r="AO1819" s="1352"/>
      <c r="AP1819" s="1352"/>
      <c r="AQ1819" s="1352"/>
      <c r="AR1819" s="1352"/>
      <c r="AS1819" s="1352"/>
    </row>
    <row r="1820" spans="1:45" s="905" customFormat="1" hidden="1" x14ac:dyDescent="0.2">
      <c r="A1820" s="1507">
        <v>8</v>
      </c>
      <c r="B1820" s="1516" t="s">
        <v>4655</v>
      </c>
      <c r="C1820" s="1517" t="s">
        <v>254</v>
      </c>
      <c r="D1820" s="1517"/>
      <c r="E1820" s="1516"/>
      <c r="F1820" s="1511"/>
      <c r="G1820" s="1509" t="str">
        <f t="shared" ca="1" si="132"/>
        <v/>
      </c>
      <c r="H1820" s="1530" t="s">
        <v>3199</v>
      </c>
      <c r="I1820" s="589"/>
      <c r="J1820" s="1072" t="s">
        <v>254</v>
      </c>
      <c r="K1820" s="1072"/>
      <c r="L1820" s="923" t="s">
        <v>4617</v>
      </c>
      <c r="M1820" s="937">
        <v>5</v>
      </c>
      <c r="N1820" s="935"/>
      <c r="O1820" s="935"/>
      <c r="U1820" s="991"/>
      <c r="X1820" s="1600"/>
      <c r="Y1820" s="1874"/>
      <c r="Z1820" s="1600"/>
      <c r="AL1820" s="1352" t="str">
        <f>SUBSTITUTE(SUBSTITUTE(SUBSTITUTE("vpa"&amp;$B1820&amp;$C1820&amp;$D1820&amp;$E1820&amp;$F1820,".","_"),"(","_"),")","")</f>
        <v>vpa802_9_1_1</v>
      </c>
      <c r="AM1820" s="1352">
        <f>M1820</f>
        <v>5</v>
      </c>
      <c r="AN1820" s="1352"/>
      <c r="AO1820" s="1352"/>
      <c r="AP1820" s="1352"/>
      <c r="AQ1820" s="1352"/>
      <c r="AR1820" s="1352"/>
      <c r="AS1820" s="1352"/>
    </row>
    <row r="1821" spans="1:45" s="905" customFormat="1" hidden="1" x14ac:dyDescent="0.2">
      <c r="A1821" s="1507">
        <v>8</v>
      </c>
      <c r="B1821" s="1516" t="s">
        <v>4655</v>
      </c>
      <c r="C1821" s="1517" t="s">
        <v>255</v>
      </c>
      <c r="D1821" s="1517"/>
      <c r="E1821" s="1516"/>
      <c r="F1821" s="1511"/>
      <c r="G1821" s="1509" t="str">
        <f t="shared" ca="1" si="132"/>
        <v/>
      </c>
      <c r="H1821" s="1530" t="s">
        <v>3199</v>
      </c>
      <c r="I1821" s="606"/>
      <c r="J1821" s="1072" t="s">
        <v>255</v>
      </c>
      <c r="K1821" s="1072"/>
      <c r="L1821" s="923" t="s">
        <v>4618</v>
      </c>
      <c r="M1821" s="937">
        <v>2</v>
      </c>
      <c r="N1821" s="909"/>
      <c r="O1821" s="909"/>
      <c r="U1821" s="991"/>
      <c r="X1821" s="1600"/>
      <c r="Y1821" s="1874"/>
      <c r="Z1821" s="1600"/>
      <c r="AL1821" s="1352" t="str">
        <f>SUBSTITUTE(SUBSTITUTE(SUBSTITUTE("vpa"&amp;$B1821&amp;$C1821&amp;$D1821&amp;$E1821&amp;$F1821,".","_"),"(","_"),")","")</f>
        <v>vpa802_9_1_2</v>
      </c>
      <c r="AM1821" s="1352">
        <f>M1821</f>
        <v>2</v>
      </c>
      <c r="AN1821" s="1352"/>
      <c r="AO1821" s="1352"/>
      <c r="AP1821" s="1352"/>
      <c r="AQ1821" s="1352"/>
      <c r="AR1821" s="1352"/>
      <c r="AS1821" s="1352"/>
    </row>
    <row r="1822" spans="1:45" s="905" customFormat="1" hidden="1" x14ac:dyDescent="0.2">
      <c r="A1822" s="1507">
        <v>8</v>
      </c>
      <c r="B1822" s="1516" t="s">
        <v>4656</v>
      </c>
      <c r="C1822" s="1517"/>
      <c r="D1822" s="1517"/>
      <c r="E1822" s="1516"/>
      <c r="F1822" s="1511"/>
      <c r="G1822" s="1509" t="str">
        <f ca="1">IF(N1822&gt;0,"P","")</f>
        <v/>
      </c>
      <c r="H1822" s="1530" t="s">
        <v>3199</v>
      </c>
      <c r="I1822" s="589" t="s">
        <v>4619</v>
      </c>
      <c r="J1822" s="873"/>
      <c r="K1822" s="873"/>
      <c r="L1822" s="1687" t="s">
        <v>4620</v>
      </c>
      <c r="M1822" s="913"/>
      <c r="N1822" s="1637">
        <f ca="1">'11.800'!O236</f>
        <v>0</v>
      </c>
      <c r="O1822" s="1619">
        <f ca="1">IFERROR(INDEX({5,2},MATCH(W1822,INDIRECT(U1822),0)),0)*S1822</f>
        <v>0</v>
      </c>
      <c r="P1822" s="991" t="b">
        <v>0</v>
      </c>
      <c r="Q1822" s="991" t="b">
        <v>1</v>
      </c>
      <c r="R1822" s="991" t="b">
        <v>0</v>
      </c>
      <c r="S1822" s="991" t="b">
        <f ca="1">S1600=1</f>
        <v>1</v>
      </c>
      <c r="T1822" s="991" t="b">
        <f ca="1">IF(AND(NOT(S1822),LEN(W1822)&gt;0),TRUE,FALSE)</f>
        <v>0</v>
      </c>
      <c r="U1822" s="991" t="str">
        <f>SUBSTITUTE(SUBSTITUTE(SUBSTITUTE("dd"&amp;B1822&amp;C1822&amp;D1822&amp;E1822&amp;F1822,".","_"),"(","_"),")","")</f>
        <v>dd802_9_2</v>
      </c>
      <c r="W1822" s="110"/>
      <c r="X1822" s="1601"/>
      <c r="Y1822" s="1881" t="str">
        <f>IF(LEN('11.800'!X236)=0,"None",'11.800'!X236)</f>
        <v>None</v>
      </c>
      <c r="Z1822" s="1600"/>
      <c r="AC1822" s="1150" t="b">
        <f ca="1">OR(AD1822:AE1822)</f>
        <v>0</v>
      </c>
      <c r="AD1822" s="1150" t="b">
        <f ca="1">T1822</f>
        <v>0</v>
      </c>
      <c r="AL1822" s="1352"/>
      <c r="AM1822" s="1352"/>
      <c r="AN1822" s="1352" t="str">
        <f>SUBSTITUTE(SUBSTITUTE(SUBSTITUTE("vpc"&amp;$B1822&amp;$C1822&amp;$D1822&amp;$E1822&amp;$F1822,".","_"),"(","_"),")","")</f>
        <v>vpc802_9_2</v>
      </c>
      <c r="AO1822" s="1352">
        <f ca="1">O1822</f>
        <v>0</v>
      </c>
      <c r="AP1822" s="1352" t="str">
        <f>SUBSTITUTE(SUBSTITUTE(SUBSTITUTE("vch"&amp;$B1822&amp;$C1822&amp;$D1822&amp;$E1822&amp;$F1822,".","_"),"(","_"),")","")</f>
        <v>vch802_9_2</v>
      </c>
      <c r="AQ1822" s="1352" t="str">
        <f>IF(LEN(W1822)=0,"",W1822)</f>
        <v/>
      </c>
      <c r="AR1822" s="1352" t="str">
        <f>SUBSTITUTE(SUBSTITUTE(SUBSTITUTE("vnt"&amp;$B1822&amp;$C1822&amp;$D1822&amp;$E1822&amp;$F1822,".","_"),"(","_"),")","")</f>
        <v>vnt802_9_2</v>
      </c>
      <c r="AS1822" s="1352" t="str">
        <f>IF(LEN(X1822)=0,"",X1822)</f>
        <v/>
      </c>
    </row>
    <row r="1823" spans="1:45" s="905" customFormat="1" hidden="1" x14ac:dyDescent="0.2">
      <c r="A1823" s="1507">
        <v>8</v>
      </c>
      <c r="B1823" s="1516" t="s">
        <v>4656</v>
      </c>
      <c r="C1823" s="1517"/>
      <c r="D1823" s="1517"/>
      <c r="E1823" s="1516"/>
      <c r="F1823" s="1511"/>
      <c r="G1823" s="1509" t="str">
        <f ca="1">G1822</f>
        <v/>
      </c>
      <c r="H1823" s="1530" t="s">
        <v>3199</v>
      </c>
      <c r="I1823" s="589"/>
      <c r="J1823" s="873"/>
      <c r="K1823" s="873"/>
      <c r="L1823" s="1687"/>
      <c r="M1823" s="913"/>
      <c r="N1823" s="1619"/>
      <c r="O1823" s="1619"/>
      <c r="P1823" s="991"/>
      <c r="Q1823" s="991"/>
      <c r="R1823" s="991"/>
      <c r="S1823" s="991"/>
      <c r="T1823" s="991"/>
      <c r="U1823" s="991"/>
      <c r="W1823" s="1135"/>
      <c r="X1823" s="1601"/>
      <c r="Y1823" s="1881"/>
      <c r="Z1823" s="1600"/>
      <c r="AC1823" s="1150"/>
      <c r="AD1823" s="1150"/>
      <c r="AL1823" s="1352"/>
      <c r="AM1823" s="1352"/>
      <c r="AN1823" s="1352"/>
      <c r="AO1823" s="1352"/>
      <c r="AP1823" s="1352"/>
      <c r="AQ1823" s="1352"/>
      <c r="AR1823" s="1352"/>
      <c r="AS1823" s="1352"/>
    </row>
    <row r="1824" spans="1:45" s="905" customFormat="1" hidden="1" x14ac:dyDescent="0.2">
      <c r="A1824" s="1507">
        <v>8</v>
      </c>
      <c r="B1824" s="1516" t="s">
        <v>4656</v>
      </c>
      <c r="C1824" s="1517"/>
      <c r="D1824" s="1517"/>
      <c r="E1824" s="1516"/>
      <c r="F1824" s="1511"/>
      <c r="G1824" s="1509" t="str">
        <f ca="1">G1823</f>
        <v/>
      </c>
      <c r="H1824" s="1530" t="s">
        <v>3199</v>
      </c>
      <c r="I1824" s="589"/>
      <c r="J1824" s="873"/>
      <c r="K1824" s="873"/>
      <c r="L1824" s="1687"/>
      <c r="M1824" s="913"/>
      <c r="N1824" s="1619"/>
      <c r="O1824" s="1619"/>
      <c r="P1824" s="991"/>
      <c r="Q1824" s="991"/>
      <c r="R1824" s="991"/>
      <c r="S1824" s="991"/>
      <c r="T1824" s="991"/>
      <c r="U1824" s="991"/>
      <c r="W1824" s="1135"/>
      <c r="X1824" s="1601"/>
      <c r="Y1824" s="1881"/>
      <c r="Z1824" s="1600"/>
      <c r="AC1824" s="1150"/>
      <c r="AD1824" s="1150"/>
      <c r="AL1824" s="1352"/>
      <c r="AM1824" s="1352"/>
      <c r="AN1824" s="1352"/>
      <c r="AO1824" s="1352"/>
      <c r="AP1824" s="1352"/>
      <c r="AQ1824" s="1352"/>
      <c r="AR1824" s="1352"/>
      <c r="AS1824" s="1352"/>
    </row>
    <row r="1825" spans="1:45" s="905" customFormat="1" hidden="1" x14ac:dyDescent="0.2">
      <c r="A1825" s="1507">
        <v>8</v>
      </c>
      <c r="B1825" s="1516" t="s">
        <v>4656</v>
      </c>
      <c r="C1825" s="1517" t="s">
        <v>254</v>
      </c>
      <c r="D1825" s="1517"/>
      <c r="E1825" s="1516"/>
      <c r="F1825" s="1511"/>
      <c r="G1825" s="1509" t="str">
        <f ca="1">G1824</f>
        <v/>
      </c>
      <c r="H1825" s="1530" t="s">
        <v>3199</v>
      </c>
      <c r="I1825" s="589"/>
      <c r="J1825" s="1072" t="s">
        <v>254</v>
      </c>
      <c r="K1825" s="1072"/>
      <c r="L1825" s="923" t="s">
        <v>4621</v>
      </c>
      <c r="M1825" s="937">
        <v>3</v>
      </c>
      <c r="N1825" s="908"/>
      <c r="O1825" s="908"/>
      <c r="P1825" s="991"/>
      <c r="Q1825" s="991"/>
      <c r="R1825" s="991"/>
      <c r="S1825" s="991"/>
      <c r="T1825" s="991"/>
      <c r="U1825" s="991"/>
      <c r="W1825" s="1135"/>
      <c r="X1825" s="1601"/>
      <c r="Y1825" s="1881"/>
      <c r="Z1825" s="1600"/>
      <c r="AC1825" s="1150"/>
      <c r="AD1825" s="1150"/>
      <c r="AL1825" s="1352" t="str">
        <f>SUBSTITUTE(SUBSTITUTE(SUBSTITUTE("vpa"&amp;$B1825&amp;$C1825&amp;$D1825&amp;$E1825&amp;$F1825,".","_"),"(","_"),")","")</f>
        <v>vpa802_9_2_1</v>
      </c>
      <c r="AM1825" s="1352">
        <f>M1825</f>
        <v>3</v>
      </c>
      <c r="AN1825" s="1352"/>
      <c r="AO1825" s="1352"/>
      <c r="AP1825" s="1352"/>
      <c r="AQ1825" s="1352"/>
      <c r="AR1825" s="1352"/>
      <c r="AS1825" s="1352"/>
    </row>
    <row r="1826" spans="1:45" s="905" customFormat="1" ht="16" hidden="1" thickBot="1" x14ac:dyDescent="0.25">
      <c r="A1826" s="1507">
        <v>8</v>
      </c>
      <c r="B1826" s="1516" t="s">
        <v>4656</v>
      </c>
      <c r="C1826" s="1517" t="s">
        <v>255</v>
      </c>
      <c r="D1826" s="1517"/>
      <c r="E1826" s="1516"/>
      <c r="F1826" s="1511"/>
      <c r="G1826" s="1509" t="str">
        <f ca="1">G1825</f>
        <v/>
      </c>
      <c r="H1826" s="1530" t="s">
        <v>3199</v>
      </c>
      <c r="I1826" s="594"/>
      <c r="J1826" s="1069" t="s">
        <v>255</v>
      </c>
      <c r="K1826" s="1069"/>
      <c r="L1826" s="920" t="s">
        <v>4622</v>
      </c>
      <c r="M1826" s="914">
        <v>1</v>
      </c>
      <c r="N1826" s="922"/>
      <c r="O1826" s="922"/>
      <c r="P1826" s="100"/>
      <c r="Q1826" s="100"/>
      <c r="R1826" s="100"/>
      <c r="S1826" s="100"/>
      <c r="T1826" s="100"/>
      <c r="U1826" s="100"/>
      <c r="W1826" s="100"/>
      <c r="X1826" s="1602"/>
      <c r="Y1826" s="1882"/>
      <c r="Z1826" s="1602"/>
      <c r="AC1826" s="1150"/>
      <c r="AD1826" s="1150"/>
      <c r="AL1826" s="1352" t="str">
        <f>SUBSTITUTE(SUBSTITUTE(SUBSTITUTE("vpa"&amp;$B1826&amp;$C1826&amp;$D1826&amp;$E1826&amp;$F1826,".","_"),"(","_"),")","")</f>
        <v>vpa802_9_2_2</v>
      </c>
      <c r="AM1826" s="1352">
        <f>M1826</f>
        <v>1</v>
      </c>
      <c r="AN1826" s="1352"/>
      <c r="AO1826" s="1352"/>
      <c r="AP1826" s="1352"/>
      <c r="AQ1826" s="1352"/>
      <c r="AR1826" s="1352"/>
      <c r="AS1826" s="1352"/>
    </row>
    <row r="1827" spans="1:45" s="905" customFormat="1" ht="16" hidden="1" thickTop="1" x14ac:dyDescent="0.2">
      <c r="A1827" s="1507">
        <v>8</v>
      </c>
      <c r="B1827" s="1516" t="s">
        <v>5291</v>
      </c>
      <c r="C1827" s="1517"/>
      <c r="D1827" s="1517"/>
      <c r="E1827" s="1516"/>
      <c r="F1827" s="1511"/>
      <c r="G1827" s="1513" t="str">
        <f ca="1">IF(COUNTIF(G1831,"P")&gt;0,"P","")</f>
        <v/>
      </c>
      <c r="H1827" s="1530" t="s">
        <v>3199</v>
      </c>
      <c r="I1827" s="1076" t="s">
        <v>4623</v>
      </c>
      <c r="J1827" s="1077"/>
      <c r="K1827" s="1077"/>
      <c r="L1827" s="1078" t="s">
        <v>4624</v>
      </c>
      <c r="M1827" s="1079"/>
      <c r="N1827" s="1081"/>
      <c r="O1827" s="1081"/>
      <c r="P1827" s="284"/>
      <c r="Q1827" s="284"/>
      <c r="R1827" s="284"/>
      <c r="S1827" s="284"/>
      <c r="T1827" s="284"/>
      <c r="U1827" s="284"/>
      <c r="Y1827" s="1198"/>
      <c r="AC1827" s="1150"/>
      <c r="AD1827" s="1150"/>
      <c r="AL1827" s="1352"/>
      <c r="AM1827" s="1352"/>
      <c r="AN1827" s="1352"/>
      <c r="AO1827" s="1352"/>
      <c r="AP1827" s="1352"/>
      <c r="AQ1827" s="1352"/>
      <c r="AR1827" s="1352"/>
      <c r="AS1827" s="1352"/>
    </row>
    <row r="1828" spans="1:45" s="905" customFormat="1" hidden="1" x14ac:dyDescent="0.2">
      <c r="A1828" s="1507">
        <v>8</v>
      </c>
      <c r="B1828" s="1516" t="s">
        <v>4657</v>
      </c>
      <c r="C1828" s="1517"/>
      <c r="D1828" s="1517"/>
      <c r="E1828" s="1516"/>
      <c r="F1828" s="1511"/>
      <c r="G1828" s="1509" t="str">
        <f ca="1">G1827</f>
        <v/>
      </c>
      <c r="H1828" s="1530" t="s">
        <v>3199</v>
      </c>
      <c r="I1828" s="589" t="s">
        <v>4625</v>
      </c>
      <c r="J1828" s="873"/>
      <c r="K1828" s="873"/>
      <c r="L1828" s="1687" t="s">
        <v>4626</v>
      </c>
      <c r="M1828" s="1714" t="str">
        <f ca="1">IF(R1828,"Mandatory","N/A")</f>
        <v>Mandatory</v>
      </c>
      <c r="N1828" s="4"/>
      <c r="O1828" s="1500"/>
      <c r="P1828" s="1498" t="b">
        <v>0</v>
      </c>
      <c r="Q1828" s="1498" t="b">
        <v>1</v>
      </c>
      <c r="R1828" s="1498" t="b">
        <f ca="1">S1828</f>
        <v>1</v>
      </c>
      <c r="S1828" s="1498" t="b">
        <f ca="1">S1600=1</f>
        <v>1</v>
      </c>
      <c r="T1828" s="1498" t="b">
        <f ca="1">IF(AND(NOT(S1828),LEN(W1828)&gt;0),TRUE,FALSE)</f>
        <v>0</v>
      </c>
      <c r="U1828" s="1498" t="str">
        <f>SUBSTITUTE(SUBSTITUTE(SUBSTITUTE("dd"&amp;B1828&amp;C1828&amp;D1828&amp;E1828&amp;F1828,".","_"),"(","_"),")","")</f>
        <v>dd802_10_1</v>
      </c>
      <c r="W1828" s="12"/>
      <c r="X1828" s="1600"/>
      <c r="Y1828" s="1874" t="str">
        <f>IF(LEN('11.800'!X242)=0,"None",'11.800'!X242)</f>
        <v>None</v>
      </c>
      <c r="Z1828" s="1600"/>
      <c r="AC1828" s="1498" t="b">
        <f ca="1">OR(AD1828:AE1828)</f>
        <v>0</v>
      </c>
      <c r="AD1828" s="1498" t="b">
        <f ca="1">T1828</f>
        <v>0</v>
      </c>
      <c r="AL1828" s="1498" t="str">
        <f>SUBSTITUTE(SUBSTITUTE(SUBSTITUTE("vpa"&amp;$B1828&amp;$C1828&amp;$D1828&amp;$E1828&amp;$F1828,".","_"),"(","_"),")","")</f>
        <v>vpa802_10_1</v>
      </c>
      <c r="AM1828" s="1498" t="str">
        <f ca="1">M1828</f>
        <v>Mandatory</v>
      </c>
      <c r="AN1828" s="1352"/>
      <c r="AO1828" s="1352"/>
      <c r="AP1828" s="1498" t="str">
        <f>SUBSTITUTE(SUBSTITUTE(SUBSTITUTE("vch"&amp;$B1828&amp;$C1828&amp;$D1828&amp;$E1828&amp;$F1828,".","_"),"(","_"),")","")</f>
        <v>vch802_10_1</v>
      </c>
      <c r="AQ1828" s="1498" t="str">
        <f>IF(LEN(W1828)=0,"",W1828)</f>
        <v/>
      </c>
      <c r="AR1828" s="1498" t="str">
        <f>SUBSTITUTE(SUBSTITUTE(SUBSTITUTE("vnt"&amp;$B1828&amp;$C1828&amp;$D1828&amp;$E1828&amp;$F1828,".","_"),"(","_"),")","")</f>
        <v>vnt802_10_1</v>
      </c>
      <c r="AS1828" s="1498" t="str">
        <f>IF(LEN(X1828)=0,"",X1828)</f>
        <v/>
      </c>
    </row>
    <row r="1829" spans="1:45" s="905" customFormat="1" hidden="1" x14ac:dyDescent="0.2">
      <c r="A1829" s="1507">
        <v>8</v>
      </c>
      <c r="B1829" s="1516" t="s">
        <v>4657</v>
      </c>
      <c r="C1829" s="1517"/>
      <c r="D1829" s="1517"/>
      <c r="E1829" s="1516"/>
      <c r="F1829" s="1511"/>
      <c r="G1829" s="1509" t="str">
        <f ca="1">G1828</f>
        <v/>
      </c>
      <c r="H1829" s="1530" t="s">
        <v>3199</v>
      </c>
      <c r="I1829" s="589"/>
      <c r="J1829" s="873"/>
      <c r="K1829" s="873"/>
      <c r="L1829" s="1687"/>
      <c r="M1829" s="1714"/>
      <c r="N1829" s="4"/>
      <c r="O1829" s="1500"/>
      <c r="P1829" s="1498"/>
      <c r="Q1829" s="1498"/>
      <c r="R1829" s="1498"/>
      <c r="S1829" s="1498"/>
      <c r="T1829" s="1498"/>
      <c r="U1829" s="1498"/>
      <c r="X1829" s="1600"/>
      <c r="Y1829" s="1874"/>
      <c r="Z1829" s="1600"/>
      <c r="AC1829" s="1150"/>
      <c r="AD1829" s="1150"/>
      <c r="AL1829" s="1352"/>
      <c r="AM1829" s="1352"/>
      <c r="AN1829" s="1352"/>
      <c r="AO1829" s="1352"/>
      <c r="AP1829" s="1352"/>
      <c r="AQ1829" s="1352"/>
      <c r="AR1829" s="1352"/>
      <c r="AS1829" s="1352"/>
    </row>
    <row r="1830" spans="1:45" s="905" customFormat="1" hidden="1" x14ac:dyDescent="0.2">
      <c r="A1830" s="1507">
        <v>8</v>
      </c>
      <c r="B1830" s="1516" t="s">
        <v>4657</v>
      </c>
      <c r="C1830" s="1517"/>
      <c r="D1830" s="1517"/>
      <c r="E1830" s="1516"/>
      <c r="F1830" s="1511"/>
      <c r="G1830" s="1509" t="str">
        <f ca="1">G1829</f>
        <v/>
      </c>
      <c r="H1830" s="1530" t="s">
        <v>3199</v>
      </c>
      <c r="I1830" s="589"/>
      <c r="J1830" s="873"/>
      <c r="K1830" s="873"/>
      <c r="L1830" s="1687"/>
      <c r="M1830" s="1714"/>
      <c r="N1830" s="4"/>
      <c r="O1830" s="1500"/>
      <c r="P1830" s="1498"/>
      <c r="Q1830" s="1498"/>
      <c r="R1830" s="1498"/>
      <c r="S1830" s="1498"/>
      <c r="T1830" s="1498"/>
      <c r="U1830" s="1498"/>
      <c r="X1830" s="1600"/>
      <c r="Y1830" s="1874"/>
      <c r="Z1830" s="1600"/>
      <c r="AC1830" s="1150"/>
      <c r="AD1830" s="1150"/>
      <c r="AL1830" s="1352"/>
      <c r="AM1830" s="1352"/>
      <c r="AN1830" s="1352"/>
      <c r="AO1830" s="1352"/>
      <c r="AP1830" s="1352"/>
      <c r="AQ1830" s="1352"/>
      <c r="AR1830" s="1352"/>
      <c r="AS1830" s="1352"/>
    </row>
    <row r="1831" spans="1:45" s="905" customFormat="1" ht="16" hidden="1" x14ac:dyDescent="0.2">
      <c r="A1831" s="1507">
        <v>8</v>
      </c>
      <c r="B1831" s="1516" t="s">
        <v>4657</v>
      </c>
      <c r="C1831" s="1517" t="s">
        <v>254</v>
      </c>
      <c r="D1831" s="1517"/>
      <c r="E1831" s="1516"/>
      <c r="F1831" s="1511"/>
      <c r="G1831" s="1509" t="str">
        <f ca="1">IF(N1831&gt;0,"P","")</f>
        <v/>
      </c>
      <c r="H1831" s="1530" t="s">
        <v>3199</v>
      </c>
      <c r="I1831" s="589"/>
      <c r="J1831" s="873" t="s">
        <v>254</v>
      </c>
      <c r="K1831" s="873"/>
      <c r="L1831" s="917" t="s">
        <v>4627</v>
      </c>
      <c r="M1831" s="911">
        <v>10</v>
      </c>
      <c r="N1831" s="935">
        <f ca="1">'11.800'!O245</f>
        <v>0</v>
      </c>
      <c r="O1831" s="935">
        <f ca="1">M1831*W1831*S1831</f>
        <v>0</v>
      </c>
      <c r="P1831" s="991" t="b">
        <v>0</v>
      </c>
      <c r="Q1831" s="905" t="b">
        <v>1</v>
      </c>
      <c r="R1831" s="905" t="b">
        <v>0</v>
      </c>
      <c r="S1831" s="905" t="b">
        <f ca="1">S1600=1</f>
        <v>1</v>
      </c>
      <c r="T1831" s="991" t="b">
        <f ca="1">IF(AND(NOT(S1831),W1831=TRUE),TRUE,FALSE)</f>
        <v>0</v>
      </c>
      <c r="W1831" s="27"/>
      <c r="X1831" s="1123"/>
      <c r="Y1831" s="1210" t="str">
        <f>IF(LEN('11.800'!X245)=0,"None",'11.800'!X245)</f>
        <v>None</v>
      </c>
      <c r="Z1831" s="1123"/>
      <c r="AC1831" s="1150" t="b">
        <f ca="1">OR(AD1831:AE1831)</f>
        <v>0</v>
      </c>
      <c r="AD1831" s="1150" t="b">
        <f ca="1">T1831</f>
        <v>0</v>
      </c>
      <c r="AL1831" s="1352" t="str">
        <f>SUBSTITUTE(SUBSTITUTE(SUBSTITUTE("vpa"&amp;$B1831&amp;$C1831&amp;$D1831&amp;$E1831&amp;$F1831,".","_"),"(","_"),")","")</f>
        <v>vpa802_10_1_1</v>
      </c>
      <c r="AM1831" s="1352">
        <f>M1831</f>
        <v>10</v>
      </c>
      <c r="AN1831" s="1352" t="str">
        <f>SUBSTITUTE(SUBSTITUTE(SUBSTITUTE("vpc"&amp;$B1831&amp;$C1831&amp;$D1831&amp;$E1831&amp;$F1831,".","_"),"(","_"),")","")</f>
        <v>vpc802_10_1_1</v>
      </c>
      <c r="AO1831" s="1352">
        <f ca="1">O1831</f>
        <v>0</v>
      </c>
      <c r="AP1831" s="1352" t="str">
        <f>SUBSTITUTE(SUBSTITUTE(SUBSTITUTE("vch"&amp;$B1831&amp;$C1831&amp;$D1831&amp;$E1831&amp;$F1831,".","_"),"(","_"),")","")</f>
        <v>vch802_10_1_1</v>
      </c>
      <c r="AQ1831" s="1352" t="str">
        <f>IF(LEN(W1831)=0,"",W1831)</f>
        <v/>
      </c>
      <c r="AR1831" s="1352" t="str">
        <f>SUBSTITUTE(SUBSTITUTE(SUBSTITUTE("vnt"&amp;$B1831&amp;$C1831&amp;$D1831&amp;$E1831&amp;$F1831,".","_"),"(","_"),")","")</f>
        <v>vnt802_10_1_1</v>
      </c>
      <c r="AS1831" s="1352" t="str">
        <f>IF(LEN(X1831)=0,"",X1831)</f>
        <v/>
      </c>
    </row>
    <row r="1832" spans="1:45" s="905" customFormat="1" ht="19" x14ac:dyDescent="0.25">
      <c r="A1832" s="1507">
        <v>8</v>
      </c>
      <c r="B1832" s="1516">
        <v>803</v>
      </c>
      <c r="C1832" s="1517"/>
      <c r="D1832" s="1517"/>
      <c r="E1832" s="1516"/>
      <c r="F1832" s="1511"/>
      <c r="G1832" s="1509" t="s">
        <v>3200</v>
      </c>
      <c r="H1832" s="1530" t="s">
        <v>3197</v>
      </c>
      <c r="I1832" s="1004" t="s">
        <v>4628</v>
      </c>
      <c r="J1832" s="1003"/>
      <c r="K1832" s="1003"/>
      <c r="L1832" s="1004"/>
      <c r="M1832" s="71"/>
      <c r="N1832" s="71"/>
      <c r="O1832" s="71"/>
      <c r="P1832" s="25"/>
      <c r="Q1832" s="25"/>
      <c r="R1832" s="25"/>
      <c r="S1832" s="25"/>
      <c r="T1832" s="25"/>
      <c r="U1832" s="25"/>
      <c r="V1832" s="25"/>
      <c r="W1832" s="25"/>
      <c r="X1832" s="25"/>
      <c r="Y1832" s="25"/>
      <c r="Z1832" s="25"/>
      <c r="AC1832" s="1150"/>
      <c r="AD1832" s="1150"/>
      <c r="AL1832" s="1352"/>
      <c r="AM1832" s="1352"/>
      <c r="AN1832" s="1352"/>
      <c r="AO1832" s="1352"/>
      <c r="AP1832" s="1352"/>
      <c r="AQ1832" s="1352"/>
      <c r="AR1832" s="1352"/>
      <c r="AS1832" s="1352"/>
    </row>
    <row r="1833" spans="1:45" s="905" customFormat="1" hidden="1" x14ac:dyDescent="0.2">
      <c r="A1833" s="1507">
        <v>8</v>
      </c>
      <c r="B1833" s="1516">
        <v>803.1</v>
      </c>
      <c r="C1833" s="1517"/>
      <c r="D1833" s="1517"/>
      <c r="E1833" s="1516"/>
      <c r="F1833" s="1511"/>
      <c r="G1833" s="1509" t="str">
        <f ca="1">IF(N1833&gt;0,"P","")</f>
        <v/>
      </c>
      <c r="H1833" s="1530" t="s">
        <v>3197</v>
      </c>
      <c r="I1833" s="589" t="s">
        <v>4629</v>
      </c>
      <c r="J1833" s="873"/>
      <c r="K1833" s="873"/>
      <c r="L1833" s="1687" t="s">
        <v>4859</v>
      </c>
      <c r="M1833" s="911"/>
      <c r="N1833" s="1669">
        <f ca="1">'11.800'!O247</f>
        <v>0</v>
      </c>
      <c r="O1833" s="1669">
        <f ca="1">MAX(IFERROR(5*MATCH(W1837,INDIRECT(U1837),0),0)*S1837,M1839*S1839*W1839)*S1837</f>
        <v>0</v>
      </c>
      <c r="Y1833" s="1198"/>
      <c r="AC1833" s="1150"/>
      <c r="AD1833" s="1150"/>
      <c r="AL1833" s="1352"/>
      <c r="AM1833" s="1352"/>
      <c r="AN1833" s="1352" t="str">
        <f>SUBSTITUTE(SUBSTITUTE(SUBSTITUTE("vpc"&amp;$B1833&amp;$C1833&amp;$D1833&amp;$E1833&amp;$F1833,".","_"),"(","_"),")","")</f>
        <v>vpc803_1</v>
      </c>
      <c r="AO1833" s="1352">
        <f ca="1">O1833</f>
        <v>0</v>
      </c>
      <c r="AP1833" s="1352"/>
      <c r="AQ1833" s="1352"/>
      <c r="AR1833" s="1352"/>
      <c r="AS1833" s="1352"/>
    </row>
    <row r="1834" spans="1:45" s="905" customFormat="1" hidden="1" x14ac:dyDescent="0.2">
      <c r="A1834" s="1507">
        <v>8</v>
      </c>
      <c r="B1834" s="1516">
        <v>803.1</v>
      </c>
      <c r="C1834" s="1517"/>
      <c r="D1834" s="1517"/>
      <c r="E1834" s="1516"/>
      <c r="F1834" s="1511"/>
      <c r="G1834" s="1509" t="str">
        <f t="shared" ref="G1834:G1839" ca="1" si="133">G1833</f>
        <v/>
      </c>
      <c r="H1834" s="1530" t="s">
        <v>3197</v>
      </c>
      <c r="I1834" s="589"/>
      <c r="J1834" s="873"/>
      <c r="K1834" s="873"/>
      <c r="L1834" s="1687"/>
      <c r="M1834" s="911"/>
      <c r="N1834" s="1669"/>
      <c r="O1834" s="1669"/>
      <c r="Y1834" s="1198"/>
      <c r="AC1834" s="1150"/>
      <c r="AD1834" s="1150"/>
      <c r="AL1834" s="1352"/>
      <c r="AM1834" s="1352"/>
      <c r="AN1834" s="1352"/>
      <c r="AO1834" s="1352"/>
      <c r="AP1834" s="1352"/>
      <c r="AQ1834" s="1352"/>
      <c r="AR1834" s="1352"/>
      <c r="AS1834" s="1352"/>
    </row>
    <row r="1835" spans="1:45" s="905" customFormat="1" hidden="1" x14ac:dyDescent="0.2">
      <c r="A1835" s="1507">
        <v>8</v>
      </c>
      <c r="B1835" s="1516">
        <v>803.1</v>
      </c>
      <c r="C1835" s="1517"/>
      <c r="D1835" s="1517"/>
      <c r="E1835" s="1516"/>
      <c r="F1835" s="1511"/>
      <c r="G1835" s="1509" t="str">
        <f t="shared" ca="1" si="133"/>
        <v/>
      </c>
      <c r="H1835" s="1530" t="s">
        <v>3197</v>
      </c>
      <c r="I1835" s="589"/>
      <c r="J1835" s="873"/>
      <c r="K1835" s="873"/>
      <c r="L1835" s="1687"/>
      <c r="M1835" s="911"/>
      <c r="N1835" s="1669"/>
      <c r="O1835" s="1669"/>
      <c r="Y1835" s="1198"/>
      <c r="AC1835" s="1150"/>
      <c r="AD1835" s="1150"/>
      <c r="AL1835" s="1352"/>
      <c r="AM1835" s="1352"/>
      <c r="AN1835" s="1352"/>
      <c r="AO1835" s="1352"/>
      <c r="AP1835" s="1352"/>
      <c r="AQ1835" s="1352"/>
      <c r="AR1835" s="1352"/>
      <c r="AS1835" s="1352"/>
    </row>
    <row r="1836" spans="1:45" s="905" customFormat="1" hidden="1" x14ac:dyDescent="0.2">
      <c r="A1836" s="1507">
        <v>8</v>
      </c>
      <c r="B1836" s="1516">
        <v>803.1</v>
      </c>
      <c r="C1836" s="1517"/>
      <c r="D1836" s="1517"/>
      <c r="E1836" s="1516"/>
      <c r="F1836" s="1511"/>
      <c r="G1836" s="1509" t="str">
        <f t="shared" ca="1" si="133"/>
        <v/>
      </c>
      <c r="H1836" s="1530" t="s">
        <v>3197</v>
      </c>
      <c r="I1836" s="589"/>
      <c r="J1836" s="873"/>
      <c r="K1836" s="873"/>
      <c r="L1836" s="1687"/>
      <c r="M1836" s="911"/>
      <c r="N1836" s="935"/>
      <c r="O1836" s="935"/>
      <c r="U1836" s="991"/>
      <c r="Y1836" s="1198"/>
      <c r="AC1836" s="1150"/>
      <c r="AD1836" s="1150"/>
      <c r="AL1836" s="1352"/>
      <c r="AM1836" s="1352"/>
      <c r="AN1836" s="1352"/>
      <c r="AO1836" s="1352"/>
      <c r="AP1836" s="1352"/>
      <c r="AQ1836" s="1352"/>
      <c r="AR1836" s="1352"/>
      <c r="AS1836" s="1352"/>
    </row>
    <row r="1837" spans="1:45" s="905" customFormat="1" hidden="1" x14ac:dyDescent="0.2">
      <c r="A1837" s="1507">
        <v>8</v>
      </c>
      <c r="B1837" s="1516">
        <v>803.1</v>
      </c>
      <c r="C1837" s="1517" t="s">
        <v>254</v>
      </c>
      <c r="D1837" s="1517"/>
      <c r="E1837" s="1516"/>
      <c r="F1837" s="1511"/>
      <c r="G1837" s="1509" t="str">
        <f t="shared" ca="1" si="133"/>
        <v/>
      </c>
      <c r="H1837" s="1530" t="s">
        <v>3197</v>
      </c>
      <c r="I1837" s="590"/>
      <c r="J1837" s="1068" t="s">
        <v>254</v>
      </c>
      <c r="K1837" s="1068"/>
      <c r="L1837" s="1634" t="s">
        <v>4630</v>
      </c>
      <c r="M1837" s="1692" t="s">
        <v>4671</v>
      </c>
      <c r="N1837" s="935"/>
      <c r="O1837" s="935"/>
      <c r="P1837" s="905" t="b">
        <v>1</v>
      </c>
      <c r="Q1837" s="905" t="b">
        <v>1</v>
      </c>
      <c r="R1837" s="905" t="b">
        <v>0</v>
      </c>
      <c r="S1837" s="905" t="b">
        <f ca="1">AND(NOT(W1853),S1600=1)</f>
        <v>1</v>
      </c>
      <c r="T1837" s="991" t="b">
        <f ca="1">IF(AND(NOT(S1837),LEN(W1837)&gt;0),TRUE,FALSE)</f>
        <v>0</v>
      </c>
      <c r="U1837" s="991" t="str">
        <f>SUBSTITUTE(SUBSTITUTE(SUBSTITUTE("dd"&amp;B1837&amp;C1837&amp;D1837&amp;E1837&amp;F1837,".","_"),"(","_"),")","")</f>
        <v>dd803_1_1</v>
      </c>
      <c r="W1837" s="12"/>
      <c r="X1837" s="1600"/>
      <c r="Y1837" s="1874" t="str">
        <f>IF(LEN('11.800'!X251)=0,"None",'11.800'!X251)</f>
        <v>None</v>
      </c>
      <c r="Z1837" s="1600"/>
      <c r="AC1837" s="1150" t="b">
        <f ca="1">OR(AD1837:AE1837)</f>
        <v>0</v>
      </c>
      <c r="AD1837" s="1150" t="b">
        <f ca="1">T1837</f>
        <v>0</v>
      </c>
      <c r="AL1837" s="1352" t="str">
        <f>SUBSTITUTE(SUBSTITUTE(SUBSTITUTE("vpa"&amp;$B1837&amp;$C1837&amp;$D1837&amp;$E1837&amp;$F1837,".","_"),"(","_"),")","")</f>
        <v>vpa803_1_1</v>
      </c>
      <c r="AM1837" s="1352" t="str">
        <f>M1837</f>
        <v>5
20 Max</v>
      </c>
      <c r="AN1837" s="1352"/>
      <c r="AO1837" s="1352"/>
      <c r="AP1837" s="1352" t="str">
        <f>SUBSTITUTE(SUBSTITUTE(SUBSTITUTE("vch"&amp;$B1837&amp;$C1837&amp;$D1837&amp;$E1837&amp;$F1837,".","_"),"(","_"),")","")</f>
        <v>vch803_1_1</v>
      </c>
      <c r="AQ1837" s="1352" t="str">
        <f>IF(LEN(W1837)=0,"",W1837)</f>
        <v/>
      </c>
      <c r="AR1837" s="1352" t="str">
        <f>SUBSTITUTE(SUBSTITUTE(SUBSTITUTE("vnt"&amp;$B1837&amp;$C1837&amp;$D1837&amp;$E1837&amp;$F1837,".","_"),"(","_"),")","")</f>
        <v>vnt803_1_1</v>
      </c>
      <c r="AS1837" s="1352" t="str">
        <f>IF(LEN(X1837)=0,"",X1837)</f>
        <v/>
      </c>
    </row>
    <row r="1838" spans="1:45" s="905" customFormat="1" hidden="1" x14ac:dyDescent="0.2">
      <c r="A1838" s="1507">
        <v>8</v>
      </c>
      <c r="B1838" s="1516">
        <v>803.1</v>
      </c>
      <c r="C1838" s="1517" t="s">
        <v>254</v>
      </c>
      <c r="D1838" s="1517"/>
      <c r="E1838" s="1516"/>
      <c r="F1838" s="1511"/>
      <c r="G1838" s="1509" t="str">
        <f t="shared" ca="1" si="133"/>
        <v/>
      </c>
      <c r="H1838" s="1530" t="s">
        <v>3197</v>
      </c>
      <c r="I1838" s="590"/>
      <c r="J1838" s="1072"/>
      <c r="K1838" s="1072"/>
      <c r="L1838" s="1639"/>
      <c r="M1838" s="1624"/>
      <c r="N1838" s="935"/>
      <c r="O1838" s="935"/>
      <c r="X1838" s="1600"/>
      <c r="Y1838" s="1874"/>
      <c r="Z1838" s="1600"/>
      <c r="AC1838" s="1150"/>
      <c r="AD1838" s="1150"/>
      <c r="AL1838" s="1352"/>
      <c r="AM1838" s="1352"/>
      <c r="AN1838" s="1352"/>
      <c r="AO1838" s="1352"/>
      <c r="AP1838" s="1352"/>
      <c r="AQ1838" s="1352"/>
      <c r="AR1838" s="1352"/>
      <c r="AS1838" s="1352"/>
    </row>
    <row r="1839" spans="1:45" s="905" customFormat="1" ht="17" hidden="1" thickBot="1" x14ac:dyDescent="0.25">
      <c r="A1839" s="1507">
        <v>8</v>
      </c>
      <c r="B1839" s="1516">
        <v>803.1</v>
      </c>
      <c r="C1839" s="1517" t="s">
        <v>255</v>
      </c>
      <c r="D1839" s="1517"/>
      <c r="E1839" s="1516"/>
      <c r="F1839" s="1511"/>
      <c r="G1839" s="1509" t="str">
        <f t="shared" ca="1" si="133"/>
        <v/>
      </c>
      <c r="H1839" s="1530" t="s">
        <v>3197</v>
      </c>
      <c r="I1839" s="594"/>
      <c r="J1839" s="1069" t="s">
        <v>255</v>
      </c>
      <c r="K1839" s="1069"/>
      <c r="L1839" s="920" t="s">
        <v>4631</v>
      </c>
      <c r="M1839" s="914">
        <v>10</v>
      </c>
      <c r="N1839" s="922"/>
      <c r="O1839" s="922"/>
      <c r="P1839" s="905" t="b">
        <v>1</v>
      </c>
      <c r="Q1839" s="905" t="b">
        <v>1</v>
      </c>
      <c r="R1839" s="100" t="b">
        <v>0</v>
      </c>
      <c r="S1839" s="100" t="b">
        <f ca="1">AND(NOT(W1853),S1600=1)</f>
        <v>1</v>
      </c>
      <c r="T1839" s="100" t="b">
        <f ca="1">IF(AND(NOT(S1839),W1839=TRUE),TRUE,FALSE)</f>
        <v>0</v>
      </c>
      <c r="U1839" s="100"/>
      <c r="W1839" s="27"/>
      <c r="X1839" s="1124"/>
      <c r="Y1839" s="1209" t="str">
        <f>IF(LEN('11.800'!X253)=0,"None",'11.800'!X253)</f>
        <v>None</v>
      </c>
      <c r="Z1839" s="1124"/>
      <c r="AC1839" s="1150" t="b">
        <f ca="1">OR(AD1839:AE1839)</f>
        <v>0</v>
      </c>
      <c r="AD1839" s="1150" t="b">
        <f ca="1">T1839</f>
        <v>0</v>
      </c>
      <c r="AL1839" s="1352" t="str">
        <f>SUBSTITUTE(SUBSTITUTE(SUBSTITUTE("vpa"&amp;$B1839&amp;$C1839&amp;$D1839&amp;$E1839&amp;$F1839,".","_"),"(","_"),")","")</f>
        <v>vpa803_1_2</v>
      </c>
      <c r="AM1839" s="1352">
        <f>M1839</f>
        <v>10</v>
      </c>
      <c r="AN1839" s="1352"/>
      <c r="AO1839" s="1352"/>
      <c r="AP1839" s="1352" t="str">
        <f>SUBSTITUTE(SUBSTITUTE(SUBSTITUTE("vch"&amp;$B1839&amp;$C1839&amp;$D1839&amp;$E1839&amp;$F1839,".","_"),"(","_"),")","")</f>
        <v>vch803_1_2</v>
      </c>
      <c r="AQ1839" s="1352" t="str">
        <f>IF(LEN(W1839)=0,"",W1839)</f>
        <v/>
      </c>
      <c r="AR1839" s="1352" t="str">
        <f>SUBSTITUTE(SUBSTITUTE(SUBSTITUTE("vnt"&amp;$B1839&amp;$C1839&amp;$D1839&amp;$E1839&amp;$F1839,".","_"),"(","_"),")","")</f>
        <v>vnt803_1_2</v>
      </c>
      <c r="AS1839" s="1352" t="str">
        <f>IF(LEN(X1839)=0,"",X1839)</f>
        <v/>
      </c>
    </row>
    <row r="1840" spans="1:45" s="905" customFormat="1" ht="16" hidden="1" thickTop="1" x14ac:dyDescent="0.2">
      <c r="A1840" s="1507">
        <v>8</v>
      </c>
      <c r="B1840" s="1516">
        <v>803.2</v>
      </c>
      <c r="C1840" s="1517"/>
      <c r="D1840" s="1517"/>
      <c r="E1840" s="1516"/>
      <c r="F1840" s="1511"/>
      <c r="G1840" s="1509" t="str">
        <f>IF(N1840&gt;0,"P","")</f>
        <v/>
      </c>
      <c r="H1840" s="1530" t="s">
        <v>3197</v>
      </c>
      <c r="I1840" s="590" t="s">
        <v>4632</v>
      </c>
      <c r="J1840" s="1068"/>
      <c r="K1840" s="1068"/>
      <c r="L1840" s="1687" t="s">
        <v>4633</v>
      </c>
      <c r="M1840" s="1691" t="s">
        <v>4672</v>
      </c>
      <c r="N1840" s="1682">
        <f>'11.800'!O254</f>
        <v>0</v>
      </c>
      <c r="O1840" s="1682">
        <f>W1841*3</f>
        <v>0</v>
      </c>
      <c r="P1840" s="106"/>
      <c r="Q1840" s="106"/>
      <c r="R1840" s="106"/>
      <c r="S1840" s="106"/>
      <c r="T1840" s="106"/>
      <c r="U1840" s="106"/>
      <c r="W1840" s="106" t="s">
        <v>4673</v>
      </c>
      <c r="X1840" s="1603"/>
      <c r="Y1840" s="1883" t="str">
        <f>IF(LEN('11.800'!X254)=0,"None",'11.800'!X254)</f>
        <v>None</v>
      </c>
      <c r="Z1840" s="1603"/>
      <c r="AC1840" s="1150"/>
      <c r="AD1840" s="1150"/>
      <c r="AL1840" s="1352" t="str">
        <f>SUBSTITUTE(SUBSTITUTE(SUBSTITUTE("vpa"&amp;$B1840&amp;$C1840&amp;$D1840&amp;$E1840&amp;$F1840,".","_"),"(","_"),")","")</f>
        <v>vpa803_2</v>
      </c>
      <c r="AM1840" s="1352" t="str">
        <f>M1840</f>
        <v>3 per roughed in system</v>
      </c>
      <c r="AN1840" s="1352" t="str">
        <f>SUBSTITUTE(SUBSTITUTE(SUBSTITUTE("vpc"&amp;$B1840&amp;$C1840&amp;$D1840&amp;$E1840&amp;$F1840,".","_"),"(","_"),")","")</f>
        <v>vpc803_2</v>
      </c>
      <c r="AO1840" s="1352">
        <f>O1840</f>
        <v>0</v>
      </c>
      <c r="AP1840" s="1352"/>
      <c r="AQ1840" s="1352"/>
      <c r="AR1840" s="1352" t="str">
        <f>SUBSTITUTE(SUBSTITUTE(SUBSTITUTE("vnt"&amp;$B1840&amp;$C1840&amp;$D1840&amp;$E1840&amp;$F1840,".","_"),"(","_"),")","")</f>
        <v>vnt803_2</v>
      </c>
      <c r="AS1840" s="1352" t="str">
        <f>IF(LEN(X1840)=0,"",X1840)</f>
        <v/>
      </c>
    </row>
    <row r="1841" spans="1:60" s="905" customFormat="1" hidden="1" x14ac:dyDescent="0.2">
      <c r="A1841" s="1507">
        <v>8</v>
      </c>
      <c r="B1841" s="1516">
        <v>803.2</v>
      </c>
      <c r="C1841" s="1517"/>
      <c r="D1841" s="1517"/>
      <c r="E1841" s="1516"/>
      <c r="F1841" s="1511"/>
      <c r="G1841" s="1509" t="str">
        <f>G1840</f>
        <v/>
      </c>
      <c r="H1841" s="1530" t="s">
        <v>3197</v>
      </c>
      <c r="I1841" s="590"/>
      <c r="J1841" s="1068"/>
      <c r="K1841" s="1068"/>
      <c r="L1841" s="1687"/>
      <c r="M1841" s="1692"/>
      <c r="N1841" s="1619"/>
      <c r="O1841" s="1619"/>
      <c r="P1841" s="905" t="b">
        <v>1</v>
      </c>
      <c r="Q1841" s="905" t="b">
        <v>1</v>
      </c>
      <c r="R1841" s="991" t="b">
        <v>0</v>
      </c>
      <c r="S1841" s="991" t="b">
        <f ca="1">S1600=1</f>
        <v>1</v>
      </c>
      <c r="T1841" s="991" t="b">
        <f ca="1">IF(AND(NOT(S1841),LEN(W1841)&gt;0),TRUE,FALSE)</f>
        <v>0</v>
      </c>
      <c r="U1841" s="991"/>
      <c r="W1841" s="1001"/>
      <c r="X1841" s="1601"/>
      <c r="Y1841" s="1881"/>
      <c r="Z1841" s="1601"/>
      <c r="AC1841" s="1150" t="b">
        <f ca="1">OR(AD1841:AE1841)</f>
        <v>0</v>
      </c>
      <c r="AD1841" s="1150" t="b">
        <f ca="1">T1841</f>
        <v>0</v>
      </c>
      <c r="AL1841" s="1352"/>
      <c r="AM1841" s="1352"/>
      <c r="AN1841" s="1352"/>
      <c r="AO1841" s="1352"/>
      <c r="AP1841" s="1352" t="str">
        <f>SUBSTITUTE(SUBSTITUTE(SUBSTITUTE("vch"&amp;$B1841&amp;$C1841&amp;$D1841&amp;$E1841&amp;$F1841,".","_"),"(","_"),")","")</f>
        <v>vch803_2</v>
      </c>
      <c r="AQ1841" s="1352" t="str">
        <f>IF(LEN(W1841)=0,"",W1841)</f>
        <v/>
      </c>
      <c r="AR1841" s="1352"/>
      <c r="AS1841" s="1352"/>
    </row>
    <row r="1842" spans="1:60" s="905" customFormat="1" ht="16" hidden="1" thickBot="1" x14ac:dyDescent="0.25">
      <c r="A1842" s="1507">
        <v>8</v>
      </c>
      <c r="B1842" s="1516">
        <v>803.2</v>
      </c>
      <c r="C1842" s="1517"/>
      <c r="D1842" s="1517"/>
      <c r="E1842" s="1516"/>
      <c r="F1842" s="1511"/>
      <c r="G1842" s="1509" t="str">
        <f>G1841</f>
        <v/>
      </c>
      <c r="H1842" s="1530" t="s">
        <v>3197</v>
      </c>
      <c r="I1842" s="594"/>
      <c r="J1842" s="1069"/>
      <c r="K1842" s="1069"/>
      <c r="L1842" s="1738"/>
      <c r="M1842" s="1763"/>
      <c r="N1842" s="1638"/>
      <c r="O1842" s="1638"/>
      <c r="P1842" s="100"/>
      <c r="Q1842" s="100"/>
      <c r="R1842" s="100"/>
      <c r="S1842" s="100"/>
      <c r="T1842" s="100"/>
      <c r="U1842" s="100"/>
      <c r="W1842" s="100"/>
      <c r="X1842" s="1602"/>
      <c r="Y1842" s="1882"/>
      <c r="Z1842" s="1602"/>
      <c r="AC1842" s="1150"/>
      <c r="AD1842" s="1150"/>
      <c r="AL1842" s="1352"/>
      <c r="AM1842" s="1352"/>
      <c r="AN1842" s="1352"/>
      <c r="AO1842" s="1352"/>
      <c r="AP1842" s="1352"/>
      <c r="AQ1842" s="1352"/>
      <c r="AR1842" s="1352"/>
      <c r="AS1842" s="1352"/>
    </row>
    <row r="1843" spans="1:60" s="905" customFormat="1" ht="16" hidden="1" thickTop="1" x14ac:dyDescent="0.2">
      <c r="A1843" s="1507">
        <v>8</v>
      </c>
      <c r="B1843" s="1516">
        <v>803.3</v>
      </c>
      <c r="C1843" s="1517"/>
      <c r="D1843" s="1517"/>
      <c r="E1843" s="1516"/>
      <c r="F1843" s="1511"/>
      <c r="G1843" s="1509" t="str">
        <f ca="1">IF(N1843&gt;0,"P","")</f>
        <v/>
      </c>
      <c r="H1843" s="1530" t="s">
        <v>3199</v>
      </c>
      <c r="I1843" s="589" t="s">
        <v>4634</v>
      </c>
      <c r="J1843" s="873"/>
      <c r="K1843" s="873"/>
      <c r="L1843" s="1687" t="s">
        <v>4635</v>
      </c>
      <c r="M1843" s="1628">
        <v>2</v>
      </c>
      <c r="N1843" s="1682">
        <f ca="1">'11.800'!O257</f>
        <v>0</v>
      </c>
      <c r="O1843" s="1669">
        <f ca="1">IF(LEN(W1843)&gt;0,M1843,0)*S1843</f>
        <v>0</v>
      </c>
      <c r="P1843" s="991" t="b">
        <v>0</v>
      </c>
      <c r="Q1843" s="905" t="b">
        <v>1</v>
      </c>
      <c r="R1843" s="991" t="b">
        <v>0</v>
      </c>
      <c r="S1843" s="991" t="b">
        <f ca="1">S1600=1</f>
        <v>1</v>
      </c>
      <c r="T1843" s="991" t="b">
        <f ca="1">IF(AND(NOT(S1843),LEN(W1843)&gt;0),TRUE,FALSE)</f>
        <v>0</v>
      </c>
      <c r="U1843" s="195" t="str">
        <f>SUBSTITUTE(SUBSTITUTE(SUBSTITUTE("dd"&amp;B1843&amp;C1843&amp;D1843&amp;E1843&amp;F1843,".","_"),"(","_"),")","")</f>
        <v>dd803_3</v>
      </c>
      <c r="W1843" s="188"/>
      <c r="X1843" s="1603"/>
      <c r="Y1843" s="1883" t="str">
        <f>IF(LEN('11.800'!X257)=0,"None",'11.800'!X257)</f>
        <v>None</v>
      </c>
      <c r="Z1843" s="1603"/>
      <c r="AC1843" s="1150" t="b">
        <f ca="1">OR(AD1843:AE1843)</f>
        <v>0</v>
      </c>
      <c r="AD1843" s="1150" t="b">
        <f ca="1">T1843</f>
        <v>0</v>
      </c>
      <c r="AL1843" s="1352" t="str">
        <f>SUBSTITUTE(SUBSTITUTE(SUBSTITUTE("vpa"&amp;$B1843&amp;$C1843&amp;$D1843&amp;$E1843&amp;$F1843,".","_"),"(","_"),")","")</f>
        <v>vpa803_3</v>
      </c>
      <c r="AM1843" s="1352">
        <f>M1843</f>
        <v>2</v>
      </c>
      <c r="AN1843" s="1352" t="str">
        <f>SUBSTITUTE(SUBSTITUTE(SUBSTITUTE("vpc"&amp;$B1843&amp;$C1843&amp;$D1843&amp;$E1843&amp;$F1843,".","_"),"(","_"),")","")</f>
        <v>vpc803_3</v>
      </c>
      <c r="AO1843" s="1352">
        <f ca="1">O1843</f>
        <v>0</v>
      </c>
      <c r="AP1843" s="1352" t="str">
        <f>SUBSTITUTE(SUBSTITUTE(SUBSTITUTE("vch"&amp;$B1843&amp;$C1843&amp;$D1843&amp;$E1843&amp;$F1843,".","_"),"(","_"),")","")</f>
        <v>vch803_3</v>
      </c>
      <c r="AQ1843" s="1352" t="str">
        <f>IF(LEN(W1843)=0,"",W1843)</f>
        <v/>
      </c>
      <c r="AR1843" s="1352" t="str">
        <f>SUBSTITUTE(SUBSTITUTE(SUBSTITUTE("vnt"&amp;$B1843&amp;$C1843&amp;$D1843&amp;$E1843&amp;$F1843,".","_"),"(","_"),")","")</f>
        <v>vnt803_3</v>
      </c>
      <c r="AS1843" s="1352" t="str">
        <f>IF(LEN(X1843)=0,"",X1843)</f>
        <v/>
      </c>
    </row>
    <row r="1844" spans="1:60" s="905" customFormat="1" hidden="1" x14ac:dyDescent="0.2">
      <c r="A1844" s="1507">
        <v>8</v>
      </c>
      <c r="B1844" s="1516">
        <v>803.3</v>
      </c>
      <c r="C1844" s="1517"/>
      <c r="D1844" s="1517"/>
      <c r="E1844" s="1516"/>
      <c r="F1844" s="1511"/>
      <c r="G1844" s="1509" t="str">
        <f ca="1">G1843</f>
        <v/>
      </c>
      <c r="H1844" s="1530" t="s">
        <v>3199</v>
      </c>
      <c r="I1844" s="589"/>
      <c r="J1844" s="873"/>
      <c r="K1844" s="873"/>
      <c r="L1844" s="1687"/>
      <c r="M1844" s="1628"/>
      <c r="N1844" s="1669"/>
      <c r="O1844" s="1669"/>
      <c r="W1844" s="1135"/>
      <c r="X1844" s="1601"/>
      <c r="Y1844" s="1881"/>
      <c r="Z1844" s="1601"/>
      <c r="AL1844" s="1352"/>
      <c r="AM1844" s="1352"/>
      <c r="AN1844" s="1352"/>
      <c r="AO1844" s="1352"/>
      <c r="AP1844" s="1352"/>
      <c r="AQ1844" s="1352"/>
      <c r="AR1844" s="1352"/>
      <c r="AS1844" s="1352"/>
    </row>
    <row r="1845" spans="1:60" s="905" customFormat="1" hidden="1" x14ac:dyDescent="0.2">
      <c r="A1845" s="1507">
        <v>8</v>
      </c>
      <c r="B1845" s="1516">
        <v>803.3</v>
      </c>
      <c r="C1845" s="1517"/>
      <c r="D1845" s="1517"/>
      <c r="E1845" s="1516"/>
      <c r="F1845" s="1511"/>
      <c r="G1845" s="1509" t="str">
        <f ca="1">G1844</f>
        <v/>
      </c>
      <c r="H1845" s="1530" t="s">
        <v>3199</v>
      </c>
      <c r="I1845" s="589"/>
      <c r="J1845" s="873"/>
      <c r="K1845" s="873"/>
      <c r="L1845" s="1687"/>
      <c r="M1845" s="1628"/>
      <c r="N1845" s="1669"/>
      <c r="O1845" s="1669"/>
      <c r="W1845" s="1135"/>
      <c r="X1845" s="1601"/>
      <c r="Y1845" s="1881"/>
      <c r="Z1845" s="1601"/>
      <c r="AL1845" s="1352"/>
      <c r="AM1845" s="1352"/>
      <c r="AN1845" s="1352"/>
      <c r="AO1845" s="1352"/>
      <c r="AP1845" s="1352"/>
      <c r="AQ1845" s="1352"/>
      <c r="AR1845" s="1352"/>
      <c r="AS1845" s="1352"/>
    </row>
    <row r="1846" spans="1:60" s="905" customFormat="1" hidden="1" x14ac:dyDescent="0.2">
      <c r="A1846" s="1507">
        <v>8</v>
      </c>
      <c r="B1846" s="1516">
        <v>803.3</v>
      </c>
      <c r="C1846" s="1517" t="s">
        <v>254</v>
      </c>
      <c r="D1846" s="1517"/>
      <c r="E1846" s="1516"/>
      <c r="F1846" s="1511"/>
      <c r="G1846" s="1509" t="str">
        <f ca="1">G1845</f>
        <v/>
      </c>
      <c r="H1846" s="1530" t="s">
        <v>3199</v>
      </c>
      <c r="I1846" s="590"/>
      <c r="J1846" s="1072" t="s">
        <v>254</v>
      </c>
      <c r="K1846" s="1072"/>
      <c r="L1846" s="923" t="s">
        <v>4636</v>
      </c>
      <c r="M1846" s="913"/>
      <c r="N1846" s="908"/>
      <c r="O1846" s="908"/>
      <c r="W1846" s="1135"/>
      <c r="X1846" s="1601"/>
      <c r="Y1846" s="1881"/>
      <c r="Z1846" s="1601"/>
      <c r="AL1846" s="1352"/>
      <c r="AM1846" s="1352"/>
      <c r="AN1846" s="1352"/>
      <c r="AO1846" s="1352"/>
      <c r="AP1846" s="1352"/>
      <c r="AQ1846" s="1352"/>
      <c r="AR1846" s="1352"/>
      <c r="AS1846" s="1352"/>
    </row>
    <row r="1847" spans="1:60" s="905" customFormat="1" ht="16" hidden="1" thickBot="1" x14ac:dyDescent="0.25">
      <c r="A1847" s="1507">
        <v>8</v>
      </c>
      <c r="B1847" s="1516">
        <v>803.3</v>
      </c>
      <c r="C1847" s="1517" t="s">
        <v>255</v>
      </c>
      <c r="D1847" s="1517"/>
      <c r="E1847" s="1516"/>
      <c r="F1847" s="1511"/>
      <c r="G1847" s="1509" t="str">
        <f ca="1">G1846</f>
        <v/>
      </c>
      <c r="H1847" s="1530" t="s">
        <v>3199</v>
      </c>
      <c r="I1847" s="594"/>
      <c r="J1847" s="1069" t="s">
        <v>255</v>
      </c>
      <c r="K1847" s="1069"/>
      <c r="L1847" s="920" t="s">
        <v>4637</v>
      </c>
      <c r="M1847" s="914"/>
      <c r="N1847" s="922"/>
      <c r="O1847" s="922"/>
      <c r="W1847" s="100"/>
      <c r="X1847" s="1602"/>
      <c r="Y1847" s="1882"/>
      <c r="Z1847" s="1602"/>
      <c r="AL1847" s="1352"/>
      <c r="AM1847" s="1352"/>
      <c r="AN1847" s="1352"/>
      <c r="AO1847" s="1352"/>
      <c r="AP1847" s="1352"/>
      <c r="AQ1847" s="1352"/>
      <c r="AR1847" s="1352"/>
      <c r="AS1847" s="1352"/>
    </row>
    <row r="1848" spans="1:60" s="905" customFormat="1" ht="16" hidden="1" thickTop="1" x14ac:dyDescent="0.2">
      <c r="A1848" s="1507">
        <v>8</v>
      </c>
      <c r="B1848" s="1516">
        <v>803.4</v>
      </c>
      <c r="C1848" s="1517"/>
      <c r="D1848" s="1517"/>
      <c r="E1848" s="1516"/>
      <c r="F1848" s="1511"/>
      <c r="G1848" s="1509" t="str">
        <f ca="1">IF(N1848&gt;0,"P","")</f>
        <v/>
      </c>
      <c r="H1848" s="1530" t="s">
        <v>3199</v>
      </c>
      <c r="I1848" s="590" t="s">
        <v>4638</v>
      </c>
      <c r="J1848" s="1068"/>
      <c r="K1848" s="1068"/>
      <c r="L1848" s="1687" t="s">
        <v>4639</v>
      </c>
      <c r="M1848" s="1685">
        <v>20</v>
      </c>
      <c r="N1848" s="1682">
        <f ca="1">'11.800'!O262</f>
        <v>0</v>
      </c>
      <c r="O1848" s="1682">
        <f ca="1">M1848*S1848*W1848</f>
        <v>0</v>
      </c>
      <c r="P1848" s="991" t="b">
        <v>0</v>
      </c>
      <c r="Q1848" s="905" t="b">
        <v>1</v>
      </c>
      <c r="R1848" s="106" t="b">
        <v>0</v>
      </c>
      <c r="S1848" s="106" t="b">
        <f ca="1">S1600=1</f>
        <v>1</v>
      </c>
      <c r="T1848" s="106" t="b">
        <f ca="1">IF(AND(NOT(S1848),W1848=TRUE),TRUE,FALSE)</f>
        <v>0</v>
      </c>
      <c r="U1848" s="106"/>
      <c r="W1848" s="334"/>
      <c r="X1848" s="1603"/>
      <c r="Y1848" s="1883" t="str">
        <f>IF(LEN('11.800'!X262)=0,"None",'11.800'!X262)</f>
        <v>None</v>
      </c>
      <c r="Z1848" s="1603"/>
      <c r="AC1848" s="1150" t="b">
        <f ca="1">OR(AD1848:AE1848)</f>
        <v>0</v>
      </c>
      <c r="AD1848" s="1150" t="b">
        <f ca="1">T1848</f>
        <v>0</v>
      </c>
      <c r="AL1848" s="1352" t="str">
        <f>SUBSTITUTE(SUBSTITUTE(SUBSTITUTE("vpa"&amp;$B1848&amp;$C1848&amp;$D1848&amp;$E1848&amp;$F1848,".","_"),"(","_"),")","")</f>
        <v>vpa803_4</v>
      </c>
      <c r="AM1848" s="1352">
        <f>M1848</f>
        <v>20</v>
      </c>
      <c r="AN1848" s="1352" t="str">
        <f>SUBSTITUTE(SUBSTITUTE(SUBSTITUTE("vpc"&amp;$B1848&amp;$C1848&amp;$D1848&amp;$E1848&amp;$F1848,".","_"),"(","_"),")","")</f>
        <v>vpc803_4</v>
      </c>
      <c r="AO1848" s="1352">
        <f ca="1">O1848</f>
        <v>0</v>
      </c>
      <c r="AP1848" s="1352" t="str">
        <f>SUBSTITUTE(SUBSTITUTE(SUBSTITUTE("vch"&amp;$B1848&amp;$C1848&amp;$D1848&amp;$E1848&amp;$F1848,".","_"),"(","_"),")","")</f>
        <v>vch803_4</v>
      </c>
      <c r="AQ1848" s="1352" t="str">
        <f>IF(LEN(W1848)=0,"",W1848)</f>
        <v/>
      </c>
      <c r="AR1848" s="1352" t="str">
        <f>SUBSTITUTE(SUBSTITUTE(SUBSTITUTE("vnt"&amp;$B1848&amp;$C1848&amp;$D1848&amp;$E1848&amp;$F1848,".","_"),"(","_"),")","")</f>
        <v>vnt803_4</v>
      </c>
      <c r="AS1848" s="1352" t="str">
        <f>IF(LEN(X1848)=0,"",X1848)</f>
        <v/>
      </c>
    </row>
    <row r="1849" spans="1:60" s="905" customFormat="1" hidden="1" x14ac:dyDescent="0.2">
      <c r="A1849" s="1507">
        <v>8</v>
      </c>
      <c r="B1849" s="1516">
        <v>803.4</v>
      </c>
      <c r="C1849" s="1517"/>
      <c r="D1849" s="1517"/>
      <c r="E1849" s="1516"/>
      <c r="F1849" s="1511"/>
      <c r="G1849" s="1509" t="str">
        <f ca="1">G1848</f>
        <v/>
      </c>
      <c r="H1849" s="1530" t="s">
        <v>3199</v>
      </c>
      <c r="I1849" s="590"/>
      <c r="J1849" s="1068"/>
      <c r="K1849" s="1068"/>
      <c r="L1849" s="1687"/>
      <c r="M1849" s="1623"/>
      <c r="N1849" s="1619"/>
      <c r="O1849" s="1619"/>
      <c r="P1849" s="991"/>
      <c r="Q1849" s="991"/>
      <c r="R1849" s="991"/>
      <c r="S1849" s="991"/>
      <c r="T1849" s="991"/>
      <c r="U1849" s="991"/>
      <c r="W1849" s="1135"/>
      <c r="X1849" s="1601"/>
      <c r="Y1849" s="1881"/>
      <c r="Z1849" s="1601"/>
      <c r="AC1849" s="1150"/>
      <c r="AD1849" s="1150"/>
      <c r="AL1849" s="1352"/>
      <c r="AM1849" s="1352"/>
      <c r="AN1849" s="1352"/>
      <c r="AO1849" s="1352"/>
      <c r="AP1849" s="1352"/>
      <c r="AQ1849" s="1352"/>
      <c r="AR1849" s="1352"/>
      <c r="AS1849" s="1352"/>
    </row>
    <row r="1850" spans="1:60" s="905" customFormat="1" ht="16" hidden="1" thickBot="1" x14ac:dyDescent="0.25">
      <c r="A1850" s="1507">
        <v>8</v>
      </c>
      <c r="B1850" s="1516">
        <v>803.4</v>
      </c>
      <c r="C1850" s="1517"/>
      <c r="D1850" s="1517"/>
      <c r="E1850" s="1516"/>
      <c r="F1850" s="1511"/>
      <c r="G1850" s="1509" t="str">
        <f ca="1">G1849</f>
        <v/>
      </c>
      <c r="H1850" s="1530" t="s">
        <v>3199</v>
      </c>
      <c r="I1850" s="594"/>
      <c r="J1850" s="1069"/>
      <c r="K1850" s="1069"/>
      <c r="L1850" s="1738"/>
      <c r="M1850" s="1627"/>
      <c r="N1850" s="1638"/>
      <c r="O1850" s="1638"/>
      <c r="P1850" s="100"/>
      <c r="Q1850" s="100"/>
      <c r="R1850" s="100"/>
      <c r="S1850" s="100"/>
      <c r="T1850" s="100"/>
      <c r="U1850" s="100"/>
      <c r="W1850" s="100"/>
      <c r="X1850" s="1602"/>
      <c r="Y1850" s="1882"/>
      <c r="Z1850" s="1602"/>
      <c r="AC1850" s="1150"/>
      <c r="AD1850" s="1150"/>
      <c r="AL1850" s="1352"/>
      <c r="AM1850" s="1352"/>
      <c r="AN1850" s="1352"/>
      <c r="AO1850" s="1352"/>
      <c r="AP1850" s="1352"/>
      <c r="AQ1850" s="1352"/>
      <c r="AR1850" s="1352"/>
      <c r="AS1850" s="1352"/>
    </row>
    <row r="1851" spans="1:60" s="905" customFormat="1" ht="16" hidden="1" thickTop="1" x14ac:dyDescent="0.2">
      <c r="A1851" s="1507">
        <v>8</v>
      </c>
      <c r="B1851" s="1516">
        <v>803.5</v>
      </c>
      <c r="C1851" s="1517"/>
      <c r="D1851" s="1517"/>
      <c r="E1851" s="1516"/>
      <c r="F1851" s="1511"/>
      <c r="G1851" s="1509" t="str">
        <f ca="1">IF(N1851&gt;0,"P","")</f>
        <v/>
      </c>
      <c r="H1851" s="1530" t="s">
        <v>3199</v>
      </c>
      <c r="I1851" s="590" t="s">
        <v>4640</v>
      </c>
      <c r="J1851" s="1068"/>
      <c r="K1851" s="1068"/>
      <c r="L1851" s="1687" t="s">
        <v>4641</v>
      </c>
      <c r="M1851" s="1685">
        <v>1</v>
      </c>
      <c r="N1851" s="1682">
        <f ca="1">'11.800'!O265</f>
        <v>0</v>
      </c>
      <c r="O1851" s="1682">
        <f ca="1">M1851*S1851*W1851</f>
        <v>0</v>
      </c>
      <c r="P1851" s="991" t="b">
        <v>0</v>
      </c>
      <c r="Q1851" s="905" t="b">
        <v>1</v>
      </c>
      <c r="R1851" s="106" t="b">
        <v>0</v>
      </c>
      <c r="S1851" s="106" t="b">
        <f ca="1">S1600=1</f>
        <v>1</v>
      </c>
      <c r="T1851" s="106" t="b">
        <f ca="1">IF(AND(NOT(S1851),W1851=TRUE),TRUE,FALSE)</f>
        <v>0</v>
      </c>
      <c r="U1851" s="106"/>
      <c r="W1851" s="334"/>
      <c r="X1851" s="1603"/>
      <c r="Y1851" s="1883" t="str">
        <f>IF(LEN('11.800'!X265)=0,"None",'11.800'!X265)</f>
        <v>None</v>
      </c>
      <c r="Z1851" s="1603"/>
      <c r="AC1851" s="1150" t="b">
        <f ca="1">OR(AD1851:AE1851)</f>
        <v>0</v>
      </c>
      <c r="AD1851" s="1150" t="b">
        <f ca="1">T1851</f>
        <v>0</v>
      </c>
      <c r="AL1851" s="1352" t="str">
        <f>SUBSTITUTE(SUBSTITUTE(SUBSTITUTE("vpa"&amp;$B1851&amp;$C1851&amp;$D1851&amp;$E1851&amp;$F1851,".","_"),"(","_"),")","")</f>
        <v>vpa803_5</v>
      </c>
      <c r="AM1851" s="1352">
        <f>M1851</f>
        <v>1</v>
      </c>
      <c r="AN1851" s="1352" t="str">
        <f>SUBSTITUTE(SUBSTITUTE(SUBSTITUTE("vpc"&amp;$B1851&amp;$C1851&amp;$D1851&amp;$E1851&amp;$F1851,".","_"),"(","_"),")","")</f>
        <v>vpc803_5</v>
      </c>
      <c r="AO1851" s="1352">
        <f ca="1">O1851</f>
        <v>0</v>
      </c>
      <c r="AP1851" s="1352" t="str">
        <f>SUBSTITUTE(SUBSTITUTE(SUBSTITUTE("vch"&amp;$B1851&amp;$C1851&amp;$D1851&amp;$E1851&amp;$F1851,".","_"),"(","_"),")","")</f>
        <v>vch803_5</v>
      </c>
      <c r="AQ1851" s="1352" t="str">
        <f>IF(LEN(W1851)=0,"",W1851)</f>
        <v/>
      </c>
      <c r="AR1851" s="1352" t="str">
        <f>SUBSTITUTE(SUBSTITUTE(SUBSTITUTE("vnt"&amp;$B1851&amp;$C1851&amp;$D1851&amp;$E1851&amp;$F1851,".","_"),"(","_"),")","")</f>
        <v>vnt803_5</v>
      </c>
      <c r="AS1851" s="1352" t="str">
        <f>IF(LEN(X1851)=0,"",X1851)</f>
        <v/>
      </c>
    </row>
    <row r="1852" spans="1:60" s="905" customFormat="1" ht="16" hidden="1" thickBot="1" x14ac:dyDescent="0.25">
      <c r="A1852" s="1507">
        <v>8</v>
      </c>
      <c r="B1852" s="1516">
        <v>803.5</v>
      </c>
      <c r="C1852" s="1517"/>
      <c r="D1852" s="1517"/>
      <c r="E1852" s="1516"/>
      <c r="F1852" s="1511"/>
      <c r="G1852" s="1509" t="str">
        <f ca="1">G1851</f>
        <v/>
      </c>
      <c r="H1852" s="1530" t="s">
        <v>3199</v>
      </c>
      <c r="I1852" s="594"/>
      <c r="J1852" s="1069"/>
      <c r="K1852" s="1069"/>
      <c r="L1852" s="1738"/>
      <c r="M1852" s="1627"/>
      <c r="N1852" s="1638"/>
      <c r="O1852" s="1638"/>
      <c r="P1852" s="100"/>
      <c r="Q1852" s="100"/>
      <c r="R1852" s="100"/>
      <c r="S1852" s="100"/>
      <c r="T1852" s="100"/>
      <c r="U1852" s="100"/>
      <c r="W1852" s="100"/>
      <c r="X1852" s="1602"/>
      <c r="Y1852" s="1882"/>
      <c r="Z1852" s="1602"/>
      <c r="AC1852" s="1150"/>
      <c r="AD1852" s="1150"/>
      <c r="AL1852" s="1352"/>
      <c r="AM1852" s="1352"/>
      <c r="AN1852" s="1352"/>
      <c r="AO1852" s="1352"/>
      <c r="AP1852" s="1352"/>
      <c r="AQ1852" s="1352"/>
      <c r="AR1852" s="1352"/>
      <c r="AS1852" s="1352"/>
    </row>
    <row r="1853" spans="1:60" s="905" customFormat="1" ht="16" hidden="1" thickTop="1" x14ac:dyDescent="0.2">
      <c r="A1853" s="1507">
        <v>8</v>
      </c>
      <c r="B1853" s="1516">
        <v>803.6</v>
      </c>
      <c r="C1853" s="1517"/>
      <c r="D1853" s="1517"/>
      <c r="E1853" s="1516"/>
      <c r="F1853" s="1511"/>
      <c r="G1853" s="1509" t="str">
        <f ca="1">IF(N1853&gt;0,"P","")</f>
        <v/>
      </c>
      <c r="H1853" s="1530" t="s">
        <v>3199</v>
      </c>
      <c r="I1853" s="589" t="s">
        <v>4642</v>
      </c>
      <c r="J1853" s="873"/>
      <c r="K1853" s="873"/>
      <c r="L1853" s="1687" t="s">
        <v>4860</v>
      </c>
      <c r="M1853" s="1685">
        <v>20</v>
      </c>
      <c r="N1853" s="1682">
        <f ca="1">'11.800'!O267</f>
        <v>0</v>
      </c>
      <c r="O1853" s="1682">
        <f ca="1">M1853*S1853*W1853</f>
        <v>0</v>
      </c>
      <c r="P1853" s="106" t="b">
        <v>0</v>
      </c>
      <c r="Q1853" s="106" t="b">
        <v>1</v>
      </c>
      <c r="R1853" s="106" t="b">
        <v>0</v>
      </c>
      <c r="S1853" s="106" t="b">
        <f ca="1">AND(NOT(OR(LEN(W1837)&gt;0,W1839)),S1600=1)</f>
        <v>1</v>
      </c>
      <c r="T1853" s="106" t="b">
        <f ca="1">IF(AND(NOT(S1853),W1853=TRUE),TRUE,FALSE)</f>
        <v>0</v>
      </c>
      <c r="W1853" s="119"/>
      <c r="X1853" s="1599"/>
      <c r="Y1853" s="1877" t="str">
        <f>IF(LEN('11.800'!X267)=0,"None",'11.800'!X267)</f>
        <v>None</v>
      </c>
      <c r="Z1853" s="1599"/>
      <c r="AC1853" s="1150" t="b">
        <f ca="1">OR(AD1853:AE1853)</f>
        <v>0</v>
      </c>
      <c r="AD1853" s="1150" t="b">
        <f ca="1">T1853</f>
        <v>0</v>
      </c>
      <c r="AL1853" s="1352" t="str">
        <f>SUBSTITUTE(SUBSTITUTE(SUBSTITUTE("vpa"&amp;$B1853&amp;$C1853&amp;$D1853&amp;$E1853&amp;$F1853,".","_"),"(","_"),")","")</f>
        <v>vpa803_6</v>
      </c>
      <c r="AM1853" s="1352">
        <f>M1853</f>
        <v>20</v>
      </c>
      <c r="AN1853" s="1352" t="str">
        <f>SUBSTITUTE(SUBSTITUTE(SUBSTITUTE("vpc"&amp;$B1853&amp;$C1853&amp;$D1853&amp;$E1853&amp;$F1853,".","_"),"(","_"),")","")</f>
        <v>vpc803_6</v>
      </c>
      <c r="AO1853" s="1352">
        <f ca="1">O1853</f>
        <v>0</v>
      </c>
      <c r="AP1853" s="1352" t="str">
        <f>SUBSTITUTE(SUBSTITUTE(SUBSTITUTE("vch"&amp;$B1853&amp;$C1853&amp;$D1853&amp;$E1853&amp;$F1853,".","_"),"(","_"),")","")</f>
        <v>vch803_6</v>
      </c>
      <c r="AQ1853" s="1352" t="str">
        <f>IF(LEN(W1853)=0,"",W1853)</f>
        <v/>
      </c>
      <c r="AR1853" s="1352" t="str">
        <f>SUBSTITUTE(SUBSTITUTE(SUBSTITUTE("vnt"&amp;$B1853&amp;$C1853&amp;$D1853&amp;$E1853&amp;$F1853,".","_"),"(","_"),")","")</f>
        <v>vnt803_6</v>
      </c>
      <c r="AS1853" s="1352" t="str">
        <f>IF(LEN(X1853)=0,"",X1853)</f>
        <v/>
      </c>
    </row>
    <row r="1854" spans="1:60" s="905" customFormat="1" hidden="1" x14ac:dyDescent="0.2">
      <c r="A1854" s="1507">
        <v>8</v>
      </c>
      <c r="B1854" s="1516">
        <v>803.6</v>
      </c>
      <c r="C1854" s="1517"/>
      <c r="D1854" s="1517"/>
      <c r="E1854" s="1516"/>
      <c r="F1854" s="1511"/>
      <c r="G1854" s="1509" t="str">
        <f ca="1">G1853</f>
        <v/>
      </c>
      <c r="H1854" s="1530" t="s">
        <v>3199</v>
      </c>
      <c r="I1854" s="589"/>
      <c r="J1854" s="873"/>
      <c r="K1854" s="873"/>
      <c r="L1854" s="1687"/>
      <c r="M1854" s="1623"/>
      <c r="N1854" s="1619"/>
      <c r="O1854" s="1619"/>
      <c r="P1854" s="991"/>
      <c r="Q1854" s="991"/>
      <c r="R1854" s="991"/>
      <c r="S1854" s="991"/>
      <c r="T1854" s="991"/>
      <c r="X1854" s="1600"/>
      <c r="Y1854" s="1874"/>
      <c r="Z1854" s="1600"/>
    </row>
    <row r="1855" spans="1:60" s="905" customFormat="1" hidden="1" x14ac:dyDescent="0.2">
      <c r="A1855" s="1507">
        <v>8</v>
      </c>
      <c r="B1855" s="1516">
        <v>803.6</v>
      </c>
      <c r="C1855" s="1517"/>
      <c r="D1855" s="1517"/>
      <c r="E1855" s="1516"/>
      <c r="F1855" s="1511"/>
      <c r="G1855" s="1509" t="str">
        <f ca="1">G1854</f>
        <v/>
      </c>
      <c r="H1855" s="1530" t="s">
        <v>3199</v>
      </c>
      <c r="I1855" s="589"/>
      <c r="J1855" s="873"/>
      <c r="K1855" s="873"/>
      <c r="L1855" s="1687"/>
      <c r="M1855" s="1624"/>
      <c r="N1855" s="1620"/>
      <c r="O1855" s="1620"/>
      <c r="P1855" s="173"/>
      <c r="Q1855" s="173"/>
      <c r="R1855" s="173"/>
      <c r="S1855" s="173"/>
      <c r="T1855" s="173"/>
      <c r="X1855" s="1600"/>
      <c r="Y1855" s="1874"/>
      <c r="Z1855" s="1600"/>
    </row>
    <row r="1856" spans="1:60" ht="19" x14ac:dyDescent="0.25">
      <c r="A1856" s="1507">
        <v>9</v>
      </c>
      <c r="B1856" s="1516" t="s">
        <v>3441</v>
      </c>
      <c r="C1856" s="1510"/>
      <c r="D1856" s="1510"/>
      <c r="E1856" s="1510"/>
      <c r="F1856" s="1510"/>
      <c r="G1856" s="1509" t="s">
        <v>3200</v>
      </c>
      <c r="H1856" s="1510" t="s">
        <v>3197</v>
      </c>
      <c r="I1856" s="24" t="s">
        <v>3659</v>
      </c>
      <c r="J1856" s="24"/>
      <c r="K1856" s="24"/>
      <c r="L1856" s="25"/>
      <c r="M1856" s="26"/>
      <c r="N1856" s="26"/>
      <c r="O1856" s="26"/>
      <c r="P1856" s="538" t="s">
        <v>246</v>
      </c>
      <c r="Q1856" s="538" t="s">
        <v>246</v>
      </c>
      <c r="R1856" s="538" t="s">
        <v>246</v>
      </c>
      <c r="S1856" s="538" t="s">
        <v>246</v>
      </c>
      <c r="T1856" s="538" t="s">
        <v>246</v>
      </c>
      <c r="U1856" s="538" t="s">
        <v>246</v>
      </c>
      <c r="V1856" s="538" t="s">
        <v>246</v>
      </c>
      <c r="W1856" s="25"/>
      <c r="X1856" s="25"/>
      <c r="Y1856" s="25"/>
      <c r="Z1856" s="714"/>
      <c r="AB1856" s="537"/>
      <c r="AC1856" s="537"/>
      <c r="AD1856" s="537"/>
      <c r="AE1856" s="537"/>
      <c r="AF1856" s="537"/>
      <c r="AG1856" s="537"/>
      <c r="AH1856" s="537"/>
      <c r="AI1856" s="537"/>
      <c r="AJ1856" s="537"/>
      <c r="AK1856" s="537"/>
      <c r="AL1856" s="537"/>
      <c r="AM1856" s="537"/>
      <c r="AN1856" s="537"/>
      <c r="AO1856" s="537"/>
      <c r="AP1856" s="537"/>
      <c r="AQ1856" s="537"/>
      <c r="AR1856" s="537"/>
      <c r="AS1856" s="537"/>
      <c r="AT1856" s="538"/>
      <c r="AU1856" s="538"/>
      <c r="AV1856" s="538"/>
      <c r="AW1856" s="537"/>
      <c r="AX1856" s="538"/>
      <c r="AY1856" s="538"/>
      <c r="AZ1856" s="538"/>
      <c r="BA1856" s="538"/>
      <c r="BB1856" s="538"/>
      <c r="BC1856" s="538"/>
      <c r="BD1856" s="538"/>
      <c r="BE1856" s="538"/>
      <c r="BF1856" s="538"/>
      <c r="BG1856" s="538"/>
      <c r="BH1856" s="538"/>
    </row>
    <row r="1857" spans="1:60" hidden="1" x14ac:dyDescent="0.2">
      <c r="A1857" s="1507">
        <v>9</v>
      </c>
      <c r="B1857" s="1516" t="s">
        <v>3215</v>
      </c>
      <c r="C1857" s="1511"/>
      <c r="D1857" s="1511"/>
      <c r="E1857" s="1511"/>
      <c r="F1857" s="1511"/>
      <c r="G1857" s="1510"/>
      <c r="H1857" s="1510"/>
      <c r="I1857" s="821" t="s">
        <v>3660</v>
      </c>
      <c r="J1857" s="4"/>
      <c r="K1857" s="4"/>
      <c r="L1857" s="560" t="s">
        <v>3748</v>
      </c>
      <c r="M1857" s="574"/>
      <c r="N1857" s="554"/>
      <c r="O1857" s="554"/>
      <c r="P1857" s="538"/>
      <c r="Q1857" s="538"/>
      <c r="R1857" s="538"/>
      <c r="S1857" s="538"/>
      <c r="T1857" s="538"/>
      <c r="U1857" s="538"/>
      <c r="V1857" s="538"/>
      <c r="W1857" s="538"/>
      <c r="X1857" s="538"/>
      <c r="Y1857" s="538"/>
      <c r="Z1857" s="670"/>
      <c r="AB1857" s="538"/>
      <c r="AC1857" s="538"/>
      <c r="AD1857" s="538"/>
      <c r="AE1857" s="538"/>
      <c r="AF1857" s="538"/>
      <c r="AG1857" s="538"/>
      <c r="AH1857" s="538"/>
      <c r="AI1857" s="538"/>
      <c r="AJ1857" s="538"/>
      <c r="AK1857" s="538"/>
      <c r="AL1857" s="538"/>
      <c r="AM1857" s="538"/>
      <c r="AN1857" s="538"/>
      <c r="AO1857" s="538"/>
      <c r="AP1857" s="538"/>
      <c r="AQ1857" s="538"/>
      <c r="AR1857" s="538"/>
      <c r="AS1857" s="538"/>
      <c r="AT1857" s="538"/>
      <c r="AU1857" s="538"/>
      <c r="AV1857" s="538"/>
      <c r="AW1857" s="538"/>
      <c r="AZ1857" s="538"/>
      <c r="BA1857" s="538"/>
      <c r="BB1857" s="538"/>
      <c r="BC1857" s="538"/>
      <c r="BD1857" s="538"/>
      <c r="BE1857" s="538"/>
      <c r="BF1857" s="538"/>
      <c r="BG1857" s="538"/>
      <c r="BH1857" s="538"/>
    </row>
    <row r="1858" spans="1:60" x14ac:dyDescent="0.2">
      <c r="A1858" s="1507">
        <v>9</v>
      </c>
      <c r="B1858" s="1516">
        <v>901.1</v>
      </c>
      <c r="C1858" s="1511"/>
      <c r="D1858" s="1511"/>
      <c r="E1858" s="1511"/>
      <c r="F1858" s="1511"/>
      <c r="G1858" s="1513" t="str">
        <f ca="1">IF(COUNTIF(G1859:G1884,"P")&gt;0,"P","")</f>
        <v>P</v>
      </c>
      <c r="H1858" s="1510" t="s">
        <v>3197</v>
      </c>
      <c r="I1858" s="237" t="s">
        <v>3661</v>
      </c>
      <c r="J1858" s="129"/>
      <c r="K1858" s="129"/>
      <c r="L1858" s="562" t="s">
        <v>3747</v>
      </c>
      <c r="M1858" s="575"/>
      <c r="N1858" s="545"/>
      <c r="O1858" s="545"/>
      <c r="P1858" s="96"/>
      <c r="Q1858" s="96"/>
      <c r="R1858" s="96"/>
      <c r="S1858" s="96"/>
      <c r="T1858" s="96"/>
      <c r="U1858" s="96"/>
      <c r="V1858" s="96"/>
      <c r="W1858" s="96"/>
      <c r="X1858" s="96"/>
      <c r="Y1858" s="538"/>
      <c r="Z1858" s="670"/>
      <c r="AB1858" s="538"/>
      <c r="AC1858" s="538"/>
      <c r="AD1858" s="538"/>
      <c r="AE1858" s="538"/>
      <c r="AF1858" s="538"/>
      <c r="AG1858" s="538"/>
      <c r="AH1858" s="538"/>
      <c r="AI1858" s="538"/>
      <c r="AJ1858" s="538"/>
      <c r="AK1858" s="538"/>
      <c r="AL1858" s="538"/>
      <c r="AM1858" s="538"/>
      <c r="AN1858" s="538"/>
      <c r="AO1858" s="538"/>
      <c r="AP1858" s="538"/>
      <c r="AQ1858" s="538"/>
      <c r="AR1858" s="538"/>
      <c r="AS1858" s="538"/>
      <c r="AT1858" s="538"/>
      <c r="AU1858" s="538"/>
      <c r="AV1858" s="538"/>
      <c r="AW1858" s="538"/>
      <c r="AX1858" s="585" t="str">
        <f>'Overview (Verification)'!A10</f>
        <v>Builder Name:</v>
      </c>
      <c r="AY1858" s="685" t="str">
        <f>IF(LEN('Overview (Verification)'!P10)=0,0,'Overview (Verification)'!P10)</f>
        <v>TWG Development</v>
      </c>
      <c r="AZ1858" s="538"/>
      <c r="BA1858" s="538"/>
      <c r="BB1858" s="538"/>
      <c r="BC1858" s="538"/>
      <c r="BD1858" s="538"/>
      <c r="BE1858" s="538"/>
      <c r="BF1858" s="538"/>
      <c r="BG1858" s="538"/>
      <c r="BH1858" s="538"/>
    </row>
    <row r="1859" spans="1:60" hidden="1" x14ac:dyDescent="0.2">
      <c r="A1859" s="1507">
        <v>9</v>
      </c>
      <c r="B1859" s="1516" t="s">
        <v>2682</v>
      </c>
      <c r="C1859" s="1511"/>
      <c r="D1859" s="1511"/>
      <c r="E1859" s="1511"/>
      <c r="F1859" s="1511"/>
      <c r="G1859" s="1509" t="str">
        <f>IF(N1859&gt;0,"P","")</f>
        <v/>
      </c>
      <c r="H1859" s="1510" t="s">
        <v>3197</v>
      </c>
      <c r="I1859" s="237" t="s">
        <v>3662</v>
      </c>
      <c r="J1859" s="129"/>
      <c r="K1859" s="129"/>
      <c r="L1859" s="1629" t="s">
        <v>3746</v>
      </c>
      <c r="M1859" s="1623">
        <v>5</v>
      </c>
      <c r="N1859" s="1619">
        <f>'11.900'!O12</f>
        <v>0</v>
      </c>
      <c r="O1859" s="1619">
        <f>M1859*S1859*W1859</f>
        <v>0</v>
      </c>
      <c r="P1859" s="96" t="b">
        <v>1</v>
      </c>
      <c r="Q1859" s="96" t="b">
        <v>1</v>
      </c>
      <c r="R1859" s="96" t="b">
        <v>0</v>
      </c>
      <c r="S1859" s="96" t="b">
        <v>1</v>
      </c>
      <c r="T1859" s="96" t="b">
        <v>0</v>
      </c>
      <c r="U1859" s="96"/>
      <c r="V1859" s="96"/>
      <c r="W1859" s="27"/>
      <c r="X1859" s="1601"/>
      <c r="Y1859" s="1874" t="str">
        <f>IF(LEN('11.900'!X12)=0,"None",'11.900'!X12)</f>
        <v>None</v>
      </c>
      <c r="Z1859" s="1889"/>
      <c r="AB1859" s="538"/>
      <c r="AC1859" s="538"/>
      <c r="AD1859" s="538"/>
      <c r="AE1859" s="538"/>
      <c r="AF1859" s="720"/>
      <c r="AG1859" s="538"/>
      <c r="AH1859" s="538"/>
      <c r="AI1859" s="538"/>
      <c r="AJ1859" s="538"/>
      <c r="AK1859" s="538"/>
      <c r="AL1859" s="1352" t="str">
        <f>SUBSTITUTE(SUBSTITUTE(SUBSTITUTE("vpa"&amp;$B1859&amp;$C1859&amp;$D1859&amp;$E1859,".","_"),"(","_"),")","")</f>
        <v>vpa901_1_1</v>
      </c>
      <c r="AM1859" s="1352">
        <f>M1859</f>
        <v>5</v>
      </c>
      <c r="AN1859" s="1352" t="str">
        <f>SUBSTITUTE(SUBSTITUTE(SUBSTITUTE("vpc"&amp;$B1859&amp;$C1859&amp;$D1859&amp;$E1859,".","_"),"(","_"),")","")</f>
        <v>vpc901_1_1</v>
      </c>
      <c r="AO1859" s="1352">
        <f>O1859</f>
        <v>0</v>
      </c>
      <c r="AP1859" s="1352" t="str">
        <f>SUBSTITUTE(SUBSTITUTE(SUBSTITUTE("vch"&amp;$B1859&amp;$C1859&amp;$D1859&amp;$E1859,".","_"),"(","_"),")","")</f>
        <v>vch901_1_1</v>
      </c>
      <c r="AQ1859" s="1352" t="str">
        <f>IF(LEN(W1859)=0,"",W1859)</f>
        <v/>
      </c>
      <c r="AR1859" s="1352" t="str">
        <f>SUBSTITUTE(SUBSTITUTE(SUBSTITUTE("vnt"&amp;$B1859&amp;$C1859&amp;$D1859&amp;$E1859,".","_"),"(","_"),")","")</f>
        <v>vnt901_1_1</v>
      </c>
      <c r="AS1859" s="1352" t="str">
        <f>IF(LEN(X1859)=0,"",X1859)</f>
        <v/>
      </c>
      <c r="AT1859" s="538"/>
      <c r="AU1859" s="538"/>
      <c r="AV1859" s="538"/>
      <c r="AW1859" s="538"/>
      <c r="AX1859" s="585" t="str">
        <f>'Overview (Verification)'!A11</f>
        <v>Physical Address of Home:</v>
      </c>
      <c r="AY1859" s="685" t="str">
        <f>IF(LEN('Overview (Verification)'!P11)=0,0,'Overview (Verification)'!P11)</f>
        <v>330 Brownlee Road SW</v>
      </c>
      <c r="AZ1859" s="538"/>
      <c r="BA1859" s="538"/>
      <c r="BB1859" s="538"/>
      <c r="BC1859" s="538"/>
      <c r="BD1859" s="538"/>
      <c r="BE1859" s="538"/>
      <c r="BF1859" s="538"/>
      <c r="BG1859" s="538"/>
      <c r="BH1859" s="538"/>
    </row>
    <row r="1860" spans="1:60" hidden="1" x14ac:dyDescent="0.2">
      <c r="A1860" s="1507">
        <v>9</v>
      </c>
      <c r="B1860" s="1516" t="s">
        <v>2682</v>
      </c>
      <c r="C1860" s="1511"/>
      <c r="D1860" s="1511"/>
      <c r="E1860" s="1511"/>
      <c r="F1860" s="1511"/>
      <c r="G1860" s="1509" t="str">
        <f>G1859</f>
        <v/>
      </c>
      <c r="H1860" s="1510" t="s">
        <v>3197</v>
      </c>
      <c r="I1860" s="406"/>
      <c r="J1860" s="129"/>
      <c r="K1860" s="129"/>
      <c r="L1860" s="1629"/>
      <c r="M1860" s="1623"/>
      <c r="N1860" s="1619"/>
      <c r="O1860" s="1619"/>
      <c r="P1860" s="96"/>
      <c r="Q1860" s="96"/>
      <c r="R1860" s="96"/>
      <c r="S1860" s="96"/>
      <c r="T1860" s="96"/>
      <c r="U1860" s="96"/>
      <c r="V1860" s="96"/>
      <c r="W1860" s="96"/>
      <c r="X1860" s="1601"/>
      <c r="Y1860" s="1874"/>
      <c r="Z1860" s="1889"/>
      <c r="AB1860" s="538"/>
      <c r="AC1860" s="538"/>
      <c r="AD1860" s="538"/>
      <c r="AE1860" s="538"/>
      <c r="AF1860" s="538"/>
      <c r="AG1860" s="538"/>
      <c r="AH1860" s="538"/>
      <c r="AI1860" s="538"/>
      <c r="AJ1860" s="538"/>
      <c r="AK1860" s="538"/>
      <c r="AL1860" s="1352"/>
      <c r="AM1860" s="1352"/>
      <c r="AN1860" s="1352"/>
      <c r="AO1860" s="1352"/>
      <c r="AP1860" s="1352"/>
      <c r="AQ1860" s="1352"/>
      <c r="AR1860" s="1352"/>
      <c r="AS1860" s="1352"/>
      <c r="AT1860" s="538"/>
      <c r="AU1860" s="538"/>
      <c r="AV1860" s="538"/>
      <c r="AW1860" s="538"/>
      <c r="AX1860" s="585" t="str">
        <f>'Overview (Verification)'!A12</f>
        <v>Community/Lot #:</v>
      </c>
      <c r="AY1860" s="685">
        <f>IF(LEN('Overview (Verification)'!P12)=0,0,'Overview (Verification)'!P12)</f>
        <v>0</v>
      </c>
      <c r="AZ1860" s="538"/>
      <c r="BA1860" s="538"/>
      <c r="BB1860" s="538"/>
      <c r="BC1860" s="538"/>
      <c r="BD1860" s="538"/>
      <c r="BE1860" s="538"/>
      <c r="BF1860" s="538"/>
      <c r="BG1860" s="538"/>
      <c r="BH1860" s="538"/>
    </row>
    <row r="1861" spans="1:60" hidden="1" x14ac:dyDescent="0.2">
      <c r="A1861" s="1507">
        <v>9</v>
      </c>
      <c r="B1861" s="1516" t="s">
        <v>2682</v>
      </c>
      <c r="C1861" s="1511"/>
      <c r="D1861" s="1511"/>
      <c r="E1861" s="1511"/>
      <c r="F1861" s="1511"/>
      <c r="G1861" s="1509" t="str">
        <f>G1860</f>
        <v/>
      </c>
      <c r="H1861" s="1510" t="s">
        <v>3197</v>
      </c>
      <c r="I1861" s="406"/>
      <c r="J1861" s="129"/>
      <c r="K1861" s="129"/>
      <c r="L1861" s="1629"/>
      <c r="M1861" s="1623"/>
      <c r="N1861" s="1619"/>
      <c r="O1861" s="1619"/>
      <c r="P1861" s="96"/>
      <c r="Q1861" s="96"/>
      <c r="R1861" s="96"/>
      <c r="S1861" s="96"/>
      <c r="T1861" s="96"/>
      <c r="U1861" s="96"/>
      <c r="V1861" s="96"/>
      <c r="W1861" s="96"/>
      <c r="X1861" s="1601"/>
      <c r="Y1861" s="1874"/>
      <c r="Z1861" s="1889"/>
      <c r="AB1861" s="538"/>
      <c r="AC1861" s="538"/>
      <c r="AD1861" s="538"/>
      <c r="AE1861" s="538"/>
      <c r="AF1861" s="538"/>
      <c r="AG1861" s="538"/>
      <c r="AH1861" s="538"/>
      <c r="AI1861" s="538"/>
      <c r="AJ1861" s="538"/>
      <c r="AK1861" s="538"/>
      <c r="AL1861" s="1352"/>
      <c r="AM1861" s="1352"/>
      <c r="AN1861" s="1352"/>
      <c r="AO1861" s="1352"/>
      <c r="AP1861" s="1352"/>
      <c r="AQ1861" s="1352"/>
      <c r="AR1861" s="1352"/>
      <c r="AS1861" s="1352"/>
      <c r="AT1861" s="538"/>
      <c r="AU1861" s="538"/>
      <c r="AV1861" s="538"/>
      <c r="AW1861" s="538"/>
      <c r="AX1861" s="585" t="str">
        <f>'Overview (Verification)'!A13</f>
        <v>City:</v>
      </c>
      <c r="AY1861" s="685" t="str">
        <f>IF(LEN('Overview (Verification)'!P13)=0,0,'Overview (Verification)'!P13)</f>
        <v>Atlanta</v>
      </c>
      <c r="AZ1861" s="538"/>
      <c r="BA1861" s="538"/>
      <c r="BB1861" s="538"/>
      <c r="BC1861" s="538"/>
      <c r="BD1861" s="538"/>
      <c r="BE1861" s="538"/>
      <c r="BF1861" s="538"/>
      <c r="BG1861" s="538"/>
      <c r="BH1861" s="538"/>
    </row>
    <row r="1862" spans="1:60" hidden="1" x14ac:dyDescent="0.2">
      <c r="A1862" s="1507">
        <v>9</v>
      </c>
      <c r="B1862" s="1516" t="s">
        <v>2682</v>
      </c>
      <c r="C1862" s="1511"/>
      <c r="D1862" s="1511"/>
      <c r="E1862" s="1511"/>
      <c r="F1862" s="1511"/>
      <c r="G1862" s="1509" t="str">
        <f>G1861</f>
        <v/>
      </c>
      <c r="H1862" s="1510" t="s">
        <v>3197</v>
      </c>
      <c r="I1862" s="406"/>
      <c r="J1862" s="129"/>
      <c r="K1862" s="129"/>
      <c r="L1862" s="1629"/>
      <c r="M1862" s="1623"/>
      <c r="N1862" s="1619"/>
      <c r="O1862" s="1619"/>
      <c r="P1862" s="96"/>
      <c r="Q1862" s="96"/>
      <c r="R1862" s="96"/>
      <c r="S1862" s="96"/>
      <c r="T1862" s="96"/>
      <c r="U1862" s="96"/>
      <c r="V1862" s="96"/>
      <c r="W1862" s="96"/>
      <c r="X1862" s="1601"/>
      <c r="Y1862" s="1874"/>
      <c r="Z1862" s="1889"/>
      <c r="AB1862" s="538"/>
      <c r="AC1862" s="538"/>
      <c r="AD1862" s="538"/>
      <c r="AE1862" s="538"/>
      <c r="AF1862" s="538"/>
      <c r="AG1862" s="538"/>
      <c r="AH1862" s="538"/>
      <c r="AI1862" s="538"/>
      <c r="AJ1862" s="538"/>
      <c r="AK1862" s="538"/>
      <c r="AL1862" s="1352"/>
      <c r="AM1862" s="1352"/>
      <c r="AN1862" s="1352"/>
      <c r="AO1862" s="1352"/>
      <c r="AP1862" s="1352"/>
      <c r="AQ1862" s="1352"/>
      <c r="AR1862" s="1352"/>
      <c r="AS1862" s="1352"/>
      <c r="AT1862" s="538"/>
      <c r="AU1862" s="538"/>
      <c r="AV1862" s="538"/>
      <c r="AW1862" s="538"/>
      <c r="AX1862" s="585" t="str">
        <f>'Overview (Verification)'!A14</f>
        <v>State:</v>
      </c>
      <c r="AY1862" s="685" t="str">
        <f>IF(LEN('Overview (Verification)'!P14)=0,0,'Overview (Verification)'!P14)</f>
        <v>Georgia</v>
      </c>
      <c r="AZ1862" s="538"/>
      <c r="BA1862" s="538"/>
      <c r="BB1862" s="538"/>
      <c r="BC1862" s="685" t="str">
        <f>'Overview (Verification)'!T14</f>
        <v>State</v>
      </c>
      <c r="BD1862" s="685" t="str">
        <f>'Overview (Verification)'!U14</f>
        <v>County</v>
      </c>
      <c r="BE1862" s="685" t="str">
        <f>'Overview (Verification)'!V14</f>
        <v>Radon</v>
      </c>
      <c r="BF1862" s="685" t="str">
        <f>'Overview (Verification)'!W14</f>
        <v>Climate</v>
      </c>
      <c r="BG1862" s="685" t="str">
        <f>'Overview (Verification)'!X14</f>
        <v>Moist</v>
      </c>
      <c r="BH1862" s="685" t="str">
        <f>'Overview (Verification)'!Y14</f>
        <v>WarmHumid</v>
      </c>
    </row>
    <row r="1863" spans="1:60" hidden="1" x14ac:dyDescent="0.2">
      <c r="A1863" s="1507">
        <v>9</v>
      </c>
      <c r="B1863" s="1516" t="s">
        <v>2682</v>
      </c>
      <c r="C1863" s="1511"/>
      <c r="D1863" s="1511"/>
      <c r="E1863" s="1511"/>
      <c r="F1863" s="1511"/>
      <c r="G1863" s="1509" t="str">
        <f>G1862</f>
        <v/>
      </c>
      <c r="H1863" s="1510" t="s">
        <v>3197</v>
      </c>
      <c r="I1863" s="406"/>
      <c r="J1863" s="129"/>
      <c r="K1863" s="129"/>
      <c r="L1863" s="1772" t="s">
        <v>2850</v>
      </c>
      <c r="M1863" s="1623"/>
      <c r="N1863" s="1619"/>
      <c r="O1863" s="1619"/>
      <c r="P1863" s="96"/>
      <c r="Q1863" s="96"/>
      <c r="R1863" s="96"/>
      <c r="S1863" s="96"/>
      <c r="T1863" s="96"/>
      <c r="U1863" s="96"/>
      <c r="V1863" s="96"/>
      <c r="W1863" s="96"/>
      <c r="X1863" s="1601"/>
      <c r="Y1863" s="1874"/>
      <c r="Z1863" s="1889"/>
      <c r="AB1863" s="538"/>
      <c r="AC1863" s="538"/>
      <c r="AD1863" s="538"/>
      <c r="AE1863" s="538"/>
      <c r="AF1863" s="538"/>
      <c r="AG1863" s="538"/>
      <c r="AH1863" s="538"/>
      <c r="AI1863" s="538"/>
      <c r="AJ1863" s="538"/>
      <c r="AK1863" s="538"/>
      <c r="AL1863" s="1352"/>
      <c r="AM1863" s="1352"/>
      <c r="AN1863" s="1352"/>
      <c r="AO1863" s="1352"/>
      <c r="AP1863" s="1352"/>
      <c r="AQ1863" s="1352"/>
      <c r="AR1863" s="1352"/>
      <c r="AS1863" s="1352"/>
      <c r="AT1863" s="537"/>
      <c r="AU1863" s="537"/>
      <c r="AV1863" s="537"/>
      <c r="AW1863" s="538"/>
      <c r="AX1863" s="585" t="str">
        <f>'Overview (Verification)'!A15</f>
        <v>County:</v>
      </c>
      <c r="AY1863" s="685" t="str">
        <f>IF(LEN('Overview (Verification)'!P15)=0,0,'Overview (Verification)'!P15)</f>
        <v xml:space="preserve">Fulton  </v>
      </c>
      <c r="AZ1863" s="538"/>
      <c r="BA1863" s="538"/>
      <c r="BB1863" s="538"/>
      <c r="BC1863" s="685" t="str">
        <f>'Overview (Verification)'!T15</f>
        <v>Georgia</v>
      </c>
      <c r="BD1863" s="685" t="str">
        <f>'Overview (Verification)'!U15</f>
        <v xml:space="preserve">Fulton  </v>
      </c>
      <c r="BE1863" s="685">
        <f>'Overview (Verification)'!V15</f>
        <v>1</v>
      </c>
      <c r="BF1863" s="685">
        <f>'Overview (Verification)'!W15</f>
        <v>3</v>
      </c>
      <c r="BG1863" s="685" t="str">
        <f>'Overview (Verification)'!X15</f>
        <v>Moist</v>
      </c>
      <c r="BH1863" s="685" t="str">
        <f>'Overview (Verification)'!Y15</f>
        <v xml:space="preserve"> </v>
      </c>
    </row>
    <row r="1864" spans="1:60" hidden="1" x14ac:dyDescent="0.2">
      <c r="A1864" s="1507">
        <v>9</v>
      </c>
      <c r="B1864" s="1516" t="s">
        <v>2682</v>
      </c>
      <c r="C1864" s="1511"/>
      <c r="D1864" s="1511"/>
      <c r="E1864" s="1511"/>
      <c r="F1864" s="1511"/>
      <c r="G1864" s="1509" t="str">
        <f>G1863</f>
        <v/>
      </c>
      <c r="H1864" s="1510" t="s">
        <v>3197</v>
      </c>
      <c r="I1864" s="438"/>
      <c r="J1864" s="213"/>
      <c r="K1864" s="213"/>
      <c r="L1864" s="1773"/>
      <c r="M1864" s="1624"/>
      <c r="N1864" s="1620"/>
      <c r="O1864" s="1620"/>
      <c r="P1864" s="173"/>
      <c r="Q1864" s="173"/>
      <c r="R1864" s="173"/>
      <c r="S1864" s="173"/>
      <c r="T1864" s="173"/>
      <c r="U1864" s="173"/>
      <c r="V1864" s="173"/>
      <c r="W1864" s="173"/>
      <c r="X1864" s="1601"/>
      <c r="Y1864" s="1874"/>
      <c r="Z1864" s="1889"/>
      <c r="AB1864" s="538"/>
      <c r="AC1864" s="538"/>
      <c r="AD1864" s="538"/>
      <c r="AE1864" s="538"/>
      <c r="AF1864" s="538"/>
      <c r="AG1864" s="538"/>
      <c r="AH1864" s="538"/>
      <c r="AI1864" s="538"/>
      <c r="AJ1864" s="538"/>
      <c r="AK1864" s="538"/>
      <c r="AL1864" s="1352"/>
      <c r="AM1864" s="1352"/>
      <c r="AN1864" s="1352"/>
      <c r="AO1864" s="1352"/>
      <c r="AP1864" s="1352"/>
      <c r="AQ1864" s="1352"/>
      <c r="AR1864" s="1352"/>
      <c r="AS1864" s="1352"/>
      <c r="AT1864" s="538"/>
      <c r="AU1864" s="538"/>
      <c r="AV1864" s="538"/>
      <c r="AW1864" s="538"/>
      <c r="AX1864" s="585" t="str">
        <f>'Overview (Verification)'!A16</f>
        <v>Zip:</v>
      </c>
      <c r="AY1864" s="685" t="str">
        <f>IF(LEN('Overview (Verification)'!P16)=0,0,'Overview (Verification)'!P16)</f>
        <v>30311</v>
      </c>
      <c r="AZ1864" s="538"/>
      <c r="BA1864" s="538"/>
      <c r="BB1864" s="538"/>
      <c r="BC1864" s="538"/>
      <c r="BD1864" s="538"/>
      <c r="BE1864" s="538"/>
      <c r="BF1864" s="538"/>
      <c r="BG1864" s="538"/>
      <c r="BH1864" s="538"/>
    </row>
    <row r="1865" spans="1:60" hidden="1" x14ac:dyDescent="0.2">
      <c r="A1865" s="1507">
        <v>9</v>
      </c>
      <c r="B1865" s="1516" t="s">
        <v>2683</v>
      </c>
      <c r="C1865" s="1511"/>
      <c r="D1865" s="1511"/>
      <c r="E1865" s="1511"/>
      <c r="F1865" s="1511"/>
      <c r="G1865" s="1509" t="str">
        <f>IF(N1865&gt;0,"P","")</f>
        <v/>
      </c>
      <c r="H1865" s="1510" t="s">
        <v>3198</v>
      </c>
      <c r="I1865" s="192" t="s">
        <v>3663</v>
      </c>
      <c r="J1865" s="193"/>
      <c r="K1865" s="193"/>
      <c r="L1865" s="1712" t="s">
        <v>3745</v>
      </c>
      <c r="M1865" s="1636">
        <v>5</v>
      </c>
      <c r="N1865" s="1637">
        <f>'11.900'!O18</f>
        <v>0</v>
      </c>
      <c r="O1865" s="1637">
        <f>M1865*S1865*W1865</f>
        <v>0</v>
      </c>
      <c r="P1865" s="96" t="b">
        <v>1</v>
      </c>
      <c r="Q1865" s="96" t="b">
        <v>0</v>
      </c>
      <c r="R1865" s="195" t="b">
        <v>0</v>
      </c>
      <c r="S1865" s="195" t="b">
        <v>1</v>
      </c>
      <c r="T1865" s="195" t="b">
        <v>0</v>
      </c>
      <c r="U1865" s="195"/>
      <c r="V1865" s="195"/>
      <c r="W1865" s="27"/>
      <c r="X1865" s="1601"/>
      <c r="Y1865" s="1874" t="str">
        <f>IF(LEN('11.900'!X18)=0,"None",'11.900'!X18)</f>
        <v>None</v>
      </c>
      <c r="Z1865" s="1889"/>
      <c r="AB1865" s="538"/>
      <c r="AC1865" s="538"/>
      <c r="AD1865" s="538"/>
      <c r="AE1865" s="538"/>
      <c r="AF1865" s="720"/>
      <c r="AG1865" s="538"/>
      <c r="AH1865" s="538"/>
      <c r="AI1865" s="538"/>
      <c r="AJ1865" s="538"/>
      <c r="AK1865" s="538"/>
      <c r="AL1865" s="1352" t="str">
        <f>SUBSTITUTE(SUBSTITUTE(SUBSTITUTE("vpa"&amp;$B1865&amp;$C1865&amp;$D1865&amp;$E1865,".","_"),"(","_"),")","")</f>
        <v>vpa901_1_2</v>
      </c>
      <c r="AM1865" s="1352">
        <f>M1865</f>
        <v>5</v>
      </c>
      <c r="AN1865" s="1352" t="str">
        <f>SUBSTITUTE(SUBSTITUTE(SUBSTITUTE("vpc"&amp;$B1865&amp;$C1865&amp;$D1865&amp;$E1865,".","_"),"(","_"),")","")</f>
        <v>vpc901_1_2</v>
      </c>
      <c r="AO1865" s="1352">
        <f>O1865</f>
        <v>0</v>
      </c>
      <c r="AP1865" s="1352" t="str">
        <f>SUBSTITUTE(SUBSTITUTE(SUBSTITUTE("vch"&amp;$B1865&amp;$C1865&amp;$D1865&amp;$E1865,".","_"),"(","_"),")","")</f>
        <v>vch901_1_2</v>
      </c>
      <c r="AQ1865" s="1352" t="str">
        <f>IF(LEN(W1865)=0,"",W1865)</f>
        <v/>
      </c>
      <c r="AR1865" s="1352" t="str">
        <f>SUBSTITUTE(SUBSTITUTE(SUBSTITUTE("vnt"&amp;$B1865&amp;$C1865&amp;$D1865&amp;$E1865,".","_"),"(","_"),")","")</f>
        <v>vnt901_1_2</v>
      </c>
      <c r="AS1865" s="1352" t="str">
        <f>IF(LEN(X1865)=0,"",X1865)</f>
        <v/>
      </c>
      <c r="AT1865" s="538"/>
      <c r="AU1865" s="538"/>
      <c r="AV1865" s="538"/>
      <c r="AW1865" s="538"/>
      <c r="AX1865" s="539"/>
      <c r="AY1865" s="685"/>
      <c r="AZ1865" s="538"/>
      <c r="BA1865" s="538"/>
      <c r="BB1865" s="538"/>
      <c r="BC1865" s="538"/>
      <c r="BD1865" s="538"/>
      <c r="BE1865" s="538"/>
      <c r="BF1865" s="538"/>
      <c r="BG1865" s="538"/>
      <c r="BH1865" s="538"/>
    </row>
    <row r="1866" spans="1:60" hidden="1" x14ac:dyDescent="0.2">
      <c r="A1866" s="1507">
        <v>9</v>
      </c>
      <c r="B1866" s="1516" t="s">
        <v>2683</v>
      </c>
      <c r="C1866" s="1511"/>
      <c r="D1866" s="1511"/>
      <c r="E1866" s="1511"/>
      <c r="F1866" s="1511"/>
      <c r="G1866" s="1509" t="str">
        <f>G1865</f>
        <v/>
      </c>
      <c r="H1866" s="1510" t="s">
        <v>3198</v>
      </c>
      <c r="I1866" s="406"/>
      <c r="J1866" s="129"/>
      <c r="K1866" s="129"/>
      <c r="L1866" s="1629"/>
      <c r="M1866" s="1623"/>
      <c r="N1866" s="1619"/>
      <c r="O1866" s="1619"/>
      <c r="P1866" s="96"/>
      <c r="Q1866" s="96"/>
      <c r="R1866" s="96"/>
      <c r="S1866" s="96"/>
      <c r="T1866" s="96"/>
      <c r="U1866" s="96"/>
      <c r="V1866" s="96"/>
      <c r="W1866" s="96"/>
      <c r="X1866" s="1601"/>
      <c r="Y1866" s="1874"/>
      <c r="Z1866" s="1889"/>
      <c r="AB1866" s="538"/>
      <c r="AC1866" s="538"/>
      <c r="AD1866" s="538"/>
      <c r="AE1866" s="538"/>
      <c r="AF1866" s="538"/>
      <c r="AG1866" s="538"/>
      <c r="AH1866" s="538"/>
      <c r="AI1866" s="538"/>
      <c r="AJ1866" s="538"/>
      <c r="AK1866" s="538"/>
      <c r="AL1866" s="1352"/>
      <c r="AM1866" s="1352"/>
      <c r="AN1866" s="1352"/>
      <c r="AO1866" s="1352"/>
      <c r="AP1866" s="1352"/>
      <c r="AQ1866" s="1352"/>
      <c r="AR1866" s="1352"/>
      <c r="AS1866" s="1352"/>
      <c r="AT1866" s="538"/>
      <c r="AU1866" s="538"/>
      <c r="AV1866" s="538"/>
      <c r="AW1866" s="538"/>
      <c r="AX1866" s="585" t="str">
        <f>'Overview (Verification)'!A18</f>
        <v>Single-Family or Multifamily:</v>
      </c>
      <c r="AY1866" s="685" t="str">
        <f>IF(LEN('Overview (Verification)'!P18)=0,0,'Overview (Verification)'!P18)</f>
        <v>Multifamily</v>
      </c>
      <c r="AZ1866" s="538"/>
      <c r="BA1866" s="538"/>
      <c r="BB1866" s="538"/>
      <c r="BC1866" s="538"/>
      <c r="BD1866" s="538"/>
      <c r="BE1866" s="538"/>
      <c r="BF1866" s="538"/>
      <c r="BG1866" s="538"/>
      <c r="BH1866" s="538"/>
    </row>
    <row r="1867" spans="1:60" hidden="1" x14ac:dyDescent="0.2">
      <c r="A1867" s="1507">
        <v>9</v>
      </c>
      <c r="B1867" s="1516" t="s">
        <v>2683</v>
      </c>
      <c r="C1867" s="1511"/>
      <c r="D1867" s="1511"/>
      <c r="E1867" s="1511"/>
      <c r="F1867" s="1511"/>
      <c r="G1867" s="1509" t="str">
        <f>G1866</f>
        <v/>
      </c>
      <c r="H1867" s="1510" t="s">
        <v>3198</v>
      </c>
      <c r="I1867" s="438"/>
      <c r="J1867" s="213"/>
      <c r="K1867" s="213"/>
      <c r="L1867" s="561" t="s">
        <v>2936</v>
      </c>
      <c r="M1867" s="546"/>
      <c r="N1867" s="544"/>
      <c r="O1867" s="544"/>
      <c r="P1867" s="173"/>
      <c r="Q1867" s="173"/>
      <c r="R1867" s="173"/>
      <c r="S1867" s="173"/>
      <c r="T1867" s="173"/>
      <c r="U1867" s="173"/>
      <c r="V1867" s="173"/>
      <c r="W1867" s="173"/>
      <c r="X1867" s="1601"/>
      <c r="Y1867" s="1874"/>
      <c r="Z1867" s="1889"/>
      <c r="AB1867" s="538"/>
      <c r="AC1867" s="538"/>
      <c r="AD1867" s="538"/>
      <c r="AE1867" s="538"/>
      <c r="AF1867" s="538"/>
      <c r="AG1867" s="538"/>
      <c r="AH1867" s="538"/>
      <c r="AI1867" s="538"/>
      <c r="AJ1867" s="538"/>
      <c r="AK1867" s="538"/>
      <c r="AL1867" s="1352"/>
      <c r="AM1867" s="1352"/>
      <c r="AN1867" s="1352"/>
      <c r="AO1867" s="1352"/>
      <c r="AP1867" s="1352"/>
      <c r="AQ1867" s="1352"/>
      <c r="AR1867" s="1352"/>
      <c r="AS1867" s="1352"/>
      <c r="AT1867" s="538"/>
      <c r="AU1867" s="538"/>
      <c r="AV1867" s="538"/>
      <c r="AW1867" s="538"/>
      <c r="AX1867" s="585" t="str">
        <f>'Overview (Verification)'!A19</f>
        <v>Number of Units:</v>
      </c>
      <c r="AY1867" s="685">
        <f>IF(LEN('Overview (Verification)'!P19)=0,0,'Overview (Verification)'!P19)</f>
        <v>48</v>
      </c>
      <c r="AZ1867" s="538"/>
      <c r="BA1867" s="538"/>
      <c r="BB1867" s="538"/>
      <c r="BC1867" s="538"/>
      <c r="BD1867" s="538"/>
      <c r="BE1867" s="538"/>
      <c r="BF1867" s="538"/>
      <c r="BG1867" s="538"/>
      <c r="BH1867" s="538"/>
    </row>
    <row r="1868" spans="1:60" hidden="1" x14ac:dyDescent="0.2">
      <c r="A1868" s="1507">
        <v>9</v>
      </c>
      <c r="B1868" s="1516" t="s">
        <v>2684</v>
      </c>
      <c r="C1868" s="1511"/>
      <c r="D1868" s="1511"/>
      <c r="E1868" s="1511"/>
      <c r="F1868" s="1511"/>
      <c r="G1868" s="1513" t="str">
        <f ca="1">IF(COUNTIF(G1870:G1873,"P")&gt;0,"P","")</f>
        <v/>
      </c>
      <c r="H1868" s="1510" t="s">
        <v>3197</v>
      </c>
      <c r="I1868" s="67" t="s">
        <v>3664</v>
      </c>
      <c r="J1868" s="4"/>
      <c r="K1868" s="4"/>
      <c r="L1868" s="1631" t="s">
        <v>3744</v>
      </c>
      <c r="M1868" s="554"/>
      <c r="N1868" s="540"/>
      <c r="O1868" s="540"/>
      <c r="P1868" s="538"/>
      <c r="Q1868" s="538"/>
      <c r="R1868" s="538"/>
      <c r="S1868" s="538"/>
      <c r="T1868" s="538"/>
      <c r="U1868" s="538"/>
      <c r="V1868" s="538"/>
      <c r="W1868" s="538"/>
      <c r="X1868" s="538"/>
      <c r="Y1868" s="538"/>
      <c r="Z1868" s="670"/>
      <c r="AB1868" s="538"/>
      <c r="AC1868" s="538"/>
      <c r="AD1868" s="538"/>
      <c r="AE1868" s="538"/>
      <c r="AF1868" s="538"/>
      <c r="AG1868" s="538"/>
      <c r="AH1868" s="538"/>
      <c r="AI1868" s="538"/>
      <c r="AJ1868" s="538"/>
      <c r="AK1868" s="538"/>
      <c r="AL1868" s="1352"/>
      <c r="AM1868" s="1352"/>
      <c r="AN1868" s="1352"/>
      <c r="AO1868" s="1352"/>
      <c r="AP1868" s="1352"/>
      <c r="AQ1868" s="1352"/>
      <c r="AR1868" s="1352"/>
      <c r="AS1868" s="1352"/>
      <c r="AT1868" s="538"/>
      <c r="AU1868" s="538"/>
      <c r="AV1868" s="538"/>
      <c r="AW1868" s="538"/>
      <c r="AX1868" s="585" t="str">
        <f>'Overview (Verification)'!A23</f>
        <v>Project Name:</v>
      </c>
      <c r="AY1868" s="685" t="str">
        <f>IF(LEN('Overview (Verification)'!P23)=0,0,'Overview (Verification)'!P23)</f>
        <v>Towne West Manor</v>
      </c>
      <c r="AZ1868" s="538"/>
      <c r="BA1868" s="538"/>
      <c r="BB1868" s="538"/>
      <c r="BC1868" s="538"/>
      <c r="BD1868" s="538"/>
      <c r="BE1868" s="538"/>
      <c r="BF1868" s="538"/>
      <c r="BG1868" s="538"/>
      <c r="BH1868" s="538"/>
    </row>
    <row r="1869" spans="1:60" hidden="1" x14ac:dyDescent="0.2">
      <c r="A1869" s="1507">
        <v>9</v>
      </c>
      <c r="B1869" s="1516" t="s">
        <v>2684</v>
      </c>
      <c r="C1869" s="1511"/>
      <c r="D1869" s="1511"/>
      <c r="E1869" s="1511"/>
      <c r="F1869" s="1511"/>
      <c r="G1869" s="1509" t="str">
        <f ca="1">G1868</f>
        <v/>
      </c>
      <c r="H1869" s="1510" t="s">
        <v>3197</v>
      </c>
      <c r="I1869" s="161"/>
      <c r="J1869" s="4"/>
      <c r="K1869" s="4"/>
      <c r="L1869" s="1631"/>
      <c r="M1869" s="554"/>
      <c r="N1869" s="540"/>
      <c r="O1869" s="540"/>
      <c r="P1869" s="538"/>
      <c r="Q1869" s="538"/>
      <c r="R1869" s="538"/>
      <c r="S1869" s="538"/>
      <c r="T1869" s="538"/>
      <c r="U1869" s="538"/>
      <c r="V1869" s="538"/>
      <c r="W1869" s="538"/>
      <c r="X1869" s="538"/>
      <c r="Y1869" s="538"/>
      <c r="Z1869" s="670"/>
      <c r="AB1869" s="538"/>
      <c r="AC1869" s="538"/>
      <c r="AD1869" s="538"/>
      <c r="AE1869" s="538"/>
      <c r="AF1869" s="538"/>
      <c r="AG1869" s="538"/>
      <c r="AH1869" s="538"/>
      <c r="AI1869" s="538"/>
      <c r="AJ1869" s="538"/>
      <c r="AK1869" s="538"/>
      <c r="AL1869" s="1352"/>
      <c r="AM1869" s="1352"/>
      <c r="AN1869" s="1352"/>
      <c r="AO1869" s="1352"/>
      <c r="AP1869" s="1352"/>
      <c r="AQ1869" s="1352"/>
      <c r="AR1869" s="1352"/>
      <c r="AS1869" s="1352"/>
      <c r="AT1869" s="538"/>
      <c r="AU1869" s="538"/>
      <c r="AV1869" s="538"/>
      <c r="AW1869" s="538"/>
      <c r="AZ1869" s="538"/>
      <c r="BA1869" s="538"/>
      <c r="BB1869" s="538"/>
      <c r="BC1869" s="538"/>
      <c r="BD1869" s="538"/>
      <c r="BE1869" s="538"/>
      <c r="BF1869" s="538"/>
      <c r="BG1869" s="538"/>
      <c r="BH1869" s="538"/>
    </row>
    <row r="1870" spans="1:60" hidden="1" x14ac:dyDescent="0.2">
      <c r="A1870" s="1507">
        <v>9</v>
      </c>
      <c r="B1870" s="1516" t="s">
        <v>2684</v>
      </c>
      <c r="C1870" s="1511" t="s">
        <v>254</v>
      </c>
      <c r="D1870" s="1511"/>
      <c r="E1870" s="1511"/>
      <c r="F1870" s="1511"/>
      <c r="G1870" s="1509" t="str">
        <f ca="1">IF(N1870&gt;0,"P","")</f>
        <v/>
      </c>
      <c r="H1870" s="1510" t="s">
        <v>3197</v>
      </c>
      <c r="I1870" s="161"/>
      <c r="J1870" s="29" t="s">
        <v>254</v>
      </c>
      <c r="K1870" s="4"/>
      <c r="L1870" s="559" t="s">
        <v>2685</v>
      </c>
      <c r="M1870" s="554"/>
      <c r="N1870" s="540">
        <f ca="1">'11.900'!O23</f>
        <v>0</v>
      </c>
      <c r="O1870" s="540">
        <f ca="1">IFERROR(INDEX({3,5},MATCH(W1870,INDIRECT(U1870),0)),0)*S1870</f>
        <v>0</v>
      </c>
      <c r="P1870" s="96" t="b">
        <v>1</v>
      </c>
      <c r="Q1870" s="96" t="b">
        <v>1</v>
      </c>
      <c r="R1870" s="538" t="b">
        <v>0</v>
      </c>
      <c r="S1870" s="538" t="b">
        <f>OR(AY1883=INDEX(ddHeat1,1),AY1883=INDEX(ddHeat1,2),AY1884=INDEX(ddHeat2,1),AY1884=INDEX(ddHeat2,2),AY1885=INDEX(ddHeat3,1),AY1885=INDEX(ddHeat3,2))</f>
        <v>0</v>
      </c>
      <c r="T1870" s="96" t="b">
        <f>AND(NOT(S1870),LEN(W1870)&gt;0)</f>
        <v>0</v>
      </c>
      <c r="U1870" s="96" t="str">
        <f>SUBSTITUTE(SUBSTITUTE(SUBSTITUTE("dd"&amp;B1870&amp;C1870&amp;D1870&amp;E1870&amp;F1870,".","_"),"(","_"),")","")</f>
        <v>dd901_1_3_1</v>
      </c>
      <c r="V1870" s="538"/>
      <c r="W1870" s="12"/>
      <c r="X1870" s="1600"/>
      <c r="Y1870" s="1874" t="str">
        <f>IF(LEN('11.900'!X23)=0,"None",'11.900'!X23)</f>
        <v>None</v>
      </c>
      <c r="Z1870" s="1889"/>
      <c r="AB1870" s="538"/>
      <c r="AC1870" s="1150" t="b">
        <f>OR(AD1870:AE1870)</f>
        <v>0</v>
      </c>
      <c r="AD1870" s="1150" t="b">
        <f>T1870</f>
        <v>0</v>
      </c>
      <c r="AE1870" s="1150"/>
      <c r="AF1870" s="538"/>
      <c r="AG1870" s="538"/>
      <c r="AH1870" s="538"/>
      <c r="AI1870" s="538"/>
      <c r="AJ1870" s="538"/>
      <c r="AK1870" s="538"/>
      <c r="AL1870" s="1352"/>
      <c r="AM1870" s="1352"/>
      <c r="AN1870" s="1352" t="str">
        <f>SUBSTITUTE(SUBSTITUTE(SUBSTITUTE("vpc"&amp;$B1870&amp;$C1870&amp;$D1870&amp;$E1870,".","_"),"(","_"),")","")</f>
        <v>vpc901_1_3_1</v>
      </c>
      <c r="AO1870" s="1352">
        <f ca="1">O1870</f>
        <v>0</v>
      </c>
      <c r="AP1870" s="1352" t="str">
        <f>SUBSTITUTE(SUBSTITUTE(SUBSTITUTE("vch"&amp;$B1870&amp;$C1870&amp;$D1870&amp;$E1870,".","_"),"(","_"),")","")</f>
        <v>vch901_1_3_1</v>
      </c>
      <c r="AQ1870" s="1352" t="str">
        <f>IF(LEN(W1870)=0,"",W1870)</f>
        <v/>
      </c>
      <c r="AR1870" s="1352" t="str">
        <f>SUBSTITUTE(SUBSTITUTE(SUBSTITUTE("vnt"&amp;$B1870&amp;$C1870&amp;$D1870&amp;$E1870,".","_"),"(","_"),")","")</f>
        <v>vnt901_1_3_1</v>
      </c>
      <c r="AS1870" s="1352" t="str">
        <f>IF(LEN(X1870)=0,"",X1870)</f>
        <v/>
      </c>
      <c r="AT1870" s="538"/>
      <c r="AU1870" s="538"/>
      <c r="AV1870" s="538"/>
      <c r="AW1870" s="538"/>
      <c r="AX1870" s="585" t="str">
        <f>'Overview (Verification)'!A25</f>
        <v>Above grade plane finished floor area:</v>
      </c>
      <c r="AY1870" s="685">
        <f>IF(LEN('Overview (Verification)'!P25)=0,0,'Overview (Verification)'!P25)</f>
        <v>1184</v>
      </c>
      <c r="AZ1870" s="538"/>
      <c r="BA1870" s="538"/>
      <c r="BB1870" s="538"/>
      <c r="BC1870" s="538"/>
      <c r="BD1870" s="538"/>
      <c r="BE1870" s="538"/>
      <c r="BF1870" s="538"/>
      <c r="BG1870" s="538"/>
      <c r="BH1870" s="538"/>
    </row>
    <row r="1871" spans="1:60" hidden="1" x14ac:dyDescent="0.2">
      <c r="A1871" s="1507">
        <v>9</v>
      </c>
      <c r="B1871" s="1516" t="s">
        <v>2684</v>
      </c>
      <c r="C1871" s="1511" t="s">
        <v>254</v>
      </c>
      <c r="D1871" s="1524" t="s">
        <v>121</v>
      </c>
      <c r="E1871" s="1524"/>
      <c r="F1871" s="1524"/>
      <c r="G1871" s="1509" t="str">
        <f ca="1">G1870</f>
        <v/>
      </c>
      <c r="H1871" s="1538" t="s">
        <v>3197</v>
      </c>
      <c r="I1871" s="161"/>
      <c r="J1871" s="29"/>
      <c r="K1871" s="29" t="s">
        <v>121</v>
      </c>
      <c r="L1871" s="559" t="s">
        <v>2686</v>
      </c>
      <c r="M1871" s="554">
        <v>3</v>
      </c>
      <c r="N1871" s="540"/>
      <c r="O1871" s="540"/>
      <c r="P1871" s="538"/>
      <c r="Q1871" s="538"/>
      <c r="R1871" s="538"/>
      <c r="S1871" s="538"/>
      <c r="T1871" s="538"/>
      <c r="U1871" s="538"/>
      <c r="V1871" s="538"/>
      <c r="W1871" s="538"/>
      <c r="X1871" s="1600"/>
      <c r="Y1871" s="1874"/>
      <c r="Z1871" s="1889"/>
      <c r="AB1871" s="538"/>
      <c r="AC1871" s="1150"/>
      <c r="AD1871" s="1150"/>
      <c r="AE1871" s="1150"/>
      <c r="AF1871" s="538"/>
      <c r="AG1871" s="538"/>
      <c r="AH1871" s="538"/>
      <c r="AI1871" s="538"/>
      <c r="AJ1871" s="538"/>
      <c r="AK1871" s="538"/>
      <c r="AL1871" s="1352" t="str">
        <f>SUBSTITUTE(SUBSTITUTE(SUBSTITUTE("vpa"&amp;$B1871&amp;$C1871&amp;$D1871&amp;$E1871,".","_"),"(","_"),")","")</f>
        <v>vpa901_1_3_1_a</v>
      </c>
      <c r="AM1871" s="1352">
        <f>M1871</f>
        <v>3</v>
      </c>
      <c r="AN1871" s="1352"/>
      <c r="AO1871" s="1352"/>
      <c r="AP1871" s="1352"/>
      <c r="AQ1871" s="1352"/>
      <c r="AR1871" s="1352"/>
      <c r="AS1871" s="1352"/>
      <c r="AT1871" s="538"/>
      <c r="AU1871" s="538"/>
      <c r="AV1871" s="538"/>
      <c r="AW1871" s="538"/>
      <c r="AX1871" s="585" t="str">
        <f>'Overview (Verification)'!A26</f>
        <v>Total conditioned floor area:</v>
      </c>
      <c r="AY1871" s="685">
        <f>IF(LEN('Overview (Verification)'!P26)=0,0,'Overview (Verification)'!P26)</f>
        <v>20128</v>
      </c>
      <c r="AZ1871" s="538"/>
      <c r="BA1871" s="538"/>
      <c r="BB1871" s="538"/>
      <c r="BC1871" s="538"/>
      <c r="BD1871" s="538"/>
      <c r="BE1871" s="538"/>
      <c r="BF1871" s="538"/>
      <c r="BG1871" s="538"/>
      <c r="BH1871" s="538"/>
    </row>
    <row r="1872" spans="1:60" hidden="1" x14ac:dyDescent="0.2">
      <c r="A1872" s="1507">
        <v>9</v>
      </c>
      <c r="B1872" s="1516" t="s">
        <v>2684</v>
      </c>
      <c r="C1872" s="1511" t="s">
        <v>254</v>
      </c>
      <c r="D1872" s="1524" t="s">
        <v>122</v>
      </c>
      <c r="E1872" s="1524"/>
      <c r="F1872" s="1524"/>
      <c r="G1872" s="1509" t="str">
        <f ca="1">G1871</f>
        <v/>
      </c>
      <c r="H1872" s="1538" t="s">
        <v>3197</v>
      </c>
      <c r="I1872" s="161"/>
      <c r="J1872" s="207"/>
      <c r="K1872" s="207" t="s">
        <v>122</v>
      </c>
      <c r="L1872" s="550" t="s">
        <v>2687</v>
      </c>
      <c r="M1872" s="546">
        <v>5</v>
      </c>
      <c r="N1872" s="544"/>
      <c r="O1872" s="544"/>
      <c r="P1872" s="538"/>
      <c r="Q1872" s="538"/>
      <c r="R1872" s="538"/>
      <c r="S1872" s="538"/>
      <c r="T1872" s="538"/>
      <c r="U1872" s="538"/>
      <c r="V1872" s="538"/>
      <c r="W1872" s="538"/>
      <c r="X1872" s="1600"/>
      <c r="Y1872" s="1874"/>
      <c r="Z1872" s="1889"/>
      <c r="AB1872" s="538"/>
      <c r="AC1872" s="1150"/>
      <c r="AD1872" s="1150"/>
      <c r="AE1872" s="1150"/>
      <c r="AF1872" s="538"/>
      <c r="AG1872" s="538"/>
      <c r="AH1872" s="538"/>
      <c r="AI1872" s="538"/>
      <c r="AJ1872" s="538"/>
      <c r="AK1872" s="538"/>
      <c r="AL1872" s="1352" t="str">
        <f>SUBSTITUTE(SUBSTITUTE(SUBSTITUTE("vpa"&amp;$B1872&amp;$C1872&amp;$D1872&amp;$E1872,".","_"),"(","_"),")","")</f>
        <v>vpa901_1_3_1_b</v>
      </c>
      <c r="AM1872" s="1352">
        <f>M1872</f>
        <v>5</v>
      </c>
      <c r="AN1872" s="1352"/>
      <c r="AO1872" s="1352"/>
      <c r="AP1872" s="1352"/>
      <c r="AQ1872" s="1352"/>
      <c r="AR1872" s="1352"/>
      <c r="AS1872" s="1352"/>
      <c r="AT1872" s="538"/>
      <c r="AU1872" s="538"/>
      <c r="AV1872" s="538"/>
      <c r="AW1872" s="538"/>
      <c r="AX1872" s="585" t="str">
        <f>'Overview (Verification)'!A27</f>
        <v>Stories above grade:</v>
      </c>
      <c r="AY1872" s="685">
        <f>IF(LEN('Overview (Verification)'!P27)=0,0,'Overview (Verification)'!P27)</f>
        <v>2</v>
      </c>
      <c r="AZ1872" s="538"/>
      <c r="BA1872" s="538"/>
      <c r="BB1872" s="538"/>
      <c r="BC1872" s="538"/>
      <c r="BD1872" s="538"/>
      <c r="BE1872" s="538"/>
      <c r="BF1872" s="538"/>
      <c r="BG1872" s="538"/>
      <c r="BH1872" s="538"/>
    </row>
    <row r="1873" spans="1:60" hidden="1" x14ac:dyDescent="0.2">
      <c r="A1873" s="1507">
        <v>9</v>
      </c>
      <c r="B1873" s="1516" t="s">
        <v>2684</v>
      </c>
      <c r="C1873" s="1511" t="s">
        <v>255</v>
      </c>
      <c r="D1873" s="1524"/>
      <c r="E1873" s="1524"/>
      <c r="F1873" s="1524"/>
      <c r="G1873" s="1509" t="str">
        <f ca="1">IF(N1873&gt;0,"P","")</f>
        <v/>
      </c>
      <c r="H1873" s="1527" t="s">
        <v>3197</v>
      </c>
      <c r="I1873" s="406"/>
      <c r="J1873" s="180" t="s">
        <v>255</v>
      </c>
      <c r="K1873" s="129"/>
      <c r="L1873" s="549" t="s">
        <v>2688</v>
      </c>
      <c r="M1873" s="545"/>
      <c r="N1873" s="543">
        <f ca="1">'11.900'!O26</f>
        <v>0</v>
      </c>
      <c r="O1873" s="543">
        <f ca="1">IFERROR(INDEX({3,5},MATCH(W1873,INDIRECT(U1873),0)),0)*S1873</f>
        <v>0</v>
      </c>
      <c r="P1873" s="96" t="b">
        <v>1</v>
      </c>
      <c r="Q1873" s="96" t="b">
        <v>1</v>
      </c>
      <c r="R1873" s="96" t="b">
        <v>0</v>
      </c>
      <c r="S1873" s="96" t="b">
        <v>1</v>
      </c>
      <c r="T1873" s="96" t="b">
        <v>0</v>
      </c>
      <c r="U1873" s="96" t="str">
        <f>SUBSTITUTE(SUBSTITUTE(SUBSTITUTE("dd"&amp;B1873&amp;C1873&amp;D1873&amp;E1873&amp;F1873,".","_"),"(","_"),")","")</f>
        <v>dd901_1_3_2</v>
      </c>
      <c r="V1873" s="96"/>
      <c r="W1873" s="12"/>
      <c r="X1873" s="1601"/>
      <c r="Y1873" s="1874" t="str">
        <f>IF(LEN('11.900'!X26)=0,"None",'11.900'!X26)</f>
        <v>None</v>
      </c>
      <c r="Z1873" s="1889"/>
      <c r="AB1873" s="538"/>
      <c r="AC1873" s="1150"/>
      <c r="AD1873" s="1150"/>
      <c r="AE1873" s="1150"/>
      <c r="AF1873" s="538"/>
      <c r="AG1873" s="538"/>
      <c r="AH1873" s="538"/>
      <c r="AI1873" s="538"/>
      <c r="AJ1873" s="538"/>
      <c r="AK1873" s="538"/>
      <c r="AL1873" s="1352"/>
      <c r="AM1873" s="1352"/>
      <c r="AN1873" s="1352" t="str">
        <f>SUBSTITUTE(SUBSTITUTE(SUBSTITUTE("vpc"&amp;$B1873&amp;$C1873&amp;$D1873&amp;$E1873,".","_"),"(","_"),")","")</f>
        <v>vpc901_1_3_2</v>
      </c>
      <c r="AO1873" s="1352">
        <f ca="1">O1873</f>
        <v>0</v>
      </c>
      <c r="AP1873" s="1352" t="str">
        <f>SUBSTITUTE(SUBSTITUTE(SUBSTITUTE("vch"&amp;$B1873&amp;$C1873&amp;$D1873&amp;$E1873,".","_"),"(","_"),")","")</f>
        <v>vch901_1_3_2</v>
      </c>
      <c r="AQ1873" s="1352" t="str">
        <f>IF(LEN(W1873)=0,"",W1873)</f>
        <v/>
      </c>
      <c r="AR1873" s="1352" t="str">
        <f>SUBSTITUTE(SUBSTITUTE(SUBSTITUTE("vnt"&amp;$B1873&amp;$C1873&amp;$D1873&amp;$E1873,".","_"),"(","_"),")","")</f>
        <v>vnt901_1_3_2</v>
      </c>
      <c r="AS1873" s="1352" t="str">
        <f>IF(LEN(X1873)=0,"",X1873)</f>
        <v/>
      </c>
      <c r="AT1873" s="538"/>
      <c r="AU1873" s="538"/>
      <c r="AV1873" s="538"/>
      <c r="AW1873" s="538"/>
      <c r="AZ1873" s="538"/>
      <c r="BA1873" s="538"/>
      <c r="BB1873" s="538"/>
      <c r="BC1873" s="538"/>
      <c r="BD1873" s="538"/>
      <c r="BE1873" s="538"/>
      <c r="BF1873" s="538"/>
      <c r="BG1873" s="538"/>
      <c r="BH1873" s="538"/>
    </row>
    <row r="1874" spans="1:60" hidden="1" x14ac:dyDescent="0.2">
      <c r="A1874" s="1507">
        <v>9</v>
      </c>
      <c r="B1874" s="1516" t="s">
        <v>2684</v>
      </c>
      <c r="C1874" s="1511" t="s">
        <v>255</v>
      </c>
      <c r="D1874" s="1524" t="s">
        <v>121</v>
      </c>
      <c r="E1874" s="1524"/>
      <c r="F1874" s="1524"/>
      <c r="G1874" s="1509" t="str">
        <f ca="1">G1873</f>
        <v/>
      </c>
      <c r="H1874" s="1538" t="s">
        <v>3197</v>
      </c>
      <c r="I1874" s="406"/>
      <c r="J1874" s="129"/>
      <c r="K1874" s="180" t="s">
        <v>121</v>
      </c>
      <c r="L1874" s="549" t="s">
        <v>2689</v>
      </c>
      <c r="M1874" s="545">
        <v>3</v>
      </c>
      <c r="N1874" s="543"/>
      <c r="O1874" s="543"/>
      <c r="P1874" s="96"/>
      <c r="Q1874" s="96"/>
      <c r="R1874" s="96"/>
      <c r="S1874" s="96"/>
      <c r="T1874" s="96"/>
      <c r="U1874" s="96"/>
      <c r="V1874" s="96"/>
      <c r="W1874" s="96"/>
      <c r="X1874" s="1601"/>
      <c r="Y1874" s="1874"/>
      <c r="Z1874" s="1889"/>
      <c r="AB1874" s="538"/>
      <c r="AC1874" s="538"/>
      <c r="AD1874" s="538"/>
      <c r="AE1874" s="538"/>
      <c r="AF1874" s="538"/>
      <c r="AG1874" s="538"/>
      <c r="AH1874" s="538"/>
      <c r="AI1874" s="538"/>
      <c r="AJ1874" s="538"/>
      <c r="AK1874" s="538"/>
      <c r="AL1874" s="1352" t="str">
        <f>SUBSTITUTE(SUBSTITUTE(SUBSTITUTE("vpa"&amp;$B1874&amp;$C1874&amp;$D1874&amp;$E1874,".","_"),"(","_"),")","")</f>
        <v>vpa901_1_3_2_a</v>
      </c>
      <c r="AM1874" s="1352">
        <f>M1874</f>
        <v>3</v>
      </c>
      <c r="AN1874" s="1352"/>
      <c r="AO1874" s="1352"/>
      <c r="AP1874" s="1352"/>
      <c r="AQ1874" s="1352"/>
      <c r="AR1874" s="1352"/>
      <c r="AS1874" s="1352"/>
      <c r="AT1874" s="538"/>
      <c r="AU1874" s="538"/>
      <c r="AV1874" s="538"/>
      <c r="AW1874" s="538"/>
      <c r="AX1874" s="807" t="str">
        <f>'Overview (Verification)'!A29</f>
        <v>Year Built:</v>
      </c>
      <c r="AY1874" s="808">
        <f>IF(LEN('Overview (Verification)'!P29)=0,0,'Overview (Verification)'!P29)</f>
        <v>1969</v>
      </c>
      <c r="AZ1874" s="538"/>
      <c r="BA1874" s="538"/>
      <c r="BB1874" s="538"/>
      <c r="BC1874" s="538"/>
      <c r="BD1874" s="538"/>
      <c r="BE1874" s="538"/>
      <c r="BF1874" s="538"/>
      <c r="BG1874" s="538"/>
      <c r="BH1874" s="538"/>
    </row>
    <row r="1875" spans="1:60" hidden="1" x14ac:dyDescent="0.2">
      <c r="A1875" s="1507">
        <v>9</v>
      </c>
      <c r="B1875" s="1516" t="s">
        <v>2684</v>
      </c>
      <c r="C1875" s="1511" t="s">
        <v>255</v>
      </c>
      <c r="D1875" s="1524" t="s">
        <v>122</v>
      </c>
      <c r="E1875" s="1524"/>
      <c r="F1875" s="1524"/>
      <c r="G1875" s="1509" t="str">
        <f ca="1">G1874</f>
        <v/>
      </c>
      <c r="H1875" s="1538" t="s">
        <v>3197</v>
      </c>
      <c r="I1875" s="438"/>
      <c r="J1875" s="213"/>
      <c r="K1875" s="207" t="s">
        <v>122</v>
      </c>
      <c r="L1875" s="550" t="s">
        <v>2690</v>
      </c>
      <c r="M1875" s="546">
        <v>5</v>
      </c>
      <c r="N1875" s="544"/>
      <c r="O1875" s="544"/>
      <c r="P1875" s="173"/>
      <c r="Q1875" s="173"/>
      <c r="R1875" s="173"/>
      <c r="S1875" s="173"/>
      <c r="T1875" s="173"/>
      <c r="U1875" s="173"/>
      <c r="V1875" s="173"/>
      <c r="W1875" s="173"/>
      <c r="X1875" s="1601"/>
      <c r="Y1875" s="1874"/>
      <c r="Z1875" s="1889"/>
      <c r="AB1875" s="538"/>
      <c r="AC1875" s="538"/>
      <c r="AD1875" s="538"/>
      <c r="AE1875" s="538"/>
      <c r="AF1875" s="538"/>
      <c r="AG1875" s="538"/>
      <c r="AH1875" s="538"/>
      <c r="AI1875" s="538"/>
      <c r="AJ1875" s="538"/>
      <c r="AK1875" s="538"/>
      <c r="AL1875" s="1352" t="str">
        <f>SUBSTITUTE(SUBSTITUTE(SUBSTITUTE("vpa"&amp;$B1875&amp;$C1875&amp;$D1875&amp;$E1875,".","_"),"(","_"),")","")</f>
        <v>vpa901_1_3_2_b</v>
      </c>
      <c r="AM1875" s="1352">
        <f>M1875</f>
        <v>5</v>
      </c>
      <c r="AN1875" s="1352"/>
      <c r="AO1875" s="1352"/>
      <c r="AP1875" s="1352"/>
      <c r="AQ1875" s="1352"/>
      <c r="AR1875" s="1352"/>
      <c r="AS1875" s="1352"/>
      <c r="AT1875" s="538"/>
      <c r="AU1875" s="538"/>
      <c r="AV1875" s="538"/>
      <c r="AW1875" s="538"/>
      <c r="AX1875" s="1167" t="str">
        <f>'Overview (Verification)'!A30</f>
        <v>Energy Baseline Year:</v>
      </c>
      <c r="AY1875" s="1168">
        <f>IF(LEN('Overview (Verification)'!P30)=0,0,'Overview (Verification)'!P30)</f>
        <v>2020</v>
      </c>
      <c r="AZ1875" s="538"/>
      <c r="BA1875" s="538"/>
      <c r="BB1875" s="538"/>
      <c r="BC1875" s="538"/>
      <c r="BD1875" s="538"/>
      <c r="BE1875" s="538"/>
      <c r="BF1875" s="538"/>
      <c r="BG1875" s="538"/>
      <c r="BH1875" s="538"/>
    </row>
    <row r="1876" spans="1:60" x14ac:dyDescent="0.2">
      <c r="A1876" s="1507">
        <v>9</v>
      </c>
      <c r="B1876" s="1516" t="s">
        <v>2691</v>
      </c>
      <c r="C1876" s="1511"/>
      <c r="D1876" s="1511"/>
      <c r="E1876" s="1511"/>
      <c r="F1876" s="1511"/>
      <c r="G1876" s="1509" t="str">
        <f>IF(IFERROR(SEARCH("Mandatory",M1876),FALSE),"P","")</f>
        <v>P</v>
      </c>
      <c r="H1876" s="1510" t="s">
        <v>3198</v>
      </c>
      <c r="I1876" s="130" t="s">
        <v>3665</v>
      </c>
      <c r="J1876" s="129"/>
      <c r="K1876" s="129"/>
      <c r="L1876" s="1629" t="s">
        <v>4954</v>
      </c>
      <c r="M1876" s="1697" t="str">
        <f>IF(R1876,"Mandatory","N/A")</f>
        <v>Mandatory</v>
      </c>
      <c r="N1876" s="543"/>
      <c r="O1876" s="543"/>
      <c r="P1876" s="96" t="b">
        <v>1</v>
      </c>
      <c r="Q1876" s="96" t="b">
        <v>0</v>
      </c>
      <c r="R1876" s="96" t="b">
        <f>S1876</f>
        <v>1</v>
      </c>
      <c r="S1876" s="96" t="b">
        <v>1</v>
      </c>
      <c r="T1876" s="96" t="b">
        <v>0</v>
      </c>
      <c r="U1876" s="96" t="str">
        <f>SUBSTITUTE(SUBSTITUTE(SUBSTITUTE("dd"&amp;B1876&amp;C1876&amp;D1876&amp;E1876&amp;F1876,".","_"),"(","_"),")","")</f>
        <v>dd901_1_4</v>
      </c>
      <c r="V1876" s="96"/>
      <c r="W1876" s="12" t="s">
        <v>2590</v>
      </c>
      <c r="X1876" s="1599"/>
      <c r="Y1876" s="1874" t="str">
        <f>IF(LEN('11.900'!X29)=0,"None",'11.900'!X29)</f>
        <v>None</v>
      </c>
      <c r="Z1876" s="1889"/>
      <c r="AB1876" s="538"/>
      <c r="AC1876" s="538" t="b">
        <f>OR(AD1876:AE1876)</f>
        <v>0</v>
      </c>
      <c r="AD1876" s="538" t="b">
        <f>T1876</f>
        <v>0</v>
      </c>
      <c r="AE1876" s="538" t="b">
        <f>AND(R1876,OR(W1876="Not Met",W1876=""))</f>
        <v>0</v>
      </c>
      <c r="AF1876" s="720" t="b">
        <f>AND(AE1876,NOT(Q1876))</f>
        <v>0</v>
      </c>
      <c r="AG1876" s="538"/>
      <c r="AH1876" s="538"/>
      <c r="AI1876" s="538"/>
      <c r="AJ1876" s="538"/>
      <c r="AK1876" s="538"/>
      <c r="AL1876" s="1352" t="str">
        <f>SUBSTITUTE(SUBSTITUTE(SUBSTITUTE("vpa"&amp;$B1876&amp;$C1876&amp;$D1876&amp;$E1876,".","_"),"(","_"),")","")</f>
        <v>vpa901_1_4</v>
      </c>
      <c r="AM1876" s="1352" t="str">
        <f>M1876</f>
        <v>Mandatory</v>
      </c>
      <c r="AN1876" s="1352"/>
      <c r="AO1876" s="1352"/>
      <c r="AP1876" s="1352" t="str">
        <f>SUBSTITUTE(SUBSTITUTE(SUBSTITUTE("vch"&amp;$B1876&amp;$C1876&amp;$D1876&amp;$E1876,".","_"),"(","_"),")","")</f>
        <v>vch901_1_4</v>
      </c>
      <c r="AQ1876" s="1352" t="str">
        <f>IF(LEN(W1876)=0,"",W1876)</f>
        <v>N/A</v>
      </c>
      <c r="AR1876" s="1352" t="str">
        <f>SUBSTITUTE(SUBSTITUTE(SUBSTITUTE("vnt"&amp;$B1876&amp;$C1876&amp;$D1876&amp;$E1876,".","_"),"(","_"),")","")</f>
        <v>vnt901_1_4</v>
      </c>
      <c r="AS1876" s="1352" t="str">
        <f>IF(LEN(X1876)=0,"",X1876)</f>
        <v/>
      </c>
      <c r="AT1876" s="538"/>
      <c r="AU1876" s="538"/>
      <c r="AV1876" s="538"/>
      <c r="AW1876" s="538"/>
      <c r="AX1876" s="1167" t="str">
        <f>'Overview (Verification)'!A31</f>
        <v>Water Baseline Year:</v>
      </c>
      <c r="AY1876" s="1168">
        <f>IF(LEN('Overview (Verification)'!P31)=0,0,'Overview (Verification)'!P31)</f>
        <v>2020</v>
      </c>
      <c r="AZ1876" s="538"/>
      <c r="BA1876" s="538"/>
      <c r="BB1876" s="538"/>
      <c r="BC1876" s="538"/>
      <c r="BD1876" s="538"/>
      <c r="BE1876" s="538"/>
      <c r="BF1876" s="538"/>
      <c r="BG1876" s="538"/>
      <c r="BH1876" s="538"/>
    </row>
    <row r="1877" spans="1:60" x14ac:dyDescent="0.2">
      <c r="A1877" s="1507">
        <v>9</v>
      </c>
      <c r="B1877" s="1516" t="s">
        <v>2691</v>
      </c>
      <c r="C1877" s="1511"/>
      <c r="D1877" s="1511"/>
      <c r="E1877" s="1511"/>
      <c r="F1877" s="1511"/>
      <c r="G1877" s="1509" t="str">
        <f>G1876</f>
        <v>P</v>
      </c>
      <c r="H1877" s="1510" t="s">
        <v>3198</v>
      </c>
      <c r="I1877" s="406"/>
      <c r="J1877" s="129"/>
      <c r="K1877" s="129"/>
      <c r="L1877" s="1629"/>
      <c r="M1877" s="1697"/>
      <c r="N1877" s="543"/>
      <c r="O1877" s="543"/>
      <c r="P1877" s="96"/>
      <c r="Q1877" s="96"/>
      <c r="R1877" s="96"/>
      <c r="S1877" s="96"/>
      <c r="T1877" s="96"/>
      <c r="U1877" s="96"/>
      <c r="V1877" s="96"/>
      <c r="W1877" s="96"/>
      <c r="X1877" s="1601"/>
      <c r="Y1877" s="1874"/>
      <c r="Z1877" s="1889"/>
      <c r="AB1877" s="538"/>
      <c r="AC1877" s="538"/>
      <c r="AD1877" s="538"/>
      <c r="AE1877" s="538"/>
      <c r="AF1877" s="538"/>
      <c r="AG1877" s="538"/>
      <c r="AH1877" s="538"/>
      <c r="AI1877" s="538"/>
      <c r="AJ1877" s="538"/>
      <c r="AK1877" s="538"/>
      <c r="AL1877" s="1352"/>
      <c r="AM1877" s="1352"/>
      <c r="AN1877" s="1352"/>
      <c r="AO1877" s="1352"/>
      <c r="AP1877" s="1352"/>
      <c r="AQ1877" s="1352"/>
      <c r="AR1877" s="1352"/>
      <c r="AS1877" s="1352"/>
      <c r="AT1877" s="538"/>
      <c r="AU1877" s="538"/>
      <c r="AV1877" s="538"/>
      <c r="AW1877" s="538"/>
      <c r="AX1877" s="585" t="str">
        <f>'Overview (Verification)'!A32</f>
        <v xml:space="preserve">Project Description: </v>
      </c>
      <c r="AY1877" s="685" t="str">
        <f>IF(LEN('Overview (Verification)'!P32)=0,0,'Overview (Verification)'!P32)</f>
        <v>n/a</v>
      </c>
      <c r="AZ1877" s="538"/>
      <c r="BA1877" s="538"/>
      <c r="BB1877" s="538"/>
      <c r="BC1877" s="538"/>
      <c r="BD1877" s="538"/>
      <c r="BE1877" s="538"/>
      <c r="BF1877" s="538"/>
      <c r="BG1877" s="538"/>
      <c r="BH1877" s="538"/>
    </row>
    <row r="1878" spans="1:60" s="905" customFormat="1" x14ac:dyDescent="0.2">
      <c r="A1878" s="1507">
        <v>9</v>
      </c>
      <c r="B1878" s="1516" t="s">
        <v>2691</v>
      </c>
      <c r="C1878" s="1511"/>
      <c r="D1878" s="1511"/>
      <c r="E1878" s="1511"/>
      <c r="F1878" s="1511"/>
      <c r="G1878" s="1509" t="str">
        <f>G1877</f>
        <v>P</v>
      </c>
      <c r="H1878" s="1510" t="s">
        <v>3198</v>
      </c>
      <c r="I1878" s="406"/>
      <c r="J1878" s="129"/>
      <c r="K1878" s="129"/>
      <c r="L1878" s="1629"/>
      <c r="M1878" s="1697"/>
      <c r="N1878" s="908"/>
      <c r="O1878" s="908"/>
      <c r="P1878" s="991"/>
      <c r="Q1878" s="991"/>
      <c r="R1878" s="991"/>
      <c r="S1878" s="991"/>
      <c r="T1878" s="991"/>
      <c r="U1878" s="991"/>
      <c r="V1878" s="991"/>
      <c r="W1878" s="991"/>
      <c r="X1878" s="1601"/>
      <c r="Y1878" s="1874"/>
      <c r="Z1878" s="1889"/>
      <c r="AL1878" s="1352"/>
      <c r="AM1878" s="1352"/>
      <c r="AN1878" s="1352"/>
      <c r="AO1878" s="1352"/>
      <c r="AP1878" s="1352"/>
      <c r="AQ1878" s="1352"/>
      <c r="AR1878" s="1352"/>
      <c r="AS1878" s="1352"/>
      <c r="AX1878" s="1167"/>
      <c r="AY1878" s="1168"/>
    </row>
    <row r="1879" spans="1:60" x14ac:dyDescent="0.2">
      <c r="A1879" s="1507">
        <v>9</v>
      </c>
      <c r="B1879" s="1516" t="s">
        <v>2691</v>
      </c>
      <c r="C1879" s="1511"/>
      <c r="D1879" s="1511"/>
      <c r="E1879" s="1511"/>
      <c r="F1879" s="1511"/>
      <c r="G1879" s="1509" t="str">
        <f>G1878</f>
        <v>P</v>
      </c>
      <c r="H1879" s="1510" t="s">
        <v>3198</v>
      </c>
      <c r="I1879" s="406"/>
      <c r="J1879" s="129"/>
      <c r="K1879" s="129"/>
      <c r="L1879" s="1629"/>
      <c r="M1879" s="1697"/>
      <c r="N1879" s="543"/>
      <c r="O1879" s="543"/>
      <c r="P1879" s="96"/>
      <c r="Q1879" s="96"/>
      <c r="R1879" s="96"/>
      <c r="S1879" s="96"/>
      <c r="T1879" s="96"/>
      <c r="U1879" s="96"/>
      <c r="V1879" s="96"/>
      <c r="W1879" s="96"/>
      <c r="X1879" s="1601"/>
      <c r="Y1879" s="1874"/>
      <c r="Z1879" s="1889"/>
      <c r="AB1879" s="538"/>
      <c r="AC1879" s="538"/>
      <c r="AD1879" s="538"/>
      <c r="AE1879" s="538"/>
      <c r="AF1879" s="538"/>
      <c r="AG1879" s="538"/>
      <c r="AH1879" s="538"/>
      <c r="AI1879" s="538"/>
      <c r="AJ1879" s="538"/>
      <c r="AK1879" s="538"/>
      <c r="AL1879" s="1352"/>
      <c r="AM1879" s="1352"/>
      <c r="AN1879" s="1352"/>
      <c r="AO1879" s="1352"/>
      <c r="AP1879" s="1352"/>
      <c r="AQ1879" s="1352"/>
      <c r="AR1879" s="1352"/>
      <c r="AS1879" s="1352"/>
      <c r="AT1879" s="538"/>
      <c r="AU1879" s="538"/>
      <c r="AV1879" s="538"/>
      <c r="AW1879" s="538"/>
      <c r="AX1879" s="1167" t="str">
        <f>'Overview (Verification)'!A34</f>
        <v>Selected Energy Compliance Path:</v>
      </c>
      <c r="AY1879" s="1168" t="str">
        <f>IF(LEN('Overview (Verification)'!P34)=0,0,'Overview (Verification)'!P34)</f>
        <v>Performance</v>
      </c>
      <c r="AZ1879" s="538"/>
      <c r="BA1879" s="538"/>
      <c r="BB1879" s="538"/>
      <c r="BC1879" s="538"/>
      <c r="BD1879" s="538"/>
      <c r="BE1879" s="538"/>
      <c r="BF1879" s="538"/>
      <c r="BG1879" s="538"/>
      <c r="BH1879" s="538"/>
    </row>
    <row r="1880" spans="1:60" x14ac:dyDescent="0.2">
      <c r="A1880" s="1507">
        <v>9</v>
      </c>
      <c r="B1880" s="1516" t="s">
        <v>2691</v>
      </c>
      <c r="C1880" s="1511"/>
      <c r="D1880" s="1511"/>
      <c r="E1880" s="1511"/>
      <c r="F1880" s="1511"/>
      <c r="G1880" s="1509" t="str">
        <f>G1879</f>
        <v>P</v>
      </c>
      <c r="H1880" s="1510" t="s">
        <v>3198</v>
      </c>
      <c r="I1880" s="438"/>
      <c r="J1880" s="213"/>
      <c r="K1880" s="213"/>
      <c r="L1880" s="1696"/>
      <c r="M1880" s="1698"/>
      <c r="N1880" s="544"/>
      <c r="O1880" s="544"/>
      <c r="P1880" s="173"/>
      <c r="Q1880" s="173"/>
      <c r="R1880" s="173"/>
      <c r="S1880" s="173"/>
      <c r="T1880" s="173"/>
      <c r="U1880" s="173"/>
      <c r="V1880" s="173"/>
      <c r="W1880" s="173"/>
      <c r="X1880" s="1601"/>
      <c r="Y1880" s="1874"/>
      <c r="Z1880" s="1889"/>
      <c r="AB1880" s="538"/>
      <c r="AC1880" s="538"/>
      <c r="AD1880" s="538"/>
      <c r="AE1880" s="538"/>
      <c r="AF1880" s="538"/>
      <c r="AG1880" s="538"/>
      <c r="AH1880" s="538"/>
      <c r="AI1880" s="538"/>
      <c r="AJ1880" s="538"/>
      <c r="AK1880" s="538"/>
      <c r="AL1880" s="1352"/>
      <c r="AM1880" s="1352"/>
      <c r="AN1880" s="1352"/>
      <c r="AO1880" s="1352"/>
      <c r="AP1880" s="1352"/>
      <c r="AQ1880" s="1352"/>
      <c r="AR1880" s="1352"/>
      <c r="AS1880" s="1352"/>
      <c r="AT1880" s="538"/>
      <c r="AU1880" s="538"/>
      <c r="AV1880" s="538"/>
      <c r="AW1880" s="538"/>
      <c r="AX1880" s="1167" t="str">
        <f>'Overview (Verification)'!A35</f>
        <v>Selected Water Compliance Path:</v>
      </c>
      <c r="AY1880" s="1168" t="str">
        <f>IF(LEN('Overview (Verification)'!P35)=0,0,'Overview (Verification)'!P35)</f>
        <v>Prescriptive</v>
      </c>
      <c r="AZ1880" s="538"/>
      <c r="BA1880" s="538"/>
      <c r="BB1880" s="538"/>
      <c r="BC1880" s="538"/>
      <c r="BD1880" s="538"/>
      <c r="BE1880" s="538"/>
      <c r="BF1880" s="538"/>
      <c r="BG1880" s="538"/>
      <c r="BH1880" s="538"/>
    </row>
    <row r="1881" spans="1:60" hidden="1" x14ac:dyDescent="0.2">
      <c r="A1881" s="1507">
        <v>9</v>
      </c>
      <c r="B1881" s="1516" t="s">
        <v>2692</v>
      </c>
      <c r="C1881" s="1511"/>
      <c r="D1881" s="1511"/>
      <c r="E1881" s="1511"/>
      <c r="F1881" s="1511"/>
      <c r="G1881" s="1509" t="str">
        <f>IF(N1881&gt;0,"P","")</f>
        <v/>
      </c>
      <c r="H1881" s="1510" t="s">
        <v>3197</v>
      </c>
      <c r="I1881" s="130" t="s">
        <v>3666</v>
      </c>
      <c r="J1881" s="129"/>
      <c r="K1881" s="129"/>
      <c r="L1881" s="1629" t="s">
        <v>3743</v>
      </c>
      <c r="M1881" s="1623">
        <v>7</v>
      </c>
      <c r="N1881" s="1619">
        <f>'11.900'!O34</f>
        <v>0</v>
      </c>
      <c r="O1881" s="1619">
        <f>M1881*S1881*W1881</f>
        <v>0</v>
      </c>
      <c r="P1881" s="96" t="b">
        <v>1</v>
      </c>
      <c r="Q1881" s="96" t="b">
        <v>1</v>
      </c>
      <c r="R1881" s="96" t="b">
        <v>0</v>
      </c>
      <c r="S1881" s="96" t="b">
        <f>NOT(W1876="N/A")</f>
        <v>0</v>
      </c>
      <c r="T1881" s="96" t="b">
        <f>AND(NOT(S1881),W1881=TRUE)</f>
        <v>0</v>
      </c>
      <c r="U1881" s="96"/>
      <c r="V1881" s="96"/>
      <c r="W1881" s="27"/>
      <c r="X1881" s="1599"/>
      <c r="Y1881" s="1874" t="str">
        <f>IF(LEN('11.900'!X34)=0,"None",'11.900'!X34)</f>
        <v>None</v>
      </c>
      <c r="Z1881" s="1889"/>
      <c r="AB1881" s="538"/>
      <c r="AC1881" s="538" t="b">
        <f>OR(AD1881:AE1881)</f>
        <v>0</v>
      </c>
      <c r="AD1881" s="538" t="b">
        <f>T1881</f>
        <v>0</v>
      </c>
      <c r="AE1881" s="538"/>
      <c r="AF1881" s="720"/>
      <c r="AG1881" s="538"/>
      <c r="AH1881" s="538"/>
      <c r="AI1881" s="538"/>
      <c r="AJ1881" s="538"/>
      <c r="AK1881" s="538"/>
      <c r="AL1881" s="1352" t="str">
        <f>SUBSTITUTE(SUBSTITUTE(SUBSTITUTE("vpa"&amp;$B1881&amp;$C1881&amp;$D1881&amp;$E1881,".","_"),"(","_"),")","")</f>
        <v>vpa901_1_5</v>
      </c>
      <c r="AM1881" s="1352">
        <f>M1881</f>
        <v>7</v>
      </c>
      <c r="AN1881" s="1352" t="str">
        <f>SUBSTITUTE(SUBSTITUTE(SUBSTITUTE("vpc"&amp;$B1881&amp;$C1881&amp;$D1881&amp;$E1881,".","_"),"(","_"),")","")</f>
        <v>vpc901_1_5</v>
      </c>
      <c r="AO1881" s="1352">
        <f>O1881</f>
        <v>0</v>
      </c>
      <c r="AP1881" s="1352" t="str">
        <f>SUBSTITUTE(SUBSTITUTE(SUBSTITUTE("vch"&amp;$B1881&amp;$C1881&amp;$D1881&amp;$E1881,".","_"),"(","_"),")","")</f>
        <v>vch901_1_5</v>
      </c>
      <c r="AQ1881" s="1352" t="str">
        <f>IF(LEN(W1881)=0,"",W1881)</f>
        <v/>
      </c>
      <c r="AR1881" s="1352" t="str">
        <f>SUBSTITUTE(SUBSTITUTE(SUBSTITUTE("vnt"&amp;$B1881&amp;$C1881&amp;$D1881&amp;$E1881,".","_"),"(","_"),")","")</f>
        <v>vnt901_1_5</v>
      </c>
      <c r="AS1881" s="1352" t="str">
        <f>IF(LEN(X1881)=0,"",X1881)</f>
        <v/>
      </c>
      <c r="AT1881" s="538"/>
      <c r="AU1881" s="538"/>
      <c r="AV1881" s="538"/>
      <c r="AW1881" s="538"/>
      <c r="AX1881" s="585" t="str">
        <f>'Overview (Verification)'!A36</f>
        <v>Foundation Type:</v>
      </c>
      <c r="AY1881" s="685" t="str">
        <f>IF(LEN('Overview (Verification)'!P36)=0,0,'Overview (Verification)'!P36)</f>
        <v>Slab on grade</v>
      </c>
      <c r="AZ1881" s="538"/>
      <c r="BA1881" s="538"/>
      <c r="BB1881" s="538"/>
      <c r="BC1881" s="538"/>
      <c r="BD1881" s="538"/>
      <c r="BE1881" s="538"/>
      <c r="BF1881" s="538"/>
      <c r="BG1881" s="538"/>
      <c r="BH1881" s="538"/>
    </row>
    <row r="1882" spans="1:60" hidden="1" x14ac:dyDescent="0.2">
      <c r="A1882" s="1507">
        <v>9</v>
      </c>
      <c r="B1882" s="1516" t="s">
        <v>2692</v>
      </c>
      <c r="C1882" s="1511"/>
      <c r="D1882" s="1511"/>
      <c r="E1882" s="1511"/>
      <c r="F1882" s="1511"/>
      <c r="G1882" s="1509" t="str">
        <f>G1881</f>
        <v/>
      </c>
      <c r="H1882" s="1510" t="s">
        <v>3197</v>
      </c>
      <c r="I1882" s="406"/>
      <c r="J1882" s="129"/>
      <c r="K1882" s="129"/>
      <c r="L1882" s="1629"/>
      <c r="M1882" s="1623"/>
      <c r="N1882" s="1619"/>
      <c r="O1882" s="1619"/>
      <c r="P1882" s="96"/>
      <c r="Q1882" s="96"/>
      <c r="R1882" s="96"/>
      <c r="S1882" s="96"/>
      <c r="T1882" s="96"/>
      <c r="U1882" s="96"/>
      <c r="V1882" s="96"/>
      <c r="W1882" s="96"/>
      <c r="X1882" s="1601"/>
      <c r="Y1882" s="1874"/>
      <c r="Z1882" s="1889"/>
      <c r="AB1882" s="538"/>
      <c r="AC1882" s="538"/>
      <c r="AD1882" s="538"/>
      <c r="AE1882" s="538"/>
      <c r="AF1882" s="538"/>
      <c r="AG1882" s="538"/>
      <c r="AH1882" s="538"/>
      <c r="AI1882" s="538"/>
      <c r="AJ1882" s="538"/>
      <c r="AK1882" s="538"/>
      <c r="AL1882" s="1352"/>
      <c r="AM1882" s="1352"/>
      <c r="AN1882" s="1352"/>
      <c r="AO1882" s="1352"/>
      <c r="AP1882" s="1352"/>
      <c r="AQ1882" s="1352"/>
      <c r="AR1882" s="1352"/>
      <c r="AS1882" s="1352"/>
      <c r="AT1882" s="538"/>
      <c r="AU1882" s="538"/>
      <c r="AV1882" s="538"/>
      <c r="AW1882" s="538"/>
      <c r="AX1882" s="585"/>
      <c r="AY1882" s="685"/>
      <c r="AZ1882" s="538"/>
      <c r="BA1882" s="538"/>
      <c r="BB1882" s="538"/>
      <c r="BC1882" s="538"/>
      <c r="BD1882" s="538"/>
      <c r="BE1882" s="538"/>
      <c r="BF1882" s="538"/>
      <c r="BG1882" s="538"/>
      <c r="BH1882" s="538"/>
    </row>
    <row r="1883" spans="1:60" hidden="1" x14ac:dyDescent="0.2">
      <c r="A1883" s="1507">
        <v>9</v>
      </c>
      <c r="B1883" s="1516" t="s">
        <v>2692</v>
      </c>
      <c r="C1883" s="1511"/>
      <c r="D1883" s="1511"/>
      <c r="E1883" s="1511"/>
      <c r="F1883" s="1511"/>
      <c r="G1883" s="1509" t="str">
        <f>G1882</f>
        <v/>
      </c>
      <c r="H1883" s="1510" t="s">
        <v>3197</v>
      </c>
      <c r="I1883" s="438"/>
      <c r="J1883" s="213"/>
      <c r="K1883" s="213"/>
      <c r="L1883" s="1696"/>
      <c r="M1883" s="1624"/>
      <c r="N1883" s="1620"/>
      <c r="O1883" s="1620"/>
      <c r="P1883" s="173"/>
      <c r="Q1883" s="173"/>
      <c r="R1883" s="173"/>
      <c r="S1883" s="173"/>
      <c r="T1883" s="173"/>
      <c r="U1883" s="173"/>
      <c r="V1883" s="173"/>
      <c r="W1883" s="173"/>
      <c r="X1883" s="1601"/>
      <c r="Y1883" s="1874"/>
      <c r="Z1883" s="1889"/>
      <c r="AB1883" s="538"/>
      <c r="AC1883" s="538"/>
      <c r="AD1883" s="538"/>
      <c r="AE1883" s="538"/>
      <c r="AF1883" s="538"/>
      <c r="AG1883" s="538"/>
      <c r="AH1883" s="538"/>
      <c r="AI1883" s="538"/>
      <c r="AJ1883" s="538"/>
      <c r="AK1883" s="538"/>
      <c r="AL1883" s="1352"/>
      <c r="AM1883" s="1352"/>
      <c r="AN1883" s="1352"/>
      <c r="AO1883" s="1352"/>
      <c r="AP1883" s="1352"/>
      <c r="AQ1883" s="1352"/>
      <c r="AR1883" s="1352"/>
      <c r="AS1883" s="1352"/>
      <c r="AT1883" s="538"/>
      <c r="AU1883" s="538"/>
      <c r="AV1883" s="538"/>
      <c r="AW1883" s="538"/>
      <c r="AX1883" s="585" t="str">
        <f>'Overview (Verification)'!A38</f>
        <v>Type of Heating System (main system):</v>
      </c>
      <c r="AY1883" s="685" t="str">
        <f>IF(LEN('Overview (Verification)'!P38)=0,0,'Overview (Verification)'!P38)</f>
        <v>Heat Pump</v>
      </c>
      <c r="AZ1883" s="538"/>
      <c r="BA1883" s="538"/>
      <c r="BB1883" s="538"/>
      <c r="BC1883" s="538"/>
      <c r="BD1883" s="538"/>
      <c r="BE1883" s="538"/>
      <c r="BF1883" s="538"/>
      <c r="BG1883" s="538"/>
      <c r="BH1883" s="538"/>
    </row>
    <row r="1884" spans="1:60" x14ac:dyDescent="0.2">
      <c r="A1884" s="1507">
        <v>9</v>
      </c>
      <c r="B1884" s="1516" t="s">
        <v>2693</v>
      </c>
      <c r="C1884" s="1511"/>
      <c r="D1884" s="1511"/>
      <c r="E1884" s="1511"/>
      <c r="F1884" s="1511"/>
      <c r="G1884" s="1509" t="str">
        <f ca="1">IF(N1884&gt;0,"P","")</f>
        <v>P</v>
      </c>
      <c r="H1884" s="1510" t="s">
        <v>3197</v>
      </c>
      <c r="I1884" s="130" t="s">
        <v>3667</v>
      </c>
      <c r="J1884" s="129"/>
      <c r="K1884" s="129"/>
      <c r="L1884" s="562" t="s">
        <v>3742</v>
      </c>
      <c r="M1884" s="545"/>
      <c r="N1884" s="543">
        <f ca="1">'11.900'!O37</f>
        <v>5</v>
      </c>
      <c r="O1884" s="543">
        <f ca="1">IFERROR(INDEX({2,5},MATCH(W1884,INDIRECT(U1884),0)),0)*S1884</f>
        <v>5</v>
      </c>
      <c r="P1884" s="96" t="b">
        <v>1</v>
      </c>
      <c r="Q1884" s="96" t="b">
        <v>1</v>
      </c>
      <c r="R1884" s="96" t="b">
        <v>0</v>
      </c>
      <c r="S1884" s="96" t="b">
        <f>OR(AY1883=INDEX(ddHeat1,3),AY1883=INDEX(ddHeat1,5),AY1884=INDEX(ddHeat2,3),AY1884=INDEX(ddHeat2,5),AY1885=INDEX(ddHeat3,3),AY1885=INDEX(ddHeat3,5))</f>
        <v>1</v>
      </c>
      <c r="T1884" s="96" t="b">
        <f>AND(NOT(S1884),LEN(W1884)&gt;0)</f>
        <v>0</v>
      </c>
      <c r="U1884" s="96" t="str">
        <f>SUBSTITUTE(SUBSTITUTE(SUBSTITUTE("dd"&amp;B1884&amp;C1884&amp;D1884&amp;E1884&amp;F1884,".","_"),"(","_"),")","")</f>
        <v>dd901_1_6</v>
      </c>
      <c r="V1884" s="96"/>
      <c r="W1884" s="12" t="s">
        <v>255</v>
      </c>
      <c r="X1884" s="1599"/>
      <c r="Y1884" s="1881" t="str">
        <f>IF(LEN('11.900'!X37)=0,"None",'11.900'!X37)</f>
        <v>None</v>
      </c>
      <c r="Z1884" s="1891"/>
      <c r="AB1884" s="538"/>
      <c r="AC1884" s="538" t="b">
        <f>OR(AD1884:AE1884)</f>
        <v>0</v>
      </c>
      <c r="AD1884" s="538" t="b">
        <f>T1884</f>
        <v>0</v>
      </c>
      <c r="AE1884" s="538"/>
      <c r="AF1884" s="720"/>
      <c r="AG1884" s="538"/>
      <c r="AH1884" s="538"/>
      <c r="AI1884" s="538"/>
      <c r="AJ1884" s="538"/>
      <c r="AK1884" s="538"/>
      <c r="AL1884" s="1352"/>
      <c r="AM1884" s="1352"/>
      <c r="AN1884" s="1352" t="str">
        <f>SUBSTITUTE(SUBSTITUTE(SUBSTITUTE("vpc"&amp;$B1884&amp;$C1884&amp;$D1884&amp;$E1884,".","_"),"(","_"),")","")</f>
        <v>vpc901_1_6</v>
      </c>
      <c r="AO1884" s="1352">
        <f ca="1">O1884</f>
        <v>5</v>
      </c>
      <c r="AP1884" s="1352" t="str">
        <f>SUBSTITUTE(SUBSTITUTE(SUBSTITUTE("vch"&amp;$B1884&amp;$C1884&amp;$D1884&amp;$E1884,".","_"),"(","_"),")","")</f>
        <v>vch901_1_6</v>
      </c>
      <c r="AQ1884" s="1352" t="str">
        <f>IF(LEN(W1884)=0,"",W1884)</f>
        <v>(2)</v>
      </c>
      <c r="AR1884" s="1352" t="str">
        <f>SUBSTITUTE(SUBSTITUTE(SUBSTITUTE("vnt"&amp;$B1884&amp;$C1884&amp;$D1884&amp;$E1884,".","_"),"(","_"),")","")</f>
        <v>vnt901_1_6</v>
      </c>
      <c r="AS1884" s="1352" t="str">
        <f>IF(LEN(X1884)=0,"",X1884)</f>
        <v/>
      </c>
      <c r="AT1884" s="538"/>
      <c r="AU1884" s="538"/>
      <c r="AV1884" s="538"/>
      <c r="AW1884" s="538"/>
      <c r="AX1884" s="585" t="str">
        <f>'Overview (Verification)'!A39</f>
        <v>Type of Heating System (system 2):</v>
      </c>
      <c r="AY1884" s="685">
        <f>IF(LEN('Overview (Verification)'!P39)=0,0,'Overview (Verification)'!P39)</f>
        <v>0</v>
      </c>
      <c r="AZ1884" s="538"/>
      <c r="BA1884" s="538"/>
      <c r="BB1884" s="538"/>
      <c r="BC1884" s="538"/>
      <c r="BD1884" s="538"/>
      <c r="BE1884" s="538"/>
      <c r="BF1884" s="538"/>
      <c r="BG1884" s="538"/>
      <c r="BH1884" s="538"/>
    </row>
    <row r="1885" spans="1:60" x14ac:dyDescent="0.2">
      <c r="A1885" s="1507">
        <v>9</v>
      </c>
      <c r="B1885" s="1516" t="s">
        <v>2693</v>
      </c>
      <c r="C1885" s="1511" t="s">
        <v>254</v>
      </c>
      <c r="D1885" s="1511"/>
      <c r="E1885" s="1511"/>
      <c r="F1885" s="1511"/>
      <c r="G1885" s="1509" t="str">
        <f ca="1">G1884</f>
        <v>P</v>
      </c>
      <c r="H1885" s="1510" t="s">
        <v>3197</v>
      </c>
      <c r="I1885" s="406"/>
      <c r="J1885" s="207" t="s">
        <v>254</v>
      </c>
      <c r="K1885" s="213"/>
      <c r="L1885" s="550" t="s">
        <v>2694</v>
      </c>
      <c r="M1885" s="546">
        <v>2</v>
      </c>
      <c r="N1885" s="543"/>
      <c r="O1885" s="543"/>
      <c r="P1885" s="96"/>
      <c r="Q1885" s="96"/>
      <c r="R1885" s="96"/>
      <c r="S1885" s="96"/>
      <c r="T1885" s="96"/>
      <c r="U1885" s="96"/>
      <c r="V1885" s="96"/>
      <c r="W1885" s="96"/>
      <c r="X1885" s="1601"/>
      <c r="Y1885" s="1881"/>
      <c r="Z1885" s="1891"/>
      <c r="AB1885" s="538"/>
      <c r="AC1885" s="538"/>
      <c r="AD1885" s="538"/>
      <c r="AE1885" s="538"/>
      <c r="AF1885" s="538"/>
      <c r="AG1885" s="538"/>
      <c r="AH1885" s="538"/>
      <c r="AI1885" s="538"/>
      <c r="AJ1885" s="538"/>
      <c r="AK1885" s="538"/>
      <c r="AL1885" s="1352" t="str">
        <f>SUBSTITUTE(SUBSTITUTE(SUBSTITUTE("vpa"&amp;$B1885&amp;$C1885&amp;$D1885&amp;$E1885,".","_"),"(","_"),")","")</f>
        <v>vpa901_1_6_1</v>
      </c>
      <c r="AM1885" s="1352">
        <f>M1885</f>
        <v>2</v>
      </c>
      <c r="AN1885" s="1352"/>
      <c r="AO1885" s="1352"/>
      <c r="AP1885" s="1352"/>
      <c r="AQ1885" s="1352"/>
      <c r="AR1885" s="1352"/>
      <c r="AS1885" s="1352"/>
      <c r="AT1885" s="538"/>
      <c r="AU1885" s="538"/>
      <c r="AV1885" s="538"/>
      <c r="AW1885" s="538"/>
      <c r="AX1885" s="585" t="str">
        <f>'Overview (Verification)'!A40</f>
        <v>Type of Heating System (system 3):</v>
      </c>
      <c r="AY1885" s="685">
        <f>IF(LEN('Overview (Verification)'!P40)=0,0,'Overview (Verification)'!P40)</f>
        <v>0</v>
      </c>
      <c r="AZ1885" s="538"/>
      <c r="BA1885" s="538"/>
      <c r="BB1885" s="538"/>
      <c r="BC1885" s="538"/>
      <c r="BD1885" s="538"/>
      <c r="BE1885" s="538"/>
      <c r="BF1885" s="538"/>
      <c r="BG1885" s="538"/>
      <c r="BH1885" s="538"/>
    </row>
    <row r="1886" spans="1:60" ht="16" thickBot="1" x14ac:dyDescent="0.25">
      <c r="A1886" s="1507">
        <v>9</v>
      </c>
      <c r="B1886" s="1516" t="s">
        <v>2693</v>
      </c>
      <c r="C1886" s="1511" t="s">
        <v>255</v>
      </c>
      <c r="D1886" s="1511"/>
      <c r="E1886" s="1511"/>
      <c r="F1886" s="1511"/>
      <c r="G1886" s="1509" t="str">
        <f ca="1">G1885</f>
        <v>P</v>
      </c>
      <c r="H1886" s="1510" t="s">
        <v>3197</v>
      </c>
      <c r="I1886" s="407"/>
      <c r="J1886" s="190" t="s">
        <v>255</v>
      </c>
      <c r="K1886" s="239"/>
      <c r="L1886" s="557" t="s">
        <v>2695</v>
      </c>
      <c r="M1886" s="553">
        <v>5</v>
      </c>
      <c r="N1886" s="547"/>
      <c r="O1886" s="547"/>
      <c r="P1886" s="100"/>
      <c r="Q1886" s="100"/>
      <c r="R1886" s="100"/>
      <c r="S1886" s="100"/>
      <c r="T1886" s="100"/>
      <c r="U1886" s="100"/>
      <c r="V1886" s="100"/>
      <c r="W1886" s="100"/>
      <c r="X1886" s="1602"/>
      <c r="Y1886" s="1882"/>
      <c r="Z1886" s="1892"/>
      <c r="AB1886" s="538"/>
      <c r="AC1886" s="538"/>
      <c r="AD1886" s="538"/>
      <c r="AE1886" s="538"/>
      <c r="AF1886" s="538"/>
      <c r="AG1886" s="538"/>
      <c r="AH1886" s="538"/>
      <c r="AI1886" s="538"/>
      <c r="AJ1886" s="538"/>
      <c r="AK1886" s="538"/>
      <c r="AL1886" s="1352" t="str">
        <f>SUBSTITUTE(SUBSTITUTE(SUBSTITUTE("vpa"&amp;$B1886&amp;$C1886&amp;$D1886&amp;$E1886,".","_"),"(","_"),")","")</f>
        <v>vpa901_1_6_2</v>
      </c>
      <c r="AM1886" s="1352">
        <f>M1886</f>
        <v>5</v>
      </c>
      <c r="AN1886" s="1352"/>
      <c r="AO1886" s="1352"/>
      <c r="AP1886" s="1352"/>
      <c r="AQ1886" s="1352"/>
      <c r="AR1886" s="1352"/>
      <c r="AS1886" s="1352"/>
      <c r="AT1886" s="538"/>
      <c r="AU1886" s="538"/>
      <c r="AV1886" s="538"/>
      <c r="AW1886" s="538"/>
      <c r="AX1886" s="585" t="str">
        <f>'Overview (Verification)'!A41</f>
        <v>Primary Heating Fuel:</v>
      </c>
      <c r="AY1886" s="685">
        <f>IF(LEN('Overview (Verification)'!P41)=0,0,'Overview (Verification)'!P41)</f>
        <v>0</v>
      </c>
      <c r="AZ1886" s="538"/>
      <c r="BA1886" s="538"/>
      <c r="BB1886" s="538"/>
      <c r="BC1886" s="538"/>
      <c r="BD1886" s="538"/>
      <c r="BE1886" s="538"/>
      <c r="BF1886" s="538"/>
      <c r="BG1886" s="538"/>
      <c r="BH1886" s="538"/>
    </row>
    <row r="1887" spans="1:60" ht="16" thickTop="1" x14ac:dyDescent="0.2">
      <c r="A1887" s="1507">
        <v>9</v>
      </c>
      <c r="B1887" s="1516">
        <v>901.2</v>
      </c>
      <c r="C1887" s="1511"/>
      <c r="D1887" s="1511"/>
      <c r="E1887" s="1511"/>
      <c r="F1887" s="1511"/>
      <c r="G1887" s="1513" t="str">
        <f>IF(COUNTIF(G1888:G1902,"P")&gt;0,"P","")</f>
        <v>P</v>
      </c>
      <c r="H1887" s="1510" t="s">
        <v>3197</v>
      </c>
      <c r="I1887" s="177" t="s">
        <v>3668</v>
      </c>
      <c r="J1887" s="178"/>
      <c r="K1887" s="178"/>
      <c r="L1887" s="566" t="s">
        <v>3741</v>
      </c>
      <c r="M1887" s="556"/>
      <c r="N1887" s="548"/>
      <c r="O1887" s="548"/>
      <c r="P1887" s="106"/>
      <c r="Q1887" s="106"/>
      <c r="R1887" s="106"/>
      <c r="S1887" s="106"/>
      <c r="T1887" s="106"/>
      <c r="U1887" s="106"/>
      <c r="V1887" s="106"/>
      <c r="W1887" s="106"/>
      <c r="X1887" s="106"/>
      <c r="Y1887" s="538"/>
      <c r="Z1887" s="670"/>
      <c r="AB1887" s="538"/>
      <c r="AC1887" s="538"/>
      <c r="AD1887" s="538"/>
      <c r="AE1887" s="538"/>
      <c r="AF1887" s="538"/>
      <c r="AG1887" s="538"/>
      <c r="AH1887" s="538"/>
      <c r="AI1887" s="538"/>
      <c r="AJ1887" s="538"/>
      <c r="AK1887" s="538"/>
      <c r="AL1887" s="1352"/>
      <c r="AM1887" s="1352"/>
      <c r="AN1887" s="1352"/>
      <c r="AO1887" s="1352"/>
      <c r="AP1887" s="1352"/>
      <c r="AQ1887" s="1352"/>
      <c r="AR1887" s="1352"/>
      <c r="AS1887" s="1352"/>
      <c r="AT1887" s="538"/>
      <c r="AU1887" s="538"/>
      <c r="AV1887" s="538"/>
      <c r="AW1887" s="538"/>
      <c r="AX1887" s="585" t="str">
        <f>'Overview (Verification)'!A42</f>
        <v>Heating Ducts:</v>
      </c>
      <c r="AY1887" s="685" t="str">
        <f>IF(LEN('Overview (Verification)'!P42)=0,0,'Overview (Verification)'!P42)</f>
        <v>Ducted</v>
      </c>
      <c r="AZ1887" s="538"/>
      <c r="BA1887" s="538"/>
      <c r="BB1887" s="538"/>
      <c r="BC1887" s="538"/>
      <c r="BD1887" s="538"/>
      <c r="BE1887" s="538"/>
      <c r="BF1887" s="538"/>
      <c r="BG1887" s="538"/>
      <c r="BH1887" s="538"/>
    </row>
    <row r="1888" spans="1:60" hidden="1" x14ac:dyDescent="0.2">
      <c r="A1888" s="1507">
        <v>9</v>
      </c>
      <c r="B1888" s="1516" t="s">
        <v>2696</v>
      </c>
      <c r="C1888" s="1511"/>
      <c r="D1888" s="1511"/>
      <c r="E1888" s="1511"/>
      <c r="F1888" s="1511"/>
      <c r="G1888" s="1513" t="str">
        <f>IF(COUNTIF(G1890:G1900,"P")&gt;0,"P","")</f>
        <v/>
      </c>
      <c r="H1888" s="1510" t="s">
        <v>3197</v>
      </c>
      <c r="I1888" s="67" t="s">
        <v>3669</v>
      </c>
      <c r="J1888" s="4"/>
      <c r="K1888" s="4"/>
      <c r="L1888" s="1631" t="s">
        <v>3899</v>
      </c>
      <c r="M1888" s="554"/>
      <c r="N1888" s="540"/>
      <c r="O1888" s="540"/>
      <c r="P1888" s="538"/>
      <c r="Q1888" s="538"/>
      <c r="R1888" s="538"/>
      <c r="S1888" s="538"/>
      <c r="T1888" s="538"/>
      <c r="U1888" s="538"/>
      <c r="V1888" s="538"/>
      <c r="W1888" s="538"/>
      <c r="X1888" s="538"/>
      <c r="Y1888" s="538"/>
      <c r="Z1888" s="670"/>
      <c r="AA1888" s="707" t="e">
        <f>'Photo Review'!#REF!</f>
        <v>#REF!</v>
      </c>
      <c r="AB1888" s="538"/>
      <c r="AC1888" s="538"/>
      <c r="AD1888" s="538"/>
      <c r="AE1888" s="538"/>
      <c r="AF1888" s="538"/>
      <c r="AG1888" s="538"/>
      <c r="AH1888" s="538"/>
      <c r="AI1888" s="538"/>
      <c r="AJ1888" s="538"/>
      <c r="AK1888" s="538"/>
      <c r="AL1888" s="1352"/>
      <c r="AM1888" s="1352"/>
      <c r="AN1888" s="1352"/>
      <c r="AO1888" s="1352"/>
      <c r="AP1888" s="1352"/>
      <c r="AQ1888" s="1352"/>
      <c r="AR1888" s="1352"/>
      <c r="AS1888" s="1352"/>
      <c r="AT1888" s="538"/>
      <c r="AU1888" s="538"/>
      <c r="AV1888" s="538"/>
      <c r="AW1888" s="538"/>
      <c r="AX1888" s="585" t="str">
        <f>'Overview (Verification)'!A43</f>
        <v>Type of Cooling System (main system):</v>
      </c>
      <c r="AY1888" s="685" t="str">
        <f>IF(LEN('Overview (Verification)'!P43)=0,0,'Overview (Verification)'!P43)</f>
        <v>Heat Pump</v>
      </c>
      <c r="AZ1888" s="538"/>
      <c r="BA1888" s="538"/>
      <c r="BB1888" s="538"/>
      <c r="BC1888" s="538"/>
      <c r="BD1888" s="538"/>
      <c r="BE1888" s="538"/>
      <c r="BF1888" s="538"/>
      <c r="BG1888" s="538"/>
      <c r="BH1888" s="538"/>
    </row>
    <row r="1889" spans="1:60" hidden="1" x14ac:dyDescent="0.2">
      <c r="A1889" s="1507">
        <v>9</v>
      </c>
      <c r="B1889" s="1516" t="s">
        <v>2696</v>
      </c>
      <c r="C1889" s="1511"/>
      <c r="D1889" s="1511"/>
      <c r="E1889" s="1511"/>
      <c r="F1889" s="1511"/>
      <c r="G1889" s="1509" t="str">
        <f>G1888</f>
        <v/>
      </c>
      <c r="H1889" s="1510" t="s">
        <v>3197</v>
      </c>
      <c r="I1889" s="161"/>
      <c r="J1889" s="4"/>
      <c r="K1889" s="4"/>
      <c r="L1889" s="1631"/>
      <c r="M1889" s="554"/>
      <c r="N1889" s="540"/>
      <c r="O1889" s="540"/>
      <c r="P1889" s="538"/>
      <c r="Q1889" s="538"/>
      <c r="R1889" s="538"/>
      <c r="S1889" s="538"/>
      <c r="T1889" s="538"/>
      <c r="U1889" s="538"/>
      <c r="V1889" s="538"/>
      <c r="W1889" s="538"/>
      <c r="X1889" s="538"/>
      <c r="Y1889" s="538"/>
      <c r="Z1889" s="670"/>
      <c r="AB1889" s="538"/>
      <c r="AC1889" s="538"/>
      <c r="AD1889" s="538"/>
      <c r="AE1889" s="538"/>
      <c r="AF1889" s="538"/>
      <c r="AG1889" s="538"/>
      <c r="AH1889" s="538"/>
      <c r="AI1889" s="538"/>
      <c r="AJ1889" s="538"/>
      <c r="AK1889" s="538"/>
      <c r="AL1889" s="1352"/>
      <c r="AM1889" s="1352"/>
      <c r="AN1889" s="1352"/>
      <c r="AO1889" s="1352"/>
      <c r="AP1889" s="1352"/>
      <c r="AQ1889" s="1352"/>
      <c r="AR1889" s="1352"/>
      <c r="AS1889" s="1352"/>
      <c r="AT1889" s="538"/>
      <c r="AU1889" s="538"/>
      <c r="AV1889" s="538"/>
      <c r="AW1889" s="538"/>
      <c r="AX1889" s="585" t="str">
        <f>'Overview (Verification)'!A44</f>
        <v>Type of Cooling System (system 2):</v>
      </c>
      <c r="AY1889" s="685">
        <f>IF(LEN('Overview (Verification)'!P44)=0,0,'Overview (Verification)'!P44)</f>
        <v>0</v>
      </c>
      <c r="AZ1889" s="538"/>
      <c r="BA1889" s="538"/>
      <c r="BB1889" s="538"/>
      <c r="BC1889" s="538"/>
      <c r="BD1889" s="538"/>
      <c r="BE1889" s="538"/>
      <c r="BF1889" s="538"/>
      <c r="BG1889" s="538"/>
      <c r="BH1889" s="538"/>
    </row>
    <row r="1890" spans="1:60" hidden="1" x14ac:dyDescent="0.2">
      <c r="A1890" s="1507">
        <v>9</v>
      </c>
      <c r="B1890" s="1516" t="s">
        <v>2696</v>
      </c>
      <c r="C1890" s="1511" t="s">
        <v>254</v>
      </c>
      <c r="D1890" s="1511"/>
      <c r="E1890" s="1511"/>
      <c r="F1890" s="1511" t="s">
        <v>5289</v>
      </c>
      <c r="G1890" s="1509" t="str">
        <f>IF(IFERROR(SEARCH("Mandatory",M1890),FALSE),"P","")</f>
        <v/>
      </c>
      <c r="H1890" s="1510" t="s">
        <v>3197</v>
      </c>
      <c r="I1890" s="161"/>
      <c r="J1890" s="180" t="s">
        <v>254</v>
      </c>
      <c r="K1890" s="129"/>
      <c r="L1890" s="1609" t="s">
        <v>2697</v>
      </c>
      <c r="M1890" s="697" t="str">
        <f>IF(R1890,"Mandatory","N/A")</f>
        <v>N/A</v>
      </c>
      <c r="N1890" s="1619">
        <f>'11.900'!O43</f>
        <v>0</v>
      </c>
      <c r="O1890" s="1619">
        <f>M1891*S1890*(W1890="Met")</f>
        <v>0</v>
      </c>
      <c r="P1890" s="96" t="b">
        <v>1</v>
      </c>
      <c r="Q1890" s="96" t="b">
        <v>1</v>
      </c>
      <c r="R1890" s="538" t="b">
        <f>S1890</f>
        <v>0</v>
      </c>
      <c r="S1890" s="538" t="b">
        <f>NOT(W1902)</f>
        <v>0</v>
      </c>
      <c r="T1890" s="96" t="b">
        <f>AND(NOT(S1890),LEN(W1890)&gt;0,W1890&lt;&gt;"N/A")</f>
        <v>0</v>
      </c>
      <c r="U1890" s="96" t="str">
        <f>SUBSTITUTE(SUBSTITUTE(SUBSTITUTE("dd"&amp;B1890&amp;C1890&amp;D1890&amp;E1890&amp;F1890,".","_"),"(","_"),")","")</f>
        <v>dd901_2_1_1_m</v>
      </c>
      <c r="V1890" s="538"/>
      <c r="W1890" s="12"/>
      <c r="X1890" s="1600"/>
      <c r="Y1890" s="1874" t="str">
        <f>IF(LEN('11.900'!X43)=0,"None",'11.900'!X43)</f>
        <v>None</v>
      </c>
      <c r="Z1890" s="1889"/>
      <c r="AB1890" s="538"/>
      <c r="AC1890" s="538" t="b">
        <f>OR(AD1890:AE1890)</f>
        <v>0</v>
      </c>
      <c r="AD1890" s="538" t="b">
        <f>T1890</f>
        <v>0</v>
      </c>
      <c r="AE1890" s="538" t="b">
        <f>AND(R1890,OR(W1890="Not Met",W1890=""))</f>
        <v>0</v>
      </c>
      <c r="AF1890" s="720"/>
      <c r="AG1890" s="538"/>
      <c r="AH1890" s="538"/>
      <c r="AI1890" s="538"/>
      <c r="AJ1890" s="538"/>
      <c r="AK1890" s="538"/>
      <c r="AL1890" s="1" t="str">
        <f>SUBSTITUTE(SUBSTITUTE(SUBSTITUTE("vpa"&amp;$B1890&amp;$C1890&amp;$D1890&amp;$E1890&amp;$F1890,".","_"),"(","_"),")","")</f>
        <v>vpa901_2_1_1_m</v>
      </c>
      <c r="AM1890" s="1352" t="str">
        <f>M1890</f>
        <v>N/A</v>
      </c>
      <c r="AN1890" s="1352" t="str">
        <f>SUBSTITUTE(SUBSTITUTE(SUBSTITUTE("vpc"&amp;$B1890&amp;$C1890&amp;$D1890&amp;$E1890,".","_"),"(","_"),")","")</f>
        <v>vpc901_2_1_1</v>
      </c>
      <c r="AO1890" s="1352">
        <f>O1890</f>
        <v>0</v>
      </c>
      <c r="AP1890" s="1352" t="str">
        <f>SUBSTITUTE(SUBSTITUTE(SUBSTITUTE("vch"&amp;$B1890&amp;$C1890&amp;$D1890&amp;$E1890,".","_"),"(","_"),")","")</f>
        <v>vch901_2_1_1</v>
      </c>
      <c r="AQ1890" s="1352" t="str">
        <f>IF(LEN(W1890)=0,"",W1890)</f>
        <v/>
      </c>
      <c r="AR1890" s="1352" t="str">
        <f>SUBSTITUTE(SUBSTITUTE(SUBSTITUTE("vnt"&amp;$B1890&amp;$C1890&amp;$D1890&amp;$E1890,".","_"),"(","_"),")","")</f>
        <v>vnt901_2_1_1</v>
      </c>
      <c r="AS1890" s="1352" t="str">
        <f>IF(LEN(X1890)=0,"",X1890)</f>
        <v/>
      </c>
      <c r="AT1890" s="538"/>
      <c r="AU1890" s="538"/>
      <c r="AV1890" s="538"/>
      <c r="AW1890" s="538"/>
      <c r="AX1890" s="585" t="str">
        <f>'Overview (Verification)'!A45</f>
        <v>Type of Cooling System (system 3):</v>
      </c>
      <c r="AY1890" s="685">
        <f>IF(LEN('Overview (Verification)'!P45)=0,0,'Overview (Verification)'!P45)</f>
        <v>0</v>
      </c>
      <c r="AZ1890" s="538"/>
      <c r="BA1890" s="538"/>
      <c r="BB1890" s="538"/>
      <c r="BC1890" s="538"/>
      <c r="BD1890" s="538"/>
      <c r="BE1890" s="538"/>
      <c r="BF1890" s="538"/>
      <c r="BG1890" s="538"/>
      <c r="BH1890" s="538"/>
    </row>
    <row r="1891" spans="1:60" hidden="1" x14ac:dyDescent="0.2">
      <c r="A1891" s="1507">
        <v>9</v>
      </c>
      <c r="B1891" s="1516" t="s">
        <v>2696</v>
      </c>
      <c r="C1891" s="1511" t="s">
        <v>254</v>
      </c>
      <c r="D1891" s="1511"/>
      <c r="E1891" s="1511"/>
      <c r="F1891" s="1511"/>
      <c r="G1891" s="1509" t="str">
        <f>G1890</f>
        <v/>
      </c>
      <c r="H1891" s="1510" t="s">
        <v>3197</v>
      </c>
      <c r="I1891" s="161"/>
      <c r="J1891" s="129"/>
      <c r="K1891" s="129"/>
      <c r="L1891" s="1609"/>
      <c r="M1891" s="1623">
        <v>4</v>
      </c>
      <c r="N1891" s="1619"/>
      <c r="O1891" s="1619"/>
      <c r="P1891" s="538"/>
      <c r="Q1891" s="538"/>
      <c r="R1891" s="538"/>
      <c r="S1891" s="538"/>
      <c r="T1891" s="676"/>
      <c r="U1891" s="538"/>
      <c r="V1891" s="538"/>
      <c r="W1891" s="538"/>
      <c r="X1891" s="1600"/>
      <c r="Y1891" s="1874"/>
      <c r="Z1891" s="1889"/>
      <c r="AB1891" s="538"/>
      <c r="AC1891" s="538"/>
      <c r="AD1891" s="538"/>
      <c r="AE1891" s="538"/>
      <c r="AF1891" s="538"/>
      <c r="AG1891" s="538"/>
      <c r="AH1891" s="538"/>
      <c r="AI1891" s="538"/>
      <c r="AJ1891" s="538"/>
      <c r="AK1891" s="538"/>
      <c r="AL1891" s="1352" t="str">
        <f>SUBSTITUTE(SUBSTITUTE(SUBSTITUTE("vpa"&amp;$B1891&amp;$C1891&amp;$D1891&amp;$E1891,".","_"),"(","_"),")","")</f>
        <v>vpa901_2_1_1</v>
      </c>
      <c r="AM1891" s="1352">
        <f>M1891</f>
        <v>4</v>
      </c>
      <c r="AN1891" s="1352"/>
      <c r="AO1891" s="1352"/>
      <c r="AP1891" s="1352"/>
      <c r="AQ1891" s="1352"/>
      <c r="AR1891" s="1352"/>
      <c r="AS1891" s="1352"/>
      <c r="AT1891" s="538"/>
      <c r="AU1891" s="538"/>
      <c r="AV1891" s="538"/>
      <c r="AW1891" s="538"/>
      <c r="AX1891" s="585" t="str">
        <f>'Overview (Verification)'!A46</f>
        <v>Cooling Ducts:</v>
      </c>
      <c r="AY1891" s="685" t="str">
        <f>IF(LEN('Overview (Verification)'!P46)=0,0,'Overview (Verification)'!P46)</f>
        <v>Ducted</v>
      </c>
      <c r="AZ1891" s="538"/>
      <c r="BA1891" s="538"/>
      <c r="BB1891" s="538"/>
      <c r="BC1891" s="538"/>
      <c r="BD1891" s="538"/>
      <c r="BE1891" s="538"/>
      <c r="BF1891" s="538"/>
      <c r="BG1891" s="538"/>
      <c r="BH1891" s="538"/>
    </row>
    <row r="1892" spans="1:60" hidden="1" x14ac:dyDescent="0.2">
      <c r="A1892" s="1507">
        <v>9</v>
      </c>
      <c r="B1892" s="1516" t="s">
        <v>2696</v>
      </c>
      <c r="C1892" s="1511" t="s">
        <v>254</v>
      </c>
      <c r="D1892" s="1511"/>
      <c r="E1892" s="1511"/>
      <c r="F1892" s="1511"/>
      <c r="G1892" s="1509" t="str">
        <f>G1891</f>
        <v/>
      </c>
      <c r="H1892" s="1510" t="s">
        <v>3197</v>
      </c>
      <c r="I1892" s="161"/>
      <c r="J1892" s="213"/>
      <c r="K1892" s="213"/>
      <c r="L1892" s="1612"/>
      <c r="M1892" s="1624"/>
      <c r="N1892" s="1620"/>
      <c r="O1892" s="1620"/>
      <c r="P1892" s="538"/>
      <c r="Q1892" s="538"/>
      <c r="R1892" s="538"/>
      <c r="S1892" s="538"/>
      <c r="T1892" s="676"/>
      <c r="U1892" s="538"/>
      <c r="V1892" s="538"/>
      <c r="W1892" s="538"/>
      <c r="X1892" s="1600"/>
      <c r="Y1892" s="1874"/>
      <c r="Z1892" s="1889"/>
      <c r="AB1892" s="538"/>
      <c r="AC1892" s="538"/>
      <c r="AD1892" s="538"/>
      <c r="AE1892" s="538"/>
      <c r="AF1892" s="538"/>
      <c r="AG1892" s="538"/>
      <c r="AH1892" s="538"/>
      <c r="AI1892" s="538"/>
      <c r="AJ1892" s="538"/>
      <c r="AK1892" s="538"/>
      <c r="AL1892" s="1352"/>
      <c r="AM1892" s="1352"/>
      <c r="AN1892" s="1352"/>
      <c r="AO1892" s="1352"/>
      <c r="AP1892" s="1352"/>
      <c r="AQ1892" s="1352"/>
      <c r="AR1892" s="1352"/>
      <c r="AS1892" s="1352"/>
      <c r="AT1892" s="538"/>
      <c r="AU1892" s="538"/>
      <c r="AV1892" s="538"/>
      <c r="AW1892" s="538"/>
      <c r="AX1892" s="539"/>
      <c r="AY1892" s="685"/>
      <c r="AZ1892" s="538"/>
      <c r="BA1892" s="538"/>
      <c r="BB1892" s="538"/>
      <c r="BC1892" s="538"/>
      <c r="BD1892" s="538"/>
      <c r="BE1892" s="538"/>
      <c r="BF1892" s="538"/>
      <c r="BG1892" s="538"/>
      <c r="BH1892" s="538"/>
    </row>
    <row r="1893" spans="1:60" ht="15" hidden="1" customHeight="1" x14ac:dyDescent="0.2">
      <c r="A1893" s="1507">
        <v>9</v>
      </c>
      <c r="B1893" s="1516" t="s">
        <v>2696</v>
      </c>
      <c r="C1893" s="1511" t="s">
        <v>255</v>
      </c>
      <c r="D1893" s="1511"/>
      <c r="E1893" s="1511"/>
      <c r="F1893" s="1511" t="s">
        <v>5289</v>
      </c>
      <c r="G1893" s="1509" t="str">
        <f>IF(IFERROR(SEARCH("Mandatory",M1893),FALSE),"P","")</f>
        <v/>
      </c>
      <c r="H1893" s="1510" t="s">
        <v>3197</v>
      </c>
      <c r="I1893" s="161"/>
      <c r="J1893" s="180" t="s">
        <v>255</v>
      </c>
      <c r="K1893" s="129"/>
      <c r="L1893" s="1609" t="s">
        <v>4866</v>
      </c>
      <c r="M1893" s="697" t="str">
        <f>IF(R1893,"Mandatory","N/A")</f>
        <v>N/A</v>
      </c>
      <c r="N1893" s="1619">
        <f>'11.900'!O46</f>
        <v>0</v>
      </c>
      <c r="O1893" s="1619">
        <f>M1894*S1893*(W1893="Met")</f>
        <v>0</v>
      </c>
      <c r="P1893" s="96" t="b">
        <v>1</v>
      </c>
      <c r="Q1893" s="96" t="b">
        <v>1</v>
      </c>
      <c r="R1893" s="538" t="b">
        <f>S1893</f>
        <v>0</v>
      </c>
      <c r="S1893" s="538" t="b">
        <f>NOT(W1902)</f>
        <v>0</v>
      </c>
      <c r="T1893" s="96" t="b">
        <f>AND(NOT(S1893),LEN(W1893)&gt;0,W1893&lt;&gt;"N/A")</f>
        <v>0</v>
      </c>
      <c r="U1893" s="96" t="str">
        <f>SUBSTITUTE(SUBSTITUTE(SUBSTITUTE("dd"&amp;B1893&amp;C1893&amp;D1893&amp;E1893&amp;F1893,".","_"),"(","_"),")","")</f>
        <v>dd901_2_1_2_m</v>
      </c>
      <c r="V1893" s="538"/>
      <c r="W1893" s="12"/>
      <c r="X1893" s="1600"/>
      <c r="Y1893" s="1874" t="str">
        <f>IF(LEN('11.900'!X46)=0,"None",'11.900'!X46)</f>
        <v>None</v>
      </c>
      <c r="Z1893" s="1889"/>
      <c r="AB1893" s="538"/>
      <c r="AC1893" s="538" t="b">
        <f>OR(AD1893:AE1893)</f>
        <v>0</v>
      </c>
      <c r="AD1893" s="538" t="b">
        <f>T1893</f>
        <v>0</v>
      </c>
      <c r="AE1893" s="538" t="b">
        <f>AND(R1893,OR(W1893="Not Met",W1893=""))</f>
        <v>0</v>
      </c>
      <c r="AF1893" s="720"/>
      <c r="AG1893" s="538"/>
      <c r="AH1893" s="538"/>
      <c r="AI1893" s="538"/>
      <c r="AJ1893" s="538"/>
      <c r="AK1893" s="538"/>
      <c r="AL1893" s="1" t="str">
        <f>SUBSTITUTE(SUBSTITUTE(SUBSTITUTE("vpa"&amp;$B1893&amp;$C1893&amp;$D1893&amp;$E1893&amp;$F1893,".","_"),"(","_"),")","")</f>
        <v>vpa901_2_1_2_m</v>
      </c>
      <c r="AM1893" s="1352" t="str">
        <f>M1893</f>
        <v>N/A</v>
      </c>
      <c r="AN1893" s="1352" t="str">
        <f>SUBSTITUTE(SUBSTITUTE(SUBSTITUTE("vpc"&amp;$B1893&amp;$C1893&amp;$D1893&amp;$E1893,".","_"),"(","_"),")","")</f>
        <v>vpc901_2_1_2</v>
      </c>
      <c r="AO1893" s="1352">
        <f>O1893</f>
        <v>0</v>
      </c>
      <c r="AP1893" s="1352" t="str">
        <f>SUBSTITUTE(SUBSTITUTE(SUBSTITUTE("vch"&amp;$B1893&amp;$C1893&amp;$D1893&amp;$E1893,".","_"),"(","_"),")","")</f>
        <v>vch901_2_1_2</v>
      </c>
      <c r="AQ1893" s="1352" t="str">
        <f>IF(LEN(W1893)=0,"",W1893)</f>
        <v/>
      </c>
      <c r="AR1893" s="1352" t="str">
        <f>SUBSTITUTE(SUBSTITUTE(SUBSTITUTE("vnt"&amp;$B1893&amp;$C1893&amp;$D1893&amp;$E1893,".","_"),"(","_"),")","")</f>
        <v>vnt901_2_1_2</v>
      </c>
      <c r="AS1893" s="1352" t="str">
        <f>IF(LEN(X1893)=0,"",X1893)</f>
        <v/>
      </c>
      <c r="AT1893" s="538"/>
      <c r="AU1893" s="538"/>
      <c r="AV1893" s="538"/>
      <c r="AW1893" s="538"/>
      <c r="AX1893" s="585" t="str">
        <f>'Overview (Verification)'!A48</f>
        <v>Maximum window and door SHGC:</v>
      </c>
      <c r="AY1893" s="685">
        <f>IF(LEN('Overview (Verification)'!P48)=0,0,'Overview (Verification)'!P48)</f>
        <v>0.22</v>
      </c>
      <c r="AZ1893" s="782"/>
      <c r="BA1893" s="782"/>
      <c r="BB1893" s="782"/>
      <c r="BC1893" s="782"/>
      <c r="BD1893" s="782"/>
      <c r="BE1893" s="782"/>
      <c r="BF1893" s="782"/>
      <c r="BG1893" s="782"/>
      <c r="BH1893" s="782"/>
    </row>
    <row r="1894" spans="1:60" hidden="1" x14ac:dyDescent="0.2">
      <c r="A1894" s="1507">
        <v>9</v>
      </c>
      <c r="B1894" s="1516" t="s">
        <v>2696</v>
      </c>
      <c r="C1894" s="1511" t="s">
        <v>255</v>
      </c>
      <c r="D1894" s="1511"/>
      <c r="E1894" s="1511"/>
      <c r="F1894" s="1511"/>
      <c r="G1894" s="1509" t="str">
        <f>G1893</f>
        <v/>
      </c>
      <c r="H1894" s="1510" t="s">
        <v>3197</v>
      </c>
      <c r="I1894" s="161"/>
      <c r="J1894" s="207"/>
      <c r="K1894" s="213"/>
      <c r="L1894" s="1612"/>
      <c r="M1894" s="546">
        <v>6</v>
      </c>
      <c r="N1894" s="1620"/>
      <c r="O1894" s="1620"/>
      <c r="P1894" s="538"/>
      <c r="Q1894" s="538"/>
      <c r="R1894" s="538"/>
      <c r="S1894" s="538"/>
      <c r="T1894" s="676"/>
      <c r="U1894" s="538"/>
      <c r="V1894" s="538"/>
      <c r="W1894" s="538"/>
      <c r="X1894" s="1600"/>
      <c r="Y1894" s="1874"/>
      <c r="Z1894" s="1889"/>
      <c r="AB1894" s="538"/>
      <c r="AC1894" s="538"/>
      <c r="AD1894" s="538"/>
      <c r="AE1894" s="538"/>
      <c r="AF1894" s="538"/>
      <c r="AG1894" s="538"/>
      <c r="AH1894" s="538"/>
      <c r="AI1894" s="538"/>
      <c r="AJ1894" s="538"/>
      <c r="AK1894" s="538"/>
      <c r="AL1894" s="1352" t="str">
        <f>SUBSTITUTE(SUBSTITUTE(SUBSTITUTE("vpa"&amp;$B1894&amp;$C1894&amp;$D1894&amp;$E1894,".","_"),"(","_"),")","")</f>
        <v>vpa901_2_1_2</v>
      </c>
      <c r="AM1894" s="1352">
        <f>M1894</f>
        <v>6</v>
      </c>
      <c r="AN1894" s="1352"/>
      <c r="AO1894" s="1352"/>
      <c r="AP1894" s="1352"/>
      <c r="AQ1894" s="1352"/>
      <c r="AR1894" s="1352"/>
      <c r="AS1894" s="1352"/>
      <c r="AT1894" s="538"/>
      <c r="AU1894" s="538"/>
      <c r="AV1894" s="538"/>
      <c r="AW1894" s="538"/>
      <c r="AX1894" s="585" t="str">
        <f>'Overview (Verification)'!A49</f>
        <v>Maximum skylight SHGC:</v>
      </c>
      <c r="AY1894" s="685">
        <f>IF(LEN('Overview (Verification)'!P49)=0,0,'Overview (Verification)'!P49)</f>
        <v>0</v>
      </c>
      <c r="AZ1894" s="538"/>
      <c r="BA1894" s="538"/>
      <c r="BB1894" s="538"/>
      <c r="BC1894" s="538"/>
      <c r="BD1894" s="538"/>
      <c r="BE1894" s="538"/>
      <c r="BF1894" s="538"/>
      <c r="BG1894" s="538"/>
      <c r="BH1894" s="538"/>
    </row>
    <row r="1895" spans="1:60" hidden="1" x14ac:dyDescent="0.2">
      <c r="A1895" s="1507">
        <v>9</v>
      </c>
      <c r="B1895" s="1516" t="s">
        <v>2696</v>
      </c>
      <c r="C1895" s="1511" t="s">
        <v>256</v>
      </c>
      <c r="D1895" s="1511"/>
      <c r="E1895" s="1511"/>
      <c r="F1895" s="1511" t="s">
        <v>5289</v>
      </c>
      <c r="G1895" s="1509" t="str">
        <f>IF(IFERROR(SEARCH("Mandatory",M1895),FALSE),"P","")</f>
        <v/>
      </c>
      <c r="H1895" s="1510" t="s">
        <v>3197</v>
      </c>
      <c r="I1895" s="161"/>
      <c r="J1895" s="180" t="s">
        <v>256</v>
      </c>
      <c r="K1895" s="129"/>
      <c r="L1895" s="1609" t="s">
        <v>2698</v>
      </c>
      <c r="M1895" s="697" t="str">
        <f>IF(R1895,"Mandatory","N/A")</f>
        <v>N/A</v>
      </c>
      <c r="N1895" s="1619">
        <f>'11.900'!O48</f>
        <v>0</v>
      </c>
      <c r="O1895" s="1619">
        <f>M1896*S1895*(W1895="Met")</f>
        <v>0</v>
      </c>
      <c r="P1895" s="96" t="b">
        <v>1</v>
      </c>
      <c r="Q1895" s="96" t="b">
        <v>1</v>
      </c>
      <c r="R1895" s="538" t="b">
        <f>S1895</f>
        <v>0</v>
      </c>
      <c r="S1895" s="538" t="b">
        <f>NOT(W1902)</f>
        <v>0</v>
      </c>
      <c r="T1895" s="96" t="b">
        <f>AND(NOT(S1895),LEN(W1895)&gt;0,W1895&lt;&gt;"N/A")</f>
        <v>0</v>
      </c>
      <c r="U1895" s="96" t="str">
        <f>SUBSTITUTE(SUBSTITUTE(SUBSTITUTE("dd"&amp;B1895&amp;C1895&amp;D1895&amp;E1895&amp;F1895,".","_"),"(","_"),")","")</f>
        <v>dd901_2_1_3_m</v>
      </c>
      <c r="V1895" s="538"/>
      <c r="W1895" s="12"/>
      <c r="X1895" s="1600"/>
      <c r="Y1895" s="1874" t="str">
        <f>IF(LEN('11.900'!X48)=0,"None",'11.900'!X48)</f>
        <v>None</v>
      </c>
      <c r="Z1895" s="1889"/>
      <c r="AB1895" s="538"/>
      <c r="AC1895" s="538" t="b">
        <f>OR(AD1895:AE1895)</f>
        <v>0</v>
      </c>
      <c r="AD1895" s="538" t="b">
        <f>T1895</f>
        <v>0</v>
      </c>
      <c r="AE1895" s="538" t="b">
        <f>AND(R1895,OR(W1895="Not Met",W1895=""))</f>
        <v>0</v>
      </c>
      <c r="AF1895" s="720"/>
      <c r="AG1895" s="538"/>
      <c r="AH1895" s="538"/>
      <c r="AI1895" s="538"/>
      <c r="AJ1895" s="538"/>
      <c r="AK1895" s="538"/>
      <c r="AL1895" s="1" t="str">
        <f>SUBSTITUTE(SUBSTITUTE(SUBSTITUTE("vpa"&amp;$B1895&amp;$C1895&amp;$D1895&amp;$E1895&amp;$F1895,".","_"),"(","_"),")","")</f>
        <v>vpa901_2_1_3_m</v>
      </c>
      <c r="AM1895" s="1352" t="str">
        <f>M1895</f>
        <v>N/A</v>
      </c>
      <c r="AN1895" s="1352" t="str">
        <f>SUBSTITUTE(SUBSTITUTE(SUBSTITUTE("vpc"&amp;$B1895&amp;$C1895&amp;$D1895&amp;$E1895,".","_"),"(","_"),")","")</f>
        <v>vpc901_2_1_3</v>
      </c>
      <c r="AO1895" s="1352">
        <f>O1895</f>
        <v>0</v>
      </c>
      <c r="AP1895" s="1352" t="str">
        <f>SUBSTITUTE(SUBSTITUTE(SUBSTITUTE("vch"&amp;$B1895&amp;$C1895&amp;$D1895&amp;$E1895,".","_"),"(","_"),")","")</f>
        <v>vch901_2_1_3</v>
      </c>
      <c r="AQ1895" s="1352" t="str">
        <f>IF(LEN(W1895)=0,"",W1895)</f>
        <v/>
      </c>
      <c r="AR1895" s="1352" t="str">
        <f>SUBSTITUTE(SUBSTITUTE(SUBSTITUTE("vnt"&amp;$B1895&amp;$C1895&amp;$D1895&amp;$E1895,".","_"),"(","_"),")","")</f>
        <v>vnt901_2_1_3</v>
      </c>
      <c r="AS1895" s="1352" t="str">
        <f>IF(LEN(X1895)=0,"",X1895)</f>
        <v/>
      </c>
      <c r="AT1895" s="538"/>
      <c r="AU1895" s="538"/>
      <c r="AV1895" s="538"/>
      <c r="AW1895" s="538"/>
      <c r="AX1895" s="585" t="str">
        <f>'Overview (Verification)'!A50</f>
        <v>Maximum window and door U-value:</v>
      </c>
      <c r="AY1895" s="685">
        <f>IF(LEN('Overview (Verification)'!P50)=0,0,'Overview (Verification)'!P50)</f>
        <v>0.28999999999999998</v>
      </c>
      <c r="AZ1895" s="538"/>
      <c r="BA1895" s="538"/>
      <c r="BB1895" s="538"/>
      <c r="BC1895" s="538"/>
      <c r="BD1895" s="538"/>
      <c r="BE1895" s="538"/>
      <c r="BF1895" s="538"/>
      <c r="BG1895" s="538"/>
      <c r="BH1895" s="538"/>
    </row>
    <row r="1896" spans="1:60" hidden="1" x14ac:dyDescent="0.2">
      <c r="A1896" s="1507">
        <v>9</v>
      </c>
      <c r="B1896" s="1516" t="s">
        <v>2696</v>
      </c>
      <c r="C1896" s="1511" t="s">
        <v>256</v>
      </c>
      <c r="D1896" s="1511"/>
      <c r="E1896" s="1511"/>
      <c r="F1896" s="1511"/>
      <c r="G1896" s="1509" t="str">
        <f>G1895</f>
        <v/>
      </c>
      <c r="H1896" s="1510" t="s">
        <v>3197</v>
      </c>
      <c r="I1896" s="161"/>
      <c r="J1896" s="180"/>
      <c r="K1896" s="129"/>
      <c r="L1896" s="1609"/>
      <c r="M1896" s="1623">
        <v>6</v>
      </c>
      <c r="N1896" s="1619"/>
      <c r="O1896" s="1619"/>
      <c r="P1896" s="538"/>
      <c r="Q1896" s="538"/>
      <c r="R1896" s="538"/>
      <c r="S1896" s="538"/>
      <c r="T1896" s="676"/>
      <c r="U1896" s="538"/>
      <c r="V1896" s="538"/>
      <c r="W1896" s="538"/>
      <c r="X1896" s="1600"/>
      <c r="Y1896" s="1874"/>
      <c r="Z1896" s="1889"/>
      <c r="AB1896" s="538"/>
      <c r="AC1896" s="538"/>
      <c r="AD1896" s="538"/>
      <c r="AE1896" s="538"/>
      <c r="AF1896" s="538"/>
      <c r="AG1896" s="538"/>
      <c r="AH1896" s="538"/>
      <c r="AI1896" s="538"/>
      <c r="AJ1896" s="538"/>
      <c r="AK1896" s="538"/>
      <c r="AL1896" s="1352" t="str">
        <f>SUBSTITUTE(SUBSTITUTE(SUBSTITUTE("vpa"&amp;$B1896&amp;$C1896&amp;$D1896&amp;$E1896,".","_"),"(","_"),")","")</f>
        <v>vpa901_2_1_3</v>
      </c>
      <c r="AM1896" s="1352">
        <f>M1896</f>
        <v>6</v>
      </c>
      <c r="AN1896" s="1352"/>
      <c r="AO1896" s="1352"/>
      <c r="AP1896" s="1352"/>
      <c r="AQ1896" s="1352"/>
      <c r="AR1896" s="1352"/>
      <c r="AS1896" s="1352"/>
      <c r="AT1896" s="538"/>
      <c r="AU1896" s="538"/>
      <c r="AV1896" s="538"/>
      <c r="AW1896" s="538"/>
      <c r="AX1896" s="585" t="str">
        <f>'Overview (Verification)'!A51</f>
        <v>Maximum skylight U-value:</v>
      </c>
      <c r="AY1896" s="685">
        <f>IF(LEN('Overview (Verification)'!P51)=0,0,'Overview (Verification)'!P51)</f>
        <v>0</v>
      </c>
      <c r="AZ1896" s="538"/>
      <c r="BA1896" s="538"/>
      <c r="BB1896" s="538"/>
      <c r="BC1896" s="538"/>
      <c r="BD1896" s="538"/>
      <c r="BE1896" s="538"/>
      <c r="BF1896" s="538"/>
      <c r="BG1896" s="538"/>
      <c r="BH1896" s="538"/>
    </row>
    <row r="1897" spans="1:60" hidden="1" x14ac:dyDescent="0.2">
      <c r="A1897" s="1507">
        <v>9</v>
      </c>
      <c r="B1897" s="1516" t="s">
        <v>2696</v>
      </c>
      <c r="C1897" s="1511" t="s">
        <v>256</v>
      </c>
      <c r="D1897" s="1511"/>
      <c r="E1897" s="1511"/>
      <c r="F1897" s="1511"/>
      <c r="G1897" s="1509" t="str">
        <f>G1896</f>
        <v/>
      </c>
      <c r="H1897" s="1510" t="s">
        <v>3197</v>
      </c>
      <c r="I1897" s="161"/>
      <c r="J1897" s="207"/>
      <c r="K1897" s="213"/>
      <c r="L1897" s="1612"/>
      <c r="M1897" s="1624"/>
      <c r="N1897" s="1620"/>
      <c r="O1897" s="1620"/>
      <c r="P1897" s="538"/>
      <c r="Q1897" s="538"/>
      <c r="R1897" s="538"/>
      <c r="S1897" s="538"/>
      <c r="T1897" s="676"/>
      <c r="U1897" s="538"/>
      <c r="V1897" s="538"/>
      <c r="W1897" s="538"/>
      <c r="X1897" s="1600"/>
      <c r="Y1897" s="1874"/>
      <c r="Z1897" s="1889"/>
      <c r="AB1897" s="538"/>
      <c r="AC1897" s="538"/>
      <c r="AD1897" s="538"/>
      <c r="AE1897" s="538"/>
      <c r="AF1897" s="538"/>
      <c r="AG1897" s="538"/>
      <c r="AH1897" s="538"/>
      <c r="AI1897" s="538"/>
      <c r="AJ1897" s="538"/>
      <c r="AK1897" s="538"/>
      <c r="AL1897" s="1352"/>
      <c r="AM1897" s="1352"/>
      <c r="AN1897" s="1352"/>
      <c r="AO1897" s="1352"/>
      <c r="AP1897" s="1352"/>
      <c r="AQ1897" s="1352"/>
      <c r="AR1897" s="1352"/>
      <c r="AS1897" s="1352"/>
      <c r="AT1897" s="538"/>
      <c r="AU1897" s="538"/>
      <c r="AV1897" s="538"/>
      <c r="AW1897" s="538"/>
      <c r="AX1897" s="585" t="str">
        <f>'Overview (Verification)'!A52</f>
        <v>Renewable Energy:</v>
      </c>
      <c r="AY1897" s="685">
        <f>IF(LEN('Overview (Verification)'!P52)=0,0,'Overview (Verification)'!P52)</f>
        <v>0</v>
      </c>
      <c r="AZ1897" s="538"/>
      <c r="BA1897" s="538"/>
      <c r="BB1897" s="538"/>
      <c r="BC1897" s="538"/>
      <c r="BD1897" s="538"/>
      <c r="BE1897" s="538"/>
      <c r="BF1897" s="538"/>
      <c r="BG1897" s="538"/>
      <c r="BH1897" s="538"/>
    </row>
    <row r="1898" spans="1:60" hidden="1" x14ac:dyDescent="0.2">
      <c r="A1898" s="1507">
        <v>9</v>
      </c>
      <c r="B1898" s="1516" t="s">
        <v>2696</v>
      </c>
      <c r="C1898" s="1511" t="s">
        <v>259</v>
      </c>
      <c r="D1898" s="1511"/>
      <c r="E1898" s="1511"/>
      <c r="F1898" s="1511" t="s">
        <v>5289</v>
      </c>
      <c r="G1898" s="1509" t="str">
        <f>IF(IFERROR(SEARCH("Mandatory",M1898),FALSE),"P","")</f>
        <v/>
      </c>
      <c r="H1898" s="1510" t="s">
        <v>3197</v>
      </c>
      <c r="I1898" s="161"/>
      <c r="J1898" s="180" t="s">
        <v>259</v>
      </c>
      <c r="K1898" s="129"/>
      <c r="L1898" s="1657" t="s">
        <v>2699</v>
      </c>
      <c r="M1898" s="697" t="str">
        <f>IF(R1898,"Mandatory","N/A")</f>
        <v>N/A</v>
      </c>
      <c r="N1898" s="1619">
        <f>'11.900'!O51</f>
        <v>0</v>
      </c>
      <c r="O1898" s="1619">
        <f>M1899*S1898*(W1898="Met")</f>
        <v>0</v>
      </c>
      <c r="P1898" s="96" t="b">
        <v>1</v>
      </c>
      <c r="Q1898" s="96" t="b">
        <v>1</v>
      </c>
      <c r="R1898" s="538" t="b">
        <f>S1898</f>
        <v>0</v>
      </c>
      <c r="S1898" s="538" t="b">
        <f>NOT(W1902)</f>
        <v>0</v>
      </c>
      <c r="T1898" s="96" t="b">
        <f>AND(NOT(S1898),LEN(W1898)&gt;0,W1898&lt;&gt;"N/A")</f>
        <v>0</v>
      </c>
      <c r="U1898" s="96" t="str">
        <f>SUBSTITUTE(SUBSTITUTE(SUBSTITUTE("dd"&amp;B1898&amp;C1898&amp;D1898&amp;E1898&amp;F1898,".","_"),"(","_"),")","")</f>
        <v>dd901_2_1_4_m</v>
      </c>
      <c r="V1898" s="538"/>
      <c r="W1898" s="12"/>
      <c r="X1898" s="1600"/>
      <c r="Y1898" s="1874" t="str">
        <f>IF(LEN('11.900'!X51)=0,"None",'11.900'!X51)</f>
        <v>None</v>
      </c>
      <c r="Z1898" s="1889"/>
      <c r="AB1898" s="538"/>
      <c r="AC1898" s="538" t="b">
        <f>OR(AD1898:AE1898)</f>
        <v>0</v>
      </c>
      <c r="AD1898" s="538" t="b">
        <f>T1898</f>
        <v>0</v>
      </c>
      <c r="AE1898" s="538" t="b">
        <f>AND(R1898,OR(W1898="Not Met",W1898=""))</f>
        <v>0</v>
      </c>
      <c r="AF1898" s="720"/>
      <c r="AG1898" s="538"/>
      <c r="AH1898" s="538"/>
      <c r="AI1898" s="538"/>
      <c r="AJ1898" s="538"/>
      <c r="AK1898" s="538"/>
      <c r="AL1898" s="1" t="str">
        <f>SUBSTITUTE(SUBSTITUTE(SUBSTITUTE("vpa"&amp;$B1898&amp;$C1898&amp;$D1898&amp;$E1898&amp;$F1898,".","_"),"(","_"),")","")</f>
        <v>vpa901_2_1_4_m</v>
      </c>
      <c r="AM1898" s="1352" t="str">
        <f>M1898</f>
        <v>N/A</v>
      </c>
      <c r="AN1898" s="1352" t="str">
        <f>SUBSTITUTE(SUBSTITUTE(SUBSTITUTE("vpc"&amp;$B1898&amp;$C1898&amp;$D1898&amp;$E1898,".","_"),"(","_"),")","")</f>
        <v>vpc901_2_1_4</v>
      </c>
      <c r="AO1898" s="1352">
        <f>O1898</f>
        <v>0</v>
      </c>
      <c r="AP1898" s="1352" t="str">
        <f>SUBSTITUTE(SUBSTITUTE(SUBSTITUTE("vch"&amp;$B1898&amp;$C1898&amp;$D1898&amp;$E1898,".","_"),"(","_"),")","")</f>
        <v>vch901_2_1_4</v>
      </c>
      <c r="AQ1898" s="1352" t="str">
        <f>IF(LEN(W1898)=0,"",W1898)</f>
        <v/>
      </c>
      <c r="AR1898" s="1352" t="str">
        <f>SUBSTITUTE(SUBSTITUTE(SUBSTITUTE("vnt"&amp;$B1898&amp;$C1898&amp;$D1898&amp;$E1898,".","_"),"(","_"),")","")</f>
        <v>vnt901_2_1_4</v>
      </c>
      <c r="AS1898" s="1352" t="str">
        <f>IF(LEN(X1898)=0,"",X1898)</f>
        <v/>
      </c>
      <c r="AT1898" s="538"/>
      <c r="AU1898" s="538"/>
      <c r="AV1898" s="538"/>
      <c r="AW1898" s="538"/>
      <c r="AX1898" s="585" t="str">
        <f>'Overview (Verification)'!A53</f>
        <v>Thermal Envelope Insulation:</v>
      </c>
      <c r="AY1898" s="685">
        <f>IF(LEN('Overview (Verification)'!P53)=0,0,'Overview (Verification)'!P53)</f>
        <v>0</v>
      </c>
      <c r="AZ1898" s="538"/>
      <c r="BA1898" s="538"/>
      <c r="BB1898" s="538"/>
      <c r="BC1898" s="538"/>
      <c r="BD1898" s="538"/>
      <c r="BE1898" s="538"/>
      <c r="BF1898" s="538"/>
      <c r="BG1898" s="538"/>
      <c r="BH1898" s="538"/>
    </row>
    <row r="1899" spans="1:60" hidden="1" x14ac:dyDescent="0.2">
      <c r="A1899" s="1507">
        <v>9</v>
      </c>
      <c r="B1899" s="1516" t="s">
        <v>2696</v>
      </c>
      <c r="C1899" s="1511" t="s">
        <v>259</v>
      </c>
      <c r="D1899" s="1511"/>
      <c r="E1899" s="1511"/>
      <c r="F1899" s="1511"/>
      <c r="G1899" s="1509" t="str">
        <f>G1898</f>
        <v/>
      </c>
      <c r="H1899" s="1510" t="s">
        <v>3197</v>
      </c>
      <c r="I1899" s="161"/>
      <c r="J1899" s="207"/>
      <c r="K1899" s="213"/>
      <c r="L1899" s="1650"/>
      <c r="M1899" s="546">
        <v>6</v>
      </c>
      <c r="N1899" s="1620"/>
      <c r="O1899" s="1620"/>
      <c r="P1899" s="538"/>
      <c r="Q1899" s="538"/>
      <c r="R1899" s="538"/>
      <c r="S1899" s="538"/>
      <c r="T1899" s="676"/>
      <c r="U1899" s="538"/>
      <c r="V1899" s="538"/>
      <c r="W1899" s="538"/>
      <c r="X1899" s="1600"/>
      <c r="Y1899" s="1874"/>
      <c r="Z1899" s="1889"/>
      <c r="AB1899" s="538"/>
      <c r="AC1899" s="538"/>
      <c r="AD1899" s="538"/>
      <c r="AE1899" s="538"/>
      <c r="AF1899" s="538"/>
      <c r="AG1899" s="538"/>
      <c r="AH1899" s="538"/>
      <c r="AI1899" s="538"/>
      <c r="AJ1899" s="538"/>
      <c r="AK1899" s="538"/>
      <c r="AL1899" s="1352" t="str">
        <f>SUBSTITUTE(SUBSTITUTE(SUBSTITUTE("vpa"&amp;$B1899&amp;$C1899&amp;$D1899&amp;$E1899,".","_"),"(","_"),")","")</f>
        <v>vpa901_2_1_4</v>
      </c>
      <c r="AM1899" s="1352">
        <f>M1899</f>
        <v>6</v>
      </c>
      <c r="AN1899" s="1352"/>
      <c r="AO1899" s="1352"/>
      <c r="AP1899" s="1352"/>
      <c r="AQ1899" s="1352"/>
      <c r="AR1899" s="1352"/>
      <c r="AS1899" s="1352"/>
      <c r="AT1899" s="538"/>
      <c r="AU1899" s="538"/>
      <c r="AV1899" s="538"/>
      <c r="AW1899" s="538"/>
      <c r="AX1899" s="585" t="str">
        <f>'Overview (Verification)'!A54</f>
        <v>Attic Type:</v>
      </c>
      <c r="AY1899" s="685" t="str">
        <f>IF(LEN('Overview (Verification)'!P54)=0,0,'Overview (Verification)'!P54)</f>
        <v>Vented</v>
      </c>
      <c r="AZ1899" s="538"/>
      <c r="BA1899" s="538"/>
      <c r="BB1899" s="538"/>
      <c r="BC1899" s="538"/>
      <c r="BD1899" s="538"/>
      <c r="BE1899" s="538"/>
      <c r="BF1899" s="538"/>
      <c r="BG1899" s="538"/>
      <c r="BH1899" s="538"/>
    </row>
    <row r="1900" spans="1:60" hidden="1" x14ac:dyDescent="0.2">
      <c r="A1900" s="1507">
        <v>9</v>
      </c>
      <c r="B1900" s="1516" t="s">
        <v>2696</v>
      </c>
      <c r="C1900" s="1511" t="s">
        <v>263</v>
      </c>
      <c r="D1900" s="1511"/>
      <c r="E1900" s="1511"/>
      <c r="F1900" s="1511" t="s">
        <v>5289</v>
      </c>
      <c r="G1900" s="1509" t="str">
        <f>IF(IFERROR(SEARCH("Mandatory",M1900),FALSE),"P","")</f>
        <v/>
      </c>
      <c r="H1900" s="1510" t="s">
        <v>3197</v>
      </c>
      <c r="I1900" s="406"/>
      <c r="J1900" s="180" t="s">
        <v>263</v>
      </c>
      <c r="K1900" s="129"/>
      <c r="L1900" s="1609" t="s">
        <v>2700</v>
      </c>
      <c r="M1900" s="697" t="str">
        <f>IF(R1900,"Mandatory","N/A")</f>
        <v>N/A</v>
      </c>
      <c r="N1900" s="1619">
        <f>'11.900'!O53</f>
        <v>0</v>
      </c>
      <c r="O1900" s="1619">
        <f>M1901*S1900*(W1900="Met")</f>
        <v>0</v>
      </c>
      <c r="P1900" s="96" t="b">
        <v>1</v>
      </c>
      <c r="Q1900" s="96" t="b">
        <v>1</v>
      </c>
      <c r="R1900" s="96" t="b">
        <f>S1900</f>
        <v>0</v>
      </c>
      <c r="S1900" s="96" t="b">
        <f>NOT(W1902)</f>
        <v>0</v>
      </c>
      <c r="T1900" s="96" t="b">
        <f>AND(NOT(S1900),LEN(W1900)&gt;0,W1900&lt;&gt;"N/A")</f>
        <v>0</v>
      </c>
      <c r="U1900" s="96" t="str">
        <f>SUBSTITUTE(SUBSTITUTE(SUBSTITUTE("dd"&amp;B1900&amp;C1900&amp;D1900&amp;E1900&amp;F1900,".","_"),"(","_"),")","")</f>
        <v>dd901_2_1_5_m</v>
      </c>
      <c r="V1900" s="96"/>
      <c r="W1900" s="12"/>
      <c r="X1900" s="1601"/>
      <c r="Y1900" s="1874" t="str">
        <f>IF(LEN('11.900'!X53)=0,"None",'11.900'!X53)</f>
        <v>None</v>
      </c>
      <c r="Z1900" s="1889"/>
      <c r="AB1900" s="538"/>
      <c r="AC1900" s="538" t="b">
        <f>OR(AD1900:AE1900)</f>
        <v>0</v>
      </c>
      <c r="AD1900" s="538" t="b">
        <f>T1900</f>
        <v>0</v>
      </c>
      <c r="AE1900" s="538" t="b">
        <f>AND(R1900,OR(W1900="Not Met",W1900=""))</f>
        <v>0</v>
      </c>
      <c r="AF1900" s="720"/>
      <c r="AG1900" s="538"/>
      <c r="AH1900" s="538"/>
      <c r="AI1900" s="538"/>
      <c r="AJ1900" s="538"/>
      <c r="AK1900" s="538"/>
      <c r="AL1900" s="1" t="str">
        <f>SUBSTITUTE(SUBSTITUTE(SUBSTITUTE("vpa"&amp;$B1900&amp;$C1900&amp;$D1900&amp;$E1900&amp;$F1900,".","_"),"(","_"),")","")</f>
        <v>vpa901_2_1_5_m</v>
      </c>
      <c r="AM1900" s="1352" t="str">
        <f>M1900</f>
        <v>N/A</v>
      </c>
      <c r="AN1900" s="1352" t="str">
        <f>SUBSTITUTE(SUBSTITUTE(SUBSTITUTE("vpc"&amp;$B1900&amp;$C1900&amp;$D1900&amp;$E1900,".","_"),"(","_"),")","")</f>
        <v>vpc901_2_1_5</v>
      </c>
      <c r="AO1900" s="1352">
        <f>O1900</f>
        <v>0</v>
      </c>
      <c r="AP1900" s="1352" t="str">
        <f>SUBSTITUTE(SUBSTITUTE(SUBSTITUTE("vch"&amp;$B1900&amp;$C1900&amp;$D1900&amp;$E1900,".","_"),"(","_"),")","")</f>
        <v>vch901_2_1_5</v>
      </c>
      <c r="AQ1900" s="1352" t="str">
        <f>IF(LEN(W1900)=0,"",W1900)</f>
        <v/>
      </c>
      <c r="AR1900" s="1352" t="str">
        <f>SUBSTITUTE(SUBSTITUTE(SUBSTITUTE("vnt"&amp;$B1900&amp;$C1900&amp;$D1900&amp;$E1900,".","_"),"(","_"),")","")</f>
        <v>vnt901_2_1_5</v>
      </c>
      <c r="AS1900" s="1352" t="str">
        <f>IF(LEN(X1900)=0,"",X1900)</f>
        <v/>
      </c>
      <c r="AT1900" s="538"/>
      <c r="AU1900" s="538"/>
      <c r="AV1900" s="538"/>
      <c r="AW1900" s="538"/>
      <c r="AX1900" s="585" t="str">
        <f>'Overview (Verification)'!A55</f>
        <v>Attached Garage:</v>
      </c>
      <c r="AY1900" s="685" t="str">
        <f>IF(LEN('Overview (Verification)'!P55)=0,0,'Overview (Verification)'!P55)</f>
        <v>No</v>
      </c>
      <c r="AZ1900" s="538"/>
      <c r="BA1900" s="538"/>
      <c r="BB1900" s="538"/>
      <c r="BC1900" s="538"/>
      <c r="BD1900" s="538"/>
      <c r="BE1900" s="538"/>
      <c r="BF1900" s="538"/>
      <c r="BG1900" s="538"/>
      <c r="BH1900" s="538"/>
    </row>
    <row r="1901" spans="1:60" hidden="1" x14ac:dyDescent="0.2">
      <c r="A1901" s="1507">
        <v>9</v>
      </c>
      <c r="B1901" s="1516" t="s">
        <v>2696</v>
      </c>
      <c r="C1901" s="1511" t="s">
        <v>263</v>
      </c>
      <c r="D1901" s="1511"/>
      <c r="E1901" s="1511"/>
      <c r="F1901" s="1511"/>
      <c r="G1901" s="1509" t="str">
        <f>G1900</f>
        <v/>
      </c>
      <c r="H1901" s="1510" t="s">
        <v>3197</v>
      </c>
      <c r="I1901" s="438"/>
      <c r="J1901" s="207"/>
      <c r="K1901" s="213"/>
      <c r="L1901" s="1612"/>
      <c r="M1901" s="546">
        <v>6</v>
      </c>
      <c r="N1901" s="1620"/>
      <c r="O1901" s="1620"/>
      <c r="P1901" s="173"/>
      <c r="Q1901" s="173"/>
      <c r="R1901" s="173"/>
      <c r="S1901" s="173"/>
      <c r="T1901" s="173"/>
      <c r="U1901" s="173"/>
      <c r="V1901" s="173"/>
      <c r="W1901" s="173"/>
      <c r="X1901" s="1601"/>
      <c r="Y1901" s="1874"/>
      <c r="Z1901" s="1889"/>
      <c r="AB1901" s="538"/>
      <c r="AC1901" s="538"/>
      <c r="AD1901" s="538"/>
      <c r="AE1901" s="538"/>
      <c r="AF1901" s="538"/>
      <c r="AG1901" s="538"/>
      <c r="AH1901" s="538"/>
      <c r="AI1901" s="538"/>
      <c r="AJ1901" s="538"/>
      <c r="AK1901" s="538"/>
      <c r="AL1901" s="1352" t="str">
        <f>SUBSTITUTE(SUBSTITUTE(SUBSTITUTE("vpa"&amp;$B1901&amp;$C1901&amp;$D1901&amp;$E1901,".","_"),"(","_"),")","")</f>
        <v>vpa901_2_1_5</v>
      </c>
      <c r="AM1901" s="1352">
        <f>M1901</f>
        <v>6</v>
      </c>
      <c r="AN1901" s="1352"/>
      <c r="AO1901" s="1352"/>
      <c r="AP1901" s="1352"/>
      <c r="AQ1901" s="1352"/>
      <c r="AR1901" s="1352"/>
      <c r="AS1901" s="1352"/>
      <c r="AT1901" s="538"/>
      <c r="AU1901" s="538"/>
      <c r="AV1901" s="538"/>
      <c r="AW1901" s="538"/>
      <c r="AX1901" s="585" t="str">
        <f>'Overview (Verification)'!A56</f>
        <v>Recessed Lighting:</v>
      </c>
      <c r="AY1901" s="685">
        <f>IF(LEN('Overview (Verification)'!P56)=0,0,'Overview (Verification)'!P56)</f>
        <v>0</v>
      </c>
      <c r="AZ1901" s="538"/>
      <c r="BA1901" s="538"/>
      <c r="BB1901" s="538"/>
      <c r="BC1901" s="538"/>
      <c r="BD1901" s="538"/>
      <c r="BE1901" s="538"/>
      <c r="BF1901" s="538"/>
      <c r="BG1901" s="538"/>
      <c r="BH1901" s="538"/>
    </row>
    <row r="1902" spans="1:60" ht="17" thickBot="1" x14ac:dyDescent="0.25">
      <c r="A1902" s="1507">
        <v>9</v>
      </c>
      <c r="B1902" s="1516" t="s">
        <v>2701</v>
      </c>
      <c r="C1902" s="1511"/>
      <c r="D1902" s="1511"/>
      <c r="E1902" s="1511"/>
      <c r="F1902" s="1511"/>
      <c r="G1902" s="1509" t="str">
        <f>IF(N1902&gt;0,"P","")</f>
        <v>P</v>
      </c>
      <c r="H1902" s="1510" t="s">
        <v>3197</v>
      </c>
      <c r="I1902" s="189" t="s">
        <v>3670</v>
      </c>
      <c r="J1902" s="239"/>
      <c r="K1902" s="239"/>
      <c r="L1902" s="439" t="s">
        <v>3740</v>
      </c>
      <c r="M1902" s="553">
        <v>6</v>
      </c>
      <c r="N1902" s="547">
        <f>'11.900'!O55</f>
        <v>6</v>
      </c>
      <c r="O1902" s="547">
        <f>M1902*S1902*W1902</f>
        <v>6</v>
      </c>
      <c r="P1902" s="96" t="b">
        <v>1</v>
      </c>
      <c r="Q1902" s="96" t="b">
        <v>1</v>
      </c>
      <c r="R1902" s="100" t="b">
        <v>0</v>
      </c>
      <c r="S1902" s="100" t="b">
        <f>(COUNTIF(W1890:W1900,"Met"))=0</f>
        <v>1</v>
      </c>
      <c r="T1902" s="100" t="b">
        <f>AND(NOT(S1902),W1902=TRUE)</f>
        <v>0</v>
      </c>
      <c r="U1902" s="100"/>
      <c r="V1902" s="100"/>
      <c r="W1902" s="101" t="b">
        <v>1</v>
      </c>
      <c r="X1902" s="555"/>
      <c r="Y1902" s="573" t="str">
        <f>IF(LEN('11.900'!X55)=0,"None",'11.900'!X55)</f>
        <v>None</v>
      </c>
      <c r="Z1902" s="717"/>
      <c r="AA1902" s="707" t="e">
        <f>'Photo Review'!#REF!</f>
        <v>#REF!</v>
      </c>
      <c r="AB1902" s="538"/>
      <c r="AC1902" s="538" t="b">
        <f>OR(AD1902:AE1902)</f>
        <v>0</v>
      </c>
      <c r="AD1902" s="538" t="b">
        <f>T1902</f>
        <v>0</v>
      </c>
      <c r="AE1902" s="538"/>
      <c r="AF1902" s="720"/>
      <c r="AG1902" s="538"/>
      <c r="AH1902" s="538"/>
      <c r="AI1902" s="538"/>
      <c r="AJ1902" s="538"/>
      <c r="AK1902" s="538"/>
      <c r="AL1902" s="1352" t="str">
        <f>SUBSTITUTE(SUBSTITUTE(SUBSTITUTE("vpa"&amp;$B1902&amp;$C1902&amp;$D1902&amp;$E1902,".","_"),"(","_"),")","")</f>
        <v>vpa901_2_2</v>
      </c>
      <c r="AM1902" s="1352">
        <f>M1902</f>
        <v>6</v>
      </c>
      <c r="AN1902" s="1352" t="str">
        <f>SUBSTITUTE(SUBSTITUTE(SUBSTITUTE("vpc"&amp;$B1902&amp;$C1902&amp;$D1902&amp;$E1902,".","_"),"(","_"),")","")</f>
        <v>vpc901_2_2</v>
      </c>
      <c r="AO1902" s="1352">
        <f>O1902</f>
        <v>6</v>
      </c>
      <c r="AP1902" s="1352" t="str">
        <f>SUBSTITUTE(SUBSTITUTE(SUBSTITUTE("vch"&amp;$B1902&amp;$C1902&amp;$D1902&amp;$E1902,".","_"),"(","_"),")","")</f>
        <v>vch901_2_2</v>
      </c>
      <c r="AQ1902" s="1352" t="b">
        <f>IF(LEN(W1902)=0,"",W1902)</f>
        <v>1</v>
      </c>
      <c r="AR1902" s="1352" t="str">
        <f>SUBSTITUTE(SUBSTITUTE(SUBSTITUTE("vnt"&amp;$B1902&amp;$C1902&amp;$D1902&amp;$E1902,".","_"),"(","_"),")","")</f>
        <v>vnt901_2_2</v>
      </c>
      <c r="AS1902" s="1352" t="str">
        <f>IF(LEN(X1902)=0,"",X1902)</f>
        <v/>
      </c>
      <c r="AT1902" s="538"/>
      <c r="AU1902" s="538"/>
      <c r="AV1902" s="538"/>
      <c r="AW1902" s="538"/>
      <c r="AX1902" s="539"/>
      <c r="AY1902" s="685"/>
      <c r="AZ1902" s="538"/>
      <c r="BA1902" s="538"/>
      <c r="BB1902" s="538"/>
      <c r="BC1902" s="538"/>
      <c r="BD1902" s="538"/>
      <c r="BE1902" s="538"/>
      <c r="BF1902" s="538"/>
      <c r="BG1902" s="538"/>
      <c r="BH1902" s="538"/>
    </row>
    <row r="1903" spans="1:60" ht="16" thickTop="1" x14ac:dyDescent="0.2">
      <c r="A1903" s="1507">
        <v>9</v>
      </c>
      <c r="B1903" s="1516">
        <v>901.3</v>
      </c>
      <c r="C1903" s="1511"/>
      <c r="D1903" s="1511"/>
      <c r="E1903" s="1511"/>
      <c r="F1903" s="1511"/>
      <c r="G1903" s="1513" t="str">
        <f ca="1">IF(COUNTIF(G1904:G1915,"P")&gt;0,"P","")</f>
        <v>P</v>
      </c>
      <c r="H1903" s="1510" t="s">
        <v>3197</v>
      </c>
      <c r="I1903" s="67" t="s">
        <v>3671</v>
      </c>
      <c r="J1903" s="4"/>
      <c r="K1903" s="4"/>
      <c r="L1903" s="560" t="s">
        <v>3739</v>
      </c>
      <c r="M1903" s="554"/>
      <c r="N1903" s="540"/>
      <c r="O1903" s="540"/>
      <c r="P1903" s="538"/>
      <c r="Q1903" s="538"/>
      <c r="R1903" s="538"/>
      <c r="S1903" s="538"/>
      <c r="T1903" s="538"/>
      <c r="U1903" s="538"/>
      <c r="V1903" s="538"/>
      <c r="W1903" s="538"/>
      <c r="X1903" s="538"/>
      <c r="Y1903" s="538"/>
      <c r="Z1903" s="670"/>
      <c r="AB1903" s="538"/>
      <c r="AC1903" s="538"/>
      <c r="AD1903" s="538"/>
      <c r="AE1903" s="538"/>
      <c r="AF1903" s="538"/>
      <c r="AG1903" s="538"/>
      <c r="AH1903" s="538"/>
      <c r="AI1903" s="538"/>
      <c r="AJ1903" s="538"/>
      <c r="AK1903" s="538"/>
      <c r="AL1903" s="1352"/>
      <c r="AM1903" s="1352"/>
      <c r="AN1903" s="1352"/>
      <c r="AO1903" s="1352"/>
      <c r="AP1903" s="1352"/>
      <c r="AQ1903" s="1352"/>
      <c r="AR1903" s="1352"/>
      <c r="AS1903" s="1352"/>
      <c r="AT1903" s="538"/>
      <c r="AU1903" s="538"/>
      <c r="AV1903" s="538"/>
      <c r="AW1903" s="538"/>
      <c r="AX1903" s="585" t="str">
        <f>'Overview (Verification)'!A58</f>
        <v>Special Design Features:</v>
      </c>
      <c r="AY1903" s="905">
        <f>IF(LEN('Overview (Verification)'!P58)=0,0,'Overview (Verification)'!P58)</f>
        <v>0</v>
      </c>
      <c r="AZ1903" s="538"/>
      <c r="BA1903" s="538"/>
      <c r="BB1903" s="538"/>
      <c r="BC1903" s="538"/>
      <c r="BD1903" s="538"/>
      <c r="BE1903" s="538"/>
      <c r="BF1903" s="538"/>
      <c r="BG1903" s="538"/>
      <c r="BH1903" s="538"/>
    </row>
    <row r="1904" spans="1:60" hidden="1" x14ac:dyDescent="0.2">
      <c r="A1904" s="1507">
        <v>9</v>
      </c>
      <c r="B1904" s="1516">
        <v>901.3</v>
      </c>
      <c r="C1904" s="1511" t="s">
        <v>254</v>
      </c>
      <c r="D1904" s="1511"/>
      <c r="E1904" s="1511"/>
      <c r="F1904" s="1511"/>
      <c r="G1904" s="1513" t="str">
        <f ca="1">IF(COUNTIF(G1905:G1909,"P")&gt;0,"P","")</f>
        <v/>
      </c>
      <c r="H1904" s="1512" t="s">
        <v>3197</v>
      </c>
      <c r="I1904" s="161"/>
      <c r="J1904" s="29" t="s">
        <v>254</v>
      </c>
      <c r="K1904" s="4"/>
      <c r="L1904" s="559" t="s">
        <v>2702</v>
      </c>
      <c r="M1904" s="554"/>
      <c r="N1904" s="540"/>
      <c r="O1904" s="540"/>
      <c r="P1904" s="538"/>
      <c r="Q1904" s="538"/>
      <c r="R1904" s="538"/>
      <c r="S1904" s="538"/>
      <c r="T1904" s="538"/>
      <c r="U1904" s="538"/>
      <c r="V1904" s="538"/>
      <c r="W1904" s="538"/>
      <c r="X1904" s="538"/>
      <c r="Y1904" s="538"/>
      <c r="Z1904" s="670"/>
      <c r="AA1904" s="707" t="e">
        <f>'Photo Review'!#REF!</f>
        <v>#REF!</v>
      </c>
      <c r="AB1904" s="538"/>
      <c r="AC1904" s="538"/>
      <c r="AD1904" s="538"/>
      <c r="AE1904" s="538"/>
      <c r="AF1904" s="538"/>
      <c r="AG1904" s="538"/>
      <c r="AH1904" s="538"/>
      <c r="AI1904" s="538"/>
      <c r="AJ1904" s="538"/>
      <c r="AK1904" s="538"/>
      <c r="AL1904" s="1352"/>
      <c r="AM1904" s="1352"/>
      <c r="AN1904" s="1352"/>
      <c r="AO1904" s="1352"/>
      <c r="AP1904" s="1352"/>
      <c r="AQ1904" s="1352"/>
      <c r="AR1904" s="1352"/>
      <c r="AS1904" s="1352"/>
      <c r="AT1904" s="538"/>
      <c r="AU1904" s="538"/>
      <c r="AV1904" s="538"/>
      <c r="AW1904" s="538"/>
      <c r="AX1904" s="585" t="str">
        <f>'Overview (Verification)'!A59</f>
        <v>Passive Solar:</v>
      </c>
      <c r="AY1904" s="685">
        <f>IF(LEN('Overview (Verification)'!P59)=0,0,'Overview (Verification)'!P59)</f>
        <v>0</v>
      </c>
      <c r="AZ1904" s="538"/>
      <c r="BA1904" s="538"/>
      <c r="BB1904" s="538"/>
      <c r="BC1904" s="538"/>
      <c r="BD1904" s="538"/>
      <c r="BE1904" s="538"/>
      <c r="BF1904" s="538"/>
      <c r="BG1904" s="538"/>
      <c r="BH1904" s="538"/>
    </row>
    <row r="1905" spans="1:60" hidden="1" x14ac:dyDescent="0.2">
      <c r="A1905" s="1507">
        <v>9</v>
      </c>
      <c r="B1905" s="1516">
        <v>901.3</v>
      </c>
      <c r="C1905" s="1511" t="s">
        <v>254</v>
      </c>
      <c r="D1905" s="1524" t="s">
        <v>121</v>
      </c>
      <c r="E1905" s="1524"/>
      <c r="F1905" s="1511" t="s">
        <v>5289</v>
      </c>
      <c r="G1905" s="1509" t="str">
        <f>IF(IFERROR(SEARCH("Mandatory",M1905),FALSE),"P","")</f>
        <v/>
      </c>
      <c r="H1905" s="1538" t="s">
        <v>3199</v>
      </c>
      <c r="I1905" s="161"/>
      <c r="J1905" s="4"/>
      <c r="K1905" s="180" t="s">
        <v>121</v>
      </c>
      <c r="L1905" s="1609" t="s">
        <v>3906</v>
      </c>
      <c r="M1905" s="697" t="str">
        <f>IF(R1905,"Mandatory","N/A")</f>
        <v>N/A</v>
      </c>
      <c r="N1905" s="1619">
        <f>'11.900'!O58</f>
        <v>0</v>
      </c>
      <c r="O1905" s="1619">
        <f>M1906*S1905*(W1905="Met")</f>
        <v>0</v>
      </c>
      <c r="P1905" s="1275" t="b">
        <v>0</v>
      </c>
      <c r="Q1905" s="1275" t="b">
        <v>1</v>
      </c>
      <c r="R1905" s="538" t="b">
        <f>S1905</f>
        <v>0</v>
      </c>
      <c r="S1905" s="1170" t="b">
        <f>NOT(OR(W1915,W1907="N/A",AY1900="No"))</f>
        <v>0</v>
      </c>
      <c r="T1905" s="96" t="b">
        <f>AND(NOT(S1905),LEN(W1905)&gt;"Met")</f>
        <v>0</v>
      </c>
      <c r="U1905" s="96" t="str">
        <f>SUBSTITUTE(SUBSTITUTE(SUBSTITUTE("dd"&amp;B1905&amp;C1905&amp;D1905&amp;E1905&amp;F1905,".","_"),"(","_"),")","")</f>
        <v>dd901_3_1_a_m</v>
      </c>
      <c r="V1905" s="538"/>
      <c r="W1905" s="12"/>
      <c r="X1905" s="1600"/>
      <c r="Y1905" s="1874" t="str">
        <f>IF(LEN('11.900'!X58)=0,"None",'11.900'!X58)</f>
        <v>None</v>
      </c>
      <c r="Z1905" s="1889"/>
      <c r="AB1905" s="538"/>
      <c r="AC1905" s="538" t="b">
        <f>OR(AD1905:AE1905)</f>
        <v>0</v>
      </c>
      <c r="AD1905" s="538" t="b">
        <f>T1905</f>
        <v>0</v>
      </c>
      <c r="AE1905" s="538" t="b">
        <f>AND(R1905,OR(W1905="Not Met",W1905=""))</f>
        <v>0</v>
      </c>
      <c r="AF1905" s="720"/>
      <c r="AG1905" s="538"/>
      <c r="AH1905" s="538"/>
      <c r="AI1905" s="538"/>
      <c r="AJ1905" s="538"/>
      <c r="AK1905" s="538"/>
      <c r="AL1905" s="1" t="str">
        <f>SUBSTITUTE(SUBSTITUTE(SUBSTITUTE("vpa"&amp;$B1905&amp;$C1905&amp;$D1905&amp;$E1905&amp;$F1905,".","_"),"(","_"),")","")</f>
        <v>vpa901_3_1_a_m</v>
      </c>
      <c r="AM1905" s="1352" t="str">
        <f>M1905</f>
        <v>N/A</v>
      </c>
      <c r="AN1905" s="1352" t="str">
        <f>SUBSTITUTE(SUBSTITUTE(SUBSTITUTE("vpc"&amp;$B1905&amp;$C1905&amp;$D1905&amp;$E1905,".","_"),"(","_"),")","")</f>
        <v>vpc901_3_1_a</v>
      </c>
      <c r="AO1905" s="1352">
        <f>O1905</f>
        <v>0</v>
      </c>
      <c r="AP1905" s="1352" t="str">
        <f>SUBSTITUTE(SUBSTITUTE(SUBSTITUTE("vch"&amp;$B1905&amp;$C1905&amp;$D1905&amp;$E1905,".","_"),"(","_"),")","")</f>
        <v>vch901_3_1_a</v>
      </c>
      <c r="AQ1905" s="1352" t="str">
        <f>IF(LEN(W1905)=0,"",W1905)</f>
        <v/>
      </c>
      <c r="AR1905" s="1352" t="str">
        <f>SUBSTITUTE(SUBSTITUTE(SUBSTITUTE("vnt"&amp;$B1905&amp;$C1905&amp;$D1905&amp;$E1905,".","_"),"(","_"),")","")</f>
        <v>vnt901_3_1_a</v>
      </c>
      <c r="AS1905" s="1352" t="str">
        <f>IF(LEN(X1905)=0,"",X1905)</f>
        <v/>
      </c>
      <c r="AT1905" s="538"/>
      <c r="AU1905" s="538"/>
      <c r="AV1905" s="538"/>
      <c r="AW1905" s="538"/>
      <c r="AX1905" s="585" t="str">
        <f>'Overview (Verification)'!A60</f>
        <v>Mass Walls:</v>
      </c>
      <c r="AY1905" s="685">
        <f>IF(LEN('Overview (Verification)'!P60)=0,0,'Overview (Verification)'!P60)</f>
        <v>0</v>
      </c>
      <c r="AZ1905" s="538"/>
      <c r="BA1905" s="538"/>
      <c r="BB1905" s="538"/>
      <c r="BC1905" s="538"/>
      <c r="BD1905" s="538"/>
      <c r="BE1905" s="538"/>
      <c r="BF1905" s="538"/>
      <c r="BG1905" s="538"/>
      <c r="BH1905" s="538"/>
    </row>
    <row r="1906" spans="1:60" hidden="1" x14ac:dyDescent="0.2">
      <c r="A1906" s="1507">
        <v>9</v>
      </c>
      <c r="B1906" s="1516">
        <v>901.3</v>
      </c>
      <c r="C1906" s="1511" t="s">
        <v>254</v>
      </c>
      <c r="D1906" s="1524" t="s">
        <v>121</v>
      </c>
      <c r="E1906" s="1524"/>
      <c r="F1906" s="1524"/>
      <c r="G1906" s="1509" t="str">
        <f>G1905</f>
        <v/>
      </c>
      <c r="H1906" s="1538" t="s">
        <v>3199</v>
      </c>
      <c r="I1906" s="161"/>
      <c r="J1906" s="4"/>
      <c r="K1906" s="207"/>
      <c r="L1906" s="1612"/>
      <c r="M1906" s="546">
        <v>2</v>
      </c>
      <c r="N1906" s="1620"/>
      <c r="O1906" s="1620"/>
      <c r="P1906" s="1274"/>
      <c r="Q1906" s="1274"/>
      <c r="R1906" s="538"/>
      <c r="S1906" s="1170"/>
      <c r="T1906" s="538"/>
      <c r="U1906" s="538"/>
      <c r="V1906" s="538"/>
      <c r="W1906" s="538"/>
      <c r="X1906" s="1600"/>
      <c r="Y1906" s="1874"/>
      <c r="Z1906" s="1889"/>
      <c r="AB1906" s="538"/>
      <c r="AC1906" s="538"/>
      <c r="AD1906" s="538"/>
      <c r="AE1906" s="538"/>
      <c r="AF1906" s="538"/>
      <c r="AG1906" s="538"/>
      <c r="AH1906" s="538"/>
      <c r="AI1906" s="538"/>
      <c r="AJ1906" s="538"/>
      <c r="AK1906" s="538"/>
      <c r="AL1906" s="1352" t="str">
        <f>SUBSTITUTE(SUBSTITUTE(SUBSTITUTE("vpa"&amp;$B1906&amp;$C1906&amp;$D1906&amp;$E1906,".","_"),"(","_"),")","")</f>
        <v>vpa901_3_1_a</v>
      </c>
      <c r="AM1906" s="1352">
        <f>M1906</f>
        <v>2</v>
      </c>
      <c r="AN1906" s="1352"/>
      <c r="AO1906" s="1352"/>
      <c r="AP1906" s="1352"/>
      <c r="AQ1906" s="1352"/>
      <c r="AR1906" s="1352"/>
      <c r="AS1906" s="1352"/>
      <c r="AT1906" s="538"/>
      <c r="AU1906" s="538"/>
      <c r="AV1906" s="538"/>
      <c r="AW1906" s="538"/>
      <c r="AX1906" s="585" t="str">
        <f>'Overview (Verification)'!A61</f>
        <v>Radiant/Hydronic:</v>
      </c>
      <c r="AY1906" s="685">
        <f>IF(LEN('Overview (Verification)'!P61)=0,0,'Overview (Verification)'!P61)</f>
        <v>0</v>
      </c>
      <c r="AZ1906" s="538"/>
      <c r="BA1906" s="538"/>
      <c r="BB1906" s="538"/>
      <c r="BC1906" s="538"/>
      <c r="BD1906" s="538"/>
      <c r="BE1906" s="538"/>
      <c r="BF1906" s="538"/>
      <c r="BG1906" s="538"/>
      <c r="BH1906" s="538"/>
    </row>
    <row r="1907" spans="1:60" hidden="1" x14ac:dyDescent="0.2">
      <c r="A1907" s="1507">
        <v>9</v>
      </c>
      <c r="B1907" s="1516">
        <v>901.3</v>
      </c>
      <c r="C1907" s="1511" t="s">
        <v>254</v>
      </c>
      <c r="D1907" s="1524" t="s">
        <v>122</v>
      </c>
      <c r="E1907" s="1524"/>
      <c r="F1907" s="1511" t="s">
        <v>5289</v>
      </c>
      <c r="G1907" s="1509" t="str">
        <f>IF(IFERROR(SEARCH("Mandatory",M1907),FALSE),"P","")</f>
        <v/>
      </c>
      <c r="H1907" s="1538" t="s">
        <v>3198</v>
      </c>
      <c r="I1907" s="161"/>
      <c r="J1907" s="4"/>
      <c r="K1907" s="180" t="s">
        <v>122</v>
      </c>
      <c r="L1907" s="1609" t="s">
        <v>3907</v>
      </c>
      <c r="M1907" s="697" t="str">
        <f>IF(R1907,"Mandatory","N/A")</f>
        <v>N/A</v>
      </c>
      <c r="N1907" s="1619">
        <f>'11.900'!O60</f>
        <v>0</v>
      </c>
      <c r="O1907" s="1619">
        <f>M1908*S1907*(W1907="Met")</f>
        <v>0</v>
      </c>
      <c r="P1907" s="1275" t="b">
        <v>1</v>
      </c>
      <c r="Q1907" s="1275" t="b">
        <v>0</v>
      </c>
      <c r="R1907" s="538" t="b">
        <f>S1907</f>
        <v>0</v>
      </c>
      <c r="S1907" s="1170" t="b">
        <f>NOT(OR(W1915,W1905="N/A",AY1900="No"))</f>
        <v>0</v>
      </c>
      <c r="T1907" s="96" t="b">
        <f>AND(NOT(S1907),LEN(W1907)&gt;"Met")</f>
        <v>0</v>
      </c>
      <c r="U1907" s="96" t="str">
        <f>SUBSTITUTE(SUBSTITUTE(SUBSTITUTE("dd"&amp;B1907&amp;C1907&amp;D1907&amp;E1907&amp;F1907,".","_"),"(","_"),")","")</f>
        <v>dd901_3_1_b_m</v>
      </c>
      <c r="V1907" s="538"/>
      <c r="W1907" s="12"/>
      <c r="X1907" s="1600"/>
      <c r="Y1907" s="1874" t="str">
        <f>IF(LEN('11.900'!X60)=0,"None",'11.900'!X60)</f>
        <v>None</v>
      </c>
      <c r="Z1907" s="1889"/>
      <c r="AB1907" s="538"/>
      <c r="AC1907" s="538" t="b">
        <f>OR(AD1907:AE1907)</f>
        <v>0</v>
      </c>
      <c r="AD1907" s="538" t="b">
        <f>T1907</f>
        <v>0</v>
      </c>
      <c r="AE1907" s="538" t="b">
        <f>AND(R1907,OR(W1907="Not Met",W1907=""))</f>
        <v>0</v>
      </c>
      <c r="AF1907" s="720"/>
      <c r="AG1907" s="538"/>
      <c r="AH1907" s="538"/>
      <c r="AI1907" s="538"/>
      <c r="AJ1907" s="538"/>
      <c r="AK1907" s="538"/>
      <c r="AL1907" s="1" t="str">
        <f>SUBSTITUTE(SUBSTITUTE(SUBSTITUTE("vpa"&amp;$B1907&amp;$C1907&amp;$D1907&amp;$E1907&amp;$F1907,".","_"),"(","_"),")","")</f>
        <v>vpa901_3_1_b_m</v>
      </c>
      <c r="AM1907" s="1352" t="str">
        <f>M1907</f>
        <v>N/A</v>
      </c>
      <c r="AN1907" s="1352" t="str">
        <f>SUBSTITUTE(SUBSTITUTE(SUBSTITUTE("vpc"&amp;$B1907&amp;$C1907&amp;$D1907&amp;$E1907,".","_"),"(","_"),")","")</f>
        <v>vpc901_3_1_b</v>
      </c>
      <c r="AO1907" s="1352">
        <f>O1907</f>
        <v>0</v>
      </c>
      <c r="AP1907" s="1352" t="str">
        <f>SUBSTITUTE(SUBSTITUTE(SUBSTITUTE("vch"&amp;$B1907&amp;$C1907&amp;$D1907&amp;$E1907,".","_"),"(","_"),")","")</f>
        <v>vch901_3_1_b</v>
      </c>
      <c r="AQ1907" s="1352" t="str">
        <f>IF(LEN(W1907)=0,"",W1907)</f>
        <v/>
      </c>
      <c r="AR1907" s="1352" t="str">
        <f>SUBSTITUTE(SUBSTITUTE(SUBSTITUTE("vnt"&amp;$B1907&amp;$C1907&amp;$D1907&amp;$E1907,".","_"),"(","_"),")","")</f>
        <v>vnt901_3_1_b</v>
      </c>
      <c r="AS1907" s="1352" t="str">
        <f>IF(LEN(X1907)=0,"",X1907)</f>
        <v/>
      </c>
      <c r="AT1907" s="538"/>
      <c r="AU1907" s="538"/>
      <c r="AV1907" s="538"/>
      <c r="AW1907" s="538"/>
      <c r="AX1907" s="585" t="str">
        <f>'Overview (Verification)'!A62</f>
        <v>Tankless Water Heater:</v>
      </c>
      <c r="AY1907" s="685">
        <f>IF(LEN('Overview (Verification)'!P62)=0,0,'Overview (Verification)'!P62)</f>
        <v>0</v>
      </c>
      <c r="AZ1907" s="538"/>
      <c r="BA1907" s="538"/>
      <c r="BB1907" s="538"/>
      <c r="BC1907" s="538"/>
      <c r="BD1907" s="538"/>
      <c r="BE1907" s="538"/>
      <c r="BF1907" s="538"/>
      <c r="BG1907" s="538"/>
      <c r="BH1907" s="538"/>
    </row>
    <row r="1908" spans="1:60" hidden="1" x14ac:dyDescent="0.2">
      <c r="A1908" s="1507">
        <v>9</v>
      </c>
      <c r="B1908" s="1516">
        <v>901.3</v>
      </c>
      <c r="C1908" s="1511" t="s">
        <v>254</v>
      </c>
      <c r="D1908" s="1524" t="s">
        <v>122</v>
      </c>
      <c r="E1908" s="1524"/>
      <c r="F1908" s="1524"/>
      <c r="G1908" s="1509" t="str">
        <f>G1907</f>
        <v/>
      </c>
      <c r="H1908" s="1538" t="s">
        <v>3198</v>
      </c>
      <c r="I1908" s="161"/>
      <c r="J1908" s="4"/>
      <c r="K1908" s="213"/>
      <c r="L1908" s="1612"/>
      <c r="M1908" s="546">
        <v>2</v>
      </c>
      <c r="N1908" s="1620"/>
      <c r="O1908" s="1620"/>
      <c r="P1908" s="1274"/>
      <c r="Q1908" s="1274"/>
      <c r="R1908" s="538"/>
      <c r="S1908" s="1170"/>
      <c r="T1908" s="538"/>
      <c r="U1908" s="538"/>
      <c r="V1908" s="538"/>
      <c r="W1908" s="538"/>
      <c r="X1908" s="1600"/>
      <c r="Y1908" s="1874"/>
      <c r="Z1908" s="1889"/>
      <c r="AB1908" s="538"/>
      <c r="AC1908" s="538"/>
      <c r="AD1908" s="538"/>
      <c r="AE1908" s="538"/>
      <c r="AF1908" s="538"/>
      <c r="AG1908" s="538"/>
      <c r="AH1908" s="538"/>
      <c r="AI1908" s="538"/>
      <c r="AJ1908" s="538"/>
      <c r="AK1908" s="538"/>
      <c r="AL1908" s="1352" t="str">
        <f>SUBSTITUTE(SUBSTITUTE(SUBSTITUTE("vpa"&amp;$B1908&amp;$C1908&amp;$D1908&amp;$E1908,".","_"),"(","_"),")","")</f>
        <v>vpa901_3_1_b</v>
      </c>
      <c r="AM1908" s="1352">
        <f>M1908</f>
        <v>2</v>
      </c>
      <c r="AN1908" s="1352"/>
      <c r="AO1908" s="1352"/>
      <c r="AP1908" s="1352"/>
      <c r="AQ1908" s="1352"/>
      <c r="AR1908" s="1352"/>
      <c r="AS1908" s="1352"/>
      <c r="AT1908" s="538"/>
      <c r="AU1908" s="538"/>
      <c r="AV1908" s="538"/>
      <c r="AW1908" s="538"/>
      <c r="AX1908" s="585" t="str">
        <f>'Overview (Verification)'!A63</f>
        <v>Composting Toilet:</v>
      </c>
      <c r="AY1908" s="685">
        <f>IF(LEN('Overview (Verification)'!P63)=0,0,'Overview (Verification)'!P63)</f>
        <v>0</v>
      </c>
      <c r="AZ1908" s="538"/>
      <c r="BA1908" s="538"/>
      <c r="BB1908" s="538"/>
      <c r="BC1908" s="538"/>
      <c r="BD1908" s="538"/>
      <c r="BE1908" s="538"/>
      <c r="BF1908" s="538"/>
      <c r="BG1908" s="538"/>
      <c r="BH1908" s="538"/>
    </row>
    <row r="1909" spans="1:60" hidden="1" x14ac:dyDescent="0.2">
      <c r="A1909" s="1507">
        <v>9</v>
      </c>
      <c r="B1909" s="1516">
        <v>901.3</v>
      </c>
      <c r="C1909" s="1511" t="s">
        <v>254</v>
      </c>
      <c r="D1909" s="1524" t="s">
        <v>123</v>
      </c>
      <c r="E1909" s="1524"/>
      <c r="F1909" s="1524"/>
      <c r="G1909" s="1509" t="str">
        <f ca="1">IF(N1909&gt;0,"P","")</f>
        <v/>
      </c>
      <c r="H1909" s="1538" t="s">
        <v>3199</v>
      </c>
      <c r="I1909" s="161"/>
      <c r="J1909" s="129"/>
      <c r="K1909" s="180" t="s">
        <v>123</v>
      </c>
      <c r="L1909" s="1609" t="s">
        <v>2703</v>
      </c>
      <c r="M1909" s="1623">
        <v>8</v>
      </c>
      <c r="N1909" s="1619">
        <f ca="1">'11.900'!O62</f>
        <v>0</v>
      </c>
      <c r="O1909" s="1619">
        <f ca="1">M1909*S1909*W1909</f>
        <v>0</v>
      </c>
      <c r="P1909" s="1275" t="b">
        <v>0</v>
      </c>
      <c r="Q1909" s="1275" t="b">
        <v>1</v>
      </c>
      <c r="R1909" s="538" t="b">
        <v>0</v>
      </c>
      <c r="S1909" s="1170" t="b">
        <f ca="1">AND(NOT(OR(W1915,AY1900="No")),AY1866=INDEX(INDIRECT("ddSingleOrMulti"),1))</f>
        <v>0</v>
      </c>
      <c r="T1909" s="96" t="b">
        <f ca="1">AND(NOT(S1909),W1909=TRUE)</f>
        <v>0</v>
      </c>
      <c r="U1909" s="538"/>
      <c r="V1909" s="538"/>
      <c r="W1909" s="27"/>
      <c r="X1909" s="1600"/>
      <c r="Y1909" s="1874" t="str">
        <f>IF(LEN('11.900'!X62)=0,"None",'11.900'!X62)</f>
        <v>None</v>
      </c>
      <c r="Z1909" s="1889"/>
      <c r="AB1909" s="538"/>
      <c r="AC1909" s="538" t="b">
        <f ca="1">OR(AD1909:AE1909)</f>
        <v>0</v>
      </c>
      <c r="AD1909" s="538" t="b">
        <f ca="1">T1909</f>
        <v>0</v>
      </c>
      <c r="AE1909" s="538"/>
      <c r="AF1909" s="720"/>
      <c r="AG1909" s="538"/>
      <c r="AH1909" s="538"/>
      <c r="AI1909" s="538"/>
      <c r="AJ1909" s="538"/>
      <c r="AK1909" s="538"/>
      <c r="AL1909" s="1352" t="str">
        <f>SUBSTITUTE(SUBSTITUTE(SUBSTITUTE("vpa"&amp;$B1909&amp;$C1909&amp;$D1909&amp;$E1909,".","_"),"(","_"),")","")</f>
        <v>vpa901_3_1_c</v>
      </c>
      <c r="AM1909" s="1352">
        <f>M1909</f>
        <v>8</v>
      </c>
      <c r="AN1909" s="1352" t="str">
        <f>SUBSTITUTE(SUBSTITUTE(SUBSTITUTE("vpc"&amp;$B1909&amp;$C1909&amp;$D1909&amp;$E1909,".","_"),"(","_"),")","")</f>
        <v>vpc901_3_1_c</v>
      </c>
      <c r="AO1909" s="1352">
        <f ca="1">O1909</f>
        <v>0</v>
      </c>
      <c r="AP1909" s="1352" t="str">
        <f>SUBSTITUTE(SUBSTITUTE(SUBSTITUTE("vch"&amp;$B1909&amp;$C1909&amp;$D1909&amp;$E1909,".","_"),"(","_"),")","")</f>
        <v>vch901_3_1_c</v>
      </c>
      <c r="AQ1909" s="1352" t="str">
        <f>IF(LEN(W1909)=0,"",W1909)</f>
        <v/>
      </c>
      <c r="AR1909" s="1352" t="str">
        <f>SUBSTITUTE(SUBSTITUTE(SUBSTITUTE("vnt"&amp;$B1909&amp;$C1909&amp;$D1909&amp;$E1909,".","_"),"(","_"),")","")</f>
        <v>vnt901_3_1_c</v>
      </c>
      <c r="AS1909" s="1352" t="str">
        <f>IF(LEN(X1909)=0,"",X1909)</f>
        <v/>
      </c>
      <c r="AT1909" s="538"/>
      <c r="AU1909" s="538"/>
      <c r="AV1909" s="538"/>
      <c r="AW1909" s="538"/>
      <c r="AZ1909" s="538"/>
      <c r="BA1909" s="538"/>
      <c r="BB1909" s="538"/>
      <c r="BC1909" s="538"/>
      <c r="BD1909" s="538"/>
      <c r="BE1909" s="538"/>
      <c r="BF1909" s="538"/>
      <c r="BG1909" s="538"/>
      <c r="BH1909" s="538"/>
    </row>
    <row r="1910" spans="1:60" hidden="1" x14ac:dyDescent="0.2">
      <c r="A1910" s="1507">
        <v>9</v>
      </c>
      <c r="B1910" s="1516">
        <v>901.3</v>
      </c>
      <c r="C1910" s="1511" t="s">
        <v>254</v>
      </c>
      <c r="D1910" s="1524" t="s">
        <v>123</v>
      </c>
      <c r="E1910" s="1524"/>
      <c r="F1910" s="1524"/>
      <c r="G1910" s="1509" t="str">
        <f ca="1">G1909</f>
        <v/>
      </c>
      <c r="H1910" s="1538" t="s">
        <v>3199</v>
      </c>
      <c r="I1910" s="161"/>
      <c r="J1910" s="129"/>
      <c r="K1910" s="129"/>
      <c r="L1910" s="1609"/>
      <c r="M1910" s="1623"/>
      <c r="N1910" s="1619"/>
      <c r="O1910" s="1619"/>
      <c r="P1910" s="538"/>
      <c r="Q1910" s="538"/>
      <c r="R1910" s="538"/>
      <c r="S1910" s="538"/>
      <c r="T1910" s="538"/>
      <c r="U1910" s="538"/>
      <c r="V1910" s="538"/>
      <c r="W1910" s="538"/>
      <c r="X1910" s="1600"/>
      <c r="Y1910" s="1874"/>
      <c r="Z1910" s="1889"/>
      <c r="AB1910" s="538"/>
      <c r="AC1910" s="538"/>
      <c r="AD1910" s="538"/>
      <c r="AE1910" s="538"/>
      <c r="AF1910" s="538"/>
      <c r="AG1910" s="538"/>
      <c r="AH1910" s="538"/>
      <c r="AI1910" s="538"/>
      <c r="AJ1910" s="538"/>
      <c r="AK1910" s="538"/>
      <c r="AL1910" s="1352"/>
      <c r="AM1910" s="1352"/>
      <c r="AN1910" s="1352"/>
      <c r="AO1910" s="1352"/>
      <c r="AP1910" s="1352"/>
      <c r="AQ1910" s="1352"/>
      <c r="AR1910" s="1352"/>
      <c r="AS1910" s="1352"/>
      <c r="AT1910" s="538"/>
      <c r="AU1910" s="538"/>
      <c r="AV1910" s="538"/>
      <c r="AW1910" s="538"/>
      <c r="AX1910" s="585" t="str">
        <f>'Overview (Verification)'!A65</f>
        <v>Local Energy Code:</v>
      </c>
      <c r="AY1910" s="685" t="str">
        <f>IF(LEN('Overview (Verification)'!P65)=0,0,'Overview (Verification)'!P65)</f>
        <v>2015 IECC</v>
      </c>
      <c r="AZ1910" s="538"/>
      <c r="BA1910" s="538"/>
      <c r="BB1910" s="538"/>
      <c r="BC1910" s="538"/>
      <c r="BD1910" s="538"/>
      <c r="BE1910" s="538"/>
      <c r="BF1910" s="538"/>
      <c r="BG1910" s="538"/>
      <c r="BH1910" s="538"/>
    </row>
    <row r="1911" spans="1:60" hidden="1" x14ac:dyDescent="0.2">
      <c r="A1911" s="1507">
        <v>9</v>
      </c>
      <c r="B1911" s="1516">
        <v>901.3</v>
      </c>
      <c r="C1911" s="1511" t="s">
        <v>254</v>
      </c>
      <c r="D1911" s="1524" t="s">
        <v>123</v>
      </c>
      <c r="E1911" s="1524"/>
      <c r="F1911" s="1524"/>
      <c r="G1911" s="1509" t="str">
        <f ca="1">G1910</f>
        <v/>
      </c>
      <c r="H1911" s="1538" t="s">
        <v>3199</v>
      </c>
      <c r="I1911" s="161"/>
      <c r="J1911" s="129"/>
      <c r="K1911" s="129"/>
      <c r="L1911" s="1609"/>
      <c r="M1911" s="1623"/>
      <c r="N1911" s="1619"/>
      <c r="O1911" s="1619"/>
      <c r="P1911" s="538"/>
      <c r="Q1911" s="538"/>
      <c r="R1911" s="538"/>
      <c r="S1911" s="538"/>
      <c r="T1911" s="538"/>
      <c r="U1911" s="538"/>
      <c r="V1911" s="538"/>
      <c r="W1911" s="538"/>
      <c r="X1911" s="1600"/>
      <c r="Y1911" s="1874"/>
      <c r="Z1911" s="1889"/>
      <c r="AB1911" s="538"/>
      <c r="AC1911" s="538"/>
      <c r="AD1911" s="538"/>
      <c r="AE1911" s="538"/>
      <c r="AF1911" s="538"/>
      <c r="AG1911" s="538"/>
      <c r="AH1911" s="538"/>
      <c r="AI1911" s="538"/>
      <c r="AJ1911" s="538"/>
      <c r="AK1911" s="538"/>
      <c r="AL1911" s="1352"/>
      <c r="AM1911" s="1352"/>
      <c r="AN1911" s="1352"/>
      <c r="AO1911" s="1352"/>
      <c r="AP1911" s="1352"/>
      <c r="AQ1911" s="1352"/>
      <c r="AR1911" s="1352"/>
      <c r="AS1911" s="1352"/>
      <c r="AT1911" s="538"/>
      <c r="AU1911" s="538"/>
      <c r="AV1911" s="538"/>
      <c r="AW1911" s="538"/>
      <c r="AX1911" s="585" t="str">
        <f>'Overview (Verification)'!A66</f>
        <v>Local Building Code:</v>
      </c>
      <c r="AY1911" s="685" t="str">
        <f>IF(LEN('Overview (Verification)'!P66)=0,0,'Overview (Verification)'!P66)</f>
        <v>2018 IBC</v>
      </c>
      <c r="AZ1911" s="538"/>
      <c r="BA1911" s="538"/>
      <c r="BB1911" s="538"/>
      <c r="BC1911" s="538"/>
      <c r="BD1911" s="538"/>
      <c r="BE1911" s="538"/>
      <c r="BF1911" s="538"/>
      <c r="BG1911" s="538"/>
      <c r="BH1911" s="538"/>
    </row>
    <row r="1912" spans="1:60" hidden="1" x14ac:dyDescent="0.2">
      <c r="A1912" s="1507">
        <v>9</v>
      </c>
      <c r="B1912" s="1516">
        <v>901.3</v>
      </c>
      <c r="C1912" s="1511" t="s">
        <v>254</v>
      </c>
      <c r="D1912" s="1524" t="s">
        <v>123</v>
      </c>
      <c r="E1912" s="1524"/>
      <c r="F1912" s="1524"/>
      <c r="G1912" s="1509" t="str">
        <f ca="1">G1911</f>
        <v/>
      </c>
      <c r="H1912" s="1538" t="s">
        <v>3199</v>
      </c>
      <c r="I1912" s="161"/>
      <c r="J1912" s="129"/>
      <c r="K1912" s="129"/>
      <c r="L1912" s="1609"/>
      <c r="M1912" s="1623"/>
      <c r="N1912" s="1619"/>
      <c r="O1912" s="1619"/>
      <c r="P1912" s="538"/>
      <c r="Q1912" s="538"/>
      <c r="R1912" s="538"/>
      <c r="S1912" s="538"/>
      <c r="T1912" s="538"/>
      <c r="U1912" s="538"/>
      <c r="V1912" s="538"/>
      <c r="W1912" s="538"/>
      <c r="X1912" s="1600"/>
      <c r="Y1912" s="1874"/>
      <c r="Z1912" s="1889"/>
      <c r="AB1912" s="538"/>
      <c r="AC1912" s="538"/>
      <c r="AD1912" s="538"/>
      <c r="AE1912" s="538"/>
      <c r="AF1912" s="538"/>
      <c r="AG1912" s="538"/>
      <c r="AH1912" s="538"/>
      <c r="AI1912" s="538"/>
      <c r="AJ1912" s="538"/>
      <c r="AK1912" s="538"/>
      <c r="AL1912" s="1352"/>
      <c r="AM1912" s="1352"/>
      <c r="AN1912" s="1352"/>
      <c r="AO1912" s="1352"/>
      <c r="AP1912" s="1352"/>
      <c r="AQ1912" s="1352"/>
      <c r="AR1912" s="1352"/>
      <c r="AS1912" s="1352"/>
      <c r="AT1912" s="538"/>
      <c r="AU1912" s="538"/>
      <c r="AV1912" s="538"/>
      <c r="AW1912" s="538"/>
    </row>
    <row r="1913" spans="1:60" hidden="1" x14ac:dyDescent="0.2">
      <c r="A1913" s="1507">
        <v>9</v>
      </c>
      <c r="B1913" s="1516">
        <v>901.3</v>
      </c>
      <c r="C1913" s="1511" t="s">
        <v>254</v>
      </c>
      <c r="D1913" s="1524" t="s">
        <v>123</v>
      </c>
      <c r="E1913" s="1524"/>
      <c r="F1913" s="1524"/>
      <c r="G1913" s="1509" t="str">
        <f ca="1">G1912</f>
        <v/>
      </c>
      <c r="H1913" s="1538" t="s">
        <v>3199</v>
      </c>
      <c r="I1913" s="161"/>
      <c r="J1913" s="129"/>
      <c r="K1913" s="129"/>
      <c r="L1913" s="1609"/>
      <c r="M1913" s="1623"/>
      <c r="N1913" s="1619"/>
      <c r="O1913" s="1619"/>
      <c r="P1913" s="538"/>
      <c r="Q1913" s="538"/>
      <c r="R1913" s="538"/>
      <c r="S1913" s="538"/>
      <c r="T1913" s="538"/>
      <c r="U1913" s="538"/>
      <c r="V1913" s="538"/>
      <c r="W1913" s="538"/>
      <c r="X1913" s="1600"/>
      <c r="Y1913" s="1874"/>
      <c r="Z1913" s="1889"/>
      <c r="AB1913" s="538"/>
      <c r="AC1913" s="538"/>
      <c r="AD1913" s="538"/>
      <c r="AE1913" s="538"/>
      <c r="AF1913" s="538"/>
      <c r="AG1913" s="538"/>
      <c r="AH1913" s="538"/>
      <c r="AI1913" s="538"/>
      <c r="AJ1913" s="538"/>
      <c r="AK1913" s="538"/>
      <c r="AL1913" s="1352"/>
      <c r="AM1913" s="1352"/>
      <c r="AN1913" s="1352"/>
      <c r="AO1913" s="1352"/>
      <c r="AP1913" s="1352"/>
      <c r="AQ1913" s="1352"/>
      <c r="AR1913" s="1352"/>
      <c r="AS1913" s="1352"/>
      <c r="AT1913" s="538"/>
      <c r="AU1913" s="538"/>
      <c r="AV1913" s="538"/>
      <c r="AW1913" s="538"/>
    </row>
    <row r="1914" spans="1:60" hidden="1" x14ac:dyDescent="0.2">
      <c r="A1914" s="1507">
        <v>9</v>
      </c>
      <c r="B1914" s="1516">
        <v>901.3</v>
      </c>
      <c r="C1914" s="1511" t="s">
        <v>254</v>
      </c>
      <c r="D1914" s="1524" t="s">
        <v>123</v>
      </c>
      <c r="E1914" s="1524"/>
      <c r="F1914" s="1524"/>
      <c r="G1914" s="1509" t="str">
        <f ca="1">G1913</f>
        <v/>
      </c>
      <c r="H1914" s="1538" t="s">
        <v>3199</v>
      </c>
      <c r="I1914" s="161"/>
      <c r="J1914" s="213"/>
      <c r="K1914" s="213"/>
      <c r="L1914" s="1612"/>
      <c r="M1914" s="1624"/>
      <c r="N1914" s="1620"/>
      <c r="O1914" s="1620"/>
      <c r="P1914" s="538"/>
      <c r="Q1914" s="538"/>
      <c r="R1914" s="538"/>
      <c r="S1914" s="538"/>
      <c r="T1914" s="538"/>
      <c r="U1914" s="538"/>
      <c r="V1914" s="538"/>
      <c r="W1914" s="538"/>
      <c r="X1914" s="1600"/>
      <c r="Y1914" s="1874"/>
      <c r="Z1914" s="1889"/>
      <c r="AB1914" s="538"/>
      <c r="AC1914" s="538"/>
      <c r="AD1914" s="538"/>
      <c r="AE1914" s="538"/>
      <c r="AF1914" s="538"/>
      <c r="AG1914" s="538"/>
      <c r="AH1914" s="538"/>
      <c r="AI1914" s="538"/>
      <c r="AJ1914" s="538"/>
      <c r="AK1914" s="538"/>
      <c r="AL1914" s="1352"/>
      <c r="AM1914" s="1352"/>
      <c r="AN1914" s="1352"/>
      <c r="AO1914" s="1352"/>
      <c r="AP1914" s="1352"/>
      <c r="AQ1914" s="1352"/>
      <c r="AR1914" s="1352"/>
      <c r="AS1914" s="1352"/>
      <c r="AT1914" s="538"/>
      <c r="AU1914" s="538"/>
      <c r="AV1914" s="538"/>
      <c r="AW1914" s="538"/>
    </row>
    <row r="1915" spans="1:60" ht="15" customHeight="1" thickBot="1" x14ac:dyDescent="0.25">
      <c r="A1915" s="1507">
        <v>9</v>
      </c>
      <c r="B1915" s="1516">
        <v>901.3</v>
      </c>
      <c r="C1915" s="1511" t="s">
        <v>255</v>
      </c>
      <c r="D1915" s="1524"/>
      <c r="E1915" s="1524"/>
      <c r="F1915" s="1524"/>
      <c r="G1915" s="1509" t="str">
        <f>IF(N1915&gt;0,"P","")</f>
        <v>P</v>
      </c>
      <c r="H1915" s="1527" t="s">
        <v>3197</v>
      </c>
      <c r="I1915" s="407"/>
      <c r="J1915" s="190" t="s">
        <v>255</v>
      </c>
      <c r="K1915" s="239"/>
      <c r="L1915" s="557" t="s">
        <v>2704</v>
      </c>
      <c r="M1915" s="553">
        <v>10</v>
      </c>
      <c r="N1915" s="547">
        <f>'11.900'!O68</f>
        <v>10</v>
      </c>
      <c r="O1915" s="547">
        <f>M1915*S1915*W1915</f>
        <v>10</v>
      </c>
      <c r="P1915" s="96" t="b">
        <v>1</v>
      </c>
      <c r="Q1915" s="96" t="b">
        <v>1</v>
      </c>
      <c r="R1915" s="100" t="b">
        <v>0</v>
      </c>
      <c r="S1915" s="100" t="b">
        <f>AND(NOT(W1909),W1905&lt;&gt;"Met",W1907&lt;&gt;"Met")</f>
        <v>1</v>
      </c>
      <c r="T1915" s="100" t="b">
        <f>AND(NOT(S1915),W1915=TRUE)</f>
        <v>0</v>
      </c>
      <c r="U1915" s="100"/>
      <c r="V1915" s="100"/>
      <c r="W1915" s="101" t="b">
        <v>1</v>
      </c>
      <c r="X1915" s="542"/>
      <c r="Y1915" s="573" t="str">
        <f>IF(LEN('11.900'!X68)=0,"None",'11.900'!X68)</f>
        <v>None</v>
      </c>
      <c r="Z1915" s="717"/>
      <c r="AA1915" s="707" t="e">
        <f>'Photo Review'!#REF!</f>
        <v>#REF!</v>
      </c>
      <c r="AB1915" s="538"/>
      <c r="AC1915" s="538" t="b">
        <f>OR(AD1915:AE1915)</f>
        <v>0</v>
      </c>
      <c r="AD1915" s="538" t="b">
        <f>T1915</f>
        <v>0</v>
      </c>
      <c r="AE1915" s="538"/>
      <c r="AF1915" s="720"/>
      <c r="AG1915" s="538"/>
      <c r="AH1915" s="538"/>
      <c r="AI1915" s="538"/>
      <c r="AJ1915" s="538"/>
      <c r="AK1915" s="538"/>
      <c r="AL1915" s="1352" t="str">
        <f>SUBSTITUTE(SUBSTITUTE(SUBSTITUTE("vpa"&amp;$B1915&amp;$C1915&amp;$D1915&amp;$E1915,".","_"),"(","_"),")","")</f>
        <v>vpa901_3_2</v>
      </c>
      <c r="AM1915" s="1352">
        <f>M1915</f>
        <v>10</v>
      </c>
      <c r="AN1915" s="1352" t="str">
        <f>SUBSTITUTE(SUBSTITUTE(SUBSTITUTE("vpc"&amp;$B1915&amp;$C1915&amp;$D1915&amp;$E1915,".","_"),"(","_"),")","")</f>
        <v>vpc901_3_2</v>
      </c>
      <c r="AO1915" s="1352">
        <f>O1915</f>
        <v>10</v>
      </c>
      <c r="AP1915" s="1352" t="str">
        <f>SUBSTITUTE(SUBSTITUTE(SUBSTITUTE("vch"&amp;$B1915&amp;$C1915&amp;$D1915&amp;$E1915,".","_"),"(","_"),")","")</f>
        <v>vch901_3_2</v>
      </c>
      <c r="AQ1915" s="1352" t="b">
        <f>IF(LEN(W1915)=0,"",W1915)</f>
        <v>1</v>
      </c>
      <c r="AR1915" s="1352" t="str">
        <f>SUBSTITUTE(SUBSTITUTE(SUBSTITUTE("vnt"&amp;$B1915&amp;$C1915&amp;$D1915&amp;$E1915,".","_"),"(","_"),")","")</f>
        <v>vnt901_3_2</v>
      </c>
      <c r="AS1915" s="1352" t="str">
        <f>IF(LEN(X1915)=0,"",X1915)</f>
        <v/>
      </c>
      <c r="AT1915" s="538"/>
      <c r="AU1915" s="538"/>
      <c r="AV1915" s="538"/>
      <c r="AW1915" s="538"/>
    </row>
    <row r="1916" spans="1:60" ht="16" thickTop="1" x14ac:dyDescent="0.2">
      <c r="A1916" s="1507">
        <v>9</v>
      </c>
      <c r="B1916" s="1516">
        <v>901.4</v>
      </c>
      <c r="C1916" s="1511"/>
      <c r="D1916" s="1511"/>
      <c r="E1916" s="1511"/>
      <c r="F1916" s="1511"/>
      <c r="G1916" s="1513" t="str">
        <f ca="1">IF(COUNTIF(G1920:G1925,"P")&gt;0,"P","")</f>
        <v>P</v>
      </c>
      <c r="H1916" s="1510" t="s">
        <v>3197</v>
      </c>
      <c r="I1916" s="67" t="s">
        <v>3672</v>
      </c>
      <c r="J1916" s="4"/>
      <c r="K1916" s="4"/>
      <c r="L1916" s="1611" t="s">
        <v>3896</v>
      </c>
      <c r="M1916" s="1628" t="s">
        <v>571</v>
      </c>
      <c r="N1916" s="1682">
        <f ca="1">'11.900'!O69</f>
        <v>0</v>
      </c>
      <c r="O1916" s="1682">
        <f ca="1">MIN(10,(IFERROR(INDEX({2,2,3,4,4},MATCH(W1925,INDIRECT(U1925),0)),0)+IFERROR(INDEX({2,2,3,4,4},MATCH(W1926,INDIRECT(U1926),0)),0)+IFERROR(INDEX({2,2,3,4,4},MATCH(W1927,INDIRECT(U1927),0)),0)+IFERROR(INDEX({2,2,3,4,4},MATCH(W1928,INDIRECT(U1928),0)),0)))*S1925</f>
        <v>0</v>
      </c>
      <c r="P1916" s="538"/>
      <c r="Q1916" s="538"/>
      <c r="R1916" s="538"/>
      <c r="S1916" s="538"/>
      <c r="T1916" s="538"/>
      <c r="U1916" s="538"/>
      <c r="V1916" s="538"/>
      <c r="W1916" s="538"/>
      <c r="X1916" s="538"/>
      <c r="Y1916" s="538"/>
      <c r="Z1916" s="670"/>
      <c r="AB1916" s="538"/>
      <c r="AC1916" s="538"/>
      <c r="AD1916" s="538"/>
      <c r="AE1916" s="538"/>
      <c r="AF1916" s="538"/>
      <c r="AG1916" s="538"/>
      <c r="AH1916" s="538"/>
      <c r="AI1916" s="538"/>
      <c r="AJ1916" s="538"/>
      <c r="AK1916" s="538"/>
      <c r="AL1916" s="1352" t="str">
        <f>SUBSTITUTE(SUBSTITUTE(SUBSTITUTE("vpa"&amp;$B1916&amp;$C1916&amp;$D1916&amp;$E1916,".","_"),"(","_"),")","")</f>
        <v>vpa901_4</v>
      </c>
      <c r="AM1916" s="1352" t="str">
        <f>M1916</f>
        <v>10 Max</v>
      </c>
      <c r="AN1916" s="1352" t="str">
        <f>SUBSTITUTE(SUBSTITUTE(SUBSTITUTE("vpc"&amp;$B1916&amp;$C1916&amp;$D1916&amp;$E1916,".","_"),"(","_"),")","")</f>
        <v>vpc901_4</v>
      </c>
      <c r="AO1916" s="1352">
        <f ca="1">O1916</f>
        <v>0</v>
      </c>
      <c r="AP1916" s="1352"/>
      <c r="AQ1916" s="1352"/>
      <c r="AR1916" s="1352"/>
      <c r="AS1916" s="1352"/>
      <c r="AT1916" s="538"/>
      <c r="AU1916" s="538"/>
      <c r="AV1916" s="538"/>
      <c r="AW1916" s="538"/>
    </row>
    <row r="1917" spans="1:60" x14ac:dyDescent="0.2">
      <c r="A1917" s="1507">
        <v>9</v>
      </c>
      <c r="B1917" s="1516">
        <v>901.4</v>
      </c>
      <c r="C1917" s="1511"/>
      <c r="D1917" s="1511"/>
      <c r="E1917" s="1511"/>
      <c r="F1917" s="1511"/>
      <c r="G1917" s="1509" t="str">
        <f ca="1">G1916</f>
        <v>P</v>
      </c>
      <c r="H1917" s="1510" t="s">
        <v>3197</v>
      </c>
      <c r="I1917" s="161"/>
      <c r="J1917" s="4"/>
      <c r="K1917" s="4"/>
      <c r="L1917" s="1611"/>
      <c r="M1917" s="1628"/>
      <c r="N1917" s="1669"/>
      <c r="O1917" s="1669"/>
      <c r="P1917" s="538"/>
      <c r="Q1917" s="538"/>
      <c r="R1917" s="538"/>
      <c r="S1917" s="538"/>
      <c r="T1917" s="538"/>
      <c r="U1917" s="538"/>
      <c r="V1917" s="538"/>
      <c r="W1917" s="538"/>
      <c r="X1917" s="538"/>
      <c r="Y1917" s="538"/>
      <c r="Z1917" s="670"/>
      <c r="AB1917" s="538"/>
      <c r="AC1917" s="538"/>
      <c r="AD1917" s="538"/>
      <c r="AE1917" s="538"/>
      <c r="AF1917" s="538"/>
      <c r="AG1917" s="538"/>
      <c r="AH1917" s="538"/>
      <c r="AI1917" s="538"/>
      <c r="AJ1917" s="538"/>
      <c r="AK1917" s="538"/>
      <c r="AL1917" s="1352"/>
      <c r="AM1917" s="1352"/>
      <c r="AN1917" s="1352"/>
      <c r="AO1917" s="1352"/>
      <c r="AP1917" s="1352"/>
      <c r="AQ1917" s="1352"/>
      <c r="AR1917" s="1352"/>
      <c r="AS1917" s="1352"/>
      <c r="AT1917" s="538"/>
      <c r="AU1917" s="538"/>
      <c r="AV1917" s="538"/>
      <c r="AW1917" s="538"/>
    </row>
    <row r="1918" spans="1:60" s="782" customFormat="1" x14ac:dyDescent="0.2">
      <c r="A1918" s="1507">
        <v>9</v>
      </c>
      <c r="B1918" s="1516">
        <v>901.4</v>
      </c>
      <c r="C1918" s="1511"/>
      <c r="D1918" s="1511"/>
      <c r="E1918" s="1511"/>
      <c r="F1918" s="1511"/>
      <c r="G1918" s="1509" t="str">
        <f ca="1">G1917</f>
        <v>P</v>
      </c>
      <c r="H1918" s="1510" t="s">
        <v>3197</v>
      </c>
      <c r="I1918" s="161"/>
      <c r="J1918" s="4"/>
      <c r="K1918" s="4"/>
      <c r="L1918" s="1611"/>
      <c r="M1918" s="1628"/>
      <c r="N1918" s="1669"/>
      <c r="O1918" s="1669"/>
      <c r="Z1918" s="670"/>
      <c r="AL1918" s="1352"/>
      <c r="AM1918" s="1352"/>
      <c r="AN1918" s="1352"/>
      <c r="AO1918" s="1352"/>
      <c r="AP1918" s="1352"/>
      <c r="AQ1918" s="1352"/>
      <c r="AR1918" s="1352"/>
      <c r="AS1918" s="1352"/>
    </row>
    <row r="1919" spans="1:60" x14ac:dyDescent="0.2">
      <c r="A1919" s="1507">
        <v>9</v>
      </c>
      <c r="B1919" s="1516">
        <v>901.4</v>
      </c>
      <c r="C1919" s="1511"/>
      <c r="D1919" s="1511"/>
      <c r="E1919" s="1511"/>
      <c r="F1919" s="1511"/>
      <c r="G1919" s="1509" t="str">
        <f ca="1">G1918</f>
        <v>P</v>
      </c>
      <c r="H1919" s="1510" t="s">
        <v>3197</v>
      </c>
      <c r="I1919" s="161"/>
      <c r="J1919" s="4"/>
      <c r="K1919" s="4"/>
      <c r="L1919" s="1611"/>
      <c r="M1919" s="1628"/>
      <c r="N1919" s="1669"/>
      <c r="O1919" s="1669"/>
      <c r="P1919" s="538"/>
      <c r="Q1919" s="538"/>
      <c r="R1919" s="538"/>
      <c r="S1919" s="538"/>
      <c r="T1919" s="538"/>
      <c r="U1919" s="538"/>
      <c r="V1919" s="538"/>
      <c r="W1919" s="538"/>
      <c r="X1919" s="538"/>
      <c r="Y1919" s="538"/>
      <c r="Z1919" s="670"/>
      <c r="AB1919" s="538"/>
      <c r="AC1919" s="538"/>
      <c r="AD1919" s="538"/>
      <c r="AE1919" s="538"/>
      <c r="AF1919" s="538"/>
      <c r="AG1919" s="538"/>
      <c r="AH1919" s="538"/>
      <c r="AI1919" s="538"/>
      <c r="AJ1919" s="538"/>
      <c r="AK1919" s="538"/>
      <c r="AL1919" s="1352"/>
      <c r="AM1919" s="1352"/>
      <c r="AN1919" s="1352"/>
      <c r="AO1919" s="1352"/>
      <c r="AP1919" s="1352"/>
      <c r="AQ1919" s="1352"/>
      <c r="AR1919" s="1352"/>
      <c r="AS1919" s="1352"/>
      <c r="AT1919" s="538"/>
      <c r="AU1919" s="538"/>
      <c r="AV1919" s="538"/>
      <c r="AW1919" s="538"/>
    </row>
    <row r="1920" spans="1:60" x14ac:dyDescent="0.2">
      <c r="A1920" s="1507">
        <v>9</v>
      </c>
      <c r="B1920" s="1516">
        <v>901.4</v>
      </c>
      <c r="C1920" s="1511" t="s">
        <v>254</v>
      </c>
      <c r="D1920" s="1511"/>
      <c r="E1920" s="1511"/>
      <c r="F1920" s="1511"/>
      <c r="G1920" s="1509" t="str">
        <f>IF(IFERROR(SEARCH("Mandatory",M1920),FALSE),"P","")</f>
        <v>P</v>
      </c>
      <c r="H1920" s="1510" t="s">
        <v>3198</v>
      </c>
      <c r="I1920" s="161"/>
      <c r="J1920" s="180" t="s">
        <v>254</v>
      </c>
      <c r="K1920" s="129"/>
      <c r="L1920" s="1609" t="s">
        <v>2705</v>
      </c>
      <c r="M1920" s="1697" t="str">
        <f>IF(R1920,"Mandatory","N/A")</f>
        <v>Mandatory</v>
      </c>
      <c r="P1920" s="96" t="b">
        <v>1</v>
      </c>
      <c r="Q1920" s="96" t="b">
        <v>0</v>
      </c>
      <c r="R1920" s="538" t="b">
        <f>S1920</f>
        <v>1</v>
      </c>
      <c r="S1920" s="538" t="b">
        <v>1</v>
      </c>
      <c r="T1920" s="538" t="b">
        <v>0</v>
      </c>
      <c r="U1920" s="96" t="str">
        <f>SUBSTITUTE(SUBSTITUTE(SUBSTITUTE("dd"&amp;B1920&amp;C1920&amp;D1920&amp;E1920&amp;F1920,".","_"),"(","_"),")","")</f>
        <v>dd901_4_1</v>
      </c>
      <c r="V1920" s="538"/>
      <c r="W1920" s="12" t="s">
        <v>2590</v>
      </c>
      <c r="X1920" s="1600" t="s">
        <v>5646</v>
      </c>
      <c r="Y1920" s="1874" t="str">
        <f>IF(LEN('11.900'!X73)=0,"None",'11.900'!X73)</f>
        <v>No new structural plywood</v>
      </c>
      <c r="Z1920" s="1889"/>
      <c r="AB1920" s="538"/>
      <c r="AC1920" s="538" t="b">
        <f>OR(AD1920:AE1920)</f>
        <v>0</v>
      </c>
      <c r="AD1920" s="538" t="b">
        <f>T1920</f>
        <v>0</v>
      </c>
      <c r="AE1920" s="538" t="b">
        <f>OR(AND(W1920="N/A",LEN(X1920)=0),AND(R1920,OR(W1920="Not Met",W1920="")))</f>
        <v>0</v>
      </c>
      <c r="AF1920" s="720" t="b">
        <f>AND(AE1920,NOT(Q1920))</f>
        <v>0</v>
      </c>
      <c r="AG1920" s="538"/>
      <c r="AH1920" s="538"/>
      <c r="AI1920" s="538"/>
      <c r="AJ1920" s="538"/>
      <c r="AK1920" s="538"/>
      <c r="AL1920" s="1352" t="str">
        <f>SUBSTITUTE(SUBSTITUTE(SUBSTITUTE("vpa"&amp;$B1920&amp;$C1920&amp;$D1920&amp;$E1920,".","_"),"(","_"),")","")</f>
        <v>vpa901_4_1</v>
      </c>
      <c r="AM1920" s="1352" t="str">
        <f>M1920</f>
        <v>Mandatory</v>
      </c>
      <c r="AN1920" s="1352"/>
      <c r="AO1920" s="1352"/>
      <c r="AP1920" s="1352" t="str">
        <f>SUBSTITUTE(SUBSTITUTE(SUBSTITUTE("vch"&amp;$B1920&amp;$C1920&amp;$D1920&amp;$E1920,".","_"),"(","_"),")","")</f>
        <v>vch901_4_1</v>
      </c>
      <c r="AQ1920" s="1352" t="str">
        <f>IF(LEN(W1920)=0,"",W1920)</f>
        <v>N/A</v>
      </c>
      <c r="AR1920" s="1352" t="str">
        <f>SUBSTITUTE(SUBSTITUTE(SUBSTITUTE("vnt"&amp;$B1920&amp;$C1920&amp;$D1920&amp;$E1920,".","_"),"(","_"),")","")</f>
        <v>vnt901_4_1</v>
      </c>
      <c r="AS1920" s="1352" t="str">
        <f>IF(LEN(X1920)=0,"",X1920)</f>
        <v>No new structural plywood</v>
      </c>
      <c r="AT1920" s="538"/>
      <c r="AU1920" s="538"/>
      <c r="AV1920" s="538"/>
      <c r="AW1920" s="538"/>
    </row>
    <row r="1921" spans="1:49" x14ac:dyDescent="0.2">
      <c r="A1921" s="1507">
        <v>9</v>
      </c>
      <c r="B1921" s="1516">
        <v>901.4</v>
      </c>
      <c r="C1921" s="1511" t="s">
        <v>254</v>
      </c>
      <c r="D1921" s="1511"/>
      <c r="E1921" s="1511"/>
      <c r="F1921" s="1511"/>
      <c r="G1921" s="1509" t="str">
        <f>G1920</f>
        <v>P</v>
      </c>
      <c r="H1921" s="1510" t="s">
        <v>3198</v>
      </c>
      <c r="I1921" s="161"/>
      <c r="J1921" s="129"/>
      <c r="K1921" s="129"/>
      <c r="L1921" s="1609"/>
      <c r="M1921" s="1697"/>
      <c r="N1921" s="610"/>
      <c r="O1921" s="610"/>
      <c r="P1921" s="538"/>
      <c r="Q1921" s="538"/>
      <c r="R1921" s="538"/>
      <c r="S1921" s="538"/>
      <c r="T1921" s="538"/>
      <c r="U1921" s="538"/>
      <c r="V1921" s="538"/>
      <c r="W1921" s="538"/>
      <c r="X1921" s="1600"/>
      <c r="Y1921" s="1874"/>
      <c r="Z1921" s="1889"/>
      <c r="AB1921" s="538"/>
      <c r="AC1921" s="538"/>
      <c r="AD1921" s="538"/>
      <c r="AE1921" s="538"/>
      <c r="AF1921" s="538"/>
      <c r="AG1921" s="538"/>
      <c r="AH1921" s="538"/>
      <c r="AI1921" s="538"/>
      <c r="AJ1921" s="538"/>
      <c r="AK1921" s="538"/>
      <c r="AL1921" s="1352"/>
      <c r="AM1921" s="1352"/>
      <c r="AN1921" s="1352"/>
      <c r="AO1921" s="1352"/>
      <c r="AP1921" s="1352"/>
      <c r="AQ1921" s="1352"/>
      <c r="AR1921" s="1352"/>
      <c r="AS1921" s="1352"/>
      <c r="AT1921" s="538"/>
      <c r="AU1921" s="538"/>
      <c r="AV1921" s="538"/>
      <c r="AW1921" s="538"/>
    </row>
    <row r="1922" spans="1:49" x14ac:dyDescent="0.2">
      <c r="A1922" s="1507">
        <v>9</v>
      </c>
      <c r="B1922" s="1516">
        <v>901.4</v>
      </c>
      <c r="C1922" s="1511" t="s">
        <v>254</v>
      </c>
      <c r="D1922" s="1511"/>
      <c r="E1922" s="1511"/>
      <c r="F1922" s="1511"/>
      <c r="G1922" s="1509" t="str">
        <f>G1921</f>
        <v>P</v>
      </c>
      <c r="H1922" s="1510" t="s">
        <v>3198</v>
      </c>
      <c r="I1922" s="161"/>
      <c r="J1922" s="129"/>
      <c r="K1922" s="129"/>
      <c r="L1922" s="1609"/>
      <c r="M1922" s="1697"/>
      <c r="N1922" s="610"/>
      <c r="O1922" s="610"/>
      <c r="P1922" s="538"/>
      <c r="Q1922" s="538"/>
      <c r="R1922" s="538"/>
      <c r="S1922" s="538"/>
      <c r="T1922" s="538"/>
      <c r="U1922" s="538"/>
      <c r="V1922" s="538"/>
      <c r="W1922" s="538"/>
      <c r="X1922" s="1600"/>
      <c r="Y1922" s="1874"/>
      <c r="Z1922" s="1889"/>
      <c r="AB1922" s="538"/>
      <c r="AC1922" s="538"/>
      <c r="AD1922" s="538"/>
      <c r="AE1922" s="538"/>
      <c r="AF1922" s="538"/>
      <c r="AG1922" s="538"/>
      <c r="AH1922" s="538"/>
      <c r="AI1922" s="538"/>
      <c r="AJ1922" s="538"/>
      <c r="AK1922" s="538"/>
      <c r="AL1922" s="1352"/>
      <c r="AM1922" s="1352"/>
      <c r="AN1922" s="1352"/>
      <c r="AO1922" s="1352"/>
      <c r="AP1922" s="1352"/>
      <c r="AQ1922" s="1352"/>
      <c r="AR1922" s="1352"/>
      <c r="AS1922" s="1352"/>
      <c r="AT1922" s="538"/>
      <c r="AU1922" s="538"/>
      <c r="AV1922" s="538"/>
      <c r="AW1922" s="538"/>
    </row>
    <row r="1923" spans="1:49" ht="15" customHeight="1" x14ac:dyDescent="0.2">
      <c r="A1923" s="1507">
        <v>9</v>
      </c>
      <c r="B1923" s="1516">
        <v>901.4</v>
      </c>
      <c r="C1923" s="1511" t="s">
        <v>254</v>
      </c>
      <c r="D1923" s="1511"/>
      <c r="E1923" s="1511"/>
      <c r="F1923" s="1511"/>
      <c r="G1923" s="1509" t="str">
        <f>G1922</f>
        <v>P</v>
      </c>
      <c r="H1923" s="1510" t="s">
        <v>3198</v>
      </c>
      <c r="I1923" s="161"/>
      <c r="J1923" s="129"/>
      <c r="K1923" s="129"/>
      <c r="L1923" s="1609"/>
      <c r="M1923" s="1697"/>
      <c r="N1923" s="610"/>
      <c r="O1923" s="610"/>
      <c r="P1923" s="538"/>
      <c r="Q1923" s="538"/>
      <c r="R1923" s="538"/>
      <c r="S1923" s="538"/>
      <c r="T1923" s="538"/>
      <c r="U1923" s="538"/>
      <c r="V1923" s="538"/>
      <c r="W1923" s="538"/>
      <c r="X1923" s="1600"/>
      <c r="Y1923" s="1874"/>
      <c r="Z1923" s="1889"/>
      <c r="AB1923" s="538"/>
      <c r="AC1923" s="538"/>
      <c r="AD1923" s="538"/>
      <c r="AE1923" s="538"/>
      <c r="AF1923" s="538"/>
      <c r="AG1923" s="538"/>
      <c r="AH1923" s="538"/>
      <c r="AI1923" s="538"/>
      <c r="AJ1923" s="538"/>
      <c r="AK1923" s="538"/>
      <c r="AL1923" s="1352"/>
      <c r="AM1923" s="1352"/>
      <c r="AN1923" s="1352"/>
      <c r="AO1923" s="1352"/>
      <c r="AP1923" s="1352"/>
      <c r="AQ1923" s="1352"/>
      <c r="AR1923" s="1352"/>
      <c r="AS1923" s="1352"/>
      <c r="AT1923" s="538"/>
      <c r="AU1923" s="538"/>
      <c r="AV1923" s="538"/>
      <c r="AW1923" s="538"/>
    </row>
    <row r="1924" spans="1:49" x14ac:dyDescent="0.2">
      <c r="A1924" s="1507">
        <v>9</v>
      </c>
      <c r="B1924" s="1516">
        <v>901.4</v>
      </c>
      <c r="C1924" s="1511" t="s">
        <v>254</v>
      </c>
      <c r="D1924" s="1511"/>
      <c r="E1924" s="1511"/>
      <c r="F1924" s="1511"/>
      <c r="G1924" s="1509" t="str">
        <f>G1923</f>
        <v>P</v>
      </c>
      <c r="H1924" s="1510" t="s">
        <v>3198</v>
      </c>
      <c r="I1924" s="161"/>
      <c r="J1924" s="213"/>
      <c r="K1924" s="213"/>
      <c r="L1924" s="561" t="s">
        <v>3194</v>
      </c>
      <c r="M1924" s="1698"/>
      <c r="N1924" s="610"/>
      <c r="O1924" s="610"/>
      <c r="P1924" s="538"/>
      <c r="Q1924" s="538"/>
      <c r="R1924" s="538"/>
      <c r="S1924" s="538"/>
      <c r="T1924" s="538"/>
      <c r="U1924" s="538"/>
      <c r="V1924" s="538"/>
      <c r="W1924" s="538"/>
      <c r="X1924" s="1600"/>
      <c r="Y1924" s="1874"/>
      <c r="Z1924" s="1889"/>
      <c r="AB1924" s="538"/>
      <c r="AC1924" s="538"/>
      <c r="AD1924" s="538"/>
      <c r="AE1924" s="538"/>
      <c r="AF1924" s="538"/>
      <c r="AG1924" s="538"/>
      <c r="AH1924" s="538"/>
      <c r="AI1924" s="538"/>
      <c r="AJ1924" s="538"/>
      <c r="AK1924" s="538"/>
      <c r="AL1924" s="1352"/>
      <c r="AM1924" s="1352"/>
      <c r="AN1924" s="1352"/>
      <c r="AO1924" s="1352"/>
      <c r="AP1924" s="1352"/>
      <c r="AQ1924" s="1352"/>
      <c r="AR1924" s="1352"/>
      <c r="AS1924" s="1352"/>
      <c r="AT1924" s="538"/>
      <c r="AU1924" s="538"/>
      <c r="AV1924" s="538"/>
      <c r="AW1924" s="538"/>
    </row>
    <row r="1925" spans="1:49" hidden="1" x14ac:dyDescent="0.2">
      <c r="A1925" s="1507">
        <v>9</v>
      </c>
      <c r="B1925" s="1516">
        <v>901.4</v>
      </c>
      <c r="C1925" s="1511"/>
      <c r="D1925" s="1524" t="s">
        <v>121</v>
      </c>
      <c r="E1925" s="1524"/>
      <c r="F1925" s="1524"/>
      <c r="G1925" s="1509" t="str">
        <f ca="1">IF(N1916&gt;0,"P","")</f>
        <v/>
      </c>
      <c r="H1925" s="1538" t="s">
        <v>3197</v>
      </c>
      <c r="I1925" s="406"/>
      <c r="J1925" s="129"/>
      <c r="K1925" s="129"/>
      <c r="L1925" s="549" t="s">
        <v>2923</v>
      </c>
      <c r="M1925" s="564"/>
      <c r="N1925" s="543"/>
      <c r="O1925" s="543"/>
      <c r="P1925" s="96" t="b">
        <v>1</v>
      </c>
      <c r="Q1925" s="96" t="b">
        <v>1</v>
      </c>
      <c r="R1925" s="96" t="b">
        <v>0</v>
      </c>
      <c r="S1925" s="96" t="b">
        <v>1</v>
      </c>
      <c r="T1925" s="96" t="b">
        <v>0</v>
      </c>
      <c r="U1925" s="96" t="str">
        <f>SUBSTITUTE(SUBSTITUTE(SUBSTITUTE("dd"&amp;B1925&amp;C1925&amp;D1925&amp;E1925&amp;F1925,".","_"),"(","_"),")","")</f>
        <v>dd901_4_a</v>
      </c>
      <c r="V1925" s="96"/>
      <c r="W1925" s="12"/>
      <c r="X1925" s="1601"/>
      <c r="Y1925" s="1881" t="str">
        <f>IF(LEN('11.900'!X78)=0,"None",'11.900'!X78)</f>
        <v>None</v>
      </c>
      <c r="Z1925" s="1891"/>
      <c r="AB1925" s="538"/>
      <c r="AC1925" s="538"/>
      <c r="AD1925" s="538"/>
      <c r="AE1925" s="538"/>
      <c r="AF1925" s="720"/>
      <c r="AG1925" s="538"/>
      <c r="AH1925" s="538"/>
      <c r="AI1925" s="538"/>
      <c r="AJ1925" s="538"/>
      <c r="AK1925" s="538"/>
      <c r="AL1925" s="1352"/>
      <c r="AM1925" s="1352"/>
      <c r="AN1925" s="1352"/>
      <c r="AO1925" s="1352"/>
      <c r="AP1925" s="1352" t="str">
        <f>SUBSTITUTE(SUBSTITUTE(SUBSTITUTE("vch"&amp;$B1925&amp;$C1925&amp;$D1925&amp;$E1925,".","_"),"(","_"),")","")</f>
        <v>vch901_4_a</v>
      </c>
      <c r="AQ1925" s="1352" t="str">
        <f>IF(LEN(W1925)=0,"",W1925)</f>
        <v/>
      </c>
      <c r="AR1925" s="1352" t="str">
        <f>SUBSTITUTE(SUBSTITUTE(SUBSTITUTE("vnt"&amp;$B1925&amp;$C1925&amp;$D1925&amp;$E1925,".","_"),"(","_"),")","")</f>
        <v>vnt901_4_a</v>
      </c>
      <c r="AS1925" s="1352" t="str">
        <f>IF(LEN(X1925)=0,"",X1925)</f>
        <v/>
      </c>
      <c r="AT1925" s="538"/>
      <c r="AU1925" s="538"/>
      <c r="AV1925" s="538"/>
      <c r="AW1925" s="538"/>
    </row>
    <row r="1926" spans="1:49" hidden="1" x14ac:dyDescent="0.2">
      <c r="A1926" s="1507">
        <v>9</v>
      </c>
      <c r="B1926" s="1516">
        <v>901.4</v>
      </c>
      <c r="C1926" s="1511"/>
      <c r="D1926" s="1524" t="s">
        <v>122</v>
      </c>
      <c r="E1926" s="1524"/>
      <c r="F1926" s="1524"/>
      <c r="G1926" s="1509" t="str">
        <f t="shared" ref="G1926:G1935" ca="1" si="134">G1925</f>
        <v/>
      </c>
      <c r="H1926" s="1538" t="s">
        <v>3197</v>
      </c>
      <c r="I1926" s="406"/>
      <c r="J1926" s="129"/>
      <c r="K1926" s="129"/>
      <c r="L1926" s="549" t="s">
        <v>2924</v>
      </c>
      <c r="M1926" s="564"/>
      <c r="N1926" s="543"/>
      <c r="O1926" s="543"/>
      <c r="P1926" s="96" t="b">
        <v>1</v>
      </c>
      <c r="Q1926" s="96" t="b">
        <v>1</v>
      </c>
      <c r="R1926" s="96" t="b">
        <v>0</v>
      </c>
      <c r="S1926" s="96" t="b">
        <v>1</v>
      </c>
      <c r="T1926" s="96" t="b">
        <v>0</v>
      </c>
      <c r="U1926" s="96" t="str">
        <f>SUBSTITUTE(SUBSTITUTE(SUBSTITUTE("dd"&amp;B1926&amp;C1926&amp;D1926&amp;E1926&amp;F1926,".","_"),"(","_"),")","")</f>
        <v>dd901_4_b</v>
      </c>
      <c r="V1926" s="96"/>
      <c r="W1926" s="12"/>
      <c r="X1926" s="1601"/>
      <c r="Y1926" s="1881"/>
      <c r="Z1926" s="1891"/>
      <c r="AB1926" s="538"/>
      <c r="AC1926" s="538"/>
      <c r="AD1926" s="538"/>
      <c r="AE1926" s="538"/>
      <c r="AF1926" s="720"/>
      <c r="AG1926" s="538"/>
      <c r="AH1926" s="538"/>
      <c r="AI1926" s="538"/>
      <c r="AJ1926" s="538"/>
      <c r="AK1926" s="538"/>
      <c r="AL1926" s="1352"/>
      <c r="AM1926" s="1352"/>
      <c r="AN1926" s="1352"/>
      <c r="AO1926" s="1352"/>
      <c r="AP1926" s="1352" t="str">
        <f>SUBSTITUTE(SUBSTITUTE(SUBSTITUTE("vch"&amp;$B1926&amp;$C1926&amp;$D1926&amp;$E1926,".","_"),"(","_"),")","")</f>
        <v>vch901_4_b</v>
      </c>
      <c r="AQ1926" s="1352" t="str">
        <f>IF(LEN(W1926)=0,"",W1926)</f>
        <v/>
      </c>
      <c r="AR1926" s="1352"/>
      <c r="AS1926" s="1352"/>
      <c r="AT1926" s="538"/>
      <c r="AU1926" s="538"/>
      <c r="AV1926" s="538"/>
      <c r="AW1926" s="538"/>
    </row>
    <row r="1927" spans="1:49" hidden="1" x14ac:dyDescent="0.2">
      <c r="A1927" s="1507">
        <v>9</v>
      </c>
      <c r="B1927" s="1516">
        <v>901.4</v>
      </c>
      <c r="C1927" s="1511"/>
      <c r="D1927" s="1524" t="s">
        <v>123</v>
      </c>
      <c r="E1927" s="1524"/>
      <c r="F1927" s="1524"/>
      <c r="G1927" s="1509" t="str">
        <f t="shared" ca="1" si="134"/>
        <v/>
      </c>
      <c r="H1927" s="1538" t="s">
        <v>3197</v>
      </c>
      <c r="I1927" s="406"/>
      <c r="J1927" s="129"/>
      <c r="K1927" s="129"/>
      <c r="L1927" s="549" t="s">
        <v>2925</v>
      </c>
      <c r="M1927" s="564"/>
      <c r="N1927" s="543"/>
      <c r="O1927" s="543"/>
      <c r="P1927" s="96" t="b">
        <v>1</v>
      </c>
      <c r="Q1927" s="96" t="b">
        <v>1</v>
      </c>
      <c r="R1927" s="96" t="b">
        <v>0</v>
      </c>
      <c r="S1927" s="96" t="b">
        <v>1</v>
      </c>
      <c r="T1927" s="96" t="b">
        <v>0</v>
      </c>
      <c r="U1927" s="96" t="str">
        <f>SUBSTITUTE(SUBSTITUTE(SUBSTITUTE("dd"&amp;B1927&amp;C1927&amp;D1927&amp;E1927&amp;F1927,".","_"),"(","_"),")","")</f>
        <v>dd901_4_c</v>
      </c>
      <c r="V1927" s="96"/>
      <c r="W1927" s="12"/>
      <c r="X1927" s="1601"/>
      <c r="Y1927" s="1881"/>
      <c r="Z1927" s="1891"/>
      <c r="AB1927" s="538"/>
      <c r="AC1927" s="538"/>
      <c r="AD1927" s="538"/>
      <c r="AE1927" s="538"/>
      <c r="AF1927" s="720"/>
      <c r="AG1927" s="538"/>
      <c r="AH1927" s="538"/>
      <c r="AI1927" s="538"/>
      <c r="AJ1927" s="538"/>
      <c r="AK1927" s="538"/>
      <c r="AL1927" s="1352"/>
      <c r="AM1927" s="1352"/>
      <c r="AN1927" s="1352"/>
      <c r="AO1927" s="1352"/>
      <c r="AP1927" s="1352" t="str">
        <f>SUBSTITUTE(SUBSTITUTE(SUBSTITUTE("vch"&amp;$B1927&amp;$C1927&amp;$D1927&amp;$E1927,".","_"),"(","_"),")","")</f>
        <v>vch901_4_c</v>
      </c>
      <c r="AQ1927" s="1352" t="str">
        <f>IF(LEN(W1927)=0,"",W1927)</f>
        <v/>
      </c>
      <c r="AR1927" s="1352"/>
      <c r="AS1927" s="1352"/>
      <c r="AT1927" s="538"/>
      <c r="AU1927" s="538"/>
      <c r="AV1927" s="538"/>
      <c r="AW1927" s="538"/>
    </row>
    <row r="1928" spans="1:49" hidden="1" x14ac:dyDescent="0.2">
      <c r="A1928" s="1507">
        <v>9</v>
      </c>
      <c r="B1928" s="1516">
        <v>901.4</v>
      </c>
      <c r="C1928" s="1511"/>
      <c r="D1928" s="1524" t="s">
        <v>366</v>
      </c>
      <c r="E1928" s="1524"/>
      <c r="F1928" s="1524"/>
      <c r="G1928" s="1509" t="str">
        <f t="shared" ca="1" si="134"/>
        <v/>
      </c>
      <c r="H1928" s="1538" t="s">
        <v>3197</v>
      </c>
      <c r="I1928" s="406"/>
      <c r="J1928" s="129"/>
      <c r="K1928" s="129"/>
      <c r="L1928" s="549" t="s">
        <v>2926</v>
      </c>
      <c r="M1928" s="564"/>
      <c r="N1928" s="543"/>
      <c r="O1928" s="543"/>
      <c r="P1928" s="96" t="b">
        <v>1</v>
      </c>
      <c r="Q1928" s="96" t="b">
        <v>1</v>
      </c>
      <c r="R1928" s="96" t="b">
        <v>0</v>
      </c>
      <c r="S1928" s="96" t="b">
        <v>1</v>
      </c>
      <c r="T1928" s="96" t="b">
        <v>0</v>
      </c>
      <c r="U1928" s="96" t="str">
        <f>SUBSTITUTE(SUBSTITUTE(SUBSTITUTE("dd"&amp;B1928&amp;C1928&amp;D1928&amp;E1928&amp;F1928,".","_"),"(","_"),")","")</f>
        <v>dd901_4_d</v>
      </c>
      <c r="V1928" s="96"/>
      <c r="W1928" s="12"/>
      <c r="X1928" s="1601"/>
      <c r="Y1928" s="1881"/>
      <c r="Z1928" s="1891"/>
      <c r="AB1928" s="538"/>
      <c r="AC1928" s="538"/>
      <c r="AD1928" s="538"/>
      <c r="AE1928" s="538"/>
      <c r="AF1928" s="720"/>
      <c r="AG1928" s="538"/>
      <c r="AH1928" s="538"/>
      <c r="AI1928" s="538"/>
      <c r="AJ1928" s="538"/>
      <c r="AK1928" s="538"/>
      <c r="AL1928" s="1352"/>
      <c r="AM1928" s="1352"/>
      <c r="AN1928" s="1352"/>
      <c r="AO1928" s="1352"/>
      <c r="AP1928" s="1352" t="str">
        <f>SUBSTITUTE(SUBSTITUTE(SUBSTITUTE("vch"&amp;$B1928&amp;$C1928&amp;$D1928&amp;$E1928,".","_"),"(","_"),")","")</f>
        <v>vch901_4_d</v>
      </c>
      <c r="AQ1928" s="1352" t="str">
        <f>IF(LEN(W1928)=0,"",W1928)</f>
        <v/>
      </c>
      <c r="AR1928" s="1352"/>
      <c r="AS1928" s="1352"/>
      <c r="AT1928" s="538"/>
      <c r="AU1928" s="538"/>
      <c r="AV1928" s="538"/>
      <c r="AW1928" s="538"/>
    </row>
    <row r="1929" spans="1:49" hidden="1" x14ac:dyDescent="0.2">
      <c r="A1929" s="1507">
        <v>9</v>
      </c>
      <c r="B1929" s="1516">
        <v>901.4</v>
      </c>
      <c r="C1929" s="1511" t="s">
        <v>255</v>
      </c>
      <c r="D1929" s="1511"/>
      <c r="E1929" s="1511"/>
      <c r="F1929" s="1511"/>
      <c r="G1929" s="1509" t="str">
        <f t="shared" ca="1" si="134"/>
        <v/>
      </c>
      <c r="H1929" s="1510" t="s">
        <v>3197</v>
      </c>
      <c r="I1929" s="406"/>
      <c r="J1929" s="180" t="s">
        <v>255</v>
      </c>
      <c r="K1929" s="129"/>
      <c r="L1929" s="1609" t="s">
        <v>2706</v>
      </c>
      <c r="M1929" s="1623">
        <v>2</v>
      </c>
      <c r="N1929" s="543"/>
      <c r="O1929" s="543"/>
      <c r="P1929" s="96"/>
      <c r="Q1929" s="96"/>
      <c r="R1929" s="96"/>
      <c r="S1929" s="96"/>
      <c r="T1929" s="96"/>
      <c r="U1929" s="96"/>
      <c r="V1929" s="96"/>
      <c r="W1929" s="96"/>
      <c r="X1929" s="1601"/>
      <c r="Y1929" s="1881"/>
      <c r="Z1929" s="1891"/>
      <c r="AB1929" s="538"/>
      <c r="AC1929" s="538"/>
      <c r="AD1929" s="538"/>
      <c r="AE1929" s="538"/>
      <c r="AF1929" s="538"/>
      <c r="AG1929" s="538"/>
      <c r="AH1929" s="538"/>
      <c r="AI1929" s="538"/>
      <c r="AJ1929" s="538"/>
      <c r="AK1929" s="538"/>
      <c r="AL1929" s="1352" t="str">
        <f>SUBSTITUTE(SUBSTITUTE(SUBSTITUTE("vpa"&amp;$B1929&amp;$C1929&amp;$D1929&amp;$E1929,".","_"),"(","_"),")","")</f>
        <v>vpa901_4_2</v>
      </c>
      <c r="AM1929" s="1352">
        <f>M1929</f>
        <v>2</v>
      </c>
      <c r="AN1929" s="1352"/>
      <c r="AO1929" s="1352"/>
      <c r="AP1929" s="1352"/>
      <c r="AQ1929" s="1352"/>
      <c r="AR1929" s="1352"/>
      <c r="AS1929" s="1352"/>
      <c r="AT1929" s="538"/>
      <c r="AU1929" s="538"/>
      <c r="AV1929" s="538"/>
      <c r="AW1929" s="538"/>
    </row>
    <row r="1930" spans="1:49" hidden="1" x14ac:dyDescent="0.2">
      <c r="A1930" s="1507">
        <v>9</v>
      </c>
      <c r="B1930" s="1516">
        <v>901.4</v>
      </c>
      <c r="C1930" s="1511" t="s">
        <v>255</v>
      </c>
      <c r="D1930" s="1511"/>
      <c r="E1930" s="1511"/>
      <c r="F1930" s="1511"/>
      <c r="G1930" s="1509" t="str">
        <f t="shared" ca="1" si="134"/>
        <v/>
      </c>
      <c r="H1930" s="1510" t="s">
        <v>3197</v>
      </c>
      <c r="I1930" s="406"/>
      <c r="J1930" s="213"/>
      <c r="K1930" s="213"/>
      <c r="L1930" s="1612"/>
      <c r="M1930" s="1624"/>
      <c r="N1930" s="543"/>
      <c r="O1930" s="543"/>
      <c r="P1930" s="96"/>
      <c r="Q1930" s="96"/>
      <c r="R1930" s="96"/>
      <c r="S1930" s="96"/>
      <c r="T1930" s="96"/>
      <c r="U1930" s="96"/>
      <c r="V1930" s="96"/>
      <c r="W1930" s="96"/>
      <c r="X1930" s="1601"/>
      <c r="Y1930" s="1881"/>
      <c r="Z1930" s="1891"/>
      <c r="AB1930" s="538"/>
      <c r="AC1930" s="538"/>
      <c r="AD1930" s="538"/>
      <c r="AE1930" s="538"/>
      <c r="AF1930" s="538"/>
      <c r="AG1930" s="538"/>
      <c r="AH1930" s="538"/>
      <c r="AI1930" s="538"/>
      <c r="AJ1930" s="538"/>
      <c r="AK1930" s="538"/>
      <c r="AL1930" s="1352"/>
      <c r="AM1930" s="1352"/>
      <c r="AN1930" s="1352"/>
      <c r="AO1930" s="1352"/>
      <c r="AP1930" s="1352"/>
      <c r="AQ1930" s="1352"/>
      <c r="AR1930" s="1352"/>
      <c r="AS1930" s="1352"/>
      <c r="AT1930" s="538"/>
      <c r="AU1930" s="538"/>
      <c r="AV1930" s="538"/>
      <c r="AW1930" s="538"/>
    </row>
    <row r="1931" spans="1:49" hidden="1" x14ac:dyDescent="0.2">
      <c r="A1931" s="1507">
        <v>9</v>
      </c>
      <c r="B1931" s="1516">
        <v>901.4</v>
      </c>
      <c r="C1931" s="1511" t="s">
        <v>256</v>
      </c>
      <c r="D1931" s="1511"/>
      <c r="E1931" s="1511"/>
      <c r="F1931" s="1511"/>
      <c r="G1931" s="1509" t="str">
        <f t="shared" ca="1" si="134"/>
        <v/>
      </c>
      <c r="H1931" s="1510" t="s">
        <v>3197</v>
      </c>
      <c r="I1931" s="406"/>
      <c r="J1931" s="207" t="s">
        <v>256</v>
      </c>
      <c r="K1931" s="213"/>
      <c r="L1931" s="550" t="s">
        <v>2707</v>
      </c>
      <c r="M1931" s="546">
        <v>2</v>
      </c>
      <c r="N1931" s="543"/>
      <c r="O1931" s="543"/>
      <c r="P1931" s="96"/>
      <c r="Q1931" s="96"/>
      <c r="R1931" s="96"/>
      <c r="S1931" s="96"/>
      <c r="T1931" s="96"/>
      <c r="U1931" s="96"/>
      <c r="V1931" s="96"/>
      <c r="W1931" s="96"/>
      <c r="X1931" s="1601"/>
      <c r="Y1931" s="1881"/>
      <c r="Z1931" s="1891"/>
      <c r="AB1931" s="538"/>
      <c r="AC1931" s="538"/>
      <c r="AD1931" s="538"/>
      <c r="AE1931" s="538"/>
      <c r="AF1931" s="538"/>
      <c r="AG1931" s="538"/>
      <c r="AH1931" s="538"/>
      <c r="AI1931" s="538"/>
      <c r="AJ1931" s="538"/>
      <c r="AK1931" s="538"/>
      <c r="AL1931" s="1352" t="str">
        <f>SUBSTITUTE(SUBSTITUTE(SUBSTITUTE("vpa"&amp;$B1931&amp;$C1931&amp;$D1931&amp;$E1931,".","_"),"(","_"),")","")</f>
        <v>vpa901_4_3</v>
      </c>
      <c r="AM1931" s="1352">
        <f>M1931</f>
        <v>2</v>
      </c>
      <c r="AN1931" s="1352"/>
      <c r="AO1931" s="1352"/>
      <c r="AP1931" s="1352"/>
      <c r="AQ1931" s="1352"/>
      <c r="AR1931" s="1352"/>
      <c r="AS1931" s="1352"/>
      <c r="AT1931" s="538"/>
      <c r="AU1931" s="538"/>
      <c r="AV1931" s="538"/>
      <c r="AW1931" s="538"/>
    </row>
    <row r="1932" spans="1:49" hidden="1" x14ac:dyDescent="0.2">
      <c r="A1932" s="1507">
        <v>9</v>
      </c>
      <c r="B1932" s="1516">
        <v>901.4</v>
      </c>
      <c r="C1932" s="1511" t="s">
        <v>259</v>
      </c>
      <c r="D1932" s="1511"/>
      <c r="E1932" s="1511"/>
      <c r="F1932" s="1511"/>
      <c r="G1932" s="1509" t="str">
        <f t="shared" ca="1" si="134"/>
        <v/>
      </c>
      <c r="H1932" s="1510" t="s">
        <v>3197</v>
      </c>
      <c r="I1932" s="406"/>
      <c r="J1932" s="207" t="s">
        <v>259</v>
      </c>
      <c r="K1932" s="213"/>
      <c r="L1932" s="550" t="s">
        <v>2708</v>
      </c>
      <c r="M1932" s="546">
        <v>3</v>
      </c>
      <c r="N1932" s="543"/>
      <c r="O1932" s="543"/>
      <c r="P1932" s="96"/>
      <c r="Q1932" s="96"/>
      <c r="R1932" s="96"/>
      <c r="S1932" s="96"/>
      <c r="T1932" s="96"/>
      <c r="U1932" s="96"/>
      <c r="V1932" s="96"/>
      <c r="W1932" s="96"/>
      <c r="X1932" s="1601"/>
      <c r="Y1932" s="1881"/>
      <c r="Z1932" s="1891"/>
      <c r="AB1932" s="538"/>
      <c r="AC1932" s="538"/>
      <c r="AD1932" s="538"/>
      <c r="AE1932" s="538"/>
      <c r="AF1932" s="538"/>
      <c r="AG1932" s="538"/>
      <c r="AH1932" s="538"/>
      <c r="AI1932" s="538"/>
      <c r="AJ1932" s="538"/>
      <c r="AK1932" s="538"/>
      <c r="AL1932" s="1352" t="str">
        <f>SUBSTITUTE(SUBSTITUTE(SUBSTITUTE("vpa"&amp;$B1932&amp;$C1932&amp;$D1932&amp;$E1932,".","_"),"(","_"),")","")</f>
        <v>vpa901_4_4</v>
      </c>
      <c r="AM1932" s="1352">
        <f>M1932</f>
        <v>3</v>
      </c>
      <c r="AN1932" s="1352"/>
      <c r="AO1932" s="1352"/>
      <c r="AP1932" s="1352"/>
      <c r="AQ1932" s="1352"/>
      <c r="AR1932" s="1352"/>
      <c r="AS1932" s="1352"/>
      <c r="AT1932" s="538"/>
      <c r="AU1932" s="538"/>
      <c r="AV1932" s="538"/>
      <c r="AW1932" s="538"/>
    </row>
    <row r="1933" spans="1:49" hidden="1" x14ac:dyDescent="0.2">
      <c r="A1933" s="1507">
        <v>9</v>
      </c>
      <c r="B1933" s="1516">
        <v>901.4</v>
      </c>
      <c r="C1933" s="1511" t="s">
        <v>263</v>
      </c>
      <c r="D1933" s="1511"/>
      <c r="E1933" s="1511"/>
      <c r="F1933" s="1511"/>
      <c r="G1933" s="1509" t="str">
        <f t="shared" ca="1" si="134"/>
        <v/>
      </c>
      <c r="H1933" s="1510" t="s">
        <v>3197</v>
      </c>
      <c r="I1933" s="406"/>
      <c r="J1933" s="180" t="s">
        <v>263</v>
      </c>
      <c r="K1933" s="129"/>
      <c r="L1933" s="1609" t="s">
        <v>2709</v>
      </c>
      <c r="M1933" s="1623">
        <v>4</v>
      </c>
      <c r="N1933" s="543"/>
      <c r="O1933" s="543"/>
      <c r="P1933" s="96"/>
      <c r="Q1933" s="96"/>
      <c r="R1933" s="96"/>
      <c r="S1933" s="96"/>
      <c r="T1933" s="96"/>
      <c r="U1933" s="96"/>
      <c r="V1933" s="96"/>
      <c r="W1933" s="96"/>
      <c r="X1933" s="1601"/>
      <c r="Y1933" s="1881"/>
      <c r="Z1933" s="1891"/>
      <c r="AB1933" s="538"/>
      <c r="AC1933" s="538"/>
      <c r="AD1933" s="538"/>
      <c r="AE1933" s="538"/>
      <c r="AF1933" s="538"/>
      <c r="AG1933" s="538"/>
      <c r="AH1933" s="538"/>
      <c r="AI1933" s="538"/>
      <c r="AJ1933" s="538"/>
      <c r="AK1933" s="538"/>
      <c r="AL1933" s="1352" t="str">
        <f>SUBSTITUTE(SUBSTITUTE(SUBSTITUTE("vpa"&amp;$B1933&amp;$C1933&amp;$D1933&amp;$E1933,".","_"),"(","_"),")","")</f>
        <v>vpa901_4_5</v>
      </c>
      <c r="AM1933" s="1352">
        <f>M1933</f>
        <v>4</v>
      </c>
      <c r="AN1933" s="1352"/>
      <c r="AO1933" s="1352"/>
      <c r="AP1933" s="1352"/>
      <c r="AQ1933" s="1352"/>
      <c r="AR1933" s="1352"/>
      <c r="AS1933" s="1352"/>
      <c r="AT1933" s="538"/>
      <c r="AU1933" s="538"/>
      <c r="AV1933" s="538"/>
      <c r="AW1933" s="538"/>
    </row>
    <row r="1934" spans="1:49" hidden="1" x14ac:dyDescent="0.2">
      <c r="A1934" s="1507">
        <v>9</v>
      </c>
      <c r="B1934" s="1516">
        <v>901.4</v>
      </c>
      <c r="C1934" s="1511" t="s">
        <v>263</v>
      </c>
      <c r="D1934" s="1511"/>
      <c r="E1934" s="1511"/>
      <c r="F1934" s="1511"/>
      <c r="G1934" s="1509" t="str">
        <f t="shared" ca="1" si="134"/>
        <v/>
      </c>
      <c r="H1934" s="1510" t="s">
        <v>3197</v>
      </c>
      <c r="I1934" s="406"/>
      <c r="J1934" s="207"/>
      <c r="K1934" s="213"/>
      <c r="L1934" s="1612"/>
      <c r="M1934" s="1624"/>
      <c r="N1934" s="543"/>
      <c r="O1934" s="543"/>
      <c r="P1934" s="96"/>
      <c r="Q1934" s="96"/>
      <c r="R1934" s="96"/>
      <c r="S1934" s="96"/>
      <c r="T1934" s="96"/>
      <c r="U1934" s="96"/>
      <c r="V1934" s="96"/>
      <c r="W1934" s="96"/>
      <c r="X1934" s="1601"/>
      <c r="Y1934" s="1881"/>
      <c r="Z1934" s="1891"/>
      <c r="AB1934" s="538"/>
      <c r="AC1934" s="538"/>
      <c r="AD1934" s="538"/>
      <c r="AE1934" s="538"/>
      <c r="AF1934" s="538"/>
      <c r="AG1934" s="538"/>
      <c r="AH1934" s="538"/>
      <c r="AI1934" s="538"/>
      <c r="AJ1934" s="538"/>
      <c r="AK1934" s="538"/>
      <c r="AL1934" s="1352"/>
      <c r="AM1934" s="1352"/>
      <c r="AN1934" s="1352"/>
      <c r="AO1934" s="1352"/>
      <c r="AP1934" s="1352"/>
      <c r="AQ1934" s="1352"/>
      <c r="AR1934" s="1352"/>
      <c r="AS1934" s="1352"/>
      <c r="AT1934" s="538"/>
      <c r="AU1934" s="538"/>
      <c r="AV1934" s="538"/>
      <c r="AW1934" s="538"/>
    </row>
    <row r="1935" spans="1:49" ht="16" hidden="1" thickBot="1" x14ac:dyDescent="0.25">
      <c r="A1935" s="1507">
        <v>9</v>
      </c>
      <c r="B1935" s="1516">
        <v>901.4</v>
      </c>
      <c r="C1935" s="1511" t="s">
        <v>264</v>
      </c>
      <c r="D1935" s="1511"/>
      <c r="E1935" s="1511"/>
      <c r="F1935" s="1511"/>
      <c r="G1935" s="1509" t="str">
        <f t="shared" ca="1" si="134"/>
        <v/>
      </c>
      <c r="H1935" s="1510" t="s">
        <v>3197</v>
      </c>
      <c r="I1935" s="407"/>
      <c r="J1935" s="190" t="s">
        <v>264</v>
      </c>
      <c r="K1935" s="239"/>
      <c r="L1935" s="557" t="s">
        <v>2710</v>
      </c>
      <c r="M1935" s="553">
        <v>4</v>
      </c>
      <c r="N1935" s="547"/>
      <c r="O1935" s="547"/>
      <c r="P1935" s="100"/>
      <c r="Q1935" s="100"/>
      <c r="R1935" s="100"/>
      <c r="S1935" s="100"/>
      <c r="T1935" s="100"/>
      <c r="U1935" s="100"/>
      <c r="V1935" s="100"/>
      <c r="W1935" s="100"/>
      <c r="X1935" s="1602"/>
      <c r="Y1935" s="1882"/>
      <c r="Z1935" s="1892"/>
      <c r="AB1935" s="538"/>
      <c r="AC1935" s="538"/>
      <c r="AD1935" s="538"/>
      <c r="AE1935" s="538"/>
      <c r="AF1935" s="538"/>
      <c r="AG1935" s="538"/>
      <c r="AH1935" s="538"/>
      <c r="AI1935" s="538"/>
      <c r="AJ1935" s="538"/>
      <c r="AK1935" s="538"/>
      <c r="AL1935" s="1352" t="str">
        <f>SUBSTITUTE(SUBSTITUTE(SUBSTITUTE("vpa"&amp;$B1935&amp;$C1935&amp;$D1935&amp;$E1935,".","_"),"(","_"),")","")</f>
        <v>vpa901_4_6</v>
      </c>
      <c r="AM1935" s="1352">
        <f>M1935</f>
        <v>4</v>
      </c>
      <c r="AN1935" s="1352"/>
      <c r="AO1935" s="1352"/>
      <c r="AP1935" s="1352"/>
      <c r="AQ1935" s="1352"/>
      <c r="AR1935" s="1352"/>
      <c r="AS1935" s="1352"/>
      <c r="AT1935" s="538"/>
      <c r="AU1935" s="538"/>
      <c r="AV1935" s="538"/>
      <c r="AW1935" s="538"/>
    </row>
    <row r="1936" spans="1:49" x14ac:dyDescent="0.2">
      <c r="A1936" s="1507">
        <v>9</v>
      </c>
      <c r="B1936" s="1516">
        <v>901.5</v>
      </c>
      <c r="C1936" s="1511"/>
      <c r="D1936" s="1511"/>
      <c r="E1936" s="1511"/>
      <c r="F1936" s="1511"/>
      <c r="G1936" s="1513" t="str">
        <f>IF(COUNTIF(G1939:G1941,"P")&gt;0,"P","")</f>
        <v/>
      </c>
      <c r="H1936" s="1510" t="s">
        <v>3199</v>
      </c>
      <c r="I1936" s="67" t="s">
        <v>3673</v>
      </c>
      <c r="J1936" s="4"/>
      <c r="K1936" s="4"/>
      <c r="L1936" s="1631" t="s">
        <v>3895</v>
      </c>
      <c r="M1936" s="554"/>
      <c r="N1936" s="540"/>
      <c r="O1936" s="540"/>
      <c r="P1936" s="538"/>
      <c r="Q1936" s="538"/>
      <c r="R1936" s="538"/>
      <c r="S1936" s="538"/>
      <c r="T1936" s="538"/>
      <c r="U1936" s="538"/>
      <c r="V1936" s="538"/>
      <c r="W1936" s="538"/>
      <c r="X1936" s="538"/>
      <c r="Y1936" s="538"/>
      <c r="Z1936" s="670"/>
      <c r="AB1936" s="538"/>
      <c r="AC1936" s="538"/>
      <c r="AD1936" s="538"/>
      <c r="AE1936" s="538"/>
      <c r="AF1936" s="538"/>
      <c r="AG1936" s="538"/>
      <c r="AH1936" s="538"/>
      <c r="AI1936" s="538"/>
      <c r="AJ1936" s="538"/>
      <c r="AK1936" s="538"/>
      <c r="AL1936" s="1352"/>
      <c r="AM1936" s="1352"/>
      <c r="AN1936" s="1352"/>
      <c r="AO1936" s="1352"/>
      <c r="AP1936" s="1352"/>
      <c r="AQ1936" s="1352"/>
      <c r="AR1936" s="1352"/>
      <c r="AS1936" s="1352"/>
      <c r="AT1936" s="538"/>
      <c r="AU1936" s="538"/>
      <c r="AV1936" s="538"/>
      <c r="AW1936" s="538"/>
    </row>
    <row r="1937" spans="1:60" x14ac:dyDescent="0.2">
      <c r="A1937" s="1507">
        <v>9</v>
      </c>
      <c r="B1937" s="1516">
        <v>901.5</v>
      </c>
      <c r="C1937" s="1511"/>
      <c r="D1937" s="1511"/>
      <c r="E1937" s="1511"/>
      <c r="F1937" s="1511"/>
      <c r="G1937" s="1509" t="str">
        <f>G1936</f>
        <v/>
      </c>
      <c r="H1937" s="1510" t="s">
        <v>3199</v>
      </c>
      <c r="I1937" s="161"/>
      <c r="J1937" s="4"/>
      <c r="K1937" s="4"/>
      <c r="L1937" s="1631"/>
      <c r="M1937" s="554"/>
      <c r="N1937" s="540"/>
      <c r="O1937" s="540"/>
      <c r="P1937" s="538"/>
      <c r="Q1937" s="538"/>
      <c r="R1937" s="538"/>
      <c r="S1937" s="538"/>
      <c r="T1937" s="538"/>
      <c r="U1937" s="538"/>
      <c r="V1937" s="538"/>
      <c r="W1937" s="538"/>
      <c r="X1937" s="538"/>
      <c r="Y1937" s="538"/>
      <c r="Z1937" s="670"/>
      <c r="AB1937" s="538"/>
      <c r="AC1937" s="538"/>
      <c r="AD1937" s="538"/>
      <c r="AE1937" s="538"/>
      <c r="AF1937" s="538"/>
      <c r="AG1937" s="538"/>
      <c r="AH1937" s="538"/>
      <c r="AI1937" s="538"/>
      <c r="AJ1937" s="538"/>
      <c r="AK1937" s="538"/>
      <c r="AL1937" s="1352"/>
      <c r="AM1937" s="1352"/>
      <c r="AN1937" s="1352"/>
      <c r="AO1937" s="1352"/>
      <c r="AP1937" s="1352"/>
      <c r="AQ1937" s="1352"/>
      <c r="AR1937" s="1352"/>
      <c r="AS1937" s="1352"/>
      <c r="AT1937" s="538"/>
      <c r="AU1937" s="538"/>
      <c r="AV1937" s="538"/>
      <c r="AW1937" s="538"/>
      <c r="AX1937" s="538"/>
      <c r="AY1937" s="538"/>
      <c r="AZ1937" s="538"/>
      <c r="BA1937" s="538"/>
      <c r="BB1937" s="538"/>
      <c r="BC1937" s="538"/>
      <c r="BD1937" s="538"/>
      <c r="BE1937" s="538"/>
      <c r="BF1937" s="538"/>
      <c r="BG1937" s="538"/>
      <c r="BH1937" s="538"/>
    </row>
    <row r="1938" spans="1:60" x14ac:dyDescent="0.2">
      <c r="A1938" s="1507">
        <v>9</v>
      </c>
      <c r="B1938" s="1516">
        <v>901.5</v>
      </c>
      <c r="C1938" s="1511"/>
      <c r="D1938" s="1511"/>
      <c r="E1938" s="1511"/>
      <c r="F1938" s="1511"/>
      <c r="G1938" s="1509" t="str">
        <f>G1937</f>
        <v/>
      </c>
      <c r="H1938" s="1510" t="s">
        <v>3199</v>
      </c>
      <c r="I1938" s="161"/>
      <c r="J1938" s="4"/>
      <c r="K1938" s="4"/>
      <c r="L1938" s="558" t="s">
        <v>2711</v>
      </c>
      <c r="M1938" s="554"/>
      <c r="N1938" s="540"/>
      <c r="O1938" s="540"/>
      <c r="P1938" s="538"/>
      <c r="Q1938" s="538"/>
      <c r="R1938" s="538"/>
      <c r="S1938" s="538"/>
      <c r="T1938" s="538"/>
      <c r="U1938" s="538"/>
      <c r="V1938" s="538"/>
      <c r="W1938" s="538"/>
      <c r="X1938" s="538"/>
      <c r="Y1938" s="538"/>
      <c r="Z1938" s="670"/>
      <c r="AB1938" s="538"/>
      <c r="AC1938" s="538"/>
      <c r="AD1938" s="538"/>
      <c r="AE1938" s="538"/>
      <c r="AF1938" s="538"/>
      <c r="AG1938" s="538"/>
      <c r="AH1938" s="538"/>
      <c r="AI1938" s="538"/>
      <c r="AJ1938" s="538"/>
      <c r="AK1938" s="538"/>
      <c r="AL1938" s="1352"/>
      <c r="AM1938" s="1352"/>
      <c r="AN1938" s="1352"/>
      <c r="AO1938" s="1352"/>
      <c r="AP1938" s="1352"/>
      <c r="AQ1938" s="1352"/>
      <c r="AR1938" s="1352"/>
      <c r="AS1938" s="1352"/>
      <c r="AT1938" s="538"/>
      <c r="AU1938" s="538"/>
      <c r="AV1938" s="538"/>
      <c r="AW1938" s="538"/>
      <c r="AX1938" s="538"/>
      <c r="AY1938" s="538"/>
      <c r="AZ1938" s="538"/>
      <c r="BA1938" s="538"/>
      <c r="BB1938" s="538"/>
      <c r="BC1938" s="538"/>
      <c r="BD1938" s="538"/>
      <c r="BE1938" s="538"/>
      <c r="BF1938" s="538"/>
      <c r="BG1938" s="538"/>
      <c r="BH1938" s="538"/>
    </row>
    <row r="1939" spans="1:60" hidden="1" x14ac:dyDescent="0.2">
      <c r="A1939" s="1507">
        <v>9</v>
      </c>
      <c r="B1939" s="1516">
        <v>901.5</v>
      </c>
      <c r="C1939" s="1511" t="s">
        <v>254</v>
      </c>
      <c r="D1939" s="1511"/>
      <c r="E1939" s="1511"/>
      <c r="F1939" s="1511"/>
      <c r="G1939" s="1509" t="str">
        <f>IF(N1939&gt;0,"P","")</f>
        <v/>
      </c>
      <c r="H1939" s="1510" t="s">
        <v>3199</v>
      </c>
      <c r="I1939" s="161"/>
      <c r="J1939" s="180" t="s">
        <v>254</v>
      </c>
      <c r="K1939" s="129"/>
      <c r="L1939" s="1609" t="s">
        <v>2712</v>
      </c>
      <c r="M1939" s="1623">
        <v>5</v>
      </c>
      <c r="N1939" s="1619">
        <f>'11.900'!O92</f>
        <v>0</v>
      </c>
      <c r="O1939" s="1619">
        <f>M1939*S1939*W1939</f>
        <v>0</v>
      </c>
      <c r="P1939" s="96" t="b">
        <v>0</v>
      </c>
      <c r="Q1939" s="96" t="b">
        <v>1</v>
      </c>
      <c r="R1939" s="538" t="b">
        <v>0</v>
      </c>
      <c r="S1939" s="538" t="b">
        <v>1</v>
      </c>
      <c r="T1939" s="538" t="b">
        <v>0</v>
      </c>
      <c r="U1939" s="538"/>
      <c r="V1939" s="538"/>
      <c r="W1939" s="27"/>
      <c r="X1939" s="1600"/>
      <c r="Y1939" s="1874" t="str">
        <f>IF(LEN('11.900'!X92)=0,"None",'11.900'!X92)</f>
        <v>None</v>
      </c>
      <c r="Z1939" s="1889"/>
      <c r="AB1939" s="538"/>
      <c r="AC1939" s="538"/>
      <c r="AD1939" s="538"/>
      <c r="AE1939" s="538"/>
      <c r="AF1939" s="720"/>
      <c r="AG1939" s="538"/>
      <c r="AH1939" s="538"/>
      <c r="AI1939" s="538"/>
      <c r="AJ1939" s="538"/>
      <c r="AK1939" s="538"/>
      <c r="AL1939" s="1352" t="str">
        <f>SUBSTITUTE(SUBSTITUTE(SUBSTITUTE("vpa"&amp;$B1939&amp;$C1939&amp;$D1939&amp;$E1939,".","_"),"(","_"),")","")</f>
        <v>vpa901_5_1</v>
      </c>
      <c r="AM1939" s="1352">
        <f>M1939</f>
        <v>5</v>
      </c>
      <c r="AN1939" s="1352" t="str">
        <f>SUBSTITUTE(SUBSTITUTE(SUBSTITUTE("vpc"&amp;$B1939&amp;$C1939&amp;$D1939&amp;$E1939,".","_"),"(","_"),")","")</f>
        <v>vpc901_5_1</v>
      </c>
      <c r="AO1939" s="1352">
        <f>O1939</f>
        <v>0</v>
      </c>
      <c r="AP1939" s="1352" t="str">
        <f>SUBSTITUTE(SUBSTITUTE(SUBSTITUTE("vch"&amp;$B1939&amp;$C1939&amp;$D1939&amp;$E1939,".","_"),"(","_"),")","")</f>
        <v>vch901_5_1</v>
      </c>
      <c r="AQ1939" s="1352" t="str">
        <f>IF(LEN(W1939)=0,"",W1939)</f>
        <v/>
      </c>
      <c r="AR1939" s="1352" t="str">
        <f>SUBSTITUTE(SUBSTITUTE(SUBSTITUTE("vnt"&amp;$B1939&amp;$C1939&amp;$D1939&amp;$E1939,".","_"),"(","_"),")","")</f>
        <v>vnt901_5_1</v>
      </c>
      <c r="AS1939" s="1352" t="str">
        <f>IF(LEN(X1939)=0,"",X1939)</f>
        <v/>
      </c>
      <c r="AT1939" s="538"/>
      <c r="AU1939" s="538"/>
      <c r="AV1939" s="538"/>
      <c r="AW1939" s="538"/>
      <c r="AX1939" s="538"/>
      <c r="AY1939" s="538"/>
      <c r="AZ1939" s="538"/>
      <c r="BA1939" s="538"/>
      <c r="BB1939" s="538"/>
      <c r="BC1939" s="538"/>
      <c r="BD1939" s="538"/>
      <c r="BE1939" s="538"/>
      <c r="BF1939" s="538"/>
      <c r="BG1939" s="538"/>
      <c r="BH1939" s="538"/>
    </row>
    <row r="1940" spans="1:60" hidden="1" x14ac:dyDescent="0.2">
      <c r="A1940" s="1507">
        <v>9</v>
      </c>
      <c r="B1940" s="1516">
        <v>901.5</v>
      </c>
      <c r="C1940" s="1511" t="s">
        <v>254</v>
      </c>
      <c r="D1940" s="1511"/>
      <c r="E1940" s="1511"/>
      <c r="F1940" s="1511"/>
      <c r="G1940" s="1509" t="str">
        <f>G1939</f>
        <v/>
      </c>
      <c r="H1940" s="1510" t="s">
        <v>3199</v>
      </c>
      <c r="I1940" s="161"/>
      <c r="J1940" s="213"/>
      <c r="K1940" s="213"/>
      <c r="L1940" s="1612"/>
      <c r="M1940" s="1624"/>
      <c r="N1940" s="1620"/>
      <c r="O1940" s="1620"/>
      <c r="P1940" s="538"/>
      <c r="Q1940" s="538"/>
      <c r="R1940" s="538"/>
      <c r="S1940" s="538"/>
      <c r="T1940" s="538"/>
      <c r="U1940" s="538"/>
      <c r="V1940" s="538"/>
      <c r="W1940" s="538"/>
      <c r="X1940" s="1600"/>
      <c r="Y1940" s="1874"/>
      <c r="Z1940" s="1889"/>
      <c r="AB1940" s="538"/>
      <c r="AC1940" s="538"/>
      <c r="AD1940" s="538"/>
      <c r="AE1940" s="538"/>
      <c r="AF1940" s="538"/>
      <c r="AG1940" s="538"/>
      <c r="AH1940" s="538"/>
      <c r="AI1940" s="538"/>
      <c r="AJ1940" s="538"/>
      <c r="AK1940" s="538"/>
      <c r="AL1940" s="1352"/>
      <c r="AM1940" s="1352"/>
      <c r="AN1940" s="1352"/>
      <c r="AO1940" s="1352"/>
      <c r="AP1940" s="1352"/>
      <c r="AQ1940" s="1352"/>
      <c r="AR1940" s="1352"/>
      <c r="AS1940" s="1352"/>
      <c r="AT1940" s="538"/>
      <c r="AU1940" s="538"/>
      <c r="AV1940" s="538"/>
      <c r="AW1940" s="538"/>
      <c r="AX1940" s="538"/>
      <c r="AY1940" s="538"/>
      <c r="AZ1940" s="538"/>
      <c r="BA1940" s="538"/>
      <c r="BB1940" s="538"/>
      <c r="BC1940" s="538"/>
      <c r="BD1940" s="538"/>
      <c r="BE1940" s="538"/>
      <c r="BF1940" s="538"/>
      <c r="BG1940" s="538"/>
      <c r="BH1940" s="538"/>
    </row>
    <row r="1941" spans="1:60" x14ac:dyDescent="0.2">
      <c r="A1941" s="1507">
        <v>9</v>
      </c>
      <c r="B1941" s="1516">
        <v>901.5</v>
      </c>
      <c r="C1941" s="1511" t="s">
        <v>255</v>
      </c>
      <c r="D1941" s="1511"/>
      <c r="E1941" s="1511"/>
      <c r="F1941" s="1511"/>
      <c r="G1941" s="1509" t="str">
        <f>IF(N1941&gt;0,"P","")</f>
        <v/>
      </c>
      <c r="H1941" s="1510" t="s">
        <v>3199</v>
      </c>
      <c r="I1941" s="406"/>
      <c r="J1941" s="180" t="s">
        <v>255</v>
      </c>
      <c r="K1941" s="129"/>
      <c r="L1941" s="1609" t="s">
        <v>2713</v>
      </c>
      <c r="M1941" s="1623">
        <v>3</v>
      </c>
      <c r="N1941" s="1619">
        <f>'11.900'!O94</f>
        <v>0</v>
      </c>
      <c r="O1941" s="1619">
        <f>M1941*S1941*W1941</f>
        <v>0</v>
      </c>
      <c r="P1941" s="96" t="b">
        <v>0</v>
      </c>
      <c r="Q1941" s="96" t="b">
        <v>1</v>
      </c>
      <c r="R1941" s="96" t="b">
        <v>0</v>
      </c>
      <c r="S1941" s="96" t="b">
        <v>1</v>
      </c>
      <c r="T1941" s="96" t="b">
        <v>0</v>
      </c>
      <c r="U1941" s="96"/>
      <c r="V1941" s="96"/>
      <c r="W1941" s="27"/>
      <c r="X1941" s="1601"/>
      <c r="Y1941" s="1881" t="str">
        <f>IF(LEN('11.900'!X94)=0,"None",'11.900'!X94)</f>
        <v>None</v>
      </c>
      <c r="Z1941" s="1891"/>
      <c r="AB1941" s="538"/>
      <c r="AC1941" s="538"/>
      <c r="AD1941" s="538"/>
      <c r="AE1941" s="538"/>
      <c r="AF1941" s="720"/>
      <c r="AG1941" s="538"/>
      <c r="AH1941" s="538"/>
      <c r="AI1941" s="538"/>
      <c r="AJ1941" s="538"/>
      <c r="AK1941" s="538"/>
      <c r="AL1941" s="1352" t="str">
        <f>SUBSTITUTE(SUBSTITUTE(SUBSTITUTE("vpa"&amp;$B1941&amp;$C1941&amp;$D1941&amp;$E1941,".","_"),"(","_"),")","")</f>
        <v>vpa901_5_2</v>
      </c>
      <c r="AM1941" s="1352">
        <f>M1941</f>
        <v>3</v>
      </c>
      <c r="AN1941" s="1352" t="str">
        <f>SUBSTITUTE(SUBSTITUTE(SUBSTITUTE("vpc"&amp;$B1941&amp;$C1941&amp;$D1941&amp;$E1941,".","_"),"(","_"),")","")</f>
        <v>vpc901_5_2</v>
      </c>
      <c r="AO1941" s="1352">
        <f>O1941</f>
        <v>0</v>
      </c>
      <c r="AP1941" s="1352" t="str">
        <f>SUBSTITUTE(SUBSTITUTE(SUBSTITUTE("vch"&amp;$B1941&amp;$C1941&amp;$D1941&amp;$E1941,".","_"),"(","_"),")","")</f>
        <v>vch901_5_2</v>
      </c>
      <c r="AQ1941" s="1352" t="str">
        <f>IF(LEN(W1941)=0,"",W1941)</f>
        <v/>
      </c>
      <c r="AR1941" s="1352" t="str">
        <f>SUBSTITUTE(SUBSTITUTE(SUBSTITUTE("vnt"&amp;$B1941&amp;$C1941&amp;$D1941&amp;$E1941,".","_"),"(","_"),")","")</f>
        <v>vnt901_5_2</v>
      </c>
      <c r="AS1941" s="1352" t="str">
        <f>IF(LEN(X1941)=0,"",X1941)</f>
        <v/>
      </c>
      <c r="AT1941" s="538"/>
      <c r="AU1941" s="538"/>
      <c r="AV1941" s="538"/>
      <c r="AW1941" s="538"/>
      <c r="AX1941" s="538"/>
      <c r="AY1941" s="538"/>
      <c r="AZ1941" s="538"/>
      <c r="BA1941" s="538"/>
      <c r="BB1941" s="538"/>
      <c r="BC1941" s="538"/>
      <c r="BD1941" s="538"/>
      <c r="BE1941" s="538"/>
      <c r="BF1941" s="538"/>
      <c r="BG1941" s="538"/>
      <c r="BH1941" s="538"/>
    </row>
    <row r="1942" spans="1:60" x14ac:dyDescent="0.2">
      <c r="A1942" s="1507">
        <v>9</v>
      </c>
      <c r="B1942" s="1516">
        <v>901.5</v>
      </c>
      <c r="C1942" s="1511" t="s">
        <v>255</v>
      </c>
      <c r="D1942" s="1511"/>
      <c r="E1942" s="1511"/>
      <c r="F1942" s="1511"/>
      <c r="G1942" s="1509" t="str">
        <f>G1941</f>
        <v/>
      </c>
      <c r="H1942" s="1510" t="s">
        <v>3199</v>
      </c>
      <c r="I1942" s="406"/>
      <c r="J1942" s="129"/>
      <c r="K1942" s="129"/>
      <c r="L1942" s="1609"/>
      <c r="M1942" s="1623"/>
      <c r="N1942" s="1619"/>
      <c r="O1942" s="1619"/>
      <c r="P1942" s="96"/>
      <c r="Q1942" s="96"/>
      <c r="R1942" s="96"/>
      <c r="S1942" s="96"/>
      <c r="T1942" s="96"/>
      <c r="U1942" s="96"/>
      <c r="V1942" s="96"/>
      <c r="W1942" s="96"/>
      <c r="X1942" s="1601"/>
      <c r="Y1942" s="1881"/>
      <c r="Z1942" s="1891"/>
      <c r="AB1942" s="538"/>
      <c r="AC1942" s="538"/>
      <c r="AD1942" s="538"/>
      <c r="AE1942" s="538"/>
      <c r="AF1942" s="538"/>
      <c r="AG1942" s="538"/>
      <c r="AH1942" s="538"/>
      <c r="AI1942" s="538"/>
      <c r="AJ1942" s="538"/>
      <c r="AK1942" s="538"/>
      <c r="AL1942" s="1352"/>
      <c r="AM1942" s="1352"/>
      <c r="AN1942" s="1352"/>
      <c r="AO1942" s="1352"/>
      <c r="AP1942" s="1352"/>
      <c r="AQ1942" s="1352"/>
      <c r="AR1942" s="1352"/>
      <c r="AS1942" s="1352"/>
      <c r="AT1942" s="538"/>
      <c r="AU1942" s="538"/>
      <c r="AV1942" s="538"/>
      <c r="AW1942" s="538"/>
      <c r="AX1942" s="538"/>
      <c r="AY1942" s="538"/>
      <c r="AZ1942" s="538"/>
      <c r="BA1942" s="538"/>
      <c r="BB1942" s="538"/>
      <c r="BC1942" s="538"/>
      <c r="BD1942" s="538"/>
      <c r="BE1942" s="538"/>
      <c r="BF1942" s="538"/>
      <c r="BG1942" s="538"/>
      <c r="BH1942" s="538"/>
    </row>
    <row r="1943" spans="1:60" ht="16" thickBot="1" x14ac:dyDescent="0.25">
      <c r="A1943" s="1507">
        <v>9</v>
      </c>
      <c r="B1943" s="1516">
        <v>901.5</v>
      </c>
      <c r="C1943" s="1511"/>
      <c r="D1943" s="1511"/>
      <c r="E1943" s="1511"/>
      <c r="F1943" s="1511"/>
      <c r="G1943" s="1509" t="str">
        <f>G1942</f>
        <v/>
      </c>
      <c r="H1943" s="1510" t="s">
        <v>3199</v>
      </c>
      <c r="I1943" s="407"/>
      <c r="J1943" s="239"/>
      <c r="K1943" s="239"/>
      <c r="L1943" s="1610"/>
      <c r="M1943" s="1627"/>
      <c r="N1943" s="1638"/>
      <c r="O1943" s="1638"/>
      <c r="P1943" s="100"/>
      <c r="Q1943" s="100"/>
      <c r="R1943" s="100"/>
      <c r="S1943" s="100"/>
      <c r="T1943" s="100"/>
      <c r="U1943" s="100"/>
      <c r="V1943" s="100"/>
      <c r="W1943" s="100"/>
      <c r="X1943" s="1602"/>
      <c r="Y1943" s="1882"/>
      <c r="Z1943" s="1892"/>
      <c r="AB1943" s="538"/>
      <c r="AC1943" s="538"/>
      <c r="AD1943" s="538"/>
      <c r="AE1943" s="538"/>
      <c r="AF1943" s="538"/>
      <c r="AG1943" s="538"/>
      <c r="AH1943" s="538"/>
      <c r="AI1943" s="538"/>
      <c r="AJ1943" s="538"/>
      <c r="AK1943" s="538"/>
      <c r="AL1943" s="1352"/>
      <c r="AM1943" s="1352"/>
      <c r="AN1943" s="1352"/>
      <c r="AO1943" s="1352"/>
      <c r="AP1943" s="1352"/>
      <c r="AQ1943" s="1352"/>
      <c r="AR1943" s="1352"/>
      <c r="AS1943" s="1352"/>
      <c r="AT1943" s="538"/>
      <c r="AU1943" s="538"/>
      <c r="AV1943" s="538"/>
      <c r="AW1943" s="538"/>
      <c r="AX1943" s="538"/>
      <c r="AY1943" s="538"/>
      <c r="AZ1943" s="538"/>
      <c r="BA1943" s="538"/>
      <c r="BB1943" s="538"/>
      <c r="BC1943" s="538"/>
      <c r="BD1943" s="538"/>
      <c r="BE1943" s="538"/>
      <c r="BF1943" s="538"/>
      <c r="BG1943" s="538"/>
      <c r="BH1943" s="538"/>
    </row>
    <row r="1944" spans="1:60" ht="16" thickTop="1" x14ac:dyDescent="0.2">
      <c r="A1944" s="1507">
        <v>9</v>
      </c>
      <c r="B1944" s="1516">
        <v>901.6</v>
      </c>
      <c r="C1944" s="1511"/>
      <c r="D1944" s="1511"/>
      <c r="E1944" s="1511"/>
      <c r="F1944" s="1511"/>
      <c r="G1944" s="1509" t="str">
        <f>IF(IFERROR(SEARCH("Mandatory",M1944),FALSE),"P","")</f>
        <v>P</v>
      </c>
      <c r="H1944" s="1510" t="s">
        <v>3199</v>
      </c>
      <c r="I1944" s="177" t="s">
        <v>3674</v>
      </c>
      <c r="J1944" s="178"/>
      <c r="K1944" s="178"/>
      <c r="L1944" s="1683" t="s">
        <v>3738</v>
      </c>
      <c r="M1944" s="1701" t="str">
        <f>IF(R1944,"Mandatory","N/A")</f>
        <v>Mandatory</v>
      </c>
      <c r="N1944" s="548"/>
      <c r="O1944" s="548"/>
      <c r="P1944" s="96" t="b">
        <v>0</v>
      </c>
      <c r="Q1944" s="96" t="b">
        <v>1</v>
      </c>
      <c r="R1944" s="106" t="b">
        <f>S1944</f>
        <v>1</v>
      </c>
      <c r="S1944" s="106" t="b">
        <v>1</v>
      </c>
      <c r="T1944" s="106" t="b">
        <v>0</v>
      </c>
      <c r="U1944" s="106"/>
      <c r="V1944" s="106"/>
      <c r="W1944" s="27" t="b">
        <v>1</v>
      </c>
      <c r="X1944" s="1603"/>
      <c r="Y1944" s="1877" t="str">
        <f>IF(LEN('11.900'!X97)=0,"None",'11.900'!X97)</f>
        <v>None</v>
      </c>
      <c r="Z1944" s="1880"/>
      <c r="AB1944" s="538"/>
      <c r="AC1944" s="538" t="b">
        <f>OR(AD1944:AE1944)</f>
        <v>0</v>
      </c>
      <c r="AD1944" s="538" t="b">
        <f>T1944</f>
        <v>0</v>
      </c>
      <c r="AE1944" s="538" t="b">
        <f>AND(R1944,NOT(W1944))</f>
        <v>0</v>
      </c>
      <c r="AF1944" s="720"/>
      <c r="AG1944" s="538"/>
      <c r="AH1944" s="538"/>
      <c r="AI1944" s="538"/>
      <c r="AJ1944" s="538"/>
      <c r="AK1944" s="538"/>
      <c r="AL1944" s="1352" t="str">
        <f>SUBSTITUTE(SUBSTITUTE(SUBSTITUTE("vpa"&amp;$B1944&amp;$C1944&amp;$D1944&amp;$E1944,".","_"),"(","_"),")","")</f>
        <v>vpa901_6</v>
      </c>
      <c r="AM1944" s="1352" t="str">
        <f>M1944</f>
        <v>Mandatory</v>
      </c>
      <c r="AN1944" s="1352"/>
      <c r="AO1944" s="1352"/>
      <c r="AP1944" s="1352" t="str">
        <f>SUBSTITUTE(SUBSTITUTE(SUBSTITUTE("vch"&amp;$B1944&amp;$C1944&amp;$D1944&amp;$E1944,".","_"),"(","_"),")","")</f>
        <v>vch901_6</v>
      </c>
      <c r="AQ1944" s="1352" t="b">
        <f>IF(LEN(W1944)=0,"",W1944)</f>
        <v>1</v>
      </c>
      <c r="AR1944" s="1352" t="str">
        <f>SUBSTITUTE(SUBSTITUTE(SUBSTITUTE("vnt"&amp;$B1944&amp;$C1944&amp;$D1944&amp;$E1944,".","_"),"(","_"),")","")</f>
        <v>vnt901_6</v>
      </c>
      <c r="AS1944" s="1352" t="str">
        <f>IF(LEN(X1944)=0,"",X1944)</f>
        <v/>
      </c>
      <c r="AT1944" s="538"/>
      <c r="AU1944" s="538"/>
      <c r="AV1944" s="538"/>
      <c r="AW1944" s="538"/>
      <c r="AX1944" s="538"/>
      <c r="AY1944" s="538"/>
      <c r="AZ1944" s="538"/>
      <c r="BA1944" s="538"/>
      <c r="BB1944" s="538"/>
      <c r="BC1944" s="538"/>
      <c r="BD1944" s="538"/>
      <c r="BE1944" s="538"/>
      <c r="BF1944" s="538"/>
      <c r="BG1944" s="538"/>
      <c r="BH1944" s="538"/>
    </row>
    <row r="1945" spans="1:60" ht="16" thickBot="1" x14ac:dyDescent="0.25">
      <c r="A1945" s="1507">
        <v>9</v>
      </c>
      <c r="B1945" s="1516">
        <v>901.6</v>
      </c>
      <c r="C1945" s="1511"/>
      <c r="D1945" s="1511"/>
      <c r="E1945" s="1511"/>
      <c r="F1945" s="1511"/>
      <c r="G1945" s="1509" t="str">
        <f>G1944</f>
        <v>P</v>
      </c>
      <c r="H1945" s="1510" t="s">
        <v>3199</v>
      </c>
      <c r="I1945" s="407"/>
      <c r="J1945" s="239"/>
      <c r="K1945" s="239"/>
      <c r="L1945" s="1630"/>
      <c r="M1945" s="1726"/>
      <c r="N1945" s="547"/>
      <c r="O1945" s="547"/>
      <c r="P1945" s="100"/>
      <c r="Q1945" s="100"/>
      <c r="R1945" s="100"/>
      <c r="S1945" s="100"/>
      <c r="T1945" s="100"/>
      <c r="U1945" s="100"/>
      <c r="V1945" s="100"/>
      <c r="W1945" s="100"/>
      <c r="X1945" s="1602"/>
      <c r="Y1945" s="1882"/>
      <c r="Z1945" s="1892"/>
      <c r="AB1945" s="538"/>
      <c r="AC1945" s="538"/>
      <c r="AD1945" s="538"/>
      <c r="AE1945" s="538"/>
      <c r="AF1945" s="538"/>
      <c r="AG1945" s="538"/>
      <c r="AH1945" s="538"/>
      <c r="AI1945" s="538"/>
      <c r="AJ1945" s="538"/>
      <c r="AK1945" s="538"/>
      <c r="AL1945" s="1352"/>
      <c r="AM1945" s="1352"/>
      <c r="AN1945" s="1352"/>
      <c r="AO1945" s="1352"/>
      <c r="AP1945" s="1352"/>
      <c r="AQ1945" s="1352"/>
      <c r="AR1945" s="1352"/>
      <c r="AS1945" s="1352"/>
      <c r="AT1945" s="538"/>
      <c r="AU1945" s="538"/>
      <c r="AV1945" s="538"/>
      <c r="AW1945" s="538"/>
      <c r="AX1945" s="538"/>
      <c r="AY1945" s="538"/>
      <c r="AZ1945" s="538"/>
      <c r="BA1945" s="538"/>
      <c r="BB1945" s="538"/>
      <c r="BC1945" s="538"/>
      <c r="BD1945" s="538"/>
      <c r="BE1945" s="538"/>
      <c r="BF1945" s="538"/>
      <c r="BG1945" s="538"/>
      <c r="BH1945" s="538"/>
    </row>
    <row r="1946" spans="1:60" ht="16" thickTop="1" x14ac:dyDescent="0.2">
      <c r="A1946" s="1507">
        <v>9</v>
      </c>
      <c r="B1946" s="1516">
        <v>901.7</v>
      </c>
      <c r="C1946" s="1511"/>
      <c r="D1946" s="1511"/>
      <c r="E1946" s="1511"/>
      <c r="F1946" s="1511"/>
      <c r="G1946" s="1509" t="str">
        <f>IF(N1946&gt;0,"P","")</f>
        <v>P</v>
      </c>
      <c r="H1946" s="1510" t="s">
        <v>3199</v>
      </c>
      <c r="I1946" s="67" t="s">
        <v>3675</v>
      </c>
      <c r="J1946" s="4"/>
      <c r="K1946" s="4"/>
      <c r="L1946" s="1631" t="s">
        <v>3737</v>
      </c>
      <c r="M1946" s="1715" t="s">
        <v>2848</v>
      </c>
      <c r="N1946" s="1669">
        <f>'11.900'!O99</f>
        <v>5</v>
      </c>
      <c r="O1946" s="1669">
        <f>MIN(8,ROUNDDOWN(W1953/0.1,0)+ROUNDDOWN(W1964/0.1,0)+ROUNDDOWN(W1965*1.33/0.1,0))</f>
        <v>5</v>
      </c>
      <c r="P1946" s="538"/>
      <c r="Q1946" s="538"/>
      <c r="R1946" s="538"/>
      <c r="S1946" s="538"/>
      <c r="T1946" s="538"/>
      <c r="U1946" s="538"/>
      <c r="V1946" s="538"/>
      <c r="W1946" s="538"/>
      <c r="X1946" s="538"/>
      <c r="Y1946" s="538"/>
      <c r="Z1946" s="670"/>
      <c r="AB1946" s="538"/>
      <c r="AC1946" s="538"/>
      <c r="AD1946" s="538"/>
      <c r="AE1946" s="538"/>
      <c r="AF1946" s="538"/>
      <c r="AG1946" s="538"/>
      <c r="AH1946" s="538"/>
      <c r="AI1946" s="538"/>
      <c r="AJ1946" s="538"/>
      <c r="AK1946" s="538"/>
      <c r="AL1946" s="1352" t="str">
        <f>SUBSTITUTE(SUBSTITUTE(SUBSTITUTE("vpa"&amp;$B1946&amp;$C1946&amp;$D1946&amp;$E1946,".","_"),"(","_"),")","")</f>
        <v>vpa901_7</v>
      </c>
      <c r="AM1946" s="1352" t="str">
        <f>M1946</f>
        <v>1
8 Max</v>
      </c>
      <c r="AN1946" s="1352" t="str">
        <f>SUBSTITUTE(SUBSTITUTE(SUBSTITUTE("vpc"&amp;$B1946&amp;$C1946&amp;$D1946&amp;$E1946,".","_"),"(","_"),")","")</f>
        <v>vpc901_7</v>
      </c>
      <c r="AO1946" s="1352">
        <f>O1946</f>
        <v>5</v>
      </c>
      <c r="AP1946" s="1352"/>
      <c r="AQ1946" s="1352"/>
      <c r="AR1946" s="1352"/>
      <c r="AS1946" s="1352"/>
      <c r="AT1946" s="538"/>
      <c r="AU1946" s="538"/>
      <c r="AV1946" s="538"/>
      <c r="AW1946" s="538"/>
      <c r="AX1946" s="538"/>
      <c r="AY1946" s="538"/>
      <c r="AZ1946" s="538"/>
      <c r="BA1946" s="538"/>
      <c r="BB1946" s="538"/>
      <c r="BC1946" s="538"/>
      <c r="BD1946" s="538"/>
      <c r="BE1946" s="538"/>
      <c r="BF1946" s="538"/>
      <c r="BG1946" s="538"/>
      <c r="BH1946" s="538"/>
    </row>
    <row r="1947" spans="1:60" x14ac:dyDescent="0.2">
      <c r="A1947" s="1507">
        <v>9</v>
      </c>
      <c r="B1947" s="1516">
        <v>901.7</v>
      </c>
      <c r="C1947" s="1511"/>
      <c r="D1947" s="1511"/>
      <c r="E1947" s="1511"/>
      <c r="F1947" s="1511"/>
      <c r="G1947" s="1509" t="str">
        <f t="shared" ref="G1947:G1967" si="135">G1946</f>
        <v>P</v>
      </c>
      <c r="H1947" s="1510" t="s">
        <v>3199</v>
      </c>
      <c r="I1947" s="161"/>
      <c r="J1947" s="4"/>
      <c r="K1947" s="4"/>
      <c r="L1947" s="1631"/>
      <c r="M1947" s="1715"/>
      <c r="N1947" s="1669"/>
      <c r="O1947" s="1669"/>
      <c r="P1947" s="538"/>
      <c r="Q1947" s="538"/>
      <c r="R1947" s="538"/>
      <c r="S1947" s="538"/>
      <c r="T1947" s="538"/>
      <c r="U1947" s="538"/>
      <c r="V1947" s="538"/>
      <c r="W1947" s="538"/>
      <c r="X1947" s="538"/>
      <c r="Y1947" s="538"/>
      <c r="Z1947" s="670"/>
      <c r="AB1947" s="538"/>
      <c r="AC1947" s="538"/>
      <c r="AD1947" s="538"/>
      <c r="AE1947" s="538"/>
      <c r="AF1947" s="538"/>
      <c r="AG1947" s="538"/>
      <c r="AH1947" s="538"/>
      <c r="AI1947" s="538"/>
      <c r="AJ1947" s="538"/>
      <c r="AK1947" s="538"/>
      <c r="AL1947" s="1352"/>
      <c r="AM1947" s="1352"/>
      <c r="AN1947" s="1352"/>
      <c r="AO1947" s="1352"/>
      <c r="AP1947" s="1352"/>
      <c r="AQ1947" s="1352"/>
      <c r="AR1947" s="1352"/>
      <c r="AS1947" s="1352"/>
      <c r="AT1947" s="538"/>
      <c r="AU1947" s="538"/>
      <c r="AV1947" s="538"/>
      <c r="AW1947" s="538"/>
      <c r="AX1947" s="538"/>
      <c r="AY1947" s="538"/>
      <c r="AZ1947" s="538"/>
      <c r="BA1947" s="538"/>
      <c r="BB1947" s="538"/>
      <c r="BC1947" s="538"/>
      <c r="BD1947" s="538"/>
      <c r="BE1947" s="538"/>
      <c r="BF1947" s="538"/>
      <c r="BG1947" s="538"/>
      <c r="BH1947" s="538"/>
    </row>
    <row r="1948" spans="1:60" x14ac:dyDescent="0.2">
      <c r="A1948" s="1507">
        <v>9</v>
      </c>
      <c r="B1948" s="1516">
        <v>901.7</v>
      </c>
      <c r="C1948" s="1511"/>
      <c r="D1948" s="1511"/>
      <c r="E1948" s="1511"/>
      <c r="F1948" s="1511"/>
      <c r="G1948" s="1509" t="str">
        <f t="shared" si="135"/>
        <v>P</v>
      </c>
      <c r="H1948" s="1510" t="s">
        <v>3199</v>
      </c>
      <c r="I1948" s="161"/>
      <c r="J1948" s="4"/>
      <c r="K1948" s="4"/>
      <c r="L1948" s="1631"/>
      <c r="M1948" s="1715"/>
      <c r="N1948" s="1669"/>
      <c r="O1948" s="1669"/>
      <c r="P1948" s="538"/>
      <c r="Q1948" s="538"/>
      <c r="R1948" s="538"/>
      <c r="S1948" s="538"/>
      <c r="T1948" s="538"/>
      <c r="U1948" s="538"/>
      <c r="V1948" s="538"/>
      <c r="W1948" s="538"/>
      <c r="X1948" s="538"/>
      <c r="Y1948" s="538"/>
      <c r="Z1948" s="670"/>
      <c r="AB1948" s="538"/>
      <c r="AC1948" s="538"/>
      <c r="AD1948" s="538"/>
      <c r="AE1948" s="538"/>
      <c r="AF1948" s="538"/>
      <c r="AG1948" s="538"/>
      <c r="AH1948" s="538"/>
      <c r="AI1948" s="538"/>
      <c r="AJ1948" s="538"/>
      <c r="AK1948" s="538"/>
      <c r="AL1948" s="1352"/>
      <c r="AM1948" s="1352"/>
      <c r="AN1948" s="1352"/>
      <c r="AO1948" s="1352"/>
      <c r="AP1948" s="1352"/>
      <c r="AQ1948" s="1352"/>
      <c r="AR1948" s="1352"/>
      <c r="AS1948" s="1352"/>
      <c r="AT1948" s="538"/>
      <c r="AU1948" s="538"/>
      <c r="AV1948" s="538"/>
      <c r="AW1948" s="538"/>
      <c r="AX1948" s="538"/>
      <c r="AY1948" s="538"/>
      <c r="AZ1948" s="538"/>
      <c r="BA1948" s="538"/>
      <c r="BB1948" s="538"/>
      <c r="BC1948" s="538"/>
      <c r="BD1948" s="538"/>
      <c r="BE1948" s="538"/>
      <c r="BF1948" s="538"/>
      <c r="BG1948" s="538"/>
      <c r="BH1948" s="538"/>
    </row>
    <row r="1949" spans="1:60" x14ac:dyDescent="0.2">
      <c r="A1949" s="1507">
        <v>9</v>
      </c>
      <c r="B1949" s="1516">
        <v>901.7</v>
      </c>
      <c r="C1949" s="1511"/>
      <c r="D1949" s="1511"/>
      <c r="E1949" s="1511"/>
      <c r="F1949" s="1511"/>
      <c r="G1949" s="1509" t="str">
        <f t="shared" si="135"/>
        <v>P</v>
      </c>
      <c r="H1949" s="1510" t="s">
        <v>3199</v>
      </c>
      <c r="I1949" s="161"/>
      <c r="J1949" s="4"/>
      <c r="K1949" s="4"/>
      <c r="L1949" s="1631"/>
      <c r="M1949" s="1715"/>
      <c r="N1949" s="1669"/>
      <c r="O1949" s="1669"/>
      <c r="P1949" s="538"/>
      <c r="Q1949" s="538"/>
      <c r="R1949" s="538"/>
      <c r="S1949" s="538"/>
      <c r="T1949" s="538"/>
      <c r="U1949" s="538"/>
      <c r="V1949" s="538"/>
      <c r="W1949" s="538"/>
      <c r="X1949" s="538"/>
      <c r="Y1949" s="538"/>
      <c r="Z1949" s="670"/>
      <c r="AB1949" s="538"/>
      <c r="AC1949" s="538"/>
      <c r="AD1949" s="538"/>
      <c r="AE1949" s="538"/>
      <c r="AF1949" s="538"/>
      <c r="AG1949" s="538"/>
      <c r="AH1949" s="538"/>
      <c r="AI1949" s="538"/>
      <c r="AJ1949" s="538"/>
      <c r="AK1949" s="538"/>
      <c r="AL1949" s="1352"/>
      <c r="AM1949" s="1352"/>
      <c r="AN1949" s="1352"/>
      <c r="AO1949" s="1352"/>
      <c r="AP1949" s="1352"/>
      <c r="AQ1949" s="1352"/>
      <c r="AR1949" s="1352"/>
      <c r="AS1949" s="1352"/>
      <c r="AT1949" s="538"/>
      <c r="AU1949" s="538"/>
      <c r="AV1949" s="538"/>
      <c r="AW1949" s="538"/>
      <c r="AX1949" s="538"/>
      <c r="AY1949" s="538"/>
      <c r="AZ1949" s="538"/>
      <c r="BA1949" s="538"/>
      <c r="BB1949" s="538"/>
      <c r="BC1949" s="538"/>
      <c r="BD1949" s="538"/>
      <c r="BE1949" s="538"/>
      <c r="BF1949" s="538"/>
      <c r="BG1949" s="538"/>
      <c r="BH1949" s="538"/>
    </row>
    <row r="1950" spans="1:60" x14ac:dyDescent="0.2">
      <c r="A1950" s="1507">
        <v>9</v>
      </c>
      <c r="B1950" s="1516">
        <v>901.7</v>
      </c>
      <c r="C1950" s="1511"/>
      <c r="D1950" s="1511"/>
      <c r="E1950" s="1511"/>
      <c r="F1950" s="1511"/>
      <c r="G1950" s="1509" t="str">
        <f t="shared" si="135"/>
        <v>P</v>
      </c>
      <c r="H1950" s="1510" t="s">
        <v>3199</v>
      </c>
      <c r="I1950" s="161"/>
      <c r="J1950" s="4"/>
      <c r="K1950" s="4"/>
      <c r="L1950" s="1631"/>
      <c r="M1950" s="1715"/>
      <c r="N1950" s="1669"/>
      <c r="O1950" s="1669"/>
      <c r="P1950" s="538"/>
      <c r="Q1950" s="538"/>
      <c r="R1950" s="538"/>
      <c r="S1950" s="538"/>
      <c r="T1950" s="538"/>
      <c r="U1950" s="538"/>
      <c r="V1950" s="538"/>
      <c r="W1950" s="538"/>
      <c r="X1950" s="538"/>
      <c r="Y1950" s="538"/>
      <c r="Z1950" s="670"/>
      <c r="AB1950" s="538"/>
      <c r="AC1950" s="538"/>
      <c r="AD1950" s="538"/>
      <c r="AE1950" s="538"/>
      <c r="AF1950" s="538"/>
      <c r="AG1950" s="538"/>
      <c r="AH1950" s="538"/>
      <c r="AI1950" s="538"/>
      <c r="AJ1950" s="538"/>
      <c r="AK1950" s="538"/>
      <c r="AL1950" s="1352"/>
      <c r="AM1950" s="1352"/>
      <c r="AN1950" s="1352"/>
      <c r="AO1950" s="1352"/>
      <c r="AP1950" s="1352"/>
      <c r="AQ1950" s="1352"/>
      <c r="AR1950" s="1352"/>
      <c r="AS1950" s="1352"/>
      <c r="AT1950" s="538"/>
      <c r="AU1950" s="538"/>
      <c r="AV1950" s="538"/>
      <c r="AW1950" s="538"/>
      <c r="AX1950" s="538"/>
      <c r="AY1950" s="538"/>
      <c r="AZ1950" s="538"/>
      <c r="BA1950" s="538"/>
      <c r="BB1950" s="538"/>
      <c r="BC1950" s="538"/>
      <c r="BD1950" s="538"/>
      <c r="BE1950" s="538"/>
      <c r="BF1950" s="538"/>
      <c r="BG1950" s="538"/>
      <c r="BH1950" s="538"/>
    </row>
    <row r="1951" spans="1:60" x14ac:dyDescent="0.2">
      <c r="A1951" s="1507">
        <v>9</v>
      </c>
      <c r="B1951" s="1516">
        <v>901.7</v>
      </c>
      <c r="C1951" s="1511"/>
      <c r="D1951" s="1511"/>
      <c r="E1951" s="1511"/>
      <c r="F1951" s="1511"/>
      <c r="G1951" s="1509" t="str">
        <f t="shared" si="135"/>
        <v>P</v>
      </c>
      <c r="H1951" s="1510" t="s">
        <v>3199</v>
      </c>
      <c r="I1951" s="161"/>
      <c r="J1951" s="4"/>
      <c r="K1951" s="4"/>
      <c r="L1951" s="1707" t="s">
        <v>2714</v>
      </c>
      <c r="M1951" s="1715"/>
      <c r="N1951" s="1669"/>
      <c r="O1951" s="1669"/>
      <c r="P1951" s="538"/>
      <c r="Q1951" s="538"/>
      <c r="R1951" s="538"/>
      <c r="S1951" s="538"/>
      <c r="T1951" s="538"/>
      <c r="U1951" s="538"/>
      <c r="V1951" s="538"/>
      <c r="W1951" s="538"/>
      <c r="X1951" s="538"/>
      <c r="Y1951" s="538"/>
      <c r="Z1951" s="670"/>
      <c r="AB1951" s="538"/>
      <c r="AC1951" s="538"/>
      <c r="AD1951" s="538"/>
      <c r="AE1951" s="538"/>
      <c r="AF1951" s="538"/>
      <c r="AG1951" s="538"/>
      <c r="AH1951" s="538"/>
      <c r="AI1951" s="538"/>
      <c r="AJ1951" s="538"/>
      <c r="AK1951" s="538"/>
      <c r="AL1951" s="1352"/>
      <c r="AM1951" s="1352"/>
      <c r="AN1951" s="1352"/>
      <c r="AO1951" s="1352"/>
      <c r="AP1951" s="1352"/>
      <c r="AQ1951" s="1352"/>
      <c r="AR1951" s="1352"/>
      <c r="AS1951" s="1352"/>
      <c r="AT1951" s="538"/>
      <c r="AU1951" s="538"/>
      <c r="AV1951" s="538"/>
      <c r="AW1951" s="538"/>
      <c r="AX1951" s="538"/>
      <c r="AY1951" s="538"/>
      <c r="AZ1951" s="538"/>
      <c r="BA1951" s="538"/>
      <c r="BB1951" s="538"/>
      <c r="BC1951" s="538"/>
      <c r="BD1951" s="538"/>
      <c r="BE1951" s="538"/>
      <c r="BF1951" s="538"/>
      <c r="BG1951" s="538"/>
      <c r="BH1951" s="538"/>
    </row>
    <row r="1952" spans="1:60" x14ac:dyDescent="0.2">
      <c r="A1952" s="1507">
        <v>9</v>
      </c>
      <c r="B1952" s="1516">
        <v>901.7</v>
      </c>
      <c r="C1952" s="1511"/>
      <c r="D1952" s="1511"/>
      <c r="E1952" s="1511"/>
      <c r="F1952" s="1511"/>
      <c r="G1952" s="1509" t="str">
        <f t="shared" si="135"/>
        <v>P</v>
      </c>
      <c r="H1952" s="1510" t="s">
        <v>3199</v>
      </c>
      <c r="I1952" s="161"/>
      <c r="J1952" s="4"/>
      <c r="K1952" s="4"/>
      <c r="L1952" s="1707"/>
      <c r="M1952" s="1715"/>
      <c r="N1952" s="1669"/>
      <c r="O1952" s="1669"/>
      <c r="P1952" s="538"/>
      <c r="Q1952" s="538"/>
      <c r="R1952" s="538"/>
      <c r="S1952" s="538"/>
      <c r="T1952" s="538"/>
      <c r="U1952" s="538"/>
      <c r="V1952" s="538"/>
      <c r="W1952" s="538" t="s">
        <v>2937</v>
      </c>
      <c r="X1952" s="538"/>
      <c r="Y1952" s="538"/>
      <c r="Z1952" s="670"/>
      <c r="AB1952" s="538"/>
      <c r="AC1952" s="538"/>
      <c r="AD1952" s="538"/>
      <c r="AE1952" s="538"/>
      <c r="AF1952" s="538"/>
      <c r="AG1952" s="538"/>
      <c r="AH1952" s="538"/>
      <c r="AI1952" s="538"/>
      <c r="AJ1952" s="538"/>
      <c r="AK1952" s="538"/>
      <c r="AL1952" s="1352"/>
      <c r="AM1952" s="1352"/>
      <c r="AN1952" s="1352"/>
      <c r="AO1952" s="1352"/>
      <c r="AP1952" s="1352"/>
      <c r="AQ1952" s="1352"/>
      <c r="AR1952" s="1352"/>
      <c r="AS1952" s="1352"/>
      <c r="AT1952" s="538"/>
      <c r="AU1952" s="538"/>
      <c r="AV1952" s="538"/>
      <c r="AW1952" s="538"/>
      <c r="AX1952" s="538"/>
      <c r="AY1952" s="538"/>
      <c r="AZ1952" s="538"/>
      <c r="BA1952" s="538"/>
      <c r="BB1952" s="538"/>
      <c r="BC1952" s="538"/>
      <c r="BD1952" s="538"/>
      <c r="BE1952" s="538"/>
      <c r="BF1952" s="538"/>
      <c r="BG1952" s="538"/>
      <c r="BH1952" s="538"/>
    </row>
    <row r="1953" spans="1:60" x14ac:dyDescent="0.2">
      <c r="A1953" s="1507">
        <v>9</v>
      </c>
      <c r="B1953" s="1516">
        <v>901.7</v>
      </c>
      <c r="C1953" s="1511" t="s">
        <v>254</v>
      </c>
      <c r="D1953" s="1524"/>
      <c r="E1953" s="1524"/>
      <c r="F1953" s="1524"/>
      <c r="G1953" s="1509" t="str">
        <f t="shared" si="135"/>
        <v>P</v>
      </c>
      <c r="H1953" s="1527" t="s">
        <v>3199</v>
      </c>
      <c r="I1953" s="161"/>
      <c r="J1953" s="29" t="s">
        <v>254</v>
      </c>
      <c r="K1953" s="4"/>
      <c r="L1953" s="1611" t="s">
        <v>2715</v>
      </c>
      <c r="M1953" s="554"/>
      <c r="N1953" s="540"/>
      <c r="O1953" s="540"/>
      <c r="P1953" s="96" t="b">
        <v>0</v>
      </c>
      <c r="Q1953" s="96" t="b">
        <v>1</v>
      </c>
      <c r="R1953" s="538" t="b">
        <v>0</v>
      </c>
      <c r="S1953" s="538" t="b">
        <v>1</v>
      </c>
      <c r="T1953" s="538" t="b">
        <f>SUM(W1953,W1964,W1965)&gt;1</f>
        <v>0</v>
      </c>
      <c r="U1953" s="538"/>
      <c r="V1953" s="538"/>
      <c r="W1953" s="413">
        <v>0.5</v>
      </c>
      <c r="X1953" s="1600"/>
      <c r="Y1953" s="1874" t="str">
        <f>IF(LEN('11.900'!X106)=0,"None",'11.900'!X106)</f>
        <v>None</v>
      </c>
      <c r="Z1953" s="1889"/>
      <c r="AB1953" s="538"/>
      <c r="AC1953" s="538" t="b">
        <f>OR(AD1953:AE1953)</f>
        <v>0</v>
      </c>
      <c r="AD1953" s="538" t="b">
        <f>T1953</f>
        <v>0</v>
      </c>
      <c r="AE1953" s="538"/>
      <c r="AF1953" s="720"/>
      <c r="AG1953" s="538"/>
      <c r="AH1953" s="538"/>
      <c r="AI1953" s="538"/>
      <c r="AJ1953" s="538"/>
      <c r="AK1953" s="538"/>
      <c r="AL1953" s="1352"/>
      <c r="AM1953" s="1352"/>
      <c r="AN1953" s="1352"/>
      <c r="AO1953" s="1352"/>
      <c r="AP1953" s="1352" t="str">
        <f>SUBSTITUTE(SUBSTITUTE(SUBSTITUTE("vch"&amp;$B1953&amp;$C1953&amp;$D1953&amp;$E1953,".","_"),"(","_"),")","")</f>
        <v>vch901_7_1</v>
      </c>
      <c r="AQ1953" s="1352">
        <f>IF(LEN(W1953)=0,"",W1953)</f>
        <v>0.5</v>
      </c>
      <c r="AR1953" s="1352" t="str">
        <f>SUBSTITUTE(SUBSTITUTE(SUBSTITUTE("vnt"&amp;$B1953&amp;$C1953&amp;$D1953&amp;$E1953,".","_"),"(","_"),")","")</f>
        <v>vnt901_7_1</v>
      </c>
      <c r="AS1953" s="1352" t="str">
        <f>IF(LEN(X1953)=0,"",X1953)</f>
        <v/>
      </c>
      <c r="AT1953" s="538"/>
      <c r="AU1953" s="538"/>
      <c r="AV1953" s="538"/>
      <c r="AW1953" s="538"/>
      <c r="AX1953" s="538"/>
      <c r="AY1953" s="538"/>
      <c r="AZ1953" s="538"/>
      <c r="BA1953" s="538"/>
      <c r="BB1953" s="538"/>
      <c r="BC1953" s="538"/>
      <c r="BD1953" s="538"/>
      <c r="BE1953" s="538"/>
      <c r="BF1953" s="538"/>
      <c r="BG1953" s="538"/>
      <c r="BH1953" s="538"/>
    </row>
    <row r="1954" spans="1:60" x14ac:dyDescent="0.2">
      <c r="A1954" s="1507">
        <v>9</v>
      </c>
      <c r="B1954" s="1516">
        <v>901.7</v>
      </c>
      <c r="C1954" s="1511" t="s">
        <v>254</v>
      </c>
      <c r="D1954" s="1524"/>
      <c r="E1954" s="1524"/>
      <c r="F1954" s="1524"/>
      <c r="G1954" s="1509" t="str">
        <f t="shared" si="135"/>
        <v>P</v>
      </c>
      <c r="H1954" s="1527" t="s">
        <v>3199</v>
      </c>
      <c r="I1954" s="161"/>
      <c r="J1954" s="4"/>
      <c r="K1954" s="4"/>
      <c r="L1954" s="1611"/>
      <c r="M1954" s="554"/>
      <c r="N1954" s="540"/>
      <c r="O1954" s="540"/>
      <c r="P1954" s="538"/>
      <c r="Q1954" s="538"/>
      <c r="R1954" s="538"/>
      <c r="S1954" s="538"/>
      <c r="T1954" s="538"/>
      <c r="U1954" s="538"/>
      <c r="V1954" s="538"/>
      <c r="W1954" s="538"/>
      <c r="X1954" s="1600"/>
      <c r="Y1954" s="1874"/>
      <c r="Z1954" s="1889"/>
      <c r="AB1954" s="538"/>
      <c r="AC1954" s="538"/>
      <c r="AD1954" s="538"/>
      <c r="AE1954" s="538"/>
      <c r="AF1954" s="538"/>
      <c r="AG1954" s="538"/>
      <c r="AH1954" s="538"/>
      <c r="AI1954" s="538"/>
      <c r="AJ1954" s="538"/>
      <c r="AK1954" s="538"/>
      <c r="AL1954" s="1352"/>
      <c r="AM1954" s="1352"/>
      <c r="AN1954" s="1352"/>
      <c r="AO1954" s="1352"/>
      <c r="AP1954" s="1352"/>
      <c r="AQ1954" s="1352"/>
      <c r="AR1954" s="1352"/>
      <c r="AS1954" s="1352"/>
      <c r="AT1954" s="538"/>
      <c r="AU1954" s="538"/>
      <c r="AV1954" s="538"/>
      <c r="AW1954" s="538"/>
      <c r="AX1954" s="538"/>
      <c r="AY1954" s="538"/>
      <c r="AZ1954" s="538"/>
      <c r="BA1954" s="538"/>
      <c r="BB1954" s="538"/>
      <c r="BC1954" s="538"/>
      <c r="BD1954" s="538"/>
      <c r="BE1954" s="538"/>
      <c r="BF1954" s="538"/>
      <c r="BG1954" s="538"/>
      <c r="BH1954" s="538"/>
    </row>
    <row r="1955" spans="1:60" x14ac:dyDescent="0.2">
      <c r="A1955" s="1507">
        <v>9</v>
      </c>
      <c r="B1955" s="1516">
        <v>901.7</v>
      </c>
      <c r="C1955" s="1511" t="s">
        <v>254</v>
      </c>
      <c r="D1955" s="1524"/>
      <c r="E1955" s="1524"/>
      <c r="F1955" s="1524"/>
      <c r="G1955" s="1509" t="str">
        <f t="shared" si="135"/>
        <v>P</v>
      </c>
      <c r="H1955" s="1527" t="s">
        <v>3199</v>
      </c>
      <c r="I1955" s="161"/>
      <c r="J1955" s="4"/>
      <c r="K1955" s="4"/>
      <c r="L1955" s="1611"/>
      <c r="M1955" s="554"/>
      <c r="N1955" s="540"/>
      <c r="O1955" s="540"/>
      <c r="P1955" s="538"/>
      <c r="Q1955" s="538"/>
      <c r="R1955" s="538"/>
      <c r="S1955" s="538"/>
      <c r="T1955" s="538"/>
      <c r="U1955" s="538"/>
      <c r="V1955" s="538"/>
      <c r="W1955" s="538"/>
      <c r="X1955" s="1600"/>
      <c r="Y1955" s="1874"/>
      <c r="Z1955" s="1889"/>
      <c r="AB1955" s="538"/>
      <c r="AC1955" s="538"/>
      <c r="AD1955" s="538"/>
      <c r="AE1955" s="538"/>
      <c r="AF1955" s="538"/>
      <c r="AG1955" s="538"/>
      <c r="AH1955" s="538"/>
      <c r="AI1955" s="538"/>
      <c r="AJ1955" s="538"/>
      <c r="AK1955" s="538"/>
      <c r="AL1955" s="1352"/>
      <c r="AM1955" s="1352"/>
      <c r="AN1955" s="1352"/>
      <c r="AO1955" s="1352"/>
      <c r="AP1955" s="1352"/>
      <c r="AQ1955" s="1352"/>
      <c r="AR1955" s="1352"/>
      <c r="AS1955" s="1352"/>
      <c r="AT1955" s="538"/>
      <c r="AU1955" s="538"/>
      <c r="AV1955" s="538"/>
      <c r="AW1955" s="538"/>
      <c r="AX1955" s="538"/>
      <c r="AY1955" s="538"/>
      <c r="AZ1955" s="538"/>
      <c r="BA1955" s="538"/>
      <c r="BB1955" s="538"/>
      <c r="BC1955" s="538"/>
      <c r="BD1955" s="538"/>
      <c r="BE1955" s="538"/>
      <c r="BF1955" s="538"/>
      <c r="BG1955" s="538"/>
      <c r="BH1955" s="538"/>
    </row>
    <row r="1956" spans="1:60" x14ac:dyDescent="0.2">
      <c r="A1956" s="1507">
        <v>9</v>
      </c>
      <c r="B1956" s="1516">
        <v>901.7</v>
      </c>
      <c r="C1956" s="1511" t="s">
        <v>254</v>
      </c>
      <c r="D1956" s="1524"/>
      <c r="E1956" s="1524"/>
      <c r="F1956" s="1524"/>
      <c r="G1956" s="1509" t="str">
        <f t="shared" si="135"/>
        <v>P</v>
      </c>
      <c r="H1956" s="1527" t="s">
        <v>3199</v>
      </c>
      <c r="I1956" s="161"/>
      <c r="J1956" s="4"/>
      <c r="K1956" s="4"/>
      <c r="L1956" s="1611"/>
      <c r="M1956" s="554"/>
      <c r="N1956" s="540"/>
      <c r="O1956" s="540"/>
      <c r="P1956" s="538"/>
      <c r="Q1956" s="538"/>
      <c r="R1956" s="538"/>
      <c r="S1956" s="538"/>
      <c r="T1956" s="538"/>
      <c r="U1956" s="538"/>
      <c r="V1956" s="538"/>
      <c r="W1956" s="538"/>
      <c r="X1956" s="1600"/>
      <c r="Y1956" s="1874"/>
      <c r="Z1956" s="1889"/>
      <c r="AB1956" s="538"/>
      <c r="AC1956" s="538"/>
      <c r="AD1956" s="538"/>
      <c r="AE1956" s="538"/>
      <c r="AF1956" s="538"/>
      <c r="AG1956" s="538"/>
      <c r="AH1956" s="538"/>
      <c r="AI1956" s="538"/>
      <c r="AJ1956" s="538"/>
      <c r="AK1956" s="538"/>
      <c r="AL1956" s="1352"/>
      <c r="AM1956" s="1352"/>
      <c r="AN1956" s="1352"/>
      <c r="AO1956" s="1352"/>
      <c r="AP1956" s="1352"/>
      <c r="AQ1956" s="1352"/>
      <c r="AR1956" s="1352"/>
      <c r="AS1956" s="1352"/>
      <c r="AT1956" s="538"/>
      <c r="AU1956" s="538"/>
      <c r="AV1956" s="538"/>
      <c r="AW1956" s="538"/>
      <c r="AX1956" s="538"/>
      <c r="AY1956" s="538"/>
      <c r="AZ1956" s="538"/>
      <c r="BA1956" s="538"/>
      <c r="BB1956" s="538"/>
      <c r="BC1956" s="538"/>
      <c r="BD1956" s="538"/>
      <c r="BE1956" s="538"/>
      <c r="BF1956" s="538"/>
      <c r="BG1956" s="538"/>
      <c r="BH1956" s="538"/>
    </row>
    <row r="1957" spans="1:60" x14ac:dyDescent="0.2">
      <c r="A1957" s="1507">
        <v>9</v>
      </c>
      <c r="B1957" s="1516">
        <v>901.7</v>
      </c>
      <c r="C1957" s="1511" t="s">
        <v>254</v>
      </c>
      <c r="D1957" s="1524" t="s">
        <v>121</v>
      </c>
      <c r="E1957" s="1524"/>
      <c r="F1957" s="1524"/>
      <c r="G1957" s="1509" t="str">
        <f t="shared" si="135"/>
        <v>P</v>
      </c>
      <c r="H1957" s="1538" t="s">
        <v>3199</v>
      </c>
      <c r="I1957" s="161"/>
      <c r="J1957" s="4"/>
      <c r="K1957" s="29" t="s">
        <v>121</v>
      </c>
      <c r="L1957" s="559" t="s">
        <v>2716</v>
      </c>
      <c r="M1957" s="554"/>
      <c r="N1957" s="540"/>
      <c r="O1957" s="540"/>
      <c r="P1957" s="538"/>
      <c r="Q1957" s="538"/>
      <c r="R1957" s="538"/>
      <c r="S1957" s="538"/>
      <c r="T1957" s="538"/>
      <c r="U1957" s="538"/>
      <c r="V1957" s="538"/>
      <c r="W1957" s="538"/>
      <c r="X1957" s="1600"/>
      <c r="Y1957" s="1874"/>
      <c r="Z1957" s="1889"/>
      <c r="AB1957" s="538"/>
      <c r="AC1957" s="538"/>
      <c r="AD1957" s="538"/>
      <c r="AE1957" s="538"/>
      <c r="AF1957" s="538"/>
      <c r="AG1957" s="538"/>
      <c r="AH1957" s="538"/>
      <c r="AI1957" s="538"/>
      <c r="AJ1957" s="538"/>
      <c r="AK1957" s="538"/>
      <c r="AL1957" s="1352"/>
      <c r="AM1957" s="1352"/>
      <c r="AN1957" s="1352"/>
      <c r="AO1957" s="1352"/>
      <c r="AP1957" s="1352"/>
      <c r="AQ1957" s="1352"/>
      <c r="AR1957" s="1352"/>
      <c r="AS1957" s="1352"/>
      <c r="AT1957" s="538"/>
      <c r="AU1957" s="538"/>
      <c r="AV1957" s="538"/>
      <c r="AW1957" s="538"/>
      <c r="AX1957" s="538"/>
      <c r="AY1957" s="538"/>
      <c r="AZ1957" s="538"/>
      <c r="BA1957" s="538"/>
      <c r="BB1957" s="538"/>
      <c r="BC1957" s="538"/>
      <c r="BD1957" s="538"/>
      <c r="BE1957" s="538"/>
      <c r="BF1957" s="538"/>
      <c r="BG1957" s="538"/>
      <c r="BH1957" s="538"/>
    </row>
    <row r="1958" spans="1:60" x14ac:dyDescent="0.2">
      <c r="A1958" s="1507">
        <v>9</v>
      </c>
      <c r="B1958" s="1516">
        <v>901.7</v>
      </c>
      <c r="C1958" s="1511" t="s">
        <v>254</v>
      </c>
      <c r="D1958" s="1524" t="s">
        <v>122</v>
      </c>
      <c r="E1958" s="1524"/>
      <c r="F1958" s="1524"/>
      <c r="G1958" s="1509" t="str">
        <f t="shared" si="135"/>
        <v>P</v>
      </c>
      <c r="H1958" s="1538" t="s">
        <v>3199</v>
      </c>
      <c r="I1958" s="161"/>
      <c r="J1958" s="4"/>
      <c r="K1958" s="29" t="s">
        <v>122</v>
      </c>
      <c r="L1958" s="559" t="s">
        <v>2717</v>
      </c>
      <c r="M1958" s="554"/>
      <c r="N1958" s="540"/>
      <c r="O1958" s="540"/>
      <c r="P1958" s="538"/>
      <c r="Q1958" s="538"/>
      <c r="R1958" s="538"/>
      <c r="S1958" s="538"/>
      <c r="T1958" s="538"/>
      <c r="U1958" s="538"/>
      <c r="V1958" s="538"/>
      <c r="W1958" s="538"/>
      <c r="X1958" s="1600"/>
      <c r="Y1958" s="1874"/>
      <c r="Z1958" s="1889"/>
      <c r="AB1958" s="538"/>
      <c r="AC1958" s="538"/>
      <c r="AD1958" s="538"/>
      <c r="AE1958" s="538"/>
      <c r="AF1958" s="538"/>
      <c r="AG1958" s="538"/>
      <c r="AH1958" s="538"/>
      <c r="AI1958" s="538"/>
      <c r="AJ1958" s="538"/>
      <c r="AK1958" s="538"/>
      <c r="AL1958" s="1352"/>
      <c r="AM1958" s="1352"/>
      <c r="AN1958" s="1352"/>
      <c r="AO1958" s="1352"/>
      <c r="AP1958" s="1352"/>
      <c r="AQ1958" s="1352"/>
      <c r="AR1958" s="1352"/>
      <c r="AS1958" s="1352"/>
      <c r="AT1958" s="538"/>
      <c r="AU1958" s="538"/>
      <c r="AV1958" s="538"/>
      <c r="AW1958" s="538"/>
      <c r="AX1958" s="538"/>
      <c r="AY1958" s="538"/>
      <c r="AZ1958" s="538"/>
      <c r="BA1958" s="538"/>
      <c r="BB1958" s="538"/>
      <c r="BC1958" s="538"/>
      <c r="BD1958" s="538"/>
      <c r="BE1958" s="538"/>
      <c r="BF1958" s="538"/>
      <c r="BG1958" s="538"/>
      <c r="BH1958" s="538"/>
    </row>
    <row r="1959" spans="1:60" x14ac:dyDescent="0.2">
      <c r="A1959" s="1507">
        <v>9</v>
      </c>
      <c r="B1959" s="1516">
        <v>901.7</v>
      </c>
      <c r="C1959" s="1511" t="s">
        <v>254</v>
      </c>
      <c r="D1959" s="1524" t="s">
        <v>123</v>
      </c>
      <c r="E1959" s="1524"/>
      <c r="F1959" s="1524"/>
      <c r="G1959" s="1509" t="str">
        <f t="shared" si="135"/>
        <v>P</v>
      </c>
      <c r="H1959" s="1538" t="s">
        <v>3199</v>
      </c>
      <c r="I1959" s="161"/>
      <c r="J1959" s="4"/>
      <c r="K1959" s="29" t="s">
        <v>123</v>
      </c>
      <c r="L1959" s="559" t="s">
        <v>2718</v>
      </c>
      <c r="M1959" s="554"/>
      <c r="N1959" s="540"/>
      <c r="O1959" s="540"/>
      <c r="P1959" s="538"/>
      <c r="Q1959" s="538"/>
      <c r="R1959" s="538"/>
      <c r="S1959" s="538"/>
      <c r="T1959" s="538"/>
      <c r="U1959" s="538"/>
      <c r="V1959" s="538"/>
      <c r="W1959" s="538"/>
      <c r="X1959" s="1600"/>
      <c r="Y1959" s="1874"/>
      <c r="Z1959" s="1889"/>
      <c r="AB1959" s="538"/>
      <c r="AC1959" s="538"/>
      <c r="AD1959" s="538"/>
      <c r="AE1959" s="538"/>
      <c r="AF1959" s="538"/>
      <c r="AG1959" s="538"/>
      <c r="AH1959" s="538"/>
      <c r="AI1959" s="538"/>
      <c r="AJ1959" s="538"/>
      <c r="AK1959" s="538"/>
      <c r="AL1959" s="1352"/>
      <c r="AM1959" s="1352"/>
      <c r="AN1959" s="1352"/>
      <c r="AO1959" s="1352"/>
      <c r="AP1959" s="1352"/>
      <c r="AQ1959" s="1352"/>
      <c r="AR1959" s="1352"/>
      <c r="AS1959" s="1352"/>
      <c r="AT1959" s="538"/>
      <c r="AU1959" s="538"/>
      <c r="AV1959" s="538"/>
      <c r="AW1959" s="538"/>
      <c r="AX1959" s="538"/>
      <c r="AY1959" s="538"/>
      <c r="AZ1959" s="538"/>
      <c r="BA1959" s="538"/>
      <c r="BB1959" s="538"/>
      <c r="BC1959" s="538"/>
      <c r="BD1959" s="538"/>
      <c r="BE1959" s="538"/>
      <c r="BF1959" s="538"/>
      <c r="BG1959" s="538"/>
      <c r="BH1959" s="538"/>
    </row>
    <row r="1960" spans="1:60" x14ac:dyDescent="0.2">
      <c r="A1960" s="1507">
        <v>9</v>
      </c>
      <c r="B1960" s="1516">
        <v>901.7</v>
      </c>
      <c r="C1960" s="1511" t="s">
        <v>254</v>
      </c>
      <c r="D1960" s="1524" t="s">
        <v>366</v>
      </c>
      <c r="E1960" s="1524"/>
      <c r="F1960" s="1524"/>
      <c r="G1960" s="1509" t="str">
        <f t="shared" si="135"/>
        <v>P</v>
      </c>
      <c r="H1960" s="1538" t="s">
        <v>3199</v>
      </c>
      <c r="I1960" s="161"/>
      <c r="J1960" s="4"/>
      <c r="K1960" s="29" t="s">
        <v>366</v>
      </c>
      <c r="L1960" s="559" t="s">
        <v>2719</v>
      </c>
      <c r="M1960" s="554"/>
      <c r="N1960" s="540"/>
      <c r="O1960" s="540"/>
      <c r="P1960" s="538"/>
      <c r="Q1960" s="538"/>
      <c r="R1960" s="538"/>
      <c r="S1960" s="538"/>
      <c r="T1960" s="538"/>
      <c r="U1960" s="538"/>
      <c r="V1960" s="538"/>
      <c r="W1960" s="538"/>
      <c r="X1960" s="1600"/>
      <c r="Y1960" s="1874"/>
      <c r="Z1960" s="1889"/>
      <c r="AB1960" s="538"/>
      <c r="AC1960" s="538"/>
      <c r="AD1960" s="538"/>
      <c r="AE1960" s="538"/>
      <c r="AF1960" s="538"/>
      <c r="AG1960" s="538"/>
      <c r="AH1960" s="538"/>
      <c r="AI1960" s="538"/>
      <c r="AJ1960" s="538"/>
      <c r="AK1960" s="538"/>
      <c r="AL1960" s="1352"/>
      <c r="AM1960" s="1352"/>
      <c r="AN1960" s="1352"/>
      <c r="AO1960" s="1352"/>
      <c r="AP1960" s="1352"/>
      <c r="AQ1960" s="1352"/>
      <c r="AR1960" s="1352"/>
      <c r="AS1960" s="1352"/>
      <c r="AT1960" s="538"/>
      <c r="AU1960" s="538"/>
      <c r="AV1960" s="538"/>
      <c r="AW1960" s="538"/>
      <c r="AX1960" s="538"/>
      <c r="AY1960" s="538"/>
      <c r="AZ1960" s="538"/>
      <c r="BA1960" s="538"/>
      <c r="BB1960" s="538"/>
      <c r="BC1960" s="538"/>
      <c r="BD1960" s="538"/>
      <c r="BE1960" s="538"/>
      <c r="BF1960" s="538"/>
      <c r="BG1960" s="538"/>
      <c r="BH1960" s="538"/>
    </row>
    <row r="1961" spans="1:60" x14ac:dyDescent="0.2">
      <c r="A1961" s="1507">
        <v>9</v>
      </c>
      <c r="B1961" s="1516">
        <v>901.7</v>
      </c>
      <c r="C1961" s="1511" t="s">
        <v>254</v>
      </c>
      <c r="D1961" s="1524" t="s">
        <v>472</v>
      </c>
      <c r="E1961" s="1524"/>
      <c r="F1961" s="1524"/>
      <c r="G1961" s="1509" t="str">
        <f t="shared" si="135"/>
        <v>P</v>
      </c>
      <c r="H1961" s="1538" t="s">
        <v>3199</v>
      </c>
      <c r="I1961" s="161"/>
      <c r="J1961" s="4"/>
      <c r="K1961" s="29" t="s">
        <v>472</v>
      </c>
      <c r="L1961" s="559" t="s">
        <v>2720</v>
      </c>
      <c r="M1961" s="554"/>
      <c r="N1961" s="540"/>
      <c r="O1961" s="540"/>
      <c r="P1961" s="538"/>
      <c r="Q1961" s="538"/>
      <c r="R1961" s="538"/>
      <c r="S1961" s="538"/>
      <c r="T1961" s="538"/>
      <c r="U1961" s="538"/>
      <c r="V1961" s="538"/>
      <c r="W1961" s="538"/>
      <c r="X1961" s="1600"/>
      <c r="Y1961" s="1874"/>
      <c r="Z1961" s="1889"/>
      <c r="AB1961" s="538"/>
      <c r="AC1961" s="538"/>
      <c r="AD1961" s="538"/>
      <c r="AE1961" s="538"/>
      <c r="AF1961" s="538"/>
      <c r="AG1961" s="538"/>
      <c r="AH1961" s="538"/>
      <c r="AI1961" s="538"/>
      <c r="AJ1961" s="538"/>
      <c r="AK1961" s="538"/>
      <c r="AL1961" s="1352"/>
      <c r="AM1961" s="1352"/>
      <c r="AN1961" s="1352"/>
      <c r="AO1961" s="1352"/>
      <c r="AP1961" s="1352"/>
      <c r="AQ1961" s="1352"/>
      <c r="AR1961" s="1352"/>
      <c r="AS1961" s="1352"/>
      <c r="AT1961" s="538"/>
      <c r="AU1961" s="538"/>
      <c r="AV1961" s="538"/>
      <c r="AW1961" s="538"/>
      <c r="AX1961" s="538"/>
      <c r="AY1961" s="538"/>
      <c r="AZ1961" s="538"/>
      <c r="BA1961" s="538"/>
      <c r="BB1961" s="538"/>
      <c r="BC1961" s="538"/>
      <c r="BD1961" s="538"/>
      <c r="BE1961" s="538"/>
      <c r="BF1961" s="538"/>
      <c r="BG1961" s="538"/>
      <c r="BH1961" s="538"/>
    </row>
    <row r="1962" spans="1:60" s="782" customFormat="1" x14ac:dyDescent="0.2">
      <c r="A1962" s="1507">
        <v>9</v>
      </c>
      <c r="B1962" s="1516">
        <v>901.7</v>
      </c>
      <c r="C1962" s="1511" t="s">
        <v>254</v>
      </c>
      <c r="D1962" s="1524" t="s">
        <v>510</v>
      </c>
      <c r="E1962" s="1524"/>
      <c r="F1962" s="1524"/>
      <c r="G1962" s="1509" t="str">
        <f>G1960</f>
        <v>P</v>
      </c>
      <c r="H1962" s="1538" t="s">
        <v>3199</v>
      </c>
      <c r="I1962" s="161"/>
      <c r="J1962" s="129"/>
      <c r="K1962" s="180" t="s">
        <v>510</v>
      </c>
      <c r="L1962" s="783" t="s">
        <v>2721</v>
      </c>
      <c r="M1962" s="788"/>
      <c r="N1962" s="786"/>
      <c r="O1962" s="786"/>
      <c r="X1962" s="1600"/>
      <c r="Y1962" s="1874"/>
      <c r="Z1962" s="1889"/>
      <c r="AL1962" s="1352"/>
      <c r="AM1962" s="1352"/>
      <c r="AN1962" s="1352"/>
      <c r="AO1962" s="1352"/>
      <c r="AP1962" s="1352"/>
      <c r="AQ1962" s="1352"/>
      <c r="AR1962" s="1352"/>
      <c r="AS1962" s="1352"/>
    </row>
    <row r="1963" spans="1:60" x14ac:dyDescent="0.2">
      <c r="A1963" s="1507">
        <v>9</v>
      </c>
      <c r="B1963" s="1516">
        <v>901.7</v>
      </c>
      <c r="C1963" s="1511" t="s">
        <v>254</v>
      </c>
      <c r="D1963" s="1524" t="s">
        <v>512</v>
      </c>
      <c r="E1963" s="1524"/>
      <c r="F1963" s="1524"/>
      <c r="G1963" s="1509" t="str">
        <f>G1961</f>
        <v>P</v>
      </c>
      <c r="H1963" s="1538" t="s">
        <v>3199</v>
      </c>
      <c r="I1963" s="161"/>
      <c r="J1963" s="213"/>
      <c r="K1963" s="207" t="s">
        <v>512</v>
      </c>
      <c r="L1963" s="784" t="s">
        <v>3898</v>
      </c>
      <c r="M1963" s="554"/>
      <c r="N1963" s="540"/>
      <c r="O1963" s="540"/>
      <c r="P1963" s="538"/>
      <c r="Q1963" s="538"/>
      <c r="R1963" s="538"/>
      <c r="S1963" s="538"/>
      <c r="T1963" s="538"/>
      <c r="U1963" s="538"/>
      <c r="V1963" s="538"/>
      <c r="W1963" s="538" t="s">
        <v>2938</v>
      </c>
      <c r="X1963" s="1600"/>
      <c r="Y1963" s="1874"/>
      <c r="Z1963" s="1889"/>
      <c r="AB1963" s="538"/>
      <c r="AC1963" s="538"/>
      <c r="AD1963" s="538"/>
      <c r="AE1963" s="538"/>
      <c r="AF1963" s="538"/>
      <c r="AG1963" s="538"/>
      <c r="AH1963" s="538"/>
      <c r="AI1963" s="538"/>
      <c r="AJ1963" s="538"/>
      <c r="AK1963" s="538"/>
      <c r="AL1963" s="1352"/>
      <c r="AM1963" s="1352"/>
      <c r="AN1963" s="1352"/>
      <c r="AO1963" s="1352"/>
      <c r="AP1963" s="1352"/>
      <c r="AQ1963" s="1352"/>
      <c r="AR1963" s="1352"/>
      <c r="AS1963" s="1352"/>
      <c r="AT1963" s="538"/>
      <c r="AU1963" s="538"/>
      <c r="AV1963" s="538"/>
      <c r="AW1963" s="538"/>
      <c r="AX1963" s="538"/>
      <c r="AY1963" s="538"/>
      <c r="AZ1963" s="538"/>
      <c r="BA1963" s="538"/>
      <c r="BB1963" s="538"/>
      <c r="BC1963" s="538"/>
      <c r="BD1963" s="538"/>
      <c r="BE1963" s="538"/>
      <c r="BF1963" s="538"/>
      <c r="BG1963" s="538"/>
      <c r="BH1963" s="538"/>
    </row>
    <row r="1964" spans="1:60" x14ac:dyDescent="0.2">
      <c r="A1964" s="1507">
        <v>9</v>
      </c>
      <c r="B1964" s="1516">
        <v>901.7</v>
      </c>
      <c r="C1964" s="1511" t="s">
        <v>255</v>
      </c>
      <c r="D1964" s="1524"/>
      <c r="E1964" s="1524"/>
      <c r="F1964" s="1524"/>
      <c r="G1964" s="1509" t="str">
        <f t="shared" si="135"/>
        <v>P</v>
      </c>
      <c r="H1964" s="1527" t="s">
        <v>3199</v>
      </c>
      <c r="I1964" s="406"/>
      <c r="J1964" s="207" t="s">
        <v>255</v>
      </c>
      <c r="K1964" s="213"/>
      <c r="L1964" s="550" t="s">
        <v>3045</v>
      </c>
      <c r="M1964" s="545"/>
      <c r="N1964" s="543"/>
      <c r="O1964" s="543"/>
      <c r="P1964" s="96" t="b">
        <v>0</v>
      </c>
      <c r="Q1964" s="96" t="b">
        <v>1</v>
      </c>
      <c r="R1964" s="96" t="b">
        <v>0</v>
      </c>
      <c r="S1964" s="96" t="b">
        <v>1</v>
      </c>
      <c r="T1964" s="96" t="b">
        <f>SUM(W1953,W1964,W1965)&gt;1</f>
        <v>0</v>
      </c>
      <c r="U1964" s="96"/>
      <c r="V1964" s="96"/>
      <c r="W1964" s="413"/>
      <c r="X1964" s="1601"/>
      <c r="Y1964" s="1881" t="str">
        <f>IF(LEN('11.900'!X117)=0,"None",'11.900'!X117)</f>
        <v>None</v>
      </c>
      <c r="Z1964" s="1891"/>
      <c r="AB1964" s="538"/>
      <c r="AC1964" s="538" t="b">
        <f>OR(AD1964:AE1964)</f>
        <v>0</v>
      </c>
      <c r="AD1964" s="538" t="b">
        <f>T1964</f>
        <v>0</v>
      </c>
      <c r="AE1964" s="538"/>
      <c r="AF1964" s="720"/>
      <c r="AG1964" s="538"/>
      <c r="AH1964" s="538"/>
      <c r="AI1964" s="538"/>
      <c r="AJ1964" s="538"/>
      <c r="AK1964" s="538"/>
      <c r="AL1964" s="1352"/>
      <c r="AM1964" s="1352"/>
      <c r="AN1964" s="1352"/>
      <c r="AO1964" s="1352"/>
      <c r="AP1964" s="1352" t="str">
        <f>SUBSTITUTE(SUBSTITUTE(SUBSTITUTE("vch"&amp;$B1964&amp;$C1964&amp;$D1964&amp;$E1964,".","_"),"(","_"),")","")</f>
        <v>vch901_7_2</v>
      </c>
      <c r="AQ1964" s="1352" t="str">
        <f>IF(LEN(W1964)=0,"",W1964)</f>
        <v/>
      </c>
      <c r="AR1964" s="1352" t="str">
        <f>SUBSTITUTE(SUBSTITUTE(SUBSTITUTE("vnt"&amp;$B1964&amp;$C1964&amp;$D1964&amp;$E1964,".","_"),"(","_"),")","")</f>
        <v>vnt901_7_2</v>
      </c>
      <c r="AS1964" s="1352" t="str">
        <f>IF(LEN(X1964)=0,"",X1964)</f>
        <v/>
      </c>
      <c r="AT1964" s="538"/>
      <c r="AU1964" s="538"/>
      <c r="AV1964" s="538"/>
      <c r="AW1964" s="538"/>
      <c r="AX1964" s="538"/>
      <c r="AY1964" s="538"/>
      <c r="AZ1964" s="538"/>
      <c r="BA1964" s="538"/>
      <c r="BB1964" s="538"/>
      <c r="BC1964" s="538"/>
      <c r="BD1964" s="538"/>
      <c r="BE1964" s="538"/>
      <c r="BF1964" s="538"/>
      <c r="BG1964" s="538"/>
      <c r="BH1964" s="538"/>
    </row>
    <row r="1965" spans="1:60" x14ac:dyDescent="0.2">
      <c r="A1965" s="1507">
        <v>9</v>
      </c>
      <c r="B1965" s="1516">
        <v>901.7</v>
      </c>
      <c r="C1965" s="1511" t="s">
        <v>256</v>
      </c>
      <c r="D1965" s="1524"/>
      <c r="E1965" s="1524"/>
      <c r="F1965" s="1524"/>
      <c r="G1965" s="1509" t="str">
        <f t="shared" si="135"/>
        <v>P</v>
      </c>
      <c r="H1965" s="1527" t="s">
        <v>3199</v>
      </c>
      <c r="I1965" s="406"/>
      <c r="J1965" s="180" t="s">
        <v>256</v>
      </c>
      <c r="K1965" s="129"/>
      <c r="L1965" s="549" t="s">
        <v>2927</v>
      </c>
      <c r="M1965" s="545"/>
      <c r="N1965" s="543"/>
      <c r="O1965" s="543"/>
      <c r="P1965" s="96" t="b">
        <v>0</v>
      </c>
      <c r="Q1965" s="96" t="b">
        <v>1</v>
      </c>
      <c r="R1965" s="96" t="b">
        <v>0</v>
      </c>
      <c r="S1965" s="96" t="b">
        <v>1</v>
      </c>
      <c r="T1965" s="96" t="b">
        <f>SUM(W1953,W1964,W1965)&gt;1</f>
        <v>0</v>
      </c>
      <c r="U1965" s="96"/>
      <c r="V1965" s="96"/>
      <c r="W1965" s="413"/>
      <c r="X1965" s="1601"/>
      <c r="Y1965" s="1881"/>
      <c r="Z1965" s="1891"/>
      <c r="AB1965" s="538"/>
      <c r="AC1965" s="538" t="b">
        <f>OR(AD1965:AE1965)</f>
        <v>0</v>
      </c>
      <c r="AD1965" s="538" t="b">
        <f>T1965</f>
        <v>0</v>
      </c>
      <c r="AE1965" s="538"/>
      <c r="AF1965" s="720"/>
      <c r="AG1965" s="538"/>
      <c r="AH1965" s="538"/>
      <c r="AI1965" s="538"/>
      <c r="AJ1965" s="538"/>
      <c r="AK1965" s="538"/>
      <c r="AL1965" s="1352"/>
      <c r="AM1965" s="1352"/>
      <c r="AN1965" s="1352"/>
      <c r="AO1965" s="1352"/>
      <c r="AP1965" s="1352" t="str">
        <f>SUBSTITUTE(SUBSTITUTE(SUBSTITUTE("vch"&amp;$B1965&amp;$C1965&amp;$D1965&amp;$E1965,".","_"),"(","_"),")","")</f>
        <v>vch901_7_3</v>
      </c>
      <c r="AQ1965" s="1352" t="str">
        <f>IF(LEN(W1965)=0,"",W1965)</f>
        <v/>
      </c>
      <c r="AR1965" s="1352"/>
      <c r="AS1965" s="1352"/>
      <c r="AT1965" s="538"/>
      <c r="AU1965" s="538"/>
      <c r="AV1965" s="538"/>
      <c r="AW1965" s="538"/>
      <c r="AX1965" s="538"/>
      <c r="AY1965" s="538"/>
      <c r="AZ1965" s="538"/>
      <c r="BA1965" s="538"/>
      <c r="BB1965" s="538"/>
      <c r="BC1965" s="538"/>
      <c r="BD1965" s="538"/>
      <c r="BE1965" s="538"/>
      <c r="BF1965" s="538"/>
      <c r="BG1965" s="538"/>
      <c r="BH1965" s="538"/>
    </row>
    <row r="1966" spans="1:60" x14ac:dyDescent="0.2">
      <c r="A1966" s="1507">
        <v>9</v>
      </c>
      <c r="B1966" s="1516">
        <v>901.7</v>
      </c>
      <c r="C1966" s="1511" t="s">
        <v>256</v>
      </c>
      <c r="D1966" s="1511"/>
      <c r="E1966" s="1511"/>
      <c r="F1966" s="1511"/>
      <c r="G1966" s="1509" t="str">
        <f t="shared" si="135"/>
        <v>P</v>
      </c>
      <c r="H1966" s="1510" t="s">
        <v>3199</v>
      </c>
      <c r="I1966" s="406"/>
      <c r="J1966" s="129"/>
      <c r="K1966" s="129"/>
      <c r="L1966" s="1705" t="s">
        <v>2722</v>
      </c>
      <c r="M1966" s="545"/>
      <c r="N1966" s="543"/>
      <c r="O1966" s="543"/>
      <c r="P1966" s="96"/>
      <c r="Q1966" s="96"/>
      <c r="R1966" s="96"/>
      <c r="S1966" s="96"/>
      <c r="T1966" s="96"/>
      <c r="U1966" s="96"/>
      <c r="V1966" s="96"/>
      <c r="W1966" s="96"/>
      <c r="X1966" s="1601"/>
      <c r="Y1966" s="1881"/>
      <c r="Z1966" s="1891"/>
      <c r="AB1966" s="538"/>
      <c r="AC1966" s="538"/>
      <c r="AD1966" s="538"/>
      <c r="AE1966" s="538"/>
      <c r="AF1966" s="538"/>
      <c r="AG1966" s="538"/>
      <c r="AH1966" s="538"/>
      <c r="AI1966" s="538"/>
      <c r="AJ1966" s="538"/>
      <c r="AK1966" s="538"/>
      <c r="AL1966" s="1352"/>
      <c r="AM1966" s="1352"/>
      <c r="AN1966" s="1352"/>
      <c r="AO1966" s="1352"/>
      <c r="AP1966" s="1352"/>
      <c r="AQ1966" s="1352"/>
      <c r="AR1966" s="1352"/>
      <c r="AS1966" s="1352"/>
      <c r="AT1966" s="538"/>
      <c r="AU1966" s="538"/>
      <c r="AV1966" s="538"/>
      <c r="AW1966" s="538"/>
      <c r="AX1966" s="538"/>
      <c r="AY1966" s="538"/>
      <c r="AZ1966" s="538"/>
      <c r="BA1966" s="538"/>
      <c r="BB1966" s="538"/>
      <c r="BC1966" s="538"/>
      <c r="BD1966" s="538"/>
      <c r="BE1966" s="538"/>
      <c r="BF1966" s="538"/>
      <c r="BG1966" s="538"/>
      <c r="BH1966" s="538"/>
    </row>
    <row r="1967" spans="1:60" ht="16" thickBot="1" x14ac:dyDescent="0.25">
      <c r="A1967" s="1507">
        <v>9</v>
      </c>
      <c r="B1967" s="1516">
        <v>901.7</v>
      </c>
      <c r="C1967" s="1511" t="s">
        <v>256</v>
      </c>
      <c r="D1967" s="1511"/>
      <c r="E1967" s="1511"/>
      <c r="F1967" s="1511"/>
      <c r="G1967" s="1509" t="str">
        <f t="shared" si="135"/>
        <v>P</v>
      </c>
      <c r="H1967" s="1510" t="s">
        <v>3199</v>
      </c>
      <c r="I1967" s="407"/>
      <c r="J1967" s="239"/>
      <c r="K1967" s="239"/>
      <c r="L1967" s="1706"/>
      <c r="M1967" s="553"/>
      <c r="N1967" s="547"/>
      <c r="O1967" s="547"/>
      <c r="P1967" s="100"/>
      <c r="Q1967" s="100"/>
      <c r="R1967" s="100"/>
      <c r="S1967" s="100"/>
      <c r="T1967" s="100"/>
      <c r="U1967" s="100"/>
      <c r="V1967" s="100"/>
      <c r="W1967" s="100"/>
      <c r="X1967" s="1602"/>
      <c r="Y1967" s="1882"/>
      <c r="Z1967" s="1892"/>
      <c r="AB1967" s="538"/>
      <c r="AC1967" s="538"/>
      <c r="AD1967" s="538"/>
      <c r="AE1967" s="538"/>
      <c r="AF1967" s="538"/>
      <c r="AG1967" s="538"/>
      <c r="AH1967" s="538"/>
      <c r="AI1967" s="538"/>
      <c r="AJ1967" s="538"/>
      <c r="AK1967" s="538"/>
      <c r="AL1967" s="1352"/>
      <c r="AM1967" s="1352"/>
      <c r="AN1967" s="1352"/>
      <c r="AO1967" s="1352"/>
      <c r="AP1967" s="1352"/>
      <c r="AQ1967" s="1352"/>
      <c r="AR1967" s="1352"/>
      <c r="AS1967" s="1352"/>
      <c r="AT1967" s="538"/>
      <c r="AU1967" s="538"/>
      <c r="AV1967" s="538"/>
      <c r="AW1967" s="538"/>
      <c r="AX1967" s="538"/>
      <c r="AY1967" s="538"/>
      <c r="AZ1967" s="538"/>
      <c r="BA1967" s="538"/>
      <c r="BB1967" s="538"/>
      <c r="BC1967" s="538"/>
      <c r="BD1967" s="538"/>
      <c r="BE1967" s="538"/>
      <c r="BF1967" s="538"/>
      <c r="BG1967" s="538"/>
      <c r="BH1967" s="538"/>
    </row>
    <row r="1968" spans="1:60" ht="17" hidden="1" thickTop="1" thickBot="1" x14ac:dyDescent="0.25">
      <c r="A1968" s="1507">
        <v>9</v>
      </c>
      <c r="B1968" s="1516">
        <v>901.8</v>
      </c>
      <c r="C1968" s="1511"/>
      <c r="D1968" s="1511"/>
      <c r="E1968" s="1511"/>
      <c r="F1968" s="1511"/>
      <c r="G1968" s="1509" t="str">
        <f>IF(N1968&gt;0,"P","")</f>
        <v/>
      </c>
      <c r="H1968" s="1510" t="s">
        <v>3199</v>
      </c>
      <c r="I1968" s="177" t="s">
        <v>3676</v>
      </c>
      <c r="J1968" s="178"/>
      <c r="K1968" s="178"/>
      <c r="L1968" s="1683" t="s">
        <v>3894</v>
      </c>
      <c r="M1968" s="1685">
        <v>4</v>
      </c>
      <c r="N1968" s="1682">
        <f>'11.900'!O121</f>
        <v>0</v>
      </c>
      <c r="O1968" s="1682">
        <f>M1968*S1968*W1968</f>
        <v>0</v>
      </c>
      <c r="P1968" s="96" t="b">
        <v>0</v>
      </c>
      <c r="Q1968" s="96" t="b">
        <v>1</v>
      </c>
      <c r="R1968" s="106" t="b">
        <v>0</v>
      </c>
      <c r="S1968" s="106" t="b">
        <v>1</v>
      </c>
      <c r="T1968" s="106" t="b">
        <v>0</v>
      </c>
      <c r="U1968" s="106"/>
      <c r="V1968" s="106"/>
      <c r="W1968" s="27"/>
      <c r="X1968" s="1603"/>
      <c r="Y1968" s="1877" t="str">
        <f>IF(LEN('11.900'!X121)=0,"None",'11.900'!X121)</f>
        <v>None</v>
      </c>
      <c r="Z1968" s="1880"/>
      <c r="AB1968" s="538"/>
      <c r="AC1968" s="538"/>
      <c r="AD1968" s="538"/>
      <c r="AE1968" s="538"/>
      <c r="AF1968" s="720"/>
      <c r="AG1968" s="538"/>
      <c r="AH1968" s="538"/>
      <c r="AI1968" s="538"/>
      <c r="AJ1968" s="538"/>
      <c r="AK1968" s="538"/>
      <c r="AL1968" s="1352" t="str">
        <f>SUBSTITUTE(SUBSTITUTE(SUBSTITUTE("vpa"&amp;$B1968&amp;$C1968&amp;$D1968&amp;$E1968,".","_"),"(","_"),")","")</f>
        <v>vpa901_8</v>
      </c>
      <c r="AM1968" s="1352">
        <f>M1968</f>
        <v>4</v>
      </c>
      <c r="AN1968" s="1352" t="str">
        <f>SUBSTITUTE(SUBSTITUTE(SUBSTITUTE("vpc"&amp;$B1968&amp;$C1968&amp;$D1968&amp;$E1968,".","_"),"(","_"),")","")</f>
        <v>vpc901_8</v>
      </c>
      <c r="AO1968" s="1352">
        <f>O1968</f>
        <v>0</v>
      </c>
      <c r="AP1968" s="1352" t="str">
        <f>SUBSTITUTE(SUBSTITUTE(SUBSTITUTE("vch"&amp;$B1968&amp;$C1968&amp;$D1968&amp;$E1968,".","_"),"(","_"),")","")</f>
        <v>vch901_8</v>
      </c>
      <c r="AQ1968" s="1352" t="str">
        <f>IF(LEN(W1968)=0,"",W1968)</f>
        <v/>
      </c>
      <c r="AR1968" s="1352" t="str">
        <f>SUBSTITUTE(SUBSTITUTE(SUBSTITUTE("vnt"&amp;$B1968&amp;$C1968&amp;$D1968&amp;$E1968,".","_"),"(","_"),")","")</f>
        <v>vnt901_8</v>
      </c>
      <c r="AS1968" s="1352" t="str">
        <f>IF(LEN(X1968)=0,"",X1968)</f>
        <v/>
      </c>
      <c r="AT1968" s="538"/>
      <c r="AU1968" s="538"/>
      <c r="AV1968" s="538"/>
      <c r="AW1968" s="538"/>
      <c r="AX1968" s="538"/>
      <c r="AY1968" s="538"/>
      <c r="AZ1968" s="538"/>
      <c r="BA1968" s="538"/>
      <c r="BB1968" s="538"/>
      <c r="BC1968" s="538"/>
      <c r="BD1968" s="538"/>
      <c r="BE1968" s="538"/>
      <c r="BF1968" s="538"/>
      <c r="BG1968" s="538"/>
      <c r="BH1968" s="538"/>
    </row>
    <row r="1969" spans="1:60" ht="17" hidden="1" thickTop="1" thickBot="1" x14ac:dyDescent="0.25">
      <c r="A1969" s="1507">
        <v>9</v>
      </c>
      <c r="B1969" s="1516">
        <v>901.8</v>
      </c>
      <c r="C1969" s="1511"/>
      <c r="D1969" s="1511"/>
      <c r="E1969" s="1511"/>
      <c r="F1969" s="1511"/>
      <c r="G1969" s="1509" t="str">
        <f>G1968</f>
        <v/>
      </c>
      <c r="H1969" s="1510" t="s">
        <v>3199</v>
      </c>
      <c r="I1969" s="406"/>
      <c r="J1969" s="129"/>
      <c r="K1969" s="129"/>
      <c r="L1969" s="1629"/>
      <c r="M1969" s="1623"/>
      <c r="N1969" s="1619"/>
      <c r="O1969" s="1619"/>
      <c r="P1969" s="96"/>
      <c r="Q1969" s="96"/>
      <c r="R1969" s="96"/>
      <c r="S1969" s="96"/>
      <c r="T1969" s="96"/>
      <c r="U1969" s="96"/>
      <c r="V1969" s="96"/>
      <c r="W1969" s="96"/>
      <c r="X1969" s="1601"/>
      <c r="Y1969" s="1881"/>
      <c r="Z1969" s="1891"/>
      <c r="AB1969" s="538"/>
      <c r="AC1969" s="538"/>
      <c r="AD1969" s="538"/>
      <c r="AE1969" s="538"/>
      <c r="AF1969" s="538"/>
      <c r="AG1969" s="538"/>
      <c r="AH1969" s="538"/>
      <c r="AI1969" s="538"/>
      <c r="AJ1969" s="538"/>
      <c r="AK1969" s="538"/>
      <c r="AL1969" s="1352"/>
      <c r="AM1969" s="1352"/>
      <c r="AN1969" s="1352"/>
      <c r="AO1969" s="1352"/>
      <c r="AP1969" s="1352"/>
      <c r="AQ1969" s="1352"/>
      <c r="AR1969" s="1352"/>
      <c r="AS1969" s="1352"/>
      <c r="AT1969" s="538"/>
      <c r="AU1969" s="538"/>
      <c r="AV1969" s="538"/>
      <c r="AW1969" s="538"/>
      <c r="AX1969" s="538"/>
      <c r="AY1969" s="538"/>
      <c r="AZ1969" s="538"/>
      <c r="BA1969" s="538"/>
      <c r="BB1969" s="538"/>
      <c r="BC1969" s="538"/>
      <c r="BD1969" s="538"/>
      <c r="BE1969" s="538"/>
      <c r="BF1969" s="538"/>
      <c r="BG1969" s="538"/>
      <c r="BH1969" s="538"/>
    </row>
    <row r="1970" spans="1:60" ht="17" hidden="1" thickTop="1" thickBot="1" x14ac:dyDescent="0.25">
      <c r="A1970" s="1507">
        <v>9</v>
      </c>
      <c r="B1970" s="1516">
        <v>901.8</v>
      </c>
      <c r="C1970" s="1511"/>
      <c r="D1970" s="1511"/>
      <c r="E1970" s="1511"/>
      <c r="F1970" s="1511"/>
      <c r="G1970" s="1509" t="str">
        <f>G1969</f>
        <v/>
      </c>
      <c r="H1970" s="1510" t="s">
        <v>3199</v>
      </c>
      <c r="I1970" s="406"/>
      <c r="J1970" s="129"/>
      <c r="K1970" s="129"/>
      <c r="L1970" s="1629"/>
      <c r="M1970" s="1623"/>
      <c r="N1970" s="1619"/>
      <c r="O1970" s="1619"/>
      <c r="P1970" s="96"/>
      <c r="Q1970" s="96"/>
      <c r="R1970" s="96"/>
      <c r="S1970" s="96"/>
      <c r="T1970" s="96"/>
      <c r="U1970" s="96"/>
      <c r="V1970" s="96"/>
      <c r="W1970" s="96"/>
      <c r="X1970" s="1601"/>
      <c r="Y1970" s="1881"/>
      <c r="Z1970" s="1891"/>
      <c r="AB1970" s="538"/>
      <c r="AC1970" s="538"/>
      <c r="AD1970" s="538"/>
      <c r="AE1970" s="538"/>
      <c r="AF1970" s="538"/>
      <c r="AG1970" s="538"/>
      <c r="AH1970" s="538"/>
      <c r="AI1970" s="538"/>
      <c r="AJ1970" s="538"/>
      <c r="AK1970" s="538"/>
      <c r="AL1970" s="1352"/>
      <c r="AM1970" s="1352"/>
      <c r="AN1970" s="1352"/>
      <c r="AO1970" s="1352"/>
      <c r="AP1970" s="1352"/>
      <c r="AQ1970" s="1352"/>
      <c r="AR1970" s="1352"/>
      <c r="AS1970" s="1352"/>
      <c r="AT1970" s="538"/>
      <c r="AU1970" s="538"/>
      <c r="AV1970" s="538"/>
      <c r="AW1970" s="538"/>
      <c r="AX1970" s="538"/>
      <c r="AY1970" s="538"/>
      <c r="AZ1970" s="538"/>
      <c r="BA1970" s="538"/>
      <c r="BB1970" s="538"/>
      <c r="BC1970" s="538"/>
      <c r="BD1970" s="538"/>
      <c r="BE1970" s="538"/>
      <c r="BF1970" s="538"/>
      <c r="BG1970" s="538"/>
      <c r="BH1970" s="538"/>
    </row>
    <row r="1971" spans="1:60" ht="17" hidden="1" thickTop="1" thickBot="1" x14ac:dyDescent="0.25">
      <c r="A1971" s="1507">
        <v>9</v>
      </c>
      <c r="B1971" s="1516">
        <v>901.8</v>
      </c>
      <c r="C1971" s="1511"/>
      <c r="D1971" s="1511"/>
      <c r="E1971" s="1511"/>
      <c r="F1971" s="1511"/>
      <c r="G1971" s="1509" t="str">
        <f>G1970</f>
        <v/>
      </c>
      <c r="H1971" s="1510" t="s">
        <v>3199</v>
      </c>
      <c r="I1971" s="406"/>
      <c r="J1971" s="129"/>
      <c r="K1971" s="129"/>
      <c r="L1971" s="1629"/>
      <c r="M1971" s="1623"/>
      <c r="N1971" s="1619"/>
      <c r="O1971" s="1619"/>
      <c r="P1971" s="96"/>
      <c r="Q1971" s="96"/>
      <c r="R1971" s="96"/>
      <c r="S1971" s="96"/>
      <c r="T1971" s="96"/>
      <c r="U1971" s="96"/>
      <c r="V1971" s="96"/>
      <c r="W1971" s="96"/>
      <c r="X1971" s="1601"/>
      <c r="Y1971" s="1881"/>
      <c r="Z1971" s="1891"/>
      <c r="AB1971" s="538"/>
      <c r="AC1971" s="538"/>
      <c r="AD1971" s="538"/>
      <c r="AE1971" s="538"/>
      <c r="AF1971" s="538"/>
      <c r="AG1971" s="538"/>
      <c r="AH1971" s="538"/>
      <c r="AI1971" s="538"/>
      <c r="AJ1971" s="538"/>
      <c r="AK1971" s="538"/>
      <c r="AL1971" s="1352"/>
      <c r="AM1971" s="1352"/>
      <c r="AN1971" s="1352"/>
      <c r="AO1971" s="1352"/>
      <c r="AP1971" s="1352"/>
      <c r="AQ1971" s="1352"/>
      <c r="AR1971" s="1352"/>
      <c r="AS1971" s="1352"/>
      <c r="AT1971" s="538"/>
      <c r="AU1971" s="538"/>
      <c r="AV1971" s="538"/>
      <c r="AW1971" s="538"/>
      <c r="AX1971" s="538"/>
      <c r="AY1971" s="538"/>
      <c r="AZ1971" s="538"/>
      <c r="BA1971" s="538"/>
      <c r="BB1971" s="538"/>
      <c r="BC1971" s="538"/>
      <c r="BD1971" s="538"/>
      <c r="BE1971" s="538"/>
      <c r="BF1971" s="538"/>
      <c r="BG1971" s="538"/>
      <c r="BH1971" s="538"/>
    </row>
    <row r="1972" spans="1:60" ht="17" hidden="1" thickTop="1" thickBot="1" x14ac:dyDescent="0.25">
      <c r="A1972" s="1507">
        <v>9</v>
      </c>
      <c r="B1972" s="1516">
        <v>901.8</v>
      </c>
      <c r="C1972" s="1511"/>
      <c r="D1972" s="1511"/>
      <c r="E1972" s="1511"/>
      <c r="F1972" s="1511"/>
      <c r="G1972" s="1509" t="str">
        <f>G1971</f>
        <v/>
      </c>
      <c r="H1972" s="1510" t="s">
        <v>3199</v>
      </c>
      <c r="I1972" s="406"/>
      <c r="J1972" s="129"/>
      <c r="K1972" s="129"/>
      <c r="L1972" s="1629"/>
      <c r="M1972" s="1623"/>
      <c r="N1972" s="1619"/>
      <c r="O1972" s="1619"/>
      <c r="P1972" s="96"/>
      <c r="Q1972" s="96"/>
      <c r="R1972" s="96"/>
      <c r="S1972" s="96"/>
      <c r="T1972" s="96"/>
      <c r="U1972" s="96"/>
      <c r="V1972" s="96"/>
      <c r="W1972" s="96"/>
      <c r="X1972" s="1601"/>
      <c r="Y1972" s="1881"/>
      <c r="Z1972" s="1891"/>
      <c r="AB1972" s="538"/>
      <c r="AC1972" s="538"/>
      <c r="AD1972" s="538"/>
      <c r="AE1972" s="538"/>
      <c r="AF1972" s="538"/>
      <c r="AG1972" s="538"/>
      <c r="AH1972" s="538"/>
      <c r="AI1972" s="538"/>
      <c r="AJ1972" s="538"/>
      <c r="AK1972" s="538"/>
      <c r="AL1972" s="1352"/>
      <c r="AM1972" s="1352"/>
      <c r="AN1972" s="1352"/>
      <c r="AO1972" s="1352"/>
      <c r="AP1972" s="1352"/>
      <c r="AQ1972" s="1352"/>
      <c r="AR1972" s="1352"/>
      <c r="AS1972" s="1352"/>
      <c r="AT1972" s="538"/>
      <c r="AU1972" s="538"/>
      <c r="AV1972" s="538"/>
      <c r="AW1972" s="538"/>
      <c r="AX1972" s="538"/>
      <c r="AY1972" s="538"/>
      <c r="AZ1972" s="538"/>
      <c r="BA1972" s="538"/>
      <c r="BB1972" s="538"/>
      <c r="BC1972" s="538"/>
      <c r="BD1972" s="538"/>
      <c r="BE1972" s="538"/>
      <c r="BF1972" s="538"/>
      <c r="BG1972" s="538"/>
      <c r="BH1972" s="538"/>
    </row>
    <row r="1973" spans="1:60" ht="17" hidden="1" thickTop="1" thickBot="1" x14ac:dyDescent="0.25">
      <c r="A1973" s="1507">
        <v>9</v>
      </c>
      <c r="B1973" s="1516">
        <v>901.8</v>
      </c>
      <c r="C1973" s="1511"/>
      <c r="D1973" s="1511"/>
      <c r="E1973" s="1511"/>
      <c r="F1973" s="1511"/>
      <c r="G1973" s="1509" t="str">
        <f>G1972</f>
        <v/>
      </c>
      <c r="H1973" s="1510" t="s">
        <v>3199</v>
      </c>
      <c r="I1973" s="407"/>
      <c r="J1973" s="239"/>
      <c r="K1973" s="239"/>
      <c r="L1973" s="1630"/>
      <c r="M1973" s="1627"/>
      <c r="N1973" s="1638"/>
      <c r="O1973" s="1638"/>
      <c r="P1973" s="100"/>
      <c r="Q1973" s="100"/>
      <c r="R1973" s="100"/>
      <c r="S1973" s="100"/>
      <c r="T1973" s="100"/>
      <c r="U1973" s="100"/>
      <c r="V1973" s="100"/>
      <c r="W1973" s="100"/>
      <c r="X1973" s="1602"/>
      <c r="Y1973" s="1882"/>
      <c r="Z1973" s="1892"/>
      <c r="AB1973" s="538"/>
      <c r="AC1973" s="538"/>
      <c r="AD1973" s="538"/>
      <c r="AE1973" s="538"/>
      <c r="AF1973" s="538"/>
      <c r="AG1973" s="538"/>
      <c r="AH1973" s="538"/>
      <c r="AI1973" s="538"/>
      <c r="AJ1973" s="538"/>
      <c r="AK1973" s="538"/>
      <c r="AL1973" s="1352"/>
      <c r="AM1973" s="1352"/>
      <c r="AN1973" s="1352"/>
      <c r="AO1973" s="1352"/>
      <c r="AP1973" s="1352"/>
      <c r="AQ1973" s="1352"/>
      <c r="AR1973" s="1352"/>
      <c r="AS1973" s="1352"/>
      <c r="AT1973" s="538"/>
      <c r="AU1973" s="538"/>
      <c r="AV1973" s="538"/>
      <c r="AW1973" s="538"/>
      <c r="AX1973" s="538"/>
      <c r="AY1973" s="538"/>
      <c r="AZ1973" s="538"/>
      <c r="BA1973" s="538"/>
      <c r="BB1973" s="538"/>
      <c r="BC1973" s="538"/>
      <c r="BD1973" s="538"/>
      <c r="BE1973" s="538"/>
      <c r="BF1973" s="538"/>
      <c r="BG1973" s="538"/>
      <c r="BH1973" s="538"/>
    </row>
    <row r="1974" spans="1:60" ht="16" thickTop="1" x14ac:dyDescent="0.2">
      <c r="A1974" s="1507">
        <v>9</v>
      </c>
      <c r="B1974" s="1516">
        <v>901.9</v>
      </c>
      <c r="C1974" s="1511"/>
      <c r="D1974" s="1511"/>
      <c r="E1974" s="1511"/>
      <c r="F1974" s="1511"/>
      <c r="G1974" s="1513" t="str">
        <f>IF(COUNTIF(G1978:G1990,"P")&gt;0,"P","")</f>
        <v>P</v>
      </c>
      <c r="H1974" s="1510" t="s">
        <v>3199</v>
      </c>
      <c r="I1974" s="177" t="s">
        <v>3677</v>
      </c>
      <c r="J1974" s="178"/>
      <c r="K1974" s="178"/>
      <c r="L1974" s="1683" t="s">
        <v>3893</v>
      </c>
      <c r="M1974" s="556"/>
      <c r="N1974" s="548"/>
      <c r="O1974" s="548"/>
      <c r="P1974" s="106"/>
      <c r="Q1974" s="106"/>
      <c r="R1974" s="106"/>
      <c r="S1974" s="106"/>
      <c r="T1974" s="106"/>
      <c r="U1974" s="106"/>
      <c r="V1974" s="106"/>
      <c r="W1974" s="106"/>
      <c r="X1974" s="1600"/>
      <c r="Y1974" s="1877" t="str">
        <f>IF(LEN('11.900'!X127)=0,"None",'11.900'!X127)</f>
        <v>None</v>
      </c>
      <c r="Z1974" s="1880"/>
      <c r="AB1974" s="538"/>
      <c r="AC1974" s="538"/>
      <c r="AD1974" s="538"/>
      <c r="AE1974" s="538"/>
      <c r="AF1974" s="538"/>
      <c r="AG1974" s="538"/>
      <c r="AH1974" s="538"/>
      <c r="AI1974" s="538"/>
      <c r="AJ1974" s="538"/>
      <c r="AK1974" s="538"/>
      <c r="AL1974" s="1352"/>
      <c r="AM1974" s="1352"/>
      <c r="AN1974" s="1352"/>
      <c r="AO1974" s="1352"/>
      <c r="AP1974" s="1352"/>
      <c r="AQ1974" s="1352"/>
      <c r="AR1974" s="1352" t="str">
        <f>SUBSTITUTE(SUBSTITUTE(SUBSTITUTE("vnt"&amp;$B1974&amp;$C1974&amp;$D1974&amp;$E1974,".","_"),"(","_"),")","")</f>
        <v>vnt901_9</v>
      </c>
      <c r="AS1974" s="1352" t="str">
        <f>IF(LEN(X1974)=0,"",X1974)</f>
        <v/>
      </c>
      <c r="AT1974" s="538"/>
      <c r="AU1974" s="538"/>
      <c r="AV1974" s="538"/>
      <c r="AW1974" s="538"/>
      <c r="AX1974" s="538"/>
      <c r="AY1974" s="538"/>
      <c r="AZ1974" s="538"/>
      <c r="BA1974" s="538"/>
      <c r="BB1974" s="538"/>
      <c r="BC1974" s="538"/>
      <c r="BD1974" s="538"/>
      <c r="BE1974" s="538"/>
      <c r="BF1974" s="538"/>
      <c r="BG1974" s="538"/>
      <c r="BH1974" s="538"/>
    </row>
    <row r="1975" spans="1:60" x14ac:dyDescent="0.2">
      <c r="A1975" s="1507">
        <v>9</v>
      </c>
      <c r="B1975" s="1516">
        <v>901.9</v>
      </c>
      <c r="C1975" s="1511"/>
      <c r="D1975" s="1511"/>
      <c r="E1975" s="1511"/>
      <c r="F1975" s="1511"/>
      <c r="G1975" s="1509" t="str">
        <f>G1974</f>
        <v>P</v>
      </c>
      <c r="H1975" s="1510" t="s">
        <v>3199</v>
      </c>
      <c r="I1975" s="406"/>
      <c r="J1975" s="129"/>
      <c r="K1975" s="129"/>
      <c r="L1975" s="1629"/>
      <c r="M1975" s="545"/>
      <c r="N1975" s="543"/>
      <c r="O1975" s="543"/>
      <c r="P1975" s="96"/>
      <c r="Q1975" s="96"/>
      <c r="R1975" s="96"/>
      <c r="S1975" s="96"/>
      <c r="T1975" s="96"/>
      <c r="U1975" s="96"/>
      <c r="V1975" s="96"/>
      <c r="W1975" s="96"/>
      <c r="X1975" s="1600"/>
      <c r="Y1975" s="1874"/>
      <c r="Z1975" s="1889"/>
      <c r="AB1975" s="538"/>
      <c r="AC1975" s="538"/>
      <c r="AD1975" s="538"/>
      <c r="AE1975" s="538"/>
      <c r="AF1975" s="538"/>
      <c r="AG1975" s="538"/>
      <c r="AH1975" s="538"/>
      <c r="AI1975" s="538"/>
      <c r="AJ1975" s="538"/>
      <c r="AK1975" s="538"/>
      <c r="AL1975" s="1352"/>
      <c r="AM1975" s="1352"/>
      <c r="AN1975" s="1352"/>
      <c r="AO1975" s="1352"/>
      <c r="AP1975" s="1352"/>
      <c r="AQ1975" s="1352"/>
      <c r="AR1975" s="1352"/>
      <c r="AS1975" s="1352"/>
      <c r="AT1975" s="538"/>
      <c r="AU1975" s="538"/>
      <c r="AV1975" s="538"/>
      <c r="AW1975" s="538"/>
      <c r="AX1975" s="538"/>
      <c r="AY1975" s="538"/>
      <c r="AZ1975" s="538"/>
      <c r="BA1975" s="538"/>
      <c r="BB1975" s="538"/>
      <c r="BC1975" s="538"/>
      <c r="BD1975" s="538"/>
      <c r="BE1975" s="538"/>
      <c r="BF1975" s="538"/>
      <c r="BG1975" s="538"/>
      <c r="BH1975" s="538"/>
    </row>
    <row r="1976" spans="1:60" s="782" customFormat="1" x14ac:dyDescent="0.2">
      <c r="A1976" s="1507">
        <v>9</v>
      </c>
      <c r="B1976" s="1516">
        <v>901.9</v>
      </c>
      <c r="C1976" s="1511"/>
      <c r="D1976" s="1511"/>
      <c r="E1976" s="1511"/>
      <c r="F1976" s="1511"/>
      <c r="G1976" s="1509" t="str">
        <f>G1975</f>
        <v>P</v>
      </c>
      <c r="H1976" s="1510" t="s">
        <v>3199</v>
      </c>
      <c r="I1976" s="406"/>
      <c r="J1976" s="129"/>
      <c r="K1976" s="129"/>
      <c r="L1976" s="1629"/>
      <c r="M1976" s="787"/>
      <c r="N1976" s="785"/>
      <c r="O1976" s="785"/>
      <c r="P1976" s="96"/>
      <c r="Q1976" s="96"/>
      <c r="R1976" s="96"/>
      <c r="S1976" s="96"/>
      <c r="T1976" s="96"/>
      <c r="U1976" s="96"/>
      <c r="V1976" s="96"/>
      <c r="W1976" s="96"/>
      <c r="X1976" s="1600"/>
      <c r="Y1976" s="1874"/>
      <c r="Z1976" s="1889"/>
      <c r="AL1976" s="1352"/>
      <c r="AM1976" s="1352"/>
      <c r="AN1976" s="1352"/>
      <c r="AO1976" s="1352"/>
      <c r="AP1976" s="1352"/>
      <c r="AQ1976" s="1352"/>
      <c r="AR1976" s="1352"/>
      <c r="AS1976" s="1352"/>
    </row>
    <row r="1977" spans="1:60" x14ac:dyDescent="0.2">
      <c r="A1977" s="1507">
        <v>9</v>
      </c>
      <c r="B1977" s="1516">
        <v>901.9</v>
      </c>
      <c r="C1977" s="1511"/>
      <c r="D1977" s="1511"/>
      <c r="E1977" s="1511"/>
      <c r="F1977" s="1511"/>
      <c r="G1977" s="1509" t="str">
        <f>G1975</f>
        <v>P</v>
      </c>
      <c r="H1977" s="1510" t="s">
        <v>3199</v>
      </c>
      <c r="I1977" s="406"/>
      <c r="J1977" s="129"/>
      <c r="K1977" s="129"/>
      <c r="L1977" s="1629"/>
      <c r="M1977" s="545"/>
      <c r="N1977" s="543"/>
      <c r="O1977" s="543"/>
      <c r="P1977" s="96"/>
      <c r="Q1977" s="96"/>
      <c r="R1977" s="96"/>
      <c r="S1977" s="96"/>
      <c r="T1977" s="96"/>
      <c r="U1977" s="96"/>
      <c r="V1977" s="96"/>
      <c r="W1977" s="96"/>
      <c r="X1977" s="1600"/>
      <c r="Y1977" s="1874"/>
      <c r="Z1977" s="1889"/>
      <c r="AB1977" s="538"/>
      <c r="AC1977" s="538"/>
      <c r="AD1977" s="538"/>
      <c r="AE1977" s="538"/>
      <c r="AF1977" s="538"/>
      <c r="AG1977" s="538"/>
      <c r="AH1977" s="538"/>
      <c r="AI1977" s="538"/>
      <c r="AJ1977" s="538"/>
      <c r="AK1977" s="538"/>
      <c r="AL1977" s="1352"/>
      <c r="AM1977" s="1352"/>
      <c r="AN1977" s="1352"/>
      <c r="AO1977" s="1352"/>
      <c r="AP1977" s="1352"/>
      <c r="AQ1977" s="1352"/>
      <c r="AR1977" s="1352"/>
      <c r="AS1977" s="1352"/>
      <c r="AT1977" s="538"/>
      <c r="AU1977" s="538"/>
      <c r="AV1977" s="538"/>
      <c r="AW1977" s="538"/>
      <c r="AX1977" s="538"/>
      <c r="AY1977" s="538"/>
      <c r="AZ1977" s="538"/>
      <c r="BA1977" s="538"/>
      <c r="BB1977" s="538"/>
      <c r="BC1977" s="538"/>
      <c r="BD1977" s="538"/>
      <c r="BE1977" s="538"/>
      <c r="BF1977" s="538"/>
      <c r="BG1977" s="538"/>
      <c r="BH1977" s="538"/>
    </row>
    <row r="1978" spans="1:60" x14ac:dyDescent="0.2">
      <c r="A1978" s="1507">
        <v>9</v>
      </c>
      <c r="B1978" s="1516" t="s">
        <v>2723</v>
      </c>
      <c r="C1978" s="1511"/>
      <c r="D1978" s="1511"/>
      <c r="E1978" s="1511"/>
      <c r="F1978" s="1511"/>
      <c r="G1978" s="1509" t="str">
        <f>IF(N1978&gt;0,"P","")</f>
        <v>P</v>
      </c>
      <c r="H1978" s="1510" t="s">
        <v>3199</v>
      </c>
      <c r="I1978" s="67" t="s">
        <v>3678</v>
      </c>
      <c r="J1978" s="4"/>
      <c r="K1978" s="4"/>
      <c r="L1978" s="1631" t="s">
        <v>3736</v>
      </c>
      <c r="M1978" s="1628">
        <v>5</v>
      </c>
      <c r="N1978" s="1669">
        <f>'11.900'!O131</f>
        <v>5</v>
      </c>
      <c r="O1978" s="1669">
        <f>M1978*S1980*IFERROR(OR(W1980,W1982,W1983),0)</f>
        <v>5</v>
      </c>
      <c r="P1978" s="538"/>
      <c r="Q1978" s="538"/>
      <c r="R1978" s="538"/>
      <c r="S1978" s="538"/>
      <c r="T1978" s="538"/>
      <c r="U1978" s="538"/>
      <c r="V1978" s="538"/>
      <c r="W1978" s="538"/>
      <c r="X1978" s="538"/>
      <c r="Y1978" s="538"/>
      <c r="Z1978" s="670"/>
      <c r="AB1978" s="538"/>
      <c r="AC1978" s="538"/>
      <c r="AD1978" s="538"/>
      <c r="AE1978" s="538"/>
      <c r="AF1978" s="538"/>
      <c r="AG1978" s="538"/>
      <c r="AH1978" s="538"/>
      <c r="AI1978" s="538"/>
      <c r="AJ1978" s="538"/>
      <c r="AK1978" s="538"/>
      <c r="AL1978" s="1352" t="str">
        <f>SUBSTITUTE(SUBSTITUTE(SUBSTITUTE("vpa"&amp;$B1978&amp;$C1978&amp;$D1978&amp;$E1978,".","_"),"(","_"),")","")</f>
        <v>vpa901_9_1</v>
      </c>
      <c r="AM1978" s="1352">
        <f>M1978</f>
        <v>5</v>
      </c>
      <c r="AN1978" s="1352" t="str">
        <f>SUBSTITUTE(SUBSTITUTE(SUBSTITUTE("vpc"&amp;$B1978&amp;$C1978&amp;$D1978&amp;$E1978,".","_"),"(","_"),")","")</f>
        <v>vpc901_9_1</v>
      </c>
      <c r="AO1978" s="1352">
        <f>O1978</f>
        <v>5</v>
      </c>
      <c r="AP1978" s="1352"/>
      <c r="AQ1978" s="1352"/>
      <c r="AR1978" s="1352"/>
      <c r="AS1978" s="1352"/>
      <c r="AT1978" s="538"/>
      <c r="AU1978" s="538"/>
      <c r="AV1978" s="538"/>
      <c r="AW1978" s="538"/>
      <c r="AX1978" s="538"/>
      <c r="AY1978" s="538"/>
      <c r="AZ1978" s="538"/>
      <c r="BA1978" s="538"/>
      <c r="BB1978" s="538"/>
      <c r="BC1978" s="538"/>
      <c r="BD1978" s="538"/>
      <c r="BE1978" s="538"/>
      <c r="BF1978" s="538"/>
      <c r="BG1978" s="538"/>
      <c r="BH1978" s="538"/>
    </row>
    <row r="1979" spans="1:60" x14ac:dyDescent="0.2">
      <c r="A1979" s="1507">
        <v>9</v>
      </c>
      <c r="B1979" s="1516" t="s">
        <v>2723</v>
      </c>
      <c r="C1979" s="1511"/>
      <c r="D1979" s="1511"/>
      <c r="E1979" s="1511"/>
      <c r="F1979" s="1511"/>
      <c r="G1979" s="1509" t="str">
        <f t="shared" ref="G1979:G1984" si="136">G1978</f>
        <v>P</v>
      </c>
      <c r="H1979" s="1510" t="s">
        <v>3199</v>
      </c>
      <c r="I1979" s="161"/>
      <c r="J1979" s="4"/>
      <c r="K1979" s="4"/>
      <c r="L1979" s="1631"/>
      <c r="M1979" s="1628"/>
      <c r="N1979" s="1669"/>
      <c r="O1979" s="1669"/>
      <c r="P1979" s="538"/>
      <c r="Q1979" s="538"/>
      <c r="R1979" s="538"/>
      <c r="S1979" s="538"/>
      <c r="T1979" s="538"/>
      <c r="U1979" s="538"/>
      <c r="V1979" s="538"/>
      <c r="W1979" s="538"/>
      <c r="X1979" s="538"/>
      <c r="Y1979" s="538"/>
      <c r="Z1979" s="670"/>
      <c r="AB1979" s="538"/>
      <c r="AC1979" s="538"/>
      <c r="AD1979" s="538"/>
      <c r="AE1979" s="538"/>
      <c r="AF1979" s="538"/>
      <c r="AG1979" s="538"/>
      <c r="AH1979" s="538"/>
      <c r="AI1979" s="538"/>
      <c r="AJ1979" s="538"/>
      <c r="AK1979" s="538"/>
      <c r="AL1979" s="1352"/>
      <c r="AM1979" s="1352"/>
      <c r="AN1979" s="1352"/>
      <c r="AO1979" s="1352"/>
      <c r="AP1979" s="1352"/>
      <c r="AQ1979" s="1352"/>
      <c r="AR1979" s="1352"/>
      <c r="AS1979" s="1352"/>
      <c r="AT1979" s="538"/>
      <c r="AU1979" s="538"/>
      <c r="AV1979" s="538"/>
      <c r="AW1979" s="538"/>
      <c r="AX1979" s="538"/>
      <c r="AY1979" s="538"/>
      <c r="AZ1979" s="538"/>
      <c r="BA1979" s="538"/>
      <c r="BB1979" s="538"/>
      <c r="BC1979" s="538"/>
      <c r="BD1979" s="538"/>
      <c r="BE1979" s="538"/>
      <c r="BF1979" s="538"/>
      <c r="BG1979" s="538"/>
      <c r="BH1979" s="538"/>
    </row>
    <row r="1980" spans="1:60" x14ac:dyDescent="0.2">
      <c r="A1980" s="1507">
        <v>9</v>
      </c>
      <c r="B1980" s="1516" t="s">
        <v>2723</v>
      </c>
      <c r="C1980" s="1511" t="s">
        <v>254</v>
      </c>
      <c r="D1980" s="1511"/>
      <c r="E1980" s="1511"/>
      <c r="F1980" s="1511"/>
      <c r="G1980" s="1509" t="str">
        <f t="shared" si="136"/>
        <v>P</v>
      </c>
      <c r="H1980" s="1510" t="s">
        <v>3199</v>
      </c>
      <c r="I1980" s="161"/>
      <c r="J1980" s="180" t="s">
        <v>254</v>
      </c>
      <c r="K1980" s="129"/>
      <c r="L1980" s="1609" t="s">
        <v>2724</v>
      </c>
      <c r="M1980" s="554"/>
      <c r="N1980" s="540"/>
      <c r="O1980" s="540"/>
      <c r="P1980" s="96" t="b">
        <v>0</v>
      </c>
      <c r="Q1980" s="96" t="b">
        <v>1</v>
      </c>
      <c r="R1980" s="538" t="b">
        <v>0</v>
      </c>
      <c r="S1980" s="538" t="b">
        <f>NOT(W1990)</f>
        <v>1</v>
      </c>
      <c r="T1980" s="96" t="b">
        <f>AND(NOT(S1980),W1980=TRUE)</f>
        <v>0</v>
      </c>
      <c r="U1980" s="538"/>
      <c r="V1980" s="538"/>
      <c r="W1980" s="27"/>
      <c r="X1980" s="1600"/>
      <c r="Y1980" s="1874" t="str">
        <f>IF(LEN('11.900'!X133)=0,"None",'11.900'!X133)</f>
        <v>None</v>
      </c>
      <c r="Z1980" s="1889"/>
      <c r="AB1980" s="538"/>
      <c r="AC1980" s="538" t="b">
        <f>OR(AD1980:AE1980)</f>
        <v>0</v>
      </c>
      <c r="AD1980" s="538" t="b">
        <f>T1980</f>
        <v>0</v>
      </c>
      <c r="AE1980" s="538"/>
      <c r="AF1980" s="720"/>
      <c r="AG1980" s="538"/>
      <c r="AH1980" s="538"/>
      <c r="AI1980" s="538"/>
      <c r="AJ1980" s="538"/>
      <c r="AK1980" s="538"/>
      <c r="AL1980" s="1352"/>
      <c r="AM1980" s="1352"/>
      <c r="AN1980" s="1352"/>
      <c r="AO1980" s="1352"/>
      <c r="AP1980" s="1352" t="str">
        <f>SUBSTITUTE(SUBSTITUTE(SUBSTITUTE("vch"&amp;$B1980&amp;$C1980&amp;$D1980&amp;$E1980,".","_"),"(","_"),")","")</f>
        <v>vch901_9_1_1</v>
      </c>
      <c r="AQ1980" s="1352" t="str">
        <f>IF(LEN(W1980)=0,"",W1980)</f>
        <v/>
      </c>
      <c r="AR1980" s="1352" t="str">
        <f>SUBSTITUTE(SUBSTITUTE(SUBSTITUTE("vnt"&amp;$B1980&amp;$C1980&amp;$D1980&amp;$E1980,".","_"),"(","_"),")","")</f>
        <v>vnt901_9_1_1</v>
      </c>
      <c r="AS1980" s="1352" t="str">
        <f>IF(LEN(X1980)=0,"",X1980)</f>
        <v/>
      </c>
      <c r="AT1980" s="538"/>
      <c r="AU1980" s="538"/>
      <c r="AV1980" s="538"/>
      <c r="AW1980" s="538"/>
      <c r="AX1980" s="538"/>
      <c r="AY1980" s="538"/>
      <c r="AZ1980" s="538"/>
      <c r="BA1980" s="538"/>
      <c r="BB1980" s="538"/>
      <c r="BC1980" s="538"/>
      <c r="BD1980" s="538"/>
      <c r="BE1980" s="538"/>
      <c r="BF1980" s="538"/>
      <c r="BG1980" s="538"/>
      <c r="BH1980" s="538"/>
    </row>
    <row r="1981" spans="1:60" x14ac:dyDescent="0.2">
      <c r="A1981" s="1507">
        <v>9</v>
      </c>
      <c r="B1981" s="1516" t="s">
        <v>2723</v>
      </c>
      <c r="C1981" s="1511" t="s">
        <v>254</v>
      </c>
      <c r="D1981" s="1511"/>
      <c r="E1981" s="1511"/>
      <c r="F1981" s="1511"/>
      <c r="G1981" s="1509" t="str">
        <f t="shared" si="136"/>
        <v>P</v>
      </c>
      <c r="H1981" s="1510" t="s">
        <v>3199</v>
      </c>
      <c r="I1981" s="161"/>
      <c r="J1981" s="213"/>
      <c r="K1981" s="213"/>
      <c r="L1981" s="1612"/>
      <c r="M1981" s="554"/>
      <c r="N1981" s="540"/>
      <c r="O1981" s="540"/>
      <c r="P1981" s="538"/>
      <c r="Q1981" s="538"/>
      <c r="R1981" s="538"/>
      <c r="S1981" s="538"/>
      <c r="T1981" s="538"/>
      <c r="U1981" s="538"/>
      <c r="V1981" s="538"/>
      <c r="W1981" s="538"/>
      <c r="X1981" s="1600"/>
      <c r="Y1981" s="1874"/>
      <c r="Z1981" s="1889"/>
      <c r="AB1981" s="538"/>
      <c r="AC1981" s="538"/>
      <c r="AD1981" s="538"/>
      <c r="AE1981" s="538"/>
      <c r="AF1981" s="538"/>
      <c r="AG1981" s="538"/>
      <c r="AH1981" s="538"/>
      <c r="AI1981" s="538"/>
      <c r="AJ1981" s="538"/>
      <c r="AK1981" s="538"/>
      <c r="AL1981" s="1352"/>
      <c r="AM1981" s="1352"/>
      <c r="AN1981" s="1352"/>
      <c r="AO1981" s="1352"/>
      <c r="AP1981" s="1352"/>
      <c r="AQ1981" s="1352"/>
      <c r="AR1981" s="1352"/>
      <c r="AS1981" s="1352"/>
      <c r="AT1981" s="538"/>
      <c r="AU1981" s="538"/>
      <c r="AV1981" s="538"/>
      <c r="AW1981" s="538"/>
      <c r="AX1981" s="538"/>
      <c r="AY1981" s="538"/>
      <c r="AZ1981" s="538"/>
      <c r="BA1981" s="538"/>
      <c r="BB1981" s="538"/>
      <c r="BC1981" s="538"/>
      <c r="BD1981" s="538"/>
      <c r="BE1981" s="538"/>
      <c r="BF1981" s="538"/>
      <c r="BG1981" s="538"/>
      <c r="BH1981" s="538"/>
    </row>
    <row r="1982" spans="1:60" ht="16" x14ac:dyDescent="0.2">
      <c r="A1982" s="1507">
        <v>9</v>
      </c>
      <c r="B1982" s="1516" t="s">
        <v>2723</v>
      </c>
      <c r="C1982" s="1511" t="s">
        <v>255</v>
      </c>
      <c r="D1982" s="1511"/>
      <c r="E1982" s="1511"/>
      <c r="F1982" s="1511"/>
      <c r="G1982" s="1509" t="str">
        <f t="shared" si="136"/>
        <v>P</v>
      </c>
      <c r="H1982" s="1510" t="s">
        <v>3199</v>
      </c>
      <c r="I1982" s="161"/>
      <c r="J1982" s="207" t="s">
        <v>255</v>
      </c>
      <c r="K1982" s="213"/>
      <c r="L1982" s="550" t="s">
        <v>2725</v>
      </c>
      <c r="M1982" s="554"/>
      <c r="N1982" s="540"/>
      <c r="O1982" s="540"/>
      <c r="P1982" s="96" t="b">
        <v>0</v>
      </c>
      <c r="Q1982" s="96" t="b">
        <v>1</v>
      </c>
      <c r="R1982" s="538" t="b">
        <v>0</v>
      </c>
      <c r="S1982" s="538" t="b">
        <f>NOT(W1990)</f>
        <v>1</v>
      </c>
      <c r="T1982" s="96" t="b">
        <f>AND(NOT(S1982),W1982=TRUE)</f>
        <v>0</v>
      </c>
      <c r="U1982" s="538"/>
      <c r="V1982" s="538"/>
      <c r="W1982" s="27"/>
      <c r="X1982" s="541"/>
      <c r="Y1982" s="572" t="str">
        <f>IF(LEN('11.900'!X135)=0,"None",'11.900'!X135)</f>
        <v>None</v>
      </c>
      <c r="Z1982" s="715"/>
      <c r="AB1982" s="538"/>
      <c r="AC1982" s="538" t="b">
        <f>OR(AD1982:AE1982)</f>
        <v>0</v>
      </c>
      <c r="AD1982" s="538" t="b">
        <f>T1982</f>
        <v>0</v>
      </c>
      <c r="AE1982" s="538"/>
      <c r="AF1982" s="720"/>
      <c r="AG1982" s="538"/>
      <c r="AH1982" s="538"/>
      <c r="AI1982" s="538"/>
      <c r="AJ1982" s="538"/>
      <c r="AK1982" s="538"/>
      <c r="AL1982" s="1352"/>
      <c r="AM1982" s="1352"/>
      <c r="AN1982" s="1352"/>
      <c r="AO1982" s="1352"/>
      <c r="AP1982" s="1352" t="str">
        <f>SUBSTITUTE(SUBSTITUTE(SUBSTITUTE("vch"&amp;$B1982&amp;$C1982&amp;$D1982&amp;$E1982,".","_"),"(","_"),")","")</f>
        <v>vch901_9_1_2</v>
      </c>
      <c r="AQ1982" s="1352" t="str">
        <f>IF(LEN(W1982)=0,"",W1982)</f>
        <v/>
      </c>
      <c r="AR1982" s="1352" t="str">
        <f>SUBSTITUTE(SUBSTITUTE(SUBSTITUTE("vnt"&amp;$B1982&amp;$C1982&amp;$D1982&amp;$E1982,".","_"),"(","_"),")","")</f>
        <v>vnt901_9_1_2</v>
      </c>
      <c r="AS1982" s="1352" t="str">
        <f>IF(LEN(X1982)=0,"",X1982)</f>
        <v/>
      </c>
      <c r="AT1982" s="538"/>
      <c r="AU1982" s="538"/>
      <c r="AV1982" s="538"/>
      <c r="AW1982" s="538"/>
      <c r="AX1982" s="538"/>
      <c r="AY1982" s="538"/>
      <c r="AZ1982" s="538"/>
      <c r="BA1982" s="538"/>
      <c r="BB1982" s="538"/>
      <c r="BC1982" s="538"/>
      <c r="BD1982" s="538"/>
      <c r="BE1982" s="538"/>
      <c r="BF1982" s="538"/>
      <c r="BG1982" s="538"/>
      <c r="BH1982" s="538"/>
    </row>
    <row r="1983" spans="1:60" x14ac:dyDescent="0.2">
      <c r="A1983" s="1507">
        <v>9</v>
      </c>
      <c r="B1983" s="1516" t="s">
        <v>2723</v>
      </c>
      <c r="C1983" s="1511" t="s">
        <v>256</v>
      </c>
      <c r="D1983" s="1511"/>
      <c r="E1983" s="1511"/>
      <c r="F1983" s="1511"/>
      <c r="G1983" s="1509" t="str">
        <f t="shared" si="136"/>
        <v>P</v>
      </c>
      <c r="H1983" s="1510" t="s">
        <v>3199</v>
      </c>
      <c r="I1983" s="406"/>
      <c r="J1983" s="180" t="s">
        <v>256</v>
      </c>
      <c r="K1983" s="129"/>
      <c r="L1983" s="549" t="s">
        <v>3879</v>
      </c>
      <c r="M1983" s="545"/>
      <c r="N1983" s="543"/>
      <c r="O1983" s="543"/>
      <c r="P1983" s="96" t="b">
        <v>0</v>
      </c>
      <c r="Q1983" s="96" t="b">
        <v>1</v>
      </c>
      <c r="R1983" s="96" t="b">
        <v>0</v>
      </c>
      <c r="S1983" s="96" t="b">
        <f>NOT(W1990)</f>
        <v>1</v>
      </c>
      <c r="T1983" s="96" t="b">
        <f>AND(NOT(S1983),W1983=TRUE)</f>
        <v>0</v>
      </c>
      <c r="U1983" s="96"/>
      <c r="V1983" s="96"/>
      <c r="W1983" s="27" t="b">
        <v>1</v>
      </c>
      <c r="X1983" s="1601"/>
      <c r="Y1983" s="1874" t="str">
        <f>IF(LEN('11.900'!X136)=0,"None",'11.900'!X136)</f>
        <v>None</v>
      </c>
      <c r="Z1983" s="1889"/>
      <c r="AB1983" s="538"/>
      <c r="AC1983" s="538" t="b">
        <f>OR(AD1983:AE1983)</f>
        <v>0</v>
      </c>
      <c r="AD1983" s="538" t="b">
        <f>T1983</f>
        <v>0</v>
      </c>
      <c r="AE1983" s="538"/>
      <c r="AF1983" s="720"/>
      <c r="AG1983" s="538"/>
      <c r="AH1983" s="538"/>
      <c r="AI1983" s="538"/>
      <c r="AJ1983" s="538"/>
      <c r="AK1983" s="538"/>
      <c r="AL1983" s="1352"/>
      <c r="AM1983" s="1352"/>
      <c r="AN1983" s="1352"/>
      <c r="AO1983" s="1352"/>
      <c r="AP1983" s="1352" t="str">
        <f>SUBSTITUTE(SUBSTITUTE(SUBSTITUTE("vch"&amp;$B1983&amp;$C1983&amp;$D1983&amp;$E1983,".","_"),"(","_"),")","")</f>
        <v>vch901_9_1_3</v>
      </c>
      <c r="AQ1983" s="1352" t="b">
        <f>IF(LEN(W1983)=0,"",W1983)</f>
        <v>1</v>
      </c>
      <c r="AR1983" s="1352" t="str">
        <f>SUBSTITUTE(SUBSTITUTE(SUBSTITUTE("vnt"&amp;$B1983&amp;$C1983&amp;$D1983&amp;$E1983,".","_"),"(","_"),")","")</f>
        <v>vnt901_9_1_3</v>
      </c>
      <c r="AS1983" s="1352" t="str">
        <f>IF(LEN(X1983)=0,"",X1983)</f>
        <v/>
      </c>
      <c r="AT1983" s="538"/>
      <c r="AU1983" s="538"/>
      <c r="AV1983" s="538"/>
      <c r="AW1983" s="538"/>
      <c r="AX1983" s="538"/>
      <c r="AY1983" s="538"/>
      <c r="AZ1983" s="538"/>
      <c r="BA1983" s="538"/>
      <c r="BB1983" s="538"/>
      <c r="BC1983" s="538"/>
      <c r="BD1983" s="538"/>
      <c r="BE1983" s="538"/>
      <c r="BF1983" s="538"/>
      <c r="BG1983" s="538"/>
      <c r="BH1983" s="538"/>
    </row>
    <row r="1984" spans="1:60" x14ac:dyDescent="0.2">
      <c r="A1984" s="1507">
        <v>9</v>
      </c>
      <c r="B1984" s="1516" t="s">
        <v>2723</v>
      </c>
      <c r="C1984" s="1511" t="s">
        <v>256</v>
      </c>
      <c r="D1984" s="1521"/>
      <c r="E1984" s="1521"/>
      <c r="F1984" s="1521"/>
      <c r="G1984" s="1509" t="str">
        <f t="shared" si="136"/>
        <v>P</v>
      </c>
      <c r="H1984" s="1510" t="s">
        <v>3199</v>
      </c>
      <c r="I1984" s="173"/>
      <c r="J1984" s="173"/>
      <c r="K1984" s="173"/>
      <c r="L1984" s="441" t="s">
        <v>3882</v>
      </c>
      <c r="M1984" s="213"/>
      <c r="N1984" s="213"/>
      <c r="O1984" s="213"/>
      <c r="P1984" s="173"/>
      <c r="Q1984" s="173"/>
      <c r="R1984" s="173"/>
      <c r="S1984" s="173"/>
      <c r="T1984" s="173"/>
      <c r="U1984" s="173"/>
      <c r="V1984" s="173"/>
      <c r="W1984" s="173"/>
      <c r="X1984" s="1601"/>
      <c r="Y1984" s="1874"/>
      <c r="Z1984" s="1889"/>
      <c r="AB1984" s="538"/>
      <c r="AC1984" s="538"/>
      <c r="AD1984" s="538"/>
      <c r="AE1984" s="538"/>
      <c r="AF1984" s="538"/>
      <c r="AG1984" s="538"/>
      <c r="AH1984" s="538"/>
      <c r="AI1984" s="538"/>
      <c r="AJ1984" s="538"/>
      <c r="AK1984" s="538"/>
      <c r="AL1984" s="1352"/>
      <c r="AM1984" s="1352"/>
      <c r="AN1984" s="1352"/>
      <c r="AO1984" s="1352"/>
      <c r="AP1984" s="1352"/>
      <c r="AQ1984" s="1352"/>
      <c r="AR1984" s="1352"/>
      <c r="AS1984" s="1352"/>
      <c r="AT1984" s="538"/>
      <c r="AU1984" s="538"/>
      <c r="AV1984" s="538"/>
      <c r="AW1984" s="538"/>
      <c r="AX1984" s="538"/>
      <c r="AY1984" s="538"/>
      <c r="AZ1984" s="538"/>
      <c r="BA1984" s="538"/>
      <c r="BB1984" s="538"/>
      <c r="BC1984" s="538"/>
      <c r="BD1984" s="538"/>
      <c r="BE1984" s="538"/>
      <c r="BF1984" s="538"/>
      <c r="BG1984" s="538"/>
      <c r="BH1984" s="538"/>
    </row>
    <row r="1985" spans="1:60" hidden="1" x14ac:dyDescent="0.2">
      <c r="A1985" s="1507">
        <v>9</v>
      </c>
      <c r="B1985" s="1516" t="s">
        <v>2726</v>
      </c>
      <c r="C1985" s="1511"/>
      <c r="D1985" s="1511"/>
      <c r="E1985" s="1511"/>
      <c r="F1985" s="1511"/>
      <c r="G1985" s="1509" t="str">
        <f>IF(N1985&gt;0,"P","")</f>
        <v/>
      </c>
      <c r="H1985" s="1510" t="s">
        <v>3199</v>
      </c>
      <c r="I1985" s="192" t="s">
        <v>3679</v>
      </c>
      <c r="J1985" s="193"/>
      <c r="K1985" s="193"/>
      <c r="L1985" s="1712" t="s">
        <v>3735</v>
      </c>
      <c r="M1985" s="1636">
        <v>1</v>
      </c>
      <c r="N1985" s="1637">
        <f>'11.900'!O138</f>
        <v>0</v>
      </c>
      <c r="O1985" s="1637">
        <f>M1985*S1985*W1985</f>
        <v>0</v>
      </c>
      <c r="P1985" s="96" t="b">
        <v>0</v>
      </c>
      <c r="Q1985" s="96" t="b">
        <v>1</v>
      </c>
      <c r="R1985" s="195" t="b">
        <v>0</v>
      </c>
      <c r="S1985" s="195" t="b">
        <f>IFERROR(OR(AND(W1980,W1982,W1983),W1990),FALSE)</f>
        <v>1</v>
      </c>
      <c r="T1985" s="195" t="b">
        <f>AND(NOT(S1985),W1985=TRUE)</f>
        <v>0</v>
      </c>
      <c r="U1985" s="195"/>
      <c r="V1985" s="195"/>
      <c r="W1985" s="27"/>
      <c r="X1985" s="1601"/>
      <c r="Y1985" s="1874" t="str">
        <f>IF(LEN('11.900'!X138)=0,"None",'11.900'!X138)</f>
        <v>None</v>
      </c>
      <c r="Z1985" s="1889"/>
      <c r="AB1985" s="538"/>
      <c r="AC1985" s="538" t="b">
        <f>OR(AD1985:AE1985)</f>
        <v>0</v>
      </c>
      <c r="AD1985" s="538" t="b">
        <f>T1985</f>
        <v>0</v>
      </c>
      <c r="AE1985" s="538"/>
      <c r="AF1985" s="720"/>
      <c r="AG1985" s="538"/>
      <c r="AH1985" s="538"/>
      <c r="AI1985" s="538"/>
      <c r="AJ1985" s="538"/>
      <c r="AK1985" s="538"/>
      <c r="AL1985" s="1352" t="str">
        <f>SUBSTITUTE(SUBSTITUTE(SUBSTITUTE("vpa"&amp;$B1985&amp;$C1985&amp;$D1985&amp;$E1985,".","_"),"(","_"),")","")</f>
        <v>vpa901_9_2</v>
      </c>
      <c r="AM1985" s="1352">
        <f>M1985</f>
        <v>1</v>
      </c>
      <c r="AN1985" s="1352" t="str">
        <f>SUBSTITUTE(SUBSTITUTE(SUBSTITUTE("vpc"&amp;$B1985&amp;$C1985&amp;$D1985&amp;$E1985,".","_"),"(","_"),")","")</f>
        <v>vpc901_9_2</v>
      </c>
      <c r="AO1985" s="1352">
        <f>O1985</f>
        <v>0</v>
      </c>
      <c r="AP1985" s="1352" t="str">
        <f>SUBSTITUTE(SUBSTITUTE(SUBSTITUTE("vch"&amp;$B1985&amp;$C1985&amp;$D1985&amp;$E1985,".","_"),"(","_"),")","")</f>
        <v>vch901_9_2</v>
      </c>
      <c r="AQ1985" s="1352" t="str">
        <f>IF(LEN(W1985)=0,"",W1985)</f>
        <v/>
      </c>
      <c r="AR1985" s="1352" t="str">
        <f>SUBSTITUTE(SUBSTITUTE(SUBSTITUTE("vnt"&amp;$B1985&amp;$C1985&amp;$D1985&amp;$E1985,".","_"),"(","_"),")","")</f>
        <v>vnt901_9_2</v>
      </c>
      <c r="AS1985" s="1352" t="str">
        <f>IF(LEN(X1985)=0,"",X1985)</f>
        <v/>
      </c>
      <c r="AT1985" s="538"/>
      <c r="AU1985" s="538"/>
      <c r="AV1985" s="538"/>
      <c r="AW1985" s="538"/>
      <c r="AX1985" s="538"/>
      <c r="AY1985" s="538"/>
      <c r="AZ1985" s="538"/>
      <c r="BA1985" s="538"/>
      <c r="BB1985" s="538"/>
      <c r="BC1985" s="538"/>
      <c r="BD1985" s="538"/>
      <c r="BE1985" s="538"/>
      <c r="BF1985" s="538"/>
      <c r="BG1985" s="538"/>
      <c r="BH1985" s="538"/>
    </row>
    <row r="1986" spans="1:60" hidden="1" x14ac:dyDescent="0.2">
      <c r="A1986" s="1507">
        <v>9</v>
      </c>
      <c r="B1986" s="1516" t="s">
        <v>2726</v>
      </c>
      <c r="C1986" s="1511"/>
      <c r="D1986" s="1511"/>
      <c r="E1986" s="1511"/>
      <c r="F1986" s="1511"/>
      <c r="G1986" s="1509" t="str">
        <f>G1985</f>
        <v/>
      </c>
      <c r="H1986" s="1510" t="s">
        <v>3199</v>
      </c>
      <c r="I1986" s="406"/>
      <c r="J1986" s="129"/>
      <c r="K1986" s="129"/>
      <c r="L1986" s="1629"/>
      <c r="M1986" s="1623"/>
      <c r="N1986" s="1619"/>
      <c r="O1986" s="1619"/>
      <c r="P1986" s="96"/>
      <c r="Q1986" s="96"/>
      <c r="R1986" s="96"/>
      <c r="S1986" s="96"/>
      <c r="T1986" s="96"/>
      <c r="U1986" s="96"/>
      <c r="V1986" s="96"/>
      <c r="W1986" s="96"/>
      <c r="X1986" s="1601"/>
      <c r="Y1986" s="1874"/>
      <c r="Z1986" s="1889"/>
      <c r="AB1986" s="538"/>
      <c r="AC1986" s="538"/>
      <c r="AD1986" s="538"/>
      <c r="AE1986" s="538"/>
      <c r="AF1986" s="538"/>
      <c r="AG1986" s="538"/>
      <c r="AH1986" s="538"/>
      <c r="AI1986" s="538"/>
      <c r="AJ1986" s="538"/>
      <c r="AK1986" s="538"/>
      <c r="AL1986" s="1352"/>
      <c r="AM1986" s="1352"/>
      <c r="AN1986" s="1352"/>
      <c r="AO1986" s="1352"/>
      <c r="AP1986" s="1352"/>
      <c r="AQ1986" s="1352"/>
      <c r="AR1986" s="1352"/>
      <c r="AS1986" s="1352"/>
      <c r="AT1986" s="538"/>
      <c r="AU1986" s="538"/>
      <c r="AV1986" s="538"/>
      <c r="AW1986" s="538"/>
      <c r="AX1986" s="538"/>
      <c r="AY1986" s="538"/>
      <c r="AZ1986" s="538"/>
      <c r="BA1986" s="538"/>
      <c r="BB1986" s="538"/>
      <c r="BC1986" s="538"/>
      <c r="BD1986" s="538"/>
      <c r="BE1986" s="538"/>
      <c r="BF1986" s="538"/>
      <c r="BG1986" s="538"/>
      <c r="BH1986" s="538"/>
    </row>
    <row r="1987" spans="1:60" hidden="1" x14ac:dyDescent="0.2">
      <c r="A1987" s="1507">
        <v>9</v>
      </c>
      <c r="B1987" s="1516" t="s">
        <v>2726</v>
      </c>
      <c r="C1987" s="1511"/>
      <c r="D1987" s="1511"/>
      <c r="E1987" s="1511"/>
      <c r="F1987" s="1511"/>
      <c r="G1987" s="1509" t="str">
        <f>G1986</f>
        <v/>
      </c>
      <c r="H1987" s="1510" t="s">
        <v>3199</v>
      </c>
      <c r="I1987" s="406"/>
      <c r="J1987" s="129"/>
      <c r="K1987" s="129"/>
      <c r="L1987" s="1772" t="s">
        <v>3880</v>
      </c>
      <c r="M1987" s="1623"/>
      <c r="N1987" s="1619"/>
      <c r="O1987" s="1619"/>
      <c r="P1987" s="96"/>
      <c r="Q1987" s="96"/>
      <c r="R1987" s="96"/>
      <c r="S1987" s="96"/>
      <c r="T1987" s="96"/>
      <c r="U1987" s="96"/>
      <c r="V1987" s="96"/>
      <c r="W1987" s="96"/>
      <c r="X1987" s="1601"/>
      <c r="Y1987" s="1874"/>
      <c r="Z1987" s="1889"/>
      <c r="AB1987" s="538"/>
      <c r="AC1987" s="538"/>
      <c r="AD1987" s="538"/>
      <c r="AE1987" s="538"/>
      <c r="AF1987" s="538"/>
      <c r="AG1987" s="538"/>
      <c r="AH1987" s="538"/>
      <c r="AI1987" s="538"/>
      <c r="AJ1987" s="538"/>
      <c r="AK1987" s="538"/>
      <c r="AL1987" s="1352"/>
      <c r="AM1987" s="1352"/>
      <c r="AN1987" s="1352"/>
      <c r="AO1987" s="1352"/>
      <c r="AP1987" s="1352"/>
      <c r="AQ1987" s="1352"/>
      <c r="AR1987" s="1352"/>
      <c r="AS1987" s="1352"/>
      <c r="AT1987" s="538"/>
      <c r="AU1987" s="538"/>
      <c r="AV1987" s="538"/>
      <c r="AW1987" s="538"/>
      <c r="AX1987" s="538"/>
      <c r="AY1987" s="538"/>
      <c r="AZ1987" s="538"/>
      <c r="BA1987" s="538"/>
      <c r="BB1987" s="538"/>
      <c r="BC1987" s="538"/>
      <c r="BD1987" s="538"/>
      <c r="BE1987" s="538"/>
      <c r="BF1987" s="538"/>
      <c r="BG1987" s="538"/>
      <c r="BH1987" s="538"/>
    </row>
    <row r="1988" spans="1:60" hidden="1" x14ac:dyDescent="0.2">
      <c r="A1988" s="1507">
        <v>9</v>
      </c>
      <c r="B1988" s="1516" t="s">
        <v>2726</v>
      </c>
      <c r="C1988" s="1511"/>
      <c r="D1988" s="1511"/>
      <c r="E1988" s="1511"/>
      <c r="F1988" s="1511"/>
      <c r="G1988" s="1509" t="str">
        <f>G1987</f>
        <v/>
      </c>
      <c r="H1988" s="1510" t="s">
        <v>3199</v>
      </c>
      <c r="I1988" s="406"/>
      <c r="J1988" s="129"/>
      <c r="K1988" s="129"/>
      <c r="L1988" s="1772"/>
      <c r="M1988" s="1623"/>
      <c r="N1988" s="1619"/>
      <c r="O1988" s="1619"/>
      <c r="P1988" s="96"/>
      <c r="Q1988" s="96"/>
      <c r="R1988" s="96"/>
      <c r="S1988" s="96"/>
      <c r="T1988" s="96"/>
      <c r="U1988" s="96"/>
      <c r="V1988" s="96"/>
      <c r="W1988" s="96"/>
      <c r="X1988" s="1601"/>
      <c r="Y1988" s="1874"/>
      <c r="Z1988" s="1889"/>
      <c r="AB1988" s="538"/>
      <c r="AC1988" s="538"/>
      <c r="AD1988" s="538"/>
      <c r="AE1988" s="538"/>
      <c r="AF1988" s="538"/>
      <c r="AG1988" s="538"/>
      <c r="AH1988" s="538"/>
      <c r="AI1988" s="538"/>
      <c r="AJ1988" s="538"/>
      <c r="AK1988" s="538"/>
      <c r="AL1988" s="1352"/>
      <c r="AM1988" s="1352"/>
      <c r="AN1988" s="1352"/>
      <c r="AO1988" s="1352"/>
      <c r="AP1988" s="1352"/>
      <c r="AQ1988" s="1352"/>
      <c r="AR1988" s="1352"/>
      <c r="AS1988" s="1352"/>
      <c r="AT1988" s="538"/>
      <c r="AU1988" s="538"/>
      <c r="AV1988" s="538"/>
      <c r="AW1988" s="538"/>
      <c r="AX1988" s="538"/>
      <c r="AY1988" s="538"/>
      <c r="AZ1988" s="538"/>
      <c r="BA1988" s="538"/>
      <c r="BB1988" s="538"/>
      <c r="BC1988" s="538"/>
      <c r="BD1988" s="538"/>
      <c r="BE1988" s="538"/>
      <c r="BF1988" s="538"/>
      <c r="BG1988" s="538"/>
      <c r="BH1988" s="538"/>
    </row>
    <row r="1989" spans="1:60" hidden="1" x14ac:dyDescent="0.2">
      <c r="A1989" s="1507">
        <v>9</v>
      </c>
      <c r="B1989" s="1516" t="s">
        <v>2726</v>
      </c>
      <c r="C1989" s="1511"/>
      <c r="D1989" s="1511"/>
      <c r="E1989" s="1511"/>
      <c r="F1989" s="1511"/>
      <c r="G1989" s="1509" t="str">
        <f>G1988</f>
        <v/>
      </c>
      <c r="H1989" s="1510" t="s">
        <v>3199</v>
      </c>
      <c r="I1989" s="438"/>
      <c r="J1989" s="213"/>
      <c r="K1989" s="213"/>
      <c r="L1989" s="441" t="s">
        <v>3881</v>
      </c>
      <c r="M1989" s="546"/>
      <c r="N1989" s="544"/>
      <c r="O1989" s="544"/>
      <c r="P1989" s="173"/>
      <c r="Q1989" s="173"/>
      <c r="R1989" s="173"/>
      <c r="S1989" s="173"/>
      <c r="T1989" s="173"/>
      <c r="U1989" s="173"/>
      <c r="V1989" s="173"/>
      <c r="W1989" s="173"/>
      <c r="X1989" s="1601"/>
      <c r="Y1989" s="1874"/>
      <c r="Z1989" s="1889"/>
      <c r="AB1989" s="538"/>
      <c r="AC1989" s="538"/>
      <c r="AD1989" s="538"/>
      <c r="AE1989" s="538"/>
      <c r="AF1989" s="538"/>
      <c r="AG1989" s="538"/>
      <c r="AH1989" s="538"/>
      <c r="AI1989" s="538"/>
      <c r="AJ1989" s="538"/>
      <c r="AK1989" s="538"/>
      <c r="AL1989" s="1352"/>
      <c r="AM1989" s="1352"/>
      <c r="AN1989" s="1352"/>
      <c r="AO1989" s="1352"/>
      <c r="AP1989" s="1352"/>
      <c r="AQ1989" s="1352"/>
      <c r="AR1989" s="1352"/>
      <c r="AS1989" s="1352"/>
      <c r="AT1989" s="538"/>
      <c r="AU1989" s="538"/>
      <c r="AV1989" s="538"/>
      <c r="AW1989" s="538"/>
      <c r="AX1989" s="538"/>
      <c r="AY1989" s="538"/>
      <c r="AZ1989" s="538"/>
      <c r="BA1989" s="538"/>
      <c r="BB1989" s="538"/>
      <c r="BC1989" s="538"/>
      <c r="BD1989" s="538"/>
      <c r="BE1989" s="538"/>
      <c r="BF1989" s="538"/>
      <c r="BG1989" s="538"/>
      <c r="BH1989" s="538"/>
    </row>
    <row r="1990" spans="1:60" hidden="1" x14ac:dyDescent="0.2">
      <c r="A1990" s="1507">
        <v>9</v>
      </c>
      <c r="B1990" s="1516" t="s">
        <v>2727</v>
      </c>
      <c r="C1990" s="1511"/>
      <c r="D1990" s="1511"/>
      <c r="E1990" s="1511"/>
      <c r="F1990" s="1511"/>
      <c r="G1990" s="1509" t="str">
        <f>IF(N1990&gt;0,"P","")</f>
        <v/>
      </c>
      <c r="H1990" s="1510" t="s">
        <v>3199</v>
      </c>
      <c r="I1990" s="130" t="s">
        <v>3680</v>
      </c>
      <c r="J1990" s="129"/>
      <c r="K1990" s="129"/>
      <c r="L1990" s="1629" t="s">
        <v>3734</v>
      </c>
      <c r="M1990" s="1623">
        <v>8</v>
      </c>
      <c r="N1990" s="1619">
        <f>'11.900'!O143</f>
        <v>0</v>
      </c>
      <c r="O1990" s="1619">
        <f>M1990*S1990*W1990</f>
        <v>0</v>
      </c>
      <c r="P1990" s="96" t="b">
        <v>0</v>
      </c>
      <c r="Q1990" s="96" t="b">
        <v>1</v>
      </c>
      <c r="R1990" s="96" t="b">
        <v>0</v>
      </c>
      <c r="S1990" s="96" t="b">
        <f>AND(NOT(W1980),NOT(W1982),NOT(W1983))</f>
        <v>0</v>
      </c>
      <c r="T1990" s="96" t="b">
        <f>AND(NOT(S1990),W1990=TRUE)</f>
        <v>0</v>
      </c>
      <c r="U1990" s="96"/>
      <c r="V1990" s="96"/>
      <c r="W1990" s="27"/>
      <c r="X1990" s="1599"/>
      <c r="Y1990" s="1881" t="str">
        <f>IF(LEN('11.900'!X143)=0,"None",'11.900'!X143)</f>
        <v>None</v>
      </c>
      <c r="Z1990" s="1891"/>
      <c r="AB1990" s="538"/>
      <c r="AC1990" s="538" t="b">
        <f>OR(AD1990:AE1990)</f>
        <v>0</v>
      </c>
      <c r="AD1990" s="538" t="b">
        <f>T1990</f>
        <v>0</v>
      </c>
      <c r="AE1990" s="538"/>
      <c r="AF1990" s="720"/>
      <c r="AG1990" s="538"/>
      <c r="AH1990" s="538"/>
      <c r="AI1990" s="538"/>
      <c r="AJ1990" s="538"/>
      <c r="AK1990" s="538"/>
      <c r="AL1990" s="1352" t="str">
        <f>SUBSTITUTE(SUBSTITUTE(SUBSTITUTE("vpa"&amp;$B1990&amp;$C1990&amp;$D1990&amp;$E1990,".","_"),"(","_"),")","")</f>
        <v>vpa901_9_3</v>
      </c>
      <c r="AM1990" s="1352">
        <f>M1990</f>
        <v>8</v>
      </c>
      <c r="AN1990" s="1352" t="str">
        <f>SUBSTITUTE(SUBSTITUTE(SUBSTITUTE("vpc"&amp;$B1990&amp;$C1990&amp;$D1990&amp;$E1990,".","_"),"(","_"),")","")</f>
        <v>vpc901_9_3</v>
      </c>
      <c r="AO1990" s="1352">
        <f>O1990</f>
        <v>0</v>
      </c>
      <c r="AP1990" s="1352" t="str">
        <f>SUBSTITUTE(SUBSTITUTE(SUBSTITUTE("vch"&amp;$B1990&amp;$C1990&amp;$D1990&amp;$E1990,".","_"),"(","_"),")","")</f>
        <v>vch901_9_3</v>
      </c>
      <c r="AQ1990" s="1352" t="str">
        <f>IF(LEN(W1990)=0,"",W1990)</f>
        <v/>
      </c>
      <c r="AR1990" s="1352" t="str">
        <f>SUBSTITUTE(SUBSTITUTE(SUBSTITUTE("vnt"&amp;$B1990&amp;$C1990&amp;$D1990&amp;$E1990,".","_"),"(","_"),")","")</f>
        <v>vnt901_9_3</v>
      </c>
      <c r="AS1990" s="1352" t="str">
        <f>IF(LEN(X1990)=0,"",X1990)</f>
        <v/>
      </c>
      <c r="AT1990" s="538"/>
      <c r="AU1990" s="538"/>
      <c r="AV1990" s="538"/>
      <c r="AW1990" s="538"/>
      <c r="AX1990" s="538"/>
      <c r="AY1990" s="538"/>
      <c r="AZ1990" s="538"/>
      <c r="BA1990" s="538"/>
      <c r="BB1990" s="538"/>
      <c r="BC1990" s="538"/>
      <c r="BD1990" s="538"/>
      <c r="BE1990" s="538"/>
      <c r="BF1990" s="538"/>
      <c r="BG1990" s="538"/>
      <c r="BH1990" s="538"/>
    </row>
    <row r="1991" spans="1:60" hidden="1" x14ac:dyDescent="0.2">
      <c r="A1991" s="1507">
        <v>9</v>
      </c>
      <c r="B1991" s="1516" t="s">
        <v>2727</v>
      </c>
      <c r="C1991" s="1511"/>
      <c r="D1991" s="1511"/>
      <c r="E1991" s="1511"/>
      <c r="F1991" s="1511"/>
      <c r="G1991" s="1509" t="str">
        <f>G1990</f>
        <v/>
      </c>
      <c r="H1991" s="1510" t="s">
        <v>3199</v>
      </c>
      <c r="I1991" s="406"/>
      <c r="J1991" s="129"/>
      <c r="K1991" s="129"/>
      <c r="L1991" s="1629"/>
      <c r="M1991" s="1623"/>
      <c r="N1991" s="1619"/>
      <c r="O1991" s="1619"/>
      <c r="P1991" s="96"/>
      <c r="Q1991" s="96"/>
      <c r="R1991" s="96"/>
      <c r="S1991" s="96"/>
      <c r="T1991" s="96"/>
      <c r="U1991" s="96"/>
      <c r="V1991" s="96"/>
      <c r="W1991" s="96"/>
      <c r="X1991" s="1601"/>
      <c r="Y1991" s="1881"/>
      <c r="Z1991" s="1891"/>
      <c r="AB1991" s="538"/>
      <c r="AC1991" s="538"/>
      <c r="AD1991" s="538"/>
      <c r="AE1991" s="538"/>
      <c r="AF1991" s="538"/>
      <c r="AG1991" s="538"/>
      <c r="AH1991" s="538"/>
      <c r="AI1991" s="538"/>
      <c r="AJ1991" s="538"/>
      <c r="AK1991" s="538"/>
      <c r="AL1991" s="1352"/>
      <c r="AM1991" s="1352"/>
      <c r="AN1991" s="1352"/>
      <c r="AO1991" s="1352"/>
      <c r="AP1991" s="1352"/>
      <c r="AQ1991" s="1352"/>
      <c r="AR1991" s="1352"/>
      <c r="AS1991" s="1352"/>
      <c r="AT1991" s="538"/>
      <c r="AU1991" s="538"/>
      <c r="AV1991" s="538"/>
      <c r="AW1991" s="538"/>
      <c r="AX1991" s="538"/>
      <c r="AY1991" s="538"/>
      <c r="AZ1991" s="538"/>
      <c r="BA1991" s="538"/>
      <c r="BB1991" s="538"/>
      <c r="BC1991" s="538"/>
      <c r="BD1991" s="538"/>
      <c r="BE1991" s="538"/>
      <c r="BF1991" s="538"/>
      <c r="BG1991" s="538"/>
      <c r="BH1991" s="538"/>
    </row>
    <row r="1992" spans="1:60" hidden="1" x14ac:dyDescent="0.2">
      <c r="A1992" s="1507">
        <v>9</v>
      </c>
      <c r="B1992" s="1516" t="s">
        <v>2727</v>
      </c>
      <c r="C1992" s="1511"/>
      <c r="D1992" s="1511"/>
      <c r="E1992" s="1511"/>
      <c r="F1992" s="1511"/>
      <c r="G1992" s="1509" t="str">
        <f>G1991</f>
        <v/>
      </c>
      <c r="H1992" s="1510" t="s">
        <v>3199</v>
      </c>
      <c r="I1992" s="406"/>
      <c r="J1992" s="129"/>
      <c r="K1992" s="129"/>
      <c r="L1992" s="1629"/>
      <c r="M1992" s="1623"/>
      <c r="N1992" s="1619"/>
      <c r="O1992" s="1619"/>
      <c r="P1992" s="96"/>
      <c r="Q1992" s="96"/>
      <c r="R1992" s="96"/>
      <c r="S1992" s="96"/>
      <c r="T1992" s="96"/>
      <c r="U1992" s="96"/>
      <c r="V1992" s="96"/>
      <c r="W1992" s="96"/>
      <c r="X1992" s="1601"/>
      <c r="Y1992" s="1881"/>
      <c r="Z1992" s="1891"/>
      <c r="AB1992" s="538"/>
      <c r="AC1992" s="538"/>
      <c r="AD1992" s="538"/>
      <c r="AE1992" s="538"/>
      <c r="AF1992" s="538"/>
      <c r="AG1992" s="538"/>
      <c r="AH1992" s="538"/>
      <c r="AI1992" s="538"/>
      <c r="AJ1992" s="538"/>
      <c r="AK1992" s="538"/>
      <c r="AL1992" s="1352"/>
      <c r="AM1992" s="1352"/>
      <c r="AN1992" s="1352"/>
      <c r="AO1992" s="1352"/>
      <c r="AP1992" s="1352"/>
      <c r="AQ1992" s="1352"/>
      <c r="AR1992" s="1352"/>
      <c r="AS1992" s="1352"/>
      <c r="AT1992" s="538"/>
      <c r="AU1992" s="538"/>
      <c r="AV1992" s="538"/>
      <c r="AW1992" s="538"/>
      <c r="AX1992" s="538"/>
      <c r="AY1992" s="538"/>
      <c r="AZ1992" s="538"/>
      <c r="BA1992" s="538"/>
      <c r="BB1992" s="538"/>
      <c r="BC1992" s="538"/>
      <c r="BD1992" s="538"/>
      <c r="BE1992" s="538"/>
      <c r="BF1992" s="538"/>
      <c r="BG1992" s="538"/>
      <c r="BH1992" s="538"/>
    </row>
    <row r="1993" spans="1:60" hidden="1" x14ac:dyDescent="0.2">
      <c r="A1993" s="1507">
        <v>9</v>
      </c>
      <c r="B1993" s="1516" t="s">
        <v>2727</v>
      </c>
      <c r="C1993" s="1511"/>
      <c r="D1993" s="1511"/>
      <c r="E1993" s="1511"/>
      <c r="F1993" s="1511"/>
      <c r="G1993" s="1509" t="str">
        <f>G1992</f>
        <v/>
      </c>
      <c r="H1993" s="1510" t="s">
        <v>3199</v>
      </c>
      <c r="I1993" s="406"/>
      <c r="J1993" s="129"/>
      <c r="K1993" s="129"/>
      <c r="L1993" s="1629"/>
      <c r="M1993" s="1623"/>
      <c r="N1993" s="1619"/>
      <c r="O1993" s="1619"/>
      <c r="P1993" s="96"/>
      <c r="Q1993" s="96"/>
      <c r="R1993" s="96"/>
      <c r="S1993" s="96"/>
      <c r="T1993" s="96"/>
      <c r="U1993" s="96"/>
      <c r="V1993" s="96"/>
      <c r="W1993" s="96"/>
      <c r="X1993" s="1601"/>
      <c r="Y1993" s="1881"/>
      <c r="Z1993" s="1891"/>
      <c r="AB1993" s="538"/>
      <c r="AC1993" s="538"/>
      <c r="AD1993" s="538"/>
      <c r="AE1993" s="538"/>
      <c r="AF1993" s="538"/>
      <c r="AG1993" s="538"/>
      <c r="AH1993" s="538"/>
      <c r="AI1993" s="538"/>
      <c r="AJ1993" s="538"/>
      <c r="AK1993" s="538"/>
      <c r="AL1993" s="1352"/>
      <c r="AM1993" s="1352"/>
      <c r="AN1993" s="1352"/>
      <c r="AO1993" s="1352"/>
      <c r="AP1993" s="1352"/>
      <c r="AQ1993" s="1352"/>
      <c r="AR1993" s="1352"/>
      <c r="AS1993" s="1352"/>
      <c r="AT1993" s="538"/>
      <c r="AU1993" s="538"/>
      <c r="AV1993" s="538"/>
      <c r="AW1993" s="538"/>
      <c r="AX1993" s="538"/>
      <c r="AY1993" s="538"/>
      <c r="AZ1993" s="538"/>
      <c r="BA1993" s="538"/>
      <c r="BB1993" s="538"/>
      <c r="BC1993" s="538"/>
      <c r="BD1993" s="538"/>
      <c r="BE1993" s="538"/>
      <c r="BF1993" s="538"/>
      <c r="BG1993" s="538"/>
      <c r="BH1993" s="538"/>
    </row>
    <row r="1994" spans="1:60" hidden="1" x14ac:dyDescent="0.2">
      <c r="A1994" s="1507">
        <v>9</v>
      </c>
      <c r="B1994" s="1516" t="s">
        <v>2727</v>
      </c>
      <c r="C1994" s="1511"/>
      <c r="D1994" s="1511"/>
      <c r="E1994" s="1511"/>
      <c r="F1994" s="1511"/>
      <c r="G1994" s="1509" t="str">
        <f>G1993</f>
        <v/>
      </c>
      <c r="H1994" s="1510" t="s">
        <v>3199</v>
      </c>
      <c r="I1994" s="406"/>
      <c r="J1994" s="129"/>
      <c r="K1994" s="129"/>
      <c r="L1994" s="1629"/>
      <c r="M1994" s="1623"/>
      <c r="N1994" s="1619"/>
      <c r="O1994" s="1619"/>
      <c r="P1994" s="96"/>
      <c r="Q1994" s="96"/>
      <c r="R1994" s="96"/>
      <c r="S1994" s="96"/>
      <c r="T1994" s="96"/>
      <c r="U1994" s="96"/>
      <c r="V1994" s="96"/>
      <c r="W1994" s="96"/>
      <c r="X1994" s="1601"/>
      <c r="Y1994" s="1881"/>
      <c r="Z1994" s="1891"/>
      <c r="AB1994" s="538"/>
      <c r="AC1994" s="538"/>
      <c r="AD1994" s="538"/>
      <c r="AE1994" s="538"/>
      <c r="AF1994" s="538"/>
      <c r="AG1994" s="538"/>
      <c r="AH1994" s="538"/>
      <c r="AI1994" s="538"/>
      <c r="AJ1994" s="538"/>
      <c r="AK1994" s="538"/>
      <c r="AL1994" s="1352"/>
      <c r="AM1994" s="1352"/>
      <c r="AN1994" s="1352"/>
      <c r="AO1994" s="1352"/>
      <c r="AP1994" s="1352"/>
      <c r="AQ1994" s="1352"/>
      <c r="AR1994" s="1352"/>
      <c r="AS1994" s="1352"/>
      <c r="AT1994" s="538"/>
      <c r="AU1994" s="538"/>
      <c r="AV1994" s="538"/>
      <c r="AW1994" s="538"/>
      <c r="AX1994" s="538"/>
      <c r="AY1994" s="538"/>
      <c r="AZ1994" s="538"/>
      <c r="BA1994" s="538"/>
      <c r="BB1994" s="538"/>
      <c r="BC1994" s="538"/>
      <c r="BD1994" s="538"/>
      <c r="BE1994" s="538"/>
      <c r="BF1994" s="538"/>
      <c r="BG1994" s="538"/>
      <c r="BH1994" s="538"/>
    </row>
    <row r="1995" spans="1:60" hidden="1" x14ac:dyDescent="0.2">
      <c r="A1995" s="1507">
        <v>9</v>
      </c>
      <c r="B1995" s="1516" t="s">
        <v>2727</v>
      </c>
      <c r="C1995" s="1511"/>
      <c r="D1995" s="1511"/>
      <c r="E1995" s="1511"/>
      <c r="F1995" s="1511"/>
      <c r="G1995" s="1509" t="str">
        <f>G1994</f>
        <v/>
      </c>
      <c r="H1995" s="1510" t="s">
        <v>3199</v>
      </c>
      <c r="I1995" s="406"/>
      <c r="J1995" s="129"/>
      <c r="K1995" s="129"/>
      <c r="L1995" s="1629"/>
      <c r="M1995" s="1623"/>
      <c r="N1995" s="1619"/>
      <c r="O1995" s="1619"/>
      <c r="P1995" s="96"/>
      <c r="Q1995" s="96"/>
      <c r="R1995" s="96"/>
      <c r="S1995" s="96"/>
      <c r="T1995" s="96"/>
      <c r="U1995" s="96"/>
      <c r="V1995" s="96"/>
      <c r="W1995" s="96"/>
      <c r="X1995" s="1621"/>
      <c r="Y1995" s="1875"/>
      <c r="Z1995" s="1878"/>
      <c r="AB1995" s="538"/>
      <c r="AC1995" s="538"/>
      <c r="AD1995" s="538"/>
      <c r="AE1995" s="538"/>
      <c r="AF1995" s="538"/>
      <c r="AG1995" s="538"/>
      <c r="AH1995" s="538"/>
      <c r="AI1995" s="538"/>
      <c r="AJ1995" s="538"/>
      <c r="AK1995" s="538"/>
      <c r="AL1995" s="1352"/>
      <c r="AM1995" s="1352"/>
      <c r="AN1995" s="1352"/>
      <c r="AO1995" s="1352"/>
      <c r="AP1995" s="1352"/>
      <c r="AQ1995" s="1352"/>
      <c r="AR1995" s="1352"/>
      <c r="AS1995" s="1352"/>
      <c r="AT1995" s="538"/>
      <c r="AU1995" s="538"/>
      <c r="AV1995" s="538"/>
      <c r="AW1995" s="538"/>
      <c r="AX1995" s="538"/>
      <c r="AY1995" s="538"/>
      <c r="AZ1995" s="538"/>
      <c r="BA1995" s="538"/>
      <c r="BB1995" s="538"/>
      <c r="BC1995" s="538"/>
      <c r="BD1995" s="538"/>
      <c r="BE1995" s="538"/>
      <c r="BF1995" s="538"/>
      <c r="BG1995" s="538"/>
      <c r="BH1995" s="538"/>
    </row>
    <row r="1996" spans="1:60" s="794" customFormat="1" x14ac:dyDescent="0.2">
      <c r="A1996" s="1507">
        <v>9</v>
      </c>
      <c r="B1996" s="1516" t="s">
        <v>3908</v>
      </c>
      <c r="C1996" s="1511"/>
      <c r="D1996" s="1511"/>
      <c r="E1996" s="1511"/>
      <c r="F1996" s="1511"/>
      <c r="G1996" s="1509" t="str">
        <f>IF(IFERROR(SEARCH("Mandatory",M1996),FALSE),"P","")</f>
        <v>P</v>
      </c>
      <c r="H1996" s="1510" t="s">
        <v>3199</v>
      </c>
      <c r="I1996" s="192" t="s">
        <v>3909</v>
      </c>
      <c r="J1996" s="193"/>
      <c r="K1996" s="193"/>
      <c r="L1996" s="1712" t="s">
        <v>3910</v>
      </c>
      <c r="M1996" s="1732" t="str">
        <f>IF(R1996,"Mandatory","N/A")</f>
        <v>Mandatory</v>
      </c>
      <c r="N1996" s="798"/>
      <c r="O1996" s="798"/>
      <c r="P1996" s="195" t="b">
        <v>0</v>
      </c>
      <c r="Q1996" s="195" t="b">
        <v>1</v>
      </c>
      <c r="R1996" s="195" t="b">
        <f>S1996</f>
        <v>1</v>
      </c>
      <c r="S1996" s="195" t="b">
        <v>1</v>
      </c>
      <c r="T1996" s="195" t="b">
        <f>AND(W1996="Met",NOT(W1990),NOT(W1980),NOT(W1982),NOT(W1983))</f>
        <v>0</v>
      </c>
      <c r="U1996" s="195" t="str">
        <f>SUBSTITUTE(SUBSTITUTE(SUBSTITUTE("dd"&amp;B1996&amp;C1996&amp;D1996&amp;E1996&amp;F1996,".","_"),"(","_"),")","")</f>
        <v>dd901_9_4</v>
      </c>
      <c r="V1996" s="195"/>
      <c r="W1996" s="12" t="s">
        <v>2590</v>
      </c>
      <c r="X1996" s="1621"/>
      <c r="Y1996" s="1875" t="str">
        <f>IF(LEN('11.900'!X149)=0,"None",'11.900'!X149)</f>
        <v>None</v>
      </c>
      <c r="Z1996" s="1878"/>
      <c r="AC1996" s="779" t="b">
        <f>OR(AD1996:AE1996)</f>
        <v>0</v>
      </c>
      <c r="AD1996" s="779" t="b">
        <f>T1996</f>
        <v>0</v>
      </c>
      <c r="AE1996" s="779" t="b">
        <f>AND(R1996,OR(LEN(W1996)=0,W1996="Not Met"))</f>
        <v>0</v>
      </c>
      <c r="AF1996"/>
      <c r="AL1996" s="1352" t="str">
        <f>SUBSTITUTE(SUBSTITUTE(SUBSTITUTE("vpa"&amp;$B1996&amp;$C1996&amp;$D1996&amp;$E1996,".","_"),"(","_"),")","")</f>
        <v>vpa901_9_4</v>
      </c>
      <c r="AM1996" s="1352" t="str">
        <f>M1996</f>
        <v>Mandatory</v>
      </c>
      <c r="AN1996" s="1352"/>
      <c r="AO1996" s="1352"/>
      <c r="AP1996" s="1352" t="str">
        <f>SUBSTITUTE(SUBSTITUTE(SUBSTITUTE("vch"&amp;$B1996&amp;$C1996&amp;$D1996&amp;$E1996,".","_"),"(","_"),")","")</f>
        <v>vch901_9_4</v>
      </c>
      <c r="AQ1996" s="1352" t="str">
        <f>IF(LEN(W1996)=0,"",W1996)</f>
        <v>N/A</v>
      </c>
      <c r="AR1996" s="1352" t="str">
        <f>SUBSTITUTE(SUBSTITUTE(SUBSTITUTE("vnt"&amp;$B1996&amp;$C1996&amp;$D1996&amp;$E1996,".","_"),"(","_"),")","")</f>
        <v>vnt901_9_4</v>
      </c>
      <c r="AS1996" s="1352" t="str">
        <f>IF(LEN(X1996)=0,"",X1996)</f>
        <v/>
      </c>
    </row>
    <row r="1997" spans="1:60" s="794" customFormat="1" x14ac:dyDescent="0.2">
      <c r="A1997" s="1507">
        <v>9</v>
      </c>
      <c r="B1997" s="1516" t="s">
        <v>3908</v>
      </c>
      <c r="C1997" s="1511"/>
      <c r="D1997" s="1511"/>
      <c r="E1997" s="1511"/>
      <c r="F1997" s="1511"/>
      <c r="G1997" s="1509" t="str">
        <f>G1996</f>
        <v>P</v>
      </c>
      <c r="H1997" s="1510" t="s">
        <v>3199</v>
      </c>
      <c r="I1997" s="406"/>
      <c r="J1997" s="129"/>
      <c r="K1997" s="129"/>
      <c r="L1997" s="1629"/>
      <c r="M1997" s="1697"/>
      <c r="N1997" s="795"/>
      <c r="O1997" s="795"/>
      <c r="P1997" s="96"/>
      <c r="Q1997" s="96"/>
      <c r="R1997" s="96"/>
      <c r="S1997" s="96"/>
      <c r="T1997" s="96"/>
      <c r="U1997" s="96"/>
      <c r="V1997" s="96"/>
      <c r="W1997" s="96"/>
      <c r="X1997" s="1632"/>
      <c r="Y1997" s="1876"/>
      <c r="Z1997" s="1879"/>
      <c r="AL1997" s="1352"/>
      <c r="AM1997" s="1352"/>
      <c r="AN1997" s="1352"/>
      <c r="AO1997" s="1352"/>
      <c r="AP1997" s="1352"/>
      <c r="AQ1997" s="1352"/>
      <c r="AR1997" s="1352"/>
      <c r="AS1997" s="1352"/>
    </row>
    <row r="1998" spans="1:60" s="794" customFormat="1" ht="16" thickBot="1" x14ac:dyDescent="0.25">
      <c r="A1998" s="1507">
        <v>9</v>
      </c>
      <c r="B1998" s="1516" t="s">
        <v>3908</v>
      </c>
      <c r="C1998" s="1511"/>
      <c r="D1998" s="1511"/>
      <c r="E1998" s="1511"/>
      <c r="F1998" s="1511"/>
      <c r="G1998" s="1509" t="str">
        <f>G1997</f>
        <v>P</v>
      </c>
      <c r="H1998" s="1510" t="s">
        <v>3199</v>
      </c>
      <c r="I1998" s="407"/>
      <c r="J1998" s="239"/>
      <c r="K1998" s="239"/>
      <c r="L1998" s="1630"/>
      <c r="M1998" s="1726"/>
      <c r="N1998" s="799"/>
      <c r="O1998" s="799"/>
      <c r="P1998" s="100"/>
      <c r="Q1998" s="100"/>
      <c r="R1998" s="100"/>
      <c r="S1998" s="100"/>
      <c r="T1998" s="100"/>
      <c r="U1998" s="100"/>
      <c r="V1998" s="100"/>
      <c r="W1998" s="100"/>
      <c r="X1998" s="1648"/>
      <c r="Y1998" s="1885"/>
      <c r="Z1998" s="1897"/>
      <c r="AL1998" s="1352"/>
      <c r="AM1998" s="1352"/>
      <c r="AN1998" s="1352"/>
      <c r="AO1998" s="1352"/>
      <c r="AP1998" s="1352"/>
      <c r="AQ1998" s="1352"/>
      <c r="AR1998" s="1352"/>
      <c r="AS1998" s="1352"/>
    </row>
    <row r="1999" spans="1:60" ht="17" hidden="1" thickTop="1" thickBot="1" x14ac:dyDescent="0.25">
      <c r="A1999" s="1507">
        <v>9</v>
      </c>
      <c r="B1999" s="1535" t="s">
        <v>3196</v>
      </c>
      <c r="C1999" s="1511"/>
      <c r="D1999" s="1511"/>
      <c r="E1999" s="1511"/>
      <c r="F1999" s="1511"/>
      <c r="G1999" s="1509" t="str">
        <f>IF(N1999&gt;0,"P","")</f>
        <v/>
      </c>
      <c r="H1999" s="1510" t="s">
        <v>3199</v>
      </c>
      <c r="I1999" s="226" t="s">
        <v>3681</v>
      </c>
      <c r="J1999" s="4"/>
      <c r="K1999" s="4"/>
      <c r="L1999" s="1631" t="s">
        <v>3902</v>
      </c>
      <c r="M1999" s="554"/>
      <c r="N1999" s="1669">
        <f>'11.900'!O152</f>
        <v>0</v>
      </c>
      <c r="O1999" s="1669">
        <f>IF(W2009=TRUE,5,IF(W2008=TRUE,5,IF(W2003=TRUE,8,0)))*S2003</f>
        <v>0</v>
      </c>
      <c r="P1999" s="538"/>
      <c r="Q1999" s="538"/>
      <c r="R1999" s="538"/>
      <c r="S1999" s="538"/>
      <c r="T1999" s="538"/>
      <c r="U1999" s="538"/>
      <c r="V1999" s="538"/>
      <c r="W1999" s="538"/>
      <c r="X1999" s="538"/>
      <c r="Y1999" s="538"/>
      <c r="Z1999" s="670"/>
      <c r="AB1999" s="538"/>
      <c r="AC1999" s="538"/>
      <c r="AD1999" s="538"/>
      <c r="AE1999" s="538"/>
      <c r="AF1999" s="538"/>
      <c r="AG1999" s="538"/>
      <c r="AH1999" s="538"/>
      <c r="AI1999" s="538"/>
      <c r="AJ1999" s="538"/>
      <c r="AK1999" s="538"/>
      <c r="AL1999" s="1352"/>
      <c r="AM1999" s="1352"/>
      <c r="AN1999" s="1352" t="str">
        <f>SUBSTITUTE(SUBSTITUTE(SUBSTITUTE("vpc"&amp;$B1999&amp;$C1999&amp;$D1999&amp;$E1999,".","_"),"(","_"),")","")</f>
        <v>vpc901_10</v>
      </c>
      <c r="AO1999" s="1352">
        <f>O1999</f>
        <v>0</v>
      </c>
      <c r="AP1999" s="1352"/>
      <c r="AQ1999" s="1352"/>
      <c r="AR1999" s="1352"/>
      <c r="AS1999" s="1352"/>
      <c r="AT1999" s="538"/>
      <c r="AU1999" s="538"/>
      <c r="AV1999" s="538"/>
      <c r="AW1999" s="538"/>
      <c r="AX1999" s="538"/>
      <c r="AY1999" s="538"/>
      <c r="AZ1999" s="538"/>
      <c r="BA1999" s="538"/>
      <c r="BB1999" s="538"/>
      <c r="BC1999" s="538"/>
      <c r="BD1999" s="538"/>
      <c r="BE1999" s="538"/>
      <c r="BF1999" s="538"/>
      <c r="BG1999" s="538"/>
      <c r="BH1999" s="538"/>
    </row>
    <row r="2000" spans="1:60" ht="17" hidden="1" thickTop="1" thickBot="1" x14ac:dyDescent="0.25">
      <c r="A2000" s="1507">
        <v>9</v>
      </c>
      <c r="B2000" s="1535" t="s">
        <v>3196</v>
      </c>
      <c r="C2000" s="1511"/>
      <c r="D2000" s="1511"/>
      <c r="E2000" s="1511"/>
      <c r="F2000" s="1511"/>
      <c r="G2000" s="1509" t="str">
        <f t="shared" ref="G2000:G2012" si="137">G1999</f>
        <v/>
      </c>
      <c r="H2000" s="1510" t="s">
        <v>3199</v>
      </c>
      <c r="I2000" s="161"/>
      <c r="J2000" s="4"/>
      <c r="K2000" s="4"/>
      <c r="L2000" s="1631"/>
      <c r="M2000" s="554"/>
      <c r="N2000" s="1669"/>
      <c r="O2000" s="1669"/>
      <c r="P2000" s="538"/>
      <c r="Q2000" s="538"/>
      <c r="R2000" s="538"/>
      <c r="S2000" s="538"/>
      <c r="T2000" s="538"/>
      <c r="U2000" s="538"/>
      <c r="V2000" s="538"/>
      <c r="W2000" s="538"/>
      <c r="X2000" s="538"/>
      <c r="Y2000" s="538"/>
      <c r="Z2000" s="670"/>
      <c r="AB2000" s="538"/>
      <c r="AC2000" s="538"/>
      <c r="AD2000" s="538"/>
      <c r="AE2000" s="538"/>
      <c r="AF2000" s="538"/>
      <c r="AG2000" s="538"/>
      <c r="AH2000" s="538"/>
      <c r="AI2000" s="538"/>
      <c r="AJ2000" s="538"/>
      <c r="AK2000" s="538"/>
      <c r="AL2000" s="1352"/>
      <c r="AM2000" s="1352"/>
      <c r="AN2000" s="1352"/>
      <c r="AO2000" s="1352"/>
      <c r="AP2000" s="1352"/>
      <c r="AQ2000" s="1352"/>
      <c r="AR2000" s="1352"/>
      <c r="AS2000" s="1352"/>
      <c r="AT2000" s="538"/>
      <c r="AU2000" s="538"/>
      <c r="AV2000" s="538"/>
      <c r="AW2000" s="538"/>
      <c r="AX2000" s="538"/>
      <c r="AY2000" s="538"/>
      <c r="AZ2000" s="538"/>
      <c r="BA2000" s="538"/>
      <c r="BB2000" s="538"/>
      <c r="BC2000" s="538"/>
      <c r="BD2000" s="538"/>
      <c r="BE2000" s="538"/>
      <c r="BF2000" s="538"/>
      <c r="BG2000" s="538"/>
      <c r="BH2000" s="538"/>
    </row>
    <row r="2001" spans="1:60" s="789" customFormat="1" ht="17" hidden="1" thickTop="1" thickBot="1" x14ac:dyDescent="0.25">
      <c r="A2001" s="1507">
        <v>9</v>
      </c>
      <c r="B2001" s="1535" t="s">
        <v>3196</v>
      </c>
      <c r="C2001" s="1511"/>
      <c r="D2001" s="1511"/>
      <c r="E2001" s="1511"/>
      <c r="F2001" s="1511"/>
      <c r="G2001" s="1509" t="str">
        <f>G1999</f>
        <v/>
      </c>
      <c r="H2001" s="1510" t="s">
        <v>3199</v>
      </c>
      <c r="I2001" s="161"/>
      <c r="J2001" s="4"/>
      <c r="K2001" s="4"/>
      <c r="L2001" s="1631"/>
      <c r="M2001" s="793"/>
      <c r="N2001" s="1669"/>
      <c r="O2001" s="1669"/>
      <c r="Z2001" s="670"/>
      <c r="AL2001" s="1352"/>
      <c r="AM2001" s="1352"/>
      <c r="AN2001" s="1352"/>
      <c r="AO2001" s="1352"/>
      <c r="AP2001" s="1352"/>
      <c r="AQ2001" s="1352"/>
      <c r="AR2001" s="1352"/>
      <c r="AS2001" s="1352"/>
    </row>
    <row r="2002" spans="1:60" ht="17" hidden="1" thickTop="1" thickBot="1" x14ac:dyDescent="0.25">
      <c r="A2002" s="1507">
        <v>9</v>
      </c>
      <c r="B2002" s="1535" t="s">
        <v>3196</v>
      </c>
      <c r="C2002" s="1511"/>
      <c r="D2002" s="1511"/>
      <c r="E2002" s="1511"/>
      <c r="F2002" s="1511"/>
      <c r="G2002" s="1509" t="str">
        <f>G2000</f>
        <v/>
      </c>
      <c r="H2002" s="1510" t="s">
        <v>3199</v>
      </c>
      <c r="I2002" s="161"/>
      <c r="J2002" s="4"/>
      <c r="K2002" s="4"/>
      <c r="L2002" s="1631"/>
      <c r="M2002" s="554"/>
      <c r="N2002" s="1669"/>
      <c r="O2002" s="1669"/>
      <c r="P2002" s="538"/>
      <c r="Q2002" s="538"/>
      <c r="R2002" s="538"/>
      <c r="S2002" s="538"/>
      <c r="T2002" s="538"/>
      <c r="U2002" s="538"/>
      <c r="V2002" s="538"/>
      <c r="W2002" s="538"/>
      <c r="X2002" s="538"/>
      <c r="Y2002" s="538"/>
      <c r="Z2002" s="670"/>
      <c r="AB2002" s="538"/>
      <c r="AC2002" s="538"/>
      <c r="AD2002" s="538"/>
      <c r="AE2002" s="538"/>
      <c r="AF2002" s="538"/>
      <c r="AG2002" s="538"/>
      <c r="AH2002" s="538"/>
      <c r="AI2002" s="538"/>
      <c r="AJ2002" s="538"/>
      <c r="AK2002" s="538"/>
      <c r="AL2002" s="1352"/>
      <c r="AM2002" s="1352"/>
      <c r="AN2002" s="1352"/>
      <c r="AO2002" s="1352"/>
      <c r="AP2002" s="1352"/>
      <c r="AQ2002" s="1352"/>
      <c r="AR2002" s="1352"/>
      <c r="AS2002" s="1352"/>
      <c r="AT2002" s="538"/>
      <c r="AU2002" s="538"/>
      <c r="AV2002" s="538"/>
      <c r="AW2002" s="538"/>
      <c r="AX2002" s="538"/>
      <c r="AY2002" s="538"/>
      <c r="AZ2002" s="538"/>
      <c r="BA2002" s="538"/>
      <c r="BB2002" s="538"/>
      <c r="BC2002" s="538"/>
      <c r="BD2002" s="538"/>
      <c r="BE2002" s="538"/>
      <c r="BF2002" s="538"/>
      <c r="BG2002" s="538"/>
      <c r="BH2002" s="538"/>
    </row>
    <row r="2003" spans="1:60" ht="17" hidden="1" thickTop="1" thickBot="1" x14ac:dyDescent="0.25">
      <c r="A2003" s="1507">
        <v>9</v>
      </c>
      <c r="B2003" s="1535" t="s">
        <v>3196</v>
      </c>
      <c r="C2003" s="1511" t="s">
        <v>254</v>
      </c>
      <c r="D2003" s="1511"/>
      <c r="E2003" s="1511"/>
      <c r="F2003" s="1511"/>
      <c r="G2003" s="1509" t="str">
        <f t="shared" si="137"/>
        <v/>
      </c>
      <c r="H2003" s="1510" t="s">
        <v>3199</v>
      </c>
      <c r="I2003" s="161"/>
      <c r="J2003" s="180" t="s">
        <v>254</v>
      </c>
      <c r="K2003" s="129"/>
      <c r="L2003" s="1609" t="s">
        <v>3903</v>
      </c>
      <c r="M2003" s="1623">
        <v>8</v>
      </c>
      <c r="N2003" s="540"/>
      <c r="O2003" s="540"/>
      <c r="P2003" s="96" t="b">
        <v>0</v>
      </c>
      <c r="Q2003" s="96" t="b">
        <v>1</v>
      </c>
      <c r="R2003" s="538" t="b">
        <v>0</v>
      </c>
      <c r="S2003" s="538" t="b">
        <v>1</v>
      </c>
      <c r="T2003" s="538" t="b">
        <v>0</v>
      </c>
      <c r="U2003" s="538"/>
      <c r="V2003" s="538"/>
      <c r="W2003" s="27"/>
      <c r="X2003" s="1600"/>
      <c r="Y2003" s="1874" t="str">
        <f>IF(LEN('11.900'!X156)=0,"None",'11.900'!X156)</f>
        <v>None</v>
      </c>
      <c r="Z2003" s="1889"/>
      <c r="AB2003" s="538"/>
      <c r="AC2003" s="538"/>
      <c r="AD2003" s="538"/>
      <c r="AE2003" s="538"/>
      <c r="AF2003" s="720"/>
      <c r="AG2003" s="538"/>
      <c r="AH2003" s="538"/>
      <c r="AI2003" s="538"/>
      <c r="AJ2003" s="538"/>
      <c r="AK2003" s="538"/>
      <c r="AL2003" s="1352" t="str">
        <f>SUBSTITUTE(SUBSTITUTE(SUBSTITUTE("vpa"&amp;$B2003&amp;$C2003&amp;$D2003&amp;$E2003,".","_"),"(","_"),")","")</f>
        <v>vpa901_10_1</v>
      </c>
      <c r="AM2003" s="1352">
        <f>M2003</f>
        <v>8</v>
      </c>
      <c r="AN2003" s="1352"/>
      <c r="AO2003" s="1352"/>
      <c r="AP2003" s="1352" t="str">
        <f>SUBSTITUTE(SUBSTITUTE(SUBSTITUTE("vch"&amp;$B2003&amp;$C2003&amp;$D2003&amp;$E2003,".","_"),"(","_"),")","")</f>
        <v>vch901_10_1</v>
      </c>
      <c r="AQ2003" s="1352" t="str">
        <f>IF(LEN(W2003)=0,"",W2003)</f>
        <v/>
      </c>
      <c r="AR2003" s="1352" t="str">
        <f>SUBSTITUTE(SUBSTITUTE(SUBSTITUTE("vnt"&amp;$B2003&amp;$C2003&amp;$D2003&amp;$E2003,".","_"),"(","_"),")","")</f>
        <v>vnt901_10_1</v>
      </c>
      <c r="AS2003" s="1352" t="str">
        <f>IF(LEN(X2003)=0,"",X2003)</f>
        <v/>
      </c>
      <c r="AT2003" s="538"/>
      <c r="AU2003" s="538"/>
      <c r="AV2003" s="538"/>
      <c r="AW2003" s="538"/>
      <c r="AX2003" s="538"/>
      <c r="AY2003" s="538"/>
      <c r="AZ2003" s="538"/>
      <c r="BA2003" s="538"/>
      <c r="BB2003" s="538"/>
      <c r="BC2003" s="538"/>
      <c r="BD2003" s="538"/>
      <c r="BE2003" s="538"/>
      <c r="BF2003" s="538"/>
      <c r="BG2003" s="538"/>
      <c r="BH2003" s="538"/>
    </row>
    <row r="2004" spans="1:60" ht="17" hidden="1" thickTop="1" thickBot="1" x14ac:dyDescent="0.25">
      <c r="A2004" s="1507">
        <v>9</v>
      </c>
      <c r="B2004" s="1535" t="s">
        <v>3196</v>
      </c>
      <c r="C2004" s="1511" t="s">
        <v>254</v>
      </c>
      <c r="D2004" s="1511"/>
      <c r="E2004" s="1511"/>
      <c r="F2004" s="1511"/>
      <c r="G2004" s="1509" t="str">
        <f t="shared" si="137"/>
        <v/>
      </c>
      <c r="H2004" s="1510" t="s">
        <v>3199</v>
      </c>
      <c r="I2004" s="161"/>
      <c r="J2004" s="129"/>
      <c r="K2004" s="129"/>
      <c r="L2004" s="1609"/>
      <c r="M2004" s="1623"/>
      <c r="N2004" s="540"/>
      <c r="O2004" s="540"/>
      <c r="P2004" s="538"/>
      <c r="Q2004" s="538"/>
      <c r="R2004" s="538"/>
      <c r="S2004" s="538"/>
      <c r="T2004" s="538"/>
      <c r="U2004" s="538"/>
      <c r="V2004" s="538"/>
      <c r="W2004" s="538"/>
      <c r="X2004" s="1600"/>
      <c r="Y2004" s="1874"/>
      <c r="Z2004" s="1889"/>
      <c r="AB2004" s="538"/>
      <c r="AC2004" s="538"/>
      <c r="AD2004" s="538"/>
      <c r="AE2004" s="538"/>
      <c r="AF2004" s="538"/>
      <c r="AG2004" s="538"/>
      <c r="AH2004" s="538"/>
      <c r="AI2004" s="538"/>
      <c r="AJ2004" s="538"/>
      <c r="AK2004" s="538"/>
      <c r="AL2004" s="1352"/>
      <c r="AM2004" s="1352"/>
      <c r="AN2004" s="1352"/>
      <c r="AO2004" s="1352"/>
      <c r="AP2004" s="1352"/>
      <c r="AQ2004" s="1352"/>
      <c r="AR2004" s="1352"/>
      <c r="AS2004" s="1352"/>
      <c r="AT2004" s="538"/>
      <c r="AU2004" s="538"/>
      <c r="AV2004" s="538"/>
      <c r="AW2004" s="538"/>
      <c r="AX2004" s="538"/>
      <c r="AY2004" s="538"/>
      <c r="AZ2004" s="538"/>
      <c r="BA2004" s="538"/>
      <c r="BB2004" s="538"/>
      <c r="BC2004" s="538"/>
      <c r="BD2004" s="538"/>
      <c r="BE2004" s="538"/>
      <c r="BF2004" s="538"/>
      <c r="BG2004" s="538"/>
      <c r="BH2004" s="538"/>
    </row>
    <row r="2005" spans="1:60" ht="17" hidden="1" thickTop="1" thickBot="1" x14ac:dyDescent="0.25">
      <c r="A2005" s="1507">
        <v>9</v>
      </c>
      <c r="B2005" s="1535" t="s">
        <v>3196</v>
      </c>
      <c r="C2005" s="1511" t="s">
        <v>254</v>
      </c>
      <c r="D2005" s="1511"/>
      <c r="E2005" s="1511"/>
      <c r="F2005" s="1511"/>
      <c r="G2005" s="1509" t="str">
        <f t="shared" si="137"/>
        <v/>
      </c>
      <c r="H2005" s="1510" t="s">
        <v>3199</v>
      </c>
      <c r="I2005" s="161"/>
      <c r="J2005" s="129"/>
      <c r="K2005" s="129"/>
      <c r="L2005" s="1609"/>
      <c r="M2005" s="1623"/>
      <c r="N2005" s="540"/>
      <c r="O2005" s="540"/>
      <c r="P2005" s="538"/>
      <c r="Q2005" s="538"/>
      <c r="R2005" s="538"/>
      <c r="S2005" s="538"/>
      <c r="T2005" s="538"/>
      <c r="U2005" s="538"/>
      <c r="V2005" s="538"/>
      <c r="W2005" s="538"/>
      <c r="X2005" s="1600"/>
      <c r="Y2005" s="1874"/>
      <c r="Z2005" s="1889"/>
      <c r="AB2005" s="538"/>
      <c r="AC2005" s="538"/>
      <c r="AD2005" s="538"/>
      <c r="AE2005" s="538"/>
      <c r="AF2005" s="538"/>
      <c r="AG2005" s="538"/>
      <c r="AH2005" s="538"/>
      <c r="AI2005" s="538"/>
      <c r="AJ2005" s="538"/>
      <c r="AK2005" s="538"/>
      <c r="AL2005" s="1352"/>
      <c r="AM2005" s="1352"/>
      <c r="AN2005" s="1352"/>
      <c r="AO2005" s="1352"/>
      <c r="AP2005" s="1352"/>
      <c r="AQ2005" s="1352"/>
      <c r="AR2005" s="1352"/>
      <c r="AS2005" s="1352"/>
      <c r="AT2005" s="538"/>
      <c r="AU2005" s="538"/>
      <c r="AV2005" s="538"/>
      <c r="AW2005" s="538"/>
      <c r="AX2005" s="538"/>
      <c r="AY2005" s="538"/>
      <c r="AZ2005" s="538"/>
      <c r="BA2005" s="538"/>
      <c r="BB2005" s="538"/>
      <c r="BC2005" s="538"/>
      <c r="BD2005" s="538"/>
      <c r="BE2005" s="538"/>
      <c r="BF2005" s="538"/>
      <c r="BG2005" s="538"/>
      <c r="BH2005" s="538"/>
    </row>
    <row r="2006" spans="1:60" ht="17" hidden="1" thickTop="1" thickBot="1" x14ac:dyDescent="0.25">
      <c r="A2006" s="1507">
        <v>9</v>
      </c>
      <c r="B2006" s="1535" t="s">
        <v>3196</v>
      </c>
      <c r="C2006" s="1511" t="s">
        <v>254</v>
      </c>
      <c r="D2006" s="1511"/>
      <c r="E2006" s="1511"/>
      <c r="F2006" s="1511"/>
      <c r="G2006" s="1509" t="str">
        <f t="shared" si="137"/>
        <v/>
      </c>
      <c r="H2006" s="1510" t="s">
        <v>3199</v>
      </c>
      <c r="I2006" s="161"/>
      <c r="J2006" s="129"/>
      <c r="K2006" s="129"/>
      <c r="L2006" s="1609"/>
      <c r="M2006" s="1623"/>
      <c r="N2006" s="540"/>
      <c r="O2006" s="540"/>
      <c r="P2006" s="538"/>
      <c r="Q2006" s="538"/>
      <c r="R2006" s="538"/>
      <c r="S2006" s="538"/>
      <c r="T2006" s="538"/>
      <c r="U2006" s="538"/>
      <c r="V2006" s="538"/>
      <c r="W2006" s="538"/>
      <c r="X2006" s="1600"/>
      <c r="Y2006" s="1874"/>
      <c r="Z2006" s="1889"/>
      <c r="AB2006" s="538"/>
      <c r="AC2006" s="538"/>
      <c r="AD2006" s="538"/>
      <c r="AE2006" s="538"/>
      <c r="AF2006" s="538"/>
      <c r="AG2006" s="538"/>
      <c r="AH2006" s="538"/>
      <c r="AI2006" s="538"/>
      <c r="AJ2006" s="538"/>
      <c r="AK2006" s="538"/>
      <c r="AL2006" s="1352"/>
      <c r="AM2006" s="1352"/>
      <c r="AN2006" s="1352"/>
      <c r="AO2006" s="1352"/>
      <c r="AP2006" s="1352"/>
      <c r="AQ2006" s="1352"/>
      <c r="AR2006" s="1352"/>
      <c r="AS2006" s="1352"/>
      <c r="AT2006" s="538"/>
      <c r="AU2006" s="538"/>
      <c r="AV2006" s="538"/>
      <c r="AW2006" s="538"/>
      <c r="AX2006" s="538"/>
      <c r="AY2006" s="538"/>
      <c r="AZ2006" s="538"/>
      <c r="BA2006" s="538"/>
      <c r="BB2006" s="538"/>
      <c r="BC2006" s="538"/>
      <c r="BD2006" s="538"/>
      <c r="BE2006" s="538"/>
      <c r="BF2006" s="538"/>
      <c r="BG2006" s="538"/>
      <c r="BH2006" s="538"/>
    </row>
    <row r="2007" spans="1:60" ht="17" hidden="1" thickTop="1" thickBot="1" x14ac:dyDescent="0.25">
      <c r="A2007" s="1507">
        <v>9</v>
      </c>
      <c r="B2007" s="1535" t="s">
        <v>3196</v>
      </c>
      <c r="C2007" s="1511" t="s">
        <v>254</v>
      </c>
      <c r="D2007" s="1511"/>
      <c r="E2007" s="1511"/>
      <c r="F2007" s="1511"/>
      <c r="G2007" s="1509" t="str">
        <f t="shared" si="137"/>
        <v/>
      </c>
      <c r="H2007" s="1510" t="s">
        <v>3199</v>
      </c>
      <c r="I2007" s="161"/>
      <c r="J2007" s="213"/>
      <c r="K2007" s="213"/>
      <c r="L2007" s="1612"/>
      <c r="M2007" s="1624"/>
      <c r="N2007" s="540"/>
      <c r="O2007" s="540"/>
      <c r="P2007" s="538"/>
      <c r="Q2007" s="538"/>
      <c r="R2007" s="538"/>
      <c r="S2007" s="538"/>
      <c r="T2007" s="538"/>
      <c r="U2007" s="538"/>
      <c r="V2007" s="538"/>
      <c r="W2007" s="538"/>
      <c r="X2007" s="1600"/>
      <c r="Y2007" s="1874"/>
      <c r="Z2007" s="1889"/>
      <c r="AB2007" s="538"/>
      <c r="AC2007" s="538"/>
      <c r="AD2007" s="538"/>
      <c r="AE2007" s="538"/>
      <c r="AF2007" s="538"/>
      <c r="AG2007" s="538"/>
      <c r="AH2007" s="538"/>
      <c r="AI2007" s="538"/>
      <c r="AJ2007" s="538"/>
      <c r="AK2007" s="538"/>
      <c r="AL2007" s="1352"/>
      <c r="AM2007" s="1352"/>
      <c r="AN2007" s="1352"/>
      <c r="AO2007" s="1352"/>
      <c r="AP2007" s="1352"/>
      <c r="AQ2007" s="1352"/>
      <c r="AR2007" s="1352"/>
      <c r="AS2007" s="1352"/>
      <c r="AT2007" s="538"/>
      <c r="AU2007" s="538"/>
      <c r="AV2007" s="538"/>
      <c r="AW2007" s="538"/>
      <c r="AX2007" s="538"/>
      <c r="AY2007" s="538"/>
      <c r="AZ2007" s="538"/>
      <c r="BA2007" s="538"/>
      <c r="BB2007" s="538"/>
      <c r="BC2007" s="538"/>
      <c r="BD2007" s="538"/>
      <c r="BE2007" s="538"/>
      <c r="BF2007" s="538"/>
      <c r="BG2007" s="538"/>
      <c r="BH2007" s="538"/>
    </row>
    <row r="2008" spans="1:60" ht="18" hidden="1" thickTop="1" thickBot="1" x14ac:dyDescent="0.25">
      <c r="A2008" s="1507">
        <v>9</v>
      </c>
      <c r="B2008" s="1535" t="s">
        <v>3196</v>
      </c>
      <c r="C2008" s="1511" t="s">
        <v>255</v>
      </c>
      <c r="D2008" s="1511"/>
      <c r="E2008" s="1511"/>
      <c r="F2008" s="1511"/>
      <c r="G2008" s="1509" t="str">
        <f t="shared" si="137"/>
        <v/>
      </c>
      <c r="H2008" s="1510" t="s">
        <v>3199</v>
      </c>
      <c r="I2008" s="161"/>
      <c r="J2008" s="207" t="s">
        <v>255</v>
      </c>
      <c r="K2008" s="213"/>
      <c r="L2008" s="550" t="s">
        <v>2728</v>
      </c>
      <c r="M2008" s="546">
        <v>5</v>
      </c>
      <c r="N2008" s="540"/>
      <c r="O2008" s="540"/>
      <c r="P2008" s="96" t="b">
        <v>0</v>
      </c>
      <c r="Q2008" s="96" t="b">
        <v>1</v>
      </c>
      <c r="R2008" s="538" t="b">
        <v>0</v>
      </c>
      <c r="S2008" s="538" t="b">
        <v>1</v>
      </c>
      <c r="T2008" s="538" t="b">
        <v>0</v>
      </c>
      <c r="U2008" s="538"/>
      <c r="V2008" s="538"/>
      <c r="W2008" s="27"/>
      <c r="X2008" s="541"/>
      <c r="Y2008" s="572" t="str">
        <f>IF(LEN('11.900'!X161)=0,"None",'11.900'!X161)</f>
        <v>None</v>
      </c>
      <c r="Z2008" s="715"/>
      <c r="AB2008" s="538"/>
      <c r="AC2008" s="538"/>
      <c r="AD2008" s="538"/>
      <c r="AE2008" s="538"/>
      <c r="AF2008" s="720"/>
      <c r="AG2008" s="538"/>
      <c r="AH2008" s="538"/>
      <c r="AI2008" s="538"/>
      <c r="AJ2008" s="538"/>
      <c r="AK2008" s="538"/>
      <c r="AL2008" s="1352" t="str">
        <f>SUBSTITUTE(SUBSTITUTE(SUBSTITUTE("vpa"&amp;$B2008&amp;$C2008&amp;$D2008&amp;$E2008,".","_"),"(","_"),")","")</f>
        <v>vpa901_10_2</v>
      </c>
      <c r="AM2008" s="1352">
        <f>M2008</f>
        <v>5</v>
      </c>
      <c r="AN2008" s="1352"/>
      <c r="AO2008" s="1352"/>
      <c r="AP2008" s="1352" t="str">
        <f>SUBSTITUTE(SUBSTITUTE(SUBSTITUTE("vch"&amp;$B2008&amp;$C2008&amp;$D2008&amp;$E2008,".","_"),"(","_"),")","")</f>
        <v>vch901_10_2</v>
      </c>
      <c r="AQ2008" s="1352" t="str">
        <f>IF(LEN(W2008)=0,"",W2008)</f>
        <v/>
      </c>
      <c r="AR2008" s="1352" t="str">
        <f>SUBSTITUTE(SUBSTITUTE(SUBSTITUTE("vnt"&amp;$B2008&amp;$C2008&amp;$D2008&amp;$E2008,".","_"),"(","_"),")","")</f>
        <v>vnt901_10_2</v>
      </c>
      <c r="AS2008" s="1352" t="str">
        <f>IF(LEN(X2008)=0,"",X2008)</f>
        <v/>
      </c>
      <c r="AT2008" s="538"/>
      <c r="AU2008" s="538"/>
      <c r="AV2008" s="538"/>
      <c r="AW2008" s="538"/>
      <c r="AX2008" s="538"/>
      <c r="AY2008" s="538"/>
      <c r="AZ2008" s="538"/>
      <c r="BA2008" s="538"/>
      <c r="BB2008" s="538"/>
      <c r="BC2008" s="538"/>
      <c r="BD2008" s="538"/>
      <c r="BE2008" s="538"/>
      <c r="BF2008" s="538"/>
      <c r="BG2008" s="538"/>
      <c r="BH2008" s="538"/>
    </row>
    <row r="2009" spans="1:60" ht="17" hidden="1" thickTop="1" thickBot="1" x14ac:dyDescent="0.25">
      <c r="A2009" s="1507">
        <v>9</v>
      </c>
      <c r="B2009" s="1535" t="s">
        <v>3196</v>
      </c>
      <c r="C2009" s="1511" t="s">
        <v>256</v>
      </c>
      <c r="D2009" s="1511"/>
      <c r="E2009" s="1511"/>
      <c r="F2009" s="1511"/>
      <c r="G2009" s="1509" t="str">
        <f t="shared" si="137"/>
        <v/>
      </c>
      <c r="H2009" s="1510" t="s">
        <v>3199</v>
      </c>
      <c r="I2009" s="406"/>
      <c r="J2009" s="180" t="s">
        <v>256</v>
      </c>
      <c r="K2009" s="129"/>
      <c r="L2009" s="1609" t="s">
        <v>3875</v>
      </c>
      <c r="M2009" s="1623">
        <v>5</v>
      </c>
      <c r="N2009" s="543"/>
      <c r="O2009" s="543"/>
      <c r="P2009" s="96" t="b">
        <v>0</v>
      </c>
      <c r="Q2009" s="96" t="b">
        <v>1</v>
      </c>
      <c r="R2009" s="96" t="b">
        <v>0</v>
      </c>
      <c r="S2009" s="96" t="b">
        <v>1</v>
      </c>
      <c r="T2009" s="96" t="b">
        <v>0</v>
      </c>
      <c r="U2009" s="96"/>
      <c r="V2009" s="96"/>
      <c r="W2009" s="27"/>
      <c r="X2009" s="1601"/>
      <c r="Y2009" s="1881" t="str">
        <f>IF(LEN('11.900'!X162)=0,"None",'11.900'!X162)</f>
        <v>None</v>
      </c>
      <c r="Z2009" s="1891"/>
      <c r="AB2009" s="538"/>
      <c r="AC2009" s="538"/>
      <c r="AD2009" s="538"/>
      <c r="AE2009" s="538"/>
      <c r="AF2009" s="720"/>
      <c r="AG2009" s="538"/>
      <c r="AH2009" s="538"/>
      <c r="AI2009" s="538"/>
      <c r="AJ2009" s="538"/>
      <c r="AK2009" s="538"/>
      <c r="AL2009" s="1352" t="str">
        <f>SUBSTITUTE(SUBSTITUTE(SUBSTITUTE("vpa"&amp;$B2009&amp;$C2009&amp;$D2009&amp;$E2009,".","_"),"(","_"),")","")</f>
        <v>vpa901_10_3</v>
      </c>
      <c r="AM2009" s="1352">
        <f>M2009</f>
        <v>5</v>
      </c>
      <c r="AN2009" s="1352"/>
      <c r="AO2009" s="1352"/>
      <c r="AP2009" s="1352" t="str">
        <f>SUBSTITUTE(SUBSTITUTE(SUBSTITUTE("vch"&amp;$B2009&amp;$C2009&amp;$D2009&amp;$E2009,".","_"),"(","_"),")","")</f>
        <v>vch901_10_3</v>
      </c>
      <c r="AQ2009" s="1352" t="str">
        <f>IF(LEN(W2009)=0,"",W2009)</f>
        <v/>
      </c>
      <c r="AR2009" s="1352" t="str">
        <f>SUBSTITUTE(SUBSTITUTE(SUBSTITUTE("vnt"&amp;$B2009&amp;$C2009&amp;$D2009&amp;$E2009,".","_"),"(","_"),")","")</f>
        <v>vnt901_10_3</v>
      </c>
      <c r="AS2009" s="1352" t="str">
        <f>IF(LEN(X2009)=0,"",X2009)</f>
        <v/>
      </c>
      <c r="AT2009" s="538"/>
      <c r="AU2009" s="538"/>
      <c r="AV2009" s="538"/>
      <c r="AW2009" s="538"/>
      <c r="AX2009" s="538"/>
      <c r="AY2009" s="538"/>
      <c r="AZ2009" s="538"/>
      <c r="BA2009" s="538"/>
      <c r="BB2009" s="538"/>
      <c r="BC2009" s="538"/>
      <c r="BD2009" s="538"/>
      <c r="BE2009" s="538"/>
      <c r="BF2009" s="538"/>
      <c r="BG2009" s="538"/>
      <c r="BH2009" s="538"/>
    </row>
    <row r="2010" spans="1:60" ht="17" hidden="1" thickTop="1" thickBot="1" x14ac:dyDescent="0.25">
      <c r="A2010" s="1507">
        <v>9</v>
      </c>
      <c r="B2010" s="1535" t="s">
        <v>3196</v>
      </c>
      <c r="C2010" s="1511" t="s">
        <v>256</v>
      </c>
      <c r="D2010" s="1511"/>
      <c r="E2010" s="1511"/>
      <c r="F2010" s="1511"/>
      <c r="G2010" s="1509" t="str">
        <f t="shared" si="137"/>
        <v/>
      </c>
      <c r="H2010" s="1510" t="s">
        <v>3199</v>
      </c>
      <c r="I2010" s="406"/>
      <c r="J2010" s="129"/>
      <c r="K2010" s="129"/>
      <c r="L2010" s="1609"/>
      <c r="M2010" s="1623"/>
      <c r="N2010" s="543"/>
      <c r="O2010" s="543"/>
      <c r="P2010" s="96"/>
      <c r="Q2010" s="96"/>
      <c r="R2010" s="96"/>
      <c r="S2010" s="96"/>
      <c r="T2010" s="96"/>
      <c r="U2010" s="96"/>
      <c r="V2010" s="96"/>
      <c r="W2010" s="96"/>
      <c r="X2010" s="1601"/>
      <c r="Y2010" s="1881"/>
      <c r="Z2010" s="1891"/>
      <c r="AB2010" s="538"/>
      <c r="AC2010" s="538"/>
      <c r="AD2010" s="538"/>
      <c r="AE2010" s="538"/>
      <c r="AF2010" s="538"/>
      <c r="AG2010" s="538"/>
      <c r="AH2010" s="538"/>
      <c r="AI2010" s="538"/>
      <c r="AJ2010" s="538"/>
      <c r="AK2010" s="538"/>
      <c r="AL2010" s="1352"/>
      <c r="AM2010" s="1352"/>
      <c r="AN2010" s="1352"/>
      <c r="AO2010" s="1352"/>
      <c r="AP2010" s="1352"/>
      <c r="AQ2010" s="1352"/>
      <c r="AR2010" s="1352"/>
      <c r="AS2010" s="1352"/>
      <c r="AT2010" s="538"/>
      <c r="AU2010" s="538"/>
      <c r="AV2010" s="538"/>
      <c r="AW2010" s="538"/>
      <c r="AX2010" s="538"/>
      <c r="AY2010" s="538"/>
      <c r="AZ2010" s="538"/>
      <c r="BA2010" s="538"/>
      <c r="BB2010" s="538"/>
      <c r="BC2010" s="538"/>
      <c r="BD2010" s="538"/>
      <c r="BE2010" s="538"/>
      <c r="BF2010" s="538"/>
      <c r="BG2010" s="538"/>
      <c r="BH2010" s="538"/>
    </row>
    <row r="2011" spans="1:60" ht="17" hidden="1" thickTop="1" thickBot="1" x14ac:dyDescent="0.25">
      <c r="A2011" s="1507">
        <v>9</v>
      </c>
      <c r="B2011" s="1535" t="s">
        <v>3196</v>
      </c>
      <c r="C2011" s="1511" t="s">
        <v>256</v>
      </c>
      <c r="D2011" s="1511"/>
      <c r="E2011" s="1511"/>
      <c r="F2011" s="1511"/>
      <c r="G2011" s="1509" t="str">
        <f t="shared" si="137"/>
        <v/>
      </c>
      <c r="H2011" s="1510" t="s">
        <v>3199</v>
      </c>
      <c r="I2011" s="406"/>
      <c r="J2011" s="129"/>
      <c r="K2011" s="129"/>
      <c r="L2011" s="1609"/>
      <c r="M2011" s="1623"/>
      <c r="N2011" s="543"/>
      <c r="O2011" s="543"/>
      <c r="P2011" s="96"/>
      <c r="Q2011" s="96"/>
      <c r="R2011" s="96"/>
      <c r="S2011" s="96"/>
      <c r="T2011" s="96"/>
      <c r="U2011" s="96"/>
      <c r="V2011" s="96"/>
      <c r="W2011" s="96"/>
      <c r="X2011" s="1601"/>
      <c r="Y2011" s="1881"/>
      <c r="Z2011" s="1891"/>
      <c r="AB2011" s="538"/>
      <c r="AC2011" s="538"/>
      <c r="AD2011" s="538"/>
      <c r="AE2011" s="538"/>
      <c r="AF2011" s="538"/>
      <c r="AG2011" s="538"/>
      <c r="AH2011" s="538"/>
      <c r="AI2011" s="538"/>
      <c r="AJ2011" s="538"/>
      <c r="AK2011" s="538"/>
      <c r="AL2011" s="1352"/>
      <c r="AM2011" s="1352"/>
      <c r="AN2011" s="1352"/>
      <c r="AO2011" s="1352"/>
      <c r="AP2011" s="1352"/>
      <c r="AQ2011" s="1352"/>
      <c r="AR2011" s="1352"/>
      <c r="AS2011" s="1352"/>
      <c r="AT2011" s="538"/>
      <c r="AU2011" s="538"/>
      <c r="AV2011" s="538"/>
      <c r="AW2011" s="538"/>
      <c r="AX2011" s="538"/>
      <c r="AY2011" s="538"/>
      <c r="AZ2011" s="538"/>
      <c r="BA2011" s="538"/>
      <c r="BB2011" s="538"/>
      <c r="BC2011" s="538"/>
      <c r="BD2011" s="538"/>
      <c r="BE2011" s="538"/>
      <c r="BF2011" s="538"/>
      <c r="BG2011" s="538"/>
      <c r="BH2011" s="538"/>
    </row>
    <row r="2012" spans="1:60" ht="17" hidden="1" thickTop="1" thickBot="1" x14ac:dyDescent="0.25">
      <c r="A2012" s="1507">
        <v>9</v>
      </c>
      <c r="B2012" s="1535" t="s">
        <v>3196</v>
      </c>
      <c r="C2012" s="1511" t="s">
        <v>256</v>
      </c>
      <c r="D2012" s="1511"/>
      <c r="E2012" s="1511"/>
      <c r="F2012" s="1511"/>
      <c r="G2012" s="1509" t="str">
        <f t="shared" si="137"/>
        <v/>
      </c>
      <c r="H2012" s="1510" t="s">
        <v>3199</v>
      </c>
      <c r="I2012" s="407"/>
      <c r="J2012" s="239"/>
      <c r="K2012" s="239"/>
      <c r="L2012" s="408" t="s">
        <v>3878</v>
      </c>
      <c r="M2012" s="553"/>
      <c r="N2012" s="547"/>
      <c r="O2012" s="547"/>
      <c r="P2012" s="100"/>
      <c r="Q2012" s="100"/>
      <c r="R2012" s="100"/>
      <c r="S2012" s="100"/>
      <c r="T2012" s="100"/>
      <c r="U2012" s="100"/>
      <c r="V2012" s="100"/>
      <c r="W2012" s="100"/>
      <c r="X2012" s="1602"/>
      <c r="Y2012" s="1882"/>
      <c r="Z2012" s="1892"/>
      <c r="AB2012" s="538"/>
      <c r="AC2012" s="538"/>
      <c r="AD2012" s="538"/>
      <c r="AE2012" s="538"/>
      <c r="AF2012" s="538"/>
      <c r="AG2012" s="538"/>
      <c r="AH2012" s="538"/>
      <c r="AI2012" s="538"/>
      <c r="AJ2012" s="538"/>
      <c r="AK2012" s="538"/>
      <c r="AL2012" s="1352"/>
      <c r="AM2012" s="1352"/>
      <c r="AN2012" s="1352"/>
      <c r="AO2012" s="1352"/>
      <c r="AP2012" s="1352"/>
      <c r="AQ2012" s="1352"/>
      <c r="AR2012" s="1352"/>
      <c r="AS2012" s="1352"/>
      <c r="AT2012" s="538"/>
      <c r="AU2012" s="538"/>
      <c r="AV2012" s="538"/>
      <c r="AW2012" s="538"/>
      <c r="AX2012" s="538"/>
      <c r="AY2012" s="538"/>
      <c r="AZ2012" s="538"/>
      <c r="BA2012" s="538"/>
      <c r="BB2012" s="538"/>
      <c r="BC2012" s="538"/>
      <c r="BD2012" s="538"/>
      <c r="BE2012" s="538"/>
      <c r="BF2012" s="538"/>
      <c r="BG2012" s="538"/>
      <c r="BH2012" s="538"/>
    </row>
    <row r="2013" spans="1:60" ht="17" hidden="1" thickTop="1" thickBot="1" x14ac:dyDescent="0.25">
      <c r="A2013" s="1507">
        <v>9</v>
      </c>
      <c r="B2013" s="1516">
        <v>901.11</v>
      </c>
      <c r="C2013" s="1511"/>
      <c r="D2013" s="1511"/>
      <c r="E2013" s="1511"/>
      <c r="F2013" s="1511"/>
      <c r="G2013" s="1509" t="str">
        <f>IF(N2013&gt;0,"P","")</f>
        <v/>
      </c>
      <c r="H2013" s="1510" t="s">
        <v>3197</v>
      </c>
      <c r="I2013" s="177" t="s">
        <v>3682</v>
      </c>
      <c r="J2013" s="178"/>
      <c r="K2013" s="178"/>
      <c r="L2013" s="1683" t="s">
        <v>3897</v>
      </c>
      <c r="M2013" s="1685">
        <v>4</v>
      </c>
      <c r="N2013" s="1682">
        <f>'11.900'!O166</f>
        <v>0</v>
      </c>
      <c r="O2013" s="1682">
        <f>M2013*S2013*W2013</f>
        <v>0</v>
      </c>
      <c r="P2013" s="96" t="b">
        <v>1</v>
      </c>
      <c r="Q2013" s="96" t="b">
        <v>1</v>
      </c>
      <c r="R2013" s="106" t="b">
        <v>0</v>
      </c>
      <c r="S2013" s="106" t="b">
        <v>1</v>
      </c>
      <c r="T2013" s="106" t="b">
        <v>0</v>
      </c>
      <c r="U2013" s="106"/>
      <c r="V2013" s="106"/>
      <c r="W2013" s="27"/>
      <c r="X2013" s="1603"/>
      <c r="Y2013" s="1877" t="str">
        <f>IF(LEN('11.900'!X166)=0,"None",'11.900'!X166)</f>
        <v>None</v>
      </c>
      <c r="Z2013" s="1880"/>
      <c r="AB2013" s="538"/>
      <c r="AC2013" s="538"/>
      <c r="AD2013" s="538"/>
      <c r="AE2013" s="538"/>
      <c r="AF2013" s="720"/>
      <c r="AG2013" s="538"/>
      <c r="AH2013" s="538"/>
      <c r="AI2013" s="538"/>
      <c r="AJ2013" s="538"/>
      <c r="AK2013" s="538"/>
      <c r="AL2013" s="1352" t="str">
        <f>SUBSTITUTE(SUBSTITUTE(SUBSTITUTE("vpa"&amp;$B2013&amp;$C2013&amp;$D2013&amp;$E2013,".","_"),"(","_"),")","")</f>
        <v>vpa901_11</v>
      </c>
      <c r="AM2013" s="1352">
        <f>M2013</f>
        <v>4</v>
      </c>
      <c r="AN2013" s="1352" t="str">
        <f>SUBSTITUTE(SUBSTITUTE(SUBSTITUTE("vpc"&amp;$B2013&amp;$C2013&amp;$D2013&amp;$E2013,".","_"),"(","_"),")","")</f>
        <v>vpc901_11</v>
      </c>
      <c r="AO2013" s="1352">
        <f>O2013</f>
        <v>0</v>
      </c>
      <c r="AP2013" s="1352" t="str">
        <f>SUBSTITUTE(SUBSTITUTE(SUBSTITUTE("vch"&amp;$B2013&amp;$C2013&amp;$D2013&amp;$E2013,".","_"),"(","_"),")","")</f>
        <v>vch901_11</v>
      </c>
      <c r="AQ2013" s="1352" t="str">
        <f>IF(LEN(W2013)=0,"",W2013)</f>
        <v/>
      </c>
      <c r="AR2013" s="1352" t="str">
        <f>SUBSTITUTE(SUBSTITUTE(SUBSTITUTE("vnt"&amp;$B2013&amp;$C2013&amp;$D2013&amp;$E2013,".","_"),"(","_"),")","")</f>
        <v>vnt901_11</v>
      </c>
      <c r="AS2013" s="1352" t="str">
        <f>IF(LEN(X2013)=0,"",X2013)</f>
        <v/>
      </c>
      <c r="AT2013" s="538"/>
      <c r="AU2013" s="538"/>
      <c r="AV2013" s="538"/>
      <c r="AW2013" s="538"/>
      <c r="AX2013" s="538"/>
      <c r="AY2013" s="538"/>
      <c r="AZ2013" s="538"/>
      <c r="BA2013" s="538"/>
      <c r="BB2013" s="538"/>
      <c r="BC2013" s="538"/>
      <c r="BD2013" s="538"/>
      <c r="BE2013" s="538"/>
      <c r="BF2013" s="538"/>
      <c r="BG2013" s="538"/>
      <c r="BH2013" s="538"/>
    </row>
    <row r="2014" spans="1:60" ht="17" hidden="1" thickTop="1" thickBot="1" x14ac:dyDescent="0.25">
      <c r="A2014" s="1507">
        <v>9</v>
      </c>
      <c r="B2014" s="1516">
        <v>901.11</v>
      </c>
      <c r="C2014" s="1511"/>
      <c r="D2014" s="1511"/>
      <c r="E2014" s="1511"/>
      <c r="F2014" s="1511"/>
      <c r="G2014" s="1509" t="str">
        <f t="shared" ref="G2014:G2025" si="138">G2013</f>
        <v/>
      </c>
      <c r="H2014" s="1510" t="s">
        <v>3197</v>
      </c>
      <c r="I2014" s="406"/>
      <c r="J2014" s="129"/>
      <c r="K2014" s="129"/>
      <c r="L2014" s="1629"/>
      <c r="M2014" s="1623"/>
      <c r="N2014" s="1619"/>
      <c r="O2014" s="1619"/>
      <c r="P2014" s="96"/>
      <c r="Q2014" s="96"/>
      <c r="R2014" s="96"/>
      <c r="S2014" s="96"/>
      <c r="T2014" s="96"/>
      <c r="U2014" s="96"/>
      <c r="V2014" s="96"/>
      <c r="W2014" s="96"/>
      <c r="X2014" s="1601"/>
      <c r="Y2014" s="1881"/>
      <c r="Z2014" s="1891"/>
      <c r="AB2014" s="538"/>
      <c r="AC2014" s="538"/>
      <c r="AD2014" s="538"/>
      <c r="AE2014" s="538"/>
      <c r="AF2014" s="538"/>
      <c r="AG2014" s="538"/>
      <c r="AH2014" s="538"/>
      <c r="AI2014" s="538"/>
      <c r="AJ2014" s="538"/>
      <c r="AK2014" s="538"/>
      <c r="AL2014" s="1352"/>
      <c r="AM2014" s="1352"/>
      <c r="AN2014" s="1352"/>
      <c r="AO2014" s="1352"/>
      <c r="AP2014" s="1352"/>
      <c r="AQ2014" s="1352"/>
      <c r="AR2014" s="1352"/>
      <c r="AS2014" s="1352"/>
      <c r="AT2014" s="538"/>
      <c r="AU2014" s="538"/>
      <c r="AV2014" s="538"/>
      <c r="AW2014" s="538"/>
      <c r="AX2014" s="538"/>
      <c r="AY2014" s="538"/>
      <c r="AZ2014" s="538"/>
      <c r="BA2014" s="538"/>
      <c r="BB2014" s="538"/>
      <c r="BC2014" s="538"/>
      <c r="BD2014" s="538"/>
      <c r="BE2014" s="538"/>
      <c r="BF2014" s="538"/>
      <c r="BG2014" s="538"/>
      <c r="BH2014" s="538"/>
    </row>
    <row r="2015" spans="1:60" ht="17" hidden="1" thickTop="1" thickBot="1" x14ac:dyDescent="0.25">
      <c r="A2015" s="1507">
        <v>9</v>
      </c>
      <c r="B2015" s="1516">
        <v>901.11</v>
      </c>
      <c r="C2015" s="1511"/>
      <c r="D2015" s="1511"/>
      <c r="E2015" s="1511"/>
      <c r="F2015" s="1511"/>
      <c r="G2015" s="1509" t="str">
        <f t="shared" si="138"/>
        <v/>
      </c>
      <c r="H2015" s="1510" t="s">
        <v>3197</v>
      </c>
      <c r="I2015" s="406"/>
      <c r="J2015" s="129"/>
      <c r="K2015" s="129"/>
      <c r="L2015" s="1629"/>
      <c r="M2015" s="1623"/>
      <c r="N2015" s="1619"/>
      <c r="O2015" s="1619"/>
      <c r="P2015" s="96"/>
      <c r="Q2015" s="96"/>
      <c r="R2015" s="96"/>
      <c r="S2015" s="96"/>
      <c r="T2015" s="96"/>
      <c r="U2015" s="96"/>
      <c r="V2015" s="96"/>
      <c r="W2015" s="96"/>
      <c r="X2015" s="1601"/>
      <c r="Y2015" s="1881"/>
      <c r="Z2015" s="1891"/>
      <c r="AB2015" s="538"/>
      <c r="AC2015" s="538"/>
      <c r="AD2015" s="538"/>
      <c r="AE2015" s="538"/>
      <c r="AF2015" s="538"/>
      <c r="AG2015" s="538"/>
      <c r="AH2015" s="538"/>
      <c r="AI2015" s="538"/>
      <c r="AJ2015" s="538"/>
      <c r="AK2015" s="538"/>
      <c r="AL2015" s="1352"/>
      <c r="AM2015" s="1352"/>
      <c r="AN2015" s="1352"/>
      <c r="AO2015" s="1352"/>
      <c r="AP2015" s="1352"/>
      <c r="AQ2015" s="1352"/>
      <c r="AR2015" s="1352"/>
      <c r="AS2015" s="1352"/>
      <c r="AT2015" s="538"/>
      <c r="AU2015" s="538"/>
      <c r="AV2015" s="538"/>
      <c r="AW2015" s="538"/>
      <c r="AX2015" s="538"/>
      <c r="AY2015" s="538"/>
      <c r="AZ2015" s="538"/>
      <c r="BA2015" s="538"/>
      <c r="BB2015" s="538"/>
      <c r="BC2015" s="538"/>
      <c r="BD2015" s="538"/>
      <c r="BE2015" s="538"/>
      <c r="BF2015" s="538"/>
      <c r="BG2015" s="538"/>
      <c r="BH2015" s="538"/>
    </row>
    <row r="2016" spans="1:60" ht="17" hidden="1" thickTop="1" thickBot="1" x14ac:dyDescent="0.25">
      <c r="A2016" s="1507">
        <v>9</v>
      </c>
      <c r="B2016" s="1516">
        <v>901.11</v>
      </c>
      <c r="C2016" s="1511"/>
      <c r="D2016" s="1511"/>
      <c r="E2016" s="1511"/>
      <c r="F2016" s="1511"/>
      <c r="G2016" s="1509" t="str">
        <f t="shared" si="138"/>
        <v/>
      </c>
      <c r="H2016" s="1510" t="s">
        <v>3197</v>
      </c>
      <c r="I2016" s="406"/>
      <c r="J2016" s="129"/>
      <c r="K2016" s="129"/>
      <c r="L2016" s="1629"/>
      <c r="M2016" s="1623"/>
      <c r="N2016" s="1619"/>
      <c r="O2016" s="1619"/>
      <c r="P2016" s="96"/>
      <c r="Q2016" s="96"/>
      <c r="R2016" s="96"/>
      <c r="S2016" s="96"/>
      <c r="T2016" s="96"/>
      <c r="U2016" s="96"/>
      <c r="V2016" s="96"/>
      <c r="W2016" s="96"/>
      <c r="X2016" s="1601"/>
      <c r="Y2016" s="1881"/>
      <c r="Z2016" s="1891"/>
      <c r="AB2016" s="538"/>
      <c r="AC2016" s="538"/>
      <c r="AD2016" s="538"/>
      <c r="AE2016" s="538"/>
      <c r="AF2016" s="538"/>
      <c r="AG2016" s="538"/>
      <c r="AH2016" s="538"/>
      <c r="AI2016" s="538"/>
      <c r="AJ2016" s="538"/>
      <c r="AK2016" s="538"/>
      <c r="AL2016" s="1352"/>
      <c r="AM2016" s="1352"/>
      <c r="AN2016" s="1352"/>
      <c r="AO2016" s="1352"/>
      <c r="AP2016" s="1352"/>
      <c r="AQ2016" s="1352"/>
      <c r="AR2016" s="1352"/>
      <c r="AS2016" s="1352"/>
      <c r="AT2016" s="538"/>
      <c r="AU2016" s="538"/>
      <c r="AV2016" s="538"/>
      <c r="AW2016" s="538"/>
      <c r="AX2016" s="538"/>
      <c r="AY2016" s="538"/>
      <c r="AZ2016" s="538"/>
      <c r="BA2016" s="538"/>
      <c r="BB2016" s="538"/>
      <c r="BC2016" s="538"/>
      <c r="BD2016" s="538"/>
      <c r="BE2016" s="538"/>
      <c r="BF2016" s="538"/>
      <c r="BG2016" s="538"/>
      <c r="BH2016" s="538"/>
    </row>
    <row r="2017" spans="1:60" ht="17" hidden="1" thickTop="1" thickBot="1" x14ac:dyDescent="0.25">
      <c r="A2017" s="1507">
        <v>9</v>
      </c>
      <c r="B2017" s="1516">
        <v>901.11</v>
      </c>
      <c r="C2017" s="1511"/>
      <c r="D2017" s="1511"/>
      <c r="E2017" s="1511"/>
      <c r="F2017" s="1511"/>
      <c r="G2017" s="1509" t="str">
        <f t="shared" si="138"/>
        <v/>
      </c>
      <c r="H2017" s="1510" t="s">
        <v>3197</v>
      </c>
      <c r="I2017" s="407"/>
      <c r="J2017" s="239"/>
      <c r="K2017" s="239"/>
      <c r="L2017" s="1630"/>
      <c r="M2017" s="1627"/>
      <c r="N2017" s="1638"/>
      <c r="O2017" s="1638"/>
      <c r="P2017" s="100"/>
      <c r="Q2017" s="100"/>
      <c r="R2017" s="100"/>
      <c r="S2017" s="100"/>
      <c r="T2017" s="100"/>
      <c r="U2017" s="100"/>
      <c r="V2017" s="100"/>
      <c r="W2017" s="100"/>
      <c r="X2017" s="1602"/>
      <c r="Y2017" s="1882"/>
      <c r="Z2017" s="1892"/>
      <c r="AB2017" s="538"/>
      <c r="AC2017" s="538"/>
      <c r="AD2017" s="538"/>
      <c r="AE2017" s="538"/>
      <c r="AF2017" s="538"/>
      <c r="AG2017" s="538"/>
      <c r="AH2017" s="538"/>
      <c r="AI2017" s="538"/>
      <c r="AJ2017" s="538"/>
      <c r="AK2017" s="538"/>
      <c r="AL2017" s="1352"/>
      <c r="AM2017" s="1352"/>
      <c r="AN2017" s="1352"/>
      <c r="AO2017" s="1352"/>
      <c r="AP2017" s="1352"/>
      <c r="AQ2017" s="1352"/>
      <c r="AR2017" s="1352"/>
      <c r="AS2017" s="1352"/>
      <c r="AT2017" s="538"/>
      <c r="AU2017" s="538"/>
      <c r="AV2017" s="538"/>
      <c r="AW2017" s="538"/>
      <c r="AX2017" s="538"/>
      <c r="AY2017" s="538"/>
      <c r="AZ2017" s="538"/>
      <c r="BA2017" s="538"/>
      <c r="BB2017" s="538"/>
      <c r="BC2017" s="538"/>
      <c r="BD2017" s="538"/>
      <c r="BE2017" s="538"/>
      <c r="BF2017" s="538"/>
      <c r="BG2017" s="538"/>
      <c r="BH2017" s="538"/>
    </row>
    <row r="2018" spans="1:60" ht="17" hidden="1" thickTop="1" thickBot="1" x14ac:dyDescent="0.25">
      <c r="A2018" s="1515">
        <v>9</v>
      </c>
      <c r="B2018" s="1516">
        <v>901.12</v>
      </c>
      <c r="G2018" s="1509" t="str">
        <f>IF(N2018&gt;0,"P","")</f>
        <v/>
      </c>
      <c r="H2018" s="1510" t="s">
        <v>3199</v>
      </c>
      <c r="I2018" s="177" t="s">
        <v>3683</v>
      </c>
      <c r="J2018" s="905"/>
      <c r="K2018" s="905"/>
      <c r="L2018" s="1687" t="s">
        <v>4867</v>
      </c>
      <c r="M2018" s="1774">
        <v>2</v>
      </c>
      <c r="N2018" s="905"/>
      <c r="O2018" s="1770">
        <f ca="1">M2018*S2018*W2018</f>
        <v>0</v>
      </c>
      <c r="P2018" s="905" t="b">
        <v>0</v>
      </c>
      <c r="Q2018" s="905" t="b">
        <v>1</v>
      </c>
      <c r="R2018" s="905" t="b">
        <v>0</v>
      </c>
      <c r="S2018" s="1224" t="b">
        <f ca="1">AY1866=INDEX(INDIRECT("ddSingleOrMulti"),2)</f>
        <v>1</v>
      </c>
      <c r="T2018" s="905" t="b">
        <v>0</v>
      </c>
      <c r="U2018"/>
      <c r="V2018"/>
      <c r="W2018" s="27"/>
      <c r="X2018" s="1600"/>
      <c r="Y2018" s="1883" t="str">
        <f>IF(LEN('11.900'!X171)=0,"None",'11.900'!X171)</f>
        <v>None</v>
      </c>
      <c r="Z2018" s="1603"/>
      <c r="AA2018"/>
      <c r="AC2018"/>
      <c r="AD2018"/>
      <c r="AE2018"/>
      <c r="AF2018"/>
      <c r="AG2018"/>
      <c r="AH2018"/>
      <c r="AI2018"/>
      <c r="AJ2018"/>
      <c r="AK2018"/>
      <c r="AL2018" s="1352" t="str">
        <f>SUBSTITUTE(SUBSTITUTE(SUBSTITUTE("vpa"&amp;$B2018&amp;$C2018&amp;$D2018&amp;$E2018,".","_"),"(","_"),")","")</f>
        <v>vpa901_12</v>
      </c>
      <c r="AM2018" s="1352">
        <f>M2018</f>
        <v>2</v>
      </c>
      <c r="AN2018" s="1352" t="str">
        <f>SUBSTITUTE(SUBSTITUTE(SUBSTITUTE("vpc"&amp;$B2018&amp;$C2018&amp;$D2018&amp;$E2018,".","_"),"(","_"),")","")</f>
        <v>vpc901_12</v>
      </c>
      <c r="AO2018" s="1352">
        <f ca="1">O2018</f>
        <v>0</v>
      </c>
      <c r="AP2018" s="1352" t="str">
        <f>SUBSTITUTE(SUBSTITUTE(SUBSTITUTE("vch"&amp;$B2018&amp;$C2018&amp;$D2018&amp;$E2018,".","_"),"(","_"),")","")</f>
        <v>vch901_12</v>
      </c>
      <c r="AQ2018" s="1352" t="str">
        <f>IF(LEN(W2018)=0,"",W2018)</f>
        <v/>
      </c>
      <c r="AR2018" s="1352" t="str">
        <f>SUBSTITUTE(SUBSTITUTE(SUBSTITUTE("vnt"&amp;$B2018&amp;$C2018&amp;$D2018&amp;$E2018,".","_"),"(","_"),")","")</f>
        <v>vnt901_12</v>
      </c>
      <c r="AS2018" s="1352" t="str">
        <f>IF(LEN(X2018)=0,"",X2018)</f>
        <v/>
      </c>
      <c r="AT2018"/>
    </row>
    <row r="2019" spans="1:60" ht="17" hidden="1" thickTop="1" thickBot="1" x14ac:dyDescent="0.25">
      <c r="A2019" s="1515">
        <v>9</v>
      </c>
      <c r="B2019" s="1516">
        <v>901.12</v>
      </c>
      <c r="G2019" s="1509" t="str">
        <f t="shared" si="138"/>
        <v/>
      </c>
      <c r="H2019" s="1510" t="s">
        <v>3199</v>
      </c>
      <c r="I2019" s="905"/>
      <c r="J2019" s="905"/>
      <c r="K2019" s="905"/>
      <c r="L2019" s="1687"/>
      <c r="M2019" s="1769"/>
      <c r="N2019" s="905"/>
      <c r="O2019" s="1644"/>
      <c r="P2019" s="905"/>
      <c r="Q2019" s="905"/>
      <c r="R2019" s="905"/>
      <c r="S2019" s="905"/>
      <c r="T2019" s="905"/>
      <c r="U2019"/>
      <c r="V2019"/>
      <c r="W2019"/>
      <c r="X2019" s="1600"/>
      <c r="Y2019" s="1881"/>
      <c r="Z2019" s="1601"/>
      <c r="AA2019"/>
      <c r="AC2019"/>
      <c r="AD2019"/>
      <c r="AE2019"/>
      <c r="AF2019"/>
      <c r="AG2019"/>
      <c r="AH2019"/>
      <c r="AI2019"/>
      <c r="AJ2019"/>
      <c r="AK2019"/>
      <c r="AL2019" s="1352"/>
      <c r="AM2019" s="1352"/>
      <c r="AN2019" s="1352"/>
      <c r="AO2019" s="1352"/>
      <c r="AP2019" s="1352"/>
      <c r="AQ2019" s="1352"/>
      <c r="AR2019" s="1352"/>
      <c r="AS2019" s="1352"/>
      <c r="AT2019"/>
    </row>
    <row r="2020" spans="1:60" ht="17" hidden="1" thickTop="1" thickBot="1" x14ac:dyDescent="0.25">
      <c r="A2020" s="1515">
        <v>9</v>
      </c>
      <c r="B2020" s="1516">
        <v>901.12</v>
      </c>
      <c r="G2020" s="1509" t="str">
        <f t="shared" si="138"/>
        <v/>
      </c>
      <c r="H2020" s="1510" t="s">
        <v>3199</v>
      </c>
      <c r="I2020" s="905"/>
      <c r="J2020" s="905"/>
      <c r="K2020" s="905"/>
      <c r="L2020" s="1687"/>
      <c r="M2020" s="1769"/>
      <c r="N2020" s="905"/>
      <c r="O2020" s="1644"/>
      <c r="P2020" s="905"/>
      <c r="Q2020" s="905"/>
      <c r="R2020" s="905"/>
      <c r="S2020" s="905"/>
      <c r="T2020" s="905"/>
      <c r="U2020"/>
      <c r="V2020"/>
      <c r="W2020"/>
      <c r="X2020" s="1600"/>
      <c r="Y2020" s="1881"/>
      <c r="Z2020" s="1601"/>
      <c r="AA2020"/>
      <c r="AC2020"/>
      <c r="AD2020"/>
      <c r="AE2020"/>
      <c r="AF2020"/>
      <c r="AG2020"/>
      <c r="AH2020"/>
      <c r="AI2020"/>
      <c r="AJ2020"/>
      <c r="AK2020"/>
      <c r="AL2020" s="1352"/>
      <c r="AM2020" s="1352"/>
      <c r="AN2020" s="1352"/>
      <c r="AO2020" s="1352"/>
      <c r="AP2020" s="1352"/>
      <c r="AQ2020" s="1352"/>
      <c r="AR2020" s="1352"/>
      <c r="AS2020" s="1352"/>
      <c r="AT2020"/>
    </row>
    <row r="2021" spans="1:60" ht="17" hidden="1" thickTop="1" thickBot="1" x14ac:dyDescent="0.25">
      <c r="A2021" s="1515">
        <v>9</v>
      </c>
      <c r="B2021" s="1516">
        <v>901.12</v>
      </c>
      <c r="G2021" s="1509" t="str">
        <f t="shared" si="138"/>
        <v/>
      </c>
      <c r="H2021" s="1510" t="s">
        <v>3199</v>
      </c>
      <c r="I2021" s="905"/>
      <c r="J2021" s="905"/>
      <c r="K2021" s="905"/>
      <c r="L2021" s="1687"/>
      <c r="M2021" s="1769"/>
      <c r="N2021" s="905"/>
      <c r="O2021" s="1644"/>
      <c r="P2021" s="905"/>
      <c r="Q2021" s="905"/>
      <c r="R2021" s="905"/>
      <c r="S2021" s="905"/>
      <c r="T2021" s="905"/>
      <c r="U2021"/>
      <c r="V2021"/>
      <c r="W2021"/>
      <c r="X2021" s="1600"/>
      <c r="Y2021" s="1881"/>
      <c r="Z2021" s="1601"/>
      <c r="AA2021"/>
      <c r="AC2021"/>
      <c r="AD2021"/>
      <c r="AE2021"/>
      <c r="AF2021"/>
      <c r="AG2021"/>
      <c r="AH2021"/>
      <c r="AI2021"/>
      <c r="AJ2021"/>
      <c r="AK2021"/>
      <c r="AL2021" s="1352"/>
      <c r="AM2021" s="1352"/>
      <c r="AN2021" s="1352"/>
      <c r="AO2021" s="1352"/>
      <c r="AP2021" s="1352"/>
      <c r="AQ2021" s="1352"/>
      <c r="AR2021" s="1352"/>
      <c r="AS2021" s="1352"/>
      <c r="AT2021"/>
    </row>
    <row r="2022" spans="1:60" ht="17" hidden="1" thickTop="1" thickBot="1" x14ac:dyDescent="0.25">
      <c r="A2022" s="1515">
        <v>9</v>
      </c>
      <c r="B2022" s="1516">
        <v>901.12</v>
      </c>
      <c r="G2022" s="1509" t="str">
        <f t="shared" si="138"/>
        <v/>
      </c>
      <c r="H2022" s="1510" t="s">
        <v>3199</v>
      </c>
      <c r="I2022" s="905"/>
      <c r="J2022" s="905"/>
      <c r="K2022" s="905"/>
      <c r="L2022" s="1687"/>
      <c r="M2022" s="1769"/>
      <c r="N2022" s="905"/>
      <c r="O2022" s="1644"/>
      <c r="P2022" s="905"/>
      <c r="Q2022" s="905"/>
      <c r="R2022" s="905"/>
      <c r="S2022" s="905"/>
      <c r="T2022" s="905"/>
      <c r="U2022"/>
      <c r="V2022"/>
      <c r="W2022" s="114"/>
      <c r="X2022" s="1600"/>
      <c r="Y2022" s="1881"/>
      <c r="Z2022" s="1601"/>
      <c r="AA2022"/>
      <c r="AC2022"/>
      <c r="AD2022"/>
      <c r="AE2022"/>
      <c r="AF2022"/>
      <c r="AG2022"/>
      <c r="AH2022"/>
      <c r="AI2022"/>
      <c r="AJ2022"/>
      <c r="AK2022"/>
      <c r="AL2022" s="1352"/>
      <c r="AM2022" s="1352"/>
      <c r="AN2022" s="1352"/>
      <c r="AO2022" s="1352"/>
      <c r="AP2022" s="1352"/>
      <c r="AQ2022" s="1352"/>
      <c r="AR2022" s="1352"/>
      <c r="AS2022" s="1352"/>
      <c r="AT2022"/>
    </row>
    <row r="2023" spans="1:60" ht="17" hidden="1" thickTop="1" thickBot="1" x14ac:dyDescent="0.25">
      <c r="A2023" s="1515">
        <v>9</v>
      </c>
      <c r="B2023" s="1516">
        <v>901.12</v>
      </c>
      <c r="G2023" s="1509" t="str">
        <f t="shared" si="138"/>
        <v/>
      </c>
      <c r="H2023" s="1510" t="s">
        <v>3199</v>
      </c>
      <c r="I2023" s="905"/>
      <c r="J2023" s="905"/>
      <c r="K2023" s="905"/>
      <c r="L2023" s="1687"/>
      <c r="M2023" s="1753"/>
      <c r="N2023" s="905"/>
      <c r="O2023" s="1645"/>
      <c r="P2023" s="905"/>
      <c r="Q2023" s="905"/>
      <c r="R2023" s="905"/>
      <c r="S2023" s="905"/>
      <c r="T2023" s="905"/>
      <c r="U2023"/>
      <c r="V2023"/>
      <c r="W2023" s="113"/>
      <c r="X2023" s="1600"/>
      <c r="Y2023" s="1882"/>
      <c r="Z2023" s="1602"/>
      <c r="AA2023"/>
      <c r="AC2023"/>
      <c r="AD2023"/>
      <c r="AE2023"/>
      <c r="AF2023"/>
      <c r="AG2023"/>
      <c r="AH2023"/>
      <c r="AI2023"/>
      <c r="AJ2023"/>
      <c r="AK2023"/>
      <c r="AL2023" s="1352"/>
      <c r="AM2023" s="1352"/>
      <c r="AN2023" s="1352"/>
      <c r="AO2023" s="1352"/>
      <c r="AP2023" s="1352"/>
      <c r="AQ2023" s="1352"/>
      <c r="AR2023" s="1352"/>
      <c r="AS2023" s="1352"/>
      <c r="AT2023"/>
    </row>
    <row r="2024" spans="1:60" ht="16" thickTop="1" x14ac:dyDescent="0.2">
      <c r="A2024" s="1507">
        <v>9</v>
      </c>
      <c r="B2024" s="1516">
        <v>901.13</v>
      </c>
      <c r="C2024" s="1511"/>
      <c r="D2024" s="1511"/>
      <c r="E2024" s="1511"/>
      <c r="F2024" s="1511"/>
      <c r="G2024" s="1509" t="str">
        <f>IF(IFERROR(SEARCH("Mandatory",M2024),FALSE),"P","")</f>
        <v>P</v>
      </c>
      <c r="H2024" s="1510" t="s">
        <v>3199</v>
      </c>
      <c r="I2024" s="177" t="s">
        <v>3684</v>
      </c>
      <c r="J2024" s="178"/>
      <c r="K2024" s="178"/>
      <c r="L2024" s="1683" t="s">
        <v>4872</v>
      </c>
      <c r="M2024" s="1701" t="str">
        <f>IF(R2024,"Mandatory","N/A")</f>
        <v>Mandatory</v>
      </c>
      <c r="N2024" s="548"/>
      <c r="O2024" s="548"/>
      <c r="P2024" s="96" t="b">
        <v>0</v>
      </c>
      <c r="Q2024" s="96" t="b">
        <v>1</v>
      </c>
      <c r="R2024" s="106" t="b">
        <f>S2024</f>
        <v>1</v>
      </c>
      <c r="S2024" s="106" t="b">
        <v>1</v>
      </c>
      <c r="T2024" s="106" t="b">
        <v>0</v>
      </c>
      <c r="U2024" s="106" t="str">
        <f>SUBSTITUTE(SUBSTITUTE(SUBSTITUTE("dd"&amp;B2024&amp;C2024&amp;D2024&amp;E2024&amp;F2024,".","_"),"(","_"),")","")</f>
        <v>dd901_13</v>
      </c>
      <c r="V2024" s="106"/>
      <c r="W2024" s="269" t="s">
        <v>2588</v>
      </c>
      <c r="X2024" s="1603"/>
      <c r="Y2024" s="1883" t="str">
        <f>IF(LEN('11.900'!X177)=0,"None",'11.900'!X177)</f>
        <v>None</v>
      </c>
      <c r="Z2024" s="1879"/>
      <c r="AB2024" s="538"/>
      <c r="AC2024" s="538" t="b">
        <f>OR(AD2024:AE2024)</f>
        <v>0</v>
      </c>
      <c r="AD2024" s="538" t="b">
        <f>T2024</f>
        <v>0</v>
      </c>
      <c r="AE2024" s="538" t="b">
        <f>AND(R2024,OR(LEN(W2024)=0,W2024="Not Met"))</f>
        <v>0</v>
      </c>
      <c r="AF2024"/>
      <c r="AG2024" s="538"/>
      <c r="AH2024" s="538"/>
      <c r="AI2024" s="538"/>
      <c r="AJ2024" s="538"/>
      <c r="AK2024" s="538"/>
      <c r="AL2024" s="1352" t="str">
        <f>SUBSTITUTE(SUBSTITUTE(SUBSTITUTE("vpa"&amp;$B2024&amp;$C2024&amp;$D2024&amp;$E2024,".","_"),"(","_"),")","")</f>
        <v>vpa901_13</v>
      </c>
      <c r="AM2024" s="1352" t="str">
        <f>M2024</f>
        <v>Mandatory</v>
      </c>
      <c r="AN2024" s="1352"/>
      <c r="AO2024" s="1352"/>
      <c r="AP2024" s="1352" t="str">
        <f>SUBSTITUTE(SUBSTITUTE(SUBSTITUTE("vch"&amp;$B2024&amp;$C2024&amp;$D2024&amp;$E2024,".","_"),"(","_"),")","")</f>
        <v>vch901_13</v>
      </c>
      <c r="AQ2024" s="1352" t="str">
        <f>IF(LEN(W2024)=0,"",W2024)</f>
        <v>Met</v>
      </c>
      <c r="AR2024" s="1352" t="str">
        <f>SUBSTITUTE(SUBSTITUTE(SUBSTITUTE("vnt"&amp;$B2024&amp;$C2024&amp;$D2024&amp;$E2024,".","_"),"(","_"),")","")</f>
        <v>vnt901_13</v>
      </c>
      <c r="AS2024" s="1352" t="str">
        <f>IF(LEN(X2024)=0,"",X2024)</f>
        <v/>
      </c>
      <c r="AT2024" s="538"/>
      <c r="AU2024" s="538"/>
      <c r="AV2024" s="538"/>
      <c r="AW2024" s="538"/>
      <c r="AX2024" s="538"/>
      <c r="AY2024" s="538"/>
      <c r="AZ2024" s="538"/>
      <c r="BA2024" s="538"/>
      <c r="BB2024" s="538"/>
      <c r="BC2024" s="538"/>
      <c r="BD2024" s="538"/>
      <c r="BE2024" s="538"/>
      <c r="BF2024" s="538"/>
      <c r="BG2024" s="538"/>
      <c r="BH2024" s="538"/>
    </row>
    <row r="2025" spans="1:60" ht="16" thickBot="1" x14ac:dyDescent="0.25">
      <c r="A2025" s="1507">
        <v>9</v>
      </c>
      <c r="B2025" s="1516">
        <v>901.13</v>
      </c>
      <c r="C2025" s="1511"/>
      <c r="D2025" s="1511"/>
      <c r="E2025" s="1511"/>
      <c r="F2025" s="1511"/>
      <c r="G2025" s="1509" t="str">
        <f t="shared" si="138"/>
        <v>P</v>
      </c>
      <c r="H2025" s="1510" t="s">
        <v>3199</v>
      </c>
      <c r="I2025" s="407"/>
      <c r="J2025" s="239"/>
      <c r="K2025" s="239"/>
      <c r="L2025" s="1630"/>
      <c r="M2025" s="1726"/>
      <c r="N2025" s="547"/>
      <c r="O2025" s="547"/>
      <c r="P2025" s="100"/>
      <c r="Q2025" s="100"/>
      <c r="R2025" s="100"/>
      <c r="S2025" s="100"/>
      <c r="T2025" s="100"/>
      <c r="U2025" s="100"/>
      <c r="V2025" s="100"/>
      <c r="W2025" s="100"/>
      <c r="X2025" s="1602"/>
      <c r="Y2025" s="1882"/>
      <c r="Z2025" s="1897"/>
      <c r="AB2025" s="538"/>
      <c r="AC2025" s="538"/>
      <c r="AD2025" s="538"/>
      <c r="AE2025" s="538"/>
      <c r="AF2025" s="538"/>
      <c r="AG2025" s="538"/>
      <c r="AH2025" s="538"/>
      <c r="AI2025" s="538"/>
      <c r="AJ2025" s="538"/>
      <c r="AK2025" s="538"/>
      <c r="AL2025" s="1352"/>
      <c r="AM2025" s="1352"/>
      <c r="AN2025" s="1352"/>
      <c r="AO2025" s="1352"/>
      <c r="AP2025" s="1352"/>
      <c r="AQ2025" s="1352"/>
      <c r="AR2025" s="1352"/>
      <c r="AS2025" s="1352"/>
      <c r="AT2025" s="538"/>
      <c r="AU2025" s="538"/>
      <c r="AV2025" s="538"/>
      <c r="AW2025" s="538"/>
      <c r="AX2025" s="538"/>
      <c r="AY2025" s="538"/>
      <c r="AZ2025" s="538"/>
      <c r="BA2025" s="538"/>
      <c r="BB2025" s="538"/>
      <c r="BC2025" s="538"/>
      <c r="BD2025" s="538"/>
      <c r="BE2025" s="538"/>
      <c r="BF2025" s="538"/>
      <c r="BG2025" s="538"/>
      <c r="BH2025" s="538"/>
    </row>
    <row r="2026" spans="1:60" ht="17" hidden="1" thickTop="1" thickBot="1" x14ac:dyDescent="0.25">
      <c r="A2026" s="1507">
        <v>9</v>
      </c>
      <c r="B2026" s="1516">
        <v>901.14</v>
      </c>
      <c r="C2026" s="1511"/>
      <c r="D2026" s="1511"/>
      <c r="E2026" s="1511"/>
      <c r="F2026" s="1511"/>
      <c r="G2026" s="1509" t="str">
        <f ca="1">IF(N2026&gt;0,"P","")</f>
        <v/>
      </c>
      <c r="H2026" s="1510" t="s">
        <v>3199</v>
      </c>
      <c r="I2026" s="177" t="s">
        <v>3685</v>
      </c>
      <c r="J2026" s="178"/>
      <c r="K2026" s="178"/>
      <c r="L2026" s="1683" t="s">
        <v>4871</v>
      </c>
      <c r="M2026" s="556"/>
      <c r="N2026" s="1682">
        <f ca="1">'11.900'!O179</f>
        <v>0</v>
      </c>
      <c r="O2026" s="1682">
        <f ca="1">MIN(1,M2028*S2028*W2028+M2029*S2029*W2029)</f>
        <v>0</v>
      </c>
      <c r="P2026" s="106"/>
      <c r="Q2026" s="106"/>
      <c r="R2026" s="106"/>
      <c r="S2026" s="106"/>
      <c r="T2026" s="106"/>
      <c r="U2026" s="106"/>
      <c r="V2026" s="106"/>
      <c r="W2026" s="106"/>
      <c r="X2026" s="1603"/>
      <c r="Y2026" s="1877" t="str">
        <f>IF(LEN('11.900'!X179)=0,"None",'11.900'!X179)</f>
        <v>None</v>
      </c>
      <c r="Z2026" s="1880"/>
      <c r="AB2026" s="538"/>
      <c r="AC2026" s="538"/>
      <c r="AD2026" s="538"/>
      <c r="AE2026" s="538"/>
      <c r="AF2026" s="538"/>
      <c r="AG2026" s="538"/>
      <c r="AH2026" s="538"/>
      <c r="AI2026" s="538"/>
      <c r="AJ2026" s="538"/>
      <c r="AK2026" s="538"/>
      <c r="AL2026" s="1352"/>
      <c r="AM2026" s="1352"/>
      <c r="AN2026" s="1352" t="str">
        <f>SUBSTITUTE(SUBSTITUTE(SUBSTITUTE("vpc"&amp;$B2026&amp;$C2026&amp;$D2026&amp;$E2026,".","_"),"(","_"),")","")</f>
        <v>vpc901_14</v>
      </c>
      <c r="AO2026" s="1352">
        <f ca="1">O2026</f>
        <v>0</v>
      </c>
      <c r="AP2026" s="1352"/>
      <c r="AQ2026" s="1352"/>
      <c r="AR2026" s="1352" t="str">
        <f>SUBSTITUTE(SUBSTITUTE(SUBSTITUTE("vnt"&amp;$B2026&amp;$C2026&amp;$D2026&amp;$E2026,".","_"),"(","_"),")","")</f>
        <v>vnt901_14</v>
      </c>
      <c r="AS2026" s="1352" t="str">
        <f>IF(LEN(X2026)=0,"",X2026)</f>
        <v/>
      </c>
      <c r="AT2026" s="538"/>
      <c r="AU2026" s="538"/>
      <c r="AV2026" s="538"/>
      <c r="AW2026" s="538"/>
      <c r="AX2026" s="538"/>
      <c r="AY2026" s="538"/>
      <c r="AZ2026" s="538"/>
      <c r="BA2026" s="538"/>
      <c r="BB2026" s="538"/>
      <c r="BC2026" s="538"/>
      <c r="BD2026" s="538"/>
      <c r="BE2026" s="538"/>
      <c r="BF2026" s="538"/>
      <c r="BG2026" s="538"/>
      <c r="BH2026" s="538"/>
    </row>
    <row r="2027" spans="1:60" ht="17" hidden="1" thickTop="1" thickBot="1" x14ac:dyDescent="0.25">
      <c r="A2027" s="1507">
        <v>9</v>
      </c>
      <c r="B2027" s="1516">
        <v>901.14</v>
      </c>
      <c r="C2027" s="1511"/>
      <c r="D2027" s="1511"/>
      <c r="E2027" s="1511"/>
      <c r="F2027" s="1511"/>
      <c r="G2027" s="1509" t="str">
        <f ca="1">G2026</f>
        <v/>
      </c>
      <c r="H2027" s="1510" t="s">
        <v>3199</v>
      </c>
      <c r="I2027" s="406"/>
      <c r="J2027" s="129"/>
      <c r="K2027" s="129"/>
      <c r="L2027" s="1629"/>
      <c r="M2027" s="545"/>
      <c r="N2027" s="1619"/>
      <c r="O2027" s="1619"/>
      <c r="P2027" s="96"/>
      <c r="Q2027" s="96"/>
      <c r="R2027" s="96"/>
      <c r="S2027" s="96"/>
      <c r="T2027" s="96"/>
      <c r="U2027" s="96"/>
      <c r="V2027" s="96"/>
      <c r="W2027" s="96"/>
      <c r="X2027" s="1601"/>
      <c r="Y2027" s="1881"/>
      <c r="Z2027" s="1891"/>
      <c r="AB2027" s="538"/>
      <c r="AC2027" s="538"/>
      <c r="AD2027" s="538"/>
      <c r="AE2027" s="538"/>
      <c r="AF2027" s="538"/>
      <c r="AG2027" s="538"/>
      <c r="AH2027" s="538"/>
      <c r="AI2027" s="538"/>
      <c r="AJ2027" s="538"/>
      <c r="AK2027" s="538"/>
      <c r="AL2027" s="1352"/>
      <c r="AM2027" s="1352"/>
      <c r="AN2027" s="1352"/>
      <c r="AO2027" s="1352"/>
      <c r="AP2027" s="1352"/>
      <c r="AQ2027" s="1352"/>
      <c r="AR2027" s="1352"/>
      <c r="AS2027" s="1352"/>
      <c r="AT2027" s="538"/>
      <c r="AU2027" s="538"/>
      <c r="AV2027" s="538"/>
      <c r="AW2027" s="538"/>
      <c r="AX2027" s="538"/>
      <c r="AY2027" s="538"/>
      <c r="AZ2027" s="538"/>
      <c r="BA2027" s="538"/>
      <c r="BB2027" s="538"/>
      <c r="BC2027" s="538"/>
      <c r="BD2027" s="538"/>
      <c r="BE2027" s="538"/>
      <c r="BF2027" s="538"/>
      <c r="BG2027" s="538"/>
      <c r="BH2027" s="538"/>
    </row>
    <row r="2028" spans="1:60" ht="15" hidden="1" customHeight="1" x14ac:dyDescent="0.2">
      <c r="A2028" s="1507">
        <v>9</v>
      </c>
      <c r="B2028" s="1516">
        <v>901.14</v>
      </c>
      <c r="C2028" s="1511" t="s">
        <v>254</v>
      </c>
      <c r="D2028" s="1511"/>
      <c r="E2028" s="1511"/>
      <c r="F2028" s="1511"/>
      <c r="G2028" s="1509" t="str">
        <f ca="1">G2027</f>
        <v/>
      </c>
      <c r="H2028" s="1510" t="s">
        <v>3199</v>
      </c>
      <c r="I2028" s="406"/>
      <c r="J2028" s="207" t="s">
        <v>254</v>
      </c>
      <c r="K2028" s="213"/>
      <c r="L2028" s="550" t="s">
        <v>2729</v>
      </c>
      <c r="M2028" s="546">
        <v>1</v>
      </c>
      <c r="N2028" s="543"/>
      <c r="O2028" s="543"/>
      <c r="P2028" s="96" t="b">
        <v>0</v>
      </c>
      <c r="Q2028" s="96" t="b">
        <v>1</v>
      </c>
      <c r="R2028" s="96" t="b">
        <v>0</v>
      </c>
      <c r="S2028" s="685" t="b">
        <f ca="1">$AY$18=INDEX(INDIRECT("ddSingleOrMulti"),2)</f>
        <v>1</v>
      </c>
      <c r="T2028" s="96" t="b">
        <f ca="1">AND(NOT(S2028),W2028=TRUE)</f>
        <v>0</v>
      </c>
      <c r="U2028" s="96"/>
      <c r="V2028" s="96"/>
      <c r="W2028" s="27"/>
      <c r="X2028" s="1601"/>
      <c r="Y2028" s="1881"/>
      <c r="Z2028" s="1891"/>
      <c r="AB2028" s="538"/>
      <c r="AC2028" s="538" t="b">
        <f ca="1">OR(AD2028:AE2028)</f>
        <v>0</v>
      </c>
      <c r="AD2028" s="538" t="b">
        <f ca="1">T2028</f>
        <v>0</v>
      </c>
      <c r="AE2028" s="538"/>
      <c r="AF2028" s="720"/>
      <c r="AG2028" s="538"/>
      <c r="AH2028" s="538"/>
      <c r="AI2028" s="538"/>
      <c r="AJ2028" s="538"/>
      <c r="AK2028" s="538"/>
      <c r="AL2028" s="1352" t="str">
        <f>SUBSTITUTE(SUBSTITUTE(SUBSTITUTE("vpa"&amp;$B2028&amp;$C2028&amp;$D2028&amp;$E2028,".","_"),"(","_"),")","")</f>
        <v>vpa901_14_1</v>
      </c>
      <c r="AM2028" s="1352">
        <f>M2028</f>
        <v>1</v>
      </c>
      <c r="AN2028" s="1352"/>
      <c r="AO2028" s="1352"/>
      <c r="AP2028" s="1352" t="str">
        <f>SUBSTITUTE(SUBSTITUTE(SUBSTITUTE("vch"&amp;$B2028&amp;$C2028&amp;$D2028&amp;$E2028,".","_"),"(","_"),")","")</f>
        <v>vch901_14_1</v>
      </c>
      <c r="AQ2028" s="1352" t="str">
        <f>IF(LEN(W2028)=0,"",W2028)</f>
        <v/>
      </c>
      <c r="AR2028" s="1352"/>
      <c r="AS2028" s="1352"/>
      <c r="AT2028" s="538"/>
      <c r="AU2028" s="538"/>
      <c r="AV2028" s="538"/>
      <c r="AW2028" s="538"/>
      <c r="AX2028" s="538"/>
      <c r="AY2028" s="538"/>
      <c r="AZ2028" s="538"/>
      <c r="BA2028" s="538"/>
      <c r="BB2028" s="538"/>
      <c r="BC2028" s="538"/>
      <c r="BD2028" s="538"/>
      <c r="BE2028" s="538"/>
      <c r="BF2028" s="538"/>
      <c r="BG2028" s="538"/>
      <c r="BH2028" s="538"/>
    </row>
    <row r="2029" spans="1:60" ht="15" hidden="1" customHeight="1" thickBot="1" x14ac:dyDescent="0.25">
      <c r="A2029" s="1507">
        <v>9</v>
      </c>
      <c r="B2029" s="1516">
        <v>901.14</v>
      </c>
      <c r="C2029" s="1511" t="s">
        <v>255</v>
      </c>
      <c r="D2029" s="1511"/>
      <c r="E2029" s="1511"/>
      <c r="F2029" s="1511"/>
      <c r="G2029" s="1509" t="str">
        <f ca="1">G2028</f>
        <v/>
      </c>
      <c r="H2029" s="1510" t="s">
        <v>3199</v>
      </c>
      <c r="I2029" s="407"/>
      <c r="J2029" s="190" t="s">
        <v>255</v>
      </c>
      <c r="K2029" s="239"/>
      <c r="L2029" s="557" t="s">
        <v>2730</v>
      </c>
      <c r="M2029" s="553">
        <v>1</v>
      </c>
      <c r="N2029" s="547"/>
      <c r="O2029" s="547"/>
      <c r="P2029" s="96" t="b">
        <v>0</v>
      </c>
      <c r="Q2029" s="96" t="b">
        <v>1</v>
      </c>
      <c r="R2029" s="100" t="b">
        <v>0</v>
      </c>
      <c r="S2029" s="685" t="b">
        <f ca="1">$AY$18=INDEX(INDIRECT("ddSingleOrMulti"),2)</f>
        <v>1</v>
      </c>
      <c r="T2029" s="96" t="b">
        <f ca="1">AND(NOT(S2029),W2029=TRUE)</f>
        <v>0</v>
      </c>
      <c r="U2029" s="100"/>
      <c r="V2029" s="100"/>
      <c r="W2029" s="101"/>
      <c r="X2029" s="1602"/>
      <c r="Y2029" s="1882"/>
      <c r="Z2029" s="1892"/>
      <c r="AB2029" s="538"/>
      <c r="AC2029" s="538" t="b">
        <f ca="1">OR(AD2029:AE2029)</f>
        <v>0</v>
      </c>
      <c r="AD2029" s="538" t="b">
        <f ca="1">T2029</f>
        <v>0</v>
      </c>
      <c r="AE2029" s="538"/>
      <c r="AF2029" s="720"/>
      <c r="AG2029" s="538"/>
      <c r="AH2029" s="538"/>
      <c r="AI2029" s="538"/>
      <c r="AJ2029" s="538"/>
      <c r="AK2029" s="538"/>
      <c r="AL2029" s="1352" t="str">
        <f>SUBSTITUTE(SUBSTITUTE(SUBSTITUTE("vpa"&amp;$B2029&amp;$C2029&amp;$D2029&amp;$E2029,".","_"),"(","_"),")","")</f>
        <v>vpa901_14_2</v>
      </c>
      <c r="AM2029" s="1352">
        <f>M2029</f>
        <v>1</v>
      </c>
      <c r="AN2029" s="1352"/>
      <c r="AO2029" s="1352"/>
      <c r="AP2029" s="1352" t="str">
        <f>SUBSTITUTE(SUBSTITUTE(SUBSTITUTE("vch"&amp;$B2029&amp;$C2029&amp;$D2029&amp;$E2029,".","_"),"(","_"),")","")</f>
        <v>vch901_14_2</v>
      </c>
      <c r="AQ2029" s="1352" t="str">
        <f>IF(LEN(W2029)=0,"",W2029)</f>
        <v/>
      </c>
      <c r="AR2029" s="1352"/>
      <c r="AS2029" s="1352"/>
      <c r="AT2029" s="538"/>
      <c r="AU2029" s="538"/>
      <c r="AV2029" s="538"/>
      <c r="AW2029" s="538"/>
      <c r="AX2029" s="538"/>
      <c r="AY2029" s="538"/>
      <c r="AZ2029" s="538"/>
      <c r="BA2029" s="538"/>
      <c r="BB2029" s="538"/>
      <c r="BC2029" s="538"/>
      <c r="BD2029" s="538"/>
      <c r="BE2029" s="538"/>
      <c r="BF2029" s="538"/>
      <c r="BG2029" s="538"/>
      <c r="BH2029" s="538"/>
    </row>
    <row r="2030" spans="1:60" ht="17" hidden="1" thickTop="1" thickBot="1" x14ac:dyDescent="0.25">
      <c r="A2030" s="1507">
        <v>9</v>
      </c>
      <c r="B2030" s="1516" t="s">
        <v>3901</v>
      </c>
      <c r="C2030" s="1511"/>
      <c r="D2030" s="1511"/>
      <c r="E2030" s="1511"/>
      <c r="F2030" s="1511"/>
      <c r="G2030" s="1513" t="str">
        <f ca="1">IF(COUNTIF(G2032:G2034,"P")&gt;0,"P","")</f>
        <v/>
      </c>
      <c r="H2030" s="1510" t="s">
        <v>3199</v>
      </c>
      <c r="I2030" s="67" t="s">
        <v>3900</v>
      </c>
      <c r="J2030" s="4"/>
      <c r="K2030" s="4"/>
      <c r="L2030" s="1631" t="s">
        <v>4870</v>
      </c>
      <c r="M2030" s="554"/>
      <c r="N2030" s="540"/>
      <c r="O2030" s="540"/>
      <c r="P2030" s="538"/>
      <c r="Q2030" s="538"/>
      <c r="R2030" s="538"/>
      <c r="S2030" s="685"/>
      <c r="T2030" s="538"/>
      <c r="U2030" s="538"/>
      <c r="V2030" s="538"/>
      <c r="W2030" s="538"/>
      <c r="X2030" s="538"/>
      <c r="Y2030" s="538"/>
      <c r="Z2030" s="670"/>
      <c r="AB2030" s="538"/>
      <c r="AC2030" s="538"/>
      <c r="AD2030" s="538"/>
      <c r="AE2030" s="538"/>
      <c r="AF2030" s="538"/>
      <c r="AG2030" s="538"/>
      <c r="AH2030" s="538"/>
      <c r="AI2030" s="538"/>
      <c r="AJ2030" s="538"/>
      <c r="AK2030" s="538"/>
      <c r="AL2030" s="1352"/>
      <c r="AM2030" s="1352"/>
      <c r="AN2030" s="1352"/>
      <c r="AO2030" s="1352"/>
      <c r="AP2030" s="1352"/>
      <c r="AQ2030" s="1352"/>
      <c r="AR2030" s="1352"/>
      <c r="AS2030" s="1352"/>
      <c r="AT2030" s="538"/>
      <c r="AU2030" s="538"/>
      <c r="AV2030" s="538"/>
      <c r="AW2030" s="538"/>
      <c r="AX2030" s="538"/>
      <c r="AY2030" s="538"/>
      <c r="AZ2030" s="538"/>
      <c r="BA2030" s="538"/>
      <c r="BB2030" s="538"/>
      <c r="BC2030" s="538"/>
      <c r="BD2030" s="538"/>
      <c r="BE2030" s="538"/>
      <c r="BF2030" s="538"/>
      <c r="BG2030" s="538"/>
      <c r="BH2030" s="538"/>
    </row>
    <row r="2031" spans="1:60" ht="17" hidden="1" thickTop="1" thickBot="1" x14ac:dyDescent="0.25">
      <c r="A2031" s="1507">
        <v>9</v>
      </c>
      <c r="B2031" s="1516" t="s">
        <v>3901</v>
      </c>
      <c r="C2031" s="1511"/>
      <c r="D2031" s="1511"/>
      <c r="E2031" s="1511"/>
      <c r="F2031" s="1511"/>
      <c r="G2031" s="1509" t="str">
        <f ca="1">G2030</f>
        <v/>
      </c>
      <c r="H2031" s="1510" t="s">
        <v>3199</v>
      </c>
      <c r="I2031" s="161"/>
      <c r="J2031" s="4"/>
      <c r="K2031" s="4"/>
      <c r="L2031" s="1631"/>
      <c r="M2031" s="554"/>
      <c r="N2031" s="540"/>
      <c r="O2031" s="540"/>
      <c r="P2031" s="538"/>
      <c r="Q2031" s="538"/>
      <c r="R2031" s="538"/>
      <c r="S2031" s="685"/>
      <c r="T2031" s="538"/>
      <c r="U2031" s="538"/>
      <c r="V2031" s="538"/>
      <c r="W2031" s="538"/>
      <c r="X2031" s="538"/>
      <c r="Y2031" s="538"/>
      <c r="Z2031" s="670"/>
      <c r="AB2031" s="538"/>
      <c r="AC2031" s="538"/>
      <c r="AD2031" s="538"/>
      <c r="AE2031" s="538"/>
      <c r="AF2031" s="538"/>
      <c r="AG2031" s="538"/>
      <c r="AH2031" s="538"/>
      <c r="AI2031" s="538"/>
      <c r="AJ2031" s="538"/>
      <c r="AK2031" s="538"/>
      <c r="AL2031" s="1352"/>
      <c r="AM2031" s="1352"/>
      <c r="AN2031" s="1352"/>
      <c r="AO2031" s="1352"/>
      <c r="AP2031" s="1352"/>
      <c r="AQ2031" s="1352"/>
      <c r="AR2031" s="1352"/>
      <c r="AS2031" s="1352"/>
      <c r="AT2031" s="538"/>
      <c r="AU2031" s="538"/>
      <c r="AV2031" s="538"/>
      <c r="AW2031" s="538"/>
      <c r="AX2031" s="538"/>
      <c r="AY2031" s="538"/>
      <c r="AZ2031" s="538"/>
      <c r="BA2031" s="538"/>
      <c r="BB2031" s="538"/>
      <c r="BC2031" s="538"/>
      <c r="BD2031" s="538"/>
      <c r="BE2031" s="538"/>
      <c r="BF2031" s="538"/>
      <c r="BG2031" s="538"/>
      <c r="BH2031" s="538"/>
    </row>
    <row r="2032" spans="1:60" ht="17" hidden="1" thickTop="1" thickBot="1" x14ac:dyDescent="0.25">
      <c r="A2032" s="1507">
        <v>9</v>
      </c>
      <c r="B2032" s="1516" t="s">
        <v>3901</v>
      </c>
      <c r="C2032" s="1511" t="s">
        <v>254</v>
      </c>
      <c r="D2032" s="1511"/>
      <c r="E2032" s="1511"/>
      <c r="F2032" s="1511"/>
      <c r="G2032" s="1509" t="str">
        <f ca="1">IF(N2032&gt;0,"P","")</f>
        <v/>
      </c>
      <c r="H2032" s="1510" t="s">
        <v>3199</v>
      </c>
      <c r="I2032" s="161"/>
      <c r="J2032" s="180" t="s">
        <v>254</v>
      </c>
      <c r="K2032" s="129"/>
      <c r="L2032" s="1609" t="s">
        <v>2731</v>
      </c>
      <c r="M2032" s="1623">
        <v>1</v>
      </c>
      <c r="N2032" s="1619">
        <f ca="1">'11.900'!O185</f>
        <v>0</v>
      </c>
      <c r="O2032" s="1619">
        <f ca="1">M2032*S2032*W2032</f>
        <v>0</v>
      </c>
      <c r="P2032" s="96" t="b">
        <v>0</v>
      </c>
      <c r="Q2032" s="96" t="b">
        <v>1</v>
      </c>
      <c r="R2032" s="538" t="b">
        <v>0</v>
      </c>
      <c r="S2032" s="685" t="b">
        <f ca="1">$AY$18=INDEX(INDIRECT("ddSingleOrMulti"),2)</f>
        <v>1</v>
      </c>
      <c r="T2032" s="96" t="b">
        <f ca="1">AND(NOT(S2032),W2032=TRUE)</f>
        <v>0</v>
      </c>
      <c r="U2032" s="538"/>
      <c r="V2032" s="538"/>
      <c r="W2032" s="27"/>
      <c r="X2032" s="1600"/>
      <c r="Y2032" s="1874" t="str">
        <f>IF(LEN('11.900'!X185)=0,"None",'11.900'!X185)</f>
        <v>None</v>
      </c>
      <c r="Z2032" s="1889"/>
      <c r="AB2032" s="538"/>
      <c r="AC2032" s="538" t="b">
        <f ca="1">OR(AD2032:AE2032)</f>
        <v>0</v>
      </c>
      <c r="AD2032" s="538" t="b">
        <f ca="1">T2032</f>
        <v>0</v>
      </c>
      <c r="AE2032" s="538"/>
      <c r="AF2032" s="720"/>
      <c r="AG2032" s="538"/>
      <c r="AH2032" s="538"/>
      <c r="AI2032" s="538"/>
      <c r="AJ2032" s="538"/>
      <c r="AK2032" s="538"/>
      <c r="AL2032" s="1352" t="str">
        <f>SUBSTITUTE(SUBSTITUTE(SUBSTITUTE("vpa"&amp;$B2032&amp;$C2032&amp;$D2032&amp;$E2032,".","_"),"(","_"),")","")</f>
        <v>vpa901_15_1</v>
      </c>
      <c r="AM2032" s="1352">
        <f>M2032</f>
        <v>1</v>
      </c>
      <c r="AN2032" s="1352" t="str">
        <f>SUBSTITUTE(SUBSTITUTE(SUBSTITUTE("vpc"&amp;$B2032&amp;$C2032&amp;$D2032&amp;$E2032,".","_"),"(","_"),")","")</f>
        <v>vpc901_15_1</v>
      </c>
      <c r="AO2032" s="1352">
        <f ca="1">O2032</f>
        <v>0</v>
      </c>
      <c r="AP2032" s="1352" t="str">
        <f>SUBSTITUTE(SUBSTITUTE(SUBSTITUTE("vch"&amp;$B2032&amp;$C2032&amp;$D2032&amp;$E2032,".","_"),"(","_"),")","")</f>
        <v>vch901_15_1</v>
      </c>
      <c r="AQ2032" s="1352" t="str">
        <f>IF(LEN(W2032)=0,"",W2032)</f>
        <v/>
      </c>
      <c r="AR2032" s="1352" t="str">
        <f>SUBSTITUTE(SUBSTITUTE(SUBSTITUTE("vnt"&amp;$B2032&amp;$C2032&amp;$D2032&amp;$E2032,".","_"),"(","_"),")","")</f>
        <v>vnt901_15_1</v>
      </c>
      <c r="AS2032" s="1352" t="str">
        <f>IF(LEN(X2032)=0,"",X2032)</f>
        <v/>
      </c>
      <c r="AT2032" s="538"/>
      <c r="AU2032" s="538"/>
      <c r="AV2032" s="538"/>
      <c r="AW2032" s="538"/>
      <c r="AX2032" s="538"/>
      <c r="AY2032" s="538"/>
      <c r="AZ2032" s="538"/>
      <c r="BA2032" s="538"/>
      <c r="BB2032" s="538"/>
      <c r="BC2032" s="538"/>
      <c r="BD2032" s="538"/>
      <c r="BE2032" s="538"/>
      <c r="BF2032" s="538"/>
      <c r="BG2032" s="538"/>
      <c r="BH2032" s="538"/>
    </row>
    <row r="2033" spans="1:60" ht="17" hidden="1" thickTop="1" thickBot="1" x14ac:dyDescent="0.25">
      <c r="A2033" s="1507">
        <v>9</v>
      </c>
      <c r="B2033" s="1516" t="s">
        <v>3901</v>
      </c>
      <c r="C2033" s="1511" t="s">
        <v>254</v>
      </c>
      <c r="D2033" s="1511"/>
      <c r="E2033" s="1511"/>
      <c r="F2033" s="1511"/>
      <c r="G2033" s="1509" t="str">
        <f ca="1">G2032</f>
        <v/>
      </c>
      <c r="H2033" s="1510" t="s">
        <v>3199</v>
      </c>
      <c r="I2033" s="161"/>
      <c r="J2033" s="213"/>
      <c r="K2033" s="213"/>
      <c r="L2033" s="1612"/>
      <c r="M2033" s="1624"/>
      <c r="N2033" s="1620"/>
      <c r="O2033" s="1620"/>
      <c r="P2033" s="538"/>
      <c r="Q2033" s="538"/>
      <c r="R2033" s="538"/>
      <c r="S2033" s="685"/>
      <c r="T2033" s="538"/>
      <c r="U2033" s="538"/>
      <c r="V2033" s="538"/>
      <c r="W2033" s="538"/>
      <c r="X2033" s="1600"/>
      <c r="Y2033" s="1874"/>
      <c r="Z2033" s="1889"/>
      <c r="AB2033" s="538"/>
      <c r="AC2033" s="538"/>
      <c r="AD2033" s="538"/>
      <c r="AE2033" s="538"/>
      <c r="AF2033" s="538"/>
      <c r="AG2033" s="538"/>
      <c r="AH2033" s="538"/>
      <c r="AI2033" s="538"/>
      <c r="AJ2033" s="538"/>
      <c r="AK2033" s="538"/>
      <c r="AL2033" s="1352"/>
      <c r="AM2033" s="1352"/>
      <c r="AN2033" s="1352"/>
      <c r="AO2033" s="1352"/>
      <c r="AP2033" s="1352"/>
      <c r="AQ2033" s="1352"/>
      <c r="AR2033" s="1352"/>
      <c r="AS2033" s="1352"/>
      <c r="AT2033" s="538"/>
      <c r="AU2033" s="538"/>
      <c r="AV2033" s="538"/>
      <c r="AW2033" s="538"/>
      <c r="AX2033" s="538"/>
      <c r="AY2033" s="538"/>
      <c r="AZ2033" s="538"/>
      <c r="BA2033" s="538"/>
      <c r="BB2033" s="538"/>
      <c r="BC2033" s="538"/>
      <c r="BD2033" s="538"/>
      <c r="BE2033" s="538"/>
      <c r="BF2033" s="538"/>
      <c r="BG2033" s="538"/>
      <c r="BH2033" s="538"/>
    </row>
    <row r="2034" spans="1:60" ht="17" hidden="1" thickTop="1" thickBot="1" x14ac:dyDescent="0.25">
      <c r="A2034" s="1507">
        <v>9</v>
      </c>
      <c r="B2034" s="1516" t="s">
        <v>3901</v>
      </c>
      <c r="C2034" s="1511" t="s">
        <v>255</v>
      </c>
      <c r="D2034" s="1511"/>
      <c r="E2034" s="1511"/>
      <c r="F2034" s="1511"/>
      <c r="G2034" s="1509" t="str">
        <f ca="1">IF(N2034&gt;0,"P","")</f>
        <v/>
      </c>
      <c r="H2034" s="1510" t="s">
        <v>3199</v>
      </c>
      <c r="I2034" s="161"/>
      <c r="J2034" s="29" t="s">
        <v>255</v>
      </c>
      <c r="K2034" s="4"/>
      <c r="L2034" s="1611" t="s">
        <v>2732</v>
      </c>
      <c r="M2034" s="1628">
        <v>1</v>
      </c>
      <c r="N2034" s="1669">
        <f ca="1">'11.900'!O187</f>
        <v>0</v>
      </c>
      <c r="O2034" s="1669">
        <f ca="1">M2034*S2034*W2034</f>
        <v>0</v>
      </c>
      <c r="P2034" s="96" t="b">
        <v>0</v>
      </c>
      <c r="Q2034" s="96" t="b">
        <v>1</v>
      </c>
      <c r="R2034" s="538" t="b">
        <v>0</v>
      </c>
      <c r="S2034" s="685" t="b">
        <f ca="1">$AY$18=INDEX(INDIRECT("ddSingleOrMulti"),2)</f>
        <v>1</v>
      </c>
      <c r="T2034" s="96" t="b">
        <f ca="1">AND(NOT(S2034),W2034=TRUE)</f>
        <v>0</v>
      </c>
      <c r="U2034" s="538"/>
      <c r="V2034" s="538"/>
      <c r="W2034" s="27"/>
      <c r="X2034" s="1600"/>
      <c r="Y2034" s="1874" t="str">
        <f>IF(LEN('11.900'!X187)=0,"None",'11.900'!X187)</f>
        <v>None</v>
      </c>
      <c r="Z2034" s="1891"/>
      <c r="AB2034" s="538"/>
      <c r="AC2034" s="538" t="b">
        <f ca="1">OR(AD2034:AE2034)</f>
        <v>0</v>
      </c>
      <c r="AD2034" s="538" t="b">
        <f ca="1">T2034</f>
        <v>0</v>
      </c>
      <c r="AE2034" s="538"/>
      <c r="AF2034" s="720"/>
      <c r="AG2034" s="538"/>
      <c r="AH2034" s="538"/>
      <c r="AI2034" s="538"/>
      <c r="AJ2034" s="538"/>
      <c r="AK2034" s="538"/>
      <c r="AL2034" s="1352" t="str">
        <f>SUBSTITUTE(SUBSTITUTE(SUBSTITUTE("vpa"&amp;$B2034&amp;$C2034&amp;$D2034&amp;$E2034,".","_"),"(","_"),")","")</f>
        <v>vpa901_15_2</v>
      </c>
      <c r="AM2034" s="1352">
        <f>M2034</f>
        <v>1</v>
      </c>
      <c r="AN2034" s="1352" t="str">
        <f>SUBSTITUTE(SUBSTITUTE(SUBSTITUTE("vpc"&amp;$B2034&amp;$C2034&amp;$D2034&amp;$E2034,".","_"),"(","_"),")","")</f>
        <v>vpc901_15_2</v>
      </c>
      <c r="AO2034" s="1352">
        <f ca="1">O2034</f>
        <v>0</v>
      </c>
      <c r="AP2034" s="1352" t="str">
        <f>SUBSTITUTE(SUBSTITUTE(SUBSTITUTE("vch"&amp;$B2034&amp;$C2034&amp;$D2034&amp;$E2034,".","_"),"(","_"),")","")</f>
        <v>vch901_15_2</v>
      </c>
      <c r="AQ2034" s="1352" t="str">
        <f>IF(LEN(W2034)=0,"",W2034)</f>
        <v/>
      </c>
      <c r="AR2034" s="1352" t="str">
        <f>SUBSTITUTE(SUBSTITUTE(SUBSTITUTE("vnt"&amp;$B2034&amp;$C2034&amp;$D2034&amp;$E2034,".","_"),"(","_"),")","")</f>
        <v>vnt901_15_2</v>
      </c>
      <c r="AS2034" s="1352" t="str">
        <f>IF(LEN(X2034)=0,"",X2034)</f>
        <v/>
      </c>
      <c r="AT2034" s="538"/>
      <c r="AU2034" s="538"/>
      <c r="AV2034" s="538"/>
      <c r="AW2034" s="538"/>
      <c r="AX2034" s="538"/>
      <c r="AY2034" s="538"/>
      <c r="AZ2034" s="538"/>
      <c r="BA2034" s="538"/>
      <c r="BB2034" s="538"/>
      <c r="BC2034" s="538"/>
      <c r="BD2034" s="538"/>
      <c r="BE2034" s="538"/>
      <c r="BF2034" s="538"/>
      <c r="BG2034" s="538"/>
      <c r="BH2034" s="538"/>
    </row>
    <row r="2035" spans="1:60" ht="17" hidden="1" thickTop="1" thickBot="1" x14ac:dyDescent="0.25">
      <c r="A2035" s="1507">
        <v>9</v>
      </c>
      <c r="B2035" s="1516" t="s">
        <v>3901</v>
      </c>
      <c r="C2035" s="1511" t="s">
        <v>255</v>
      </c>
      <c r="D2035" s="1511"/>
      <c r="E2035" s="1511"/>
      <c r="F2035" s="1511"/>
      <c r="G2035" s="1509" t="str">
        <f ca="1">G2034</f>
        <v/>
      </c>
      <c r="H2035" s="1510" t="s">
        <v>3199</v>
      </c>
      <c r="I2035" s="161"/>
      <c r="J2035" s="4"/>
      <c r="K2035" s="4"/>
      <c r="L2035" s="1611"/>
      <c r="M2035" s="1628"/>
      <c r="N2035" s="1669"/>
      <c r="O2035" s="1669"/>
      <c r="P2035" s="538"/>
      <c r="Q2035" s="538"/>
      <c r="R2035" s="538"/>
      <c r="S2035" s="538"/>
      <c r="T2035" s="538"/>
      <c r="U2035" s="538"/>
      <c r="V2035" s="538"/>
      <c r="W2035" s="538"/>
      <c r="X2035" s="1600"/>
      <c r="Y2035" s="1875"/>
      <c r="Z2035" s="1892"/>
      <c r="AB2035" s="538"/>
      <c r="AC2035" s="538"/>
      <c r="AD2035" s="538"/>
      <c r="AE2035" s="538"/>
      <c r="AF2035" s="538"/>
      <c r="AG2035" s="538"/>
      <c r="AH2035" s="538"/>
      <c r="AI2035" s="538"/>
      <c r="AJ2035" s="538"/>
      <c r="AK2035" s="538"/>
      <c r="AL2035" s="1352"/>
      <c r="AM2035" s="1352"/>
      <c r="AN2035" s="1352"/>
      <c r="AO2035" s="1352"/>
      <c r="AP2035" s="1352"/>
      <c r="AQ2035" s="1352"/>
      <c r="AR2035" s="1352"/>
      <c r="AS2035" s="1352"/>
      <c r="AT2035" s="538"/>
      <c r="AU2035" s="538"/>
      <c r="AV2035" s="538"/>
      <c r="AW2035" s="538"/>
      <c r="AX2035" s="538"/>
      <c r="AY2035" s="538"/>
      <c r="AZ2035" s="538"/>
      <c r="BA2035" s="538"/>
      <c r="BB2035" s="538"/>
      <c r="BC2035" s="538"/>
      <c r="BD2035" s="538"/>
      <c r="BE2035" s="538"/>
      <c r="BF2035" s="538"/>
      <c r="BG2035" s="538"/>
      <c r="BH2035" s="538"/>
    </row>
    <row r="2036" spans="1:60" s="789" customFormat="1" ht="16" thickTop="1" x14ac:dyDescent="0.2">
      <c r="A2036" s="1507">
        <v>9</v>
      </c>
      <c r="B2036" s="1516" t="s">
        <v>4873</v>
      </c>
      <c r="C2036" s="1511"/>
      <c r="D2036" s="1511"/>
      <c r="E2036" s="1511"/>
      <c r="F2036" s="1511"/>
      <c r="G2036" s="1509" t="str">
        <f>IF(IFERROR(SEARCH("Mandatory",M2036),FALSE),"P","")</f>
        <v>P</v>
      </c>
      <c r="H2036" s="1510" t="s">
        <v>3199</v>
      </c>
      <c r="I2036" s="177" t="s">
        <v>4868</v>
      </c>
      <c r="J2036" s="178"/>
      <c r="K2036" s="178"/>
      <c r="L2036" s="1683" t="s">
        <v>4869</v>
      </c>
      <c r="M2036" s="1701" t="str">
        <f>IF(R2036,"Mandatory","N/A")</f>
        <v>Mandatory</v>
      </c>
      <c r="N2036" s="943"/>
      <c r="O2036" s="943"/>
      <c r="P2036" s="804" t="b">
        <v>0</v>
      </c>
      <c r="Q2036" s="804" t="b">
        <v>1</v>
      </c>
      <c r="R2036" s="778" t="b">
        <f>S2036</f>
        <v>1</v>
      </c>
      <c r="S2036" s="778" t="b">
        <f>AY1874&lt;1978</f>
        <v>1</v>
      </c>
      <c r="T2036" s="778" t="b">
        <v>0</v>
      </c>
      <c r="U2036" s="991"/>
      <c r="V2036" s="106"/>
      <c r="W2036" s="334" t="b">
        <v>1</v>
      </c>
      <c r="X2036" s="1603"/>
      <c r="Y2036" s="1883" t="str">
        <f>IF(LEN('11.900'!X189)=0,"None",'11.900'!X189)</f>
        <v>None</v>
      </c>
      <c r="Z2036" s="1880"/>
      <c r="AC2036" s="779" t="b">
        <f>OR(AD2036:AE2036)</f>
        <v>0</v>
      </c>
      <c r="AD2036" s="779" t="b">
        <f>T2036</f>
        <v>0</v>
      </c>
      <c r="AE2036" s="779" t="b">
        <f>AND(R2036,NOT(W2036))</f>
        <v>0</v>
      </c>
      <c r="AF2036"/>
      <c r="AL2036" s="1352" t="str">
        <f>SUBSTITUTE(SUBSTITUTE(SUBSTITUTE("vpa"&amp;$B2036&amp;$C2036&amp;$D2036&amp;$E2036,".","_"),"(","_"),")","")</f>
        <v>vpa901_16</v>
      </c>
      <c r="AM2036" s="1352" t="str">
        <f>M2036</f>
        <v>Mandatory</v>
      </c>
      <c r="AN2036" s="1352"/>
      <c r="AO2036" s="1352"/>
      <c r="AP2036" s="1352" t="str">
        <f>SUBSTITUTE(SUBSTITUTE(SUBSTITUTE("vch"&amp;$B2036&amp;$C2036&amp;$D2036&amp;$E2036,".","_"),"(","_"),")","")</f>
        <v>vch901_16</v>
      </c>
      <c r="AQ2036" s="1352" t="b">
        <f>IF(LEN(W2036)=0,"",W2036)</f>
        <v>1</v>
      </c>
      <c r="AR2036" s="1352" t="str">
        <f>SUBSTITUTE(SUBSTITUTE(SUBSTITUTE("vnt"&amp;$B2036&amp;$C2036&amp;$D2036&amp;$E2036,".","_"),"(","_"),")","")</f>
        <v>vnt901_16</v>
      </c>
      <c r="AS2036" s="1352" t="str">
        <f>IF(LEN(X2036)=0,"",X2036)</f>
        <v/>
      </c>
    </row>
    <row r="2037" spans="1:60" s="789" customFormat="1" ht="16" thickBot="1" x14ac:dyDescent="0.25">
      <c r="A2037" s="1507">
        <v>9</v>
      </c>
      <c r="B2037" s="1516" t="s">
        <v>4873</v>
      </c>
      <c r="C2037" s="1511"/>
      <c r="D2037" s="1511"/>
      <c r="E2037" s="1511"/>
      <c r="F2037" s="1511"/>
      <c r="G2037" s="1509" t="str">
        <f>G2036</f>
        <v>P</v>
      </c>
      <c r="H2037" s="1510" t="s">
        <v>3199</v>
      </c>
      <c r="I2037" s="438"/>
      <c r="J2037" s="213"/>
      <c r="K2037" s="213"/>
      <c r="L2037" s="1696"/>
      <c r="M2037" s="1698"/>
      <c r="N2037" s="909"/>
      <c r="O2037" s="909"/>
      <c r="P2037" s="173"/>
      <c r="Q2037" s="173"/>
      <c r="R2037" s="173"/>
      <c r="S2037" s="173"/>
      <c r="T2037" s="173"/>
      <c r="U2037" s="173"/>
      <c r="V2037" s="173"/>
      <c r="W2037" s="818"/>
      <c r="X2037" s="1601"/>
      <c r="Y2037" s="1882"/>
      <c r="Z2037" s="1892"/>
      <c r="AL2037" s="1352"/>
      <c r="AM2037" s="1352"/>
      <c r="AN2037" s="1352"/>
      <c r="AO2037" s="1352"/>
      <c r="AP2037" s="1352"/>
      <c r="AQ2037" s="1352"/>
      <c r="AR2037" s="1352"/>
      <c r="AS2037" s="1352"/>
    </row>
    <row r="2038" spans="1:60" ht="21" thickTop="1" thickBot="1" x14ac:dyDescent="0.3">
      <c r="A2038" s="1507">
        <v>9</v>
      </c>
      <c r="B2038" s="1516">
        <v>902</v>
      </c>
      <c r="C2038" s="1511"/>
      <c r="D2038" s="1511"/>
      <c r="E2038" s="1511"/>
      <c r="F2038" s="1511"/>
      <c r="G2038" s="1509" t="s">
        <v>3200</v>
      </c>
      <c r="H2038" s="1510" t="s">
        <v>3197</v>
      </c>
      <c r="I2038" s="14" t="s">
        <v>3686</v>
      </c>
      <c r="J2038" s="25"/>
      <c r="K2038" s="25"/>
      <c r="L2038" s="86"/>
      <c r="M2038" s="419"/>
      <c r="N2038" s="419"/>
      <c r="O2038" s="419"/>
      <c r="P2038" s="25"/>
      <c r="Q2038" s="25"/>
      <c r="R2038" s="25"/>
      <c r="S2038" s="25"/>
      <c r="T2038" s="25"/>
      <c r="U2038" s="25"/>
      <c r="V2038" s="25"/>
      <c r="W2038" s="25"/>
      <c r="X2038" s="25"/>
      <c r="Y2038" s="25"/>
      <c r="Z2038" s="714"/>
      <c r="AB2038" s="538"/>
      <c r="AC2038" s="538"/>
      <c r="AD2038" s="538"/>
      <c r="AE2038" s="538"/>
      <c r="AF2038" s="538"/>
      <c r="AG2038" s="538"/>
      <c r="AH2038" s="538"/>
      <c r="AI2038" s="538"/>
      <c r="AJ2038" s="538"/>
      <c r="AK2038" s="538"/>
      <c r="AL2038" s="1352"/>
      <c r="AM2038" s="1352"/>
      <c r="AN2038" s="1352"/>
      <c r="AO2038" s="1352"/>
      <c r="AP2038" s="1352"/>
      <c r="AQ2038" s="1352"/>
      <c r="AR2038" s="1352"/>
      <c r="AS2038" s="1352"/>
      <c r="AT2038" s="538"/>
      <c r="AU2038" s="538"/>
      <c r="AV2038" s="538"/>
      <c r="AW2038" s="538"/>
      <c r="AX2038" s="538"/>
      <c r="AY2038" s="538"/>
      <c r="AZ2038" s="538"/>
      <c r="BA2038" s="538"/>
      <c r="BB2038" s="538"/>
      <c r="BC2038" s="538"/>
      <c r="BD2038" s="538"/>
      <c r="BE2038" s="538"/>
      <c r="BF2038" s="538"/>
      <c r="BG2038" s="538"/>
      <c r="BH2038" s="538"/>
    </row>
    <row r="2039" spans="1:60" ht="16" hidden="1" thickBot="1" x14ac:dyDescent="0.25">
      <c r="A2039" s="1507">
        <v>9</v>
      </c>
      <c r="B2039" s="1516" t="s">
        <v>3436</v>
      </c>
      <c r="C2039" s="1511"/>
      <c r="D2039" s="1511"/>
      <c r="E2039" s="1511"/>
      <c r="F2039" s="1511"/>
      <c r="G2039" s="1510"/>
      <c r="H2039" s="1510"/>
      <c r="I2039" s="404" t="s">
        <v>3687</v>
      </c>
      <c r="J2039" s="239"/>
      <c r="K2039" s="239"/>
      <c r="L2039" s="567" t="s">
        <v>3733</v>
      </c>
      <c r="M2039" s="553"/>
      <c r="N2039" s="547"/>
      <c r="O2039" s="547"/>
      <c r="P2039" s="100"/>
      <c r="Q2039" s="100"/>
      <c r="R2039" s="100"/>
      <c r="S2039" s="100"/>
      <c r="T2039" s="100"/>
      <c r="U2039" s="100"/>
      <c r="V2039" s="100"/>
      <c r="W2039" s="100"/>
      <c r="X2039" s="100"/>
      <c r="Y2039" s="538"/>
      <c r="Z2039" s="716"/>
      <c r="AB2039" s="538"/>
      <c r="AC2039" s="538"/>
      <c r="AD2039" s="538"/>
      <c r="AE2039" s="538"/>
      <c r="AF2039" s="538"/>
      <c r="AG2039" s="538"/>
      <c r="AH2039" s="538"/>
      <c r="AI2039" s="538"/>
      <c r="AJ2039" s="538"/>
      <c r="AK2039" s="538"/>
      <c r="AL2039" s="1352"/>
      <c r="AM2039" s="1352"/>
      <c r="AN2039" s="1352"/>
      <c r="AO2039" s="1352"/>
      <c r="AP2039" s="1352"/>
      <c r="AQ2039" s="1352"/>
      <c r="AR2039" s="1352"/>
      <c r="AS2039" s="1352"/>
      <c r="AT2039" s="538"/>
      <c r="AU2039" s="538"/>
      <c r="AV2039" s="538"/>
      <c r="AW2039" s="538"/>
      <c r="AX2039" s="538"/>
      <c r="AY2039" s="538"/>
      <c r="AZ2039" s="538"/>
      <c r="BA2039" s="538"/>
      <c r="BB2039" s="538"/>
      <c r="BC2039" s="538"/>
      <c r="BD2039" s="538"/>
      <c r="BE2039" s="538"/>
      <c r="BF2039" s="538"/>
      <c r="BG2039" s="538"/>
      <c r="BH2039" s="538"/>
    </row>
    <row r="2040" spans="1:60" ht="16" thickTop="1" x14ac:dyDescent="0.2">
      <c r="A2040" s="1507">
        <v>9</v>
      </c>
      <c r="B2040" s="1516">
        <v>902.1</v>
      </c>
      <c r="C2040" s="1511"/>
      <c r="D2040" s="1511"/>
      <c r="E2040" s="1511"/>
      <c r="F2040" s="1511"/>
      <c r="G2040" s="1509" t="s">
        <v>3200</v>
      </c>
      <c r="H2040" s="1510" t="s">
        <v>3199</v>
      </c>
      <c r="I2040" s="67" t="s">
        <v>3688</v>
      </c>
      <c r="J2040" s="4"/>
      <c r="K2040" s="4"/>
      <c r="L2040" s="560" t="s">
        <v>3732</v>
      </c>
      <c r="M2040" s="554"/>
      <c r="N2040" s="540"/>
      <c r="O2040" s="540"/>
      <c r="P2040" s="538"/>
      <c r="Q2040" s="538"/>
      <c r="R2040" s="538"/>
      <c r="S2040" s="538"/>
      <c r="T2040" s="538"/>
      <c r="U2040" s="538"/>
      <c r="V2040" s="538"/>
      <c r="W2040" s="538"/>
      <c r="X2040" s="538"/>
      <c r="Y2040" s="106"/>
      <c r="Z2040" s="670"/>
      <c r="AB2040" s="538"/>
      <c r="AC2040" s="538"/>
      <c r="AD2040" s="538"/>
      <c r="AE2040" s="538"/>
      <c r="AF2040" s="538"/>
      <c r="AG2040" s="538"/>
      <c r="AH2040" s="538"/>
      <c r="AI2040" s="538"/>
      <c r="AJ2040" s="538"/>
      <c r="AK2040" s="538"/>
      <c r="AL2040" s="1352"/>
      <c r="AM2040" s="1352"/>
      <c r="AN2040" s="1352"/>
      <c r="AO2040" s="1352"/>
      <c r="AP2040" s="1352"/>
      <c r="AQ2040" s="1352"/>
      <c r="AR2040" s="1352"/>
      <c r="AS2040" s="1352"/>
      <c r="AT2040" s="538"/>
      <c r="AU2040" s="538"/>
      <c r="AV2040" s="538"/>
      <c r="AW2040" s="538"/>
      <c r="AX2040" s="538"/>
      <c r="AY2040" s="538"/>
      <c r="AZ2040" s="538"/>
      <c r="BA2040" s="538"/>
      <c r="BB2040" s="538"/>
      <c r="BC2040" s="538"/>
      <c r="BD2040" s="538"/>
      <c r="BE2040" s="538"/>
      <c r="BF2040" s="538"/>
      <c r="BG2040" s="538"/>
      <c r="BH2040" s="538"/>
    </row>
    <row r="2041" spans="1:60" x14ac:dyDescent="0.2">
      <c r="A2041" s="1507">
        <v>9</v>
      </c>
      <c r="B2041" s="1516" t="s">
        <v>5290</v>
      </c>
      <c r="C2041" s="1511"/>
      <c r="D2041" s="1511"/>
      <c r="E2041" s="1511"/>
      <c r="F2041" s="1511"/>
      <c r="G2041" s="1509" t="s">
        <v>3200</v>
      </c>
      <c r="H2041" s="1510" t="s">
        <v>3199</v>
      </c>
      <c r="I2041" s="67" t="s">
        <v>3689</v>
      </c>
      <c r="J2041" s="4"/>
      <c r="K2041" s="4"/>
      <c r="L2041" s="560" t="s">
        <v>3731</v>
      </c>
      <c r="M2041" s="554"/>
      <c r="N2041" s="540"/>
      <c r="O2041" s="540"/>
      <c r="P2041" s="538"/>
      <c r="Q2041" s="538"/>
      <c r="R2041" s="538"/>
      <c r="S2041" s="538"/>
      <c r="T2041" s="538"/>
      <c r="U2041" s="538"/>
      <c r="V2041" s="538"/>
      <c r="W2041" s="538"/>
      <c r="X2041" s="538"/>
      <c r="Y2041" s="538"/>
      <c r="Z2041" s="670"/>
      <c r="AB2041" s="538"/>
      <c r="AC2041" s="538"/>
      <c r="AD2041" s="538"/>
      <c r="AE2041" s="538"/>
      <c r="AF2041" s="538"/>
      <c r="AG2041" s="538"/>
      <c r="AH2041" s="538"/>
      <c r="AI2041" s="538"/>
      <c r="AJ2041" s="538"/>
      <c r="AK2041" s="538"/>
      <c r="AL2041" s="1352"/>
      <c r="AM2041" s="1352"/>
      <c r="AN2041" s="1352"/>
      <c r="AO2041" s="1352"/>
      <c r="AP2041" s="1352"/>
      <c r="AQ2041" s="1352"/>
      <c r="AR2041" s="1352"/>
      <c r="AS2041" s="1352"/>
      <c r="AT2041" s="538"/>
      <c r="AU2041" s="538"/>
      <c r="AV2041" s="538"/>
      <c r="AW2041" s="538"/>
      <c r="AX2041" s="538"/>
      <c r="AY2041" s="538"/>
      <c r="AZ2041" s="538"/>
      <c r="BA2041" s="538"/>
      <c r="BB2041" s="538"/>
      <c r="BC2041" s="538"/>
      <c r="BD2041" s="538"/>
      <c r="BE2041" s="538"/>
      <c r="BF2041" s="538"/>
      <c r="BG2041" s="538"/>
      <c r="BH2041" s="538"/>
    </row>
    <row r="2042" spans="1:60" x14ac:dyDescent="0.2">
      <c r="A2042" s="1507">
        <v>9</v>
      </c>
      <c r="B2042" s="1516" t="s">
        <v>5290</v>
      </c>
      <c r="C2042" s="1511" t="s">
        <v>254</v>
      </c>
      <c r="D2042" s="1511"/>
      <c r="E2042" s="1511"/>
      <c r="F2042" s="1511"/>
      <c r="G2042" s="1509" t="str">
        <f>IF(IFERROR(SEARCH("Mandatory",M2042),FALSE),"P","")</f>
        <v>P</v>
      </c>
      <c r="H2042" s="1510" t="s">
        <v>3199</v>
      </c>
      <c r="I2042" s="161"/>
      <c r="J2042" s="29" t="s">
        <v>254</v>
      </c>
      <c r="K2042" s="4"/>
      <c r="L2042" s="1611" t="s">
        <v>2733</v>
      </c>
      <c r="M2042" s="1697" t="str">
        <f>IF(R2042,"Mandatory","N/A")</f>
        <v>Mandatory</v>
      </c>
      <c r="N2042" s="540"/>
      <c r="O2042" s="540"/>
      <c r="P2042" s="96" t="b">
        <v>0</v>
      </c>
      <c r="Q2042" s="96" t="b">
        <v>1</v>
      </c>
      <c r="R2042" s="538" t="b">
        <f>S2042</f>
        <v>1</v>
      </c>
      <c r="S2042" s="538" t="b">
        <v>1</v>
      </c>
      <c r="T2042" s="538" t="b">
        <v>0</v>
      </c>
      <c r="U2042" s="538"/>
      <c r="V2042" s="538"/>
      <c r="W2042" s="27" t="b">
        <v>1</v>
      </c>
      <c r="X2042" s="1600"/>
      <c r="Y2042" s="1874" t="str">
        <f>IF(LEN('11.900'!X195)=0,"None",'11.900'!X195)</f>
        <v>None</v>
      </c>
      <c r="Z2042" s="1889"/>
      <c r="AB2042" s="538"/>
      <c r="AC2042" s="538" t="b">
        <f>OR(AD2042:AE2042)</f>
        <v>0</v>
      </c>
      <c r="AD2042" s="538" t="b">
        <f>T2042</f>
        <v>0</v>
      </c>
      <c r="AE2042" s="538" t="b">
        <f>AND(R2042,NOT(W2042))</f>
        <v>0</v>
      </c>
      <c r="AF2042" s="720"/>
      <c r="AG2042" s="538"/>
      <c r="AH2042" s="538"/>
      <c r="AI2042" s="538"/>
      <c r="AJ2042" s="538"/>
      <c r="AK2042" s="538"/>
      <c r="AL2042" s="1352" t="str">
        <f>SUBSTITUTE(SUBSTITUTE(SUBSTITUTE("vpa"&amp;$B2042&amp;$C2042&amp;$D2042&amp;$E2042,".","_"),"(","_"),")","")</f>
        <v>vpa902_1_1_1</v>
      </c>
      <c r="AM2042" s="1352" t="str">
        <f>M2042</f>
        <v>Mandatory</v>
      </c>
      <c r="AN2042" s="1352"/>
      <c r="AO2042" s="1352"/>
      <c r="AP2042" s="1352" t="str">
        <f>SUBSTITUTE(SUBSTITUTE(SUBSTITUTE("vch"&amp;$B2042&amp;$C2042&amp;$D2042&amp;$E2042,".","_"),"(","_"),")","")</f>
        <v>vch902_1_1_1</v>
      </c>
      <c r="AQ2042" s="1352" t="b">
        <f>IF(LEN(W2042)=0,"",W2042)</f>
        <v>1</v>
      </c>
      <c r="AR2042" s="1352" t="str">
        <f>SUBSTITUTE(SUBSTITUTE(SUBSTITUTE("vnt"&amp;$B2042&amp;$C2042&amp;$D2042&amp;$E2042,".","_"),"(","_"),")","")</f>
        <v>vnt902_1_1_1</v>
      </c>
      <c r="AS2042" s="1352" t="str">
        <f>IF(LEN(X2042)=0,"",X2042)</f>
        <v/>
      </c>
      <c r="AT2042" s="538"/>
      <c r="AU2042" s="538"/>
      <c r="AV2042" s="538"/>
      <c r="AW2042" s="538"/>
      <c r="AX2042" s="538"/>
      <c r="AY2042" s="538"/>
      <c r="AZ2042" s="538"/>
      <c r="BA2042" s="538"/>
      <c r="BB2042" s="538"/>
      <c r="BC2042" s="538"/>
      <c r="BD2042" s="538"/>
      <c r="BE2042" s="538"/>
      <c r="BF2042" s="538"/>
      <c r="BG2042" s="538"/>
      <c r="BH2042" s="538"/>
    </row>
    <row r="2043" spans="1:60" x14ac:dyDescent="0.2">
      <c r="A2043" s="1507">
        <v>9</v>
      </c>
      <c r="B2043" s="1516" t="s">
        <v>5290</v>
      </c>
      <c r="C2043" s="1511" t="s">
        <v>254</v>
      </c>
      <c r="D2043" s="1511"/>
      <c r="E2043" s="1511"/>
      <c r="F2043" s="1511"/>
      <c r="G2043" s="1509" t="str">
        <f>G2042</f>
        <v>P</v>
      </c>
      <c r="H2043" s="1510" t="s">
        <v>3199</v>
      </c>
      <c r="I2043" s="161"/>
      <c r="J2043" s="4"/>
      <c r="K2043" s="4"/>
      <c r="L2043" s="1611"/>
      <c r="M2043" s="1697"/>
      <c r="N2043" s="540"/>
      <c r="O2043" s="540"/>
      <c r="P2043" s="538"/>
      <c r="Q2043" s="538"/>
      <c r="R2043" s="538"/>
      <c r="S2043" s="538"/>
      <c r="T2043" s="538"/>
      <c r="U2043" s="538"/>
      <c r="V2043" s="538"/>
      <c r="W2043" s="538"/>
      <c r="X2043" s="1600"/>
      <c r="Y2043" s="1874"/>
      <c r="Z2043" s="1889"/>
      <c r="AB2043" s="538"/>
      <c r="AC2043" s="538"/>
      <c r="AD2043" s="538"/>
      <c r="AE2043" s="538"/>
      <c r="AF2043" s="538"/>
      <c r="AG2043" s="538"/>
      <c r="AH2043" s="538"/>
      <c r="AI2043" s="538"/>
      <c r="AJ2043" s="538"/>
      <c r="AK2043" s="538"/>
      <c r="AL2043" s="1352"/>
      <c r="AM2043" s="1352"/>
      <c r="AN2043" s="1352"/>
      <c r="AO2043" s="1352"/>
      <c r="AP2043" s="1352"/>
      <c r="AQ2043" s="1352"/>
      <c r="AR2043" s="1352"/>
      <c r="AS2043" s="1352"/>
      <c r="AT2043" s="538"/>
      <c r="AU2043" s="538"/>
      <c r="AV2043" s="538"/>
      <c r="AW2043" s="538"/>
      <c r="AX2043" s="538"/>
      <c r="AY2043" s="538"/>
      <c r="AZ2043" s="538"/>
      <c r="BA2043" s="538"/>
      <c r="BB2043" s="538"/>
      <c r="BC2043" s="538"/>
      <c r="BD2043" s="538"/>
      <c r="BE2043" s="538"/>
      <c r="BF2043" s="538"/>
      <c r="BG2043" s="538"/>
      <c r="BH2043" s="538"/>
    </row>
    <row r="2044" spans="1:60" hidden="1" x14ac:dyDescent="0.2">
      <c r="A2044" s="1507">
        <v>9</v>
      </c>
      <c r="B2044" s="1516" t="s">
        <v>5290</v>
      </c>
      <c r="C2044" s="1511" t="s">
        <v>254</v>
      </c>
      <c r="D2044" s="1511" t="s">
        <v>121</v>
      </c>
      <c r="E2044" s="1511"/>
      <c r="F2044" s="1511"/>
      <c r="G2044" s="1509" t="str">
        <f>IF(N2044&gt;0,"P","")</f>
        <v/>
      </c>
      <c r="H2044" s="1512" t="s">
        <v>3199</v>
      </c>
      <c r="I2044" s="161"/>
      <c r="J2044" s="180"/>
      <c r="K2044" s="180" t="s">
        <v>121</v>
      </c>
      <c r="L2044" s="1609" t="s">
        <v>2928</v>
      </c>
      <c r="M2044" s="1623">
        <v>1</v>
      </c>
      <c r="N2044" s="1619">
        <f>'11.900'!O197</f>
        <v>0</v>
      </c>
      <c r="O2044" s="1619">
        <f>M2044*S2044*W2044</f>
        <v>0</v>
      </c>
      <c r="P2044" s="96" t="b">
        <v>0</v>
      </c>
      <c r="Q2044" s="96" t="b">
        <v>1</v>
      </c>
      <c r="R2044" s="538" t="b">
        <v>0</v>
      </c>
      <c r="S2044" s="538" t="b">
        <f>W2042=TRUE</f>
        <v>1</v>
      </c>
      <c r="T2044" s="96" t="b">
        <f>AND(NOT(S2044),W2044=TRUE)</f>
        <v>0</v>
      </c>
      <c r="U2044" s="538"/>
      <c r="V2044" s="538"/>
      <c r="W2044" s="27"/>
      <c r="X2044" s="1600"/>
      <c r="Y2044" s="1874" t="str">
        <f>IF(LEN('11.900'!X197)=0,"None",'11.900'!X197)</f>
        <v>None</v>
      </c>
      <c r="Z2044" s="1889"/>
      <c r="AB2044" s="538"/>
      <c r="AC2044" s="538" t="b">
        <f>OR(AD2044:AE2044)</f>
        <v>0</v>
      </c>
      <c r="AD2044" s="538" t="b">
        <f>T2044</f>
        <v>0</v>
      </c>
      <c r="AE2044" s="538"/>
      <c r="AF2044" s="720"/>
      <c r="AG2044" s="538"/>
      <c r="AH2044" s="538"/>
      <c r="AI2044" s="538"/>
      <c r="AJ2044" s="538"/>
      <c r="AK2044" s="538"/>
      <c r="AL2044" s="1352" t="str">
        <f>SUBSTITUTE(SUBSTITUTE(SUBSTITUTE("vpa"&amp;$B2044&amp;$C2044&amp;$D2044&amp;$E2044,".","_"),"(","_"),")","")</f>
        <v>vpa902_1_1_1_a</v>
      </c>
      <c r="AM2044" s="1352">
        <f>M2044</f>
        <v>1</v>
      </c>
      <c r="AN2044" s="1352" t="str">
        <f>SUBSTITUTE(SUBSTITUTE(SUBSTITUTE("vpc"&amp;$B2044&amp;$C2044&amp;$D2044&amp;$E2044,".","_"),"(","_"),")","")</f>
        <v>vpc902_1_1_1_a</v>
      </c>
      <c r="AO2044" s="1352">
        <f>O2044</f>
        <v>0</v>
      </c>
      <c r="AP2044" s="1352" t="str">
        <f>SUBSTITUTE(SUBSTITUTE(SUBSTITUTE("vch"&amp;$B2044&amp;$C2044&amp;$D2044&amp;$E2044,".","_"),"(","_"),")","")</f>
        <v>vch902_1_1_1_a</v>
      </c>
      <c r="AQ2044" s="1352" t="str">
        <f>IF(LEN(W2044)=0,"",W2044)</f>
        <v/>
      </c>
      <c r="AR2044" s="1352" t="str">
        <f>SUBSTITUTE(SUBSTITUTE(SUBSTITUTE("vnt"&amp;$B2044&amp;$C2044&amp;$D2044&amp;$E2044,".","_"),"(","_"),")","")</f>
        <v>vnt902_1_1_1_a</v>
      </c>
      <c r="AS2044" s="1352" t="str">
        <f>IF(LEN(X2044)=0,"",X2044)</f>
        <v/>
      </c>
      <c r="AT2044" s="538"/>
      <c r="AU2044" s="538"/>
      <c r="AV2044" s="538"/>
      <c r="AW2044" s="538"/>
      <c r="AX2044" s="538"/>
      <c r="AY2044" s="538"/>
      <c r="AZ2044" s="538"/>
      <c r="BA2044" s="538"/>
      <c r="BB2044" s="538"/>
      <c r="BC2044" s="538"/>
      <c r="BD2044" s="538"/>
      <c r="BE2044" s="538"/>
      <c r="BF2044" s="538"/>
      <c r="BG2044" s="538"/>
      <c r="BH2044" s="538"/>
    </row>
    <row r="2045" spans="1:60" hidden="1" x14ac:dyDescent="0.2">
      <c r="A2045" s="1507">
        <v>9</v>
      </c>
      <c r="B2045" s="1516" t="s">
        <v>5290</v>
      </c>
      <c r="C2045" s="1511" t="s">
        <v>254</v>
      </c>
      <c r="D2045" s="1511" t="s">
        <v>121</v>
      </c>
      <c r="E2045" s="1511"/>
      <c r="F2045" s="1511"/>
      <c r="G2045" s="1509" t="str">
        <f>G2044</f>
        <v/>
      </c>
      <c r="H2045" s="1510" t="s">
        <v>3199</v>
      </c>
      <c r="I2045" s="161"/>
      <c r="J2045" s="207"/>
      <c r="K2045" s="213"/>
      <c r="L2045" s="1612"/>
      <c r="M2045" s="1624"/>
      <c r="N2045" s="1620"/>
      <c r="O2045" s="1620"/>
      <c r="P2045" s="538"/>
      <c r="Q2045" s="538"/>
      <c r="R2045" s="538"/>
      <c r="S2045" s="538"/>
      <c r="T2045" s="538"/>
      <c r="U2045" s="538"/>
      <c r="V2045" s="538"/>
      <c r="W2045" s="538"/>
      <c r="X2045" s="1600"/>
      <c r="Y2045" s="1874"/>
      <c r="Z2045" s="1889"/>
      <c r="AB2045" s="538"/>
      <c r="AC2045" s="538"/>
      <c r="AD2045" s="538"/>
      <c r="AE2045" s="538"/>
      <c r="AF2045" s="538"/>
      <c r="AG2045" s="538"/>
      <c r="AH2045" s="538"/>
      <c r="AI2045" s="538"/>
      <c r="AJ2045" s="538"/>
      <c r="AK2045" s="538"/>
      <c r="AL2045" s="1352"/>
      <c r="AM2045" s="1352"/>
      <c r="AN2045" s="1352"/>
      <c r="AO2045" s="1352"/>
      <c r="AP2045" s="1352"/>
      <c r="AQ2045" s="1352"/>
      <c r="AR2045" s="1352"/>
      <c r="AS2045" s="1352"/>
      <c r="AT2045" s="538"/>
      <c r="AU2045" s="538"/>
      <c r="AV2045" s="538"/>
      <c r="AW2045" s="538"/>
      <c r="AX2045" s="538"/>
      <c r="AY2045" s="538"/>
      <c r="AZ2045" s="538"/>
      <c r="BA2045" s="538"/>
      <c r="BB2045" s="538"/>
      <c r="BC2045" s="538"/>
      <c r="BD2045" s="538"/>
      <c r="BE2045" s="538"/>
      <c r="BF2045" s="538"/>
      <c r="BG2045" s="538"/>
      <c r="BH2045" s="538"/>
    </row>
    <row r="2046" spans="1:60" x14ac:dyDescent="0.2">
      <c r="A2046" s="1507">
        <v>9</v>
      </c>
      <c r="B2046" s="1516" t="s">
        <v>5290</v>
      </c>
      <c r="C2046" s="1511" t="s">
        <v>255</v>
      </c>
      <c r="D2046" s="1511"/>
      <c r="E2046" s="1511"/>
      <c r="F2046" s="1511"/>
      <c r="G2046" s="1509" t="str">
        <f>IF(IFERROR(SEARCH("Mandatory",M2046),FALSE),"P","")</f>
        <v>P</v>
      </c>
      <c r="H2046" s="1510" t="s">
        <v>3199</v>
      </c>
      <c r="I2046" s="161"/>
      <c r="J2046" s="180" t="s">
        <v>255</v>
      </c>
      <c r="K2046" s="129"/>
      <c r="L2046" s="1609" t="s">
        <v>2734</v>
      </c>
      <c r="M2046" s="1697" t="str">
        <f>IF(R2046,"Mandatory","N/A")</f>
        <v>Mandatory</v>
      </c>
      <c r="N2046" s="540"/>
      <c r="O2046" s="540"/>
      <c r="P2046" s="96" t="b">
        <v>0</v>
      </c>
      <c r="Q2046" s="96" t="b">
        <v>1</v>
      </c>
      <c r="R2046" s="538" t="b">
        <f>S2046</f>
        <v>1</v>
      </c>
      <c r="S2046" s="538" t="b">
        <v>1</v>
      </c>
      <c r="T2046" s="538" t="b">
        <v>0</v>
      </c>
      <c r="U2046" s="96" t="str">
        <f>SUBSTITUTE(SUBSTITUTE(SUBSTITUTE("dd"&amp;B2046&amp;C2046&amp;D2046&amp;E2046&amp;F2046,".","_"),"(","_"),")","")</f>
        <v>dd902_1_1_2</v>
      </c>
      <c r="V2046" s="538"/>
      <c r="W2046" s="12" t="s">
        <v>2588</v>
      </c>
      <c r="X2046" s="1600"/>
      <c r="Y2046" s="1874" t="str">
        <f>IF(LEN('11.900'!X199)=0,"None",'11.900'!X199)</f>
        <v>None</v>
      </c>
      <c r="Z2046" s="1889"/>
      <c r="AB2046" s="538"/>
      <c r="AC2046" s="538" t="b">
        <f>OR(AD2046:AE2046)</f>
        <v>0</v>
      </c>
      <c r="AD2046" s="538" t="b">
        <f>T2046</f>
        <v>0</v>
      </c>
      <c r="AE2046" s="538" t="b">
        <f>AND(R2046,OR(W2046="Not Met",W2046=""))</f>
        <v>0</v>
      </c>
      <c r="AF2046" s="720"/>
      <c r="AG2046" s="538"/>
      <c r="AH2046" s="538"/>
      <c r="AI2046" s="538"/>
      <c r="AJ2046" s="538"/>
      <c r="AK2046" s="538"/>
      <c r="AL2046" s="1352" t="str">
        <f>SUBSTITUTE(SUBSTITUTE(SUBSTITUTE("vpa"&amp;$B2046&amp;$C2046&amp;$D2046&amp;$E2046,".","_"),"(","_"),")","")</f>
        <v>vpa902_1_1_2</v>
      </c>
      <c r="AM2046" s="1352" t="str">
        <f>M2046</f>
        <v>Mandatory</v>
      </c>
      <c r="AN2046" s="1352"/>
      <c r="AO2046" s="1352"/>
      <c r="AP2046" s="1352" t="str">
        <f>SUBSTITUTE(SUBSTITUTE(SUBSTITUTE("vch"&amp;$B2046&amp;$C2046&amp;$D2046&amp;$E2046,".","_"),"(","_"),")","")</f>
        <v>vch902_1_1_2</v>
      </c>
      <c r="AQ2046" s="1352" t="str">
        <f>IF(LEN(W2046)=0,"",W2046)</f>
        <v>Met</v>
      </c>
      <c r="AR2046" s="1352" t="str">
        <f>SUBSTITUTE(SUBSTITUTE(SUBSTITUTE("vnt"&amp;$B2046&amp;$C2046&amp;$D2046&amp;$E2046,".","_"),"(","_"),")","")</f>
        <v>vnt902_1_1_2</v>
      </c>
      <c r="AS2046" s="1352" t="str">
        <f>IF(LEN(X2046)=0,"",X2046)</f>
        <v/>
      </c>
      <c r="AT2046" s="538"/>
      <c r="AU2046" s="538"/>
      <c r="AV2046" s="538"/>
      <c r="AW2046" s="538"/>
      <c r="AX2046" s="538"/>
      <c r="AY2046" s="538"/>
      <c r="AZ2046" s="538"/>
      <c r="BA2046" s="538"/>
      <c r="BB2046" s="538"/>
      <c r="BC2046" s="538"/>
      <c r="BD2046" s="538"/>
      <c r="BE2046" s="538"/>
      <c r="BF2046" s="538"/>
      <c r="BG2046" s="538"/>
      <c r="BH2046" s="538"/>
    </row>
    <row r="2047" spans="1:60" x14ac:dyDescent="0.2">
      <c r="A2047" s="1507">
        <v>9</v>
      </c>
      <c r="B2047" s="1516" t="s">
        <v>5290</v>
      </c>
      <c r="C2047" s="1511" t="s">
        <v>255</v>
      </c>
      <c r="D2047" s="1511"/>
      <c r="E2047" s="1511"/>
      <c r="F2047" s="1511"/>
      <c r="G2047" s="1509" t="str">
        <f>G2046</f>
        <v>P</v>
      </c>
      <c r="H2047" s="1510" t="s">
        <v>3199</v>
      </c>
      <c r="I2047" s="161"/>
      <c r="J2047" s="207"/>
      <c r="K2047" s="213"/>
      <c r="L2047" s="1612"/>
      <c r="M2047" s="1698"/>
      <c r="N2047" s="544"/>
      <c r="O2047" s="544"/>
      <c r="P2047" s="538"/>
      <c r="Q2047" s="538"/>
      <c r="R2047" s="538"/>
      <c r="S2047" s="538"/>
      <c r="T2047" s="538"/>
      <c r="U2047" s="538"/>
      <c r="V2047" s="538"/>
      <c r="W2047" s="538"/>
      <c r="X2047" s="1600"/>
      <c r="Y2047" s="1874"/>
      <c r="Z2047" s="1889"/>
      <c r="AB2047" s="538"/>
      <c r="AC2047" s="538"/>
      <c r="AD2047" s="538"/>
      <c r="AE2047" s="538"/>
      <c r="AF2047" s="538"/>
      <c r="AG2047" s="538"/>
      <c r="AH2047" s="538"/>
      <c r="AI2047" s="538"/>
      <c r="AJ2047" s="538"/>
      <c r="AK2047" s="538"/>
      <c r="AL2047" s="1352"/>
      <c r="AM2047" s="1352"/>
      <c r="AN2047" s="1352"/>
      <c r="AO2047" s="1352"/>
      <c r="AP2047" s="1352"/>
      <c r="AQ2047" s="1352"/>
      <c r="AR2047" s="1352"/>
      <c r="AS2047" s="1352"/>
      <c r="AT2047" s="538"/>
      <c r="AU2047" s="538"/>
      <c r="AV2047" s="538"/>
      <c r="AW2047" s="538"/>
      <c r="AX2047" s="538"/>
      <c r="AY2047" s="538"/>
      <c r="AZ2047" s="538"/>
      <c r="BA2047" s="538"/>
      <c r="BB2047" s="538"/>
      <c r="BC2047" s="538"/>
      <c r="BD2047" s="538"/>
      <c r="BE2047" s="538"/>
      <c r="BF2047" s="538"/>
      <c r="BG2047" s="538"/>
      <c r="BH2047" s="538"/>
    </row>
    <row r="2048" spans="1:60" hidden="1" x14ac:dyDescent="0.2">
      <c r="A2048" s="1507">
        <v>9</v>
      </c>
      <c r="B2048" s="1516" t="s">
        <v>5290</v>
      </c>
      <c r="C2048" s="1511" t="s">
        <v>256</v>
      </c>
      <c r="D2048" s="1511"/>
      <c r="E2048" s="1511"/>
      <c r="F2048" s="1511"/>
      <c r="G2048" s="1509" t="str">
        <f>IF(N2048&gt;0,"P","")</f>
        <v/>
      </c>
      <c r="H2048" s="1510" t="s">
        <v>3199</v>
      </c>
      <c r="I2048" s="406"/>
      <c r="J2048" s="180" t="s">
        <v>256</v>
      </c>
      <c r="K2048" s="129"/>
      <c r="L2048" s="1609" t="s">
        <v>2735</v>
      </c>
      <c r="M2048" s="1623">
        <v>8</v>
      </c>
      <c r="N2048" s="1619">
        <f>'11.900'!O201</f>
        <v>0</v>
      </c>
      <c r="O2048" s="1619">
        <f>M2048*S2048*W2048</f>
        <v>0</v>
      </c>
      <c r="P2048" s="96" t="b">
        <v>0</v>
      </c>
      <c r="Q2048" s="96" t="b">
        <v>1</v>
      </c>
      <c r="R2048" s="96" t="b">
        <v>0</v>
      </c>
      <c r="S2048" s="96" t="b">
        <v>1</v>
      </c>
      <c r="T2048" s="96" t="b">
        <v>0</v>
      </c>
      <c r="U2048" s="96"/>
      <c r="V2048" s="96"/>
      <c r="W2048" s="27"/>
      <c r="X2048" s="1601"/>
      <c r="Y2048" s="1874" t="str">
        <f>IF(LEN('11.900'!X201)=0,"None",'11.900'!X201)</f>
        <v>None</v>
      </c>
      <c r="Z2048" s="1889"/>
      <c r="AB2048" s="538"/>
      <c r="AC2048" s="538"/>
      <c r="AD2048" s="538"/>
      <c r="AE2048" s="538"/>
      <c r="AF2048" s="720"/>
      <c r="AG2048" s="538"/>
      <c r="AH2048" s="538"/>
      <c r="AI2048" s="538"/>
      <c r="AJ2048" s="538"/>
      <c r="AK2048" s="538"/>
      <c r="AL2048" s="1352" t="str">
        <f>SUBSTITUTE(SUBSTITUTE(SUBSTITUTE("vpa"&amp;$B2048&amp;$C2048&amp;$D2048&amp;$E2048,".","_"),"(","_"),")","")</f>
        <v>vpa902_1_1_3</v>
      </c>
      <c r="AM2048" s="1352">
        <f>M2048</f>
        <v>8</v>
      </c>
      <c r="AN2048" s="1352" t="str">
        <f>SUBSTITUTE(SUBSTITUTE(SUBSTITUTE("vpc"&amp;$B2048&amp;$C2048&amp;$D2048&amp;$E2048,".","_"),"(","_"),")","")</f>
        <v>vpc902_1_1_3</v>
      </c>
      <c r="AO2048" s="1352">
        <f>O2048</f>
        <v>0</v>
      </c>
      <c r="AP2048" s="1352" t="str">
        <f>SUBSTITUTE(SUBSTITUTE(SUBSTITUTE("vch"&amp;$B2048&amp;$C2048&amp;$D2048&amp;$E2048,".","_"),"(","_"),")","")</f>
        <v>vch902_1_1_3</v>
      </c>
      <c r="AQ2048" s="1352" t="str">
        <f>IF(LEN(W2048)=0,"",W2048)</f>
        <v/>
      </c>
      <c r="AR2048" s="1352" t="str">
        <f>SUBSTITUTE(SUBSTITUTE(SUBSTITUTE("vnt"&amp;$B2048&amp;$C2048&amp;$D2048&amp;$E2048,".","_"),"(","_"),")","")</f>
        <v>vnt902_1_1_3</v>
      </c>
      <c r="AS2048" s="1352" t="str">
        <f>IF(LEN(X2048)=0,"",X2048)</f>
        <v/>
      </c>
      <c r="AT2048" s="538"/>
      <c r="AU2048" s="538"/>
      <c r="AV2048" s="538"/>
      <c r="AW2048" s="538"/>
      <c r="AX2048" s="538"/>
      <c r="AY2048" s="538"/>
      <c r="AZ2048" s="538"/>
      <c r="BA2048" s="538"/>
      <c r="BB2048" s="538"/>
      <c r="BC2048" s="538"/>
      <c r="BD2048" s="538"/>
      <c r="BE2048" s="538"/>
      <c r="BF2048" s="538"/>
      <c r="BG2048" s="538"/>
      <c r="BH2048" s="538"/>
    </row>
    <row r="2049" spans="1:60" hidden="1" x14ac:dyDescent="0.2">
      <c r="A2049" s="1507">
        <v>9</v>
      </c>
      <c r="B2049" s="1516" t="s">
        <v>5290</v>
      </c>
      <c r="C2049" s="1511" t="s">
        <v>256</v>
      </c>
      <c r="D2049" s="1511"/>
      <c r="E2049" s="1511"/>
      <c r="F2049" s="1511"/>
      <c r="G2049" s="1509" t="str">
        <f>G2048</f>
        <v/>
      </c>
      <c r="H2049" s="1510" t="s">
        <v>3199</v>
      </c>
      <c r="I2049" s="406"/>
      <c r="J2049" s="180"/>
      <c r="K2049" s="129"/>
      <c r="L2049" s="1609"/>
      <c r="M2049" s="1623"/>
      <c r="N2049" s="1619"/>
      <c r="O2049" s="1619"/>
      <c r="P2049" s="96"/>
      <c r="Q2049" s="96"/>
      <c r="R2049" s="96"/>
      <c r="S2049" s="96"/>
      <c r="T2049" s="96"/>
      <c r="U2049" s="96"/>
      <c r="V2049" s="96"/>
      <c r="W2049" s="96"/>
      <c r="X2049" s="1601"/>
      <c r="Y2049" s="1874"/>
      <c r="Z2049" s="1889"/>
      <c r="AB2049" s="538"/>
      <c r="AC2049" s="538"/>
      <c r="AD2049" s="538"/>
      <c r="AE2049" s="538"/>
      <c r="AF2049" s="538"/>
      <c r="AG2049" s="538"/>
      <c r="AH2049" s="538"/>
      <c r="AI2049" s="538"/>
      <c r="AJ2049" s="538"/>
      <c r="AK2049" s="538"/>
      <c r="AL2049" s="1352"/>
      <c r="AM2049" s="1352"/>
      <c r="AN2049" s="1352"/>
      <c r="AO2049" s="1352"/>
      <c r="AP2049" s="1352"/>
      <c r="AQ2049" s="1352"/>
      <c r="AR2049" s="1352"/>
      <c r="AS2049" s="1352"/>
      <c r="AT2049" s="538"/>
      <c r="AU2049" s="538"/>
      <c r="AV2049" s="538"/>
      <c r="AW2049" s="538"/>
      <c r="AX2049" s="538"/>
      <c r="AY2049" s="538"/>
      <c r="AZ2049" s="538"/>
      <c r="BA2049" s="538"/>
      <c r="BB2049" s="538"/>
      <c r="BC2049" s="538"/>
      <c r="BD2049" s="538"/>
      <c r="BE2049" s="538"/>
      <c r="BF2049" s="538"/>
      <c r="BG2049" s="538"/>
      <c r="BH2049" s="538"/>
    </row>
    <row r="2050" spans="1:60" hidden="1" x14ac:dyDescent="0.2">
      <c r="A2050" s="1507">
        <v>9</v>
      </c>
      <c r="B2050" s="1516" t="s">
        <v>5290</v>
      </c>
      <c r="C2050" s="1511" t="s">
        <v>256</v>
      </c>
      <c r="D2050" s="1511"/>
      <c r="E2050" s="1511"/>
      <c r="F2050" s="1511"/>
      <c r="G2050" s="1509" t="str">
        <f>G2049</f>
        <v/>
      </c>
      <c r="H2050" s="1510" t="s">
        <v>3199</v>
      </c>
      <c r="I2050" s="438"/>
      <c r="J2050" s="213"/>
      <c r="K2050" s="213"/>
      <c r="L2050" s="1612"/>
      <c r="M2050" s="1624"/>
      <c r="N2050" s="1620"/>
      <c r="O2050" s="1620"/>
      <c r="P2050" s="173"/>
      <c r="Q2050" s="173"/>
      <c r="R2050" s="173"/>
      <c r="S2050" s="173"/>
      <c r="T2050" s="173"/>
      <c r="U2050" s="173"/>
      <c r="V2050" s="173"/>
      <c r="W2050" s="173"/>
      <c r="X2050" s="1601"/>
      <c r="Y2050" s="1874"/>
      <c r="Z2050" s="1889"/>
      <c r="AB2050" s="538"/>
      <c r="AC2050" s="538"/>
      <c r="AD2050" s="538"/>
      <c r="AE2050" s="538"/>
      <c r="AF2050" s="538"/>
      <c r="AG2050" s="538"/>
      <c r="AH2050" s="538"/>
      <c r="AI2050" s="538"/>
      <c r="AJ2050" s="538"/>
      <c r="AK2050" s="538"/>
      <c r="AL2050" s="1352"/>
      <c r="AM2050" s="1352"/>
      <c r="AN2050" s="1352"/>
      <c r="AO2050" s="1352"/>
      <c r="AP2050" s="1352"/>
      <c r="AQ2050" s="1352"/>
      <c r="AR2050" s="1352"/>
      <c r="AS2050" s="1352"/>
      <c r="AT2050" s="538"/>
      <c r="AU2050" s="538"/>
      <c r="AV2050" s="538"/>
      <c r="AW2050" s="538"/>
      <c r="AX2050" s="538"/>
      <c r="AY2050" s="538"/>
      <c r="AZ2050" s="538"/>
      <c r="BA2050" s="538"/>
      <c r="BB2050" s="538"/>
      <c r="BC2050" s="538"/>
      <c r="BD2050" s="538"/>
      <c r="BE2050" s="538"/>
      <c r="BF2050" s="538"/>
      <c r="BG2050" s="538"/>
      <c r="BH2050" s="538"/>
    </row>
    <row r="2051" spans="1:60" hidden="1" x14ac:dyDescent="0.2">
      <c r="A2051" s="1507">
        <v>9</v>
      </c>
      <c r="B2051" s="1516" t="s">
        <v>2736</v>
      </c>
      <c r="C2051" s="1511"/>
      <c r="D2051" s="1511"/>
      <c r="E2051" s="1511"/>
      <c r="F2051" s="1511"/>
      <c r="G2051" s="1509" t="str">
        <f>IF(N2051&gt;0,"P","")</f>
        <v/>
      </c>
      <c r="H2051" s="1510" t="s">
        <v>3199</v>
      </c>
      <c r="I2051" s="192" t="s">
        <v>3690</v>
      </c>
      <c r="J2051" s="193"/>
      <c r="K2051" s="193"/>
      <c r="L2051" s="1712" t="s">
        <v>3730</v>
      </c>
      <c r="M2051" s="1636" t="s">
        <v>2737</v>
      </c>
      <c r="N2051" s="1637">
        <f>'11.900'!O204</f>
        <v>0</v>
      </c>
      <c r="O2051" s="1637">
        <f>MIN(11,IF(W2052+W2054=0,0,5+2*(W2052+W2054-1)))</f>
        <v>0</v>
      </c>
      <c r="P2051" s="195"/>
      <c r="Q2051" s="195"/>
      <c r="R2051" s="195"/>
      <c r="S2051" s="195"/>
      <c r="T2051" s="195"/>
      <c r="U2051" s="195"/>
      <c r="V2051" s="195"/>
      <c r="W2051" s="195" t="s">
        <v>2929</v>
      </c>
      <c r="X2051" s="1601"/>
      <c r="Y2051" s="1874" t="str">
        <f>IF(LEN('11.900'!X204)=0,"None",'11.900'!X204)</f>
        <v>None</v>
      </c>
      <c r="Z2051" s="1889"/>
      <c r="AB2051" s="538"/>
      <c r="AC2051" s="538"/>
      <c r="AD2051" s="538"/>
      <c r="AE2051" s="538"/>
      <c r="AF2051" s="538"/>
      <c r="AG2051" s="538"/>
      <c r="AH2051" s="538"/>
      <c r="AI2051" s="538"/>
      <c r="AJ2051" s="538"/>
      <c r="AK2051" s="538"/>
      <c r="AL2051" s="1352" t="str">
        <f>SUBSTITUTE(SUBSTITUTE(SUBSTITUTE("vpa"&amp;$B2051&amp;$C2051&amp;$D2051&amp;$E2051,".","_"),"(","_"),")","")</f>
        <v>vpa902_1_2</v>
      </c>
      <c r="AM2051" s="1352" t="str">
        <f>M2051</f>
        <v>11 Max</v>
      </c>
      <c r="AN2051" s="1352" t="str">
        <f>SUBSTITUTE(SUBSTITUTE(SUBSTITUTE("vpc"&amp;$B2051&amp;$C2051&amp;$D2051&amp;$E2051,".","_"),"(","_"),")","")</f>
        <v>vpc902_1_2</v>
      </c>
      <c r="AO2051" s="1352">
        <f>O2051</f>
        <v>0</v>
      </c>
      <c r="AP2051" s="1352"/>
      <c r="AQ2051" s="1352"/>
      <c r="AR2051" s="1352" t="str">
        <f>SUBSTITUTE(SUBSTITUTE(SUBSTITUTE("vnt"&amp;$B2051&amp;$C2051&amp;$D2051&amp;$E2051,".","_"),"(","_"),")","")</f>
        <v>vnt902_1_2</v>
      </c>
      <c r="AS2051" s="1352" t="str">
        <f>IF(LEN(X2051)=0,"",X2051)</f>
        <v/>
      </c>
      <c r="AT2051" s="538"/>
      <c r="AU2051" s="538"/>
      <c r="AV2051" s="538"/>
      <c r="AW2051" s="538"/>
      <c r="AX2051" s="538"/>
      <c r="AY2051" s="538"/>
      <c r="AZ2051" s="538"/>
      <c r="BA2051" s="538"/>
      <c r="BB2051" s="538"/>
      <c r="BC2051" s="538"/>
      <c r="BD2051" s="538"/>
      <c r="BE2051" s="538"/>
      <c r="BF2051" s="538"/>
      <c r="BG2051" s="538"/>
      <c r="BH2051" s="538"/>
    </row>
    <row r="2052" spans="1:60" hidden="1" x14ac:dyDescent="0.2">
      <c r="A2052" s="1507">
        <v>9</v>
      </c>
      <c r="B2052" s="1516" t="s">
        <v>2736</v>
      </c>
      <c r="C2052" s="1511"/>
      <c r="D2052" s="1511"/>
      <c r="E2052" s="1511"/>
      <c r="F2052" s="1511"/>
      <c r="G2052" s="1509" t="str">
        <f>G2051</f>
        <v/>
      </c>
      <c r="H2052" s="1510" t="s">
        <v>3199</v>
      </c>
      <c r="I2052" s="406"/>
      <c r="J2052" s="129"/>
      <c r="K2052" s="129"/>
      <c r="L2052" s="1629"/>
      <c r="M2052" s="1623"/>
      <c r="N2052" s="1619"/>
      <c r="O2052" s="1619"/>
      <c r="P2052" s="96" t="b">
        <v>0</v>
      </c>
      <c r="Q2052" s="96" t="b">
        <v>1</v>
      </c>
      <c r="R2052" s="96" t="b">
        <v>0</v>
      </c>
      <c r="S2052" s="96" t="b">
        <v>1</v>
      </c>
      <c r="T2052" s="96" t="b">
        <v>0</v>
      </c>
      <c r="U2052" s="96"/>
      <c r="V2052" s="96"/>
      <c r="W2052" s="409"/>
      <c r="X2052" s="1601"/>
      <c r="Y2052" s="1874"/>
      <c r="Z2052" s="1889"/>
      <c r="AB2052" s="538"/>
      <c r="AC2052" s="538"/>
      <c r="AD2052" s="538"/>
      <c r="AE2052" s="538"/>
      <c r="AF2052" s="720"/>
      <c r="AG2052" s="538"/>
      <c r="AH2052" s="538"/>
      <c r="AI2052" s="538"/>
      <c r="AJ2052" s="538"/>
      <c r="AK2052" s="538"/>
      <c r="AL2052" s="1352"/>
      <c r="AM2052" s="1352"/>
      <c r="AN2052" s="1352"/>
      <c r="AO2052" s="1352"/>
      <c r="AP2052" s="1352" t="str">
        <f>SUBSTITUTE(SUBSTITUTE(SUBSTITUTE("vch"&amp;$B2052&amp;$C2052&amp;$D2052&amp;$E2052,".","_"),"(","_"),")","")</f>
        <v>vch902_1_2</v>
      </c>
      <c r="AQ2052" s="1352" t="str">
        <f>IF(LEN(W2052)=0,"",W2052)</f>
        <v/>
      </c>
      <c r="AR2052" s="1352"/>
      <c r="AS2052" s="1352"/>
      <c r="AT2052" s="538"/>
      <c r="AU2052" s="538"/>
      <c r="AV2052" s="538"/>
      <c r="AW2052" s="538"/>
      <c r="AX2052" s="538"/>
      <c r="AY2052" s="538"/>
      <c r="AZ2052" s="538"/>
      <c r="BA2052" s="538"/>
      <c r="BB2052" s="538"/>
      <c r="BC2052" s="538"/>
      <c r="BD2052" s="538"/>
      <c r="BE2052" s="538"/>
      <c r="BF2052" s="538"/>
      <c r="BG2052" s="538"/>
      <c r="BH2052" s="538"/>
    </row>
    <row r="2053" spans="1:60" hidden="1" x14ac:dyDescent="0.2">
      <c r="A2053" s="1507">
        <v>9</v>
      </c>
      <c r="B2053" s="1516" t="s">
        <v>2736</v>
      </c>
      <c r="C2053" s="1511" t="s">
        <v>254</v>
      </c>
      <c r="D2053" s="1511"/>
      <c r="E2053" s="1511"/>
      <c r="F2053" s="1511"/>
      <c r="G2053" s="1509" t="str">
        <f>G2052</f>
        <v/>
      </c>
      <c r="H2053" s="1510" t="s">
        <v>3199</v>
      </c>
      <c r="I2053" s="406"/>
      <c r="J2053" s="207" t="s">
        <v>254</v>
      </c>
      <c r="K2053" s="213"/>
      <c r="L2053" s="550" t="s">
        <v>2738</v>
      </c>
      <c r="M2053" s="546">
        <v>5</v>
      </c>
      <c r="N2053" s="543"/>
      <c r="O2053" s="543"/>
      <c r="P2053" s="96"/>
      <c r="Q2053" s="96"/>
      <c r="R2053" s="96"/>
      <c r="S2053" s="96"/>
      <c r="T2053" s="96"/>
      <c r="U2053" s="96"/>
      <c r="V2053" s="96"/>
      <c r="W2053" s="96" t="s">
        <v>2930</v>
      </c>
      <c r="X2053" s="1601"/>
      <c r="Y2053" s="1874"/>
      <c r="Z2053" s="1889"/>
      <c r="AB2053" s="538"/>
      <c r="AC2053" s="538"/>
      <c r="AD2053" s="538"/>
      <c r="AE2053" s="538"/>
      <c r="AF2053" s="538"/>
      <c r="AG2053" s="538"/>
      <c r="AH2053" s="538"/>
      <c r="AI2053" s="538"/>
      <c r="AJ2053" s="538"/>
      <c r="AK2053" s="538"/>
      <c r="AL2053" s="1352" t="str">
        <f>SUBSTITUTE(SUBSTITUTE(SUBSTITUTE("vpa"&amp;$B2053&amp;$C2053&amp;$D2053&amp;$E2053,".","_"),"(","_"),")","")</f>
        <v>vpa902_1_2_1</v>
      </c>
      <c r="AM2053" s="1352">
        <f>M2053</f>
        <v>5</v>
      </c>
      <c r="AN2053" s="1352"/>
      <c r="AO2053" s="1352"/>
      <c r="AP2053" s="1352"/>
      <c r="AQ2053" s="1352"/>
      <c r="AR2053" s="1352"/>
      <c r="AS2053" s="1352"/>
      <c r="AT2053" s="538"/>
      <c r="AU2053" s="538"/>
      <c r="AV2053" s="538"/>
      <c r="AW2053" s="538"/>
      <c r="AX2053" s="538"/>
      <c r="AY2053" s="538"/>
      <c r="AZ2053" s="538"/>
      <c r="BA2053" s="538"/>
      <c r="BB2053" s="538"/>
      <c r="BC2053" s="538"/>
      <c r="BD2053" s="538"/>
      <c r="BE2053" s="538"/>
      <c r="BF2053" s="538"/>
      <c r="BG2053" s="538"/>
      <c r="BH2053" s="538"/>
    </row>
    <row r="2054" spans="1:60" hidden="1" x14ac:dyDescent="0.2">
      <c r="A2054" s="1507">
        <v>9</v>
      </c>
      <c r="B2054" s="1516" t="s">
        <v>2736</v>
      </c>
      <c r="C2054" s="1511" t="s">
        <v>255</v>
      </c>
      <c r="D2054" s="1511"/>
      <c r="E2054" s="1511"/>
      <c r="F2054" s="1511"/>
      <c r="G2054" s="1509" t="str">
        <f>G2053</f>
        <v/>
      </c>
      <c r="H2054" s="1510" t="s">
        <v>3199</v>
      </c>
      <c r="I2054" s="438"/>
      <c r="J2054" s="207" t="s">
        <v>255</v>
      </c>
      <c r="K2054" s="213"/>
      <c r="L2054" s="550" t="s">
        <v>2739</v>
      </c>
      <c r="M2054" s="546">
        <v>2</v>
      </c>
      <c r="N2054" s="544"/>
      <c r="O2054" s="544"/>
      <c r="P2054" s="96" t="b">
        <v>0</v>
      </c>
      <c r="Q2054" s="96" t="b">
        <v>1</v>
      </c>
      <c r="R2054" s="173" t="b">
        <v>0</v>
      </c>
      <c r="S2054" s="173" t="b">
        <v>1</v>
      </c>
      <c r="T2054" s="173" t="b">
        <v>0</v>
      </c>
      <c r="U2054" s="173"/>
      <c r="V2054" s="173"/>
      <c r="W2054" s="442"/>
      <c r="X2054" s="1601"/>
      <c r="Y2054" s="1874"/>
      <c r="Z2054" s="1889"/>
      <c r="AB2054" s="538"/>
      <c r="AC2054" s="538"/>
      <c r="AD2054" s="538"/>
      <c r="AE2054" s="538"/>
      <c r="AF2054" s="720"/>
      <c r="AG2054" s="538"/>
      <c r="AH2054" s="538"/>
      <c r="AI2054" s="538"/>
      <c r="AJ2054" s="538"/>
      <c r="AK2054" s="538"/>
      <c r="AL2054" s="1352" t="str">
        <f>SUBSTITUTE(SUBSTITUTE(SUBSTITUTE("vpa"&amp;$B2054&amp;$C2054&amp;$D2054&amp;$E2054,".","_"),"(","_"),")","")</f>
        <v>vpa902_1_2_2</v>
      </c>
      <c r="AM2054" s="1352">
        <f>M2054</f>
        <v>2</v>
      </c>
      <c r="AN2054" s="1352"/>
      <c r="AO2054" s="1352"/>
      <c r="AP2054" s="1352" t="str">
        <f>SUBSTITUTE(SUBSTITUTE(SUBSTITUTE("vch"&amp;$B2054&amp;$C2054&amp;$D2054&amp;$E2054,".","_"),"(","_"),")","")</f>
        <v>vch902_1_2_2</v>
      </c>
      <c r="AQ2054" s="1352" t="str">
        <f>IF(LEN(W2054)=0,"",W2054)</f>
        <v/>
      </c>
      <c r="AR2054" s="1352"/>
      <c r="AS2054" s="1352"/>
      <c r="AT2054" s="538"/>
      <c r="AU2054" s="538"/>
      <c r="AV2054" s="538"/>
      <c r="AW2054" s="538"/>
      <c r="AX2054" s="538"/>
      <c r="AY2054" s="538"/>
      <c r="AZ2054" s="538"/>
      <c r="BA2054" s="538"/>
      <c r="BB2054" s="538"/>
      <c r="BC2054" s="538"/>
      <c r="BD2054" s="538"/>
      <c r="BE2054" s="538"/>
      <c r="BF2054" s="538"/>
      <c r="BG2054" s="538"/>
      <c r="BH2054" s="538"/>
    </row>
    <row r="2055" spans="1:60" hidden="1" x14ac:dyDescent="0.2">
      <c r="A2055" s="1507">
        <v>9</v>
      </c>
      <c r="B2055" s="1516" t="s">
        <v>2740</v>
      </c>
      <c r="C2055" s="1511"/>
      <c r="D2055" s="1511"/>
      <c r="E2055" s="1511"/>
      <c r="F2055" s="1511"/>
      <c r="G2055" s="1509" t="str">
        <f>IF(N2055&gt;0,"P","")</f>
        <v/>
      </c>
      <c r="H2055" s="1510" t="s">
        <v>3199</v>
      </c>
      <c r="I2055" s="192" t="s">
        <v>3691</v>
      </c>
      <c r="J2055" s="193"/>
      <c r="K2055" s="193"/>
      <c r="L2055" s="1712" t="s">
        <v>3729</v>
      </c>
      <c r="M2055" s="1636">
        <v>8</v>
      </c>
      <c r="N2055" s="1637">
        <f>'11.900'!O208</f>
        <v>0</v>
      </c>
      <c r="O2055" s="1637">
        <f>M2055*S2055*W2055</f>
        <v>0</v>
      </c>
      <c r="P2055" s="96" t="b">
        <v>0</v>
      </c>
      <c r="Q2055" s="96" t="b">
        <v>1</v>
      </c>
      <c r="R2055" s="195" t="b">
        <v>0</v>
      </c>
      <c r="S2055" s="195" t="b">
        <v>1</v>
      </c>
      <c r="T2055" s="195" t="b">
        <v>0</v>
      </c>
      <c r="U2055" s="195"/>
      <c r="V2055" s="195"/>
      <c r="W2055" s="27"/>
      <c r="X2055" s="1601"/>
      <c r="Y2055" s="1874" t="str">
        <f>IF(LEN('11.900'!X208)=0,"None",'11.900'!X208)</f>
        <v>None</v>
      </c>
      <c r="Z2055" s="1889"/>
      <c r="AB2055" s="538"/>
      <c r="AC2055" s="538"/>
      <c r="AD2055" s="538"/>
      <c r="AE2055" s="538"/>
      <c r="AF2055" s="720"/>
      <c r="AG2055" s="538"/>
      <c r="AH2055" s="538"/>
      <c r="AI2055" s="538"/>
      <c r="AJ2055" s="538"/>
      <c r="AK2055" s="538"/>
      <c r="AL2055" s="1352" t="str">
        <f>SUBSTITUTE(SUBSTITUTE(SUBSTITUTE("vpa"&amp;$B2055&amp;$C2055&amp;$D2055&amp;$E2055,".","_"),"(","_"),")","")</f>
        <v>vpa902_1_3</v>
      </c>
      <c r="AM2055" s="1352">
        <f>M2055</f>
        <v>8</v>
      </c>
      <c r="AN2055" s="1352" t="str">
        <f>SUBSTITUTE(SUBSTITUTE(SUBSTITUTE("vpc"&amp;$B2055&amp;$C2055&amp;$D2055&amp;$E2055,".","_"),"(","_"),")","")</f>
        <v>vpc902_1_3</v>
      </c>
      <c r="AO2055" s="1352">
        <f>O2055</f>
        <v>0</v>
      </c>
      <c r="AP2055" s="1352" t="str">
        <f>SUBSTITUTE(SUBSTITUTE(SUBSTITUTE("vch"&amp;$B2055&amp;$C2055&amp;$D2055&amp;$E2055,".","_"),"(","_"),")","")</f>
        <v>vch902_1_3</v>
      </c>
      <c r="AQ2055" s="1352" t="str">
        <f>IF(LEN(W2055)=0,"",W2055)</f>
        <v/>
      </c>
      <c r="AR2055" s="1352" t="str">
        <f>SUBSTITUTE(SUBSTITUTE(SUBSTITUTE("vnt"&amp;$B2055&amp;$C2055&amp;$D2055&amp;$E2055,".","_"),"(","_"),")","")</f>
        <v>vnt902_1_3</v>
      </c>
      <c r="AS2055" s="1352" t="str">
        <f>IF(LEN(X2055)=0,"",X2055)</f>
        <v/>
      </c>
      <c r="AT2055" s="538"/>
      <c r="AU2055" s="538"/>
      <c r="AV2055" s="538"/>
      <c r="AW2055" s="538"/>
      <c r="AX2055" s="538"/>
      <c r="AY2055" s="538"/>
      <c r="AZ2055" s="538"/>
      <c r="BA2055" s="538"/>
      <c r="BB2055" s="538"/>
      <c r="BC2055" s="538"/>
      <c r="BD2055" s="538"/>
      <c r="BE2055" s="538"/>
      <c r="BF2055" s="538"/>
      <c r="BG2055" s="538"/>
      <c r="BH2055" s="538"/>
    </row>
    <row r="2056" spans="1:60" hidden="1" x14ac:dyDescent="0.2">
      <c r="A2056" s="1507">
        <v>9</v>
      </c>
      <c r="B2056" s="1516" t="s">
        <v>2740</v>
      </c>
      <c r="C2056" s="1511"/>
      <c r="D2056" s="1511"/>
      <c r="E2056" s="1511"/>
      <c r="F2056" s="1511"/>
      <c r="G2056" s="1509" t="str">
        <f>G2055</f>
        <v/>
      </c>
      <c r="H2056" s="1510" t="s">
        <v>3199</v>
      </c>
      <c r="I2056" s="406"/>
      <c r="J2056" s="129"/>
      <c r="K2056" s="129"/>
      <c r="L2056" s="1629"/>
      <c r="M2056" s="1623"/>
      <c r="N2056" s="1619"/>
      <c r="O2056" s="1619"/>
      <c r="P2056" s="96"/>
      <c r="Q2056" s="96"/>
      <c r="R2056" s="96"/>
      <c r="S2056" s="96"/>
      <c r="T2056" s="96"/>
      <c r="U2056" s="96"/>
      <c r="V2056" s="96"/>
      <c r="W2056" s="96"/>
      <c r="X2056" s="1601"/>
      <c r="Y2056" s="1874"/>
      <c r="Z2056" s="1889"/>
      <c r="AB2056" s="538"/>
      <c r="AC2056" s="538"/>
      <c r="AD2056" s="538"/>
      <c r="AE2056" s="538"/>
      <c r="AF2056" s="538"/>
      <c r="AG2056" s="538"/>
      <c r="AH2056" s="538"/>
      <c r="AI2056" s="538"/>
      <c r="AJ2056" s="538"/>
      <c r="AK2056" s="538"/>
      <c r="AL2056" s="1352"/>
      <c r="AM2056" s="1352"/>
      <c r="AN2056" s="1352"/>
      <c r="AO2056" s="1352"/>
      <c r="AP2056" s="1352"/>
      <c r="AQ2056" s="1352"/>
      <c r="AR2056" s="1352"/>
      <c r="AS2056" s="1352"/>
      <c r="AT2056" s="538"/>
      <c r="AU2056" s="538"/>
      <c r="AV2056" s="538"/>
      <c r="AW2056" s="538"/>
      <c r="AX2056" s="538"/>
      <c r="AY2056" s="538"/>
      <c r="AZ2056" s="538"/>
      <c r="BA2056" s="538"/>
      <c r="BB2056" s="538"/>
      <c r="BC2056" s="538"/>
      <c r="BD2056" s="538"/>
      <c r="BE2056" s="538"/>
      <c r="BF2056" s="538"/>
      <c r="BG2056" s="538"/>
      <c r="BH2056" s="538"/>
    </row>
    <row r="2057" spans="1:60" hidden="1" x14ac:dyDescent="0.2">
      <c r="A2057" s="1507">
        <v>9</v>
      </c>
      <c r="B2057" s="1516" t="s">
        <v>2740</v>
      </c>
      <c r="C2057" s="1511"/>
      <c r="D2057" s="1511" t="s">
        <v>121</v>
      </c>
      <c r="E2057" s="1511"/>
      <c r="F2057" s="1511"/>
      <c r="G2057" s="1509" t="str">
        <f>G2056</f>
        <v/>
      </c>
      <c r="H2057" s="1512" t="s">
        <v>3199</v>
      </c>
      <c r="I2057" s="406"/>
      <c r="J2057" s="129"/>
      <c r="K2057" s="180" t="s">
        <v>121</v>
      </c>
      <c r="L2057" s="549" t="s">
        <v>2741</v>
      </c>
      <c r="M2057" s="545"/>
      <c r="N2057" s="543"/>
      <c r="O2057" s="543"/>
      <c r="P2057" s="96"/>
      <c r="Q2057" s="96"/>
      <c r="R2057" s="96"/>
      <c r="S2057" s="96"/>
      <c r="T2057" s="96"/>
      <c r="U2057" s="96"/>
      <c r="V2057" s="96"/>
      <c r="W2057" s="96"/>
      <c r="X2057" s="1601"/>
      <c r="Y2057" s="1874"/>
      <c r="Z2057" s="1889"/>
      <c r="AB2057" s="538"/>
      <c r="AC2057" s="538"/>
      <c r="AD2057" s="538"/>
      <c r="AE2057" s="538"/>
      <c r="AF2057" s="538"/>
      <c r="AG2057" s="538"/>
      <c r="AH2057" s="538"/>
      <c r="AI2057" s="538"/>
      <c r="AJ2057" s="538"/>
      <c r="AK2057" s="538"/>
      <c r="AL2057" s="1352"/>
      <c r="AM2057" s="1352"/>
      <c r="AN2057" s="1352"/>
      <c r="AO2057" s="1352"/>
      <c r="AP2057" s="1352"/>
      <c r="AQ2057" s="1352"/>
      <c r="AR2057" s="1352"/>
      <c r="AS2057" s="1352"/>
      <c r="AT2057" s="538"/>
      <c r="AU2057" s="538"/>
      <c r="AV2057" s="538"/>
      <c r="AW2057" s="538"/>
      <c r="AX2057" s="538"/>
      <c r="AY2057" s="538"/>
      <c r="AZ2057" s="538"/>
      <c r="BA2057" s="538"/>
      <c r="BB2057" s="538"/>
      <c r="BC2057" s="538"/>
      <c r="BD2057" s="538"/>
      <c r="BE2057" s="538"/>
      <c r="BF2057" s="538"/>
      <c r="BG2057" s="538"/>
      <c r="BH2057" s="538"/>
    </row>
    <row r="2058" spans="1:60" ht="15" hidden="1" customHeight="1" x14ac:dyDescent="0.2">
      <c r="A2058" s="1507">
        <v>9</v>
      </c>
      <c r="B2058" s="1516" t="s">
        <v>2740</v>
      </c>
      <c r="C2058" s="1511"/>
      <c r="D2058" s="1511" t="s">
        <v>122</v>
      </c>
      <c r="E2058" s="1511"/>
      <c r="F2058" s="1511"/>
      <c r="G2058" s="1509" t="str">
        <f>G2057</f>
        <v/>
      </c>
      <c r="H2058" s="1512" t="s">
        <v>3199</v>
      </c>
      <c r="I2058" s="438"/>
      <c r="J2058" s="213"/>
      <c r="K2058" s="207" t="s">
        <v>122</v>
      </c>
      <c r="L2058" s="550" t="s">
        <v>2742</v>
      </c>
      <c r="M2058" s="546"/>
      <c r="N2058" s="544"/>
      <c r="O2058" s="544"/>
      <c r="P2058" s="173"/>
      <c r="Q2058" s="173"/>
      <c r="R2058" s="173"/>
      <c r="S2058" s="173"/>
      <c r="T2058" s="173"/>
      <c r="U2058" s="173"/>
      <c r="V2058" s="173"/>
      <c r="W2058" s="173"/>
      <c r="X2058" s="1601"/>
      <c r="Y2058" s="1874"/>
      <c r="Z2058" s="1889"/>
      <c r="AB2058" s="538"/>
      <c r="AC2058" s="538"/>
      <c r="AD2058" s="538"/>
      <c r="AE2058" s="538"/>
      <c r="AF2058" s="538"/>
      <c r="AG2058" s="538"/>
      <c r="AH2058" s="538"/>
      <c r="AI2058" s="538"/>
      <c r="AJ2058" s="538"/>
      <c r="AK2058" s="538"/>
      <c r="AL2058" s="1352"/>
      <c r="AM2058" s="1352"/>
      <c r="AN2058" s="1352"/>
      <c r="AO2058" s="1352"/>
      <c r="AP2058" s="1352"/>
      <c r="AQ2058" s="1352"/>
      <c r="AR2058" s="1352"/>
      <c r="AS2058" s="1352"/>
      <c r="AT2058" s="538"/>
      <c r="AU2058" s="538"/>
      <c r="AV2058" s="538"/>
      <c r="AW2058" s="538"/>
      <c r="AX2058" s="538"/>
      <c r="AY2058" s="538"/>
      <c r="AZ2058" s="538"/>
      <c r="BA2058" s="538"/>
      <c r="BB2058" s="538"/>
      <c r="BC2058" s="538"/>
      <c r="BD2058" s="538"/>
      <c r="BE2058" s="538"/>
      <c r="BF2058" s="538"/>
      <c r="BG2058" s="538"/>
      <c r="BH2058" s="538"/>
    </row>
    <row r="2059" spans="1:60" x14ac:dyDescent="0.2">
      <c r="A2059" s="1507">
        <v>9</v>
      </c>
      <c r="B2059" s="1516" t="s">
        <v>2743</v>
      </c>
      <c r="C2059" s="1511"/>
      <c r="D2059" s="1511"/>
      <c r="E2059" s="1511"/>
      <c r="F2059" s="1511"/>
      <c r="G2059" s="1509" t="str">
        <f>IF(N2059&gt;0,"P","")</f>
        <v/>
      </c>
      <c r="H2059" s="1510" t="s">
        <v>3199</v>
      </c>
      <c r="I2059" s="192" t="s">
        <v>3692</v>
      </c>
      <c r="J2059" s="193"/>
      <c r="K2059" s="193"/>
      <c r="L2059" s="563" t="s">
        <v>3728</v>
      </c>
      <c r="M2059" s="551" t="s">
        <v>465</v>
      </c>
      <c r="N2059" s="552">
        <f>'11.900'!O212</f>
        <v>0</v>
      </c>
      <c r="O2059" s="552">
        <f>MIN(12,M2060*S2061*W2061+M2062*S2063*W2063)</f>
        <v>0</v>
      </c>
      <c r="P2059" s="195"/>
      <c r="Q2059" s="195"/>
      <c r="R2059" s="195"/>
      <c r="S2059" s="195"/>
      <c r="T2059" s="195"/>
      <c r="U2059" s="195"/>
      <c r="V2059" s="195"/>
      <c r="W2059" s="195"/>
      <c r="X2059" s="1601"/>
      <c r="Y2059" s="1874" t="str">
        <f>IF(LEN('11.900'!X212)=0,"None",'11.900'!X212)</f>
        <v>None</v>
      </c>
      <c r="Z2059" s="1889"/>
      <c r="AB2059" s="538"/>
      <c r="AC2059" s="538"/>
      <c r="AD2059" s="538"/>
      <c r="AE2059" s="538"/>
      <c r="AF2059" s="538"/>
      <c r="AG2059" s="538"/>
      <c r="AH2059" s="538"/>
      <c r="AI2059" s="538"/>
      <c r="AJ2059" s="538"/>
      <c r="AK2059" s="538"/>
      <c r="AL2059" s="1352" t="str">
        <f>SUBSTITUTE(SUBSTITUTE(SUBSTITUTE("vpa"&amp;$B2059&amp;$C2059&amp;$D2059&amp;$E2059,".","_"),"(","_"),")","")</f>
        <v>vpa902_1_4</v>
      </c>
      <c r="AM2059" s="1352" t="str">
        <f>M2059</f>
        <v>12 Max</v>
      </c>
      <c r="AN2059" s="1352" t="str">
        <f>SUBSTITUTE(SUBSTITUTE(SUBSTITUTE("vpc"&amp;$B2059&amp;$C2059&amp;$D2059&amp;$E2059,".","_"),"(","_"),")","")</f>
        <v>vpc902_1_4</v>
      </c>
      <c r="AO2059" s="1352">
        <f>O2059</f>
        <v>0</v>
      </c>
      <c r="AP2059" s="1352"/>
      <c r="AQ2059" s="1352"/>
      <c r="AR2059" s="1352" t="str">
        <f>SUBSTITUTE(SUBSTITUTE(SUBSTITUTE("vnt"&amp;$B2059&amp;$C2059&amp;$D2059&amp;$E2059,".","_"),"(","_"),")","")</f>
        <v>vnt902_1_4</v>
      </c>
      <c r="AS2059" s="1352" t="str">
        <f>IF(LEN(X2059)=0,"",X2059)</f>
        <v/>
      </c>
      <c r="AT2059" s="538"/>
      <c r="AU2059" s="538"/>
      <c r="AV2059" s="538"/>
      <c r="AW2059" s="538"/>
      <c r="AX2059" s="538"/>
      <c r="AY2059" s="538"/>
      <c r="AZ2059" s="538"/>
      <c r="BA2059" s="538"/>
      <c r="BB2059" s="538"/>
      <c r="BC2059" s="538"/>
      <c r="BD2059" s="538"/>
      <c r="BE2059" s="538"/>
      <c r="BF2059" s="538"/>
      <c r="BG2059" s="538"/>
      <c r="BH2059" s="538"/>
    </row>
    <row r="2060" spans="1:60" x14ac:dyDescent="0.2">
      <c r="A2060" s="1507">
        <v>9</v>
      </c>
      <c r="B2060" s="1516" t="s">
        <v>2743</v>
      </c>
      <c r="C2060" s="1511" t="s">
        <v>254</v>
      </c>
      <c r="D2060" s="1511"/>
      <c r="E2060" s="1511"/>
      <c r="F2060" s="1511"/>
      <c r="G2060" s="1509" t="str">
        <f>G2059</f>
        <v/>
      </c>
      <c r="H2060" s="1510" t="s">
        <v>3199</v>
      </c>
      <c r="I2060" s="406"/>
      <c r="J2060" s="180" t="s">
        <v>254</v>
      </c>
      <c r="K2060" s="129"/>
      <c r="L2060" s="549" t="s">
        <v>2931</v>
      </c>
      <c r="M2060" s="1623">
        <v>2</v>
      </c>
      <c r="N2060" s="543"/>
      <c r="O2060" s="543"/>
      <c r="P2060" s="96"/>
      <c r="Q2060" s="96"/>
      <c r="R2060" s="96"/>
      <c r="S2060" s="96"/>
      <c r="T2060" s="96"/>
      <c r="U2060" s="96"/>
      <c r="V2060" s="96"/>
      <c r="W2060" s="96" t="s">
        <v>3028</v>
      </c>
      <c r="X2060" s="1601"/>
      <c r="Y2060" s="1874"/>
      <c r="Z2060" s="1889"/>
      <c r="AB2060" s="538"/>
      <c r="AC2060" s="538"/>
      <c r="AD2060" s="538"/>
      <c r="AE2060" s="538"/>
      <c r="AF2060" s="538"/>
      <c r="AG2060" s="538"/>
      <c r="AH2060" s="538"/>
      <c r="AI2060" s="538"/>
      <c r="AJ2060" s="538"/>
      <c r="AK2060" s="538"/>
      <c r="AL2060" s="1352" t="str">
        <f>SUBSTITUTE(SUBSTITUTE(SUBSTITUTE("vpa"&amp;$B2060&amp;$C2060&amp;$D2060&amp;$E2060,".","_"),"(","_"),")","")</f>
        <v>vpa902_1_4_1</v>
      </c>
      <c r="AM2060" s="1352">
        <f>M2060</f>
        <v>2</v>
      </c>
      <c r="AN2060" s="1352"/>
      <c r="AO2060" s="1352"/>
      <c r="AP2060" s="1352"/>
      <c r="AQ2060" s="1352"/>
      <c r="AR2060" s="1352"/>
      <c r="AS2060" s="1352"/>
      <c r="AT2060" s="538"/>
      <c r="AU2060" s="538"/>
      <c r="AV2060" s="538"/>
      <c r="AW2060" s="538"/>
      <c r="AX2060" s="538"/>
      <c r="AY2060" s="538"/>
      <c r="AZ2060" s="538"/>
      <c r="BA2060" s="538"/>
      <c r="BB2060" s="538"/>
      <c r="BC2060" s="538"/>
      <c r="BD2060" s="538"/>
      <c r="BE2060" s="538"/>
      <c r="BF2060" s="538"/>
      <c r="BG2060" s="538"/>
      <c r="BH2060" s="538"/>
    </row>
    <row r="2061" spans="1:60" x14ac:dyDescent="0.2">
      <c r="A2061" s="1507">
        <v>9</v>
      </c>
      <c r="B2061" s="1516" t="s">
        <v>2743</v>
      </c>
      <c r="C2061" s="1511" t="s">
        <v>254</v>
      </c>
      <c r="D2061" s="1511"/>
      <c r="E2061" s="1511"/>
      <c r="F2061" s="1511"/>
      <c r="G2061" s="1509" t="str">
        <f>G2060</f>
        <v/>
      </c>
      <c r="H2061" s="1510" t="s">
        <v>3199</v>
      </c>
      <c r="I2061" s="406"/>
      <c r="J2061" s="207"/>
      <c r="K2061" s="213"/>
      <c r="L2061" s="565" t="s">
        <v>2744</v>
      </c>
      <c r="M2061" s="1624"/>
      <c r="N2061" s="543"/>
      <c r="O2061" s="543"/>
      <c r="P2061" s="96" t="b">
        <v>0</v>
      </c>
      <c r="Q2061" s="96" t="b">
        <v>1</v>
      </c>
      <c r="R2061" s="96" t="b">
        <v>0</v>
      </c>
      <c r="S2061" s="96" t="b">
        <v>1</v>
      </c>
      <c r="T2061" s="96" t="b">
        <v>0</v>
      </c>
      <c r="U2061" s="96"/>
      <c r="V2061" s="96"/>
      <c r="W2061" s="410"/>
      <c r="X2061" s="1601"/>
      <c r="Y2061" s="1874"/>
      <c r="Z2061" s="1889"/>
      <c r="AB2061" s="538"/>
      <c r="AC2061" s="538"/>
      <c r="AD2061" s="538"/>
      <c r="AE2061" s="538"/>
      <c r="AF2061" s="720"/>
      <c r="AG2061" s="538"/>
      <c r="AH2061" s="538"/>
      <c r="AI2061" s="538"/>
      <c r="AJ2061" s="538"/>
      <c r="AK2061" s="538"/>
      <c r="AL2061" s="1352"/>
      <c r="AM2061" s="1352"/>
      <c r="AN2061" s="1352"/>
      <c r="AO2061" s="1352"/>
      <c r="AP2061" s="1352" t="str">
        <f>SUBSTITUTE(SUBSTITUTE(SUBSTITUTE("vch"&amp;$B2061&amp;$C2061&amp;$D2061&amp;$E2061,".","_"),"(","_"),")","")</f>
        <v>vch902_1_4_1</v>
      </c>
      <c r="AQ2061" s="1352" t="str">
        <f>IF(LEN(W2061)=0,"",W2061)</f>
        <v/>
      </c>
      <c r="AR2061" s="1352"/>
      <c r="AS2061" s="1352"/>
      <c r="AT2061" s="538"/>
      <c r="AU2061" s="538"/>
      <c r="AV2061" s="538"/>
      <c r="AW2061" s="538"/>
      <c r="AX2061" s="538"/>
      <c r="AY2061" s="538"/>
      <c r="AZ2061" s="538"/>
      <c r="BA2061" s="538"/>
      <c r="BB2061" s="538"/>
      <c r="BC2061" s="538"/>
      <c r="BD2061" s="538"/>
      <c r="BE2061" s="538"/>
      <c r="BF2061" s="538"/>
      <c r="BG2061" s="538"/>
      <c r="BH2061" s="538"/>
    </row>
    <row r="2062" spans="1:60" x14ac:dyDescent="0.2">
      <c r="A2062" s="1507">
        <v>9</v>
      </c>
      <c r="B2062" s="1516" t="s">
        <v>2743</v>
      </c>
      <c r="C2062" s="1511" t="s">
        <v>255</v>
      </c>
      <c r="D2062" s="1511"/>
      <c r="E2062" s="1511"/>
      <c r="F2062" s="1511"/>
      <c r="G2062" s="1509" t="str">
        <f>G2061</f>
        <v/>
      </c>
      <c r="H2062" s="1510" t="s">
        <v>3199</v>
      </c>
      <c r="I2062" s="406"/>
      <c r="J2062" s="180" t="s">
        <v>255</v>
      </c>
      <c r="K2062" s="129"/>
      <c r="L2062" s="549" t="s">
        <v>2745</v>
      </c>
      <c r="M2062" s="1623">
        <v>3</v>
      </c>
      <c r="N2062" s="543"/>
      <c r="O2062" s="543"/>
      <c r="P2062" s="96"/>
      <c r="Q2062" s="96"/>
      <c r="R2062" s="96"/>
      <c r="S2062" s="96"/>
      <c r="T2062" s="96"/>
      <c r="U2062" s="96"/>
      <c r="V2062" s="96"/>
      <c r="W2062" s="96"/>
      <c r="X2062" s="1601"/>
      <c r="Y2062" s="1874"/>
      <c r="Z2062" s="1889"/>
      <c r="AB2062" s="538"/>
      <c r="AC2062" s="538"/>
      <c r="AD2062" s="538"/>
      <c r="AE2062" s="538"/>
      <c r="AF2062" s="538"/>
      <c r="AG2062" s="538"/>
      <c r="AH2062" s="538"/>
      <c r="AI2062" s="538"/>
      <c r="AJ2062" s="538"/>
      <c r="AK2062" s="538"/>
      <c r="AL2062" s="1352" t="str">
        <f>SUBSTITUTE(SUBSTITUTE(SUBSTITUTE("vpa"&amp;$B2062&amp;$C2062&amp;$D2062&amp;$E2062,".","_"),"(","_"),")","")</f>
        <v>vpa902_1_4_2</v>
      </c>
      <c r="AM2062" s="1352">
        <f>M2062</f>
        <v>3</v>
      </c>
      <c r="AN2062" s="1352"/>
      <c r="AO2062" s="1352"/>
      <c r="AP2062" s="1352"/>
      <c r="AQ2062" s="1352"/>
      <c r="AR2062" s="1352"/>
      <c r="AS2062" s="1352"/>
      <c r="AT2062" s="538"/>
      <c r="AU2062" s="538"/>
      <c r="AV2062" s="538"/>
      <c r="AW2062" s="538"/>
      <c r="AX2062" s="538"/>
      <c r="AY2062" s="538"/>
      <c r="AZ2062" s="538"/>
      <c r="BA2062" s="538"/>
      <c r="BB2062" s="538"/>
      <c r="BC2062" s="538"/>
      <c r="BD2062" s="538"/>
      <c r="BE2062" s="538"/>
      <c r="BF2062" s="538"/>
      <c r="BG2062" s="538"/>
      <c r="BH2062" s="538"/>
    </row>
    <row r="2063" spans="1:60" ht="16" thickBot="1" x14ac:dyDescent="0.25">
      <c r="A2063" s="1507">
        <v>9</v>
      </c>
      <c r="B2063" s="1516" t="s">
        <v>2743</v>
      </c>
      <c r="C2063" s="1511" t="s">
        <v>255</v>
      </c>
      <c r="D2063" s="1511"/>
      <c r="E2063" s="1511"/>
      <c r="F2063" s="1511"/>
      <c r="G2063" s="1509" t="str">
        <f>G2062</f>
        <v/>
      </c>
      <c r="H2063" s="1510" t="s">
        <v>3199</v>
      </c>
      <c r="I2063" s="438"/>
      <c r="J2063" s="213"/>
      <c r="K2063" s="213"/>
      <c r="L2063" s="565" t="s">
        <v>2744</v>
      </c>
      <c r="M2063" s="1624"/>
      <c r="N2063" s="544"/>
      <c r="O2063" s="544"/>
      <c r="P2063" s="96" t="b">
        <v>0</v>
      </c>
      <c r="Q2063" s="96" t="b">
        <v>1</v>
      </c>
      <c r="R2063" s="173" t="b">
        <v>0</v>
      </c>
      <c r="S2063" s="173" t="b">
        <v>1</v>
      </c>
      <c r="T2063" s="173" t="b">
        <v>0</v>
      </c>
      <c r="U2063" s="173"/>
      <c r="V2063" s="173"/>
      <c r="W2063" s="410"/>
      <c r="X2063" s="1601"/>
      <c r="Y2063" s="1874"/>
      <c r="Z2063" s="1889"/>
      <c r="AB2063" s="538"/>
      <c r="AC2063" s="538"/>
      <c r="AD2063" s="538"/>
      <c r="AE2063" s="538"/>
      <c r="AF2063" s="720"/>
      <c r="AG2063" s="538"/>
      <c r="AH2063" s="538"/>
      <c r="AI2063" s="538"/>
      <c r="AJ2063" s="538"/>
      <c r="AK2063" s="538"/>
      <c r="AL2063" s="1352"/>
      <c r="AM2063" s="1352"/>
      <c r="AN2063" s="1352"/>
      <c r="AO2063" s="1352"/>
      <c r="AP2063" s="1352" t="str">
        <f>SUBSTITUTE(SUBSTITUTE(SUBSTITUTE("vch"&amp;$B2063&amp;$C2063&amp;$D2063&amp;$E2063,".","_"),"(","_"),")","")</f>
        <v>vch902_1_4_2</v>
      </c>
      <c r="AQ2063" s="1352" t="str">
        <f>IF(LEN(W2063)=0,"",W2063)</f>
        <v/>
      </c>
      <c r="AR2063" s="1352"/>
      <c r="AS2063" s="1352"/>
      <c r="AT2063" s="538"/>
      <c r="AU2063" s="538"/>
      <c r="AV2063" s="538"/>
      <c r="AW2063" s="538"/>
      <c r="AX2063" s="538"/>
      <c r="AY2063" s="538"/>
      <c r="AZ2063" s="538"/>
      <c r="BA2063" s="538"/>
      <c r="BB2063" s="538"/>
      <c r="BC2063" s="538"/>
      <c r="BD2063" s="538"/>
      <c r="BE2063" s="538"/>
      <c r="BF2063" s="538"/>
      <c r="BG2063" s="538"/>
      <c r="BH2063" s="538"/>
    </row>
    <row r="2064" spans="1:60" ht="16" hidden="1" thickBot="1" x14ac:dyDescent="0.25">
      <c r="A2064" s="1507">
        <v>9</v>
      </c>
      <c r="B2064" s="1516" t="s">
        <v>2746</v>
      </c>
      <c r="C2064" s="1511"/>
      <c r="D2064" s="1511"/>
      <c r="E2064" s="1511"/>
      <c r="F2064" s="1511"/>
      <c r="G2064" s="1509" t="str">
        <f>IF(N2064&gt;0,"P","")</f>
        <v/>
      </c>
      <c r="H2064" s="1510" t="s">
        <v>3199</v>
      </c>
      <c r="I2064" s="67" t="s">
        <v>3693</v>
      </c>
      <c r="J2064" s="4"/>
      <c r="K2064" s="4"/>
      <c r="L2064" s="1631" t="s">
        <v>3727</v>
      </c>
      <c r="M2064" s="1628">
        <v>3</v>
      </c>
      <c r="N2064" s="1669">
        <f>'11.900'!O217</f>
        <v>0</v>
      </c>
      <c r="O2064" s="1669">
        <f>M2064*W2066*W2068*W2070</f>
        <v>0</v>
      </c>
      <c r="P2064" s="538"/>
      <c r="Q2064" s="538"/>
      <c r="R2064" s="538"/>
      <c r="S2064" s="538"/>
      <c r="T2064" s="538"/>
      <c r="U2064" s="538"/>
      <c r="V2064" s="538"/>
      <c r="W2064" s="538"/>
      <c r="X2064" s="538"/>
      <c r="Y2064" s="538"/>
      <c r="Z2064" s="670"/>
      <c r="AB2064" s="538"/>
      <c r="AC2064" s="538"/>
      <c r="AD2064" s="538"/>
      <c r="AE2064" s="538"/>
      <c r="AF2064" s="538"/>
      <c r="AG2064" s="538"/>
      <c r="AH2064" s="538"/>
      <c r="AI2064" s="538"/>
      <c r="AJ2064" s="538"/>
      <c r="AK2064" s="538"/>
      <c r="AL2064" s="1352" t="str">
        <f>SUBSTITUTE(SUBSTITUTE(SUBSTITUTE("vpa"&amp;$B2064&amp;$C2064&amp;$D2064&amp;$E2064,".","_"),"(","_"),")","")</f>
        <v>vpa902_1_5</v>
      </c>
      <c r="AM2064" s="1352">
        <f>M2064</f>
        <v>3</v>
      </c>
      <c r="AN2064" s="1352" t="str">
        <f>SUBSTITUTE(SUBSTITUTE(SUBSTITUTE("vpc"&amp;$B2064&amp;$C2064&amp;$D2064&amp;$E2064,".","_"),"(","_"),")","")</f>
        <v>vpc902_1_5</v>
      </c>
      <c r="AO2064" s="1352">
        <f>O2064</f>
        <v>0</v>
      </c>
      <c r="AP2064" s="1352"/>
      <c r="AQ2064" s="1352"/>
      <c r="AR2064" s="1352"/>
      <c r="AS2064" s="1352"/>
      <c r="AT2064" s="538"/>
      <c r="AU2064" s="538"/>
      <c r="AV2064" s="538"/>
      <c r="AW2064" s="538"/>
      <c r="AX2064" s="538"/>
      <c r="AY2064" s="538"/>
      <c r="AZ2064" s="538"/>
      <c r="BA2064" s="538"/>
      <c r="BB2064" s="538"/>
      <c r="BC2064" s="538"/>
      <c r="BD2064" s="538"/>
      <c r="BE2064" s="538"/>
      <c r="BF2064" s="538"/>
      <c r="BG2064" s="538"/>
      <c r="BH2064" s="538"/>
    </row>
    <row r="2065" spans="1:60" ht="15" hidden="1" customHeight="1" x14ac:dyDescent="0.2">
      <c r="A2065" s="1507">
        <v>9</v>
      </c>
      <c r="B2065" s="1516" t="s">
        <v>2746</v>
      </c>
      <c r="C2065" s="1511"/>
      <c r="D2065" s="1511"/>
      <c r="E2065" s="1511"/>
      <c r="F2065" s="1511"/>
      <c r="G2065" s="1509" t="str">
        <f t="shared" ref="G2065:G2072" si="139">G2064</f>
        <v/>
      </c>
      <c r="H2065" s="1510" t="s">
        <v>3199</v>
      </c>
      <c r="I2065" s="161"/>
      <c r="J2065" s="4"/>
      <c r="K2065" s="4"/>
      <c r="L2065" s="1631"/>
      <c r="M2065" s="1628"/>
      <c r="N2065" s="1669"/>
      <c r="O2065" s="1669"/>
      <c r="P2065" s="538"/>
      <c r="Q2065" s="538"/>
      <c r="R2065" s="538"/>
      <c r="S2065" s="538"/>
      <c r="T2065" s="538"/>
      <c r="U2065" s="538"/>
      <c r="V2065" s="538"/>
      <c r="W2065" s="538"/>
      <c r="X2065" s="538"/>
      <c r="Y2065" s="538"/>
      <c r="Z2065" s="670"/>
      <c r="AB2065" s="538"/>
      <c r="AC2065" s="538"/>
      <c r="AD2065" s="538"/>
      <c r="AE2065" s="538"/>
      <c r="AF2065" s="538"/>
      <c r="AG2065" s="538"/>
      <c r="AH2065" s="538"/>
      <c r="AI2065" s="538"/>
      <c r="AJ2065" s="538"/>
      <c r="AK2065" s="538"/>
      <c r="AL2065" s="1352"/>
      <c r="AM2065" s="1352"/>
      <c r="AN2065" s="1352"/>
      <c r="AO2065" s="1352"/>
      <c r="AP2065" s="1352"/>
      <c r="AQ2065" s="1352"/>
      <c r="AR2065" s="1352"/>
      <c r="AS2065" s="1352"/>
      <c r="AT2065" s="538"/>
      <c r="AU2065" s="538"/>
      <c r="AV2065" s="538"/>
      <c r="AW2065" s="538"/>
      <c r="AX2065" s="538"/>
      <c r="AY2065" s="538"/>
      <c r="AZ2065" s="538"/>
      <c r="BA2065" s="538"/>
      <c r="BB2065" s="538"/>
      <c r="BC2065" s="538"/>
      <c r="BD2065" s="538"/>
      <c r="BE2065" s="538"/>
      <c r="BF2065" s="538"/>
      <c r="BG2065" s="538"/>
      <c r="BH2065" s="538"/>
    </row>
    <row r="2066" spans="1:60" ht="16" hidden="1" thickBot="1" x14ac:dyDescent="0.25">
      <c r="A2066" s="1507">
        <v>9</v>
      </c>
      <c r="B2066" s="1516" t="s">
        <v>2746</v>
      </c>
      <c r="C2066" s="1511" t="s">
        <v>254</v>
      </c>
      <c r="D2066" s="1511"/>
      <c r="E2066" s="1511"/>
      <c r="F2066" s="1511"/>
      <c r="G2066" s="1509" t="str">
        <f t="shared" si="139"/>
        <v/>
      </c>
      <c r="H2066" s="1510" t="s">
        <v>3199</v>
      </c>
      <c r="I2066" s="161"/>
      <c r="J2066" s="180" t="s">
        <v>254</v>
      </c>
      <c r="K2066" s="129"/>
      <c r="L2066" s="1609" t="s">
        <v>4874</v>
      </c>
      <c r="M2066" s="554"/>
      <c r="N2066" s="540"/>
      <c r="O2066" s="540"/>
      <c r="P2066" s="96" t="b">
        <v>0</v>
      </c>
      <c r="Q2066" s="96" t="b">
        <v>1</v>
      </c>
      <c r="R2066" s="538" t="b">
        <v>0</v>
      </c>
      <c r="S2066" s="538" t="b">
        <v>1</v>
      </c>
      <c r="T2066" s="538" t="b">
        <v>0</v>
      </c>
      <c r="U2066" s="538"/>
      <c r="V2066" s="538"/>
      <c r="W2066" s="27"/>
      <c r="X2066" s="1600"/>
      <c r="Y2066" s="1874" t="str">
        <f>IF(LEN('11.900'!X219)=0,"None",'11.900'!X219)</f>
        <v>None</v>
      </c>
      <c r="Z2066" s="1889"/>
      <c r="AB2066" s="538"/>
      <c r="AC2066" s="538"/>
      <c r="AD2066" s="538"/>
      <c r="AE2066" s="538"/>
      <c r="AF2066" s="720"/>
      <c r="AG2066" s="538"/>
      <c r="AH2066" s="538"/>
      <c r="AI2066" s="538"/>
      <c r="AJ2066" s="538"/>
      <c r="AK2066" s="538"/>
      <c r="AL2066" s="1352"/>
      <c r="AM2066" s="1352"/>
      <c r="AN2066" s="1352"/>
      <c r="AO2066" s="1352"/>
      <c r="AP2066" s="1352" t="str">
        <f>SUBSTITUTE(SUBSTITUTE(SUBSTITUTE("vch"&amp;$B2066&amp;$C2066&amp;$D2066&amp;$E2066,".","_"),"(","_"),")","")</f>
        <v>vch902_1_5_1</v>
      </c>
      <c r="AQ2066" s="1352" t="str">
        <f>IF(LEN(W2066)=0,"",W2066)</f>
        <v/>
      </c>
      <c r="AR2066" s="1352" t="str">
        <f>SUBSTITUTE(SUBSTITUTE(SUBSTITUTE("vnt"&amp;$B2066&amp;$C2066&amp;$D2066&amp;$E2066,".","_"),"(","_"),")","")</f>
        <v>vnt902_1_5_1</v>
      </c>
      <c r="AS2066" s="1352" t="str">
        <f>IF(LEN(X2066)=0,"",X2066)</f>
        <v/>
      </c>
      <c r="AT2066" s="538"/>
      <c r="AU2066" s="538"/>
      <c r="AV2066" s="538"/>
      <c r="AW2066" s="538"/>
      <c r="AX2066" s="538"/>
      <c r="AY2066" s="538"/>
      <c r="AZ2066" s="538"/>
      <c r="BA2066" s="538"/>
      <c r="BB2066" s="538"/>
      <c r="BC2066" s="538"/>
      <c r="BD2066" s="538"/>
      <c r="BE2066" s="538"/>
      <c r="BF2066" s="538"/>
      <c r="BG2066" s="538"/>
      <c r="BH2066" s="538"/>
    </row>
    <row r="2067" spans="1:60" ht="16" hidden="1" thickBot="1" x14ac:dyDescent="0.25">
      <c r="A2067" s="1507">
        <v>9</v>
      </c>
      <c r="B2067" s="1516" t="s">
        <v>2746</v>
      </c>
      <c r="C2067" s="1511" t="s">
        <v>254</v>
      </c>
      <c r="D2067" s="1511"/>
      <c r="E2067" s="1511"/>
      <c r="F2067" s="1511"/>
      <c r="G2067" s="1509" t="str">
        <f t="shared" si="139"/>
        <v/>
      </c>
      <c r="H2067" s="1510" t="s">
        <v>3199</v>
      </c>
      <c r="I2067" s="161"/>
      <c r="J2067" s="207"/>
      <c r="K2067" s="213"/>
      <c r="L2067" s="1612"/>
      <c r="M2067" s="554"/>
      <c r="N2067" s="540"/>
      <c r="O2067" s="540"/>
      <c r="P2067" s="538"/>
      <c r="Q2067" s="538"/>
      <c r="R2067" s="538"/>
      <c r="S2067" s="538"/>
      <c r="T2067" s="538"/>
      <c r="U2067" s="538"/>
      <c r="V2067" s="538"/>
      <c r="W2067" s="538"/>
      <c r="X2067" s="1600"/>
      <c r="Y2067" s="1874"/>
      <c r="Z2067" s="1889"/>
      <c r="AB2067" s="538"/>
      <c r="AC2067" s="538"/>
      <c r="AD2067" s="538"/>
      <c r="AE2067" s="538"/>
      <c r="AF2067" s="538"/>
      <c r="AG2067" s="538"/>
      <c r="AH2067" s="538"/>
      <c r="AI2067" s="538"/>
      <c r="AJ2067" s="538"/>
      <c r="AK2067" s="538"/>
      <c r="AL2067" s="1352"/>
      <c r="AM2067" s="1352"/>
      <c r="AN2067" s="1352"/>
      <c r="AO2067" s="1352"/>
      <c r="AP2067" s="1352"/>
      <c r="AQ2067" s="1352"/>
      <c r="AR2067" s="1352"/>
      <c r="AS2067" s="1352"/>
      <c r="AT2067" s="538"/>
      <c r="AU2067" s="538"/>
      <c r="AV2067" s="538"/>
      <c r="AW2067" s="538"/>
      <c r="AX2067" s="538"/>
      <c r="AY2067" s="538"/>
      <c r="AZ2067" s="538"/>
      <c r="BA2067" s="538"/>
      <c r="BB2067" s="538"/>
      <c r="BC2067" s="538"/>
      <c r="BD2067" s="538"/>
      <c r="BE2067" s="538"/>
      <c r="BF2067" s="538"/>
      <c r="BG2067" s="538"/>
      <c r="BH2067" s="538"/>
    </row>
    <row r="2068" spans="1:60" ht="16" hidden="1" thickBot="1" x14ac:dyDescent="0.25">
      <c r="A2068" s="1507">
        <v>9</v>
      </c>
      <c r="B2068" s="1516" t="s">
        <v>2746</v>
      </c>
      <c r="C2068" s="1511" t="s">
        <v>255</v>
      </c>
      <c r="D2068" s="1511"/>
      <c r="E2068" s="1511"/>
      <c r="F2068" s="1511"/>
      <c r="G2068" s="1509" t="str">
        <f t="shared" si="139"/>
        <v/>
      </c>
      <c r="H2068" s="1510" t="s">
        <v>3199</v>
      </c>
      <c r="I2068" s="161"/>
      <c r="J2068" s="180" t="s">
        <v>255</v>
      </c>
      <c r="K2068" s="129"/>
      <c r="L2068" s="1609" t="s">
        <v>2747</v>
      </c>
      <c r="M2068" s="554"/>
      <c r="N2068" s="540"/>
      <c r="O2068" s="540"/>
      <c r="P2068" s="96" t="b">
        <v>0</v>
      </c>
      <c r="Q2068" s="96" t="b">
        <v>1</v>
      </c>
      <c r="R2068" s="538" t="b">
        <v>0</v>
      </c>
      <c r="S2068" s="538" t="b">
        <v>1</v>
      </c>
      <c r="T2068" s="538" t="b">
        <v>0</v>
      </c>
      <c r="U2068" s="538"/>
      <c r="V2068" s="538"/>
      <c r="W2068" s="27"/>
      <c r="X2068" s="1600"/>
      <c r="Y2068" s="1874" t="str">
        <f>IF(LEN('11.900'!X221)=0,"None",'11.900'!X221)</f>
        <v>None</v>
      </c>
      <c r="Z2068" s="1889"/>
      <c r="AB2068" s="538"/>
      <c r="AC2068" s="538"/>
      <c r="AD2068" s="538"/>
      <c r="AE2068" s="538"/>
      <c r="AF2068" s="720"/>
      <c r="AG2068" s="538"/>
      <c r="AH2068" s="538"/>
      <c r="AI2068" s="538"/>
      <c r="AJ2068" s="538"/>
      <c r="AK2068" s="538"/>
      <c r="AL2068" s="1352"/>
      <c r="AM2068" s="1352"/>
      <c r="AN2068" s="1352"/>
      <c r="AO2068" s="1352"/>
      <c r="AP2068" s="1352" t="str">
        <f>SUBSTITUTE(SUBSTITUTE(SUBSTITUTE("vch"&amp;$B2068&amp;$C2068&amp;$D2068&amp;$E2068,".","_"),"(","_"),")","")</f>
        <v>vch902_1_5_2</v>
      </c>
      <c r="AQ2068" s="1352" t="str">
        <f>IF(LEN(W2068)=0,"",W2068)</f>
        <v/>
      </c>
      <c r="AR2068" s="1352" t="str">
        <f>SUBSTITUTE(SUBSTITUTE(SUBSTITUTE("vnt"&amp;$B2068&amp;$C2068&amp;$D2068&amp;$E2068,".","_"),"(","_"),")","")</f>
        <v>vnt902_1_5_2</v>
      </c>
      <c r="AS2068" s="1352" t="str">
        <f>IF(LEN(X2068)=0,"",X2068)</f>
        <v/>
      </c>
      <c r="AT2068" s="538"/>
      <c r="AU2068" s="538"/>
      <c r="AV2068" s="538"/>
      <c r="AW2068" s="538"/>
      <c r="AX2068" s="538"/>
      <c r="AY2068" s="538"/>
      <c r="AZ2068" s="538"/>
      <c r="BA2068" s="538"/>
      <c r="BB2068" s="538"/>
      <c r="BC2068" s="538"/>
      <c r="BD2068" s="538"/>
      <c r="BE2068" s="538"/>
      <c r="BF2068" s="538"/>
      <c r="BG2068" s="538"/>
      <c r="BH2068" s="538"/>
    </row>
    <row r="2069" spans="1:60" ht="16" hidden="1" thickBot="1" x14ac:dyDescent="0.25">
      <c r="A2069" s="1507">
        <v>9</v>
      </c>
      <c r="B2069" s="1516" t="s">
        <v>2746</v>
      </c>
      <c r="C2069" s="1511" t="s">
        <v>255</v>
      </c>
      <c r="D2069" s="1511"/>
      <c r="E2069" s="1511"/>
      <c r="F2069" s="1511"/>
      <c r="G2069" s="1509" t="str">
        <f t="shared" si="139"/>
        <v/>
      </c>
      <c r="H2069" s="1510" t="s">
        <v>3199</v>
      </c>
      <c r="I2069" s="161"/>
      <c r="J2069" s="213"/>
      <c r="K2069" s="213"/>
      <c r="L2069" s="1612"/>
      <c r="M2069" s="554"/>
      <c r="N2069" s="540"/>
      <c r="O2069" s="540"/>
      <c r="P2069" s="538"/>
      <c r="Q2069" s="538"/>
      <c r="R2069" s="538"/>
      <c r="S2069" s="538"/>
      <c r="T2069" s="538"/>
      <c r="U2069" s="538"/>
      <c r="V2069" s="538"/>
      <c r="W2069" s="538"/>
      <c r="X2069" s="1600"/>
      <c r="Y2069" s="1874"/>
      <c r="Z2069" s="1889"/>
      <c r="AB2069" s="538"/>
      <c r="AC2069" s="538"/>
      <c r="AD2069" s="538"/>
      <c r="AE2069" s="538"/>
      <c r="AF2069" s="538"/>
      <c r="AG2069" s="538"/>
      <c r="AH2069" s="538"/>
      <c r="AI2069" s="538"/>
      <c r="AJ2069" s="538"/>
      <c r="AK2069" s="538"/>
      <c r="AL2069" s="1352"/>
      <c r="AM2069" s="1352"/>
      <c r="AN2069" s="1352"/>
      <c r="AO2069" s="1352"/>
      <c r="AP2069" s="1352"/>
      <c r="AQ2069" s="1352"/>
      <c r="AR2069" s="1352"/>
      <c r="AS2069" s="1352"/>
      <c r="AT2069" s="538"/>
      <c r="AU2069" s="538"/>
      <c r="AV2069" s="538"/>
      <c r="AW2069" s="538"/>
      <c r="AX2069" s="538"/>
      <c r="AY2069" s="538"/>
      <c r="AZ2069" s="538"/>
      <c r="BA2069" s="538"/>
      <c r="BB2069" s="538"/>
      <c r="BC2069" s="538"/>
      <c r="BD2069" s="538"/>
      <c r="BE2069" s="538"/>
      <c r="BF2069" s="538"/>
      <c r="BG2069" s="538"/>
      <c r="BH2069" s="538"/>
    </row>
    <row r="2070" spans="1:60" ht="16" hidden="1" thickBot="1" x14ac:dyDescent="0.25">
      <c r="A2070" s="1507">
        <v>9</v>
      </c>
      <c r="B2070" s="1516" t="s">
        <v>2746</v>
      </c>
      <c r="C2070" s="1511" t="s">
        <v>256</v>
      </c>
      <c r="D2070" s="1511"/>
      <c r="E2070" s="1511"/>
      <c r="F2070" s="1511"/>
      <c r="G2070" s="1509" t="str">
        <f t="shared" si="139"/>
        <v/>
      </c>
      <c r="H2070" s="1510" t="s">
        <v>3199</v>
      </c>
      <c r="I2070" s="406"/>
      <c r="J2070" s="180" t="s">
        <v>256</v>
      </c>
      <c r="K2070" s="129"/>
      <c r="L2070" s="1609" t="s">
        <v>2748</v>
      </c>
      <c r="M2070" s="545"/>
      <c r="N2070" s="543"/>
      <c r="O2070" s="543"/>
      <c r="P2070" s="96" t="b">
        <v>0</v>
      </c>
      <c r="Q2070" s="96" t="b">
        <v>1</v>
      </c>
      <c r="R2070" s="96" t="b">
        <v>0</v>
      </c>
      <c r="S2070" s="96" t="b">
        <v>1</v>
      </c>
      <c r="T2070" s="96" t="b">
        <v>0</v>
      </c>
      <c r="U2070" s="96"/>
      <c r="V2070" s="96"/>
      <c r="W2070" s="27"/>
      <c r="X2070" s="1601"/>
      <c r="Y2070" s="1881" t="str">
        <f>IF(LEN('11.900'!X223)=0,"None",'11.900'!X223)</f>
        <v>None</v>
      </c>
      <c r="Z2070" s="1891"/>
      <c r="AB2070" s="538"/>
      <c r="AC2070" s="538"/>
      <c r="AD2070" s="538"/>
      <c r="AE2070" s="538"/>
      <c r="AF2070" s="720"/>
      <c r="AG2070" s="538"/>
      <c r="AH2070" s="538"/>
      <c r="AI2070" s="538"/>
      <c r="AJ2070" s="538"/>
      <c r="AK2070" s="538"/>
      <c r="AL2070" s="1352"/>
      <c r="AM2070" s="1352"/>
      <c r="AN2070" s="1352"/>
      <c r="AO2070" s="1352"/>
      <c r="AP2070" s="1352" t="str">
        <f>SUBSTITUTE(SUBSTITUTE(SUBSTITUTE("vch"&amp;$B2070&amp;$C2070&amp;$D2070&amp;$E2070,".","_"),"(","_"),")","")</f>
        <v>vch902_1_5_3</v>
      </c>
      <c r="AQ2070" s="1352" t="str">
        <f>IF(LEN(W2070)=0,"",W2070)</f>
        <v/>
      </c>
      <c r="AR2070" s="1352" t="str">
        <f>SUBSTITUTE(SUBSTITUTE(SUBSTITUTE("vnt"&amp;$B2070&amp;$C2070&amp;$D2070&amp;$E2070,".","_"),"(","_"),")","")</f>
        <v>vnt902_1_5_3</v>
      </c>
      <c r="AS2070" s="1352" t="str">
        <f>IF(LEN(X2070)=0,"",X2070)</f>
        <v/>
      </c>
      <c r="AT2070" s="538"/>
      <c r="AU2070" s="538"/>
      <c r="AV2070" s="538"/>
      <c r="AW2070" s="538"/>
      <c r="AX2070" s="538"/>
      <c r="AY2070" s="538"/>
      <c r="AZ2070" s="538"/>
      <c r="BA2070" s="538"/>
      <c r="BB2070" s="538"/>
      <c r="BC2070" s="538"/>
      <c r="BD2070" s="538"/>
      <c r="BE2070" s="538"/>
      <c r="BF2070" s="538"/>
      <c r="BG2070" s="538"/>
      <c r="BH2070" s="538"/>
    </row>
    <row r="2071" spans="1:60" ht="16" hidden="1" thickBot="1" x14ac:dyDescent="0.25">
      <c r="A2071" s="1507">
        <v>9</v>
      </c>
      <c r="B2071" s="1516" t="s">
        <v>2746</v>
      </c>
      <c r="C2071" s="1511" t="s">
        <v>256</v>
      </c>
      <c r="D2071" s="1511"/>
      <c r="E2071" s="1511"/>
      <c r="F2071" s="1511"/>
      <c r="G2071" s="1509" t="str">
        <f t="shared" si="139"/>
        <v/>
      </c>
      <c r="H2071" s="1510" t="s">
        <v>3199</v>
      </c>
      <c r="I2071" s="406"/>
      <c r="J2071" s="129"/>
      <c r="K2071" s="129"/>
      <c r="L2071" s="1609"/>
      <c r="M2071" s="545"/>
      <c r="N2071" s="543"/>
      <c r="O2071" s="543"/>
      <c r="P2071" s="96"/>
      <c r="Q2071" s="96"/>
      <c r="R2071" s="96"/>
      <c r="S2071" s="96"/>
      <c r="T2071" s="96"/>
      <c r="U2071" s="96"/>
      <c r="V2071" s="96"/>
      <c r="W2071" s="96"/>
      <c r="X2071" s="1601"/>
      <c r="Y2071" s="1881"/>
      <c r="Z2071" s="1891"/>
      <c r="AB2071" s="538"/>
      <c r="AC2071" s="538"/>
      <c r="AD2071" s="538"/>
      <c r="AE2071" s="538"/>
      <c r="AF2071" s="538"/>
      <c r="AG2071" s="538"/>
      <c r="AH2071" s="538"/>
      <c r="AI2071" s="538"/>
      <c r="AJ2071" s="538"/>
      <c r="AK2071" s="538"/>
      <c r="AL2071" s="1352"/>
      <c r="AM2071" s="1352"/>
      <c r="AN2071" s="1352"/>
      <c r="AO2071" s="1352"/>
      <c r="AP2071" s="1352"/>
      <c r="AQ2071" s="1352"/>
      <c r="AR2071" s="1352"/>
      <c r="AS2071" s="1352"/>
      <c r="AT2071" s="538"/>
      <c r="AU2071" s="538"/>
      <c r="AV2071" s="538"/>
      <c r="AW2071" s="538"/>
      <c r="AX2071" s="538"/>
      <c r="AY2071" s="538"/>
      <c r="AZ2071" s="538"/>
      <c r="BA2071" s="538"/>
      <c r="BB2071" s="538"/>
      <c r="BC2071" s="538"/>
      <c r="BD2071" s="538"/>
      <c r="BE2071" s="538"/>
      <c r="BF2071" s="538"/>
      <c r="BG2071" s="538"/>
      <c r="BH2071" s="538"/>
    </row>
    <row r="2072" spans="1:60" ht="16" hidden="1" thickBot="1" x14ac:dyDescent="0.25">
      <c r="A2072" s="1507">
        <v>9</v>
      </c>
      <c r="B2072" s="1516" t="s">
        <v>2746</v>
      </c>
      <c r="C2072" s="1511" t="s">
        <v>256</v>
      </c>
      <c r="D2072" s="1511"/>
      <c r="E2072" s="1511"/>
      <c r="F2072" s="1511"/>
      <c r="G2072" s="1509" t="str">
        <f t="shared" si="139"/>
        <v/>
      </c>
      <c r="H2072" s="1510" t="s">
        <v>3199</v>
      </c>
      <c r="I2072" s="407"/>
      <c r="J2072" s="239"/>
      <c r="K2072" s="239"/>
      <c r="L2072" s="1610"/>
      <c r="M2072" s="553"/>
      <c r="N2072" s="547"/>
      <c r="O2072" s="547"/>
      <c r="P2072" s="100"/>
      <c r="Q2072" s="100"/>
      <c r="R2072" s="100"/>
      <c r="S2072" s="100"/>
      <c r="T2072" s="100"/>
      <c r="U2072" s="100"/>
      <c r="V2072" s="100"/>
      <c r="W2072" s="100"/>
      <c r="X2072" s="1602"/>
      <c r="Y2072" s="1882"/>
      <c r="Z2072" s="1892"/>
      <c r="AB2072" s="538"/>
      <c r="AC2072" s="538"/>
      <c r="AD2072" s="538"/>
      <c r="AE2072" s="538"/>
      <c r="AF2072" s="538"/>
      <c r="AG2072" s="538"/>
      <c r="AH2072" s="538"/>
      <c r="AI2072" s="538"/>
      <c r="AJ2072" s="538"/>
      <c r="AK2072" s="538"/>
      <c r="AL2072" s="1352"/>
      <c r="AM2072" s="1352"/>
      <c r="AN2072" s="1352"/>
      <c r="AO2072" s="1352"/>
      <c r="AP2072" s="1352"/>
      <c r="AQ2072" s="1352"/>
      <c r="AR2072" s="1352"/>
      <c r="AS2072" s="1352"/>
      <c r="AT2072" s="538"/>
      <c r="AU2072" s="538"/>
      <c r="AV2072" s="538"/>
      <c r="AW2072" s="538"/>
      <c r="AX2072" s="538"/>
      <c r="AY2072" s="538"/>
      <c r="AZ2072" s="538"/>
      <c r="BA2072" s="538"/>
      <c r="BB2072" s="538"/>
      <c r="BC2072" s="538"/>
      <c r="BD2072" s="538"/>
      <c r="BE2072" s="538"/>
      <c r="BF2072" s="538"/>
      <c r="BG2072" s="538"/>
      <c r="BH2072" s="538"/>
    </row>
    <row r="2073" spans="1:60" ht="17" hidden="1" thickTop="1" thickBot="1" x14ac:dyDescent="0.25">
      <c r="A2073" s="1515">
        <v>9</v>
      </c>
      <c r="B2073" s="1516" t="s">
        <v>4877</v>
      </c>
      <c r="C2073" s="1511"/>
      <c r="D2073" s="1511"/>
      <c r="E2073" s="1511"/>
      <c r="F2073" s="1511"/>
      <c r="G2073" s="1509" t="str">
        <f>IF(N2073&gt;0,"P","")</f>
        <v/>
      </c>
      <c r="H2073" s="1510" t="s">
        <v>3199</v>
      </c>
      <c r="I2073" s="130" t="s">
        <v>4875</v>
      </c>
      <c r="J2073" s="129"/>
      <c r="K2073" s="129"/>
      <c r="L2073" s="1608" t="s">
        <v>4876</v>
      </c>
      <c r="M2073" s="1685">
        <v>3</v>
      </c>
      <c r="N2073" s="129"/>
      <c r="O2073" s="1682">
        <f>M2073*S2073*W2073</f>
        <v>0</v>
      </c>
      <c r="P2073" s="991" t="b">
        <v>0</v>
      </c>
      <c r="Q2073" s="991" t="b">
        <v>1</v>
      </c>
      <c r="R2073" s="991" t="b">
        <v>0</v>
      </c>
      <c r="S2073" s="464" t="b">
        <v>1</v>
      </c>
      <c r="T2073" s="464" t="b">
        <v>0</v>
      </c>
      <c r="U2073"/>
      <c r="V2073"/>
      <c r="W2073" s="27"/>
      <c r="X2073" s="1600"/>
      <c r="Y2073" s="1883" t="str">
        <f>IF(LEN('11.900'!X226)=0,"None",'11.900'!X226)</f>
        <v>None</v>
      </c>
      <c r="Z2073" s="1603"/>
      <c r="AA2073"/>
      <c r="AC2073"/>
      <c r="AD2073"/>
      <c r="AE2073"/>
      <c r="AF2073"/>
      <c r="AG2073"/>
      <c r="AH2073"/>
      <c r="AI2073"/>
      <c r="AJ2073"/>
      <c r="AK2073"/>
      <c r="AL2073" s="1352" t="str">
        <f>SUBSTITUTE(SUBSTITUTE(SUBSTITUTE("vpa"&amp;$B2073&amp;$C2073&amp;$D2073&amp;$E2073,".","_"),"(","_"),")","")</f>
        <v>vpa902_1_6</v>
      </c>
      <c r="AM2073" s="1352">
        <f>M2073</f>
        <v>3</v>
      </c>
      <c r="AN2073" s="1352" t="str">
        <f>SUBSTITUTE(SUBSTITUTE(SUBSTITUTE("vpc"&amp;$B2073&amp;$C2073&amp;$D2073&amp;$E2073,".","_"),"(","_"),")","")</f>
        <v>vpc902_1_6</v>
      </c>
      <c r="AO2073" s="1352">
        <f>O2073</f>
        <v>0</v>
      </c>
      <c r="AP2073" s="1352" t="str">
        <f>SUBSTITUTE(SUBSTITUTE(SUBSTITUTE("vch"&amp;$B2073&amp;$C2073&amp;$D2073&amp;$E2073,".","_"),"(","_"),")","")</f>
        <v>vch902_1_6</v>
      </c>
      <c r="AQ2073" s="1352" t="str">
        <f>IF(LEN(W2073)=0,"",W2073)</f>
        <v/>
      </c>
      <c r="AR2073" s="1352" t="str">
        <f>SUBSTITUTE(SUBSTITUTE(SUBSTITUTE("vnt"&amp;$B2073&amp;$C2073&amp;$D2073&amp;$E2073,".","_"),"(","_"),")","")</f>
        <v>vnt902_1_6</v>
      </c>
      <c r="AS2073" s="1352" t="str">
        <f>IF(LEN(X2073)=0,"",X2073)</f>
        <v/>
      </c>
      <c r="AT2073"/>
    </row>
    <row r="2074" spans="1:60" ht="16" hidden="1" thickBot="1" x14ac:dyDescent="0.25">
      <c r="A2074" s="1515">
        <v>9</v>
      </c>
      <c r="B2074" s="1516" t="s">
        <v>4877</v>
      </c>
      <c r="C2074" s="1511"/>
      <c r="D2074" s="1511"/>
      <c r="E2074" s="1511"/>
      <c r="F2074" s="1511"/>
      <c r="G2074" s="1509" t="str">
        <f>G2073</f>
        <v/>
      </c>
      <c r="H2074" s="1510" t="s">
        <v>3199</v>
      </c>
      <c r="I2074" s="406"/>
      <c r="J2074" s="129"/>
      <c r="K2074" s="129"/>
      <c r="L2074" s="1609"/>
      <c r="M2074" s="1623"/>
      <c r="N2074" s="129"/>
      <c r="O2074" s="1619"/>
      <c r="P2074" s="991"/>
      <c r="Q2074" s="991"/>
      <c r="R2074" s="991"/>
      <c r="S2074" s="991"/>
      <c r="T2074" s="991"/>
      <c r="U2074"/>
      <c r="V2074"/>
      <c r="W2074"/>
      <c r="X2074" s="1600"/>
      <c r="Y2074" s="1881"/>
      <c r="Z2074" s="1601"/>
      <c r="AA2074"/>
      <c r="AC2074"/>
      <c r="AD2074"/>
      <c r="AE2074"/>
      <c r="AF2074"/>
      <c r="AG2074"/>
      <c r="AH2074"/>
      <c r="AI2074"/>
      <c r="AJ2074"/>
      <c r="AK2074"/>
      <c r="AL2074" s="1352"/>
      <c r="AM2074" s="1352"/>
      <c r="AN2074" s="1352"/>
      <c r="AO2074" s="1352"/>
      <c r="AP2074" s="1352"/>
      <c r="AQ2074" s="1352"/>
      <c r="AR2074" s="1352"/>
      <c r="AS2074" s="1352"/>
      <c r="AT2074"/>
    </row>
    <row r="2075" spans="1:60" ht="16" hidden="1" thickBot="1" x14ac:dyDescent="0.25">
      <c r="A2075" s="1515">
        <v>9</v>
      </c>
      <c r="B2075" s="1516" t="s">
        <v>4877</v>
      </c>
      <c r="C2075" s="1511"/>
      <c r="D2075" s="1511"/>
      <c r="E2075" s="1511"/>
      <c r="F2075" s="1511"/>
      <c r="G2075" s="1509" t="str">
        <f>G2074</f>
        <v/>
      </c>
      <c r="H2075" s="1510" t="s">
        <v>3199</v>
      </c>
      <c r="I2075" s="406"/>
      <c r="J2075" s="129"/>
      <c r="K2075" s="129"/>
      <c r="L2075" s="1610"/>
      <c r="M2075" s="1627"/>
      <c r="N2075" s="129"/>
      <c r="O2075" s="1638"/>
      <c r="P2075" s="991"/>
      <c r="Q2075" s="991"/>
      <c r="R2075" s="991"/>
      <c r="S2075" s="991"/>
      <c r="T2075" s="991"/>
      <c r="U2075"/>
      <c r="V2075"/>
      <c r="W2075"/>
      <c r="X2075" s="1600"/>
      <c r="Y2075" s="1882"/>
      <c r="Z2075" s="1602"/>
      <c r="AA2075"/>
      <c r="AC2075"/>
      <c r="AD2075"/>
      <c r="AE2075"/>
      <c r="AF2075"/>
      <c r="AG2075"/>
      <c r="AH2075"/>
      <c r="AI2075"/>
      <c r="AJ2075"/>
      <c r="AK2075"/>
      <c r="AL2075" s="1352"/>
      <c r="AM2075" s="1352"/>
      <c r="AN2075" s="1352"/>
      <c r="AO2075" s="1352"/>
      <c r="AP2075" s="1352"/>
      <c r="AQ2075" s="1352"/>
      <c r="AR2075" s="1352"/>
      <c r="AS2075" s="1352"/>
      <c r="AT2075"/>
    </row>
    <row r="2076" spans="1:60" ht="16" thickTop="1" x14ac:dyDescent="0.2">
      <c r="A2076" s="1507">
        <v>9</v>
      </c>
      <c r="B2076" s="1516">
        <v>902.2</v>
      </c>
      <c r="C2076" s="1511"/>
      <c r="D2076" s="1511"/>
      <c r="E2076" s="1511"/>
      <c r="F2076" s="1511"/>
      <c r="G2076" s="1509" t="s">
        <v>3200</v>
      </c>
      <c r="H2076" s="1510" t="s">
        <v>3199</v>
      </c>
      <c r="I2076" s="177" t="s">
        <v>3694</v>
      </c>
      <c r="J2076" s="178"/>
      <c r="K2076" s="178"/>
      <c r="L2076" s="566" t="s">
        <v>3726</v>
      </c>
      <c r="M2076" s="556"/>
      <c r="N2076" s="548"/>
      <c r="O2076" s="548"/>
      <c r="P2076" s="106"/>
      <c r="Q2076" s="106"/>
      <c r="R2076" s="106"/>
      <c r="S2076" s="106"/>
      <c r="T2076" s="106"/>
      <c r="U2076" s="106"/>
      <c r="V2076" s="106"/>
      <c r="W2076" s="106"/>
      <c r="X2076" s="106"/>
      <c r="Y2076" s="538"/>
      <c r="Z2076" s="670"/>
      <c r="AB2076" s="538"/>
      <c r="AC2076" s="538"/>
      <c r="AD2076" s="538"/>
      <c r="AE2076" s="538"/>
      <c r="AF2076" s="538"/>
      <c r="AG2076" s="538"/>
      <c r="AH2076" s="538"/>
      <c r="AI2076" s="538"/>
      <c r="AJ2076" s="538"/>
      <c r="AK2076" s="538"/>
      <c r="AL2076" s="1352"/>
      <c r="AM2076" s="1352"/>
      <c r="AN2076" s="1352"/>
      <c r="AO2076" s="1352"/>
      <c r="AP2076" s="1352"/>
      <c r="AQ2076" s="1352"/>
      <c r="AR2076" s="1352"/>
      <c r="AS2076" s="1352"/>
      <c r="AT2076" s="538"/>
      <c r="AU2076" s="538"/>
      <c r="AV2076" s="538"/>
      <c r="AW2076" s="538"/>
      <c r="AX2076" s="538"/>
      <c r="AY2076" s="538"/>
      <c r="AZ2076" s="538"/>
      <c r="BA2076" s="538"/>
      <c r="BB2076" s="538"/>
      <c r="BC2076" s="538"/>
      <c r="BD2076" s="538"/>
      <c r="BE2076" s="538"/>
      <c r="BF2076" s="538"/>
      <c r="BG2076" s="538"/>
      <c r="BH2076" s="538"/>
    </row>
    <row r="2077" spans="1:60" hidden="1" x14ac:dyDescent="0.2">
      <c r="A2077" s="1507">
        <v>9</v>
      </c>
      <c r="B2077" s="1516" t="s">
        <v>2933</v>
      </c>
      <c r="C2077" s="1511"/>
      <c r="D2077" s="1511"/>
      <c r="E2077" s="1511"/>
      <c r="F2077" s="1511"/>
      <c r="G2077" s="1509" t="str">
        <f>IF(IFERROR(SEARCH("Mandatory",M2077),FALSE),"P","")</f>
        <v/>
      </c>
      <c r="H2077" s="1510" t="s">
        <v>3199</v>
      </c>
      <c r="I2077" s="130" t="s">
        <v>3695</v>
      </c>
      <c r="J2077" s="129"/>
      <c r="K2077" s="129"/>
      <c r="L2077" s="1629" t="s">
        <v>3874</v>
      </c>
      <c r="M2077" s="1708" t="str">
        <f>IF(R2077,"Mandatory 
(ACH50 is &lt; 5.0)","N/A")</f>
        <v>N/A</v>
      </c>
      <c r="N2077" s="1619">
        <f ca="1">'11.900'!O230</f>
        <v>0</v>
      </c>
      <c r="O2077" s="1619">
        <f ca="1">IFERROR(INDEX({3,6,7,8,10},MATCH(W2077,INDIRECT(U2077),0)),0)*S2077</f>
        <v>0</v>
      </c>
      <c r="P2077" s="96" t="b">
        <v>0</v>
      </c>
      <c r="Q2077" s="96" t="b">
        <v>1</v>
      </c>
      <c r="R2077" s="1219" t="b">
        <f>OR(AND(S2078&gt;0,S2078&lt;5),AND(S2079&gt;0,S2079&lt;0.28))</f>
        <v>0</v>
      </c>
      <c r="S2077" s="96" t="b">
        <v>1</v>
      </c>
      <c r="T2077" s="96" t="b">
        <f>AND(NOT(S2077),LEN(W2077)&gt;0)</f>
        <v>0</v>
      </c>
      <c r="U2077" s="96" t="str">
        <f>SUBSTITUTE(SUBSTITUTE(SUBSTITUTE("dd"&amp;B2077&amp;C2077&amp;D2077&amp;E2077&amp;F2077,".","_"),"(","_"),")","")</f>
        <v>dd902_2_1</v>
      </c>
      <c r="V2077" s="96"/>
      <c r="W2077" s="12"/>
      <c r="X2077" s="1601"/>
      <c r="Y2077" s="1874" t="str">
        <f>IF(LEN('11.900'!X230)=0,"None",'11.900'!X230)</f>
        <v>None</v>
      </c>
      <c r="Z2077" s="1889"/>
      <c r="AB2077" s="538"/>
      <c r="AC2077" s="538" t="b">
        <f>OR(AD2077:AE2077)</f>
        <v>0</v>
      </c>
      <c r="AD2077" s="538" t="b">
        <f>T2077</f>
        <v>0</v>
      </c>
      <c r="AE2077" s="538" t="b">
        <f>AND(R2077,OR(W2077="Not Met",W2077=""))</f>
        <v>0</v>
      </c>
      <c r="AF2077" s="720"/>
      <c r="AG2077" s="538"/>
      <c r="AH2077" s="538"/>
      <c r="AI2077" s="538"/>
      <c r="AJ2077" s="538"/>
      <c r="AK2077" s="538"/>
      <c r="AL2077" s="1352" t="str">
        <f>SUBSTITUTE(SUBSTITUTE(SUBSTITUTE("vpa"&amp;$B2077&amp;$C2077&amp;$D2077&amp;$E2077,".","_"),"(","_"),")","")</f>
        <v>vpa902_2_1</v>
      </c>
      <c r="AM2077" s="1352" t="str">
        <f>M2077</f>
        <v>N/A</v>
      </c>
      <c r="AN2077" s="1352" t="str">
        <f>SUBSTITUTE(SUBSTITUTE(SUBSTITUTE("vpc"&amp;$B2077&amp;$C2077&amp;$D2077&amp;$E2077,".","_"),"(","_"),")","")</f>
        <v>vpc902_2_1</v>
      </c>
      <c r="AO2077" s="1352">
        <f ca="1">O2077</f>
        <v>0</v>
      </c>
      <c r="AP2077" s="1352" t="str">
        <f>SUBSTITUTE(SUBSTITUTE(SUBSTITUTE("vch"&amp;$B2077&amp;$C2077&amp;$D2077&amp;$E2077,".","_"),"(","_"),")","")</f>
        <v>vch902_2_1</v>
      </c>
      <c r="AQ2077" s="1352" t="str">
        <f>IF(LEN(W2077)=0,"",W2077)</f>
        <v/>
      </c>
      <c r="AR2077" s="1352" t="str">
        <f>SUBSTITUTE(SUBSTITUTE(SUBSTITUTE("vnt"&amp;$B2077&amp;$C2077&amp;$D2077&amp;$E2077,".","_"),"(","_"),")","")</f>
        <v>vnt902_2_1</v>
      </c>
      <c r="AS2077" s="1352" t="str">
        <f>IF(LEN(X2077)=0,"",X2077)</f>
        <v/>
      </c>
      <c r="AT2077" s="538"/>
      <c r="AU2077" s="538"/>
      <c r="AV2077" s="538"/>
      <c r="AW2077" s="538"/>
      <c r="AX2077" s="538"/>
      <c r="AY2077" s="538"/>
      <c r="AZ2077" s="538"/>
      <c r="BA2077" s="538"/>
      <c r="BB2077" s="538"/>
      <c r="BC2077" s="538"/>
      <c r="BD2077" s="538"/>
      <c r="BE2077" s="538"/>
      <c r="BF2077" s="538"/>
      <c r="BG2077" s="538"/>
      <c r="BH2077" s="538"/>
    </row>
    <row r="2078" spans="1:60" hidden="1" x14ac:dyDescent="0.2">
      <c r="A2078" s="1507">
        <v>9</v>
      </c>
      <c r="B2078" s="1516" t="s">
        <v>2933</v>
      </c>
      <c r="C2078" s="1511"/>
      <c r="D2078" s="1511"/>
      <c r="E2078" s="1511"/>
      <c r="F2078" s="1511"/>
      <c r="G2078" s="1509" t="str">
        <f t="shared" ref="G2078:G2087" si="140">G2077</f>
        <v/>
      </c>
      <c r="H2078" s="1510" t="s">
        <v>3199</v>
      </c>
      <c r="I2078" s="406"/>
      <c r="J2078" s="129"/>
      <c r="K2078" s="129"/>
      <c r="L2078" s="1629"/>
      <c r="M2078" s="1708"/>
      <c r="N2078" s="1619"/>
      <c r="O2078" s="1619"/>
      <c r="P2078" s="96"/>
      <c r="Q2078" s="96"/>
      <c r="R2078" s="1220" t="s">
        <v>3029</v>
      </c>
      <c r="S2078" s="1221">
        <f>MAX(W933,W1450)</f>
        <v>7</v>
      </c>
      <c r="T2078" s="96"/>
      <c r="U2078" s="96"/>
      <c r="V2078" s="96"/>
      <c r="W2078" s="96"/>
      <c r="X2078" s="1601"/>
      <c r="Y2078" s="1874"/>
      <c r="Z2078" s="1889"/>
      <c r="AB2078" s="538"/>
      <c r="AC2078" s="538"/>
      <c r="AD2078" s="538"/>
      <c r="AE2078" s="538"/>
      <c r="AF2078" s="538"/>
      <c r="AG2078" s="538"/>
      <c r="AH2078" s="538"/>
      <c r="AI2078" s="538"/>
      <c r="AJ2078" s="538"/>
      <c r="AK2078" s="538"/>
      <c r="AL2078" s="1352"/>
      <c r="AM2078" s="1352"/>
      <c r="AN2078" s="1352"/>
      <c r="AO2078" s="1352"/>
      <c r="AP2078" s="1352"/>
      <c r="AQ2078" s="1352"/>
      <c r="AR2078" s="1352"/>
      <c r="AS2078" s="1352"/>
      <c r="AT2078" s="538"/>
      <c r="AU2078" s="538"/>
      <c r="AV2078" s="538"/>
      <c r="AW2078" s="538"/>
      <c r="AX2078" s="538"/>
      <c r="AY2078" s="538"/>
      <c r="AZ2078" s="538"/>
      <c r="BA2078" s="538"/>
      <c r="BB2078" s="538"/>
      <c r="BC2078" s="538"/>
      <c r="BD2078" s="538"/>
      <c r="BE2078" s="538"/>
      <c r="BF2078" s="538"/>
      <c r="BG2078" s="538"/>
      <c r="BH2078" s="538"/>
    </row>
    <row r="2079" spans="1:60" s="782" customFormat="1" hidden="1" x14ac:dyDescent="0.2">
      <c r="A2079" s="1507">
        <v>9</v>
      </c>
      <c r="B2079" s="1516" t="s">
        <v>2933</v>
      </c>
      <c r="C2079" s="1511"/>
      <c r="D2079" s="1511"/>
      <c r="E2079" s="1511"/>
      <c r="F2079" s="1511"/>
      <c r="G2079" s="1509" t="str">
        <f t="shared" si="140"/>
        <v/>
      </c>
      <c r="H2079" s="1510" t="s">
        <v>3199</v>
      </c>
      <c r="I2079" s="406"/>
      <c r="J2079" s="129"/>
      <c r="K2079" s="129"/>
      <c r="L2079" s="1629"/>
      <c r="M2079" s="1708"/>
      <c r="N2079" s="1619"/>
      <c r="O2079" s="1619"/>
      <c r="P2079" s="96"/>
      <c r="Q2079" s="96"/>
      <c r="R2079" s="1220" t="s">
        <v>5026</v>
      </c>
      <c r="S2079" s="1221">
        <f>MAX(W936,W1452)</f>
        <v>1</v>
      </c>
      <c r="T2079" s="96"/>
      <c r="U2079" s="96"/>
      <c r="V2079" s="96"/>
      <c r="W2079" s="96"/>
      <c r="X2079" s="1601"/>
      <c r="Y2079" s="1874"/>
      <c r="Z2079" s="1889"/>
      <c r="AL2079" s="1352"/>
      <c r="AM2079" s="1352"/>
      <c r="AN2079" s="1352"/>
      <c r="AO2079" s="1352"/>
      <c r="AP2079" s="1352"/>
      <c r="AQ2079" s="1352"/>
      <c r="AR2079" s="1352"/>
      <c r="AS2079" s="1352"/>
    </row>
    <row r="2080" spans="1:60" hidden="1" x14ac:dyDescent="0.2">
      <c r="A2080" s="1507">
        <v>9</v>
      </c>
      <c r="B2080" s="1516" t="s">
        <v>2933</v>
      </c>
      <c r="C2080" s="1511"/>
      <c r="D2080" s="1511"/>
      <c r="E2080" s="1511"/>
      <c r="F2080" s="1511"/>
      <c r="G2080" s="1509" t="str">
        <f t="shared" si="140"/>
        <v/>
      </c>
      <c r="H2080" s="1510" t="s">
        <v>3199</v>
      </c>
      <c r="I2080" s="406"/>
      <c r="J2080" s="129"/>
      <c r="K2080" s="129"/>
      <c r="L2080" s="1629"/>
      <c r="M2080" s="1708"/>
      <c r="N2080" s="1619"/>
      <c r="O2080" s="1619"/>
      <c r="P2080" s="96"/>
      <c r="Q2080" s="96"/>
      <c r="R2080"/>
      <c r="S2080"/>
      <c r="T2080" s="96"/>
      <c r="U2080" s="96"/>
      <c r="V2080" s="96"/>
      <c r="W2080" s="96"/>
      <c r="X2080" s="1601"/>
      <c r="Y2080" s="1874"/>
      <c r="Z2080" s="1889"/>
      <c r="AB2080" s="538"/>
      <c r="AC2080" s="538"/>
      <c r="AD2080" s="538"/>
      <c r="AE2080" s="538"/>
      <c r="AF2080" s="538"/>
      <c r="AG2080" s="538"/>
      <c r="AH2080" s="538"/>
      <c r="AI2080" s="538"/>
      <c r="AJ2080" s="538"/>
      <c r="AK2080" s="538"/>
      <c r="AL2080" s="1352"/>
      <c r="AM2080" s="1352"/>
      <c r="AN2080" s="1352"/>
      <c r="AO2080" s="1352"/>
      <c r="AP2080" s="1352"/>
      <c r="AQ2080" s="1352"/>
      <c r="AR2080" s="1352"/>
      <c r="AS2080" s="1352"/>
      <c r="AT2080" s="538"/>
      <c r="AU2080" s="538"/>
      <c r="AV2080" s="538"/>
      <c r="AW2080" s="538"/>
      <c r="AX2080" s="538"/>
      <c r="AY2080" s="538"/>
      <c r="AZ2080" s="538"/>
      <c r="BA2080" s="538"/>
      <c r="BB2080" s="538"/>
      <c r="BC2080" s="538"/>
      <c r="BD2080" s="538"/>
      <c r="BE2080" s="538"/>
      <c r="BF2080" s="538"/>
      <c r="BG2080" s="538"/>
      <c r="BH2080" s="538"/>
    </row>
    <row r="2081" spans="1:60" hidden="1" x14ac:dyDescent="0.2">
      <c r="A2081" s="1507">
        <v>9</v>
      </c>
      <c r="B2081" s="1516" t="s">
        <v>2933</v>
      </c>
      <c r="C2081" s="1511" t="s">
        <v>254</v>
      </c>
      <c r="D2081" s="1511"/>
      <c r="E2081" s="1511"/>
      <c r="F2081" s="1511"/>
      <c r="G2081" s="1509" t="str">
        <f t="shared" si="140"/>
        <v/>
      </c>
      <c r="H2081" s="1510" t="s">
        <v>3199</v>
      </c>
      <c r="I2081" s="406"/>
      <c r="J2081" s="180" t="s">
        <v>254</v>
      </c>
      <c r="K2081" s="129"/>
      <c r="L2081" s="1657" t="s">
        <v>2749</v>
      </c>
      <c r="M2081" s="1623">
        <v>3</v>
      </c>
      <c r="N2081" s="543"/>
      <c r="O2081" s="543"/>
      <c r="P2081" s="96"/>
      <c r="Q2081" s="96"/>
      <c r="R2081"/>
      <c r="S2081"/>
      <c r="T2081" s="96"/>
      <c r="U2081" s="96"/>
      <c r="V2081" s="96"/>
      <c r="W2081" s="96"/>
      <c r="X2081" s="1601"/>
      <c r="Y2081" s="1874"/>
      <c r="Z2081" s="1889"/>
      <c r="AB2081" s="538"/>
      <c r="AC2081" s="538"/>
      <c r="AD2081" s="538"/>
      <c r="AE2081" s="538"/>
      <c r="AF2081" s="538"/>
      <c r="AG2081" s="538"/>
      <c r="AH2081" s="538"/>
      <c r="AI2081" s="538"/>
      <c r="AJ2081" s="538"/>
      <c r="AK2081" s="538"/>
      <c r="AL2081" s="1352" t="str">
        <f>SUBSTITUTE(SUBSTITUTE(SUBSTITUTE("vpa"&amp;$B2081&amp;$C2081&amp;$D2081&amp;$E2081,".","_"),"(","_"),")","")</f>
        <v>vpa902_2_1_1</v>
      </c>
      <c r="AM2081" s="1352">
        <f>M2081</f>
        <v>3</v>
      </c>
      <c r="AN2081" s="1352"/>
      <c r="AO2081" s="1352"/>
      <c r="AP2081" s="1352"/>
      <c r="AQ2081" s="1352"/>
      <c r="AR2081" s="1352"/>
      <c r="AS2081" s="1352"/>
      <c r="AT2081" s="538"/>
      <c r="AU2081" s="538"/>
      <c r="AV2081" s="538"/>
      <c r="AW2081" s="538"/>
      <c r="AX2081" s="538"/>
      <c r="AY2081" s="538"/>
      <c r="AZ2081" s="538"/>
      <c r="BA2081" s="538"/>
      <c r="BB2081" s="538"/>
      <c r="BC2081" s="538"/>
      <c r="BD2081" s="538"/>
      <c r="BE2081" s="538"/>
      <c r="BF2081" s="538"/>
      <c r="BG2081" s="538"/>
      <c r="BH2081" s="538"/>
    </row>
    <row r="2082" spans="1:60" hidden="1" x14ac:dyDescent="0.2">
      <c r="A2082" s="1507">
        <v>9</v>
      </c>
      <c r="B2082" s="1516" t="s">
        <v>2933</v>
      </c>
      <c r="C2082" s="1511" t="s">
        <v>254</v>
      </c>
      <c r="D2082" s="1511"/>
      <c r="E2082" s="1511"/>
      <c r="F2082" s="1511"/>
      <c r="G2082" s="1509" t="str">
        <f t="shared" si="140"/>
        <v/>
      </c>
      <c r="H2082" s="1510" t="s">
        <v>3199</v>
      </c>
      <c r="I2082" s="406"/>
      <c r="J2082" s="207"/>
      <c r="K2082" s="213"/>
      <c r="L2082" s="1650"/>
      <c r="M2082" s="1624"/>
      <c r="N2082" s="543"/>
      <c r="O2082" s="543"/>
      <c r="P2082" s="96"/>
      <c r="Q2082" s="96"/>
      <c r="R2082" s="96"/>
      <c r="S2082" s="96"/>
      <c r="T2082" s="96"/>
      <c r="U2082" s="96"/>
      <c r="V2082" s="96"/>
      <c r="W2082" s="96"/>
      <c r="X2082" s="1601"/>
      <c r="Y2082" s="1874"/>
      <c r="Z2082" s="1889"/>
      <c r="AB2082" s="538"/>
      <c r="AC2082" s="538"/>
      <c r="AD2082" s="538"/>
      <c r="AE2082" s="538"/>
      <c r="AF2082" s="538"/>
      <c r="AG2082" s="538"/>
      <c r="AH2082" s="538"/>
      <c r="AI2082" s="538"/>
      <c r="AJ2082" s="538"/>
      <c r="AK2082" s="538"/>
      <c r="AL2082" s="1352"/>
      <c r="AM2082" s="1352"/>
      <c r="AN2082" s="1352"/>
      <c r="AO2082" s="1352"/>
      <c r="AP2082" s="1352"/>
      <c r="AQ2082" s="1352"/>
      <c r="AR2082" s="1352"/>
      <c r="AS2082" s="1352"/>
      <c r="AT2082" s="538"/>
      <c r="AU2082" s="538"/>
      <c r="AV2082" s="538"/>
      <c r="AW2082" s="538"/>
      <c r="AX2082" s="538"/>
      <c r="AY2082" s="538"/>
      <c r="AZ2082" s="538"/>
      <c r="BA2082" s="538"/>
      <c r="BB2082" s="538"/>
      <c r="BC2082" s="538"/>
      <c r="BD2082" s="538"/>
      <c r="BE2082" s="538"/>
      <c r="BF2082" s="538"/>
      <c r="BG2082" s="538"/>
      <c r="BH2082" s="538"/>
    </row>
    <row r="2083" spans="1:60" hidden="1" x14ac:dyDescent="0.2">
      <c r="A2083" s="1507">
        <v>9</v>
      </c>
      <c r="B2083" s="1516" t="s">
        <v>2933</v>
      </c>
      <c r="C2083" s="1511" t="s">
        <v>255</v>
      </c>
      <c r="D2083" s="1511"/>
      <c r="E2083" s="1511"/>
      <c r="F2083" s="1511"/>
      <c r="G2083" s="1509" t="str">
        <f t="shared" si="140"/>
        <v/>
      </c>
      <c r="H2083" s="1510" t="s">
        <v>3199</v>
      </c>
      <c r="I2083" s="406"/>
      <c r="J2083" s="180" t="s">
        <v>255</v>
      </c>
      <c r="K2083" s="129"/>
      <c r="L2083" s="1609" t="s">
        <v>2750</v>
      </c>
      <c r="M2083" s="1623">
        <v>6</v>
      </c>
      <c r="N2083" s="543"/>
      <c r="O2083" s="543"/>
      <c r="P2083" s="96"/>
      <c r="Q2083" s="96"/>
      <c r="R2083" s="96"/>
      <c r="S2083" s="96"/>
      <c r="T2083" s="96"/>
      <c r="U2083" s="96"/>
      <c r="V2083" s="96"/>
      <c r="W2083" s="96"/>
      <c r="X2083" s="1601"/>
      <c r="Y2083" s="1874"/>
      <c r="Z2083" s="1889"/>
      <c r="AB2083" s="538"/>
      <c r="AC2083" s="538"/>
      <c r="AD2083" s="538"/>
      <c r="AE2083" s="538"/>
      <c r="AF2083" s="538"/>
      <c r="AG2083" s="538"/>
      <c r="AH2083" s="538"/>
      <c r="AI2083" s="538"/>
      <c r="AJ2083" s="538"/>
      <c r="AK2083" s="538"/>
      <c r="AL2083" s="1352" t="str">
        <f>SUBSTITUTE(SUBSTITUTE(SUBSTITUTE("vpa"&amp;$B2083&amp;$C2083&amp;$D2083&amp;$E2083,".","_"),"(","_"),")","")</f>
        <v>vpa902_2_1_2</v>
      </c>
      <c r="AM2083" s="1352">
        <f>M2083</f>
        <v>6</v>
      </c>
      <c r="AN2083" s="1352"/>
      <c r="AO2083" s="1352"/>
      <c r="AP2083" s="1352"/>
      <c r="AQ2083" s="1352"/>
      <c r="AR2083" s="1352"/>
      <c r="AS2083" s="1352"/>
      <c r="AT2083" s="538"/>
      <c r="AU2083" s="538"/>
      <c r="AV2083" s="538"/>
      <c r="AW2083" s="538"/>
      <c r="AX2083" s="538"/>
      <c r="AY2083" s="538"/>
      <c r="AZ2083" s="538"/>
      <c r="BA2083" s="538"/>
      <c r="BB2083" s="538"/>
      <c r="BC2083" s="538"/>
      <c r="BD2083" s="538"/>
      <c r="BE2083" s="538"/>
      <c r="BF2083" s="538"/>
      <c r="BG2083" s="538"/>
      <c r="BH2083" s="538"/>
    </row>
    <row r="2084" spans="1:60" hidden="1" x14ac:dyDescent="0.2">
      <c r="A2084" s="1507">
        <v>9</v>
      </c>
      <c r="B2084" s="1516" t="s">
        <v>2933</v>
      </c>
      <c r="C2084" s="1511" t="s">
        <v>255</v>
      </c>
      <c r="D2084" s="1511"/>
      <c r="E2084" s="1511"/>
      <c r="F2084" s="1511"/>
      <c r="G2084" s="1509" t="str">
        <f t="shared" si="140"/>
        <v/>
      </c>
      <c r="H2084" s="1510" t="s">
        <v>3199</v>
      </c>
      <c r="I2084" s="406"/>
      <c r="J2084" s="213"/>
      <c r="K2084" s="213"/>
      <c r="L2084" s="1612"/>
      <c r="M2084" s="1624"/>
      <c r="N2084" s="543"/>
      <c r="O2084" s="543"/>
      <c r="P2084" s="96"/>
      <c r="Q2084" s="96"/>
      <c r="R2084" s="96"/>
      <c r="S2084" s="96"/>
      <c r="T2084" s="96"/>
      <c r="U2084" s="96"/>
      <c r="V2084" s="96"/>
      <c r="W2084" s="96"/>
      <c r="X2084" s="1601"/>
      <c r="Y2084" s="1874"/>
      <c r="Z2084" s="1889"/>
      <c r="AB2084" s="538"/>
      <c r="AC2084" s="538"/>
      <c r="AD2084" s="538"/>
      <c r="AE2084" s="538"/>
      <c r="AF2084" s="538"/>
      <c r="AG2084" s="538"/>
      <c r="AH2084" s="538"/>
      <c r="AI2084" s="538"/>
      <c r="AJ2084" s="538"/>
      <c r="AK2084" s="538"/>
      <c r="AL2084" s="1352"/>
      <c r="AM2084" s="1352"/>
      <c r="AN2084" s="1352"/>
      <c r="AO2084" s="1352"/>
      <c r="AP2084" s="1352"/>
      <c r="AQ2084" s="1352"/>
      <c r="AR2084" s="1352"/>
      <c r="AS2084" s="1352"/>
      <c r="AT2084" s="538"/>
      <c r="AU2084" s="538"/>
      <c r="AV2084" s="538"/>
      <c r="AW2084" s="538"/>
      <c r="AX2084" s="538"/>
      <c r="AY2084" s="538"/>
      <c r="AZ2084" s="538"/>
      <c r="BA2084" s="538"/>
      <c r="BB2084" s="538"/>
      <c r="BC2084" s="538"/>
      <c r="BD2084" s="538"/>
      <c r="BE2084" s="538"/>
      <c r="BF2084" s="538"/>
      <c r="BG2084" s="538"/>
      <c r="BH2084" s="538"/>
    </row>
    <row r="2085" spans="1:60" ht="15" hidden="1" customHeight="1" x14ac:dyDescent="0.2">
      <c r="A2085" s="1507">
        <v>9</v>
      </c>
      <c r="B2085" s="1516" t="s">
        <v>2933</v>
      </c>
      <c r="C2085" s="1511" t="s">
        <v>256</v>
      </c>
      <c r="D2085" s="1511"/>
      <c r="E2085" s="1511"/>
      <c r="F2085" s="1511"/>
      <c r="G2085" s="1509" t="str">
        <f t="shared" si="140"/>
        <v/>
      </c>
      <c r="H2085" s="1510" t="s">
        <v>3199</v>
      </c>
      <c r="I2085" s="406"/>
      <c r="J2085" s="207" t="s">
        <v>256</v>
      </c>
      <c r="K2085" s="213"/>
      <c r="L2085" s="550" t="s">
        <v>2751</v>
      </c>
      <c r="M2085" s="546">
        <v>7</v>
      </c>
      <c r="N2085" s="543"/>
      <c r="O2085" s="543"/>
      <c r="P2085" s="96"/>
      <c r="Q2085" s="96"/>
      <c r="R2085" s="96"/>
      <c r="S2085" s="96"/>
      <c r="T2085" s="96"/>
      <c r="U2085" s="96"/>
      <c r="V2085" s="96"/>
      <c r="W2085" s="96"/>
      <c r="X2085" s="1601"/>
      <c r="Y2085" s="1874"/>
      <c r="Z2085" s="1889"/>
      <c r="AB2085" s="538"/>
      <c r="AC2085" s="538"/>
      <c r="AD2085" s="538"/>
      <c r="AE2085" s="538"/>
      <c r="AF2085" s="538"/>
      <c r="AG2085" s="538"/>
      <c r="AH2085" s="538"/>
      <c r="AI2085" s="538"/>
      <c r="AJ2085" s="538"/>
      <c r="AK2085" s="538"/>
      <c r="AL2085" s="1352" t="str">
        <f>SUBSTITUTE(SUBSTITUTE(SUBSTITUTE("vpa"&amp;$B2085&amp;$C2085&amp;$D2085&amp;$E2085,".","_"),"(","_"),")","")</f>
        <v>vpa902_2_1_3</v>
      </c>
      <c r="AM2085" s="1352">
        <f>M2085</f>
        <v>7</v>
      </c>
      <c r="AN2085" s="1352"/>
      <c r="AO2085" s="1352"/>
      <c r="AP2085" s="1352"/>
      <c r="AQ2085" s="1352"/>
      <c r="AR2085" s="1352"/>
      <c r="AS2085" s="1352"/>
      <c r="AT2085" s="538"/>
      <c r="AU2085" s="538"/>
      <c r="AV2085" s="538"/>
      <c r="AW2085" s="538"/>
      <c r="AX2085" s="538"/>
      <c r="AY2085" s="538"/>
      <c r="AZ2085" s="538"/>
      <c r="BA2085" s="538"/>
      <c r="BB2085" s="538"/>
      <c r="BC2085" s="538"/>
      <c r="BD2085" s="538"/>
      <c r="BE2085" s="538"/>
      <c r="BF2085" s="538"/>
      <c r="BG2085" s="538"/>
      <c r="BH2085" s="538"/>
    </row>
    <row r="2086" spans="1:60" s="905" customFormat="1" ht="15" hidden="1" customHeight="1" x14ac:dyDescent="0.2">
      <c r="A2086" s="1507">
        <v>9</v>
      </c>
      <c r="B2086" s="1516" t="s">
        <v>2933</v>
      </c>
      <c r="C2086" s="1511" t="s">
        <v>259</v>
      </c>
      <c r="D2086" s="1511"/>
      <c r="E2086" s="1511"/>
      <c r="F2086" s="1511"/>
      <c r="G2086" s="1509" t="str">
        <f t="shared" si="140"/>
        <v/>
      </c>
      <c r="H2086" s="1510" t="s">
        <v>3199</v>
      </c>
      <c r="I2086" s="406"/>
      <c r="J2086" s="207" t="s">
        <v>259</v>
      </c>
      <c r="K2086" s="213"/>
      <c r="L2086" s="929" t="s">
        <v>2752</v>
      </c>
      <c r="M2086" s="937">
        <v>8</v>
      </c>
      <c r="N2086" s="908"/>
      <c r="O2086" s="908"/>
      <c r="P2086" s="991"/>
      <c r="Q2086" s="991"/>
      <c r="R2086" s="991"/>
      <c r="S2086" s="991"/>
      <c r="T2086" s="991"/>
      <c r="U2086" s="991"/>
      <c r="V2086" s="991"/>
      <c r="W2086" s="991"/>
      <c r="X2086" s="1601"/>
      <c r="Y2086" s="1874"/>
      <c r="Z2086" s="1889"/>
      <c r="AL2086" s="1352" t="str">
        <f>SUBSTITUTE(SUBSTITUTE(SUBSTITUTE("vpa"&amp;$B2086&amp;$C2086&amp;$D2086&amp;$E2086,".","_"),"(","_"),")","")</f>
        <v>vpa902_2_1_4</v>
      </c>
      <c r="AM2086" s="1352">
        <f>M2086</f>
        <v>8</v>
      </c>
      <c r="AN2086" s="1352"/>
      <c r="AO2086" s="1352"/>
      <c r="AP2086" s="1352"/>
      <c r="AQ2086" s="1352"/>
      <c r="AR2086" s="1352"/>
      <c r="AS2086" s="1352"/>
    </row>
    <row r="2087" spans="1:60" hidden="1" x14ac:dyDescent="0.2">
      <c r="A2087" s="1507">
        <v>9</v>
      </c>
      <c r="B2087" s="1516" t="s">
        <v>2933</v>
      </c>
      <c r="C2087" s="1511" t="s">
        <v>263</v>
      </c>
      <c r="D2087" s="1511"/>
      <c r="E2087" s="1511"/>
      <c r="F2087" s="1511"/>
      <c r="G2087" s="1509" t="str">
        <f t="shared" si="140"/>
        <v/>
      </c>
      <c r="H2087" s="1510" t="s">
        <v>3199</v>
      </c>
      <c r="I2087" s="438"/>
      <c r="J2087" s="180" t="s">
        <v>263</v>
      </c>
      <c r="K2087" s="129"/>
      <c r="L2087" s="928" t="s">
        <v>4878</v>
      </c>
      <c r="M2087" s="937">
        <v>10</v>
      </c>
      <c r="N2087" s="544"/>
      <c r="O2087" s="544"/>
      <c r="P2087" s="173"/>
      <c r="Q2087" s="173"/>
      <c r="R2087" s="173"/>
      <c r="S2087" s="173"/>
      <c r="T2087" s="173"/>
      <c r="U2087" s="173"/>
      <c r="V2087" s="173"/>
      <c r="W2087" s="173"/>
      <c r="X2087" s="1601"/>
      <c r="Y2087" s="1874"/>
      <c r="Z2087" s="1889"/>
      <c r="AB2087" s="538"/>
      <c r="AC2087" s="538"/>
      <c r="AD2087" s="538"/>
      <c r="AE2087" s="538"/>
      <c r="AF2087" s="538"/>
      <c r="AG2087" s="538"/>
      <c r="AH2087" s="538"/>
      <c r="AI2087" s="538"/>
      <c r="AJ2087" s="538"/>
      <c r="AK2087" s="538"/>
      <c r="AL2087" s="1352" t="str">
        <f>SUBSTITUTE(SUBSTITUTE(SUBSTITUTE("vpa"&amp;$B2087&amp;$C2087&amp;$D2087&amp;$E2087,".","_"),"(","_"),")","")</f>
        <v>vpa902_2_1_5</v>
      </c>
      <c r="AM2087" s="1352">
        <f>M2087</f>
        <v>10</v>
      </c>
      <c r="AN2087" s="1352"/>
      <c r="AO2087" s="1352"/>
      <c r="AP2087" s="1352"/>
      <c r="AQ2087" s="1352"/>
      <c r="AR2087" s="1352"/>
      <c r="AS2087" s="1352"/>
      <c r="AT2087" s="538"/>
      <c r="AU2087" s="538"/>
      <c r="AV2087" s="538"/>
      <c r="AW2087" s="538"/>
      <c r="AX2087" s="538"/>
      <c r="AY2087" s="538"/>
      <c r="AZ2087" s="538"/>
      <c r="BA2087" s="538"/>
      <c r="BB2087" s="538"/>
      <c r="BC2087" s="538"/>
      <c r="BD2087" s="538"/>
      <c r="BE2087" s="538"/>
      <c r="BF2087" s="538"/>
      <c r="BG2087" s="538"/>
      <c r="BH2087" s="538"/>
    </row>
    <row r="2088" spans="1:60" ht="15" hidden="1" customHeight="1" x14ac:dyDescent="0.2">
      <c r="A2088" s="1507">
        <v>9</v>
      </c>
      <c r="B2088" s="1516" t="s">
        <v>2753</v>
      </c>
      <c r="C2088" s="1511"/>
      <c r="D2088" s="1511"/>
      <c r="E2088" s="1511"/>
      <c r="F2088" s="1511"/>
      <c r="G2088" s="1509" t="str">
        <f ca="1">IF(N2088&gt;0,"P","")</f>
        <v/>
      </c>
      <c r="H2088" s="1510" t="s">
        <v>3199</v>
      </c>
      <c r="I2088" s="192" t="s">
        <v>3696</v>
      </c>
      <c r="J2088" s="193"/>
      <c r="K2088" s="193"/>
      <c r="L2088" s="1712" t="s">
        <v>4955</v>
      </c>
      <c r="M2088" s="1636">
        <v>4</v>
      </c>
      <c r="N2088" s="1637">
        <f ca="1">'11.900'!O241</f>
        <v>0</v>
      </c>
      <c r="O2088" s="1637">
        <f ca="1">M2088*S2088*W2088</f>
        <v>0</v>
      </c>
      <c r="P2088" s="96" t="b">
        <v>0</v>
      </c>
      <c r="Q2088" s="96" t="b">
        <v>1</v>
      </c>
      <c r="R2088" s="195" t="b">
        <v>0</v>
      </c>
      <c r="S2088" s="195" t="b">
        <f ca="1">O2077&gt;0</f>
        <v>0</v>
      </c>
      <c r="T2088" s="195" t="b">
        <f ca="1">AND(NOT(S2088),W2088=TRUE)</f>
        <v>0</v>
      </c>
      <c r="U2088" s="195"/>
      <c r="V2088" s="195"/>
      <c r="W2088" s="27"/>
      <c r="X2088" s="1601"/>
      <c r="Y2088" s="1874" t="str">
        <f>IF(LEN('11.900'!X241)=0,"None",'11.900'!X241)</f>
        <v>None</v>
      </c>
      <c r="Z2088" s="1889"/>
      <c r="AB2088" s="538"/>
      <c r="AC2088" s="538" t="b">
        <f ca="1">OR(AD2088:AE2088)</f>
        <v>0</v>
      </c>
      <c r="AD2088" s="538" t="b">
        <f ca="1">T2088</f>
        <v>0</v>
      </c>
      <c r="AE2088" s="538"/>
      <c r="AF2088" s="720"/>
      <c r="AG2088" s="538"/>
      <c r="AH2088" s="538"/>
      <c r="AI2088" s="538"/>
      <c r="AJ2088" s="538"/>
      <c r="AK2088" s="538"/>
      <c r="AL2088" s="1352" t="str">
        <f>SUBSTITUTE(SUBSTITUTE(SUBSTITUTE("vpa"&amp;$B2088&amp;$C2088&amp;$D2088&amp;$E2088,".","_"),"(","_"),")","")</f>
        <v>vpa902_2_2</v>
      </c>
      <c r="AM2088" s="1352">
        <f>M2088</f>
        <v>4</v>
      </c>
      <c r="AN2088" s="1352" t="str">
        <f>SUBSTITUTE(SUBSTITUTE(SUBSTITUTE("vpc"&amp;$B2088&amp;$C2088&amp;$D2088&amp;$E2088,".","_"),"(","_"),")","")</f>
        <v>vpc902_2_2</v>
      </c>
      <c r="AO2088" s="1352">
        <f ca="1">O2088</f>
        <v>0</v>
      </c>
      <c r="AP2088" s="1352" t="str">
        <f>SUBSTITUTE(SUBSTITUTE(SUBSTITUTE("vch"&amp;$B2088&amp;$C2088&amp;$D2088&amp;$E2088,".","_"),"(","_"),")","")</f>
        <v>vch902_2_2</v>
      </c>
      <c r="AQ2088" s="1352" t="str">
        <f>IF(LEN(W2088)=0,"",W2088)</f>
        <v/>
      </c>
      <c r="AR2088" s="1352" t="str">
        <f>SUBSTITUTE(SUBSTITUTE(SUBSTITUTE("vnt"&amp;$B2088&amp;$C2088&amp;$D2088&amp;$E2088,".","_"),"(","_"),")","")</f>
        <v>vnt902_2_2</v>
      </c>
      <c r="AS2088" s="1352" t="str">
        <f>IF(LEN(X2088)=0,"",X2088)</f>
        <v/>
      </c>
      <c r="AT2088" s="538"/>
      <c r="AU2088" s="538"/>
      <c r="AV2088" s="538"/>
      <c r="AW2088" s="538"/>
      <c r="AX2088" s="538"/>
      <c r="AY2088" s="538"/>
      <c r="AZ2088" s="538"/>
      <c r="BA2088" s="538"/>
      <c r="BB2088" s="538"/>
      <c r="BC2088" s="538"/>
      <c r="BD2088" s="538"/>
      <c r="BE2088" s="538"/>
      <c r="BF2088" s="538"/>
      <c r="BG2088" s="538"/>
      <c r="BH2088" s="538"/>
    </row>
    <row r="2089" spans="1:60" hidden="1" x14ac:dyDescent="0.2">
      <c r="A2089" s="1507">
        <v>9</v>
      </c>
      <c r="B2089" s="1516" t="s">
        <v>2753</v>
      </c>
      <c r="C2089" s="1511"/>
      <c r="D2089" s="1511"/>
      <c r="E2089" s="1511"/>
      <c r="F2089" s="1511"/>
      <c r="G2089" s="1509" t="str">
        <f ca="1">G2088</f>
        <v/>
      </c>
      <c r="H2089" s="1510" t="s">
        <v>3199</v>
      </c>
      <c r="I2089" s="438"/>
      <c r="J2089" s="213"/>
      <c r="K2089" s="213"/>
      <c r="L2089" s="1696"/>
      <c r="M2089" s="1624"/>
      <c r="N2089" s="1620"/>
      <c r="O2089" s="1620"/>
      <c r="P2089" s="173"/>
      <c r="Q2089" s="173"/>
      <c r="R2089" s="173"/>
      <c r="S2089" s="173"/>
      <c r="T2089" s="173"/>
      <c r="U2089" s="173"/>
      <c r="V2089" s="173"/>
      <c r="W2089" s="173"/>
      <c r="X2089" s="1601"/>
      <c r="Y2089" s="1874"/>
      <c r="Z2089" s="1889"/>
      <c r="AB2089" s="538"/>
      <c r="AC2089" s="538"/>
      <c r="AD2089" s="538"/>
      <c r="AE2089" s="538"/>
      <c r="AF2089" s="538"/>
      <c r="AG2089" s="538"/>
      <c r="AH2089" s="538"/>
      <c r="AI2089" s="538"/>
      <c r="AJ2089" s="538"/>
      <c r="AK2089" s="538"/>
      <c r="AL2089" s="1352"/>
      <c r="AM2089" s="1352"/>
      <c r="AN2089" s="1352"/>
      <c r="AO2089" s="1352"/>
      <c r="AP2089" s="1352"/>
      <c r="AQ2089" s="1352"/>
      <c r="AR2089" s="1352"/>
      <c r="AS2089" s="1352"/>
      <c r="AT2089" s="538"/>
      <c r="AU2089" s="538"/>
      <c r="AV2089" s="538"/>
      <c r="AW2089" s="538"/>
      <c r="AX2089" s="538"/>
      <c r="AY2089" s="538"/>
      <c r="AZ2089" s="538"/>
      <c r="BA2089" s="538"/>
      <c r="BB2089" s="538"/>
      <c r="BC2089" s="538"/>
      <c r="BD2089" s="538"/>
      <c r="BE2089" s="538"/>
      <c r="BF2089" s="538"/>
      <c r="BG2089" s="538"/>
      <c r="BH2089" s="538"/>
    </row>
    <row r="2090" spans="1:60" hidden="1" x14ac:dyDescent="0.2">
      <c r="A2090" s="1507">
        <v>9</v>
      </c>
      <c r="B2090" s="1516" t="s">
        <v>2754</v>
      </c>
      <c r="C2090" s="1511"/>
      <c r="D2090" s="1511"/>
      <c r="E2090" s="1511"/>
      <c r="F2090" s="1511"/>
      <c r="G2090" s="1509" t="str">
        <f>IF(N2090&gt;0,"P","")</f>
        <v/>
      </c>
      <c r="H2090" s="1510" t="s">
        <v>3199</v>
      </c>
      <c r="I2090" s="192" t="s">
        <v>3697</v>
      </c>
      <c r="J2090" s="193"/>
      <c r="K2090" s="193"/>
      <c r="L2090" s="1712" t="s">
        <v>3725</v>
      </c>
      <c r="M2090" s="1636">
        <v>2</v>
      </c>
      <c r="N2090" s="1637">
        <f>'11.900'!O243</f>
        <v>0</v>
      </c>
      <c r="O2090" s="1637">
        <f>M2090*S2090*W2090</f>
        <v>0</v>
      </c>
      <c r="P2090" s="96" t="b">
        <v>0</v>
      </c>
      <c r="Q2090" s="96" t="b">
        <v>1</v>
      </c>
      <c r="R2090" s="195" t="b">
        <v>0</v>
      </c>
      <c r="S2090" s="195" t="b">
        <f>NOT(OR(AND(AY1891=INDEX(ddHDucts,2),AY1887=INDEX(ddCDucts,2)),W2093))</f>
        <v>1</v>
      </c>
      <c r="T2090" s="195" t="b">
        <f>AND(NOT(S2090),W2090=TRUE)</f>
        <v>0</v>
      </c>
      <c r="U2090" s="195"/>
      <c r="V2090" s="195"/>
      <c r="W2090" s="27"/>
      <c r="X2090" s="1601"/>
      <c r="Y2090" s="1874" t="str">
        <f>IF(LEN('11.900'!X243)=0,"None",'11.900'!X243)</f>
        <v>None</v>
      </c>
      <c r="Z2090" s="1889"/>
      <c r="AB2090" s="538"/>
      <c r="AC2090" s="538" t="b">
        <f>OR(AD2090:AE2090)</f>
        <v>0</v>
      </c>
      <c r="AD2090" s="538" t="b">
        <f>T2090</f>
        <v>0</v>
      </c>
      <c r="AE2090" s="538"/>
      <c r="AF2090" s="720"/>
      <c r="AG2090" s="538"/>
      <c r="AH2090" s="538"/>
      <c r="AI2090" s="538"/>
      <c r="AJ2090" s="538"/>
      <c r="AK2090" s="538"/>
      <c r="AL2090" s="1352" t="str">
        <f>SUBSTITUTE(SUBSTITUTE(SUBSTITUTE("vpa"&amp;$B2090&amp;$C2090&amp;$D2090&amp;$E2090,".","_"),"(","_"),")","")</f>
        <v>vpa902_2_3</v>
      </c>
      <c r="AM2090" s="1352">
        <f>M2090</f>
        <v>2</v>
      </c>
      <c r="AN2090" s="1352" t="str">
        <f>SUBSTITUTE(SUBSTITUTE(SUBSTITUTE("vpc"&amp;$B2090&amp;$C2090&amp;$D2090&amp;$E2090,".","_"),"(","_"),")","")</f>
        <v>vpc902_2_3</v>
      </c>
      <c r="AO2090" s="1352">
        <f>O2090</f>
        <v>0</v>
      </c>
      <c r="AP2090" s="1352" t="str">
        <f>SUBSTITUTE(SUBSTITUTE(SUBSTITUTE("vch"&amp;$B2090&amp;$C2090&amp;$D2090&amp;$E2090,".","_"),"(","_"),")","")</f>
        <v>vch902_2_3</v>
      </c>
      <c r="AQ2090" s="1352" t="str">
        <f>IF(LEN(W2090)=0,"",W2090)</f>
        <v/>
      </c>
      <c r="AR2090" s="1352" t="str">
        <f>SUBSTITUTE(SUBSTITUTE(SUBSTITUTE("vnt"&amp;$B2090&amp;$C2090&amp;$D2090&amp;$E2090,".","_"),"(","_"),")","")</f>
        <v>vnt902_2_3</v>
      </c>
      <c r="AS2090" s="1352" t="str">
        <f>IF(LEN(X2090)=0,"",X2090)</f>
        <v/>
      </c>
      <c r="AT2090" s="538"/>
      <c r="AU2090" s="538"/>
      <c r="AV2090" s="538"/>
      <c r="AW2090" s="538"/>
      <c r="AX2090" s="538"/>
      <c r="AY2090" s="538"/>
      <c r="AZ2090" s="538"/>
      <c r="BA2090" s="538"/>
      <c r="BB2090" s="538"/>
      <c r="BC2090" s="538"/>
      <c r="BD2090" s="538"/>
      <c r="BE2090" s="538"/>
      <c r="BF2090" s="538"/>
      <c r="BG2090" s="538"/>
      <c r="BH2090" s="538"/>
    </row>
    <row r="2091" spans="1:60" hidden="1" x14ac:dyDescent="0.2">
      <c r="A2091" s="1507">
        <v>9</v>
      </c>
      <c r="B2091" s="1516" t="s">
        <v>2754</v>
      </c>
      <c r="C2091" s="1511"/>
      <c r="D2091" s="1511"/>
      <c r="E2091" s="1511"/>
      <c r="F2091" s="1511"/>
      <c r="G2091" s="1509" t="str">
        <f>G2090</f>
        <v/>
      </c>
      <c r="H2091" s="1510" t="s">
        <v>3199</v>
      </c>
      <c r="I2091" s="406"/>
      <c r="J2091" s="129"/>
      <c r="K2091" s="129"/>
      <c r="L2091" s="1629"/>
      <c r="M2091" s="1623"/>
      <c r="N2091" s="1619"/>
      <c r="O2091" s="1619"/>
      <c r="P2091" s="96"/>
      <c r="Q2091" s="96"/>
      <c r="R2091" s="96"/>
      <c r="S2091" s="96"/>
      <c r="T2091" s="96"/>
      <c r="U2091" s="96"/>
      <c r="V2091" s="96"/>
      <c r="W2091" s="96"/>
      <c r="X2091" s="1601"/>
      <c r="Y2091" s="1874"/>
      <c r="Z2091" s="1889"/>
      <c r="AB2091" s="538"/>
      <c r="AC2091" s="538"/>
      <c r="AD2091" s="538"/>
      <c r="AE2091" s="538"/>
      <c r="AF2091" s="538"/>
      <c r="AG2091" s="538"/>
      <c r="AH2091" s="538"/>
      <c r="AI2091" s="538"/>
      <c r="AJ2091" s="538"/>
      <c r="AK2091" s="538"/>
      <c r="AL2091" s="1352"/>
      <c r="AM2091" s="1352"/>
      <c r="AN2091" s="1352"/>
      <c r="AO2091" s="1352"/>
      <c r="AP2091" s="1352"/>
      <c r="AQ2091" s="1352"/>
      <c r="AR2091" s="1352"/>
      <c r="AS2091" s="1352"/>
      <c r="AT2091" s="538"/>
      <c r="AU2091" s="538"/>
      <c r="AV2091" s="538"/>
      <c r="AW2091" s="538"/>
      <c r="AX2091" s="538"/>
      <c r="AY2091" s="538"/>
      <c r="AZ2091" s="538"/>
      <c r="BA2091" s="538"/>
      <c r="BB2091" s="538"/>
      <c r="BC2091" s="538"/>
      <c r="BD2091" s="538"/>
      <c r="BE2091" s="538"/>
      <c r="BF2091" s="538"/>
      <c r="BG2091" s="538"/>
      <c r="BH2091" s="538"/>
    </row>
    <row r="2092" spans="1:60" hidden="1" x14ac:dyDescent="0.2">
      <c r="A2092" s="1507">
        <v>9</v>
      </c>
      <c r="B2092" s="1516" t="s">
        <v>2754</v>
      </c>
      <c r="C2092" s="1511"/>
      <c r="D2092" s="1511"/>
      <c r="E2092" s="1511"/>
      <c r="F2092" s="1511"/>
      <c r="G2092" s="1509" t="str">
        <f>G2091</f>
        <v/>
      </c>
      <c r="H2092" s="1510" t="s">
        <v>3199</v>
      </c>
      <c r="I2092" s="438"/>
      <c r="J2092" s="213"/>
      <c r="K2092" s="213"/>
      <c r="L2092" s="1696"/>
      <c r="M2092" s="1624"/>
      <c r="N2092" s="1620"/>
      <c r="O2092" s="1620"/>
      <c r="P2092" s="173"/>
      <c r="Q2092" s="173"/>
      <c r="R2092" s="173"/>
      <c r="S2092" s="173"/>
      <c r="T2092" s="173"/>
      <c r="U2092" s="173"/>
      <c r="V2092" s="173"/>
      <c r="W2092" s="173"/>
      <c r="X2092" s="1601"/>
      <c r="Y2092" s="1874"/>
      <c r="Z2092" s="1889"/>
      <c r="AB2092" s="538"/>
      <c r="AC2092" s="538"/>
      <c r="AD2092" s="538"/>
      <c r="AE2092" s="538"/>
      <c r="AF2092" s="538"/>
      <c r="AG2092" s="538"/>
      <c r="AH2092" s="538"/>
      <c r="AI2092" s="538"/>
      <c r="AJ2092" s="538"/>
      <c r="AK2092" s="538"/>
      <c r="AL2092" s="1352"/>
      <c r="AM2092" s="1352"/>
      <c r="AN2092" s="1352"/>
      <c r="AO2092" s="1352"/>
      <c r="AP2092" s="1352"/>
      <c r="AQ2092" s="1352"/>
      <c r="AR2092" s="1352"/>
      <c r="AS2092" s="1352"/>
      <c r="AT2092" s="538"/>
      <c r="AU2092" s="538"/>
      <c r="AV2092" s="538"/>
      <c r="AW2092" s="538"/>
      <c r="AX2092" s="538"/>
      <c r="AY2092" s="538"/>
      <c r="AZ2092" s="538"/>
      <c r="BA2092" s="538"/>
      <c r="BB2092" s="538"/>
      <c r="BC2092" s="538"/>
      <c r="BD2092" s="538"/>
      <c r="BE2092" s="538"/>
      <c r="BF2092" s="538"/>
      <c r="BG2092" s="538"/>
      <c r="BH2092" s="538"/>
    </row>
    <row r="2093" spans="1:60" hidden="1" x14ac:dyDescent="0.2">
      <c r="A2093" s="1507">
        <v>9</v>
      </c>
      <c r="B2093" s="1516" t="s">
        <v>2755</v>
      </c>
      <c r="C2093" s="1511"/>
      <c r="D2093" s="1511"/>
      <c r="E2093" s="1511"/>
      <c r="F2093" s="1511"/>
      <c r="G2093" s="1509" t="str">
        <f>IF(N2093&gt;0,"P","")</f>
        <v/>
      </c>
      <c r="H2093" s="1510" t="s">
        <v>3199</v>
      </c>
      <c r="I2093" s="192" t="s">
        <v>3698</v>
      </c>
      <c r="J2093" s="193"/>
      <c r="K2093" s="193"/>
      <c r="L2093" s="1712" t="s">
        <v>3724</v>
      </c>
      <c r="M2093" s="1636">
        <v>3</v>
      </c>
      <c r="N2093" s="1637">
        <f>'11.900'!O246</f>
        <v>0</v>
      </c>
      <c r="O2093" s="1637">
        <f>M2093*S2093*W2093</f>
        <v>0</v>
      </c>
      <c r="P2093" s="195" t="b">
        <v>0</v>
      </c>
      <c r="Q2093" s="195" t="b">
        <v>1</v>
      </c>
      <c r="R2093" s="195" t="b">
        <v>0</v>
      </c>
      <c r="S2093" s="195" t="b">
        <f>NOT(OR(AND(AY1891=INDEX(ddHDucts,2),AY1887=INDEX(ddCDucts,2)),W2090))</f>
        <v>1</v>
      </c>
      <c r="T2093" s="195" t="b">
        <f>AND(NOT(S2093),W2093=TRUE)</f>
        <v>0</v>
      </c>
      <c r="U2093" s="195"/>
      <c r="V2093" s="195"/>
      <c r="W2093" s="333"/>
      <c r="X2093" s="1601"/>
      <c r="Y2093" s="1881" t="str">
        <f>IF(LEN('11.900'!X246)=0,"None",'11.900'!X246)</f>
        <v>None</v>
      </c>
      <c r="Z2093" s="1891"/>
      <c r="AB2093" s="538"/>
      <c r="AC2093" s="538" t="b">
        <f>OR(AD2093:AE2093)</f>
        <v>0</v>
      </c>
      <c r="AD2093" s="538" t="b">
        <f>T2093</f>
        <v>0</v>
      </c>
      <c r="AE2093" s="538"/>
      <c r="AF2093" s="720"/>
      <c r="AG2093" s="538"/>
      <c r="AH2093" s="538"/>
      <c r="AI2093" s="538"/>
      <c r="AJ2093" s="538"/>
      <c r="AK2093" s="538"/>
      <c r="AL2093" s="1352" t="str">
        <f>SUBSTITUTE(SUBSTITUTE(SUBSTITUTE("vpa"&amp;$B2093&amp;$C2093&amp;$D2093&amp;$E2093,".","_"),"(","_"),")","")</f>
        <v>vpa902_2_4</v>
      </c>
      <c r="AM2093" s="1352">
        <f>M2093</f>
        <v>3</v>
      </c>
      <c r="AN2093" s="1352" t="str">
        <f>SUBSTITUTE(SUBSTITUTE(SUBSTITUTE("vpc"&amp;$B2093&amp;$C2093&amp;$D2093&amp;$E2093,".","_"),"(","_"),")","")</f>
        <v>vpc902_2_4</v>
      </c>
      <c r="AO2093" s="1352">
        <f>O2093</f>
        <v>0</v>
      </c>
      <c r="AP2093" s="1352" t="str">
        <f>SUBSTITUTE(SUBSTITUTE(SUBSTITUTE("vch"&amp;$B2093&amp;$C2093&amp;$D2093&amp;$E2093,".","_"),"(","_"),")","")</f>
        <v>vch902_2_4</v>
      </c>
      <c r="AQ2093" s="1352" t="str">
        <f>IF(LEN(W2093)=0,"",W2093)</f>
        <v/>
      </c>
      <c r="AR2093" s="1352" t="str">
        <f>SUBSTITUTE(SUBSTITUTE(SUBSTITUTE("vnt"&amp;$B2093&amp;$C2093&amp;$D2093&amp;$E2093,".","_"),"(","_"),")","")</f>
        <v>vnt902_2_4</v>
      </c>
      <c r="AS2093" s="1352" t="str">
        <f>IF(LEN(X2093)=0,"",X2093)</f>
        <v/>
      </c>
      <c r="AT2093" s="538"/>
      <c r="AU2093" s="538"/>
      <c r="AV2093" s="538"/>
      <c r="AW2093" s="538"/>
      <c r="AX2093" s="538"/>
      <c r="AY2093" s="538"/>
      <c r="AZ2093" s="538"/>
      <c r="BA2093" s="538"/>
      <c r="BB2093" s="538"/>
      <c r="BC2093" s="538"/>
      <c r="BD2093" s="538"/>
      <c r="BE2093" s="538"/>
      <c r="BF2093" s="538"/>
      <c r="BG2093" s="538"/>
      <c r="BH2093" s="538"/>
    </row>
    <row r="2094" spans="1:60" hidden="1" x14ac:dyDescent="0.2">
      <c r="A2094" s="1507">
        <v>9</v>
      </c>
      <c r="B2094" s="1516" t="s">
        <v>2755</v>
      </c>
      <c r="C2094" s="1511"/>
      <c r="D2094" s="1511"/>
      <c r="E2094" s="1511"/>
      <c r="F2094" s="1511"/>
      <c r="G2094" s="1509" t="str">
        <f>G2093</f>
        <v/>
      </c>
      <c r="H2094" s="1510" t="s">
        <v>3199</v>
      </c>
      <c r="I2094" s="406"/>
      <c r="J2094" s="129"/>
      <c r="K2094" s="129"/>
      <c r="L2094" s="1629"/>
      <c r="M2094" s="1623"/>
      <c r="N2094" s="1619"/>
      <c r="O2094" s="1619"/>
      <c r="P2094" s="991"/>
      <c r="Q2094" s="991"/>
      <c r="R2094" s="991"/>
      <c r="S2094" s="991"/>
      <c r="T2094" s="991"/>
      <c r="U2094" s="991"/>
      <c r="V2094" s="991"/>
      <c r="W2094" s="991"/>
      <c r="X2094" s="1601"/>
      <c r="Y2094" s="1881"/>
      <c r="Z2094" s="1891"/>
      <c r="AB2094" s="538"/>
      <c r="AC2094" s="538"/>
      <c r="AD2094" s="538"/>
      <c r="AE2094" s="538"/>
      <c r="AF2094" s="538"/>
      <c r="AG2094" s="538"/>
      <c r="AH2094" s="538"/>
      <c r="AI2094" s="538"/>
      <c r="AJ2094" s="538"/>
      <c r="AK2094" s="538"/>
      <c r="AL2094" s="1352"/>
      <c r="AM2094" s="1352"/>
      <c r="AN2094" s="1352"/>
      <c r="AO2094" s="1352"/>
      <c r="AP2094" s="1352"/>
      <c r="AQ2094" s="1352"/>
      <c r="AR2094" s="1352"/>
      <c r="AS2094" s="1352"/>
      <c r="AT2094" s="538"/>
      <c r="AU2094" s="538"/>
      <c r="AV2094" s="538"/>
      <c r="AW2094" s="538"/>
      <c r="AX2094" s="538"/>
      <c r="AY2094" s="538"/>
      <c r="AZ2094" s="538"/>
      <c r="BA2094" s="538"/>
      <c r="BB2094" s="538"/>
      <c r="BC2094" s="538"/>
      <c r="BD2094" s="538"/>
      <c r="BE2094" s="538"/>
      <c r="BF2094" s="538"/>
      <c r="BG2094" s="538"/>
      <c r="BH2094" s="538"/>
    </row>
    <row r="2095" spans="1:60" hidden="1" x14ac:dyDescent="0.2">
      <c r="A2095" s="1507">
        <v>9</v>
      </c>
      <c r="B2095" s="1516" t="s">
        <v>2755</v>
      </c>
      <c r="C2095" s="1511"/>
      <c r="D2095" s="1511"/>
      <c r="E2095" s="1511"/>
      <c r="F2095" s="1511"/>
      <c r="G2095" s="1509" t="str">
        <f>G2094</f>
        <v/>
      </c>
      <c r="H2095" s="1510" t="s">
        <v>3199</v>
      </c>
      <c r="I2095" s="438"/>
      <c r="J2095" s="213"/>
      <c r="K2095" s="213"/>
      <c r="L2095" s="1696"/>
      <c r="M2095" s="1624"/>
      <c r="N2095" s="1620"/>
      <c r="O2095" s="1620"/>
      <c r="P2095" s="173"/>
      <c r="Q2095" s="173"/>
      <c r="R2095" s="173"/>
      <c r="S2095" s="173"/>
      <c r="T2095" s="173"/>
      <c r="U2095" s="173"/>
      <c r="V2095" s="173"/>
      <c r="W2095" s="173"/>
      <c r="X2095" s="1601"/>
      <c r="Y2095" s="1881"/>
      <c r="Z2095" s="1891"/>
      <c r="AB2095" s="538"/>
      <c r="AC2095" s="538"/>
      <c r="AD2095" s="538"/>
      <c r="AE2095" s="538"/>
      <c r="AF2095" s="538"/>
      <c r="AG2095" s="538"/>
      <c r="AH2095" s="538"/>
      <c r="AI2095" s="538"/>
      <c r="AJ2095" s="538"/>
      <c r="AK2095" s="538"/>
      <c r="AL2095" s="1352"/>
      <c r="AM2095" s="1352"/>
      <c r="AN2095" s="1352"/>
      <c r="AO2095" s="1352"/>
      <c r="AP2095" s="1352"/>
      <c r="AQ2095" s="1352"/>
      <c r="AR2095" s="1352"/>
      <c r="AS2095" s="1352"/>
      <c r="AT2095" s="538"/>
      <c r="AU2095" s="538"/>
      <c r="AV2095" s="538"/>
      <c r="AW2095" s="538"/>
      <c r="AX2095" s="538"/>
      <c r="AY2095" s="538"/>
      <c r="AZ2095" s="538"/>
      <c r="BA2095" s="538"/>
      <c r="BB2095" s="538"/>
      <c r="BC2095" s="538"/>
      <c r="BD2095" s="538"/>
      <c r="BE2095" s="538"/>
      <c r="BF2095" s="538"/>
      <c r="BG2095" s="538"/>
      <c r="BH2095" s="538"/>
    </row>
    <row r="2096" spans="1:60" x14ac:dyDescent="0.2">
      <c r="A2096" s="1507">
        <v>9</v>
      </c>
      <c r="B2096" s="1516" t="s">
        <v>4956</v>
      </c>
      <c r="C2096" s="1511"/>
      <c r="D2096" s="1511"/>
      <c r="E2096" s="1511"/>
      <c r="F2096" s="1511"/>
      <c r="G2096" s="1509" t="str">
        <f>IF(N2096&gt;0,"P","")</f>
        <v>P</v>
      </c>
      <c r="H2096" s="1510" t="s">
        <v>3199</v>
      </c>
      <c r="I2096" s="589" t="s">
        <v>4880</v>
      </c>
      <c r="J2096" s="858"/>
      <c r="K2096" s="858"/>
      <c r="L2096" s="1687" t="s">
        <v>4881</v>
      </c>
      <c r="M2096" s="1623">
        <v>3</v>
      </c>
      <c r="N2096" s="1637">
        <f>'11.900'!O249</f>
        <v>3</v>
      </c>
      <c r="O2096" s="1619">
        <f>M2096*S2096*W2096</f>
        <v>3</v>
      </c>
      <c r="P2096" s="991" t="b">
        <v>0</v>
      </c>
      <c r="Q2096" s="991" t="b">
        <v>1</v>
      </c>
      <c r="R2096" s="991" t="b">
        <v>0</v>
      </c>
      <c r="S2096" s="991" t="b">
        <v>1</v>
      </c>
      <c r="T2096" s="991" t="b">
        <v>0</v>
      </c>
      <c r="U2096"/>
      <c r="V2096"/>
      <c r="W2096" s="27" t="b">
        <v>1</v>
      </c>
      <c r="X2096" s="1600"/>
      <c r="Y2096" s="1881" t="str">
        <f>IF(LEN('11.900'!X249)=0,"None",'11.900'!X249)</f>
        <v>None</v>
      </c>
      <c r="Z2096" s="1600"/>
      <c r="AA2096"/>
      <c r="AC2096"/>
      <c r="AD2096"/>
      <c r="AE2096"/>
      <c r="AF2096"/>
      <c r="AG2096"/>
      <c r="AH2096"/>
      <c r="AI2096"/>
      <c r="AJ2096"/>
      <c r="AK2096"/>
      <c r="AL2096" s="1352" t="str">
        <f>SUBSTITUTE(SUBSTITUTE(SUBSTITUTE("vpa"&amp;$B2096&amp;$C2096&amp;$D2096&amp;$E2096,".","_"),"(","_"),")","")</f>
        <v>vpa902_2_5</v>
      </c>
      <c r="AM2096" s="1352">
        <f>M2096</f>
        <v>3</v>
      </c>
      <c r="AN2096" s="1352" t="str">
        <f>SUBSTITUTE(SUBSTITUTE(SUBSTITUTE("vpc"&amp;$B2096&amp;$C2096&amp;$D2096&amp;$E2096,".","_"),"(","_"),")","")</f>
        <v>vpc902_2_5</v>
      </c>
      <c r="AO2096" s="1352">
        <f>O2096</f>
        <v>3</v>
      </c>
      <c r="AP2096" s="1352" t="str">
        <f>SUBSTITUTE(SUBSTITUTE(SUBSTITUTE("vch"&amp;$B2096&amp;$C2096&amp;$D2096&amp;$E2096,".","_"),"(","_"),")","")</f>
        <v>vch902_2_5</v>
      </c>
      <c r="AQ2096" s="1352" t="b">
        <f>IF(LEN(W2096)=0,"",W2096)</f>
        <v>1</v>
      </c>
      <c r="AR2096" s="1352" t="str">
        <f>SUBSTITUTE(SUBSTITUTE(SUBSTITUTE("vnt"&amp;$B2096&amp;$C2096&amp;$D2096&amp;$E2096,".","_"),"(","_"),")","")</f>
        <v>vnt902_2_5</v>
      </c>
      <c r="AS2096" s="1352" t="str">
        <f>IF(LEN(X2096)=0,"",X2096)</f>
        <v/>
      </c>
      <c r="AT2096"/>
    </row>
    <row r="2097" spans="1:60" ht="16" thickBot="1" x14ac:dyDescent="0.25">
      <c r="A2097" s="1507">
        <v>9</v>
      </c>
      <c r="B2097" s="1516" t="s">
        <v>4956</v>
      </c>
      <c r="C2097" s="1511"/>
      <c r="D2097" s="1511"/>
      <c r="E2097" s="1511"/>
      <c r="F2097" s="1511"/>
      <c r="G2097" s="1509" t="str">
        <f>G2096</f>
        <v>P</v>
      </c>
      <c r="H2097" s="1510" t="s">
        <v>3199</v>
      </c>
      <c r="I2097" s="600"/>
      <c r="J2097" s="858"/>
      <c r="K2097" s="858"/>
      <c r="L2097" s="1738"/>
      <c r="M2097" s="1627"/>
      <c r="N2097" s="1638"/>
      <c r="O2097" s="1638"/>
      <c r="P2097" s="991"/>
      <c r="Q2097" s="991"/>
      <c r="R2097" s="991"/>
      <c r="S2097" s="991"/>
      <c r="T2097" s="991"/>
      <c r="U2097"/>
      <c r="V2097"/>
      <c r="W2097" s="100"/>
      <c r="X2097" s="1600"/>
      <c r="Y2097" s="1882"/>
      <c r="Z2097" s="1600"/>
      <c r="AA2097"/>
      <c r="AC2097"/>
      <c r="AD2097"/>
      <c r="AE2097"/>
      <c r="AF2097"/>
      <c r="AG2097"/>
      <c r="AH2097"/>
      <c r="AI2097"/>
      <c r="AJ2097"/>
      <c r="AK2097"/>
      <c r="AL2097" s="1352"/>
      <c r="AM2097" s="1352"/>
      <c r="AN2097" s="1352"/>
      <c r="AO2097" s="1352"/>
      <c r="AP2097" s="1352"/>
      <c r="AQ2097" s="1352"/>
      <c r="AR2097" s="1352"/>
      <c r="AS2097" s="1352"/>
      <c r="AT2097"/>
    </row>
    <row r="2098" spans="1:60" ht="15.75" customHeight="1" thickTop="1" x14ac:dyDescent="0.2">
      <c r="A2098" s="1507">
        <v>9</v>
      </c>
      <c r="B2098" s="1516">
        <v>902.3</v>
      </c>
      <c r="C2098" s="1511"/>
      <c r="D2098" s="1511"/>
      <c r="E2098" s="1511"/>
      <c r="F2098" s="1511"/>
      <c r="G2098" s="1509" t="str">
        <f>IF(IFERROR(SEARCH("Mandatory",M2098),FALSE),"P","")</f>
        <v>P</v>
      </c>
      <c r="H2098" s="1510" t="s">
        <v>3197</v>
      </c>
      <c r="I2098" s="177" t="s">
        <v>3699</v>
      </c>
      <c r="J2098" s="178"/>
      <c r="K2098" s="178"/>
      <c r="L2098" s="1687" t="s">
        <v>5062</v>
      </c>
      <c r="M2098" s="1701" t="str">
        <f>IF(R2098,"Mandatory","N/A")</f>
        <v>Mandatory</v>
      </c>
      <c r="N2098" s="178"/>
      <c r="O2098" s="1230"/>
      <c r="P2098" s="106" t="b">
        <v>1</v>
      </c>
      <c r="Q2098" s="106" t="b">
        <v>0</v>
      </c>
      <c r="R2098" s="106" t="b">
        <v>1</v>
      </c>
      <c r="S2098" s="106" t="b">
        <v>1</v>
      </c>
      <c r="T2098" s="106" t="b">
        <v>0</v>
      </c>
      <c r="U2098" s="1233" t="str">
        <f>SUBSTITUTE(SUBSTITUTE(SUBSTITUTE("dd"&amp;B2098&amp;C2098&amp;D2098&amp;E2098&amp;F2098,".","_"),"(","_"),")","")</f>
        <v>dd902_3</v>
      </c>
      <c r="V2098" s="106"/>
      <c r="W2098" s="269" t="s">
        <v>2590</v>
      </c>
      <c r="X2098" s="1670" t="s">
        <v>5675</v>
      </c>
      <c r="Y2098" s="1877" t="str">
        <f>IF(LEN('11.900'!X251)=0,"None",'11.900'!X251)</f>
        <v>None</v>
      </c>
      <c r="Z2098" s="1670"/>
      <c r="AB2098" s="538"/>
      <c r="AC2098" s="1150" t="b">
        <f>OR(AD2098:AE2098)</f>
        <v>0</v>
      </c>
      <c r="AD2098" s="1150" t="b">
        <f>T2098</f>
        <v>0</v>
      </c>
      <c r="AE2098" s="1150" t="b">
        <f>AND(R2098,OR(W2098="Not Met",W2098=""))</f>
        <v>0</v>
      </c>
      <c r="AF2098" s="1150" t="b">
        <f>AND(AE2098,NOT(Q2098))</f>
        <v>0</v>
      </c>
      <c r="AG2098" s="538"/>
      <c r="AH2098" s="538"/>
      <c r="AI2098" s="538"/>
      <c r="AJ2098" s="538"/>
      <c r="AK2098" s="538"/>
      <c r="AL2098" s="1352" t="str">
        <f>SUBSTITUTE(SUBSTITUTE(SUBSTITUTE("vpa"&amp;$B2098&amp;$C2098&amp;$D2098&amp;$E2098,".","_"),"(","_"),")","")</f>
        <v>vpa902_3</v>
      </c>
      <c r="AM2098" s="1352" t="str">
        <f>M2098</f>
        <v>Mandatory</v>
      </c>
      <c r="AN2098" s="1352"/>
      <c r="AO2098" s="1352"/>
      <c r="AP2098" s="1352" t="str">
        <f>SUBSTITUTE(SUBSTITUTE(SUBSTITUTE("vch"&amp;$B2098&amp;$C2098&amp;$D2098&amp;$E2098,".","_"),"(","_"),")","")</f>
        <v>vch902_3</v>
      </c>
      <c r="AQ2098" s="1352" t="str">
        <f>IF(LEN(W2098)=0,"",W2098)</f>
        <v>N/A</v>
      </c>
      <c r="AR2098" s="1352" t="str">
        <f>SUBSTITUTE(SUBSTITUTE(SUBSTITUTE("vnt"&amp;$B2098&amp;$C2098&amp;$D2098&amp;$E2098,".","_"),"(","_"),")","")</f>
        <v>vnt902_3</v>
      </c>
      <c r="AS2098" s="1352" t="str">
        <f>IF(LEN(X2098)=0,"",X2098)</f>
        <v>Tested and passed</v>
      </c>
      <c r="AT2098" s="538"/>
      <c r="AU2098" s="538"/>
      <c r="AV2098" s="538"/>
      <c r="AW2098" s="538"/>
      <c r="AX2098" s="538"/>
      <c r="AY2098" s="538"/>
      <c r="AZ2098" s="538"/>
      <c r="BA2098" s="538"/>
      <c r="BB2098" s="538"/>
      <c r="BC2098" s="538"/>
      <c r="BD2098" s="538"/>
      <c r="BE2098" s="538"/>
      <c r="BF2098" s="538"/>
      <c r="BG2098" s="538"/>
      <c r="BH2098" s="538"/>
    </row>
    <row r="2099" spans="1:60" s="789" customFormat="1" x14ac:dyDescent="0.2">
      <c r="A2099" s="1507">
        <v>9</v>
      </c>
      <c r="B2099" s="1516">
        <v>902.3</v>
      </c>
      <c r="C2099" s="1511"/>
      <c r="D2099" s="1511"/>
      <c r="E2099" s="1511"/>
      <c r="F2099" s="1511"/>
      <c r="G2099" s="1509" t="s">
        <v>3200</v>
      </c>
      <c r="H2099" s="1510" t="s">
        <v>3197</v>
      </c>
      <c r="I2099" s="130"/>
      <c r="J2099" s="129"/>
      <c r="K2099" s="129"/>
      <c r="L2099" s="1687"/>
      <c r="M2099" s="1714"/>
      <c r="N2099" s="129"/>
      <c r="O2099" s="1228"/>
      <c r="P2099" s="1233"/>
      <c r="Q2099" s="1233"/>
      <c r="R2099" s="1233"/>
      <c r="S2099" s="1233"/>
      <c r="T2099" s="1233"/>
      <c r="U2099" s="1233"/>
      <c r="V2099" s="96"/>
      <c r="W2099" s="96"/>
      <c r="X2099" s="1632"/>
      <c r="Y2099" s="1874"/>
      <c r="Z2099" s="1632"/>
      <c r="AL2099" s="1352"/>
      <c r="AM2099" s="1352"/>
      <c r="AN2099" s="1352"/>
      <c r="AO2099" s="1352"/>
      <c r="AP2099" s="1352"/>
      <c r="AQ2099" s="1352"/>
      <c r="AR2099" s="1352"/>
      <c r="AS2099" s="1352"/>
    </row>
    <row r="2100" spans="1:60" s="905" customFormat="1" x14ac:dyDescent="0.2">
      <c r="A2100" s="1507">
        <v>9</v>
      </c>
      <c r="B2100" s="1516">
        <v>902.3</v>
      </c>
      <c r="C2100" s="1511"/>
      <c r="D2100" s="1511"/>
      <c r="E2100" s="1511"/>
      <c r="F2100" s="1511"/>
      <c r="G2100" s="1509" t="str">
        <f>G2099</f>
        <v>P</v>
      </c>
      <c r="H2100" s="1510" t="s">
        <v>3197</v>
      </c>
      <c r="I2100" s="130"/>
      <c r="J2100" s="129"/>
      <c r="K2100" s="129"/>
      <c r="L2100" s="1687"/>
      <c r="M2100" s="1714"/>
      <c r="N2100" s="129"/>
      <c r="O2100" s="1228"/>
      <c r="P2100" s="1233"/>
      <c r="Q2100" s="1233"/>
      <c r="R2100" s="1233"/>
      <c r="S2100" s="1233"/>
      <c r="T2100" s="1233"/>
      <c r="U2100" s="1233"/>
      <c r="V2100" s="991"/>
      <c r="W2100" s="991"/>
      <c r="X2100" s="1632"/>
      <c r="Y2100" s="1874"/>
      <c r="Z2100" s="1632"/>
      <c r="AL2100" s="1352"/>
      <c r="AM2100" s="1352"/>
      <c r="AN2100" s="1352"/>
      <c r="AO2100" s="1352"/>
      <c r="AP2100" s="1352"/>
      <c r="AQ2100" s="1352"/>
      <c r="AR2100" s="1352"/>
      <c r="AS2100" s="1352"/>
    </row>
    <row r="2101" spans="1:60" s="1234" customFormat="1" x14ac:dyDescent="0.2">
      <c r="A2101" s="1507">
        <v>9</v>
      </c>
      <c r="B2101" s="1516">
        <v>902.3</v>
      </c>
      <c r="C2101" s="1511"/>
      <c r="D2101" s="1511"/>
      <c r="E2101" s="1511"/>
      <c r="F2101" s="1511"/>
      <c r="G2101" s="1509" t="str">
        <f>G2100</f>
        <v>P</v>
      </c>
      <c r="H2101" s="1510" t="s">
        <v>3197</v>
      </c>
      <c r="I2101" s="130"/>
      <c r="J2101" s="129"/>
      <c r="K2101" s="129"/>
      <c r="L2101" s="1687"/>
      <c r="M2101" s="1714"/>
      <c r="N2101" s="129"/>
      <c r="O2101" s="1235"/>
      <c r="P2101" s="1240"/>
      <c r="Q2101" s="1240"/>
      <c r="R2101" s="1240"/>
      <c r="S2101" s="1240"/>
      <c r="T2101" s="1240"/>
      <c r="U2101" s="1240"/>
      <c r="V2101" s="1240"/>
      <c r="W2101" s="1240"/>
      <c r="X2101" s="1632"/>
      <c r="Y2101" s="1874"/>
      <c r="Z2101" s="1632"/>
      <c r="AL2101" s="1352"/>
      <c r="AM2101" s="1352"/>
      <c r="AN2101" s="1352"/>
      <c r="AO2101" s="1352"/>
      <c r="AP2101" s="1352"/>
      <c r="AQ2101" s="1352"/>
      <c r="AR2101" s="1352"/>
      <c r="AS2101" s="1352"/>
    </row>
    <row r="2102" spans="1:60" s="905" customFormat="1" x14ac:dyDescent="0.2">
      <c r="A2102" s="1507">
        <v>9</v>
      </c>
      <c r="B2102" s="1516">
        <v>902.3</v>
      </c>
      <c r="C2102" s="1511"/>
      <c r="D2102" s="1511"/>
      <c r="E2102" s="1511"/>
      <c r="F2102" s="1511"/>
      <c r="G2102" s="1509" t="str">
        <f>G2101</f>
        <v>P</v>
      </c>
      <c r="H2102" s="1510" t="s">
        <v>3197</v>
      </c>
      <c r="I2102" s="406"/>
      <c r="J2102" s="129"/>
      <c r="K2102" s="129"/>
      <c r="L2102" s="1687"/>
      <c r="M2102" s="1714"/>
      <c r="N2102" s="129"/>
      <c r="O2102" s="1228"/>
      <c r="P2102" s="1233"/>
      <c r="Q2102" s="1233"/>
      <c r="R2102" s="1233"/>
      <c r="S2102" s="1233"/>
      <c r="T2102" s="1233"/>
      <c r="U2102" s="1233"/>
      <c r="V2102" s="991"/>
      <c r="W2102" s="991"/>
      <c r="X2102" s="1599"/>
      <c r="Y2102" s="1874"/>
      <c r="Z2102" s="1599"/>
      <c r="AL2102" s="1352"/>
      <c r="AM2102" s="1352"/>
      <c r="AN2102" s="1352"/>
      <c r="AO2102" s="1352"/>
      <c r="AP2102" s="1352"/>
      <c r="AQ2102" s="1352"/>
      <c r="AR2102" s="1352"/>
      <c r="AS2102" s="1352"/>
    </row>
    <row r="2103" spans="1:60" hidden="1" x14ac:dyDescent="0.2">
      <c r="A2103" s="1507">
        <v>9</v>
      </c>
      <c r="B2103" s="1516">
        <v>902.3</v>
      </c>
      <c r="C2103" s="1511" t="s">
        <v>254</v>
      </c>
      <c r="D2103" s="1511"/>
      <c r="E2103" s="1511"/>
      <c r="F2103" s="1511"/>
      <c r="G2103" s="1509" t="str">
        <f>IF(IFERROR(SEARCH("Mandatory",M2103),FALSE),"P","")</f>
        <v/>
      </c>
      <c r="H2103" s="1510" t="s">
        <v>3198</v>
      </c>
      <c r="I2103" s="406"/>
      <c r="J2103" s="180" t="s">
        <v>254</v>
      </c>
      <c r="K2103" s="129"/>
      <c r="L2103" s="549" t="s">
        <v>2756</v>
      </c>
      <c r="M2103" s="70"/>
      <c r="N2103" s="543">
        <f ca="1">'11.900'!O256</f>
        <v>0</v>
      </c>
      <c r="O2103" s="1228">
        <f ca="1">IFERROR(INDEX({0,12,12,0,0},MATCH(W2098,INDIRECT(U2098),0)),0)*S2103</f>
        <v>0</v>
      </c>
      <c r="P2103" s="1233"/>
      <c r="Q2103" s="1233"/>
      <c r="R2103" s="1233" t="b">
        <f>S2103</f>
        <v>1</v>
      </c>
      <c r="S2103" s="1233" t="b">
        <f>(BE1863=1)</f>
        <v>1</v>
      </c>
      <c r="T2103" s="1233"/>
      <c r="U2103" s="1233"/>
      <c r="V2103" s="96"/>
      <c r="W2103"/>
      <c r="X2103" s="1600"/>
      <c r="Y2103" s="1875" t="str">
        <f>IF(LEN('11.900'!X256)=0,"None",'11.900'!X256)</f>
        <v>None</v>
      </c>
      <c r="Z2103" s="1600"/>
      <c r="AB2103" s="538"/>
      <c r="AC2103" s="538"/>
      <c r="AD2103" s="538"/>
      <c r="AE2103" s="538"/>
      <c r="AF2103" s="720"/>
      <c r="AG2103" s="538"/>
      <c r="AH2103" s="538"/>
      <c r="AI2103" s="538"/>
      <c r="AJ2103" s="538"/>
      <c r="AK2103" s="538"/>
      <c r="AL2103" s="1352"/>
      <c r="AM2103" s="1352"/>
      <c r="AN2103" s="1352" t="str">
        <f>SUBSTITUTE(SUBSTITUTE(SUBSTITUTE("vpc"&amp;$B2103&amp;$C2103&amp;$D2103&amp;$E2103,".","_"),"(","_"),")","")</f>
        <v>vpc902_3_1</v>
      </c>
      <c r="AO2103" s="1352">
        <f ca="1">O2103</f>
        <v>0</v>
      </c>
      <c r="AP2103" s="1352"/>
      <c r="AQ2103" s="1352"/>
      <c r="AR2103" s="1352" t="str">
        <f>SUBSTITUTE(SUBSTITUTE(SUBSTITUTE("vnt"&amp;$B2103&amp;$C2103&amp;$D2103&amp;$E2103,".","_"),"(","_"),")","")</f>
        <v>vnt902_3_1</v>
      </c>
      <c r="AS2103" s="1352" t="str">
        <f>IF(LEN(X2103)=0,"",X2103)</f>
        <v/>
      </c>
      <c r="AT2103" s="538"/>
      <c r="AU2103" s="538"/>
      <c r="AV2103" s="538"/>
      <c r="AW2103" s="538"/>
      <c r="AX2103" s="538"/>
      <c r="AY2103" s="538"/>
      <c r="AZ2103" s="538"/>
      <c r="BA2103" s="538"/>
      <c r="BB2103" s="538"/>
      <c r="BC2103" s="538"/>
      <c r="BD2103" s="538"/>
      <c r="BE2103" s="538"/>
      <c r="BF2103" s="538"/>
      <c r="BG2103" s="538"/>
      <c r="BH2103" s="538"/>
    </row>
    <row r="2104" spans="1:60" hidden="1" x14ac:dyDescent="0.2">
      <c r="A2104" s="1507">
        <v>9</v>
      </c>
      <c r="B2104" s="1516">
        <v>902.3</v>
      </c>
      <c r="C2104" s="1511" t="s">
        <v>254</v>
      </c>
      <c r="D2104" s="1511" t="s">
        <v>121</v>
      </c>
      <c r="E2104" s="1511"/>
      <c r="F2104" s="1511"/>
      <c r="G2104" s="1509" t="str">
        <f>G2103</f>
        <v/>
      </c>
      <c r="H2104" s="1510" t="s">
        <v>3198</v>
      </c>
      <c r="I2104" s="406"/>
      <c r="J2104" s="129"/>
      <c r="K2104" s="180" t="s">
        <v>121</v>
      </c>
      <c r="L2104" s="549" t="s">
        <v>2757</v>
      </c>
      <c r="M2104" s="1232" t="str">
        <f>IF(R2103,"Mandatory","N/A")</f>
        <v>Mandatory</v>
      </c>
      <c r="N2104" s="543"/>
      <c r="O2104" s="1228"/>
      <c r="P2104" s="1233"/>
      <c r="Q2104" s="1233"/>
      <c r="R2104" s="1233"/>
      <c r="S2104" s="1233"/>
      <c r="T2104" s="1233"/>
      <c r="U2104" s="1233"/>
      <c r="V2104" s="96"/>
      <c r="W2104"/>
      <c r="X2104" s="1600"/>
      <c r="Y2104" s="1876"/>
      <c r="Z2104" s="1600"/>
      <c r="AB2104" s="538"/>
      <c r="AC2104" s="538"/>
      <c r="AD2104" s="538"/>
      <c r="AE2104" s="538"/>
      <c r="AF2104" s="538"/>
      <c r="AG2104" s="538"/>
      <c r="AH2104" s="538"/>
      <c r="AI2104" s="538"/>
      <c r="AJ2104" s="538"/>
      <c r="AK2104" s="538"/>
      <c r="AL2104" s="1352" t="str">
        <f>SUBSTITUTE(SUBSTITUTE(SUBSTITUTE("vpa"&amp;$B2104&amp;$C2104&amp;$D2104&amp;$E2104,".","_"),"(","_"),")","")</f>
        <v>vpa902_3_1_a</v>
      </c>
      <c r="AM2104" s="1352" t="str">
        <f>M2104</f>
        <v>Mandatory</v>
      </c>
      <c r="AN2104" s="1352"/>
      <c r="AO2104" s="1352"/>
      <c r="AP2104" s="1352"/>
      <c r="AQ2104" s="1352"/>
      <c r="AR2104" s="1352"/>
      <c r="AS2104" s="1352"/>
      <c r="AT2104" s="538"/>
      <c r="AU2104" s="538"/>
      <c r="AV2104" s="538"/>
      <c r="AW2104" s="538"/>
      <c r="AX2104" s="538"/>
      <c r="AY2104" s="538"/>
      <c r="AZ2104" s="538"/>
      <c r="BA2104" s="538"/>
      <c r="BB2104" s="538"/>
      <c r="BC2104" s="538"/>
      <c r="BD2104" s="538"/>
      <c r="BE2104" s="538"/>
      <c r="BF2104" s="538"/>
      <c r="BG2104" s="538"/>
      <c r="BH2104" s="538"/>
    </row>
    <row r="2105" spans="1:60" hidden="1" x14ac:dyDescent="0.2">
      <c r="A2105" s="1507">
        <v>9</v>
      </c>
      <c r="B2105" s="1516">
        <v>902.3</v>
      </c>
      <c r="C2105" s="1511" t="s">
        <v>254</v>
      </c>
      <c r="D2105" s="1511" t="s">
        <v>122</v>
      </c>
      <c r="E2105" s="1511"/>
      <c r="F2105" s="1511"/>
      <c r="G2105" s="1509" t="str">
        <f>G2104</f>
        <v/>
      </c>
      <c r="H2105" s="1510" t="s">
        <v>3198</v>
      </c>
      <c r="I2105" s="406"/>
      <c r="J2105" s="213"/>
      <c r="K2105" s="207" t="s">
        <v>122</v>
      </c>
      <c r="L2105" s="550" t="s">
        <v>2758</v>
      </c>
      <c r="M2105" s="1227">
        <v>12</v>
      </c>
      <c r="N2105" s="909"/>
      <c r="O2105" s="1229"/>
      <c r="P2105" s="1233"/>
      <c r="Q2105" s="1233"/>
      <c r="R2105" s="1233"/>
      <c r="S2105" s="1233"/>
      <c r="T2105" s="1233"/>
      <c r="U2105" s="1233"/>
      <c r="V2105" s="96"/>
      <c r="W2105"/>
      <c r="X2105" s="1600"/>
      <c r="Y2105" s="1876"/>
      <c r="Z2105" s="1600"/>
      <c r="AB2105" s="538"/>
      <c r="AC2105" s="538"/>
      <c r="AD2105" s="538"/>
      <c r="AE2105" s="538"/>
      <c r="AF2105" s="538"/>
      <c r="AG2105" s="538"/>
      <c r="AH2105" s="538"/>
      <c r="AI2105" s="538"/>
      <c r="AJ2105" s="538"/>
      <c r="AK2105" s="538"/>
      <c r="AL2105" s="1352" t="str">
        <f>SUBSTITUTE(SUBSTITUTE(SUBSTITUTE("vpa"&amp;$B2105&amp;$C2105&amp;$D2105&amp;$E2105,".","_"),"(","_"),")","")</f>
        <v>vpa902_3_1_b</v>
      </c>
      <c r="AM2105" s="1352">
        <f>M2105</f>
        <v>12</v>
      </c>
      <c r="AN2105" s="1352"/>
      <c r="AO2105" s="1352"/>
      <c r="AP2105" s="1352"/>
      <c r="AQ2105" s="1352"/>
      <c r="AR2105" s="1352"/>
      <c r="AS2105" s="1352"/>
      <c r="AT2105" s="538"/>
      <c r="AU2105" s="538"/>
      <c r="AV2105" s="538"/>
      <c r="AW2105" s="538"/>
      <c r="AX2105" s="538"/>
      <c r="AY2105" s="538"/>
      <c r="AZ2105" s="538"/>
      <c r="BA2105" s="538"/>
      <c r="BB2105" s="538"/>
      <c r="BC2105" s="538"/>
      <c r="BD2105" s="538"/>
      <c r="BE2105" s="538"/>
      <c r="BF2105" s="538"/>
      <c r="BG2105" s="538"/>
      <c r="BH2105" s="538"/>
    </row>
    <row r="2106" spans="1:60" hidden="1" x14ac:dyDescent="0.2">
      <c r="A2106" s="1507">
        <v>9</v>
      </c>
      <c r="B2106" s="1516">
        <v>902.3</v>
      </c>
      <c r="C2106" s="1511" t="s">
        <v>255</v>
      </c>
      <c r="D2106" s="1511"/>
      <c r="E2106" s="1511"/>
      <c r="F2106" s="1511"/>
      <c r="G2106" s="1509" t="str">
        <f ca="1">IF(N2106&gt;0,"P","")</f>
        <v/>
      </c>
      <c r="H2106" s="1510" t="s">
        <v>3198</v>
      </c>
      <c r="I2106" s="406"/>
      <c r="J2106" s="180" t="s">
        <v>255</v>
      </c>
      <c r="K2106" s="129"/>
      <c r="L2106" s="549" t="s">
        <v>2759</v>
      </c>
      <c r="M2106" s="1231"/>
      <c r="N2106" s="908">
        <f ca="1">'11.900'!O259</f>
        <v>0</v>
      </c>
      <c r="O2106" s="1228">
        <f ca="1">IFERROR(INDEX({6,12,12,0,0},MATCH(W2098,INDIRECT(U2098),0)),0)*S2106</f>
        <v>0</v>
      </c>
      <c r="P2106" s="1233"/>
      <c r="Q2106" s="1233"/>
      <c r="R2106" s="1233" t="b">
        <v>0</v>
      </c>
      <c r="S2106" s="1233" t="b">
        <f>OR(BE1863=2,BE1863=3)</f>
        <v>0</v>
      </c>
      <c r="T2106" s="1233"/>
      <c r="U2106" s="1233"/>
      <c r="V2106" s="96"/>
      <c r="W2106"/>
      <c r="X2106" s="1600"/>
      <c r="Y2106" s="1876"/>
      <c r="Z2106" s="1600"/>
      <c r="AB2106" s="538"/>
      <c r="AC2106" s="1150"/>
      <c r="AD2106" s="1150"/>
      <c r="AE2106" s="1150"/>
      <c r="AF2106" s="1150"/>
      <c r="AG2106" s="538"/>
      <c r="AH2106" s="538"/>
      <c r="AI2106" s="538"/>
      <c r="AJ2106" s="538"/>
      <c r="AK2106" s="538"/>
      <c r="AL2106" s="1352"/>
      <c r="AM2106" s="1352"/>
      <c r="AN2106" s="1352" t="str">
        <f>SUBSTITUTE(SUBSTITUTE(SUBSTITUTE("vpc"&amp;$B2106&amp;$C2106&amp;$D2106&amp;$E2106,".","_"),"(","_"),")","")</f>
        <v>vpc902_3_2</v>
      </c>
      <c r="AO2106" s="1352">
        <f ca="1">O2106</f>
        <v>0</v>
      </c>
      <c r="AP2106" s="1352"/>
      <c r="AQ2106" s="1352"/>
      <c r="AR2106" s="1352"/>
      <c r="AS2106" s="1352"/>
      <c r="AT2106" s="538"/>
      <c r="AU2106" s="538"/>
      <c r="AV2106" s="538"/>
      <c r="AW2106" s="538"/>
      <c r="AX2106" s="538"/>
      <c r="AY2106" s="538"/>
      <c r="AZ2106" s="538"/>
      <c r="BA2106" s="538"/>
      <c r="BB2106" s="538"/>
      <c r="BC2106" s="538"/>
      <c r="BD2106" s="538"/>
      <c r="BE2106" s="538"/>
      <c r="BF2106" s="538"/>
      <c r="BG2106" s="538"/>
      <c r="BH2106" s="538"/>
    </row>
    <row r="2107" spans="1:60" hidden="1" x14ac:dyDescent="0.2">
      <c r="A2107" s="1507">
        <v>9</v>
      </c>
      <c r="B2107" s="1516">
        <v>902.3</v>
      </c>
      <c r="C2107" s="1511" t="s">
        <v>255</v>
      </c>
      <c r="D2107" s="1511" t="s">
        <v>121</v>
      </c>
      <c r="E2107" s="1511"/>
      <c r="F2107" s="1511"/>
      <c r="G2107" s="1509" t="str">
        <f ca="1">G2106</f>
        <v/>
      </c>
      <c r="H2107" s="1510" t="s">
        <v>3198</v>
      </c>
      <c r="I2107" s="406"/>
      <c r="J2107" s="129"/>
      <c r="K2107" s="180" t="s">
        <v>121</v>
      </c>
      <c r="L2107" s="928" t="s">
        <v>2760</v>
      </c>
      <c r="M2107" s="1231">
        <v>6</v>
      </c>
      <c r="N2107" s="129"/>
      <c r="O2107" s="1228"/>
      <c r="P2107" s="1226"/>
      <c r="Q2107" s="1226"/>
      <c r="R2107" s="1226"/>
      <c r="S2107" s="1226"/>
      <c r="T2107" s="1226"/>
      <c r="U2107" s="1233"/>
      <c r="V2107" s="991"/>
      <c r="W2107"/>
      <c r="X2107" s="1600"/>
      <c r="Y2107" s="1876"/>
      <c r="Z2107" s="1600"/>
      <c r="AB2107" s="538"/>
      <c r="AC2107" s="538"/>
      <c r="AD2107" s="538"/>
      <c r="AE2107" s="538"/>
      <c r="AF2107" s="720"/>
      <c r="AG2107" s="538"/>
      <c r="AH2107" s="538"/>
      <c r="AI2107" s="538"/>
      <c r="AJ2107" s="538"/>
      <c r="AK2107" s="538"/>
      <c r="AL2107" s="1352" t="str">
        <f>SUBSTITUTE(SUBSTITUTE(SUBSTITUTE("vpa"&amp;$B2107&amp;$C2107&amp;$D2107&amp;$E2107,".","_"),"(","_"),")","")</f>
        <v>vpa902_3_2_a</v>
      </c>
      <c r="AM2107" s="1352">
        <f>M2107</f>
        <v>6</v>
      </c>
      <c r="AN2107" s="1352"/>
      <c r="AO2107" s="1352"/>
      <c r="AP2107" s="1352"/>
      <c r="AQ2107" s="1352"/>
      <c r="AR2107" s="1352"/>
      <c r="AS2107" s="1352"/>
      <c r="AT2107" s="538"/>
      <c r="AU2107" s="538"/>
      <c r="AV2107" s="538"/>
      <c r="AW2107" s="538"/>
      <c r="AX2107" s="538"/>
      <c r="AY2107" s="538"/>
      <c r="AZ2107" s="538"/>
      <c r="BA2107" s="538"/>
      <c r="BB2107" s="538"/>
      <c r="BC2107" s="538"/>
      <c r="BD2107" s="538"/>
      <c r="BE2107" s="538"/>
      <c r="BF2107" s="538"/>
      <c r="BG2107" s="538"/>
      <c r="BH2107" s="538"/>
    </row>
    <row r="2108" spans="1:60" hidden="1" x14ac:dyDescent="0.2">
      <c r="A2108" s="1507">
        <v>9</v>
      </c>
      <c r="B2108" s="1516">
        <v>902.3</v>
      </c>
      <c r="C2108" s="1511" t="s">
        <v>255</v>
      </c>
      <c r="D2108" s="1511" t="s">
        <v>122</v>
      </c>
      <c r="G2108" s="1509" t="str">
        <f ca="1">G2107</f>
        <v/>
      </c>
      <c r="H2108" s="1510" t="s">
        <v>3198</v>
      </c>
      <c r="I2108" s="905"/>
      <c r="J2108" s="905"/>
      <c r="K2108" s="180" t="s">
        <v>122</v>
      </c>
      <c r="L2108" s="928" t="s">
        <v>4885</v>
      </c>
      <c r="M2108" s="1227">
        <v>12</v>
      </c>
      <c r="N2108" s="173"/>
      <c r="O2108" s="1226"/>
      <c r="P2108" s="1226"/>
      <c r="Q2108" s="1226"/>
      <c r="R2108" s="1226"/>
      <c r="S2108" s="1226"/>
      <c r="T2108" s="1226"/>
      <c r="U2108" s="1226"/>
      <c r="V2108"/>
      <c r="W2108"/>
      <c r="X2108" s="1600"/>
      <c r="Y2108" s="1877"/>
      <c r="Z2108" s="1600"/>
      <c r="AA2108"/>
      <c r="AC2108"/>
      <c r="AD2108"/>
      <c r="AE2108"/>
      <c r="AF2108"/>
      <c r="AG2108"/>
      <c r="AH2108"/>
      <c r="AI2108"/>
      <c r="AJ2108"/>
      <c r="AK2108"/>
      <c r="AL2108" s="1352" t="str">
        <f>SUBSTITUTE(SUBSTITUTE(SUBSTITUTE("vpa"&amp;$B2108&amp;$C2108&amp;$D2108&amp;$E2108,".","_"),"(","_"),")","")</f>
        <v>vpa902_3_2_b</v>
      </c>
      <c r="AM2108" s="1352">
        <f>M2108</f>
        <v>12</v>
      </c>
      <c r="AN2108" s="1352"/>
      <c r="AO2108" s="1352"/>
      <c r="AP2108" s="1352"/>
      <c r="AQ2108" s="1352"/>
      <c r="AR2108" s="1352"/>
      <c r="AS2108" s="1352"/>
      <c r="AT2108"/>
    </row>
    <row r="2109" spans="1:60" s="905" customFormat="1" ht="15" hidden="1" customHeight="1" x14ac:dyDescent="0.2">
      <c r="A2109" s="1507">
        <v>9</v>
      </c>
      <c r="B2109" s="1516" t="s">
        <v>4957</v>
      </c>
      <c r="C2109" s="1511" t="s">
        <v>3921</v>
      </c>
      <c r="D2109" s="467"/>
      <c r="E2109" s="467"/>
      <c r="F2109" s="467"/>
      <c r="G2109" s="1509" t="str">
        <f>IF(IFERROR(SEARCH("Mandatory",M2109),FALSE),"P","")</f>
        <v/>
      </c>
      <c r="H2109" s="1510" t="s">
        <v>3198</v>
      </c>
      <c r="I2109" s="608" t="s">
        <v>4897</v>
      </c>
      <c r="J2109" s="1073"/>
      <c r="K2109" s="1073"/>
      <c r="L2109" s="1686" t="s">
        <v>5052</v>
      </c>
      <c r="M2109"/>
      <c r="O2109" s="195"/>
      <c r="P2109" s="1226"/>
      <c r="Q2109" s="1226"/>
      <c r="R2109" s="1226"/>
      <c r="S2109" s="1226"/>
      <c r="T2109" s="1226"/>
      <c r="U2109" s="1226"/>
      <c r="W2109"/>
      <c r="X2109" s="1621"/>
      <c r="Y2109" s="1874" t="str">
        <f>IF(LEN('11.900'!X262)=0,"None",'11.900'!X262)</f>
        <v>None</v>
      </c>
      <c r="Z2109" s="1621"/>
      <c r="AC2109" s="1150"/>
      <c r="AD2109" s="1150"/>
      <c r="AE2109" s="1150"/>
      <c r="AF2109" s="1150"/>
      <c r="AL2109" s="1352"/>
      <c r="AM2109" s="1352"/>
      <c r="AN2109" s="1352"/>
      <c r="AO2109" s="1352"/>
      <c r="AP2109" s="1352"/>
      <c r="AQ2109" s="1352"/>
      <c r="AR2109" s="1352" t="str">
        <f>SUBSTITUTE(SUBSTITUTE(SUBSTITUTE("vnt"&amp;$B2109&amp;$C2109&amp;$D2109&amp;$E2109,".","_"),"(","_"),")","")</f>
        <v>vnt902_3_1_1</v>
      </c>
      <c r="AS2109" s="1352" t="str">
        <f>IF(LEN(X2109)=0,"",X2109)</f>
        <v/>
      </c>
    </row>
    <row r="2110" spans="1:60" s="905" customFormat="1" hidden="1" x14ac:dyDescent="0.2">
      <c r="A2110" s="1507">
        <v>9</v>
      </c>
      <c r="B2110" s="1516" t="s">
        <v>4957</v>
      </c>
      <c r="C2110" s="467"/>
      <c r="D2110" s="467"/>
      <c r="E2110" s="467"/>
      <c r="F2110" s="467"/>
      <c r="G2110" s="1509" t="str">
        <f t="shared" ref="G2110:G2144" si="141">G2109</f>
        <v/>
      </c>
      <c r="H2110" s="1510" t="s">
        <v>3198</v>
      </c>
      <c r="I2110" s="590"/>
      <c r="J2110" s="1068"/>
      <c r="K2110" s="1068"/>
      <c r="L2110" s="1687"/>
      <c r="O2110" s="991"/>
      <c r="X2110" s="1599"/>
      <c r="Y2110" s="1874"/>
      <c r="Z2110" s="1599"/>
      <c r="AL2110" s="1352"/>
      <c r="AM2110" s="1352"/>
      <c r="AN2110" s="1352"/>
      <c r="AO2110" s="1352"/>
      <c r="AP2110" s="1352"/>
      <c r="AQ2110" s="1352"/>
      <c r="AR2110" s="1352"/>
      <c r="AS2110" s="1352"/>
    </row>
    <row r="2111" spans="1:60" s="905" customFormat="1" ht="15" hidden="1" customHeight="1" x14ac:dyDescent="0.2">
      <c r="A2111" s="1507">
        <v>9</v>
      </c>
      <c r="B2111" s="1516" t="s">
        <v>5038</v>
      </c>
      <c r="C2111" s="467"/>
      <c r="D2111" s="467"/>
      <c r="E2111" s="467"/>
      <c r="F2111" s="467"/>
      <c r="G2111" s="1509" t="str">
        <f t="shared" si="141"/>
        <v/>
      </c>
      <c r="H2111" s="1510" t="s">
        <v>3198</v>
      </c>
      <c r="I2111" s="589" t="s">
        <v>5051</v>
      </c>
      <c r="J2111" s="873"/>
      <c r="K2111" s="873"/>
      <c r="L2111" s="1687" t="s">
        <v>5053</v>
      </c>
      <c r="AL2111" s="1352"/>
      <c r="AM2111" s="1352"/>
      <c r="AN2111" s="1352"/>
      <c r="AO2111" s="1352"/>
      <c r="AP2111" s="1352"/>
      <c r="AQ2111" s="1352"/>
      <c r="AR2111" s="1352"/>
      <c r="AS2111" s="1352"/>
    </row>
    <row r="2112" spans="1:60" s="905" customFormat="1" hidden="1" x14ac:dyDescent="0.2">
      <c r="A2112" s="1507">
        <v>9</v>
      </c>
      <c r="B2112" s="1516" t="s">
        <v>5038</v>
      </c>
      <c r="C2112" s="467"/>
      <c r="D2112" s="467"/>
      <c r="E2112" s="467"/>
      <c r="F2112" s="467"/>
      <c r="G2112" s="1509" t="str">
        <f t="shared" si="141"/>
        <v/>
      </c>
      <c r="H2112" s="1510" t="s">
        <v>3198</v>
      </c>
      <c r="I2112" s="589"/>
      <c r="J2112" s="873"/>
      <c r="K2112" s="873"/>
      <c r="L2112" s="1687"/>
      <c r="AL2112" s="1352"/>
      <c r="AM2112" s="1352"/>
      <c r="AN2112" s="1352"/>
      <c r="AO2112" s="1352"/>
      <c r="AP2112" s="1352"/>
      <c r="AQ2112" s="1352"/>
      <c r="AR2112" s="1352"/>
      <c r="AS2112" s="1352"/>
    </row>
    <row r="2113" spans="1:45" s="905" customFormat="1" hidden="1" x14ac:dyDescent="0.2">
      <c r="A2113" s="1507">
        <v>9</v>
      </c>
      <c r="B2113" s="1516" t="s">
        <v>5038</v>
      </c>
      <c r="C2113" s="467"/>
      <c r="D2113" s="467"/>
      <c r="E2113" s="467"/>
      <c r="F2113" s="467"/>
      <c r="G2113" s="1509" t="str">
        <f t="shared" si="141"/>
        <v/>
      </c>
      <c r="H2113" s="1510" t="s">
        <v>3198</v>
      </c>
      <c r="I2113" s="589"/>
      <c r="J2113" s="873"/>
      <c r="K2113" s="873"/>
      <c r="L2113" s="1687"/>
      <c r="AL2113" s="1352"/>
      <c r="AM2113" s="1352"/>
      <c r="AN2113" s="1352"/>
      <c r="AO2113" s="1352"/>
      <c r="AP2113" s="1352"/>
      <c r="AQ2113" s="1352"/>
      <c r="AR2113" s="1352"/>
      <c r="AS2113" s="1352"/>
    </row>
    <row r="2114" spans="1:45" s="905" customFormat="1" hidden="1" x14ac:dyDescent="0.2">
      <c r="A2114" s="1507">
        <v>9</v>
      </c>
      <c r="B2114" s="1516" t="s">
        <v>5038</v>
      </c>
      <c r="C2114" s="467"/>
      <c r="D2114" s="467"/>
      <c r="E2114" s="467"/>
      <c r="F2114" s="467"/>
      <c r="G2114" s="1509" t="str">
        <f t="shared" si="141"/>
        <v/>
      </c>
      <c r="H2114" s="1510" t="s">
        <v>3198</v>
      </c>
      <c r="I2114" s="589"/>
      <c r="J2114" s="873"/>
      <c r="K2114" s="873"/>
      <c r="L2114" s="1687"/>
      <c r="AL2114" s="1352"/>
      <c r="AM2114" s="1352"/>
      <c r="AN2114" s="1352"/>
      <c r="AO2114" s="1352"/>
      <c r="AP2114" s="1352"/>
      <c r="AQ2114" s="1352"/>
      <c r="AR2114" s="1352"/>
      <c r="AS2114" s="1352"/>
    </row>
    <row r="2115" spans="1:45" s="905" customFormat="1" hidden="1" x14ac:dyDescent="0.2">
      <c r="A2115" s="1507">
        <v>9</v>
      </c>
      <c r="B2115" s="1516" t="s">
        <v>5038</v>
      </c>
      <c r="C2115" s="467"/>
      <c r="D2115" s="467"/>
      <c r="E2115" s="467"/>
      <c r="F2115" s="467"/>
      <c r="G2115" s="1509" t="str">
        <f t="shared" si="141"/>
        <v/>
      </c>
      <c r="H2115" s="1510" t="s">
        <v>3198</v>
      </c>
      <c r="I2115" s="589"/>
      <c r="J2115" s="873"/>
      <c r="K2115" s="873"/>
      <c r="L2115" s="1687"/>
      <c r="AL2115" s="1352"/>
      <c r="AM2115" s="1352"/>
      <c r="AN2115" s="1352"/>
      <c r="AO2115" s="1352"/>
      <c r="AP2115" s="1352"/>
      <c r="AQ2115" s="1352"/>
      <c r="AR2115" s="1352"/>
      <c r="AS2115" s="1352"/>
    </row>
    <row r="2116" spans="1:45" s="905" customFormat="1" hidden="1" x14ac:dyDescent="0.2">
      <c r="A2116" s="1507">
        <v>9</v>
      </c>
      <c r="B2116" s="1516" t="s">
        <v>5038</v>
      </c>
      <c r="C2116" s="467"/>
      <c r="D2116" s="467"/>
      <c r="E2116" s="467"/>
      <c r="F2116" s="467"/>
      <c r="G2116" s="1509" t="str">
        <f t="shared" si="141"/>
        <v/>
      </c>
      <c r="H2116" s="1510" t="s">
        <v>3198</v>
      </c>
      <c r="I2116" s="589"/>
      <c r="J2116" s="873"/>
      <c r="K2116" s="873"/>
      <c r="L2116" s="1687"/>
      <c r="AL2116" s="1352"/>
      <c r="AM2116" s="1352"/>
      <c r="AN2116" s="1352"/>
      <c r="AO2116" s="1352"/>
      <c r="AP2116" s="1352"/>
      <c r="AQ2116" s="1352"/>
      <c r="AR2116" s="1352"/>
      <c r="AS2116" s="1352"/>
    </row>
    <row r="2117" spans="1:45" s="905" customFormat="1" hidden="1" x14ac:dyDescent="0.2">
      <c r="A2117" s="1507">
        <v>9</v>
      </c>
      <c r="B2117" s="1516" t="s">
        <v>5038</v>
      </c>
      <c r="C2117" s="467"/>
      <c r="D2117" s="467"/>
      <c r="E2117" s="467"/>
      <c r="F2117" s="467"/>
      <c r="G2117" s="1509" t="str">
        <f t="shared" si="141"/>
        <v/>
      </c>
      <c r="H2117" s="1510" t="s">
        <v>3198</v>
      </c>
      <c r="I2117" s="589"/>
      <c r="J2117" s="873"/>
      <c r="K2117" s="873"/>
      <c r="L2117" s="1687"/>
      <c r="AL2117" s="1352"/>
      <c r="AM2117" s="1352"/>
      <c r="AN2117" s="1352"/>
      <c r="AO2117" s="1352"/>
      <c r="AP2117" s="1352"/>
      <c r="AQ2117" s="1352"/>
      <c r="AR2117" s="1352"/>
      <c r="AS2117" s="1352"/>
    </row>
    <row r="2118" spans="1:45" s="905" customFormat="1" ht="15" hidden="1" customHeight="1" x14ac:dyDescent="0.2">
      <c r="A2118" s="1507">
        <v>9</v>
      </c>
      <c r="B2118" s="1516" t="s">
        <v>5039</v>
      </c>
      <c r="C2118" s="467"/>
      <c r="D2118" s="467"/>
      <c r="E2118" s="467"/>
      <c r="F2118" s="467"/>
      <c r="G2118" s="1509" t="str">
        <f t="shared" si="141"/>
        <v/>
      </c>
      <c r="H2118" s="1510" t="s">
        <v>3198</v>
      </c>
      <c r="I2118" s="608" t="s">
        <v>5050</v>
      </c>
      <c r="J2118" s="1073"/>
      <c r="K2118" s="1073"/>
      <c r="L2118" s="1686" t="s">
        <v>5054</v>
      </c>
      <c r="AL2118" s="1352"/>
      <c r="AM2118" s="1352"/>
      <c r="AN2118" s="1352"/>
      <c r="AO2118" s="1352"/>
      <c r="AP2118" s="1352"/>
      <c r="AQ2118" s="1352"/>
      <c r="AR2118" s="1352"/>
      <c r="AS2118" s="1352"/>
    </row>
    <row r="2119" spans="1:45" s="905" customFormat="1" hidden="1" x14ac:dyDescent="0.2">
      <c r="A2119" s="1507">
        <v>9</v>
      </c>
      <c r="B2119" s="1516" t="s">
        <v>5039</v>
      </c>
      <c r="C2119" s="467"/>
      <c r="D2119" s="467"/>
      <c r="E2119" s="467"/>
      <c r="F2119" s="467"/>
      <c r="G2119" s="1509" t="str">
        <f t="shared" si="141"/>
        <v/>
      </c>
      <c r="H2119" s="1510" t="s">
        <v>3198</v>
      </c>
      <c r="I2119" s="590"/>
      <c r="J2119" s="1068"/>
      <c r="K2119" s="1068"/>
      <c r="L2119" s="1687"/>
      <c r="AL2119" s="1352"/>
      <c r="AM2119" s="1352"/>
      <c r="AN2119" s="1352"/>
      <c r="AO2119" s="1352"/>
      <c r="AP2119" s="1352"/>
      <c r="AQ2119" s="1352"/>
      <c r="AR2119" s="1352"/>
      <c r="AS2119" s="1352"/>
    </row>
    <row r="2120" spans="1:45" s="905" customFormat="1" hidden="1" x14ac:dyDescent="0.2">
      <c r="A2120" s="1507">
        <v>9</v>
      </c>
      <c r="B2120" s="1516" t="s">
        <v>5039</v>
      </c>
      <c r="C2120" s="467"/>
      <c r="D2120" s="467"/>
      <c r="E2120" s="467"/>
      <c r="F2120" s="467"/>
      <c r="G2120" s="1509" t="str">
        <f t="shared" si="141"/>
        <v/>
      </c>
      <c r="H2120" s="1510" t="s">
        <v>3198</v>
      </c>
      <c r="I2120" s="590"/>
      <c r="J2120" s="1068"/>
      <c r="K2120" s="1068"/>
      <c r="L2120" s="1687"/>
      <c r="AL2120" s="1352"/>
      <c r="AM2120" s="1352"/>
      <c r="AN2120" s="1352"/>
      <c r="AO2120" s="1352"/>
      <c r="AP2120" s="1352"/>
      <c r="AQ2120" s="1352"/>
      <c r="AR2120" s="1352"/>
      <c r="AS2120" s="1352"/>
    </row>
    <row r="2121" spans="1:45" s="905" customFormat="1" hidden="1" x14ac:dyDescent="0.2">
      <c r="A2121" s="1507">
        <v>9</v>
      </c>
      <c r="B2121" s="1516" t="s">
        <v>5039</v>
      </c>
      <c r="C2121" s="467"/>
      <c r="D2121" s="467"/>
      <c r="E2121" s="467"/>
      <c r="F2121" s="467"/>
      <c r="G2121" s="1509" t="str">
        <f t="shared" si="141"/>
        <v/>
      </c>
      <c r="H2121" s="1510" t="s">
        <v>3198</v>
      </c>
      <c r="I2121" s="590"/>
      <c r="J2121" s="1068"/>
      <c r="K2121" s="1068"/>
      <c r="L2121" s="1687"/>
      <c r="AL2121" s="1352"/>
      <c r="AM2121" s="1352"/>
      <c r="AN2121" s="1352"/>
      <c r="AO2121" s="1352"/>
      <c r="AP2121" s="1352"/>
      <c r="AQ2121" s="1352"/>
      <c r="AR2121" s="1352"/>
      <c r="AS2121" s="1352"/>
    </row>
    <row r="2122" spans="1:45" s="905" customFormat="1" hidden="1" x14ac:dyDescent="0.2">
      <c r="A2122" s="1507">
        <v>9</v>
      </c>
      <c r="B2122" s="1516" t="s">
        <v>5039</v>
      </c>
      <c r="C2122" s="467"/>
      <c r="D2122" s="467"/>
      <c r="E2122" s="467"/>
      <c r="F2122" s="467"/>
      <c r="G2122" s="1509" t="str">
        <f t="shared" si="141"/>
        <v/>
      </c>
      <c r="H2122" s="1510" t="s">
        <v>3198</v>
      </c>
      <c r="I2122" s="590"/>
      <c r="J2122" s="1068"/>
      <c r="K2122" s="1068"/>
      <c r="L2122" s="1687"/>
      <c r="AL2122" s="1352"/>
      <c r="AM2122" s="1352"/>
      <c r="AN2122" s="1352"/>
      <c r="AO2122" s="1352"/>
      <c r="AP2122" s="1352"/>
      <c r="AQ2122" s="1352"/>
      <c r="AR2122" s="1352"/>
      <c r="AS2122" s="1352"/>
    </row>
    <row r="2123" spans="1:45" s="905" customFormat="1" hidden="1" x14ac:dyDescent="0.2">
      <c r="A2123" s="1507">
        <v>9</v>
      </c>
      <c r="B2123" s="1516" t="s">
        <v>5039</v>
      </c>
      <c r="C2123" s="467"/>
      <c r="D2123" s="467"/>
      <c r="E2123" s="467"/>
      <c r="F2123" s="467"/>
      <c r="G2123" s="1509" t="str">
        <f t="shared" si="141"/>
        <v/>
      </c>
      <c r="H2123" s="1510" t="s">
        <v>3198</v>
      </c>
      <c r="I2123" s="590"/>
      <c r="J2123" s="1068"/>
      <c r="K2123" s="1068"/>
      <c r="L2123" s="1687"/>
      <c r="AL2123" s="1352"/>
      <c r="AM2123" s="1352"/>
      <c r="AN2123" s="1352"/>
      <c r="AO2123" s="1352"/>
      <c r="AP2123" s="1352"/>
      <c r="AQ2123" s="1352"/>
      <c r="AR2123" s="1352"/>
      <c r="AS2123" s="1352"/>
    </row>
    <row r="2124" spans="1:45" s="905" customFormat="1" hidden="1" x14ac:dyDescent="0.2">
      <c r="A2124" s="1507">
        <v>9</v>
      </c>
      <c r="B2124" s="1516" t="s">
        <v>5039</v>
      </c>
      <c r="C2124" s="467"/>
      <c r="D2124" s="467"/>
      <c r="E2124" s="467"/>
      <c r="F2124" s="467"/>
      <c r="G2124" s="1509" t="str">
        <f t="shared" si="141"/>
        <v/>
      </c>
      <c r="H2124" s="1510" t="s">
        <v>3198</v>
      </c>
      <c r="I2124" s="590"/>
      <c r="J2124" s="1068"/>
      <c r="K2124" s="1068"/>
      <c r="L2124" s="1687"/>
      <c r="AL2124" s="1352"/>
      <c r="AM2124" s="1352"/>
      <c r="AN2124" s="1352"/>
      <c r="AO2124" s="1352"/>
      <c r="AP2124" s="1352"/>
      <c r="AQ2124" s="1352"/>
      <c r="AR2124" s="1352"/>
      <c r="AS2124" s="1352"/>
    </row>
    <row r="2125" spans="1:45" s="905" customFormat="1" ht="15" hidden="1" customHeight="1" x14ac:dyDescent="0.2">
      <c r="A2125" s="1507">
        <v>9</v>
      </c>
      <c r="B2125" s="1516" t="s">
        <v>5040</v>
      </c>
      <c r="C2125" s="467"/>
      <c r="D2125" s="467"/>
      <c r="E2125" s="467"/>
      <c r="F2125" s="467"/>
      <c r="G2125" s="1509" t="str">
        <f t="shared" si="141"/>
        <v/>
      </c>
      <c r="H2125" s="1510" t="s">
        <v>3198</v>
      </c>
      <c r="I2125" s="608" t="s">
        <v>5049</v>
      </c>
      <c r="J2125" s="1073"/>
      <c r="K2125" s="1073"/>
      <c r="L2125" s="1686" t="s">
        <v>5055</v>
      </c>
      <c r="AL2125" s="1352"/>
      <c r="AM2125" s="1352"/>
      <c r="AN2125" s="1352"/>
      <c r="AO2125" s="1352"/>
      <c r="AP2125" s="1352"/>
      <c r="AQ2125" s="1352"/>
      <c r="AR2125" s="1352"/>
      <c r="AS2125" s="1352"/>
    </row>
    <row r="2126" spans="1:45" s="905" customFormat="1" hidden="1" x14ac:dyDescent="0.2">
      <c r="A2126" s="1507">
        <v>9</v>
      </c>
      <c r="B2126" s="1516" t="s">
        <v>5040</v>
      </c>
      <c r="C2126" s="467"/>
      <c r="D2126" s="467"/>
      <c r="E2126" s="467"/>
      <c r="F2126" s="467"/>
      <c r="G2126" s="1509" t="str">
        <f t="shared" si="141"/>
        <v/>
      </c>
      <c r="H2126" s="1510" t="s">
        <v>3198</v>
      </c>
      <c r="I2126" s="590"/>
      <c r="J2126" s="1068"/>
      <c r="K2126" s="1068"/>
      <c r="L2126" s="1687"/>
      <c r="AL2126" s="1352"/>
      <c r="AM2126" s="1352"/>
      <c r="AN2126" s="1352"/>
      <c r="AO2126" s="1352"/>
      <c r="AP2126" s="1352"/>
      <c r="AQ2126" s="1352"/>
      <c r="AR2126" s="1352"/>
      <c r="AS2126" s="1352"/>
    </row>
    <row r="2127" spans="1:45" s="905" customFormat="1" hidden="1" x14ac:dyDescent="0.2">
      <c r="A2127" s="1507">
        <v>9</v>
      </c>
      <c r="B2127" s="1516" t="s">
        <v>5040</v>
      </c>
      <c r="C2127" s="467"/>
      <c r="D2127" s="467"/>
      <c r="E2127" s="467"/>
      <c r="F2127" s="467"/>
      <c r="G2127" s="1509" t="str">
        <f t="shared" si="141"/>
        <v/>
      </c>
      <c r="H2127" s="1510" t="s">
        <v>3198</v>
      </c>
      <c r="I2127" s="590"/>
      <c r="J2127" s="1068"/>
      <c r="K2127" s="1068"/>
      <c r="L2127" s="1687"/>
      <c r="AL2127" s="1352"/>
      <c r="AM2127" s="1352"/>
      <c r="AN2127" s="1352"/>
      <c r="AO2127" s="1352"/>
      <c r="AP2127" s="1352"/>
      <c r="AQ2127" s="1352"/>
      <c r="AR2127" s="1352"/>
      <c r="AS2127" s="1352"/>
    </row>
    <row r="2128" spans="1:45" s="905" customFormat="1" hidden="1" x14ac:dyDescent="0.2">
      <c r="A2128" s="1507">
        <v>9</v>
      </c>
      <c r="B2128" s="1516" t="s">
        <v>5040</v>
      </c>
      <c r="C2128" s="467"/>
      <c r="D2128" s="467"/>
      <c r="E2128" s="467"/>
      <c r="F2128" s="467"/>
      <c r="G2128" s="1509" t="str">
        <f t="shared" si="141"/>
        <v/>
      </c>
      <c r="H2128" s="1510" t="s">
        <v>3198</v>
      </c>
      <c r="I2128" s="590"/>
      <c r="J2128" s="1068"/>
      <c r="K2128" s="1068"/>
      <c r="L2128" s="1687"/>
      <c r="AL2128" s="1352"/>
      <c r="AM2128" s="1352"/>
      <c r="AN2128" s="1352"/>
      <c r="AO2128" s="1352"/>
      <c r="AP2128" s="1352"/>
      <c r="AQ2128" s="1352"/>
      <c r="AR2128" s="1352"/>
      <c r="AS2128" s="1352"/>
    </row>
    <row r="2129" spans="1:45" s="905" customFormat="1" hidden="1" x14ac:dyDescent="0.2">
      <c r="A2129" s="1507">
        <v>9</v>
      </c>
      <c r="B2129" s="1516" t="s">
        <v>5040</v>
      </c>
      <c r="C2129" s="467"/>
      <c r="D2129" s="467"/>
      <c r="E2129" s="467"/>
      <c r="F2129" s="467"/>
      <c r="G2129" s="1509" t="str">
        <f t="shared" si="141"/>
        <v/>
      </c>
      <c r="H2129" s="1510" t="s">
        <v>3198</v>
      </c>
      <c r="I2129" s="590"/>
      <c r="J2129" s="1068"/>
      <c r="K2129" s="1068"/>
      <c r="L2129" s="1687"/>
      <c r="AL2129" s="1352"/>
      <c r="AM2129" s="1352"/>
      <c r="AN2129" s="1352"/>
      <c r="AO2129" s="1352"/>
      <c r="AP2129" s="1352"/>
      <c r="AQ2129" s="1352"/>
      <c r="AR2129" s="1352"/>
      <c r="AS2129" s="1352"/>
    </row>
    <row r="2130" spans="1:45" s="905" customFormat="1" hidden="1" x14ac:dyDescent="0.2">
      <c r="A2130" s="1507">
        <v>9</v>
      </c>
      <c r="B2130" s="1516" t="s">
        <v>5040</v>
      </c>
      <c r="C2130" s="467"/>
      <c r="D2130" s="467"/>
      <c r="E2130" s="467"/>
      <c r="F2130" s="467"/>
      <c r="G2130" s="1509" t="str">
        <f t="shared" si="141"/>
        <v/>
      </c>
      <c r="H2130" s="1510" t="s">
        <v>3198</v>
      </c>
      <c r="I2130" s="590"/>
      <c r="J2130" s="1068"/>
      <c r="K2130" s="1068"/>
      <c r="L2130" s="1687"/>
      <c r="AL2130" s="1352"/>
      <c r="AM2130" s="1352"/>
      <c r="AN2130" s="1352"/>
      <c r="AO2130" s="1352"/>
      <c r="AP2130" s="1352"/>
      <c r="AQ2130" s="1352"/>
      <c r="AR2130" s="1352"/>
      <c r="AS2130" s="1352"/>
    </row>
    <row r="2131" spans="1:45" s="905" customFormat="1" ht="15" hidden="1" customHeight="1" x14ac:dyDescent="0.2">
      <c r="A2131" s="1507">
        <v>9</v>
      </c>
      <c r="B2131" s="1516" t="s">
        <v>5041</v>
      </c>
      <c r="C2131" s="467"/>
      <c r="D2131" s="467"/>
      <c r="E2131" s="467"/>
      <c r="F2131" s="467"/>
      <c r="G2131" s="1509" t="str">
        <f t="shared" si="141"/>
        <v/>
      </c>
      <c r="H2131" s="1510" t="s">
        <v>3198</v>
      </c>
      <c r="I2131" s="608" t="s">
        <v>5048</v>
      </c>
      <c r="J2131" s="1073"/>
      <c r="K2131" s="1073"/>
      <c r="L2131" s="1686" t="s">
        <v>5056</v>
      </c>
      <c r="AL2131" s="1352"/>
      <c r="AM2131" s="1352"/>
      <c r="AN2131" s="1352"/>
      <c r="AO2131" s="1352"/>
      <c r="AP2131" s="1352"/>
      <c r="AQ2131" s="1352"/>
      <c r="AR2131" s="1352"/>
      <c r="AS2131" s="1352"/>
    </row>
    <row r="2132" spans="1:45" s="905" customFormat="1" hidden="1" x14ac:dyDescent="0.2">
      <c r="A2132" s="1507">
        <v>9</v>
      </c>
      <c r="B2132" s="1516" t="s">
        <v>5041</v>
      </c>
      <c r="C2132" s="467"/>
      <c r="D2132" s="467"/>
      <c r="E2132" s="467"/>
      <c r="F2132" s="467"/>
      <c r="G2132" s="1509" t="str">
        <f t="shared" si="141"/>
        <v/>
      </c>
      <c r="H2132" s="1510" t="s">
        <v>3198</v>
      </c>
      <c r="I2132" s="590"/>
      <c r="J2132" s="1068"/>
      <c r="K2132" s="1068"/>
      <c r="L2132" s="1687"/>
      <c r="AL2132" s="1352"/>
      <c r="AM2132" s="1352"/>
      <c r="AN2132" s="1352"/>
      <c r="AO2132" s="1352"/>
      <c r="AP2132" s="1352"/>
      <c r="AQ2132" s="1352"/>
      <c r="AR2132" s="1352"/>
      <c r="AS2132" s="1352"/>
    </row>
    <row r="2133" spans="1:45" s="905" customFormat="1" hidden="1" x14ac:dyDescent="0.2">
      <c r="A2133" s="1507">
        <v>9</v>
      </c>
      <c r="B2133" s="1516" t="s">
        <v>5041</v>
      </c>
      <c r="C2133" s="467"/>
      <c r="D2133" s="467"/>
      <c r="E2133" s="467"/>
      <c r="F2133" s="467"/>
      <c r="G2133" s="1509" t="str">
        <f t="shared" si="141"/>
        <v/>
      </c>
      <c r="H2133" s="1510" t="s">
        <v>3198</v>
      </c>
      <c r="I2133" s="590"/>
      <c r="J2133" s="1068"/>
      <c r="K2133" s="1068"/>
      <c r="L2133" s="1687"/>
      <c r="AL2133" s="1352"/>
      <c r="AM2133" s="1352"/>
      <c r="AN2133" s="1352"/>
      <c r="AO2133" s="1352"/>
      <c r="AP2133" s="1352"/>
      <c r="AQ2133" s="1352"/>
      <c r="AR2133" s="1352"/>
      <c r="AS2133" s="1352"/>
    </row>
    <row r="2134" spans="1:45" s="905" customFormat="1" hidden="1" x14ac:dyDescent="0.2">
      <c r="A2134" s="1507">
        <v>9</v>
      </c>
      <c r="B2134" s="1516" t="s">
        <v>5041</v>
      </c>
      <c r="C2134" s="467"/>
      <c r="D2134" s="467"/>
      <c r="E2134" s="467"/>
      <c r="F2134" s="467"/>
      <c r="G2134" s="1509" t="str">
        <f t="shared" si="141"/>
        <v/>
      </c>
      <c r="H2134" s="1510" t="s">
        <v>3198</v>
      </c>
      <c r="I2134" s="590"/>
      <c r="J2134" s="1068"/>
      <c r="K2134" s="1068"/>
      <c r="L2134" s="1687"/>
      <c r="AL2134" s="1352"/>
      <c r="AM2134" s="1352"/>
      <c r="AN2134" s="1352"/>
      <c r="AO2134" s="1352"/>
      <c r="AP2134" s="1352"/>
      <c r="AQ2134" s="1352"/>
      <c r="AR2134" s="1352"/>
      <c r="AS2134" s="1352"/>
    </row>
    <row r="2135" spans="1:45" s="905" customFormat="1" hidden="1" x14ac:dyDescent="0.2">
      <c r="A2135" s="1507">
        <v>9</v>
      </c>
      <c r="B2135" s="1516" t="s">
        <v>5041</v>
      </c>
      <c r="C2135" s="467"/>
      <c r="D2135" s="467"/>
      <c r="E2135" s="467"/>
      <c r="F2135" s="467"/>
      <c r="G2135" s="1509" t="str">
        <f t="shared" si="141"/>
        <v/>
      </c>
      <c r="H2135" s="1510" t="s">
        <v>3198</v>
      </c>
      <c r="I2135" s="590"/>
      <c r="J2135" s="1068"/>
      <c r="K2135" s="1068"/>
      <c r="L2135" s="1687"/>
      <c r="AL2135" s="1352"/>
      <c r="AM2135" s="1352"/>
      <c r="AN2135" s="1352"/>
      <c r="AO2135" s="1352"/>
      <c r="AP2135" s="1352"/>
      <c r="AQ2135" s="1352"/>
      <c r="AR2135" s="1352"/>
      <c r="AS2135" s="1352"/>
    </row>
    <row r="2136" spans="1:45" s="905" customFormat="1" ht="15" hidden="1" customHeight="1" x14ac:dyDescent="0.2">
      <c r="A2136" s="1507">
        <v>9</v>
      </c>
      <c r="B2136" s="1516" t="s">
        <v>5042</v>
      </c>
      <c r="C2136" s="467"/>
      <c r="D2136" s="467"/>
      <c r="E2136" s="467"/>
      <c r="F2136" s="467"/>
      <c r="G2136" s="1509" t="str">
        <f t="shared" si="141"/>
        <v/>
      </c>
      <c r="H2136" s="1510" t="s">
        <v>3198</v>
      </c>
      <c r="I2136" s="608" t="s">
        <v>5047</v>
      </c>
      <c r="J2136" s="1073"/>
      <c r="K2136" s="1073"/>
      <c r="L2136" s="1686" t="s">
        <v>5057</v>
      </c>
      <c r="AL2136" s="1352"/>
      <c r="AM2136" s="1352"/>
      <c r="AN2136" s="1352"/>
      <c r="AO2136" s="1352"/>
      <c r="AP2136" s="1352"/>
      <c r="AQ2136" s="1352"/>
      <c r="AR2136" s="1352"/>
      <c r="AS2136" s="1352"/>
    </row>
    <row r="2137" spans="1:45" s="905" customFormat="1" hidden="1" x14ac:dyDescent="0.2">
      <c r="A2137" s="1507">
        <v>9</v>
      </c>
      <c r="B2137" s="1516" t="s">
        <v>5042</v>
      </c>
      <c r="C2137" s="467"/>
      <c r="D2137" s="467"/>
      <c r="E2137" s="467"/>
      <c r="F2137" s="467"/>
      <c r="G2137" s="1509" t="str">
        <f t="shared" si="141"/>
        <v/>
      </c>
      <c r="H2137" s="1510" t="s">
        <v>3198</v>
      </c>
      <c r="I2137" s="590"/>
      <c r="J2137" s="1068"/>
      <c r="K2137" s="1068"/>
      <c r="L2137" s="1687"/>
      <c r="AL2137" s="1352"/>
      <c r="AM2137" s="1352"/>
      <c r="AN2137" s="1352"/>
      <c r="AO2137" s="1352"/>
      <c r="AP2137" s="1352"/>
      <c r="AQ2137" s="1352"/>
      <c r="AR2137" s="1352"/>
      <c r="AS2137" s="1352"/>
    </row>
    <row r="2138" spans="1:45" s="905" customFormat="1" ht="15" hidden="1" customHeight="1" x14ac:dyDescent="0.2">
      <c r="A2138" s="1507">
        <v>9</v>
      </c>
      <c r="B2138" s="1516" t="s">
        <v>5043</v>
      </c>
      <c r="C2138" s="467"/>
      <c r="D2138" s="467"/>
      <c r="E2138" s="467"/>
      <c r="F2138" s="467"/>
      <c r="G2138" s="1509" t="str">
        <f t="shared" si="141"/>
        <v/>
      </c>
      <c r="H2138" s="1510" t="s">
        <v>3198</v>
      </c>
      <c r="I2138" s="608" t="s">
        <v>5046</v>
      </c>
      <c r="J2138" s="1073"/>
      <c r="K2138" s="1073"/>
      <c r="L2138" s="1686" t="s">
        <v>5058</v>
      </c>
      <c r="AL2138" s="1352"/>
      <c r="AM2138" s="1352"/>
      <c r="AN2138" s="1352"/>
      <c r="AO2138" s="1352"/>
      <c r="AP2138" s="1352"/>
      <c r="AQ2138" s="1352"/>
      <c r="AR2138" s="1352"/>
      <c r="AS2138" s="1352"/>
    </row>
    <row r="2139" spans="1:45" s="905" customFormat="1" hidden="1" x14ac:dyDescent="0.2">
      <c r="A2139" s="1507">
        <v>9</v>
      </c>
      <c r="B2139" s="1516" t="s">
        <v>5043</v>
      </c>
      <c r="C2139" s="467"/>
      <c r="D2139" s="467"/>
      <c r="E2139" s="467"/>
      <c r="F2139" s="467"/>
      <c r="G2139" s="1509" t="str">
        <f t="shared" si="141"/>
        <v/>
      </c>
      <c r="H2139" s="1510" t="s">
        <v>3198</v>
      </c>
      <c r="I2139" s="590"/>
      <c r="J2139" s="1068"/>
      <c r="K2139" s="1068"/>
      <c r="L2139" s="1687"/>
      <c r="AL2139" s="1352"/>
      <c r="AM2139" s="1352"/>
      <c r="AN2139" s="1352"/>
      <c r="AO2139" s="1352"/>
      <c r="AP2139" s="1352"/>
      <c r="AQ2139" s="1352"/>
      <c r="AR2139" s="1352"/>
      <c r="AS2139" s="1352"/>
    </row>
    <row r="2140" spans="1:45" s="905" customFormat="1" hidden="1" x14ac:dyDescent="0.2">
      <c r="A2140" s="1507">
        <v>9</v>
      </c>
      <c r="B2140" s="1516" t="s">
        <v>5043</v>
      </c>
      <c r="C2140" s="467"/>
      <c r="D2140" s="467"/>
      <c r="E2140" s="467"/>
      <c r="F2140" s="467"/>
      <c r="G2140" s="1509" t="str">
        <f t="shared" si="141"/>
        <v/>
      </c>
      <c r="H2140" s="1510" t="s">
        <v>3198</v>
      </c>
      <c r="I2140" s="590"/>
      <c r="J2140" s="1068"/>
      <c r="K2140" s="1068"/>
      <c r="L2140" s="1687"/>
      <c r="AL2140" s="1352"/>
      <c r="AM2140" s="1352"/>
      <c r="AN2140" s="1352"/>
      <c r="AO2140" s="1352"/>
      <c r="AP2140" s="1352"/>
      <c r="AQ2140" s="1352"/>
      <c r="AR2140" s="1352"/>
      <c r="AS2140" s="1352"/>
    </row>
    <row r="2141" spans="1:45" s="905" customFormat="1" hidden="1" x14ac:dyDescent="0.2">
      <c r="A2141" s="1507">
        <v>9</v>
      </c>
      <c r="B2141" s="1516" t="s">
        <v>5043</v>
      </c>
      <c r="C2141" s="467"/>
      <c r="D2141" s="467"/>
      <c r="E2141" s="467"/>
      <c r="F2141" s="467"/>
      <c r="G2141" s="1509" t="str">
        <f t="shared" si="141"/>
        <v/>
      </c>
      <c r="H2141" s="1510" t="s">
        <v>3198</v>
      </c>
      <c r="I2141" s="590"/>
      <c r="J2141" s="1068"/>
      <c r="K2141" s="1068"/>
      <c r="L2141" s="1687"/>
      <c r="AL2141" s="1352"/>
      <c r="AM2141" s="1352"/>
      <c r="AN2141" s="1352"/>
      <c r="AO2141" s="1352"/>
      <c r="AP2141" s="1352"/>
      <c r="AQ2141" s="1352"/>
      <c r="AR2141" s="1352"/>
      <c r="AS2141" s="1352"/>
    </row>
    <row r="2142" spans="1:45" s="905" customFormat="1" ht="15" hidden="1" customHeight="1" x14ac:dyDescent="0.2">
      <c r="A2142" s="1507">
        <v>9</v>
      </c>
      <c r="B2142" s="1516" t="s">
        <v>5044</v>
      </c>
      <c r="C2142" s="467"/>
      <c r="D2142" s="467"/>
      <c r="E2142" s="467"/>
      <c r="F2142" s="467"/>
      <c r="G2142" s="1509" t="str">
        <f t="shared" si="141"/>
        <v/>
      </c>
      <c r="H2142" s="1510" t="s">
        <v>3198</v>
      </c>
      <c r="I2142" s="608" t="s">
        <v>5045</v>
      </c>
      <c r="J2142" s="1073"/>
      <c r="K2142" s="1073"/>
      <c r="L2142" s="1686" t="s">
        <v>5059</v>
      </c>
      <c r="AL2142" s="1352"/>
      <c r="AM2142" s="1352"/>
      <c r="AN2142" s="1352"/>
      <c r="AO2142" s="1352"/>
      <c r="AP2142" s="1352"/>
      <c r="AQ2142" s="1352"/>
      <c r="AR2142" s="1352"/>
      <c r="AS2142" s="1352"/>
    </row>
    <row r="2143" spans="1:45" s="905" customFormat="1" hidden="1" x14ac:dyDescent="0.2">
      <c r="A2143" s="1507">
        <v>9</v>
      </c>
      <c r="B2143" s="1516" t="s">
        <v>5044</v>
      </c>
      <c r="C2143" s="467"/>
      <c r="D2143" s="467"/>
      <c r="E2143" s="467"/>
      <c r="F2143" s="467"/>
      <c r="G2143" s="1509" t="str">
        <f t="shared" si="141"/>
        <v/>
      </c>
      <c r="H2143" s="1510" t="s">
        <v>3198</v>
      </c>
      <c r="I2143" s="590"/>
      <c r="J2143" s="1068"/>
      <c r="K2143" s="1068"/>
      <c r="L2143" s="1687"/>
      <c r="AL2143" s="1352"/>
      <c r="AM2143" s="1352"/>
      <c r="AN2143" s="1352"/>
      <c r="AO2143" s="1352"/>
      <c r="AP2143" s="1352"/>
      <c r="AQ2143" s="1352"/>
      <c r="AR2143" s="1352"/>
      <c r="AS2143" s="1352"/>
    </row>
    <row r="2144" spans="1:45" s="905" customFormat="1" hidden="1" x14ac:dyDescent="0.2">
      <c r="A2144" s="1507">
        <v>9</v>
      </c>
      <c r="B2144" s="1516" t="s">
        <v>5044</v>
      </c>
      <c r="C2144" s="467"/>
      <c r="D2144" s="467"/>
      <c r="E2144" s="467"/>
      <c r="F2144" s="467"/>
      <c r="G2144" s="1509" t="str">
        <f t="shared" si="141"/>
        <v/>
      </c>
      <c r="H2144" s="1510" t="s">
        <v>3198</v>
      </c>
      <c r="I2144" s="590"/>
      <c r="J2144" s="1068"/>
      <c r="K2144" s="1068"/>
      <c r="L2144" s="1687"/>
      <c r="AL2144" s="1352"/>
      <c r="AM2144" s="1352"/>
      <c r="AN2144" s="1352"/>
      <c r="AO2144" s="1352"/>
      <c r="AP2144" s="1352"/>
      <c r="AQ2144" s="1352"/>
      <c r="AR2144" s="1352"/>
      <c r="AS2144" s="1352"/>
    </row>
    <row r="2145" spans="1:45" s="905" customFormat="1" ht="15" hidden="1" customHeight="1" x14ac:dyDescent="0.2">
      <c r="A2145" s="1507">
        <v>9</v>
      </c>
      <c r="B2145" s="1516" t="s">
        <v>4958</v>
      </c>
      <c r="C2145" s="467"/>
      <c r="D2145" s="467"/>
      <c r="E2145" s="467"/>
      <c r="F2145" s="467"/>
      <c r="G2145" s="1513" t="str">
        <f ca="1">IF(COUNTIF(G2149:G2172,"P")&gt;0,"P","")</f>
        <v/>
      </c>
      <c r="H2145" s="1510" t="s">
        <v>3197</v>
      </c>
      <c r="I2145" s="608" t="s">
        <v>4883</v>
      </c>
      <c r="J2145" s="1073"/>
      <c r="K2145" s="1073"/>
      <c r="L2145" s="1686" t="s">
        <v>5060</v>
      </c>
      <c r="M2145" s="195"/>
      <c r="N2145" s="195"/>
      <c r="O2145" s="195"/>
      <c r="P2145" s="195"/>
      <c r="Q2145" s="195"/>
      <c r="R2145" s="195"/>
      <c r="S2145" s="195"/>
      <c r="T2145" s="195"/>
      <c r="AL2145" s="1352"/>
      <c r="AM2145" s="1352"/>
      <c r="AN2145" s="1352"/>
      <c r="AO2145" s="1352"/>
      <c r="AP2145" s="1352"/>
      <c r="AQ2145" s="1352"/>
      <c r="AR2145" s="1352"/>
      <c r="AS2145" s="1352"/>
    </row>
    <row r="2146" spans="1:45" s="905" customFormat="1" hidden="1" x14ac:dyDescent="0.2">
      <c r="A2146" s="1507">
        <v>9</v>
      </c>
      <c r="B2146" s="1516" t="s">
        <v>4958</v>
      </c>
      <c r="C2146" s="467"/>
      <c r="D2146" s="467"/>
      <c r="E2146" s="467"/>
      <c r="F2146" s="467"/>
      <c r="G2146" s="1509" t="str">
        <f ca="1">G2145</f>
        <v/>
      </c>
      <c r="H2146" s="1510" t="s">
        <v>3197</v>
      </c>
      <c r="I2146" s="590"/>
      <c r="J2146" s="1068"/>
      <c r="K2146" s="1068"/>
      <c r="L2146" s="1687"/>
      <c r="M2146" s="991"/>
      <c r="N2146" s="991"/>
      <c r="O2146" s="991"/>
      <c r="P2146" s="991"/>
      <c r="Q2146" s="991"/>
      <c r="R2146" s="991"/>
      <c r="S2146" s="991"/>
      <c r="T2146" s="991"/>
      <c r="W2146" s="991" t="s">
        <v>4898</v>
      </c>
      <c r="AL2146" s="1352"/>
      <c r="AM2146" s="1352"/>
      <c r="AN2146" s="1352"/>
      <c r="AO2146" s="1352"/>
      <c r="AP2146" s="1352"/>
      <c r="AQ2146" s="1352"/>
      <c r="AR2146" s="1352"/>
      <c r="AS2146" s="1352"/>
    </row>
    <row r="2147" spans="1:45" s="905" customFormat="1" hidden="1" x14ac:dyDescent="0.2">
      <c r="A2147" s="1507">
        <v>9</v>
      </c>
      <c r="B2147" s="1516" t="s">
        <v>4958</v>
      </c>
      <c r="C2147" s="467"/>
      <c r="D2147" s="467"/>
      <c r="E2147" s="467"/>
      <c r="F2147" s="467"/>
      <c r="G2147" s="1509" t="str">
        <f ca="1">G2146</f>
        <v/>
      </c>
      <c r="H2147" s="1510" t="s">
        <v>3197</v>
      </c>
      <c r="I2147" s="590"/>
      <c r="J2147" s="1068"/>
      <c r="K2147" s="1068"/>
      <c r="L2147" s="1687"/>
      <c r="M2147" s="991"/>
      <c r="N2147" s="991"/>
      <c r="O2147" s="991"/>
      <c r="P2147" s="991" t="b">
        <v>1</v>
      </c>
      <c r="Q2147" s="991" t="b">
        <v>1</v>
      </c>
      <c r="R2147" s="991" t="b">
        <v>0</v>
      </c>
      <c r="S2147" s="1233" t="b">
        <f ca="1">IFERROR(MATCH(W2098,INDIRECT(U2098),0)=4,FALSE)</f>
        <v>0</v>
      </c>
      <c r="T2147" s="991" t="b">
        <v>0</v>
      </c>
      <c r="W2147" s="27"/>
      <c r="AC2147" s="1150" t="b">
        <f>OR(AD2147:AE2147)</f>
        <v>0</v>
      </c>
      <c r="AD2147" s="1150" t="b">
        <f>T2147</f>
        <v>0</v>
      </c>
      <c r="AE2147" s="1150"/>
      <c r="AL2147" s="1352"/>
      <c r="AM2147" s="1352"/>
      <c r="AN2147" s="1352"/>
      <c r="AO2147" s="1352"/>
      <c r="AP2147" s="1352" t="str">
        <f>SUBSTITUTE(SUBSTITUTE(SUBSTITUTE("vch"&amp;$B2147&amp;$C2147&amp;$D2147&amp;$E2147,".","_"),"(","_"),")","")</f>
        <v>vch902_3_2</v>
      </c>
      <c r="AQ2147" s="1352" t="str">
        <f>IF(LEN(W2147)=0,"",W2147)</f>
        <v/>
      </c>
      <c r="AR2147" s="1352"/>
      <c r="AS2147" s="1352"/>
    </row>
    <row r="2148" spans="1:45" s="905" customFormat="1" hidden="1" x14ac:dyDescent="0.2">
      <c r="A2148" s="1507">
        <v>9</v>
      </c>
      <c r="B2148" s="1516" t="s">
        <v>4958</v>
      </c>
      <c r="C2148" s="467"/>
      <c r="D2148" s="467"/>
      <c r="E2148" s="467"/>
      <c r="F2148" s="467"/>
      <c r="G2148" s="1509" t="str">
        <f ca="1">G2147</f>
        <v/>
      </c>
      <c r="H2148" s="1510" t="s">
        <v>3197</v>
      </c>
      <c r="I2148" s="590"/>
      <c r="J2148" s="1068"/>
      <c r="K2148" s="1068"/>
      <c r="L2148" s="1687"/>
      <c r="M2148" s="991"/>
      <c r="N2148" s="991"/>
      <c r="O2148" s="991"/>
      <c r="P2148" s="991"/>
      <c r="Q2148" s="991"/>
      <c r="R2148" s="991"/>
      <c r="S2148" s="1233"/>
      <c r="T2148" s="991"/>
      <c r="AC2148" s="1150"/>
      <c r="AD2148" s="1150"/>
      <c r="AE2148" s="1150"/>
      <c r="AL2148" s="1352"/>
      <c r="AM2148" s="1352"/>
      <c r="AN2148" s="1352"/>
      <c r="AO2148" s="1352"/>
      <c r="AP2148" s="1352"/>
      <c r="AQ2148" s="1352"/>
      <c r="AR2148" s="1352"/>
      <c r="AS2148" s="1352"/>
    </row>
    <row r="2149" spans="1:45" s="905" customFormat="1" ht="15" hidden="1" customHeight="1" x14ac:dyDescent="0.2">
      <c r="A2149" s="1507">
        <v>9</v>
      </c>
      <c r="B2149" s="1516" t="s">
        <v>4958</v>
      </c>
      <c r="C2149" s="1511" t="s">
        <v>254</v>
      </c>
      <c r="D2149" s="467"/>
      <c r="E2149" s="467"/>
      <c r="F2149" s="467"/>
      <c r="G2149" s="1509" t="str">
        <f ca="1">IF(N2149&gt;0,"P","")</f>
        <v/>
      </c>
      <c r="H2149" s="1510" t="s">
        <v>3199</v>
      </c>
      <c r="I2149" s="589"/>
      <c r="J2149" s="873" t="s">
        <v>254</v>
      </c>
      <c r="K2149" s="873"/>
      <c r="L2149" s="1634" t="s">
        <v>4995</v>
      </c>
      <c r="M2149" s="971">
        <v>8</v>
      </c>
      <c r="N2149" s="908">
        <f ca="1">'11.900'!O302</f>
        <v>0</v>
      </c>
      <c r="O2149" s="930">
        <f ca="1">M2149*S2149*W2149</f>
        <v>0</v>
      </c>
      <c r="P2149" s="905" t="b">
        <v>0</v>
      </c>
      <c r="Q2149" s="905" t="b">
        <v>1</v>
      </c>
      <c r="R2149" s="905" t="b">
        <f ca="1">AND(S2149, NOT(W2147=TRUE), BE1863=1)</f>
        <v>0</v>
      </c>
      <c r="S2149" s="1226" t="b">
        <f ca="1">IFERROR(MATCH(W2098,INDIRECT(U2098),0)=4,FALSE)</f>
        <v>0</v>
      </c>
      <c r="T2149" s="905" t="b">
        <v>0</v>
      </c>
      <c r="W2149" s="27"/>
      <c r="X2149" s="1600"/>
      <c r="Y2149" s="1874" t="str">
        <f>IF(LEN('11.900'!X302)=0,"None",'11.900'!X302)</f>
        <v>None</v>
      </c>
      <c r="Z2149" s="1600"/>
      <c r="AC2149" s="1150" t="b">
        <f ca="1">OR(AD2149:AE2149)</f>
        <v>0</v>
      </c>
      <c r="AD2149" s="1150" t="b">
        <f>T2149</f>
        <v>0</v>
      </c>
      <c r="AE2149" s="1150" t="b">
        <f ca="1">AND(R2149,NOT(W2149))</f>
        <v>0</v>
      </c>
      <c r="AL2149" s="1352" t="str">
        <f>SUBSTITUTE(SUBSTITUTE(SUBSTITUTE("vpa"&amp;$B2149&amp;$C2149&amp;$D2149&amp;$E2149,".","_"),"(","_"),")","")</f>
        <v>vpa902_3_2_1</v>
      </c>
      <c r="AM2149" s="1352">
        <f>M2149</f>
        <v>8</v>
      </c>
      <c r="AN2149" s="1352" t="str">
        <f>SUBSTITUTE(SUBSTITUTE(SUBSTITUTE("vpc"&amp;$B2149&amp;$C2149&amp;$D2149&amp;$E2149,".","_"),"(","_"),")","")</f>
        <v>vpc902_3_2_1</v>
      </c>
      <c r="AO2149" s="1352">
        <f ca="1">O2149</f>
        <v>0</v>
      </c>
      <c r="AP2149" s="1352" t="str">
        <f>SUBSTITUTE(SUBSTITUTE(SUBSTITUTE("vch"&amp;$B2149&amp;$C2149&amp;$D2149&amp;$E2149,".","_"),"(","_"),")","")</f>
        <v>vch902_3_2_1</v>
      </c>
      <c r="AQ2149" s="1352" t="str">
        <f>IF(LEN(W2149)=0,"",W2149)</f>
        <v/>
      </c>
      <c r="AR2149" s="1352" t="str">
        <f>SUBSTITUTE(SUBSTITUTE(SUBSTITUTE("vnt"&amp;$B2149&amp;$C2149&amp;$D2149&amp;$E2149,".","_"),"(","_"),")","")</f>
        <v>vnt902_3_2_1</v>
      </c>
      <c r="AS2149" s="1352" t="str">
        <f>IF(LEN(X2149)=0,"",X2149)</f>
        <v/>
      </c>
    </row>
    <row r="2150" spans="1:45" s="1170" customFormat="1" hidden="1" x14ac:dyDescent="0.2">
      <c r="A2150" s="1507">
        <v>9</v>
      </c>
      <c r="B2150" s="1516" t="s">
        <v>4958</v>
      </c>
      <c r="C2150" s="1511" t="s">
        <v>254</v>
      </c>
      <c r="D2150" s="467"/>
      <c r="E2150" s="467"/>
      <c r="F2150" s="467"/>
      <c r="G2150" s="1509" t="str">
        <f t="shared" ref="G2150:G2171" ca="1" si="142">G2149</f>
        <v/>
      </c>
      <c r="H2150" s="1510" t="s">
        <v>3199</v>
      </c>
      <c r="I2150" s="589"/>
      <c r="J2150" s="873"/>
      <c r="K2150" s="873"/>
      <c r="L2150" s="1634"/>
      <c r="M2150" s="1175"/>
      <c r="N2150" s="1171"/>
      <c r="O2150" s="1173"/>
      <c r="S2150" s="1226"/>
      <c r="W2150"/>
      <c r="X2150" s="1600"/>
      <c r="Y2150" s="1874"/>
      <c r="Z2150" s="1600"/>
      <c r="AL2150" s="1352"/>
      <c r="AM2150" s="1352"/>
      <c r="AN2150" s="1352"/>
      <c r="AO2150" s="1352"/>
      <c r="AP2150" s="1352"/>
      <c r="AQ2150" s="1352"/>
      <c r="AR2150" s="1352"/>
      <c r="AS2150" s="1352"/>
    </row>
    <row r="2151" spans="1:45" s="905" customFormat="1" hidden="1" x14ac:dyDescent="0.2">
      <c r="A2151" s="1507">
        <v>9</v>
      </c>
      <c r="B2151" s="1516" t="s">
        <v>4958</v>
      </c>
      <c r="C2151" s="1511" t="s">
        <v>254</v>
      </c>
      <c r="D2151" s="467" t="s">
        <v>121</v>
      </c>
      <c r="E2151" s="467"/>
      <c r="F2151" s="467"/>
      <c r="G2151" s="1509" t="str">
        <f t="shared" ca="1" si="142"/>
        <v/>
      </c>
      <c r="H2151" s="1510" t="s">
        <v>3199</v>
      </c>
      <c r="I2151" s="589"/>
      <c r="J2151" s="873"/>
      <c r="K2151" s="873" t="s">
        <v>121</v>
      </c>
      <c r="L2151" s="1236" t="s">
        <v>4887</v>
      </c>
      <c r="S2151" s="1226"/>
      <c r="X2151" s="1600"/>
      <c r="Y2151" s="1874"/>
      <c r="Z2151" s="1600"/>
      <c r="AL2151" s="1352"/>
      <c r="AM2151" s="1352"/>
      <c r="AN2151" s="1352"/>
      <c r="AO2151" s="1352"/>
      <c r="AP2151" s="1352"/>
      <c r="AQ2151" s="1352"/>
      <c r="AR2151" s="1352"/>
      <c r="AS2151" s="1352"/>
    </row>
    <row r="2152" spans="1:45" s="905" customFormat="1" ht="15" hidden="1" customHeight="1" x14ac:dyDescent="0.2">
      <c r="A2152" s="1507">
        <v>9</v>
      </c>
      <c r="B2152" s="1516" t="s">
        <v>4958</v>
      </c>
      <c r="C2152" s="1511" t="s">
        <v>254</v>
      </c>
      <c r="D2152" s="467" t="s">
        <v>122</v>
      </c>
      <c r="E2152" s="467"/>
      <c r="F2152" s="467"/>
      <c r="G2152" s="1509" t="str">
        <f t="shared" ca="1" si="142"/>
        <v/>
      </c>
      <c r="H2152" s="1510" t="s">
        <v>3199</v>
      </c>
      <c r="I2152" s="589"/>
      <c r="J2152" s="873"/>
      <c r="K2152" s="873" t="s">
        <v>122</v>
      </c>
      <c r="L2152" s="1634" t="s">
        <v>4888</v>
      </c>
      <c r="S2152" s="1226"/>
      <c r="X2152" s="1600"/>
      <c r="Y2152" s="1874"/>
      <c r="Z2152" s="1600"/>
      <c r="AL2152" s="1352"/>
      <c r="AM2152" s="1352"/>
      <c r="AN2152" s="1352"/>
      <c r="AO2152" s="1352"/>
      <c r="AP2152" s="1352"/>
      <c r="AQ2152" s="1352"/>
      <c r="AR2152" s="1352"/>
      <c r="AS2152" s="1352"/>
    </row>
    <row r="2153" spans="1:45" s="905" customFormat="1" hidden="1" x14ac:dyDescent="0.2">
      <c r="A2153" s="1507">
        <v>9</v>
      </c>
      <c r="B2153" s="1516" t="s">
        <v>4958</v>
      </c>
      <c r="C2153" s="1511" t="s">
        <v>254</v>
      </c>
      <c r="D2153" s="467" t="s">
        <v>122</v>
      </c>
      <c r="E2153" s="467"/>
      <c r="F2153" s="467"/>
      <c r="G2153" s="1509" t="str">
        <f t="shared" ca="1" si="142"/>
        <v/>
      </c>
      <c r="H2153" s="1510" t="s">
        <v>3199</v>
      </c>
      <c r="I2153" s="589"/>
      <c r="J2153" s="873"/>
      <c r="K2153" s="873"/>
      <c r="L2153" s="1634"/>
      <c r="S2153" s="1226"/>
      <c r="X2153" s="1600"/>
      <c r="Y2153" s="1874"/>
      <c r="Z2153" s="1600"/>
      <c r="AL2153" s="1352"/>
      <c r="AM2153" s="1352"/>
      <c r="AN2153" s="1352"/>
      <c r="AO2153" s="1352"/>
      <c r="AP2153" s="1352"/>
      <c r="AQ2153" s="1352"/>
      <c r="AR2153" s="1352"/>
      <c r="AS2153" s="1352"/>
    </row>
    <row r="2154" spans="1:45" s="905" customFormat="1" ht="15" hidden="1" customHeight="1" x14ac:dyDescent="0.2">
      <c r="A2154" s="1507">
        <v>9</v>
      </c>
      <c r="B2154" s="1516" t="s">
        <v>4958</v>
      </c>
      <c r="C2154" s="1511" t="s">
        <v>254</v>
      </c>
      <c r="D2154" s="467" t="s">
        <v>123</v>
      </c>
      <c r="E2154" s="467"/>
      <c r="F2154" s="467"/>
      <c r="G2154" s="1509" t="str">
        <f t="shared" ca="1" si="142"/>
        <v/>
      </c>
      <c r="H2154" s="1510" t="s">
        <v>3199</v>
      </c>
      <c r="I2154" s="589"/>
      <c r="J2154" s="873"/>
      <c r="K2154" s="873" t="s">
        <v>123</v>
      </c>
      <c r="L2154" s="1634" t="s">
        <v>4889</v>
      </c>
      <c r="S2154" s="1226"/>
      <c r="X2154" s="1600"/>
      <c r="Y2154" s="1874"/>
      <c r="Z2154" s="1600"/>
      <c r="AL2154" s="1352"/>
      <c r="AM2154" s="1352"/>
      <c r="AN2154" s="1352"/>
      <c r="AO2154" s="1352"/>
      <c r="AP2154" s="1352"/>
      <c r="AQ2154" s="1352"/>
      <c r="AR2154" s="1352"/>
      <c r="AS2154" s="1352"/>
    </row>
    <row r="2155" spans="1:45" s="905" customFormat="1" hidden="1" x14ac:dyDescent="0.2">
      <c r="A2155" s="1507">
        <v>9</v>
      </c>
      <c r="B2155" s="1516" t="s">
        <v>4958</v>
      </c>
      <c r="C2155" s="1511" t="s">
        <v>254</v>
      </c>
      <c r="D2155" s="467" t="s">
        <v>123</v>
      </c>
      <c r="E2155" s="467"/>
      <c r="F2155" s="467"/>
      <c r="G2155" s="1509" t="str">
        <f t="shared" ca="1" si="142"/>
        <v/>
      </c>
      <c r="H2155" s="1510" t="s">
        <v>3199</v>
      </c>
      <c r="I2155" s="589"/>
      <c r="J2155" s="873"/>
      <c r="K2155" s="873"/>
      <c r="L2155" s="1634"/>
      <c r="S2155" s="1226"/>
      <c r="X2155" s="1600"/>
      <c r="Y2155" s="1874"/>
      <c r="Z2155" s="1600"/>
      <c r="AL2155" s="1352"/>
      <c r="AM2155" s="1352"/>
      <c r="AN2155" s="1352"/>
      <c r="AO2155" s="1352"/>
      <c r="AP2155" s="1352"/>
      <c r="AQ2155" s="1352"/>
      <c r="AR2155" s="1352"/>
      <c r="AS2155" s="1352"/>
    </row>
    <row r="2156" spans="1:45" s="905" customFormat="1" ht="15" hidden="1" customHeight="1" x14ac:dyDescent="0.2">
      <c r="A2156" s="1507">
        <v>9</v>
      </c>
      <c r="B2156" s="1516" t="s">
        <v>4958</v>
      </c>
      <c r="C2156" s="1511" t="s">
        <v>254</v>
      </c>
      <c r="D2156" s="467" t="s">
        <v>366</v>
      </c>
      <c r="E2156" s="467"/>
      <c r="F2156" s="467"/>
      <c r="G2156" s="1509" t="str">
        <f t="shared" ca="1" si="142"/>
        <v/>
      </c>
      <c r="H2156" s="1510" t="s">
        <v>3199</v>
      </c>
      <c r="I2156" s="589"/>
      <c r="J2156" s="873"/>
      <c r="K2156" s="873" t="s">
        <v>366</v>
      </c>
      <c r="L2156" s="1634" t="s">
        <v>4890</v>
      </c>
      <c r="S2156" s="1226"/>
      <c r="X2156" s="1600"/>
      <c r="Y2156" s="1874"/>
      <c r="Z2156" s="1600"/>
      <c r="AL2156" s="1352"/>
      <c r="AM2156" s="1352"/>
      <c r="AN2156" s="1352"/>
      <c r="AO2156" s="1352"/>
      <c r="AP2156" s="1352"/>
      <c r="AQ2156" s="1352"/>
      <c r="AR2156" s="1352"/>
      <c r="AS2156" s="1352"/>
    </row>
    <row r="2157" spans="1:45" s="905" customFormat="1" hidden="1" x14ac:dyDescent="0.2">
      <c r="A2157" s="1507">
        <v>9</v>
      </c>
      <c r="B2157" s="1516" t="s">
        <v>4958</v>
      </c>
      <c r="C2157" s="1511" t="s">
        <v>254</v>
      </c>
      <c r="D2157" s="467" t="s">
        <v>366</v>
      </c>
      <c r="E2157" s="467"/>
      <c r="F2157" s="467"/>
      <c r="G2157" s="1509" t="str">
        <f t="shared" ca="1" si="142"/>
        <v/>
      </c>
      <c r="H2157" s="1510" t="s">
        <v>3199</v>
      </c>
      <c r="I2157" s="589"/>
      <c r="J2157" s="873"/>
      <c r="K2157" s="873"/>
      <c r="L2157" s="1634"/>
      <c r="S2157" s="1226"/>
      <c r="X2157" s="1600"/>
      <c r="Y2157" s="1874"/>
      <c r="Z2157" s="1600"/>
      <c r="AL2157" s="1352"/>
      <c r="AM2157" s="1352"/>
      <c r="AN2157" s="1352"/>
      <c r="AO2157" s="1352"/>
      <c r="AP2157" s="1352"/>
      <c r="AQ2157" s="1352"/>
      <c r="AR2157" s="1352"/>
      <c r="AS2157" s="1352"/>
    </row>
    <row r="2158" spans="1:45" s="905" customFormat="1" ht="15" hidden="1" customHeight="1" x14ac:dyDescent="0.2">
      <c r="A2158" s="1507">
        <v>9</v>
      </c>
      <c r="B2158" s="1516" t="s">
        <v>4958</v>
      </c>
      <c r="C2158" s="1511" t="s">
        <v>254</v>
      </c>
      <c r="D2158" s="467" t="s">
        <v>472</v>
      </c>
      <c r="E2158" s="467"/>
      <c r="F2158" s="467"/>
      <c r="G2158" s="1509" t="str">
        <f t="shared" ca="1" si="142"/>
        <v/>
      </c>
      <c r="H2158" s="1510" t="s">
        <v>3199</v>
      </c>
      <c r="I2158" s="589"/>
      <c r="J2158" s="873"/>
      <c r="K2158" s="873" t="s">
        <v>472</v>
      </c>
      <c r="L2158" s="1634" t="s">
        <v>4891</v>
      </c>
      <c r="S2158" s="1226"/>
      <c r="X2158" s="1600"/>
      <c r="Y2158" s="1874"/>
      <c r="Z2158" s="1600"/>
      <c r="AL2158" s="1352"/>
      <c r="AM2158" s="1352"/>
      <c r="AN2158" s="1352"/>
      <c r="AO2158" s="1352"/>
      <c r="AP2158" s="1352"/>
      <c r="AQ2158" s="1352"/>
      <c r="AR2158" s="1352"/>
      <c r="AS2158" s="1352"/>
    </row>
    <row r="2159" spans="1:45" s="905" customFormat="1" hidden="1" x14ac:dyDescent="0.2">
      <c r="A2159" s="1507">
        <v>9</v>
      </c>
      <c r="B2159" s="1516" t="s">
        <v>4958</v>
      </c>
      <c r="C2159" s="1511" t="s">
        <v>254</v>
      </c>
      <c r="D2159" s="467" t="s">
        <v>472</v>
      </c>
      <c r="E2159" s="467"/>
      <c r="F2159" s="467"/>
      <c r="G2159" s="1509" t="str">
        <f t="shared" ca="1" si="142"/>
        <v/>
      </c>
      <c r="H2159" s="1510" t="s">
        <v>3199</v>
      </c>
      <c r="I2159" s="589"/>
      <c r="J2159" s="873"/>
      <c r="K2159" s="873"/>
      <c r="L2159" s="1634"/>
      <c r="S2159" s="1226"/>
      <c r="X2159" s="1600"/>
      <c r="Y2159" s="1874"/>
      <c r="Z2159" s="1600"/>
      <c r="AL2159" s="1352"/>
      <c r="AM2159" s="1352"/>
      <c r="AN2159" s="1352"/>
      <c r="AO2159" s="1352"/>
      <c r="AP2159" s="1352"/>
      <c r="AQ2159" s="1352"/>
      <c r="AR2159" s="1352"/>
      <c r="AS2159" s="1352"/>
    </row>
    <row r="2160" spans="1:45" s="905" customFormat="1" hidden="1" x14ac:dyDescent="0.2">
      <c r="A2160" s="1507">
        <v>9</v>
      </c>
      <c r="B2160" s="1516" t="s">
        <v>4958</v>
      </c>
      <c r="C2160" s="1511" t="s">
        <v>254</v>
      </c>
      <c r="D2160" s="467" t="s">
        <v>472</v>
      </c>
      <c r="E2160" s="467"/>
      <c r="F2160" s="467"/>
      <c r="G2160" s="1509" t="str">
        <f t="shared" ca="1" si="142"/>
        <v/>
      </c>
      <c r="H2160" s="1510" t="s">
        <v>3199</v>
      </c>
      <c r="I2160" s="589"/>
      <c r="J2160" s="873"/>
      <c r="K2160" s="873"/>
      <c r="L2160" s="1634"/>
      <c r="S2160" s="1226"/>
      <c r="X2160" s="1600"/>
      <c r="Y2160" s="1874"/>
      <c r="Z2160" s="1600"/>
      <c r="AL2160" s="1352"/>
      <c r="AM2160" s="1352"/>
      <c r="AN2160" s="1352"/>
      <c r="AO2160" s="1352"/>
      <c r="AP2160" s="1352"/>
      <c r="AQ2160" s="1352"/>
      <c r="AR2160" s="1352"/>
      <c r="AS2160" s="1352"/>
    </row>
    <row r="2161" spans="1:60" s="905" customFormat="1" ht="15" hidden="1" customHeight="1" x14ac:dyDescent="0.2">
      <c r="A2161" s="1507">
        <v>9</v>
      </c>
      <c r="B2161" s="1516" t="s">
        <v>4958</v>
      </c>
      <c r="C2161" s="1511" t="s">
        <v>254</v>
      </c>
      <c r="D2161" s="467" t="s">
        <v>510</v>
      </c>
      <c r="E2161" s="467"/>
      <c r="F2161" s="467"/>
      <c r="G2161" s="1509" t="str">
        <f t="shared" ca="1" si="142"/>
        <v/>
      </c>
      <c r="H2161" s="1510" t="s">
        <v>3199</v>
      </c>
      <c r="I2161" s="589"/>
      <c r="J2161" s="873"/>
      <c r="K2161" s="873" t="s">
        <v>510</v>
      </c>
      <c r="L2161" s="1634" t="s">
        <v>4892</v>
      </c>
      <c r="S2161" s="1226"/>
      <c r="X2161" s="1600"/>
      <c r="Y2161" s="1874"/>
      <c r="Z2161" s="1600"/>
      <c r="AL2161" s="1352"/>
      <c r="AM2161" s="1352"/>
      <c r="AN2161" s="1352"/>
      <c r="AO2161" s="1352"/>
      <c r="AP2161" s="1352"/>
      <c r="AQ2161" s="1352"/>
      <c r="AR2161" s="1352"/>
      <c r="AS2161" s="1352"/>
    </row>
    <row r="2162" spans="1:60" s="905" customFormat="1" hidden="1" x14ac:dyDescent="0.2">
      <c r="A2162" s="1507">
        <v>9</v>
      </c>
      <c r="B2162" s="1516" t="s">
        <v>4958</v>
      </c>
      <c r="C2162" s="1511" t="s">
        <v>254</v>
      </c>
      <c r="D2162" s="467" t="s">
        <v>510</v>
      </c>
      <c r="E2162" s="467"/>
      <c r="F2162" s="467"/>
      <c r="G2162" s="1509" t="str">
        <f t="shared" ca="1" si="142"/>
        <v/>
      </c>
      <c r="H2162" s="1510" t="s">
        <v>3199</v>
      </c>
      <c r="I2162" s="589"/>
      <c r="J2162" s="873"/>
      <c r="K2162" s="873"/>
      <c r="L2162" s="1634"/>
      <c r="S2162" s="1226"/>
      <c r="X2162" s="1600"/>
      <c r="Y2162" s="1874"/>
      <c r="Z2162" s="1600"/>
      <c r="AL2162" s="1352"/>
      <c r="AM2162" s="1352"/>
      <c r="AN2162" s="1352"/>
      <c r="AO2162" s="1352"/>
      <c r="AP2162" s="1352"/>
      <c r="AQ2162" s="1352"/>
      <c r="AR2162" s="1352"/>
      <c r="AS2162" s="1352"/>
    </row>
    <row r="2163" spans="1:60" s="905" customFormat="1" ht="15" hidden="1" customHeight="1" x14ac:dyDescent="0.2">
      <c r="A2163" s="1507">
        <v>9</v>
      </c>
      <c r="B2163" s="1516" t="s">
        <v>4958</v>
      </c>
      <c r="C2163" s="1511" t="s">
        <v>254</v>
      </c>
      <c r="D2163" s="467" t="s">
        <v>512</v>
      </c>
      <c r="E2163" s="467"/>
      <c r="F2163" s="467"/>
      <c r="G2163" s="1509" t="str">
        <f t="shared" ca="1" si="142"/>
        <v/>
      </c>
      <c r="H2163" s="1510" t="s">
        <v>3199</v>
      </c>
      <c r="I2163" s="589"/>
      <c r="J2163" s="873"/>
      <c r="K2163" s="873" t="s">
        <v>512</v>
      </c>
      <c r="L2163" s="1634" t="s">
        <v>4893</v>
      </c>
      <c r="S2163" s="1226"/>
      <c r="X2163" s="1600"/>
      <c r="Y2163" s="1874"/>
      <c r="Z2163" s="1600"/>
      <c r="AL2163" s="1352"/>
      <c r="AM2163" s="1352"/>
      <c r="AN2163" s="1352"/>
      <c r="AO2163" s="1352"/>
      <c r="AP2163" s="1352"/>
      <c r="AQ2163" s="1352"/>
      <c r="AR2163" s="1352"/>
      <c r="AS2163" s="1352"/>
    </row>
    <row r="2164" spans="1:60" s="905" customFormat="1" hidden="1" x14ac:dyDescent="0.2">
      <c r="A2164" s="1507">
        <v>9</v>
      </c>
      <c r="B2164" s="1516" t="s">
        <v>4958</v>
      </c>
      <c r="C2164" s="1511" t="s">
        <v>254</v>
      </c>
      <c r="D2164" s="467" t="s">
        <v>512</v>
      </c>
      <c r="E2164" s="467"/>
      <c r="F2164" s="467"/>
      <c r="G2164" s="1509" t="str">
        <f t="shared" ca="1" si="142"/>
        <v/>
      </c>
      <c r="H2164" s="1510" t="s">
        <v>3199</v>
      </c>
      <c r="I2164" s="589"/>
      <c r="J2164" s="873"/>
      <c r="K2164" s="873"/>
      <c r="L2164" s="1634"/>
      <c r="S2164" s="1226"/>
      <c r="X2164" s="1600"/>
      <c r="Y2164" s="1874"/>
      <c r="Z2164" s="1600"/>
      <c r="AL2164" s="1352"/>
      <c r="AM2164" s="1352"/>
      <c r="AN2164" s="1352"/>
      <c r="AO2164" s="1352"/>
      <c r="AP2164" s="1352"/>
      <c r="AQ2164" s="1352"/>
      <c r="AR2164" s="1352"/>
      <c r="AS2164" s="1352"/>
    </row>
    <row r="2165" spans="1:60" s="905" customFormat="1" ht="15" hidden="1" customHeight="1" x14ac:dyDescent="0.2">
      <c r="A2165" s="1507">
        <v>9</v>
      </c>
      <c r="B2165" s="1516" t="s">
        <v>4958</v>
      </c>
      <c r="C2165" s="1511" t="s">
        <v>254</v>
      </c>
      <c r="D2165" s="467" t="s">
        <v>514</v>
      </c>
      <c r="E2165" s="467"/>
      <c r="F2165" s="467"/>
      <c r="G2165" s="1509" t="str">
        <f t="shared" ca="1" si="142"/>
        <v/>
      </c>
      <c r="H2165" s="1510" t="s">
        <v>3199</v>
      </c>
      <c r="I2165" s="589"/>
      <c r="J2165" s="873"/>
      <c r="K2165" s="873" t="s">
        <v>514</v>
      </c>
      <c r="L2165" s="1634" t="s">
        <v>4894</v>
      </c>
      <c r="S2165" s="1226"/>
      <c r="X2165" s="1600"/>
      <c r="Y2165" s="1874"/>
      <c r="Z2165" s="1600"/>
      <c r="AL2165" s="1352"/>
      <c r="AM2165" s="1352"/>
      <c r="AN2165" s="1352"/>
      <c r="AO2165" s="1352"/>
      <c r="AP2165" s="1352"/>
      <c r="AQ2165" s="1352"/>
      <c r="AR2165" s="1352"/>
      <c r="AS2165" s="1352"/>
    </row>
    <row r="2166" spans="1:60" s="905" customFormat="1" hidden="1" x14ac:dyDescent="0.2">
      <c r="A2166" s="1507">
        <v>9</v>
      </c>
      <c r="B2166" s="1516" t="s">
        <v>4958</v>
      </c>
      <c r="C2166" s="1511" t="s">
        <v>254</v>
      </c>
      <c r="D2166" s="467" t="s">
        <v>514</v>
      </c>
      <c r="E2166" s="467"/>
      <c r="F2166" s="467"/>
      <c r="G2166" s="1509" t="str">
        <f t="shared" ca="1" si="142"/>
        <v/>
      </c>
      <c r="H2166" s="1510" t="s">
        <v>3199</v>
      </c>
      <c r="I2166" s="589"/>
      <c r="J2166" s="873"/>
      <c r="K2166" s="873"/>
      <c r="L2166" s="1634"/>
      <c r="S2166" s="1226"/>
      <c r="X2166" s="1600"/>
      <c r="Y2166" s="1874"/>
      <c r="Z2166" s="1600"/>
      <c r="AL2166" s="1352"/>
      <c r="AM2166" s="1352"/>
      <c r="AN2166" s="1352"/>
      <c r="AO2166" s="1352"/>
      <c r="AP2166" s="1352"/>
      <c r="AQ2166" s="1352"/>
      <c r="AR2166" s="1352"/>
      <c r="AS2166" s="1352"/>
    </row>
    <row r="2167" spans="1:60" s="905" customFormat="1" ht="15" hidden="1" customHeight="1" x14ac:dyDescent="0.2">
      <c r="A2167" s="1507">
        <v>9</v>
      </c>
      <c r="B2167" s="1516" t="s">
        <v>4958</v>
      </c>
      <c r="C2167" s="1511" t="s">
        <v>254</v>
      </c>
      <c r="D2167" s="467" t="s">
        <v>648</v>
      </c>
      <c r="E2167" s="467"/>
      <c r="F2167" s="467"/>
      <c r="G2167" s="1509" t="str">
        <f t="shared" ca="1" si="142"/>
        <v/>
      </c>
      <c r="H2167" s="1510" t="s">
        <v>3199</v>
      </c>
      <c r="I2167" s="589"/>
      <c r="J2167" s="873"/>
      <c r="K2167" s="873" t="s">
        <v>648</v>
      </c>
      <c r="L2167" s="1634" t="s">
        <v>4895</v>
      </c>
      <c r="S2167" s="1226"/>
      <c r="X2167" s="1600"/>
      <c r="Y2167" s="1874"/>
      <c r="Z2167" s="1600"/>
      <c r="AL2167" s="1352"/>
      <c r="AM2167" s="1352"/>
      <c r="AN2167" s="1352"/>
      <c r="AO2167" s="1352"/>
      <c r="AP2167" s="1352"/>
      <c r="AQ2167" s="1352"/>
      <c r="AR2167" s="1352"/>
      <c r="AS2167" s="1352"/>
    </row>
    <row r="2168" spans="1:60" s="905" customFormat="1" hidden="1" x14ac:dyDescent="0.2">
      <c r="A2168" s="1507">
        <v>9</v>
      </c>
      <c r="B2168" s="1516" t="s">
        <v>4958</v>
      </c>
      <c r="C2168" s="1511" t="s">
        <v>254</v>
      </c>
      <c r="D2168" s="467" t="s">
        <v>648</v>
      </c>
      <c r="E2168" s="467"/>
      <c r="F2168" s="467"/>
      <c r="G2168" s="1509" t="str">
        <f t="shared" ca="1" si="142"/>
        <v/>
      </c>
      <c r="H2168" s="1510" t="s">
        <v>3199</v>
      </c>
      <c r="I2168" s="589"/>
      <c r="J2168" s="873"/>
      <c r="K2168" s="873"/>
      <c r="L2168" s="1634"/>
      <c r="S2168" s="1226"/>
      <c r="X2168" s="1600"/>
      <c r="Y2168" s="1874"/>
      <c r="Z2168" s="1600"/>
      <c r="AL2168" s="1352"/>
      <c r="AM2168" s="1352"/>
      <c r="AN2168" s="1352"/>
      <c r="AO2168" s="1352"/>
      <c r="AP2168" s="1352"/>
      <c r="AQ2168" s="1352"/>
      <c r="AR2168" s="1352"/>
      <c r="AS2168" s="1352"/>
    </row>
    <row r="2169" spans="1:60" s="905" customFormat="1" hidden="1" x14ac:dyDescent="0.2">
      <c r="A2169" s="1507">
        <v>9</v>
      </c>
      <c r="B2169" s="1516" t="s">
        <v>4958</v>
      </c>
      <c r="C2169" s="1511" t="s">
        <v>254</v>
      </c>
      <c r="D2169" s="467" t="s">
        <v>648</v>
      </c>
      <c r="E2169" s="467"/>
      <c r="F2169" s="467"/>
      <c r="G2169" s="1509" t="str">
        <f t="shared" ca="1" si="142"/>
        <v/>
      </c>
      <c r="H2169" s="1510" t="s">
        <v>3199</v>
      </c>
      <c r="I2169" s="589"/>
      <c r="J2169" s="873"/>
      <c r="K2169" s="873"/>
      <c r="L2169" s="1634"/>
      <c r="S2169" s="1226"/>
      <c r="X2169" s="1600"/>
      <c r="Y2169" s="1874"/>
      <c r="Z2169" s="1600"/>
      <c r="AL2169" s="1352"/>
      <c r="AM2169" s="1352"/>
      <c r="AN2169" s="1352"/>
      <c r="AO2169" s="1352"/>
      <c r="AP2169" s="1352"/>
      <c r="AQ2169" s="1352"/>
      <c r="AR2169" s="1352"/>
      <c r="AS2169" s="1352"/>
    </row>
    <row r="2170" spans="1:60" s="905" customFormat="1" ht="15" hidden="1" customHeight="1" x14ac:dyDescent="0.2">
      <c r="A2170" s="1507">
        <v>9</v>
      </c>
      <c r="B2170" s="1516" t="s">
        <v>4958</v>
      </c>
      <c r="C2170" s="1511" t="s">
        <v>254</v>
      </c>
      <c r="D2170" s="467" t="s">
        <v>649</v>
      </c>
      <c r="E2170" s="467"/>
      <c r="F2170" s="467"/>
      <c r="G2170" s="1509" t="str">
        <f t="shared" ca="1" si="142"/>
        <v/>
      </c>
      <c r="H2170" s="1510" t="s">
        <v>3199</v>
      </c>
      <c r="I2170" s="589"/>
      <c r="J2170" s="873"/>
      <c r="K2170" s="873" t="s">
        <v>649</v>
      </c>
      <c r="L2170" s="1634" t="s">
        <v>4896</v>
      </c>
      <c r="S2170" s="1226"/>
      <c r="X2170" s="1600"/>
      <c r="Y2170" s="1874"/>
      <c r="Z2170" s="1600"/>
      <c r="AL2170" s="1352"/>
      <c r="AM2170" s="1352"/>
      <c r="AN2170" s="1352"/>
      <c r="AO2170" s="1352"/>
      <c r="AP2170" s="1352"/>
      <c r="AQ2170" s="1352"/>
      <c r="AR2170" s="1352"/>
      <c r="AS2170" s="1352"/>
    </row>
    <row r="2171" spans="1:60" s="905" customFormat="1" hidden="1" x14ac:dyDescent="0.2">
      <c r="A2171" s="1507">
        <v>9</v>
      </c>
      <c r="B2171" s="1516" t="s">
        <v>4958</v>
      </c>
      <c r="C2171" s="1511" t="s">
        <v>254</v>
      </c>
      <c r="D2171" s="467" t="s">
        <v>649</v>
      </c>
      <c r="E2171" s="467"/>
      <c r="F2171" s="467"/>
      <c r="G2171" s="1509" t="str">
        <f t="shared" ca="1" si="142"/>
        <v/>
      </c>
      <c r="H2171" s="1510" t="s">
        <v>3199</v>
      </c>
      <c r="I2171" s="589"/>
      <c r="J2171" s="873"/>
      <c r="K2171" s="873"/>
      <c r="L2171" s="1634"/>
      <c r="S2171" s="1226"/>
      <c r="X2171" s="1600"/>
      <c r="Y2171" s="1874"/>
      <c r="Z2171" s="1600"/>
      <c r="AL2171" s="1352"/>
      <c r="AM2171" s="1352"/>
      <c r="AN2171" s="1352"/>
      <c r="AO2171" s="1352"/>
      <c r="AP2171" s="1352"/>
      <c r="AQ2171" s="1352"/>
      <c r="AR2171" s="1352"/>
      <c r="AS2171" s="1352"/>
    </row>
    <row r="2172" spans="1:60" s="905" customFormat="1" ht="15" hidden="1" customHeight="1" x14ac:dyDescent="0.2">
      <c r="A2172" s="1507">
        <v>9</v>
      </c>
      <c r="B2172" s="1516" t="s">
        <v>4958</v>
      </c>
      <c r="C2172" s="1511" t="s">
        <v>255</v>
      </c>
      <c r="D2172" s="467"/>
      <c r="E2172" s="467"/>
      <c r="F2172" s="467"/>
      <c r="G2172" s="1509" t="str">
        <f ca="1">IF(N2172&gt;0,"P","")</f>
        <v/>
      </c>
      <c r="H2172" s="1510" t="s">
        <v>3199</v>
      </c>
      <c r="I2172" s="590"/>
      <c r="J2172" s="1073" t="s">
        <v>255</v>
      </c>
      <c r="K2172" s="1073"/>
      <c r="L2172" s="1633" t="s">
        <v>5061</v>
      </c>
      <c r="M2172" s="1769">
        <v>6</v>
      </c>
      <c r="N2172" s="1619">
        <f ca="1">'11.900'!O325</f>
        <v>0</v>
      </c>
      <c r="O2172" s="1644">
        <f ca="1">M2172*S2172*W2172</f>
        <v>0</v>
      </c>
      <c r="P2172" s="905" t="b">
        <v>0</v>
      </c>
      <c r="Q2172" s="905" t="b">
        <v>1</v>
      </c>
      <c r="R2172" s="905" t="b">
        <f ca="1">AND(S2172, NOT(W2147=TRUE), BE1863=1)</f>
        <v>0</v>
      </c>
      <c r="S2172" s="1226" t="b">
        <f ca="1">IFERROR(MATCH(W2098,INDIRECT(U2098),0)=4,FALSE)</f>
        <v>0</v>
      </c>
      <c r="T2172" s="905" t="b">
        <v>0</v>
      </c>
      <c r="W2172" s="27"/>
      <c r="X2172" s="1601"/>
      <c r="Y2172" s="1881" t="str">
        <f>IF(LEN('11.900'!X325)=0,"None",'11.900'!X325)</f>
        <v>None</v>
      </c>
      <c r="Z2172" s="1601"/>
      <c r="AC2172" s="1150" t="b">
        <f ca="1">OR(AD2172:AE2172)</f>
        <v>0</v>
      </c>
      <c r="AD2172" s="1150" t="b">
        <f>T2172</f>
        <v>0</v>
      </c>
      <c r="AE2172" s="1150" t="b">
        <f ca="1">AND(R2172,NOT(W2172))</f>
        <v>0</v>
      </c>
      <c r="AL2172" s="1352" t="str">
        <f>SUBSTITUTE(SUBSTITUTE(SUBSTITUTE("vpa"&amp;$B2172&amp;$C2172&amp;$D2172&amp;$E2172,".","_"),"(","_"),")","")</f>
        <v>vpa902_3_2_2</v>
      </c>
      <c r="AM2172" s="1352">
        <f>M2172</f>
        <v>6</v>
      </c>
      <c r="AN2172" s="1352" t="str">
        <f>SUBSTITUTE(SUBSTITUTE(SUBSTITUTE("vpc"&amp;$B2172&amp;$C2172&amp;$D2172&amp;$E2172,".","_"),"(","_"),")","")</f>
        <v>vpc902_3_2_2</v>
      </c>
      <c r="AO2172" s="1352">
        <f ca="1">O2172</f>
        <v>0</v>
      </c>
      <c r="AP2172" s="1352" t="str">
        <f>SUBSTITUTE(SUBSTITUTE(SUBSTITUTE("vch"&amp;$B2172&amp;$C2172&amp;$D2172&amp;$E2172,".","_"),"(","_"),")","")</f>
        <v>vch902_3_2_2</v>
      </c>
      <c r="AQ2172" s="1352" t="str">
        <f>IF(LEN(W2172)=0,"",W2172)</f>
        <v/>
      </c>
      <c r="AR2172" s="1352" t="str">
        <f>SUBSTITUTE(SUBSTITUTE(SUBSTITUTE("vnt"&amp;$B2172&amp;$C2172&amp;$D2172&amp;$E2172,".","_"),"(","_"),")","")</f>
        <v>vnt902_3_2_2</v>
      </c>
      <c r="AS2172" s="1352" t="str">
        <f>IF(LEN(X2172)=0,"",X2172)</f>
        <v/>
      </c>
    </row>
    <row r="2173" spans="1:60" ht="16" hidden="1" thickBot="1" x14ac:dyDescent="0.25">
      <c r="A2173" s="1507">
        <v>9</v>
      </c>
      <c r="B2173" s="1516" t="s">
        <v>4958</v>
      </c>
      <c r="C2173" s="1511" t="s">
        <v>255</v>
      </c>
      <c r="D2173" s="1511"/>
      <c r="E2173" s="1511"/>
      <c r="F2173" s="1511"/>
      <c r="G2173" s="1509" t="str">
        <f ca="1">G2172</f>
        <v/>
      </c>
      <c r="H2173" s="1530" t="s">
        <v>3199</v>
      </c>
      <c r="I2173" s="594"/>
      <c r="J2173" s="1069"/>
      <c r="K2173" s="1069"/>
      <c r="L2173" s="1635"/>
      <c r="M2173" s="1753"/>
      <c r="N2173" s="1638"/>
      <c r="O2173" s="1645"/>
      <c r="P2173" s="100"/>
      <c r="Q2173" s="100"/>
      <c r="R2173" s="100"/>
      <c r="S2173" s="100"/>
      <c r="T2173" s="100"/>
      <c r="U2173" s="100"/>
      <c r="V2173" s="100"/>
      <c r="W2173" s="100"/>
      <c r="X2173" s="1602"/>
      <c r="Y2173" s="1882"/>
      <c r="Z2173" s="1602"/>
      <c r="AA2173"/>
      <c r="AC2173"/>
      <c r="AD2173"/>
      <c r="AE2173"/>
      <c r="AF2173"/>
      <c r="AG2173"/>
      <c r="AH2173"/>
      <c r="AI2173"/>
      <c r="AJ2173"/>
      <c r="AK2173"/>
      <c r="AL2173" s="1352"/>
      <c r="AM2173" s="1352"/>
      <c r="AN2173" s="1352"/>
      <c r="AO2173" s="1352"/>
      <c r="AP2173" s="1352"/>
      <c r="AQ2173" s="1352"/>
      <c r="AR2173" s="1352"/>
      <c r="AS2173" s="1352"/>
      <c r="AT2173"/>
    </row>
    <row r="2174" spans="1:60" hidden="1" x14ac:dyDescent="0.2">
      <c r="A2174" s="1507">
        <v>9</v>
      </c>
      <c r="B2174" s="1516">
        <v>902.4</v>
      </c>
      <c r="C2174" s="1511"/>
      <c r="D2174" s="1511"/>
      <c r="E2174" s="1511"/>
      <c r="F2174" s="1511"/>
      <c r="G2174" s="1509" t="str">
        <f>IF(N2174&gt;0,"P","")</f>
        <v/>
      </c>
      <c r="H2174" s="1510" t="s">
        <v>3197</v>
      </c>
      <c r="I2174" s="67" t="s">
        <v>3700</v>
      </c>
      <c r="J2174" s="4"/>
      <c r="K2174" s="4"/>
      <c r="L2174" s="1631" t="s">
        <v>3723</v>
      </c>
      <c r="M2174" s="1628">
        <v>3</v>
      </c>
      <c r="N2174" s="1669">
        <f>'11.900'!O327</f>
        <v>0</v>
      </c>
      <c r="O2174" s="1669">
        <f>M2174*S2176*IFERROR(OR(W2176,W2178),0)</f>
        <v>0</v>
      </c>
      <c r="P2174" s="538"/>
      <c r="Q2174" s="538"/>
      <c r="R2174" s="538"/>
      <c r="S2174" s="538"/>
      <c r="T2174" s="538"/>
      <c r="U2174" s="538"/>
      <c r="V2174" s="538"/>
      <c r="W2174" s="538"/>
      <c r="X2174" s="538"/>
      <c r="Y2174" s="538"/>
      <c r="Z2174" s="670"/>
      <c r="AB2174" s="538"/>
      <c r="AC2174" s="538"/>
      <c r="AD2174" s="538"/>
      <c r="AE2174" s="538"/>
      <c r="AF2174" s="538"/>
      <c r="AG2174" s="538"/>
      <c r="AH2174" s="538"/>
      <c r="AI2174" s="538"/>
      <c r="AJ2174" s="538"/>
      <c r="AK2174" s="538"/>
      <c r="AL2174" s="1352" t="str">
        <f>SUBSTITUTE(SUBSTITUTE(SUBSTITUTE("vpa"&amp;$B2174&amp;$C2174&amp;$D2174&amp;$E2174,".","_"),"(","_"),")","")</f>
        <v>vpa902_4</v>
      </c>
      <c r="AM2174" s="1352">
        <f>M2174</f>
        <v>3</v>
      </c>
      <c r="AN2174" s="1352" t="str">
        <f>SUBSTITUTE(SUBSTITUTE(SUBSTITUTE("vpc"&amp;$B2174&amp;$C2174&amp;$D2174&amp;$E2174,".","_"),"(","_"),")","")</f>
        <v>vpc902_4</v>
      </c>
      <c r="AO2174" s="1352">
        <f>O2174</f>
        <v>0</v>
      </c>
      <c r="AP2174" s="1352"/>
      <c r="AQ2174" s="1352"/>
      <c r="AR2174" s="1352"/>
      <c r="AS2174" s="1352"/>
      <c r="AT2174" s="538"/>
      <c r="AU2174" s="538"/>
      <c r="AV2174" s="538"/>
      <c r="AW2174" s="538"/>
      <c r="AX2174" s="538"/>
      <c r="AY2174" s="538"/>
      <c r="AZ2174" s="538"/>
      <c r="BA2174" s="538"/>
      <c r="BB2174" s="538"/>
      <c r="BC2174" s="538"/>
      <c r="BD2174" s="538"/>
      <c r="BE2174" s="538"/>
      <c r="BF2174" s="538"/>
      <c r="BG2174" s="538"/>
      <c r="BH2174" s="538"/>
    </row>
    <row r="2175" spans="1:60" hidden="1" x14ac:dyDescent="0.2">
      <c r="A2175" s="1507">
        <v>9</v>
      </c>
      <c r="B2175" s="1516">
        <v>902.4</v>
      </c>
      <c r="C2175" s="1511"/>
      <c r="D2175" s="1511"/>
      <c r="E2175" s="1511"/>
      <c r="F2175" s="1511"/>
      <c r="G2175" s="1509" t="str">
        <f t="shared" ref="G2175:G2183" si="143">G2174</f>
        <v/>
      </c>
      <c r="H2175" s="1510" t="s">
        <v>3197</v>
      </c>
      <c r="I2175" s="161"/>
      <c r="J2175" s="4"/>
      <c r="K2175" s="4"/>
      <c r="L2175" s="1631"/>
      <c r="M2175" s="1628"/>
      <c r="N2175" s="1669"/>
      <c r="O2175" s="1669"/>
      <c r="P2175" s="538"/>
      <c r="Q2175" s="538"/>
      <c r="R2175" s="538"/>
      <c r="S2175" s="538"/>
      <c r="T2175" s="538"/>
      <c r="U2175" s="538"/>
      <c r="V2175" s="538"/>
      <c r="W2175" s="538"/>
      <c r="X2175" s="538"/>
      <c r="Y2175" s="538"/>
      <c r="Z2175" s="670"/>
      <c r="AB2175" s="538"/>
      <c r="AC2175" s="538"/>
      <c r="AD2175" s="538"/>
      <c r="AE2175" s="538"/>
      <c r="AF2175" s="538"/>
      <c r="AG2175" s="538"/>
      <c r="AH2175" s="538"/>
      <c r="AI2175" s="538"/>
      <c r="AJ2175" s="538"/>
      <c r="AK2175" s="538"/>
      <c r="AL2175" s="1352"/>
      <c r="AM2175" s="1352"/>
      <c r="AN2175" s="1352"/>
      <c r="AO2175" s="1352"/>
      <c r="AP2175" s="1352"/>
      <c r="AQ2175" s="1352"/>
      <c r="AR2175" s="1352"/>
      <c r="AS2175" s="1352"/>
      <c r="AT2175" s="538"/>
      <c r="AU2175" s="538"/>
      <c r="AV2175" s="538"/>
      <c r="AW2175" s="538"/>
      <c r="AX2175" s="538"/>
      <c r="AY2175" s="538"/>
      <c r="AZ2175" s="538"/>
      <c r="BA2175" s="538"/>
      <c r="BB2175" s="538"/>
      <c r="BC2175" s="538"/>
      <c r="BD2175" s="538"/>
      <c r="BE2175" s="538"/>
      <c r="BF2175" s="538"/>
      <c r="BG2175" s="538"/>
      <c r="BH2175" s="538"/>
    </row>
    <row r="2176" spans="1:60" hidden="1" x14ac:dyDescent="0.2">
      <c r="A2176" s="1507">
        <v>9</v>
      </c>
      <c r="B2176" s="1516">
        <v>902.4</v>
      </c>
      <c r="C2176" s="1511" t="s">
        <v>254</v>
      </c>
      <c r="D2176" s="1511"/>
      <c r="E2176" s="1511"/>
      <c r="F2176" s="1511"/>
      <c r="G2176" s="1509" t="str">
        <f t="shared" si="143"/>
        <v/>
      </c>
      <c r="H2176" s="1510" t="s">
        <v>3198</v>
      </c>
      <c r="I2176" s="161"/>
      <c r="J2176" s="180" t="s">
        <v>254</v>
      </c>
      <c r="K2176" s="129"/>
      <c r="L2176" s="1609" t="s">
        <v>2761</v>
      </c>
      <c r="M2176" s="554"/>
      <c r="N2176" s="540"/>
      <c r="O2176" s="540"/>
      <c r="P2176" s="96" t="b">
        <v>1</v>
      </c>
      <c r="Q2176" s="96" t="b">
        <v>0</v>
      </c>
      <c r="R2176" s="538" t="b">
        <v>0</v>
      </c>
      <c r="S2176" s="538" t="b">
        <v>1</v>
      </c>
      <c r="T2176" s="538" t="b">
        <v>0</v>
      </c>
      <c r="U2176" s="538"/>
      <c r="V2176" s="538"/>
      <c r="W2176" s="27"/>
      <c r="X2176" s="1600"/>
      <c r="Y2176" s="1874" t="str">
        <f>IF(LEN('11.900'!X329)=0,"None",'11.900'!X329)</f>
        <v>None</v>
      </c>
      <c r="Z2176" s="1889"/>
      <c r="AB2176" s="538"/>
      <c r="AC2176" s="538"/>
      <c r="AD2176" s="538"/>
      <c r="AE2176" s="538"/>
      <c r="AF2176" s="720"/>
      <c r="AG2176" s="538"/>
      <c r="AH2176" s="538"/>
      <c r="AI2176" s="538"/>
      <c r="AJ2176" s="538"/>
      <c r="AK2176" s="538"/>
      <c r="AL2176" s="1352"/>
      <c r="AM2176" s="1352"/>
      <c r="AN2176" s="1352"/>
      <c r="AO2176" s="1352"/>
      <c r="AP2176" s="1352" t="str">
        <f>SUBSTITUTE(SUBSTITUTE(SUBSTITUTE("vch"&amp;$B2176&amp;$C2176&amp;$D2176&amp;$E2176,".","_"),"(","_"),")","")</f>
        <v>vch902_4_1</v>
      </c>
      <c r="AQ2176" s="1352" t="str">
        <f>IF(LEN(W2176)=0,"",W2176)</f>
        <v/>
      </c>
      <c r="AR2176" s="1352" t="str">
        <f>SUBSTITUTE(SUBSTITUTE(SUBSTITUTE("vnt"&amp;$B2176&amp;$C2176&amp;$D2176&amp;$E2176,".","_"),"(","_"),")","")</f>
        <v>vnt902_4_1</v>
      </c>
      <c r="AS2176" s="1352" t="str">
        <f>IF(LEN(X2176)=0,"",X2176)</f>
        <v/>
      </c>
      <c r="AT2176" s="538"/>
      <c r="AU2176" s="538"/>
      <c r="AV2176" s="538"/>
      <c r="AW2176" s="538"/>
      <c r="AX2176" s="538"/>
      <c r="AY2176" s="538"/>
      <c r="AZ2176" s="538"/>
      <c r="BA2176" s="538"/>
      <c r="BB2176" s="538"/>
      <c r="BC2176" s="538"/>
      <c r="BD2176" s="538"/>
      <c r="BE2176" s="538"/>
      <c r="BF2176" s="538"/>
      <c r="BG2176" s="538"/>
      <c r="BH2176" s="538"/>
    </row>
    <row r="2177" spans="1:60" hidden="1" x14ac:dyDescent="0.2">
      <c r="A2177" s="1507">
        <v>9</v>
      </c>
      <c r="B2177" s="1516">
        <v>902.4</v>
      </c>
      <c r="C2177" s="1511" t="s">
        <v>254</v>
      </c>
      <c r="D2177" s="1511"/>
      <c r="E2177" s="1511"/>
      <c r="F2177" s="1511"/>
      <c r="G2177" s="1509" t="str">
        <f t="shared" si="143"/>
        <v/>
      </c>
      <c r="H2177" s="1510" t="s">
        <v>3198</v>
      </c>
      <c r="I2177" s="161"/>
      <c r="J2177" s="207"/>
      <c r="K2177" s="213"/>
      <c r="L2177" s="1612"/>
      <c r="M2177" s="554"/>
      <c r="N2177" s="540"/>
      <c r="O2177" s="540"/>
      <c r="P2177" s="538"/>
      <c r="Q2177" s="538"/>
      <c r="R2177" s="538"/>
      <c r="S2177" s="538"/>
      <c r="T2177" s="538"/>
      <c r="U2177" s="538"/>
      <c r="V2177" s="538"/>
      <c r="W2177" s="538"/>
      <c r="X2177" s="1600"/>
      <c r="Y2177" s="1874"/>
      <c r="Z2177" s="1889"/>
      <c r="AB2177" s="538"/>
      <c r="AC2177" s="538"/>
      <c r="AD2177" s="538"/>
      <c r="AE2177" s="538"/>
      <c r="AF2177" s="538"/>
      <c r="AG2177" s="538"/>
      <c r="AH2177" s="538"/>
      <c r="AI2177" s="538"/>
      <c r="AJ2177" s="538"/>
      <c r="AK2177" s="538"/>
      <c r="AL2177" s="1352"/>
      <c r="AM2177" s="1352"/>
      <c r="AN2177" s="1352"/>
      <c r="AO2177" s="1352"/>
      <c r="AP2177" s="1352"/>
      <c r="AQ2177" s="1352"/>
      <c r="AR2177" s="1352"/>
      <c r="AS2177" s="1352"/>
      <c r="AT2177" s="538"/>
      <c r="AU2177" s="538"/>
      <c r="AV2177" s="538"/>
      <c r="AW2177" s="538"/>
      <c r="AX2177" s="538"/>
      <c r="AY2177" s="538"/>
      <c r="AZ2177" s="538"/>
      <c r="BA2177" s="538"/>
      <c r="BB2177" s="538"/>
      <c r="BC2177" s="538"/>
      <c r="BD2177" s="538"/>
      <c r="BE2177" s="538"/>
      <c r="BF2177" s="538"/>
      <c r="BG2177" s="538"/>
      <c r="BH2177" s="538"/>
    </row>
    <row r="2178" spans="1:60" hidden="1" x14ac:dyDescent="0.2">
      <c r="A2178" s="1507">
        <v>9</v>
      </c>
      <c r="B2178" s="1516">
        <v>902.4</v>
      </c>
      <c r="C2178" s="1511" t="s">
        <v>255</v>
      </c>
      <c r="D2178" s="1511"/>
      <c r="E2178" s="1511"/>
      <c r="F2178" s="1511"/>
      <c r="G2178" s="1509" t="str">
        <f t="shared" si="143"/>
        <v/>
      </c>
      <c r="H2178" s="1510" t="s">
        <v>3199</v>
      </c>
      <c r="I2178" s="406"/>
      <c r="J2178" s="180" t="s">
        <v>255</v>
      </c>
      <c r="K2178" s="129"/>
      <c r="L2178" s="1609" t="s">
        <v>2762</v>
      </c>
      <c r="M2178" s="913"/>
      <c r="N2178" s="908"/>
      <c r="O2178" s="908"/>
      <c r="P2178" s="991" t="b">
        <v>0</v>
      </c>
      <c r="Q2178" s="991" t="b">
        <v>1</v>
      </c>
      <c r="R2178" s="991" t="b">
        <v>0</v>
      </c>
      <c r="S2178" s="991" t="b">
        <v>1</v>
      </c>
      <c r="T2178" s="991" t="b">
        <v>0</v>
      </c>
      <c r="U2178" s="991"/>
      <c r="V2178" s="991"/>
      <c r="W2178" s="333"/>
      <c r="X2178" s="1600"/>
      <c r="Y2178" s="1881" t="str">
        <f>IF(LEN('11.900'!X331)=0,"None",'11.900'!X331)</f>
        <v>None</v>
      </c>
      <c r="Z2178" s="1891"/>
      <c r="AB2178" s="538"/>
      <c r="AC2178" s="538"/>
      <c r="AD2178" s="538"/>
      <c r="AE2178" s="538"/>
      <c r="AF2178" s="720"/>
      <c r="AG2178" s="538"/>
      <c r="AH2178" s="538"/>
      <c r="AI2178" s="538"/>
      <c r="AJ2178" s="538"/>
      <c r="AK2178" s="538"/>
      <c r="AL2178" s="1352"/>
      <c r="AM2178" s="1352"/>
      <c r="AN2178" s="1352"/>
      <c r="AO2178" s="1352"/>
      <c r="AP2178" s="1352" t="str">
        <f>SUBSTITUTE(SUBSTITUTE(SUBSTITUTE("vch"&amp;$B2178&amp;$C2178&amp;$D2178&amp;$E2178,".","_"),"(","_"),")","")</f>
        <v>vch902_4_2</v>
      </c>
      <c r="AQ2178" s="1352" t="str">
        <f>IF(LEN(W2178)=0,"",W2178)</f>
        <v/>
      </c>
      <c r="AR2178" s="1352" t="str">
        <f>SUBSTITUTE(SUBSTITUTE(SUBSTITUTE("vnt"&amp;$B2178&amp;$C2178&amp;$D2178&amp;$E2178,".","_"),"(","_"),")","")</f>
        <v>vnt902_4_2</v>
      </c>
      <c r="AS2178" s="1352" t="str">
        <f>IF(LEN(X2178)=0,"",X2178)</f>
        <v/>
      </c>
      <c r="AT2178" s="538"/>
      <c r="AU2178" s="538"/>
      <c r="AV2178" s="538"/>
      <c r="AW2178" s="538"/>
      <c r="AX2178" s="538"/>
      <c r="AY2178" s="538"/>
      <c r="AZ2178" s="538"/>
      <c r="BA2178" s="538"/>
      <c r="BB2178" s="538"/>
      <c r="BC2178" s="538"/>
      <c r="BD2178" s="538"/>
      <c r="BE2178" s="538"/>
      <c r="BF2178" s="538"/>
      <c r="BG2178" s="538"/>
      <c r="BH2178" s="538"/>
    </row>
    <row r="2179" spans="1:60" hidden="1" x14ac:dyDescent="0.2">
      <c r="A2179" s="1507">
        <v>9</v>
      </c>
      <c r="B2179" s="1516">
        <v>902.4</v>
      </c>
      <c r="C2179" s="1511" t="s">
        <v>255</v>
      </c>
      <c r="D2179" s="1511"/>
      <c r="E2179" s="1511"/>
      <c r="F2179" s="1511"/>
      <c r="G2179" s="1509" t="str">
        <f t="shared" si="143"/>
        <v/>
      </c>
      <c r="H2179" s="1510" t="s">
        <v>3199</v>
      </c>
      <c r="I2179" s="406"/>
      <c r="J2179" s="129"/>
      <c r="K2179" s="129"/>
      <c r="L2179" s="1609"/>
      <c r="M2179" s="913"/>
      <c r="N2179" s="908"/>
      <c r="O2179" s="908"/>
      <c r="P2179" s="991"/>
      <c r="Q2179" s="991"/>
      <c r="R2179" s="991"/>
      <c r="S2179" s="991"/>
      <c r="T2179" s="991"/>
      <c r="U2179" s="991"/>
      <c r="V2179" s="991"/>
      <c r="W2179" s="991"/>
      <c r="X2179" s="1600"/>
      <c r="Y2179" s="1881"/>
      <c r="Z2179" s="1891"/>
      <c r="AB2179" s="538"/>
      <c r="AC2179" s="538"/>
      <c r="AD2179" s="538"/>
      <c r="AE2179" s="538"/>
      <c r="AF2179" s="538"/>
      <c r="AG2179" s="538"/>
      <c r="AH2179" s="538"/>
      <c r="AI2179" s="538"/>
      <c r="AJ2179" s="538"/>
      <c r="AK2179" s="538"/>
      <c r="AL2179" s="1352"/>
      <c r="AM2179" s="1352"/>
      <c r="AN2179" s="1352"/>
      <c r="AO2179" s="1352"/>
      <c r="AP2179" s="1352"/>
      <c r="AQ2179" s="1352"/>
      <c r="AR2179" s="1352"/>
      <c r="AS2179" s="1352"/>
      <c r="AT2179" s="538"/>
      <c r="AU2179" s="538"/>
      <c r="AV2179" s="538"/>
      <c r="AW2179" s="538"/>
      <c r="AX2179" s="538"/>
      <c r="AY2179" s="538"/>
      <c r="AZ2179" s="538"/>
      <c r="BA2179" s="538"/>
      <c r="BB2179" s="538"/>
      <c r="BC2179" s="538"/>
      <c r="BD2179" s="538"/>
      <c r="BE2179" s="538"/>
      <c r="BF2179" s="538"/>
      <c r="BG2179" s="538"/>
      <c r="BH2179" s="538"/>
    </row>
    <row r="2180" spans="1:60" hidden="1" x14ac:dyDescent="0.2">
      <c r="A2180" s="1507">
        <v>9</v>
      </c>
      <c r="B2180" s="1516">
        <v>902.4</v>
      </c>
      <c r="C2180" s="1511" t="s">
        <v>255</v>
      </c>
      <c r="D2180" s="1511"/>
      <c r="E2180" s="1511"/>
      <c r="F2180" s="1511"/>
      <c r="G2180" s="1509" t="str">
        <f t="shared" si="143"/>
        <v/>
      </c>
      <c r="H2180" s="1510" t="s">
        <v>3199</v>
      </c>
      <c r="I2180" s="406"/>
      <c r="J2180" s="213"/>
      <c r="K2180" s="213"/>
      <c r="L2180" s="1612"/>
      <c r="M2180" s="913"/>
      <c r="N2180" s="908"/>
      <c r="O2180" s="908"/>
      <c r="P2180" s="991"/>
      <c r="Q2180" s="991"/>
      <c r="R2180" s="991"/>
      <c r="S2180" s="991"/>
      <c r="T2180" s="991"/>
      <c r="U2180" s="991"/>
      <c r="V2180" s="991"/>
      <c r="W2180" s="991"/>
      <c r="X2180" s="1600"/>
      <c r="Y2180" s="1881"/>
      <c r="Z2180" s="1891"/>
      <c r="AB2180" s="538"/>
      <c r="AC2180" s="538"/>
      <c r="AD2180" s="538"/>
      <c r="AE2180" s="538"/>
      <c r="AF2180" s="538"/>
      <c r="AG2180" s="538"/>
      <c r="AH2180" s="538"/>
      <c r="AI2180" s="538"/>
      <c r="AJ2180" s="538"/>
      <c r="AK2180" s="538"/>
      <c r="AL2180" s="1352"/>
      <c r="AM2180" s="1352"/>
      <c r="AN2180" s="1352"/>
      <c r="AO2180" s="1352"/>
      <c r="AP2180" s="1352"/>
      <c r="AQ2180" s="1352"/>
      <c r="AR2180" s="1352"/>
      <c r="AS2180" s="1352"/>
      <c r="AT2180" s="538"/>
      <c r="AU2180" s="538"/>
      <c r="AV2180" s="538"/>
      <c r="AW2180" s="538"/>
      <c r="AX2180" s="538"/>
      <c r="AY2180" s="538"/>
      <c r="AZ2180" s="538"/>
      <c r="BA2180" s="538"/>
      <c r="BB2180" s="538"/>
      <c r="BC2180" s="538"/>
      <c r="BD2180" s="538"/>
      <c r="BE2180" s="538"/>
      <c r="BF2180" s="538"/>
      <c r="BG2180" s="538"/>
      <c r="BH2180" s="538"/>
    </row>
    <row r="2181" spans="1:60" hidden="1" x14ac:dyDescent="0.2">
      <c r="A2181" s="1515">
        <v>9</v>
      </c>
      <c r="B2181" s="1516">
        <v>902.4</v>
      </c>
      <c r="C2181" s="1511" t="s">
        <v>256</v>
      </c>
      <c r="G2181" s="1509" t="str">
        <f t="shared" si="143"/>
        <v/>
      </c>
      <c r="H2181" s="1510" t="s">
        <v>3198</v>
      </c>
      <c r="I2181"/>
      <c r="J2181" s="590" t="s">
        <v>256</v>
      </c>
      <c r="K2181" s="1111"/>
      <c r="L2181" s="1634" t="s">
        <v>4899</v>
      </c>
      <c r="M2181" s="991"/>
      <c r="N2181" s="991"/>
      <c r="O2181" s="991"/>
      <c r="P2181" s="991" t="b">
        <v>1</v>
      </c>
      <c r="Q2181" s="991" t="b">
        <v>0</v>
      </c>
      <c r="R2181" s="991" t="b">
        <v>0</v>
      </c>
      <c r="S2181" s="464" t="b">
        <v>1</v>
      </c>
      <c r="T2181" s="464" t="b">
        <v>0</v>
      </c>
      <c r="U2181"/>
      <c r="V2181"/>
      <c r="W2181" s="27"/>
      <c r="X2181" s="1600"/>
      <c r="Y2181" s="1881" t="str">
        <f>IF(LEN('11.900'!X334)=0,"None",'11.900'!X334)</f>
        <v>None</v>
      </c>
      <c r="Z2181" s="1599"/>
      <c r="AA2181"/>
      <c r="AC2181"/>
      <c r="AD2181"/>
      <c r="AE2181"/>
      <c r="AF2181"/>
      <c r="AG2181"/>
      <c r="AH2181"/>
      <c r="AI2181"/>
      <c r="AJ2181"/>
      <c r="AK2181"/>
      <c r="AL2181" s="1352"/>
      <c r="AM2181" s="1352"/>
      <c r="AN2181" s="1352"/>
      <c r="AO2181" s="1352"/>
      <c r="AP2181" s="1352" t="str">
        <f>SUBSTITUTE(SUBSTITUTE(SUBSTITUTE("vch"&amp;$B2181&amp;$C2181&amp;$D2181&amp;$E2181,".","_"),"(","_"),")","")</f>
        <v>vch902_4_3</v>
      </c>
      <c r="AQ2181" s="1352" t="str">
        <f>IF(LEN(W2181)=0,"",W2181)</f>
        <v/>
      </c>
      <c r="AR2181" s="1352" t="str">
        <f>SUBSTITUTE(SUBSTITUTE(SUBSTITUTE("vnt"&amp;$B2181&amp;$C2181&amp;$D2181&amp;$E2181,".","_"),"(","_"),")","")</f>
        <v>vnt902_4_3</v>
      </c>
      <c r="AS2181" s="1352" t="str">
        <f>IF(LEN(X2181)=0,"",X2181)</f>
        <v/>
      </c>
      <c r="AT2181"/>
    </row>
    <row r="2182" spans="1:60" hidden="1" x14ac:dyDescent="0.2">
      <c r="A2182" s="1515">
        <v>9</v>
      </c>
      <c r="B2182" s="1516">
        <v>902.4</v>
      </c>
      <c r="C2182" s="1511" t="s">
        <v>256</v>
      </c>
      <c r="G2182" s="1509" t="str">
        <f t="shared" si="143"/>
        <v/>
      </c>
      <c r="H2182" s="1510" t="s">
        <v>3198</v>
      </c>
      <c r="I2182"/>
      <c r="J2182" s="1111"/>
      <c r="K2182" s="1111"/>
      <c r="L2182" s="1634"/>
      <c r="M2182" s="991"/>
      <c r="N2182" s="991"/>
      <c r="O2182" s="991"/>
      <c r="P2182" s="991"/>
      <c r="Q2182" s="991"/>
      <c r="R2182" s="991"/>
      <c r="S2182" s="991"/>
      <c r="T2182" s="991"/>
      <c r="U2182"/>
      <c r="V2182"/>
      <c r="W2182"/>
      <c r="X2182" s="1600"/>
      <c r="Y2182" s="1881"/>
      <c r="Z2182" s="1600"/>
      <c r="AA2182"/>
      <c r="AC2182"/>
      <c r="AD2182"/>
      <c r="AE2182"/>
      <c r="AF2182"/>
      <c r="AG2182"/>
      <c r="AH2182"/>
      <c r="AI2182"/>
      <c r="AJ2182"/>
      <c r="AK2182"/>
      <c r="AL2182" s="1352"/>
      <c r="AM2182" s="1352"/>
      <c r="AN2182" s="1352"/>
      <c r="AO2182" s="1352"/>
      <c r="AP2182" s="1352"/>
      <c r="AQ2182" s="1352"/>
      <c r="AR2182" s="1352"/>
      <c r="AS2182" s="1352"/>
      <c r="AT2182"/>
    </row>
    <row r="2183" spans="1:60" ht="16" hidden="1" thickBot="1" x14ac:dyDescent="0.25">
      <c r="A2183" s="1515">
        <v>9</v>
      </c>
      <c r="B2183" s="1516">
        <v>902.4</v>
      </c>
      <c r="C2183" s="1511" t="s">
        <v>256</v>
      </c>
      <c r="G2183" s="1509" t="str">
        <f t="shared" si="143"/>
        <v/>
      </c>
      <c r="H2183" s="1510" t="s">
        <v>3198</v>
      </c>
      <c r="I2183"/>
      <c r="J2183" s="1112"/>
      <c r="K2183" s="1112"/>
      <c r="L2183" s="1635"/>
      <c r="M2183" s="100"/>
      <c r="N2183" s="100"/>
      <c r="O2183" s="100"/>
      <c r="P2183" s="100"/>
      <c r="Q2183" s="100"/>
      <c r="R2183" s="100"/>
      <c r="S2183" s="100"/>
      <c r="T2183" s="100"/>
      <c r="U2183"/>
      <c r="V2183"/>
      <c r="W2183" s="100"/>
      <c r="X2183" s="1602"/>
      <c r="Y2183" s="1882"/>
      <c r="Z2183" s="1602"/>
      <c r="AA2183"/>
      <c r="AC2183"/>
      <c r="AD2183"/>
      <c r="AE2183"/>
      <c r="AF2183"/>
      <c r="AG2183"/>
      <c r="AH2183"/>
      <c r="AI2183"/>
      <c r="AJ2183"/>
      <c r="AK2183"/>
      <c r="AL2183" s="1352"/>
      <c r="AM2183" s="1352"/>
      <c r="AN2183" s="1352"/>
      <c r="AO2183" s="1352"/>
      <c r="AP2183" s="1352"/>
      <c r="AQ2183" s="1352"/>
      <c r="AR2183" s="1352"/>
      <c r="AS2183" s="1352"/>
      <c r="AT2183"/>
    </row>
    <row r="2184" spans="1:60" ht="16" hidden="1" thickTop="1" x14ac:dyDescent="0.2">
      <c r="A2184" s="1507">
        <v>9</v>
      </c>
      <c r="B2184" s="1516">
        <v>902.5</v>
      </c>
      <c r="C2184" s="1511"/>
      <c r="D2184" s="1511"/>
      <c r="E2184" s="1511"/>
      <c r="F2184" s="1511"/>
      <c r="G2184" s="1509" t="str">
        <f>IF(N2184&gt;0,"P","")</f>
        <v/>
      </c>
      <c r="H2184" s="1510" t="s">
        <v>3197</v>
      </c>
      <c r="I2184" s="177" t="s">
        <v>3701</v>
      </c>
      <c r="J2184" s="178"/>
      <c r="K2184" s="178"/>
      <c r="L2184" s="1796" t="s">
        <v>3722</v>
      </c>
      <c r="M2184" s="1685">
        <v>3</v>
      </c>
      <c r="N2184" s="1682">
        <f>'11.900'!O337</f>
        <v>0</v>
      </c>
      <c r="O2184" s="1682">
        <f>M2184*S2184*W2184</f>
        <v>0</v>
      </c>
      <c r="P2184" s="96" t="b">
        <v>1</v>
      </c>
      <c r="Q2184" s="96" t="b">
        <v>1</v>
      </c>
      <c r="R2184" s="106" t="b">
        <v>0</v>
      </c>
      <c r="S2184" s="106" t="b">
        <v>1</v>
      </c>
      <c r="T2184" s="106" t="b">
        <v>0</v>
      </c>
      <c r="U2184" s="106"/>
      <c r="V2184" s="106"/>
      <c r="W2184" s="119"/>
      <c r="X2184" s="1603"/>
      <c r="Y2184" s="1883" t="str">
        <f>IF(LEN('11.900'!X337)=0,"None",'11.900'!X337)</f>
        <v>None</v>
      </c>
      <c r="Z2184" s="1880"/>
      <c r="AB2184" s="538"/>
      <c r="AC2184" s="538"/>
      <c r="AD2184" s="538"/>
      <c r="AE2184" s="538"/>
      <c r="AF2184" s="720"/>
      <c r="AG2184" s="538"/>
      <c r="AH2184" s="538"/>
      <c r="AI2184" s="538"/>
      <c r="AJ2184" s="538"/>
      <c r="AK2184" s="538"/>
      <c r="AL2184" s="1352" t="str">
        <f>SUBSTITUTE(SUBSTITUTE(SUBSTITUTE("vpa"&amp;$B2184&amp;$C2184&amp;$D2184&amp;$E2184,".","_"),"(","_"),")","")</f>
        <v>vpa902_5</v>
      </c>
      <c r="AM2184" s="1352">
        <f>M2184</f>
        <v>3</v>
      </c>
      <c r="AN2184" s="1352" t="str">
        <f>SUBSTITUTE(SUBSTITUTE(SUBSTITUTE("vpc"&amp;$B2184&amp;$C2184&amp;$D2184&amp;$E2184,".","_"),"(","_"),")","")</f>
        <v>vpc902_5</v>
      </c>
      <c r="AO2184" s="1352">
        <f>O2184</f>
        <v>0</v>
      </c>
      <c r="AP2184" s="1352" t="str">
        <f>SUBSTITUTE(SUBSTITUTE(SUBSTITUTE("vch"&amp;$B2184&amp;$C2184&amp;$D2184&amp;$E2184,".","_"),"(","_"),")","")</f>
        <v>vch902_5</v>
      </c>
      <c r="AQ2184" s="1352" t="str">
        <f>IF(LEN(W2184)=0,"",W2184)</f>
        <v/>
      </c>
      <c r="AR2184" s="1352" t="str">
        <f>SUBSTITUTE(SUBSTITUTE(SUBSTITUTE("vnt"&amp;$B2184&amp;$C2184&amp;$D2184&amp;$E2184,".","_"),"(","_"),")","")</f>
        <v>vnt902_5</v>
      </c>
      <c r="AS2184" s="1352" t="str">
        <f>IF(LEN(X2184)=0,"",X2184)</f>
        <v/>
      </c>
      <c r="AT2184" s="538"/>
      <c r="AU2184" s="538"/>
      <c r="AV2184" s="538"/>
      <c r="AW2184" s="538"/>
      <c r="AX2184" s="538"/>
      <c r="AY2184" s="538"/>
      <c r="AZ2184" s="538"/>
      <c r="BA2184" s="538"/>
      <c r="BB2184" s="538"/>
      <c r="BC2184" s="538"/>
      <c r="BD2184" s="538"/>
      <c r="BE2184" s="538"/>
      <c r="BF2184" s="538"/>
      <c r="BG2184" s="538"/>
      <c r="BH2184" s="538"/>
    </row>
    <row r="2185" spans="1:60" ht="16" hidden="1" thickBot="1" x14ac:dyDescent="0.25">
      <c r="A2185" s="1507">
        <v>9</v>
      </c>
      <c r="B2185" s="1516">
        <v>902.5</v>
      </c>
      <c r="C2185" s="1511"/>
      <c r="D2185" s="1511"/>
      <c r="E2185" s="1511"/>
      <c r="F2185" s="1511"/>
      <c r="G2185" s="1509" t="str">
        <f>G2184</f>
        <v/>
      </c>
      <c r="H2185" s="1510" t="s">
        <v>3197</v>
      </c>
      <c r="I2185" s="189"/>
      <c r="J2185" s="239"/>
      <c r="K2185" s="239"/>
      <c r="L2185" s="1737"/>
      <c r="M2185" s="1627"/>
      <c r="N2185" s="1638"/>
      <c r="O2185" s="1638"/>
      <c r="P2185" s="100"/>
      <c r="Q2185" s="100"/>
      <c r="R2185" s="100"/>
      <c r="S2185" s="100"/>
      <c r="T2185" s="100"/>
      <c r="U2185" s="100"/>
      <c r="V2185" s="100"/>
      <c r="W2185" s="100"/>
      <c r="X2185" s="1602"/>
      <c r="Y2185" s="1882"/>
      <c r="Z2185" s="1892"/>
      <c r="AB2185" s="538"/>
      <c r="AC2185" s="538"/>
      <c r="AD2185" s="538"/>
      <c r="AE2185" s="538"/>
      <c r="AF2185" s="538"/>
      <c r="AG2185" s="538"/>
      <c r="AH2185" s="538"/>
      <c r="AI2185" s="538"/>
      <c r="AJ2185" s="538"/>
      <c r="AK2185" s="538"/>
      <c r="AL2185" s="1352"/>
      <c r="AM2185" s="1352"/>
      <c r="AN2185" s="1352"/>
      <c r="AO2185" s="1352"/>
      <c r="AP2185" s="1352"/>
      <c r="AQ2185" s="1352"/>
      <c r="AR2185" s="1352"/>
      <c r="AS2185" s="1352"/>
      <c r="AT2185" s="538"/>
      <c r="AU2185" s="538"/>
      <c r="AV2185" s="538"/>
      <c r="AW2185" s="538"/>
      <c r="AX2185" s="538"/>
      <c r="AY2185" s="538"/>
      <c r="AZ2185" s="538"/>
      <c r="BA2185" s="538"/>
      <c r="BB2185" s="538"/>
      <c r="BC2185" s="538"/>
      <c r="BD2185" s="538"/>
      <c r="BE2185" s="538"/>
      <c r="BF2185" s="538"/>
      <c r="BG2185" s="538"/>
      <c r="BH2185" s="538"/>
    </row>
    <row r="2186" spans="1:60" x14ac:dyDescent="0.2">
      <c r="A2186" s="1507">
        <v>9</v>
      </c>
      <c r="B2186" s="1516">
        <v>902.6</v>
      </c>
      <c r="C2186" s="1511"/>
      <c r="D2186" s="1511"/>
      <c r="E2186" s="1511"/>
      <c r="F2186" s="1511"/>
      <c r="G2186" s="1509" t="str">
        <f>IF(IFERROR(SEARCH("Mandatory",M2186),FALSE),"P","")</f>
        <v>P</v>
      </c>
      <c r="H2186" s="1510" t="s">
        <v>3198</v>
      </c>
      <c r="I2186" s="67" t="s">
        <v>3702</v>
      </c>
      <c r="J2186" s="4"/>
      <c r="K2186" s="4"/>
      <c r="L2186" s="1631" t="s">
        <v>3873</v>
      </c>
      <c r="M2186" s="1697" t="str">
        <f>IF(R2186,"Mandatory","N/A")</f>
        <v>Mandatory</v>
      </c>
      <c r="N2186" s="540"/>
      <c r="O2186" s="540"/>
      <c r="P2186" s="96" t="b">
        <v>1</v>
      </c>
      <c r="Q2186" s="96" t="b">
        <v>0</v>
      </c>
      <c r="R2186" s="538" t="b">
        <f>S2186</f>
        <v>1</v>
      </c>
      <c r="S2186" s="538" t="b">
        <v>1</v>
      </c>
      <c r="T2186" s="538" t="b">
        <v>0</v>
      </c>
      <c r="U2186" s="538"/>
      <c r="V2186" s="538"/>
      <c r="W2186" s="27" t="b">
        <v>1</v>
      </c>
      <c r="X2186" s="1599"/>
      <c r="Y2186" s="1877" t="str">
        <f>IF(LEN('11.900'!X339)=0,"None",'11.900'!X339)</f>
        <v>None</v>
      </c>
      <c r="Z2186" s="1880"/>
      <c r="AB2186" s="538"/>
      <c r="AC2186" s="538" t="b">
        <f>OR(AD2186:AE2186)</f>
        <v>0</v>
      </c>
      <c r="AD2186" s="538" t="b">
        <f>T2186</f>
        <v>0</v>
      </c>
      <c r="AE2186" s="538" t="b">
        <f>AND(R2186,NOT(W2186))</f>
        <v>0</v>
      </c>
      <c r="AF2186" s="720" t="b">
        <f>AND(AE2186,NOT(Q2186))</f>
        <v>0</v>
      </c>
      <c r="AG2186" s="538"/>
      <c r="AH2186" s="538"/>
      <c r="AI2186" s="538"/>
      <c r="AJ2186" s="538"/>
      <c r="AK2186" s="538"/>
      <c r="AL2186" s="1352" t="str">
        <f>SUBSTITUTE(SUBSTITUTE(SUBSTITUTE("vpa"&amp;$B2186&amp;$C2186&amp;$D2186&amp;$E2186,".","_"),"(","_"),")","")</f>
        <v>vpa902_6</v>
      </c>
      <c r="AM2186" s="1352" t="str">
        <f>M2186</f>
        <v>Mandatory</v>
      </c>
      <c r="AN2186" s="1352"/>
      <c r="AO2186" s="1352"/>
      <c r="AP2186" s="1352" t="str">
        <f>SUBSTITUTE(SUBSTITUTE(SUBSTITUTE("vch"&amp;$B2186&amp;$C2186&amp;$D2186&amp;$E2186,".","_"),"(","_"),")","")</f>
        <v>vch902_6</v>
      </c>
      <c r="AQ2186" s="1352" t="b">
        <f>IF(LEN(W2186)=0,"",W2186)</f>
        <v>1</v>
      </c>
      <c r="AR2186" s="1352" t="str">
        <f>SUBSTITUTE(SUBSTITUTE(SUBSTITUTE("vnt"&amp;$B2186&amp;$C2186&amp;$D2186&amp;$E2186,".","_"),"(","_"),")","")</f>
        <v>vnt902_6</v>
      </c>
      <c r="AS2186" s="1352" t="str">
        <f>IF(LEN(X2186)=0,"",X2186)</f>
        <v/>
      </c>
      <c r="AT2186" s="538"/>
      <c r="AU2186" s="538"/>
      <c r="AV2186" s="538"/>
      <c r="AW2186" s="538"/>
      <c r="AX2186" s="538"/>
      <c r="AY2186" s="538"/>
      <c r="AZ2186" s="538"/>
      <c r="BA2186" s="538"/>
      <c r="BB2186" s="538"/>
      <c r="BC2186" s="538"/>
      <c r="BD2186" s="538"/>
      <c r="BE2186" s="538"/>
      <c r="BF2186" s="538"/>
      <c r="BG2186" s="538"/>
      <c r="BH2186" s="538"/>
    </row>
    <row r="2187" spans="1:60" x14ac:dyDescent="0.2">
      <c r="A2187" s="1507">
        <v>9</v>
      </c>
      <c r="B2187" s="1516">
        <v>902.6</v>
      </c>
      <c r="C2187" s="1511"/>
      <c r="D2187" s="1511"/>
      <c r="E2187" s="1511"/>
      <c r="F2187" s="1511"/>
      <c r="G2187" s="1509" t="s">
        <v>3200</v>
      </c>
      <c r="H2187" s="1510" t="s">
        <v>3198</v>
      </c>
      <c r="I2187" s="161"/>
      <c r="J2187" s="4"/>
      <c r="K2187" s="4"/>
      <c r="L2187" s="1631"/>
      <c r="M2187" s="1697"/>
      <c r="N2187" s="540"/>
      <c r="O2187" s="540"/>
      <c r="P2187" s="538"/>
      <c r="Q2187" s="538"/>
      <c r="R2187" s="538"/>
      <c r="S2187" s="538"/>
      <c r="T2187" s="538"/>
      <c r="U2187" s="538"/>
      <c r="V2187" s="538"/>
      <c r="W2187" s="538"/>
      <c r="X2187" s="1600"/>
      <c r="Y2187" s="1874"/>
      <c r="Z2187" s="1889"/>
      <c r="AB2187" s="538"/>
      <c r="AC2187" s="538"/>
      <c r="AD2187" s="538"/>
      <c r="AE2187" s="538"/>
      <c r="AF2187" s="538"/>
      <c r="AG2187" s="538"/>
      <c r="AH2187" s="538"/>
      <c r="AI2187" s="538"/>
      <c r="AJ2187" s="538"/>
      <c r="AK2187" s="538"/>
      <c r="AL2187" s="1352"/>
      <c r="AM2187" s="1352"/>
      <c r="AN2187" s="1352"/>
      <c r="AO2187" s="1352"/>
      <c r="AP2187" s="1352"/>
      <c r="AQ2187" s="1352"/>
      <c r="AR2187" s="1352"/>
      <c r="AS2187" s="1352"/>
      <c r="AT2187" s="538"/>
      <c r="AU2187" s="538"/>
      <c r="AV2187" s="538"/>
      <c r="AW2187" s="538"/>
      <c r="AX2187" s="538"/>
      <c r="AY2187" s="538"/>
      <c r="AZ2187" s="538"/>
      <c r="BA2187" s="538"/>
      <c r="BB2187" s="538"/>
      <c r="BC2187" s="538"/>
      <c r="BD2187" s="538"/>
      <c r="BE2187" s="538"/>
      <c r="BF2187" s="538"/>
      <c r="BG2187" s="538"/>
      <c r="BH2187" s="538"/>
    </row>
    <row r="2188" spans="1:60" ht="19" x14ac:dyDescent="0.25">
      <c r="A2188" s="1507">
        <v>9</v>
      </c>
      <c r="B2188" s="1516">
        <v>903</v>
      </c>
      <c r="C2188" s="1511"/>
      <c r="D2188" s="1511"/>
      <c r="E2188" s="1511"/>
      <c r="F2188" s="1511"/>
      <c r="G2188" s="1509" t="s">
        <v>3200</v>
      </c>
      <c r="H2188" s="1510" t="s">
        <v>3197</v>
      </c>
      <c r="I2188" s="14" t="s">
        <v>3703</v>
      </c>
      <c r="J2188" s="25"/>
      <c r="K2188" s="25"/>
      <c r="L2188" s="86"/>
      <c r="M2188" s="419"/>
      <c r="N2188" s="419"/>
      <c r="O2188" s="419"/>
      <c r="P2188" s="25"/>
      <c r="Q2188" s="25"/>
      <c r="R2188" s="25"/>
      <c r="S2188" s="25"/>
      <c r="T2188" s="25"/>
      <c r="U2188" s="25"/>
      <c r="V2188" s="25"/>
      <c r="W2188" s="25"/>
      <c r="X2188" s="25"/>
      <c r="Y2188" s="25"/>
      <c r="Z2188" s="714"/>
      <c r="AB2188" s="538"/>
      <c r="AC2188" s="538"/>
      <c r="AD2188" s="538"/>
      <c r="AE2188" s="538"/>
      <c r="AF2188" s="538"/>
      <c r="AG2188" s="538"/>
      <c r="AH2188" s="538"/>
      <c r="AI2188" s="538"/>
      <c r="AJ2188" s="538"/>
      <c r="AK2188" s="538"/>
      <c r="AL2188" s="1352"/>
      <c r="AM2188" s="1352"/>
      <c r="AN2188" s="1352"/>
      <c r="AO2188" s="1352"/>
      <c r="AP2188" s="1352"/>
      <c r="AQ2188" s="1352"/>
      <c r="AR2188" s="1352"/>
      <c r="AS2188" s="1352"/>
      <c r="AT2188" s="538"/>
      <c r="AU2188" s="538"/>
      <c r="AV2188" s="538"/>
      <c r="AW2188" s="538"/>
      <c r="AX2188" s="538"/>
      <c r="AY2188" s="538"/>
      <c r="AZ2188" s="538"/>
      <c r="BA2188" s="538"/>
      <c r="BB2188" s="538"/>
      <c r="BC2188" s="538"/>
      <c r="BD2188" s="538"/>
      <c r="BE2188" s="538"/>
      <c r="BF2188" s="538"/>
      <c r="BG2188" s="538"/>
      <c r="BH2188" s="538"/>
    </row>
    <row r="2189" spans="1:60" ht="16" hidden="1" thickBot="1" x14ac:dyDescent="0.25">
      <c r="A2189" s="1507">
        <v>9</v>
      </c>
      <c r="B2189" s="1516" t="s">
        <v>3437</v>
      </c>
      <c r="C2189" s="1511"/>
      <c r="D2189" s="1511"/>
      <c r="E2189" s="1511"/>
      <c r="F2189" s="1511"/>
      <c r="G2189" s="1510"/>
      <c r="H2189" s="1510"/>
      <c r="I2189" s="820" t="s">
        <v>3704</v>
      </c>
      <c r="J2189" s="239"/>
      <c r="K2189" s="239"/>
      <c r="L2189" s="567" t="s">
        <v>3721</v>
      </c>
      <c r="M2189" s="553"/>
      <c r="N2189" s="547"/>
      <c r="O2189" s="547"/>
      <c r="P2189" s="100"/>
      <c r="Q2189" s="100"/>
      <c r="R2189" s="100"/>
      <c r="S2189" s="100"/>
      <c r="T2189" s="100"/>
      <c r="U2189" s="100"/>
      <c r="V2189" s="100"/>
      <c r="W2189" s="100"/>
      <c r="X2189" s="100"/>
      <c r="Y2189" s="100"/>
      <c r="Z2189" s="716"/>
      <c r="AB2189" s="538"/>
      <c r="AC2189" s="538"/>
      <c r="AD2189" s="538"/>
      <c r="AE2189" s="538"/>
      <c r="AF2189" s="538"/>
      <c r="AG2189" s="538"/>
      <c r="AH2189" s="538"/>
      <c r="AI2189" s="538"/>
      <c r="AJ2189" s="538"/>
      <c r="AK2189" s="538"/>
      <c r="AL2189" s="1352"/>
      <c r="AM2189" s="1352"/>
      <c r="AN2189" s="1352"/>
      <c r="AO2189" s="1352"/>
      <c r="AP2189" s="1352"/>
      <c r="AQ2189" s="1352"/>
      <c r="AR2189" s="1352"/>
      <c r="AS2189" s="1352"/>
      <c r="AT2189" s="538"/>
      <c r="AU2189" s="538"/>
      <c r="AV2189" s="538"/>
      <c r="AW2189" s="538"/>
      <c r="AX2189" s="538"/>
      <c r="AY2189" s="538"/>
      <c r="AZ2189" s="538"/>
      <c r="BA2189" s="538"/>
      <c r="BB2189" s="538"/>
      <c r="BC2189" s="538"/>
      <c r="BD2189" s="538"/>
      <c r="BE2189" s="538"/>
      <c r="BF2189" s="538"/>
      <c r="BG2189" s="538"/>
      <c r="BH2189" s="538"/>
    </row>
    <row r="2190" spans="1:60" ht="16" hidden="1" thickTop="1" x14ac:dyDescent="0.2">
      <c r="A2190" s="1507">
        <v>9</v>
      </c>
      <c r="B2190" s="1516">
        <v>903.1</v>
      </c>
      <c r="C2190" s="1511"/>
      <c r="D2190" s="1511"/>
      <c r="E2190" s="1511"/>
      <c r="F2190" s="1511"/>
      <c r="G2190" s="1509" t="str">
        <f ca="1">IF(N2190&gt;0,"P","")</f>
        <v/>
      </c>
      <c r="H2190" s="1510" t="s">
        <v>3198</v>
      </c>
      <c r="I2190" s="405" t="s">
        <v>3705</v>
      </c>
      <c r="J2190" s="178"/>
      <c r="K2190" s="178"/>
      <c r="L2190" s="566" t="s">
        <v>3720</v>
      </c>
      <c r="M2190" s="556"/>
      <c r="N2190" s="548">
        <f ca="1">'11.900'!O343</f>
        <v>0</v>
      </c>
      <c r="O2190" s="548">
        <f ca="1">IFERROR(INDEX({2,5},MATCH(W2190,INDIRECT(U2190),0)),0)*S2190</f>
        <v>0</v>
      </c>
      <c r="P2190" s="96" t="b">
        <v>1</v>
      </c>
      <c r="Q2190" s="96" t="b">
        <v>0</v>
      </c>
      <c r="R2190" s="106" t="b">
        <v>0</v>
      </c>
      <c r="S2190" s="106" t="b">
        <v>1</v>
      </c>
      <c r="T2190" s="106" t="b">
        <v>0</v>
      </c>
      <c r="U2190" s="106" t="str">
        <f>SUBSTITUTE(SUBSTITUTE(SUBSTITUTE("dd"&amp;B2190&amp;C2190&amp;D2190&amp;E2190&amp;F2190,".","_"),"(","_"),")","")</f>
        <v>dd903_1</v>
      </c>
      <c r="V2190" s="106"/>
      <c r="W2190" s="12"/>
      <c r="X2190" s="1603"/>
      <c r="Y2190" s="1877" t="str">
        <f>IF(LEN('11.900'!X343)=0,"None",'11.900'!X343)</f>
        <v>None</v>
      </c>
      <c r="Z2190" s="1880"/>
      <c r="AB2190" s="538"/>
      <c r="AC2190" s="538"/>
      <c r="AD2190" s="538"/>
      <c r="AE2190" s="538"/>
      <c r="AF2190" s="720"/>
      <c r="AG2190" s="538"/>
      <c r="AH2190" s="538"/>
      <c r="AI2190" s="538"/>
      <c r="AJ2190" s="538"/>
      <c r="AK2190" s="538"/>
      <c r="AL2190" s="1352"/>
      <c r="AM2190" s="1352"/>
      <c r="AN2190" s="1352" t="str">
        <f>SUBSTITUTE(SUBSTITUTE(SUBSTITUTE("vpc"&amp;$B2190&amp;$C2190&amp;$D2190&amp;$E2190,".","_"),"(","_"),")","")</f>
        <v>vpc903_1</v>
      </c>
      <c r="AO2190" s="1352">
        <f ca="1">O2190</f>
        <v>0</v>
      </c>
      <c r="AP2190" s="1352" t="str">
        <f>SUBSTITUTE(SUBSTITUTE(SUBSTITUTE("vch"&amp;$B2190&amp;$C2190&amp;$D2190&amp;$E2190,".","_"),"(","_"),")","")</f>
        <v>vch903_1</v>
      </c>
      <c r="AQ2190" s="1352" t="str">
        <f>IF(LEN(W2190)=0,"",W2190)</f>
        <v/>
      </c>
      <c r="AR2190" s="1352" t="str">
        <f>SUBSTITUTE(SUBSTITUTE(SUBSTITUTE("vnt"&amp;$B2190&amp;$C2190&amp;$D2190&amp;$E2190,".","_"),"(","_"),")","")</f>
        <v>vnt903_1</v>
      </c>
      <c r="AS2190" s="1352" t="str">
        <f>IF(LEN(X2190)=0,"",X2190)</f>
        <v/>
      </c>
      <c r="AT2190" s="538"/>
      <c r="AU2190" s="538"/>
      <c r="AV2190" s="538"/>
      <c r="AW2190" s="538"/>
      <c r="AX2190" s="538"/>
      <c r="AY2190" s="538"/>
      <c r="AZ2190" s="538"/>
      <c r="BA2190" s="538"/>
      <c r="BB2190" s="538"/>
      <c r="BC2190" s="538"/>
      <c r="BD2190" s="538"/>
      <c r="BE2190" s="538"/>
      <c r="BF2190" s="538"/>
      <c r="BG2190" s="538"/>
      <c r="BH2190" s="538"/>
    </row>
    <row r="2191" spans="1:60" hidden="1" x14ac:dyDescent="0.2">
      <c r="A2191" s="1507">
        <v>9</v>
      </c>
      <c r="B2191" s="1516">
        <v>903.1</v>
      </c>
      <c r="C2191" s="1511" t="s">
        <v>254</v>
      </c>
      <c r="D2191" s="1511"/>
      <c r="E2191" s="1511"/>
      <c r="F2191" s="1511"/>
      <c r="G2191" s="1509" t="str">
        <f ca="1">G2190</f>
        <v/>
      </c>
      <c r="H2191" s="1510" t="s">
        <v>3198</v>
      </c>
      <c r="I2191" s="406"/>
      <c r="J2191" s="180" t="s">
        <v>254</v>
      </c>
      <c r="K2191" s="129"/>
      <c r="L2191" s="1609" t="s">
        <v>2934</v>
      </c>
      <c r="M2191" s="1623">
        <v>2</v>
      </c>
      <c r="N2191" s="543"/>
      <c r="O2191" s="543"/>
      <c r="P2191" s="96"/>
      <c r="Q2191" s="96"/>
      <c r="R2191" s="96"/>
      <c r="S2191" s="96"/>
      <c r="T2191" s="96"/>
      <c r="U2191" s="96"/>
      <c r="V2191" s="96"/>
      <c r="W2191" s="96"/>
      <c r="X2191" s="1601"/>
      <c r="Y2191" s="1881"/>
      <c r="Z2191" s="1891"/>
      <c r="AB2191" s="538"/>
      <c r="AC2191" s="538"/>
      <c r="AD2191" s="538"/>
      <c r="AE2191" s="538"/>
      <c r="AF2191" s="538"/>
      <c r="AG2191" s="538"/>
      <c r="AH2191" s="538"/>
      <c r="AI2191" s="538"/>
      <c r="AJ2191" s="538"/>
      <c r="AK2191" s="538"/>
      <c r="AL2191" s="1352" t="str">
        <f>SUBSTITUTE(SUBSTITUTE(SUBSTITUTE("vpa"&amp;$B2191&amp;$C2191&amp;$D2191&amp;$E2191,".","_"),"(","_"),")","")</f>
        <v>vpa903_1_1</v>
      </c>
      <c r="AM2191" s="1352">
        <f>M2191</f>
        <v>2</v>
      </c>
      <c r="AN2191" s="1352"/>
      <c r="AO2191" s="1352"/>
      <c r="AP2191" s="1352"/>
      <c r="AQ2191" s="1352"/>
      <c r="AR2191" s="1352"/>
      <c r="AS2191" s="1352"/>
      <c r="AT2191" s="538"/>
      <c r="AU2191" s="538"/>
      <c r="AV2191" s="538"/>
      <c r="AW2191" s="538"/>
      <c r="AX2191" s="538"/>
      <c r="AY2191" s="538"/>
      <c r="AZ2191" s="538"/>
      <c r="BA2191" s="538"/>
      <c r="BB2191" s="538"/>
      <c r="BC2191" s="538"/>
      <c r="BD2191" s="538"/>
      <c r="BE2191" s="538"/>
      <c r="BF2191" s="538"/>
      <c r="BG2191" s="538"/>
      <c r="BH2191" s="538"/>
    </row>
    <row r="2192" spans="1:60" hidden="1" x14ac:dyDescent="0.2">
      <c r="A2192" s="1507">
        <v>9</v>
      </c>
      <c r="B2192" s="1516">
        <v>903.1</v>
      </c>
      <c r="C2192" s="1511" t="s">
        <v>254</v>
      </c>
      <c r="D2192" s="1511"/>
      <c r="E2192" s="1511"/>
      <c r="F2192" s="1511"/>
      <c r="G2192" s="1509" t="str">
        <f ca="1">G2191</f>
        <v/>
      </c>
      <c r="H2192" s="1510" t="s">
        <v>3198</v>
      </c>
      <c r="I2192" s="406"/>
      <c r="J2192" s="207"/>
      <c r="K2192" s="213"/>
      <c r="L2192" s="1696"/>
      <c r="M2192" s="1624"/>
      <c r="N2192" s="543"/>
      <c r="O2192" s="543"/>
      <c r="P2192" s="96"/>
      <c r="Q2192" s="96"/>
      <c r="R2192" s="96"/>
      <c r="S2192" s="96"/>
      <c r="T2192" s="96"/>
      <c r="U2192" s="96"/>
      <c r="V2192" s="96"/>
      <c r="W2192" s="96"/>
      <c r="X2192" s="1601"/>
      <c r="Y2192" s="1881"/>
      <c r="Z2192" s="1891"/>
      <c r="AB2192" s="538"/>
      <c r="AC2192" s="538"/>
      <c r="AD2192" s="538"/>
      <c r="AE2192" s="538"/>
      <c r="AF2192" s="538"/>
      <c r="AG2192" s="538"/>
      <c r="AH2192" s="538"/>
      <c r="AI2192" s="538"/>
      <c r="AJ2192" s="538"/>
      <c r="AK2192" s="538"/>
      <c r="AL2192" s="1352"/>
      <c r="AM2192" s="1352"/>
      <c r="AN2192" s="1352"/>
      <c r="AO2192" s="1352"/>
      <c r="AP2192" s="1352"/>
      <c r="AQ2192" s="1352"/>
      <c r="AR2192" s="1352"/>
      <c r="AS2192" s="1352"/>
      <c r="AT2192" s="538"/>
      <c r="AU2192" s="538"/>
      <c r="AV2192" s="538"/>
      <c r="AW2192" s="538"/>
      <c r="AX2192" s="538"/>
      <c r="AY2192" s="538"/>
      <c r="AZ2192" s="538"/>
      <c r="BA2192" s="538"/>
      <c r="BB2192" s="538"/>
      <c r="BC2192" s="538"/>
      <c r="BD2192" s="538"/>
      <c r="BE2192" s="538"/>
      <c r="BF2192" s="538"/>
      <c r="BG2192" s="538"/>
      <c r="BH2192" s="538"/>
    </row>
    <row r="2193" spans="1:60" ht="16" hidden="1" thickBot="1" x14ac:dyDescent="0.25">
      <c r="A2193" s="1507">
        <v>9</v>
      </c>
      <c r="B2193" s="1516">
        <v>903.1</v>
      </c>
      <c r="C2193" s="1511" t="s">
        <v>255</v>
      </c>
      <c r="D2193" s="1511"/>
      <c r="E2193" s="1511"/>
      <c r="F2193" s="1511"/>
      <c r="G2193" s="1509" t="str">
        <f ca="1">G2192</f>
        <v/>
      </c>
      <c r="H2193" s="1510" t="s">
        <v>3198</v>
      </c>
      <c r="I2193" s="407"/>
      <c r="J2193" s="190" t="s">
        <v>255</v>
      </c>
      <c r="K2193" s="239"/>
      <c r="L2193" s="557" t="s">
        <v>2935</v>
      </c>
      <c r="M2193" s="553">
        <v>5</v>
      </c>
      <c r="N2193" s="547"/>
      <c r="O2193" s="547"/>
      <c r="P2193" s="100"/>
      <c r="Q2193" s="100"/>
      <c r="R2193" s="100"/>
      <c r="S2193" s="100"/>
      <c r="T2193" s="100"/>
      <c r="U2193" s="100"/>
      <c r="V2193" s="100"/>
      <c r="W2193" s="100"/>
      <c r="X2193" s="1602"/>
      <c r="Y2193" s="1882"/>
      <c r="Z2193" s="1892"/>
      <c r="AB2193" s="538"/>
      <c r="AC2193" s="538"/>
      <c r="AD2193" s="538"/>
      <c r="AE2193" s="538"/>
      <c r="AF2193" s="538"/>
      <c r="AG2193" s="538"/>
      <c r="AH2193" s="538"/>
      <c r="AI2193" s="538"/>
      <c r="AJ2193" s="538"/>
      <c r="AK2193" s="538"/>
      <c r="AL2193" s="1352" t="str">
        <f>SUBSTITUTE(SUBSTITUTE(SUBSTITUTE("vpa"&amp;$B2193&amp;$C2193&amp;$D2193&amp;$E2193,".","_"),"(","_"),")","")</f>
        <v>vpa903_1_2</v>
      </c>
      <c r="AM2193" s="1352">
        <f>M2193</f>
        <v>5</v>
      </c>
      <c r="AN2193" s="1352"/>
      <c r="AO2193" s="1352"/>
      <c r="AP2193" s="1352"/>
      <c r="AQ2193" s="1352"/>
      <c r="AR2193" s="1352"/>
      <c r="AS2193" s="1352"/>
      <c r="AT2193" s="538"/>
      <c r="AU2193" s="538"/>
      <c r="AV2193" s="538"/>
      <c r="AW2193" s="538"/>
      <c r="AX2193" s="538"/>
      <c r="AY2193" s="538"/>
      <c r="AZ2193" s="538"/>
      <c r="BA2193" s="538"/>
      <c r="BB2193" s="538"/>
      <c r="BC2193" s="538"/>
      <c r="BD2193" s="538"/>
      <c r="BE2193" s="538"/>
      <c r="BF2193" s="538"/>
      <c r="BG2193" s="538"/>
      <c r="BH2193" s="538"/>
    </row>
    <row r="2194" spans="1:60" ht="16" hidden="1" thickTop="1" x14ac:dyDescent="0.2">
      <c r="A2194" s="1507">
        <v>9</v>
      </c>
      <c r="B2194" s="1516">
        <v>903.2</v>
      </c>
      <c r="C2194" s="1511"/>
      <c r="D2194" s="1511"/>
      <c r="E2194" s="1511"/>
      <c r="F2194" s="1511"/>
      <c r="G2194" s="1509" t="str">
        <f ca="1">IF(N2194&gt;0,"P","")</f>
        <v/>
      </c>
      <c r="H2194" s="1510" t="s">
        <v>3197</v>
      </c>
      <c r="I2194" s="177" t="s">
        <v>3706</v>
      </c>
      <c r="J2194" s="178"/>
      <c r="K2194" s="178"/>
      <c r="L2194" s="566" t="s">
        <v>3719</v>
      </c>
      <c r="M2194" s="556"/>
      <c r="N2194" s="548">
        <f ca="1">'11.900'!O347</f>
        <v>0</v>
      </c>
      <c r="O2194" s="548">
        <f ca="1">IFERROR(INDEX({1,3},MATCH(W2194,INDIRECT(U2194),0)),0)*S2194</f>
        <v>0</v>
      </c>
      <c r="P2194" s="96" t="b">
        <v>1</v>
      </c>
      <c r="Q2194" s="96" t="b">
        <v>1</v>
      </c>
      <c r="R2194" s="106" t="b">
        <v>0</v>
      </c>
      <c r="S2194" s="106" t="b">
        <v>1</v>
      </c>
      <c r="T2194" s="106" t="b">
        <v>0</v>
      </c>
      <c r="U2194" s="106" t="str">
        <f>SUBSTITUTE(SUBSTITUTE(SUBSTITUTE("dd"&amp;B2194&amp;C2194&amp;D2194&amp;E2194&amp;F2194,".","_"),"(","_"),")","")</f>
        <v>dd903_2</v>
      </c>
      <c r="V2194" s="106"/>
      <c r="W2194" s="12"/>
      <c r="X2194" s="1603"/>
      <c r="Y2194" s="1877" t="str">
        <f>IF(LEN('11.900'!X347)=0,"None",'11.900'!X347)</f>
        <v>None</v>
      </c>
      <c r="Z2194" s="1880"/>
      <c r="AB2194" s="538"/>
      <c r="AC2194" s="538"/>
      <c r="AD2194" s="538"/>
      <c r="AE2194" s="538"/>
      <c r="AF2194" s="720"/>
      <c r="AG2194" s="538"/>
      <c r="AH2194" s="538"/>
      <c r="AI2194" s="538"/>
      <c r="AJ2194" s="538"/>
      <c r="AK2194" s="538"/>
      <c r="AL2194" s="1352"/>
      <c r="AM2194" s="1352"/>
      <c r="AN2194" s="1352" t="str">
        <f>SUBSTITUTE(SUBSTITUTE(SUBSTITUTE("vpc"&amp;$B2194&amp;$C2194&amp;$D2194&amp;$E2194,".","_"),"(","_"),")","")</f>
        <v>vpc903_2</v>
      </c>
      <c r="AO2194" s="1352">
        <f ca="1">O2194</f>
        <v>0</v>
      </c>
      <c r="AP2194" s="1352" t="str">
        <f>SUBSTITUTE(SUBSTITUTE(SUBSTITUTE("vch"&amp;$B2194&amp;$C2194&amp;$D2194&amp;$E2194,".","_"),"(","_"),")","")</f>
        <v>vch903_2</v>
      </c>
      <c r="AQ2194" s="1352" t="str">
        <f>IF(LEN(W2194)=0,"",W2194)</f>
        <v/>
      </c>
      <c r="AR2194" s="1352" t="str">
        <f>SUBSTITUTE(SUBSTITUTE(SUBSTITUTE("vnt"&amp;$B2194&amp;$C2194&amp;$D2194&amp;$E2194,".","_"),"(","_"),")","")</f>
        <v>vnt903_2</v>
      </c>
      <c r="AS2194" s="1352" t="str">
        <f>IF(LEN(X2194)=0,"",X2194)</f>
        <v/>
      </c>
      <c r="AT2194" s="538"/>
      <c r="AU2194" s="538"/>
      <c r="AV2194" s="538"/>
      <c r="AW2194" s="538"/>
      <c r="AX2194" s="538"/>
      <c r="AY2194" s="538"/>
      <c r="AZ2194" s="538"/>
      <c r="BA2194" s="538"/>
      <c r="BB2194" s="538"/>
      <c r="BC2194" s="538"/>
      <c r="BD2194" s="538"/>
      <c r="BE2194" s="538"/>
      <c r="BF2194" s="538"/>
      <c r="BG2194" s="538"/>
      <c r="BH2194" s="538"/>
    </row>
    <row r="2195" spans="1:60" hidden="1" x14ac:dyDescent="0.2">
      <c r="A2195" s="1507">
        <v>9</v>
      </c>
      <c r="B2195" s="1516">
        <v>903.2</v>
      </c>
      <c r="C2195" s="1511" t="s">
        <v>254</v>
      </c>
      <c r="D2195" s="1511"/>
      <c r="E2195" s="1511"/>
      <c r="F2195" s="1511"/>
      <c r="G2195" s="1509" t="str">
        <f ca="1">G2194</f>
        <v/>
      </c>
      <c r="H2195" s="1510" t="s">
        <v>3197</v>
      </c>
      <c r="I2195" s="406"/>
      <c r="J2195" s="207" t="s">
        <v>254</v>
      </c>
      <c r="K2195" s="213"/>
      <c r="L2195" s="550" t="s">
        <v>2763</v>
      </c>
      <c r="M2195" s="546">
        <v>1</v>
      </c>
      <c r="N2195" s="543"/>
      <c r="O2195" s="543"/>
      <c r="P2195" s="96"/>
      <c r="Q2195" s="96"/>
      <c r="R2195" s="96"/>
      <c r="S2195" s="96"/>
      <c r="T2195" s="96"/>
      <c r="U2195" s="96"/>
      <c r="V2195" s="96"/>
      <c r="W2195" s="96"/>
      <c r="X2195" s="1601"/>
      <c r="Y2195" s="1881"/>
      <c r="Z2195" s="1891"/>
      <c r="AB2195" s="538"/>
      <c r="AC2195" s="538"/>
      <c r="AD2195" s="538"/>
      <c r="AE2195" s="538"/>
      <c r="AF2195" s="538"/>
      <c r="AG2195" s="538"/>
      <c r="AH2195" s="538"/>
      <c r="AI2195" s="538"/>
      <c r="AJ2195" s="538"/>
      <c r="AK2195" s="538"/>
      <c r="AL2195" s="1352" t="str">
        <f>SUBSTITUTE(SUBSTITUTE(SUBSTITUTE("vpa"&amp;$B2195&amp;$C2195&amp;$D2195&amp;$E2195,".","_"),"(","_"),")","")</f>
        <v>vpa903_2_1</v>
      </c>
      <c r="AM2195" s="1352">
        <f>M2195</f>
        <v>1</v>
      </c>
      <c r="AN2195" s="1352"/>
      <c r="AO2195" s="1352"/>
      <c r="AP2195" s="1352"/>
      <c r="AQ2195" s="1352"/>
      <c r="AR2195" s="1352"/>
      <c r="AS2195" s="1352"/>
      <c r="AT2195" s="538"/>
      <c r="AU2195" s="538"/>
      <c r="AV2195" s="538"/>
      <c r="AW2195" s="538"/>
      <c r="AX2195" s="538"/>
      <c r="AY2195" s="538"/>
      <c r="AZ2195" s="538"/>
      <c r="BA2195" s="538"/>
      <c r="BB2195" s="538"/>
      <c r="BC2195" s="538"/>
      <c r="BD2195" s="538"/>
      <c r="BE2195" s="538"/>
      <c r="BF2195" s="538"/>
      <c r="BG2195" s="538"/>
      <c r="BH2195" s="538"/>
    </row>
    <row r="2196" spans="1:60" hidden="1" x14ac:dyDescent="0.2">
      <c r="A2196" s="1507">
        <v>9</v>
      </c>
      <c r="B2196" s="1516">
        <v>903.2</v>
      </c>
      <c r="C2196" s="1511" t="s">
        <v>255</v>
      </c>
      <c r="D2196" s="1511"/>
      <c r="E2196" s="1511"/>
      <c r="F2196" s="1511"/>
      <c r="G2196" s="1509" t="str">
        <f ca="1">G2195</f>
        <v/>
      </c>
      <c r="H2196" s="1510" t="s">
        <v>3197</v>
      </c>
      <c r="I2196" s="406"/>
      <c r="J2196" s="180" t="s">
        <v>255</v>
      </c>
      <c r="K2196" s="129"/>
      <c r="L2196" s="1609" t="s">
        <v>2764</v>
      </c>
      <c r="M2196" s="1623">
        <v>3</v>
      </c>
      <c r="N2196" s="543"/>
      <c r="O2196" s="543"/>
      <c r="P2196" s="96"/>
      <c r="Q2196" s="96"/>
      <c r="R2196" s="96"/>
      <c r="S2196" s="96"/>
      <c r="T2196" s="96"/>
      <c r="U2196" s="96"/>
      <c r="V2196" s="96"/>
      <c r="W2196" s="96"/>
      <c r="X2196" s="1601"/>
      <c r="Y2196" s="1881"/>
      <c r="Z2196" s="1891"/>
      <c r="AB2196" s="538"/>
      <c r="AC2196" s="538"/>
      <c r="AD2196" s="538"/>
      <c r="AE2196" s="538"/>
      <c r="AF2196" s="538"/>
      <c r="AG2196" s="538"/>
      <c r="AH2196" s="538"/>
      <c r="AI2196" s="538"/>
      <c r="AJ2196" s="538"/>
      <c r="AK2196" s="538"/>
      <c r="AL2196" s="1352" t="str">
        <f>SUBSTITUTE(SUBSTITUTE(SUBSTITUTE("vpa"&amp;$B2196&amp;$C2196&amp;$D2196&amp;$E2196,".","_"),"(","_"),")","")</f>
        <v>vpa903_2_2</v>
      </c>
      <c r="AM2196" s="1352">
        <f>M2196</f>
        <v>3</v>
      </c>
      <c r="AN2196" s="1352"/>
      <c r="AO2196" s="1352"/>
      <c r="AP2196" s="1352"/>
      <c r="AQ2196" s="1352"/>
      <c r="AR2196" s="1352"/>
      <c r="AS2196" s="1352"/>
      <c r="AT2196" s="538"/>
      <c r="AU2196" s="538"/>
      <c r="AV2196" s="538"/>
      <c r="AW2196" s="538"/>
      <c r="AX2196" s="538"/>
      <c r="AY2196" s="538"/>
      <c r="AZ2196" s="538"/>
      <c r="BA2196" s="538"/>
      <c r="BB2196" s="538"/>
      <c r="BC2196" s="538"/>
      <c r="BD2196" s="538"/>
      <c r="BE2196" s="538"/>
      <c r="BF2196" s="538"/>
      <c r="BG2196" s="538"/>
      <c r="BH2196" s="538"/>
    </row>
    <row r="2197" spans="1:60" ht="16" hidden="1" thickBot="1" x14ac:dyDescent="0.25">
      <c r="A2197" s="1507">
        <v>9</v>
      </c>
      <c r="B2197" s="1516">
        <v>903.2</v>
      </c>
      <c r="C2197" s="1511" t="s">
        <v>255</v>
      </c>
      <c r="D2197" s="1511"/>
      <c r="E2197" s="1511"/>
      <c r="F2197" s="1511"/>
      <c r="G2197" s="1509" t="str">
        <f ca="1">G2196</f>
        <v/>
      </c>
      <c r="H2197" s="1510" t="s">
        <v>3197</v>
      </c>
      <c r="I2197" s="407"/>
      <c r="J2197" s="239"/>
      <c r="K2197" s="239"/>
      <c r="L2197" s="1610"/>
      <c r="M2197" s="1627"/>
      <c r="N2197" s="547"/>
      <c r="O2197" s="547"/>
      <c r="P2197" s="100"/>
      <c r="Q2197" s="100"/>
      <c r="R2197" s="100"/>
      <c r="S2197" s="100"/>
      <c r="T2197" s="100"/>
      <c r="U2197" s="100"/>
      <c r="V2197" s="100"/>
      <c r="W2197" s="100"/>
      <c r="X2197" s="1602"/>
      <c r="Y2197" s="1882"/>
      <c r="Z2197" s="1892"/>
      <c r="AB2197" s="538"/>
      <c r="AC2197" s="538"/>
      <c r="AD2197" s="538"/>
      <c r="AE2197" s="538"/>
      <c r="AF2197" s="538"/>
      <c r="AG2197" s="538"/>
      <c r="AH2197" s="538"/>
      <c r="AI2197" s="538"/>
      <c r="AJ2197" s="538"/>
      <c r="AK2197" s="538"/>
      <c r="AL2197" s="1352"/>
      <c r="AM2197" s="1352"/>
      <c r="AN2197" s="1352"/>
      <c r="AO2197" s="1352"/>
      <c r="AP2197" s="1352"/>
      <c r="AQ2197" s="1352"/>
      <c r="AR2197" s="1352"/>
      <c r="AS2197" s="1352"/>
      <c r="AT2197" s="538"/>
      <c r="AU2197" s="538"/>
      <c r="AV2197" s="538"/>
      <c r="AW2197" s="538"/>
      <c r="AX2197" s="538"/>
      <c r="AY2197" s="538"/>
      <c r="AZ2197" s="538"/>
      <c r="BA2197" s="538"/>
      <c r="BB2197" s="538"/>
      <c r="BC2197" s="538"/>
      <c r="BD2197" s="538"/>
      <c r="BE2197" s="538"/>
      <c r="BF2197" s="538"/>
      <c r="BG2197" s="538"/>
      <c r="BH2197" s="538"/>
    </row>
    <row r="2198" spans="1:60" hidden="1" x14ac:dyDescent="0.2">
      <c r="A2198" s="1507">
        <v>9</v>
      </c>
      <c r="B2198" s="1516">
        <v>903.3</v>
      </c>
      <c r="C2198" s="1511"/>
      <c r="D2198" s="1511"/>
      <c r="E2198" s="1511"/>
      <c r="F2198" s="1511"/>
      <c r="G2198" s="1509" t="str">
        <f>IF(N2198&gt;0,"P","")</f>
        <v/>
      </c>
      <c r="H2198" s="1510" t="s">
        <v>3199</v>
      </c>
      <c r="I2198" s="67" t="s">
        <v>3707</v>
      </c>
      <c r="J2198" s="4"/>
      <c r="K2198" s="4"/>
      <c r="L2198" s="1631" t="s">
        <v>3718</v>
      </c>
      <c r="M2198" s="1628">
        <v>7</v>
      </c>
      <c r="N2198" s="1669">
        <f>'11.900'!O351</f>
        <v>0</v>
      </c>
      <c r="O2198" s="1669">
        <f>M2198*S2200*IFERROR(OR(W2200,W2201),0)</f>
        <v>0</v>
      </c>
      <c r="P2198" s="538"/>
      <c r="Q2198" s="538"/>
      <c r="R2198" s="538"/>
      <c r="S2198" s="538"/>
      <c r="T2198" s="538"/>
      <c r="U2198" s="538"/>
      <c r="V2198" s="538"/>
      <c r="W2198" s="538"/>
      <c r="X2198" s="1599"/>
      <c r="Y2198" s="1877" t="str">
        <f>IF(LEN('11.900'!X351)=0,"None",'11.900'!X351)</f>
        <v>None</v>
      </c>
      <c r="Z2198" s="1880"/>
      <c r="AB2198" s="538"/>
      <c r="AC2198" s="538"/>
      <c r="AD2198" s="538"/>
      <c r="AE2198" s="538"/>
      <c r="AF2198" s="538"/>
      <c r="AG2198" s="538"/>
      <c r="AH2198" s="538"/>
      <c r="AI2198" s="538"/>
      <c r="AJ2198" s="538"/>
      <c r="AK2198" s="538"/>
      <c r="AL2198" s="1352" t="str">
        <f>SUBSTITUTE(SUBSTITUTE(SUBSTITUTE("vpa"&amp;$B2198&amp;$C2198&amp;$D2198&amp;$E2198,".","_"),"(","_"),")","")</f>
        <v>vpa903_3</v>
      </c>
      <c r="AM2198" s="1352">
        <f>M2198</f>
        <v>7</v>
      </c>
      <c r="AN2198" s="1352" t="str">
        <f>SUBSTITUTE(SUBSTITUTE(SUBSTITUTE("vpc"&amp;$B2198&amp;$C2198&amp;$D2198&amp;$E2198,".","_"),"(","_"),")","")</f>
        <v>vpc903_3</v>
      </c>
      <c r="AO2198" s="1352">
        <f>O2198</f>
        <v>0</v>
      </c>
      <c r="AP2198" s="1352"/>
      <c r="AQ2198" s="1352"/>
      <c r="AR2198" s="1352" t="str">
        <f>SUBSTITUTE(SUBSTITUTE(SUBSTITUTE("vnt"&amp;$B2198&amp;$C2198&amp;$D2198&amp;$E2198,".","_"),"(","_"),")","")</f>
        <v>vnt903_3</v>
      </c>
      <c r="AS2198" s="1352" t="str">
        <f>IF(LEN(X2198)=0,"",X2198)</f>
        <v/>
      </c>
      <c r="AT2198" s="538"/>
      <c r="AU2198" s="538"/>
      <c r="AV2198" s="538"/>
      <c r="AW2198" s="538"/>
      <c r="AX2198" s="538"/>
      <c r="AY2198" s="538"/>
      <c r="AZ2198" s="538"/>
      <c r="BA2198" s="538"/>
      <c r="BB2198" s="538"/>
      <c r="BC2198" s="538"/>
      <c r="BD2198" s="538"/>
      <c r="BE2198" s="538"/>
      <c r="BF2198" s="538"/>
      <c r="BG2198" s="538"/>
      <c r="BH2198" s="538"/>
    </row>
    <row r="2199" spans="1:60" hidden="1" x14ac:dyDescent="0.2">
      <c r="A2199" s="1507">
        <v>9</v>
      </c>
      <c r="B2199" s="1516">
        <v>903.3</v>
      </c>
      <c r="C2199" s="1511"/>
      <c r="D2199" s="1511"/>
      <c r="E2199" s="1511"/>
      <c r="F2199" s="1511"/>
      <c r="G2199" s="1509" t="str">
        <f>G2198</f>
        <v/>
      </c>
      <c r="H2199" s="1510" t="s">
        <v>3199</v>
      </c>
      <c r="I2199" s="161"/>
      <c r="J2199" s="4"/>
      <c r="K2199" s="4"/>
      <c r="L2199" s="1631"/>
      <c r="M2199" s="1628"/>
      <c r="N2199" s="1669"/>
      <c r="O2199" s="1669"/>
      <c r="P2199" s="538"/>
      <c r="Q2199" s="538"/>
      <c r="R2199" s="538"/>
      <c r="S2199" s="538"/>
      <c r="T2199" s="538"/>
      <c r="U2199" s="538"/>
      <c r="V2199" s="538"/>
      <c r="W2199" s="538"/>
      <c r="X2199" s="1600"/>
      <c r="Y2199" s="1874"/>
      <c r="Z2199" s="1889"/>
      <c r="AB2199" s="538"/>
      <c r="AC2199" s="538"/>
      <c r="AD2199" s="538"/>
      <c r="AE2199" s="538"/>
      <c r="AF2199" s="538"/>
      <c r="AG2199" s="538"/>
      <c r="AH2199" s="538"/>
      <c r="AI2199" s="538"/>
      <c r="AJ2199" s="538"/>
      <c r="AK2199" s="538"/>
      <c r="AL2199" s="1352"/>
      <c r="AM2199" s="1352"/>
      <c r="AN2199" s="1352"/>
      <c r="AO2199" s="1352"/>
      <c r="AP2199" s="1352"/>
      <c r="AQ2199" s="1352"/>
      <c r="AR2199" s="1352"/>
      <c r="AS2199" s="1352"/>
      <c r="AT2199" s="538"/>
      <c r="AU2199" s="538"/>
      <c r="AV2199" s="538"/>
      <c r="AW2199" s="538"/>
      <c r="AX2199" s="538"/>
      <c r="AY2199" s="538"/>
      <c r="AZ2199" s="538"/>
      <c r="BA2199" s="538"/>
      <c r="BB2199" s="538"/>
      <c r="BC2199" s="538"/>
      <c r="BD2199" s="538"/>
      <c r="BE2199" s="538"/>
      <c r="BF2199" s="538"/>
      <c r="BG2199" s="538"/>
      <c r="BH2199" s="538"/>
    </row>
    <row r="2200" spans="1:60" hidden="1" x14ac:dyDescent="0.2">
      <c r="A2200" s="1507">
        <v>9</v>
      </c>
      <c r="B2200" s="1516">
        <v>903.3</v>
      </c>
      <c r="C2200" s="1511" t="s">
        <v>254</v>
      </c>
      <c r="D2200" s="1511"/>
      <c r="E2200" s="1511"/>
      <c r="F2200" s="1511"/>
      <c r="G2200" s="1509" t="str">
        <f>G2199</f>
        <v/>
      </c>
      <c r="H2200" s="1510" t="s">
        <v>3199</v>
      </c>
      <c r="I2200" s="161"/>
      <c r="J2200" s="207" t="s">
        <v>254</v>
      </c>
      <c r="K2200" s="173"/>
      <c r="L2200" s="550" t="s">
        <v>2765</v>
      </c>
      <c r="M2200" s="545"/>
      <c r="N2200" s="543"/>
      <c r="O2200" s="543"/>
      <c r="P2200" s="96" t="b">
        <v>0</v>
      </c>
      <c r="Q2200" s="96" t="b">
        <v>1</v>
      </c>
      <c r="R2200" s="173" t="b">
        <v>0</v>
      </c>
      <c r="S2200" s="173" t="b">
        <f>AND(BF1863&lt;6,BG1863="Moist")</f>
        <v>1</v>
      </c>
      <c r="T2200" s="173" t="b">
        <f>AND(NOT(S2200),W2200=TRUE)</f>
        <v>0</v>
      </c>
      <c r="U2200" s="173"/>
      <c r="V2200" s="173"/>
      <c r="W2200" s="27"/>
      <c r="X2200" s="1600"/>
      <c r="Y2200" s="1874"/>
      <c r="Z2200" s="1889"/>
      <c r="AB2200" s="538"/>
      <c r="AC2200" s="538" t="b">
        <f>OR(AD2200:AE2200)</f>
        <v>0</v>
      </c>
      <c r="AD2200" s="538" t="b">
        <f>T2200</f>
        <v>0</v>
      </c>
      <c r="AE2200" s="538"/>
      <c r="AF2200" s="720"/>
      <c r="AG2200" s="538"/>
      <c r="AH2200" s="538"/>
      <c r="AI2200" s="538"/>
      <c r="AJ2200" s="538"/>
      <c r="AK2200" s="538"/>
      <c r="AL2200" s="1352"/>
      <c r="AM2200" s="1352"/>
      <c r="AN2200" s="1352"/>
      <c r="AO2200" s="1352"/>
      <c r="AP2200" s="1352" t="str">
        <f>SUBSTITUTE(SUBSTITUTE(SUBSTITUTE("vch"&amp;$B2200&amp;$C2200&amp;$D2200&amp;$E2200,".","_"),"(","_"),")","")</f>
        <v>vch903_3_1</v>
      </c>
      <c r="AQ2200" s="1352" t="str">
        <f>IF(LEN(W2200)=0,"",W2200)</f>
        <v/>
      </c>
      <c r="AR2200" s="1352"/>
      <c r="AS2200" s="1352"/>
      <c r="AT2200" s="538"/>
      <c r="AU2200" s="538"/>
      <c r="AV2200" s="538"/>
      <c r="AW2200" s="538"/>
      <c r="AX2200" s="538"/>
      <c r="AY2200" s="538"/>
      <c r="AZ2200" s="538"/>
      <c r="BA2200" s="538"/>
      <c r="BB2200" s="538"/>
      <c r="BC2200" s="538"/>
      <c r="BD2200" s="538"/>
      <c r="BE2200" s="538"/>
      <c r="BF2200" s="538"/>
      <c r="BG2200" s="538"/>
      <c r="BH2200" s="538"/>
    </row>
    <row r="2201" spans="1:60" hidden="1" x14ac:dyDescent="0.2">
      <c r="A2201" s="1507">
        <v>9</v>
      </c>
      <c r="B2201" s="1516">
        <v>903.3</v>
      </c>
      <c r="C2201" s="1511" t="s">
        <v>255</v>
      </c>
      <c r="D2201" s="1511"/>
      <c r="E2201" s="1511"/>
      <c r="F2201" s="1511"/>
      <c r="G2201" s="1509" t="str">
        <f>G2200</f>
        <v/>
      </c>
      <c r="H2201" s="1510" t="s">
        <v>3199</v>
      </c>
      <c r="I2201" s="161"/>
      <c r="J2201" s="29" t="s">
        <v>255</v>
      </c>
      <c r="K2201" s="538"/>
      <c r="L2201" s="1717" t="s">
        <v>2766</v>
      </c>
      <c r="M2201" s="545"/>
      <c r="N2201" s="543"/>
      <c r="O2201" s="543"/>
      <c r="P2201" s="96" t="b">
        <v>0</v>
      </c>
      <c r="Q2201" s="96" t="b">
        <v>1</v>
      </c>
      <c r="R2201" s="538" t="b">
        <v>0</v>
      </c>
      <c r="S2201" s="538" t="b">
        <f>AND(BF1863&lt;6,BG1863="Moist")</f>
        <v>1</v>
      </c>
      <c r="T2201" s="96" t="b">
        <f>AND(NOT(S2201),W2201=TRUE)</f>
        <v>0</v>
      </c>
      <c r="U2201" s="538"/>
      <c r="V2201" s="538"/>
      <c r="W2201" s="27"/>
      <c r="X2201" s="1600"/>
      <c r="Y2201" s="1874"/>
      <c r="Z2201" s="1889"/>
      <c r="AB2201" s="538"/>
      <c r="AC2201" s="538" t="b">
        <f>OR(AD2201:AE2201)</f>
        <v>0</v>
      </c>
      <c r="AD2201" s="538" t="b">
        <f>T2201</f>
        <v>0</v>
      </c>
      <c r="AE2201" s="538"/>
      <c r="AF2201" s="720"/>
      <c r="AG2201" s="538"/>
      <c r="AH2201" s="538"/>
      <c r="AI2201" s="538"/>
      <c r="AJ2201" s="538"/>
      <c r="AK2201" s="538"/>
      <c r="AL2201" s="1352"/>
      <c r="AM2201" s="1352"/>
      <c r="AN2201" s="1352"/>
      <c r="AO2201" s="1352"/>
      <c r="AP2201" s="1352" t="str">
        <f>SUBSTITUTE(SUBSTITUTE(SUBSTITUTE("vch"&amp;$B2201&amp;$C2201&amp;$D2201&amp;$E2201,".","_"),"(","_"),")","")</f>
        <v>vch903_3_2</v>
      </c>
      <c r="AQ2201" s="1352" t="str">
        <f>IF(LEN(W2201)=0,"",W2201)</f>
        <v/>
      </c>
      <c r="AR2201" s="1352"/>
      <c r="AS2201" s="1352"/>
      <c r="AT2201" s="538"/>
      <c r="AU2201" s="538"/>
      <c r="AV2201" s="538"/>
      <c r="AW2201" s="538"/>
      <c r="AX2201" s="538"/>
      <c r="AY2201" s="538"/>
      <c r="AZ2201" s="538"/>
      <c r="BA2201" s="538"/>
      <c r="BB2201" s="538"/>
      <c r="BC2201" s="538"/>
      <c r="BD2201" s="538"/>
      <c r="BE2201" s="538"/>
      <c r="BF2201" s="538"/>
      <c r="BG2201" s="538"/>
      <c r="BH2201" s="538"/>
    </row>
    <row r="2202" spans="1:60" hidden="1" x14ac:dyDescent="0.2">
      <c r="A2202" s="1507">
        <v>9</v>
      </c>
      <c r="B2202" s="1516">
        <v>903.3</v>
      </c>
      <c r="C2202" s="1511" t="s">
        <v>255</v>
      </c>
      <c r="D2202" s="1511"/>
      <c r="E2202" s="1511"/>
      <c r="F2202" s="1511"/>
      <c r="G2202" s="1509" t="str">
        <f>G2201</f>
        <v/>
      </c>
      <c r="H2202" s="1510" t="s">
        <v>3199</v>
      </c>
      <c r="I2202" s="161"/>
      <c r="J2202" s="4"/>
      <c r="K2202" s="29"/>
      <c r="L2202" s="1717"/>
      <c r="M2202" s="554"/>
      <c r="N2202" s="540"/>
      <c r="O2202" s="540"/>
      <c r="P2202" s="538"/>
      <c r="Q2202" s="538"/>
      <c r="R2202" s="538"/>
      <c r="S2202" s="538"/>
      <c r="T2202" s="538"/>
      <c r="U2202" s="538"/>
      <c r="V2202" s="538"/>
      <c r="W2202" s="538"/>
      <c r="X2202" s="1600"/>
      <c r="Y2202" s="1874"/>
      <c r="Z2202" s="1889"/>
      <c r="AB2202" s="538"/>
      <c r="AC2202" s="538"/>
      <c r="AD2202" s="538"/>
      <c r="AE2202" s="538"/>
      <c r="AF2202" s="538"/>
      <c r="AG2202" s="538"/>
      <c r="AH2202" s="538"/>
      <c r="AI2202" s="538"/>
      <c r="AJ2202" s="538"/>
      <c r="AK2202" s="538"/>
      <c r="AL2202" s="1352"/>
      <c r="AM2202" s="1352"/>
      <c r="AN2202" s="1352"/>
      <c r="AO2202" s="1352"/>
      <c r="AP2202" s="1352"/>
      <c r="AQ2202" s="1352"/>
      <c r="AR2202" s="1352"/>
      <c r="AS2202" s="1352"/>
      <c r="AT2202" s="538"/>
      <c r="AU2202" s="538"/>
      <c r="AV2202" s="538"/>
      <c r="AW2202" s="538"/>
      <c r="AX2202" s="538"/>
      <c r="AY2202" s="538"/>
      <c r="AZ2202" s="538"/>
      <c r="BA2202" s="538"/>
      <c r="BB2202" s="538"/>
      <c r="BC2202" s="538"/>
      <c r="BD2202" s="538"/>
      <c r="BE2202" s="538"/>
      <c r="BF2202" s="538"/>
      <c r="BG2202" s="538"/>
      <c r="BH2202" s="538"/>
    </row>
    <row r="2203" spans="1:60" ht="19" x14ac:dyDescent="0.25">
      <c r="A2203" s="1507">
        <v>9</v>
      </c>
      <c r="B2203" s="1516">
        <v>904</v>
      </c>
      <c r="C2203" s="1511"/>
      <c r="D2203" s="1511"/>
      <c r="E2203" s="1511"/>
      <c r="F2203" s="1511"/>
      <c r="G2203" s="1509" t="s">
        <v>3200</v>
      </c>
      <c r="H2203" s="1510" t="s">
        <v>3197</v>
      </c>
      <c r="I2203" s="14" t="s">
        <v>3708</v>
      </c>
      <c r="J2203" s="25"/>
      <c r="K2203" s="25"/>
      <c r="L2203" s="86"/>
      <c r="M2203" s="419"/>
      <c r="N2203" s="419"/>
      <c r="O2203" s="419"/>
      <c r="P2203" s="25"/>
      <c r="Q2203" s="25"/>
      <c r="R2203" s="25"/>
      <c r="S2203" s="25"/>
      <c r="T2203" s="25"/>
      <c r="U2203" s="25"/>
      <c r="V2203" s="25"/>
      <c r="W2203" s="25"/>
      <c r="X2203" s="25"/>
      <c r="Y2203" s="25"/>
      <c r="Z2203" s="714"/>
      <c r="AB2203" s="538"/>
      <c r="AC2203" s="538"/>
      <c r="AD2203" s="538"/>
      <c r="AE2203" s="538"/>
      <c r="AF2203" s="538"/>
      <c r="AG2203" s="538"/>
      <c r="AH2203" s="538"/>
      <c r="AI2203" s="538"/>
      <c r="AJ2203" s="538"/>
      <c r="AK2203" s="538"/>
      <c r="AL2203" s="1352"/>
      <c r="AM2203" s="1352"/>
      <c r="AN2203" s="1352"/>
      <c r="AO2203" s="1352"/>
      <c r="AP2203" s="1352"/>
      <c r="AQ2203" s="1352"/>
      <c r="AR2203" s="1352"/>
      <c r="AS2203" s="1352"/>
      <c r="AT2203" s="538"/>
      <c r="AU2203" s="538"/>
      <c r="AV2203" s="538"/>
      <c r="AW2203" s="538"/>
      <c r="AX2203" s="538"/>
      <c r="AY2203" s="538"/>
      <c r="AZ2203" s="538"/>
      <c r="BA2203" s="538"/>
      <c r="BB2203" s="538"/>
      <c r="BC2203" s="538"/>
      <c r="BD2203" s="538"/>
      <c r="BE2203" s="538"/>
      <c r="BF2203" s="538"/>
      <c r="BG2203" s="538"/>
      <c r="BH2203" s="538"/>
    </row>
    <row r="2204" spans="1:60" hidden="1" x14ac:dyDescent="0.2">
      <c r="A2204" s="1507">
        <v>9</v>
      </c>
      <c r="B2204" s="1516" t="s">
        <v>3438</v>
      </c>
      <c r="C2204" s="1511"/>
      <c r="D2204" s="1511"/>
      <c r="E2204" s="1511"/>
      <c r="F2204" s="1511"/>
      <c r="G2204" s="1510"/>
      <c r="H2204" s="1510"/>
      <c r="I2204" s="819">
        <v>11.904</v>
      </c>
      <c r="J2204" s="129"/>
      <c r="K2204" s="129"/>
      <c r="L2204" s="1629" t="s">
        <v>3717</v>
      </c>
      <c r="M2204" s="545"/>
      <c r="N2204" s="543"/>
      <c r="O2204" s="543"/>
      <c r="P2204" s="96"/>
      <c r="Q2204" s="96"/>
      <c r="R2204" s="96"/>
      <c r="S2204" s="96"/>
      <c r="T2204" s="96"/>
      <c r="U2204" s="96"/>
      <c r="V2204" s="96"/>
      <c r="W2204" s="96"/>
      <c r="X2204" s="96"/>
      <c r="Y2204" s="538"/>
      <c r="Z2204" s="670"/>
      <c r="AB2204" s="538"/>
      <c r="AC2204" s="538"/>
      <c r="AD2204" s="538"/>
      <c r="AE2204" s="538"/>
      <c r="AF2204" s="538"/>
      <c r="AG2204" s="538"/>
      <c r="AH2204" s="538"/>
      <c r="AI2204" s="538"/>
      <c r="AJ2204" s="538"/>
      <c r="AK2204" s="538"/>
      <c r="AL2204" s="1352"/>
      <c r="AM2204" s="1352"/>
      <c r="AN2204" s="1352"/>
      <c r="AO2204" s="1352"/>
      <c r="AP2204" s="1352"/>
      <c r="AQ2204" s="1352"/>
      <c r="AR2204" s="1352"/>
      <c r="AS2204" s="1352"/>
      <c r="AT2204" s="538"/>
      <c r="AU2204" s="538"/>
      <c r="AV2204" s="538"/>
      <c r="AW2204" s="538"/>
      <c r="AX2204" s="538"/>
      <c r="AY2204" s="538"/>
      <c r="AZ2204" s="538"/>
      <c r="BA2204" s="538"/>
      <c r="BB2204" s="538"/>
      <c r="BC2204" s="538"/>
      <c r="BD2204" s="538"/>
      <c r="BE2204" s="538"/>
      <c r="BF2204" s="538"/>
      <c r="BG2204" s="538"/>
      <c r="BH2204" s="538"/>
    </row>
    <row r="2205" spans="1:60" ht="16" hidden="1" thickBot="1" x14ac:dyDescent="0.25">
      <c r="A2205" s="1507">
        <v>9</v>
      </c>
      <c r="B2205" s="1516" t="s">
        <v>3438</v>
      </c>
      <c r="C2205" s="1511"/>
      <c r="D2205" s="1511"/>
      <c r="E2205" s="1511"/>
      <c r="F2205" s="1511"/>
      <c r="G2205" s="1510"/>
      <c r="H2205" s="1510"/>
      <c r="I2205" s="407"/>
      <c r="J2205" s="239"/>
      <c r="K2205" s="239"/>
      <c r="L2205" s="1630"/>
      <c r="M2205" s="553"/>
      <c r="N2205" s="547"/>
      <c r="O2205" s="547"/>
      <c r="P2205" s="100"/>
      <c r="Q2205" s="100"/>
      <c r="R2205" s="100"/>
      <c r="S2205" s="100"/>
      <c r="T2205" s="100"/>
      <c r="U2205" s="100"/>
      <c r="V2205" s="100"/>
      <c r="W2205" s="100"/>
      <c r="X2205" s="100"/>
      <c r="Y2205" s="100"/>
      <c r="Z2205" s="716"/>
      <c r="AB2205" s="538"/>
      <c r="AC2205" s="538"/>
      <c r="AD2205" s="538"/>
      <c r="AE2205" s="538"/>
      <c r="AF2205" s="538"/>
      <c r="AG2205" s="538"/>
      <c r="AH2205" s="538"/>
      <c r="AI2205" s="538"/>
      <c r="AJ2205" s="538"/>
      <c r="AK2205" s="538"/>
      <c r="AL2205" s="1352"/>
      <c r="AM2205" s="1352"/>
      <c r="AN2205" s="1352"/>
      <c r="AO2205" s="1352"/>
      <c r="AP2205" s="1352"/>
      <c r="AQ2205" s="1352"/>
      <c r="AR2205" s="1352"/>
      <c r="AS2205" s="1352"/>
      <c r="AT2205" s="538"/>
      <c r="AU2205" s="538"/>
      <c r="AV2205" s="538"/>
      <c r="AW2205" s="538"/>
      <c r="AX2205" s="538"/>
      <c r="AY2205" s="538"/>
      <c r="AZ2205" s="538"/>
      <c r="BA2205" s="538"/>
      <c r="BB2205" s="538"/>
      <c r="BC2205" s="538"/>
      <c r="BD2205" s="538"/>
      <c r="BE2205" s="538"/>
      <c r="BF2205" s="538"/>
      <c r="BG2205" s="538"/>
      <c r="BH2205" s="538"/>
    </row>
    <row r="2206" spans="1:60" ht="16" hidden="1" thickTop="1" x14ac:dyDescent="0.2">
      <c r="A2206" s="1507">
        <v>9</v>
      </c>
      <c r="B2206" s="1516">
        <v>904.1</v>
      </c>
      <c r="C2206" s="1511"/>
      <c r="D2206" s="1511"/>
      <c r="E2206" s="1511"/>
      <c r="F2206" s="1511"/>
      <c r="G2206" s="1509" t="str">
        <f>IF(N2206&gt;0,"P","")</f>
        <v/>
      </c>
      <c r="H2206" s="1510" t="s">
        <v>3198</v>
      </c>
      <c r="I2206" s="405" t="s">
        <v>3710</v>
      </c>
      <c r="J2206" s="178"/>
      <c r="K2206" s="178"/>
      <c r="L2206" s="1683" t="s">
        <v>3871</v>
      </c>
      <c r="M2206" s="1685">
        <v>2</v>
      </c>
      <c r="N2206" s="1682">
        <f>'11.900'!O359</f>
        <v>0</v>
      </c>
      <c r="O2206" s="1682">
        <f>M2206*S2206*W2206</f>
        <v>0</v>
      </c>
      <c r="P2206" s="96" t="b">
        <v>1</v>
      </c>
      <c r="Q2206" s="96" t="b">
        <v>0</v>
      </c>
      <c r="R2206" s="106" t="b">
        <v>0</v>
      </c>
      <c r="S2206" s="106" t="b">
        <f>T2207</f>
        <v>0</v>
      </c>
      <c r="T2206" s="106" t="b">
        <f>AND(NOT(S2206),W2206=TRUE)</f>
        <v>0</v>
      </c>
      <c r="U2206" s="106"/>
      <c r="V2206" s="106"/>
      <c r="W2206" s="27"/>
      <c r="X2206" s="1603"/>
      <c r="Y2206" s="1883" t="str">
        <f>IF(LEN('11.900'!X359)=0,"None",'11.900'!X359)</f>
        <v>None</v>
      </c>
      <c r="Z2206" s="1923"/>
      <c r="AB2206" s="538"/>
      <c r="AC2206" s="538" t="b">
        <f>OR(AD2206:AE2206)</f>
        <v>0</v>
      </c>
      <c r="AD2206" s="538" t="b">
        <f>T2206</f>
        <v>0</v>
      </c>
      <c r="AE2206" s="538"/>
      <c r="AF2206" s="720"/>
      <c r="AG2206" s="538"/>
      <c r="AH2206" s="538"/>
      <c r="AI2206" s="538"/>
      <c r="AJ2206" s="538"/>
      <c r="AK2206" s="538"/>
      <c r="AL2206" s="1352" t="str">
        <f>SUBSTITUTE(SUBSTITUTE(SUBSTITUTE("vpa"&amp;$B2206&amp;$C2206&amp;$D2206&amp;$E2206,".","_"),"(","_"),")","")</f>
        <v>vpa904_1</v>
      </c>
      <c r="AM2206" s="1352">
        <f>M2206</f>
        <v>2</v>
      </c>
      <c r="AN2206" s="1352" t="str">
        <f>SUBSTITUTE(SUBSTITUTE(SUBSTITUTE("vpc"&amp;$B2206&amp;$C2206&amp;$D2206&amp;$E2206,".","_"),"(","_"),")","")</f>
        <v>vpc904_1</v>
      </c>
      <c r="AO2206" s="1352">
        <f>O2206</f>
        <v>0</v>
      </c>
      <c r="AP2206" s="1352" t="str">
        <f>SUBSTITUTE(SUBSTITUTE(SUBSTITUTE("vch"&amp;$B2206&amp;$C2206&amp;$D2206&amp;$E2206,".","_"),"(","_"),")","")</f>
        <v>vch904_1</v>
      </c>
      <c r="AQ2206" s="1352" t="str">
        <f>IF(LEN(W2206)=0,"",W2206)</f>
        <v/>
      </c>
      <c r="AR2206" s="1352" t="str">
        <f>SUBSTITUTE(SUBSTITUTE(SUBSTITUTE("vnt"&amp;$B2206&amp;$C2206&amp;$D2206&amp;$E2206,".","_"),"(","_"),")","")</f>
        <v>vnt904_1</v>
      </c>
      <c r="AS2206" s="1352" t="str">
        <f>IF(LEN(X2206)=0,"",X2206)</f>
        <v/>
      </c>
      <c r="AT2206" s="538"/>
      <c r="AU2206" s="538"/>
      <c r="AV2206" s="538"/>
      <c r="AW2206" s="538"/>
      <c r="AX2206" s="538"/>
      <c r="AY2206" s="538"/>
      <c r="AZ2206" s="538"/>
      <c r="BA2206" s="538"/>
      <c r="BB2206" s="538"/>
      <c r="BC2206" s="538"/>
      <c r="BD2206" s="538"/>
      <c r="BE2206" s="538"/>
      <c r="BF2206" s="538"/>
      <c r="BG2206" s="538"/>
      <c r="BH2206" s="538"/>
    </row>
    <row r="2207" spans="1:60" hidden="1" x14ac:dyDescent="0.2">
      <c r="A2207" s="1507">
        <v>9</v>
      </c>
      <c r="B2207" s="1516">
        <v>904.1</v>
      </c>
      <c r="C2207" s="1511"/>
      <c r="D2207" s="1511"/>
      <c r="E2207" s="1511"/>
      <c r="F2207" s="1511"/>
      <c r="G2207" s="1509" t="str">
        <f>G2206</f>
        <v/>
      </c>
      <c r="H2207" s="1510" t="s">
        <v>3198</v>
      </c>
      <c r="I2207" s="406"/>
      <c r="J2207" s="129"/>
      <c r="K2207" s="129"/>
      <c r="L2207" s="1629"/>
      <c r="M2207" s="1623"/>
      <c r="N2207" s="1619"/>
      <c r="O2207" s="1619"/>
      <c r="P2207" s="96"/>
      <c r="Q2207" s="96"/>
      <c r="R2207" s="96"/>
      <c r="S2207" s="411" t="s">
        <v>3030</v>
      </c>
      <c r="T2207" s="198" t="b">
        <f>W463=TRUE</f>
        <v>0</v>
      </c>
      <c r="U2207" s="96"/>
      <c r="V2207" s="96"/>
      <c r="W2207" s="96"/>
      <c r="X2207" s="1601"/>
      <c r="Y2207" s="1881"/>
      <c r="Z2207" s="1891"/>
      <c r="AB2207" s="538"/>
      <c r="AC2207" s="538"/>
      <c r="AD2207" s="538"/>
      <c r="AE2207" s="538"/>
      <c r="AF2207" s="538"/>
      <c r="AG2207" s="538"/>
      <c r="AH2207" s="538"/>
      <c r="AI2207" s="538"/>
      <c r="AJ2207" s="538"/>
      <c r="AK2207" s="538"/>
      <c r="AL2207" s="1352"/>
      <c r="AM2207" s="1352"/>
      <c r="AN2207" s="1352"/>
      <c r="AO2207" s="1352"/>
      <c r="AP2207" s="1352"/>
      <c r="AQ2207" s="1352"/>
      <c r="AR2207" s="1352"/>
      <c r="AS2207" s="1352"/>
      <c r="AT2207" s="538"/>
      <c r="AU2207" s="538"/>
      <c r="AV2207" s="538"/>
      <c r="AW2207" s="538"/>
      <c r="AX2207" s="538"/>
      <c r="AY2207" s="538"/>
      <c r="AZ2207" s="538"/>
      <c r="BA2207" s="538"/>
      <c r="BB2207" s="538"/>
      <c r="BC2207" s="538"/>
      <c r="BD2207" s="538"/>
      <c r="BE2207" s="538"/>
      <c r="BF2207" s="538"/>
      <c r="BG2207" s="538"/>
      <c r="BH2207" s="538"/>
    </row>
    <row r="2208" spans="1:60" hidden="1" x14ac:dyDescent="0.2">
      <c r="A2208" s="1507">
        <v>9</v>
      </c>
      <c r="B2208" s="1516">
        <v>904.1</v>
      </c>
      <c r="C2208" s="1511"/>
      <c r="D2208" s="1511"/>
      <c r="E2208" s="1511"/>
      <c r="F2208" s="1511"/>
      <c r="G2208" s="1509" t="str">
        <f>G2207</f>
        <v/>
      </c>
      <c r="H2208" s="1510" t="s">
        <v>3198</v>
      </c>
      <c r="I2208" s="406"/>
      <c r="J2208" s="129"/>
      <c r="K2208" s="129"/>
      <c r="L2208" s="1629"/>
      <c r="M2208" s="1623"/>
      <c r="N2208" s="1619"/>
      <c r="O2208" s="1619"/>
      <c r="P2208" s="96"/>
      <c r="Q2208" s="96"/>
      <c r="R2208" s="96"/>
      <c r="S2208" s="96"/>
      <c r="T2208" s="96"/>
      <c r="U2208" s="96"/>
      <c r="V2208" s="96"/>
      <c r="W2208" s="96"/>
      <c r="X2208" s="1601"/>
      <c r="Y2208" s="1881"/>
      <c r="Z2208" s="1891"/>
      <c r="AB2208" s="538"/>
      <c r="AC2208" s="538"/>
      <c r="AD2208" s="538"/>
      <c r="AE2208" s="538"/>
      <c r="AF2208" s="538"/>
      <c r="AG2208" s="538"/>
      <c r="AH2208" s="538"/>
      <c r="AI2208" s="538"/>
      <c r="AJ2208" s="538"/>
      <c r="AK2208" s="538"/>
      <c r="AL2208" s="1352"/>
      <c r="AM2208" s="1352"/>
      <c r="AN2208" s="1352"/>
      <c r="AO2208" s="1352"/>
      <c r="AP2208" s="1352"/>
      <c r="AQ2208" s="1352"/>
      <c r="AR2208" s="1352"/>
      <c r="AS2208" s="1352"/>
      <c r="AT2208" s="538"/>
      <c r="AU2208" s="538"/>
      <c r="AV2208" s="538"/>
      <c r="AW2208" s="538"/>
      <c r="AX2208" s="538"/>
      <c r="AY2208" s="538"/>
      <c r="AZ2208" s="538"/>
      <c r="BA2208" s="538"/>
      <c r="BB2208" s="538"/>
      <c r="BC2208" s="538"/>
      <c r="BD2208" s="538"/>
      <c r="BE2208" s="538"/>
      <c r="BF2208" s="538"/>
      <c r="BG2208" s="538"/>
      <c r="BH2208" s="538"/>
    </row>
    <row r="2209" spans="1:60" hidden="1" x14ac:dyDescent="0.2">
      <c r="A2209" s="1507">
        <v>9</v>
      </c>
      <c r="B2209" s="1516">
        <v>904.1</v>
      </c>
      <c r="C2209" s="1511"/>
      <c r="D2209" s="1511"/>
      <c r="E2209" s="1511"/>
      <c r="F2209" s="1511"/>
      <c r="G2209" s="1509" t="str">
        <f>G2208</f>
        <v/>
      </c>
      <c r="H2209" s="1510" t="s">
        <v>3198</v>
      </c>
      <c r="I2209" s="406"/>
      <c r="J2209" s="129"/>
      <c r="K2209" s="129"/>
      <c r="L2209" s="1629"/>
      <c r="M2209" s="1623"/>
      <c r="N2209" s="1619"/>
      <c r="O2209" s="1619"/>
      <c r="P2209" s="96"/>
      <c r="Q2209" s="96"/>
      <c r="R2209" s="96"/>
      <c r="S2209" s="96"/>
      <c r="T2209" s="96"/>
      <c r="U2209" s="96"/>
      <c r="V2209" s="96"/>
      <c r="W2209" s="96"/>
      <c r="X2209" s="1601"/>
      <c r="Y2209" s="1881"/>
      <c r="Z2209" s="1891"/>
      <c r="AB2209" s="538"/>
      <c r="AC2209" s="538"/>
      <c r="AD2209" s="538"/>
      <c r="AE2209" s="538"/>
      <c r="AF2209" s="538"/>
      <c r="AG2209" s="538"/>
      <c r="AH2209" s="538"/>
      <c r="AI2209" s="538"/>
      <c r="AJ2209" s="538"/>
      <c r="AK2209" s="538"/>
      <c r="AL2209" s="1352"/>
      <c r="AM2209" s="1352"/>
      <c r="AN2209" s="1352"/>
      <c r="AO2209" s="1352"/>
      <c r="AP2209" s="1352"/>
      <c r="AQ2209" s="1352"/>
      <c r="AR2209" s="1352"/>
      <c r="AS2209" s="1352"/>
      <c r="AT2209" s="538"/>
      <c r="AU2209" s="538"/>
      <c r="AV2209" s="538"/>
      <c r="AW2209" s="538"/>
      <c r="AX2209" s="538"/>
      <c r="AY2209" s="538"/>
      <c r="AZ2209" s="538"/>
      <c r="BA2209" s="538"/>
      <c r="BB2209" s="538"/>
      <c r="BC2209" s="538"/>
      <c r="BD2209" s="538"/>
      <c r="BE2209" s="538"/>
      <c r="BF2209" s="538"/>
      <c r="BG2209" s="538"/>
      <c r="BH2209" s="538"/>
    </row>
    <row r="2210" spans="1:60" ht="16" hidden="1" thickBot="1" x14ac:dyDescent="0.25">
      <c r="A2210" s="1507">
        <v>9</v>
      </c>
      <c r="B2210" s="1516">
        <v>904.1</v>
      </c>
      <c r="C2210" s="1511"/>
      <c r="D2210" s="1511"/>
      <c r="E2210" s="1511"/>
      <c r="F2210" s="1511"/>
      <c r="G2210" s="1509" t="str">
        <f>G2209</f>
        <v/>
      </c>
      <c r="H2210" s="1510" t="s">
        <v>3198</v>
      </c>
      <c r="I2210" s="407"/>
      <c r="J2210" s="239"/>
      <c r="K2210" s="239"/>
      <c r="L2210" s="1630"/>
      <c r="M2210" s="1627"/>
      <c r="N2210" s="1638"/>
      <c r="O2210" s="1638"/>
      <c r="P2210" s="100"/>
      <c r="Q2210" s="100"/>
      <c r="R2210" s="100"/>
      <c r="S2210" s="100"/>
      <c r="T2210" s="100"/>
      <c r="U2210" s="100"/>
      <c r="V2210" s="100"/>
      <c r="W2210" s="100"/>
      <c r="X2210" s="1602"/>
      <c r="Y2210" s="1882"/>
      <c r="Z2210" s="1892"/>
      <c r="AB2210" s="538"/>
      <c r="AC2210" s="538"/>
      <c r="AD2210" s="538"/>
      <c r="AE2210" s="538"/>
      <c r="AF2210" s="538"/>
      <c r="AG2210" s="538"/>
      <c r="AH2210" s="538"/>
      <c r="AI2210" s="538"/>
      <c r="AJ2210" s="538"/>
      <c r="AK2210" s="538"/>
      <c r="AL2210" s="1352"/>
      <c r="AM2210" s="1352"/>
      <c r="AN2210" s="1352"/>
      <c r="AO2210" s="1352"/>
      <c r="AP2210" s="1352"/>
      <c r="AQ2210" s="1352"/>
      <c r="AR2210" s="1352"/>
      <c r="AS2210" s="1352"/>
      <c r="AT2210" s="538"/>
      <c r="AU2210" s="538"/>
      <c r="AV2210" s="538"/>
      <c r="AW2210" s="538"/>
      <c r="AX2210" s="538"/>
      <c r="AY2210" s="538"/>
      <c r="AZ2210" s="538"/>
      <c r="BA2210" s="538"/>
      <c r="BB2210" s="538"/>
      <c r="BC2210" s="538"/>
      <c r="BD2210" s="538"/>
      <c r="BE2210" s="538"/>
      <c r="BF2210" s="538"/>
      <c r="BG2210" s="538"/>
      <c r="BH2210" s="538"/>
    </row>
    <row r="2211" spans="1:60" ht="16" hidden="1" thickTop="1" x14ac:dyDescent="0.2">
      <c r="A2211" s="1507">
        <v>9</v>
      </c>
      <c r="B2211" s="1516">
        <v>904.2</v>
      </c>
      <c r="C2211" s="1511"/>
      <c r="D2211" s="1511"/>
      <c r="E2211" s="1511"/>
      <c r="F2211" s="1511"/>
      <c r="G2211" s="1509" t="str">
        <f>IF(N2211&gt;0,"P","")</f>
        <v/>
      </c>
      <c r="H2211" s="1510" t="s">
        <v>3199</v>
      </c>
      <c r="I2211" s="177" t="s">
        <v>3711</v>
      </c>
      <c r="J2211" s="178"/>
      <c r="K2211" s="178"/>
      <c r="L2211" s="1683" t="s">
        <v>3872</v>
      </c>
      <c r="M2211" s="1685">
        <v>3</v>
      </c>
      <c r="N2211" s="1682">
        <f>'11.900'!O364</f>
        <v>0</v>
      </c>
      <c r="O2211" s="1682">
        <f>M2211*S2211*W2211</f>
        <v>0</v>
      </c>
      <c r="P2211" s="106" t="b">
        <v>0</v>
      </c>
      <c r="Q2211" s="106" t="b">
        <v>1</v>
      </c>
      <c r="R2211" s="106" t="b">
        <v>0</v>
      </c>
      <c r="S2211" s="106" t="b">
        <f>T2207</f>
        <v>0</v>
      </c>
      <c r="T2211" s="106" t="b">
        <f>AND(NOT(S2211),W2211=TRUE)</f>
        <v>0</v>
      </c>
      <c r="U2211" s="106"/>
      <c r="V2211" s="106"/>
      <c r="W2211" s="334"/>
      <c r="X2211" s="1603"/>
      <c r="Y2211" s="1883" t="str">
        <f>IF(LEN('11.900'!X364)=0,"None",'11.900'!X364)</f>
        <v>None</v>
      </c>
      <c r="Z2211" s="1923"/>
      <c r="AB2211" s="538"/>
      <c r="AC2211" s="538" t="b">
        <f>OR(AD2211:AE2211)</f>
        <v>0</v>
      </c>
      <c r="AD2211" s="538" t="b">
        <f>T2211</f>
        <v>0</v>
      </c>
      <c r="AE2211" s="538"/>
      <c r="AF2211" s="720"/>
      <c r="AG2211" s="538"/>
      <c r="AH2211" s="538"/>
      <c r="AI2211" s="538"/>
      <c r="AJ2211" s="538"/>
      <c r="AK2211" s="538"/>
      <c r="AL2211" s="1352" t="str">
        <f>SUBSTITUTE(SUBSTITUTE(SUBSTITUTE("vpa"&amp;$B2211&amp;$C2211&amp;$D2211&amp;$E2211,".","_"),"(","_"),")","")</f>
        <v>vpa904_2</v>
      </c>
      <c r="AM2211" s="1352">
        <f>M2211</f>
        <v>3</v>
      </c>
      <c r="AN2211" s="1352" t="str">
        <f>SUBSTITUTE(SUBSTITUTE(SUBSTITUTE("vpc"&amp;$B2211&amp;$C2211&amp;$D2211&amp;$E2211,".","_"),"(","_"),")","")</f>
        <v>vpc904_2</v>
      </c>
      <c r="AO2211" s="1352">
        <f>O2211</f>
        <v>0</v>
      </c>
      <c r="AP2211" s="1352" t="str">
        <f>SUBSTITUTE(SUBSTITUTE(SUBSTITUTE("vch"&amp;$B2211&amp;$C2211&amp;$D2211&amp;$E2211,".","_"),"(","_"),")","")</f>
        <v>vch904_2</v>
      </c>
      <c r="AQ2211" s="1352" t="str">
        <f>IF(LEN(W2211)=0,"",W2211)</f>
        <v/>
      </c>
      <c r="AR2211" s="1352" t="str">
        <f>SUBSTITUTE(SUBSTITUTE(SUBSTITUTE("vnt"&amp;$B2211&amp;$C2211&amp;$D2211&amp;$E2211,".","_"),"(","_"),")","")</f>
        <v>vnt904_2</v>
      </c>
      <c r="AS2211" s="1352" t="str">
        <f>IF(LEN(X2211)=0,"",X2211)</f>
        <v/>
      </c>
      <c r="AT2211" s="538"/>
      <c r="AU2211" s="538"/>
      <c r="AV2211" s="538"/>
      <c r="AW2211" s="538"/>
      <c r="AX2211" s="538"/>
      <c r="AY2211" s="538"/>
      <c r="AZ2211" s="538"/>
      <c r="BA2211" s="538"/>
      <c r="BB2211" s="538"/>
      <c r="BC2211" s="538"/>
      <c r="BD2211" s="538"/>
      <c r="BE2211" s="538"/>
      <c r="BF2211" s="538"/>
      <c r="BG2211" s="538"/>
      <c r="BH2211" s="538"/>
    </row>
    <row r="2212" spans="1:60" hidden="1" x14ac:dyDescent="0.2">
      <c r="A2212" s="1507">
        <v>9</v>
      </c>
      <c r="B2212" s="1516">
        <v>904.2</v>
      </c>
      <c r="C2212" s="1511"/>
      <c r="D2212" s="1511"/>
      <c r="E2212" s="1511"/>
      <c r="F2212" s="1511"/>
      <c r="G2212" s="1509" t="str">
        <f>G2211</f>
        <v/>
      </c>
      <c r="H2212" s="1510" t="s">
        <v>3199</v>
      </c>
      <c r="I2212" s="406"/>
      <c r="J2212" s="129"/>
      <c r="K2212" s="129"/>
      <c r="L2212" s="1629"/>
      <c r="M2212" s="1623"/>
      <c r="N2212" s="1619"/>
      <c r="O2212" s="1619"/>
      <c r="P2212" s="1135"/>
      <c r="Q2212" s="1135"/>
      <c r="R2212" s="1135"/>
      <c r="S2212" s="1135"/>
      <c r="T2212" s="1135"/>
      <c r="U2212" s="1135"/>
      <c r="V2212" s="1135"/>
      <c r="W2212" s="1135"/>
      <c r="X2212" s="1601"/>
      <c r="Y2212" s="1881"/>
      <c r="Z2212" s="1891"/>
      <c r="AB2212" s="538"/>
      <c r="AC2212" s="538"/>
      <c r="AD2212" s="538"/>
      <c r="AE2212" s="538"/>
      <c r="AF2212" s="538"/>
      <c r="AG2212" s="538"/>
      <c r="AH2212" s="538"/>
      <c r="AI2212" s="538"/>
      <c r="AJ2212" s="538"/>
      <c r="AK2212" s="538"/>
      <c r="AL2212" s="1352"/>
      <c r="AM2212" s="1352"/>
      <c r="AN2212" s="1352"/>
      <c r="AO2212" s="1352"/>
      <c r="AP2212" s="1352"/>
      <c r="AQ2212" s="1352"/>
      <c r="AR2212" s="1352"/>
      <c r="AS2212" s="1352"/>
      <c r="AT2212" s="538"/>
      <c r="AU2212" s="538"/>
      <c r="AV2212" s="538"/>
      <c r="AW2212" s="538"/>
      <c r="AX2212" s="538"/>
      <c r="AY2212" s="538"/>
      <c r="AZ2212" s="538"/>
      <c r="BA2212" s="538"/>
      <c r="BB2212" s="538"/>
      <c r="BC2212" s="538"/>
      <c r="BD2212" s="538"/>
      <c r="BE2212" s="538"/>
      <c r="BF2212" s="538"/>
      <c r="BG2212" s="538"/>
      <c r="BH2212" s="538"/>
    </row>
    <row r="2213" spans="1:60" ht="16" hidden="1" thickBot="1" x14ac:dyDescent="0.25">
      <c r="A2213" s="1507">
        <v>9</v>
      </c>
      <c r="B2213" s="1516">
        <v>904.2</v>
      </c>
      <c r="C2213" s="1511"/>
      <c r="D2213" s="1511"/>
      <c r="E2213" s="1511"/>
      <c r="F2213" s="1511"/>
      <c r="G2213" s="1509" t="str">
        <f>G2212</f>
        <v/>
      </c>
      <c r="H2213" s="1510" t="s">
        <v>3199</v>
      </c>
      <c r="I2213" s="407"/>
      <c r="J2213" s="239"/>
      <c r="K2213" s="239"/>
      <c r="L2213" s="1630"/>
      <c r="M2213" s="1627"/>
      <c r="N2213" s="1638"/>
      <c r="O2213" s="1638"/>
      <c r="P2213" s="100"/>
      <c r="Q2213" s="100"/>
      <c r="R2213" s="100"/>
      <c r="S2213" s="100"/>
      <c r="T2213" s="100"/>
      <c r="U2213" s="100"/>
      <c r="V2213" s="100"/>
      <c r="W2213" s="100"/>
      <c r="X2213" s="1602"/>
      <c r="Y2213" s="1882"/>
      <c r="Z2213" s="1892"/>
      <c r="AB2213" s="538"/>
      <c r="AC2213" s="538"/>
      <c r="AD2213" s="538"/>
      <c r="AE2213" s="538"/>
      <c r="AF2213" s="538"/>
      <c r="AG2213" s="538"/>
      <c r="AH2213" s="538"/>
      <c r="AI2213" s="538"/>
      <c r="AJ2213" s="538"/>
      <c r="AK2213" s="538"/>
      <c r="AL2213" s="1352"/>
      <c r="AM2213" s="1352"/>
      <c r="AN2213" s="1352"/>
      <c r="AO2213" s="1352"/>
      <c r="AP2213" s="1352"/>
      <c r="AQ2213" s="1352"/>
      <c r="AR2213" s="1352"/>
      <c r="AS2213" s="1352"/>
      <c r="AT2213" s="538"/>
      <c r="AU2213" s="538"/>
      <c r="AV2213" s="538"/>
      <c r="AW2213" s="538"/>
      <c r="AX2213" s="538"/>
      <c r="AY2213" s="538"/>
      <c r="AZ2213" s="538"/>
      <c r="BA2213" s="538"/>
      <c r="BB2213" s="538"/>
      <c r="BC2213" s="538"/>
      <c r="BD2213" s="538"/>
      <c r="BE2213" s="538"/>
      <c r="BF2213" s="538"/>
      <c r="BG2213" s="538"/>
      <c r="BH2213" s="538"/>
    </row>
    <row r="2214" spans="1:60" x14ac:dyDescent="0.2">
      <c r="A2214" s="1515">
        <v>9</v>
      </c>
      <c r="B2214" s="1516" t="s">
        <v>4959</v>
      </c>
      <c r="G2214" s="1513" t="str">
        <f>IF(COUNTIF(G2216:G2223,"P")&gt;0,"P","")</f>
        <v>P</v>
      </c>
      <c r="H2214" s="1510" t="s">
        <v>3198</v>
      </c>
      <c r="I2214" s="589" t="s">
        <v>4900</v>
      </c>
      <c r="J2214" s="873"/>
      <c r="K2214" s="858"/>
      <c r="L2214" s="1687" t="s">
        <v>4901</v>
      </c>
      <c r="M2214" s="905"/>
      <c r="N2214" s="905"/>
      <c r="O2214" s="905"/>
      <c r="P2214" s="905"/>
      <c r="Q2214" s="905"/>
      <c r="R2214" s="905"/>
      <c r="S2214" s="905"/>
      <c r="T2214" s="905"/>
      <c r="U2214" s="905"/>
      <c r="V2214" s="905"/>
      <c r="W2214"/>
      <c r="X2214"/>
      <c r="Y2214"/>
      <c r="Z2214"/>
      <c r="AA2214"/>
      <c r="AC2214"/>
      <c r="AD2214"/>
      <c r="AE2214"/>
      <c r="AF2214"/>
      <c r="AG2214"/>
      <c r="AH2214"/>
      <c r="AI2214"/>
      <c r="AJ2214"/>
      <c r="AK2214"/>
      <c r="AL2214" s="1352"/>
      <c r="AM2214" s="1352"/>
      <c r="AN2214" s="1352"/>
      <c r="AO2214" s="1352"/>
      <c r="AP2214" s="1352"/>
      <c r="AQ2214" s="1352"/>
      <c r="AR2214" s="1352"/>
      <c r="AS2214" s="1352"/>
      <c r="AT2214"/>
    </row>
    <row r="2215" spans="1:60" x14ac:dyDescent="0.2">
      <c r="A2215" s="1515">
        <v>9</v>
      </c>
      <c r="B2215" s="1516" t="s">
        <v>4959</v>
      </c>
      <c r="G2215" s="1509" t="str">
        <f>G2214</f>
        <v>P</v>
      </c>
      <c r="H2215" s="1510" t="s">
        <v>3198</v>
      </c>
      <c r="I2215" s="589"/>
      <c r="J2215" s="873"/>
      <c r="K2215" s="858"/>
      <c r="L2215" s="1687"/>
      <c r="M2215" s="905"/>
      <c r="N2215" s="905"/>
      <c r="O2215" s="905"/>
      <c r="P2215" s="905"/>
      <c r="Q2215" s="905"/>
      <c r="R2215" s="905"/>
      <c r="S2215" s="905"/>
      <c r="T2215" s="905"/>
      <c r="U2215" s="905"/>
      <c r="V2215" s="905"/>
      <c r="W2215"/>
      <c r="X2215"/>
      <c r="Y2215"/>
      <c r="Z2215"/>
      <c r="AA2215"/>
      <c r="AC2215"/>
      <c r="AD2215"/>
      <c r="AE2215"/>
      <c r="AF2215"/>
      <c r="AG2215"/>
      <c r="AH2215"/>
      <c r="AI2215"/>
      <c r="AJ2215"/>
      <c r="AK2215"/>
      <c r="AL2215" s="1352"/>
      <c r="AM2215" s="1352"/>
      <c r="AN2215" s="1352"/>
      <c r="AO2215" s="1352"/>
      <c r="AP2215" s="1352"/>
      <c r="AQ2215" s="1352"/>
      <c r="AR2215" s="1352"/>
      <c r="AS2215" s="1352"/>
      <c r="AT2215"/>
    </row>
    <row r="2216" spans="1:60" x14ac:dyDescent="0.2">
      <c r="A2216" s="1515">
        <v>9</v>
      </c>
      <c r="B2216" s="1516" t="s">
        <v>4959</v>
      </c>
      <c r="C2216" s="467" t="s">
        <v>254</v>
      </c>
      <c r="G2216" s="1509" t="str">
        <f>IF(IFERROR(SEARCH("Mandatory",M2216),FALSE),"P","")</f>
        <v>P</v>
      </c>
      <c r="H2216" s="1510" t="s">
        <v>3198</v>
      </c>
      <c r="I2216" s="589"/>
      <c r="J2216" s="1068" t="s">
        <v>254</v>
      </c>
      <c r="K2216" s="1111"/>
      <c r="L2216" s="1634" t="s">
        <v>4902</v>
      </c>
      <c r="M2216" s="1697" t="str">
        <f>IF(R2216,"Mandatory","N/A")</f>
        <v>Mandatory</v>
      </c>
      <c r="N2216" s="991"/>
      <c r="O2216" s="991"/>
      <c r="P2216" s="905" t="b">
        <v>1</v>
      </c>
      <c r="Q2216" s="905" t="b">
        <v>0</v>
      </c>
      <c r="R2216" s="905" t="b">
        <v>1</v>
      </c>
      <c r="S2216" s="905" t="b">
        <v>1</v>
      </c>
      <c r="T2216" s="905" t="b">
        <v>0</v>
      </c>
      <c r="U2216" s="905"/>
      <c r="V2216" s="905"/>
      <c r="W2216" s="27" t="b">
        <v>1</v>
      </c>
      <c r="X2216" s="1600"/>
      <c r="Y2216" s="1874" t="str">
        <f>IF(LEN('11.900'!X369)=0,"None",'11.900'!X369)</f>
        <v>None</v>
      </c>
      <c r="Z2216" s="1600"/>
      <c r="AA2216"/>
      <c r="AC2216" s="1150" t="b">
        <f>OR(AD2216:AE2216)</f>
        <v>0</v>
      </c>
      <c r="AD2216" s="1150" t="b">
        <f>T2216</f>
        <v>0</v>
      </c>
      <c r="AE2216" s="1150" t="b">
        <f>AND(R2216,NOT(W2216))</f>
        <v>0</v>
      </c>
      <c r="AF2216" s="1150" t="b">
        <f>AND(AE2216,NOT(Q2216))</f>
        <v>0</v>
      </c>
      <c r="AG2216"/>
      <c r="AH2216"/>
      <c r="AI2216"/>
      <c r="AJ2216"/>
      <c r="AK2216"/>
      <c r="AL2216" s="1352" t="str">
        <f>SUBSTITUTE(SUBSTITUTE(SUBSTITUTE("vpa"&amp;$B2216&amp;$C2216&amp;$D2216&amp;$E2216,".","_"),"(","_"),")","")</f>
        <v>vpa904_3_1</v>
      </c>
      <c r="AM2216" s="1352" t="str">
        <f>M2216</f>
        <v>Mandatory</v>
      </c>
      <c r="AN2216" s="1352"/>
      <c r="AO2216" s="1352"/>
      <c r="AP2216" s="1352" t="str">
        <f>SUBSTITUTE(SUBSTITUTE(SUBSTITUTE("vch"&amp;$B2216&amp;$C2216&amp;$D2216&amp;$E2216,".","_"),"(","_"),")","")</f>
        <v>vch904_3_1</v>
      </c>
      <c r="AQ2216" s="1352" t="b">
        <f>IF(LEN(W2216)=0,"",W2216)</f>
        <v>1</v>
      </c>
      <c r="AR2216" s="1352" t="str">
        <f>SUBSTITUTE(SUBSTITUTE(SUBSTITUTE("vnt"&amp;$B2216&amp;$C2216&amp;$D2216&amp;$E2216,".","_"),"(","_"),")","")</f>
        <v>vnt904_3_1</v>
      </c>
      <c r="AS2216" s="1352" t="str">
        <f>IF(LEN(X2216)=0,"",X2216)</f>
        <v/>
      </c>
      <c r="AT2216"/>
    </row>
    <row r="2217" spans="1:60" x14ac:dyDescent="0.2">
      <c r="A2217" s="1515">
        <v>9</v>
      </c>
      <c r="B2217" s="1516" t="s">
        <v>4959</v>
      </c>
      <c r="C2217" s="467" t="s">
        <v>254</v>
      </c>
      <c r="G2217" s="1509" t="str">
        <f t="shared" ref="G2217:G2222" si="144">G2216</f>
        <v>P</v>
      </c>
      <c r="H2217" s="1510" t="s">
        <v>3198</v>
      </c>
      <c r="I2217" s="589"/>
      <c r="J2217" s="1068"/>
      <c r="K2217" s="1111"/>
      <c r="L2217" s="1634"/>
      <c r="M2217" s="1697"/>
      <c r="N2217" s="991"/>
      <c r="O2217" s="991"/>
      <c r="P2217" s="905"/>
      <c r="Q2217" s="905"/>
      <c r="R2217" s="905"/>
      <c r="S2217" s="905"/>
      <c r="T2217" s="905"/>
      <c r="U2217" s="905"/>
      <c r="V2217" s="905"/>
      <c r="W2217"/>
      <c r="X2217" s="1600"/>
      <c r="Y2217" s="1874"/>
      <c r="Z2217" s="1600"/>
      <c r="AA2217"/>
      <c r="AC2217" s="1150"/>
      <c r="AD2217" s="1150"/>
      <c r="AE2217" s="1150"/>
      <c r="AF2217"/>
      <c r="AG2217"/>
      <c r="AH2217"/>
      <c r="AI2217"/>
      <c r="AJ2217"/>
      <c r="AK2217"/>
      <c r="AL2217" s="1352"/>
      <c r="AM2217" s="1352"/>
      <c r="AN2217" s="1352"/>
      <c r="AO2217" s="1352"/>
      <c r="AP2217" s="1352"/>
      <c r="AQ2217" s="1352"/>
      <c r="AR2217" s="1352"/>
      <c r="AS2217" s="1352"/>
      <c r="AT2217"/>
    </row>
    <row r="2218" spans="1:60" x14ac:dyDescent="0.2">
      <c r="A2218" s="1515">
        <v>9</v>
      </c>
      <c r="B2218" s="1516" t="s">
        <v>4959</v>
      </c>
      <c r="C2218" s="467" t="s">
        <v>254</v>
      </c>
      <c r="G2218" s="1509" t="str">
        <f t="shared" si="144"/>
        <v>P</v>
      </c>
      <c r="H2218" s="1510" t="s">
        <v>3198</v>
      </c>
      <c r="I2218" s="589"/>
      <c r="J2218" s="1068"/>
      <c r="K2218" s="1111"/>
      <c r="L2218" s="1634"/>
      <c r="M2218" s="991"/>
      <c r="N2218" s="991"/>
      <c r="O2218" s="991"/>
      <c r="P2218" s="905"/>
      <c r="Q2218" s="905"/>
      <c r="R2218" s="905"/>
      <c r="S2218" s="905"/>
      <c r="T2218" s="905"/>
      <c r="U2218" s="905"/>
      <c r="V2218" s="905"/>
      <c r="W2218"/>
      <c r="X2218" s="1600"/>
      <c r="Y2218" s="1874"/>
      <c r="Z2218" s="1600"/>
      <c r="AA2218"/>
      <c r="AC2218" s="1150"/>
      <c r="AD2218" s="1150"/>
      <c r="AE2218" s="1150"/>
      <c r="AF2218"/>
      <c r="AG2218"/>
      <c r="AH2218"/>
      <c r="AI2218"/>
      <c r="AJ2218"/>
      <c r="AK2218"/>
      <c r="AL2218" s="1352"/>
      <c r="AM2218" s="1352"/>
      <c r="AN2218" s="1352"/>
      <c r="AO2218" s="1352"/>
      <c r="AP2218" s="1352"/>
      <c r="AQ2218" s="1352"/>
      <c r="AR2218" s="1352"/>
      <c r="AS2218" s="1352"/>
      <c r="AT2218"/>
    </row>
    <row r="2219" spans="1:60" x14ac:dyDescent="0.2">
      <c r="A2219" s="1515">
        <v>9</v>
      </c>
      <c r="B2219" s="1516" t="s">
        <v>4959</v>
      </c>
      <c r="C2219" s="467" t="s">
        <v>254</v>
      </c>
      <c r="G2219" s="1509" t="str">
        <f t="shared" si="144"/>
        <v>P</v>
      </c>
      <c r="H2219" s="1510" t="s">
        <v>3198</v>
      </c>
      <c r="I2219" s="589"/>
      <c r="J2219" s="1068"/>
      <c r="K2219" s="1111"/>
      <c r="L2219" s="1634"/>
      <c r="M2219" s="991"/>
      <c r="N2219" s="991"/>
      <c r="O2219" s="991"/>
      <c r="P2219" s="905"/>
      <c r="Q2219" s="905"/>
      <c r="R2219" s="905"/>
      <c r="S2219" s="905"/>
      <c r="T2219" s="905"/>
      <c r="U2219" s="905"/>
      <c r="V2219" s="905"/>
      <c r="W2219"/>
      <c r="X2219" s="1600"/>
      <c r="Y2219" s="1874"/>
      <c r="Z2219" s="1600"/>
      <c r="AA2219"/>
      <c r="AC2219" s="1150"/>
      <c r="AD2219" s="1150"/>
      <c r="AE2219" s="1150"/>
      <c r="AF2219"/>
      <c r="AG2219"/>
      <c r="AH2219"/>
      <c r="AI2219"/>
      <c r="AJ2219"/>
      <c r="AK2219"/>
      <c r="AL2219" s="1352"/>
      <c r="AM2219" s="1352"/>
      <c r="AN2219" s="1352"/>
      <c r="AO2219" s="1352"/>
      <c r="AP2219" s="1352"/>
      <c r="AQ2219" s="1352"/>
      <c r="AR2219" s="1352"/>
      <c r="AS2219" s="1352"/>
      <c r="AT2219"/>
    </row>
    <row r="2220" spans="1:60" x14ac:dyDescent="0.2">
      <c r="A2220" s="1515">
        <v>9</v>
      </c>
      <c r="B2220" s="1516" t="s">
        <v>4959</v>
      </c>
      <c r="C2220" s="467" t="s">
        <v>254</v>
      </c>
      <c r="G2220" s="1509" t="str">
        <f t="shared" si="144"/>
        <v>P</v>
      </c>
      <c r="H2220" s="1510" t="s">
        <v>3198</v>
      </c>
      <c r="I2220" s="589"/>
      <c r="J2220" s="1068"/>
      <c r="K2220" s="1111"/>
      <c r="L2220" s="1634"/>
      <c r="M2220" s="991"/>
      <c r="N2220" s="991"/>
      <c r="O2220" s="991"/>
      <c r="P2220" s="905"/>
      <c r="Q2220" s="905"/>
      <c r="R2220" s="905"/>
      <c r="S2220" s="905"/>
      <c r="T2220" s="905"/>
      <c r="U2220" s="905"/>
      <c r="V2220" s="905"/>
      <c r="W2220"/>
      <c r="X2220" s="1600"/>
      <c r="Y2220" s="1874"/>
      <c r="Z2220" s="1600"/>
      <c r="AA2220"/>
      <c r="AC2220" s="1150"/>
      <c r="AD2220" s="1150"/>
      <c r="AE2220" s="1150"/>
      <c r="AF2220"/>
      <c r="AG2220"/>
      <c r="AH2220"/>
      <c r="AI2220"/>
      <c r="AJ2220"/>
      <c r="AK2220"/>
      <c r="AL2220" s="1352"/>
      <c r="AM2220" s="1352"/>
      <c r="AN2220" s="1352"/>
      <c r="AO2220" s="1352"/>
      <c r="AP2220" s="1352"/>
      <c r="AQ2220" s="1352"/>
      <c r="AR2220" s="1352"/>
      <c r="AS2220" s="1352"/>
      <c r="AT2220"/>
    </row>
    <row r="2221" spans="1:60" x14ac:dyDescent="0.2">
      <c r="A2221" s="1515">
        <v>9</v>
      </c>
      <c r="B2221" s="1516" t="s">
        <v>4959</v>
      </c>
      <c r="C2221" s="467" t="s">
        <v>254</v>
      </c>
      <c r="G2221" s="1509" t="str">
        <f t="shared" si="144"/>
        <v>P</v>
      </c>
      <c r="H2221" s="1510" t="s">
        <v>3198</v>
      </c>
      <c r="I2221" s="589"/>
      <c r="J2221" s="1068"/>
      <c r="K2221" s="1111"/>
      <c r="L2221" s="1634"/>
      <c r="M2221" s="991"/>
      <c r="N2221" s="991"/>
      <c r="O2221" s="991"/>
      <c r="P2221" s="905"/>
      <c r="Q2221" s="905"/>
      <c r="R2221" s="905"/>
      <c r="S2221" s="905"/>
      <c r="T2221" s="905"/>
      <c r="U2221" s="905"/>
      <c r="V2221" s="905"/>
      <c r="W2221"/>
      <c r="X2221" s="1600"/>
      <c r="Y2221" s="1874"/>
      <c r="Z2221" s="1600"/>
      <c r="AA2221"/>
      <c r="AC2221" s="1150"/>
      <c r="AD2221" s="1150"/>
      <c r="AE2221" s="1150"/>
      <c r="AF2221"/>
      <c r="AG2221"/>
      <c r="AH2221"/>
      <c r="AI2221"/>
      <c r="AJ2221"/>
      <c r="AK2221"/>
      <c r="AL2221" s="1352"/>
      <c r="AM2221" s="1352"/>
      <c r="AN2221" s="1352"/>
      <c r="AO2221" s="1352"/>
      <c r="AP2221" s="1352"/>
      <c r="AQ2221" s="1352"/>
      <c r="AR2221" s="1352"/>
      <c r="AS2221" s="1352"/>
      <c r="AT2221"/>
    </row>
    <row r="2222" spans="1:60" x14ac:dyDescent="0.2">
      <c r="A2222" s="1515">
        <v>9</v>
      </c>
      <c r="B2222" s="1516" t="s">
        <v>4959</v>
      </c>
      <c r="C2222" s="467" t="s">
        <v>254</v>
      </c>
      <c r="G2222" s="1509" t="str">
        <f t="shared" si="144"/>
        <v>P</v>
      </c>
      <c r="H2222" s="1510" t="s">
        <v>3198</v>
      </c>
      <c r="I2222" s="589"/>
      <c r="J2222" s="1072"/>
      <c r="K2222" s="1118"/>
      <c r="L2222" s="1639"/>
      <c r="M2222" s="991"/>
      <c r="N2222" s="991"/>
      <c r="O2222" s="991"/>
      <c r="P2222" s="905"/>
      <c r="Q2222" s="905"/>
      <c r="R2222" s="905"/>
      <c r="S2222" s="905"/>
      <c r="T2222" s="905"/>
      <c r="U2222" s="905"/>
      <c r="V2222" s="905"/>
      <c r="W2222"/>
      <c r="X2222" s="1600"/>
      <c r="Y2222" s="1874"/>
      <c r="Z2222" s="1600"/>
      <c r="AA2222"/>
      <c r="AC2222" s="1150"/>
      <c r="AD2222" s="1150"/>
      <c r="AE2222" s="1150"/>
      <c r="AF2222"/>
      <c r="AG2222"/>
      <c r="AH2222"/>
      <c r="AI2222"/>
      <c r="AJ2222"/>
      <c r="AK2222"/>
      <c r="AL2222" s="1352"/>
      <c r="AM2222" s="1352"/>
      <c r="AN2222" s="1352"/>
      <c r="AO2222" s="1352"/>
      <c r="AP2222" s="1352"/>
      <c r="AQ2222" s="1352"/>
      <c r="AR2222" s="1352"/>
      <c r="AS2222" s="1352"/>
      <c r="AT2222"/>
    </row>
    <row r="2223" spans="1:60" x14ac:dyDescent="0.2">
      <c r="A2223" s="1515">
        <v>9</v>
      </c>
      <c r="B2223" s="1516" t="s">
        <v>4959</v>
      </c>
      <c r="C2223" s="467" t="s">
        <v>255</v>
      </c>
      <c r="G2223" s="1509" t="str">
        <f>IF(IFERROR(SEARCH("Mandatory",M2223),FALSE),"P","")</f>
        <v>P</v>
      </c>
      <c r="H2223" s="1510" t="s">
        <v>3198</v>
      </c>
      <c r="I2223" s="589"/>
      <c r="J2223" s="873" t="s">
        <v>255</v>
      </c>
      <c r="K2223" s="858"/>
      <c r="L2223" s="1634" t="s">
        <v>4903</v>
      </c>
      <c r="M2223" s="1697" t="str">
        <f>IF(R2223,"Mandatory","N/A")</f>
        <v>Mandatory</v>
      </c>
      <c r="N2223" s="905"/>
      <c r="O2223" s="905"/>
      <c r="P2223" s="905" t="b">
        <v>1</v>
      </c>
      <c r="Q2223" s="905" t="b">
        <v>0</v>
      </c>
      <c r="R2223" s="905" t="b">
        <v>1</v>
      </c>
      <c r="S2223" s="905" t="b">
        <v>1</v>
      </c>
      <c r="T2223" s="905" t="b">
        <v>0</v>
      </c>
      <c r="U2223" s="905"/>
      <c r="V2223" s="905"/>
      <c r="W2223" s="27" t="b">
        <v>1</v>
      </c>
      <c r="X2223" s="1600"/>
      <c r="Y2223" s="1874" t="str">
        <f>IF(LEN('11.900'!X376)=0,"None",'11.900'!X376)</f>
        <v>None</v>
      </c>
      <c r="Z2223" s="1600"/>
      <c r="AA2223"/>
      <c r="AC2223" s="1150" t="b">
        <f>OR(AD2223:AE2223)</f>
        <v>0</v>
      </c>
      <c r="AD2223" s="1150" t="b">
        <f>T2223</f>
        <v>0</v>
      </c>
      <c r="AE2223" s="1150" t="b">
        <f>AND(R2223,NOT(W2223))</f>
        <v>0</v>
      </c>
      <c r="AF2223" s="1150" t="b">
        <f>AND(AE2223,NOT(Q2223))</f>
        <v>0</v>
      </c>
      <c r="AG2223"/>
      <c r="AH2223"/>
      <c r="AI2223"/>
      <c r="AJ2223"/>
      <c r="AK2223"/>
      <c r="AL2223" s="1352" t="str">
        <f>SUBSTITUTE(SUBSTITUTE(SUBSTITUTE("vpa"&amp;$B2223&amp;$C2223&amp;$D2223&amp;$E2223,".","_"),"(","_"),")","")</f>
        <v>vpa904_3_2</v>
      </c>
      <c r="AM2223" s="1352" t="str">
        <f>M2223</f>
        <v>Mandatory</v>
      </c>
      <c r="AN2223" s="1352"/>
      <c r="AO2223" s="1352"/>
      <c r="AP2223" s="1352" t="str">
        <f>SUBSTITUTE(SUBSTITUTE(SUBSTITUTE("vch"&amp;$B2223&amp;$C2223&amp;$D2223&amp;$E2223,".","_"),"(","_"),")","")</f>
        <v>vch904_3_2</v>
      </c>
      <c r="AQ2223" s="1352" t="b">
        <f>IF(LEN(W2223)=0,"",W2223)</f>
        <v>1</v>
      </c>
      <c r="AR2223" s="1352" t="str">
        <f>SUBSTITUTE(SUBSTITUTE(SUBSTITUTE("vnt"&amp;$B2223&amp;$C2223&amp;$D2223&amp;$E2223,".","_"),"(","_"),")","")</f>
        <v>vnt904_3_2</v>
      </c>
      <c r="AS2223" s="1352" t="str">
        <f>IF(LEN(X2223)=0,"",X2223)</f>
        <v/>
      </c>
      <c r="AT2223"/>
    </row>
    <row r="2224" spans="1:60" x14ac:dyDescent="0.2">
      <c r="A2224" s="1515">
        <v>9</v>
      </c>
      <c r="B2224" s="1516" t="s">
        <v>4959</v>
      </c>
      <c r="C2224" s="467" t="s">
        <v>255</v>
      </c>
      <c r="G2224" s="1509" t="str">
        <f>G2223</f>
        <v>P</v>
      </c>
      <c r="H2224" s="1510" t="s">
        <v>3198</v>
      </c>
      <c r="I2224" s="600"/>
      <c r="J2224" s="858"/>
      <c r="K2224" s="858"/>
      <c r="L2224" s="1634"/>
      <c r="M2224" s="1697"/>
      <c r="N2224" s="905"/>
      <c r="O2224" s="905"/>
      <c r="P2224" s="905"/>
      <c r="Q2224" s="905"/>
      <c r="R2224" s="905"/>
      <c r="S2224" s="905"/>
      <c r="T2224" s="905"/>
      <c r="U2224" s="905"/>
      <c r="V2224" s="905"/>
      <c r="W2224"/>
      <c r="X2224" s="1600"/>
      <c r="Y2224" s="1874"/>
      <c r="Z2224" s="1600"/>
      <c r="AA2224"/>
      <c r="AC2224"/>
      <c r="AD2224"/>
      <c r="AE2224"/>
      <c r="AF2224"/>
      <c r="AG2224"/>
      <c r="AH2224"/>
      <c r="AI2224"/>
      <c r="AJ2224"/>
      <c r="AK2224"/>
      <c r="AL2224" s="1352"/>
      <c r="AM2224" s="1352"/>
      <c r="AN2224" s="1352"/>
      <c r="AO2224" s="1352"/>
      <c r="AP2224" s="1352"/>
      <c r="AQ2224" s="1352"/>
      <c r="AR2224" s="1352"/>
      <c r="AS2224" s="1352"/>
      <c r="AT2224"/>
    </row>
    <row r="2225" spans="1:60" x14ac:dyDescent="0.2">
      <c r="A2225" s="1515">
        <v>9</v>
      </c>
      <c r="B2225" s="1516" t="s">
        <v>4959</v>
      </c>
      <c r="C2225" s="467" t="s">
        <v>255</v>
      </c>
      <c r="G2225" s="1509" t="str">
        <f>G2224</f>
        <v>P</v>
      </c>
      <c r="H2225" s="1510" t="s">
        <v>3198</v>
      </c>
      <c r="I2225" s="600"/>
      <c r="J2225" s="858"/>
      <c r="K2225" s="858"/>
      <c r="L2225" s="1634"/>
      <c r="M2225" s="905"/>
      <c r="N2225" s="905"/>
      <c r="O2225" s="905"/>
      <c r="P2225" s="905"/>
      <c r="Q2225" s="905"/>
      <c r="R2225" s="905"/>
      <c r="S2225" s="905"/>
      <c r="T2225" s="905"/>
      <c r="U2225" s="905"/>
      <c r="V2225" s="905"/>
      <c r="W2225"/>
      <c r="X2225" s="1600"/>
      <c r="Y2225" s="1874"/>
      <c r="Z2225" s="1600"/>
      <c r="AA2225"/>
      <c r="AC2225"/>
      <c r="AD2225"/>
      <c r="AE2225"/>
      <c r="AF2225"/>
      <c r="AG2225"/>
      <c r="AH2225"/>
      <c r="AI2225"/>
      <c r="AJ2225"/>
      <c r="AK2225"/>
      <c r="AL2225" s="1352"/>
      <c r="AM2225" s="1352"/>
      <c r="AN2225" s="1352"/>
      <c r="AO2225" s="1352"/>
      <c r="AP2225" s="1352"/>
      <c r="AQ2225" s="1352"/>
      <c r="AR2225" s="1352"/>
      <c r="AS2225" s="1352"/>
      <c r="AT2225"/>
    </row>
    <row r="2226" spans="1:60" ht="19" x14ac:dyDescent="0.25">
      <c r="A2226" s="1507">
        <v>9</v>
      </c>
      <c r="B2226" s="1516">
        <v>905</v>
      </c>
      <c r="C2226" s="1511"/>
      <c r="D2226" s="1511"/>
      <c r="E2226" s="1511"/>
      <c r="F2226" s="1511"/>
      <c r="G2226" s="1509" t="s">
        <v>3200</v>
      </c>
      <c r="H2226" s="1510" t="s">
        <v>3197</v>
      </c>
      <c r="I2226" s="14" t="s">
        <v>3712</v>
      </c>
      <c r="J2226" s="25"/>
      <c r="K2226" s="25"/>
      <c r="L2226" s="86"/>
      <c r="M2226" s="419"/>
      <c r="N2226" s="419"/>
      <c r="O2226" s="419"/>
      <c r="P2226" s="25"/>
      <c r="Q2226" s="25"/>
      <c r="R2226" s="25"/>
      <c r="S2226" s="25"/>
      <c r="T2226" s="25"/>
      <c r="U2226" s="25"/>
      <c r="V2226" s="25"/>
      <c r="W2226" s="25"/>
      <c r="X2226" s="25"/>
      <c r="Y2226" s="25"/>
      <c r="Z2226" s="714"/>
      <c r="AB2226" s="538"/>
      <c r="AC2226" s="538"/>
      <c r="AD2226" s="538"/>
      <c r="AE2226" s="538"/>
      <c r="AF2226" s="538"/>
      <c r="AG2226" s="538"/>
      <c r="AH2226" s="538"/>
      <c r="AI2226" s="538"/>
      <c r="AJ2226" s="538"/>
      <c r="AK2226" s="538"/>
      <c r="AL2226" s="1352"/>
      <c r="AM2226" s="1352"/>
      <c r="AN2226" s="1352"/>
      <c r="AO2226" s="1352"/>
      <c r="AP2226" s="1352"/>
      <c r="AQ2226" s="1352"/>
      <c r="AR2226" s="1352"/>
      <c r="AS2226" s="1352"/>
      <c r="AT2226" s="538"/>
      <c r="AU2226" s="538"/>
      <c r="AV2226" s="538"/>
      <c r="AW2226" s="538"/>
      <c r="AX2226" s="538"/>
      <c r="AY2226" s="538"/>
      <c r="AZ2226" s="538"/>
      <c r="BA2226" s="538"/>
      <c r="BB2226" s="538"/>
      <c r="BC2226" s="538"/>
      <c r="BD2226" s="538"/>
      <c r="BE2226" s="538"/>
      <c r="BF2226" s="538"/>
      <c r="BG2226" s="538"/>
      <c r="BH2226" s="538"/>
    </row>
    <row r="2227" spans="1:60" hidden="1" x14ac:dyDescent="0.2">
      <c r="A2227" s="1507">
        <v>9</v>
      </c>
      <c r="B2227" s="1516">
        <v>905.1</v>
      </c>
      <c r="C2227" s="1511"/>
      <c r="D2227" s="1511"/>
      <c r="E2227" s="1511"/>
      <c r="F2227" s="1511"/>
      <c r="G2227" s="1509" t="str">
        <f>IF(N2227&gt;0,"P","")</f>
        <v/>
      </c>
      <c r="H2227" s="1510" t="s">
        <v>3199</v>
      </c>
      <c r="I2227" s="130" t="s">
        <v>3713</v>
      </c>
      <c r="J2227" s="129"/>
      <c r="K2227" s="129"/>
      <c r="L2227" s="1629" t="s">
        <v>3716</v>
      </c>
      <c r="M2227" s="1623">
        <v>2</v>
      </c>
      <c r="N2227" s="1619">
        <f>'11.900'!O380</f>
        <v>0</v>
      </c>
      <c r="O2227" s="1619">
        <f>M2227*S2227*W2227</f>
        <v>0</v>
      </c>
      <c r="P2227" s="96" t="b">
        <v>0</v>
      </c>
      <c r="Q2227" s="96" t="b">
        <v>1</v>
      </c>
      <c r="R2227" s="96" t="b">
        <v>0</v>
      </c>
      <c r="S2227" s="96" t="b">
        <v>1</v>
      </c>
      <c r="T2227" s="96" t="b">
        <v>0</v>
      </c>
      <c r="U2227" s="96"/>
      <c r="V2227" s="96"/>
      <c r="W2227" s="27"/>
      <c r="X2227" s="1601"/>
      <c r="Y2227" s="1881" t="str">
        <f>IF(LEN('11.900'!X380)=0,"None",'11.900'!X380)</f>
        <v>None</v>
      </c>
      <c r="Z2227" s="1891"/>
      <c r="AB2227" s="538"/>
      <c r="AC2227" s="538"/>
      <c r="AD2227" s="538"/>
      <c r="AE2227" s="538"/>
      <c r="AF2227" s="720"/>
      <c r="AG2227" s="538"/>
      <c r="AH2227" s="538"/>
      <c r="AI2227" s="538"/>
      <c r="AJ2227" s="538"/>
      <c r="AK2227" s="538"/>
      <c r="AL2227" s="1352" t="str">
        <f>SUBSTITUTE(SUBSTITUTE(SUBSTITUTE("vpa"&amp;$B2227&amp;$C2227&amp;$D2227&amp;$E2227,".","_"),"(","_"),")","")</f>
        <v>vpa905_1</v>
      </c>
      <c r="AM2227" s="1352">
        <f>M2227</f>
        <v>2</v>
      </c>
      <c r="AN2227" s="1352" t="str">
        <f>SUBSTITUTE(SUBSTITUTE(SUBSTITUTE("vpc"&amp;$B2227&amp;$C2227&amp;$D2227&amp;$E2227,".","_"),"(","_"),")","")</f>
        <v>vpc905_1</v>
      </c>
      <c r="AO2227" s="1352">
        <f>O2227</f>
        <v>0</v>
      </c>
      <c r="AP2227" s="1352" t="str">
        <f>SUBSTITUTE(SUBSTITUTE(SUBSTITUTE("vch"&amp;$B2227&amp;$C2227&amp;$D2227&amp;$E2227,".","_"),"(","_"),")","")</f>
        <v>vch905_1</v>
      </c>
      <c r="AQ2227" s="1352" t="str">
        <f>IF(LEN(W2227)=0,"",W2227)</f>
        <v/>
      </c>
      <c r="AR2227" s="1352" t="str">
        <f>SUBSTITUTE(SUBSTITUTE(SUBSTITUTE("vnt"&amp;$B2227&amp;$C2227&amp;$D2227&amp;$E2227,".","_"),"(","_"),")","")</f>
        <v>vnt905_1</v>
      </c>
      <c r="AS2227" s="1352" t="str">
        <f>IF(LEN(X2227)=0,"",X2227)</f>
        <v/>
      </c>
      <c r="AT2227" s="538"/>
      <c r="AU2227" s="538"/>
      <c r="AV2227" s="538"/>
      <c r="AW2227" s="538"/>
      <c r="AX2227" s="538"/>
      <c r="AY2227" s="538"/>
      <c r="AZ2227" s="538"/>
      <c r="BA2227" s="538"/>
      <c r="BB2227" s="538"/>
      <c r="BC2227" s="538"/>
      <c r="BD2227" s="538"/>
      <c r="BE2227" s="538"/>
      <c r="BF2227" s="538"/>
      <c r="BG2227" s="538"/>
      <c r="BH2227" s="538"/>
    </row>
    <row r="2228" spans="1:60" hidden="1" x14ac:dyDescent="0.2">
      <c r="A2228" s="1507">
        <v>9</v>
      </c>
      <c r="B2228" s="1516">
        <v>905.1</v>
      </c>
      <c r="C2228" s="1511"/>
      <c r="D2228" s="1511"/>
      <c r="E2228" s="1511"/>
      <c r="F2228" s="1511"/>
      <c r="G2228" s="1509" t="str">
        <f>G2227</f>
        <v/>
      </c>
      <c r="H2228" s="1510" t="s">
        <v>3199</v>
      </c>
      <c r="I2228" s="406"/>
      <c r="J2228" s="129"/>
      <c r="K2228" s="129"/>
      <c r="L2228" s="1629"/>
      <c r="M2228" s="1623"/>
      <c r="N2228" s="1619"/>
      <c r="O2228" s="1619"/>
      <c r="P2228" s="96"/>
      <c r="Q2228" s="96"/>
      <c r="R2228" s="96"/>
      <c r="S2228" s="96"/>
      <c r="T2228" s="96"/>
      <c r="U2228" s="96"/>
      <c r="V2228" s="96"/>
      <c r="W2228" s="96"/>
      <c r="X2228" s="1601"/>
      <c r="Y2228" s="1881"/>
      <c r="Z2228" s="1891"/>
      <c r="AB2228" s="538"/>
      <c r="AC2228" s="538"/>
      <c r="AD2228" s="538"/>
      <c r="AE2228" s="538"/>
      <c r="AF2228" s="538"/>
      <c r="AG2228" s="538"/>
      <c r="AH2228" s="538"/>
      <c r="AI2228" s="538"/>
      <c r="AJ2228" s="538"/>
      <c r="AK2228" s="538"/>
      <c r="AL2228" s="1352"/>
      <c r="AM2228" s="1352"/>
      <c r="AN2228" s="1352"/>
      <c r="AO2228" s="1352"/>
      <c r="AP2228" s="1352"/>
      <c r="AQ2228" s="1352"/>
      <c r="AR2228" s="1352"/>
      <c r="AS2228" s="1352"/>
      <c r="AT2228" s="538"/>
      <c r="AU2228" s="538"/>
      <c r="AV2228" s="538"/>
      <c r="AW2228" s="538"/>
      <c r="AX2228" s="538"/>
      <c r="AY2228" s="538"/>
      <c r="AZ2228" s="538"/>
      <c r="BA2228" s="538"/>
      <c r="BB2228" s="538"/>
      <c r="BC2228" s="538"/>
      <c r="BD2228" s="538"/>
      <c r="BE2228" s="538"/>
      <c r="BF2228" s="538"/>
      <c r="BG2228" s="538"/>
      <c r="BH2228" s="538"/>
    </row>
    <row r="2229" spans="1:60" hidden="1" x14ac:dyDescent="0.2">
      <c r="A2229" s="1507">
        <v>9</v>
      </c>
      <c r="B2229" s="1516">
        <v>905.1</v>
      </c>
      <c r="C2229" s="1511"/>
      <c r="D2229" s="1511"/>
      <c r="E2229" s="1511"/>
      <c r="F2229" s="1511"/>
      <c r="G2229" s="1509" t="str">
        <f>G2228</f>
        <v/>
      </c>
      <c r="H2229" s="1510" t="s">
        <v>3199</v>
      </c>
      <c r="I2229" s="406"/>
      <c r="J2229" s="129"/>
      <c r="K2229" s="129"/>
      <c r="L2229" s="1629"/>
      <c r="M2229" s="1623"/>
      <c r="N2229" s="1619"/>
      <c r="O2229" s="1619"/>
      <c r="P2229" s="96"/>
      <c r="Q2229" s="96"/>
      <c r="R2229" s="96"/>
      <c r="S2229" s="96"/>
      <c r="T2229" s="96"/>
      <c r="U2229" s="96"/>
      <c r="V2229" s="96"/>
      <c r="W2229" s="96"/>
      <c r="X2229" s="1601"/>
      <c r="Y2229" s="1881"/>
      <c r="Z2229" s="1891"/>
      <c r="AB2229" s="538"/>
      <c r="AC2229" s="538"/>
      <c r="AD2229" s="538"/>
      <c r="AE2229" s="538"/>
      <c r="AF2229" s="538"/>
      <c r="AG2229" s="538"/>
      <c r="AH2229" s="538"/>
      <c r="AI2229" s="538"/>
      <c r="AJ2229" s="538"/>
      <c r="AK2229" s="538"/>
      <c r="AL2229" s="1352"/>
      <c r="AM2229" s="1352"/>
      <c r="AN2229" s="1352"/>
      <c r="AO2229" s="1352"/>
      <c r="AP2229" s="1352"/>
      <c r="AQ2229" s="1352"/>
      <c r="AR2229" s="1352"/>
      <c r="AS2229" s="1352"/>
      <c r="AT2229" s="538"/>
      <c r="AU2229" s="538"/>
      <c r="AV2229" s="538"/>
      <c r="AW2229" s="538"/>
      <c r="AX2229" s="538"/>
      <c r="AY2229" s="538"/>
      <c r="AZ2229" s="538"/>
      <c r="BA2229" s="538"/>
      <c r="BB2229" s="538"/>
      <c r="BC2229" s="538"/>
      <c r="BD2229" s="538"/>
      <c r="BE2229" s="538"/>
      <c r="BF2229" s="538"/>
      <c r="BG2229" s="538"/>
      <c r="BH2229" s="538"/>
    </row>
    <row r="2230" spans="1:60" hidden="1" x14ac:dyDescent="0.2">
      <c r="A2230" s="1507">
        <v>9</v>
      </c>
      <c r="B2230" s="1516">
        <v>905.1</v>
      </c>
      <c r="C2230" s="1511"/>
      <c r="D2230" s="1511"/>
      <c r="E2230" s="1511"/>
      <c r="F2230" s="1511"/>
      <c r="G2230" s="1509" t="str">
        <f>G2229</f>
        <v/>
      </c>
      <c r="H2230" s="1510" t="s">
        <v>3199</v>
      </c>
      <c r="I2230" s="406"/>
      <c r="J2230" s="129"/>
      <c r="K2230" s="129"/>
      <c r="L2230" s="1629"/>
      <c r="M2230" s="1623"/>
      <c r="N2230" s="1619"/>
      <c r="O2230" s="1619"/>
      <c r="P2230" s="96"/>
      <c r="Q2230" s="96"/>
      <c r="R2230" s="96"/>
      <c r="S2230" s="96"/>
      <c r="T2230" s="96"/>
      <c r="U2230" s="96"/>
      <c r="V2230" s="96"/>
      <c r="W2230" s="96"/>
      <c r="X2230" s="1601"/>
      <c r="Y2230" s="1881"/>
      <c r="Z2230" s="1891"/>
      <c r="AB2230" s="538"/>
      <c r="AC2230" s="538"/>
      <c r="AD2230" s="538"/>
      <c r="AE2230" s="538"/>
      <c r="AF2230" s="538"/>
      <c r="AG2230" s="538"/>
      <c r="AH2230" s="538"/>
      <c r="AI2230" s="538"/>
      <c r="AJ2230" s="538"/>
      <c r="AK2230" s="538"/>
      <c r="AL2230" s="1352"/>
      <c r="AM2230" s="1352"/>
      <c r="AN2230" s="1352"/>
      <c r="AO2230" s="1352"/>
      <c r="AP2230" s="1352"/>
      <c r="AQ2230" s="1352"/>
      <c r="AR2230" s="1352"/>
      <c r="AS2230" s="1352"/>
      <c r="AT2230" s="538"/>
      <c r="AU2230" s="538"/>
      <c r="AV2230" s="538"/>
      <c r="AW2230" s="538"/>
      <c r="AX2230" s="538"/>
      <c r="AY2230" s="538"/>
      <c r="AZ2230" s="538"/>
      <c r="BA2230" s="538"/>
      <c r="BB2230" s="538"/>
      <c r="BC2230" s="538"/>
      <c r="BD2230" s="538"/>
      <c r="BE2230" s="538"/>
      <c r="BF2230" s="538"/>
      <c r="BG2230" s="538"/>
      <c r="BH2230" s="538"/>
    </row>
    <row r="2231" spans="1:60" ht="16" hidden="1" thickBot="1" x14ac:dyDescent="0.25">
      <c r="A2231" s="1507">
        <v>9</v>
      </c>
      <c r="B2231" s="1516">
        <v>905.1</v>
      </c>
      <c r="C2231" s="1511"/>
      <c r="D2231" s="1511"/>
      <c r="E2231" s="1511"/>
      <c r="F2231" s="1511"/>
      <c r="G2231" s="1509" t="str">
        <f>G2230</f>
        <v/>
      </c>
      <c r="H2231" s="1510" t="s">
        <v>3199</v>
      </c>
      <c r="I2231" s="407"/>
      <c r="J2231" s="239"/>
      <c r="K2231" s="239"/>
      <c r="L2231" s="1630"/>
      <c r="M2231" s="1627"/>
      <c r="N2231" s="1638"/>
      <c r="O2231" s="1638"/>
      <c r="P2231" s="100"/>
      <c r="Q2231" s="100"/>
      <c r="R2231" s="100"/>
      <c r="S2231" s="100"/>
      <c r="T2231" s="100"/>
      <c r="U2231" s="100"/>
      <c r="V2231" s="100"/>
      <c r="W2231" s="100"/>
      <c r="X2231" s="1602"/>
      <c r="Y2231" s="1882"/>
      <c r="Z2231" s="1892"/>
      <c r="AB2231" s="538"/>
      <c r="AC2231" s="538"/>
      <c r="AD2231" s="538"/>
      <c r="AE2231" s="538"/>
      <c r="AF2231" s="538"/>
      <c r="AG2231" s="538"/>
      <c r="AH2231" s="538"/>
      <c r="AI2231" s="538"/>
      <c r="AJ2231" s="538"/>
      <c r="AK2231" s="538"/>
      <c r="AL2231" s="1352"/>
      <c r="AM2231" s="1352"/>
      <c r="AN2231" s="1352"/>
      <c r="AO2231" s="1352"/>
      <c r="AP2231" s="1352"/>
      <c r="AQ2231" s="1352"/>
      <c r="AR2231" s="1352"/>
      <c r="AS2231" s="1352"/>
      <c r="AT2231" s="538"/>
      <c r="AU2231" s="538"/>
      <c r="AV2231" s="538"/>
      <c r="AW2231" s="538"/>
      <c r="AX2231" s="538"/>
      <c r="AY2231" s="538"/>
      <c r="AZ2231" s="538"/>
      <c r="BA2231" s="538"/>
      <c r="BB2231" s="538"/>
      <c r="BC2231" s="538"/>
      <c r="BD2231" s="538"/>
      <c r="BE2231" s="538"/>
      <c r="BF2231" s="538"/>
      <c r="BG2231" s="538"/>
      <c r="BH2231" s="538"/>
    </row>
    <row r="2232" spans="1:60" ht="16" hidden="1" thickTop="1" x14ac:dyDescent="0.2">
      <c r="A2232" s="1507">
        <v>9</v>
      </c>
      <c r="B2232" s="1516">
        <v>905.2</v>
      </c>
      <c r="C2232" s="1511"/>
      <c r="D2232" s="1511"/>
      <c r="E2232" s="1511"/>
      <c r="F2232" s="1511"/>
      <c r="G2232" s="1509" t="str">
        <f>IF(N2232&gt;0,"P","")</f>
        <v/>
      </c>
      <c r="H2232" s="1510" t="s">
        <v>3199</v>
      </c>
      <c r="I2232" s="177" t="s">
        <v>3714</v>
      </c>
      <c r="J2232" s="178"/>
      <c r="K2232" s="178"/>
      <c r="L2232" s="1683" t="s">
        <v>3715</v>
      </c>
      <c r="M2232" s="1685">
        <v>2</v>
      </c>
      <c r="N2232" s="1682">
        <f>'11.900'!O385</f>
        <v>0</v>
      </c>
      <c r="O2232" s="1682">
        <f>M2232*S2232*W2232</f>
        <v>0</v>
      </c>
      <c r="P2232" s="106" t="b">
        <v>0</v>
      </c>
      <c r="Q2232" s="106" t="b">
        <v>1</v>
      </c>
      <c r="R2232" s="106" t="b">
        <v>0</v>
      </c>
      <c r="S2232" s="106" t="b">
        <v>1</v>
      </c>
      <c r="T2232" s="106" t="b">
        <v>0</v>
      </c>
      <c r="U2232" s="106"/>
      <c r="V2232" s="106"/>
      <c r="W2232" s="334"/>
      <c r="X2232" s="1603"/>
      <c r="Y2232" s="1883" t="str">
        <f>IF(LEN('11.900'!X385)=0,"None",'11.900'!X385)</f>
        <v>None</v>
      </c>
      <c r="Z2232" s="1923"/>
      <c r="AB2232" s="538"/>
      <c r="AC2232" s="538" t="b">
        <f>OR(AD2232:AE2232)</f>
        <v>0</v>
      </c>
      <c r="AD2232" s="538" t="b">
        <f>T2232</f>
        <v>0</v>
      </c>
      <c r="AE2232" s="538"/>
      <c r="AF2232" s="720"/>
      <c r="AG2232" s="538"/>
      <c r="AH2232" s="538"/>
      <c r="AI2232" s="538"/>
      <c r="AJ2232" s="538"/>
      <c r="AK2232" s="538"/>
      <c r="AL2232" s="1352" t="str">
        <f>SUBSTITUTE(SUBSTITUTE(SUBSTITUTE("vpa"&amp;$B2232&amp;$C2232&amp;$D2232&amp;$E2232,".","_"),"(","_"),")","")</f>
        <v>vpa905_2</v>
      </c>
      <c r="AM2232" s="1352">
        <f>M2232</f>
        <v>2</v>
      </c>
      <c r="AN2232" s="1352" t="str">
        <f>SUBSTITUTE(SUBSTITUTE(SUBSTITUTE("vpc"&amp;$B2232&amp;$C2232&amp;$D2232&amp;$E2232,".","_"),"(","_"),")","")</f>
        <v>vpc905_2</v>
      </c>
      <c r="AO2232" s="1352">
        <f>O2232</f>
        <v>0</v>
      </c>
      <c r="AP2232" s="1352" t="str">
        <f>SUBSTITUTE(SUBSTITUTE(SUBSTITUTE("vch"&amp;$B2232&amp;$C2232&amp;$D2232&amp;$E2232,".","_"),"(","_"),")","")</f>
        <v>vch905_2</v>
      </c>
      <c r="AQ2232" s="1352" t="str">
        <f>IF(LEN(W2232)=0,"",W2232)</f>
        <v/>
      </c>
      <c r="AR2232" s="1352" t="str">
        <f>SUBSTITUTE(SUBSTITUTE(SUBSTITUTE("vnt"&amp;$B2232&amp;$C2232&amp;$D2232&amp;$E2232,".","_"),"(","_"),")","")</f>
        <v>vnt905_2</v>
      </c>
      <c r="AS2232" s="1352" t="str">
        <f>IF(LEN(X2232)=0,"",X2232)</f>
        <v/>
      </c>
      <c r="AT2232" s="538"/>
      <c r="AU2232" s="538"/>
      <c r="AV2232" s="538"/>
      <c r="AW2232" s="538"/>
      <c r="AX2232" s="538"/>
      <c r="AY2232" s="538"/>
      <c r="AZ2232" s="538"/>
      <c r="BA2232" s="538"/>
      <c r="BB2232" s="538"/>
      <c r="BC2232" s="538"/>
      <c r="BD2232" s="538"/>
      <c r="BE2232" s="538"/>
      <c r="BF2232" s="538"/>
      <c r="BG2232" s="538"/>
      <c r="BH2232" s="538"/>
    </row>
    <row r="2233" spans="1:60" ht="16" hidden="1" thickBot="1" x14ac:dyDescent="0.25">
      <c r="A2233" s="1507">
        <v>9</v>
      </c>
      <c r="B2233" s="1516">
        <v>905.2</v>
      </c>
      <c r="C2233" s="1511"/>
      <c r="D2233" s="1511"/>
      <c r="E2233" s="1511"/>
      <c r="F2233" s="1511"/>
      <c r="G2233" s="1509" t="str">
        <f t="shared" ref="G2233:G2246" si="145">G2232</f>
        <v/>
      </c>
      <c r="H2233" s="1510" t="s">
        <v>3199</v>
      </c>
      <c r="I2233" s="407"/>
      <c r="J2233" s="239"/>
      <c r="K2233" s="239"/>
      <c r="L2233" s="1630"/>
      <c r="M2233" s="1627"/>
      <c r="N2233" s="1638"/>
      <c r="O2233" s="1638"/>
      <c r="P2233" s="100"/>
      <c r="Q2233" s="100"/>
      <c r="R2233" s="100"/>
      <c r="S2233" s="100"/>
      <c r="T2233" s="100"/>
      <c r="U2233" s="100"/>
      <c r="V2233" s="100"/>
      <c r="W2233" s="100"/>
      <c r="X2233" s="1602"/>
      <c r="Y2233" s="1882"/>
      <c r="Z2233" s="1892"/>
      <c r="AB2233" s="538"/>
      <c r="AC2233" s="538"/>
      <c r="AD2233" s="538"/>
      <c r="AE2233" s="538"/>
      <c r="AF2233" s="538"/>
      <c r="AG2233" s="538"/>
      <c r="AH2233" s="538"/>
      <c r="AI2233" s="538"/>
      <c r="AJ2233" s="538"/>
      <c r="AK2233" s="538"/>
      <c r="AL2233" s="1352"/>
      <c r="AM2233" s="1352"/>
      <c r="AN2233" s="1352"/>
      <c r="AO2233" s="1352"/>
      <c r="AP2233" s="1352"/>
      <c r="AQ2233" s="1352"/>
      <c r="AR2233" s="1352"/>
      <c r="AS2233" s="1352"/>
      <c r="AT2233" s="538"/>
      <c r="AU2233" s="538"/>
      <c r="AV2233" s="538"/>
      <c r="AW2233" s="538"/>
      <c r="AX2233" s="538"/>
      <c r="AY2233" s="538"/>
      <c r="AZ2233" s="538"/>
      <c r="BA2233" s="538"/>
      <c r="BB2233" s="538"/>
      <c r="BC2233" s="538"/>
      <c r="BD2233" s="538"/>
      <c r="BE2233" s="538"/>
      <c r="BF2233" s="538"/>
      <c r="BG2233" s="538"/>
      <c r="BH2233" s="538"/>
    </row>
    <row r="2234" spans="1:60" hidden="1" x14ac:dyDescent="0.2">
      <c r="A2234" s="1515">
        <v>9</v>
      </c>
      <c r="B2234" s="1516" t="s">
        <v>4918</v>
      </c>
      <c r="C2234" s="1511"/>
      <c r="D2234" s="1511"/>
      <c r="G2234" s="1509" t="str">
        <f>IF(N2234&gt;0,"P","")</f>
        <v/>
      </c>
      <c r="H2234" s="1510" t="s">
        <v>3199</v>
      </c>
      <c r="I2234" s="589" t="s">
        <v>4904</v>
      </c>
      <c r="J2234" s="873"/>
      <c r="K2234" s="858"/>
      <c r="L2234" s="946" t="s">
        <v>4905</v>
      </c>
      <c r="M2234" s="911">
        <v>2</v>
      </c>
      <c r="N2234" s="935">
        <f>'11.900'!O387</f>
        <v>0</v>
      </c>
      <c r="O2234" s="935">
        <f>M2234*S2235*AND(W2235=TRUE,W2236=TRUE)</f>
        <v>0</v>
      </c>
      <c r="P2234" s="905"/>
      <c r="Q2234" s="905"/>
      <c r="R2234" s="905"/>
      <c r="S2234" s="905"/>
      <c r="T2234" s="905"/>
      <c r="U2234" s="991"/>
      <c r="V2234"/>
      <c r="W2234"/>
      <c r="X2234"/>
      <c r="Y2234"/>
      <c r="Z2234"/>
      <c r="AA2234"/>
      <c r="AC2234"/>
      <c r="AD2234"/>
      <c r="AE2234"/>
      <c r="AF2234"/>
      <c r="AG2234"/>
      <c r="AH2234"/>
      <c r="AI2234"/>
      <c r="AJ2234"/>
      <c r="AK2234"/>
      <c r="AL2234" s="1352" t="str">
        <f>SUBSTITUTE(SUBSTITUTE(SUBSTITUTE("vpa"&amp;$B2234&amp;$C2234&amp;$D2234&amp;$E2234,".","_"),"(","_"),")","")</f>
        <v>vpa905_3</v>
      </c>
      <c r="AM2234" s="1352">
        <f>M2234</f>
        <v>2</v>
      </c>
      <c r="AN2234" s="1352" t="str">
        <f>SUBSTITUTE(SUBSTITUTE(SUBSTITUTE("vpc"&amp;$B2234&amp;$C2234&amp;$D2234&amp;$E2234,".","_"),"(","_"),")","")</f>
        <v>vpc905_3</v>
      </c>
      <c r="AO2234" s="1352">
        <f>O2234</f>
        <v>0</v>
      </c>
      <c r="AP2234" s="1352"/>
      <c r="AQ2234" s="1352"/>
      <c r="AR2234" s="1352"/>
      <c r="AS2234" s="1352"/>
      <c r="AT2234"/>
    </row>
    <row r="2235" spans="1:60" ht="16" hidden="1" x14ac:dyDescent="0.2">
      <c r="A2235" s="1515">
        <v>9</v>
      </c>
      <c r="B2235" s="1516" t="s">
        <v>4918</v>
      </c>
      <c r="C2235" s="1511" t="s">
        <v>254</v>
      </c>
      <c r="D2235" s="1511"/>
      <c r="G2235" s="1509" t="str">
        <f t="shared" si="145"/>
        <v/>
      </c>
      <c r="H2235" s="1510" t="s">
        <v>3199</v>
      </c>
      <c r="I2235" s="589"/>
      <c r="J2235" s="1072" t="s">
        <v>254</v>
      </c>
      <c r="K2235" s="1118"/>
      <c r="L2235" s="923" t="s">
        <v>4906</v>
      </c>
      <c r="M2235" s="911"/>
      <c r="N2235" s="935"/>
      <c r="O2235" s="935"/>
      <c r="P2235" s="905" t="b">
        <v>0</v>
      </c>
      <c r="Q2235" s="905" t="b">
        <v>1</v>
      </c>
      <c r="R2235" s="905" t="b">
        <v>0</v>
      </c>
      <c r="S2235" s="905" t="b">
        <v>1</v>
      </c>
      <c r="T2235" s="905" t="b">
        <v>0</v>
      </c>
      <c r="U2235" s="905"/>
      <c r="V2235"/>
      <c r="W2235" s="27"/>
      <c r="X2235" s="1123"/>
      <c r="Y2235" s="1139" t="str">
        <f>IF(LEN('11.900'!X388)=0,"None",'11.900'!X388)</f>
        <v>None</v>
      </c>
      <c r="Z2235" s="1123"/>
      <c r="AA2235"/>
      <c r="AC2235"/>
      <c r="AD2235"/>
      <c r="AE2235"/>
      <c r="AF2235"/>
      <c r="AG2235"/>
      <c r="AH2235"/>
      <c r="AI2235"/>
      <c r="AJ2235"/>
      <c r="AK2235"/>
      <c r="AL2235" s="1352"/>
      <c r="AM2235" s="1352"/>
      <c r="AN2235" s="1352"/>
      <c r="AO2235" s="1352"/>
      <c r="AP2235" s="1352" t="str">
        <f>SUBSTITUTE(SUBSTITUTE(SUBSTITUTE("vch"&amp;$B2235&amp;$C2235&amp;$D2235&amp;$E2235,".","_"),"(","_"),")","")</f>
        <v>vch905_3_1</v>
      </c>
      <c r="AQ2235" s="1352" t="str">
        <f>IF(LEN(W2235)=0,"",W2235)</f>
        <v/>
      </c>
      <c r="AR2235" s="1352" t="str">
        <f>SUBSTITUTE(SUBSTITUTE(SUBSTITUTE("vnt"&amp;$B2235&amp;$C2235&amp;$D2235&amp;$E2235,".","_"),"(","_"),")","")</f>
        <v>vnt905_3_1</v>
      </c>
      <c r="AS2235" s="1352" t="str">
        <f>IF(LEN(X2235)=0,"",X2235)</f>
        <v/>
      </c>
      <c r="AT2235"/>
    </row>
    <row r="2236" spans="1:60" hidden="1" x14ac:dyDescent="0.2">
      <c r="A2236" s="1515">
        <v>9</v>
      </c>
      <c r="B2236" s="1516" t="s">
        <v>4918</v>
      </c>
      <c r="C2236" s="1511" t="s">
        <v>255</v>
      </c>
      <c r="D2236" s="1511"/>
      <c r="G2236" s="1509" t="str">
        <f t="shared" si="145"/>
        <v/>
      </c>
      <c r="H2236" s="1510" t="s">
        <v>3199</v>
      </c>
      <c r="I2236" s="590"/>
      <c r="J2236" s="1068" t="s">
        <v>255</v>
      </c>
      <c r="K2236" s="1111"/>
      <c r="L2236" s="1634" t="s">
        <v>4907</v>
      </c>
      <c r="M2236" s="913"/>
      <c r="N2236" s="991"/>
      <c r="O2236" s="991"/>
      <c r="P2236" s="991" t="b">
        <v>0</v>
      </c>
      <c r="Q2236" s="991" t="b">
        <v>1</v>
      </c>
      <c r="R2236" s="991" t="b">
        <v>0</v>
      </c>
      <c r="S2236" s="991" t="b">
        <v>1</v>
      </c>
      <c r="T2236" s="991" t="b">
        <v>0</v>
      </c>
      <c r="U2236" s="991"/>
      <c r="V2236"/>
      <c r="W2236" s="333"/>
      <c r="X2236" s="1601"/>
      <c r="Y2236" s="1881" t="str">
        <f>IF(LEN('11.900'!X389)=0,"None",'11.900'!X389)</f>
        <v>None</v>
      </c>
      <c r="Z2236" s="1600"/>
      <c r="AA2236"/>
      <c r="AC2236"/>
      <c r="AD2236"/>
      <c r="AE2236"/>
      <c r="AF2236"/>
      <c r="AG2236"/>
      <c r="AH2236"/>
      <c r="AI2236"/>
      <c r="AJ2236"/>
      <c r="AK2236"/>
      <c r="AL2236" s="1352"/>
      <c r="AM2236" s="1352"/>
      <c r="AN2236" s="1352"/>
      <c r="AO2236" s="1352"/>
      <c r="AP2236" s="1352" t="str">
        <f>SUBSTITUTE(SUBSTITUTE(SUBSTITUTE("vch"&amp;$B2236&amp;$C2236&amp;$D2236&amp;$E2236,".","_"),"(","_"),")","")</f>
        <v>vch905_3_2</v>
      </c>
      <c r="AQ2236" s="1352" t="str">
        <f>IF(LEN(W2236)=0,"",W2236)</f>
        <v/>
      </c>
      <c r="AR2236" s="1352" t="str">
        <f>SUBSTITUTE(SUBSTITUTE(SUBSTITUTE("vnt"&amp;$B2236&amp;$C2236&amp;$D2236&amp;$E2236,".","_"),"(","_"),")","")</f>
        <v>vnt905_3_2</v>
      </c>
      <c r="AS2236" s="1352" t="str">
        <f>IF(LEN(X2236)=0,"",X2236)</f>
        <v/>
      </c>
      <c r="AT2236"/>
    </row>
    <row r="2237" spans="1:60" ht="16" hidden="1" thickBot="1" x14ac:dyDescent="0.25">
      <c r="A2237" s="1515">
        <v>9</v>
      </c>
      <c r="B2237" s="1516" t="s">
        <v>4918</v>
      </c>
      <c r="C2237" s="1511" t="s">
        <v>255</v>
      </c>
      <c r="D2237" s="1511"/>
      <c r="G2237" s="1509" t="str">
        <f t="shared" si="145"/>
        <v/>
      </c>
      <c r="H2237" s="1510" t="s">
        <v>3199</v>
      </c>
      <c r="I2237" s="594"/>
      <c r="J2237" s="1069"/>
      <c r="K2237" s="1112"/>
      <c r="L2237" s="1635"/>
      <c r="M2237" s="914"/>
      <c r="N2237" s="100"/>
      <c r="O2237" s="100"/>
      <c r="P2237" s="100"/>
      <c r="Q2237" s="100"/>
      <c r="R2237" s="100"/>
      <c r="S2237" s="100"/>
      <c r="T2237" s="100"/>
      <c r="U2237" s="100"/>
      <c r="V2237"/>
      <c r="W2237" s="100"/>
      <c r="X2237" s="1602"/>
      <c r="Y2237" s="1882"/>
      <c r="Z2237" s="1602"/>
      <c r="AA2237"/>
      <c r="AC2237"/>
      <c r="AD2237"/>
      <c r="AE2237"/>
      <c r="AF2237"/>
      <c r="AG2237"/>
      <c r="AH2237"/>
      <c r="AI2237"/>
      <c r="AJ2237"/>
      <c r="AK2237"/>
      <c r="AL2237" s="1352"/>
      <c r="AM2237" s="1352"/>
      <c r="AN2237" s="1352"/>
      <c r="AO2237" s="1352"/>
      <c r="AP2237" s="1352"/>
      <c r="AQ2237" s="1352"/>
      <c r="AR2237" s="1352"/>
      <c r="AS2237" s="1352"/>
      <c r="AT2237"/>
    </row>
    <row r="2238" spans="1:60" ht="16" hidden="1" thickTop="1" x14ac:dyDescent="0.2">
      <c r="A2238" s="1515">
        <v>9</v>
      </c>
      <c r="B2238" s="1516" t="s">
        <v>4919</v>
      </c>
      <c r="C2238" s="1511"/>
      <c r="D2238" s="1511"/>
      <c r="G2238" s="1509" t="str">
        <f ca="1">IF(N2238&gt;0,"P","")</f>
        <v/>
      </c>
      <c r="H2238" s="1510" t="s">
        <v>3199</v>
      </c>
      <c r="I2238" s="589" t="s">
        <v>4908</v>
      </c>
      <c r="J2238" s="873"/>
      <c r="K2238" s="858"/>
      <c r="L2238" s="1687" t="s">
        <v>4909</v>
      </c>
      <c r="M2238" s="1628" t="s">
        <v>5074</v>
      </c>
      <c r="N2238" s="1682">
        <f ca="1">'11.900'!O391</f>
        <v>0</v>
      </c>
      <c r="O2238" s="1770">
        <f ca="1">IF(AY1866=INDEX(INDIRECT("ddSingleOrMulti"),2),4,1)*S2238*W2238</f>
        <v>0</v>
      </c>
      <c r="P2238" s="905" t="b">
        <v>0</v>
      </c>
      <c r="Q2238" s="905" t="b">
        <v>1</v>
      </c>
      <c r="R2238" s="905" t="b">
        <v>0</v>
      </c>
      <c r="S2238" s="905" t="b">
        <v>1</v>
      </c>
      <c r="T2238" s="905" t="b">
        <v>0</v>
      </c>
      <c r="U2238" s="905"/>
      <c r="V2238"/>
      <c r="W2238" s="119"/>
      <c r="X2238" s="1599"/>
      <c r="Y2238" s="1877" t="str">
        <f>IF(LEN('11.900'!X391)=0,"None",'11.900'!X391)</f>
        <v>None</v>
      </c>
      <c r="Z2238" s="1599"/>
      <c r="AA2238"/>
      <c r="AC2238"/>
      <c r="AD2238"/>
      <c r="AE2238"/>
      <c r="AF2238"/>
      <c r="AG2238"/>
      <c r="AH2238"/>
      <c r="AI2238"/>
      <c r="AJ2238"/>
      <c r="AK2238"/>
      <c r="AL2238" s="1352" t="str">
        <f>SUBSTITUTE(SUBSTITUTE(SUBSTITUTE("vpa"&amp;$B2238&amp;$C2238&amp;$D2238&amp;$E2238,".","_"),"(","_"),")","")</f>
        <v>vpa905_4</v>
      </c>
      <c r="AM2238" s="1352" t="str">
        <f>M2238</f>
        <v>1 SF / 4 MF</v>
      </c>
      <c r="AN2238" s="1352" t="str">
        <f>SUBSTITUTE(SUBSTITUTE(SUBSTITUTE("vpc"&amp;$B2238&amp;$C2238&amp;$D2238&amp;$E2238,".","_"),"(","_"),")","")</f>
        <v>vpc905_4</v>
      </c>
      <c r="AO2238" s="1352">
        <f ca="1">O2238</f>
        <v>0</v>
      </c>
      <c r="AP2238" s="1352" t="str">
        <f>SUBSTITUTE(SUBSTITUTE(SUBSTITUTE("vch"&amp;$B2238&amp;$C2238&amp;$D2238&amp;$E2238,".","_"),"(","_"),")","")</f>
        <v>vch905_4</v>
      </c>
      <c r="AQ2238" s="1352" t="str">
        <f>IF(LEN(W2238)=0,"",W2238)</f>
        <v/>
      </c>
      <c r="AR2238" s="1352" t="str">
        <f>SUBSTITUTE(SUBSTITUTE(SUBSTITUTE("vnt"&amp;$B2238&amp;$C2238&amp;$D2238&amp;$E2238,".","_"),"(","_"),")","")</f>
        <v>vnt905_4</v>
      </c>
      <c r="AS2238" s="1352" t="str">
        <f>IF(LEN(X2238)=0,"",X2238)</f>
        <v/>
      </c>
      <c r="AT2238"/>
    </row>
    <row r="2239" spans="1:60" hidden="1" x14ac:dyDescent="0.2">
      <c r="A2239" s="1515">
        <v>9</v>
      </c>
      <c r="B2239" s="1516" t="s">
        <v>4919</v>
      </c>
      <c r="C2239" s="1511"/>
      <c r="D2239" s="1511"/>
      <c r="G2239" s="1509" t="str">
        <f t="shared" ca="1" si="145"/>
        <v/>
      </c>
      <c r="H2239" s="1510" t="s">
        <v>3199</v>
      </c>
      <c r="I2239" s="589"/>
      <c r="J2239" s="873"/>
      <c r="K2239" s="858"/>
      <c r="L2239" s="1687"/>
      <c r="M2239" s="1628"/>
      <c r="N2239" s="1669"/>
      <c r="O2239" s="1644"/>
      <c r="P2239" s="905"/>
      <c r="Q2239" s="905"/>
      <c r="R2239" s="905"/>
      <c r="S2239" s="905"/>
      <c r="T2239" s="905"/>
      <c r="U2239" s="905"/>
      <c r="V2239"/>
      <c r="W2239"/>
      <c r="X2239" s="1600"/>
      <c r="Y2239" s="1874"/>
      <c r="Z2239" s="1600"/>
      <c r="AA2239"/>
      <c r="AC2239"/>
      <c r="AD2239"/>
      <c r="AE2239"/>
      <c r="AF2239"/>
      <c r="AG2239"/>
      <c r="AH2239"/>
      <c r="AI2239"/>
      <c r="AJ2239"/>
      <c r="AK2239"/>
      <c r="AL2239" s="1352"/>
      <c r="AM2239" s="1352"/>
      <c r="AN2239" s="1352"/>
      <c r="AO2239" s="1352"/>
      <c r="AP2239" s="1352"/>
      <c r="AQ2239" s="1352"/>
      <c r="AR2239" s="1352"/>
      <c r="AS2239" s="1352"/>
      <c r="AT2239"/>
    </row>
    <row r="2240" spans="1:60" hidden="1" x14ac:dyDescent="0.2">
      <c r="A2240" s="1515">
        <v>9</v>
      </c>
      <c r="B2240" s="1516" t="s">
        <v>4919</v>
      </c>
      <c r="C2240" s="1511"/>
      <c r="D2240" s="1511"/>
      <c r="G2240" s="1509" t="str">
        <f t="shared" ca="1" si="145"/>
        <v/>
      </c>
      <c r="H2240" s="1510" t="s">
        <v>3199</v>
      </c>
      <c r="I2240" s="589"/>
      <c r="J2240" s="873"/>
      <c r="K2240" s="858"/>
      <c r="L2240" s="1687"/>
      <c r="M2240" s="1628"/>
      <c r="N2240" s="1669"/>
      <c r="O2240" s="1644"/>
      <c r="P2240" s="905"/>
      <c r="Q2240" s="905"/>
      <c r="R2240" s="905"/>
      <c r="S2240" s="905"/>
      <c r="T2240" s="905"/>
      <c r="U2240" s="905"/>
      <c r="V2240"/>
      <c r="W2240"/>
      <c r="X2240" s="1600"/>
      <c r="Y2240" s="1874"/>
      <c r="Z2240" s="1600"/>
      <c r="AA2240"/>
      <c r="AC2240"/>
      <c r="AD2240"/>
      <c r="AE2240"/>
      <c r="AF2240"/>
      <c r="AG2240"/>
      <c r="AH2240"/>
      <c r="AI2240"/>
      <c r="AJ2240"/>
      <c r="AK2240"/>
      <c r="AL2240" s="1352"/>
      <c r="AM2240" s="1352"/>
      <c r="AN2240" s="1352"/>
      <c r="AO2240" s="1352"/>
      <c r="AP2240" s="1352"/>
      <c r="AQ2240" s="1352"/>
      <c r="AR2240" s="1352"/>
      <c r="AS2240" s="1352"/>
      <c r="AT2240"/>
    </row>
    <row r="2241" spans="1:60" hidden="1" x14ac:dyDescent="0.2">
      <c r="A2241" s="1515">
        <v>9</v>
      </c>
      <c r="B2241" s="1516" t="s">
        <v>4919</v>
      </c>
      <c r="C2241" s="1511"/>
      <c r="D2241" s="1511"/>
      <c r="G2241" s="1509" t="str">
        <f t="shared" ca="1" si="145"/>
        <v/>
      </c>
      <c r="H2241" s="1510" t="s">
        <v>3199</v>
      </c>
      <c r="I2241" s="589"/>
      <c r="J2241" s="873"/>
      <c r="K2241" s="858"/>
      <c r="L2241" s="1245" t="s">
        <v>5075</v>
      </c>
      <c r="M2241" s="911"/>
      <c r="N2241" s="905"/>
      <c r="O2241" s="905"/>
      <c r="P2241" s="905"/>
      <c r="Q2241" s="905"/>
      <c r="R2241" s="905"/>
      <c r="S2241" s="905"/>
      <c r="T2241" s="905"/>
      <c r="U2241" s="905"/>
      <c r="V2241"/>
      <c r="W2241"/>
      <c r="X2241" s="1122"/>
      <c r="Y2241"/>
      <c r="Z2241" s="1122"/>
      <c r="AA2241"/>
      <c r="AC2241"/>
      <c r="AD2241"/>
      <c r="AE2241"/>
      <c r="AF2241"/>
      <c r="AG2241"/>
      <c r="AH2241"/>
      <c r="AI2241"/>
      <c r="AJ2241"/>
      <c r="AK2241"/>
      <c r="AL2241" s="1352"/>
      <c r="AM2241" s="1352"/>
      <c r="AN2241" s="1352"/>
      <c r="AO2241" s="1352"/>
      <c r="AP2241" s="1352"/>
      <c r="AQ2241" s="1352"/>
      <c r="AR2241" s="1352"/>
      <c r="AS2241" s="1352"/>
      <c r="AT2241"/>
    </row>
    <row r="2242" spans="1:60" ht="16" hidden="1" thickBot="1" x14ac:dyDescent="0.25">
      <c r="A2242" s="1515">
        <v>9</v>
      </c>
      <c r="B2242" s="1516" t="s">
        <v>4919</v>
      </c>
      <c r="C2242" s="1511"/>
      <c r="D2242" s="1511"/>
      <c r="G2242" s="1509" t="str">
        <f t="shared" ca="1" si="145"/>
        <v/>
      </c>
      <c r="H2242" s="1510" t="s">
        <v>3199</v>
      </c>
      <c r="I2242" s="594"/>
      <c r="J2242" s="1069"/>
      <c r="K2242" s="1112"/>
      <c r="L2242" s="1246" t="s">
        <v>5076</v>
      </c>
      <c r="M2242" s="914"/>
      <c r="N2242" s="100"/>
      <c r="O2242" s="100"/>
      <c r="P2242" s="100"/>
      <c r="Q2242" s="100"/>
      <c r="R2242" s="100"/>
      <c r="S2242" s="100"/>
      <c r="T2242" s="100"/>
      <c r="U2242" s="100"/>
      <c r="V2242"/>
      <c r="W2242" s="100"/>
      <c r="X2242" s="100"/>
      <c r="Y2242" s="100"/>
      <c r="Z2242" s="100"/>
      <c r="AA2242"/>
      <c r="AC2242"/>
      <c r="AD2242"/>
      <c r="AE2242"/>
      <c r="AF2242"/>
      <c r="AG2242"/>
      <c r="AH2242"/>
      <c r="AI2242"/>
      <c r="AJ2242"/>
      <c r="AK2242"/>
      <c r="AL2242" s="1352"/>
      <c r="AM2242" s="1352"/>
      <c r="AN2242" s="1352"/>
      <c r="AO2242" s="1352"/>
      <c r="AP2242" s="1352"/>
      <c r="AQ2242" s="1352"/>
      <c r="AR2242" s="1352"/>
      <c r="AS2242" s="1352"/>
      <c r="AT2242"/>
    </row>
    <row r="2243" spans="1:60" ht="16" hidden="1" thickTop="1" x14ac:dyDescent="0.2">
      <c r="A2243" s="1515">
        <v>9</v>
      </c>
      <c r="B2243" s="1516" t="s">
        <v>4920</v>
      </c>
      <c r="C2243" s="1511"/>
      <c r="D2243" s="1511"/>
      <c r="G2243" s="1509" t="str">
        <f>IF(N2243&gt;0,"P","")</f>
        <v/>
      </c>
      <c r="H2243" s="1510" t="s">
        <v>3199</v>
      </c>
      <c r="I2243" s="603" t="s">
        <v>4910</v>
      </c>
      <c r="J2243" s="1070"/>
      <c r="K2243" s="1119"/>
      <c r="L2243" s="1740" t="s">
        <v>4911</v>
      </c>
      <c r="M2243" s="1685">
        <v>2</v>
      </c>
      <c r="N2243" s="1682">
        <f>'11.900'!O396</f>
        <v>0</v>
      </c>
      <c r="O2243" s="1770">
        <f>M2243*S2243*W2243</f>
        <v>0</v>
      </c>
      <c r="P2243" s="106" t="b">
        <v>0</v>
      </c>
      <c r="Q2243" s="106" t="b">
        <v>1</v>
      </c>
      <c r="R2243" s="106" t="b">
        <v>0</v>
      </c>
      <c r="S2243" s="106" t="b">
        <v>1</v>
      </c>
      <c r="T2243" s="106" t="b">
        <v>0</v>
      </c>
      <c r="U2243" s="106"/>
      <c r="V2243"/>
      <c r="W2243" s="334"/>
      <c r="X2243" s="1603"/>
      <c r="Y2243" s="1883" t="str">
        <f>IF(LEN('11.900'!X396)=0,"None",'11.900'!X396)</f>
        <v>None</v>
      </c>
      <c r="Z2243" s="1603"/>
      <c r="AA2243"/>
      <c r="AC2243"/>
      <c r="AD2243"/>
      <c r="AE2243"/>
      <c r="AF2243"/>
      <c r="AG2243"/>
      <c r="AH2243"/>
      <c r="AI2243"/>
      <c r="AJ2243"/>
      <c r="AK2243"/>
      <c r="AL2243" s="1352" t="str">
        <f>SUBSTITUTE(SUBSTITUTE(SUBSTITUTE("vpa"&amp;$B2243&amp;$C2243&amp;$D2243&amp;$E2243,".","_"),"(","_"),")","")</f>
        <v>vpa905_5</v>
      </c>
      <c r="AM2243" s="1352">
        <f>M2243</f>
        <v>2</v>
      </c>
      <c r="AN2243" s="1352" t="str">
        <f>SUBSTITUTE(SUBSTITUTE(SUBSTITUTE("vpc"&amp;$B2243&amp;$C2243&amp;$D2243&amp;$E2243,".","_"),"(","_"),")","")</f>
        <v>vpc905_5</v>
      </c>
      <c r="AO2243" s="1352">
        <f>O2243</f>
        <v>0</v>
      </c>
      <c r="AP2243" s="1352" t="str">
        <f>SUBSTITUTE(SUBSTITUTE(SUBSTITUTE("vch"&amp;$B2243&amp;$C2243&amp;$D2243&amp;$E2243,".","_"),"(","_"),")","")</f>
        <v>vch905_5</v>
      </c>
      <c r="AQ2243" s="1352" t="str">
        <f>IF(LEN(W2243)=0,"",W2243)</f>
        <v/>
      </c>
      <c r="AR2243" s="1352" t="str">
        <f>SUBSTITUTE(SUBSTITUTE(SUBSTITUTE("vnt"&amp;$B2243&amp;$C2243&amp;$D2243&amp;$E2243,".","_"),"(","_"),")","")</f>
        <v>vnt905_5</v>
      </c>
      <c r="AS2243" s="1352" t="str">
        <f>IF(LEN(X2243)=0,"",X2243)</f>
        <v/>
      </c>
      <c r="AT2243"/>
    </row>
    <row r="2244" spans="1:60" hidden="1" x14ac:dyDescent="0.2">
      <c r="A2244" s="1515">
        <v>9</v>
      </c>
      <c r="B2244" s="1516" t="s">
        <v>4920</v>
      </c>
      <c r="C2244" s="1511"/>
      <c r="D2244" s="1511"/>
      <c r="G2244" s="1509" t="str">
        <f t="shared" si="145"/>
        <v/>
      </c>
      <c r="H2244" s="1510" t="s">
        <v>3199</v>
      </c>
      <c r="I2244" s="590"/>
      <c r="J2244" s="1068"/>
      <c r="K2244" s="1111"/>
      <c r="L2244" s="1687"/>
      <c r="M2244" s="1623"/>
      <c r="N2244" s="1619"/>
      <c r="O2244" s="1755"/>
      <c r="P2244" s="991"/>
      <c r="Q2244" s="991"/>
      <c r="R2244" s="991"/>
      <c r="S2244" s="991"/>
      <c r="T2244" s="991"/>
      <c r="U2244" s="991"/>
      <c r="V2244"/>
      <c r="W2244" s="1135"/>
      <c r="X2244" s="1601"/>
      <c r="Y2244" s="1881"/>
      <c r="Z2244" s="1600"/>
      <c r="AA2244"/>
      <c r="AC2244"/>
      <c r="AD2244"/>
      <c r="AE2244"/>
      <c r="AF2244"/>
      <c r="AG2244"/>
      <c r="AH2244"/>
      <c r="AI2244"/>
      <c r="AJ2244"/>
      <c r="AK2244"/>
      <c r="AL2244" s="1352"/>
      <c r="AM2244" s="1352"/>
      <c r="AN2244" s="1352"/>
      <c r="AO2244" s="1352"/>
      <c r="AP2244" s="1352"/>
      <c r="AQ2244" s="1352"/>
      <c r="AR2244" s="1352"/>
      <c r="AS2244" s="1352"/>
      <c r="AT2244"/>
    </row>
    <row r="2245" spans="1:60" hidden="1" x14ac:dyDescent="0.2">
      <c r="A2245" s="1515">
        <v>9</v>
      </c>
      <c r="B2245" s="1516" t="s">
        <v>4920</v>
      </c>
      <c r="C2245" s="1511"/>
      <c r="D2245" s="1511"/>
      <c r="G2245" s="1509" t="str">
        <f t="shared" si="145"/>
        <v/>
      </c>
      <c r="H2245" s="1510" t="s">
        <v>3199</v>
      </c>
      <c r="I2245" s="590"/>
      <c r="J2245" s="1068"/>
      <c r="K2245" s="1111"/>
      <c r="L2245" s="1687"/>
      <c r="M2245" s="1623"/>
      <c r="N2245" s="1619"/>
      <c r="O2245" s="1755"/>
      <c r="P2245" s="991"/>
      <c r="Q2245" s="991"/>
      <c r="R2245" s="991"/>
      <c r="S2245" s="991"/>
      <c r="T2245" s="991"/>
      <c r="U2245" s="991"/>
      <c r="V2245"/>
      <c r="W2245" s="1135"/>
      <c r="X2245" s="1601"/>
      <c r="Y2245" s="1881"/>
      <c r="Z2245" s="1600"/>
      <c r="AA2245"/>
      <c r="AC2245"/>
      <c r="AD2245"/>
      <c r="AE2245"/>
      <c r="AF2245"/>
      <c r="AG2245"/>
      <c r="AH2245"/>
      <c r="AI2245"/>
      <c r="AJ2245"/>
      <c r="AK2245"/>
      <c r="AL2245" s="1352"/>
      <c r="AM2245" s="1352"/>
      <c r="AN2245" s="1352"/>
      <c r="AO2245" s="1352"/>
      <c r="AP2245" s="1352"/>
      <c r="AQ2245" s="1352"/>
      <c r="AR2245" s="1352"/>
      <c r="AS2245" s="1352"/>
      <c r="AT2245"/>
    </row>
    <row r="2246" spans="1:60" ht="16" hidden="1" thickBot="1" x14ac:dyDescent="0.25">
      <c r="A2246" s="1515">
        <v>9</v>
      </c>
      <c r="B2246" s="1516" t="s">
        <v>4920</v>
      </c>
      <c r="C2246" s="1511"/>
      <c r="D2246" s="1511"/>
      <c r="G2246" s="1509" t="str">
        <f t="shared" si="145"/>
        <v/>
      </c>
      <c r="H2246" s="1510" t="s">
        <v>3199</v>
      </c>
      <c r="I2246" s="594"/>
      <c r="J2246" s="1069"/>
      <c r="K2246" s="1112"/>
      <c r="L2246" s="1738"/>
      <c r="M2246" s="1627"/>
      <c r="N2246" s="1638"/>
      <c r="O2246" s="1645"/>
      <c r="P2246" s="100"/>
      <c r="Q2246" s="100"/>
      <c r="R2246" s="100"/>
      <c r="S2246" s="100"/>
      <c r="T2246" s="100"/>
      <c r="U2246" s="100"/>
      <c r="V2246"/>
      <c r="W2246" s="100"/>
      <c r="X2246" s="1602"/>
      <c r="Y2246" s="1882"/>
      <c r="Z2246" s="1602"/>
      <c r="AA2246"/>
      <c r="AC2246"/>
      <c r="AD2246"/>
      <c r="AE2246"/>
      <c r="AF2246"/>
      <c r="AG2246"/>
      <c r="AH2246"/>
      <c r="AI2246"/>
      <c r="AJ2246"/>
      <c r="AK2246"/>
      <c r="AL2246" s="1352"/>
      <c r="AM2246" s="1352"/>
      <c r="AN2246" s="1352"/>
      <c r="AO2246" s="1352"/>
      <c r="AP2246" s="1352"/>
      <c r="AQ2246" s="1352"/>
      <c r="AR2246" s="1352"/>
      <c r="AS2246" s="1352"/>
      <c r="AT2246"/>
    </row>
    <row r="2247" spans="1:60" ht="16" hidden="1" thickTop="1" x14ac:dyDescent="0.2">
      <c r="A2247" s="1515">
        <v>9</v>
      </c>
      <c r="B2247" s="1516" t="s">
        <v>4921</v>
      </c>
      <c r="C2247" s="1511"/>
      <c r="D2247" s="1511"/>
      <c r="G2247" s="1509" t="str">
        <f ca="1">IF(N2247&gt;0,"P","")</f>
        <v/>
      </c>
      <c r="H2247" s="1510" t="s">
        <v>3198</v>
      </c>
      <c r="I2247" s="589" t="s">
        <v>4912</v>
      </c>
      <c r="J2247" s="873"/>
      <c r="K2247" s="858"/>
      <c r="L2247" s="1687" t="s">
        <v>4913</v>
      </c>
      <c r="M2247" s="1628" t="s">
        <v>4914</v>
      </c>
      <c r="N2247" s="1682">
        <f ca="1">'11.900'!O400</f>
        <v>0</v>
      </c>
      <c r="O2247" s="1619">
        <f ca="1">IFERROR(INDEX({1,3,3},MATCH(W2247,INDIRECT(U2247),0)),0)*S2247</f>
        <v>0</v>
      </c>
      <c r="P2247" s="905" t="b">
        <v>1</v>
      </c>
      <c r="Q2247" s="905" t="b">
        <v>0</v>
      </c>
      <c r="R2247" s="905" t="b">
        <v>0</v>
      </c>
      <c r="S2247" s="905" t="b">
        <v>1</v>
      </c>
      <c r="T2247" s="905" t="b">
        <v>0</v>
      </c>
      <c r="U2247" s="991" t="str">
        <f>SUBSTITUTE(SUBSTITUTE(SUBSTITUTE("dd"&amp;B2247&amp;C2247&amp;D2247&amp;E2247&amp;F2247,".","_"),"(","_"),")","")</f>
        <v>dd905_6</v>
      </c>
      <c r="V2247"/>
      <c r="W2247" s="269"/>
      <c r="X2247" s="1599"/>
      <c r="Y2247" s="1877" t="str">
        <f>IF(LEN('11.900'!X400)=0,"None",'11.900'!X400)</f>
        <v>None</v>
      </c>
      <c r="Z2247" s="1599"/>
      <c r="AA2247"/>
      <c r="AC2247"/>
      <c r="AD2247"/>
      <c r="AE2247"/>
      <c r="AF2247"/>
      <c r="AG2247"/>
      <c r="AH2247"/>
      <c r="AI2247"/>
      <c r="AJ2247"/>
      <c r="AK2247"/>
      <c r="AL2247" s="1352" t="str">
        <f>SUBSTITUTE(SUBSTITUTE(SUBSTITUTE("vpa"&amp;$B2247&amp;$C2247&amp;$D2247&amp;$E2247,".","_"),"(","_"),")","")</f>
        <v>vpa905_6</v>
      </c>
      <c r="AM2247" s="1352" t="str">
        <f>M2247</f>
        <v>3 max</v>
      </c>
      <c r="AN2247" s="1352" t="str">
        <f>SUBSTITUTE(SUBSTITUTE(SUBSTITUTE("vpc"&amp;$B2247&amp;$C2247&amp;$D2247&amp;$E2247,".","_"),"(","_"),")","")</f>
        <v>vpc905_6</v>
      </c>
      <c r="AO2247" s="1352">
        <f ca="1">O2247</f>
        <v>0</v>
      </c>
      <c r="AP2247" s="1352" t="str">
        <f>SUBSTITUTE(SUBSTITUTE(SUBSTITUTE("vch"&amp;$B2247&amp;$C2247&amp;$D2247&amp;$E2247,".","_"),"(","_"),")","")</f>
        <v>vch905_6</v>
      </c>
      <c r="AQ2247" s="1352" t="str">
        <f>IF(LEN(W2247)=0,"",W2247)</f>
        <v/>
      </c>
      <c r="AR2247" s="1352" t="str">
        <f>SUBSTITUTE(SUBSTITUTE(SUBSTITUTE("vnt"&amp;$B2247&amp;$C2247&amp;$D2247&amp;$E2247,".","_"),"(","_"),")","")</f>
        <v>vnt905_6</v>
      </c>
      <c r="AS2247" s="1352" t="str">
        <f>IF(LEN(X2247)=0,"",X2247)</f>
        <v/>
      </c>
      <c r="AT2247"/>
    </row>
    <row r="2248" spans="1:60" hidden="1" x14ac:dyDescent="0.2">
      <c r="A2248" s="1515">
        <v>9</v>
      </c>
      <c r="B2248" s="1516" t="s">
        <v>4921</v>
      </c>
      <c r="C2248" s="1511"/>
      <c r="D2248" s="1511"/>
      <c r="G2248" s="1509" t="str">
        <f t="shared" ref="G2248:G2255" ca="1" si="146">G2247</f>
        <v/>
      </c>
      <c r="H2248" s="1510" t="s">
        <v>3198</v>
      </c>
      <c r="I2248" s="589"/>
      <c r="J2248" s="873"/>
      <c r="K2248" s="858"/>
      <c r="L2248" s="1687"/>
      <c r="M2248" s="1628"/>
      <c r="N2248" s="1619"/>
      <c r="O2248" s="1619"/>
      <c r="P2248" s="905"/>
      <c r="Q2248" s="905"/>
      <c r="R2248" s="905"/>
      <c r="S2248" s="905"/>
      <c r="T2248" s="905"/>
      <c r="U2248" s="905"/>
      <c r="V2248"/>
      <c r="W2248"/>
      <c r="X2248" s="1600"/>
      <c r="Y2248" s="1874"/>
      <c r="Z2248" s="1600"/>
      <c r="AA2248"/>
      <c r="AC2248"/>
      <c r="AD2248"/>
      <c r="AE2248"/>
      <c r="AF2248"/>
      <c r="AG2248"/>
      <c r="AH2248"/>
      <c r="AI2248"/>
      <c r="AJ2248"/>
      <c r="AK2248"/>
      <c r="AL2248" s="1352"/>
      <c r="AM2248" s="1352"/>
      <c r="AN2248" s="1352"/>
      <c r="AO2248" s="1352"/>
      <c r="AP2248" s="1352"/>
      <c r="AQ2248" s="1352"/>
      <c r="AR2248" s="1352"/>
      <c r="AS2248" s="1352"/>
      <c r="AT2248"/>
    </row>
    <row r="2249" spans="1:60" hidden="1" x14ac:dyDescent="0.2">
      <c r="A2249" s="1515">
        <v>9</v>
      </c>
      <c r="B2249" s="1516" t="s">
        <v>4921</v>
      </c>
      <c r="C2249" s="1511" t="s">
        <v>254</v>
      </c>
      <c r="D2249" s="1511"/>
      <c r="G2249" s="1509" t="str">
        <f t="shared" ca="1" si="146"/>
        <v/>
      </c>
      <c r="H2249" s="1510" t="s">
        <v>3198</v>
      </c>
      <c r="I2249" s="589"/>
      <c r="J2249" s="1068" t="s">
        <v>254</v>
      </c>
      <c r="K2249" s="1111"/>
      <c r="L2249" s="1634" t="s">
        <v>4915</v>
      </c>
      <c r="M2249" s="1623">
        <v>1</v>
      </c>
      <c r="N2249" s="935"/>
      <c r="O2249" s="905"/>
      <c r="P2249" s="905"/>
      <c r="Q2249" s="905"/>
      <c r="R2249" s="905"/>
      <c r="S2249" s="905"/>
      <c r="T2249" s="905"/>
      <c r="U2249" s="905"/>
      <c r="V2249"/>
      <c r="W2249"/>
      <c r="X2249" s="1600"/>
      <c r="Y2249" s="1874"/>
      <c r="Z2249" s="1600"/>
      <c r="AA2249"/>
      <c r="AC2249"/>
      <c r="AD2249"/>
      <c r="AE2249"/>
      <c r="AF2249"/>
      <c r="AG2249"/>
      <c r="AH2249"/>
      <c r="AI2249"/>
      <c r="AJ2249"/>
      <c r="AK2249"/>
      <c r="AL2249" s="1352" t="str">
        <f>SUBSTITUTE(SUBSTITUTE(SUBSTITUTE("vpa"&amp;$B2249&amp;$C2249&amp;$D2249&amp;$E2249,".","_"),"(","_"),")","")</f>
        <v>vpa905_6_1</v>
      </c>
      <c r="AM2249" s="1352">
        <f>M2249</f>
        <v>1</v>
      </c>
      <c r="AN2249" s="1352"/>
      <c r="AO2249" s="1352"/>
      <c r="AP2249" s="1352"/>
      <c r="AQ2249" s="1352"/>
      <c r="AR2249" s="1352"/>
      <c r="AS2249" s="1352"/>
      <c r="AT2249"/>
    </row>
    <row r="2250" spans="1:60" hidden="1" x14ac:dyDescent="0.2">
      <c r="A2250" s="1515">
        <v>9</v>
      </c>
      <c r="B2250" s="1516" t="s">
        <v>4921</v>
      </c>
      <c r="C2250" s="1511" t="s">
        <v>254</v>
      </c>
      <c r="D2250" s="1511"/>
      <c r="G2250" s="1509" t="str">
        <f t="shared" ca="1" si="146"/>
        <v/>
      </c>
      <c r="H2250" s="1510" t="s">
        <v>3198</v>
      </c>
      <c r="I2250" s="589"/>
      <c r="J2250" s="1072"/>
      <c r="K2250" s="1118"/>
      <c r="L2250" s="1639"/>
      <c r="M2250" s="1624"/>
      <c r="N2250" s="905"/>
      <c r="O2250" s="905"/>
      <c r="P2250" s="905"/>
      <c r="Q2250" s="905"/>
      <c r="R2250" s="905"/>
      <c r="S2250" s="905"/>
      <c r="T2250" s="905"/>
      <c r="U2250" s="905"/>
      <c r="V2250"/>
      <c r="W2250"/>
      <c r="X2250" s="1600"/>
      <c r="Y2250" s="1874"/>
      <c r="Z2250" s="1600"/>
      <c r="AA2250"/>
      <c r="AC2250"/>
      <c r="AD2250"/>
      <c r="AE2250"/>
      <c r="AF2250"/>
      <c r="AG2250"/>
      <c r="AH2250"/>
      <c r="AI2250"/>
      <c r="AJ2250"/>
      <c r="AK2250"/>
      <c r="AL2250" s="1352"/>
      <c r="AM2250" s="1352"/>
      <c r="AN2250" s="1352"/>
      <c r="AO2250" s="1352"/>
      <c r="AP2250" s="1352"/>
      <c r="AQ2250" s="1352"/>
      <c r="AR2250" s="1352"/>
      <c r="AS2250" s="1352"/>
      <c r="AT2250"/>
    </row>
    <row r="2251" spans="1:60" hidden="1" x14ac:dyDescent="0.2">
      <c r="A2251" s="1515">
        <v>9</v>
      </c>
      <c r="B2251" s="1516" t="s">
        <v>4921</v>
      </c>
      <c r="C2251" s="1511" t="s">
        <v>255</v>
      </c>
      <c r="D2251" s="1511"/>
      <c r="G2251" s="1509" t="str">
        <f t="shared" ca="1" si="146"/>
        <v/>
      </c>
      <c r="H2251" s="1510" t="s">
        <v>3198</v>
      </c>
      <c r="I2251" s="589"/>
      <c r="J2251" s="1073" t="s">
        <v>255</v>
      </c>
      <c r="K2251" s="1120"/>
      <c r="L2251" s="1633" t="s">
        <v>4916</v>
      </c>
      <c r="M2251" s="1636">
        <v>3</v>
      </c>
      <c r="N2251" s="905"/>
      <c r="O2251" s="905"/>
      <c r="P2251" s="905"/>
      <c r="Q2251" s="905"/>
      <c r="R2251" s="905"/>
      <c r="S2251" s="905"/>
      <c r="T2251" s="905"/>
      <c r="U2251" s="905"/>
      <c r="V2251"/>
      <c r="W2251"/>
      <c r="X2251" s="1600"/>
      <c r="Y2251" s="1874"/>
      <c r="Z2251" s="1600"/>
      <c r="AA2251"/>
      <c r="AC2251"/>
      <c r="AD2251"/>
      <c r="AE2251"/>
      <c r="AF2251"/>
      <c r="AG2251"/>
      <c r="AH2251"/>
      <c r="AI2251"/>
      <c r="AJ2251"/>
      <c r="AK2251"/>
      <c r="AL2251" s="1352" t="str">
        <f>SUBSTITUTE(SUBSTITUTE(SUBSTITUTE("vpa"&amp;$B2251&amp;$C2251&amp;$D2251&amp;$E2251,".","_"),"(","_"),")","")</f>
        <v>vpa905_6_2</v>
      </c>
      <c r="AM2251" s="1352">
        <f>M2251</f>
        <v>3</v>
      </c>
      <c r="AN2251" s="1352"/>
      <c r="AO2251" s="1352"/>
      <c r="AP2251" s="1352"/>
      <c r="AQ2251" s="1352"/>
      <c r="AR2251" s="1352"/>
      <c r="AS2251" s="1352"/>
      <c r="AT2251"/>
    </row>
    <row r="2252" spans="1:60" hidden="1" x14ac:dyDescent="0.2">
      <c r="A2252" s="1515">
        <v>9</v>
      </c>
      <c r="B2252" s="1516" t="s">
        <v>4921</v>
      </c>
      <c r="C2252" s="1511" t="s">
        <v>255</v>
      </c>
      <c r="D2252" s="1511"/>
      <c r="G2252" s="1509" t="str">
        <f t="shared" ca="1" si="146"/>
        <v/>
      </c>
      <c r="H2252" s="1510" t="s">
        <v>3198</v>
      </c>
      <c r="I2252" s="589"/>
      <c r="J2252" s="1068"/>
      <c r="K2252" s="1111"/>
      <c r="L2252" s="1634"/>
      <c r="M2252" s="1623"/>
      <c r="N2252" s="905"/>
      <c r="O2252" s="905"/>
      <c r="P2252" s="905"/>
      <c r="Q2252" s="905"/>
      <c r="R2252" s="905"/>
      <c r="S2252" s="905"/>
      <c r="T2252" s="905"/>
      <c r="U2252" s="905"/>
      <c r="V2252"/>
      <c r="W2252"/>
      <c r="X2252" s="1600"/>
      <c r="Y2252" s="1874"/>
      <c r="Z2252" s="1600"/>
      <c r="AA2252"/>
      <c r="AC2252"/>
      <c r="AD2252"/>
      <c r="AE2252"/>
      <c r="AF2252"/>
      <c r="AG2252"/>
      <c r="AH2252"/>
      <c r="AI2252"/>
      <c r="AJ2252"/>
      <c r="AK2252"/>
      <c r="AL2252" s="1352"/>
      <c r="AM2252" s="1352"/>
      <c r="AN2252" s="1352"/>
      <c r="AO2252" s="1352"/>
      <c r="AP2252" s="1352"/>
      <c r="AQ2252" s="1352"/>
      <c r="AR2252" s="1352"/>
      <c r="AS2252" s="1352"/>
      <c r="AT2252"/>
    </row>
    <row r="2253" spans="1:60" hidden="1" x14ac:dyDescent="0.2">
      <c r="A2253" s="1515">
        <v>9</v>
      </c>
      <c r="B2253" s="1516" t="s">
        <v>4921</v>
      </c>
      <c r="C2253" s="1511" t="s">
        <v>255</v>
      </c>
      <c r="D2253" s="1511"/>
      <c r="G2253" s="1509" t="str">
        <f t="shared" ca="1" si="146"/>
        <v/>
      </c>
      <c r="H2253" s="1510" t="s">
        <v>3198</v>
      </c>
      <c r="I2253" s="589"/>
      <c r="J2253" s="1072"/>
      <c r="K2253" s="1118"/>
      <c r="L2253" s="1639"/>
      <c r="M2253" s="1624"/>
      <c r="N2253" s="905"/>
      <c r="O2253" s="905"/>
      <c r="P2253" s="905"/>
      <c r="Q2253" s="905"/>
      <c r="R2253" s="905"/>
      <c r="S2253" s="905"/>
      <c r="T2253" s="905"/>
      <c r="U2253" s="905"/>
      <c r="V2253"/>
      <c r="W2253"/>
      <c r="X2253" s="1600"/>
      <c r="Y2253" s="1874"/>
      <c r="Z2253" s="1600"/>
      <c r="AA2253"/>
      <c r="AC2253"/>
      <c r="AD2253"/>
      <c r="AE2253"/>
      <c r="AF2253"/>
      <c r="AG2253"/>
      <c r="AH2253"/>
      <c r="AI2253"/>
      <c r="AJ2253"/>
      <c r="AK2253"/>
      <c r="AL2253" s="1352"/>
      <c r="AM2253" s="1352"/>
      <c r="AN2253" s="1352"/>
      <c r="AO2253" s="1352"/>
      <c r="AP2253" s="1352"/>
      <c r="AQ2253" s="1352"/>
      <c r="AR2253" s="1352"/>
      <c r="AS2253" s="1352"/>
      <c r="AT2253"/>
    </row>
    <row r="2254" spans="1:60" hidden="1" x14ac:dyDescent="0.2">
      <c r="A2254" s="1515">
        <v>9</v>
      </c>
      <c r="B2254" s="1516" t="s">
        <v>4921</v>
      </c>
      <c r="C2254" s="1511" t="s">
        <v>256</v>
      </c>
      <c r="D2254" s="1511"/>
      <c r="G2254" s="1509" t="str">
        <f t="shared" ca="1" si="146"/>
        <v/>
      </c>
      <c r="H2254" s="1510" t="s">
        <v>3198</v>
      </c>
      <c r="I2254" s="589"/>
      <c r="J2254" s="873" t="s">
        <v>256</v>
      </c>
      <c r="K2254" s="858"/>
      <c r="L2254" s="1634" t="s">
        <v>4917</v>
      </c>
      <c r="M2254" s="1636">
        <v>3</v>
      </c>
      <c r="N2254" s="905"/>
      <c r="O2254" s="905"/>
      <c r="P2254" s="905"/>
      <c r="Q2254" s="905"/>
      <c r="R2254" s="905"/>
      <c r="S2254" s="905"/>
      <c r="T2254" s="905"/>
      <c r="U2254" s="905"/>
      <c r="V2254"/>
      <c r="W2254"/>
      <c r="X2254" s="1600"/>
      <c r="Y2254" s="1874"/>
      <c r="Z2254" s="1600"/>
      <c r="AA2254"/>
      <c r="AC2254"/>
      <c r="AD2254"/>
      <c r="AE2254"/>
      <c r="AF2254"/>
      <c r="AG2254"/>
      <c r="AH2254"/>
      <c r="AI2254"/>
      <c r="AJ2254"/>
      <c r="AK2254"/>
      <c r="AL2254" s="1352" t="str">
        <f>SUBSTITUTE(SUBSTITUTE(SUBSTITUTE("vpa"&amp;$B2254&amp;$C2254&amp;$D2254&amp;$E2254,".","_"),"(","_"),")","")</f>
        <v>vpa905_6_3</v>
      </c>
      <c r="AM2254" s="1352">
        <f>M2254</f>
        <v>3</v>
      </c>
      <c r="AN2254" s="1352"/>
      <c r="AO2254" s="1352"/>
      <c r="AP2254" s="1352"/>
      <c r="AQ2254" s="1352"/>
      <c r="AR2254" s="1352"/>
      <c r="AS2254" s="1352"/>
      <c r="AT2254"/>
    </row>
    <row r="2255" spans="1:60" hidden="1" x14ac:dyDescent="0.2">
      <c r="A2255" s="1515">
        <v>9</v>
      </c>
      <c r="B2255" s="1516" t="s">
        <v>4921</v>
      </c>
      <c r="C2255" s="1511" t="s">
        <v>256</v>
      </c>
      <c r="G2255" s="1509" t="str">
        <f t="shared" ca="1" si="146"/>
        <v/>
      </c>
      <c r="H2255" s="1510" t="s">
        <v>3198</v>
      </c>
      <c r="I2255" s="600"/>
      <c r="J2255" s="858"/>
      <c r="K2255" s="858"/>
      <c r="L2255" s="1634"/>
      <c r="M2255" s="1624"/>
      <c r="N2255" s="905"/>
      <c r="O2255" s="905"/>
      <c r="P2255" s="905"/>
      <c r="Q2255" s="905"/>
      <c r="R2255" s="905"/>
      <c r="S2255" s="905"/>
      <c r="T2255" s="905"/>
      <c r="U2255" s="905"/>
      <c r="V2255"/>
      <c r="W2255"/>
      <c r="X2255" s="1600"/>
      <c r="Y2255" s="1874"/>
      <c r="Z2255" s="1600"/>
      <c r="AA2255"/>
      <c r="AC2255"/>
      <c r="AD2255"/>
      <c r="AE2255"/>
      <c r="AF2255"/>
      <c r="AG2255"/>
      <c r="AH2255"/>
      <c r="AI2255"/>
      <c r="AJ2255"/>
      <c r="AK2255"/>
      <c r="AL2255"/>
      <c r="AM2255"/>
      <c r="AN2255"/>
      <c r="AO2255"/>
      <c r="AP2255"/>
      <c r="AQ2255"/>
      <c r="AR2255"/>
      <c r="AS2255"/>
      <c r="AT2255"/>
    </row>
    <row r="2256" spans="1:60" ht="19" x14ac:dyDescent="0.25">
      <c r="A2256" s="1507">
        <v>10</v>
      </c>
      <c r="B2256" s="1516" t="s">
        <v>3442</v>
      </c>
      <c r="C2256" s="1510"/>
      <c r="D2256" s="1510"/>
      <c r="E2256" s="1510"/>
      <c r="F2256" s="1510"/>
      <c r="G2256" s="1509" t="s">
        <v>3200</v>
      </c>
      <c r="H2256" s="1510" t="s">
        <v>3197</v>
      </c>
      <c r="I2256" s="24" t="s">
        <v>3749</v>
      </c>
      <c r="J2256" s="24"/>
      <c r="K2256" s="24"/>
      <c r="L2256" s="25"/>
      <c r="M2256" s="26"/>
      <c r="N2256" s="26"/>
      <c r="O2256" s="26"/>
      <c r="P2256" s="538" t="s">
        <v>246</v>
      </c>
      <c r="Q2256" s="538" t="s">
        <v>246</v>
      </c>
      <c r="R2256" s="538" t="s">
        <v>246</v>
      </c>
      <c r="S2256" s="538" t="s">
        <v>246</v>
      </c>
      <c r="T2256" s="538" t="s">
        <v>246</v>
      </c>
      <c r="U2256" s="538" t="s">
        <v>246</v>
      </c>
      <c r="V2256" s="538" t="s">
        <v>246</v>
      </c>
      <c r="W2256" s="25"/>
      <c r="X2256" s="25"/>
      <c r="Y2256" s="25"/>
      <c r="Z2256" s="714"/>
      <c r="AB2256" s="537"/>
      <c r="AC2256" s="537"/>
      <c r="AD2256" s="537"/>
      <c r="AE2256" s="537"/>
      <c r="AF2256" s="537"/>
      <c r="AG2256" s="537"/>
      <c r="AH2256" s="537"/>
      <c r="AI2256" s="537"/>
      <c r="AJ2256" s="537"/>
      <c r="AK2256" s="537"/>
      <c r="AL2256" s="537"/>
      <c r="AM2256" s="537"/>
      <c r="AN2256" s="537"/>
      <c r="AO2256" s="537"/>
      <c r="AP2256" s="537"/>
      <c r="AQ2256" s="537"/>
      <c r="AR2256" s="537"/>
      <c r="AS2256" s="537"/>
      <c r="AT2256" s="538"/>
      <c r="AU2256" s="538"/>
      <c r="AV2256" s="538"/>
      <c r="AW2256" s="537"/>
      <c r="AX2256" s="538"/>
      <c r="AY2256" s="538"/>
      <c r="AZ2256" s="538"/>
      <c r="BA2256" s="538"/>
      <c r="BB2256" s="538"/>
      <c r="BC2256" s="538"/>
      <c r="BD2256" s="538"/>
      <c r="BE2256" s="538"/>
      <c r="BF2256" s="538"/>
      <c r="BG2256" s="538"/>
      <c r="BH2256" s="538"/>
    </row>
    <row r="2257" spans="1:60" hidden="1" x14ac:dyDescent="0.2">
      <c r="A2257" s="1507">
        <v>10</v>
      </c>
      <c r="B2257" s="1516" t="s">
        <v>3434</v>
      </c>
      <c r="C2257" s="1511"/>
      <c r="D2257" s="1511"/>
      <c r="E2257" s="1511"/>
      <c r="F2257" s="1511"/>
      <c r="G2257" s="1510"/>
      <c r="H2257" s="1510"/>
      <c r="I2257" s="1331">
        <v>11.100099999999999</v>
      </c>
      <c r="J2257" s="609"/>
      <c r="K2257" s="609"/>
      <c r="L2257" s="1629" t="s">
        <v>3767</v>
      </c>
      <c r="M2257" s="543"/>
      <c r="N2257" s="96"/>
      <c r="O2257" s="96"/>
      <c r="P2257" s="96"/>
      <c r="Q2257" s="96"/>
      <c r="R2257" s="96"/>
      <c r="S2257" s="96"/>
      <c r="T2257" s="96"/>
      <c r="U2257" s="96"/>
      <c r="V2257" s="96"/>
      <c r="W2257" s="96"/>
      <c r="X2257" s="96"/>
      <c r="Y2257" s="538"/>
      <c r="Z2257" s="670"/>
      <c r="AB2257" s="538"/>
      <c r="AC2257" s="538"/>
      <c r="AD2257" s="538"/>
      <c r="AE2257" s="538"/>
      <c r="AF2257" s="538"/>
      <c r="AG2257" s="538"/>
      <c r="AH2257" s="538"/>
      <c r="AI2257" s="538"/>
      <c r="AJ2257" s="538"/>
      <c r="AK2257" s="538"/>
      <c r="AL2257" s="538"/>
      <c r="AM2257" s="538"/>
      <c r="AN2257" s="538"/>
      <c r="AO2257" s="538"/>
      <c r="AP2257" s="538"/>
      <c r="AQ2257" s="538"/>
      <c r="AR2257" s="538"/>
      <c r="AS2257" s="538"/>
      <c r="AT2257" s="538"/>
      <c r="AU2257" s="538"/>
      <c r="AV2257" s="538"/>
      <c r="AW2257" s="538"/>
      <c r="AX2257" s="538"/>
      <c r="AY2257" s="538"/>
      <c r="AZ2257" s="538"/>
      <c r="BA2257" s="538"/>
      <c r="BB2257" s="538"/>
      <c r="BC2257" s="538"/>
      <c r="BD2257" s="538"/>
      <c r="BE2257" s="538"/>
      <c r="BF2257" s="538"/>
      <c r="BG2257" s="538"/>
      <c r="BH2257" s="538"/>
    </row>
    <row r="2258" spans="1:60" ht="16" hidden="1" thickBot="1" x14ac:dyDescent="0.25">
      <c r="A2258" s="1507">
        <v>10</v>
      </c>
      <c r="B2258" s="1516" t="s">
        <v>3434</v>
      </c>
      <c r="C2258" s="1511"/>
      <c r="D2258" s="1511"/>
      <c r="E2258" s="1511"/>
      <c r="F2258" s="1511"/>
      <c r="G2258" s="1510"/>
      <c r="H2258" s="1510"/>
      <c r="I2258" s="596"/>
      <c r="J2258" s="596"/>
      <c r="K2258" s="596"/>
      <c r="L2258" s="1630"/>
      <c r="M2258" s="547"/>
      <c r="N2258" s="100"/>
      <c r="O2258" s="100"/>
      <c r="P2258" s="100"/>
      <c r="Q2258" s="100"/>
      <c r="R2258" s="100"/>
      <c r="S2258" s="100"/>
      <c r="T2258" s="100"/>
      <c r="U2258" s="100"/>
      <c r="V2258" s="100"/>
      <c r="W2258" s="100"/>
      <c r="X2258" s="100"/>
      <c r="Y2258" s="100"/>
      <c r="Z2258" s="716"/>
      <c r="AB2258" s="538"/>
      <c r="AC2258" s="538"/>
      <c r="AD2258" s="538"/>
      <c r="AE2258" s="538"/>
      <c r="AF2258" s="538"/>
      <c r="AG2258" s="538"/>
      <c r="AH2258" s="538"/>
      <c r="AI2258" s="538"/>
      <c r="AJ2258" s="538"/>
      <c r="AK2258" s="538"/>
      <c r="AL2258" s="538"/>
      <c r="AM2258" s="538"/>
      <c r="AN2258" s="538"/>
      <c r="AO2258" s="538"/>
      <c r="AP2258" s="538"/>
      <c r="AQ2258" s="538"/>
      <c r="AR2258" s="538"/>
      <c r="AS2258" s="538"/>
      <c r="AT2258" s="538"/>
      <c r="AU2258" s="538"/>
      <c r="AV2258" s="538"/>
      <c r="AW2258" s="538"/>
      <c r="AX2258" s="585" t="str">
        <f>'Overview (Verification)'!A10</f>
        <v>Builder Name:</v>
      </c>
      <c r="AY2258" s="685" t="str">
        <f>IF(LEN('Overview (Verification)'!P10)=0,0,'Overview (Verification)'!P10)</f>
        <v>TWG Development</v>
      </c>
      <c r="AZ2258" s="538"/>
      <c r="BA2258" s="538"/>
      <c r="BB2258" s="538"/>
      <c r="BC2258" s="538"/>
      <c r="BD2258" s="538"/>
      <c r="BE2258" s="538"/>
      <c r="BF2258" s="538"/>
      <c r="BG2258" s="538"/>
      <c r="BH2258" s="538"/>
    </row>
    <row r="2259" spans="1:60" ht="16" hidden="1" thickTop="1" x14ac:dyDescent="0.2">
      <c r="A2259" s="1507">
        <v>10</v>
      </c>
      <c r="B2259" s="1516">
        <v>1001.1</v>
      </c>
      <c r="C2259" s="1511"/>
      <c r="D2259" s="1511"/>
      <c r="E2259" s="1511"/>
      <c r="F2259" s="1511"/>
      <c r="G2259" s="1509" t="str">
        <f>IF(N2259&gt;0,"P","")</f>
        <v/>
      </c>
      <c r="H2259" s="1510" t="s">
        <v>3199</v>
      </c>
      <c r="I2259" s="136" t="s">
        <v>3751</v>
      </c>
      <c r="J2259" s="588"/>
      <c r="K2259" s="588"/>
      <c r="L2259" s="1631" t="s">
        <v>3766</v>
      </c>
      <c r="M2259" s="1722" t="s">
        <v>2848</v>
      </c>
      <c r="N2259" s="1682">
        <f>'11.1000'!O12</f>
        <v>0</v>
      </c>
      <c r="O2259" s="1669">
        <f>MIN(IF(AND(COUNTIF(W2262:W2264,TRUE)=3,S2262),ROUNDDOWN(COUNTIF(W2268:W2308,TRUE)/2,0),0),8)</f>
        <v>0</v>
      </c>
      <c r="P2259" s="538"/>
      <c r="Q2259" s="538"/>
      <c r="R2259" s="538"/>
      <c r="S2259" s="538"/>
      <c r="T2259" s="538"/>
      <c r="U2259" s="538"/>
      <c r="V2259" s="538"/>
      <c r="W2259" s="538"/>
      <c r="X2259" s="538"/>
      <c r="Y2259" s="538"/>
      <c r="Z2259" s="670"/>
      <c r="AB2259" s="538"/>
      <c r="AC2259" s="538"/>
      <c r="AD2259" s="538"/>
      <c r="AE2259" s="538"/>
      <c r="AF2259" s="538"/>
      <c r="AG2259" s="538"/>
      <c r="AH2259" s="538"/>
      <c r="AI2259" s="538"/>
      <c r="AJ2259" s="538"/>
      <c r="AK2259" s="538"/>
      <c r="AL2259" s="1352" t="str">
        <f>SUBSTITUTE(SUBSTITUTE(SUBSTITUTE("vpa"&amp;$B2259&amp;$C2259&amp;$D2259&amp;$E2259,".","_"),"(","_"),")","")</f>
        <v>vpa1001_1</v>
      </c>
      <c r="AM2259" s="1352" t="str">
        <f>M2259</f>
        <v>1
8 Max</v>
      </c>
      <c r="AN2259" s="1352" t="str">
        <f>SUBSTITUTE(SUBSTITUTE(SUBSTITUTE("vpc"&amp;$B2259&amp;$C2259&amp;$D2259&amp;$E2259,".","_"),"(","_"),")","")</f>
        <v>vpc1001_1</v>
      </c>
      <c r="AO2259" s="1352">
        <f>O2259</f>
        <v>0</v>
      </c>
      <c r="AP2259" s="1352"/>
      <c r="AQ2259" s="1352"/>
      <c r="AR2259" s="1352"/>
      <c r="AS2259" s="1352"/>
      <c r="AT2259" s="538"/>
      <c r="AU2259" s="538"/>
      <c r="AV2259" s="538"/>
      <c r="AW2259" s="538"/>
      <c r="AX2259" s="585" t="str">
        <f>'Overview (Verification)'!A11</f>
        <v>Physical Address of Home:</v>
      </c>
      <c r="AY2259" s="685" t="str">
        <f>IF(LEN('Overview (Verification)'!P11)=0,0,'Overview (Verification)'!P11)</f>
        <v>330 Brownlee Road SW</v>
      </c>
      <c r="AZ2259" s="538"/>
      <c r="BA2259" s="538"/>
      <c r="BB2259" s="538"/>
      <c r="BC2259" s="538"/>
      <c r="BD2259" s="538"/>
      <c r="BE2259" s="538"/>
      <c r="BF2259" s="538"/>
      <c r="BG2259" s="538"/>
      <c r="BH2259" s="538"/>
    </row>
    <row r="2260" spans="1:60" hidden="1" x14ac:dyDescent="0.2">
      <c r="A2260" s="1507">
        <v>10</v>
      </c>
      <c r="B2260" s="1516">
        <v>1001.1</v>
      </c>
      <c r="C2260" s="1511"/>
      <c r="D2260" s="1511"/>
      <c r="E2260" s="1511"/>
      <c r="F2260" s="1511"/>
      <c r="G2260" s="1509" t="str">
        <f t="shared" ref="G2260:G2308" si="147">G2259</f>
        <v/>
      </c>
      <c r="H2260" s="1510" t="s">
        <v>3199</v>
      </c>
      <c r="I2260" s="588"/>
      <c r="J2260" s="588"/>
      <c r="K2260" s="588"/>
      <c r="L2260" s="1631"/>
      <c r="M2260" s="1722"/>
      <c r="N2260" s="1669"/>
      <c r="O2260" s="1669"/>
      <c r="P2260" s="538"/>
      <c r="Q2260" s="538"/>
      <c r="R2260" s="538"/>
      <c r="S2260" s="538"/>
      <c r="T2260" s="538"/>
      <c r="U2260" s="538"/>
      <c r="V2260" s="538"/>
      <c r="W2260" s="538"/>
      <c r="X2260" s="538"/>
      <c r="Y2260" s="538"/>
      <c r="Z2260" s="670"/>
      <c r="AB2260" s="538"/>
      <c r="AC2260" s="538"/>
      <c r="AD2260" s="538"/>
      <c r="AE2260" s="538"/>
      <c r="AF2260" s="538"/>
      <c r="AG2260" s="538"/>
      <c r="AH2260" s="538"/>
      <c r="AI2260" s="538"/>
      <c r="AJ2260" s="538"/>
      <c r="AK2260" s="538"/>
      <c r="AL2260" s="1352"/>
      <c r="AM2260" s="1352"/>
      <c r="AN2260" s="1352"/>
      <c r="AO2260" s="1352"/>
      <c r="AP2260" s="1352"/>
      <c r="AQ2260" s="1352"/>
      <c r="AR2260" s="1352"/>
      <c r="AS2260" s="1352"/>
      <c r="AT2260" s="538"/>
      <c r="AU2260" s="538"/>
      <c r="AV2260" s="538"/>
      <c r="AW2260" s="538"/>
      <c r="AX2260" s="585" t="str">
        <f>'Overview (Verification)'!A12</f>
        <v>Community/Lot #:</v>
      </c>
      <c r="AY2260" s="685">
        <f>IF(LEN('Overview (Verification)'!P12)=0,0,'Overview (Verification)'!P12)</f>
        <v>0</v>
      </c>
      <c r="AZ2260" s="538"/>
      <c r="BA2260" s="538"/>
      <c r="BB2260" s="538"/>
      <c r="BC2260" s="538"/>
      <c r="BD2260" s="538"/>
      <c r="BE2260" s="538"/>
      <c r="BF2260" s="538"/>
      <c r="BG2260" s="538"/>
      <c r="BH2260" s="538"/>
    </row>
    <row r="2261" spans="1:60" hidden="1" x14ac:dyDescent="0.2">
      <c r="A2261" s="1507">
        <v>10</v>
      </c>
      <c r="B2261" s="1516">
        <v>1001.1</v>
      </c>
      <c r="C2261" s="1511"/>
      <c r="D2261" s="1511"/>
      <c r="E2261" s="1511"/>
      <c r="F2261" s="1511"/>
      <c r="G2261" s="1509" t="str">
        <f t="shared" si="147"/>
        <v/>
      </c>
      <c r="H2261" s="1510" t="s">
        <v>3199</v>
      </c>
      <c r="I2261" s="588"/>
      <c r="J2261" s="588"/>
      <c r="K2261" s="588"/>
      <c r="L2261" s="227" t="s">
        <v>2846</v>
      </c>
      <c r="M2261" s="1722"/>
      <c r="N2261" s="1669"/>
      <c r="O2261" s="1669"/>
      <c r="P2261" s="538"/>
      <c r="Q2261" s="538"/>
      <c r="R2261" s="538"/>
      <c r="S2261" s="538"/>
      <c r="T2261" s="538"/>
      <c r="U2261" s="538"/>
      <c r="V2261" s="538"/>
      <c r="W2261" s="538"/>
      <c r="X2261" s="538"/>
      <c r="Y2261" s="538"/>
      <c r="Z2261" s="670"/>
      <c r="AB2261" s="538"/>
      <c r="AC2261" s="538"/>
      <c r="AD2261" s="538"/>
      <c r="AE2261" s="538"/>
      <c r="AF2261" s="538"/>
      <c r="AG2261" s="538"/>
      <c r="AH2261" s="538"/>
      <c r="AI2261" s="538"/>
      <c r="AJ2261" s="538"/>
      <c r="AK2261" s="538"/>
      <c r="AL2261" s="1352"/>
      <c r="AM2261" s="1352"/>
      <c r="AN2261" s="1352"/>
      <c r="AO2261" s="1352"/>
      <c r="AP2261" s="1352"/>
      <c r="AQ2261" s="1352"/>
      <c r="AR2261" s="1352"/>
      <c r="AS2261" s="1352"/>
      <c r="AT2261" s="538"/>
      <c r="AU2261" s="538"/>
      <c r="AV2261" s="538"/>
      <c r="AW2261" s="538"/>
      <c r="AX2261" s="585" t="str">
        <f>'Overview (Verification)'!A13</f>
        <v>City:</v>
      </c>
      <c r="AY2261" s="685" t="str">
        <f>IF(LEN('Overview (Verification)'!P13)=0,0,'Overview (Verification)'!P13)</f>
        <v>Atlanta</v>
      </c>
      <c r="AZ2261" s="538"/>
      <c r="BA2261" s="538"/>
      <c r="BB2261" s="538"/>
      <c r="BC2261" s="538"/>
      <c r="BD2261" s="538"/>
      <c r="BE2261" s="538"/>
      <c r="BF2261" s="538"/>
      <c r="BG2261" s="538"/>
      <c r="BH2261" s="538"/>
    </row>
    <row r="2262" spans="1:60" ht="16" hidden="1" x14ac:dyDescent="0.2">
      <c r="A2262" s="1507">
        <v>10</v>
      </c>
      <c r="B2262" s="1516">
        <v>1001.1</v>
      </c>
      <c r="C2262" s="1511" t="s">
        <v>254</v>
      </c>
      <c r="D2262" s="1511"/>
      <c r="E2262" s="1511"/>
      <c r="F2262" s="1514"/>
      <c r="G2262" s="1509" t="str">
        <f>IF(IFERROR(SEARCH("Mandatory",M2262),FALSE),"P","")</f>
        <v/>
      </c>
      <c r="H2262" s="1510" t="s">
        <v>3199</v>
      </c>
      <c r="I2262" s="588"/>
      <c r="J2262" s="606" t="s">
        <v>254</v>
      </c>
      <c r="K2262" s="208"/>
      <c r="L2262" s="680" t="s">
        <v>2767</v>
      </c>
      <c r="M2262" s="696" t="str">
        <f t="shared" ref="M2262:M2267" si="148">IF(R2262,"Mandatory","N/A")</f>
        <v>N/A</v>
      </c>
      <c r="N2262" s="4"/>
      <c r="O2262" s="540"/>
      <c r="P2262" s="538" t="b">
        <v>0</v>
      </c>
      <c r="Q2262" s="538" t="b">
        <v>1</v>
      </c>
      <c r="R2262" s="538" t="b">
        <f>S2262</f>
        <v>0</v>
      </c>
      <c r="S2262" s="538" t="b">
        <f>IF(AY2266=INDEX(ddSingleOrMulti,1),TRUE,FALSE)</f>
        <v>0</v>
      </c>
      <c r="T2262" s="96" t="b">
        <f>AND(NOT(S2262),W2262=TRUE)</f>
        <v>0</v>
      </c>
      <c r="U2262" s="538"/>
      <c r="V2262" s="538"/>
      <c r="W2262" s="27"/>
      <c r="X2262" s="541"/>
      <c r="Y2262" s="572" t="str">
        <f>IF(LEN('11.1000'!X15)=0,"None",'11.1000'!X15)</f>
        <v>None</v>
      </c>
      <c r="Z2262" s="715"/>
      <c r="AB2262" s="538"/>
      <c r="AC2262" s="538" t="b">
        <f>OR(AD2262:AE2262)</f>
        <v>0</v>
      </c>
      <c r="AD2262" s="538" t="b">
        <f>T2262</f>
        <v>0</v>
      </c>
      <c r="AE2262" s="538" t="b">
        <f>AND(R2262,NOT(W2262=TRUE))</f>
        <v>0</v>
      </c>
      <c r="AF2262" s="720"/>
      <c r="AG2262" s="538"/>
      <c r="AH2262" s="538"/>
      <c r="AI2262" s="538"/>
      <c r="AJ2262" s="538"/>
      <c r="AK2262" s="538"/>
      <c r="AL2262" s="1352" t="str">
        <f>SUBSTITUTE(SUBSTITUTE(SUBSTITUTE("vpa"&amp;$B2262&amp;$C2262&amp;$D2262&amp;$E2262,".","_"),"(","_"),")","")</f>
        <v>vpa1001_1_1</v>
      </c>
      <c r="AM2262" s="1352" t="str">
        <f>M2262</f>
        <v>N/A</v>
      </c>
      <c r="AN2262" s="1352"/>
      <c r="AO2262" s="1352"/>
      <c r="AP2262" s="1352" t="str">
        <f>SUBSTITUTE(SUBSTITUTE(SUBSTITUTE("vch"&amp;$B2262&amp;$C2262&amp;$D2262&amp;$E2262,".","_"),"(","_"),")","")</f>
        <v>vch1001_1_1</v>
      </c>
      <c r="AQ2262" s="1352" t="str">
        <f>IF(LEN(W2262)=0,"",W2262)</f>
        <v/>
      </c>
      <c r="AR2262" s="1352" t="str">
        <f>SUBSTITUTE(SUBSTITUTE(SUBSTITUTE("vnt"&amp;$B2262&amp;$C2262&amp;$D2262&amp;$E2262,".","_"),"(","_"),")","")</f>
        <v>vnt1001_1_1</v>
      </c>
      <c r="AS2262" s="1352" t="str">
        <f>IF(LEN(X2262)=0,"",X2262)</f>
        <v/>
      </c>
      <c r="AT2262" s="538"/>
      <c r="AU2262" s="538"/>
      <c r="AV2262" s="538"/>
      <c r="AW2262" s="538"/>
      <c r="AX2262" s="585" t="str">
        <f>'Overview (Verification)'!A14</f>
        <v>State:</v>
      </c>
      <c r="AY2262" s="685" t="str">
        <f>IF(LEN('Overview (Verification)'!P14)=0,0,'Overview (Verification)'!P14)</f>
        <v>Georgia</v>
      </c>
      <c r="AZ2262" s="538"/>
      <c r="BA2262" s="538"/>
      <c r="BB2262" s="538"/>
      <c r="BC2262" s="685" t="str">
        <f>'Overview (Verification)'!T14</f>
        <v>State</v>
      </c>
      <c r="BD2262" s="685" t="str">
        <f>'Overview (Verification)'!U14</f>
        <v>County</v>
      </c>
      <c r="BE2262" s="685" t="str">
        <f>'Overview (Verification)'!V14</f>
        <v>Radon</v>
      </c>
      <c r="BF2262" s="685" t="str">
        <f>'Overview (Verification)'!W14</f>
        <v>Climate</v>
      </c>
      <c r="BG2262" s="685" t="str">
        <f>'Overview (Verification)'!X14</f>
        <v>Moist</v>
      </c>
      <c r="BH2262" s="685" t="str">
        <f>'Overview (Verification)'!Y14</f>
        <v>WarmHumid</v>
      </c>
    </row>
    <row r="2263" spans="1:60" ht="16" hidden="1" x14ac:dyDescent="0.2">
      <c r="A2263" s="1507">
        <v>10</v>
      </c>
      <c r="B2263" s="1516">
        <v>1001.1</v>
      </c>
      <c r="C2263" s="1511" t="s">
        <v>255</v>
      </c>
      <c r="D2263" s="1511"/>
      <c r="E2263" s="1511"/>
      <c r="F2263" s="1514"/>
      <c r="G2263" s="1509" t="str">
        <f>IF(IFERROR(SEARCH("Mandatory",M2263),FALSE),"P","")</f>
        <v/>
      </c>
      <c r="H2263" s="1510" t="s">
        <v>3199</v>
      </c>
      <c r="I2263" s="588"/>
      <c r="J2263" s="607" t="s">
        <v>255</v>
      </c>
      <c r="K2263" s="211"/>
      <c r="L2263" s="311" t="s">
        <v>2768</v>
      </c>
      <c r="M2263" s="697" t="str">
        <f t="shared" si="148"/>
        <v>N/A</v>
      </c>
      <c r="N2263" s="4"/>
      <c r="O2263" s="540"/>
      <c r="P2263" s="538" t="b">
        <v>0</v>
      </c>
      <c r="Q2263" s="538" t="b">
        <v>1</v>
      </c>
      <c r="R2263" s="538" t="b">
        <f>S2263</f>
        <v>0</v>
      </c>
      <c r="S2263" s="538" t="b">
        <f>IF(AY2266=INDEX(ddSingleOrMulti,1),TRUE,FALSE)</f>
        <v>0</v>
      </c>
      <c r="T2263" s="96" t="b">
        <f>AND(NOT(S2263),W2263=TRUE)</f>
        <v>0</v>
      </c>
      <c r="U2263" s="538"/>
      <c r="V2263" s="538"/>
      <c r="W2263" s="27"/>
      <c r="X2263" s="541"/>
      <c r="Y2263" s="572" t="str">
        <f>IF(LEN('11.1000'!X16)=0,"None",'11.1000'!X16)</f>
        <v>None</v>
      </c>
      <c r="Z2263" s="715"/>
      <c r="AB2263" s="538"/>
      <c r="AC2263" s="538" t="b">
        <f>OR(AD2263:AE2263)</f>
        <v>0</v>
      </c>
      <c r="AD2263" s="538" t="b">
        <f>T2263</f>
        <v>0</v>
      </c>
      <c r="AE2263" s="538" t="b">
        <f>AND(R2263,NOT(W2263=TRUE))</f>
        <v>0</v>
      </c>
      <c r="AF2263" s="720"/>
      <c r="AG2263" s="538"/>
      <c r="AH2263" s="538"/>
      <c r="AI2263" s="538"/>
      <c r="AJ2263" s="538"/>
      <c r="AK2263" s="538"/>
      <c r="AL2263" s="1352" t="str">
        <f>SUBSTITUTE(SUBSTITUTE(SUBSTITUTE("vpa"&amp;$B2263&amp;$C2263&amp;$D2263&amp;$E2263,".","_"),"(","_"),")","")</f>
        <v>vpa1001_1_2</v>
      </c>
      <c r="AM2263" s="1352" t="str">
        <f>M2263</f>
        <v>N/A</v>
      </c>
      <c r="AN2263" s="1352"/>
      <c r="AO2263" s="1352"/>
      <c r="AP2263" s="1352" t="str">
        <f>SUBSTITUTE(SUBSTITUTE(SUBSTITUTE("vch"&amp;$B2263&amp;$C2263&amp;$D2263&amp;$E2263,".","_"),"(","_"),")","")</f>
        <v>vch1001_1_2</v>
      </c>
      <c r="AQ2263" s="1352" t="str">
        <f>IF(LEN(W2263)=0,"",W2263)</f>
        <v/>
      </c>
      <c r="AR2263" s="1352" t="str">
        <f>SUBSTITUTE(SUBSTITUTE(SUBSTITUTE("vnt"&amp;$B2263&amp;$C2263&amp;$D2263&amp;$E2263,".","_"),"(","_"),")","")</f>
        <v>vnt1001_1_2</v>
      </c>
      <c r="AS2263" s="1352" t="str">
        <f>IF(LEN(X2263)=0,"",X2263)</f>
        <v/>
      </c>
      <c r="AT2263" s="537"/>
      <c r="AU2263" s="537"/>
      <c r="AV2263" s="537"/>
      <c r="AW2263" s="538"/>
      <c r="AX2263" s="585" t="str">
        <f>'Overview (Verification)'!A15</f>
        <v>County:</v>
      </c>
      <c r="AY2263" s="685" t="str">
        <f>IF(LEN('Overview (Verification)'!P15)=0,0,'Overview (Verification)'!P15)</f>
        <v xml:space="preserve">Fulton  </v>
      </c>
      <c r="AZ2263" s="538"/>
      <c r="BA2263" s="538"/>
      <c r="BB2263" s="538"/>
      <c r="BC2263" s="685" t="str">
        <f>'Overview (Verification)'!T15</f>
        <v>Georgia</v>
      </c>
      <c r="BD2263" s="685" t="str">
        <f>'Overview (Verification)'!U15</f>
        <v xml:space="preserve">Fulton  </v>
      </c>
      <c r="BE2263" s="685">
        <f>'Overview (Verification)'!V15</f>
        <v>1</v>
      </c>
      <c r="BF2263" s="685">
        <f>'Overview (Verification)'!W15</f>
        <v>3</v>
      </c>
      <c r="BG2263" s="685" t="str">
        <f>'Overview (Verification)'!X15</f>
        <v>Moist</v>
      </c>
      <c r="BH2263" s="685" t="str">
        <f>'Overview (Verification)'!Y15</f>
        <v xml:space="preserve"> </v>
      </c>
    </row>
    <row r="2264" spans="1:60" hidden="1" x14ac:dyDescent="0.2">
      <c r="A2264" s="1507">
        <v>10</v>
      </c>
      <c r="B2264" s="1516">
        <v>1001.1</v>
      </c>
      <c r="C2264" s="1511" t="s">
        <v>256</v>
      </c>
      <c r="D2264" s="1511"/>
      <c r="E2264" s="1511"/>
      <c r="F2264" s="1514"/>
      <c r="G2264" s="1509" t="str">
        <f>IF(IFERROR(SEARCH("Mandatory",M2264),FALSE),"P","")</f>
        <v/>
      </c>
      <c r="H2264" s="1510" t="s">
        <v>3199</v>
      </c>
      <c r="I2264" s="588"/>
      <c r="J2264" s="608" t="s">
        <v>256</v>
      </c>
      <c r="K2264" s="1404"/>
      <c r="L2264" s="1613" t="s">
        <v>3911</v>
      </c>
      <c r="M2264" s="1732" t="str">
        <f t="shared" si="148"/>
        <v>N/A</v>
      </c>
      <c r="N2264" s="4"/>
      <c r="O2264" s="540"/>
      <c r="P2264" s="538" t="b">
        <v>0</v>
      </c>
      <c r="Q2264" s="538" t="b">
        <v>1</v>
      </c>
      <c r="R2264" s="538" t="b">
        <f>S2264</f>
        <v>0</v>
      </c>
      <c r="S2264" s="538" t="b">
        <f>IF(AY2266=INDEX(ddSingleOrMulti,1),TRUE,FALSE)</f>
        <v>0</v>
      </c>
      <c r="T2264" s="96" t="b">
        <f>AND(NOT(S2264),W2264=TRUE)</f>
        <v>0</v>
      </c>
      <c r="U2264" s="538"/>
      <c r="V2264" s="538"/>
      <c r="W2264" s="27"/>
      <c r="X2264" s="1621"/>
      <c r="Y2264" s="1874" t="str">
        <f>IF(LEN('11.1000'!X17)=0,"None",'11.1000'!X17)</f>
        <v>None</v>
      </c>
      <c r="Z2264" s="1889"/>
      <c r="AB2264" s="538"/>
      <c r="AC2264" s="538" t="b">
        <f>OR(AD2264:AE2264)</f>
        <v>0</v>
      </c>
      <c r="AD2264" s="538" t="b">
        <f>T2264</f>
        <v>0</v>
      </c>
      <c r="AE2264" s="538" t="b">
        <f>AND(R2264,NOT(W2264=TRUE))</f>
        <v>0</v>
      </c>
      <c r="AF2264" s="720"/>
      <c r="AG2264" s="538"/>
      <c r="AH2264" s="538"/>
      <c r="AI2264" s="538"/>
      <c r="AJ2264" s="538"/>
      <c r="AK2264" s="538"/>
      <c r="AL2264" s="1352" t="str">
        <f>SUBSTITUTE(SUBSTITUTE(SUBSTITUTE("vpa"&amp;$B2264&amp;$C2264&amp;$D2264&amp;$E2264,".","_"),"(","_"),")","")</f>
        <v>vpa1001_1_3</v>
      </c>
      <c r="AM2264" s="1352" t="str">
        <f>M2264</f>
        <v>N/A</v>
      </c>
      <c r="AN2264" s="1352"/>
      <c r="AO2264" s="1352"/>
      <c r="AP2264" s="1352" t="str">
        <f>SUBSTITUTE(SUBSTITUTE(SUBSTITUTE("vch"&amp;$B2264&amp;$C2264&amp;$D2264&amp;$E2264,".","_"),"(","_"),")","")</f>
        <v>vch1001_1_3</v>
      </c>
      <c r="AQ2264" s="1352" t="str">
        <f>IF(LEN(W2264)=0,"",W2264)</f>
        <v/>
      </c>
      <c r="AR2264" s="1352" t="str">
        <f>SUBSTITUTE(SUBSTITUTE(SUBSTITUTE("vnt"&amp;$B2264&amp;$C2264&amp;$D2264&amp;$E2264,".","_"),"(","_"),")","")</f>
        <v>vnt1001_1_3</v>
      </c>
      <c r="AS2264" s="1352" t="str">
        <f>IF(LEN(X2264)=0,"",X2264)</f>
        <v/>
      </c>
      <c r="AT2264" s="538"/>
      <c r="AU2264" s="538"/>
      <c r="AV2264" s="538"/>
      <c r="AW2264" s="538"/>
      <c r="AX2264" s="585" t="str">
        <f>'Overview (Verification)'!A16</f>
        <v>Zip:</v>
      </c>
      <c r="AY2264" s="685" t="str">
        <f>IF(LEN('Overview (Verification)'!P16)=0,0,'Overview (Verification)'!P16)</f>
        <v>30311</v>
      </c>
      <c r="AZ2264" s="538"/>
      <c r="BA2264" s="538"/>
      <c r="BB2264" s="538"/>
      <c r="BC2264" s="538"/>
      <c r="BD2264" s="538"/>
      <c r="BE2264" s="538"/>
      <c r="BF2264" s="538"/>
      <c r="BG2264" s="538"/>
      <c r="BH2264" s="538"/>
    </row>
    <row r="2265" spans="1:60" hidden="1" x14ac:dyDescent="0.2">
      <c r="A2265" s="1507">
        <v>10</v>
      </c>
      <c r="B2265" s="1516">
        <v>1001.1</v>
      </c>
      <c r="C2265" s="1511" t="s">
        <v>256</v>
      </c>
      <c r="D2265" s="1511"/>
      <c r="E2265" s="1511"/>
      <c r="F2265" s="1514"/>
      <c r="G2265" s="1509" t="str">
        <f t="shared" si="147"/>
        <v/>
      </c>
      <c r="H2265" s="1510" t="s">
        <v>3199</v>
      </c>
      <c r="I2265" s="588"/>
      <c r="J2265" s="590"/>
      <c r="K2265" s="609"/>
      <c r="L2265" s="1609"/>
      <c r="M2265" s="1697" t="str">
        <f t="shared" si="148"/>
        <v>N/A</v>
      </c>
      <c r="N2265" s="4"/>
      <c r="O2265" s="540"/>
      <c r="P2265" s="538"/>
      <c r="Q2265" s="538"/>
      <c r="R2265" s="538"/>
      <c r="S2265" s="538"/>
      <c r="T2265" s="538"/>
      <c r="U2265" s="538"/>
      <c r="V2265" s="538"/>
      <c r="W2265" s="538"/>
      <c r="X2265" s="1632"/>
      <c r="Y2265" s="1874"/>
      <c r="Z2265" s="1889"/>
      <c r="AB2265" s="538"/>
      <c r="AC2265" s="538"/>
      <c r="AD2265" s="538"/>
      <c r="AE2265" s="538"/>
      <c r="AF2265" s="538"/>
      <c r="AG2265" s="538"/>
      <c r="AH2265" s="538"/>
      <c r="AI2265" s="538"/>
      <c r="AJ2265" s="538"/>
      <c r="AK2265" s="538"/>
      <c r="AL2265" s="1352"/>
      <c r="AM2265" s="1352"/>
      <c r="AN2265" s="1352"/>
      <c r="AO2265" s="1352"/>
      <c r="AP2265" s="1352"/>
      <c r="AQ2265" s="1352"/>
      <c r="AR2265" s="1352"/>
      <c r="AS2265" s="1352"/>
      <c r="AT2265" s="538"/>
      <c r="AU2265" s="538"/>
      <c r="AV2265" s="538"/>
      <c r="AW2265" s="538"/>
      <c r="AX2265" s="539"/>
      <c r="AY2265" s="685"/>
      <c r="AZ2265" s="538"/>
      <c r="BA2265" s="538"/>
      <c r="BB2265" s="538"/>
      <c r="BC2265" s="538"/>
      <c r="BD2265" s="538"/>
      <c r="BE2265" s="538"/>
      <c r="BF2265" s="538"/>
      <c r="BG2265" s="538"/>
      <c r="BH2265" s="538"/>
    </row>
    <row r="2266" spans="1:60" hidden="1" x14ac:dyDescent="0.2">
      <c r="A2266" s="1507">
        <v>10</v>
      </c>
      <c r="B2266" s="1516">
        <v>1001.1</v>
      </c>
      <c r="C2266" s="1511" t="s">
        <v>256</v>
      </c>
      <c r="D2266" s="1511"/>
      <c r="E2266" s="1511"/>
      <c r="F2266" s="1514"/>
      <c r="G2266" s="1509" t="str">
        <f t="shared" si="147"/>
        <v/>
      </c>
      <c r="H2266" s="1510" t="s">
        <v>3199</v>
      </c>
      <c r="I2266" s="588"/>
      <c r="J2266" s="590"/>
      <c r="K2266" s="609"/>
      <c r="L2266" s="1609"/>
      <c r="M2266" s="1697" t="str">
        <f t="shared" si="148"/>
        <v>N/A</v>
      </c>
      <c r="N2266" s="4"/>
      <c r="O2266" s="540"/>
      <c r="P2266" s="538"/>
      <c r="Q2266" s="538"/>
      <c r="R2266" s="538"/>
      <c r="S2266" s="538"/>
      <c r="T2266" s="538"/>
      <c r="U2266" s="538"/>
      <c r="V2266" s="538"/>
      <c r="W2266" s="538"/>
      <c r="X2266" s="1632"/>
      <c r="Y2266" s="1874"/>
      <c r="Z2266" s="1889"/>
      <c r="AB2266" s="538"/>
      <c r="AC2266" s="538"/>
      <c r="AD2266" s="538"/>
      <c r="AE2266" s="538"/>
      <c r="AF2266" s="538"/>
      <c r="AG2266" s="538"/>
      <c r="AH2266" s="538"/>
      <c r="AI2266" s="538"/>
      <c r="AJ2266" s="538"/>
      <c r="AK2266" s="538"/>
      <c r="AL2266" s="1352"/>
      <c r="AM2266" s="1352"/>
      <c r="AN2266" s="1352"/>
      <c r="AO2266" s="1352"/>
      <c r="AP2266" s="1352"/>
      <c r="AQ2266" s="1352"/>
      <c r="AR2266" s="1352"/>
      <c r="AS2266" s="1352"/>
      <c r="AT2266" s="538"/>
      <c r="AU2266" s="538"/>
      <c r="AV2266" s="538"/>
      <c r="AW2266" s="538"/>
      <c r="AX2266" s="585" t="str">
        <f>'Overview (Verification)'!A18</f>
        <v>Single-Family or Multifamily:</v>
      </c>
      <c r="AY2266" s="685" t="str">
        <f>IF(LEN('Overview (Verification)'!P18)=0,0,'Overview (Verification)'!P18)</f>
        <v>Multifamily</v>
      </c>
      <c r="AZ2266" s="538"/>
      <c r="BA2266" s="538"/>
      <c r="BB2266" s="538"/>
      <c r="BC2266" s="538"/>
      <c r="BD2266" s="538"/>
      <c r="BE2266" s="538"/>
      <c r="BF2266" s="538"/>
      <c r="BG2266" s="538"/>
      <c r="BH2266" s="538"/>
    </row>
    <row r="2267" spans="1:60" hidden="1" x14ac:dyDescent="0.2">
      <c r="A2267" s="1507">
        <v>10</v>
      </c>
      <c r="B2267" s="1516">
        <v>1001.1</v>
      </c>
      <c r="C2267" s="1511" t="s">
        <v>256</v>
      </c>
      <c r="D2267" s="1511"/>
      <c r="E2267" s="1511"/>
      <c r="F2267" s="1514"/>
      <c r="G2267" s="1509" t="str">
        <f t="shared" si="147"/>
        <v/>
      </c>
      <c r="H2267" s="1510" t="s">
        <v>3199</v>
      </c>
      <c r="I2267" s="588"/>
      <c r="J2267" s="606"/>
      <c r="K2267" s="208"/>
      <c r="L2267" s="1612"/>
      <c r="M2267" s="1698" t="str">
        <f t="shared" si="148"/>
        <v>N/A</v>
      </c>
      <c r="N2267" s="4"/>
      <c r="O2267" s="540"/>
      <c r="P2267" s="538"/>
      <c r="Q2267" s="538"/>
      <c r="R2267" s="538"/>
      <c r="S2267" s="538"/>
      <c r="T2267" s="538"/>
      <c r="U2267" s="538"/>
      <c r="V2267" s="538"/>
      <c r="W2267" s="538"/>
      <c r="X2267" s="1599"/>
      <c r="Y2267" s="1874"/>
      <c r="Z2267" s="1889"/>
      <c r="AB2267" s="538"/>
      <c r="AC2267" s="538"/>
      <c r="AD2267" s="538"/>
      <c r="AE2267" s="538"/>
      <c r="AF2267" s="538"/>
      <c r="AG2267" s="538"/>
      <c r="AH2267" s="538"/>
      <c r="AI2267" s="538"/>
      <c r="AJ2267" s="538"/>
      <c r="AK2267" s="538"/>
      <c r="AL2267" s="1352"/>
      <c r="AM2267" s="1352"/>
      <c r="AN2267" s="1352"/>
      <c r="AO2267" s="1352"/>
      <c r="AP2267" s="1352"/>
      <c r="AQ2267" s="1352"/>
      <c r="AR2267" s="1352"/>
      <c r="AS2267" s="1352"/>
      <c r="AT2267" s="538"/>
      <c r="AU2267" s="538"/>
      <c r="AV2267" s="538"/>
      <c r="AW2267" s="538"/>
      <c r="AX2267" s="585" t="str">
        <f>'Overview (Verification)'!A19</f>
        <v>Number of Units:</v>
      </c>
      <c r="AY2267" s="685">
        <f>IF(LEN('Overview (Verification)'!P19)=0,0,'Overview (Verification)'!P19)</f>
        <v>48</v>
      </c>
      <c r="AZ2267" s="538"/>
      <c r="BA2267" s="538"/>
      <c r="BB2267" s="538"/>
      <c r="BC2267" s="538"/>
      <c r="BD2267" s="538"/>
      <c r="BE2267" s="538"/>
      <c r="BF2267" s="538"/>
      <c r="BG2267" s="538"/>
      <c r="BH2267" s="538"/>
    </row>
    <row r="2268" spans="1:60" ht="16" hidden="1" x14ac:dyDescent="0.2">
      <c r="A2268" s="1507">
        <v>10</v>
      </c>
      <c r="B2268" s="1516">
        <v>1001.1</v>
      </c>
      <c r="C2268" s="1511" t="s">
        <v>259</v>
      </c>
      <c r="D2268" s="1511"/>
      <c r="E2268" s="1511"/>
      <c r="F2268" s="1514"/>
      <c r="G2268" s="1509" t="str">
        <f t="shared" si="147"/>
        <v/>
      </c>
      <c r="H2268" s="1510" t="s">
        <v>3199</v>
      </c>
      <c r="I2268" s="588"/>
      <c r="J2268" s="607" t="s">
        <v>259</v>
      </c>
      <c r="K2268" s="211"/>
      <c r="L2268" s="311" t="s">
        <v>2769</v>
      </c>
      <c r="M2268" s="540"/>
      <c r="N2268" s="4"/>
      <c r="O2268" s="540"/>
      <c r="P2268" s="538" t="b">
        <v>0</v>
      </c>
      <c r="Q2268" s="538" t="b">
        <v>1</v>
      </c>
      <c r="R2268" s="538" t="b">
        <v>0</v>
      </c>
      <c r="S2268" s="538" t="b">
        <f>IF(AY2266=INDEX(ddSingleOrMulti,1),TRUE,FALSE)</f>
        <v>0</v>
      </c>
      <c r="T2268" s="96" t="b">
        <f>AND(NOT(S2268),W2268=TRUE)</f>
        <v>0</v>
      </c>
      <c r="U2268" s="538"/>
      <c r="V2268" s="538"/>
      <c r="W2268" s="27"/>
      <c r="X2268" s="541"/>
      <c r="Y2268" s="572" t="str">
        <f>IF(LEN('11.1000'!X21)=0,"None",'11.1000'!X21)</f>
        <v>None</v>
      </c>
      <c r="Z2268" s="715"/>
      <c r="AB2268" s="538"/>
      <c r="AC2268" s="538" t="b">
        <f>OR(AD2268:AE2268)</f>
        <v>0</v>
      </c>
      <c r="AD2268" s="538" t="b">
        <f>T2268</f>
        <v>0</v>
      </c>
      <c r="AE2268" s="538"/>
      <c r="AF2268" s="538"/>
      <c r="AG2268" s="538"/>
      <c r="AH2268" s="538"/>
      <c r="AI2268" s="538"/>
      <c r="AJ2268" s="538"/>
      <c r="AK2268" s="538"/>
      <c r="AL2268" s="1352"/>
      <c r="AM2268" s="1352"/>
      <c r="AN2268" s="1352"/>
      <c r="AO2268" s="1352"/>
      <c r="AP2268" s="1352" t="str">
        <f>SUBSTITUTE(SUBSTITUTE(SUBSTITUTE("vch"&amp;$B2268&amp;$C2268&amp;$D2268&amp;$E2268,".","_"),"(","_"),")","")</f>
        <v>vch1001_1_4</v>
      </c>
      <c r="AQ2268" s="1352" t="str">
        <f>IF(LEN(W2268)=0,"",W2268)</f>
        <v/>
      </c>
      <c r="AR2268" s="1352" t="str">
        <f>SUBSTITUTE(SUBSTITUTE(SUBSTITUTE("vnt"&amp;$B2268&amp;$C2268&amp;$D2268&amp;$E2268,".","_"),"(","_"),")","")</f>
        <v>vnt1001_1_4</v>
      </c>
      <c r="AS2268" s="1352" t="str">
        <f>IF(LEN(X2268)=0,"",X2268)</f>
        <v/>
      </c>
      <c r="AT2268" s="538"/>
      <c r="AU2268" s="538"/>
      <c r="AV2268" s="538"/>
      <c r="AW2268" s="538"/>
      <c r="AX2268" s="585" t="str">
        <f>'Overview (Verification)'!A23</f>
        <v>Project Name:</v>
      </c>
      <c r="AY2268" s="685" t="str">
        <f>IF(LEN('Overview (Verification)'!P23)=0,0,'Overview (Verification)'!P23)</f>
        <v>Towne West Manor</v>
      </c>
      <c r="AZ2268" s="538"/>
      <c r="BA2268" s="538"/>
      <c r="BB2268" s="538"/>
      <c r="BC2268" s="538"/>
      <c r="BD2268" s="538"/>
      <c r="BE2268" s="538"/>
      <c r="BF2268" s="538"/>
      <c r="BG2268" s="538"/>
      <c r="BH2268" s="538"/>
    </row>
    <row r="2269" spans="1:60" ht="16" hidden="1" x14ac:dyDescent="0.2">
      <c r="A2269" s="1507">
        <v>10</v>
      </c>
      <c r="B2269" s="1516">
        <v>1001.1</v>
      </c>
      <c r="C2269" s="1511" t="s">
        <v>263</v>
      </c>
      <c r="D2269" s="1511"/>
      <c r="E2269" s="1511"/>
      <c r="F2269" s="1514"/>
      <c r="G2269" s="1509" t="str">
        <f t="shared" si="147"/>
        <v/>
      </c>
      <c r="H2269" s="1510" t="s">
        <v>3199</v>
      </c>
      <c r="I2269" s="588"/>
      <c r="J2269" s="607" t="s">
        <v>263</v>
      </c>
      <c r="K2269" s="211"/>
      <c r="L2269" s="311" t="s">
        <v>2770</v>
      </c>
      <c r="M2269" s="540"/>
      <c r="N2269" s="4"/>
      <c r="O2269" s="540"/>
      <c r="P2269" s="538" t="b">
        <v>0</v>
      </c>
      <c r="Q2269" s="538" t="b">
        <v>1</v>
      </c>
      <c r="R2269" s="538" t="b">
        <v>0</v>
      </c>
      <c r="S2269" s="538" t="b">
        <f>IF(AY2266=INDEX(ddSingleOrMulti,1),TRUE,FALSE)</f>
        <v>0</v>
      </c>
      <c r="T2269" s="96" t="b">
        <f>AND(NOT(S2269),W2269=TRUE)</f>
        <v>0</v>
      </c>
      <c r="U2269" s="538"/>
      <c r="V2269" s="538"/>
      <c r="W2269" s="27"/>
      <c r="X2269" s="541"/>
      <c r="Y2269" s="572" t="str">
        <f>IF(LEN('11.1000'!X22)=0,"None",'11.1000'!X22)</f>
        <v>None</v>
      </c>
      <c r="Z2269" s="715"/>
      <c r="AB2269" s="538"/>
      <c r="AC2269" s="538" t="b">
        <f>OR(AD2269:AE2269)</f>
        <v>0</v>
      </c>
      <c r="AD2269" s="538" t="b">
        <f>T2269</f>
        <v>0</v>
      </c>
      <c r="AE2269" s="538"/>
      <c r="AF2269" s="538"/>
      <c r="AG2269" s="538"/>
      <c r="AH2269" s="538"/>
      <c r="AI2269" s="538"/>
      <c r="AJ2269" s="538"/>
      <c r="AK2269" s="538"/>
      <c r="AL2269" s="1352"/>
      <c r="AM2269" s="1352"/>
      <c r="AN2269" s="1352"/>
      <c r="AO2269" s="1352"/>
      <c r="AP2269" s="1352" t="str">
        <f>SUBSTITUTE(SUBSTITUTE(SUBSTITUTE("vch"&amp;$B2269&amp;$C2269&amp;$D2269&amp;$E2269,".","_"),"(","_"),")","")</f>
        <v>vch1001_1_5</v>
      </c>
      <c r="AQ2269" s="1352" t="str">
        <f>IF(LEN(W2269)=0,"",W2269)</f>
        <v/>
      </c>
      <c r="AR2269" s="1352" t="str">
        <f>SUBSTITUTE(SUBSTITUTE(SUBSTITUTE("vnt"&amp;$B2269&amp;$C2269&amp;$D2269&amp;$E2269,".","_"),"(","_"),")","")</f>
        <v>vnt1001_1_5</v>
      </c>
      <c r="AS2269" s="1352" t="str">
        <f>IF(LEN(X2269)=0,"",X2269)</f>
        <v/>
      </c>
      <c r="AT2269" s="538"/>
      <c r="AU2269" s="538"/>
      <c r="AV2269" s="538"/>
      <c r="AW2269" s="538"/>
      <c r="AZ2269" s="538"/>
      <c r="BA2269" s="538"/>
      <c r="BB2269" s="538"/>
      <c r="BC2269" s="538"/>
      <c r="BD2269" s="538"/>
      <c r="BE2269" s="538"/>
      <c r="BF2269" s="538"/>
      <c r="BG2269" s="538"/>
      <c r="BH2269" s="538"/>
    </row>
    <row r="2270" spans="1:60" hidden="1" x14ac:dyDescent="0.2">
      <c r="A2270" s="1507">
        <v>10</v>
      </c>
      <c r="B2270" s="1516">
        <v>1001.1</v>
      </c>
      <c r="C2270" s="1511" t="s">
        <v>264</v>
      </c>
      <c r="D2270" s="1511"/>
      <c r="E2270" s="1511"/>
      <c r="F2270" s="1514"/>
      <c r="G2270" s="1509" t="str">
        <f t="shared" si="147"/>
        <v/>
      </c>
      <c r="H2270" s="1510" t="s">
        <v>3199</v>
      </c>
      <c r="I2270" s="588"/>
      <c r="J2270" s="608" t="s">
        <v>264</v>
      </c>
      <c r="K2270" s="1404"/>
      <c r="L2270" s="1613" t="s">
        <v>2771</v>
      </c>
      <c r="M2270" s="540"/>
      <c r="N2270" s="4"/>
      <c r="O2270" s="540"/>
      <c r="P2270" s="538" t="b">
        <v>0</v>
      </c>
      <c r="Q2270" s="538" t="b">
        <v>1</v>
      </c>
      <c r="R2270" s="538" t="b">
        <v>0</v>
      </c>
      <c r="S2270" s="538" t="b">
        <f>IF(AY2266=INDEX(ddSingleOrMulti,1),TRUE,FALSE)</f>
        <v>0</v>
      </c>
      <c r="T2270" s="96" t="b">
        <f>AND(NOT(S2270),W2270=TRUE)</f>
        <v>0</v>
      </c>
      <c r="U2270" s="538"/>
      <c r="V2270" s="538"/>
      <c r="W2270" s="27"/>
      <c r="X2270" s="1600"/>
      <c r="Y2270" s="1874" t="str">
        <f>IF(LEN('11.1000'!X23)=0,"None",'11.1000'!X23)</f>
        <v>None</v>
      </c>
      <c r="Z2270" s="1889"/>
      <c r="AB2270" s="538"/>
      <c r="AC2270" s="538" t="b">
        <f>OR(AD2270:AE2270)</f>
        <v>0</v>
      </c>
      <c r="AD2270" s="538" t="b">
        <f>T2270</f>
        <v>0</v>
      </c>
      <c r="AE2270" s="538"/>
      <c r="AF2270" s="538"/>
      <c r="AG2270" s="538"/>
      <c r="AH2270" s="538"/>
      <c r="AI2270" s="538"/>
      <c r="AJ2270" s="538"/>
      <c r="AK2270" s="538"/>
      <c r="AL2270" s="1352"/>
      <c r="AM2270" s="1352"/>
      <c r="AN2270" s="1352"/>
      <c r="AO2270" s="1352"/>
      <c r="AP2270" s="1352" t="str">
        <f>SUBSTITUTE(SUBSTITUTE(SUBSTITUTE("vch"&amp;$B2270&amp;$C2270&amp;$D2270&amp;$E2270,".","_"),"(","_"),")","")</f>
        <v>vch1001_1_6</v>
      </c>
      <c r="AQ2270" s="1352" t="str">
        <f>IF(LEN(W2270)=0,"",W2270)</f>
        <v/>
      </c>
      <c r="AR2270" s="1352" t="str">
        <f>SUBSTITUTE(SUBSTITUTE(SUBSTITUTE("vnt"&amp;$B2270&amp;$C2270&amp;$D2270&amp;$E2270,".","_"),"(","_"),")","")</f>
        <v>vnt1001_1_6</v>
      </c>
      <c r="AS2270" s="1352" t="str">
        <f>IF(LEN(X2270)=0,"",X2270)</f>
        <v/>
      </c>
      <c r="AT2270" s="538"/>
      <c r="AU2270" s="538"/>
      <c r="AV2270" s="538"/>
      <c r="AW2270" s="538"/>
      <c r="AX2270" s="585" t="str">
        <f>'Overview (Verification)'!A25</f>
        <v>Above grade plane finished floor area:</v>
      </c>
      <c r="AY2270" s="685">
        <f>IF(LEN('Overview (Verification)'!P25)=0,0,'Overview (Verification)'!P25)</f>
        <v>1184</v>
      </c>
      <c r="AZ2270" s="538"/>
      <c r="BA2270" s="538"/>
      <c r="BB2270" s="538"/>
      <c r="BC2270" s="538"/>
      <c r="BD2270" s="538"/>
      <c r="BE2270" s="538"/>
      <c r="BF2270" s="538"/>
      <c r="BG2270" s="538"/>
      <c r="BH2270" s="538"/>
    </row>
    <row r="2271" spans="1:60" hidden="1" x14ac:dyDescent="0.2">
      <c r="A2271" s="1507">
        <v>10</v>
      </c>
      <c r="B2271" s="1516">
        <v>1001.1</v>
      </c>
      <c r="C2271" s="1511" t="s">
        <v>264</v>
      </c>
      <c r="D2271" s="1511"/>
      <c r="E2271" s="1511"/>
      <c r="F2271" s="1514"/>
      <c r="G2271" s="1509" t="str">
        <f t="shared" si="147"/>
        <v/>
      </c>
      <c r="H2271" s="1510" t="s">
        <v>3199</v>
      </c>
      <c r="I2271" s="588"/>
      <c r="J2271" s="606"/>
      <c r="K2271" s="208"/>
      <c r="L2271" s="1612"/>
      <c r="M2271" s="540"/>
      <c r="N2271" s="4"/>
      <c r="O2271" s="540"/>
      <c r="P2271" s="538"/>
      <c r="Q2271" s="538"/>
      <c r="R2271" s="538"/>
      <c r="S2271" s="538"/>
      <c r="T2271" s="538"/>
      <c r="U2271" s="538"/>
      <c r="V2271" s="538"/>
      <c r="W2271" s="538"/>
      <c r="X2271" s="1600"/>
      <c r="Y2271" s="1874"/>
      <c r="Z2271" s="1889"/>
      <c r="AB2271" s="538"/>
      <c r="AC2271" s="538"/>
      <c r="AD2271" s="538"/>
      <c r="AE2271" s="538"/>
      <c r="AF2271" s="538"/>
      <c r="AG2271" s="538"/>
      <c r="AH2271" s="538"/>
      <c r="AI2271" s="538"/>
      <c r="AJ2271" s="538"/>
      <c r="AK2271" s="538"/>
      <c r="AL2271" s="1352"/>
      <c r="AM2271" s="1352"/>
      <c r="AN2271" s="1352"/>
      <c r="AO2271" s="1352"/>
      <c r="AP2271" s="1352"/>
      <c r="AQ2271" s="1352"/>
      <c r="AR2271" s="1352"/>
      <c r="AS2271" s="1352"/>
      <c r="AT2271" s="538"/>
      <c r="AU2271" s="538"/>
      <c r="AV2271" s="538"/>
      <c r="AW2271" s="538"/>
      <c r="AX2271" s="585" t="str">
        <f>'Overview (Verification)'!A26</f>
        <v>Total conditioned floor area:</v>
      </c>
      <c r="AY2271" s="685">
        <f>IF(LEN('Overview (Verification)'!P26)=0,0,'Overview (Verification)'!P26)</f>
        <v>20128</v>
      </c>
      <c r="AZ2271" s="538"/>
      <c r="BA2271" s="538"/>
      <c r="BB2271" s="538"/>
      <c r="BC2271" s="538"/>
      <c r="BD2271" s="538"/>
      <c r="BE2271" s="538"/>
      <c r="BF2271" s="538"/>
      <c r="BG2271" s="538"/>
      <c r="BH2271" s="538"/>
    </row>
    <row r="2272" spans="1:60" hidden="1" x14ac:dyDescent="0.2">
      <c r="A2272" s="1507">
        <v>10</v>
      </c>
      <c r="B2272" s="1516">
        <v>1001.1</v>
      </c>
      <c r="C2272" s="1511" t="s">
        <v>356</v>
      </c>
      <c r="D2272" s="1511"/>
      <c r="E2272" s="1511"/>
      <c r="F2272" s="1514"/>
      <c r="G2272" s="1509" t="str">
        <f t="shared" si="147"/>
        <v/>
      </c>
      <c r="H2272" s="1510" t="s">
        <v>3199</v>
      </c>
      <c r="I2272" s="588"/>
      <c r="J2272" s="608" t="s">
        <v>356</v>
      </c>
      <c r="K2272" s="1404"/>
      <c r="L2272" s="1613" t="s">
        <v>2772</v>
      </c>
      <c r="M2272" s="540"/>
      <c r="N2272" s="4"/>
      <c r="O2272" s="540"/>
      <c r="P2272" s="538" t="b">
        <v>0</v>
      </c>
      <c r="Q2272" s="538" t="b">
        <v>1</v>
      </c>
      <c r="R2272" s="538" t="b">
        <v>0</v>
      </c>
      <c r="S2272" s="538" t="b">
        <f>IF(AY2266=INDEX(ddSingleOrMulti,1),TRUE,FALSE)</f>
        <v>0</v>
      </c>
      <c r="T2272" s="96" t="b">
        <f>AND(NOT(S2272),W2272=TRUE)</f>
        <v>0</v>
      </c>
      <c r="U2272" s="538"/>
      <c r="V2272" s="538"/>
      <c r="W2272" s="27"/>
      <c r="X2272" s="1600"/>
      <c r="Y2272" s="1874" t="str">
        <f>IF(LEN('11.1000'!X25)=0,"None",'11.1000'!X25)</f>
        <v>None</v>
      </c>
      <c r="Z2272" s="1889"/>
      <c r="AB2272" s="538"/>
      <c r="AC2272" s="538" t="b">
        <f>OR(AD2272:AE2272)</f>
        <v>0</v>
      </c>
      <c r="AD2272" s="538" t="b">
        <f>T2272</f>
        <v>0</v>
      </c>
      <c r="AE2272" s="538"/>
      <c r="AF2272" s="538"/>
      <c r="AG2272" s="538"/>
      <c r="AH2272" s="538"/>
      <c r="AI2272" s="538"/>
      <c r="AJ2272" s="538"/>
      <c r="AK2272" s="538"/>
      <c r="AL2272" s="1352"/>
      <c r="AM2272" s="1352"/>
      <c r="AN2272" s="1352"/>
      <c r="AO2272" s="1352"/>
      <c r="AP2272" s="1352" t="str">
        <f>SUBSTITUTE(SUBSTITUTE(SUBSTITUTE("vch"&amp;$B2272&amp;$C2272&amp;$D2272&amp;$E2272,".","_"),"(","_"),")","")</f>
        <v>vch1001_1_7</v>
      </c>
      <c r="AQ2272" s="1352" t="str">
        <f>IF(LEN(W2272)=0,"",W2272)</f>
        <v/>
      </c>
      <c r="AR2272" s="1352" t="str">
        <f>SUBSTITUTE(SUBSTITUTE(SUBSTITUTE("vnt"&amp;$B2272&amp;$C2272&amp;$D2272&amp;$E2272,".","_"),"(","_"),")","")</f>
        <v>vnt1001_1_7</v>
      </c>
      <c r="AS2272" s="1352" t="str">
        <f>IF(LEN(X2272)=0,"",X2272)</f>
        <v/>
      </c>
      <c r="AT2272" s="538"/>
      <c r="AU2272" s="538"/>
      <c r="AV2272" s="538"/>
      <c r="AW2272" s="538"/>
      <c r="AX2272" s="585" t="str">
        <f>'Overview (Verification)'!A27</f>
        <v>Stories above grade:</v>
      </c>
      <c r="AY2272" s="685">
        <f>IF(LEN('Overview (Verification)'!P27)=0,0,'Overview (Verification)'!P27)</f>
        <v>2</v>
      </c>
      <c r="AZ2272" s="538"/>
      <c r="BA2272" s="538"/>
      <c r="BB2272" s="538"/>
      <c r="BC2272" s="538"/>
      <c r="BD2272" s="538"/>
      <c r="BE2272" s="538"/>
      <c r="BF2272" s="538"/>
      <c r="BG2272" s="538"/>
      <c r="BH2272" s="538"/>
    </row>
    <row r="2273" spans="1:65" hidden="1" x14ac:dyDescent="0.2">
      <c r="A2273" s="1507">
        <v>10</v>
      </c>
      <c r="B2273" s="1516">
        <v>1001.1</v>
      </c>
      <c r="C2273" s="1511" t="s">
        <v>356</v>
      </c>
      <c r="D2273" s="1511"/>
      <c r="E2273" s="1511"/>
      <c r="F2273" s="1514"/>
      <c r="G2273" s="1509" t="str">
        <f t="shared" si="147"/>
        <v/>
      </c>
      <c r="H2273" s="1510" t="s">
        <v>3199</v>
      </c>
      <c r="I2273" s="588"/>
      <c r="J2273" s="606"/>
      <c r="K2273" s="208"/>
      <c r="L2273" s="1612"/>
      <c r="M2273" s="540"/>
      <c r="N2273" s="4"/>
      <c r="O2273" s="540"/>
      <c r="P2273" s="538"/>
      <c r="Q2273" s="538"/>
      <c r="R2273" s="538"/>
      <c r="S2273" s="538"/>
      <c r="T2273" s="538"/>
      <c r="U2273" s="538"/>
      <c r="V2273" s="538"/>
      <c r="W2273" s="538"/>
      <c r="X2273" s="1600"/>
      <c r="Y2273" s="1874"/>
      <c r="Z2273" s="1889"/>
      <c r="AB2273" s="538"/>
      <c r="AC2273" s="538"/>
      <c r="AD2273" s="538"/>
      <c r="AE2273" s="538"/>
      <c r="AF2273" s="538"/>
      <c r="AG2273" s="538"/>
      <c r="AH2273" s="538"/>
      <c r="AI2273" s="538"/>
      <c r="AJ2273" s="538"/>
      <c r="AK2273" s="538"/>
      <c r="AL2273" s="1352"/>
      <c r="AM2273" s="1352"/>
      <c r="AN2273" s="1352"/>
      <c r="AO2273" s="1352"/>
      <c r="AP2273" s="1352"/>
      <c r="AQ2273" s="1352"/>
      <c r="AR2273" s="1352"/>
      <c r="AS2273" s="1352"/>
      <c r="AT2273" s="538"/>
      <c r="AU2273" s="538"/>
      <c r="AV2273" s="538"/>
      <c r="AW2273" s="538"/>
      <c r="AZ2273" s="538"/>
      <c r="BA2273" s="538"/>
      <c r="BB2273" s="538"/>
      <c r="BC2273" s="538"/>
      <c r="BD2273" s="538"/>
      <c r="BE2273" s="538"/>
      <c r="BF2273" s="538"/>
      <c r="BG2273" s="538"/>
      <c r="BH2273" s="538"/>
    </row>
    <row r="2274" spans="1:65" ht="16" hidden="1" x14ac:dyDescent="0.2">
      <c r="A2274" s="1507">
        <v>10</v>
      </c>
      <c r="B2274" s="1516">
        <v>1001.1</v>
      </c>
      <c r="C2274" s="1511" t="s">
        <v>389</v>
      </c>
      <c r="D2274" s="1511"/>
      <c r="E2274" s="1511"/>
      <c r="F2274" s="1514"/>
      <c r="G2274" s="1509" t="str">
        <f t="shared" si="147"/>
        <v/>
      </c>
      <c r="H2274" s="1510" t="s">
        <v>3199</v>
      </c>
      <c r="I2274" s="588"/>
      <c r="J2274" s="607" t="s">
        <v>389</v>
      </c>
      <c r="K2274" s="211"/>
      <c r="L2274" s="311" t="s">
        <v>2773</v>
      </c>
      <c r="M2274" s="540"/>
      <c r="N2274" s="4"/>
      <c r="O2274" s="540"/>
      <c r="P2274" s="538" t="b">
        <v>0</v>
      </c>
      <c r="Q2274" s="538" t="b">
        <v>1</v>
      </c>
      <c r="R2274" s="538" t="b">
        <v>0</v>
      </c>
      <c r="S2274" s="538" t="b">
        <f>IF(AY2266=INDEX(ddSingleOrMulti,1),TRUE,FALSE)</f>
        <v>0</v>
      </c>
      <c r="T2274" s="96" t="b">
        <f>AND(NOT(S2274),W2274=TRUE)</f>
        <v>0</v>
      </c>
      <c r="U2274" s="538"/>
      <c r="V2274" s="538"/>
      <c r="W2274" s="27"/>
      <c r="X2274" s="541"/>
      <c r="Y2274" s="572" t="str">
        <f>IF(LEN('11.1000'!X27)=0,"None",'11.1000'!X27)</f>
        <v>None</v>
      </c>
      <c r="Z2274" s="715"/>
      <c r="AB2274" s="538"/>
      <c r="AC2274" s="538" t="b">
        <f>OR(AD2274:AE2274)</f>
        <v>0</v>
      </c>
      <c r="AD2274" s="538" t="b">
        <f>T2274</f>
        <v>0</v>
      </c>
      <c r="AE2274" s="538"/>
      <c r="AF2274" s="538"/>
      <c r="AG2274" s="538"/>
      <c r="AH2274" s="538"/>
      <c r="AI2274" s="538"/>
      <c r="AJ2274" s="538"/>
      <c r="AK2274" s="538"/>
      <c r="AL2274" s="1352"/>
      <c r="AM2274" s="1352"/>
      <c r="AN2274" s="1352"/>
      <c r="AO2274" s="1352"/>
      <c r="AP2274" s="1352" t="str">
        <f>SUBSTITUTE(SUBSTITUTE(SUBSTITUTE("vch"&amp;$B2274&amp;$C2274&amp;$D2274&amp;$E2274,".","_"),"(","_"),")","")</f>
        <v>vch1001_1_8</v>
      </c>
      <c r="AQ2274" s="1352" t="str">
        <f>IF(LEN(W2274)=0,"",W2274)</f>
        <v/>
      </c>
      <c r="AR2274" s="1352" t="str">
        <f>SUBSTITUTE(SUBSTITUTE(SUBSTITUTE("vnt"&amp;$B2274&amp;$C2274&amp;$D2274&amp;$E2274,".","_"),"(","_"),")","")</f>
        <v>vnt1001_1_8</v>
      </c>
      <c r="AS2274" s="1352" t="str">
        <f>IF(LEN(X2274)=0,"",X2274)</f>
        <v/>
      </c>
      <c r="AT2274" s="538"/>
      <c r="AU2274" s="538"/>
      <c r="AV2274" s="538"/>
      <c r="AW2274" s="538"/>
      <c r="AX2274" s="807" t="str">
        <f>'Overview (Verification)'!A29</f>
        <v>Year Built:</v>
      </c>
      <c r="AY2274" s="808">
        <f>IF(LEN('Overview (Verification)'!P29)=0,0,'Overview (Verification)'!P29)</f>
        <v>1969</v>
      </c>
      <c r="AZ2274" s="538"/>
      <c r="BA2274" s="538"/>
      <c r="BB2274" s="538"/>
      <c r="BC2274" s="538"/>
      <c r="BD2274" s="538"/>
      <c r="BE2274" s="538"/>
      <c r="BF2274" s="538"/>
      <c r="BG2274" s="538"/>
      <c r="BH2274" s="538"/>
    </row>
    <row r="2275" spans="1:65" hidden="1" x14ac:dyDescent="0.2">
      <c r="A2275" s="1507">
        <v>10</v>
      </c>
      <c r="B2275" s="1516">
        <v>1001.1</v>
      </c>
      <c r="C2275" s="1511" t="s">
        <v>391</v>
      </c>
      <c r="D2275" s="1511"/>
      <c r="E2275" s="1511"/>
      <c r="F2275" s="1514"/>
      <c r="G2275" s="1509" t="str">
        <f ca="1">IF(IFERROR(SEARCH("Mandatory",M2275),FALSE),"P","")</f>
        <v/>
      </c>
      <c r="H2275" s="1510" t="s">
        <v>3199</v>
      </c>
      <c r="I2275" s="588"/>
      <c r="J2275" s="589" t="s">
        <v>391</v>
      </c>
      <c r="K2275" s="588"/>
      <c r="L2275" s="1649" t="s">
        <v>2774</v>
      </c>
      <c r="M2275" s="1708" t="str">
        <f ca="1">IF(R2275,"Mandatory per 902.2.1","N/A")</f>
        <v>N/A</v>
      </c>
      <c r="N2275" s="4"/>
      <c r="O2275" s="540"/>
      <c r="P2275" s="538" t="b">
        <v>0</v>
      </c>
      <c r="Q2275" s="538" t="b">
        <v>1</v>
      </c>
      <c r="R2275" s="1" t="b">
        <f ca="1">AND(S2275,OR($O$2077&gt;0,$R$2077))</f>
        <v>0</v>
      </c>
      <c r="S2275" s="538" t="b">
        <f>IF(AY2266=INDEX(ddSingleOrMulti,1),TRUE,FALSE)</f>
        <v>0</v>
      </c>
      <c r="T2275" s="96" t="b">
        <f>AND(NOT(S2275),W2275=TRUE)</f>
        <v>0</v>
      </c>
      <c r="U2275" s="538"/>
      <c r="V2275" s="538"/>
      <c r="W2275" s="27"/>
      <c r="X2275" s="1621"/>
      <c r="Y2275" s="1875" t="str">
        <f>IF(LEN('11.1000'!X28)=0,"None",'11.1000'!X28)</f>
        <v>None</v>
      </c>
      <c r="Z2275" s="1878"/>
      <c r="AB2275" s="538"/>
      <c r="AC2275" s="538" t="b">
        <f ca="1">OR(AD2275:AE2275)</f>
        <v>0</v>
      </c>
      <c r="AD2275" s="538" t="b">
        <f>T2275</f>
        <v>0</v>
      </c>
      <c r="AE2275" s="677" t="b">
        <f ca="1">AND(R2275,NOT(W2275=TRUE))</f>
        <v>0</v>
      </c>
      <c r="AF2275" s="720"/>
      <c r="AG2275" s="538"/>
      <c r="AH2275" s="538"/>
      <c r="AI2275" s="538"/>
      <c r="AJ2275" s="538"/>
      <c r="AK2275" s="538"/>
      <c r="AL2275" s="1352" t="str">
        <f>SUBSTITUTE(SUBSTITUTE(SUBSTITUTE("vpa"&amp;$B2275&amp;$C2275&amp;$D2275&amp;$E2275,".","_"),"(","_"),")","")</f>
        <v>vpa1001_1_9</v>
      </c>
      <c r="AM2275" s="1352" t="str">
        <f ca="1">M2275</f>
        <v>N/A</v>
      </c>
      <c r="AN2275" s="1352"/>
      <c r="AO2275" s="1352"/>
      <c r="AP2275" s="1352" t="str">
        <f>SUBSTITUTE(SUBSTITUTE(SUBSTITUTE("vch"&amp;$B2275&amp;$C2275&amp;$D2275&amp;$E2275,".","_"),"(","_"),")","")</f>
        <v>vch1001_1_9</v>
      </c>
      <c r="AQ2275" s="1352" t="str">
        <f>IF(LEN(W2275)=0,"",W2275)</f>
        <v/>
      </c>
      <c r="AR2275" s="1352" t="str">
        <f>SUBSTITUTE(SUBSTITUTE(SUBSTITUTE("vnt"&amp;$B2275&amp;$C2275&amp;$D2275&amp;$E2275,".","_"),"(","_"),")","")</f>
        <v>vnt1001_1_9</v>
      </c>
      <c r="AS2275" s="1352" t="str">
        <f>IF(LEN(X2275)=0,"",X2275)</f>
        <v/>
      </c>
      <c r="AT2275" s="538"/>
      <c r="AU2275" s="538"/>
      <c r="AV2275" s="538"/>
      <c r="AW2275" s="538"/>
      <c r="AX2275" s="1167" t="str">
        <f>'Overview (Verification)'!A30</f>
        <v>Energy Baseline Year:</v>
      </c>
      <c r="AY2275" s="1168">
        <f>IF(LEN('Overview (Verification)'!P30)=0,0,'Overview (Verification)'!P30)</f>
        <v>2020</v>
      </c>
      <c r="AZ2275" s="538"/>
      <c r="BA2275" s="538"/>
      <c r="BB2275" s="538"/>
      <c r="BC2275" s="538"/>
      <c r="BD2275" s="538"/>
      <c r="BE2275" s="538"/>
      <c r="BF2275" s="538"/>
      <c r="BG2275" s="538"/>
      <c r="BH2275" s="538"/>
    </row>
    <row r="2276" spans="1:65" hidden="1" x14ac:dyDescent="0.2">
      <c r="A2276" s="1507">
        <v>10</v>
      </c>
      <c r="B2276" s="1516">
        <v>1001.1</v>
      </c>
      <c r="C2276" s="1511" t="s">
        <v>391</v>
      </c>
      <c r="D2276" s="1511"/>
      <c r="E2276" s="1511"/>
      <c r="F2276" s="1514"/>
      <c r="G2276" s="1509" t="str">
        <f t="shared" ca="1" si="147"/>
        <v/>
      </c>
      <c r="H2276" s="1510" t="s">
        <v>3199</v>
      </c>
      <c r="I2276" s="588"/>
      <c r="J2276" s="589"/>
      <c r="K2276" s="588"/>
      <c r="L2276" s="1650"/>
      <c r="M2276" s="1708"/>
      <c r="N2276" s="4"/>
      <c r="O2276" s="678"/>
      <c r="P2276" s="677"/>
      <c r="Q2276" s="677"/>
      <c r="R2276"/>
      <c r="S2276" s="677"/>
      <c r="T2276" s="96"/>
      <c r="U2276" s="677"/>
      <c r="V2276" s="677"/>
      <c r="W2276"/>
      <c r="X2276" s="1599"/>
      <c r="Y2276" s="1877"/>
      <c r="Z2276" s="1880"/>
      <c r="AB2276" s="677"/>
      <c r="AC2276" s="677"/>
      <c r="AD2276" s="677"/>
      <c r="AE2276" s="677"/>
      <c r="AF2276" s="677"/>
      <c r="AG2276" s="677"/>
      <c r="AH2276" s="677"/>
      <c r="AI2276" s="677"/>
      <c r="AJ2276" s="677"/>
      <c r="AK2276" s="677"/>
      <c r="AL2276" s="1352"/>
      <c r="AM2276" s="1352"/>
      <c r="AN2276" s="1352"/>
      <c r="AO2276" s="1352"/>
      <c r="AP2276" s="1352"/>
      <c r="AQ2276" s="1352"/>
      <c r="AR2276" s="1352"/>
      <c r="AS2276" s="1352"/>
      <c r="AT2276" s="538"/>
      <c r="AU2276" s="538"/>
      <c r="AV2276" s="538"/>
      <c r="AW2276" s="677"/>
      <c r="AX2276" s="1167" t="str">
        <f>'Overview (Verification)'!A31</f>
        <v>Water Baseline Year:</v>
      </c>
      <c r="AY2276" s="1168">
        <f>IF(LEN('Overview (Verification)'!P31)=0,0,'Overview (Verification)'!P31)</f>
        <v>2020</v>
      </c>
      <c r="AZ2276" s="677"/>
      <c r="BA2276" s="677"/>
      <c r="BB2276" s="677"/>
      <c r="BC2276" s="677"/>
      <c r="BD2276" s="677"/>
      <c r="BE2276" s="677"/>
      <c r="BF2276" s="677"/>
      <c r="BG2276" s="677"/>
      <c r="BH2276" s="677"/>
      <c r="BL2276" s="677"/>
      <c r="BM2276" s="677"/>
    </row>
    <row r="2277" spans="1:65" ht="16" hidden="1" x14ac:dyDescent="0.2">
      <c r="A2277" s="1507">
        <v>10</v>
      </c>
      <c r="B2277" s="1516">
        <v>1001.1</v>
      </c>
      <c r="C2277" s="1511" t="s">
        <v>392</v>
      </c>
      <c r="D2277" s="1511"/>
      <c r="E2277" s="1511"/>
      <c r="F2277" s="1514"/>
      <c r="G2277" s="1509" t="str">
        <f ca="1">G2275</f>
        <v/>
      </c>
      <c r="H2277" s="1510" t="s">
        <v>3199</v>
      </c>
      <c r="I2277" s="588"/>
      <c r="J2277" s="607" t="s">
        <v>392</v>
      </c>
      <c r="K2277" s="211"/>
      <c r="L2277" s="311" t="s">
        <v>2775</v>
      </c>
      <c r="M2277" s="540"/>
      <c r="N2277" s="4"/>
      <c r="O2277" s="540"/>
      <c r="P2277" s="538" t="b">
        <v>0</v>
      </c>
      <c r="Q2277" s="538" t="b">
        <v>1</v>
      </c>
      <c r="R2277" s="538" t="b">
        <v>0</v>
      </c>
      <c r="S2277" s="538" t="b">
        <f>IF(AY2266=INDEX(ddSingleOrMulti,1),TRUE,FALSE)</f>
        <v>0</v>
      </c>
      <c r="T2277" s="96" t="b">
        <f>AND(NOT(S2277),W2277=TRUE)</f>
        <v>0</v>
      </c>
      <c r="U2277" s="538"/>
      <c r="V2277" s="538"/>
      <c r="W2277" s="27"/>
      <c r="X2277" s="541"/>
      <c r="Y2277" s="572" t="str">
        <f>IF(LEN('11.1000'!X30)=0,"None",'11.1000'!X30)</f>
        <v>None</v>
      </c>
      <c r="Z2277" s="715"/>
      <c r="AB2277" s="538"/>
      <c r="AC2277" s="538" t="b">
        <f>OR(AD2277:AE2277)</f>
        <v>0</v>
      </c>
      <c r="AD2277" s="538" t="b">
        <f>T2277</f>
        <v>0</v>
      </c>
      <c r="AE2277" s="538"/>
      <c r="AF2277" s="538"/>
      <c r="AG2277" s="538"/>
      <c r="AH2277" s="538"/>
      <c r="AI2277" s="538"/>
      <c r="AJ2277" s="538"/>
      <c r="AK2277" s="538"/>
      <c r="AL2277" s="1352"/>
      <c r="AM2277" s="1352"/>
      <c r="AN2277" s="1352"/>
      <c r="AO2277" s="1352"/>
      <c r="AP2277" s="1352" t="str">
        <f>SUBSTITUTE(SUBSTITUTE(SUBSTITUTE("vch"&amp;$B2277&amp;$C2277&amp;$D2277&amp;$E2277,".","_"),"(","_"),")","")</f>
        <v>vch1001_1_10</v>
      </c>
      <c r="AQ2277" s="1352" t="str">
        <f>IF(LEN(W2277)=0,"",W2277)</f>
        <v/>
      </c>
      <c r="AR2277" s="1352" t="str">
        <f>SUBSTITUTE(SUBSTITUTE(SUBSTITUTE("vnt"&amp;$B2277&amp;$C2277&amp;$D2277&amp;$E2277,".","_"),"(","_"),")","")</f>
        <v>vnt1001_1_10</v>
      </c>
      <c r="AS2277" s="1352" t="str">
        <f>IF(LEN(X2277)=0,"",X2277)</f>
        <v/>
      </c>
      <c r="AT2277" s="538"/>
      <c r="AU2277" s="538"/>
      <c r="AV2277" s="538"/>
      <c r="AW2277" s="538"/>
      <c r="AX2277" s="585" t="str">
        <f>'Overview (Verification)'!A32</f>
        <v xml:space="preserve">Project Description: </v>
      </c>
      <c r="AY2277" s="685" t="str">
        <f>IF(LEN('Overview (Verification)'!P32)=0,0,'Overview (Verification)'!P32)</f>
        <v>n/a</v>
      </c>
      <c r="AZ2277" s="538"/>
      <c r="BA2277" s="538"/>
      <c r="BB2277" s="538"/>
      <c r="BC2277" s="538"/>
      <c r="BD2277" s="538"/>
      <c r="BE2277" s="538"/>
      <c r="BF2277" s="538"/>
      <c r="BG2277" s="538"/>
      <c r="BH2277" s="538"/>
    </row>
    <row r="2278" spans="1:65" ht="15" hidden="1" customHeight="1" x14ac:dyDescent="0.2">
      <c r="A2278" s="1507">
        <v>10</v>
      </c>
      <c r="B2278" s="1516">
        <v>1001.1</v>
      </c>
      <c r="C2278" s="1511" t="s">
        <v>394</v>
      </c>
      <c r="D2278" s="1511"/>
      <c r="E2278" s="1511"/>
      <c r="F2278" s="1514"/>
      <c r="G2278" s="1509" t="str">
        <f t="shared" ca="1" si="147"/>
        <v/>
      </c>
      <c r="H2278" s="1510" t="s">
        <v>3199</v>
      </c>
      <c r="I2278" s="588"/>
      <c r="J2278" s="589" t="s">
        <v>394</v>
      </c>
      <c r="K2278" s="588"/>
      <c r="L2278" s="682" t="s">
        <v>2776</v>
      </c>
      <c r="M2278" s="540"/>
      <c r="N2278" s="4"/>
      <c r="O2278" s="540"/>
      <c r="P2278" s="538" t="b">
        <v>0</v>
      </c>
      <c r="Q2278" s="538" t="b">
        <v>1</v>
      </c>
      <c r="R2278" s="538" t="b">
        <v>0</v>
      </c>
      <c r="S2278" s="538" t="b">
        <f>IF(AY2266=INDEX(ddSingleOrMulti,1),TRUE,FALSE)</f>
        <v>0</v>
      </c>
      <c r="T2278" s="96" t="b">
        <f>AND(NOT(S2278),W2278=TRUE)</f>
        <v>0</v>
      </c>
      <c r="U2278" s="538"/>
      <c r="V2278" s="538"/>
      <c r="W2278" s="27"/>
      <c r="X2278" s="541"/>
      <c r="Y2278" s="572" t="str">
        <f>IF(LEN('11.1000'!X31)=0,"None",'11.1000'!X31)</f>
        <v>None</v>
      </c>
      <c r="Z2278" s="715"/>
      <c r="AB2278" s="538"/>
      <c r="AC2278" s="538" t="b">
        <f>OR(AD2278:AE2278)</f>
        <v>0</v>
      </c>
      <c r="AD2278" s="538" t="b">
        <f>T2278</f>
        <v>0</v>
      </c>
      <c r="AE2278" s="538"/>
      <c r="AF2278" s="538"/>
      <c r="AG2278" s="538"/>
      <c r="AH2278" s="538"/>
      <c r="AI2278" s="538"/>
      <c r="AJ2278" s="538"/>
      <c r="AK2278" s="538"/>
      <c r="AL2278" s="1352"/>
      <c r="AM2278" s="1352"/>
      <c r="AN2278" s="1352"/>
      <c r="AO2278" s="1352"/>
      <c r="AP2278" s="1352" t="str">
        <f>SUBSTITUTE(SUBSTITUTE(SUBSTITUTE("vch"&amp;$B2278&amp;$C2278&amp;$D2278&amp;$E2278,".","_"),"(","_"),")","")</f>
        <v>vch1001_1_11</v>
      </c>
      <c r="AQ2278" s="1352" t="str">
        <f>IF(LEN(W2278)=0,"",W2278)</f>
        <v/>
      </c>
      <c r="AR2278" s="1352" t="str">
        <f>SUBSTITUTE(SUBSTITUTE(SUBSTITUTE("vnt"&amp;$B2278&amp;$C2278&amp;$D2278&amp;$E2278,".","_"),"(","_"),")","")</f>
        <v>vnt1001_1_11</v>
      </c>
      <c r="AS2278" s="1352" t="str">
        <f>IF(LEN(X2278)=0,"",X2278)</f>
        <v/>
      </c>
      <c r="AT2278" s="538"/>
      <c r="AU2278" s="538"/>
      <c r="AV2278" s="538"/>
      <c r="AW2278" s="538"/>
      <c r="AX2278" s="1167"/>
      <c r="AY2278" s="1168"/>
      <c r="AZ2278" s="538"/>
      <c r="BA2278" s="538"/>
      <c r="BB2278" s="538"/>
      <c r="BC2278" s="538"/>
      <c r="BD2278" s="538"/>
      <c r="BE2278" s="538"/>
      <c r="BF2278" s="538"/>
      <c r="BG2278" s="538"/>
      <c r="BH2278" s="538"/>
    </row>
    <row r="2279" spans="1:65" hidden="1" x14ac:dyDescent="0.2">
      <c r="A2279" s="1507">
        <v>10</v>
      </c>
      <c r="B2279" s="1516">
        <v>1001.1</v>
      </c>
      <c r="C2279" s="1511" t="s">
        <v>396</v>
      </c>
      <c r="D2279" s="1511"/>
      <c r="E2279" s="1511"/>
      <c r="F2279" s="1514"/>
      <c r="G2279" s="1509" t="str">
        <f t="shared" ca="1" si="147"/>
        <v/>
      </c>
      <c r="H2279" s="1510" t="s">
        <v>3199</v>
      </c>
      <c r="I2279" s="588"/>
      <c r="J2279" s="608" t="s">
        <v>396</v>
      </c>
      <c r="K2279" s="1404"/>
      <c r="L2279" s="1613" t="s">
        <v>2777</v>
      </c>
      <c r="M2279" s="540"/>
      <c r="N2279" s="4"/>
      <c r="O2279" s="540"/>
      <c r="P2279" s="538" t="b">
        <v>0</v>
      </c>
      <c r="Q2279" s="538" t="b">
        <v>1</v>
      </c>
      <c r="R2279" s="538" t="b">
        <v>0</v>
      </c>
      <c r="S2279" s="538" t="b">
        <f>IF(AY2266=INDEX(ddSingleOrMulti,1),TRUE,FALSE)</f>
        <v>0</v>
      </c>
      <c r="T2279" s="96" t="b">
        <f>AND(NOT(S2279),W2279=TRUE)</f>
        <v>0</v>
      </c>
      <c r="U2279" s="538"/>
      <c r="V2279" s="538"/>
      <c r="W2279" s="27"/>
      <c r="X2279" s="1600"/>
      <c r="Y2279" s="1874" t="str">
        <f>IF(LEN('11.1000'!X32)=0,"None",'11.1000'!X32)</f>
        <v>None</v>
      </c>
      <c r="Z2279" s="1889"/>
      <c r="AB2279" s="538"/>
      <c r="AC2279" s="538" t="b">
        <f>OR(AD2279:AE2279)</f>
        <v>0</v>
      </c>
      <c r="AD2279" s="538" t="b">
        <f>T2279</f>
        <v>0</v>
      </c>
      <c r="AE2279" s="538"/>
      <c r="AF2279" s="538"/>
      <c r="AG2279" s="538"/>
      <c r="AH2279" s="538"/>
      <c r="AI2279" s="538"/>
      <c r="AJ2279" s="538"/>
      <c r="AK2279" s="538"/>
      <c r="AL2279" s="1352"/>
      <c r="AM2279" s="1352"/>
      <c r="AN2279" s="1352"/>
      <c r="AO2279" s="1352"/>
      <c r="AP2279" s="1352" t="str">
        <f>SUBSTITUTE(SUBSTITUTE(SUBSTITUTE("vch"&amp;$B2279&amp;$C2279&amp;$D2279&amp;$E2279,".","_"),"(","_"),")","")</f>
        <v>vch1001_1_12</v>
      </c>
      <c r="AQ2279" s="1352" t="str">
        <f>IF(LEN(W2279)=0,"",W2279)</f>
        <v/>
      </c>
      <c r="AR2279" s="1352" t="str">
        <f>SUBSTITUTE(SUBSTITUTE(SUBSTITUTE("vnt"&amp;$B2279&amp;$C2279&amp;$D2279&amp;$E2279,".","_"),"(","_"),")","")</f>
        <v>vnt1001_1_12</v>
      </c>
      <c r="AS2279" s="1352" t="str">
        <f>IF(LEN(X2279)=0,"",X2279)</f>
        <v/>
      </c>
      <c r="AT2279" s="538"/>
      <c r="AU2279" s="538"/>
      <c r="AV2279" s="538"/>
      <c r="AW2279" s="538"/>
      <c r="AX2279" s="1167" t="str">
        <f>'Overview (Verification)'!A34</f>
        <v>Selected Energy Compliance Path:</v>
      </c>
      <c r="AY2279" s="1168" t="str">
        <f>IF(LEN('Overview (Verification)'!P34)=0,0,'Overview (Verification)'!P34)</f>
        <v>Performance</v>
      </c>
      <c r="AZ2279" s="538"/>
      <c r="BA2279" s="538"/>
      <c r="BB2279" s="538"/>
      <c r="BC2279" s="538"/>
      <c r="BD2279" s="538"/>
      <c r="BE2279" s="538"/>
      <c r="BF2279" s="538"/>
      <c r="BG2279" s="538"/>
      <c r="BH2279" s="538"/>
    </row>
    <row r="2280" spans="1:65" hidden="1" x14ac:dyDescent="0.2">
      <c r="A2280" s="1507">
        <v>10</v>
      </c>
      <c r="B2280" s="1516">
        <v>1001.1</v>
      </c>
      <c r="C2280" s="1511" t="s">
        <v>396</v>
      </c>
      <c r="D2280" s="1511"/>
      <c r="E2280" s="1511"/>
      <c r="F2280" s="1514"/>
      <c r="G2280" s="1509" t="str">
        <f t="shared" ca="1" si="147"/>
        <v/>
      </c>
      <c r="H2280" s="1510" t="s">
        <v>3199</v>
      </c>
      <c r="I2280" s="588"/>
      <c r="J2280" s="609"/>
      <c r="K2280" s="609"/>
      <c r="L2280" s="1609"/>
      <c r="M2280" s="540"/>
      <c r="N2280" s="4"/>
      <c r="O2280" s="540"/>
      <c r="P2280" s="538"/>
      <c r="Q2280" s="538"/>
      <c r="R2280" s="538"/>
      <c r="S2280" s="538"/>
      <c r="T2280" s="538"/>
      <c r="U2280" s="538"/>
      <c r="V2280" s="538"/>
      <c r="W2280" s="538"/>
      <c r="X2280" s="1600"/>
      <c r="Y2280" s="1874"/>
      <c r="Z2280" s="1889"/>
      <c r="AB2280" s="538"/>
      <c r="AC2280" s="538"/>
      <c r="AD2280" s="538"/>
      <c r="AE2280" s="538"/>
      <c r="AF2280" s="538"/>
      <c r="AG2280" s="538"/>
      <c r="AH2280" s="538"/>
      <c r="AI2280" s="538"/>
      <c r="AJ2280" s="538"/>
      <c r="AK2280" s="538"/>
      <c r="AL2280" s="1352"/>
      <c r="AM2280" s="1352"/>
      <c r="AN2280" s="1352"/>
      <c r="AO2280" s="1352"/>
      <c r="AP2280" s="1352"/>
      <c r="AQ2280" s="1352"/>
      <c r="AR2280" s="1352"/>
      <c r="AS2280" s="1352"/>
      <c r="AT2280" s="538"/>
      <c r="AU2280" s="538"/>
      <c r="AV2280" s="538"/>
      <c r="AW2280" s="538"/>
      <c r="AX2280" s="1167" t="str">
        <f>'Overview (Verification)'!A35</f>
        <v>Selected Water Compliance Path:</v>
      </c>
      <c r="AY2280" s="1168" t="str">
        <f>IF(LEN('Overview (Verification)'!P35)=0,0,'Overview (Verification)'!P35)</f>
        <v>Prescriptive</v>
      </c>
      <c r="AZ2280" s="726"/>
      <c r="BA2280" s="726"/>
      <c r="BB2280" s="726"/>
      <c r="BC2280" s="726"/>
      <c r="BD2280" s="726"/>
      <c r="BE2280" s="726"/>
      <c r="BF2280" s="726"/>
      <c r="BG2280" s="726"/>
      <c r="BH2280" s="726"/>
    </row>
    <row r="2281" spans="1:65" hidden="1" x14ac:dyDescent="0.2">
      <c r="A2281" s="1507">
        <v>10</v>
      </c>
      <c r="B2281" s="1516">
        <v>1001.1</v>
      </c>
      <c r="C2281" s="1511" t="s">
        <v>396</v>
      </c>
      <c r="D2281" s="1511" t="s">
        <v>121</v>
      </c>
      <c r="E2281" s="1511"/>
      <c r="F2281" s="1514"/>
      <c r="G2281" s="1509" t="str">
        <f t="shared" ca="1" si="147"/>
        <v/>
      </c>
      <c r="H2281" s="1512" t="s">
        <v>3199</v>
      </c>
      <c r="I2281" s="588"/>
      <c r="J2281" s="609"/>
      <c r="K2281" s="590" t="s">
        <v>121</v>
      </c>
      <c r="L2281" s="679" t="s">
        <v>2778</v>
      </c>
      <c r="M2281" s="540"/>
      <c r="N2281" s="4"/>
      <c r="O2281" s="540"/>
      <c r="P2281" s="538"/>
      <c r="Q2281" s="538"/>
      <c r="R2281" s="538"/>
      <c r="S2281" s="538"/>
      <c r="T2281" s="538"/>
      <c r="U2281" s="538"/>
      <c r="V2281" s="538"/>
      <c r="W2281" s="538"/>
      <c r="X2281" s="1600"/>
      <c r="Y2281" s="1874"/>
      <c r="Z2281" s="1889"/>
      <c r="AB2281" s="538"/>
      <c r="AC2281" s="538"/>
      <c r="AD2281" s="538"/>
      <c r="AE2281" s="538"/>
      <c r="AF2281" s="538"/>
      <c r="AG2281" s="538"/>
      <c r="AH2281" s="538"/>
      <c r="AI2281" s="538"/>
      <c r="AJ2281" s="538"/>
      <c r="AK2281" s="538"/>
      <c r="AL2281" s="1352"/>
      <c r="AM2281" s="1352"/>
      <c r="AN2281" s="1352"/>
      <c r="AO2281" s="1352"/>
      <c r="AP2281" s="1352"/>
      <c r="AQ2281" s="1352"/>
      <c r="AR2281" s="1352"/>
      <c r="AS2281" s="1352"/>
      <c r="AT2281" s="538"/>
      <c r="AU2281" s="538"/>
      <c r="AV2281" s="538"/>
      <c r="AW2281" s="538"/>
      <c r="AX2281" s="585" t="str">
        <f>'Overview (Verification)'!A36</f>
        <v>Foundation Type:</v>
      </c>
      <c r="AY2281" s="685" t="str">
        <f>IF(LEN('Overview (Verification)'!P36)=0,0,'Overview (Verification)'!P36)</f>
        <v>Slab on grade</v>
      </c>
      <c r="AZ2281" s="726"/>
      <c r="BA2281" s="726"/>
      <c r="BB2281" s="726"/>
      <c r="BC2281" s="726"/>
      <c r="BD2281" s="726"/>
      <c r="BE2281" s="726"/>
      <c r="BF2281" s="726"/>
      <c r="BG2281" s="726"/>
      <c r="BH2281" s="726"/>
    </row>
    <row r="2282" spans="1:65" ht="15" hidden="1" customHeight="1" x14ac:dyDescent="0.2">
      <c r="A2282" s="1507">
        <v>10</v>
      </c>
      <c r="B2282" s="1516">
        <v>1001.1</v>
      </c>
      <c r="C2282" s="1511" t="s">
        <v>396</v>
      </c>
      <c r="D2282" s="1511" t="s">
        <v>122</v>
      </c>
      <c r="E2282" s="1511"/>
      <c r="F2282" s="1514"/>
      <c r="G2282" s="1509" t="str">
        <f t="shared" ca="1" si="147"/>
        <v/>
      </c>
      <c r="H2282" s="1512" t="s">
        <v>3199</v>
      </c>
      <c r="I2282" s="588"/>
      <c r="J2282" s="609"/>
      <c r="K2282" s="590" t="s">
        <v>122</v>
      </c>
      <c r="L2282" s="679" t="s">
        <v>2779</v>
      </c>
      <c r="M2282" s="540"/>
      <c r="N2282" s="4"/>
      <c r="O2282" s="540"/>
      <c r="P2282" s="538"/>
      <c r="Q2282" s="538"/>
      <c r="R2282" s="538"/>
      <c r="S2282" s="538"/>
      <c r="T2282" s="538"/>
      <c r="U2282" s="538"/>
      <c r="V2282" s="538"/>
      <c r="W2282" s="538"/>
      <c r="X2282" s="1600"/>
      <c r="Y2282" s="1874"/>
      <c r="Z2282" s="1889"/>
      <c r="AB2282" s="538"/>
      <c r="AC2282" s="538"/>
      <c r="AD2282" s="538"/>
      <c r="AE2282" s="538"/>
      <c r="AF2282" s="538"/>
      <c r="AG2282" s="538"/>
      <c r="AH2282" s="538"/>
      <c r="AI2282" s="538"/>
      <c r="AJ2282" s="538"/>
      <c r="AK2282" s="538"/>
      <c r="AL2282" s="1352"/>
      <c r="AM2282" s="1352"/>
      <c r="AN2282" s="1352"/>
      <c r="AO2282" s="1352"/>
      <c r="AP2282" s="1352"/>
      <c r="AQ2282" s="1352"/>
      <c r="AR2282" s="1352"/>
      <c r="AS2282" s="1352"/>
      <c r="AT2282" s="538"/>
      <c r="AU2282" s="538"/>
      <c r="AV2282" s="538"/>
      <c r="AW2282" s="538"/>
      <c r="AX2282" s="539"/>
      <c r="AY2282" s="685"/>
      <c r="AZ2282" s="538"/>
      <c r="BA2282" s="538"/>
      <c r="BB2282" s="538"/>
      <c r="BC2282" s="538"/>
      <c r="BD2282" s="538"/>
      <c r="BE2282" s="538"/>
      <c r="BF2282" s="538"/>
      <c r="BG2282" s="538"/>
      <c r="BH2282" s="538"/>
    </row>
    <row r="2283" spans="1:65" s="677" customFormat="1" ht="15" hidden="1" customHeight="1" x14ac:dyDescent="0.2">
      <c r="A2283" s="1507">
        <v>10</v>
      </c>
      <c r="B2283" s="1516">
        <v>1001.1</v>
      </c>
      <c r="C2283" s="1511" t="s">
        <v>396</v>
      </c>
      <c r="D2283" s="1511" t="s">
        <v>123</v>
      </c>
      <c r="E2283" s="1511"/>
      <c r="F2283" s="1514"/>
      <c r="G2283" s="1509" t="str">
        <f t="shared" ca="1" si="147"/>
        <v/>
      </c>
      <c r="H2283" s="1512" t="s">
        <v>3199</v>
      </c>
      <c r="I2283" s="588"/>
      <c r="J2283" s="609"/>
      <c r="K2283" s="590" t="s">
        <v>123</v>
      </c>
      <c r="L2283" s="1609" t="s">
        <v>2780</v>
      </c>
      <c r="M2283" s="540"/>
      <c r="N2283" s="4"/>
      <c r="O2283" s="540"/>
      <c r="P2283" s="538"/>
      <c r="Q2283" s="538"/>
      <c r="R2283" s="538"/>
      <c r="S2283" s="538"/>
      <c r="T2283" s="538"/>
      <c r="U2283" s="538"/>
      <c r="V2283" s="538"/>
      <c r="W2283" s="538"/>
      <c r="X2283" s="1600"/>
      <c r="Y2283" s="1874"/>
      <c r="Z2283" s="1889"/>
      <c r="AA2283" s="707"/>
      <c r="AB2283" s="538"/>
      <c r="AC2283" s="538"/>
      <c r="AD2283" s="538"/>
      <c r="AE2283" s="538"/>
      <c r="AF2283" s="538"/>
      <c r="AG2283" s="538"/>
      <c r="AH2283" s="538"/>
      <c r="AI2283" s="538"/>
      <c r="AJ2283" s="538"/>
      <c r="AK2283" s="538"/>
      <c r="AL2283" s="1352"/>
      <c r="AM2283" s="1352"/>
      <c r="AN2283" s="1352"/>
      <c r="AO2283" s="1352"/>
      <c r="AP2283" s="1352"/>
      <c r="AQ2283" s="1352"/>
      <c r="AR2283" s="1352"/>
      <c r="AS2283" s="1352"/>
      <c r="AW2283" s="538"/>
      <c r="AX2283" s="585" t="str">
        <f>'Overview (Verification)'!A38</f>
        <v>Type of Heating System (main system):</v>
      </c>
      <c r="AY2283" s="685" t="str">
        <f>IF(LEN('Overview (Verification)'!P38)=0,0,'Overview (Verification)'!P38)</f>
        <v>Heat Pump</v>
      </c>
      <c r="AZ2283" s="538"/>
      <c r="BA2283" s="538"/>
      <c r="BB2283" s="538"/>
      <c r="BC2283" s="538"/>
      <c r="BD2283" s="538"/>
      <c r="BE2283" s="538"/>
      <c r="BF2283" s="538"/>
      <c r="BG2283" s="538"/>
      <c r="BH2283" s="538"/>
      <c r="BI2283"/>
      <c r="BJ2283"/>
      <c r="BK2283"/>
      <c r="BL2283"/>
      <c r="BM2283"/>
    </row>
    <row r="2284" spans="1:65" hidden="1" x14ac:dyDescent="0.2">
      <c r="A2284" s="1507">
        <v>10</v>
      </c>
      <c r="B2284" s="1516">
        <v>1001.1</v>
      </c>
      <c r="C2284" s="1511" t="s">
        <v>396</v>
      </c>
      <c r="D2284" s="1511" t="s">
        <v>123</v>
      </c>
      <c r="E2284" s="1511"/>
      <c r="F2284" s="1514"/>
      <c r="G2284" s="1509" t="str">
        <f t="shared" ca="1" si="147"/>
        <v/>
      </c>
      <c r="H2284" s="1510" t="s">
        <v>3199</v>
      </c>
      <c r="I2284" s="588"/>
      <c r="J2284" s="208"/>
      <c r="K2284" s="208"/>
      <c r="L2284" s="1612"/>
      <c r="M2284" s="540"/>
      <c r="N2284" s="4"/>
      <c r="O2284" s="540"/>
      <c r="P2284" s="538"/>
      <c r="Q2284" s="538"/>
      <c r="R2284" s="538"/>
      <c r="S2284" s="538"/>
      <c r="T2284" s="538"/>
      <c r="U2284" s="538"/>
      <c r="V2284" s="538"/>
      <c r="W2284" s="538"/>
      <c r="X2284" s="1600"/>
      <c r="Y2284" s="1874"/>
      <c r="Z2284" s="1889"/>
      <c r="AB2284" s="538"/>
      <c r="AC2284" s="538"/>
      <c r="AD2284" s="538"/>
      <c r="AE2284" s="538"/>
      <c r="AF2284" s="538"/>
      <c r="AG2284" s="538"/>
      <c r="AH2284" s="538"/>
      <c r="AI2284" s="538"/>
      <c r="AJ2284" s="538"/>
      <c r="AK2284" s="538"/>
      <c r="AL2284" s="1352"/>
      <c r="AM2284" s="1352"/>
      <c r="AN2284" s="1352"/>
      <c r="AO2284" s="1352"/>
      <c r="AP2284" s="1352"/>
      <c r="AQ2284" s="1352"/>
      <c r="AR2284" s="1352"/>
      <c r="AS2284" s="1352"/>
      <c r="AT2284" s="538"/>
      <c r="AU2284" s="538"/>
      <c r="AV2284" s="538"/>
      <c r="AW2284" s="538"/>
      <c r="AX2284" s="585" t="str">
        <f>'Overview (Verification)'!A39</f>
        <v>Type of Heating System (system 2):</v>
      </c>
      <c r="AY2284" s="685">
        <f>IF(LEN('Overview (Verification)'!P39)=0,0,'Overview (Verification)'!P39)</f>
        <v>0</v>
      </c>
      <c r="AZ2284" s="538"/>
      <c r="BA2284" s="538"/>
      <c r="BB2284" s="538"/>
      <c r="BC2284" s="538"/>
      <c r="BD2284" s="538"/>
      <c r="BE2284" s="538"/>
      <c r="BF2284" s="538"/>
      <c r="BG2284" s="538"/>
      <c r="BH2284" s="538"/>
    </row>
    <row r="2285" spans="1:65" ht="15" hidden="1" customHeight="1" x14ac:dyDescent="0.2">
      <c r="A2285" s="1507">
        <v>10</v>
      </c>
      <c r="B2285" s="1516">
        <v>1001.1</v>
      </c>
      <c r="C2285" s="1511" t="s">
        <v>2781</v>
      </c>
      <c r="D2285" s="1511"/>
      <c r="E2285" s="1511"/>
      <c r="F2285" s="1514"/>
      <c r="G2285" s="1509" t="str">
        <f t="shared" ca="1" si="147"/>
        <v/>
      </c>
      <c r="H2285" s="1510" t="s">
        <v>3199</v>
      </c>
      <c r="I2285" s="588"/>
      <c r="J2285" s="608" t="s">
        <v>2781</v>
      </c>
      <c r="K2285" s="1404"/>
      <c r="L2285" s="1613" t="s">
        <v>2782</v>
      </c>
      <c r="M2285" s="540"/>
      <c r="N2285" s="4"/>
      <c r="O2285" s="540"/>
      <c r="P2285" s="538" t="b">
        <v>0</v>
      </c>
      <c r="Q2285" s="538" t="b">
        <v>1</v>
      </c>
      <c r="R2285" s="538" t="b">
        <v>0</v>
      </c>
      <c r="S2285" s="538" t="b">
        <f>IF(AY2266=INDEX(ddSingleOrMulti,1),TRUE,FALSE)</f>
        <v>0</v>
      </c>
      <c r="T2285" s="96" t="b">
        <f>AND(NOT(S2285),W2285=TRUE)</f>
        <v>0</v>
      </c>
      <c r="U2285" s="538"/>
      <c r="V2285" s="538"/>
      <c r="W2285" s="27"/>
      <c r="X2285" s="1600"/>
      <c r="Y2285" s="1874" t="str">
        <f>IF(LEN('11.1000'!X38)=0,"None",'11.1000'!X38)</f>
        <v>None</v>
      </c>
      <c r="Z2285" s="1889"/>
      <c r="AB2285" s="538"/>
      <c r="AC2285" s="538" t="b">
        <f>OR(AD2285:AE2285)</f>
        <v>0</v>
      </c>
      <c r="AD2285" s="538" t="b">
        <f>T2285</f>
        <v>0</v>
      </c>
      <c r="AE2285" s="538"/>
      <c r="AF2285" s="538"/>
      <c r="AG2285" s="538"/>
      <c r="AH2285" s="538"/>
      <c r="AI2285" s="538"/>
      <c r="AJ2285" s="538"/>
      <c r="AK2285" s="538"/>
      <c r="AL2285" s="1352"/>
      <c r="AM2285" s="1352"/>
      <c r="AN2285" s="1352"/>
      <c r="AO2285" s="1352"/>
      <c r="AP2285" s="1352" t="str">
        <f>SUBSTITUTE(SUBSTITUTE(SUBSTITUTE("vch"&amp;$B2285&amp;$C2285&amp;$D2285&amp;$E2285,".","_"),"(","_"),")","")</f>
        <v>vch1001_1_13</v>
      </c>
      <c r="AQ2285" s="1352" t="str">
        <f>IF(LEN(W2285)=0,"",W2285)</f>
        <v/>
      </c>
      <c r="AR2285" s="1352" t="str">
        <f>SUBSTITUTE(SUBSTITUTE(SUBSTITUTE("vnt"&amp;$B2285&amp;$C2285&amp;$D2285&amp;$E2285,".","_"),"(","_"),")","")</f>
        <v>vnt1001_1_13</v>
      </c>
      <c r="AS2285" s="1352" t="str">
        <f>IF(LEN(X2285)=0,"",X2285)</f>
        <v/>
      </c>
      <c r="AT2285" s="538"/>
      <c r="AU2285" s="538"/>
      <c r="AV2285" s="538"/>
      <c r="AW2285" s="538"/>
      <c r="AX2285" s="585" t="str">
        <f>'Overview (Verification)'!A40</f>
        <v>Type of Heating System (system 3):</v>
      </c>
      <c r="AY2285" s="685">
        <f>IF(LEN('Overview (Verification)'!P40)=0,0,'Overview (Verification)'!P40)</f>
        <v>0</v>
      </c>
      <c r="AZ2285" s="538"/>
      <c r="BA2285" s="538"/>
      <c r="BB2285" s="538"/>
      <c r="BC2285" s="538"/>
      <c r="BD2285" s="538"/>
      <c r="BE2285" s="538"/>
      <c r="BF2285" s="538"/>
      <c r="BG2285" s="538"/>
      <c r="BH2285" s="538"/>
    </row>
    <row r="2286" spans="1:65" hidden="1" x14ac:dyDescent="0.2">
      <c r="A2286" s="1507">
        <v>10</v>
      </c>
      <c r="B2286" s="1516">
        <v>1001.1</v>
      </c>
      <c r="C2286" s="1511" t="s">
        <v>2781</v>
      </c>
      <c r="D2286" s="1511"/>
      <c r="E2286" s="1511"/>
      <c r="F2286" s="1514"/>
      <c r="G2286" s="1509" t="str">
        <f t="shared" ca="1" si="147"/>
        <v/>
      </c>
      <c r="H2286" s="1510" t="s">
        <v>3199</v>
      </c>
      <c r="I2286" s="588"/>
      <c r="J2286" s="609"/>
      <c r="K2286" s="609"/>
      <c r="L2286" s="1609"/>
      <c r="M2286" s="540"/>
      <c r="N2286" s="4"/>
      <c r="O2286" s="540"/>
      <c r="P2286" s="538"/>
      <c r="Q2286" s="538"/>
      <c r="R2286" s="538"/>
      <c r="S2286" s="538"/>
      <c r="T2286" s="538"/>
      <c r="U2286" s="538"/>
      <c r="V2286" s="538"/>
      <c r="W2286" s="538"/>
      <c r="X2286" s="1600"/>
      <c r="Y2286" s="1874"/>
      <c r="Z2286" s="1889"/>
      <c r="AB2286" s="538"/>
      <c r="AC2286" s="538"/>
      <c r="AD2286" s="538"/>
      <c r="AE2286" s="538"/>
      <c r="AF2286" s="538"/>
      <c r="AG2286" s="538"/>
      <c r="AH2286" s="538"/>
      <c r="AI2286" s="538"/>
      <c r="AJ2286" s="538"/>
      <c r="AK2286" s="538"/>
      <c r="AL2286" s="1352"/>
      <c r="AM2286" s="1352"/>
      <c r="AN2286" s="1352"/>
      <c r="AO2286" s="1352"/>
      <c r="AP2286" s="1352"/>
      <c r="AQ2286" s="1352"/>
      <c r="AR2286" s="1352"/>
      <c r="AS2286" s="1352"/>
      <c r="AT2286" s="538"/>
      <c r="AU2286" s="538"/>
      <c r="AV2286" s="538"/>
      <c r="AW2286" s="538"/>
      <c r="AX2286" s="585" t="str">
        <f>'Overview (Verification)'!A41</f>
        <v>Primary Heating Fuel:</v>
      </c>
      <c r="AY2286" s="685">
        <f>IF(LEN('Overview (Verification)'!P41)=0,0,'Overview (Verification)'!P41)</f>
        <v>0</v>
      </c>
      <c r="AZ2286" s="538"/>
      <c r="BA2286" s="538"/>
      <c r="BB2286" s="538"/>
      <c r="BC2286" s="538"/>
      <c r="BD2286" s="538"/>
      <c r="BE2286" s="538"/>
      <c r="BF2286" s="538"/>
      <c r="BG2286" s="538"/>
      <c r="BH2286" s="538"/>
    </row>
    <row r="2287" spans="1:65" hidden="1" x14ac:dyDescent="0.2">
      <c r="A2287" s="1507">
        <v>10</v>
      </c>
      <c r="B2287" s="1516">
        <v>1001.1</v>
      </c>
      <c r="C2287" s="1511" t="s">
        <v>2781</v>
      </c>
      <c r="D2287" s="1511"/>
      <c r="E2287" s="1511"/>
      <c r="F2287" s="1514"/>
      <c r="G2287" s="1509" t="str">
        <f t="shared" ca="1" si="147"/>
        <v/>
      </c>
      <c r="H2287" s="1510" t="s">
        <v>3199</v>
      </c>
      <c r="I2287" s="588"/>
      <c r="J2287" s="609"/>
      <c r="K2287" s="609"/>
      <c r="L2287" s="1609"/>
      <c r="M2287" s="540"/>
      <c r="N2287" s="4"/>
      <c r="O2287" s="540"/>
      <c r="P2287" s="538"/>
      <c r="Q2287" s="538"/>
      <c r="R2287" s="538"/>
      <c r="S2287" s="538"/>
      <c r="T2287" s="538"/>
      <c r="U2287" s="538"/>
      <c r="V2287" s="538"/>
      <c r="W2287" s="538"/>
      <c r="X2287" s="1600"/>
      <c r="Y2287" s="1874"/>
      <c r="Z2287" s="1889"/>
      <c r="AB2287" s="538"/>
      <c r="AC2287" s="538"/>
      <c r="AD2287" s="538"/>
      <c r="AE2287" s="538"/>
      <c r="AF2287" s="538"/>
      <c r="AG2287" s="538"/>
      <c r="AH2287" s="538"/>
      <c r="AI2287" s="538"/>
      <c r="AJ2287" s="538"/>
      <c r="AK2287" s="538"/>
      <c r="AL2287" s="1352"/>
      <c r="AM2287" s="1352"/>
      <c r="AN2287" s="1352"/>
      <c r="AO2287" s="1352"/>
      <c r="AP2287" s="1352"/>
      <c r="AQ2287" s="1352"/>
      <c r="AR2287" s="1352"/>
      <c r="AS2287" s="1352"/>
      <c r="AT2287" s="538"/>
      <c r="AU2287" s="538"/>
      <c r="AV2287" s="538"/>
      <c r="AW2287" s="538"/>
      <c r="AX2287" s="585" t="str">
        <f>'Overview (Verification)'!A42</f>
        <v>Heating Ducts:</v>
      </c>
      <c r="AY2287" s="685" t="str">
        <f>IF(LEN('Overview (Verification)'!P42)=0,0,'Overview (Verification)'!P42)</f>
        <v>Ducted</v>
      </c>
      <c r="AZ2287" s="538"/>
      <c r="BA2287" s="538"/>
      <c r="BB2287" s="538"/>
      <c r="BC2287" s="538"/>
      <c r="BD2287" s="538"/>
      <c r="BE2287" s="538"/>
      <c r="BF2287" s="538"/>
      <c r="BG2287" s="538"/>
      <c r="BH2287" s="538"/>
    </row>
    <row r="2288" spans="1:65" hidden="1" x14ac:dyDescent="0.2">
      <c r="A2288" s="1507">
        <v>10</v>
      </c>
      <c r="B2288" s="1516">
        <v>1001.1</v>
      </c>
      <c r="C2288" s="1511" t="s">
        <v>2781</v>
      </c>
      <c r="D2288" s="1511"/>
      <c r="E2288" s="1511"/>
      <c r="F2288" s="1514"/>
      <c r="G2288" s="1509" t="str">
        <f t="shared" ca="1" si="147"/>
        <v/>
      </c>
      <c r="H2288" s="1510" t="s">
        <v>3199</v>
      </c>
      <c r="I2288" s="588"/>
      <c r="J2288" s="208"/>
      <c r="K2288" s="208"/>
      <c r="L2288" s="1612"/>
      <c r="M2288" s="540"/>
      <c r="N2288" s="4"/>
      <c r="O2288" s="540"/>
      <c r="P2288" s="538"/>
      <c r="Q2288" s="538"/>
      <c r="R2288" s="538"/>
      <c r="S2288" s="538"/>
      <c r="T2288" s="538"/>
      <c r="U2288" s="538"/>
      <c r="V2288" s="538"/>
      <c r="W2288" s="538"/>
      <c r="X2288" s="1600"/>
      <c r="Y2288" s="1874"/>
      <c r="Z2288" s="1889"/>
      <c r="AB2288" s="538"/>
      <c r="AC2288" s="538"/>
      <c r="AD2288" s="538"/>
      <c r="AE2288" s="538"/>
      <c r="AF2288" s="538"/>
      <c r="AG2288" s="538"/>
      <c r="AH2288" s="538"/>
      <c r="AI2288" s="538"/>
      <c r="AJ2288" s="538"/>
      <c r="AK2288" s="538"/>
      <c r="AL2288" s="1352"/>
      <c r="AM2288" s="1352"/>
      <c r="AN2288" s="1352"/>
      <c r="AO2288" s="1352"/>
      <c r="AP2288" s="1352"/>
      <c r="AQ2288" s="1352"/>
      <c r="AR2288" s="1352"/>
      <c r="AS2288" s="1352"/>
      <c r="AT2288" s="538"/>
      <c r="AU2288" s="538"/>
      <c r="AV2288" s="538"/>
      <c r="AW2288" s="538"/>
      <c r="AX2288" s="585" t="str">
        <f>'Overview (Verification)'!A43</f>
        <v>Type of Cooling System (main system):</v>
      </c>
      <c r="AY2288" s="685" t="str">
        <f>IF(LEN('Overview (Verification)'!P43)=0,0,'Overview (Verification)'!P43)</f>
        <v>Heat Pump</v>
      </c>
      <c r="AZ2288" s="538"/>
      <c r="BA2288" s="538"/>
      <c r="BB2288" s="538"/>
      <c r="BC2288" s="538"/>
      <c r="BD2288" s="538"/>
      <c r="BE2288" s="538"/>
      <c r="BF2288" s="538"/>
      <c r="BG2288" s="538"/>
      <c r="BH2288" s="538"/>
    </row>
    <row r="2289" spans="1:63" hidden="1" x14ac:dyDescent="0.2">
      <c r="A2289" s="1507">
        <v>10</v>
      </c>
      <c r="B2289" s="1516">
        <v>1001.1</v>
      </c>
      <c r="C2289" s="1511" t="s">
        <v>2783</v>
      </c>
      <c r="D2289" s="1511"/>
      <c r="E2289" s="1511"/>
      <c r="F2289" s="1514"/>
      <c r="G2289" s="1509" t="str">
        <f t="shared" ca="1" si="147"/>
        <v/>
      </c>
      <c r="H2289" s="1510" t="s">
        <v>3199</v>
      </c>
      <c r="I2289" s="588"/>
      <c r="J2289" s="608" t="s">
        <v>2783</v>
      </c>
      <c r="K2289" s="1404"/>
      <c r="L2289" s="1613" t="s">
        <v>2784</v>
      </c>
      <c r="M2289" s="540"/>
      <c r="N2289" s="4"/>
      <c r="O2289" s="540"/>
      <c r="P2289" s="538" t="b">
        <v>0</v>
      </c>
      <c r="Q2289" s="538" t="b">
        <v>1</v>
      </c>
      <c r="R2289" s="538" t="b">
        <v>0</v>
      </c>
      <c r="S2289" s="538" t="b">
        <f>IF(AY2266=INDEX(ddSingleOrMulti,1),TRUE,FALSE)</f>
        <v>0</v>
      </c>
      <c r="T2289" s="96" t="b">
        <f>AND(NOT(S2289),W2289=TRUE)</f>
        <v>0</v>
      </c>
      <c r="U2289" s="538"/>
      <c r="V2289" s="538"/>
      <c r="W2289" s="27"/>
      <c r="X2289" s="1600"/>
      <c r="Y2289" s="1874" t="str">
        <f>IF(LEN('11.1000'!X42)=0,"None",'11.1000'!X42)</f>
        <v>None</v>
      </c>
      <c r="Z2289" s="1889"/>
      <c r="AB2289" s="538"/>
      <c r="AC2289" s="538" t="b">
        <f>OR(AD2289:AE2289)</f>
        <v>0</v>
      </c>
      <c r="AD2289" s="538" t="b">
        <f>T2289</f>
        <v>0</v>
      </c>
      <c r="AE2289" s="538"/>
      <c r="AF2289" s="538"/>
      <c r="AG2289" s="538"/>
      <c r="AH2289" s="538"/>
      <c r="AI2289" s="538"/>
      <c r="AJ2289" s="538"/>
      <c r="AK2289" s="538"/>
      <c r="AL2289" s="1352"/>
      <c r="AM2289" s="1352"/>
      <c r="AN2289" s="1352"/>
      <c r="AO2289" s="1352"/>
      <c r="AP2289" s="1352" t="str">
        <f>SUBSTITUTE(SUBSTITUTE(SUBSTITUTE("vch"&amp;$B2289&amp;$C2289&amp;$D2289&amp;$E2289,".","_"),"(","_"),")","")</f>
        <v>vch1001_1_14</v>
      </c>
      <c r="AQ2289" s="1352" t="str">
        <f>IF(LEN(W2289)=0,"",W2289)</f>
        <v/>
      </c>
      <c r="AR2289" s="1352" t="str">
        <f>SUBSTITUTE(SUBSTITUTE(SUBSTITUTE("vnt"&amp;$B2289&amp;$C2289&amp;$D2289&amp;$E2289,".","_"),"(","_"),")","")</f>
        <v>vnt1001_1_14</v>
      </c>
      <c r="AS2289" s="1352" t="str">
        <f>IF(LEN(X2289)=0,"",X2289)</f>
        <v/>
      </c>
      <c r="AT2289" s="538"/>
      <c r="AU2289" s="538"/>
      <c r="AV2289" s="538"/>
      <c r="AW2289" s="538"/>
      <c r="AX2289" s="585" t="str">
        <f>'Overview (Verification)'!A44</f>
        <v>Type of Cooling System (system 2):</v>
      </c>
      <c r="AY2289" s="685">
        <f>IF(LEN('Overview (Verification)'!P44)=0,0,'Overview (Verification)'!P44)</f>
        <v>0</v>
      </c>
      <c r="AZ2289" s="538"/>
      <c r="BA2289" s="538"/>
      <c r="BB2289" s="538"/>
      <c r="BC2289" s="538"/>
      <c r="BD2289" s="538"/>
      <c r="BE2289" s="538"/>
      <c r="BF2289" s="538"/>
      <c r="BG2289" s="538"/>
      <c r="BH2289" s="538"/>
    </row>
    <row r="2290" spans="1:63" hidden="1" x14ac:dyDescent="0.2">
      <c r="A2290" s="1507">
        <v>10</v>
      </c>
      <c r="B2290" s="1516">
        <v>1001.1</v>
      </c>
      <c r="C2290" s="1511" t="s">
        <v>2783</v>
      </c>
      <c r="D2290" s="1511"/>
      <c r="E2290" s="1511"/>
      <c r="F2290" s="1514"/>
      <c r="G2290" s="1509" t="str">
        <f t="shared" ca="1" si="147"/>
        <v/>
      </c>
      <c r="H2290" s="1510" t="s">
        <v>3199</v>
      </c>
      <c r="I2290" s="588"/>
      <c r="J2290" s="208"/>
      <c r="K2290" s="208"/>
      <c r="L2290" s="1612"/>
      <c r="M2290" s="540"/>
      <c r="N2290" s="4"/>
      <c r="O2290" s="540"/>
      <c r="P2290" s="538"/>
      <c r="Q2290" s="538"/>
      <c r="R2290" s="538"/>
      <c r="S2290" s="538"/>
      <c r="T2290" s="538"/>
      <c r="U2290" s="538"/>
      <c r="V2290" s="538"/>
      <c r="W2290" s="538"/>
      <c r="X2290" s="1600"/>
      <c r="Y2290" s="1874"/>
      <c r="Z2290" s="1889"/>
      <c r="AB2290" s="538"/>
      <c r="AC2290" s="538"/>
      <c r="AD2290" s="538"/>
      <c r="AE2290" s="538"/>
      <c r="AF2290" s="538"/>
      <c r="AG2290" s="538"/>
      <c r="AH2290" s="538"/>
      <c r="AI2290" s="538"/>
      <c r="AJ2290" s="538"/>
      <c r="AK2290" s="538"/>
      <c r="AL2290" s="1352"/>
      <c r="AM2290" s="1352"/>
      <c r="AN2290" s="1352"/>
      <c r="AO2290" s="1352"/>
      <c r="AP2290" s="1352"/>
      <c r="AQ2290" s="1352"/>
      <c r="AR2290" s="1352"/>
      <c r="AS2290" s="1352"/>
      <c r="AT2290" s="538"/>
      <c r="AU2290" s="538"/>
      <c r="AV2290" s="538"/>
      <c r="AW2290" s="538"/>
      <c r="AX2290" s="585" t="str">
        <f>'Overview (Verification)'!A45</f>
        <v>Type of Cooling System (system 3):</v>
      </c>
      <c r="AY2290" s="685">
        <f>IF(LEN('Overview (Verification)'!P45)=0,0,'Overview (Verification)'!P45)</f>
        <v>0</v>
      </c>
      <c r="AZ2290" s="538"/>
      <c r="BA2290" s="538"/>
      <c r="BB2290" s="538"/>
      <c r="BC2290" s="538"/>
      <c r="BD2290" s="538"/>
      <c r="BE2290" s="538"/>
      <c r="BF2290" s="538"/>
      <c r="BG2290" s="538"/>
      <c r="BH2290" s="538"/>
    </row>
    <row r="2291" spans="1:63" hidden="1" x14ac:dyDescent="0.2">
      <c r="A2291" s="1507">
        <v>10</v>
      </c>
      <c r="B2291" s="1516">
        <v>1001.1</v>
      </c>
      <c r="C2291" s="1511" t="s">
        <v>2785</v>
      </c>
      <c r="D2291" s="1511"/>
      <c r="E2291" s="1511"/>
      <c r="F2291" s="1514"/>
      <c r="G2291" s="1509" t="str">
        <f t="shared" ca="1" si="147"/>
        <v/>
      </c>
      <c r="H2291" s="1510" t="s">
        <v>3199</v>
      </c>
      <c r="I2291" s="588"/>
      <c r="J2291" s="608" t="s">
        <v>2785</v>
      </c>
      <c r="K2291" s="1404"/>
      <c r="L2291" s="1613" t="s">
        <v>2786</v>
      </c>
      <c r="M2291" s="540"/>
      <c r="N2291" s="4"/>
      <c r="O2291" s="540"/>
      <c r="P2291" s="538" t="b">
        <v>0</v>
      </c>
      <c r="Q2291" s="538" t="b">
        <v>1</v>
      </c>
      <c r="R2291" s="538" t="b">
        <v>0</v>
      </c>
      <c r="S2291" s="538" t="b">
        <f>IF(AY2266=INDEX(ddSingleOrMulti,1),TRUE,FALSE)</f>
        <v>0</v>
      </c>
      <c r="T2291" s="96" t="b">
        <f>AND(NOT(S2291),W2291=TRUE)</f>
        <v>0</v>
      </c>
      <c r="U2291" s="538"/>
      <c r="V2291" s="538"/>
      <c r="W2291" s="27"/>
      <c r="X2291" s="1600"/>
      <c r="Y2291" s="1874" t="str">
        <f>IF(LEN('11.1000'!X44)=0,"None",'11.1000'!X44)</f>
        <v>None</v>
      </c>
      <c r="Z2291" s="1889"/>
      <c r="AB2291" s="538"/>
      <c r="AC2291" s="538" t="b">
        <f>OR(AD2291:AE2291)</f>
        <v>0</v>
      </c>
      <c r="AD2291" s="538" t="b">
        <f>T2291</f>
        <v>0</v>
      </c>
      <c r="AE2291" s="538"/>
      <c r="AF2291" s="538"/>
      <c r="AG2291" s="538"/>
      <c r="AH2291" s="538"/>
      <c r="AI2291" s="538"/>
      <c r="AJ2291" s="538"/>
      <c r="AK2291" s="538"/>
      <c r="AL2291" s="1352"/>
      <c r="AM2291" s="1352"/>
      <c r="AN2291" s="1352"/>
      <c r="AO2291" s="1352"/>
      <c r="AP2291" s="1352" t="str">
        <f>SUBSTITUTE(SUBSTITUTE(SUBSTITUTE("vch"&amp;$B2291&amp;$C2291&amp;$D2291&amp;$E2291,".","_"),"(","_"),")","")</f>
        <v>vch1001_1_15</v>
      </c>
      <c r="AQ2291" s="1352" t="str">
        <f>IF(LEN(W2291)=0,"",W2291)</f>
        <v/>
      </c>
      <c r="AR2291" s="1352" t="str">
        <f>SUBSTITUTE(SUBSTITUTE(SUBSTITUTE("vnt"&amp;$B2291&amp;$C2291&amp;$D2291&amp;$E2291,".","_"),"(","_"),")","")</f>
        <v>vnt1001_1_15</v>
      </c>
      <c r="AS2291" s="1352" t="str">
        <f>IF(LEN(X2291)=0,"",X2291)</f>
        <v/>
      </c>
      <c r="AT2291" s="538"/>
      <c r="AU2291" s="538"/>
      <c r="AV2291" s="538"/>
      <c r="AW2291" s="538"/>
      <c r="AX2291" s="585" t="str">
        <f>'Overview (Verification)'!A46</f>
        <v>Cooling Ducts:</v>
      </c>
      <c r="AY2291" s="685" t="str">
        <f>IF(LEN('Overview (Verification)'!P46)=0,0,'Overview (Verification)'!P46)</f>
        <v>Ducted</v>
      </c>
      <c r="AZ2291" s="538"/>
      <c r="BA2291" s="538"/>
      <c r="BB2291" s="538"/>
      <c r="BC2291" s="538"/>
      <c r="BD2291" s="538"/>
      <c r="BE2291" s="538"/>
      <c r="BF2291" s="538"/>
      <c r="BG2291" s="538"/>
      <c r="BH2291" s="538"/>
    </row>
    <row r="2292" spans="1:63" hidden="1" x14ac:dyDescent="0.2">
      <c r="A2292" s="1507">
        <v>10</v>
      </c>
      <c r="B2292" s="1516">
        <v>1001.1</v>
      </c>
      <c r="C2292" s="1511" t="s">
        <v>2785</v>
      </c>
      <c r="D2292" s="1511"/>
      <c r="E2292" s="1511"/>
      <c r="F2292" s="1514"/>
      <c r="G2292" s="1509" t="str">
        <f t="shared" ca="1" si="147"/>
        <v/>
      </c>
      <c r="H2292" s="1510" t="s">
        <v>3199</v>
      </c>
      <c r="I2292" s="588"/>
      <c r="J2292" s="208"/>
      <c r="K2292" s="208"/>
      <c r="L2292" s="1612"/>
      <c r="M2292" s="540"/>
      <c r="N2292" s="4"/>
      <c r="O2292" s="540"/>
      <c r="P2292" s="538"/>
      <c r="Q2292" s="538"/>
      <c r="R2292" s="538"/>
      <c r="S2292" s="538"/>
      <c r="T2292" s="538"/>
      <c r="U2292" s="538"/>
      <c r="V2292" s="538"/>
      <c r="W2292" s="538"/>
      <c r="X2292" s="1600"/>
      <c r="Y2292" s="1874"/>
      <c r="Z2292" s="1889"/>
      <c r="AB2292" s="538"/>
      <c r="AC2292" s="538"/>
      <c r="AD2292" s="538"/>
      <c r="AE2292" s="538"/>
      <c r="AF2292" s="538"/>
      <c r="AG2292" s="538"/>
      <c r="AH2292" s="538"/>
      <c r="AI2292" s="538"/>
      <c r="AJ2292" s="538"/>
      <c r="AK2292" s="538"/>
      <c r="AL2292" s="1352"/>
      <c r="AM2292" s="1352"/>
      <c r="AN2292" s="1352"/>
      <c r="AO2292" s="1352"/>
      <c r="AP2292" s="1352"/>
      <c r="AQ2292" s="1352"/>
      <c r="AR2292" s="1352"/>
      <c r="AS2292" s="1352"/>
      <c r="AT2292" s="538"/>
      <c r="AU2292" s="538"/>
      <c r="AV2292" s="538"/>
      <c r="AW2292" s="538"/>
      <c r="AX2292" s="539"/>
      <c r="AY2292" s="685"/>
      <c r="AZ2292" s="538"/>
      <c r="BA2292" s="538"/>
      <c r="BB2292" s="538"/>
      <c r="BC2292" s="538"/>
      <c r="BD2292" s="538"/>
      <c r="BE2292" s="538"/>
      <c r="BF2292" s="538"/>
      <c r="BG2292" s="538"/>
      <c r="BH2292" s="538"/>
    </row>
    <row r="2293" spans="1:63" ht="16" hidden="1" x14ac:dyDescent="0.2">
      <c r="A2293" s="1507">
        <v>10</v>
      </c>
      <c r="B2293" s="1516">
        <v>1001.1</v>
      </c>
      <c r="C2293" s="1511" t="s">
        <v>2787</v>
      </c>
      <c r="D2293" s="1511"/>
      <c r="E2293" s="1511"/>
      <c r="F2293" s="1514"/>
      <c r="G2293" s="1509" t="str">
        <f t="shared" ca="1" si="147"/>
        <v/>
      </c>
      <c r="H2293" s="1510" t="s">
        <v>3199</v>
      </c>
      <c r="I2293" s="588"/>
      <c r="J2293" s="607" t="s">
        <v>2787</v>
      </c>
      <c r="K2293" s="211"/>
      <c r="L2293" s="311" t="s">
        <v>2788</v>
      </c>
      <c r="M2293" s="540"/>
      <c r="N2293" s="4"/>
      <c r="O2293" s="540"/>
      <c r="P2293" s="538" t="b">
        <v>0</v>
      </c>
      <c r="Q2293" s="538" t="b">
        <v>1</v>
      </c>
      <c r="R2293" s="538" t="b">
        <v>0</v>
      </c>
      <c r="S2293" s="538" t="b">
        <f>IF(AY2266=INDEX(ddSingleOrMulti,1),TRUE,FALSE)</f>
        <v>0</v>
      </c>
      <c r="T2293" s="96" t="b">
        <f>AND(NOT(S2293),W2293=TRUE)</f>
        <v>0</v>
      </c>
      <c r="U2293" s="538"/>
      <c r="V2293" s="538"/>
      <c r="W2293" s="27"/>
      <c r="X2293" s="541"/>
      <c r="Y2293" s="572" t="str">
        <f>IF(LEN('11.1000'!X46)=0,"None",'11.1000'!X46)</f>
        <v>None</v>
      </c>
      <c r="Z2293" s="715"/>
      <c r="AB2293" s="538"/>
      <c r="AC2293" s="538" t="b">
        <f>OR(AD2293:AE2293)</f>
        <v>0</v>
      </c>
      <c r="AD2293" s="538" t="b">
        <f>T2293</f>
        <v>0</v>
      </c>
      <c r="AE2293" s="538"/>
      <c r="AF2293" s="538"/>
      <c r="AG2293" s="538"/>
      <c r="AH2293" s="538"/>
      <c r="AI2293" s="538"/>
      <c r="AJ2293" s="538"/>
      <c r="AK2293" s="538"/>
      <c r="AL2293" s="1352"/>
      <c r="AM2293" s="1352"/>
      <c r="AN2293" s="1352"/>
      <c r="AO2293" s="1352"/>
      <c r="AP2293" s="1352" t="str">
        <f>SUBSTITUTE(SUBSTITUTE(SUBSTITUTE("vch"&amp;$B2293&amp;$C2293&amp;$D2293&amp;$E2293,".","_"),"(","_"),")","")</f>
        <v>vch1001_1_16</v>
      </c>
      <c r="AQ2293" s="1352" t="str">
        <f>IF(LEN(W2293)=0,"",W2293)</f>
        <v/>
      </c>
      <c r="AR2293" s="1352" t="str">
        <f>SUBSTITUTE(SUBSTITUTE(SUBSTITUTE("vnt"&amp;$B2293&amp;$C2293&amp;$D2293&amp;$E2293,".","_"),"(","_"),")","")</f>
        <v>vnt1001_1_16</v>
      </c>
      <c r="AS2293" s="1352" t="str">
        <f>IF(LEN(X2293)=0,"",X2293)</f>
        <v/>
      </c>
      <c r="AT2293" s="538"/>
      <c r="AU2293" s="538"/>
      <c r="AV2293" s="538"/>
      <c r="AW2293" s="538"/>
      <c r="AX2293" s="585" t="str">
        <f>'Overview (Verification)'!A48</f>
        <v>Maximum window and door SHGC:</v>
      </c>
      <c r="AY2293" s="685">
        <f>IF(LEN('Overview (Verification)'!P48)=0,0,'Overview (Verification)'!P48)</f>
        <v>0.22</v>
      </c>
      <c r="AZ2293" s="538"/>
      <c r="BA2293" s="538"/>
      <c r="BB2293" s="538"/>
      <c r="BC2293" s="538"/>
      <c r="BD2293" s="538"/>
      <c r="BE2293" s="538"/>
      <c r="BF2293" s="538"/>
      <c r="BG2293" s="538"/>
      <c r="BH2293" s="538"/>
    </row>
    <row r="2294" spans="1:63" hidden="1" x14ac:dyDescent="0.2">
      <c r="A2294" s="1507">
        <v>10</v>
      </c>
      <c r="B2294" s="1516">
        <v>1001.1</v>
      </c>
      <c r="C2294" s="1511" t="s">
        <v>2789</v>
      </c>
      <c r="D2294" s="1511"/>
      <c r="E2294" s="1511"/>
      <c r="F2294" s="1514"/>
      <c r="G2294" s="1509" t="str">
        <f t="shared" ca="1" si="147"/>
        <v/>
      </c>
      <c r="H2294" s="1510" t="s">
        <v>3199</v>
      </c>
      <c r="I2294" s="588"/>
      <c r="J2294" s="608" t="s">
        <v>2789</v>
      </c>
      <c r="K2294" s="1404"/>
      <c r="L2294" s="1649" t="s">
        <v>2790</v>
      </c>
      <c r="M2294" s="540"/>
      <c r="N2294" s="4"/>
      <c r="O2294" s="540"/>
      <c r="P2294" s="538" t="b">
        <v>0</v>
      </c>
      <c r="Q2294" s="538" t="b">
        <v>1</v>
      </c>
      <c r="R2294" s="538" t="b">
        <v>0</v>
      </c>
      <c r="S2294" s="538" t="b">
        <f>IF(AY2266=INDEX(ddSingleOrMulti,1),TRUE,FALSE)</f>
        <v>0</v>
      </c>
      <c r="T2294" s="96" t="b">
        <f>AND(NOT(S2294),W2294=TRUE)</f>
        <v>0</v>
      </c>
      <c r="U2294" s="538"/>
      <c r="V2294" s="538"/>
      <c r="W2294" s="27"/>
      <c r="X2294" s="1600"/>
      <c r="Y2294" s="1874" t="str">
        <f>IF(LEN('11.1000'!X47)=0,"None",'11.1000'!X47)</f>
        <v>None</v>
      </c>
      <c r="Z2294" s="1889"/>
      <c r="AB2294" s="538"/>
      <c r="AC2294" s="538" t="b">
        <f>OR(AD2294:AE2294)</f>
        <v>0</v>
      </c>
      <c r="AD2294" s="538" t="b">
        <f>T2294</f>
        <v>0</v>
      </c>
      <c r="AE2294" s="538"/>
      <c r="AF2294" s="538"/>
      <c r="AG2294" s="538"/>
      <c r="AH2294" s="538"/>
      <c r="AI2294" s="538"/>
      <c r="AJ2294" s="538"/>
      <c r="AK2294" s="538"/>
      <c r="AL2294" s="1352"/>
      <c r="AM2294" s="1352"/>
      <c r="AN2294" s="1352"/>
      <c r="AO2294" s="1352"/>
      <c r="AP2294" s="1352" t="str">
        <f>SUBSTITUTE(SUBSTITUTE(SUBSTITUTE("vch"&amp;$B2294&amp;$C2294&amp;$D2294&amp;$E2294,".","_"),"(","_"),")","")</f>
        <v>vch1001_1_17</v>
      </c>
      <c r="AQ2294" s="1352" t="str">
        <f>IF(LEN(W2294)=0,"",W2294)</f>
        <v/>
      </c>
      <c r="AR2294" s="1352" t="str">
        <f>SUBSTITUTE(SUBSTITUTE(SUBSTITUTE("vnt"&amp;$B2294&amp;$C2294&amp;$D2294&amp;$E2294,".","_"),"(","_"),")","")</f>
        <v>vnt1001_1_17</v>
      </c>
      <c r="AS2294" s="1352" t="str">
        <f>IF(LEN(X2294)=0,"",X2294)</f>
        <v/>
      </c>
      <c r="AT2294" s="538"/>
      <c r="AU2294" s="538"/>
      <c r="AV2294" s="538"/>
      <c r="AW2294" s="538"/>
      <c r="AX2294" s="585" t="str">
        <f>'Overview (Verification)'!A49</f>
        <v>Maximum skylight SHGC:</v>
      </c>
      <c r="AY2294" s="685">
        <f>IF(LEN('Overview (Verification)'!P49)=0,0,'Overview (Verification)'!P49)</f>
        <v>0</v>
      </c>
      <c r="AZ2294" s="538"/>
      <c r="BA2294" s="538"/>
      <c r="BB2294" s="538"/>
      <c r="BC2294" s="538"/>
      <c r="BD2294" s="538"/>
      <c r="BE2294" s="538"/>
      <c r="BF2294" s="538"/>
      <c r="BG2294" s="538"/>
      <c r="BH2294" s="538"/>
    </row>
    <row r="2295" spans="1:63" hidden="1" x14ac:dyDescent="0.2">
      <c r="A2295" s="1507">
        <v>10</v>
      </c>
      <c r="B2295" s="1516">
        <v>1001.1</v>
      </c>
      <c r="C2295" s="1511" t="s">
        <v>2789</v>
      </c>
      <c r="D2295" s="1511"/>
      <c r="E2295" s="1511"/>
      <c r="F2295" s="1514"/>
      <c r="G2295" s="1509" t="str">
        <f t="shared" ca="1" si="147"/>
        <v/>
      </c>
      <c r="H2295" s="1510" t="s">
        <v>3199</v>
      </c>
      <c r="I2295" s="588"/>
      <c r="J2295" s="606"/>
      <c r="K2295" s="208"/>
      <c r="L2295" s="1650"/>
      <c r="M2295" s="540"/>
      <c r="N2295" s="4"/>
      <c r="O2295" s="540"/>
      <c r="P2295" s="538"/>
      <c r="Q2295" s="538"/>
      <c r="R2295" s="538"/>
      <c r="S2295" s="538"/>
      <c r="T2295" s="538"/>
      <c r="U2295" s="538"/>
      <c r="V2295" s="538"/>
      <c r="W2295" s="538"/>
      <c r="X2295" s="1600"/>
      <c r="Y2295" s="1874"/>
      <c r="Z2295" s="1889"/>
      <c r="AB2295" s="538"/>
      <c r="AC2295" s="538"/>
      <c r="AD2295" s="538"/>
      <c r="AE2295" s="538"/>
      <c r="AF2295" s="538"/>
      <c r="AG2295" s="538"/>
      <c r="AH2295" s="538"/>
      <c r="AI2295" s="538"/>
      <c r="AJ2295" s="538"/>
      <c r="AK2295" s="538"/>
      <c r="AL2295" s="1352"/>
      <c r="AM2295" s="1352"/>
      <c r="AN2295" s="1352"/>
      <c r="AO2295" s="1352"/>
      <c r="AP2295" s="1352"/>
      <c r="AQ2295" s="1352"/>
      <c r="AR2295" s="1352"/>
      <c r="AS2295" s="1352"/>
      <c r="AT2295" s="538"/>
      <c r="AU2295" s="538"/>
      <c r="AV2295" s="538"/>
      <c r="AW2295" s="538"/>
      <c r="AX2295" s="585" t="str">
        <f>'Overview (Verification)'!A50</f>
        <v>Maximum window and door U-value:</v>
      </c>
      <c r="AY2295" s="685">
        <f>IF(LEN('Overview (Verification)'!P50)=0,0,'Overview (Verification)'!P50)</f>
        <v>0.28999999999999998</v>
      </c>
      <c r="AZ2295" s="538"/>
      <c r="BA2295" s="538"/>
      <c r="BB2295" s="538"/>
      <c r="BC2295" s="538"/>
      <c r="BD2295" s="538"/>
      <c r="BE2295" s="538"/>
      <c r="BF2295" s="538"/>
      <c r="BG2295" s="538"/>
      <c r="BH2295" s="538"/>
    </row>
    <row r="2296" spans="1:63" hidden="1" x14ac:dyDescent="0.2">
      <c r="A2296" s="1507">
        <v>10</v>
      </c>
      <c r="B2296" s="1516">
        <v>1001.1</v>
      </c>
      <c r="C2296" s="1511" t="s">
        <v>2791</v>
      </c>
      <c r="D2296" s="1511"/>
      <c r="E2296" s="1511"/>
      <c r="F2296" s="1514"/>
      <c r="G2296" s="1509" t="str">
        <f t="shared" ca="1" si="147"/>
        <v/>
      </c>
      <c r="H2296" s="1510" t="s">
        <v>3199</v>
      </c>
      <c r="I2296" s="588"/>
      <c r="J2296" s="608" t="s">
        <v>2791</v>
      </c>
      <c r="K2296" s="1404"/>
      <c r="L2296" s="1613" t="s">
        <v>2792</v>
      </c>
      <c r="M2296" s="540"/>
      <c r="N2296" s="4"/>
      <c r="O2296" s="540"/>
      <c r="P2296" s="538" t="b">
        <v>0</v>
      </c>
      <c r="Q2296" s="538" t="b">
        <v>1</v>
      </c>
      <c r="R2296" s="538" t="b">
        <v>0</v>
      </c>
      <c r="S2296" s="538" t="b">
        <f>IF(AY2266=INDEX(ddSingleOrMulti,1),TRUE,FALSE)</f>
        <v>0</v>
      </c>
      <c r="T2296" s="96" t="b">
        <f>AND(NOT(S2296),W2296=TRUE)</f>
        <v>0</v>
      </c>
      <c r="U2296" s="538"/>
      <c r="V2296" s="538"/>
      <c r="W2296" s="27"/>
      <c r="X2296" s="1600"/>
      <c r="Y2296" s="1874" t="str">
        <f>IF(LEN('11.1000'!X49)=0,"None",'11.1000'!X49)</f>
        <v>None</v>
      </c>
      <c r="Z2296" s="1889"/>
      <c r="AB2296" s="538"/>
      <c r="AC2296" s="538" t="b">
        <f>OR(AD2296:AE2296)</f>
        <v>0</v>
      </c>
      <c r="AD2296" s="538" t="b">
        <f>T2296</f>
        <v>0</v>
      </c>
      <c r="AE2296" s="538"/>
      <c r="AF2296" s="538"/>
      <c r="AG2296" s="538"/>
      <c r="AH2296" s="538"/>
      <c r="AI2296" s="538"/>
      <c r="AJ2296" s="538"/>
      <c r="AK2296" s="538"/>
      <c r="AL2296" s="1352"/>
      <c r="AM2296" s="1352"/>
      <c r="AN2296" s="1352"/>
      <c r="AO2296" s="1352"/>
      <c r="AP2296" s="1352" t="str">
        <f>SUBSTITUTE(SUBSTITUTE(SUBSTITUTE("vch"&amp;$B2296&amp;$C2296&amp;$D2296&amp;$E2296,".","_"),"(","_"),")","")</f>
        <v>vch1001_1_18</v>
      </c>
      <c r="AQ2296" s="1352" t="str">
        <f>IF(LEN(W2296)=0,"",W2296)</f>
        <v/>
      </c>
      <c r="AR2296" s="1352" t="str">
        <f>SUBSTITUTE(SUBSTITUTE(SUBSTITUTE("vnt"&amp;$B2296&amp;$C2296&amp;$D2296&amp;$E2296,".","_"),"(","_"),")","")</f>
        <v>vnt1001_1_18</v>
      </c>
      <c r="AS2296" s="1352" t="str">
        <f>IF(LEN(X2296)=0,"",X2296)</f>
        <v/>
      </c>
      <c r="AT2296" s="538"/>
      <c r="AU2296" s="538"/>
      <c r="AV2296" s="538"/>
      <c r="AW2296" s="538"/>
      <c r="AX2296" s="585" t="str">
        <f>'Overview (Verification)'!A51</f>
        <v>Maximum skylight U-value:</v>
      </c>
      <c r="AY2296" s="685">
        <f>IF(LEN('Overview (Verification)'!P51)=0,0,'Overview (Verification)'!P51)</f>
        <v>0</v>
      </c>
      <c r="AZ2296" s="538"/>
      <c r="BA2296" s="538"/>
      <c r="BB2296" s="538"/>
      <c r="BC2296" s="538"/>
      <c r="BD2296" s="538"/>
      <c r="BE2296" s="538"/>
      <c r="BF2296" s="538"/>
      <c r="BG2296" s="538"/>
      <c r="BH2296" s="538"/>
    </row>
    <row r="2297" spans="1:63" hidden="1" x14ac:dyDescent="0.2">
      <c r="A2297" s="1507">
        <v>10</v>
      </c>
      <c r="B2297" s="1516">
        <v>1001.1</v>
      </c>
      <c r="C2297" s="1511" t="s">
        <v>2791</v>
      </c>
      <c r="D2297" s="1511"/>
      <c r="E2297" s="1511"/>
      <c r="F2297" s="1514"/>
      <c r="G2297" s="1509" t="str">
        <f t="shared" ca="1" si="147"/>
        <v/>
      </c>
      <c r="H2297" s="1510" t="s">
        <v>3199</v>
      </c>
      <c r="I2297" s="588"/>
      <c r="J2297" s="208"/>
      <c r="K2297" s="208"/>
      <c r="L2297" s="1612"/>
      <c r="M2297" s="540"/>
      <c r="N2297" s="4"/>
      <c r="O2297" s="540"/>
      <c r="P2297" s="538"/>
      <c r="Q2297" s="538"/>
      <c r="R2297" s="538"/>
      <c r="S2297" s="538"/>
      <c r="T2297" s="538"/>
      <c r="U2297" s="538"/>
      <c r="V2297" s="538"/>
      <c r="W2297" s="538"/>
      <c r="X2297" s="1600"/>
      <c r="Y2297" s="1874"/>
      <c r="Z2297" s="1889"/>
      <c r="AB2297" s="538"/>
      <c r="AC2297" s="538"/>
      <c r="AD2297" s="538"/>
      <c r="AE2297" s="538"/>
      <c r="AF2297" s="538"/>
      <c r="AG2297" s="538"/>
      <c r="AH2297" s="538"/>
      <c r="AI2297" s="538"/>
      <c r="AJ2297" s="538"/>
      <c r="AK2297" s="538"/>
      <c r="AL2297" s="1352"/>
      <c r="AM2297" s="1352"/>
      <c r="AN2297" s="1352"/>
      <c r="AO2297" s="1352"/>
      <c r="AP2297" s="1352"/>
      <c r="AQ2297" s="1352"/>
      <c r="AR2297" s="1352"/>
      <c r="AS2297" s="1352"/>
      <c r="AT2297" s="538"/>
      <c r="AU2297" s="538"/>
      <c r="AV2297" s="538"/>
      <c r="AW2297" s="538"/>
      <c r="AX2297" s="585" t="str">
        <f>'Overview (Verification)'!A52</f>
        <v>Renewable Energy:</v>
      </c>
      <c r="AY2297" s="685">
        <f>IF(LEN('Overview (Verification)'!P52)=0,0,'Overview (Verification)'!P52)</f>
        <v>0</v>
      </c>
      <c r="AZ2297" s="538"/>
      <c r="BA2297" s="538"/>
      <c r="BB2297" s="538"/>
      <c r="BC2297" s="538"/>
      <c r="BD2297" s="538"/>
      <c r="BE2297" s="538"/>
      <c r="BF2297" s="538"/>
      <c r="BG2297" s="538"/>
      <c r="BH2297" s="538"/>
    </row>
    <row r="2298" spans="1:63" ht="16" hidden="1" x14ac:dyDescent="0.2">
      <c r="A2298" s="1507">
        <v>10</v>
      </c>
      <c r="B2298" s="1516">
        <v>1001.1</v>
      </c>
      <c r="C2298" s="1511" t="s">
        <v>2793</v>
      </c>
      <c r="D2298" s="1511"/>
      <c r="E2298" s="1511"/>
      <c r="F2298" s="1514"/>
      <c r="G2298" s="1509" t="str">
        <f t="shared" ca="1" si="147"/>
        <v/>
      </c>
      <c r="H2298" s="1510" t="s">
        <v>3199</v>
      </c>
      <c r="I2298" s="588"/>
      <c r="J2298" s="607" t="s">
        <v>2793</v>
      </c>
      <c r="K2298" s="211"/>
      <c r="L2298" s="311" t="s">
        <v>2794</v>
      </c>
      <c r="M2298" s="540"/>
      <c r="N2298" s="4"/>
      <c r="O2298" s="540"/>
      <c r="P2298" s="538" t="b">
        <v>0</v>
      </c>
      <c r="Q2298" s="538" t="b">
        <v>1</v>
      </c>
      <c r="R2298" s="538" t="b">
        <v>0</v>
      </c>
      <c r="S2298" s="538" t="b">
        <f>IF(AY2266=INDEX(ddSingleOrMulti,1),TRUE,FALSE)</f>
        <v>0</v>
      </c>
      <c r="T2298" s="96" t="b">
        <f>AND(NOT(S2298),W2298=TRUE)</f>
        <v>0</v>
      </c>
      <c r="U2298" s="538"/>
      <c r="V2298" s="538"/>
      <c r="W2298" s="27"/>
      <c r="X2298" s="541"/>
      <c r="Y2298" s="572" t="str">
        <f>IF(LEN('11.1000'!X51)=0,"None",'11.1000'!X51)</f>
        <v>None</v>
      </c>
      <c r="Z2298" s="715"/>
      <c r="AB2298" s="538"/>
      <c r="AC2298" s="538" t="b">
        <f>OR(AD2298:AE2298)</f>
        <v>0</v>
      </c>
      <c r="AD2298" s="538" t="b">
        <f>T2298</f>
        <v>0</v>
      </c>
      <c r="AE2298" s="538"/>
      <c r="AF2298" s="538"/>
      <c r="AG2298" s="538"/>
      <c r="AH2298" s="538"/>
      <c r="AI2298" s="538"/>
      <c r="AJ2298" s="538"/>
      <c r="AK2298" s="538"/>
      <c r="AL2298" s="1352"/>
      <c r="AM2298" s="1352"/>
      <c r="AN2298" s="1352"/>
      <c r="AO2298" s="1352"/>
      <c r="AP2298" s="1352" t="str">
        <f>SUBSTITUTE(SUBSTITUTE(SUBSTITUTE("vch"&amp;$B2298&amp;$C2298&amp;$D2298&amp;$E2298,".","_"),"(","_"),")","")</f>
        <v>vch1001_1_19</v>
      </c>
      <c r="AQ2298" s="1352" t="str">
        <f>IF(LEN(W2298)=0,"",W2298)</f>
        <v/>
      </c>
      <c r="AR2298" s="1352" t="str">
        <f>SUBSTITUTE(SUBSTITUTE(SUBSTITUTE("vnt"&amp;$B2298&amp;$C2298&amp;$D2298&amp;$E2298,".","_"),"(","_"),")","")</f>
        <v>vnt1001_1_19</v>
      </c>
      <c r="AS2298" s="1352" t="str">
        <f>IF(LEN(X2298)=0,"",X2298)</f>
        <v/>
      </c>
      <c r="AT2298" s="538"/>
      <c r="AU2298" s="538"/>
      <c r="AV2298" s="538"/>
      <c r="AW2298" s="538"/>
      <c r="AX2298" s="585" t="str">
        <f>'Overview (Verification)'!A53</f>
        <v>Thermal Envelope Insulation:</v>
      </c>
      <c r="AY2298" s="685">
        <f>IF(LEN('Overview (Verification)'!P53)=0,0,'Overview (Verification)'!P53)</f>
        <v>0</v>
      </c>
      <c r="AZ2298" s="538"/>
      <c r="BA2298" s="538"/>
      <c r="BB2298" s="538"/>
      <c r="BC2298" s="538"/>
      <c r="BD2298" s="538"/>
      <c r="BE2298" s="538"/>
      <c r="BF2298" s="538"/>
      <c r="BG2298" s="538"/>
      <c r="BH2298" s="538"/>
    </row>
    <row r="2299" spans="1:63" hidden="1" x14ac:dyDescent="0.2">
      <c r="A2299" s="1507">
        <v>10</v>
      </c>
      <c r="B2299" s="1516">
        <v>1001.1</v>
      </c>
      <c r="C2299" s="1511" t="s">
        <v>2795</v>
      </c>
      <c r="D2299" s="1511"/>
      <c r="E2299" s="1511"/>
      <c r="F2299" s="1514"/>
      <c r="G2299" s="1509" t="str">
        <f t="shared" ca="1" si="147"/>
        <v/>
      </c>
      <c r="H2299" s="1510" t="s">
        <v>3199</v>
      </c>
      <c r="I2299" s="588"/>
      <c r="J2299" s="608" t="s">
        <v>2795</v>
      </c>
      <c r="K2299" s="1404"/>
      <c r="L2299" s="1613" t="s">
        <v>2796</v>
      </c>
      <c r="M2299" s="540"/>
      <c r="N2299" s="4"/>
      <c r="O2299" s="540"/>
      <c r="P2299" s="538" t="b">
        <v>0</v>
      </c>
      <c r="Q2299" s="538" t="b">
        <v>1</v>
      </c>
      <c r="R2299" s="538" t="b">
        <v>0</v>
      </c>
      <c r="S2299" s="538" t="b">
        <f>IF(AY2266=INDEX(ddSingleOrMulti,1),TRUE,FALSE)</f>
        <v>0</v>
      </c>
      <c r="T2299" s="96" t="b">
        <f>AND(NOT(S2299),W2299=TRUE)</f>
        <v>0</v>
      </c>
      <c r="U2299" s="538"/>
      <c r="V2299" s="538"/>
      <c r="W2299" s="27"/>
      <c r="X2299" s="1600"/>
      <c r="Y2299" s="1874" t="str">
        <f>IF(LEN('11.1000'!X52)=0,"None",'11.1000'!X52)</f>
        <v>None</v>
      </c>
      <c r="Z2299" s="1889"/>
      <c r="AB2299" s="538"/>
      <c r="AC2299" s="538" t="b">
        <f>OR(AD2299:AE2299)</f>
        <v>0</v>
      </c>
      <c r="AD2299" s="538" t="b">
        <f>T2299</f>
        <v>0</v>
      </c>
      <c r="AE2299" s="538"/>
      <c r="AF2299" s="538"/>
      <c r="AG2299" s="538"/>
      <c r="AH2299" s="538"/>
      <c r="AI2299" s="538"/>
      <c r="AJ2299" s="538"/>
      <c r="AK2299" s="538"/>
      <c r="AL2299" s="1352"/>
      <c r="AM2299" s="1352"/>
      <c r="AN2299" s="1352"/>
      <c r="AO2299" s="1352"/>
      <c r="AP2299" s="1352" t="str">
        <f>SUBSTITUTE(SUBSTITUTE(SUBSTITUTE("vch"&amp;$B2299&amp;$C2299&amp;$D2299&amp;$E2299,".","_"),"(","_"),")","")</f>
        <v>vch1001_1_20</v>
      </c>
      <c r="AQ2299" s="1352" t="str">
        <f>IF(LEN(W2299)=0,"",W2299)</f>
        <v/>
      </c>
      <c r="AR2299" s="1352" t="str">
        <f>SUBSTITUTE(SUBSTITUTE(SUBSTITUTE("vnt"&amp;$B2299&amp;$C2299&amp;$D2299&amp;$E2299,".","_"),"(","_"),")","")</f>
        <v>vnt1001_1_20</v>
      </c>
      <c r="AS2299" s="1352" t="str">
        <f>IF(LEN(X2299)=0,"",X2299)</f>
        <v/>
      </c>
      <c r="AT2299" s="538"/>
      <c r="AU2299" s="538"/>
      <c r="AV2299" s="538"/>
      <c r="AW2299" s="538"/>
      <c r="AX2299" s="585" t="str">
        <f>'Overview (Verification)'!A54</f>
        <v>Attic Type:</v>
      </c>
      <c r="AY2299" s="685" t="str">
        <f>IF(LEN('Overview (Verification)'!P54)=0,0,'Overview (Verification)'!P54)</f>
        <v>Vented</v>
      </c>
      <c r="AZ2299" s="538"/>
      <c r="BA2299" s="538"/>
      <c r="BB2299" s="538"/>
      <c r="BC2299" s="538"/>
      <c r="BD2299" s="538"/>
      <c r="BE2299" s="538"/>
      <c r="BF2299" s="538"/>
      <c r="BG2299" s="538"/>
      <c r="BH2299" s="538"/>
    </row>
    <row r="2300" spans="1:63" hidden="1" x14ac:dyDescent="0.2">
      <c r="A2300" s="1507">
        <v>10</v>
      </c>
      <c r="B2300" s="1516">
        <v>1001.1</v>
      </c>
      <c r="C2300" s="1511" t="s">
        <v>2795</v>
      </c>
      <c r="D2300" s="1511"/>
      <c r="E2300" s="1511"/>
      <c r="F2300" s="1514"/>
      <c r="G2300" s="1509" t="str">
        <f t="shared" ca="1" si="147"/>
        <v/>
      </c>
      <c r="H2300" s="1510" t="s">
        <v>3199</v>
      </c>
      <c r="I2300" s="588"/>
      <c r="J2300" s="208"/>
      <c r="K2300" s="208"/>
      <c r="L2300" s="1612"/>
      <c r="M2300" s="540"/>
      <c r="N2300" s="4"/>
      <c r="O2300" s="540"/>
      <c r="P2300" s="538"/>
      <c r="Q2300" s="538"/>
      <c r="R2300" s="538"/>
      <c r="S2300" s="538"/>
      <c r="T2300" s="538"/>
      <c r="U2300" s="538"/>
      <c r="V2300" s="538"/>
      <c r="W2300" s="538"/>
      <c r="X2300" s="1600"/>
      <c r="Y2300" s="1874"/>
      <c r="Z2300" s="1889"/>
      <c r="AB2300" s="538"/>
      <c r="AC2300" s="538"/>
      <c r="AD2300" s="538"/>
      <c r="AE2300" s="538"/>
      <c r="AF2300" s="538"/>
      <c r="AG2300" s="538"/>
      <c r="AH2300" s="538"/>
      <c r="AI2300" s="538"/>
      <c r="AJ2300" s="538"/>
      <c r="AK2300" s="538"/>
      <c r="AL2300" s="1352"/>
      <c r="AM2300" s="1352"/>
      <c r="AN2300" s="1352"/>
      <c r="AO2300" s="1352"/>
      <c r="AP2300" s="1352"/>
      <c r="AQ2300" s="1352"/>
      <c r="AR2300" s="1352"/>
      <c r="AS2300" s="1352"/>
      <c r="AT2300" s="538"/>
      <c r="AU2300" s="538"/>
      <c r="AV2300" s="538"/>
      <c r="AW2300" s="538"/>
      <c r="AX2300" s="585" t="str">
        <f>'Overview (Verification)'!A55</f>
        <v>Attached Garage:</v>
      </c>
      <c r="AY2300" s="685" t="str">
        <f>IF(LEN('Overview (Verification)'!P55)=0,0,'Overview (Verification)'!P55)</f>
        <v>No</v>
      </c>
      <c r="AZ2300" s="538"/>
      <c r="BA2300" s="538"/>
      <c r="BB2300" s="538"/>
      <c r="BC2300" s="538"/>
      <c r="BD2300" s="538"/>
      <c r="BE2300" s="538"/>
      <c r="BF2300" s="538"/>
      <c r="BG2300" s="538"/>
      <c r="BH2300" s="538"/>
    </row>
    <row r="2301" spans="1:63" hidden="1" x14ac:dyDescent="0.2">
      <c r="A2301" s="1507">
        <v>10</v>
      </c>
      <c r="B2301" s="1516">
        <v>1001.1</v>
      </c>
      <c r="C2301" s="1511" t="s">
        <v>2797</v>
      </c>
      <c r="D2301" s="1511"/>
      <c r="E2301" s="1511"/>
      <c r="F2301" s="1514"/>
      <c r="G2301" s="1509" t="str">
        <f t="shared" ca="1" si="147"/>
        <v/>
      </c>
      <c r="H2301" s="1510" t="s">
        <v>3199</v>
      </c>
      <c r="I2301" s="588"/>
      <c r="J2301" s="608" t="s">
        <v>2797</v>
      </c>
      <c r="K2301" s="1404"/>
      <c r="L2301" s="1613" t="s">
        <v>2798</v>
      </c>
      <c r="M2301" s="540"/>
      <c r="N2301" s="4"/>
      <c r="O2301" s="540"/>
      <c r="P2301" s="538" t="b">
        <v>0</v>
      </c>
      <c r="Q2301" s="538" t="b">
        <v>1</v>
      </c>
      <c r="R2301" s="538" t="b">
        <v>0</v>
      </c>
      <c r="S2301" s="538" t="b">
        <f>IF(AY2266=INDEX(ddSingleOrMulti,1),TRUE,FALSE)</f>
        <v>0</v>
      </c>
      <c r="T2301" s="96" t="b">
        <f>AND(NOT(S2301),W2301=TRUE)</f>
        <v>0</v>
      </c>
      <c r="U2301" s="538"/>
      <c r="V2301" s="538"/>
      <c r="W2301" s="27"/>
      <c r="X2301" s="1600"/>
      <c r="Y2301" s="1874" t="str">
        <f>IF(LEN('11.1000'!X54)=0,"None",'11.1000'!X54)</f>
        <v>None</v>
      </c>
      <c r="Z2301" s="1889"/>
      <c r="AB2301" s="538"/>
      <c r="AC2301" s="538" t="b">
        <f>OR(AD2301:AE2301)</f>
        <v>0</v>
      </c>
      <c r="AD2301" s="538" t="b">
        <f>T2301</f>
        <v>0</v>
      </c>
      <c r="AE2301" s="538"/>
      <c r="AF2301" s="538"/>
      <c r="AG2301" s="538"/>
      <c r="AH2301" s="538"/>
      <c r="AI2301" s="538"/>
      <c r="AJ2301" s="538"/>
      <c r="AK2301" s="538"/>
      <c r="AL2301" s="1352"/>
      <c r="AM2301" s="1352"/>
      <c r="AN2301" s="1352"/>
      <c r="AO2301" s="1352"/>
      <c r="AP2301" s="1352" t="str">
        <f>SUBSTITUTE(SUBSTITUTE(SUBSTITUTE("vch"&amp;$B2301&amp;$C2301&amp;$D2301&amp;$E2301,".","_"),"(","_"),")","")</f>
        <v>vch1001_1_21</v>
      </c>
      <c r="AQ2301" s="1352" t="str">
        <f>IF(LEN(W2301)=0,"",W2301)</f>
        <v/>
      </c>
      <c r="AR2301" s="1352" t="str">
        <f>SUBSTITUTE(SUBSTITUTE(SUBSTITUTE("vnt"&amp;$B2301&amp;$C2301&amp;$D2301&amp;$E2301,".","_"),"(","_"),")","")</f>
        <v>vnt1001_1_21</v>
      </c>
      <c r="AS2301" s="1352" t="str">
        <f>IF(LEN(X2301)=0,"",X2301)</f>
        <v/>
      </c>
      <c r="AT2301" s="538"/>
      <c r="AU2301" s="538"/>
      <c r="AV2301" s="538"/>
      <c r="AW2301" s="538"/>
      <c r="AX2301" s="585" t="str">
        <f>'Overview (Verification)'!A56</f>
        <v>Recessed Lighting:</v>
      </c>
      <c r="AY2301" s="685">
        <f>IF(LEN('Overview (Verification)'!P56)=0,0,'Overview (Verification)'!P56)</f>
        <v>0</v>
      </c>
      <c r="AZ2301" s="538"/>
      <c r="BA2301" s="538"/>
      <c r="BB2301" s="538"/>
      <c r="BC2301" s="538"/>
      <c r="BD2301" s="538"/>
      <c r="BE2301" s="538"/>
      <c r="BF2301" s="538"/>
      <c r="BG2301" s="538"/>
      <c r="BH2301" s="538"/>
      <c r="BI2301" s="677"/>
      <c r="BJ2301" s="677"/>
      <c r="BK2301" s="677"/>
    </row>
    <row r="2302" spans="1:63" hidden="1" x14ac:dyDescent="0.2">
      <c r="A2302" s="1507">
        <v>10</v>
      </c>
      <c r="B2302" s="1516">
        <v>1001.1</v>
      </c>
      <c r="C2302" s="1511" t="s">
        <v>2797</v>
      </c>
      <c r="D2302" s="1511"/>
      <c r="E2302" s="1511"/>
      <c r="F2302" s="1514"/>
      <c r="G2302" s="1509" t="str">
        <f t="shared" ca="1" si="147"/>
        <v/>
      </c>
      <c r="H2302" s="1510" t="s">
        <v>3199</v>
      </c>
      <c r="I2302" s="588"/>
      <c r="J2302" s="208"/>
      <c r="K2302" s="208"/>
      <c r="L2302" s="1612"/>
      <c r="M2302" s="540"/>
      <c r="N2302" s="4"/>
      <c r="O2302" s="540"/>
      <c r="P2302" s="538"/>
      <c r="Q2302" s="538"/>
      <c r="R2302" s="538"/>
      <c r="S2302" s="538"/>
      <c r="T2302" s="538"/>
      <c r="U2302" s="538"/>
      <c r="V2302" s="538"/>
      <c r="W2302" s="538"/>
      <c r="X2302" s="1600"/>
      <c r="Y2302" s="1874"/>
      <c r="Z2302" s="1889"/>
      <c r="AB2302" s="538"/>
      <c r="AC2302" s="538"/>
      <c r="AD2302" s="538"/>
      <c r="AE2302" s="538"/>
      <c r="AF2302" s="538"/>
      <c r="AG2302" s="538"/>
      <c r="AH2302" s="538"/>
      <c r="AI2302" s="538"/>
      <c r="AJ2302" s="538"/>
      <c r="AK2302" s="538"/>
      <c r="AL2302" s="1352"/>
      <c r="AM2302" s="1352"/>
      <c r="AN2302" s="1352"/>
      <c r="AO2302" s="1352"/>
      <c r="AP2302" s="1352"/>
      <c r="AQ2302" s="1352"/>
      <c r="AR2302" s="1352"/>
      <c r="AS2302" s="1352"/>
      <c r="AT2302" s="538"/>
      <c r="AU2302" s="538"/>
      <c r="AV2302" s="538"/>
      <c r="AW2302" s="538"/>
      <c r="AX2302" s="539"/>
      <c r="AY2302" s="685"/>
      <c r="AZ2302" s="538"/>
      <c r="BA2302" s="538"/>
      <c r="BB2302" s="538"/>
      <c r="BC2302" s="538"/>
      <c r="BD2302" s="538"/>
      <c r="BE2302" s="538"/>
      <c r="BF2302" s="538"/>
      <c r="BG2302" s="538"/>
      <c r="BH2302" s="538"/>
    </row>
    <row r="2303" spans="1:63" hidden="1" x14ac:dyDescent="0.2">
      <c r="A2303" s="1507">
        <v>10</v>
      </c>
      <c r="B2303" s="1516">
        <v>1001.1</v>
      </c>
      <c r="C2303" s="1511" t="s">
        <v>2799</v>
      </c>
      <c r="D2303" s="1511"/>
      <c r="E2303" s="1511"/>
      <c r="F2303" s="1514"/>
      <c r="G2303" s="1509" t="str">
        <f t="shared" ca="1" si="147"/>
        <v/>
      </c>
      <c r="H2303" s="1510" t="s">
        <v>3199</v>
      </c>
      <c r="I2303" s="588"/>
      <c r="J2303" s="608" t="s">
        <v>2799</v>
      </c>
      <c r="K2303" s="1404"/>
      <c r="L2303" s="1613" t="s">
        <v>2800</v>
      </c>
      <c r="M2303" s="540"/>
      <c r="N2303" s="4"/>
      <c r="O2303" s="540"/>
      <c r="P2303" s="538" t="b">
        <v>0</v>
      </c>
      <c r="Q2303" s="538" t="b">
        <v>1</v>
      </c>
      <c r="R2303" s="538" t="b">
        <v>0</v>
      </c>
      <c r="S2303" s="538" t="b">
        <f>IF(AY2266=INDEX(ddSingleOrMulti,1),TRUE,FALSE)</f>
        <v>0</v>
      </c>
      <c r="T2303" s="96" t="b">
        <f>AND(NOT(S2303),W2303=TRUE)</f>
        <v>0</v>
      </c>
      <c r="U2303" s="538"/>
      <c r="V2303" s="538"/>
      <c r="W2303" s="27"/>
      <c r="X2303" s="1600"/>
      <c r="Y2303" s="1874" t="str">
        <f>IF(LEN('11.1000'!X56)=0,"None",'11.1000'!X56)</f>
        <v>None</v>
      </c>
      <c r="Z2303" s="1889"/>
      <c r="AB2303" s="538"/>
      <c r="AC2303" s="538" t="b">
        <f>OR(AD2303:AE2303)</f>
        <v>0</v>
      </c>
      <c r="AD2303" s="538" t="b">
        <f>T2303</f>
        <v>0</v>
      </c>
      <c r="AE2303" s="538"/>
      <c r="AF2303" s="538"/>
      <c r="AG2303" s="538"/>
      <c r="AH2303" s="538"/>
      <c r="AI2303" s="538"/>
      <c r="AJ2303" s="538"/>
      <c r="AK2303" s="538"/>
      <c r="AL2303" s="1352"/>
      <c r="AM2303" s="1352"/>
      <c r="AN2303" s="1352"/>
      <c r="AO2303" s="1352"/>
      <c r="AP2303" s="1352" t="str">
        <f>SUBSTITUTE(SUBSTITUTE(SUBSTITUTE("vch"&amp;$B2303&amp;$C2303&amp;$D2303&amp;$E2303,".","_"),"(","_"),")","")</f>
        <v>vch1001_1_22</v>
      </c>
      <c r="AQ2303" s="1352" t="str">
        <f>IF(LEN(W2303)=0,"",W2303)</f>
        <v/>
      </c>
      <c r="AR2303" s="1352" t="str">
        <f>SUBSTITUTE(SUBSTITUTE(SUBSTITUTE("vnt"&amp;$B2303&amp;$C2303&amp;$D2303&amp;$E2303,".","_"),"(","_"),")","")</f>
        <v>vnt1001_1_22</v>
      </c>
      <c r="AS2303" s="1352" t="str">
        <f>IF(LEN(X2303)=0,"",X2303)</f>
        <v/>
      </c>
      <c r="AT2303" s="538"/>
      <c r="AU2303" s="538"/>
      <c r="AV2303" s="538"/>
      <c r="AW2303" s="538"/>
      <c r="AX2303" s="585" t="str">
        <f>'Overview (Verification)'!A58</f>
        <v>Special Design Features:</v>
      </c>
      <c r="AY2303" s="685"/>
      <c r="AZ2303" s="538"/>
      <c r="BA2303" s="538"/>
      <c r="BB2303" s="538"/>
      <c r="BC2303" s="538"/>
      <c r="BD2303" s="538"/>
      <c r="BE2303" s="538"/>
      <c r="BF2303" s="538"/>
      <c r="BG2303" s="538"/>
      <c r="BH2303" s="538"/>
    </row>
    <row r="2304" spans="1:63" hidden="1" x14ac:dyDescent="0.2">
      <c r="A2304" s="1507">
        <v>10</v>
      </c>
      <c r="B2304" s="1516">
        <v>1001.1</v>
      </c>
      <c r="C2304" s="1511" t="s">
        <v>2799</v>
      </c>
      <c r="D2304" s="1511"/>
      <c r="E2304" s="1511"/>
      <c r="F2304" s="1514"/>
      <c r="G2304" s="1509" t="str">
        <f t="shared" ca="1" si="147"/>
        <v/>
      </c>
      <c r="H2304" s="1510" t="s">
        <v>3199</v>
      </c>
      <c r="I2304" s="588"/>
      <c r="J2304" s="208"/>
      <c r="K2304" s="208"/>
      <c r="L2304" s="1612"/>
      <c r="M2304" s="540"/>
      <c r="N2304" s="4"/>
      <c r="O2304" s="540"/>
      <c r="P2304" s="538"/>
      <c r="Q2304" s="538"/>
      <c r="R2304" s="538"/>
      <c r="S2304" s="538"/>
      <c r="T2304" s="538"/>
      <c r="U2304" s="538"/>
      <c r="V2304" s="538"/>
      <c r="W2304" s="538"/>
      <c r="X2304" s="1600"/>
      <c r="Y2304" s="1874"/>
      <c r="Z2304" s="1889"/>
      <c r="AB2304" s="538"/>
      <c r="AC2304" s="538"/>
      <c r="AD2304" s="538"/>
      <c r="AE2304" s="538"/>
      <c r="AF2304" s="538"/>
      <c r="AG2304" s="538"/>
      <c r="AH2304" s="538"/>
      <c r="AI2304" s="538"/>
      <c r="AJ2304" s="538"/>
      <c r="AK2304" s="538"/>
      <c r="AL2304" s="1352"/>
      <c r="AM2304" s="1352"/>
      <c r="AN2304" s="1352"/>
      <c r="AO2304" s="1352"/>
      <c r="AP2304" s="1352"/>
      <c r="AQ2304" s="1352"/>
      <c r="AR2304" s="1352"/>
      <c r="AS2304" s="1352"/>
      <c r="AT2304" s="538"/>
      <c r="AU2304" s="538"/>
      <c r="AV2304" s="538"/>
      <c r="AW2304" s="538"/>
      <c r="AX2304" s="585" t="str">
        <f>'Overview (Verification)'!A59</f>
        <v>Passive Solar:</v>
      </c>
      <c r="AY2304" s="685">
        <f>IF(LEN('Overview (Verification)'!P59)=0,0,'Overview (Verification)'!P59)</f>
        <v>0</v>
      </c>
      <c r="AZ2304" s="538"/>
      <c r="BA2304" s="538"/>
      <c r="BB2304" s="538"/>
      <c r="BC2304" s="538"/>
      <c r="BD2304" s="538"/>
      <c r="BE2304" s="538"/>
      <c r="BF2304" s="538"/>
      <c r="BG2304" s="538"/>
      <c r="BH2304" s="538"/>
    </row>
    <row r="2305" spans="1:60" s="789" customFormat="1" hidden="1" x14ac:dyDescent="0.2">
      <c r="A2305" s="1507">
        <v>10</v>
      </c>
      <c r="B2305" s="1516">
        <v>1001.1</v>
      </c>
      <c r="C2305" s="1511" t="s">
        <v>2801</v>
      </c>
      <c r="D2305" s="1511"/>
      <c r="E2305" s="1511"/>
      <c r="F2305" s="1514"/>
      <c r="G2305" s="1509" t="str">
        <f t="shared" ca="1" si="147"/>
        <v/>
      </c>
      <c r="H2305" s="1510" t="s">
        <v>3199</v>
      </c>
      <c r="I2305" s="588"/>
      <c r="J2305" s="608" t="s">
        <v>2801</v>
      </c>
      <c r="K2305" s="1404"/>
      <c r="L2305" s="1613" t="s">
        <v>3905</v>
      </c>
      <c r="M2305" s="791"/>
      <c r="N2305" s="4"/>
      <c r="O2305" s="791"/>
      <c r="P2305" s="789" t="b">
        <v>0</v>
      </c>
      <c r="Q2305" s="789" t="b">
        <v>1</v>
      </c>
      <c r="R2305" s="789" t="b">
        <v>0</v>
      </c>
      <c r="S2305" s="1" t="b">
        <f>IF(AND(AY2266=INDEX(ddSingleOrMulti,1),AY2274&lt;1978),TRUE,FALSE)</f>
        <v>0</v>
      </c>
      <c r="T2305" s="96" t="b">
        <f>AND(NOT(S2305),W2305=TRUE)</f>
        <v>0</v>
      </c>
      <c r="W2305" s="27"/>
      <c r="X2305" s="1600"/>
      <c r="Y2305" s="1874" t="str">
        <f>IF(LEN('11.1000'!X58)=0,"None",'11.1000'!X58)</f>
        <v>None</v>
      </c>
      <c r="Z2305" s="1889"/>
      <c r="AC2305" s="779" t="b">
        <f>OR(AD2305:AE2305)</f>
        <v>0</v>
      </c>
      <c r="AD2305" s="779" t="b">
        <f>T2305</f>
        <v>0</v>
      </c>
      <c r="AL2305" s="1352"/>
      <c r="AM2305" s="1352"/>
      <c r="AN2305" s="1352"/>
      <c r="AO2305" s="1352"/>
      <c r="AP2305" s="1352" t="str">
        <f>SUBSTITUTE(SUBSTITUTE(SUBSTITUTE("vch"&amp;$B2305&amp;$C2305&amp;$D2305&amp;$E2305,".","_"),"(","_"),")","")</f>
        <v>vch1001_1_23</v>
      </c>
      <c r="AQ2305" s="1352" t="str">
        <f>IF(LEN(W2305)=0,"",W2305)</f>
        <v/>
      </c>
      <c r="AR2305" s="1352" t="str">
        <f>SUBSTITUTE(SUBSTITUTE(SUBSTITUTE("vnt"&amp;$B2305&amp;$C2305&amp;$D2305&amp;$E2305,".","_"),"(","_"),")","")</f>
        <v>vnt1001_1_23</v>
      </c>
      <c r="AS2305" s="1352" t="str">
        <f>IF(LEN(X2305)=0,"",X2305)</f>
        <v/>
      </c>
      <c r="AX2305" s="585" t="str">
        <f>'Overview (Verification)'!A60</f>
        <v>Mass Walls:</v>
      </c>
      <c r="AY2305" s="685">
        <f>IF(LEN('Overview (Verification)'!P60)=0,0,'Overview (Verification)'!P60)</f>
        <v>0</v>
      </c>
    </row>
    <row r="2306" spans="1:60" s="789" customFormat="1" hidden="1" x14ac:dyDescent="0.2">
      <c r="A2306" s="1507">
        <v>10</v>
      </c>
      <c r="B2306" s="1516">
        <v>1001.1</v>
      </c>
      <c r="C2306" s="1511" t="s">
        <v>2801</v>
      </c>
      <c r="D2306" s="1511"/>
      <c r="E2306" s="1511"/>
      <c r="F2306" s="1514"/>
      <c r="G2306" s="1509" t="str">
        <f t="shared" ca="1" si="147"/>
        <v/>
      </c>
      <c r="H2306" s="1510" t="s">
        <v>3199</v>
      </c>
      <c r="I2306" s="588"/>
      <c r="J2306" s="208"/>
      <c r="K2306" s="208"/>
      <c r="L2306" s="1612"/>
      <c r="M2306" s="791"/>
      <c r="N2306" s="4"/>
      <c r="O2306" s="791"/>
      <c r="X2306" s="1600"/>
      <c r="Y2306" s="1874"/>
      <c r="Z2306" s="1889"/>
      <c r="AL2306" s="1352"/>
      <c r="AM2306" s="1352"/>
      <c r="AN2306" s="1352"/>
      <c r="AO2306" s="1352"/>
      <c r="AP2306" s="1352"/>
      <c r="AQ2306" s="1352"/>
      <c r="AR2306" s="1352"/>
      <c r="AS2306" s="1352"/>
      <c r="AX2306" s="585" t="str">
        <f>'Overview (Verification)'!A61</f>
        <v>Radiant/Hydronic:</v>
      </c>
      <c r="AY2306" s="685">
        <f>IF(LEN('Overview (Verification)'!P61)=0,0,'Overview (Verification)'!P61)</f>
        <v>0</v>
      </c>
    </row>
    <row r="2307" spans="1:60" s="726" customFormat="1" ht="16" hidden="1" x14ac:dyDescent="0.2">
      <c r="A2307" s="1507">
        <v>10</v>
      </c>
      <c r="B2307" s="1516">
        <v>1001.1</v>
      </c>
      <c r="C2307" s="1511" t="s">
        <v>2803</v>
      </c>
      <c r="D2307" s="1511"/>
      <c r="E2307" s="1511"/>
      <c r="F2307" s="1514"/>
      <c r="G2307" s="1509" t="str">
        <f ca="1">G2304</f>
        <v/>
      </c>
      <c r="H2307" s="1510" t="s">
        <v>3199</v>
      </c>
      <c r="I2307" s="588"/>
      <c r="J2307" s="607" t="s">
        <v>2803</v>
      </c>
      <c r="K2307" s="211"/>
      <c r="L2307" s="311" t="s">
        <v>2802</v>
      </c>
      <c r="M2307" s="729"/>
      <c r="N2307" s="4"/>
      <c r="O2307" s="729"/>
      <c r="P2307" s="726" t="b">
        <v>0</v>
      </c>
      <c r="Q2307" s="726" t="b">
        <v>1</v>
      </c>
      <c r="R2307" s="726" t="b">
        <v>0</v>
      </c>
      <c r="S2307" s="735" t="b">
        <f>IF(AY2266=INDEX(ddSingleOrMulti,1),TRUE,FALSE)</f>
        <v>0</v>
      </c>
      <c r="T2307" s="96" t="b">
        <f>AND(NOT(S2307),W2307=TRUE)</f>
        <v>0</v>
      </c>
      <c r="W2307" s="27"/>
      <c r="X2307" s="728"/>
      <c r="Y2307" s="732" t="str">
        <f>IF(LEN('11.1000'!X60)=0,"None",'11.1000'!X60)</f>
        <v>None</v>
      </c>
      <c r="Z2307" s="733"/>
      <c r="AC2307" s="726" t="b">
        <f>OR(AD2307:AE2307)</f>
        <v>0</v>
      </c>
      <c r="AD2307" s="726" t="b">
        <f>T2307</f>
        <v>0</v>
      </c>
      <c r="AL2307" s="1352"/>
      <c r="AM2307" s="1352"/>
      <c r="AN2307" s="1352"/>
      <c r="AO2307" s="1352"/>
      <c r="AP2307" s="1352" t="str">
        <f>SUBSTITUTE(SUBSTITUTE(SUBSTITUTE("vch"&amp;$B2307&amp;$C2307&amp;$D2307&amp;$E2307,".","_"),"(","_"),")","")</f>
        <v>vch1001_1_24</v>
      </c>
      <c r="AQ2307" s="1352" t="str">
        <f>IF(LEN(W2307)=0,"",W2307)</f>
        <v/>
      </c>
      <c r="AR2307" s="1352" t="str">
        <f>SUBSTITUTE(SUBSTITUTE(SUBSTITUTE("vnt"&amp;$B2307&amp;$C2307&amp;$D2307&amp;$E2307,".","_"),"(","_"),")","")</f>
        <v>vnt1001_1_24</v>
      </c>
      <c r="AS2307" s="1352" t="str">
        <f>IF(LEN(X2307)=0,"",X2307)</f>
        <v/>
      </c>
      <c r="AX2307" s="585" t="str">
        <f>'Overview (Verification)'!A62</f>
        <v>Tankless Water Heater:</v>
      </c>
      <c r="AY2307" s="685">
        <f>IF(LEN('Overview (Verification)'!P62)=0,0,'Overview (Verification)'!P62)</f>
        <v>0</v>
      </c>
      <c r="AZ2307" s="538"/>
      <c r="BA2307" s="538"/>
      <c r="BB2307" s="538"/>
      <c r="BC2307" s="538"/>
      <c r="BD2307" s="538"/>
      <c r="BE2307" s="538"/>
      <c r="BF2307" s="538"/>
      <c r="BG2307" s="538"/>
      <c r="BH2307" s="538"/>
    </row>
    <row r="2308" spans="1:60" s="726" customFormat="1" ht="17" hidden="1" thickBot="1" x14ac:dyDescent="0.25">
      <c r="A2308" s="1507">
        <v>10</v>
      </c>
      <c r="B2308" s="1516">
        <v>1001.1</v>
      </c>
      <c r="C2308" s="1511" t="s">
        <v>3904</v>
      </c>
      <c r="D2308" s="1511"/>
      <c r="E2308" s="1511"/>
      <c r="F2308" s="1514"/>
      <c r="G2308" s="1509" t="str">
        <f t="shared" ca="1" si="147"/>
        <v/>
      </c>
      <c r="H2308" s="1510" t="s">
        <v>3199</v>
      </c>
      <c r="I2308" s="596"/>
      <c r="J2308" s="594" t="s">
        <v>3904</v>
      </c>
      <c r="K2308" s="596"/>
      <c r="L2308" s="736" t="s">
        <v>2804</v>
      </c>
      <c r="M2308" s="730"/>
      <c r="N2308" s="239"/>
      <c r="O2308" s="730"/>
      <c r="P2308" s="726" t="b">
        <v>0</v>
      </c>
      <c r="Q2308" s="726" t="b">
        <v>1</v>
      </c>
      <c r="R2308" s="100" t="b">
        <v>0</v>
      </c>
      <c r="S2308" s="100" t="b">
        <f>IF(AY2266=INDEX(ddSingleOrMulti,1),TRUE,FALSE)</f>
        <v>0</v>
      </c>
      <c r="T2308" s="100" t="b">
        <f>AND(NOT(S2308),W2308=TRUE)</f>
        <v>0</v>
      </c>
      <c r="U2308" s="100"/>
      <c r="V2308" s="100"/>
      <c r="W2308" s="101"/>
      <c r="X2308" s="727"/>
      <c r="Y2308" s="1137" t="str">
        <f>IF(LEN('11.1000'!X61)=0,"None",'11.1000'!X61)</f>
        <v>None</v>
      </c>
      <c r="Z2308" s="734"/>
      <c r="AC2308" s="726" t="b">
        <f>OR(AD2308:AE2308)</f>
        <v>0</v>
      </c>
      <c r="AD2308" s="726" t="b">
        <f>T2308</f>
        <v>0</v>
      </c>
      <c r="AL2308" s="1352"/>
      <c r="AM2308" s="1352"/>
      <c r="AN2308" s="1352"/>
      <c r="AO2308" s="1352"/>
      <c r="AP2308" s="1352" t="str">
        <f>SUBSTITUTE(SUBSTITUTE(SUBSTITUTE("vch"&amp;$B2308&amp;$C2308&amp;$D2308&amp;$E2308,".","_"),"(","_"),")","")</f>
        <v>vch1001_1_25</v>
      </c>
      <c r="AQ2308" s="1352" t="str">
        <f>IF(LEN(W2308)=0,"",W2308)</f>
        <v/>
      </c>
      <c r="AR2308" s="1352" t="str">
        <f>SUBSTITUTE(SUBSTITUTE(SUBSTITUTE("vnt"&amp;$B2308&amp;$C2308&amp;$D2308&amp;$E2308,".","_"),"(","_"),")","")</f>
        <v>vnt1001_1_25</v>
      </c>
      <c r="AS2308" s="1352" t="str">
        <f>IF(LEN(X2308)=0,"",X2308)</f>
        <v/>
      </c>
      <c r="AX2308" s="585" t="str">
        <f>'Overview (Verification)'!A63</f>
        <v>Composting Toilet:</v>
      </c>
      <c r="AY2308" s="685">
        <f>IF(LEN('Overview (Verification)'!P63)=0,0,'Overview (Verification)'!P63)</f>
        <v>0</v>
      </c>
      <c r="AZ2308" s="538"/>
      <c r="BA2308" s="538"/>
      <c r="BB2308" s="538"/>
      <c r="BC2308" s="538"/>
      <c r="BD2308" s="538"/>
      <c r="BE2308" s="538"/>
      <c r="BF2308" s="538"/>
      <c r="BG2308" s="538"/>
      <c r="BH2308" s="538"/>
    </row>
    <row r="2309" spans="1:60" ht="16" hidden="1" thickTop="1" x14ac:dyDescent="0.2">
      <c r="A2309" s="1507">
        <v>10</v>
      </c>
      <c r="B2309" s="1516">
        <v>1001.2</v>
      </c>
      <c r="C2309" s="1511"/>
      <c r="D2309" s="1511"/>
      <c r="E2309" s="1511"/>
      <c r="F2309" s="1511" t="s">
        <v>5289</v>
      </c>
      <c r="G2309" s="1509" t="str">
        <f>IF(M2309="Mandatory","P","")</f>
        <v/>
      </c>
      <c r="H2309" s="1510" t="s">
        <v>3199</v>
      </c>
      <c r="I2309" s="136" t="s">
        <v>3752</v>
      </c>
      <c r="J2309" s="588"/>
      <c r="K2309" s="588"/>
      <c r="L2309" s="1631" t="s">
        <v>3765</v>
      </c>
      <c r="M2309" s="1701" t="str">
        <f>IF(R2309,"Mandatory","N/A")</f>
        <v>N/A</v>
      </c>
      <c r="N2309" s="1682">
        <f>'11.1000'!O62</f>
        <v>0</v>
      </c>
      <c r="O2309" s="1682">
        <f>M2311*W2309*S2309</f>
        <v>0</v>
      </c>
      <c r="P2309" s="538" t="b">
        <v>0</v>
      </c>
      <c r="Q2309" s="538" t="b">
        <v>1</v>
      </c>
      <c r="R2309" s="538" t="b">
        <f>S2309</f>
        <v>0</v>
      </c>
      <c r="S2309" s="538" t="b">
        <f>IF(AY2266=INDEX(ddSingleOrMulti,1),TRUE,FALSE)</f>
        <v>0</v>
      </c>
      <c r="T2309" s="96" t="b">
        <f>AND(NOT(S2309),W2309=TRUE)</f>
        <v>0</v>
      </c>
      <c r="U2309" s="538"/>
      <c r="V2309" s="538"/>
      <c r="W2309" s="119"/>
      <c r="X2309" s="1599"/>
      <c r="Y2309" s="1877" t="str">
        <f>IF(LEN('11.1000'!X62)=0,"None",'11.1000'!X62)</f>
        <v>None</v>
      </c>
      <c r="Z2309" s="1880"/>
      <c r="AB2309" s="538"/>
      <c r="AC2309" s="538" t="b">
        <f>OR(AD2309:AE2309)</f>
        <v>0</v>
      </c>
      <c r="AD2309" s="538" t="b">
        <f>T2309</f>
        <v>0</v>
      </c>
      <c r="AE2309" s="538" t="b">
        <f>AND(R2309,NOT(W2309=TRUE))</f>
        <v>0</v>
      </c>
      <c r="AF2309" s="720"/>
      <c r="AG2309" s="538"/>
      <c r="AH2309" s="538"/>
      <c r="AI2309" s="538"/>
      <c r="AJ2309" s="538"/>
      <c r="AK2309" s="538"/>
      <c r="AL2309" s="1" t="str">
        <f>SUBSTITUTE(SUBSTITUTE(SUBSTITUTE("vpa"&amp;$B2309&amp;$C2309&amp;$D2309&amp;$E2309&amp;$F2309,".","_"),"(","_"),")","")</f>
        <v>vpa1001_2_m</v>
      </c>
      <c r="AM2309" s="1352" t="str">
        <f>M2309</f>
        <v>N/A</v>
      </c>
      <c r="AN2309" s="1352" t="str">
        <f>SUBSTITUTE(SUBSTITUTE(SUBSTITUTE("vpc"&amp;$B2309&amp;$C2309&amp;$D2309&amp;$E2309,".","_"),"(","_"),")","")</f>
        <v>vpc1001_2</v>
      </c>
      <c r="AO2309" s="1352">
        <f>O2309</f>
        <v>0</v>
      </c>
      <c r="AP2309" s="1352" t="str">
        <f>SUBSTITUTE(SUBSTITUTE(SUBSTITUTE("vch"&amp;$B2309&amp;$C2309&amp;$D2309&amp;$E2309,".","_"),"(","_"),")","")</f>
        <v>vch1001_2</v>
      </c>
      <c r="AQ2309" s="1352" t="str">
        <f>IF(LEN(W2309)=0,"",W2309)</f>
        <v/>
      </c>
      <c r="AR2309" s="1352" t="str">
        <f>SUBSTITUTE(SUBSTITUTE(SUBSTITUTE("vnt"&amp;$B2309&amp;$C2309&amp;$D2309&amp;$E2309,".","_"),"(","_"),")","")</f>
        <v>vnt1001_2</v>
      </c>
      <c r="AS2309" s="1352" t="str">
        <f>IF(LEN(X2309)=0,"",X2309)</f>
        <v/>
      </c>
      <c r="AT2309" s="538"/>
      <c r="AU2309" s="538"/>
      <c r="AV2309" s="538"/>
      <c r="AW2309" s="538"/>
      <c r="AX2309" s="539"/>
      <c r="AY2309" s="685"/>
      <c r="AZ2309" s="538"/>
      <c r="BA2309" s="538"/>
      <c r="BB2309" s="538"/>
      <c r="BC2309" s="538"/>
      <c r="BD2309" s="538"/>
      <c r="BE2309" s="538"/>
      <c r="BF2309" s="538"/>
      <c r="BG2309" s="538"/>
      <c r="BH2309" s="538"/>
    </row>
    <row r="2310" spans="1:60" hidden="1" x14ac:dyDescent="0.2">
      <c r="A2310" s="1507">
        <v>10</v>
      </c>
      <c r="B2310" s="1516">
        <v>1001.2</v>
      </c>
      <c r="C2310" s="1511"/>
      <c r="D2310" s="1511"/>
      <c r="E2310" s="1511"/>
      <c r="F2310" s="1511"/>
      <c r="G2310" s="1509" t="str">
        <f t="shared" ref="G2310:G2318" si="149">G2309</f>
        <v/>
      </c>
      <c r="H2310" s="1510" t="s">
        <v>3199</v>
      </c>
      <c r="I2310" s="588"/>
      <c r="J2310" s="588"/>
      <c r="K2310" s="588"/>
      <c r="L2310" s="1631"/>
      <c r="M2310" s="1714"/>
      <c r="N2310" s="1669"/>
      <c r="O2310" s="1669"/>
      <c r="P2310" s="538"/>
      <c r="Q2310" s="538"/>
      <c r="R2310" s="538"/>
      <c r="S2310" s="538"/>
      <c r="T2310" s="538"/>
      <c r="U2310" s="538"/>
      <c r="V2310" s="538"/>
      <c r="W2310" s="538"/>
      <c r="X2310" s="1600"/>
      <c r="Y2310" s="1874"/>
      <c r="Z2310" s="1889"/>
      <c r="AB2310" s="538"/>
      <c r="AC2310" s="538"/>
      <c r="AD2310" s="538"/>
      <c r="AE2310" s="538"/>
      <c r="AF2310" s="538"/>
      <c r="AG2310" s="538"/>
      <c r="AH2310" s="538"/>
      <c r="AI2310" s="538"/>
      <c r="AJ2310" s="538"/>
      <c r="AK2310" s="538"/>
      <c r="AL2310" s="1352"/>
      <c r="AM2310" s="1352"/>
      <c r="AN2310" s="1352"/>
      <c r="AO2310" s="1352"/>
      <c r="AP2310" s="1352"/>
      <c r="AQ2310" s="1352"/>
      <c r="AR2310" s="1352"/>
      <c r="AS2310" s="1352"/>
      <c r="AT2310" s="538"/>
      <c r="AU2310" s="538"/>
      <c r="AV2310" s="538"/>
      <c r="AW2310" s="538"/>
      <c r="AX2310" s="585" t="str">
        <f>'Overview (Verification)'!A65</f>
        <v>Local Energy Code:</v>
      </c>
      <c r="AY2310" s="685" t="str">
        <f>IF(LEN('Overview (Verification)'!P65)=0,0,'Overview (Verification)'!P65)</f>
        <v>2015 IECC</v>
      </c>
      <c r="AZ2310" s="538"/>
      <c r="BA2310" s="538"/>
      <c r="BB2310" s="538"/>
      <c r="BC2310" s="538"/>
      <c r="BD2310" s="538"/>
      <c r="BE2310" s="538"/>
      <c r="BF2310" s="538"/>
      <c r="BG2310" s="538"/>
      <c r="BH2310" s="538"/>
    </row>
    <row r="2311" spans="1:60" hidden="1" x14ac:dyDescent="0.2">
      <c r="A2311" s="1507">
        <v>10</v>
      </c>
      <c r="B2311" s="1516">
        <v>1001.2</v>
      </c>
      <c r="C2311" s="1511"/>
      <c r="D2311" s="1511"/>
      <c r="E2311" s="1511"/>
      <c r="F2311" s="1511"/>
      <c r="G2311" s="1509" t="str">
        <f t="shared" si="149"/>
        <v/>
      </c>
      <c r="H2311" s="1510" t="s">
        <v>3199</v>
      </c>
      <c r="I2311" s="588"/>
      <c r="J2311" s="588"/>
      <c r="K2311" s="588"/>
      <c r="L2311" s="1631"/>
      <c r="M2311" s="1644">
        <v>8</v>
      </c>
      <c r="N2311" s="1669"/>
      <c r="O2311" s="1669"/>
      <c r="P2311" s="538"/>
      <c r="Q2311" s="538"/>
      <c r="R2311" s="538"/>
      <c r="S2311" s="538"/>
      <c r="T2311" s="538"/>
      <c r="U2311" s="538"/>
      <c r="V2311" s="538"/>
      <c r="W2311" s="538"/>
      <c r="X2311" s="1600"/>
      <c r="Y2311" s="1874"/>
      <c r="Z2311" s="1889"/>
      <c r="AB2311" s="538"/>
      <c r="AC2311" s="538"/>
      <c r="AD2311" s="538"/>
      <c r="AE2311" s="538"/>
      <c r="AF2311" s="538"/>
      <c r="AG2311" s="538"/>
      <c r="AH2311" s="538"/>
      <c r="AI2311" s="538"/>
      <c r="AJ2311" s="538"/>
      <c r="AK2311" s="538"/>
      <c r="AL2311" s="1352" t="str">
        <f>SUBSTITUTE(SUBSTITUTE(SUBSTITUTE("vpa"&amp;$B2311&amp;$C2311&amp;$D2311&amp;$E2311,".","_"),"(","_"),")","")</f>
        <v>vpa1001_2</v>
      </c>
      <c r="AM2311" s="1352">
        <f>M2311</f>
        <v>8</v>
      </c>
      <c r="AN2311" s="1352"/>
      <c r="AO2311" s="1352"/>
      <c r="AP2311" s="1352"/>
      <c r="AQ2311" s="1352"/>
      <c r="AR2311" s="1352"/>
      <c r="AS2311" s="1352"/>
      <c r="AT2311" s="538"/>
      <c r="AU2311" s="538"/>
      <c r="AV2311" s="538"/>
      <c r="AW2311" s="538"/>
      <c r="AX2311" s="585" t="str">
        <f>'Overview (Verification)'!A66</f>
        <v>Local Building Code:</v>
      </c>
      <c r="AY2311" s="685" t="str">
        <f>IF(LEN('Overview (Verification)'!P66)=0,0,'Overview (Verification)'!P66)</f>
        <v>2018 IBC</v>
      </c>
    </row>
    <row r="2312" spans="1:60" hidden="1" x14ac:dyDescent="0.2">
      <c r="A2312" s="1507">
        <v>10</v>
      </c>
      <c r="B2312" s="1516">
        <v>1001.2</v>
      </c>
      <c r="C2312" s="1511"/>
      <c r="D2312" s="1511"/>
      <c r="E2312" s="1511"/>
      <c r="F2312" s="1511"/>
      <c r="G2312" s="1509" t="str">
        <f t="shared" si="149"/>
        <v/>
      </c>
      <c r="H2312" s="1510" t="s">
        <v>3199</v>
      </c>
      <c r="I2312" s="588"/>
      <c r="J2312" s="588"/>
      <c r="K2312" s="588"/>
      <c r="L2312" s="1631"/>
      <c r="M2312" s="1644"/>
      <c r="N2312" s="1669"/>
      <c r="O2312" s="1669"/>
      <c r="P2312" s="538"/>
      <c r="Q2312" s="538"/>
      <c r="R2312" s="538"/>
      <c r="S2312" s="538"/>
      <c r="T2312" s="538"/>
      <c r="U2312" s="538"/>
      <c r="V2312" s="538"/>
      <c r="W2312" s="538"/>
      <c r="X2312" s="1600"/>
      <c r="Y2312" s="1874"/>
      <c r="Z2312" s="1889"/>
      <c r="AB2312" s="538"/>
      <c r="AC2312" s="538"/>
      <c r="AD2312" s="538"/>
      <c r="AE2312" s="538"/>
      <c r="AF2312" s="538"/>
      <c r="AG2312" s="538"/>
      <c r="AH2312" s="538"/>
      <c r="AI2312" s="538"/>
      <c r="AJ2312" s="538"/>
      <c r="AK2312" s="538"/>
      <c r="AL2312" s="1352"/>
      <c r="AM2312" s="1352"/>
      <c r="AN2312" s="1352"/>
      <c r="AO2312" s="1352"/>
      <c r="AP2312" s="1352"/>
      <c r="AQ2312" s="1352"/>
      <c r="AR2312" s="1352"/>
      <c r="AS2312" s="1352"/>
      <c r="AT2312" s="538"/>
      <c r="AU2312" s="538"/>
      <c r="AV2312" s="538"/>
      <c r="AW2312" s="538"/>
    </row>
    <row r="2313" spans="1:60" hidden="1" x14ac:dyDescent="0.2">
      <c r="A2313" s="1507">
        <v>10</v>
      </c>
      <c r="B2313" s="1516">
        <v>1001.2</v>
      </c>
      <c r="C2313" s="1511" t="s">
        <v>254</v>
      </c>
      <c r="D2313" s="1511"/>
      <c r="E2313" s="1511"/>
      <c r="F2313" s="1511"/>
      <c r="G2313" s="1509" t="str">
        <f t="shared" si="149"/>
        <v/>
      </c>
      <c r="H2313" s="1510" t="s">
        <v>3199</v>
      </c>
      <c r="I2313" s="588"/>
      <c r="J2313" s="590" t="s">
        <v>254</v>
      </c>
      <c r="K2313" s="609"/>
      <c r="L2313" s="568" t="s">
        <v>2805</v>
      </c>
      <c r="M2313" s="540"/>
      <c r="N2313" s="4"/>
      <c r="O2313" s="540"/>
      <c r="P2313" s="538"/>
      <c r="Q2313" s="538"/>
      <c r="R2313" s="538"/>
      <c r="S2313" s="538"/>
      <c r="T2313" s="538"/>
      <c r="U2313" s="538"/>
      <c r="V2313" s="538"/>
      <c r="W2313" s="538"/>
      <c r="X2313" s="1600"/>
      <c r="Y2313" s="1874"/>
      <c r="Z2313" s="1889"/>
      <c r="AB2313" s="538"/>
      <c r="AC2313" s="538"/>
      <c r="AD2313" s="538"/>
      <c r="AE2313" s="538"/>
      <c r="AF2313" s="538"/>
      <c r="AG2313" s="538"/>
      <c r="AH2313" s="538"/>
      <c r="AI2313" s="538"/>
      <c r="AJ2313" s="538"/>
      <c r="AK2313" s="538"/>
      <c r="AL2313" s="1352"/>
      <c r="AM2313" s="1352"/>
      <c r="AN2313" s="1352"/>
      <c r="AO2313" s="1352"/>
      <c r="AP2313" s="1352"/>
      <c r="AQ2313" s="1352"/>
      <c r="AR2313" s="1352"/>
      <c r="AS2313" s="1352"/>
      <c r="AT2313" s="538"/>
      <c r="AU2313" s="538"/>
      <c r="AV2313" s="538"/>
      <c r="AW2313" s="538"/>
    </row>
    <row r="2314" spans="1:60" hidden="1" x14ac:dyDescent="0.2">
      <c r="A2314" s="1507">
        <v>10</v>
      </c>
      <c r="B2314" s="1516">
        <v>1001.2</v>
      </c>
      <c r="C2314" s="1511" t="s">
        <v>255</v>
      </c>
      <c r="D2314" s="1511"/>
      <c r="E2314" s="1511"/>
      <c r="F2314" s="1511"/>
      <c r="G2314" s="1509" t="str">
        <f t="shared" si="149"/>
        <v/>
      </c>
      <c r="H2314" s="1510" t="s">
        <v>3199</v>
      </c>
      <c r="I2314" s="588"/>
      <c r="J2314" s="590" t="s">
        <v>255</v>
      </c>
      <c r="K2314" s="609"/>
      <c r="L2314" s="568" t="s">
        <v>2806</v>
      </c>
      <c r="M2314" s="540"/>
      <c r="N2314" s="4"/>
      <c r="O2314" s="540"/>
      <c r="P2314" s="538"/>
      <c r="Q2314" s="538"/>
      <c r="R2314" s="538"/>
      <c r="S2314" s="538"/>
      <c r="T2314" s="538"/>
      <c r="U2314" s="538"/>
      <c r="V2314" s="538"/>
      <c r="W2314" s="538"/>
      <c r="X2314" s="1600"/>
      <c r="Y2314" s="1874"/>
      <c r="Z2314" s="1889"/>
      <c r="AB2314" s="538"/>
      <c r="AC2314" s="538"/>
      <c r="AD2314" s="538"/>
      <c r="AE2314" s="538"/>
      <c r="AF2314" s="538"/>
      <c r="AG2314" s="538"/>
      <c r="AH2314" s="538"/>
      <c r="AI2314" s="538"/>
      <c r="AJ2314" s="538"/>
      <c r="AK2314" s="538"/>
      <c r="AL2314" s="1352"/>
      <c r="AM2314" s="1352"/>
      <c r="AN2314" s="1352"/>
      <c r="AO2314" s="1352"/>
      <c r="AP2314" s="1352"/>
      <c r="AQ2314" s="1352"/>
      <c r="AR2314" s="1352"/>
      <c r="AS2314" s="1352"/>
      <c r="AT2314" s="538"/>
      <c r="AU2314" s="538"/>
      <c r="AV2314" s="538"/>
      <c r="AW2314" s="538"/>
    </row>
    <row r="2315" spans="1:60" hidden="1" x14ac:dyDescent="0.2">
      <c r="A2315" s="1507">
        <v>10</v>
      </c>
      <c r="B2315" s="1516">
        <v>1001.2</v>
      </c>
      <c r="C2315" s="1511" t="s">
        <v>256</v>
      </c>
      <c r="D2315" s="1511"/>
      <c r="E2315" s="1511"/>
      <c r="F2315" s="1511"/>
      <c r="G2315" s="1509" t="str">
        <f t="shared" si="149"/>
        <v/>
      </c>
      <c r="H2315" s="1510" t="s">
        <v>3199</v>
      </c>
      <c r="I2315" s="588"/>
      <c r="J2315" s="590" t="s">
        <v>256</v>
      </c>
      <c r="K2315" s="609"/>
      <c r="L2315" s="568" t="s">
        <v>2807</v>
      </c>
      <c r="M2315" s="540"/>
      <c r="N2315" s="4"/>
      <c r="O2315" s="540"/>
      <c r="P2315" s="538"/>
      <c r="Q2315" s="538"/>
      <c r="R2315" s="538"/>
      <c r="S2315" s="538"/>
      <c r="T2315" s="538"/>
      <c r="U2315" s="538"/>
      <c r="V2315" s="538"/>
      <c r="W2315" s="538"/>
      <c r="X2315" s="1600"/>
      <c r="Y2315" s="1874"/>
      <c r="Z2315" s="1889"/>
      <c r="AB2315" s="538"/>
      <c r="AC2315" s="538"/>
      <c r="AD2315" s="538"/>
      <c r="AE2315" s="538"/>
      <c r="AF2315" s="538"/>
      <c r="AG2315" s="538"/>
      <c r="AH2315" s="538"/>
      <c r="AI2315" s="538"/>
      <c r="AJ2315" s="538"/>
      <c r="AK2315" s="538"/>
      <c r="AL2315" s="1352"/>
      <c r="AM2315" s="1352"/>
      <c r="AN2315" s="1352"/>
      <c r="AO2315" s="1352"/>
      <c r="AP2315" s="1352"/>
      <c r="AQ2315" s="1352"/>
      <c r="AR2315" s="1352"/>
      <c r="AS2315" s="1352"/>
      <c r="AT2315" s="538"/>
      <c r="AU2315" s="538"/>
      <c r="AV2315" s="538"/>
      <c r="AW2315" s="538"/>
    </row>
    <row r="2316" spans="1:60" hidden="1" x14ac:dyDescent="0.2">
      <c r="A2316" s="1507">
        <v>10</v>
      </c>
      <c r="B2316" s="1516">
        <v>1001.2</v>
      </c>
      <c r="C2316" s="1511" t="s">
        <v>259</v>
      </c>
      <c r="D2316" s="1511"/>
      <c r="E2316" s="1511"/>
      <c r="F2316" s="1511"/>
      <c r="G2316" s="1509" t="str">
        <f t="shared" si="149"/>
        <v/>
      </c>
      <c r="H2316" s="1510" t="s">
        <v>3199</v>
      </c>
      <c r="I2316" s="588"/>
      <c r="J2316" s="590" t="s">
        <v>259</v>
      </c>
      <c r="K2316" s="609"/>
      <c r="L2316" s="568" t="s">
        <v>2808</v>
      </c>
      <c r="M2316" s="540"/>
      <c r="N2316" s="4"/>
      <c r="O2316" s="540"/>
      <c r="P2316" s="538"/>
      <c r="Q2316" s="538"/>
      <c r="R2316" s="538"/>
      <c r="S2316" s="538"/>
      <c r="T2316" s="538"/>
      <c r="U2316" s="538"/>
      <c r="V2316" s="538"/>
      <c r="W2316" s="538"/>
      <c r="X2316" s="1600"/>
      <c r="Y2316" s="1874"/>
      <c r="Z2316" s="1889"/>
      <c r="AB2316" s="538"/>
      <c r="AC2316" s="538"/>
      <c r="AD2316" s="538"/>
      <c r="AE2316" s="538"/>
      <c r="AF2316" s="538"/>
      <c r="AG2316" s="538"/>
      <c r="AH2316" s="538"/>
      <c r="AI2316" s="538"/>
      <c r="AJ2316" s="538"/>
      <c r="AK2316" s="538"/>
      <c r="AL2316" s="1352"/>
      <c r="AM2316" s="1352"/>
      <c r="AN2316" s="1352"/>
      <c r="AO2316" s="1352"/>
      <c r="AP2316" s="1352"/>
      <c r="AQ2316" s="1352"/>
      <c r="AR2316" s="1352"/>
      <c r="AS2316" s="1352"/>
      <c r="AT2316" s="538"/>
      <c r="AU2316" s="538"/>
      <c r="AV2316" s="538"/>
      <c r="AW2316" s="538"/>
    </row>
    <row r="2317" spans="1:60" hidden="1" x14ac:dyDescent="0.2">
      <c r="A2317" s="1507">
        <v>10</v>
      </c>
      <c r="B2317" s="1516">
        <v>1001.2</v>
      </c>
      <c r="C2317" s="1511" t="s">
        <v>263</v>
      </c>
      <c r="D2317" s="1511"/>
      <c r="E2317" s="1511"/>
      <c r="F2317" s="1511"/>
      <c r="G2317" s="1509" t="str">
        <f t="shared" si="149"/>
        <v/>
      </c>
      <c r="H2317" s="1510" t="s">
        <v>3199</v>
      </c>
      <c r="I2317" s="588"/>
      <c r="J2317" s="590" t="s">
        <v>263</v>
      </c>
      <c r="K2317" s="609"/>
      <c r="L2317" s="568" t="s">
        <v>2809</v>
      </c>
      <c r="M2317" s="540"/>
      <c r="N2317" s="4"/>
      <c r="O2317" s="540"/>
      <c r="P2317" s="538"/>
      <c r="Q2317" s="538"/>
      <c r="R2317" s="538"/>
      <c r="S2317" s="538"/>
      <c r="T2317" s="538"/>
      <c r="U2317" s="538"/>
      <c r="V2317" s="538"/>
      <c r="W2317" s="538"/>
      <c r="X2317" s="1600"/>
      <c r="Y2317" s="1874"/>
      <c r="Z2317" s="1889"/>
      <c r="AB2317" s="538"/>
      <c r="AC2317" s="538"/>
      <c r="AD2317" s="538"/>
      <c r="AE2317" s="538"/>
      <c r="AF2317" s="538"/>
      <c r="AG2317" s="538"/>
      <c r="AH2317" s="538"/>
      <c r="AI2317" s="538"/>
      <c r="AJ2317" s="538"/>
      <c r="AK2317" s="538"/>
      <c r="AL2317" s="1352"/>
      <c r="AM2317" s="1352"/>
      <c r="AN2317" s="1352"/>
      <c r="AO2317" s="1352"/>
      <c r="AP2317" s="1352"/>
      <c r="AQ2317" s="1352"/>
      <c r="AR2317" s="1352"/>
      <c r="AS2317" s="1352"/>
      <c r="AT2317" s="538"/>
      <c r="AU2317" s="538"/>
      <c r="AV2317" s="538"/>
      <c r="AW2317" s="538"/>
    </row>
    <row r="2318" spans="1:60" hidden="1" x14ac:dyDescent="0.2">
      <c r="A2318" s="1507">
        <v>10</v>
      </c>
      <c r="B2318" s="1516">
        <v>1001.2</v>
      </c>
      <c r="C2318" s="1511" t="s">
        <v>264</v>
      </c>
      <c r="D2318" s="1511"/>
      <c r="E2318" s="1511"/>
      <c r="F2318" s="1511"/>
      <c r="G2318" s="1509" t="str">
        <f t="shared" si="149"/>
        <v/>
      </c>
      <c r="H2318" s="1510" t="s">
        <v>3199</v>
      </c>
      <c r="I2318" s="588"/>
      <c r="J2318" s="590" t="s">
        <v>264</v>
      </c>
      <c r="K2318" s="609"/>
      <c r="L2318" s="568" t="s">
        <v>2810</v>
      </c>
      <c r="M2318" s="540"/>
      <c r="N2318" s="4"/>
      <c r="O2318" s="540"/>
      <c r="P2318" s="538"/>
      <c r="Q2318" s="538"/>
      <c r="R2318" s="538"/>
      <c r="S2318" s="538"/>
      <c r="T2318" s="538"/>
      <c r="U2318" s="538"/>
      <c r="V2318" s="538"/>
      <c r="W2318" s="538"/>
      <c r="X2318" s="1600"/>
      <c r="Y2318" s="1874"/>
      <c r="Z2318" s="1889"/>
      <c r="AB2318" s="538"/>
      <c r="AC2318" s="538"/>
      <c r="AD2318" s="538"/>
      <c r="AE2318" s="538"/>
      <c r="AF2318" s="538"/>
      <c r="AG2318" s="538"/>
      <c r="AH2318" s="538"/>
      <c r="AI2318" s="538"/>
      <c r="AJ2318" s="538"/>
      <c r="AK2318" s="538"/>
      <c r="AL2318" s="1352"/>
      <c r="AM2318" s="1352"/>
      <c r="AN2318" s="1352"/>
      <c r="AO2318" s="1352"/>
      <c r="AP2318" s="1352"/>
      <c r="AQ2318" s="1352"/>
      <c r="AR2318" s="1352"/>
      <c r="AS2318" s="1352"/>
      <c r="AT2318" s="538"/>
      <c r="AU2318" s="538"/>
      <c r="AV2318" s="538"/>
      <c r="AW2318" s="538"/>
    </row>
    <row r="2319" spans="1:60" s="905" customFormat="1" hidden="1" x14ac:dyDescent="0.2">
      <c r="A2319" s="1507">
        <v>10</v>
      </c>
      <c r="B2319" s="1516">
        <v>1001.2</v>
      </c>
      <c r="C2319" s="1511" t="s">
        <v>356</v>
      </c>
      <c r="D2319" s="1511"/>
      <c r="E2319" s="1511"/>
      <c r="F2319" s="1511"/>
      <c r="G2319" s="1509" t="str">
        <f>G2317</f>
        <v/>
      </c>
      <c r="H2319" s="1510" t="s">
        <v>3199</v>
      </c>
      <c r="I2319" s="588"/>
      <c r="J2319" s="589" t="s">
        <v>356</v>
      </c>
      <c r="K2319" s="588"/>
      <c r="L2319" s="964" t="s">
        <v>2811</v>
      </c>
      <c r="M2319" s="935"/>
      <c r="N2319" s="4"/>
      <c r="O2319" s="935"/>
      <c r="X2319" s="1600"/>
      <c r="Y2319" s="1874"/>
      <c r="Z2319" s="1889"/>
      <c r="AL2319" s="1352"/>
      <c r="AM2319" s="1352"/>
      <c r="AN2319" s="1352"/>
      <c r="AO2319" s="1352"/>
      <c r="AP2319" s="1352"/>
      <c r="AQ2319" s="1352"/>
      <c r="AR2319" s="1352"/>
      <c r="AS2319" s="1352"/>
    </row>
    <row r="2320" spans="1:60" hidden="1" x14ac:dyDescent="0.2">
      <c r="A2320" s="1507">
        <v>10</v>
      </c>
      <c r="B2320" s="1516">
        <v>1001.2</v>
      </c>
      <c r="C2320" s="1511" t="s">
        <v>389</v>
      </c>
      <c r="D2320" s="1511"/>
      <c r="E2320" s="1511"/>
      <c r="F2320" s="1511"/>
      <c r="G2320" s="1509" t="str">
        <f>G2318</f>
        <v/>
      </c>
      <c r="H2320" s="1510" t="s">
        <v>3199</v>
      </c>
      <c r="I2320" s="588"/>
      <c r="J2320" s="589" t="s">
        <v>389</v>
      </c>
      <c r="K2320" s="588"/>
      <c r="L2320" s="964" t="s">
        <v>4922</v>
      </c>
      <c r="M2320" s="540"/>
      <c r="N2320" s="4"/>
      <c r="O2320" s="540"/>
      <c r="P2320" s="538"/>
      <c r="Q2320" s="538"/>
      <c r="R2320" s="538"/>
      <c r="S2320" s="538"/>
      <c r="T2320" s="538"/>
      <c r="U2320" s="538"/>
      <c r="V2320" s="538"/>
      <c r="W2320" s="538"/>
      <c r="X2320" s="1600"/>
      <c r="Y2320" s="1874"/>
      <c r="Z2320" s="1889"/>
      <c r="AB2320" s="538"/>
      <c r="AC2320" s="538"/>
      <c r="AD2320" s="538"/>
      <c r="AE2320" s="538"/>
      <c r="AF2320" s="538"/>
      <c r="AG2320" s="538"/>
      <c r="AH2320" s="538"/>
      <c r="AI2320" s="538"/>
      <c r="AJ2320" s="538"/>
      <c r="AK2320" s="538"/>
      <c r="AL2320" s="1352"/>
      <c r="AM2320" s="1352"/>
      <c r="AN2320" s="1352"/>
      <c r="AO2320" s="1352"/>
      <c r="AP2320" s="1352"/>
      <c r="AQ2320" s="1352"/>
      <c r="AR2320" s="1352"/>
      <c r="AS2320" s="1352"/>
      <c r="AT2320" s="538"/>
      <c r="AU2320" s="538"/>
      <c r="AV2320" s="538"/>
      <c r="AW2320" s="538"/>
    </row>
    <row r="2321" spans="1:49" ht="20" thickBot="1" x14ac:dyDescent="0.3">
      <c r="A2321" s="1507">
        <v>10</v>
      </c>
      <c r="B2321" s="1516">
        <v>1002</v>
      </c>
      <c r="C2321" s="1511"/>
      <c r="D2321" s="1511"/>
      <c r="E2321" s="1511"/>
      <c r="F2321" s="1511"/>
      <c r="G2321" s="1509" t="s">
        <v>3200</v>
      </c>
      <c r="H2321" s="1510" t="s">
        <v>3197</v>
      </c>
      <c r="I2321" s="72" t="s">
        <v>3753</v>
      </c>
      <c r="J2321" s="72"/>
      <c r="K2321" s="72"/>
      <c r="L2321" s="232"/>
      <c r="M2321" s="419"/>
      <c r="N2321" s="428"/>
      <c r="O2321" s="419"/>
      <c r="P2321" s="25"/>
      <c r="Q2321" s="25"/>
      <c r="R2321" s="25"/>
      <c r="S2321" s="25"/>
      <c r="T2321" s="25"/>
      <c r="U2321" s="25"/>
      <c r="V2321" s="25"/>
      <c r="W2321" s="25"/>
      <c r="X2321" s="25"/>
      <c r="Y2321" s="25"/>
      <c r="Z2321" s="714"/>
      <c r="AB2321" s="538"/>
      <c r="AC2321" s="538"/>
      <c r="AD2321" s="538"/>
      <c r="AE2321" s="538"/>
      <c r="AF2321" s="538"/>
      <c r="AG2321" s="538"/>
      <c r="AH2321" s="538"/>
      <c r="AI2321" s="538"/>
      <c r="AJ2321" s="538"/>
      <c r="AK2321" s="538"/>
      <c r="AL2321" s="1352"/>
      <c r="AM2321" s="1352"/>
      <c r="AN2321" s="1352"/>
      <c r="AO2321" s="1352"/>
      <c r="AP2321" s="1352"/>
      <c r="AQ2321" s="1352"/>
      <c r="AR2321" s="1352"/>
      <c r="AS2321" s="1352"/>
      <c r="AT2321" s="538"/>
      <c r="AU2321" s="538"/>
      <c r="AV2321" s="538"/>
      <c r="AW2321" s="538"/>
    </row>
    <row r="2322" spans="1:49" ht="16" hidden="1" thickBot="1" x14ac:dyDescent="0.25">
      <c r="A2322" s="1507">
        <v>10</v>
      </c>
      <c r="B2322" s="1516" t="s">
        <v>3435</v>
      </c>
      <c r="C2322" s="1511"/>
      <c r="D2322" s="1511"/>
      <c r="E2322" s="1511"/>
      <c r="F2322" s="1511"/>
      <c r="G2322" s="1510"/>
      <c r="H2322" s="1510"/>
      <c r="I2322" s="595" t="s">
        <v>3754</v>
      </c>
      <c r="J2322" s="609"/>
      <c r="K2322" s="609"/>
      <c r="L2322" s="1629" t="s">
        <v>3764</v>
      </c>
      <c r="M2322" s="543"/>
      <c r="N2322" s="129"/>
      <c r="O2322" s="543"/>
      <c r="P2322" s="96"/>
      <c r="Q2322" s="96"/>
      <c r="R2322" s="96"/>
      <c r="S2322" s="96"/>
      <c r="T2322" s="96"/>
      <c r="U2322" s="96"/>
      <c r="V2322" s="96"/>
      <c r="W2322" s="96"/>
      <c r="X2322" s="96"/>
      <c r="Y2322" s="538"/>
      <c r="Z2322" s="670"/>
      <c r="AB2322" s="538"/>
      <c r="AC2322" s="538"/>
      <c r="AD2322" s="538"/>
      <c r="AE2322" s="538"/>
      <c r="AF2322" s="538"/>
      <c r="AG2322" s="538"/>
      <c r="AH2322" s="538"/>
      <c r="AI2322" s="538"/>
      <c r="AJ2322" s="538"/>
      <c r="AK2322" s="538"/>
      <c r="AL2322" s="1352"/>
      <c r="AM2322" s="1352"/>
      <c r="AN2322" s="1352"/>
      <c r="AO2322" s="1352"/>
      <c r="AP2322" s="1352"/>
      <c r="AQ2322" s="1352"/>
      <c r="AR2322" s="1352"/>
      <c r="AS2322" s="1352"/>
      <c r="AT2322" s="538"/>
      <c r="AU2322" s="538"/>
      <c r="AV2322" s="538"/>
      <c r="AW2322" s="538"/>
    </row>
    <row r="2323" spans="1:49" ht="16" hidden="1" thickBot="1" x14ac:dyDescent="0.25">
      <c r="A2323" s="1507">
        <v>10</v>
      </c>
      <c r="B2323" s="1516" t="s">
        <v>3435</v>
      </c>
      <c r="C2323" s="1511"/>
      <c r="D2323" s="1511"/>
      <c r="E2323" s="1511"/>
      <c r="F2323" s="1511"/>
      <c r="G2323" s="1510"/>
      <c r="H2323" s="1510"/>
      <c r="I2323" s="609"/>
      <c r="J2323" s="609"/>
      <c r="K2323" s="609"/>
      <c r="L2323" s="1629"/>
      <c r="M2323" s="543"/>
      <c r="N2323" s="129"/>
      <c r="O2323" s="543"/>
      <c r="P2323" s="96"/>
      <c r="Q2323" s="96"/>
      <c r="R2323" s="96"/>
      <c r="S2323" s="96"/>
      <c r="T2323" s="96"/>
      <c r="U2323" s="96"/>
      <c r="V2323" s="96"/>
      <c r="W2323" s="96"/>
      <c r="X2323" s="96"/>
      <c r="Y2323" s="538"/>
      <c r="Z2323" s="670"/>
      <c r="AB2323" s="538"/>
      <c r="AC2323" s="538"/>
      <c r="AD2323" s="538"/>
      <c r="AE2323" s="538"/>
      <c r="AF2323" s="538"/>
      <c r="AG2323" s="538"/>
      <c r="AH2323" s="538"/>
      <c r="AI2323" s="538"/>
      <c r="AJ2323" s="538"/>
      <c r="AK2323" s="538"/>
      <c r="AL2323" s="1352"/>
      <c r="AM2323" s="1352"/>
      <c r="AN2323" s="1352"/>
      <c r="AO2323" s="1352"/>
      <c r="AP2323" s="1352"/>
      <c r="AQ2323" s="1352"/>
      <c r="AR2323" s="1352"/>
      <c r="AS2323" s="1352"/>
      <c r="AT2323" s="538"/>
      <c r="AU2323" s="538"/>
      <c r="AV2323" s="538"/>
      <c r="AW2323" s="538"/>
    </row>
    <row r="2324" spans="1:49" ht="16" hidden="1" thickBot="1" x14ac:dyDescent="0.25">
      <c r="A2324" s="1507">
        <v>10</v>
      </c>
      <c r="B2324" s="1516" t="s">
        <v>3435</v>
      </c>
      <c r="C2324" s="1511"/>
      <c r="D2324" s="1511"/>
      <c r="E2324" s="1511"/>
      <c r="F2324" s="1511"/>
      <c r="G2324" s="1510"/>
      <c r="H2324" s="1510"/>
      <c r="I2324" s="609"/>
      <c r="J2324" s="609"/>
      <c r="K2324" s="609"/>
      <c r="L2324" s="1629"/>
      <c r="M2324" s="543"/>
      <c r="N2324" s="129"/>
      <c r="O2324" s="543"/>
      <c r="P2324" s="96"/>
      <c r="Q2324" s="96"/>
      <c r="R2324" s="96"/>
      <c r="S2324" s="96"/>
      <c r="T2324" s="96"/>
      <c r="U2324" s="96"/>
      <c r="V2324" s="96"/>
      <c r="W2324" s="96"/>
      <c r="X2324" s="96"/>
      <c r="Y2324" s="538"/>
      <c r="Z2324" s="670"/>
      <c r="AB2324" s="538"/>
      <c r="AC2324" s="538"/>
      <c r="AD2324" s="538"/>
      <c r="AE2324" s="538"/>
      <c r="AF2324" s="538"/>
      <c r="AG2324" s="538"/>
      <c r="AH2324" s="538"/>
      <c r="AI2324" s="538"/>
      <c r="AJ2324" s="538"/>
      <c r="AK2324" s="538"/>
      <c r="AL2324" s="1352"/>
      <c r="AM2324" s="1352"/>
      <c r="AN2324" s="1352"/>
      <c r="AO2324" s="1352"/>
      <c r="AP2324" s="1352"/>
      <c r="AQ2324" s="1352"/>
      <c r="AR2324" s="1352"/>
      <c r="AS2324" s="1352"/>
      <c r="AT2324" s="538"/>
      <c r="AU2324" s="538"/>
      <c r="AV2324" s="538"/>
      <c r="AW2324" s="538"/>
    </row>
    <row r="2325" spans="1:49" ht="16" hidden="1" thickBot="1" x14ac:dyDescent="0.25">
      <c r="A2325" s="1507">
        <v>10</v>
      </c>
      <c r="B2325" s="1516" t="s">
        <v>3435</v>
      </c>
      <c r="C2325" s="1511"/>
      <c r="D2325" s="1511"/>
      <c r="E2325" s="1511"/>
      <c r="F2325" s="1511"/>
      <c r="G2325" s="1510"/>
      <c r="H2325" s="1510"/>
      <c r="I2325" s="609"/>
      <c r="J2325" s="609"/>
      <c r="K2325" s="609"/>
      <c r="L2325" s="1629"/>
      <c r="M2325" s="543"/>
      <c r="N2325" s="129"/>
      <c r="O2325" s="543"/>
      <c r="P2325" s="96"/>
      <c r="Q2325" s="96"/>
      <c r="R2325" s="96"/>
      <c r="S2325" s="96"/>
      <c r="T2325" s="96"/>
      <c r="U2325" s="96"/>
      <c r="V2325" s="96"/>
      <c r="W2325" s="96"/>
      <c r="X2325" s="96"/>
      <c r="Y2325" s="538"/>
      <c r="Z2325" s="670"/>
      <c r="AB2325" s="538"/>
      <c r="AC2325" s="538"/>
      <c r="AD2325" s="538"/>
      <c r="AE2325" s="538"/>
      <c r="AF2325" s="538"/>
      <c r="AG2325" s="538"/>
      <c r="AH2325" s="538"/>
      <c r="AI2325" s="538"/>
      <c r="AJ2325" s="538"/>
      <c r="AK2325" s="538"/>
      <c r="AL2325" s="1352"/>
      <c r="AM2325" s="1352"/>
      <c r="AN2325" s="1352"/>
      <c r="AO2325" s="1352"/>
      <c r="AP2325" s="1352"/>
      <c r="AQ2325" s="1352"/>
      <c r="AR2325" s="1352"/>
      <c r="AS2325" s="1352"/>
      <c r="AT2325" s="538"/>
      <c r="AU2325" s="538"/>
      <c r="AV2325" s="538"/>
      <c r="AW2325" s="538"/>
    </row>
    <row r="2326" spans="1:49" ht="16" hidden="1" thickBot="1" x14ac:dyDescent="0.25">
      <c r="A2326" s="1507">
        <v>10</v>
      </c>
      <c r="B2326" s="1516" t="s">
        <v>3435</v>
      </c>
      <c r="C2326" s="1511"/>
      <c r="D2326" s="1511"/>
      <c r="E2326" s="1511"/>
      <c r="F2326" s="1511"/>
      <c r="G2326" s="1510"/>
      <c r="H2326" s="1510"/>
      <c r="I2326" s="609"/>
      <c r="J2326" s="609"/>
      <c r="K2326" s="609"/>
      <c r="L2326" s="1629"/>
      <c r="M2326" s="543"/>
      <c r="N2326" s="129"/>
      <c r="O2326" s="543"/>
      <c r="P2326" s="96"/>
      <c r="Q2326" s="96"/>
      <c r="R2326" s="96"/>
      <c r="S2326" s="96"/>
      <c r="T2326" s="96"/>
      <c r="U2326" s="96"/>
      <c r="V2326" s="96"/>
      <c r="W2326" s="96"/>
      <c r="X2326" s="96"/>
      <c r="Y2326" s="538"/>
      <c r="Z2326" s="670"/>
      <c r="AB2326" s="538"/>
      <c r="AC2326" s="538"/>
      <c r="AD2326" s="538"/>
      <c r="AE2326" s="538"/>
      <c r="AF2326" s="538"/>
      <c r="AG2326" s="538"/>
      <c r="AH2326" s="538"/>
      <c r="AI2326" s="538"/>
      <c r="AJ2326" s="538"/>
      <c r="AK2326" s="538"/>
      <c r="AL2326" s="1352"/>
      <c r="AM2326" s="1352"/>
      <c r="AN2326" s="1352"/>
      <c r="AO2326" s="1352"/>
      <c r="AP2326" s="1352"/>
      <c r="AQ2326" s="1352"/>
      <c r="AR2326" s="1352"/>
      <c r="AS2326" s="1352"/>
      <c r="AT2326" s="538"/>
      <c r="AU2326" s="538"/>
      <c r="AV2326" s="538"/>
      <c r="AW2326" s="538"/>
    </row>
    <row r="2327" spans="1:49" ht="16" hidden="1" thickBot="1" x14ac:dyDescent="0.25">
      <c r="A2327" s="1507">
        <v>10</v>
      </c>
      <c r="B2327" s="1516" t="s">
        <v>3435</v>
      </c>
      <c r="C2327" s="1511"/>
      <c r="D2327" s="1511"/>
      <c r="E2327" s="1511"/>
      <c r="F2327" s="1511"/>
      <c r="G2327" s="1510"/>
      <c r="H2327" s="1510"/>
      <c r="I2327" s="596"/>
      <c r="J2327" s="596"/>
      <c r="K2327" s="596"/>
      <c r="L2327" s="1630"/>
      <c r="M2327" s="547"/>
      <c r="N2327" s="239"/>
      <c r="O2327" s="547"/>
      <c r="P2327" s="100"/>
      <c r="Q2327" s="100"/>
      <c r="R2327" s="100"/>
      <c r="S2327" s="100"/>
      <c r="T2327" s="100"/>
      <c r="U2327" s="100"/>
      <c r="V2327" s="100"/>
      <c r="W2327" s="100"/>
      <c r="X2327" s="100"/>
      <c r="Y2327" s="100"/>
      <c r="Z2327" s="716"/>
      <c r="AB2327" s="538"/>
      <c r="AC2327" s="538"/>
      <c r="AD2327" s="538"/>
      <c r="AE2327" s="538"/>
      <c r="AF2327" s="538"/>
      <c r="AG2327" s="538"/>
      <c r="AH2327" s="538"/>
      <c r="AI2327" s="538"/>
      <c r="AJ2327" s="538"/>
      <c r="AK2327" s="538"/>
      <c r="AL2327" s="1352"/>
      <c r="AM2327" s="1352"/>
      <c r="AN2327" s="1352"/>
      <c r="AO2327" s="1352"/>
      <c r="AP2327" s="1352"/>
      <c r="AQ2327" s="1352"/>
      <c r="AR2327" s="1352"/>
      <c r="AS2327" s="1352"/>
      <c r="AT2327" s="538"/>
      <c r="AU2327" s="538"/>
      <c r="AV2327" s="538"/>
      <c r="AW2327" s="538"/>
    </row>
    <row r="2328" spans="1:49" ht="16" thickTop="1" x14ac:dyDescent="0.2">
      <c r="A2328" s="1507">
        <v>10</v>
      </c>
      <c r="B2328" s="1516">
        <v>1002.1</v>
      </c>
      <c r="C2328" s="1511"/>
      <c r="D2328" s="1511"/>
      <c r="E2328" s="1511"/>
      <c r="F2328" s="1511"/>
      <c r="G2328" s="1509" t="str">
        <f>IF(N2328&gt;0,"P","")</f>
        <v>P</v>
      </c>
      <c r="H2328" s="1510" t="s">
        <v>3199</v>
      </c>
      <c r="I2328" s="136" t="s">
        <v>3755</v>
      </c>
      <c r="J2328" s="588"/>
      <c r="K2328" s="588"/>
      <c r="L2328" s="1631" t="s">
        <v>3870</v>
      </c>
      <c r="M2328" s="1628">
        <v>1</v>
      </c>
      <c r="N2328" s="1682">
        <f>'11.1000'!O81</f>
        <v>1</v>
      </c>
      <c r="O2328" s="1778">
        <f>IF(AND(COUNTIF(W2331:W2337,TRUE)=3,COUNTIF(W2339:W2344,TRUE)&gt;1,S2331),ROUNDDOWN(COUNTIF(W2339:W2344,TRUE)/2,0),0)</f>
        <v>1</v>
      </c>
      <c r="P2328" s="538"/>
      <c r="Q2328" s="538"/>
      <c r="R2328" s="538"/>
      <c r="S2328" s="538"/>
      <c r="T2328" s="538"/>
      <c r="U2328" s="538"/>
      <c r="V2328" s="538"/>
      <c r="W2328" s="538"/>
      <c r="X2328" s="538"/>
      <c r="Y2328" s="538"/>
      <c r="Z2328" s="670"/>
      <c r="AB2328" s="538"/>
      <c r="AC2328" s="538"/>
      <c r="AD2328" s="538"/>
      <c r="AE2328" s="538"/>
      <c r="AF2328" s="538"/>
      <c r="AG2328" s="538"/>
      <c r="AH2328" s="538"/>
      <c r="AI2328" s="538"/>
      <c r="AJ2328" s="538"/>
      <c r="AK2328" s="538"/>
      <c r="AL2328" s="1352" t="str">
        <f>SUBSTITUTE(SUBSTITUTE(SUBSTITUTE("vpa"&amp;$B2328&amp;$C2328&amp;$D2328&amp;$E2328,".","_"),"(","_"),")","")</f>
        <v>vpa1002_1</v>
      </c>
      <c r="AM2328" s="1352">
        <f>M2328</f>
        <v>1</v>
      </c>
      <c r="AN2328" s="1352" t="str">
        <f>SUBSTITUTE(SUBSTITUTE(SUBSTITUTE("vpc"&amp;$B2328&amp;$C2328&amp;$D2328&amp;$E2328,".","_"),"(","_"),")","")</f>
        <v>vpc1002_1</v>
      </c>
      <c r="AO2328" s="1352">
        <f>O2328</f>
        <v>1</v>
      </c>
      <c r="AP2328" s="1352"/>
      <c r="AQ2328" s="1352"/>
      <c r="AR2328" s="1352"/>
      <c r="AS2328" s="1352"/>
      <c r="AT2328" s="538"/>
      <c r="AU2328" s="538"/>
      <c r="AV2328" s="538"/>
      <c r="AW2328" s="538"/>
    </row>
    <row r="2329" spans="1:49" x14ac:dyDescent="0.2">
      <c r="A2329" s="1507">
        <v>10</v>
      </c>
      <c r="B2329" s="1516">
        <v>1002.1</v>
      </c>
      <c r="C2329" s="1511"/>
      <c r="D2329" s="1511"/>
      <c r="E2329" s="1511"/>
      <c r="F2329" s="1511"/>
      <c r="G2329" s="1509" t="str">
        <f t="shared" ref="G2329:G2345" si="150">G2328</f>
        <v>P</v>
      </c>
      <c r="H2329" s="1510" t="s">
        <v>3199</v>
      </c>
      <c r="I2329" s="588"/>
      <c r="J2329" s="588"/>
      <c r="K2329" s="588"/>
      <c r="L2329" s="1631"/>
      <c r="M2329" s="1628"/>
      <c r="N2329" s="1669"/>
      <c r="O2329" s="1778"/>
      <c r="P2329" s="538"/>
      <c r="Q2329" s="538"/>
      <c r="R2329" s="538"/>
      <c r="S2329" s="538"/>
      <c r="T2329" s="538"/>
      <c r="U2329" s="538"/>
      <c r="V2329" s="538"/>
      <c r="W2329" s="538"/>
      <c r="X2329" s="538"/>
      <c r="Y2329" s="538"/>
      <c r="Z2329" s="670"/>
      <c r="AB2329" s="538"/>
      <c r="AC2329" s="538"/>
      <c r="AD2329" s="538"/>
      <c r="AE2329" s="538"/>
      <c r="AF2329" s="538"/>
      <c r="AG2329" s="538"/>
      <c r="AH2329" s="538"/>
      <c r="AI2329" s="538"/>
      <c r="AJ2329" s="538"/>
      <c r="AK2329" s="538"/>
      <c r="AL2329" s="1352"/>
      <c r="AM2329" s="1352"/>
      <c r="AN2329" s="1352"/>
      <c r="AO2329" s="1352"/>
      <c r="AP2329" s="1352"/>
      <c r="AQ2329" s="1352"/>
      <c r="AR2329" s="1352"/>
      <c r="AS2329" s="1352"/>
      <c r="AT2329" s="538"/>
      <c r="AU2329" s="538"/>
      <c r="AV2329" s="538"/>
      <c r="AW2329" s="538"/>
    </row>
    <row r="2330" spans="1:49" x14ac:dyDescent="0.2">
      <c r="A2330" s="1507">
        <v>10</v>
      </c>
      <c r="B2330" s="1516">
        <v>1002.1</v>
      </c>
      <c r="C2330" s="1511"/>
      <c r="D2330" s="1511"/>
      <c r="E2330" s="1511"/>
      <c r="F2330" s="1511"/>
      <c r="G2330" s="1509" t="str">
        <f t="shared" si="150"/>
        <v>P</v>
      </c>
      <c r="H2330" s="1510" t="s">
        <v>3199</v>
      </c>
      <c r="I2330" s="588"/>
      <c r="J2330" s="588"/>
      <c r="K2330" s="588"/>
      <c r="L2330" s="229" t="s">
        <v>2847</v>
      </c>
      <c r="M2330" s="1628"/>
      <c r="N2330" s="1669"/>
      <c r="O2330" s="1778"/>
      <c r="P2330" s="538"/>
      <c r="Q2330" s="538"/>
      <c r="R2330" s="538"/>
      <c r="S2330" s="538"/>
      <c r="T2330" s="538"/>
      <c r="U2330" s="538"/>
      <c r="V2330" s="538"/>
      <c r="W2330" s="538"/>
      <c r="X2330" s="538"/>
      <c r="Y2330" s="538"/>
      <c r="Z2330" s="670"/>
      <c r="AB2330" s="538"/>
      <c r="AC2330" s="538"/>
      <c r="AD2330" s="538"/>
      <c r="AE2330" s="538"/>
      <c r="AF2330" s="538"/>
      <c r="AG2330" s="538"/>
      <c r="AH2330" s="538"/>
      <c r="AI2330" s="538"/>
      <c r="AJ2330" s="538"/>
      <c r="AK2330" s="538"/>
      <c r="AL2330" s="1352"/>
      <c r="AM2330" s="1352"/>
      <c r="AN2330" s="1352"/>
      <c r="AO2330" s="1352"/>
      <c r="AP2330" s="1352"/>
      <c r="AQ2330" s="1352"/>
      <c r="AR2330" s="1352"/>
      <c r="AS2330" s="1352"/>
      <c r="AT2330" s="538"/>
      <c r="AU2330" s="538"/>
      <c r="AV2330" s="538"/>
      <c r="AW2330" s="538"/>
    </row>
    <row r="2331" spans="1:49" x14ac:dyDescent="0.2">
      <c r="A2331" s="1507">
        <v>10</v>
      </c>
      <c r="B2331" s="1516">
        <v>1002.1</v>
      </c>
      <c r="C2331" s="1511" t="s">
        <v>254</v>
      </c>
      <c r="D2331" s="1511"/>
      <c r="E2331" s="1511"/>
      <c r="F2331" s="1511"/>
      <c r="G2331" s="1509" t="str">
        <f>IF(IFERROR(SEARCH("Mandatory",M2331),FALSE),"P","")</f>
        <v>P</v>
      </c>
      <c r="H2331" s="1510" t="s">
        <v>3199</v>
      </c>
      <c r="I2331" s="588"/>
      <c r="J2331" s="589" t="s">
        <v>254</v>
      </c>
      <c r="K2331" s="588"/>
      <c r="L2331" s="1611" t="s">
        <v>2812</v>
      </c>
      <c r="M2331" s="1714" t="str">
        <f t="shared" ref="M2331:M2338" si="151">IF(R2331,"Mandatory","N/A")</f>
        <v>Mandatory</v>
      </c>
      <c r="N2331" s="4"/>
      <c r="O2331" s="540"/>
      <c r="P2331" s="538" t="b">
        <v>0</v>
      </c>
      <c r="Q2331" s="538" t="b">
        <v>1</v>
      </c>
      <c r="R2331" s="538" t="b">
        <f>S2331</f>
        <v>1</v>
      </c>
      <c r="S2331" s="538" t="b">
        <f>IF(AY2266=INDEX(ddSingleOrMulti,2),TRUE,FALSE)</f>
        <v>1</v>
      </c>
      <c r="T2331" s="96" t="b">
        <f>AND(NOT(S2331),W2331=TRUE)</f>
        <v>0</v>
      </c>
      <c r="U2331" s="538"/>
      <c r="V2331" s="538"/>
      <c r="W2331" s="27" t="b">
        <v>1</v>
      </c>
      <c r="X2331" s="1600"/>
      <c r="Y2331" s="1874" t="str">
        <f>IF(LEN('11.1000'!X84)=0,"None",'11.1000'!X84)</f>
        <v>None</v>
      </c>
      <c r="Z2331" s="1889"/>
      <c r="AB2331" s="538"/>
      <c r="AC2331" s="538" t="b">
        <f>OR(AD2331:AE2331)</f>
        <v>0</v>
      </c>
      <c r="AD2331" s="538" t="b">
        <f>T2331</f>
        <v>0</v>
      </c>
      <c r="AE2331" s="538" t="b">
        <f>AND(R2331,O2328&lt;1)</f>
        <v>0</v>
      </c>
      <c r="AF2331" s="720"/>
      <c r="AG2331" s="538"/>
      <c r="AH2331" s="538"/>
      <c r="AI2331" s="538"/>
      <c r="AJ2331" s="538"/>
      <c r="AK2331" s="538"/>
      <c r="AL2331" s="1352" t="str">
        <f>SUBSTITUTE(SUBSTITUTE(SUBSTITUTE("vpa"&amp;$B2331&amp;$C2331&amp;$D2331&amp;$E2331,".","_"),"(","_"),")","")</f>
        <v>vpa1002_1_1</v>
      </c>
      <c r="AM2331" s="1352" t="str">
        <f t="shared" ref="AM2331:AM2337" si="152">M2331</f>
        <v>Mandatory</v>
      </c>
      <c r="AN2331" s="1352"/>
      <c r="AO2331" s="1352"/>
      <c r="AP2331" s="1352" t="str">
        <f>SUBSTITUTE(SUBSTITUTE(SUBSTITUTE("vch"&amp;$B2331&amp;$C2331&amp;$D2331&amp;$E2331,".","_"),"(","_"),")","")</f>
        <v>vch1002_1_1</v>
      </c>
      <c r="AQ2331" s="1352" t="b">
        <f>IF(LEN(W2331)=0,"",W2331)</f>
        <v>1</v>
      </c>
      <c r="AR2331" s="1352" t="str">
        <f>SUBSTITUTE(SUBSTITUTE(SUBSTITUTE("vnt"&amp;$B2331&amp;$C2331&amp;$D2331&amp;$E2331,".","_"),"(","_"),")","")</f>
        <v>vnt1002_1_1</v>
      </c>
      <c r="AS2331" s="1352" t="str">
        <f>IF(LEN(X2331)=0,"",X2331)</f>
        <v/>
      </c>
      <c r="AT2331" s="538"/>
      <c r="AU2331" s="538"/>
      <c r="AV2331" s="538"/>
      <c r="AW2331" s="538"/>
    </row>
    <row r="2332" spans="1:49" x14ac:dyDescent="0.2">
      <c r="A2332" s="1507">
        <v>10</v>
      </c>
      <c r="B2332" s="1516">
        <v>1002.1</v>
      </c>
      <c r="C2332" s="1511" t="s">
        <v>254</v>
      </c>
      <c r="D2332" s="1511"/>
      <c r="E2332" s="1511"/>
      <c r="F2332" s="1511"/>
      <c r="G2332" s="1509" t="str">
        <f t="shared" si="150"/>
        <v>P</v>
      </c>
      <c r="H2332" s="1510" t="s">
        <v>3199</v>
      </c>
      <c r="I2332" s="588"/>
      <c r="J2332" s="589"/>
      <c r="K2332" s="588"/>
      <c r="L2332" s="1611"/>
      <c r="M2332" s="1714" t="str">
        <f t="shared" si="151"/>
        <v>N/A</v>
      </c>
      <c r="N2332" s="4"/>
      <c r="O2332" s="540"/>
      <c r="P2332" s="538"/>
      <c r="Q2332" s="538"/>
      <c r="R2332" s="538"/>
      <c r="S2332" s="538"/>
      <c r="T2332" s="538"/>
      <c r="U2332" s="538"/>
      <c r="V2332" s="538"/>
      <c r="W2332" s="538"/>
      <c r="X2332" s="1600"/>
      <c r="Y2332" s="1874"/>
      <c r="Z2332" s="1889"/>
      <c r="AB2332" s="538"/>
      <c r="AC2332" s="538"/>
      <c r="AD2332" s="538"/>
      <c r="AE2332" s="538"/>
      <c r="AF2332" s="538"/>
      <c r="AG2332" s="538"/>
      <c r="AH2332" s="538"/>
      <c r="AI2332" s="538"/>
      <c r="AJ2332" s="538"/>
      <c r="AK2332" s="538"/>
      <c r="AL2332" s="1352"/>
      <c r="AM2332" s="1352"/>
      <c r="AN2332" s="1352"/>
      <c r="AO2332" s="1352"/>
      <c r="AP2332" s="1352"/>
      <c r="AQ2332" s="1352"/>
      <c r="AR2332" s="1352"/>
      <c r="AS2332" s="1352"/>
      <c r="AT2332" s="538"/>
      <c r="AU2332" s="538"/>
      <c r="AV2332" s="538"/>
      <c r="AW2332" s="538"/>
    </row>
    <row r="2333" spans="1:49" x14ac:dyDescent="0.2">
      <c r="A2333" s="1507">
        <v>10</v>
      </c>
      <c r="B2333" s="1516">
        <v>1002.1</v>
      </c>
      <c r="C2333" s="1511" t="s">
        <v>254</v>
      </c>
      <c r="D2333" s="1511"/>
      <c r="E2333" s="1511"/>
      <c r="F2333" s="1511"/>
      <c r="G2333" s="1509" t="str">
        <f t="shared" si="150"/>
        <v>P</v>
      </c>
      <c r="H2333" s="1510" t="s">
        <v>3199</v>
      </c>
      <c r="I2333" s="588"/>
      <c r="J2333" s="589"/>
      <c r="K2333" s="588"/>
      <c r="L2333" s="1611"/>
      <c r="M2333" s="1714" t="str">
        <f t="shared" si="151"/>
        <v>N/A</v>
      </c>
      <c r="N2333" s="4"/>
      <c r="O2333" s="540"/>
      <c r="P2333" s="538"/>
      <c r="Q2333" s="538"/>
      <c r="R2333" s="538"/>
      <c r="S2333" s="538"/>
      <c r="T2333" s="538"/>
      <c r="U2333" s="538"/>
      <c r="V2333" s="538"/>
      <c r="W2333" s="538"/>
      <c r="X2333" s="1600"/>
      <c r="Y2333" s="1874"/>
      <c r="Z2333" s="1889"/>
      <c r="AB2333" s="538"/>
      <c r="AC2333" s="538"/>
      <c r="AD2333" s="538"/>
      <c r="AE2333" s="538"/>
      <c r="AF2333" s="538"/>
      <c r="AG2333" s="538"/>
      <c r="AH2333" s="538"/>
      <c r="AI2333" s="538"/>
      <c r="AJ2333" s="538"/>
      <c r="AK2333" s="538"/>
      <c r="AL2333" s="1352"/>
      <c r="AM2333" s="1352"/>
      <c r="AN2333" s="1352"/>
      <c r="AO2333" s="1352"/>
      <c r="AP2333" s="1352"/>
      <c r="AQ2333" s="1352"/>
      <c r="AR2333" s="1352"/>
      <c r="AS2333" s="1352"/>
      <c r="AT2333" s="538"/>
      <c r="AU2333" s="538"/>
      <c r="AV2333" s="538"/>
      <c r="AW2333" s="538"/>
    </row>
    <row r="2334" spans="1:49" x14ac:dyDescent="0.2">
      <c r="A2334" s="1507">
        <v>10</v>
      </c>
      <c r="B2334" s="1516">
        <v>1002.1</v>
      </c>
      <c r="C2334" s="1511" t="s">
        <v>255</v>
      </c>
      <c r="D2334" s="1511"/>
      <c r="E2334" s="1511"/>
      <c r="F2334" s="1511"/>
      <c r="G2334" s="1509" t="str">
        <f>IF(IFERROR(SEARCH("Mandatory",M2334),FALSE),"P","")</f>
        <v>P</v>
      </c>
      <c r="H2334" s="1510" t="s">
        <v>3199</v>
      </c>
      <c r="I2334" s="588"/>
      <c r="J2334" s="608" t="s">
        <v>255</v>
      </c>
      <c r="K2334" s="1404"/>
      <c r="L2334" s="1613" t="s">
        <v>2813</v>
      </c>
      <c r="M2334" s="1732" t="str">
        <f t="shared" si="151"/>
        <v>Mandatory</v>
      </c>
      <c r="N2334" s="4"/>
      <c r="O2334" s="540"/>
      <c r="P2334" s="538" t="b">
        <v>0</v>
      </c>
      <c r="Q2334" s="538" t="b">
        <v>1</v>
      </c>
      <c r="R2334" s="538" t="b">
        <f>S2334</f>
        <v>1</v>
      </c>
      <c r="S2334" s="538" t="b">
        <f>IF(AY2266=INDEX(ddSingleOrMulti,2),TRUE,FALSE)</f>
        <v>1</v>
      </c>
      <c r="T2334" s="96" t="b">
        <f>AND(NOT(S2334),W2334=TRUE)</f>
        <v>0</v>
      </c>
      <c r="U2334" s="538"/>
      <c r="V2334" s="538"/>
      <c r="W2334" s="27" t="b">
        <v>1</v>
      </c>
      <c r="X2334" s="1600"/>
      <c r="Y2334" s="1874" t="str">
        <f>IF(LEN('11.1000'!X87)=0,"None",'11.1000'!X87)</f>
        <v>None</v>
      </c>
      <c r="Z2334" s="1889"/>
      <c r="AB2334" s="538"/>
      <c r="AC2334" s="538" t="b">
        <f>OR(AD2334:AE2334)</f>
        <v>0</v>
      </c>
      <c r="AD2334" s="538" t="b">
        <f>T2334</f>
        <v>0</v>
      </c>
      <c r="AE2334" s="538" t="b">
        <f>AND(R2334,NOT(W2334=TRUE))</f>
        <v>0</v>
      </c>
      <c r="AF2334" s="720"/>
      <c r="AG2334" s="538"/>
      <c r="AH2334" s="538"/>
      <c r="AI2334" s="538"/>
      <c r="AJ2334" s="538"/>
      <c r="AK2334" s="538"/>
      <c r="AL2334" s="1352" t="str">
        <f>SUBSTITUTE(SUBSTITUTE(SUBSTITUTE("vpa"&amp;$B2334&amp;$C2334&amp;$D2334&amp;$E2334,".","_"),"(","_"),")","")</f>
        <v>vpa1002_1_2</v>
      </c>
      <c r="AM2334" s="1352" t="str">
        <f t="shared" si="152"/>
        <v>Mandatory</v>
      </c>
      <c r="AN2334" s="1352"/>
      <c r="AO2334" s="1352"/>
      <c r="AP2334" s="1352" t="str">
        <f>SUBSTITUTE(SUBSTITUTE(SUBSTITUTE("vch"&amp;$B2334&amp;$C2334&amp;$D2334&amp;$E2334,".","_"),"(","_"),")","")</f>
        <v>vch1002_1_2</v>
      </c>
      <c r="AQ2334" s="1352" t="b">
        <f>IF(LEN(W2334)=0,"",W2334)</f>
        <v>1</v>
      </c>
      <c r="AR2334" s="1352" t="str">
        <f>SUBSTITUTE(SUBSTITUTE(SUBSTITUTE("vnt"&amp;$B2334&amp;$C2334&amp;$D2334&amp;$E2334,".","_"),"(","_"),")","")</f>
        <v>vnt1002_1_2</v>
      </c>
      <c r="AS2334" s="1352" t="str">
        <f>IF(LEN(X2334)=0,"",X2334)</f>
        <v/>
      </c>
      <c r="AT2334" s="538"/>
      <c r="AU2334" s="538"/>
      <c r="AV2334" s="538"/>
      <c r="AW2334" s="538"/>
    </row>
    <row r="2335" spans="1:49" x14ac:dyDescent="0.2">
      <c r="A2335" s="1507">
        <v>10</v>
      </c>
      <c r="B2335" s="1516">
        <v>1002.1</v>
      </c>
      <c r="C2335" s="1511" t="s">
        <v>255</v>
      </c>
      <c r="D2335" s="1511"/>
      <c r="E2335" s="1511"/>
      <c r="F2335" s="1511"/>
      <c r="G2335" s="1509" t="str">
        <f t="shared" si="150"/>
        <v>P</v>
      </c>
      <c r="H2335" s="1510" t="s">
        <v>3199</v>
      </c>
      <c r="I2335" s="588"/>
      <c r="J2335" s="590"/>
      <c r="K2335" s="609"/>
      <c r="L2335" s="1609"/>
      <c r="M2335" s="1697" t="str">
        <f t="shared" si="151"/>
        <v>N/A</v>
      </c>
      <c r="N2335" s="4"/>
      <c r="O2335" s="540"/>
      <c r="P2335" s="538"/>
      <c r="Q2335" s="538"/>
      <c r="R2335" s="538"/>
      <c r="S2335" s="538"/>
      <c r="T2335" s="538"/>
      <c r="U2335" s="538"/>
      <c r="V2335" s="538"/>
      <c r="W2335" s="538"/>
      <c r="X2335" s="1600"/>
      <c r="Y2335" s="1874"/>
      <c r="Z2335" s="1889"/>
      <c r="AB2335" s="538"/>
      <c r="AC2335" s="538"/>
      <c r="AD2335" s="538"/>
      <c r="AE2335" s="538"/>
      <c r="AF2335" s="538"/>
      <c r="AG2335" s="538"/>
      <c r="AH2335" s="538"/>
      <c r="AI2335" s="538"/>
      <c r="AJ2335" s="538"/>
      <c r="AK2335" s="538"/>
      <c r="AL2335" s="1352"/>
      <c r="AM2335" s="1352"/>
      <c r="AN2335" s="1352"/>
      <c r="AO2335" s="1352"/>
      <c r="AP2335" s="1352"/>
      <c r="AQ2335" s="1352"/>
      <c r="AR2335" s="1352"/>
      <c r="AS2335" s="1352"/>
      <c r="AT2335" s="538"/>
      <c r="AU2335" s="538"/>
      <c r="AV2335" s="538"/>
      <c r="AW2335" s="538"/>
    </row>
    <row r="2336" spans="1:49" x14ac:dyDescent="0.2">
      <c r="A2336" s="1507">
        <v>10</v>
      </c>
      <c r="B2336" s="1516">
        <v>1002.1</v>
      </c>
      <c r="C2336" s="1511" t="s">
        <v>255</v>
      </c>
      <c r="D2336" s="1511"/>
      <c r="E2336" s="1511"/>
      <c r="F2336" s="1511"/>
      <c r="G2336" s="1509" t="str">
        <f t="shared" si="150"/>
        <v>P</v>
      </c>
      <c r="H2336" s="1510" t="s">
        <v>3199</v>
      </c>
      <c r="I2336" s="588"/>
      <c r="J2336" s="606"/>
      <c r="K2336" s="208"/>
      <c r="L2336" s="1612"/>
      <c r="M2336" s="1698" t="str">
        <f t="shared" si="151"/>
        <v>N/A</v>
      </c>
      <c r="N2336" s="4"/>
      <c r="O2336" s="540"/>
      <c r="P2336" s="538"/>
      <c r="Q2336" s="538"/>
      <c r="R2336" s="538"/>
      <c r="S2336" s="538"/>
      <c r="T2336" s="538"/>
      <c r="U2336" s="538"/>
      <c r="V2336" s="538"/>
      <c r="W2336" s="538"/>
      <c r="X2336" s="1600"/>
      <c r="Y2336" s="1874"/>
      <c r="Z2336" s="1889"/>
      <c r="AB2336" s="538"/>
      <c r="AC2336" s="538"/>
      <c r="AD2336" s="538"/>
      <c r="AE2336" s="538"/>
      <c r="AF2336" s="538"/>
      <c r="AG2336" s="538"/>
      <c r="AH2336" s="538"/>
      <c r="AI2336" s="538"/>
      <c r="AJ2336" s="538"/>
      <c r="AK2336" s="538"/>
      <c r="AL2336" s="1352"/>
      <c r="AM2336" s="1352"/>
      <c r="AN2336" s="1352"/>
      <c r="AO2336" s="1352"/>
      <c r="AP2336" s="1352"/>
      <c r="AQ2336" s="1352"/>
      <c r="AR2336" s="1352"/>
      <c r="AS2336" s="1352"/>
      <c r="AT2336" s="538"/>
      <c r="AU2336" s="538"/>
      <c r="AV2336" s="538"/>
      <c r="AW2336" s="538"/>
    </row>
    <row r="2337" spans="1:60" x14ac:dyDescent="0.2">
      <c r="A2337" s="1507">
        <v>10</v>
      </c>
      <c r="B2337" s="1516">
        <v>1002.1</v>
      </c>
      <c r="C2337" s="1511" t="s">
        <v>256</v>
      </c>
      <c r="D2337" s="1511"/>
      <c r="E2337" s="1511"/>
      <c r="F2337" s="1511"/>
      <c r="G2337" s="1509" t="str">
        <f>IF(IFERROR(SEARCH("Mandatory",M2337),FALSE),"P","")</f>
        <v>P</v>
      </c>
      <c r="H2337" s="1510" t="s">
        <v>3199</v>
      </c>
      <c r="I2337" s="588"/>
      <c r="J2337" s="589" t="s">
        <v>256</v>
      </c>
      <c r="K2337" s="588"/>
      <c r="L2337" s="1611" t="s">
        <v>2814</v>
      </c>
      <c r="M2337" s="1714" t="str">
        <f t="shared" si="151"/>
        <v>Mandatory</v>
      </c>
      <c r="N2337" s="4"/>
      <c r="O2337" s="540"/>
      <c r="P2337" s="538" t="b">
        <v>0</v>
      </c>
      <c r="Q2337" s="538" t="b">
        <v>1</v>
      </c>
      <c r="R2337" s="538" t="b">
        <f>S2337</f>
        <v>1</v>
      </c>
      <c r="S2337" s="538" t="b">
        <f>IF(AY2266=INDEX(ddSingleOrMulti,2),TRUE,FALSE)</f>
        <v>1</v>
      </c>
      <c r="T2337" s="96" t="b">
        <f>AND(NOT(S2337),W2337=TRUE)</f>
        <v>0</v>
      </c>
      <c r="U2337" s="538"/>
      <c r="V2337" s="538"/>
      <c r="W2337" s="27" t="b">
        <v>1</v>
      </c>
      <c r="X2337" s="1600"/>
      <c r="Y2337" s="1874" t="str">
        <f>IF(LEN('11.1000'!X90)=0,"None",'11.1000'!X90)</f>
        <v>None</v>
      </c>
      <c r="Z2337" s="1889"/>
      <c r="AB2337" s="538"/>
      <c r="AC2337" s="538" t="b">
        <f>OR(AD2337:AE2337)</f>
        <v>0</v>
      </c>
      <c r="AD2337" s="538" t="b">
        <f>T2337</f>
        <v>0</v>
      </c>
      <c r="AE2337" s="538" t="b">
        <f>AND(R2337,NOT(W2337=TRUE))</f>
        <v>0</v>
      </c>
      <c r="AF2337" s="720"/>
      <c r="AG2337" s="538"/>
      <c r="AH2337" s="538"/>
      <c r="AI2337" s="538"/>
      <c r="AJ2337" s="538"/>
      <c r="AK2337" s="538"/>
      <c r="AL2337" s="1352" t="str">
        <f>SUBSTITUTE(SUBSTITUTE(SUBSTITUTE("vpa"&amp;$B2337&amp;$C2337&amp;$D2337&amp;$E2337,".","_"),"(","_"),")","")</f>
        <v>vpa1002_1_3</v>
      </c>
      <c r="AM2337" s="1352" t="str">
        <f t="shared" si="152"/>
        <v>Mandatory</v>
      </c>
      <c r="AN2337" s="1352"/>
      <c r="AO2337" s="1352"/>
      <c r="AP2337" s="1352" t="str">
        <f>SUBSTITUTE(SUBSTITUTE(SUBSTITUTE("vch"&amp;$B2337&amp;$C2337&amp;$D2337&amp;$E2337,".","_"),"(","_"),")","")</f>
        <v>vch1002_1_3</v>
      </c>
      <c r="AQ2337" s="1352" t="b">
        <f>IF(LEN(W2337)=0,"",W2337)</f>
        <v>1</v>
      </c>
      <c r="AR2337" s="1352" t="str">
        <f>SUBSTITUTE(SUBSTITUTE(SUBSTITUTE("vnt"&amp;$B2337&amp;$C2337&amp;$D2337&amp;$E2337,".","_"),"(","_"),")","")</f>
        <v>vnt1002_1_3</v>
      </c>
      <c r="AS2337" s="1352" t="str">
        <f>IF(LEN(X2337)=0,"",X2337)</f>
        <v/>
      </c>
      <c r="AT2337" s="538"/>
      <c r="AU2337" s="538"/>
      <c r="AV2337" s="538"/>
      <c r="AW2337" s="538"/>
      <c r="AZ2337" s="538"/>
      <c r="BA2337" s="538"/>
      <c r="BB2337" s="538"/>
      <c r="BC2337" s="538"/>
      <c r="BD2337" s="538"/>
      <c r="BE2337" s="538"/>
      <c r="BF2337" s="538"/>
      <c r="BG2337" s="538"/>
      <c r="BH2337" s="538"/>
    </row>
    <row r="2338" spans="1:60" x14ac:dyDescent="0.2">
      <c r="A2338" s="1507">
        <v>10</v>
      </c>
      <c r="B2338" s="1516">
        <v>1002.1</v>
      </c>
      <c r="C2338" s="1511" t="s">
        <v>256</v>
      </c>
      <c r="D2338" s="1511"/>
      <c r="E2338" s="1511"/>
      <c r="F2338" s="1511"/>
      <c r="G2338" s="1509" t="str">
        <f t="shared" si="150"/>
        <v>P</v>
      </c>
      <c r="H2338" s="1510" t="s">
        <v>3199</v>
      </c>
      <c r="I2338" s="588"/>
      <c r="J2338" s="589"/>
      <c r="K2338" s="588"/>
      <c r="L2338" s="1611"/>
      <c r="M2338" s="1714" t="str">
        <f t="shared" si="151"/>
        <v>N/A</v>
      </c>
      <c r="N2338" s="4"/>
      <c r="O2338" s="540"/>
      <c r="P2338" s="538"/>
      <c r="Q2338" s="538"/>
      <c r="R2338" s="538"/>
      <c r="S2338" s="538"/>
      <c r="T2338" s="538"/>
      <c r="U2338" s="538"/>
      <c r="V2338" s="538"/>
      <c r="W2338" s="538"/>
      <c r="X2338" s="1600"/>
      <c r="Y2338" s="1874"/>
      <c r="Z2338" s="1889"/>
      <c r="AB2338" s="538"/>
      <c r="AC2338" s="538"/>
      <c r="AD2338" s="538"/>
      <c r="AE2338" s="538"/>
      <c r="AF2338" s="538"/>
      <c r="AG2338" s="538"/>
      <c r="AH2338" s="538"/>
      <c r="AI2338" s="538"/>
      <c r="AJ2338" s="538"/>
      <c r="AK2338" s="538"/>
      <c r="AL2338" s="1352"/>
      <c r="AM2338" s="1352"/>
      <c r="AN2338" s="1352"/>
      <c r="AO2338" s="1352"/>
      <c r="AP2338" s="1352"/>
      <c r="AQ2338" s="1352"/>
      <c r="AR2338" s="1352"/>
      <c r="AS2338" s="1352"/>
      <c r="AT2338" s="538"/>
      <c r="AU2338" s="538"/>
      <c r="AV2338" s="538"/>
      <c r="AW2338" s="538"/>
      <c r="AZ2338" s="538"/>
      <c r="BA2338" s="538"/>
      <c r="BB2338" s="538"/>
      <c r="BC2338" s="538"/>
      <c r="BD2338" s="538"/>
      <c r="BE2338" s="538"/>
      <c r="BF2338" s="538"/>
      <c r="BG2338" s="538"/>
      <c r="BH2338" s="538"/>
    </row>
    <row r="2339" spans="1:60" ht="16" x14ac:dyDescent="0.2">
      <c r="A2339" s="1507">
        <v>10</v>
      </c>
      <c r="B2339" s="1516">
        <v>1002.1</v>
      </c>
      <c r="C2339" s="1511" t="s">
        <v>259</v>
      </c>
      <c r="D2339" s="1511"/>
      <c r="E2339" s="1511"/>
      <c r="F2339" s="1511"/>
      <c r="G2339" s="1509" t="str">
        <f t="shared" si="150"/>
        <v>P</v>
      </c>
      <c r="H2339" s="1510" t="s">
        <v>3199</v>
      </c>
      <c r="I2339" s="588"/>
      <c r="J2339" s="607" t="s">
        <v>259</v>
      </c>
      <c r="K2339" s="211"/>
      <c r="L2339" s="311" t="s">
        <v>2815</v>
      </c>
      <c r="M2339" s="552"/>
      <c r="N2339" s="4"/>
      <c r="O2339" s="540"/>
      <c r="P2339" s="538" t="b">
        <v>0</v>
      </c>
      <c r="Q2339" s="538" t="b">
        <v>1</v>
      </c>
      <c r="R2339" s="538" t="b">
        <v>0</v>
      </c>
      <c r="S2339" s="538" t="b">
        <f>IF(AY2266=INDEX(ddSingleOrMulti,2),TRUE,FALSE)</f>
        <v>1</v>
      </c>
      <c r="T2339" s="96" t="b">
        <f>AND(NOT(S2339),W2339=TRUE)</f>
        <v>0</v>
      </c>
      <c r="U2339" s="538"/>
      <c r="V2339" s="538"/>
      <c r="W2339" s="27"/>
      <c r="X2339" s="541"/>
      <c r="Y2339" s="572" t="str">
        <f>IF(LEN('11.1000'!X92)=0,"None",'11.1000'!X92)</f>
        <v>None</v>
      </c>
      <c r="Z2339" s="715"/>
      <c r="AB2339" s="538"/>
      <c r="AC2339" s="538" t="b">
        <f>OR(AD2339:AE2339)</f>
        <v>0</v>
      </c>
      <c r="AD2339" s="538" t="b">
        <f>T2339</f>
        <v>0</v>
      </c>
      <c r="AE2339" s="538"/>
      <c r="AF2339" s="538"/>
      <c r="AG2339" s="538"/>
      <c r="AH2339" s="538"/>
      <c r="AI2339" s="538"/>
      <c r="AJ2339" s="538"/>
      <c r="AK2339" s="538"/>
      <c r="AL2339" s="1352"/>
      <c r="AM2339" s="1352"/>
      <c r="AN2339" s="1352"/>
      <c r="AO2339" s="1352"/>
      <c r="AP2339" s="1352" t="str">
        <f>SUBSTITUTE(SUBSTITUTE(SUBSTITUTE("vch"&amp;$B2339&amp;$C2339&amp;$D2339&amp;$E2339,".","_"),"(","_"),")","")</f>
        <v>vch1002_1_4</v>
      </c>
      <c r="AQ2339" s="1352" t="str">
        <f>IF(LEN(W2339)=0,"",W2339)</f>
        <v/>
      </c>
      <c r="AR2339" s="1352" t="str">
        <f>SUBSTITUTE(SUBSTITUTE(SUBSTITUTE("vnt"&amp;$B2339&amp;$C2339&amp;$D2339&amp;$E2339,".","_"),"(","_"),")","")</f>
        <v>vnt1002_1_4</v>
      </c>
      <c r="AS2339" s="1352" t="str">
        <f>IF(LEN(X2339)=0,"",X2339)</f>
        <v/>
      </c>
      <c r="AT2339" s="538"/>
      <c r="AU2339" s="538"/>
      <c r="AV2339" s="538"/>
      <c r="AW2339" s="538"/>
      <c r="AZ2339" s="538"/>
      <c r="BA2339" s="538"/>
      <c r="BB2339" s="538"/>
      <c r="BC2339" s="538"/>
      <c r="BD2339" s="538"/>
      <c r="BE2339" s="538"/>
      <c r="BF2339" s="538"/>
      <c r="BG2339" s="538"/>
      <c r="BH2339" s="538"/>
    </row>
    <row r="2340" spans="1:60" x14ac:dyDescent="0.2">
      <c r="A2340" s="1507">
        <v>10</v>
      </c>
      <c r="B2340" s="1516">
        <v>1002.1</v>
      </c>
      <c r="C2340" s="1511" t="s">
        <v>263</v>
      </c>
      <c r="D2340" s="1511"/>
      <c r="E2340" s="1511"/>
      <c r="F2340" s="1511"/>
      <c r="G2340" s="1509" t="str">
        <f t="shared" si="150"/>
        <v>P</v>
      </c>
      <c r="H2340" s="1510" t="s">
        <v>3199</v>
      </c>
      <c r="I2340" s="588"/>
      <c r="J2340" s="589" t="s">
        <v>263</v>
      </c>
      <c r="K2340" s="588"/>
      <c r="L2340" s="1611" t="s">
        <v>2816</v>
      </c>
      <c r="M2340" s="543"/>
      <c r="N2340" s="4"/>
      <c r="O2340" s="540"/>
      <c r="P2340" s="538" t="b">
        <v>0</v>
      </c>
      <c r="Q2340" s="538" t="b">
        <v>1</v>
      </c>
      <c r="R2340" s="538" t="b">
        <v>0</v>
      </c>
      <c r="S2340" s="538" t="b">
        <f>IF(AY2266=INDEX(ddSingleOrMulti,2),TRUE,FALSE)</f>
        <v>1</v>
      </c>
      <c r="T2340" s="96" t="b">
        <f>AND(NOT(S2340),W2340=TRUE)</f>
        <v>0</v>
      </c>
      <c r="U2340" s="538"/>
      <c r="V2340" s="538"/>
      <c r="W2340" s="27"/>
      <c r="X2340" s="1600"/>
      <c r="Y2340" s="1874" t="str">
        <f>IF(LEN('11.1000'!X93)=0,"None",'11.1000'!X93)</f>
        <v>None</v>
      </c>
      <c r="Z2340" s="1889"/>
      <c r="AB2340" s="538"/>
      <c r="AC2340" s="538" t="b">
        <f>OR(AD2340:AE2340)</f>
        <v>0</v>
      </c>
      <c r="AD2340" s="538" t="b">
        <f>T2340</f>
        <v>0</v>
      </c>
      <c r="AE2340" s="538"/>
      <c r="AF2340" s="538"/>
      <c r="AG2340" s="538"/>
      <c r="AH2340" s="538"/>
      <c r="AI2340" s="538"/>
      <c r="AJ2340" s="538"/>
      <c r="AK2340" s="538"/>
      <c r="AL2340" s="1352"/>
      <c r="AM2340" s="1352"/>
      <c r="AN2340" s="1352"/>
      <c r="AO2340" s="1352"/>
      <c r="AP2340" s="1352" t="str">
        <f>SUBSTITUTE(SUBSTITUTE(SUBSTITUTE("vch"&amp;$B2340&amp;$C2340&amp;$D2340&amp;$E2340,".","_"),"(","_"),")","")</f>
        <v>vch1002_1_5</v>
      </c>
      <c r="AQ2340" s="1352" t="str">
        <f>IF(LEN(W2340)=0,"",W2340)</f>
        <v/>
      </c>
      <c r="AR2340" s="1352" t="str">
        <f>SUBSTITUTE(SUBSTITUTE(SUBSTITUTE("vnt"&amp;$B2340&amp;$C2340&amp;$D2340&amp;$E2340,".","_"),"(","_"),")","")</f>
        <v>vnt1002_1_5</v>
      </c>
      <c r="AS2340" s="1352" t="str">
        <f>IF(LEN(X2340)=0,"",X2340)</f>
        <v/>
      </c>
      <c r="AT2340" s="538"/>
      <c r="AU2340" s="538"/>
      <c r="AV2340" s="538"/>
      <c r="AW2340" s="538"/>
      <c r="AX2340" s="538"/>
      <c r="AY2340" s="538"/>
      <c r="AZ2340" s="538"/>
      <c r="BA2340" s="538"/>
      <c r="BB2340" s="538"/>
      <c r="BC2340" s="538"/>
      <c r="BD2340" s="538"/>
      <c r="BE2340" s="538"/>
      <c r="BF2340" s="538"/>
      <c r="BG2340" s="538"/>
      <c r="BH2340" s="538"/>
    </row>
    <row r="2341" spans="1:60" x14ac:dyDescent="0.2">
      <c r="A2341" s="1507">
        <v>10</v>
      </c>
      <c r="B2341" s="1516">
        <v>1002.1</v>
      </c>
      <c r="C2341" s="1511" t="s">
        <v>263</v>
      </c>
      <c r="D2341" s="1511"/>
      <c r="E2341" s="1511"/>
      <c r="F2341" s="1511"/>
      <c r="G2341" s="1509" t="str">
        <f t="shared" si="150"/>
        <v>P</v>
      </c>
      <c r="H2341" s="1510" t="s">
        <v>3199</v>
      </c>
      <c r="I2341" s="588"/>
      <c r="J2341" s="589"/>
      <c r="K2341" s="588"/>
      <c r="L2341" s="1611"/>
      <c r="M2341" s="543"/>
      <c r="N2341" s="4"/>
      <c r="O2341" s="540"/>
      <c r="P2341" s="538"/>
      <c r="Q2341" s="538"/>
      <c r="R2341" s="538"/>
      <c r="S2341" s="538"/>
      <c r="T2341" s="538"/>
      <c r="U2341" s="538"/>
      <c r="V2341" s="538"/>
      <c r="W2341" s="538"/>
      <c r="X2341" s="1600"/>
      <c r="Y2341" s="1874"/>
      <c r="Z2341" s="1889"/>
      <c r="AB2341" s="538"/>
      <c r="AC2341" s="538"/>
      <c r="AD2341" s="538"/>
      <c r="AE2341" s="538"/>
      <c r="AF2341" s="538"/>
      <c r="AG2341" s="538"/>
      <c r="AH2341" s="538"/>
      <c r="AI2341" s="538"/>
      <c r="AJ2341" s="538"/>
      <c r="AK2341" s="538"/>
      <c r="AL2341" s="1352"/>
      <c r="AM2341" s="1352"/>
      <c r="AN2341" s="1352"/>
      <c r="AO2341" s="1352"/>
      <c r="AP2341" s="1352"/>
      <c r="AQ2341" s="1352"/>
      <c r="AR2341" s="1352"/>
      <c r="AS2341" s="1352"/>
      <c r="AT2341" s="538"/>
      <c r="AU2341" s="538"/>
      <c r="AV2341" s="538"/>
      <c r="AW2341" s="538"/>
      <c r="AX2341" s="538"/>
      <c r="AY2341" s="538"/>
      <c r="AZ2341" s="538"/>
      <c r="BA2341" s="538"/>
      <c r="BB2341" s="538"/>
      <c r="BC2341" s="538"/>
      <c r="BD2341" s="538"/>
      <c r="BE2341" s="538"/>
      <c r="BF2341" s="538"/>
      <c r="BG2341" s="538"/>
      <c r="BH2341" s="538"/>
    </row>
    <row r="2342" spans="1:60" ht="15" customHeight="1" x14ac:dyDescent="0.2">
      <c r="A2342" s="1507">
        <v>10</v>
      </c>
      <c r="B2342" s="1516">
        <v>1002.1</v>
      </c>
      <c r="C2342" s="1511" t="s">
        <v>264</v>
      </c>
      <c r="D2342" s="1511"/>
      <c r="E2342" s="1511"/>
      <c r="F2342" s="1511"/>
      <c r="G2342" s="1509" t="str">
        <f t="shared" si="150"/>
        <v>P</v>
      </c>
      <c r="H2342" s="1510" t="s">
        <v>3199</v>
      </c>
      <c r="I2342" s="588"/>
      <c r="J2342" s="607" t="s">
        <v>264</v>
      </c>
      <c r="K2342" s="211"/>
      <c r="L2342" s="311" t="s">
        <v>2776</v>
      </c>
      <c r="M2342" s="543"/>
      <c r="N2342" s="4"/>
      <c r="O2342" s="540"/>
      <c r="P2342" s="538" t="b">
        <v>0</v>
      </c>
      <c r="Q2342" s="538" t="b">
        <v>1</v>
      </c>
      <c r="R2342" s="538" t="b">
        <v>0</v>
      </c>
      <c r="S2342" s="538" t="b">
        <f>IF(AY2266=INDEX(ddSingleOrMulti,2),TRUE,FALSE)</f>
        <v>1</v>
      </c>
      <c r="T2342" s="96" t="b">
        <f>AND(NOT(S2342),W2342=TRUE)</f>
        <v>0</v>
      </c>
      <c r="U2342" s="538"/>
      <c r="V2342" s="538"/>
      <c r="W2342" s="27" t="b">
        <v>1</v>
      </c>
      <c r="X2342" s="541"/>
      <c r="Y2342" s="572" t="str">
        <f>IF(LEN('11.1000'!X95)=0,"None",'11.1000'!X95)</f>
        <v>None</v>
      </c>
      <c r="Z2342" s="715"/>
      <c r="AB2342" s="538"/>
      <c r="AC2342" s="538" t="b">
        <f>OR(AD2342:AE2342)</f>
        <v>0</v>
      </c>
      <c r="AD2342" s="538" t="b">
        <f>T2342</f>
        <v>0</v>
      </c>
      <c r="AE2342" s="538"/>
      <c r="AF2342" s="538"/>
      <c r="AG2342" s="538"/>
      <c r="AH2342" s="538"/>
      <c r="AI2342" s="538"/>
      <c r="AJ2342" s="538"/>
      <c r="AK2342" s="538"/>
      <c r="AL2342" s="1352"/>
      <c r="AM2342" s="1352"/>
      <c r="AN2342" s="1352"/>
      <c r="AO2342" s="1352"/>
      <c r="AP2342" s="1352" t="str">
        <f>SUBSTITUTE(SUBSTITUTE(SUBSTITUTE("vch"&amp;$B2342&amp;$C2342&amp;$D2342&amp;$E2342,".","_"),"(","_"),")","")</f>
        <v>vch1002_1_6</v>
      </c>
      <c r="AQ2342" s="1352" t="b">
        <f>IF(LEN(W2342)=0,"",W2342)</f>
        <v>1</v>
      </c>
      <c r="AR2342" s="1352" t="str">
        <f>SUBSTITUTE(SUBSTITUTE(SUBSTITUTE("vnt"&amp;$B2342&amp;$C2342&amp;$D2342&amp;$E2342,".","_"),"(","_"),")","")</f>
        <v>vnt1002_1_6</v>
      </c>
      <c r="AS2342" s="1352" t="str">
        <f>IF(LEN(X2342)=0,"",X2342)</f>
        <v/>
      </c>
      <c r="AT2342" s="538"/>
      <c r="AU2342" s="538"/>
      <c r="AV2342" s="538"/>
      <c r="AW2342" s="538"/>
      <c r="AX2342" s="538"/>
      <c r="AY2342" s="538"/>
      <c r="AZ2342" s="538"/>
      <c r="BA2342" s="538"/>
      <c r="BB2342" s="538"/>
      <c r="BC2342" s="538"/>
      <c r="BD2342" s="538"/>
      <c r="BE2342" s="538"/>
      <c r="BF2342" s="538"/>
      <c r="BG2342" s="538"/>
      <c r="BH2342" s="538"/>
    </row>
    <row r="2343" spans="1:60" ht="16" x14ac:dyDescent="0.2">
      <c r="A2343" s="1507">
        <v>10</v>
      </c>
      <c r="B2343" s="1516">
        <v>1002.1</v>
      </c>
      <c r="C2343" s="1511" t="s">
        <v>356</v>
      </c>
      <c r="D2343" s="1511"/>
      <c r="E2343" s="1511"/>
      <c r="F2343" s="1511"/>
      <c r="G2343" s="1509" t="str">
        <f t="shared" si="150"/>
        <v>P</v>
      </c>
      <c r="H2343" s="1510" t="s">
        <v>3199</v>
      </c>
      <c r="I2343" s="588"/>
      <c r="J2343" s="607" t="s">
        <v>356</v>
      </c>
      <c r="K2343" s="211"/>
      <c r="L2343" s="311" t="s">
        <v>2817</v>
      </c>
      <c r="M2343" s="543"/>
      <c r="N2343" s="4"/>
      <c r="O2343" s="540"/>
      <c r="P2343" s="538" t="b">
        <v>0</v>
      </c>
      <c r="Q2343" s="538" t="b">
        <v>1</v>
      </c>
      <c r="R2343" s="538" t="b">
        <v>0</v>
      </c>
      <c r="S2343" s="538" t="b">
        <f>IF(AY2266=INDEX(ddSingleOrMulti,2),TRUE,FALSE)</f>
        <v>1</v>
      </c>
      <c r="T2343" s="96" t="b">
        <f>AND(NOT(S2343),W2343=TRUE)</f>
        <v>0</v>
      </c>
      <c r="U2343" s="538"/>
      <c r="V2343" s="538"/>
      <c r="W2343" s="27" t="b">
        <v>1</v>
      </c>
      <c r="X2343" s="541"/>
      <c r="Y2343" s="572" t="str">
        <f>IF(LEN('11.1000'!X96)=0,"None",'11.1000'!X96)</f>
        <v>None</v>
      </c>
      <c r="Z2343" s="715"/>
      <c r="AB2343" s="538"/>
      <c r="AC2343" s="538" t="b">
        <f>OR(AD2343:AE2343)</f>
        <v>0</v>
      </c>
      <c r="AD2343" s="538" t="b">
        <f>T2343</f>
        <v>0</v>
      </c>
      <c r="AE2343" s="538"/>
      <c r="AF2343" s="538"/>
      <c r="AG2343" s="538"/>
      <c r="AH2343" s="538"/>
      <c r="AI2343" s="538"/>
      <c r="AJ2343" s="538"/>
      <c r="AK2343" s="538"/>
      <c r="AL2343" s="1352"/>
      <c r="AM2343" s="1352"/>
      <c r="AN2343" s="1352"/>
      <c r="AO2343" s="1352"/>
      <c r="AP2343" s="1352" t="str">
        <f>SUBSTITUTE(SUBSTITUTE(SUBSTITUTE("vch"&amp;$B2343&amp;$C2343&amp;$D2343&amp;$E2343,".","_"),"(","_"),")","")</f>
        <v>vch1002_1_7</v>
      </c>
      <c r="AQ2343" s="1352" t="b">
        <f>IF(LEN(W2343)=0,"",W2343)</f>
        <v>1</v>
      </c>
      <c r="AR2343" s="1352" t="str">
        <f>SUBSTITUTE(SUBSTITUTE(SUBSTITUTE("vnt"&amp;$B2343&amp;$C2343&amp;$D2343&amp;$E2343,".","_"),"(","_"),")","")</f>
        <v>vnt1002_1_7</v>
      </c>
      <c r="AS2343" s="1352" t="str">
        <f>IF(LEN(X2343)=0,"",X2343)</f>
        <v/>
      </c>
      <c r="AT2343" s="538"/>
      <c r="AU2343" s="538"/>
      <c r="AV2343" s="538"/>
      <c r="AW2343" s="538"/>
      <c r="AX2343" s="538"/>
      <c r="AY2343" s="538"/>
      <c r="AZ2343" s="538"/>
      <c r="BA2343" s="538"/>
      <c r="BB2343" s="538"/>
      <c r="BC2343" s="538"/>
      <c r="BD2343" s="538"/>
      <c r="BE2343" s="538"/>
      <c r="BF2343" s="538"/>
      <c r="BG2343" s="538"/>
      <c r="BH2343" s="538"/>
    </row>
    <row r="2344" spans="1:60" x14ac:dyDescent="0.2">
      <c r="A2344" s="1507">
        <v>10</v>
      </c>
      <c r="B2344" s="1516">
        <v>1002.1</v>
      </c>
      <c r="C2344" s="1511" t="s">
        <v>389</v>
      </c>
      <c r="D2344" s="1511"/>
      <c r="E2344" s="1511"/>
      <c r="F2344" s="1511"/>
      <c r="G2344" s="1509" t="str">
        <f t="shared" si="150"/>
        <v>P</v>
      </c>
      <c r="H2344" s="1510" t="s">
        <v>3199</v>
      </c>
      <c r="I2344" s="609"/>
      <c r="J2344" s="590" t="s">
        <v>389</v>
      </c>
      <c r="K2344" s="609"/>
      <c r="L2344" s="1609" t="s">
        <v>2818</v>
      </c>
      <c r="M2344" s="543"/>
      <c r="N2344" s="129"/>
      <c r="O2344" s="543"/>
      <c r="P2344" s="538" t="b">
        <v>0</v>
      </c>
      <c r="Q2344" s="538" t="b">
        <v>1</v>
      </c>
      <c r="R2344" s="96" t="b">
        <v>0</v>
      </c>
      <c r="S2344" s="96" t="b">
        <f>IF(AY2266=INDEX(ddSingleOrMulti,2),TRUE,FALSE)</f>
        <v>1</v>
      </c>
      <c r="T2344" s="96" t="b">
        <f>AND(NOT(S2344),W2344=TRUE)</f>
        <v>0</v>
      </c>
      <c r="U2344" s="96"/>
      <c r="V2344" s="96"/>
      <c r="W2344" s="27"/>
      <c r="X2344" s="1601"/>
      <c r="Y2344" s="1881" t="str">
        <f>IF(LEN('11.1000'!X97)=0,"None",'11.1000'!X97)</f>
        <v>None</v>
      </c>
      <c r="Z2344" s="1891"/>
      <c r="AB2344" s="538"/>
      <c r="AC2344" s="538" t="b">
        <f>OR(AD2344:AE2344)</f>
        <v>0</v>
      </c>
      <c r="AD2344" s="538" t="b">
        <f>T2344</f>
        <v>0</v>
      </c>
      <c r="AE2344" s="538"/>
      <c r="AF2344" s="538"/>
      <c r="AG2344" s="538"/>
      <c r="AH2344" s="538"/>
      <c r="AI2344" s="538"/>
      <c r="AJ2344" s="538"/>
      <c r="AK2344" s="538"/>
      <c r="AL2344" s="1352"/>
      <c r="AM2344" s="1352"/>
      <c r="AN2344" s="1352"/>
      <c r="AO2344" s="1352"/>
      <c r="AP2344" s="1352" t="str">
        <f>SUBSTITUTE(SUBSTITUTE(SUBSTITUTE("vch"&amp;$B2344&amp;$C2344&amp;$D2344&amp;$E2344,".","_"),"(","_"),")","")</f>
        <v>vch1002_1_8</v>
      </c>
      <c r="AQ2344" s="1352" t="str">
        <f>IF(LEN(W2344)=0,"",W2344)</f>
        <v/>
      </c>
      <c r="AR2344" s="1352" t="str">
        <f>SUBSTITUTE(SUBSTITUTE(SUBSTITUTE("vnt"&amp;$B2344&amp;$C2344&amp;$D2344&amp;$E2344,".","_"),"(","_"),")","")</f>
        <v>vnt1002_1_8</v>
      </c>
      <c r="AS2344" s="1352" t="str">
        <f>IF(LEN(X2344)=0,"",X2344)</f>
        <v/>
      </c>
      <c r="AT2344" s="538"/>
      <c r="AU2344" s="538"/>
      <c r="AV2344" s="538"/>
      <c r="AW2344" s="538"/>
      <c r="AX2344" s="538"/>
      <c r="AY2344" s="538"/>
      <c r="AZ2344" s="538"/>
      <c r="BA2344" s="538"/>
      <c r="BB2344" s="538"/>
      <c r="BC2344" s="538"/>
      <c r="BD2344" s="538"/>
      <c r="BE2344" s="538"/>
      <c r="BF2344" s="538"/>
      <c r="BG2344" s="538"/>
      <c r="BH2344" s="538"/>
    </row>
    <row r="2345" spans="1:60" ht="16" thickBot="1" x14ac:dyDescent="0.25">
      <c r="A2345" s="1507">
        <v>10</v>
      </c>
      <c r="B2345" s="1516">
        <v>1002.1</v>
      </c>
      <c r="C2345" s="1511" t="s">
        <v>389</v>
      </c>
      <c r="D2345" s="1511"/>
      <c r="E2345" s="1511"/>
      <c r="F2345" s="1511"/>
      <c r="G2345" s="1509" t="str">
        <f t="shared" si="150"/>
        <v>P</v>
      </c>
      <c r="H2345" s="1510" t="s">
        <v>3199</v>
      </c>
      <c r="I2345" s="596"/>
      <c r="J2345" s="596"/>
      <c r="K2345" s="596"/>
      <c r="L2345" s="1610"/>
      <c r="M2345" s="547"/>
      <c r="N2345" s="239"/>
      <c r="O2345" s="547"/>
      <c r="P2345" s="100"/>
      <c r="Q2345" s="100"/>
      <c r="R2345" s="100"/>
      <c r="S2345" s="100"/>
      <c r="T2345" s="100"/>
      <c r="U2345" s="100"/>
      <c r="V2345" s="100"/>
      <c r="W2345" s="100"/>
      <c r="X2345" s="1602"/>
      <c r="Y2345" s="1882"/>
      <c r="Z2345" s="1892"/>
      <c r="AB2345" s="538"/>
      <c r="AC2345" s="538"/>
      <c r="AD2345" s="538"/>
      <c r="AE2345" s="538"/>
      <c r="AF2345" s="538"/>
      <c r="AG2345" s="538"/>
      <c r="AH2345" s="538"/>
      <c r="AI2345" s="538"/>
      <c r="AJ2345" s="538"/>
      <c r="AK2345" s="538"/>
      <c r="AL2345" s="1352"/>
      <c r="AM2345" s="1352"/>
      <c r="AN2345" s="1352"/>
      <c r="AO2345" s="1352"/>
      <c r="AP2345" s="1352"/>
      <c r="AQ2345" s="1352"/>
      <c r="AR2345" s="1352"/>
      <c r="AS2345" s="1352"/>
      <c r="AT2345" s="538"/>
      <c r="AU2345" s="538"/>
      <c r="AV2345" s="538"/>
      <c r="AW2345" s="538"/>
      <c r="AX2345" s="538"/>
      <c r="AY2345" s="538"/>
      <c r="AZ2345" s="538"/>
      <c r="BA2345" s="538"/>
      <c r="BB2345" s="538"/>
      <c r="BC2345" s="538"/>
      <c r="BD2345" s="538"/>
      <c r="BE2345" s="538"/>
      <c r="BF2345" s="538"/>
      <c r="BG2345" s="538"/>
      <c r="BH2345" s="538"/>
    </row>
    <row r="2346" spans="1:60" ht="16" thickTop="1" x14ac:dyDescent="0.2">
      <c r="A2346" s="1507">
        <v>10</v>
      </c>
      <c r="B2346" s="1516">
        <v>1002.2</v>
      </c>
      <c r="C2346" s="1511"/>
      <c r="D2346" s="1511"/>
      <c r="E2346" s="1511"/>
      <c r="F2346" s="1511"/>
      <c r="G2346" s="1509" t="str">
        <f>IF(N2346&gt;0,"P","")</f>
        <v>P</v>
      </c>
      <c r="H2346" s="1510" t="s">
        <v>3199</v>
      </c>
      <c r="I2346" s="136" t="s">
        <v>3756</v>
      </c>
      <c r="J2346" s="588"/>
      <c r="K2346" s="588"/>
      <c r="L2346" s="1631" t="s">
        <v>3869</v>
      </c>
      <c r="M2346" s="1628">
        <v>1</v>
      </c>
      <c r="N2346" s="1682">
        <f>'11.1000'!O99</f>
        <v>4</v>
      </c>
      <c r="O2346" s="1778">
        <f>IF(AND(COUNTIF(W2350:W2352,TRUE)=2,COUNTIF(W2355:W2371,TRUE)&gt;2,S2350),ROUNDDOWN(COUNTIF(W2355:W2371,TRUE)/2,0),0)</f>
        <v>4</v>
      </c>
      <c r="P2346" s="538"/>
      <c r="Q2346" s="538"/>
      <c r="R2346" s="538"/>
      <c r="S2346" s="538"/>
      <c r="T2346" s="538"/>
      <c r="U2346" s="538"/>
      <c r="V2346" s="538"/>
      <c r="W2346" s="538"/>
      <c r="X2346" s="538"/>
      <c r="Y2346" s="538"/>
      <c r="Z2346" s="670"/>
      <c r="AB2346" s="538"/>
      <c r="AC2346" s="538"/>
      <c r="AD2346" s="538"/>
      <c r="AE2346" s="538"/>
      <c r="AF2346" s="538"/>
      <c r="AG2346" s="538"/>
      <c r="AH2346" s="538"/>
      <c r="AI2346" s="538"/>
      <c r="AJ2346" s="538"/>
      <c r="AK2346" s="538"/>
      <c r="AL2346" s="1352" t="str">
        <f>SUBSTITUTE(SUBSTITUTE(SUBSTITUTE("vpa"&amp;$B2346&amp;$C2346&amp;$D2346&amp;$E2346,".","_"),"(","_"),")","")</f>
        <v>vpa1002_2</v>
      </c>
      <c r="AM2346" s="1352">
        <f t="shared" ref="AM2346" si="153">M2346</f>
        <v>1</v>
      </c>
      <c r="AN2346" s="1352" t="str">
        <f>SUBSTITUTE(SUBSTITUTE(SUBSTITUTE("vpc"&amp;$B2346&amp;$C2346&amp;$D2346&amp;$E2346,".","_"),"(","_"),")","")</f>
        <v>vpc1002_2</v>
      </c>
      <c r="AO2346" s="1352">
        <f>O2346</f>
        <v>4</v>
      </c>
      <c r="AP2346" s="1352"/>
      <c r="AQ2346" s="1352"/>
      <c r="AR2346" s="1352"/>
      <c r="AS2346" s="1352"/>
      <c r="AT2346" s="538"/>
      <c r="AU2346" s="538"/>
      <c r="AV2346" s="538"/>
      <c r="AW2346" s="538"/>
      <c r="AX2346" s="538"/>
      <c r="AY2346" s="538"/>
      <c r="AZ2346" s="538"/>
      <c r="BA2346" s="538"/>
      <c r="BB2346" s="538"/>
      <c r="BC2346" s="538"/>
      <c r="BD2346" s="538"/>
      <c r="BE2346" s="538"/>
      <c r="BF2346" s="538"/>
      <c r="BG2346" s="538"/>
      <c r="BH2346" s="538"/>
    </row>
    <row r="2347" spans="1:60" x14ac:dyDescent="0.2">
      <c r="A2347" s="1507">
        <v>10</v>
      </c>
      <c r="B2347" s="1516">
        <v>1002.2</v>
      </c>
      <c r="C2347" s="1511"/>
      <c r="D2347" s="1511"/>
      <c r="E2347" s="1511"/>
      <c r="F2347" s="1511"/>
      <c r="G2347" s="1509" t="str">
        <f t="shared" ref="G2347:G2372" si="154">G2346</f>
        <v>P</v>
      </c>
      <c r="H2347" s="1510" t="s">
        <v>3199</v>
      </c>
      <c r="I2347" s="588"/>
      <c r="J2347" s="588"/>
      <c r="K2347" s="588"/>
      <c r="L2347" s="1631"/>
      <c r="M2347" s="1628"/>
      <c r="N2347" s="1669"/>
      <c r="O2347" s="1778"/>
      <c r="P2347" s="538"/>
      <c r="Q2347" s="538"/>
      <c r="R2347" s="538"/>
      <c r="S2347" s="538"/>
      <c r="T2347" s="538"/>
      <c r="U2347" s="538"/>
      <c r="V2347" s="538"/>
      <c r="W2347" s="538"/>
      <c r="X2347" s="538"/>
      <c r="Y2347" s="538"/>
      <c r="Z2347" s="670"/>
      <c r="AB2347" s="538"/>
      <c r="AC2347" s="538"/>
      <c r="AD2347" s="538"/>
      <c r="AE2347" s="538"/>
      <c r="AF2347" s="538"/>
      <c r="AG2347" s="538"/>
      <c r="AH2347" s="538"/>
      <c r="AI2347" s="538"/>
      <c r="AJ2347" s="538"/>
      <c r="AK2347" s="538"/>
      <c r="AL2347" s="1352"/>
      <c r="AM2347" s="1352"/>
      <c r="AN2347" s="1352"/>
      <c r="AO2347" s="1352"/>
      <c r="AP2347" s="1352"/>
      <c r="AQ2347" s="1352"/>
      <c r="AR2347" s="1352"/>
      <c r="AS2347" s="1352"/>
      <c r="AT2347" s="538"/>
      <c r="AU2347" s="538"/>
      <c r="AV2347" s="538"/>
      <c r="AW2347" s="538"/>
      <c r="AX2347" s="538"/>
      <c r="AY2347" s="538"/>
      <c r="AZ2347" s="538"/>
      <c r="BA2347" s="538"/>
      <c r="BB2347" s="538"/>
      <c r="BC2347" s="538"/>
      <c r="BD2347" s="538"/>
      <c r="BE2347" s="538"/>
      <c r="BF2347" s="538"/>
      <c r="BG2347" s="538"/>
      <c r="BH2347" s="538"/>
    </row>
    <row r="2348" spans="1:60" x14ac:dyDescent="0.2">
      <c r="A2348" s="1507">
        <v>10</v>
      </c>
      <c r="B2348" s="1516">
        <v>1002.2</v>
      </c>
      <c r="C2348" s="1511"/>
      <c r="D2348" s="1511"/>
      <c r="E2348" s="1511"/>
      <c r="F2348" s="1511"/>
      <c r="G2348" s="1509" t="str">
        <f t="shared" si="154"/>
        <v>P</v>
      </c>
      <c r="H2348" s="1510" t="s">
        <v>3199</v>
      </c>
      <c r="I2348" s="588"/>
      <c r="J2348" s="588"/>
      <c r="K2348" s="588"/>
      <c r="L2348" s="1631"/>
      <c r="M2348" s="1628"/>
      <c r="N2348" s="1669"/>
      <c r="O2348" s="1778"/>
      <c r="P2348" s="538"/>
      <c r="Q2348" s="538"/>
      <c r="R2348" s="538"/>
      <c r="S2348" s="538"/>
      <c r="T2348" s="538"/>
      <c r="U2348" s="538"/>
      <c r="V2348" s="538"/>
      <c r="W2348" s="538"/>
      <c r="X2348" s="538"/>
      <c r="Y2348" s="538"/>
      <c r="Z2348" s="670"/>
      <c r="AB2348" s="538"/>
      <c r="AC2348" s="538"/>
      <c r="AD2348" s="538"/>
      <c r="AE2348" s="538"/>
      <c r="AF2348" s="538"/>
      <c r="AG2348" s="538"/>
      <c r="AH2348" s="538"/>
      <c r="AI2348" s="538"/>
      <c r="AJ2348" s="538"/>
      <c r="AK2348" s="538"/>
      <c r="AL2348" s="1352"/>
      <c r="AM2348" s="1352"/>
      <c r="AN2348" s="1352"/>
      <c r="AO2348" s="1352"/>
      <c r="AP2348" s="1352"/>
      <c r="AQ2348" s="1352"/>
      <c r="AR2348" s="1352"/>
      <c r="AS2348" s="1352"/>
      <c r="AT2348" s="538"/>
      <c r="AU2348" s="538"/>
      <c r="AV2348" s="538"/>
      <c r="AW2348" s="538"/>
      <c r="AX2348" s="538"/>
      <c r="AY2348" s="538"/>
      <c r="AZ2348" s="538"/>
      <c r="BA2348" s="538"/>
      <c r="BB2348" s="538"/>
      <c r="BC2348" s="538"/>
      <c r="BD2348" s="538"/>
      <c r="BE2348" s="538"/>
      <c r="BF2348" s="538"/>
      <c r="BG2348" s="538"/>
      <c r="BH2348" s="538"/>
    </row>
    <row r="2349" spans="1:60" ht="15" customHeight="1" x14ac:dyDescent="0.2">
      <c r="A2349" s="1507">
        <v>10</v>
      </c>
      <c r="B2349" s="1516">
        <v>1002.2</v>
      </c>
      <c r="C2349" s="1511"/>
      <c r="D2349" s="1511"/>
      <c r="E2349" s="1511"/>
      <c r="F2349" s="1511"/>
      <c r="G2349" s="1509" t="str">
        <f t="shared" si="154"/>
        <v>P</v>
      </c>
      <c r="H2349" s="1510" t="s">
        <v>3199</v>
      </c>
      <c r="I2349" s="588"/>
      <c r="J2349" s="588"/>
      <c r="K2349" s="588"/>
      <c r="L2349" s="230" t="s">
        <v>2847</v>
      </c>
      <c r="M2349" s="1628"/>
      <c r="N2349" s="1669"/>
      <c r="O2349" s="1778"/>
      <c r="P2349" s="538"/>
      <c r="Q2349" s="538"/>
      <c r="R2349" s="538"/>
      <c r="S2349" s="538"/>
      <c r="T2349" s="538"/>
      <c r="U2349" s="538"/>
      <c r="V2349" s="538"/>
      <c r="W2349" s="538"/>
      <c r="X2349" s="538"/>
      <c r="Y2349" s="538"/>
      <c r="Z2349" s="670"/>
      <c r="AB2349" s="538"/>
      <c r="AC2349" s="538"/>
      <c r="AD2349" s="538"/>
      <c r="AE2349" s="538"/>
      <c r="AF2349" s="538"/>
      <c r="AG2349" s="538"/>
      <c r="AH2349" s="538"/>
      <c r="AI2349" s="538"/>
      <c r="AJ2349" s="538"/>
      <c r="AK2349" s="538"/>
      <c r="AL2349" s="1352"/>
      <c r="AM2349" s="1352"/>
      <c r="AN2349" s="1352"/>
      <c r="AO2349" s="1352"/>
      <c r="AP2349" s="1352"/>
      <c r="AQ2349" s="1352"/>
      <c r="AR2349" s="1352"/>
      <c r="AS2349" s="1352"/>
      <c r="AT2349" s="538"/>
      <c r="AU2349" s="538"/>
      <c r="AV2349" s="538"/>
      <c r="AW2349" s="538"/>
      <c r="AX2349" s="538"/>
      <c r="AY2349" s="538"/>
      <c r="AZ2349" s="538"/>
      <c r="BA2349" s="538"/>
      <c r="BB2349" s="538"/>
      <c r="BC2349" s="538"/>
      <c r="BD2349" s="538"/>
      <c r="BE2349" s="538"/>
      <c r="BF2349" s="538"/>
      <c r="BG2349" s="538"/>
      <c r="BH2349" s="538"/>
    </row>
    <row r="2350" spans="1:60" x14ac:dyDescent="0.2">
      <c r="A2350" s="1507">
        <v>10</v>
      </c>
      <c r="B2350" s="1516">
        <v>1002.2</v>
      </c>
      <c r="C2350" s="1511" t="s">
        <v>254</v>
      </c>
      <c r="D2350" s="1511"/>
      <c r="E2350" s="1511"/>
      <c r="F2350" s="1511"/>
      <c r="G2350" s="1509" t="str">
        <f>IF(IFERROR(SEARCH("Mandatory",M2350),FALSE),"P","")</f>
        <v>P</v>
      </c>
      <c r="H2350" s="1510" t="s">
        <v>3199</v>
      </c>
      <c r="I2350" s="588"/>
      <c r="J2350" s="590" t="s">
        <v>254</v>
      </c>
      <c r="K2350" s="609"/>
      <c r="L2350" s="1609" t="s">
        <v>2819</v>
      </c>
      <c r="M2350" s="1697" t="str">
        <f>IF(R2350,"Mandatory","N/A")</f>
        <v>Mandatory</v>
      </c>
      <c r="N2350" s="4"/>
      <c r="O2350" s="540"/>
      <c r="P2350" s="538" t="b">
        <v>0</v>
      </c>
      <c r="Q2350" s="538" t="b">
        <v>1</v>
      </c>
      <c r="R2350" s="538" t="b">
        <f>S2350</f>
        <v>1</v>
      </c>
      <c r="S2350" s="538" t="b">
        <f>IF(AY2266=INDEX(ddSingleOrMulti,2),TRUE,FALSE)</f>
        <v>1</v>
      </c>
      <c r="T2350" s="96" t="b">
        <f>AND(NOT(S2350),W2350=TRUE)</f>
        <v>0</v>
      </c>
      <c r="U2350" s="538"/>
      <c r="V2350" s="538"/>
      <c r="W2350" s="27" t="b">
        <v>1</v>
      </c>
      <c r="X2350" s="1600"/>
      <c r="Y2350" s="1874" t="str">
        <f>IF(LEN('11.1000'!X103)=0,"None",'11.1000'!X103)</f>
        <v>None</v>
      </c>
      <c r="Z2350" s="1889"/>
      <c r="AB2350" s="538"/>
      <c r="AC2350" s="538" t="b">
        <f>OR(AD2350:AE2350)</f>
        <v>0</v>
      </c>
      <c r="AD2350" s="538" t="b">
        <f>T2350</f>
        <v>0</v>
      </c>
      <c r="AE2350" s="677" t="b">
        <f>AND(R2350,NOT(W2350=TRUE))</f>
        <v>0</v>
      </c>
      <c r="AF2350" s="720"/>
      <c r="AG2350" s="538"/>
      <c r="AH2350" s="538"/>
      <c r="AI2350" s="538"/>
      <c r="AJ2350" s="538"/>
      <c r="AK2350" s="538"/>
      <c r="AL2350" s="1352" t="str">
        <f>SUBSTITUTE(SUBSTITUTE(SUBSTITUTE("vpa"&amp;$B2350&amp;$C2350&amp;$D2350&amp;$E2350,".","_"),"(","_"),")","")</f>
        <v>vpa1002_2_1</v>
      </c>
      <c r="AM2350" s="1352" t="str">
        <f t="shared" ref="AM2350" si="155">M2350</f>
        <v>Mandatory</v>
      </c>
      <c r="AN2350" s="1352"/>
      <c r="AO2350" s="1352"/>
      <c r="AP2350" s="1352" t="str">
        <f>SUBSTITUTE(SUBSTITUTE(SUBSTITUTE("vch"&amp;$B2350&amp;$C2350&amp;$D2350&amp;$E2350,".","_"),"(","_"),")","")</f>
        <v>vch1002_2_1</v>
      </c>
      <c r="AQ2350" s="1352" t="b">
        <f>IF(LEN(W2350)=0,"",W2350)</f>
        <v>1</v>
      </c>
      <c r="AR2350" s="1352" t="str">
        <f>SUBSTITUTE(SUBSTITUTE(SUBSTITUTE("vnt"&amp;$B2350&amp;$C2350&amp;$D2350&amp;$E2350,".","_"),"(","_"),")","")</f>
        <v>vnt1002_2_1</v>
      </c>
      <c r="AS2350" s="1352" t="str">
        <f>IF(LEN(X2350)=0,"",X2350)</f>
        <v/>
      </c>
      <c r="AT2350" s="538"/>
      <c r="AU2350" s="538"/>
      <c r="AV2350" s="538"/>
      <c r="AW2350" s="538"/>
      <c r="AX2350" s="538"/>
      <c r="AY2350" s="538"/>
      <c r="AZ2350" s="538"/>
      <c r="BA2350" s="538"/>
      <c r="BB2350" s="538"/>
      <c r="BC2350" s="538"/>
      <c r="BD2350" s="538"/>
      <c r="BE2350" s="538"/>
      <c r="BF2350" s="538"/>
      <c r="BG2350" s="538"/>
      <c r="BH2350" s="538"/>
    </row>
    <row r="2351" spans="1:60" x14ac:dyDescent="0.2">
      <c r="A2351" s="1507">
        <v>10</v>
      </c>
      <c r="B2351" s="1516">
        <v>1002.2</v>
      </c>
      <c r="C2351" s="1511" t="s">
        <v>254</v>
      </c>
      <c r="D2351" s="1511"/>
      <c r="E2351" s="1511"/>
      <c r="F2351" s="1511"/>
      <c r="G2351" s="1509" t="str">
        <f t="shared" si="154"/>
        <v>P</v>
      </c>
      <c r="H2351" s="1510" t="s">
        <v>3199</v>
      </c>
      <c r="I2351" s="588"/>
      <c r="J2351" s="606"/>
      <c r="K2351" s="208"/>
      <c r="L2351" s="1612"/>
      <c r="M2351" s="1698" t="str">
        <f>IF(R2351,"Mandatory","N/A")</f>
        <v>N/A</v>
      </c>
      <c r="N2351" s="4"/>
      <c r="O2351" s="540"/>
      <c r="P2351" s="538"/>
      <c r="Q2351" s="538"/>
      <c r="R2351" s="538"/>
      <c r="S2351" s="538"/>
      <c r="T2351" s="538"/>
      <c r="U2351" s="538"/>
      <c r="V2351" s="538"/>
      <c r="W2351" s="538"/>
      <c r="X2351" s="1600"/>
      <c r="Y2351" s="1874"/>
      <c r="Z2351" s="1889"/>
      <c r="AB2351" s="538"/>
      <c r="AC2351" s="538"/>
      <c r="AD2351" s="538"/>
      <c r="AE2351" s="538"/>
      <c r="AF2351" s="538"/>
      <c r="AG2351" s="538"/>
      <c r="AH2351" s="538"/>
      <c r="AI2351" s="538"/>
      <c r="AJ2351" s="538"/>
      <c r="AK2351" s="538"/>
      <c r="AL2351" s="1352"/>
      <c r="AM2351" s="1352"/>
      <c r="AN2351" s="1352"/>
      <c r="AO2351" s="1352"/>
      <c r="AP2351" s="1352"/>
      <c r="AQ2351" s="1352"/>
      <c r="AR2351" s="1352"/>
      <c r="AS2351" s="1352"/>
      <c r="AT2351" s="538"/>
      <c r="AU2351" s="538"/>
      <c r="AV2351" s="538"/>
      <c r="AW2351" s="538"/>
      <c r="AX2351" s="538"/>
      <c r="AY2351" s="538"/>
      <c r="AZ2351" s="538"/>
      <c r="BA2351" s="538"/>
      <c r="BB2351" s="538"/>
      <c r="BC2351" s="538"/>
      <c r="BD2351" s="538"/>
      <c r="BE2351" s="538"/>
      <c r="BF2351" s="538"/>
      <c r="BG2351" s="538"/>
      <c r="BH2351" s="538"/>
    </row>
    <row r="2352" spans="1:60" x14ac:dyDescent="0.2">
      <c r="A2352" s="1507">
        <v>10</v>
      </c>
      <c r="B2352" s="1516">
        <v>1002.2</v>
      </c>
      <c r="C2352" s="1511" t="s">
        <v>255</v>
      </c>
      <c r="D2352" s="1511"/>
      <c r="E2352" s="1511"/>
      <c r="F2352" s="1511"/>
      <c r="G2352" s="1509" t="str">
        <f>IF(IFERROR(SEARCH("Mandatory",M2352),FALSE),"P","")</f>
        <v>P</v>
      </c>
      <c r="H2352" s="1510" t="s">
        <v>3199</v>
      </c>
      <c r="I2352" s="588"/>
      <c r="J2352" s="608" t="s">
        <v>255</v>
      </c>
      <c r="K2352" s="1404"/>
      <c r="L2352" s="1613" t="s">
        <v>2820</v>
      </c>
      <c r="M2352" s="1732" t="str">
        <f>IF(R2352,"Mandatory","N/A")</f>
        <v>Mandatory</v>
      </c>
      <c r="N2352" s="4"/>
      <c r="O2352" s="540"/>
      <c r="P2352" s="538" t="b">
        <v>0</v>
      </c>
      <c r="Q2352" s="538" t="b">
        <v>1</v>
      </c>
      <c r="R2352" s="538" t="b">
        <f>S2352</f>
        <v>1</v>
      </c>
      <c r="S2352" s="538" t="b">
        <f>IF(AY2266=INDEX(ddSingleOrMulti,2),TRUE,FALSE)</f>
        <v>1</v>
      </c>
      <c r="T2352" s="96" t="b">
        <f>AND(NOT(S2352),W2352=TRUE)</f>
        <v>0</v>
      </c>
      <c r="U2352" s="538"/>
      <c r="V2352" s="538"/>
      <c r="W2352" s="27" t="b">
        <v>1</v>
      </c>
      <c r="X2352" s="1600"/>
      <c r="Y2352" s="1874" t="str">
        <f>IF(LEN('11.1000'!X105)=0,"None",'11.1000'!X105)</f>
        <v>None</v>
      </c>
      <c r="Z2352" s="1889"/>
      <c r="AB2352" s="538"/>
      <c r="AC2352" s="538" t="b">
        <f>OR(AD2352:AE2352)</f>
        <v>0</v>
      </c>
      <c r="AD2352" s="538" t="b">
        <f>T2352</f>
        <v>0</v>
      </c>
      <c r="AE2352" s="538" t="b">
        <f>AND(R2352,NOT(W2352=TRUE))</f>
        <v>0</v>
      </c>
      <c r="AF2352" s="720"/>
      <c r="AG2352" s="538"/>
      <c r="AH2352" s="538"/>
      <c r="AI2352" s="538"/>
      <c r="AJ2352" s="538"/>
      <c r="AK2352" s="538"/>
      <c r="AL2352" s="1352" t="str">
        <f>SUBSTITUTE(SUBSTITUTE(SUBSTITUTE("vpa"&amp;$B2352&amp;$C2352&amp;$D2352&amp;$E2352,".","_"),"(","_"),")","")</f>
        <v>vpa1002_2_2</v>
      </c>
      <c r="AM2352" s="1352" t="str">
        <f t="shared" ref="AM2352" si="156">M2352</f>
        <v>Mandatory</v>
      </c>
      <c r="AN2352" s="1352"/>
      <c r="AO2352" s="1352"/>
      <c r="AP2352" s="1352" t="str">
        <f>SUBSTITUTE(SUBSTITUTE(SUBSTITUTE("vch"&amp;$B2352&amp;$C2352&amp;$D2352&amp;$E2352,".","_"),"(","_"),")","")</f>
        <v>vch1002_2_2</v>
      </c>
      <c r="AQ2352" s="1352" t="b">
        <f>IF(LEN(W2352)=0,"",W2352)</f>
        <v>1</v>
      </c>
      <c r="AR2352" s="1352" t="str">
        <f>SUBSTITUTE(SUBSTITUTE(SUBSTITUTE("vnt"&amp;$B2352&amp;$C2352&amp;$D2352&amp;$E2352,".","_"),"(","_"),")","")</f>
        <v>vnt1002_2_2</v>
      </c>
      <c r="AS2352" s="1352" t="str">
        <f>IF(LEN(X2352)=0,"",X2352)</f>
        <v/>
      </c>
      <c r="AT2352" s="538"/>
      <c r="AU2352" s="538"/>
      <c r="AV2352" s="538"/>
      <c r="AW2352" s="538"/>
      <c r="AX2352" s="538"/>
      <c r="AY2352" s="538"/>
      <c r="AZ2352" s="538"/>
      <c r="BA2352" s="538"/>
      <c r="BB2352" s="538"/>
      <c r="BC2352" s="538"/>
      <c r="BD2352" s="538"/>
      <c r="BE2352" s="538"/>
      <c r="BF2352" s="538"/>
      <c r="BG2352" s="538"/>
      <c r="BH2352" s="538"/>
    </row>
    <row r="2353" spans="1:60" x14ac:dyDescent="0.2">
      <c r="A2353" s="1507">
        <v>10</v>
      </c>
      <c r="B2353" s="1516">
        <v>1002.2</v>
      </c>
      <c r="C2353" s="1511" t="s">
        <v>255</v>
      </c>
      <c r="D2353" s="1511"/>
      <c r="E2353" s="1511"/>
      <c r="F2353" s="1511"/>
      <c r="G2353" s="1509" t="str">
        <f t="shared" si="154"/>
        <v>P</v>
      </c>
      <c r="H2353" s="1510" t="s">
        <v>3199</v>
      </c>
      <c r="I2353" s="588"/>
      <c r="J2353" s="590"/>
      <c r="K2353" s="609"/>
      <c r="L2353" s="1609"/>
      <c r="M2353" s="1697" t="str">
        <f>IF(R2353,"Mandatory","N/A")</f>
        <v>N/A</v>
      </c>
      <c r="N2353" s="4"/>
      <c r="O2353" s="540"/>
      <c r="P2353" s="538"/>
      <c r="Q2353" s="538"/>
      <c r="R2353" s="538"/>
      <c r="S2353" s="538"/>
      <c r="T2353" s="538"/>
      <c r="U2353" s="538"/>
      <c r="V2353" s="538"/>
      <c r="W2353" s="538"/>
      <c r="X2353" s="1600"/>
      <c r="Y2353" s="1874"/>
      <c r="Z2353" s="1889"/>
      <c r="AB2353" s="538"/>
      <c r="AC2353" s="538"/>
      <c r="AD2353" s="538"/>
      <c r="AE2353" s="538"/>
      <c r="AF2353" s="538"/>
      <c r="AG2353" s="538"/>
      <c r="AH2353" s="538"/>
      <c r="AI2353" s="538"/>
      <c r="AJ2353" s="538"/>
      <c r="AK2353" s="538"/>
      <c r="AL2353" s="1352"/>
      <c r="AM2353" s="1352"/>
      <c r="AN2353" s="1352"/>
      <c r="AO2353" s="1352"/>
      <c r="AP2353" s="1352"/>
      <c r="AQ2353" s="1352"/>
      <c r="AR2353" s="1352"/>
      <c r="AS2353" s="1352"/>
      <c r="AT2353" s="538"/>
      <c r="AU2353" s="538"/>
      <c r="AV2353" s="538"/>
      <c r="AW2353" s="538"/>
      <c r="AX2353" s="538"/>
      <c r="AY2353" s="538"/>
      <c r="AZ2353" s="538"/>
      <c r="BA2353" s="538"/>
      <c r="BB2353" s="538"/>
      <c r="BC2353" s="538"/>
      <c r="BD2353" s="538"/>
      <c r="BE2353" s="538"/>
      <c r="BF2353" s="538"/>
      <c r="BG2353" s="538"/>
      <c r="BH2353" s="538"/>
    </row>
    <row r="2354" spans="1:60" x14ac:dyDescent="0.2">
      <c r="A2354" s="1507">
        <v>10</v>
      </c>
      <c r="B2354" s="1516">
        <v>1002.2</v>
      </c>
      <c r="C2354" s="1511" t="s">
        <v>255</v>
      </c>
      <c r="D2354" s="1511"/>
      <c r="E2354" s="1511"/>
      <c r="F2354" s="1511"/>
      <c r="G2354" s="1509" t="str">
        <f t="shared" si="154"/>
        <v>P</v>
      </c>
      <c r="H2354" s="1510" t="s">
        <v>3199</v>
      </c>
      <c r="I2354" s="588"/>
      <c r="J2354" s="606"/>
      <c r="K2354" s="208"/>
      <c r="L2354" s="1612"/>
      <c r="M2354" s="1698" t="str">
        <f>IF(R2354,"Mandatory","N/A")</f>
        <v>N/A</v>
      </c>
      <c r="N2354" s="4"/>
      <c r="O2354" s="540"/>
      <c r="P2354" s="538"/>
      <c r="Q2354" s="538"/>
      <c r="R2354" s="538"/>
      <c r="S2354" s="538"/>
      <c r="T2354" s="538"/>
      <c r="U2354" s="538"/>
      <c r="V2354" s="538"/>
      <c r="W2354" s="538"/>
      <c r="X2354" s="1600"/>
      <c r="Y2354" s="1874"/>
      <c r="Z2354" s="1889"/>
      <c r="AB2354" s="538"/>
      <c r="AC2354" s="538"/>
      <c r="AD2354" s="538"/>
      <c r="AE2354" s="538"/>
      <c r="AF2354" s="538"/>
      <c r="AG2354" s="538"/>
      <c r="AH2354" s="538"/>
      <c r="AI2354" s="538"/>
      <c r="AJ2354" s="538"/>
      <c r="AK2354" s="538"/>
      <c r="AL2354" s="1352"/>
      <c r="AM2354" s="1352"/>
      <c r="AN2354" s="1352"/>
      <c r="AO2354" s="1352"/>
      <c r="AP2354" s="1352"/>
      <c r="AQ2354" s="1352"/>
      <c r="AR2354" s="1352"/>
      <c r="AS2354" s="1352"/>
      <c r="AT2354" s="538"/>
      <c r="AU2354" s="538"/>
      <c r="AV2354" s="538"/>
      <c r="AW2354" s="538"/>
      <c r="AX2354" s="538"/>
      <c r="AY2354" s="538"/>
      <c r="AZ2354" s="538"/>
      <c r="BA2354" s="538"/>
      <c r="BB2354" s="538"/>
      <c r="BC2354" s="538"/>
      <c r="BD2354" s="538"/>
      <c r="BE2354" s="538"/>
      <c r="BF2354" s="538"/>
      <c r="BG2354" s="538"/>
      <c r="BH2354" s="538"/>
    </row>
    <row r="2355" spans="1:60" x14ac:dyDescent="0.2">
      <c r="A2355" s="1507">
        <v>10</v>
      </c>
      <c r="B2355" s="1516">
        <v>1002.2</v>
      </c>
      <c r="C2355" s="1511" t="s">
        <v>256</v>
      </c>
      <c r="D2355" s="1511"/>
      <c r="E2355" s="1511"/>
      <c r="F2355" s="1511"/>
      <c r="G2355" s="1509" t="str">
        <f t="shared" si="154"/>
        <v>P</v>
      </c>
      <c r="H2355" s="1510" t="s">
        <v>3199</v>
      </c>
      <c r="I2355" s="588"/>
      <c r="J2355" s="608" t="s">
        <v>256</v>
      </c>
      <c r="K2355" s="1404"/>
      <c r="L2355" s="1613" t="s">
        <v>2792</v>
      </c>
      <c r="M2355" s="540"/>
      <c r="N2355" s="4"/>
      <c r="O2355" s="540"/>
      <c r="P2355" s="538" t="b">
        <v>0</v>
      </c>
      <c r="Q2355" s="538" t="b">
        <v>1</v>
      </c>
      <c r="R2355" s="538" t="b">
        <v>0</v>
      </c>
      <c r="S2355" s="538" t="b">
        <f>IF(AY2266=INDEX(ddSingleOrMulti,2),TRUE,FALSE)</f>
        <v>1</v>
      </c>
      <c r="T2355" s="96" t="b">
        <f>AND(NOT(S2355),W2355=TRUE)</f>
        <v>0</v>
      </c>
      <c r="U2355" s="538"/>
      <c r="V2355" s="538"/>
      <c r="W2355" s="27" t="b">
        <v>1</v>
      </c>
      <c r="X2355" s="1600"/>
      <c r="Y2355" s="1874" t="str">
        <f>IF(LEN('11.1000'!X108)=0,"None",'11.1000'!X108)</f>
        <v>None</v>
      </c>
      <c r="Z2355" s="1889"/>
      <c r="AB2355" s="538"/>
      <c r="AC2355" s="538" t="b">
        <f>OR(AD2355:AE2355)</f>
        <v>0</v>
      </c>
      <c r="AD2355" s="538" t="b">
        <f>T2355</f>
        <v>0</v>
      </c>
      <c r="AE2355" s="538"/>
      <c r="AF2355" s="538"/>
      <c r="AG2355" s="538"/>
      <c r="AH2355" s="538"/>
      <c r="AI2355" s="538"/>
      <c r="AJ2355" s="538"/>
      <c r="AK2355" s="538"/>
      <c r="AL2355" s="1352"/>
      <c r="AM2355" s="1352"/>
      <c r="AN2355" s="1352"/>
      <c r="AO2355" s="1352"/>
      <c r="AP2355" s="1352" t="str">
        <f>SUBSTITUTE(SUBSTITUTE(SUBSTITUTE("vch"&amp;$B2355&amp;$C2355&amp;$D2355&amp;$E2355,".","_"),"(","_"),")","")</f>
        <v>vch1002_2_3</v>
      </c>
      <c r="AQ2355" s="1352" t="b">
        <f>IF(LEN(W2355)=0,"",W2355)</f>
        <v>1</v>
      </c>
      <c r="AR2355" s="1352" t="str">
        <f>SUBSTITUTE(SUBSTITUTE(SUBSTITUTE("vnt"&amp;$B2355&amp;$C2355&amp;$D2355&amp;$E2355,".","_"),"(","_"),")","")</f>
        <v>vnt1002_2_3</v>
      </c>
      <c r="AS2355" s="1352" t="str">
        <f>IF(LEN(X2355)=0,"",X2355)</f>
        <v/>
      </c>
      <c r="AT2355" s="538"/>
      <c r="AU2355" s="538"/>
      <c r="AV2355" s="538"/>
      <c r="AW2355" s="538"/>
      <c r="AX2355" s="538"/>
      <c r="AY2355" s="538"/>
      <c r="AZ2355" s="538"/>
      <c r="BA2355" s="538"/>
      <c r="BB2355" s="538"/>
      <c r="BC2355" s="538"/>
      <c r="BD2355" s="538"/>
      <c r="BE2355" s="538"/>
      <c r="BF2355" s="538"/>
      <c r="BG2355" s="538"/>
      <c r="BH2355" s="538"/>
    </row>
    <row r="2356" spans="1:60" x14ac:dyDescent="0.2">
      <c r="A2356" s="1507">
        <v>10</v>
      </c>
      <c r="B2356" s="1516">
        <v>1002.2</v>
      </c>
      <c r="C2356" s="1511" t="s">
        <v>256</v>
      </c>
      <c r="D2356" s="1511"/>
      <c r="E2356" s="1511"/>
      <c r="F2356" s="1511"/>
      <c r="G2356" s="1509" t="str">
        <f t="shared" si="154"/>
        <v>P</v>
      </c>
      <c r="H2356" s="1510" t="s">
        <v>3199</v>
      </c>
      <c r="I2356" s="588"/>
      <c r="J2356" s="208"/>
      <c r="K2356" s="208"/>
      <c r="L2356" s="1612"/>
      <c r="M2356" s="540"/>
      <c r="N2356" s="4"/>
      <c r="O2356" s="540"/>
      <c r="P2356" s="538"/>
      <c r="Q2356" s="538"/>
      <c r="R2356" s="538"/>
      <c r="S2356" s="538"/>
      <c r="T2356" s="538"/>
      <c r="U2356" s="538"/>
      <c r="V2356" s="538"/>
      <c r="W2356" s="538"/>
      <c r="X2356" s="1600"/>
      <c r="Y2356" s="1874"/>
      <c r="Z2356" s="1889"/>
      <c r="AB2356" s="538"/>
      <c r="AC2356" s="538"/>
      <c r="AD2356" s="538"/>
      <c r="AE2356" s="538"/>
      <c r="AF2356" s="538"/>
      <c r="AG2356" s="538"/>
      <c r="AH2356" s="538"/>
      <c r="AI2356" s="538"/>
      <c r="AJ2356" s="538"/>
      <c r="AK2356" s="538"/>
      <c r="AL2356" s="1352"/>
      <c r="AM2356" s="1352"/>
      <c r="AN2356" s="1352"/>
      <c r="AO2356" s="1352"/>
      <c r="AP2356" s="1352"/>
      <c r="AQ2356" s="1352"/>
      <c r="AR2356" s="1352"/>
      <c r="AS2356" s="1352"/>
      <c r="AT2356" s="538"/>
      <c r="AU2356" s="538"/>
      <c r="AV2356" s="538"/>
      <c r="AW2356" s="538"/>
      <c r="AX2356" s="538"/>
      <c r="AY2356" s="538"/>
      <c r="AZ2356" s="538"/>
      <c r="BA2356" s="538"/>
      <c r="BB2356" s="538"/>
      <c r="BC2356" s="538"/>
      <c r="BD2356" s="538"/>
      <c r="BE2356" s="538"/>
      <c r="BF2356" s="538"/>
      <c r="BG2356" s="538"/>
      <c r="BH2356" s="538"/>
    </row>
    <row r="2357" spans="1:60" x14ac:dyDescent="0.2">
      <c r="A2357" s="1507">
        <v>10</v>
      </c>
      <c r="B2357" s="1516">
        <v>1002.2</v>
      </c>
      <c r="C2357" s="1511" t="s">
        <v>259</v>
      </c>
      <c r="D2357" s="1511"/>
      <c r="E2357" s="1511"/>
      <c r="F2357" s="1511"/>
      <c r="G2357" s="1509" t="str">
        <f t="shared" si="154"/>
        <v>P</v>
      </c>
      <c r="H2357" s="1510" t="s">
        <v>3199</v>
      </c>
      <c r="I2357" s="588"/>
      <c r="J2357" s="589" t="s">
        <v>259</v>
      </c>
      <c r="K2357" s="588"/>
      <c r="L2357" s="1611" t="s">
        <v>2821</v>
      </c>
      <c r="M2357" s="540"/>
      <c r="N2357" s="4"/>
      <c r="O2357" s="540"/>
      <c r="P2357" s="538" t="b">
        <v>0</v>
      </c>
      <c r="Q2357" s="538" t="b">
        <v>1</v>
      </c>
      <c r="R2357" s="538" t="b">
        <v>0</v>
      </c>
      <c r="S2357" s="538" t="b">
        <f>IF(AY2266=INDEX(ddSingleOrMulti,2),TRUE,FALSE)</f>
        <v>1</v>
      </c>
      <c r="T2357" s="96" t="b">
        <f>AND(NOT(S2357),W2357=TRUE)</f>
        <v>0</v>
      </c>
      <c r="U2357" s="538"/>
      <c r="V2357" s="538"/>
      <c r="W2357" s="27" t="b">
        <v>1</v>
      </c>
      <c r="X2357" s="1600"/>
      <c r="Y2357" s="1874" t="str">
        <f>IF(LEN('11.1000'!X110)=0,"None",'11.1000'!X110)</f>
        <v>None</v>
      </c>
      <c r="Z2357" s="1889"/>
      <c r="AB2357" s="538"/>
      <c r="AC2357" s="538" t="b">
        <f>OR(AD2357:AE2357)</f>
        <v>0</v>
      </c>
      <c r="AD2357" s="538" t="b">
        <f>T2357</f>
        <v>0</v>
      </c>
      <c r="AE2357" s="538"/>
      <c r="AF2357" s="538"/>
      <c r="AG2357" s="538"/>
      <c r="AH2357" s="538"/>
      <c r="AI2357" s="538"/>
      <c r="AJ2357" s="538"/>
      <c r="AK2357" s="538"/>
      <c r="AL2357" s="1352"/>
      <c r="AM2357" s="1352"/>
      <c r="AN2357" s="1352"/>
      <c r="AO2357" s="1352"/>
      <c r="AP2357" s="1352" t="str">
        <f>SUBSTITUTE(SUBSTITUTE(SUBSTITUTE("vch"&amp;$B2357&amp;$C2357&amp;$D2357&amp;$E2357,".","_"),"(","_"),")","")</f>
        <v>vch1002_2_4</v>
      </c>
      <c r="AQ2357" s="1352" t="b">
        <f>IF(LEN(W2357)=0,"",W2357)</f>
        <v>1</v>
      </c>
      <c r="AR2357" s="1352" t="str">
        <f>SUBSTITUTE(SUBSTITUTE(SUBSTITUTE("vnt"&amp;$B2357&amp;$C2357&amp;$D2357&amp;$E2357,".","_"),"(","_"),")","")</f>
        <v>vnt1002_2_4</v>
      </c>
      <c r="AS2357" s="1352" t="str">
        <f>IF(LEN(X2357)=0,"",X2357)</f>
        <v/>
      </c>
      <c r="AT2357" s="538"/>
      <c r="AU2357" s="538"/>
      <c r="AV2357" s="538"/>
      <c r="AW2357" s="538"/>
      <c r="AX2357" s="538"/>
      <c r="AY2357" s="538"/>
      <c r="AZ2357" s="538"/>
      <c r="BA2357" s="538"/>
      <c r="BB2357" s="538"/>
      <c r="BC2357" s="538"/>
      <c r="BD2357" s="538"/>
      <c r="BE2357" s="538"/>
      <c r="BF2357" s="538"/>
      <c r="BG2357" s="538"/>
      <c r="BH2357" s="538"/>
    </row>
    <row r="2358" spans="1:60" x14ac:dyDescent="0.2">
      <c r="A2358" s="1507">
        <v>10</v>
      </c>
      <c r="B2358" s="1516">
        <v>1002.2</v>
      </c>
      <c r="C2358" s="1511" t="s">
        <v>259</v>
      </c>
      <c r="D2358" s="1511"/>
      <c r="E2358" s="1511"/>
      <c r="F2358" s="1511"/>
      <c r="G2358" s="1509" t="str">
        <f t="shared" si="154"/>
        <v>P</v>
      </c>
      <c r="H2358" s="1510" t="s">
        <v>3199</v>
      </c>
      <c r="I2358" s="588"/>
      <c r="J2358" s="588"/>
      <c r="K2358" s="588"/>
      <c r="L2358" s="1611"/>
      <c r="M2358" s="540"/>
      <c r="N2358" s="4"/>
      <c r="O2358" s="540"/>
      <c r="P2358" s="538"/>
      <c r="Q2358" s="538"/>
      <c r="R2358" s="538"/>
      <c r="S2358" s="538"/>
      <c r="T2358" s="538"/>
      <c r="U2358" s="538"/>
      <c r="V2358" s="538"/>
      <c r="W2358" s="538"/>
      <c r="X2358" s="1600"/>
      <c r="Y2358" s="1874"/>
      <c r="Z2358" s="1889"/>
      <c r="AB2358" s="538"/>
      <c r="AC2358" s="538"/>
      <c r="AD2358" s="538"/>
      <c r="AE2358" s="538"/>
      <c r="AF2358" s="538"/>
      <c r="AG2358" s="538"/>
      <c r="AH2358" s="538"/>
      <c r="AI2358" s="538"/>
      <c r="AJ2358" s="538"/>
      <c r="AK2358" s="538"/>
      <c r="AL2358" s="1352"/>
      <c r="AM2358" s="1352"/>
      <c r="AN2358" s="1352"/>
      <c r="AO2358" s="1352"/>
      <c r="AP2358" s="1352"/>
      <c r="AQ2358" s="1352"/>
      <c r="AR2358" s="1352"/>
      <c r="AS2358" s="1352"/>
      <c r="AT2358" s="538"/>
      <c r="AU2358" s="538"/>
      <c r="AV2358" s="538"/>
      <c r="AW2358" s="538"/>
      <c r="AX2358" s="538"/>
      <c r="AY2358" s="538"/>
      <c r="AZ2358" s="538"/>
      <c r="BA2358" s="538"/>
      <c r="BB2358" s="538"/>
      <c r="BC2358" s="538"/>
      <c r="BD2358" s="538"/>
      <c r="BE2358" s="538"/>
      <c r="BF2358" s="538"/>
      <c r="BG2358" s="538"/>
      <c r="BH2358" s="538"/>
    </row>
    <row r="2359" spans="1:60" x14ac:dyDescent="0.2">
      <c r="A2359" s="1507">
        <v>10</v>
      </c>
      <c r="B2359" s="1516">
        <v>1002.2</v>
      </c>
      <c r="C2359" s="1511" t="s">
        <v>259</v>
      </c>
      <c r="D2359" s="1511"/>
      <c r="E2359" s="1511"/>
      <c r="F2359" s="1511"/>
      <c r="G2359" s="1509" t="str">
        <f t="shared" si="154"/>
        <v>P</v>
      </c>
      <c r="H2359" s="1510" t="s">
        <v>3199</v>
      </c>
      <c r="I2359" s="588"/>
      <c r="J2359" s="588"/>
      <c r="K2359" s="588"/>
      <c r="L2359" s="1611"/>
      <c r="M2359" s="540"/>
      <c r="N2359" s="4"/>
      <c r="O2359" s="540"/>
      <c r="P2359" s="538"/>
      <c r="Q2359" s="538"/>
      <c r="R2359" s="538"/>
      <c r="S2359" s="538"/>
      <c r="T2359" s="538"/>
      <c r="U2359" s="538"/>
      <c r="V2359" s="538"/>
      <c r="W2359" s="538"/>
      <c r="X2359" s="1600"/>
      <c r="Y2359" s="1874"/>
      <c r="Z2359" s="1889"/>
      <c r="AB2359" s="538"/>
      <c r="AC2359" s="538"/>
      <c r="AD2359" s="538"/>
      <c r="AE2359" s="538"/>
      <c r="AF2359" s="538"/>
      <c r="AG2359" s="538"/>
      <c r="AH2359" s="538"/>
      <c r="AI2359" s="538"/>
      <c r="AJ2359" s="538"/>
      <c r="AK2359" s="538"/>
      <c r="AL2359" s="1352"/>
      <c r="AM2359" s="1352"/>
      <c r="AN2359" s="1352"/>
      <c r="AO2359" s="1352"/>
      <c r="AP2359" s="1352"/>
      <c r="AQ2359" s="1352"/>
      <c r="AR2359" s="1352"/>
      <c r="AS2359" s="1352"/>
      <c r="AT2359" s="538"/>
      <c r="AU2359" s="538"/>
      <c r="AV2359" s="538"/>
      <c r="AW2359" s="538"/>
      <c r="AX2359" s="538"/>
      <c r="AY2359" s="538"/>
      <c r="AZ2359" s="538"/>
      <c r="BA2359" s="538"/>
      <c r="BB2359" s="538"/>
      <c r="BC2359" s="538"/>
      <c r="BD2359" s="538"/>
      <c r="BE2359" s="538"/>
      <c r="BF2359" s="538"/>
      <c r="BG2359" s="538"/>
      <c r="BH2359" s="538"/>
    </row>
    <row r="2360" spans="1:60" x14ac:dyDescent="0.2">
      <c r="A2360" s="1507">
        <v>10</v>
      </c>
      <c r="B2360" s="1516">
        <v>1002.2</v>
      </c>
      <c r="C2360" s="1511" t="s">
        <v>263</v>
      </c>
      <c r="D2360" s="1511"/>
      <c r="E2360" s="1511"/>
      <c r="F2360" s="1511"/>
      <c r="G2360" s="1509" t="str">
        <f t="shared" si="154"/>
        <v>P</v>
      </c>
      <c r="H2360" s="1510" t="s">
        <v>3199</v>
      </c>
      <c r="I2360" s="588"/>
      <c r="J2360" s="608" t="s">
        <v>263</v>
      </c>
      <c r="K2360" s="1404"/>
      <c r="L2360" s="1613" t="s">
        <v>2822</v>
      </c>
      <c r="M2360" s="540"/>
      <c r="N2360" s="4"/>
      <c r="O2360" s="540"/>
      <c r="P2360" s="538" t="b">
        <v>0</v>
      </c>
      <c r="Q2360" s="538" t="b">
        <v>1</v>
      </c>
      <c r="R2360" s="538" t="b">
        <v>0</v>
      </c>
      <c r="S2360" s="538" t="b">
        <f>IF(AY2266=INDEX(ddSingleOrMulti,2),TRUE,FALSE)</f>
        <v>1</v>
      </c>
      <c r="T2360" s="96" t="b">
        <f>AND(NOT(S2360),W2360=TRUE)</f>
        <v>0</v>
      </c>
      <c r="U2360" s="538"/>
      <c r="V2360" s="538"/>
      <c r="W2360" s="27" t="b">
        <v>1</v>
      </c>
      <c r="X2360" s="1600"/>
      <c r="Y2360" s="1874" t="str">
        <f>IF(LEN('11.1000'!X113)=0,"None",'11.1000'!X113)</f>
        <v>None</v>
      </c>
      <c r="Z2360" s="1889"/>
      <c r="AB2360" s="538"/>
      <c r="AC2360" s="538" t="b">
        <f>OR(AD2360:AE2360)</f>
        <v>0</v>
      </c>
      <c r="AD2360" s="538" t="b">
        <f>T2360</f>
        <v>0</v>
      </c>
      <c r="AE2360" s="538"/>
      <c r="AF2360" s="538"/>
      <c r="AG2360" s="538"/>
      <c r="AH2360" s="538"/>
      <c r="AI2360" s="538"/>
      <c r="AJ2360" s="538"/>
      <c r="AK2360" s="538"/>
      <c r="AL2360" s="1352"/>
      <c r="AM2360" s="1352"/>
      <c r="AN2360" s="1352"/>
      <c r="AO2360" s="1352"/>
      <c r="AP2360" s="1352" t="str">
        <f>SUBSTITUTE(SUBSTITUTE(SUBSTITUTE("vch"&amp;$B2360&amp;$C2360&amp;$D2360&amp;$E2360,".","_"),"(","_"),")","")</f>
        <v>vch1002_2_5</v>
      </c>
      <c r="AQ2360" s="1352" t="b">
        <f>IF(LEN(W2360)=0,"",W2360)</f>
        <v>1</v>
      </c>
      <c r="AR2360" s="1352" t="str">
        <f>SUBSTITUTE(SUBSTITUTE(SUBSTITUTE("vnt"&amp;$B2360&amp;$C2360&amp;$D2360&amp;$E2360,".","_"),"(","_"),")","")</f>
        <v>vnt1002_2_5</v>
      </c>
      <c r="AS2360" s="1352" t="str">
        <f>IF(LEN(X2360)=0,"",X2360)</f>
        <v/>
      </c>
      <c r="AT2360" s="538"/>
      <c r="AU2360" s="538"/>
      <c r="AV2360" s="538"/>
      <c r="AW2360" s="538"/>
      <c r="AX2360" s="538"/>
      <c r="AY2360" s="538"/>
      <c r="AZ2360" s="538"/>
      <c r="BA2360" s="538"/>
      <c r="BB2360" s="538"/>
      <c r="BC2360" s="538"/>
      <c r="BD2360" s="538"/>
      <c r="BE2360" s="538"/>
      <c r="BF2360" s="538"/>
      <c r="BG2360" s="538"/>
      <c r="BH2360" s="538"/>
    </row>
    <row r="2361" spans="1:60" x14ac:dyDescent="0.2">
      <c r="A2361" s="1507">
        <v>10</v>
      </c>
      <c r="B2361" s="1516">
        <v>1002.2</v>
      </c>
      <c r="C2361" s="1511" t="s">
        <v>263</v>
      </c>
      <c r="D2361" s="1511"/>
      <c r="E2361" s="1511"/>
      <c r="F2361" s="1511"/>
      <c r="G2361" s="1509" t="str">
        <f t="shared" si="154"/>
        <v>P</v>
      </c>
      <c r="H2361" s="1510" t="s">
        <v>3199</v>
      </c>
      <c r="I2361" s="588"/>
      <c r="J2361" s="606"/>
      <c r="K2361" s="208"/>
      <c r="L2361" s="1612"/>
      <c r="M2361" s="540"/>
      <c r="N2361" s="4"/>
      <c r="O2361" s="540"/>
      <c r="P2361" s="538"/>
      <c r="Q2361" s="538"/>
      <c r="R2361" s="538"/>
      <c r="S2361" s="538"/>
      <c r="T2361" s="538"/>
      <c r="U2361" s="538"/>
      <c r="V2361" s="538"/>
      <c r="W2361" s="538"/>
      <c r="X2361" s="1600"/>
      <c r="Y2361" s="1874"/>
      <c r="Z2361" s="1889"/>
      <c r="AB2361" s="538"/>
      <c r="AC2361" s="538"/>
      <c r="AD2361" s="538"/>
      <c r="AE2361" s="538"/>
      <c r="AF2361" s="538"/>
      <c r="AG2361" s="538"/>
      <c r="AH2361" s="538"/>
      <c r="AI2361" s="538"/>
      <c r="AJ2361" s="538"/>
      <c r="AK2361" s="538"/>
      <c r="AL2361" s="1352"/>
      <c r="AM2361" s="1352"/>
      <c r="AN2361" s="1352"/>
      <c r="AO2361" s="1352"/>
      <c r="AP2361" s="1352"/>
      <c r="AQ2361" s="1352"/>
      <c r="AR2361" s="1352"/>
      <c r="AS2361" s="1352"/>
      <c r="AT2361" s="538"/>
      <c r="AU2361" s="538"/>
      <c r="AV2361" s="538"/>
      <c r="AW2361" s="538"/>
      <c r="AX2361" s="538"/>
      <c r="AY2361" s="538"/>
      <c r="AZ2361" s="538"/>
      <c r="BA2361" s="538"/>
      <c r="BB2361" s="538"/>
      <c r="BC2361" s="538"/>
      <c r="BD2361" s="538"/>
      <c r="BE2361" s="538"/>
      <c r="BF2361" s="538"/>
      <c r="BG2361" s="538"/>
      <c r="BH2361" s="538"/>
    </row>
    <row r="2362" spans="1:60" ht="16" x14ac:dyDescent="0.2">
      <c r="A2362" s="1507">
        <v>10</v>
      </c>
      <c r="B2362" s="1516">
        <v>1002.2</v>
      </c>
      <c r="C2362" s="1511" t="s">
        <v>264</v>
      </c>
      <c r="D2362" s="1511"/>
      <c r="E2362" s="1511"/>
      <c r="F2362" s="1511"/>
      <c r="G2362" s="1509" t="str">
        <f t="shared" si="154"/>
        <v>P</v>
      </c>
      <c r="H2362" s="1510" t="s">
        <v>3199</v>
      </c>
      <c r="I2362" s="588"/>
      <c r="J2362" s="589" t="s">
        <v>264</v>
      </c>
      <c r="K2362" s="588"/>
      <c r="L2362" s="682" t="s">
        <v>2775</v>
      </c>
      <c r="M2362" s="540"/>
      <c r="N2362" s="4"/>
      <c r="O2362" s="540"/>
      <c r="P2362" s="538" t="b">
        <v>0</v>
      </c>
      <c r="Q2362" s="538" t="b">
        <v>1</v>
      </c>
      <c r="R2362" s="538" t="b">
        <v>0</v>
      </c>
      <c r="S2362" s="538" t="b">
        <f>IF(AY2266=INDEX(ddSingleOrMulti,2),TRUE,FALSE)</f>
        <v>1</v>
      </c>
      <c r="T2362" s="96" t="b">
        <f>AND(NOT(S2362),W2362=TRUE)</f>
        <v>0</v>
      </c>
      <c r="U2362" s="538"/>
      <c r="V2362" s="538"/>
      <c r="W2362" s="27" t="b">
        <v>1</v>
      </c>
      <c r="X2362" s="541"/>
      <c r="Y2362" s="572" t="str">
        <f>IF(LEN('11.1000'!X115)=0,"None",'11.1000'!X115)</f>
        <v>None</v>
      </c>
      <c r="Z2362" s="715"/>
      <c r="AB2362" s="538"/>
      <c r="AC2362" s="538" t="b">
        <f>OR(AD2362:AE2362)</f>
        <v>0</v>
      </c>
      <c r="AD2362" s="538" t="b">
        <f>T2362</f>
        <v>0</v>
      </c>
      <c r="AE2362" s="538"/>
      <c r="AF2362" s="538"/>
      <c r="AG2362" s="538"/>
      <c r="AH2362" s="538"/>
      <c r="AI2362" s="538"/>
      <c r="AJ2362" s="538"/>
      <c r="AK2362" s="538"/>
      <c r="AL2362" s="1352"/>
      <c r="AM2362" s="1352"/>
      <c r="AN2362" s="1352"/>
      <c r="AO2362" s="1352"/>
      <c r="AP2362" s="1352" t="str">
        <f>SUBSTITUTE(SUBSTITUTE(SUBSTITUTE("vch"&amp;$B2362&amp;$C2362&amp;$D2362&amp;$E2362,".","_"),"(","_"),")","")</f>
        <v>vch1002_2_6</v>
      </c>
      <c r="AQ2362" s="1352" t="b">
        <f>IF(LEN(W2362)=0,"",W2362)</f>
        <v>1</v>
      </c>
      <c r="AR2362" s="1352" t="str">
        <f>SUBSTITUTE(SUBSTITUTE(SUBSTITUTE("vnt"&amp;$B2362&amp;$C2362&amp;$D2362&amp;$E2362,".","_"),"(","_"),")","")</f>
        <v>vnt1002_2_6</v>
      </c>
      <c r="AS2362" s="1352" t="str">
        <f>IF(LEN(X2362)=0,"",X2362)</f>
        <v/>
      </c>
      <c r="AT2362" s="538"/>
      <c r="AU2362" s="538"/>
      <c r="AV2362" s="538"/>
      <c r="AW2362" s="538"/>
      <c r="AX2362" s="538"/>
      <c r="AY2362" s="538"/>
      <c r="AZ2362" s="538"/>
      <c r="BA2362" s="538"/>
      <c r="BB2362" s="538"/>
      <c r="BC2362" s="538"/>
      <c r="BD2362" s="538"/>
      <c r="BE2362" s="538"/>
      <c r="BF2362" s="538"/>
      <c r="BG2362" s="538"/>
      <c r="BH2362" s="538"/>
    </row>
    <row r="2363" spans="1:60" x14ac:dyDescent="0.2">
      <c r="A2363" s="1507">
        <v>10</v>
      </c>
      <c r="B2363" s="1516">
        <v>1002.2</v>
      </c>
      <c r="C2363" s="1511" t="s">
        <v>356</v>
      </c>
      <c r="D2363" s="1511"/>
      <c r="E2363" s="1511"/>
      <c r="F2363" s="1511"/>
      <c r="G2363" s="1509" t="str">
        <f t="shared" si="154"/>
        <v>P</v>
      </c>
      <c r="H2363" s="1510" t="s">
        <v>3199</v>
      </c>
      <c r="I2363" s="588"/>
      <c r="J2363" s="608" t="s">
        <v>356</v>
      </c>
      <c r="K2363" s="1404"/>
      <c r="L2363" s="1613" t="s">
        <v>2823</v>
      </c>
      <c r="M2363" s="540"/>
      <c r="N2363" s="4"/>
      <c r="O2363" s="540"/>
      <c r="P2363" s="538" t="b">
        <v>0</v>
      </c>
      <c r="Q2363" s="538" t="b">
        <v>1</v>
      </c>
      <c r="R2363" s="538" t="b">
        <v>0</v>
      </c>
      <c r="S2363" s="538" t="b">
        <f>IF(AY2266=INDEX(ddSingleOrMulti,2),TRUE,FALSE)</f>
        <v>1</v>
      </c>
      <c r="T2363" s="96" t="b">
        <f>AND(NOT(S2363),W2363=TRUE)</f>
        <v>0</v>
      </c>
      <c r="U2363" s="538"/>
      <c r="V2363" s="538"/>
      <c r="W2363" s="27" t="b">
        <v>1</v>
      </c>
      <c r="X2363" s="1600"/>
      <c r="Y2363" s="1874" t="str">
        <f>IF(LEN('11.1000'!X116)=0,"None",'11.1000'!X116)</f>
        <v>None</v>
      </c>
      <c r="Z2363" s="1889"/>
      <c r="AB2363" s="538"/>
      <c r="AC2363" s="538" t="b">
        <f>OR(AD2363:AE2363)</f>
        <v>0</v>
      </c>
      <c r="AD2363" s="538" t="b">
        <f>T2363</f>
        <v>0</v>
      </c>
      <c r="AE2363" s="538"/>
      <c r="AF2363" s="538"/>
      <c r="AG2363" s="538"/>
      <c r="AH2363" s="538"/>
      <c r="AI2363" s="538"/>
      <c r="AJ2363" s="538"/>
      <c r="AK2363" s="538"/>
      <c r="AL2363" s="1352"/>
      <c r="AM2363" s="1352"/>
      <c r="AN2363" s="1352"/>
      <c r="AO2363" s="1352"/>
      <c r="AP2363" s="1352" t="str">
        <f>SUBSTITUTE(SUBSTITUTE(SUBSTITUTE("vch"&amp;$B2363&amp;$C2363&amp;$D2363&amp;$E2363,".","_"),"(","_"),")","")</f>
        <v>vch1002_2_7</v>
      </c>
      <c r="AQ2363" s="1352" t="b">
        <f>IF(LEN(W2363)=0,"",W2363)</f>
        <v>1</v>
      </c>
      <c r="AR2363" s="1352" t="str">
        <f>SUBSTITUTE(SUBSTITUTE(SUBSTITUTE("vnt"&amp;$B2363&amp;$C2363&amp;$D2363&amp;$E2363,".","_"),"(","_"),")","")</f>
        <v>vnt1002_2_7</v>
      </c>
      <c r="AS2363" s="1352" t="str">
        <f>IF(LEN(X2363)=0,"",X2363)</f>
        <v/>
      </c>
      <c r="AT2363" s="538"/>
      <c r="AU2363" s="538"/>
      <c r="AV2363" s="538"/>
      <c r="AW2363" s="538"/>
      <c r="AX2363" s="538"/>
      <c r="AY2363" s="538"/>
      <c r="AZ2363" s="538"/>
      <c r="BA2363" s="538"/>
      <c r="BB2363" s="538"/>
      <c r="BC2363" s="538"/>
      <c r="BD2363" s="538"/>
      <c r="BE2363" s="538"/>
      <c r="BF2363" s="538"/>
      <c r="BG2363" s="538"/>
      <c r="BH2363" s="538"/>
    </row>
    <row r="2364" spans="1:60" x14ac:dyDescent="0.2">
      <c r="A2364" s="1507">
        <v>10</v>
      </c>
      <c r="B2364" s="1516">
        <v>1002.2</v>
      </c>
      <c r="C2364" s="1511" t="s">
        <v>356</v>
      </c>
      <c r="D2364" s="1511"/>
      <c r="E2364" s="1511"/>
      <c r="F2364" s="1511"/>
      <c r="G2364" s="1509" t="str">
        <f t="shared" si="154"/>
        <v>P</v>
      </c>
      <c r="H2364" s="1510" t="s">
        <v>3199</v>
      </c>
      <c r="I2364" s="588"/>
      <c r="J2364" s="208"/>
      <c r="K2364" s="208"/>
      <c r="L2364" s="1612"/>
      <c r="M2364" s="540"/>
      <c r="N2364" s="4"/>
      <c r="O2364" s="540"/>
      <c r="P2364" s="538"/>
      <c r="Q2364" s="538"/>
      <c r="R2364" s="538"/>
      <c r="S2364" s="538"/>
      <c r="T2364" s="538"/>
      <c r="U2364" s="538"/>
      <c r="V2364" s="538"/>
      <c r="W2364" s="538"/>
      <c r="X2364" s="1600"/>
      <c r="Y2364" s="1874"/>
      <c r="Z2364" s="1889"/>
      <c r="AB2364" s="538"/>
      <c r="AC2364" s="538"/>
      <c r="AD2364" s="538"/>
      <c r="AE2364" s="538"/>
      <c r="AF2364" s="538"/>
      <c r="AG2364" s="538"/>
      <c r="AH2364" s="538"/>
      <c r="AI2364" s="538"/>
      <c r="AJ2364" s="538"/>
      <c r="AK2364" s="538"/>
      <c r="AL2364" s="1352"/>
      <c r="AM2364" s="1352"/>
      <c r="AN2364" s="1352"/>
      <c r="AO2364" s="1352"/>
      <c r="AP2364" s="1352"/>
      <c r="AQ2364" s="1352"/>
      <c r="AR2364" s="1352"/>
      <c r="AS2364" s="1352"/>
      <c r="AT2364" s="538"/>
      <c r="AU2364" s="538"/>
      <c r="AV2364" s="538"/>
      <c r="AW2364" s="538"/>
      <c r="AX2364" s="538"/>
      <c r="AY2364" s="538"/>
      <c r="AZ2364" s="538"/>
      <c r="BA2364" s="538"/>
      <c r="BB2364" s="538"/>
      <c r="BC2364" s="538"/>
      <c r="BD2364" s="538"/>
      <c r="BE2364" s="538"/>
      <c r="BF2364" s="538"/>
      <c r="BG2364" s="538"/>
      <c r="BH2364" s="538"/>
    </row>
    <row r="2365" spans="1:60" x14ac:dyDescent="0.2">
      <c r="A2365" s="1507">
        <v>10</v>
      </c>
      <c r="B2365" s="1516">
        <v>1002.2</v>
      </c>
      <c r="C2365" s="1511" t="s">
        <v>389</v>
      </c>
      <c r="D2365" s="1511"/>
      <c r="E2365" s="1511"/>
      <c r="F2365" s="1511"/>
      <c r="G2365" s="1509" t="str">
        <f t="shared" si="154"/>
        <v>P</v>
      </c>
      <c r="H2365" s="1510" t="s">
        <v>3199</v>
      </c>
      <c r="I2365" s="588"/>
      <c r="J2365" s="589" t="s">
        <v>389</v>
      </c>
      <c r="K2365" s="588"/>
      <c r="L2365" s="1717" t="s">
        <v>2790</v>
      </c>
      <c r="M2365" s="540"/>
      <c r="N2365" s="4"/>
      <c r="O2365" s="540"/>
      <c r="P2365" s="538" t="b">
        <v>0</v>
      </c>
      <c r="Q2365" s="538" t="b">
        <v>1</v>
      </c>
      <c r="R2365" s="538" t="b">
        <v>0</v>
      </c>
      <c r="S2365" s="538" t="b">
        <f>IF(AY2266=INDEX(ddSingleOrMulti,2),TRUE,FALSE)</f>
        <v>1</v>
      </c>
      <c r="T2365" s="96" t="b">
        <f>AND(NOT(S2365),W2365=TRUE)</f>
        <v>0</v>
      </c>
      <c r="U2365" s="538"/>
      <c r="V2365" s="538"/>
      <c r="W2365" s="27" t="b">
        <v>1</v>
      </c>
      <c r="X2365" s="1600"/>
      <c r="Y2365" s="1874" t="str">
        <f>IF(LEN('11.1000'!X118)=0,"None",'11.1000'!X118)</f>
        <v>None</v>
      </c>
      <c r="Z2365" s="1889"/>
      <c r="AB2365" s="538"/>
      <c r="AC2365" s="538" t="b">
        <f>OR(AD2365:AE2365)</f>
        <v>0</v>
      </c>
      <c r="AD2365" s="538" t="b">
        <f>T2365</f>
        <v>0</v>
      </c>
      <c r="AE2365" s="538"/>
      <c r="AF2365" s="538"/>
      <c r="AG2365" s="538"/>
      <c r="AH2365" s="538"/>
      <c r="AI2365" s="538"/>
      <c r="AJ2365" s="538"/>
      <c r="AK2365" s="538"/>
      <c r="AL2365" s="1352"/>
      <c r="AM2365" s="1352"/>
      <c r="AN2365" s="1352"/>
      <c r="AO2365" s="1352"/>
      <c r="AP2365" s="1352" t="str">
        <f>SUBSTITUTE(SUBSTITUTE(SUBSTITUTE("vch"&amp;$B2365&amp;$C2365&amp;$D2365&amp;$E2365,".","_"),"(","_"),")","")</f>
        <v>vch1002_2_8</v>
      </c>
      <c r="AQ2365" s="1352" t="b">
        <f>IF(LEN(W2365)=0,"",W2365)</f>
        <v>1</v>
      </c>
      <c r="AR2365" s="1352" t="str">
        <f>SUBSTITUTE(SUBSTITUTE(SUBSTITUTE("vnt"&amp;$B2365&amp;$C2365&amp;$D2365&amp;$E2365,".","_"),"(","_"),")","")</f>
        <v>vnt1002_2_8</v>
      </c>
      <c r="AS2365" s="1352" t="str">
        <f>IF(LEN(X2365)=0,"",X2365)</f>
        <v/>
      </c>
      <c r="AT2365" s="538"/>
      <c r="AU2365" s="538"/>
      <c r="AV2365" s="538"/>
      <c r="AW2365" s="538"/>
      <c r="AX2365" s="538"/>
      <c r="AY2365" s="538"/>
      <c r="AZ2365" s="538"/>
      <c r="BA2365" s="538"/>
      <c r="BB2365" s="538"/>
      <c r="BC2365" s="538"/>
      <c r="BD2365" s="538"/>
      <c r="BE2365" s="538"/>
      <c r="BF2365" s="538"/>
      <c r="BG2365" s="538"/>
      <c r="BH2365" s="538"/>
    </row>
    <row r="2366" spans="1:60" x14ac:dyDescent="0.2">
      <c r="A2366" s="1507">
        <v>10</v>
      </c>
      <c r="B2366" s="1516">
        <v>1002.2</v>
      </c>
      <c r="C2366" s="1511" t="s">
        <v>389</v>
      </c>
      <c r="D2366" s="1511"/>
      <c r="E2366" s="1511"/>
      <c r="F2366" s="1511"/>
      <c r="G2366" s="1509" t="str">
        <f t="shared" si="154"/>
        <v>P</v>
      </c>
      <c r="H2366" s="1510" t="s">
        <v>3199</v>
      </c>
      <c r="I2366" s="588"/>
      <c r="J2366" s="589"/>
      <c r="K2366" s="588"/>
      <c r="L2366" s="1717"/>
      <c r="M2366" s="540"/>
      <c r="N2366" s="4"/>
      <c r="O2366" s="540"/>
      <c r="P2366" s="538"/>
      <c r="Q2366" s="538"/>
      <c r="R2366" s="538"/>
      <c r="S2366" s="538"/>
      <c r="T2366" s="538"/>
      <c r="U2366" s="538"/>
      <c r="V2366" s="538"/>
      <c r="W2366" s="538"/>
      <c r="X2366" s="1600"/>
      <c r="Y2366" s="1874"/>
      <c r="Z2366" s="1889"/>
      <c r="AB2366" s="538"/>
      <c r="AC2366" s="538"/>
      <c r="AD2366" s="538"/>
      <c r="AE2366" s="538"/>
      <c r="AF2366" s="538"/>
      <c r="AG2366" s="538"/>
      <c r="AH2366" s="538"/>
      <c r="AI2366" s="538"/>
      <c r="AJ2366" s="538"/>
      <c r="AK2366" s="538"/>
      <c r="AL2366" s="1352"/>
      <c r="AM2366" s="1352"/>
      <c r="AN2366" s="1352"/>
      <c r="AO2366" s="1352"/>
      <c r="AP2366" s="1352"/>
      <c r="AQ2366" s="1352"/>
      <c r="AR2366" s="1352"/>
      <c r="AS2366" s="1352"/>
      <c r="AT2366" s="538"/>
      <c r="AU2366" s="538"/>
      <c r="AV2366" s="538"/>
      <c r="AW2366" s="538"/>
      <c r="AX2366" s="538"/>
      <c r="AY2366" s="538"/>
      <c r="AZ2366" s="538"/>
      <c r="BA2366" s="538"/>
      <c r="BB2366" s="538"/>
      <c r="BC2366" s="538"/>
      <c r="BD2366" s="538"/>
      <c r="BE2366" s="538"/>
      <c r="BF2366" s="538"/>
      <c r="BG2366" s="538"/>
      <c r="BH2366" s="538"/>
    </row>
    <row r="2367" spans="1:60" ht="16" x14ac:dyDescent="0.2">
      <c r="A2367" s="1507">
        <v>10</v>
      </c>
      <c r="B2367" s="1516">
        <v>1002.2</v>
      </c>
      <c r="C2367" s="1511" t="s">
        <v>391</v>
      </c>
      <c r="D2367" s="1511"/>
      <c r="E2367" s="1511"/>
      <c r="F2367" s="1511"/>
      <c r="G2367" s="1509" t="str">
        <f t="shared" si="154"/>
        <v>P</v>
      </c>
      <c r="H2367" s="1510" t="s">
        <v>3199</v>
      </c>
      <c r="I2367" s="588"/>
      <c r="J2367" s="608" t="s">
        <v>391</v>
      </c>
      <c r="K2367" s="1404"/>
      <c r="L2367" s="681" t="s">
        <v>2824</v>
      </c>
      <c r="M2367" s="540"/>
      <c r="N2367" s="4"/>
      <c r="O2367" s="540"/>
      <c r="P2367" s="538" t="b">
        <v>0</v>
      </c>
      <c r="Q2367" s="538" t="b">
        <v>1</v>
      </c>
      <c r="R2367" s="538" t="b">
        <v>0</v>
      </c>
      <c r="S2367" s="538" t="b">
        <f>IF(AY2266=INDEX(ddSingleOrMulti,2),TRUE,FALSE)</f>
        <v>1</v>
      </c>
      <c r="T2367" s="96" t="b">
        <f>AND(NOT(S2367),W2367=TRUE)</f>
        <v>0</v>
      </c>
      <c r="U2367" s="538"/>
      <c r="V2367" s="538"/>
      <c r="W2367" s="27" t="b">
        <v>1</v>
      </c>
      <c r="X2367" s="541"/>
      <c r="Y2367" s="572" t="str">
        <f>IF(LEN('11.1000'!X120)=0,"None",'11.1000'!X120)</f>
        <v>None</v>
      </c>
      <c r="Z2367" s="715"/>
      <c r="AB2367" s="538"/>
      <c r="AC2367" s="538" t="b">
        <f>OR(AD2367:AE2367)</f>
        <v>0</v>
      </c>
      <c r="AD2367" s="538" t="b">
        <f>T2367</f>
        <v>0</v>
      </c>
      <c r="AE2367" s="538"/>
      <c r="AF2367" s="538"/>
      <c r="AG2367" s="538"/>
      <c r="AH2367" s="538"/>
      <c r="AI2367" s="538"/>
      <c r="AJ2367" s="538"/>
      <c r="AK2367" s="538"/>
      <c r="AL2367" s="1352"/>
      <c r="AM2367" s="1352"/>
      <c r="AN2367" s="1352"/>
      <c r="AO2367" s="1352"/>
      <c r="AP2367" s="1352" t="str">
        <f>SUBSTITUTE(SUBSTITUTE(SUBSTITUTE("vch"&amp;$B2367&amp;$C2367&amp;$D2367&amp;$E2367,".","_"),"(","_"),")","")</f>
        <v>vch1002_2_9</v>
      </c>
      <c r="AQ2367" s="1352" t="b">
        <f>IF(LEN(W2367)=0,"",W2367)</f>
        <v>1</v>
      </c>
      <c r="AR2367" s="1352" t="str">
        <f>SUBSTITUTE(SUBSTITUTE(SUBSTITUTE("vnt"&amp;$B2367&amp;$C2367&amp;$D2367&amp;$E2367,".","_"),"(","_"),")","")</f>
        <v>vnt1002_2_9</v>
      </c>
      <c r="AS2367" s="1352" t="str">
        <f>IF(LEN(X2367)=0,"",X2367)</f>
        <v/>
      </c>
      <c r="AT2367" s="538"/>
      <c r="AU2367" s="538"/>
      <c r="AV2367" s="538"/>
      <c r="AW2367" s="538"/>
      <c r="AX2367" s="538"/>
      <c r="AY2367" s="538"/>
      <c r="AZ2367" s="538"/>
      <c r="BA2367" s="538"/>
      <c r="BB2367" s="538"/>
      <c r="BC2367" s="538"/>
      <c r="BD2367" s="538"/>
      <c r="BE2367" s="538"/>
      <c r="BF2367" s="538"/>
      <c r="BG2367" s="538"/>
      <c r="BH2367" s="538"/>
    </row>
    <row r="2368" spans="1:60" x14ac:dyDescent="0.2">
      <c r="A2368" s="1507">
        <v>10</v>
      </c>
      <c r="B2368" s="1516">
        <v>1002.2</v>
      </c>
      <c r="C2368" s="1511" t="s">
        <v>392</v>
      </c>
      <c r="D2368" s="1511"/>
      <c r="E2368" s="1511"/>
      <c r="F2368" s="1511"/>
      <c r="G2368" s="1509" t="str">
        <f t="shared" si="154"/>
        <v>P</v>
      </c>
      <c r="H2368" s="1510" t="s">
        <v>3199</v>
      </c>
      <c r="I2368" s="588"/>
      <c r="J2368" s="608" t="s">
        <v>392</v>
      </c>
      <c r="K2368" s="1404"/>
      <c r="L2368" s="1613" t="s">
        <v>2825</v>
      </c>
      <c r="M2368" s="540"/>
      <c r="N2368" s="4"/>
      <c r="O2368" s="540"/>
      <c r="P2368" s="538" t="b">
        <v>0</v>
      </c>
      <c r="Q2368" s="538" t="b">
        <v>1</v>
      </c>
      <c r="R2368" s="538" t="b">
        <v>0</v>
      </c>
      <c r="S2368" s="538" t="b">
        <f>IF(AY2266=INDEX(ddSingleOrMulti,2),TRUE,FALSE)</f>
        <v>1</v>
      </c>
      <c r="T2368" s="96" t="b">
        <f>AND(NOT(S2368),W2368=TRUE)</f>
        <v>0</v>
      </c>
      <c r="U2368" s="538"/>
      <c r="V2368" s="538"/>
      <c r="W2368" s="27" t="b">
        <v>1</v>
      </c>
      <c r="X2368" s="1600"/>
      <c r="Y2368" s="1874" t="str">
        <f>IF(LEN('11.1000'!X121)=0,"None",'11.1000'!X121)</f>
        <v>None</v>
      </c>
      <c r="Z2368" s="1889"/>
      <c r="AB2368" s="538"/>
      <c r="AC2368" s="538" t="b">
        <f>OR(AD2368:AE2368)</f>
        <v>0</v>
      </c>
      <c r="AD2368" s="538" t="b">
        <f>T2368</f>
        <v>0</v>
      </c>
      <c r="AE2368" s="538"/>
      <c r="AF2368" s="538"/>
      <c r="AG2368" s="538"/>
      <c r="AH2368" s="538"/>
      <c r="AI2368" s="538"/>
      <c r="AJ2368" s="538"/>
      <c r="AK2368" s="538"/>
      <c r="AL2368" s="1352"/>
      <c r="AM2368" s="1352"/>
      <c r="AN2368" s="1352"/>
      <c r="AO2368" s="1352"/>
      <c r="AP2368" s="1352" t="str">
        <f>SUBSTITUTE(SUBSTITUTE(SUBSTITUTE("vch"&amp;$B2368&amp;$C2368&amp;$D2368&amp;$E2368,".","_"),"(","_"),")","")</f>
        <v>vch1002_2_10</v>
      </c>
      <c r="AQ2368" s="1352" t="b">
        <f>IF(LEN(W2368)=0,"",W2368)</f>
        <v>1</v>
      </c>
      <c r="AR2368" s="1352" t="str">
        <f>SUBSTITUTE(SUBSTITUTE(SUBSTITUTE("vnt"&amp;$B2368&amp;$C2368&amp;$D2368&amp;$E2368,".","_"),"(","_"),")","")</f>
        <v>vnt1002_2_10</v>
      </c>
      <c r="AS2368" s="1352" t="str">
        <f>IF(LEN(X2368)=0,"",X2368)</f>
        <v/>
      </c>
      <c r="AT2368" s="538"/>
      <c r="AU2368" s="538"/>
      <c r="AV2368" s="538"/>
      <c r="AW2368" s="538"/>
      <c r="AX2368" s="538"/>
      <c r="AY2368" s="538"/>
      <c r="AZ2368" s="538"/>
      <c r="BA2368" s="538"/>
      <c r="BB2368" s="538"/>
      <c r="BC2368" s="538"/>
      <c r="BD2368" s="538"/>
      <c r="BE2368" s="538"/>
      <c r="BF2368" s="538"/>
      <c r="BG2368" s="538"/>
      <c r="BH2368" s="538"/>
    </row>
    <row r="2369" spans="1:60" x14ac:dyDescent="0.2">
      <c r="A2369" s="1507">
        <v>10</v>
      </c>
      <c r="B2369" s="1516">
        <v>1002.2</v>
      </c>
      <c r="C2369" s="1511" t="s">
        <v>392</v>
      </c>
      <c r="D2369" s="1511"/>
      <c r="E2369" s="1511"/>
      <c r="F2369" s="1511"/>
      <c r="G2369" s="1509" t="str">
        <f t="shared" si="154"/>
        <v>P</v>
      </c>
      <c r="H2369" s="1510" t="s">
        <v>3199</v>
      </c>
      <c r="I2369" s="588"/>
      <c r="J2369" s="590"/>
      <c r="K2369" s="609"/>
      <c r="L2369" s="1609"/>
      <c r="M2369" s="540"/>
      <c r="N2369" s="4"/>
      <c r="O2369" s="540"/>
      <c r="P2369" s="538"/>
      <c r="Q2369" s="538"/>
      <c r="R2369" s="538"/>
      <c r="S2369" s="538"/>
      <c r="T2369" s="538"/>
      <c r="U2369" s="538"/>
      <c r="V2369" s="538"/>
      <c r="W2369" s="538"/>
      <c r="X2369" s="1600"/>
      <c r="Y2369" s="1874"/>
      <c r="Z2369" s="1889"/>
      <c r="AB2369" s="538"/>
      <c r="AC2369" s="538"/>
      <c r="AD2369" s="538"/>
      <c r="AE2369" s="538"/>
      <c r="AF2369" s="538"/>
      <c r="AG2369" s="538"/>
      <c r="AH2369" s="538"/>
      <c r="AI2369" s="538"/>
      <c r="AJ2369" s="538"/>
      <c r="AK2369" s="538"/>
      <c r="AL2369" s="1352"/>
      <c r="AM2369" s="1352"/>
      <c r="AN2369" s="1352"/>
      <c r="AO2369" s="1352"/>
      <c r="AP2369" s="1352"/>
      <c r="AQ2369" s="1352"/>
      <c r="AR2369" s="1352"/>
      <c r="AS2369" s="1352"/>
      <c r="AT2369" s="538"/>
      <c r="AU2369" s="538"/>
      <c r="AV2369" s="538"/>
      <c r="AW2369" s="538"/>
      <c r="AX2369" s="538"/>
      <c r="AY2369" s="538"/>
      <c r="AZ2369" s="538"/>
      <c r="BA2369" s="538"/>
      <c r="BB2369" s="538"/>
      <c r="BC2369" s="538"/>
      <c r="BD2369" s="538"/>
      <c r="BE2369" s="538"/>
      <c r="BF2369" s="538"/>
      <c r="BG2369" s="538"/>
      <c r="BH2369" s="538"/>
    </row>
    <row r="2370" spans="1:60" ht="16" thickBot="1" x14ac:dyDescent="0.25">
      <c r="A2370" s="1507">
        <v>10</v>
      </c>
      <c r="B2370" s="1516">
        <v>1002.2</v>
      </c>
      <c r="C2370" s="1511" t="s">
        <v>392</v>
      </c>
      <c r="D2370" s="1511"/>
      <c r="E2370" s="1511"/>
      <c r="F2370" s="1511"/>
      <c r="G2370" s="1509" t="str">
        <f t="shared" si="154"/>
        <v>P</v>
      </c>
      <c r="H2370" s="1510" t="s">
        <v>3199</v>
      </c>
      <c r="I2370" s="588"/>
      <c r="J2370" s="606"/>
      <c r="K2370" s="208"/>
      <c r="L2370" s="1612"/>
      <c r="M2370" s="540"/>
      <c r="N2370" s="4"/>
      <c r="O2370" s="540"/>
      <c r="P2370" s="538"/>
      <c r="Q2370" s="538"/>
      <c r="R2370" s="538"/>
      <c r="S2370" s="538"/>
      <c r="T2370" s="538"/>
      <c r="U2370" s="538"/>
      <c r="V2370" s="538"/>
      <c r="W2370" s="538"/>
      <c r="X2370" s="1600"/>
      <c r="Y2370" s="1874"/>
      <c r="Z2370" s="1889"/>
      <c r="AB2370" s="538"/>
      <c r="AC2370" s="538"/>
      <c r="AD2370" s="538"/>
      <c r="AE2370" s="538"/>
      <c r="AF2370" s="538"/>
      <c r="AG2370" s="538"/>
      <c r="AH2370" s="538"/>
      <c r="AI2370" s="538"/>
      <c r="AJ2370" s="538"/>
      <c r="AK2370" s="538"/>
      <c r="AL2370" s="1352"/>
      <c r="AM2370" s="1352"/>
      <c r="AN2370" s="1352"/>
      <c r="AO2370" s="1352"/>
      <c r="AP2370" s="1352"/>
      <c r="AQ2370" s="1352"/>
      <c r="AR2370" s="1352"/>
      <c r="AS2370" s="1352"/>
      <c r="AT2370" s="538"/>
      <c r="AU2370" s="538"/>
      <c r="AV2370" s="538"/>
      <c r="AW2370" s="538"/>
      <c r="AX2370" s="538"/>
      <c r="AY2370" s="538"/>
      <c r="AZ2370" s="538"/>
      <c r="BA2370" s="538"/>
      <c r="BB2370" s="538"/>
      <c r="BC2370" s="538"/>
      <c r="BD2370" s="538"/>
      <c r="BE2370" s="538"/>
      <c r="BF2370" s="538"/>
      <c r="BG2370" s="538"/>
      <c r="BH2370" s="538"/>
    </row>
    <row r="2371" spans="1:60" ht="16" hidden="1" thickBot="1" x14ac:dyDescent="0.25">
      <c r="A2371" s="1507">
        <v>10</v>
      </c>
      <c r="B2371" s="1516">
        <v>1002.2</v>
      </c>
      <c r="C2371" s="1511" t="s">
        <v>394</v>
      </c>
      <c r="D2371" s="1511"/>
      <c r="E2371" s="1511"/>
      <c r="F2371" s="1511"/>
      <c r="G2371" s="1509" t="str">
        <f ca="1">IF(IFERROR(SEARCH("Mandatory",M2371),FALSE),"P","")</f>
        <v/>
      </c>
      <c r="H2371" s="1510" t="s">
        <v>3199</v>
      </c>
      <c r="I2371" s="609"/>
      <c r="J2371" s="590" t="s">
        <v>394</v>
      </c>
      <c r="K2371" s="609"/>
      <c r="L2371" s="1657" t="s">
        <v>2826</v>
      </c>
      <c r="M2371" s="1708" t="str">
        <f ca="1">IF(R2371,"Mandatory per 902.2.1","N/A")</f>
        <v>N/A</v>
      </c>
      <c r="N2371" s="129"/>
      <c r="O2371" s="543"/>
      <c r="P2371" s="538" t="b">
        <v>0</v>
      </c>
      <c r="Q2371" s="538" t="b">
        <v>1</v>
      </c>
      <c r="R2371" s="1" t="b">
        <f ca="1">AND(S2371,OR($O$2077&gt;0,$R$2077))</f>
        <v>0</v>
      </c>
      <c r="S2371" s="96" t="b">
        <f>IF(AY2266=INDEX(ddSingleOrMulti,2),TRUE,FALSE)</f>
        <v>1</v>
      </c>
      <c r="T2371" s="96" t="b">
        <f>AND(NOT(S2371),W2371=TRUE)</f>
        <v>0</v>
      </c>
      <c r="U2371" s="96"/>
      <c r="V2371" s="96"/>
      <c r="W2371" s="27"/>
      <c r="X2371" s="1601"/>
      <c r="Y2371" s="1881" t="str">
        <f>IF(LEN('11.1000'!X124)=0,"None",'11.1000'!X124)</f>
        <v>None</v>
      </c>
      <c r="Z2371" s="1891"/>
      <c r="AB2371" s="538"/>
      <c r="AC2371" s="538" t="b">
        <f ca="1">OR(AD2371:AE2371)</f>
        <v>0</v>
      </c>
      <c r="AD2371" s="538" t="b">
        <f>T2371</f>
        <v>0</v>
      </c>
      <c r="AE2371" s="677" t="b">
        <f ca="1">AND(R2371,NOT(W2371=TRUE))</f>
        <v>0</v>
      </c>
      <c r="AF2371" s="720"/>
      <c r="AG2371" s="538"/>
      <c r="AH2371" s="538"/>
      <c r="AI2371" s="538"/>
      <c r="AJ2371" s="538"/>
      <c r="AK2371" s="538"/>
      <c r="AL2371" s="1352" t="str">
        <f>SUBSTITUTE(SUBSTITUTE(SUBSTITUTE("vpa"&amp;$B2371&amp;$C2371&amp;$D2371&amp;$E2371,".","_"),"(","_"),")","")</f>
        <v>vpa1002_2_11</v>
      </c>
      <c r="AM2371" s="1352" t="str">
        <f t="shared" ref="AM2371" ca="1" si="157">M2371</f>
        <v>N/A</v>
      </c>
      <c r="AN2371" s="1352"/>
      <c r="AO2371" s="1352"/>
      <c r="AP2371" s="1352" t="str">
        <f>SUBSTITUTE(SUBSTITUTE(SUBSTITUTE("vch"&amp;$B2371&amp;$C2371&amp;$D2371&amp;$E2371,".","_"),"(","_"),")","")</f>
        <v>vch1002_2_11</v>
      </c>
      <c r="AQ2371" s="1352" t="str">
        <f>IF(LEN(W2371)=0,"",W2371)</f>
        <v/>
      </c>
      <c r="AR2371" s="1352" t="str">
        <f>SUBSTITUTE(SUBSTITUTE(SUBSTITUTE("vnt"&amp;$B2371&amp;$C2371&amp;$D2371&amp;$E2371,".","_"),"(","_"),")","")</f>
        <v>vnt1002_2_11</v>
      </c>
      <c r="AS2371" s="1352" t="str">
        <f>IF(LEN(X2371)=0,"",X2371)</f>
        <v/>
      </c>
      <c r="AT2371" s="538"/>
      <c r="AU2371" s="538"/>
      <c r="AV2371" s="538"/>
      <c r="AW2371" s="538"/>
      <c r="AX2371" s="538"/>
      <c r="AY2371" s="538"/>
      <c r="AZ2371" s="538"/>
      <c r="BA2371" s="538"/>
      <c r="BB2371" s="538"/>
      <c r="BC2371" s="538"/>
      <c r="BD2371" s="538"/>
      <c r="BE2371" s="538"/>
      <c r="BF2371" s="538"/>
      <c r="BG2371" s="538"/>
      <c r="BH2371" s="538"/>
    </row>
    <row r="2372" spans="1:60" ht="16" hidden="1" thickBot="1" x14ac:dyDescent="0.25">
      <c r="A2372" s="1507">
        <v>10</v>
      </c>
      <c r="B2372" s="1516">
        <v>1002.2</v>
      </c>
      <c r="C2372" s="1511" t="s">
        <v>394</v>
      </c>
      <c r="D2372" s="1511"/>
      <c r="E2372" s="1511"/>
      <c r="F2372" s="1511"/>
      <c r="G2372" s="1509" t="str">
        <f t="shared" ca="1" si="154"/>
        <v/>
      </c>
      <c r="H2372" s="1510" t="s">
        <v>3199</v>
      </c>
      <c r="I2372" s="596"/>
      <c r="J2372" s="594"/>
      <c r="K2372" s="596"/>
      <c r="L2372" s="1713"/>
      <c r="M2372" s="1742"/>
      <c r="N2372" s="239"/>
      <c r="O2372" s="547"/>
      <c r="P2372" s="100"/>
      <c r="Q2372" s="100"/>
      <c r="R2372" s="100"/>
      <c r="S2372" s="100"/>
      <c r="T2372" s="100"/>
      <c r="U2372" s="100"/>
      <c r="V2372" s="100"/>
      <c r="W2372" s="100"/>
      <c r="X2372" s="1602"/>
      <c r="Y2372" s="1882"/>
      <c r="Z2372" s="1892"/>
      <c r="AB2372" s="538"/>
      <c r="AC2372" s="538"/>
      <c r="AD2372" s="538"/>
      <c r="AE2372" s="538"/>
      <c r="AF2372" s="538"/>
      <c r="AG2372" s="538"/>
      <c r="AH2372" s="538"/>
      <c r="AI2372" s="538"/>
      <c r="AJ2372" s="538"/>
      <c r="AK2372" s="538"/>
      <c r="AL2372" s="1352"/>
      <c r="AM2372" s="1352"/>
      <c r="AN2372" s="1352"/>
      <c r="AO2372" s="1352"/>
      <c r="AP2372" s="1352"/>
      <c r="AQ2372" s="1352"/>
      <c r="AR2372" s="1352"/>
      <c r="AS2372" s="1352"/>
      <c r="AT2372" s="538"/>
      <c r="AU2372" s="538"/>
      <c r="AV2372" s="538"/>
      <c r="AW2372" s="538"/>
      <c r="AX2372" s="538"/>
      <c r="AY2372" s="538"/>
      <c r="AZ2372" s="538"/>
      <c r="BA2372" s="538"/>
      <c r="BB2372" s="538"/>
      <c r="BC2372" s="538"/>
      <c r="BD2372" s="538"/>
      <c r="BE2372" s="538"/>
      <c r="BF2372" s="538"/>
      <c r="BG2372" s="538"/>
      <c r="BH2372" s="538"/>
    </row>
    <row r="2373" spans="1:60" ht="16" thickTop="1" x14ac:dyDescent="0.2">
      <c r="A2373" s="1507">
        <v>10</v>
      </c>
      <c r="B2373" s="1516">
        <v>1002.3</v>
      </c>
      <c r="C2373" s="1511"/>
      <c r="D2373" s="1511"/>
      <c r="E2373" s="1511"/>
      <c r="F2373" s="1511"/>
      <c r="G2373" s="1509" t="str">
        <f>IF(N2373&gt;0,"P","")</f>
        <v>P</v>
      </c>
      <c r="H2373" s="1510" t="s">
        <v>3199</v>
      </c>
      <c r="I2373" s="136" t="s">
        <v>3757</v>
      </c>
      <c r="J2373" s="588"/>
      <c r="K2373" s="588"/>
      <c r="L2373" s="1631" t="s">
        <v>3868</v>
      </c>
      <c r="M2373" s="1628">
        <v>1</v>
      </c>
      <c r="N2373" s="1682">
        <f>'11.1000'!O126</f>
        <v>4</v>
      </c>
      <c r="O2373" s="1778">
        <f>IF(AND(W2377=TRUE,COUNTIF(W2379:W2398,TRUE)&gt;3,S2377),ROUNDDOWN(COUNTIF(W2379:W2398,TRUE)/2,0),0)</f>
        <v>4</v>
      </c>
      <c r="P2373" s="538"/>
      <c r="Q2373" s="538"/>
      <c r="R2373" s="538"/>
      <c r="S2373" s="538"/>
      <c r="T2373" s="538"/>
      <c r="U2373" s="538"/>
      <c r="V2373" s="538"/>
      <c r="W2373" s="538"/>
      <c r="X2373" s="538"/>
      <c r="Y2373" s="538"/>
      <c r="Z2373" s="670"/>
      <c r="AB2373" s="538"/>
      <c r="AC2373" s="538"/>
      <c r="AD2373" s="538"/>
      <c r="AE2373" s="538"/>
      <c r="AF2373" s="538"/>
      <c r="AG2373" s="538"/>
      <c r="AH2373" s="538"/>
      <c r="AI2373" s="538"/>
      <c r="AJ2373" s="538"/>
      <c r="AK2373" s="538"/>
      <c r="AL2373" s="1352" t="str">
        <f>SUBSTITUTE(SUBSTITUTE(SUBSTITUTE("vpa"&amp;$B2373&amp;$C2373&amp;$D2373&amp;$E2373,".","_"),"(","_"),")","")</f>
        <v>vpa1002_3</v>
      </c>
      <c r="AM2373" s="1352">
        <f t="shared" ref="AM2373" si="158">M2373</f>
        <v>1</v>
      </c>
      <c r="AN2373" s="1352" t="str">
        <f>SUBSTITUTE(SUBSTITUTE(SUBSTITUTE("vpc"&amp;$B2373&amp;$C2373&amp;$D2373&amp;$E2373,".","_"),"(","_"),")","")</f>
        <v>vpc1002_3</v>
      </c>
      <c r="AO2373" s="1352">
        <f>O2373</f>
        <v>4</v>
      </c>
      <c r="AP2373" s="1352"/>
      <c r="AQ2373" s="1352"/>
      <c r="AR2373" s="1352"/>
      <c r="AS2373" s="1352"/>
      <c r="AT2373" s="538"/>
      <c r="AU2373" s="538"/>
      <c r="AV2373" s="538"/>
      <c r="AW2373" s="538"/>
      <c r="AX2373" s="538"/>
      <c r="AY2373" s="538"/>
      <c r="AZ2373" s="538"/>
      <c r="BA2373" s="538"/>
      <c r="BB2373" s="538"/>
      <c r="BC2373" s="538"/>
      <c r="BD2373" s="538"/>
      <c r="BE2373" s="538"/>
      <c r="BF2373" s="538"/>
      <c r="BG2373" s="538"/>
      <c r="BH2373" s="538"/>
    </row>
    <row r="2374" spans="1:60" x14ac:dyDescent="0.2">
      <c r="A2374" s="1507">
        <v>10</v>
      </c>
      <c r="B2374" s="1516">
        <v>1002.3</v>
      </c>
      <c r="C2374" s="1511"/>
      <c r="D2374" s="1511"/>
      <c r="E2374" s="1511"/>
      <c r="F2374" s="1511"/>
      <c r="G2374" s="1509" t="str">
        <f t="shared" ref="G2374:G2400" si="159">G2373</f>
        <v>P</v>
      </c>
      <c r="H2374" s="1510" t="s">
        <v>3199</v>
      </c>
      <c r="I2374" s="588"/>
      <c r="J2374" s="588"/>
      <c r="K2374" s="588"/>
      <c r="L2374" s="1631"/>
      <c r="M2374" s="1628"/>
      <c r="N2374" s="1669"/>
      <c r="O2374" s="1778"/>
      <c r="P2374" s="538"/>
      <c r="Q2374" s="538"/>
      <c r="R2374" s="538"/>
      <c r="S2374" s="538"/>
      <c r="T2374" s="538"/>
      <c r="U2374" s="538"/>
      <c r="V2374" s="538"/>
      <c r="W2374" s="538"/>
      <c r="X2374" s="538"/>
      <c r="Y2374" s="538"/>
      <c r="Z2374" s="670"/>
      <c r="AB2374" s="538"/>
      <c r="AC2374" s="538"/>
      <c r="AD2374" s="538"/>
      <c r="AE2374" s="538"/>
      <c r="AF2374" s="538"/>
      <c r="AG2374" s="538"/>
      <c r="AH2374" s="538"/>
      <c r="AI2374" s="538"/>
      <c r="AJ2374" s="538"/>
      <c r="AK2374" s="538"/>
      <c r="AL2374" s="1352"/>
      <c r="AM2374" s="1352"/>
      <c r="AN2374" s="1352"/>
      <c r="AO2374" s="1352"/>
      <c r="AP2374" s="1352"/>
      <c r="AQ2374" s="1352"/>
      <c r="AR2374" s="1352"/>
      <c r="AS2374" s="1352"/>
      <c r="AT2374" s="538"/>
      <c r="AU2374" s="538"/>
      <c r="AV2374" s="538"/>
      <c r="AW2374" s="538"/>
      <c r="AX2374" s="538"/>
      <c r="AY2374" s="538"/>
      <c r="AZ2374" s="538"/>
      <c r="BA2374" s="538"/>
      <c r="BB2374" s="538"/>
      <c r="BC2374" s="538"/>
      <c r="BD2374" s="538"/>
      <c r="BE2374" s="538"/>
      <c r="BF2374" s="538"/>
      <c r="BG2374" s="538"/>
      <c r="BH2374" s="538"/>
    </row>
    <row r="2375" spans="1:60" x14ac:dyDescent="0.2">
      <c r="A2375" s="1507">
        <v>10</v>
      </c>
      <c r="B2375" s="1516">
        <v>1002.3</v>
      </c>
      <c r="C2375" s="1511"/>
      <c r="D2375" s="1511"/>
      <c r="E2375" s="1511"/>
      <c r="F2375" s="1511"/>
      <c r="G2375" s="1509" t="str">
        <f t="shared" si="159"/>
        <v>P</v>
      </c>
      <c r="H2375" s="1510" t="s">
        <v>3199</v>
      </c>
      <c r="I2375" s="588"/>
      <c r="J2375" s="588"/>
      <c r="K2375" s="588"/>
      <c r="L2375" s="1631"/>
      <c r="M2375" s="1628"/>
      <c r="N2375" s="1669"/>
      <c r="O2375" s="1778"/>
      <c r="P2375" s="538"/>
      <c r="Q2375" s="538"/>
      <c r="R2375" s="538"/>
      <c r="S2375" s="538"/>
      <c r="T2375" s="538"/>
      <c r="U2375" s="538"/>
      <c r="V2375" s="538"/>
      <c r="W2375" s="538"/>
      <c r="X2375" s="538"/>
      <c r="Y2375" s="538"/>
      <c r="Z2375" s="670"/>
      <c r="AB2375" s="538"/>
      <c r="AC2375" s="538"/>
      <c r="AD2375" s="538"/>
      <c r="AE2375" s="538"/>
      <c r="AF2375" s="538"/>
      <c r="AG2375" s="538"/>
      <c r="AH2375" s="538"/>
      <c r="AI2375" s="538"/>
      <c r="AJ2375" s="538"/>
      <c r="AK2375" s="538"/>
      <c r="AL2375" s="1352"/>
      <c r="AM2375" s="1352"/>
      <c r="AN2375" s="1352"/>
      <c r="AO2375" s="1352"/>
      <c r="AP2375" s="1352"/>
      <c r="AQ2375" s="1352"/>
      <c r="AR2375" s="1352"/>
      <c r="AS2375" s="1352"/>
      <c r="AT2375" s="538"/>
      <c r="AU2375" s="538"/>
      <c r="AV2375" s="538"/>
      <c r="AW2375" s="538"/>
      <c r="AX2375" s="538"/>
      <c r="AY2375" s="538"/>
      <c r="AZ2375" s="538"/>
      <c r="BA2375" s="538"/>
      <c r="BB2375" s="538"/>
      <c r="BC2375" s="538"/>
      <c r="BD2375" s="538"/>
      <c r="BE2375" s="538"/>
      <c r="BF2375" s="538"/>
      <c r="BG2375" s="538"/>
      <c r="BH2375" s="538"/>
    </row>
    <row r="2376" spans="1:60" x14ac:dyDescent="0.2">
      <c r="A2376" s="1507">
        <v>10</v>
      </c>
      <c r="B2376" s="1516">
        <v>1002.3</v>
      </c>
      <c r="C2376" s="1511"/>
      <c r="D2376" s="1511"/>
      <c r="E2376" s="1511"/>
      <c r="F2376" s="1511"/>
      <c r="G2376" s="1509" t="str">
        <f t="shared" si="159"/>
        <v>P</v>
      </c>
      <c r="H2376" s="1510" t="s">
        <v>3199</v>
      </c>
      <c r="I2376" s="588"/>
      <c r="J2376" s="588"/>
      <c r="K2376" s="588"/>
      <c r="L2376" s="230" t="s">
        <v>2847</v>
      </c>
      <c r="M2376" s="1628"/>
      <c r="N2376" s="1669"/>
      <c r="O2376" s="1778"/>
      <c r="P2376" s="538"/>
      <c r="Q2376" s="538"/>
      <c r="R2376" s="538"/>
      <c r="S2376" s="538"/>
      <c r="T2376" s="538"/>
      <c r="U2376" s="538"/>
      <c r="V2376" s="538"/>
      <c r="W2376" s="538"/>
      <c r="X2376" s="538"/>
      <c r="Y2376" s="538"/>
      <c r="Z2376" s="670"/>
      <c r="AB2376" s="538"/>
      <c r="AC2376" s="538"/>
      <c r="AD2376" s="538"/>
      <c r="AE2376" s="538"/>
      <c r="AF2376" s="538"/>
      <c r="AG2376" s="538"/>
      <c r="AH2376" s="538"/>
      <c r="AI2376" s="538"/>
      <c r="AJ2376" s="538"/>
      <c r="AK2376" s="538"/>
      <c r="AL2376" s="1352"/>
      <c r="AM2376" s="1352"/>
      <c r="AN2376" s="1352"/>
      <c r="AO2376" s="1352"/>
      <c r="AP2376" s="1352"/>
      <c r="AQ2376" s="1352"/>
      <c r="AR2376" s="1352"/>
      <c r="AS2376" s="1352"/>
      <c r="AT2376" s="538"/>
      <c r="AU2376" s="538"/>
      <c r="AV2376" s="538"/>
      <c r="AW2376" s="538"/>
      <c r="AX2376" s="538"/>
      <c r="AY2376" s="538"/>
      <c r="AZ2376" s="538"/>
      <c r="BA2376" s="538"/>
      <c r="BB2376" s="538"/>
      <c r="BC2376" s="538"/>
      <c r="BD2376" s="538"/>
      <c r="BE2376" s="538"/>
      <c r="BF2376" s="538"/>
      <c r="BG2376" s="538"/>
      <c r="BH2376" s="538"/>
    </row>
    <row r="2377" spans="1:60" x14ac:dyDescent="0.2">
      <c r="A2377" s="1507">
        <v>10</v>
      </c>
      <c r="B2377" s="1516">
        <v>1002.3</v>
      </c>
      <c r="C2377" s="1511" t="s">
        <v>254</v>
      </c>
      <c r="D2377" s="1511"/>
      <c r="E2377" s="1511"/>
      <c r="F2377" s="1511"/>
      <c r="G2377" s="1509" t="str">
        <f>IF(IFERROR(SEARCH("Mandatory",M2377),FALSE),"P","")</f>
        <v>P</v>
      </c>
      <c r="H2377" s="1510" t="s">
        <v>3199</v>
      </c>
      <c r="I2377" s="588"/>
      <c r="J2377" s="590" t="s">
        <v>254</v>
      </c>
      <c r="K2377" s="609"/>
      <c r="L2377" s="1609" t="s">
        <v>2827</v>
      </c>
      <c r="M2377" s="1697" t="str">
        <f>IF(R2377,"Mandatory","N/A")</f>
        <v>Mandatory</v>
      </c>
      <c r="N2377" s="4"/>
      <c r="O2377" s="540"/>
      <c r="P2377" s="538" t="b">
        <v>0</v>
      </c>
      <c r="Q2377" s="538" t="b">
        <v>1</v>
      </c>
      <c r="R2377" s="538" t="b">
        <f>S2377</f>
        <v>1</v>
      </c>
      <c r="S2377" s="538" t="b">
        <f>IF(AY2266=INDEX(ddSingleOrMulti,2),TRUE,FALSE)</f>
        <v>1</v>
      </c>
      <c r="T2377" s="96" t="b">
        <f>AND(NOT(S2377),W2377=TRUE)</f>
        <v>0</v>
      </c>
      <c r="U2377" s="538"/>
      <c r="V2377" s="538"/>
      <c r="W2377" s="27" t="b">
        <v>1</v>
      </c>
      <c r="X2377" s="1600"/>
      <c r="Y2377" s="1874" t="str">
        <f>IF(LEN('11.1000'!X130)=0,"None",'11.1000'!X130)</f>
        <v>None</v>
      </c>
      <c r="Z2377" s="1889"/>
      <c r="AB2377" s="538"/>
      <c r="AC2377" s="538" t="b">
        <f>OR(AD2377:AE2377)</f>
        <v>0</v>
      </c>
      <c r="AD2377" s="538" t="b">
        <f>T2377</f>
        <v>0</v>
      </c>
      <c r="AE2377" s="538" t="b">
        <f>AND(R2377,O2373&lt;1)</f>
        <v>0</v>
      </c>
      <c r="AF2377" s="720"/>
      <c r="AG2377" s="538"/>
      <c r="AH2377" s="538"/>
      <c r="AI2377" s="538"/>
      <c r="AJ2377" s="538"/>
      <c r="AK2377" s="538"/>
      <c r="AL2377" s="1352" t="str">
        <f>SUBSTITUTE(SUBSTITUTE(SUBSTITUTE("vpa"&amp;$B2377&amp;$C2377&amp;$D2377&amp;$E2377,".","_"),"(","_"),")","")</f>
        <v>vpa1002_3_1</v>
      </c>
      <c r="AM2377" s="1352" t="str">
        <f t="shared" ref="AM2377" si="160">M2377</f>
        <v>Mandatory</v>
      </c>
      <c r="AN2377" s="1352"/>
      <c r="AO2377" s="1352"/>
      <c r="AP2377" s="1352" t="str">
        <f>SUBSTITUTE(SUBSTITUTE(SUBSTITUTE("vch"&amp;$B2377&amp;$C2377&amp;$D2377&amp;$E2377,".","_"),"(","_"),")","")</f>
        <v>vch1002_3_1</v>
      </c>
      <c r="AQ2377" s="1352" t="b">
        <f>IF(LEN(W2377)=0,"",W2377)</f>
        <v>1</v>
      </c>
      <c r="AR2377" s="1352" t="str">
        <f>SUBSTITUTE(SUBSTITUTE(SUBSTITUTE("vnt"&amp;$B2377&amp;$C2377&amp;$D2377&amp;$E2377,".","_"),"(","_"),")","")</f>
        <v>vnt1002_3_1</v>
      </c>
      <c r="AS2377" s="1352" t="str">
        <f>IF(LEN(X2377)=0,"",X2377)</f>
        <v/>
      </c>
      <c r="AT2377" s="538"/>
      <c r="AU2377" s="538"/>
      <c r="AV2377" s="538"/>
      <c r="AW2377" s="538"/>
      <c r="AX2377" s="538"/>
      <c r="AY2377" s="538"/>
      <c r="AZ2377" s="538"/>
      <c r="BA2377" s="538"/>
      <c r="BB2377" s="538"/>
      <c r="BC2377" s="538"/>
      <c r="BD2377" s="538"/>
      <c r="BE2377" s="538"/>
      <c r="BF2377" s="538"/>
      <c r="BG2377" s="538"/>
      <c r="BH2377" s="538"/>
    </row>
    <row r="2378" spans="1:60" x14ac:dyDescent="0.2">
      <c r="A2378" s="1507">
        <v>10</v>
      </c>
      <c r="B2378" s="1516">
        <v>1002.3</v>
      </c>
      <c r="C2378" s="1511" t="s">
        <v>254</v>
      </c>
      <c r="D2378" s="1511"/>
      <c r="E2378" s="1511"/>
      <c r="F2378" s="1511"/>
      <c r="G2378" s="1509" t="str">
        <f t="shared" si="159"/>
        <v>P</v>
      </c>
      <c r="H2378" s="1510" t="s">
        <v>3199</v>
      </c>
      <c r="I2378" s="588"/>
      <c r="J2378" s="606"/>
      <c r="K2378" s="208"/>
      <c r="L2378" s="1612"/>
      <c r="M2378" s="1698" t="str">
        <f>IF(R2378,"Mandatory","N/A")</f>
        <v>N/A</v>
      </c>
      <c r="N2378" s="4"/>
      <c r="O2378" s="540"/>
      <c r="P2378" s="538"/>
      <c r="Q2378" s="538"/>
      <c r="R2378" s="538"/>
      <c r="S2378" s="538"/>
      <c r="T2378" s="538"/>
      <c r="U2378" s="538"/>
      <c r="V2378" s="538"/>
      <c r="W2378" s="538"/>
      <c r="X2378" s="1600"/>
      <c r="Y2378" s="1874"/>
      <c r="Z2378" s="1889"/>
      <c r="AB2378" s="538"/>
      <c r="AC2378" s="538"/>
      <c r="AD2378" s="538"/>
      <c r="AE2378" s="538"/>
      <c r="AF2378" s="538"/>
      <c r="AG2378" s="538"/>
      <c r="AH2378" s="538"/>
      <c r="AI2378" s="538"/>
      <c r="AJ2378" s="538"/>
      <c r="AK2378" s="538"/>
      <c r="AL2378" s="1352"/>
      <c r="AM2378" s="1352"/>
      <c r="AN2378" s="1352"/>
      <c r="AO2378" s="1352"/>
      <c r="AP2378" s="1352"/>
      <c r="AQ2378" s="1352"/>
      <c r="AR2378" s="1352"/>
      <c r="AS2378" s="1352"/>
      <c r="AT2378" s="538"/>
      <c r="AU2378" s="538"/>
      <c r="AV2378" s="538"/>
      <c r="AW2378" s="538"/>
      <c r="AX2378" s="538"/>
      <c r="AY2378" s="538"/>
      <c r="AZ2378" s="538"/>
      <c r="BA2378" s="538"/>
      <c r="BB2378" s="538"/>
      <c r="BC2378" s="538"/>
      <c r="BD2378" s="538"/>
      <c r="BE2378" s="538"/>
      <c r="BF2378" s="538"/>
      <c r="BG2378" s="538"/>
      <c r="BH2378" s="538"/>
    </row>
    <row r="2379" spans="1:60" x14ac:dyDescent="0.2">
      <c r="A2379" s="1507">
        <v>10</v>
      </c>
      <c r="B2379" s="1516">
        <v>1002.3</v>
      </c>
      <c r="C2379" s="1511" t="s">
        <v>255</v>
      </c>
      <c r="D2379" s="1511"/>
      <c r="E2379" s="1511"/>
      <c r="F2379" s="1511"/>
      <c r="G2379" s="1509" t="str">
        <f t="shared" si="159"/>
        <v>P</v>
      </c>
      <c r="H2379" s="1510" t="s">
        <v>3199</v>
      </c>
      <c r="I2379" s="588"/>
      <c r="J2379" s="608" t="s">
        <v>255</v>
      </c>
      <c r="K2379" s="1404"/>
      <c r="L2379" s="1613" t="s">
        <v>2782</v>
      </c>
      <c r="M2379" s="540"/>
      <c r="N2379" s="4"/>
      <c r="O2379" s="540"/>
      <c r="P2379" s="538" t="b">
        <v>0</v>
      </c>
      <c r="Q2379" s="538" t="b">
        <v>1</v>
      </c>
      <c r="R2379" s="538" t="b">
        <v>0</v>
      </c>
      <c r="S2379" s="538" t="b">
        <f>IF(AY2266=INDEX(ddSingleOrMulti,2),TRUE,FALSE)</f>
        <v>1</v>
      </c>
      <c r="T2379" s="96" t="b">
        <f>AND(NOT(S2379),W2379=TRUE)</f>
        <v>0</v>
      </c>
      <c r="U2379" s="538"/>
      <c r="V2379" s="538"/>
      <c r="W2379" s="27" t="b">
        <v>1</v>
      </c>
      <c r="X2379" s="1600"/>
      <c r="Y2379" s="1874" t="str">
        <f>IF(LEN('11.1000'!X132)=0,"None",'11.1000'!X132)</f>
        <v>None</v>
      </c>
      <c r="Z2379" s="1889"/>
      <c r="AB2379" s="538"/>
      <c r="AC2379" s="538" t="b">
        <f>OR(AD2379:AE2379)</f>
        <v>0</v>
      </c>
      <c r="AD2379" s="538" t="b">
        <f>T2379</f>
        <v>0</v>
      </c>
      <c r="AE2379" s="538"/>
      <c r="AF2379" s="538"/>
      <c r="AG2379" s="538"/>
      <c r="AH2379" s="538"/>
      <c r="AI2379" s="538"/>
      <c r="AJ2379" s="538"/>
      <c r="AK2379" s="538"/>
      <c r="AL2379" s="1352"/>
      <c r="AM2379" s="1352"/>
      <c r="AN2379" s="1352"/>
      <c r="AO2379" s="1352"/>
      <c r="AP2379" s="1352" t="str">
        <f>SUBSTITUTE(SUBSTITUTE(SUBSTITUTE("vch"&amp;$B2379&amp;$C2379&amp;$D2379&amp;$E2379,".","_"),"(","_"),")","")</f>
        <v>vch1002_3_2</v>
      </c>
      <c r="AQ2379" s="1352" t="b">
        <f>IF(LEN(W2379)=0,"",W2379)</f>
        <v>1</v>
      </c>
      <c r="AR2379" s="1352" t="str">
        <f>SUBSTITUTE(SUBSTITUTE(SUBSTITUTE("vnt"&amp;$B2379&amp;$C2379&amp;$D2379&amp;$E2379,".","_"),"(","_"),")","")</f>
        <v>vnt1002_3_2</v>
      </c>
      <c r="AS2379" s="1352" t="str">
        <f>IF(LEN(X2379)=0,"",X2379)</f>
        <v/>
      </c>
      <c r="AT2379" s="538"/>
      <c r="AU2379" s="538"/>
      <c r="AV2379" s="538"/>
      <c r="AW2379" s="538"/>
      <c r="AX2379" s="538"/>
      <c r="AY2379" s="538"/>
      <c r="AZ2379" s="538"/>
      <c r="BA2379" s="538"/>
      <c r="BB2379" s="538"/>
      <c r="BC2379" s="538"/>
      <c r="BD2379" s="538"/>
      <c r="BE2379" s="538"/>
      <c r="BF2379" s="538"/>
      <c r="BG2379" s="538"/>
      <c r="BH2379" s="538"/>
    </row>
    <row r="2380" spans="1:60" x14ac:dyDescent="0.2">
      <c r="A2380" s="1507">
        <v>10</v>
      </c>
      <c r="B2380" s="1516">
        <v>1002.3</v>
      </c>
      <c r="C2380" s="1511" t="s">
        <v>255</v>
      </c>
      <c r="D2380" s="1511"/>
      <c r="E2380" s="1511"/>
      <c r="F2380" s="1511"/>
      <c r="G2380" s="1509" t="str">
        <f t="shared" si="159"/>
        <v>P</v>
      </c>
      <c r="H2380" s="1510" t="s">
        <v>3199</v>
      </c>
      <c r="I2380" s="588"/>
      <c r="J2380" s="609"/>
      <c r="K2380" s="609"/>
      <c r="L2380" s="1609"/>
      <c r="M2380" s="540"/>
      <c r="N2380" s="4"/>
      <c r="O2380" s="540"/>
      <c r="P2380" s="538"/>
      <c r="Q2380" s="538"/>
      <c r="R2380" s="538"/>
      <c r="S2380" s="538"/>
      <c r="T2380" s="538"/>
      <c r="U2380" s="538"/>
      <c r="V2380" s="538"/>
      <c r="W2380" s="538"/>
      <c r="X2380" s="1600"/>
      <c r="Y2380" s="1874"/>
      <c r="Z2380" s="1889"/>
      <c r="AB2380" s="538"/>
      <c r="AC2380" s="538"/>
      <c r="AD2380" s="538"/>
      <c r="AE2380" s="538"/>
      <c r="AF2380" s="538"/>
      <c r="AG2380" s="538"/>
      <c r="AH2380" s="538"/>
      <c r="AI2380" s="538"/>
      <c r="AJ2380" s="538"/>
      <c r="AK2380" s="538"/>
      <c r="AL2380" s="1352"/>
      <c r="AM2380" s="1352"/>
      <c r="AN2380" s="1352"/>
      <c r="AO2380" s="1352"/>
      <c r="AP2380" s="1352"/>
      <c r="AQ2380" s="1352"/>
      <c r="AR2380" s="1352"/>
      <c r="AS2380" s="1352"/>
      <c r="AT2380" s="538"/>
      <c r="AU2380" s="538"/>
      <c r="AV2380" s="538"/>
      <c r="AW2380" s="538"/>
      <c r="AX2380" s="538"/>
      <c r="AY2380" s="538"/>
      <c r="AZ2380" s="538"/>
      <c r="BA2380" s="538"/>
      <c r="BB2380" s="538"/>
      <c r="BC2380" s="538"/>
      <c r="BD2380" s="538"/>
      <c r="BE2380" s="538"/>
      <c r="BF2380" s="538"/>
      <c r="BG2380" s="538"/>
      <c r="BH2380" s="538"/>
    </row>
    <row r="2381" spans="1:60" x14ac:dyDescent="0.2">
      <c r="A2381" s="1507">
        <v>10</v>
      </c>
      <c r="B2381" s="1516">
        <v>1002.3</v>
      </c>
      <c r="C2381" s="1511" t="s">
        <v>255</v>
      </c>
      <c r="D2381" s="1511"/>
      <c r="E2381" s="1511"/>
      <c r="F2381" s="1511"/>
      <c r="G2381" s="1509" t="str">
        <f t="shared" si="159"/>
        <v>P</v>
      </c>
      <c r="H2381" s="1510" t="s">
        <v>3199</v>
      </c>
      <c r="I2381" s="588"/>
      <c r="J2381" s="609"/>
      <c r="K2381" s="609"/>
      <c r="L2381" s="1609"/>
      <c r="M2381" s="540"/>
      <c r="N2381" s="4"/>
      <c r="O2381" s="540"/>
      <c r="P2381" s="538"/>
      <c r="Q2381" s="538"/>
      <c r="R2381" s="538"/>
      <c r="S2381" s="538"/>
      <c r="T2381" s="538"/>
      <c r="U2381" s="538"/>
      <c r="V2381" s="538"/>
      <c r="W2381" s="538"/>
      <c r="X2381" s="1600"/>
      <c r="Y2381" s="1874"/>
      <c r="Z2381" s="1889"/>
      <c r="AB2381" s="538"/>
      <c r="AC2381" s="538"/>
      <c r="AD2381" s="538"/>
      <c r="AE2381" s="538"/>
      <c r="AF2381" s="538"/>
      <c r="AG2381" s="538"/>
      <c r="AH2381" s="538"/>
      <c r="AI2381" s="538"/>
      <c r="AJ2381" s="538"/>
      <c r="AK2381" s="538"/>
      <c r="AL2381" s="1352"/>
      <c r="AM2381" s="1352"/>
      <c r="AN2381" s="1352"/>
      <c r="AO2381" s="1352"/>
      <c r="AP2381" s="1352"/>
      <c r="AQ2381" s="1352"/>
      <c r="AR2381" s="1352"/>
      <c r="AS2381" s="1352"/>
      <c r="AT2381" s="538"/>
      <c r="AU2381" s="538"/>
      <c r="AV2381" s="538"/>
      <c r="AW2381" s="538"/>
      <c r="AX2381" s="538"/>
      <c r="AY2381" s="538"/>
      <c r="AZ2381" s="538"/>
      <c r="BA2381" s="538"/>
      <c r="BB2381" s="538"/>
      <c r="BC2381" s="538"/>
      <c r="BD2381" s="538"/>
      <c r="BE2381" s="538"/>
      <c r="BF2381" s="538"/>
      <c r="BG2381" s="538"/>
      <c r="BH2381" s="538"/>
    </row>
    <row r="2382" spans="1:60" x14ac:dyDescent="0.2">
      <c r="A2382" s="1507">
        <v>10</v>
      </c>
      <c r="B2382" s="1516">
        <v>1002.3</v>
      </c>
      <c r="C2382" s="1511" t="s">
        <v>255</v>
      </c>
      <c r="D2382" s="1511"/>
      <c r="E2382" s="1511"/>
      <c r="F2382" s="1511"/>
      <c r="G2382" s="1509" t="str">
        <f t="shared" si="159"/>
        <v>P</v>
      </c>
      <c r="H2382" s="1510" t="s">
        <v>3199</v>
      </c>
      <c r="I2382" s="588"/>
      <c r="J2382" s="208"/>
      <c r="K2382" s="208"/>
      <c r="L2382" s="1612"/>
      <c r="M2382" s="540"/>
      <c r="N2382" s="4"/>
      <c r="O2382" s="540"/>
      <c r="P2382" s="538"/>
      <c r="Q2382" s="538"/>
      <c r="R2382" s="538"/>
      <c r="S2382" s="538"/>
      <c r="T2382" s="538"/>
      <c r="U2382" s="538"/>
      <c r="V2382" s="538"/>
      <c r="W2382" s="538"/>
      <c r="X2382" s="1600"/>
      <c r="Y2382" s="1874"/>
      <c r="Z2382" s="1889"/>
      <c r="AB2382" s="538"/>
      <c r="AC2382" s="538"/>
      <c r="AD2382" s="538"/>
      <c r="AE2382" s="538"/>
      <c r="AF2382" s="538"/>
      <c r="AG2382" s="538"/>
      <c r="AH2382" s="538"/>
      <c r="AI2382" s="538"/>
      <c r="AJ2382" s="538"/>
      <c r="AK2382" s="538"/>
      <c r="AL2382" s="1352"/>
      <c r="AM2382" s="1352"/>
      <c r="AN2382" s="1352"/>
      <c r="AO2382" s="1352"/>
      <c r="AP2382" s="1352"/>
      <c r="AQ2382" s="1352"/>
      <c r="AR2382" s="1352"/>
      <c r="AS2382" s="1352"/>
      <c r="AT2382" s="538"/>
      <c r="AU2382" s="538"/>
      <c r="AV2382" s="538"/>
      <c r="AW2382" s="538"/>
      <c r="AX2382" s="538"/>
      <c r="AY2382" s="538"/>
      <c r="AZ2382" s="538"/>
      <c r="BA2382" s="538"/>
      <c r="BB2382" s="538"/>
      <c r="BC2382" s="538"/>
      <c r="BD2382" s="538"/>
      <c r="BE2382" s="538"/>
      <c r="BF2382" s="538"/>
      <c r="BG2382" s="538"/>
      <c r="BH2382" s="538"/>
    </row>
    <row r="2383" spans="1:60" x14ac:dyDescent="0.2">
      <c r="A2383" s="1507">
        <v>10</v>
      </c>
      <c r="B2383" s="1516">
        <v>1002.3</v>
      </c>
      <c r="C2383" s="1511" t="s">
        <v>256</v>
      </c>
      <c r="D2383" s="1511"/>
      <c r="E2383" s="1511"/>
      <c r="F2383" s="1511"/>
      <c r="G2383" s="1509" t="str">
        <f t="shared" si="159"/>
        <v>P</v>
      </c>
      <c r="H2383" s="1510" t="s">
        <v>3199</v>
      </c>
      <c r="I2383" s="588"/>
      <c r="J2383" s="608" t="s">
        <v>256</v>
      </c>
      <c r="K2383" s="1404"/>
      <c r="L2383" s="570" t="s">
        <v>2828</v>
      </c>
      <c r="M2383" s="540"/>
      <c r="N2383" s="4"/>
      <c r="O2383" s="540"/>
      <c r="P2383" s="538" t="b">
        <v>0</v>
      </c>
      <c r="Q2383" s="538" t="b">
        <v>1</v>
      </c>
      <c r="R2383" s="538" t="b">
        <v>0</v>
      </c>
      <c r="S2383" s="538" t="b">
        <f>IF(AY2266=INDEX(ddSingleOrMulti,2),TRUE,FALSE)</f>
        <v>1</v>
      </c>
      <c r="T2383" s="96" t="b">
        <f>AND(NOT(S2383),W2383=TRUE)</f>
        <v>0</v>
      </c>
      <c r="U2383" s="538"/>
      <c r="V2383" s="538"/>
      <c r="W2383" s="27" t="b">
        <v>1</v>
      </c>
      <c r="X2383" s="1600"/>
      <c r="Y2383" s="1874" t="str">
        <f>IF(LEN('11.1000'!X136)=0,"None",'11.1000'!X136)</f>
        <v>None</v>
      </c>
      <c r="Z2383" s="1889"/>
      <c r="AB2383" s="538"/>
      <c r="AC2383" s="538" t="b">
        <f>OR(AD2383:AE2383)</f>
        <v>0</v>
      </c>
      <c r="AD2383" s="538" t="b">
        <f>T2383</f>
        <v>0</v>
      </c>
      <c r="AE2383" s="538"/>
      <c r="AF2383" s="538"/>
      <c r="AG2383" s="538"/>
      <c r="AH2383" s="538"/>
      <c r="AI2383" s="538"/>
      <c r="AJ2383" s="538"/>
      <c r="AK2383" s="538"/>
      <c r="AL2383" s="1352"/>
      <c r="AM2383" s="1352"/>
      <c r="AN2383" s="1352"/>
      <c r="AO2383" s="1352"/>
      <c r="AP2383" s="1352" t="str">
        <f>SUBSTITUTE(SUBSTITUTE(SUBSTITUTE("vch"&amp;$B2383&amp;$C2383&amp;$D2383&amp;$E2383,".","_"),"(","_"),")","")</f>
        <v>vch1002_3_3</v>
      </c>
      <c r="AQ2383" s="1352" t="b">
        <f>IF(LEN(W2383)=0,"",W2383)</f>
        <v>1</v>
      </c>
      <c r="AR2383" s="1352" t="str">
        <f>SUBSTITUTE(SUBSTITUTE(SUBSTITUTE("vnt"&amp;$B2383&amp;$C2383&amp;$D2383&amp;$E2383,".","_"),"(","_"),")","")</f>
        <v>vnt1002_3_3</v>
      </c>
      <c r="AS2383" s="1352" t="str">
        <f>IF(LEN(X2383)=0,"",X2383)</f>
        <v/>
      </c>
      <c r="AT2383" s="538"/>
      <c r="AU2383" s="538"/>
      <c r="AV2383" s="538"/>
      <c r="AW2383" s="538"/>
      <c r="AX2383" s="538"/>
      <c r="AY2383" s="538"/>
      <c r="AZ2383" s="538"/>
      <c r="BA2383" s="538"/>
      <c r="BB2383" s="538"/>
      <c r="BC2383" s="538"/>
      <c r="BD2383" s="538"/>
      <c r="BE2383" s="538"/>
      <c r="BF2383" s="538"/>
      <c r="BG2383" s="538"/>
      <c r="BH2383" s="538"/>
    </row>
    <row r="2384" spans="1:60" x14ac:dyDescent="0.2">
      <c r="A2384" s="1507">
        <v>10</v>
      </c>
      <c r="B2384" s="1516">
        <v>1002.3</v>
      </c>
      <c r="C2384" s="1511" t="s">
        <v>256</v>
      </c>
      <c r="D2384" s="1511" t="s">
        <v>121</v>
      </c>
      <c r="E2384" s="1511"/>
      <c r="F2384" s="1511"/>
      <c r="G2384" s="1509" t="str">
        <f t="shared" si="159"/>
        <v>P</v>
      </c>
      <c r="H2384" s="1512" t="s">
        <v>3199</v>
      </c>
      <c r="I2384" s="588"/>
      <c r="J2384" s="609"/>
      <c r="K2384" s="590" t="s">
        <v>121</v>
      </c>
      <c r="L2384" s="568" t="s">
        <v>2829</v>
      </c>
      <c r="M2384" s="540"/>
      <c r="N2384" s="4"/>
      <c r="O2384" s="540"/>
      <c r="P2384" s="538"/>
      <c r="Q2384" s="538"/>
      <c r="R2384" s="538"/>
      <c r="S2384" s="538"/>
      <c r="T2384" s="538"/>
      <c r="U2384" s="538"/>
      <c r="V2384" s="538"/>
      <c r="W2384" s="538"/>
      <c r="X2384" s="1600"/>
      <c r="Y2384" s="1874"/>
      <c r="Z2384" s="1889"/>
      <c r="AB2384" s="538"/>
      <c r="AC2384" s="538"/>
      <c r="AD2384" s="538"/>
      <c r="AE2384" s="538"/>
      <c r="AF2384" s="538"/>
      <c r="AG2384" s="538"/>
      <c r="AH2384" s="538"/>
      <c r="AI2384" s="538"/>
      <c r="AJ2384" s="538"/>
      <c r="AK2384" s="538"/>
      <c r="AL2384" s="1352"/>
      <c r="AM2384" s="1352"/>
      <c r="AN2384" s="1352"/>
      <c r="AO2384" s="1352"/>
      <c r="AP2384" s="1352"/>
      <c r="AQ2384" s="1352"/>
      <c r="AR2384" s="1352"/>
      <c r="AS2384" s="1352"/>
      <c r="AT2384" s="538"/>
      <c r="AU2384" s="538"/>
      <c r="AV2384" s="538"/>
      <c r="AW2384" s="538"/>
      <c r="AX2384" s="538"/>
      <c r="AY2384" s="538"/>
      <c r="AZ2384" s="538"/>
      <c r="BA2384" s="538"/>
      <c r="BB2384" s="538"/>
      <c r="BC2384" s="538"/>
      <c r="BD2384" s="538"/>
      <c r="BE2384" s="538"/>
      <c r="BF2384" s="538"/>
      <c r="BG2384" s="538"/>
      <c r="BH2384" s="538"/>
    </row>
    <row r="2385" spans="1:60" x14ac:dyDescent="0.2">
      <c r="A2385" s="1507">
        <v>10</v>
      </c>
      <c r="B2385" s="1516">
        <v>1002.3</v>
      </c>
      <c r="C2385" s="1511" t="s">
        <v>256</v>
      </c>
      <c r="D2385" s="1511" t="s">
        <v>122</v>
      </c>
      <c r="E2385" s="1511"/>
      <c r="F2385" s="1511"/>
      <c r="G2385" s="1509" t="str">
        <f t="shared" si="159"/>
        <v>P</v>
      </c>
      <c r="H2385" s="1512" t="s">
        <v>3199</v>
      </c>
      <c r="I2385" s="588"/>
      <c r="J2385" s="609"/>
      <c r="K2385" s="590" t="s">
        <v>122</v>
      </c>
      <c r="L2385" s="568" t="s">
        <v>2830</v>
      </c>
      <c r="M2385" s="540"/>
      <c r="N2385" s="4"/>
      <c r="O2385" s="540"/>
      <c r="P2385" s="538"/>
      <c r="Q2385" s="538"/>
      <c r="R2385" s="538"/>
      <c r="S2385" s="538"/>
      <c r="T2385" s="538"/>
      <c r="U2385" s="538"/>
      <c r="V2385" s="538"/>
      <c r="W2385" s="538"/>
      <c r="X2385" s="1600"/>
      <c r="Y2385" s="1874"/>
      <c r="Z2385" s="1889"/>
      <c r="AB2385" s="538"/>
      <c r="AC2385" s="538"/>
      <c r="AD2385" s="538"/>
      <c r="AE2385" s="538"/>
      <c r="AF2385" s="538"/>
      <c r="AG2385" s="538"/>
      <c r="AH2385" s="538"/>
      <c r="AI2385" s="538"/>
      <c r="AJ2385" s="538"/>
      <c r="AK2385" s="538"/>
      <c r="AL2385" s="1352"/>
      <c r="AM2385" s="1352"/>
      <c r="AN2385" s="1352"/>
      <c r="AO2385" s="1352"/>
      <c r="AP2385" s="1352"/>
      <c r="AQ2385" s="1352"/>
      <c r="AR2385" s="1352"/>
      <c r="AS2385" s="1352"/>
      <c r="AT2385" s="538"/>
      <c r="AU2385" s="538"/>
      <c r="AV2385" s="538"/>
      <c r="AW2385" s="538"/>
      <c r="AX2385" s="538"/>
      <c r="AY2385" s="538"/>
      <c r="AZ2385" s="538"/>
      <c r="BA2385" s="538"/>
      <c r="BB2385" s="538"/>
      <c r="BC2385" s="538"/>
      <c r="BD2385" s="538"/>
      <c r="BE2385" s="538"/>
      <c r="BF2385" s="538"/>
      <c r="BG2385" s="538"/>
      <c r="BH2385" s="538"/>
    </row>
    <row r="2386" spans="1:60" x14ac:dyDescent="0.2">
      <c r="A2386" s="1507">
        <v>10</v>
      </c>
      <c r="B2386" s="1516">
        <v>1002.3</v>
      </c>
      <c r="C2386" s="1511" t="s">
        <v>256</v>
      </c>
      <c r="D2386" s="1511" t="s">
        <v>123</v>
      </c>
      <c r="E2386" s="1511"/>
      <c r="F2386" s="1511"/>
      <c r="G2386" s="1509" t="str">
        <f t="shared" si="159"/>
        <v>P</v>
      </c>
      <c r="H2386" s="1512" t="s">
        <v>3199</v>
      </c>
      <c r="I2386" s="588"/>
      <c r="J2386" s="609"/>
      <c r="K2386" s="590" t="s">
        <v>123</v>
      </c>
      <c r="L2386" s="568" t="s">
        <v>2831</v>
      </c>
      <c r="M2386" s="540"/>
      <c r="N2386" s="4"/>
      <c r="O2386" s="540"/>
      <c r="P2386" s="538"/>
      <c r="Q2386" s="538"/>
      <c r="R2386" s="538"/>
      <c r="S2386" s="538"/>
      <c r="T2386" s="538"/>
      <c r="U2386" s="538"/>
      <c r="V2386" s="538"/>
      <c r="W2386" s="538"/>
      <c r="X2386" s="1600"/>
      <c r="Y2386" s="1874"/>
      <c r="Z2386" s="1889"/>
      <c r="AB2386" s="538"/>
      <c r="AC2386" s="538"/>
      <c r="AD2386" s="538"/>
      <c r="AE2386" s="538"/>
      <c r="AF2386" s="538"/>
      <c r="AG2386" s="538"/>
      <c r="AH2386" s="538"/>
      <c r="AI2386" s="538"/>
      <c r="AJ2386" s="538"/>
      <c r="AK2386" s="538"/>
      <c r="AL2386" s="1352"/>
      <c r="AM2386" s="1352"/>
      <c r="AN2386" s="1352"/>
      <c r="AO2386" s="1352"/>
      <c r="AP2386" s="1352"/>
      <c r="AQ2386" s="1352"/>
      <c r="AR2386" s="1352"/>
      <c r="AS2386" s="1352"/>
      <c r="AT2386" s="538"/>
      <c r="AU2386" s="538"/>
      <c r="AV2386" s="538"/>
      <c r="AW2386" s="538"/>
      <c r="AX2386" s="538"/>
      <c r="AY2386" s="538"/>
      <c r="AZ2386" s="538"/>
      <c r="BA2386" s="538"/>
      <c r="BB2386" s="538"/>
      <c r="BC2386" s="538"/>
      <c r="BD2386" s="538"/>
      <c r="BE2386" s="538"/>
      <c r="BF2386" s="538"/>
      <c r="BG2386" s="538"/>
      <c r="BH2386" s="538"/>
    </row>
    <row r="2387" spans="1:60" x14ac:dyDescent="0.2">
      <c r="A2387" s="1507">
        <v>10</v>
      </c>
      <c r="B2387" s="1516">
        <v>1002.3</v>
      </c>
      <c r="C2387" s="1511" t="s">
        <v>256</v>
      </c>
      <c r="D2387" s="1511" t="s">
        <v>366</v>
      </c>
      <c r="E2387" s="1511"/>
      <c r="F2387" s="1511"/>
      <c r="G2387" s="1509" t="str">
        <f t="shared" si="159"/>
        <v>P</v>
      </c>
      <c r="H2387" s="1512" t="s">
        <v>3199</v>
      </c>
      <c r="I2387" s="588"/>
      <c r="J2387" s="609"/>
      <c r="K2387" s="590" t="s">
        <v>366</v>
      </c>
      <c r="L2387" s="568" t="s">
        <v>2832</v>
      </c>
      <c r="M2387" s="540"/>
      <c r="N2387" s="4"/>
      <c r="O2387" s="540"/>
      <c r="P2387" s="538"/>
      <c r="Q2387" s="538"/>
      <c r="R2387" s="538"/>
      <c r="S2387" s="538"/>
      <c r="T2387" s="538"/>
      <c r="U2387" s="538"/>
      <c r="V2387" s="538"/>
      <c r="W2387" s="538"/>
      <c r="X2387" s="1600"/>
      <c r="Y2387" s="1874"/>
      <c r="Z2387" s="1889"/>
      <c r="AB2387" s="538"/>
      <c r="AC2387" s="538"/>
      <c r="AD2387" s="538"/>
      <c r="AE2387" s="538"/>
      <c r="AF2387" s="538"/>
      <c r="AG2387" s="538"/>
      <c r="AH2387" s="538"/>
      <c r="AI2387" s="538"/>
      <c r="AJ2387" s="538"/>
      <c r="AK2387" s="538"/>
      <c r="AL2387" s="1352"/>
      <c r="AM2387" s="1352"/>
      <c r="AN2387" s="1352"/>
      <c r="AO2387" s="1352"/>
      <c r="AP2387" s="1352"/>
      <c r="AQ2387" s="1352"/>
      <c r="AR2387" s="1352"/>
      <c r="AS2387" s="1352"/>
      <c r="AT2387" s="538"/>
      <c r="AU2387" s="538"/>
      <c r="AV2387" s="538"/>
      <c r="AW2387" s="538"/>
      <c r="AX2387" s="538"/>
      <c r="AY2387" s="538"/>
      <c r="AZ2387" s="538"/>
      <c r="BA2387" s="538"/>
      <c r="BB2387" s="538"/>
      <c r="BC2387" s="538"/>
      <c r="BD2387" s="538"/>
      <c r="BE2387" s="538"/>
      <c r="BF2387" s="538"/>
      <c r="BG2387" s="538"/>
      <c r="BH2387" s="538"/>
    </row>
    <row r="2388" spans="1:60" x14ac:dyDescent="0.2">
      <c r="A2388" s="1507">
        <v>10</v>
      </c>
      <c r="B2388" s="1516">
        <v>1002.3</v>
      </c>
      <c r="C2388" s="1511" t="s">
        <v>256</v>
      </c>
      <c r="D2388" s="1511" t="s">
        <v>472</v>
      </c>
      <c r="E2388" s="1511"/>
      <c r="F2388" s="1511"/>
      <c r="G2388" s="1509" t="str">
        <f t="shared" si="159"/>
        <v>P</v>
      </c>
      <c r="H2388" s="1512" t="s">
        <v>3199</v>
      </c>
      <c r="I2388" s="588"/>
      <c r="J2388" s="609"/>
      <c r="K2388" s="590" t="s">
        <v>472</v>
      </c>
      <c r="L2388" s="568" t="s">
        <v>2833</v>
      </c>
      <c r="M2388" s="540"/>
      <c r="N2388" s="4"/>
      <c r="O2388" s="540"/>
      <c r="P2388" s="538"/>
      <c r="Q2388" s="538"/>
      <c r="R2388" s="538"/>
      <c r="S2388" s="538"/>
      <c r="T2388" s="538"/>
      <c r="U2388" s="538"/>
      <c r="V2388" s="538"/>
      <c r="W2388" s="538"/>
      <c r="X2388" s="1600"/>
      <c r="Y2388" s="1874"/>
      <c r="Z2388" s="1889"/>
      <c r="AB2388" s="538"/>
      <c r="AC2388" s="538"/>
      <c r="AD2388" s="538"/>
      <c r="AE2388" s="538"/>
      <c r="AF2388" s="538"/>
      <c r="AG2388" s="538"/>
      <c r="AH2388" s="538"/>
      <c r="AI2388" s="538"/>
      <c r="AJ2388" s="538"/>
      <c r="AK2388" s="538"/>
      <c r="AL2388" s="1352"/>
      <c r="AM2388" s="1352"/>
      <c r="AN2388" s="1352"/>
      <c r="AO2388" s="1352"/>
      <c r="AP2388" s="1352"/>
      <c r="AQ2388" s="1352"/>
      <c r="AR2388" s="1352"/>
      <c r="AS2388" s="1352"/>
      <c r="AT2388" s="538"/>
      <c r="AU2388" s="538"/>
      <c r="AV2388" s="538"/>
      <c r="AW2388" s="538"/>
      <c r="AX2388" s="538"/>
      <c r="AY2388" s="538"/>
      <c r="AZ2388" s="538"/>
      <c r="BA2388" s="538"/>
      <c r="BB2388" s="538"/>
      <c r="BC2388" s="538"/>
      <c r="BD2388" s="538"/>
      <c r="BE2388" s="538"/>
      <c r="BF2388" s="538"/>
      <c r="BG2388" s="538"/>
      <c r="BH2388" s="538"/>
    </row>
    <row r="2389" spans="1:60" x14ac:dyDescent="0.2">
      <c r="A2389" s="1507">
        <v>10</v>
      </c>
      <c r="B2389" s="1516">
        <v>1002.3</v>
      </c>
      <c r="C2389" s="1511" t="s">
        <v>256</v>
      </c>
      <c r="D2389" s="1511" t="s">
        <v>510</v>
      </c>
      <c r="E2389" s="1511"/>
      <c r="F2389" s="1511"/>
      <c r="G2389" s="1509" t="str">
        <f t="shared" si="159"/>
        <v>P</v>
      </c>
      <c r="H2389" s="1512" t="s">
        <v>3199</v>
      </c>
      <c r="I2389" s="588"/>
      <c r="J2389" s="208"/>
      <c r="K2389" s="606" t="s">
        <v>510</v>
      </c>
      <c r="L2389" s="571" t="s">
        <v>2834</v>
      </c>
      <c r="M2389" s="540"/>
      <c r="N2389" s="4"/>
      <c r="O2389" s="540"/>
      <c r="P2389" s="538"/>
      <c r="Q2389" s="538"/>
      <c r="R2389" s="538"/>
      <c r="S2389" s="538"/>
      <c r="T2389" s="538"/>
      <c r="U2389" s="538"/>
      <c r="V2389" s="538"/>
      <c r="W2389" s="538"/>
      <c r="X2389" s="1600"/>
      <c r="Y2389" s="1874"/>
      <c r="Z2389" s="1889"/>
      <c r="AB2389" s="538"/>
      <c r="AC2389" s="538"/>
      <c r="AD2389" s="538"/>
      <c r="AE2389" s="538"/>
      <c r="AF2389" s="538"/>
      <c r="AG2389" s="538"/>
      <c r="AH2389" s="538"/>
      <c r="AI2389" s="538"/>
      <c r="AJ2389" s="538"/>
      <c r="AK2389" s="538"/>
      <c r="AL2389" s="1352"/>
      <c r="AM2389" s="1352"/>
      <c r="AN2389" s="1352"/>
      <c r="AO2389" s="1352"/>
      <c r="AP2389" s="1352"/>
      <c r="AQ2389" s="1352"/>
      <c r="AR2389" s="1352"/>
      <c r="AS2389" s="1352"/>
      <c r="AT2389" s="538"/>
      <c r="AU2389" s="538"/>
      <c r="AV2389" s="538"/>
      <c r="AW2389" s="538"/>
      <c r="AX2389" s="538"/>
      <c r="AY2389" s="538"/>
      <c r="AZ2389" s="538"/>
      <c r="BA2389" s="538"/>
      <c r="BB2389" s="538"/>
      <c r="BC2389" s="538"/>
      <c r="BD2389" s="538"/>
      <c r="BE2389" s="538"/>
      <c r="BF2389" s="538"/>
      <c r="BG2389" s="538"/>
      <c r="BH2389" s="538"/>
    </row>
    <row r="2390" spans="1:60" x14ac:dyDescent="0.2">
      <c r="A2390" s="1507">
        <v>10</v>
      </c>
      <c r="B2390" s="1516">
        <v>1002.3</v>
      </c>
      <c r="C2390" s="1511" t="s">
        <v>259</v>
      </c>
      <c r="D2390" s="1511"/>
      <c r="E2390" s="1511"/>
      <c r="F2390" s="1511"/>
      <c r="G2390" s="1509" t="str">
        <f t="shared" si="159"/>
        <v>P</v>
      </c>
      <c r="H2390" s="1510" t="s">
        <v>3199</v>
      </c>
      <c r="I2390" s="588"/>
      <c r="J2390" s="589" t="s">
        <v>259</v>
      </c>
      <c r="K2390" s="588"/>
      <c r="L2390" s="1611" t="s">
        <v>2786</v>
      </c>
      <c r="M2390" s="540"/>
      <c r="N2390" s="4"/>
      <c r="O2390" s="540"/>
      <c r="P2390" s="538" t="b">
        <v>0</v>
      </c>
      <c r="Q2390" s="538" t="b">
        <v>1</v>
      </c>
      <c r="R2390" s="538" t="b">
        <v>0</v>
      </c>
      <c r="S2390" s="538" t="b">
        <f>IF(AY2266=INDEX(ddSingleOrMulti,2),TRUE,FALSE)</f>
        <v>1</v>
      </c>
      <c r="T2390" s="96" t="b">
        <f>AND(NOT(S2390),W2390=TRUE)</f>
        <v>0</v>
      </c>
      <c r="U2390" s="538"/>
      <c r="V2390" s="538"/>
      <c r="W2390" s="27" t="b">
        <v>1</v>
      </c>
      <c r="X2390" s="1600"/>
      <c r="Y2390" s="1874" t="str">
        <f>IF(LEN('11.1000'!X143)=0,"None",'11.1000'!X143)</f>
        <v>None</v>
      </c>
      <c r="Z2390" s="1889"/>
      <c r="AB2390" s="538"/>
      <c r="AC2390" s="538" t="b">
        <f>OR(AD2390:AE2390)</f>
        <v>0</v>
      </c>
      <c r="AD2390" s="538" t="b">
        <f>T2390</f>
        <v>0</v>
      </c>
      <c r="AE2390" s="538"/>
      <c r="AF2390" s="538"/>
      <c r="AG2390" s="538"/>
      <c r="AH2390" s="538"/>
      <c r="AI2390" s="538"/>
      <c r="AJ2390" s="538"/>
      <c r="AK2390" s="538"/>
      <c r="AL2390" s="1352"/>
      <c r="AM2390" s="1352"/>
      <c r="AN2390" s="1352"/>
      <c r="AO2390" s="1352"/>
      <c r="AP2390" s="1352" t="str">
        <f>SUBSTITUTE(SUBSTITUTE(SUBSTITUTE("vch"&amp;$B2390&amp;$C2390&amp;$D2390&amp;$E2390,".","_"),"(","_"),")","")</f>
        <v>vch1002_3_4</v>
      </c>
      <c r="AQ2390" s="1352" t="b">
        <f>IF(LEN(W2390)=0,"",W2390)</f>
        <v>1</v>
      </c>
      <c r="AR2390" s="1352" t="str">
        <f>SUBSTITUTE(SUBSTITUTE(SUBSTITUTE("vnt"&amp;$B2390&amp;$C2390&amp;$D2390&amp;$E2390,".","_"),"(","_"),")","")</f>
        <v>vnt1002_3_4</v>
      </c>
      <c r="AS2390" s="1352" t="str">
        <f>IF(LEN(X2390)=0,"",X2390)</f>
        <v/>
      </c>
      <c r="AT2390" s="538"/>
      <c r="AU2390" s="538"/>
      <c r="AV2390" s="538"/>
      <c r="AW2390" s="538"/>
      <c r="AX2390" s="538"/>
      <c r="AY2390" s="538"/>
      <c r="AZ2390" s="538"/>
      <c r="BA2390" s="538"/>
      <c r="BB2390" s="538"/>
      <c r="BC2390" s="538"/>
      <c r="BD2390" s="538"/>
      <c r="BE2390" s="538"/>
      <c r="BF2390" s="538"/>
      <c r="BG2390" s="538"/>
      <c r="BH2390" s="538"/>
    </row>
    <row r="2391" spans="1:60" x14ac:dyDescent="0.2">
      <c r="A2391" s="1507">
        <v>10</v>
      </c>
      <c r="B2391" s="1516">
        <v>1002.3</v>
      </c>
      <c r="C2391" s="1511" t="s">
        <v>259</v>
      </c>
      <c r="D2391" s="1511"/>
      <c r="E2391" s="1511"/>
      <c r="F2391" s="1511"/>
      <c r="G2391" s="1509" t="str">
        <f t="shared" si="159"/>
        <v>P</v>
      </c>
      <c r="H2391" s="1510" t="s">
        <v>3199</v>
      </c>
      <c r="I2391" s="588"/>
      <c r="J2391" s="588"/>
      <c r="K2391" s="588"/>
      <c r="L2391" s="1611"/>
      <c r="M2391" s="540"/>
      <c r="N2391" s="4"/>
      <c r="O2391" s="540"/>
      <c r="P2391" s="538"/>
      <c r="Q2391" s="538"/>
      <c r="R2391" s="538"/>
      <c r="S2391" s="538"/>
      <c r="T2391" s="538"/>
      <c r="U2391" s="538"/>
      <c r="V2391" s="538"/>
      <c r="W2391" s="538"/>
      <c r="X2391" s="1600"/>
      <c r="Y2391" s="1874"/>
      <c r="Z2391" s="1889"/>
      <c r="AB2391" s="538"/>
      <c r="AC2391" s="538"/>
      <c r="AD2391" s="538"/>
      <c r="AE2391" s="538"/>
      <c r="AF2391" s="538"/>
      <c r="AG2391" s="538"/>
      <c r="AH2391" s="538"/>
      <c r="AI2391" s="538"/>
      <c r="AJ2391" s="538"/>
      <c r="AK2391" s="538"/>
      <c r="AL2391" s="1352"/>
      <c r="AM2391" s="1352"/>
      <c r="AN2391" s="1352"/>
      <c r="AO2391" s="1352"/>
      <c r="AP2391" s="1352"/>
      <c r="AQ2391" s="1352"/>
      <c r="AR2391" s="1352"/>
      <c r="AS2391" s="1352"/>
      <c r="AT2391" s="538"/>
      <c r="AU2391" s="538"/>
      <c r="AV2391" s="538"/>
      <c r="AW2391" s="538"/>
      <c r="AX2391" s="538"/>
      <c r="AY2391" s="538"/>
      <c r="AZ2391" s="538"/>
      <c r="BA2391" s="538"/>
      <c r="BB2391" s="538"/>
      <c r="BC2391" s="538"/>
      <c r="BD2391" s="538"/>
      <c r="BE2391" s="538"/>
      <c r="BF2391" s="538"/>
      <c r="BG2391" s="538"/>
      <c r="BH2391" s="538"/>
    </row>
    <row r="2392" spans="1:60" ht="16" x14ac:dyDescent="0.2">
      <c r="A2392" s="1507">
        <v>10</v>
      </c>
      <c r="B2392" s="1516">
        <v>1002.3</v>
      </c>
      <c r="C2392" s="1511" t="s">
        <v>263</v>
      </c>
      <c r="D2392" s="1511"/>
      <c r="E2392" s="1511"/>
      <c r="F2392" s="1511"/>
      <c r="G2392" s="1509" t="str">
        <f t="shared" si="159"/>
        <v>P</v>
      </c>
      <c r="H2392" s="1510" t="s">
        <v>3199</v>
      </c>
      <c r="I2392" s="588"/>
      <c r="J2392" s="607" t="s">
        <v>263</v>
      </c>
      <c r="K2392" s="211"/>
      <c r="L2392" s="243" t="s">
        <v>2788</v>
      </c>
      <c r="M2392" s="540"/>
      <c r="N2392" s="4"/>
      <c r="O2392" s="540"/>
      <c r="P2392" s="538" t="b">
        <v>0</v>
      </c>
      <c r="Q2392" s="538" t="b">
        <v>1</v>
      </c>
      <c r="R2392" s="538" t="b">
        <v>0</v>
      </c>
      <c r="S2392" s="538" t="b">
        <f>IF(AY2266=INDEX(ddSingleOrMulti,2),TRUE,FALSE)</f>
        <v>1</v>
      </c>
      <c r="T2392" s="96" t="b">
        <f>AND(NOT(S2392),W2392=TRUE)</f>
        <v>0</v>
      </c>
      <c r="U2392" s="538"/>
      <c r="V2392" s="538"/>
      <c r="W2392" s="27" t="b">
        <v>1</v>
      </c>
      <c r="X2392" s="541"/>
      <c r="Y2392" s="572" t="str">
        <f>IF(LEN('11.1000'!X145)=0,"None",'11.1000'!X145)</f>
        <v>None</v>
      </c>
      <c r="Z2392" s="715"/>
      <c r="AB2392" s="538"/>
      <c r="AC2392" s="538" t="b">
        <f>OR(AD2392:AE2392)</f>
        <v>0</v>
      </c>
      <c r="AD2392" s="538" t="b">
        <f>T2392</f>
        <v>0</v>
      </c>
      <c r="AE2392" s="538"/>
      <c r="AF2392" s="538"/>
      <c r="AG2392" s="538"/>
      <c r="AH2392" s="538"/>
      <c r="AI2392" s="538"/>
      <c r="AJ2392" s="538"/>
      <c r="AK2392" s="538"/>
      <c r="AL2392" s="1352"/>
      <c r="AM2392" s="1352"/>
      <c r="AN2392" s="1352"/>
      <c r="AO2392" s="1352"/>
      <c r="AP2392" s="1352" t="str">
        <f>SUBSTITUTE(SUBSTITUTE(SUBSTITUTE("vch"&amp;$B2392&amp;$C2392&amp;$D2392&amp;$E2392,".","_"),"(","_"),")","")</f>
        <v>vch1002_3_5</v>
      </c>
      <c r="AQ2392" s="1352" t="b">
        <f>IF(LEN(W2392)=0,"",W2392)</f>
        <v>1</v>
      </c>
      <c r="AR2392" s="1352" t="str">
        <f>SUBSTITUTE(SUBSTITUTE(SUBSTITUTE("vnt"&amp;$B2392&amp;$C2392&amp;$D2392&amp;$E2392,".","_"),"(","_"),")","")</f>
        <v>vnt1002_3_5</v>
      </c>
      <c r="AS2392" s="1352" t="str">
        <f>IF(LEN(X2392)=0,"",X2392)</f>
        <v/>
      </c>
      <c r="AT2392" s="538"/>
      <c r="AU2392" s="538"/>
      <c r="AV2392" s="538"/>
      <c r="AW2392" s="538"/>
      <c r="AX2392" s="538"/>
      <c r="AY2392" s="538"/>
      <c r="AZ2392" s="538"/>
      <c r="BA2392" s="538"/>
      <c r="BB2392" s="538"/>
      <c r="BC2392" s="538"/>
      <c r="BD2392" s="538"/>
      <c r="BE2392" s="538"/>
      <c r="BF2392" s="538"/>
      <c r="BG2392" s="538"/>
      <c r="BH2392" s="538"/>
    </row>
    <row r="2393" spans="1:60" x14ac:dyDescent="0.2">
      <c r="A2393" s="1507">
        <v>10</v>
      </c>
      <c r="B2393" s="1516">
        <v>1002.3</v>
      </c>
      <c r="C2393" s="1511" t="s">
        <v>264</v>
      </c>
      <c r="D2393" s="1511"/>
      <c r="E2393" s="1511"/>
      <c r="F2393" s="1511"/>
      <c r="G2393" s="1509" t="str">
        <f t="shared" si="159"/>
        <v>P</v>
      </c>
      <c r="H2393" s="1510" t="s">
        <v>3199</v>
      </c>
      <c r="I2393" s="588"/>
      <c r="J2393" s="589" t="s">
        <v>264</v>
      </c>
      <c r="K2393" s="588"/>
      <c r="L2393" s="1611" t="s">
        <v>2835</v>
      </c>
      <c r="M2393" s="540"/>
      <c r="N2393" s="4"/>
      <c r="O2393" s="540"/>
      <c r="P2393" s="538" t="b">
        <v>0</v>
      </c>
      <c r="Q2393" s="538" t="b">
        <v>1</v>
      </c>
      <c r="R2393" s="538" t="b">
        <v>0</v>
      </c>
      <c r="S2393" s="538" t="b">
        <f>IF(AY2266=INDEX(ddSingleOrMulti,2),TRUE,FALSE)</f>
        <v>1</v>
      </c>
      <c r="T2393" s="96" t="b">
        <f>AND(NOT(S2393),W2393=TRUE)</f>
        <v>0</v>
      </c>
      <c r="U2393" s="538"/>
      <c r="V2393" s="538"/>
      <c r="W2393" s="27" t="b">
        <v>1</v>
      </c>
      <c r="X2393" s="1600"/>
      <c r="Y2393" s="1874" t="str">
        <f>IF(LEN('11.1000'!X146)=0,"None",'11.1000'!X146)</f>
        <v>None</v>
      </c>
      <c r="Z2393" s="1889"/>
      <c r="AB2393" s="538"/>
      <c r="AC2393" s="538" t="b">
        <f>OR(AD2393:AE2393)</f>
        <v>0</v>
      </c>
      <c r="AD2393" s="538" t="b">
        <f>T2393</f>
        <v>0</v>
      </c>
      <c r="AE2393" s="538"/>
      <c r="AF2393" s="538"/>
      <c r="AG2393" s="538"/>
      <c r="AH2393" s="538"/>
      <c r="AI2393" s="538"/>
      <c r="AJ2393" s="538"/>
      <c r="AK2393" s="538"/>
      <c r="AL2393" s="1352"/>
      <c r="AM2393" s="1352"/>
      <c r="AN2393" s="1352"/>
      <c r="AO2393" s="1352"/>
      <c r="AP2393" s="1352" t="str">
        <f>SUBSTITUTE(SUBSTITUTE(SUBSTITUTE("vch"&amp;$B2393&amp;$C2393&amp;$D2393&amp;$E2393,".","_"),"(","_"),")","")</f>
        <v>vch1002_3_6</v>
      </c>
      <c r="AQ2393" s="1352" t="b">
        <f>IF(LEN(W2393)=0,"",W2393)</f>
        <v>1</v>
      </c>
      <c r="AR2393" s="1352" t="str">
        <f>SUBSTITUTE(SUBSTITUTE(SUBSTITUTE("vnt"&amp;$B2393&amp;$C2393&amp;$D2393&amp;$E2393,".","_"),"(","_"),")","")</f>
        <v>vnt1002_3_6</v>
      </c>
      <c r="AS2393" s="1352" t="str">
        <f>IF(LEN(X2393)=0,"",X2393)</f>
        <v/>
      </c>
      <c r="AT2393" s="538"/>
      <c r="AU2393" s="538"/>
      <c r="AV2393" s="538"/>
      <c r="AW2393" s="538"/>
      <c r="AX2393" s="538"/>
      <c r="AY2393" s="538"/>
      <c r="AZ2393" s="538"/>
      <c r="BA2393" s="538"/>
      <c r="BB2393" s="538"/>
      <c r="BC2393" s="538"/>
      <c r="BD2393" s="538"/>
      <c r="BE2393" s="538"/>
      <c r="BF2393" s="538"/>
      <c r="BG2393" s="538"/>
      <c r="BH2393" s="538"/>
    </row>
    <row r="2394" spans="1:60" x14ac:dyDescent="0.2">
      <c r="A2394" s="1507">
        <v>10</v>
      </c>
      <c r="B2394" s="1516">
        <v>1002.3</v>
      </c>
      <c r="C2394" s="1511" t="s">
        <v>264</v>
      </c>
      <c r="D2394" s="1511"/>
      <c r="E2394" s="1511"/>
      <c r="F2394" s="1511"/>
      <c r="G2394" s="1509" t="str">
        <f t="shared" si="159"/>
        <v>P</v>
      </c>
      <c r="H2394" s="1510" t="s">
        <v>3199</v>
      </c>
      <c r="I2394" s="588"/>
      <c r="J2394" s="589"/>
      <c r="K2394" s="588"/>
      <c r="L2394" s="1611"/>
      <c r="M2394" s="540"/>
      <c r="N2394" s="4"/>
      <c r="O2394" s="540"/>
      <c r="P2394" s="538"/>
      <c r="Q2394" s="538"/>
      <c r="R2394" s="538"/>
      <c r="S2394" s="538"/>
      <c r="T2394" s="538"/>
      <c r="U2394" s="538"/>
      <c r="V2394" s="538"/>
      <c r="W2394" s="538"/>
      <c r="X2394" s="1600"/>
      <c r="Y2394" s="1874"/>
      <c r="Z2394" s="1889"/>
      <c r="AB2394" s="538"/>
      <c r="AC2394" s="538"/>
      <c r="AD2394" s="538"/>
      <c r="AE2394" s="538"/>
      <c r="AF2394" s="538"/>
      <c r="AG2394" s="538"/>
      <c r="AH2394" s="538"/>
      <c r="AI2394" s="538"/>
      <c r="AJ2394" s="538"/>
      <c r="AK2394" s="538"/>
      <c r="AL2394" s="1352"/>
      <c r="AM2394" s="1352"/>
      <c r="AN2394" s="1352"/>
      <c r="AO2394" s="1352"/>
      <c r="AP2394" s="1352"/>
      <c r="AQ2394" s="1352"/>
      <c r="AR2394" s="1352"/>
      <c r="AS2394" s="1352"/>
      <c r="AT2394" s="538"/>
      <c r="AU2394" s="538"/>
      <c r="AV2394" s="538"/>
      <c r="AW2394" s="538"/>
      <c r="AX2394" s="538"/>
      <c r="AY2394" s="538"/>
      <c r="AZ2394" s="538"/>
      <c r="BA2394" s="538"/>
      <c r="BB2394" s="538"/>
      <c r="BC2394" s="538"/>
      <c r="BD2394" s="538"/>
      <c r="BE2394" s="538"/>
      <c r="BF2394" s="538"/>
      <c r="BG2394" s="538"/>
      <c r="BH2394" s="538"/>
    </row>
    <row r="2395" spans="1:60" ht="16" x14ac:dyDescent="0.2">
      <c r="A2395" s="1507">
        <v>10</v>
      </c>
      <c r="B2395" s="1516">
        <v>1002.3</v>
      </c>
      <c r="C2395" s="1511" t="s">
        <v>356</v>
      </c>
      <c r="D2395" s="1511"/>
      <c r="E2395" s="1511"/>
      <c r="F2395" s="1511"/>
      <c r="G2395" s="1509" t="str">
        <f t="shared" si="159"/>
        <v>P</v>
      </c>
      <c r="H2395" s="1510" t="s">
        <v>3199</v>
      </c>
      <c r="I2395" s="588"/>
      <c r="J2395" s="607" t="s">
        <v>356</v>
      </c>
      <c r="K2395" s="211"/>
      <c r="L2395" s="243" t="s">
        <v>2794</v>
      </c>
      <c r="M2395" s="540"/>
      <c r="N2395" s="4"/>
      <c r="O2395" s="540"/>
      <c r="P2395" s="538" t="b">
        <v>0</v>
      </c>
      <c r="Q2395" s="538" t="b">
        <v>1</v>
      </c>
      <c r="R2395" s="538" t="b">
        <v>0</v>
      </c>
      <c r="S2395" s="538" t="b">
        <f>IF(AY2266=INDEX(ddSingleOrMulti,2),TRUE,FALSE)</f>
        <v>1</v>
      </c>
      <c r="T2395" s="96" t="b">
        <f>AND(NOT(S2395),W2395=TRUE)</f>
        <v>0</v>
      </c>
      <c r="U2395" s="538"/>
      <c r="V2395" s="538"/>
      <c r="W2395" s="27" t="b">
        <v>1</v>
      </c>
      <c r="X2395" s="541"/>
      <c r="Y2395" s="572" t="str">
        <f>IF(LEN('11.1000'!X148)=0,"None",'11.1000'!X148)</f>
        <v>None</v>
      </c>
      <c r="Z2395" s="715"/>
      <c r="AB2395" s="538"/>
      <c r="AC2395" s="538" t="b">
        <f>OR(AD2395:AE2395)</f>
        <v>0</v>
      </c>
      <c r="AD2395" s="538" t="b">
        <f>T2395</f>
        <v>0</v>
      </c>
      <c r="AE2395" s="538"/>
      <c r="AF2395" s="538"/>
      <c r="AG2395" s="538"/>
      <c r="AH2395" s="538"/>
      <c r="AI2395" s="538"/>
      <c r="AJ2395" s="538"/>
      <c r="AK2395" s="538"/>
      <c r="AL2395" s="1352"/>
      <c r="AM2395" s="1352"/>
      <c r="AN2395" s="1352"/>
      <c r="AO2395" s="1352"/>
      <c r="AP2395" s="1352" t="str">
        <f>SUBSTITUTE(SUBSTITUTE(SUBSTITUTE("vch"&amp;$B2395&amp;$C2395&amp;$D2395&amp;$E2395,".","_"),"(","_"),")","")</f>
        <v>vch1002_3_7</v>
      </c>
      <c r="AQ2395" s="1352" t="b">
        <f>IF(LEN(W2395)=0,"",W2395)</f>
        <v>1</v>
      </c>
      <c r="AR2395" s="1352" t="str">
        <f>SUBSTITUTE(SUBSTITUTE(SUBSTITUTE("vnt"&amp;$B2395&amp;$C2395&amp;$D2395&amp;$E2395,".","_"),"(","_"),")","")</f>
        <v>vnt1002_3_7</v>
      </c>
      <c r="AS2395" s="1352" t="str">
        <f>IF(LEN(X2395)=0,"",X2395)</f>
        <v/>
      </c>
      <c r="AT2395" s="538"/>
      <c r="AU2395" s="538"/>
      <c r="AV2395" s="538"/>
      <c r="AW2395" s="538"/>
      <c r="AX2395" s="538"/>
      <c r="AY2395" s="538"/>
      <c r="AZ2395" s="538"/>
      <c r="BA2395" s="538"/>
      <c r="BB2395" s="538"/>
      <c r="BC2395" s="538"/>
      <c r="BD2395" s="538"/>
      <c r="BE2395" s="538"/>
      <c r="BF2395" s="538"/>
      <c r="BG2395" s="538"/>
      <c r="BH2395" s="538"/>
    </row>
    <row r="2396" spans="1:60" ht="16" x14ac:dyDescent="0.2">
      <c r="A2396" s="1507">
        <v>10</v>
      </c>
      <c r="B2396" s="1516">
        <v>1002.3</v>
      </c>
      <c r="C2396" s="1511" t="s">
        <v>389</v>
      </c>
      <c r="D2396" s="1511"/>
      <c r="E2396" s="1511"/>
      <c r="F2396" s="1511"/>
      <c r="G2396" s="1509" t="str">
        <f t="shared" si="159"/>
        <v>P</v>
      </c>
      <c r="H2396" s="1510" t="s">
        <v>3199</v>
      </c>
      <c r="I2396" s="588"/>
      <c r="J2396" s="589" t="s">
        <v>389</v>
      </c>
      <c r="K2396" s="588"/>
      <c r="L2396" s="569" t="s">
        <v>2836</v>
      </c>
      <c r="M2396" s="540"/>
      <c r="N2396" s="4"/>
      <c r="O2396" s="540"/>
      <c r="P2396" s="538" t="b">
        <v>0</v>
      </c>
      <c r="Q2396" s="538" t="b">
        <v>1</v>
      </c>
      <c r="R2396" s="538" t="b">
        <v>0</v>
      </c>
      <c r="S2396" s="538" t="b">
        <f>IF(AY2266=INDEX(ddSingleOrMulti,2),TRUE,FALSE)</f>
        <v>1</v>
      </c>
      <c r="T2396" s="96" t="b">
        <f>AND(NOT(S2396),W2396=TRUE)</f>
        <v>0</v>
      </c>
      <c r="U2396" s="538"/>
      <c r="V2396" s="538"/>
      <c r="W2396" s="27" t="b">
        <v>1</v>
      </c>
      <c r="X2396" s="541"/>
      <c r="Y2396" s="572" t="str">
        <f>IF(LEN('11.1000'!X149)=0,"None",'11.1000'!X149)</f>
        <v>None</v>
      </c>
      <c r="Z2396" s="715"/>
      <c r="AB2396" s="538"/>
      <c r="AC2396" s="538" t="b">
        <f>OR(AD2396:AE2396)</f>
        <v>0</v>
      </c>
      <c r="AD2396" s="538" t="b">
        <f>T2396</f>
        <v>0</v>
      </c>
      <c r="AE2396" s="538"/>
      <c r="AF2396" s="538"/>
      <c r="AG2396" s="538"/>
      <c r="AH2396" s="538"/>
      <c r="AI2396" s="538"/>
      <c r="AJ2396" s="538"/>
      <c r="AK2396" s="538"/>
      <c r="AL2396" s="1352"/>
      <c r="AM2396" s="1352"/>
      <c r="AN2396" s="1352"/>
      <c r="AO2396" s="1352"/>
      <c r="AP2396" s="1352" t="str">
        <f>SUBSTITUTE(SUBSTITUTE(SUBSTITUTE("vch"&amp;$B2396&amp;$C2396&amp;$D2396&amp;$E2396,".","_"),"(","_"),")","")</f>
        <v>vch1002_3_8</v>
      </c>
      <c r="AQ2396" s="1352" t="b">
        <f>IF(LEN(W2396)=0,"",W2396)</f>
        <v>1</v>
      </c>
      <c r="AR2396" s="1352" t="str">
        <f>SUBSTITUTE(SUBSTITUTE(SUBSTITUTE("vnt"&amp;$B2396&amp;$C2396&amp;$D2396&amp;$E2396,".","_"),"(","_"),")","")</f>
        <v>vnt1002_3_8</v>
      </c>
      <c r="AS2396" s="1352" t="str">
        <f>IF(LEN(X2396)=0,"",X2396)</f>
        <v/>
      </c>
      <c r="AT2396" s="538"/>
      <c r="AU2396" s="538"/>
      <c r="AV2396" s="538"/>
      <c r="AW2396" s="538"/>
      <c r="AX2396" s="538"/>
      <c r="AY2396" s="538"/>
      <c r="AZ2396" s="538"/>
      <c r="BA2396" s="538"/>
      <c r="BB2396" s="538"/>
      <c r="BC2396" s="538"/>
      <c r="BD2396" s="538"/>
      <c r="BE2396" s="538"/>
      <c r="BF2396" s="538"/>
      <c r="BG2396" s="538"/>
      <c r="BH2396" s="538"/>
    </row>
    <row r="2397" spans="1:60" ht="16" x14ac:dyDescent="0.2">
      <c r="A2397" s="1507">
        <v>10</v>
      </c>
      <c r="B2397" s="1516">
        <v>1002.3</v>
      </c>
      <c r="C2397" s="1511" t="s">
        <v>391</v>
      </c>
      <c r="D2397" s="1511"/>
      <c r="E2397" s="1511"/>
      <c r="F2397" s="1511"/>
      <c r="G2397" s="1509" t="str">
        <f t="shared" si="159"/>
        <v>P</v>
      </c>
      <c r="H2397" s="1510" t="s">
        <v>3199</v>
      </c>
      <c r="I2397" s="588"/>
      <c r="J2397" s="607" t="s">
        <v>391</v>
      </c>
      <c r="K2397" s="211"/>
      <c r="L2397" s="243" t="s">
        <v>2837</v>
      </c>
      <c r="M2397" s="540"/>
      <c r="N2397" s="4"/>
      <c r="O2397" s="540"/>
      <c r="P2397" s="538" t="b">
        <v>0</v>
      </c>
      <c r="Q2397" s="538" t="b">
        <v>1</v>
      </c>
      <c r="R2397" s="538" t="b">
        <v>0</v>
      </c>
      <c r="S2397" s="538" t="b">
        <f>IF(AY2266=INDEX(ddSingleOrMulti,2),TRUE,FALSE)</f>
        <v>1</v>
      </c>
      <c r="T2397" s="96" t="b">
        <f>AND(NOT(S2397),W2397=TRUE)</f>
        <v>0</v>
      </c>
      <c r="U2397" s="538"/>
      <c r="V2397" s="538"/>
      <c r="W2397" s="27" t="b">
        <v>1</v>
      </c>
      <c r="X2397" s="541"/>
      <c r="Y2397" s="572" t="str">
        <f>IF(LEN('11.1000'!X150)=0,"None",'11.1000'!X150)</f>
        <v>None</v>
      </c>
      <c r="Z2397" s="715"/>
      <c r="AB2397" s="538"/>
      <c r="AC2397" s="538" t="b">
        <f>OR(AD2397:AE2397)</f>
        <v>0</v>
      </c>
      <c r="AD2397" s="538" t="b">
        <f>T2397</f>
        <v>0</v>
      </c>
      <c r="AE2397" s="538"/>
      <c r="AF2397" s="538"/>
      <c r="AG2397" s="538"/>
      <c r="AH2397" s="538"/>
      <c r="AI2397" s="538"/>
      <c r="AJ2397" s="538"/>
      <c r="AK2397" s="538"/>
      <c r="AL2397" s="1352"/>
      <c r="AM2397" s="1352"/>
      <c r="AN2397" s="1352"/>
      <c r="AO2397" s="1352"/>
      <c r="AP2397" s="1352" t="str">
        <f>SUBSTITUTE(SUBSTITUTE(SUBSTITUTE("vch"&amp;$B2397&amp;$C2397&amp;$D2397&amp;$E2397,".","_"),"(","_"),")","")</f>
        <v>vch1002_3_9</v>
      </c>
      <c r="AQ2397" s="1352" t="b">
        <f>IF(LEN(W2397)=0,"",W2397)</f>
        <v>1</v>
      </c>
      <c r="AR2397" s="1352" t="str">
        <f>SUBSTITUTE(SUBSTITUTE(SUBSTITUTE("vnt"&amp;$B2397&amp;$C2397&amp;$D2397&amp;$E2397,".","_"),"(","_"),")","")</f>
        <v>vnt1002_3_9</v>
      </c>
      <c r="AS2397" s="1352" t="str">
        <f>IF(LEN(X2397)=0,"",X2397)</f>
        <v/>
      </c>
      <c r="AT2397" s="538"/>
      <c r="AU2397" s="538"/>
      <c r="AV2397" s="538"/>
      <c r="AW2397" s="538"/>
      <c r="AX2397" s="538"/>
      <c r="AY2397" s="538"/>
      <c r="AZ2397" s="538"/>
      <c r="BA2397" s="538"/>
      <c r="BB2397" s="538"/>
      <c r="BC2397" s="538"/>
      <c r="BD2397" s="538"/>
      <c r="BE2397" s="538"/>
      <c r="BF2397" s="538"/>
      <c r="BG2397" s="538"/>
      <c r="BH2397" s="538"/>
    </row>
    <row r="2398" spans="1:60" ht="16" x14ac:dyDescent="0.2">
      <c r="A2398" s="1507">
        <v>10</v>
      </c>
      <c r="B2398" s="1516">
        <v>1002.3</v>
      </c>
      <c r="C2398" s="1511" t="s">
        <v>392</v>
      </c>
      <c r="D2398" s="1511"/>
      <c r="E2398" s="1511"/>
      <c r="F2398" s="1511"/>
      <c r="G2398" s="1509" t="str">
        <f t="shared" si="159"/>
        <v>P</v>
      </c>
      <c r="H2398" s="1510" t="s">
        <v>3199</v>
      </c>
      <c r="I2398" s="609"/>
      <c r="J2398" s="607" t="s">
        <v>392</v>
      </c>
      <c r="K2398" s="211"/>
      <c r="L2398" s="243" t="s">
        <v>2838</v>
      </c>
      <c r="M2398" s="908"/>
      <c r="N2398" s="129"/>
      <c r="O2398" s="908"/>
      <c r="P2398" s="991" t="b">
        <v>0</v>
      </c>
      <c r="Q2398" s="991" t="b">
        <v>1</v>
      </c>
      <c r="R2398" s="991" t="b">
        <v>0</v>
      </c>
      <c r="S2398" s="991" t="b">
        <f>IF(AY2266=INDEX(ddSingleOrMulti,2),TRUE,FALSE)</f>
        <v>1</v>
      </c>
      <c r="T2398" s="991" t="b">
        <f>AND(NOT(S2398),W2398=TRUE)</f>
        <v>0</v>
      </c>
      <c r="U2398" s="991"/>
      <c r="V2398" s="114"/>
      <c r="W2398" s="1121" t="b">
        <v>1</v>
      </c>
      <c r="X2398" s="936"/>
      <c r="Y2398" s="967" t="str">
        <f>IF(LEN('11.1000'!X151)=0,"None",'11.1000'!X151)</f>
        <v>None</v>
      </c>
      <c r="Z2398" s="968"/>
      <c r="AB2398" s="538"/>
      <c r="AC2398" s="538" t="b">
        <f>OR(AD2398:AE2398)</f>
        <v>0</v>
      </c>
      <c r="AD2398" s="538" t="b">
        <f>T2398</f>
        <v>0</v>
      </c>
      <c r="AE2398" s="538"/>
      <c r="AF2398" s="538"/>
      <c r="AG2398" s="538"/>
      <c r="AH2398" s="538"/>
      <c r="AI2398" s="538"/>
      <c r="AJ2398" s="538"/>
      <c r="AK2398" s="538"/>
      <c r="AL2398" s="1352"/>
      <c r="AM2398" s="1352"/>
      <c r="AN2398" s="1352"/>
      <c r="AO2398" s="1352"/>
      <c r="AP2398" s="1352" t="str">
        <f>SUBSTITUTE(SUBSTITUTE(SUBSTITUTE("vch"&amp;$B2398&amp;$C2398&amp;$D2398&amp;$E2398,".","_"),"(","_"),")","")</f>
        <v>vch1002_3_10</v>
      </c>
      <c r="AQ2398" s="1352" t="b">
        <f>IF(LEN(W2398)=0,"",W2398)</f>
        <v>1</v>
      </c>
      <c r="AR2398" s="1352" t="str">
        <f>SUBSTITUTE(SUBSTITUTE(SUBSTITUTE("vnt"&amp;$B2398&amp;$C2398&amp;$D2398&amp;$E2398,".","_"),"(","_"),")","")</f>
        <v>vnt1002_3_10</v>
      </c>
      <c r="AS2398" s="1352" t="str">
        <f>IF(LEN(X2398)=0,"",X2398)</f>
        <v/>
      </c>
      <c r="AT2398" s="538"/>
      <c r="AU2398" s="538"/>
      <c r="AV2398" s="538"/>
      <c r="AW2398" s="538"/>
      <c r="AX2398" s="538"/>
      <c r="AY2398" s="538"/>
      <c r="AZ2398" s="538"/>
      <c r="BA2398" s="538"/>
      <c r="BB2398" s="538"/>
      <c r="BC2398" s="538"/>
      <c r="BD2398" s="538"/>
      <c r="BE2398" s="538"/>
      <c r="BF2398" s="538"/>
      <c r="BG2398" s="538"/>
      <c r="BH2398" s="538"/>
    </row>
    <row r="2399" spans="1:60" ht="15.75" customHeight="1" x14ac:dyDescent="0.2">
      <c r="A2399" s="1507">
        <v>10</v>
      </c>
      <c r="B2399" s="1516">
        <v>1002.3</v>
      </c>
      <c r="C2399" s="1511" t="s">
        <v>394</v>
      </c>
      <c r="G2399" s="1509" t="str">
        <f t="shared" si="159"/>
        <v>P</v>
      </c>
      <c r="H2399" s="1510" t="s">
        <v>3199</v>
      </c>
      <c r="I2399" s="3"/>
      <c r="J2399" s="590" t="s">
        <v>394</v>
      </c>
      <c r="K2399" s="601"/>
      <c r="L2399" s="1634" t="s">
        <v>4923</v>
      </c>
      <c r="M2399" s="991"/>
      <c r="N2399" s="991"/>
      <c r="O2399" s="991"/>
      <c r="P2399" s="905" t="b">
        <v>0</v>
      </c>
      <c r="Q2399" s="905" t="b">
        <v>1</v>
      </c>
      <c r="R2399" s="991" t="b">
        <v>0</v>
      </c>
      <c r="S2399" s="991" t="b">
        <f>IF(AY2266=INDEX(ddSingleOrMulti,2),TRUE,FALSE)</f>
        <v>1</v>
      </c>
      <c r="T2399" s="991" t="b">
        <f>AND(NOT(S2399),W2399=TRUE)</f>
        <v>0</v>
      </c>
      <c r="U2399"/>
      <c r="V2399"/>
      <c r="W2399" s="27" t="b">
        <v>1</v>
      </c>
      <c r="X2399" s="1600"/>
      <c r="Y2399" s="1881" t="str">
        <f>IF(LEN('11.1000'!X152)=0,"None",'11.1000'!X152)</f>
        <v>None</v>
      </c>
      <c r="Z2399" s="1600"/>
      <c r="AA2399"/>
      <c r="AC2399"/>
      <c r="AD2399"/>
      <c r="AE2399"/>
      <c r="AF2399"/>
      <c r="AG2399"/>
      <c r="AH2399"/>
      <c r="AI2399"/>
      <c r="AJ2399"/>
      <c r="AK2399"/>
      <c r="AL2399" s="1352"/>
      <c r="AM2399" s="1352"/>
      <c r="AN2399" s="1352"/>
      <c r="AO2399" s="1352"/>
      <c r="AP2399" s="1352" t="str">
        <f>SUBSTITUTE(SUBSTITUTE(SUBSTITUTE("vch"&amp;$B2399&amp;$C2399&amp;$D2399&amp;$E2399,".","_"),"(","_"),")","")</f>
        <v>vch1002_3_11</v>
      </c>
      <c r="AQ2399" s="1352" t="b">
        <f>IF(LEN(W2399)=0,"",W2399)</f>
        <v>1</v>
      </c>
      <c r="AR2399" s="1352" t="str">
        <f>SUBSTITUTE(SUBSTITUTE(SUBSTITUTE("vnt"&amp;$B2399&amp;$C2399&amp;$D2399&amp;$E2399,".","_"),"(","_"),")","")</f>
        <v>vnt1002_3_11</v>
      </c>
      <c r="AS2399" s="1352" t="str">
        <f>IF(LEN(X2399)=0,"",X2399)</f>
        <v/>
      </c>
      <c r="AT2399"/>
    </row>
    <row r="2400" spans="1:60" ht="16" thickBot="1" x14ac:dyDescent="0.25">
      <c r="A2400" s="1507">
        <v>10</v>
      </c>
      <c r="B2400" s="1516">
        <v>1002.3</v>
      </c>
      <c r="C2400" s="1511" t="s">
        <v>394</v>
      </c>
      <c r="G2400" s="1509" t="str">
        <f t="shared" si="159"/>
        <v>P</v>
      </c>
      <c r="H2400" s="1510" t="s">
        <v>3199</v>
      </c>
      <c r="I2400" s="604"/>
      <c r="J2400" s="602"/>
      <c r="K2400" s="602"/>
      <c r="L2400" s="1635"/>
      <c r="M2400" s="100"/>
      <c r="N2400" s="100"/>
      <c r="O2400" s="100"/>
      <c r="P2400" s="100"/>
      <c r="Q2400" s="100"/>
      <c r="R2400" s="100"/>
      <c r="S2400" s="100"/>
      <c r="T2400" s="100"/>
      <c r="U2400" s="100"/>
      <c r="V2400" s="100"/>
      <c r="W2400" s="100"/>
      <c r="X2400" s="1602"/>
      <c r="Y2400" s="1882"/>
      <c r="Z2400" s="1602"/>
      <c r="AA2400"/>
      <c r="AC2400"/>
      <c r="AD2400"/>
      <c r="AE2400"/>
      <c r="AF2400"/>
      <c r="AG2400"/>
      <c r="AH2400"/>
      <c r="AI2400"/>
      <c r="AJ2400"/>
      <c r="AK2400"/>
      <c r="AL2400" s="1352"/>
      <c r="AM2400" s="1352"/>
      <c r="AN2400" s="1352"/>
      <c r="AO2400" s="1352"/>
      <c r="AP2400" s="1352"/>
      <c r="AQ2400" s="1352"/>
      <c r="AR2400" s="1352"/>
      <c r="AS2400" s="1352"/>
      <c r="AT2400"/>
    </row>
    <row r="2401" spans="1:60" ht="16" thickTop="1" x14ac:dyDescent="0.2">
      <c r="A2401" s="1507">
        <v>10</v>
      </c>
      <c r="B2401" s="1516">
        <v>1002.4</v>
      </c>
      <c r="C2401" s="1511"/>
      <c r="D2401" s="1511"/>
      <c r="E2401" s="1511"/>
      <c r="F2401" s="1511" t="s">
        <v>5289</v>
      </c>
      <c r="G2401" s="1509" t="str">
        <f>IF(M2401="Mandatory","P","")</f>
        <v>P</v>
      </c>
      <c r="H2401" s="1510" t="s">
        <v>3199</v>
      </c>
      <c r="I2401" s="136" t="s">
        <v>3758</v>
      </c>
      <c r="J2401" s="588"/>
      <c r="K2401" s="588"/>
      <c r="L2401" s="1631" t="s">
        <v>3867</v>
      </c>
      <c r="M2401" s="1701" t="str">
        <f>IF(R2401,"Mandatory","N/A")</f>
        <v>Mandatory</v>
      </c>
      <c r="N2401" s="1682">
        <f>'11.1000'!O154</f>
        <v>8</v>
      </c>
      <c r="O2401" s="1682">
        <f>M2403*S2401*W2401</f>
        <v>8</v>
      </c>
      <c r="P2401" s="538" t="b">
        <v>0</v>
      </c>
      <c r="Q2401" s="538" t="b">
        <v>1</v>
      </c>
      <c r="R2401" s="538" t="b">
        <f>S2401</f>
        <v>1</v>
      </c>
      <c r="S2401" s="538" t="b">
        <f>IF(AY2266=INDEX(ddSingleOrMulti,2),TRUE,FALSE)</f>
        <v>1</v>
      </c>
      <c r="T2401" s="96" t="b">
        <f>AND(NOT(S2401),W2401=TRUE)</f>
        <v>0</v>
      </c>
      <c r="U2401" s="538"/>
      <c r="V2401" s="538"/>
      <c r="W2401" s="334" t="b">
        <v>1</v>
      </c>
      <c r="X2401" s="1603"/>
      <c r="Y2401" s="1883" t="str">
        <f>IF(LEN('11.1000'!X154)=0,"None",'11.1000'!X154)</f>
        <v>None</v>
      </c>
      <c r="Z2401" s="1603"/>
      <c r="AB2401" s="538"/>
      <c r="AC2401" s="538" t="b">
        <f>OR(AD2401:AE2401)</f>
        <v>0</v>
      </c>
      <c r="AD2401" s="538" t="b">
        <f>T2401</f>
        <v>0</v>
      </c>
      <c r="AE2401" s="538" t="b">
        <f>AND(R2401,NOT(W2401=TRUE))</f>
        <v>0</v>
      </c>
      <c r="AF2401" s="720"/>
      <c r="AG2401" s="538"/>
      <c r="AH2401" s="538"/>
      <c r="AI2401" s="538"/>
      <c r="AJ2401" s="538"/>
      <c r="AK2401" s="538"/>
      <c r="AL2401" s="1" t="str">
        <f>SUBSTITUTE(SUBSTITUTE(SUBSTITUTE("vpa"&amp;$B2401&amp;$C2401&amp;$D2401&amp;$E2401&amp;$F2401,".","_"),"(","_"),")","")</f>
        <v>vpa1002_4_m</v>
      </c>
      <c r="AM2401" s="1352" t="str">
        <f t="shared" ref="AM2401" si="161">M2401</f>
        <v>Mandatory</v>
      </c>
      <c r="AN2401" s="1352" t="str">
        <f>SUBSTITUTE(SUBSTITUTE(SUBSTITUTE("vpc"&amp;$B2401&amp;$C2401&amp;$D2401&amp;$E2401,".","_"),"(","_"),")","")</f>
        <v>vpc1002_4</v>
      </c>
      <c r="AO2401" s="1352">
        <f>O2401</f>
        <v>8</v>
      </c>
      <c r="AP2401" s="1352" t="str">
        <f>SUBSTITUTE(SUBSTITUTE(SUBSTITUTE("vch"&amp;$B2401&amp;$C2401&amp;$D2401&amp;$E2401,".","_"),"(","_"),")","")</f>
        <v>vch1002_4</v>
      </c>
      <c r="AQ2401" s="1352" t="b">
        <f>IF(LEN(W2401)=0,"",W2401)</f>
        <v>1</v>
      </c>
      <c r="AR2401" s="1352" t="str">
        <f>SUBSTITUTE(SUBSTITUTE(SUBSTITUTE("vnt"&amp;$B2401&amp;$C2401&amp;$D2401&amp;$E2401,".","_"),"(","_"),")","")</f>
        <v>vnt1002_4</v>
      </c>
      <c r="AS2401" s="1352" t="str">
        <f>IF(LEN(X2401)=0,"",X2401)</f>
        <v/>
      </c>
      <c r="AT2401" s="538"/>
      <c r="AU2401" s="538"/>
      <c r="AV2401" s="538"/>
      <c r="AW2401" s="538"/>
      <c r="AX2401" s="538"/>
      <c r="AY2401" s="538"/>
      <c r="AZ2401" s="538"/>
      <c r="BA2401" s="538"/>
      <c r="BB2401" s="538"/>
      <c r="BC2401" s="538"/>
      <c r="BD2401" s="538"/>
      <c r="BE2401" s="538"/>
      <c r="BF2401" s="538"/>
      <c r="BG2401" s="538"/>
      <c r="BH2401" s="538"/>
    </row>
    <row r="2402" spans="1:60" x14ac:dyDescent="0.2">
      <c r="A2402" s="1507">
        <v>10</v>
      </c>
      <c r="B2402" s="1516">
        <v>1002.4</v>
      </c>
      <c r="C2402" s="1511"/>
      <c r="D2402" s="1511"/>
      <c r="E2402" s="1511"/>
      <c r="F2402" s="1514"/>
      <c r="G2402" s="1509" t="str">
        <f t="shared" ref="G2402:G2413" si="162">G2401</f>
        <v>P</v>
      </c>
      <c r="H2402" s="1510" t="s">
        <v>3199</v>
      </c>
      <c r="I2402" s="588"/>
      <c r="J2402" s="588"/>
      <c r="K2402" s="588"/>
      <c r="L2402" s="1631"/>
      <c r="M2402" s="1697"/>
      <c r="N2402" s="1669"/>
      <c r="O2402" s="1619"/>
      <c r="P2402" s="538"/>
      <c r="Q2402" s="538"/>
      <c r="R2402" s="538"/>
      <c r="S2402" s="538"/>
      <c r="T2402" s="538"/>
      <c r="U2402" s="538"/>
      <c r="V2402" s="538"/>
      <c r="W2402" s="1135"/>
      <c r="X2402" s="1601"/>
      <c r="Y2402" s="1881"/>
      <c r="Z2402" s="1600"/>
      <c r="AB2402" s="538"/>
      <c r="AC2402" s="538"/>
      <c r="AD2402" s="538"/>
      <c r="AE2402" s="538"/>
      <c r="AF2402" s="538"/>
      <c r="AG2402" s="538"/>
      <c r="AH2402" s="538"/>
      <c r="AI2402" s="538"/>
      <c r="AJ2402" s="538"/>
      <c r="AK2402" s="538"/>
      <c r="AL2402" s="1352"/>
      <c r="AM2402" s="1352"/>
      <c r="AN2402" s="1352"/>
      <c r="AO2402" s="1352"/>
      <c r="AP2402" s="1352"/>
      <c r="AQ2402" s="1352"/>
      <c r="AR2402" s="1352"/>
      <c r="AS2402" s="1352"/>
      <c r="AT2402" s="538"/>
      <c r="AU2402" s="538"/>
      <c r="AV2402" s="538"/>
      <c r="AW2402" s="538"/>
      <c r="AX2402" s="538"/>
      <c r="AY2402" s="538"/>
      <c r="AZ2402" s="538"/>
      <c r="BA2402" s="538"/>
      <c r="BB2402" s="538"/>
      <c r="BC2402" s="538"/>
      <c r="BD2402" s="538"/>
      <c r="BE2402" s="538"/>
      <c r="BF2402" s="538"/>
      <c r="BG2402" s="538"/>
      <c r="BH2402" s="538"/>
    </row>
    <row r="2403" spans="1:60" x14ac:dyDescent="0.2">
      <c r="A2403" s="1507">
        <v>10</v>
      </c>
      <c r="B2403" s="1516">
        <v>1002.4</v>
      </c>
      <c r="C2403" s="1511"/>
      <c r="D2403" s="1511"/>
      <c r="E2403" s="1511"/>
      <c r="F2403" s="1514"/>
      <c r="G2403" s="1509" t="str">
        <f t="shared" si="162"/>
        <v>P</v>
      </c>
      <c r="H2403" s="1510" t="s">
        <v>3199</v>
      </c>
      <c r="I2403" s="588"/>
      <c r="J2403" s="588"/>
      <c r="K2403" s="588"/>
      <c r="L2403" s="1631"/>
      <c r="M2403" s="1752">
        <v>8</v>
      </c>
      <c r="N2403" s="1669"/>
      <c r="O2403" s="1619"/>
      <c r="P2403" s="538"/>
      <c r="Q2403" s="538"/>
      <c r="R2403" s="538"/>
      <c r="S2403" s="538"/>
      <c r="T2403" s="538"/>
      <c r="U2403" s="538"/>
      <c r="V2403" s="538"/>
      <c r="W2403" s="1135"/>
      <c r="X2403" s="1601"/>
      <c r="Y2403" s="1881"/>
      <c r="Z2403" s="1600"/>
      <c r="AB2403" s="538"/>
      <c r="AC2403" s="538"/>
      <c r="AD2403" s="538"/>
      <c r="AE2403" s="538"/>
      <c r="AF2403" s="538"/>
      <c r="AG2403" s="538"/>
      <c r="AH2403" s="538"/>
      <c r="AI2403" s="538"/>
      <c r="AJ2403" s="538"/>
      <c r="AK2403" s="538"/>
      <c r="AL2403" s="1352" t="str">
        <f>SUBSTITUTE(SUBSTITUTE(SUBSTITUTE("vpa"&amp;$B2403&amp;$C2403&amp;$D2403&amp;$E2403,".","_"),"(","_"),")","")</f>
        <v>vpa1002_4</v>
      </c>
      <c r="AM2403" s="1352">
        <f t="shared" ref="AM2403" si="163">M2403</f>
        <v>8</v>
      </c>
      <c r="AN2403" s="1352"/>
      <c r="AO2403" s="1352"/>
      <c r="AP2403" s="1352"/>
      <c r="AQ2403" s="1352"/>
      <c r="AR2403" s="1352"/>
      <c r="AS2403" s="1352"/>
      <c r="AT2403" s="538"/>
      <c r="AU2403" s="538"/>
      <c r="AV2403" s="538"/>
      <c r="AW2403" s="538"/>
      <c r="AX2403" s="538"/>
      <c r="AY2403" s="538"/>
      <c r="AZ2403" s="538"/>
      <c r="BA2403" s="538"/>
      <c r="BB2403" s="538"/>
      <c r="BC2403" s="538"/>
      <c r="BD2403" s="538"/>
      <c r="BE2403" s="538"/>
      <c r="BF2403" s="538"/>
      <c r="BG2403" s="538"/>
      <c r="BH2403" s="538"/>
    </row>
    <row r="2404" spans="1:60" x14ac:dyDescent="0.2">
      <c r="A2404" s="1507">
        <v>10</v>
      </c>
      <c r="B2404" s="1516">
        <v>1002.4</v>
      </c>
      <c r="C2404" s="1511"/>
      <c r="D2404" s="1511"/>
      <c r="E2404" s="1511"/>
      <c r="F2404" s="1514"/>
      <c r="G2404" s="1509" t="str">
        <f t="shared" si="162"/>
        <v>P</v>
      </c>
      <c r="H2404" s="1510" t="s">
        <v>3199</v>
      </c>
      <c r="I2404" s="588"/>
      <c r="J2404" s="588"/>
      <c r="K2404" s="588"/>
      <c r="L2404" s="1631"/>
      <c r="M2404" s="1752"/>
      <c r="N2404" s="1669"/>
      <c r="O2404" s="1619"/>
      <c r="P2404" s="538"/>
      <c r="Q2404" s="538"/>
      <c r="R2404" s="538"/>
      <c r="S2404" s="538"/>
      <c r="T2404" s="538"/>
      <c r="U2404" s="538"/>
      <c r="V2404" s="538"/>
      <c r="W2404" s="1135"/>
      <c r="X2404" s="1601"/>
      <c r="Y2404" s="1881"/>
      <c r="Z2404" s="1600"/>
      <c r="AB2404" s="538"/>
      <c r="AC2404" s="538"/>
      <c r="AD2404" s="538"/>
      <c r="AE2404" s="538"/>
      <c r="AF2404" s="538"/>
      <c r="AG2404" s="538"/>
      <c r="AH2404" s="538"/>
      <c r="AI2404" s="538"/>
      <c r="AJ2404" s="538"/>
      <c r="AK2404" s="538"/>
      <c r="AL2404" s="1352"/>
      <c r="AM2404" s="1352"/>
      <c r="AN2404" s="1352"/>
      <c r="AO2404" s="1352"/>
      <c r="AP2404" s="1352"/>
      <c r="AQ2404" s="1352"/>
      <c r="AR2404" s="1352"/>
      <c r="AS2404" s="1352"/>
      <c r="AT2404" s="538"/>
      <c r="AU2404" s="538"/>
      <c r="AV2404" s="538"/>
      <c r="AW2404" s="538"/>
      <c r="AX2404" s="538"/>
      <c r="AY2404" s="538"/>
      <c r="AZ2404" s="538"/>
      <c r="BA2404" s="538"/>
      <c r="BB2404" s="538"/>
      <c r="BC2404" s="538"/>
      <c r="BD2404" s="538"/>
      <c r="BE2404" s="538"/>
      <c r="BF2404" s="538"/>
      <c r="BG2404" s="538"/>
      <c r="BH2404" s="538"/>
    </row>
    <row r="2405" spans="1:60" x14ac:dyDescent="0.2">
      <c r="A2405" s="1507">
        <v>10</v>
      </c>
      <c r="B2405" s="1516">
        <v>1002.4</v>
      </c>
      <c r="C2405" s="1511"/>
      <c r="D2405" s="1511"/>
      <c r="E2405" s="1511"/>
      <c r="F2405" s="1514"/>
      <c r="G2405" s="1509" t="str">
        <f t="shared" si="162"/>
        <v>P</v>
      </c>
      <c r="H2405" s="1510" t="s">
        <v>3199</v>
      </c>
      <c r="I2405" s="588"/>
      <c r="J2405" s="588"/>
      <c r="K2405" s="588"/>
      <c r="L2405" s="1631"/>
      <c r="M2405" s="1752"/>
      <c r="N2405" s="4"/>
      <c r="O2405" s="540"/>
      <c r="P2405" s="538"/>
      <c r="Q2405" s="538"/>
      <c r="R2405" s="538"/>
      <c r="S2405" s="538"/>
      <c r="T2405" s="538"/>
      <c r="U2405" s="538"/>
      <c r="V2405" s="538"/>
      <c r="W2405" s="1135"/>
      <c r="X2405" s="1601"/>
      <c r="Y2405" s="1881"/>
      <c r="Z2405" s="1600"/>
      <c r="AB2405" s="538"/>
      <c r="AC2405" s="538"/>
      <c r="AD2405" s="538"/>
      <c r="AE2405" s="538"/>
      <c r="AF2405" s="538"/>
      <c r="AG2405" s="538"/>
      <c r="AH2405" s="538"/>
      <c r="AI2405" s="538"/>
      <c r="AJ2405" s="538"/>
      <c r="AK2405" s="538"/>
      <c r="AL2405" s="1352"/>
      <c r="AM2405" s="1352"/>
      <c r="AN2405" s="1352"/>
      <c r="AO2405" s="1352"/>
      <c r="AP2405" s="1352"/>
      <c r="AQ2405" s="1352"/>
      <c r="AR2405" s="1352"/>
      <c r="AS2405" s="1352"/>
      <c r="AT2405" s="538"/>
      <c r="AU2405" s="538"/>
      <c r="AV2405" s="538"/>
      <c r="AW2405" s="538"/>
      <c r="AX2405" s="538"/>
      <c r="AY2405" s="538"/>
      <c r="AZ2405" s="538"/>
      <c r="BA2405" s="538"/>
      <c r="BB2405" s="538"/>
      <c r="BC2405" s="538"/>
      <c r="BD2405" s="538"/>
      <c r="BE2405" s="538"/>
      <c r="BF2405" s="538"/>
      <c r="BG2405" s="538"/>
      <c r="BH2405" s="538"/>
    </row>
    <row r="2406" spans="1:60" x14ac:dyDescent="0.2">
      <c r="A2406" s="1507">
        <v>10</v>
      </c>
      <c r="B2406" s="1516">
        <v>1002.4</v>
      </c>
      <c r="C2406" s="1511" t="s">
        <v>254</v>
      </c>
      <c r="D2406" s="1511"/>
      <c r="E2406" s="1511"/>
      <c r="F2406" s="1514"/>
      <c r="G2406" s="1509" t="str">
        <f t="shared" si="162"/>
        <v>P</v>
      </c>
      <c r="H2406" s="1510" t="s">
        <v>3199</v>
      </c>
      <c r="I2406" s="588"/>
      <c r="J2406" s="589" t="s">
        <v>254</v>
      </c>
      <c r="K2406" s="588"/>
      <c r="L2406" s="569" t="s">
        <v>2829</v>
      </c>
      <c r="M2406" s="540"/>
      <c r="N2406" s="4"/>
      <c r="O2406" s="540"/>
      <c r="P2406" s="538"/>
      <c r="Q2406" s="538"/>
      <c r="R2406" s="538"/>
      <c r="S2406" s="538"/>
      <c r="T2406" s="538"/>
      <c r="U2406" s="538"/>
      <c r="V2406" s="538"/>
      <c r="W2406" s="1135"/>
      <c r="X2406" s="1601"/>
      <c r="Y2406" s="1881"/>
      <c r="Z2406" s="1600"/>
      <c r="AB2406" s="538"/>
      <c r="AC2406" s="538"/>
      <c r="AD2406" s="538"/>
      <c r="AE2406" s="538"/>
      <c r="AF2406" s="538"/>
      <c r="AG2406" s="538"/>
      <c r="AH2406" s="538"/>
      <c r="AI2406" s="538"/>
      <c r="AJ2406" s="538"/>
      <c r="AK2406" s="538"/>
      <c r="AL2406" s="1352"/>
      <c r="AM2406" s="1352"/>
      <c r="AN2406" s="1352"/>
      <c r="AO2406" s="1352"/>
      <c r="AP2406" s="1352"/>
      <c r="AQ2406" s="1352"/>
      <c r="AR2406" s="1352"/>
      <c r="AS2406" s="1352"/>
      <c r="AT2406" s="538"/>
      <c r="AU2406" s="538"/>
      <c r="AV2406" s="538"/>
      <c r="AW2406" s="538"/>
      <c r="AX2406" s="538"/>
      <c r="AY2406" s="538"/>
      <c r="AZ2406" s="538"/>
      <c r="BA2406" s="538"/>
      <c r="BB2406" s="538"/>
      <c r="BC2406" s="538"/>
      <c r="BD2406" s="538"/>
      <c r="BE2406" s="538"/>
      <c r="BF2406" s="538"/>
      <c r="BG2406" s="538"/>
      <c r="BH2406" s="538"/>
    </row>
    <row r="2407" spans="1:60" x14ac:dyDescent="0.2">
      <c r="A2407" s="1507">
        <v>10</v>
      </c>
      <c r="B2407" s="1516">
        <v>1002.4</v>
      </c>
      <c r="C2407" s="1511" t="s">
        <v>255</v>
      </c>
      <c r="D2407" s="1511"/>
      <c r="E2407" s="1511"/>
      <c r="F2407" s="1514"/>
      <c r="G2407" s="1509" t="str">
        <f t="shared" si="162"/>
        <v>P</v>
      </c>
      <c r="H2407" s="1510" t="s">
        <v>3199</v>
      </c>
      <c r="I2407" s="588"/>
      <c r="J2407" s="589" t="s">
        <v>255</v>
      </c>
      <c r="K2407" s="588"/>
      <c r="L2407" s="569" t="s">
        <v>2830</v>
      </c>
      <c r="M2407" s="540"/>
      <c r="N2407" s="4"/>
      <c r="O2407" s="540"/>
      <c r="P2407" s="538"/>
      <c r="Q2407" s="538"/>
      <c r="R2407" s="538"/>
      <c r="S2407" s="538"/>
      <c r="T2407" s="538"/>
      <c r="U2407" s="538"/>
      <c r="V2407" s="538"/>
      <c r="W2407" s="1135"/>
      <c r="X2407" s="1601"/>
      <c r="Y2407" s="1881"/>
      <c r="Z2407" s="1600"/>
      <c r="AB2407" s="538"/>
      <c r="AC2407" s="538"/>
      <c r="AD2407" s="538"/>
      <c r="AE2407" s="538"/>
      <c r="AF2407" s="538"/>
      <c r="AG2407" s="538"/>
      <c r="AH2407" s="538"/>
      <c r="AI2407" s="538"/>
      <c r="AJ2407" s="538"/>
      <c r="AK2407" s="538"/>
      <c r="AL2407" s="1352"/>
      <c r="AM2407" s="1352"/>
      <c r="AN2407" s="1352"/>
      <c r="AO2407" s="1352"/>
      <c r="AP2407" s="1352"/>
      <c r="AQ2407" s="1352"/>
      <c r="AR2407" s="1352"/>
      <c r="AS2407" s="1352"/>
      <c r="AT2407" s="538"/>
      <c r="AU2407" s="538"/>
      <c r="AV2407" s="538"/>
      <c r="AW2407" s="538"/>
      <c r="AX2407" s="538"/>
      <c r="AY2407" s="538"/>
      <c r="AZ2407" s="538"/>
      <c r="BA2407" s="538"/>
      <c r="BB2407" s="538"/>
      <c r="BC2407" s="538"/>
      <c r="BD2407" s="538"/>
      <c r="BE2407" s="538"/>
      <c r="BF2407" s="538"/>
      <c r="BG2407" s="538"/>
      <c r="BH2407" s="538"/>
    </row>
    <row r="2408" spans="1:60" x14ac:dyDescent="0.2">
      <c r="A2408" s="1507">
        <v>10</v>
      </c>
      <c r="B2408" s="1516">
        <v>1002.4</v>
      </c>
      <c r="C2408" s="1511" t="s">
        <v>256</v>
      </c>
      <c r="D2408" s="1511"/>
      <c r="E2408" s="1511"/>
      <c r="F2408" s="1514"/>
      <c r="G2408" s="1509" t="str">
        <f t="shared" si="162"/>
        <v>P</v>
      </c>
      <c r="H2408" s="1510" t="s">
        <v>3199</v>
      </c>
      <c r="I2408" s="588"/>
      <c r="J2408" s="589" t="s">
        <v>256</v>
      </c>
      <c r="K2408" s="588"/>
      <c r="L2408" s="569" t="s">
        <v>2831</v>
      </c>
      <c r="M2408" s="540"/>
      <c r="N2408" s="4"/>
      <c r="O2408" s="540"/>
      <c r="P2408" s="538"/>
      <c r="Q2408" s="538"/>
      <c r="R2408" s="538"/>
      <c r="S2408" s="538"/>
      <c r="T2408" s="538"/>
      <c r="U2408" s="538"/>
      <c r="V2408" s="538"/>
      <c r="W2408" s="1135"/>
      <c r="X2408" s="1601"/>
      <c r="Y2408" s="1881"/>
      <c r="Z2408" s="1600"/>
      <c r="AB2408" s="538"/>
      <c r="AC2408" s="538"/>
      <c r="AD2408" s="538"/>
      <c r="AE2408" s="538"/>
      <c r="AF2408" s="538"/>
      <c r="AG2408" s="538"/>
      <c r="AH2408" s="538"/>
      <c r="AI2408" s="538"/>
      <c r="AJ2408" s="538"/>
      <c r="AK2408" s="538"/>
      <c r="AL2408" s="1352"/>
      <c r="AM2408" s="1352"/>
      <c r="AN2408" s="1352"/>
      <c r="AO2408" s="1352"/>
      <c r="AP2408" s="1352"/>
      <c r="AQ2408" s="1352"/>
      <c r="AR2408" s="1352"/>
      <c r="AS2408" s="1352"/>
      <c r="AT2408" s="538"/>
      <c r="AU2408" s="538"/>
      <c r="AV2408" s="538"/>
      <c r="AW2408" s="538"/>
      <c r="AX2408" s="538"/>
      <c r="AY2408" s="538"/>
      <c r="AZ2408" s="538"/>
      <c r="BA2408" s="538"/>
      <c r="BB2408" s="538"/>
      <c r="BC2408" s="538"/>
      <c r="BD2408" s="538"/>
      <c r="BE2408" s="538"/>
      <c r="BF2408" s="538"/>
      <c r="BG2408" s="538"/>
      <c r="BH2408" s="538"/>
    </row>
    <row r="2409" spans="1:60" x14ac:dyDescent="0.2">
      <c r="A2409" s="1507">
        <v>10</v>
      </c>
      <c r="B2409" s="1516">
        <v>1002.4</v>
      </c>
      <c r="C2409" s="1511" t="s">
        <v>259</v>
      </c>
      <c r="D2409" s="1511"/>
      <c r="E2409" s="1511"/>
      <c r="F2409" s="1514"/>
      <c r="G2409" s="1509" t="str">
        <f t="shared" si="162"/>
        <v>P</v>
      </c>
      <c r="H2409" s="1510" t="s">
        <v>3199</v>
      </c>
      <c r="I2409" s="588"/>
      <c r="J2409" s="589" t="s">
        <v>259</v>
      </c>
      <c r="K2409" s="588"/>
      <c r="L2409" s="569" t="s">
        <v>2839</v>
      </c>
      <c r="M2409" s="540"/>
      <c r="N2409" s="4"/>
      <c r="O2409" s="540"/>
      <c r="P2409" s="538"/>
      <c r="Q2409" s="538"/>
      <c r="R2409" s="538"/>
      <c r="S2409" s="538"/>
      <c r="T2409" s="538"/>
      <c r="U2409" s="538"/>
      <c r="V2409" s="538"/>
      <c r="W2409" s="1135"/>
      <c r="X2409" s="1601"/>
      <c r="Y2409" s="1881"/>
      <c r="Z2409" s="1600"/>
      <c r="AB2409" s="538"/>
      <c r="AC2409" s="538"/>
      <c r="AD2409" s="538"/>
      <c r="AE2409" s="538"/>
      <c r="AF2409" s="538"/>
      <c r="AG2409" s="538"/>
      <c r="AH2409" s="538"/>
      <c r="AI2409" s="538"/>
      <c r="AJ2409" s="538"/>
      <c r="AK2409" s="538"/>
      <c r="AL2409" s="1352"/>
      <c r="AM2409" s="1352"/>
      <c r="AN2409" s="1352"/>
      <c r="AO2409" s="1352"/>
      <c r="AP2409" s="1352"/>
      <c r="AQ2409" s="1352"/>
      <c r="AR2409" s="1352"/>
      <c r="AS2409" s="1352"/>
      <c r="AT2409" s="538"/>
      <c r="AU2409" s="538"/>
      <c r="AV2409" s="538"/>
      <c r="AW2409" s="538"/>
      <c r="AX2409" s="538"/>
      <c r="AY2409" s="538"/>
      <c r="AZ2409" s="538"/>
      <c r="BA2409" s="538"/>
      <c r="BB2409" s="538"/>
      <c r="BC2409" s="538"/>
      <c r="BD2409" s="538"/>
      <c r="BE2409" s="538"/>
      <c r="BF2409" s="538"/>
      <c r="BG2409" s="538"/>
      <c r="BH2409" s="538"/>
    </row>
    <row r="2410" spans="1:60" x14ac:dyDescent="0.2">
      <c r="A2410" s="1507">
        <v>10</v>
      </c>
      <c r="B2410" s="1516">
        <v>1002.4</v>
      </c>
      <c r="C2410" s="1511" t="s">
        <v>263</v>
      </c>
      <c r="D2410" s="1511"/>
      <c r="E2410" s="1511"/>
      <c r="F2410" s="1514"/>
      <c r="G2410" s="1509" t="str">
        <f t="shared" si="162"/>
        <v>P</v>
      </c>
      <c r="H2410" s="1510" t="s">
        <v>3199</v>
      </c>
      <c r="I2410" s="588"/>
      <c r="J2410" s="589" t="s">
        <v>263</v>
      </c>
      <c r="K2410" s="588"/>
      <c r="L2410" s="569" t="s">
        <v>2840</v>
      </c>
      <c r="M2410" s="540"/>
      <c r="N2410" s="4"/>
      <c r="O2410" s="540"/>
      <c r="P2410" s="538"/>
      <c r="Q2410" s="538"/>
      <c r="R2410" s="538"/>
      <c r="S2410" s="538"/>
      <c r="T2410" s="538"/>
      <c r="U2410" s="538"/>
      <c r="V2410" s="538"/>
      <c r="W2410" s="1135"/>
      <c r="X2410" s="1601"/>
      <c r="Y2410" s="1881"/>
      <c r="Z2410" s="1600"/>
      <c r="AB2410" s="538"/>
      <c r="AC2410" s="538"/>
      <c r="AD2410" s="538"/>
      <c r="AE2410" s="538"/>
      <c r="AF2410" s="538"/>
      <c r="AG2410" s="538"/>
      <c r="AH2410" s="538"/>
      <c r="AI2410" s="538"/>
      <c r="AJ2410" s="538"/>
      <c r="AK2410" s="538"/>
      <c r="AL2410" s="1352"/>
      <c r="AM2410" s="1352"/>
      <c r="AN2410" s="1352"/>
      <c r="AO2410" s="1352"/>
      <c r="AP2410" s="1352"/>
      <c r="AQ2410" s="1352"/>
      <c r="AR2410" s="1352"/>
      <c r="AS2410" s="1352"/>
      <c r="AT2410" s="538"/>
      <c r="AU2410" s="538"/>
      <c r="AV2410" s="538"/>
      <c r="AW2410" s="538"/>
      <c r="AX2410" s="538"/>
      <c r="AY2410" s="538"/>
      <c r="AZ2410" s="538"/>
      <c r="BA2410" s="538"/>
      <c r="BB2410" s="538"/>
      <c r="BC2410" s="538"/>
      <c r="BD2410" s="538"/>
      <c r="BE2410" s="538"/>
      <c r="BF2410" s="538"/>
      <c r="BG2410" s="538"/>
      <c r="BH2410" s="538"/>
    </row>
    <row r="2411" spans="1:60" x14ac:dyDescent="0.2">
      <c r="A2411" s="1507">
        <v>10</v>
      </c>
      <c r="B2411" s="1516">
        <v>1002.4</v>
      </c>
      <c r="C2411" s="1511" t="s">
        <v>264</v>
      </c>
      <c r="D2411" s="1511"/>
      <c r="E2411" s="1511"/>
      <c r="F2411" s="1514"/>
      <c r="G2411" s="1509" t="str">
        <f t="shared" si="162"/>
        <v>P</v>
      </c>
      <c r="H2411" s="1510" t="s">
        <v>3199</v>
      </c>
      <c r="I2411" s="588"/>
      <c r="J2411" s="589" t="s">
        <v>264</v>
      </c>
      <c r="K2411" s="588"/>
      <c r="L2411" s="569" t="s">
        <v>2834</v>
      </c>
      <c r="M2411" s="540"/>
      <c r="N2411" s="4"/>
      <c r="O2411" s="540"/>
      <c r="P2411" s="538"/>
      <c r="Q2411" s="538"/>
      <c r="R2411" s="538"/>
      <c r="S2411" s="538"/>
      <c r="T2411" s="538"/>
      <c r="U2411" s="538"/>
      <c r="V2411" s="538"/>
      <c r="W2411" s="1135"/>
      <c r="X2411" s="1601"/>
      <c r="Y2411" s="1881"/>
      <c r="Z2411" s="1600"/>
      <c r="AB2411" s="538"/>
      <c r="AC2411" s="538"/>
      <c r="AD2411" s="538"/>
      <c r="AE2411" s="538"/>
      <c r="AF2411" s="538"/>
      <c r="AG2411" s="538"/>
      <c r="AH2411" s="538"/>
      <c r="AI2411" s="538"/>
      <c r="AJ2411" s="538"/>
      <c r="AK2411" s="538"/>
      <c r="AL2411" s="1352"/>
      <c r="AM2411" s="1352"/>
      <c r="AN2411" s="1352"/>
      <c r="AO2411" s="1352"/>
      <c r="AP2411" s="1352"/>
      <c r="AQ2411" s="1352"/>
      <c r="AR2411" s="1352"/>
      <c r="AS2411" s="1352"/>
      <c r="AT2411" s="538"/>
      <c r="AU2411" s="538"/>
      <c r="AV2411" s="538"/>
      <c r="AW2411" s="538"/>
      <c r="AX2411" s="538"/>
      <c r="AY2411" s="538"/>
      <c r="AZ2411" s="538"/>
      <c r="BA2411" s="538"/>
      <c r="BB2411" s="538"/>
      <c r="BC2411" s="538"/>
      <c r="BD2411" s="538"/>
      <c r="BE2411" s="538"/>
      <c r="BF2411" s="538"/>
      <c r="BG2411" s="538"/>
      <c r="BH2411" s="538"/>
    </row>
    <row r="2412" spans="1:60" x14ac:dyDescent="0.2">
      <c r="A2412" s="1507">
        <v>10</v>
      </c>
      <c r="B2412" s="1516">
        <v>1002.4</v>
      </c>
      <c r="C2412" s="1511" t="s">
        <v>356</v>
      </c>
      <c r="D2412" s="1511"/>
      <c r="E2412" s="1511"/>
      <c r="F2412" s="1514"/>
      <c r="G2412" s="1509" t="str">
        <f t="shared" si="162"/>
        <v>P</v>
      </c>
      <c r="H2412" s="1510" t="s">
        <v>3199</v>
      </c>
      <c r="I2412" s="588"/>
      <c r="J2412" s="589" t="s">
        <v>356</v>
      </c>
      <c r="K2412" s="588"/>
      <c r="L2412" s="569" t="s">
        <v>2841</v>
      </c>
      <c r="M2412" s="540"/>
      <c r="N2412" s="4"/>
      <c r="O2412" s="540"/>
      <c r="P2412" s="538"/>
      <c r="Q2412" s="538"/>
      <c r="R2412" s="538"/>
      <c r="S2412" s="538"/>
      <c r="T2412" s="538"/>
      <c r="U2412" s="538"/>
      <c r="V2412" s="538"/>
      <c r="W2412" s="1135"/>
      <c r="X2412" s="1601"/>
      <c r="Y2412" s="1881"/>
      <c r="Z2412" s="1600"/>
      <c r="AB2412" s="538"/>
      <c r="AC2412" s="538"/>
      <c r="AD2412" s="538"/>
      <c r="AE2412" s="538"/>
      <c r="AF2412" s="538"/>
      <c r="AG2412" s="538"/>
      <c r="AH2412" s="538"/>
      <c r="AI2412" s="538"/>
      <c r="AJ2412" s="538"/>
      <c r="AK2412" s="538"/>
      <c r="AL2412" s="1352"/>
      <c r="AM2412" s="1352"/>
      <c r="AN2412" s="1352"/>
      <c r="AO2412" s="1352"/>
      <c r="AP2412" s="1352"/>
      <c r="AQ2412" s="1352"/>
      <c r="AR2412" s="1352"/>
      <c r="AS2412" s="1352"/>
      <c r="AT2412" s="538"/>
      <c r="AU2412" s="538"/>
      <c r="AV2412" s="538"/>
      <c r="AW2412" s="538"/>
      <c r="AX2412" s="538"/>
      <c r="AY2412" s="538"/>
      <c r="AZ2412" s="538"/>
      <c r="BA2412" s="538"/>
      <c r="BB2412" s="538"/>
      <c r="BC2412" s="538"/>
      <c r="BD2412" s="538"/>
      <c r="BE2412" s="538"/>
      <c r="BF2412" s="538"/>
      <c r="BG2412" s="538"/>
      <c r="BH2412" s="538"/>
    </row>
    <row r="2413" spans="1:60" ht="16" thickBot="1" x14ac:dyDescent="0.25">
      <c r="A2413" s="1515">
        <v>10</v>
      </c>
      <c r="B2413" s="1516">
        <v>1002.4</v>
      </c>
      <c r="C2413" s="1511" t="s">
        <v>389</v>
      </c>
      <c r="D2413" s="1511"/>
      <c r="E2413" s="1511"/>
      <c r="F2413" s="1514"/>
      <c r="G2413" s="1509" t="str">
        <f t="shared" si="162"/>
        <v>P</v>
      </c>
      <c r="H2413" s="1510" t="s">
        <v>3199</v>
      </c>
      <c r="I2413" s="596"/>
      <c r="J2413" s="594" t="s">
        <v>389</v>
      </c>
      <c r="K2413" s="596"/>
      <c r="L2413" s="963" t="s">
        <v>4924</v>
      </c>
      <c r="M2413" s="922"/>
      <c r="N2413" s="239"/>
      <c r="O2413" s="922"/>
      <c r="P2413" s="100"/>
      <c r="Q2413" s="100"/>
      <c r="R2413" s="100"/>
      <c r="S2413" s="100"/>
      <c r="T2413" s="100"/>
      <c r="U2413"/>
      <c r="V2413"/>
      <c r="W2413" s="100"/>
      <c r="X2413" s="1602"/>
      <c r="Y2413" s="1882"/>
      <c r="Z2413" s="1602"/>
      <c r="AA2413"/>
      <c r="AC2413"/>
      <c r="AD2413"/>
      <c r="AE2413"/>
      <c r="AF2413"/>
      <c r="AG2413"/>
      <c r="AH2413"/>
      <c r="AI2413"/>
      <c r="AJ2413"/>
      <c r="AK2413"/>
      <c r="AL2413" s="1352"/>
      <c r="AM2413" s="1352"/>
      <c r="AN2413" s="1352"/>
      <c r="AO2413" s="1352"/>
      <c r="AP2413" s="1352"/>
      <c r="AQ2413" s="1352"/>
      <c r="AR2413" s="1352"/>
      <c r="AS2413" s="1352"/>
      <c r="AT2413"/>
    </row>
    <row r="2414" spans="1:60" ht="16" thickTop="1" x14ac:dyDescent="0.2">
      <c r="A2414" s="1515">
        <v>10</v>
      </c>
      <c r="B2414" s="1516" t="s">
        <v>4944</v>
      </c>
      <c r="C2414" s="1511"/>
      <c r="D2414" s="1511"/>
      <c r="E2414" s="1511"/>
      <c r="F2414" s="1514"/>
      <c r="G2414" s="1509" t="str">
        <f>IF(N2414&gt;0,"P","")</f>
        <v>P</v>
      </c>
      <c r="H2414" s="1530" t="s">
        <v>3199</v>
      </c>
      <c r="I2414" s="589" t="s">
        <v>4925</v>
      </c>
      <c r="J2414" s="589"/>
      <c r="K2414" s="589"/>
      <c r="L2414" s="1687" t="s">
        <v>4926</v>
      </c>
      <c r="M2414" s="1769" t="s">
        <v>4946</v>
      </c>
      <c r="N2414" s="1682">
        <f>'11.1000'!O167</f>
        <v>4</v>
      </c>
      <c r="O2414" s="1669">
        <f>ROUNDDOWN(COUNTIF(W2416:W2425,TRUE)/2,0)</f>
        <v>4</v>
      </c>
      <c r="P2414" s="905"/>
      <c r="Q2414" s="905"/>
      <c r="R2414" s="905"/>
      <c r="S2414" s="905"/>
      <c r="T2414" s="905"/>
      <c r="U2414"/>
      <c r="V2414"/>
      <c r="W2414"/>
      <c r="X2414"/>
      <c r="Y2414"/>
      <c r="Z2414"/>
      <c r="AA2414"/>
      <c r="AC2414"/>
      <c r="AD2414"/>
      <c r="AE2414"/>
      <c r="AF2414"/>
      <c r="AG2414"/>
      <c r="AH2414"/>
      <c r="AI2414"/>
      <c r="AJ2414"/>
      <c r="AK2414"/>
      <c r="AL2414" s="1352" t="str">
        <f>SUBSTITUTE(SUBSTITUTE(SUBSTITUTE("vpa"&amp;$B2414&amp;$C2414&amp;$D2414&amp;$E2414,".","_"),"(","_"),")","")</f>
        <v>vpa1002_5</v>
      </c>
      <c r="AM2414" s="1352" t="str">
        <f t="shared" ref="AM2414" si="164">M2414</f>
        <v>1 per 2 items</v>
      </c>
      <c r="AN2414" s="1352" t="str">
        <f>SUBSTITUTE(SUBSTITUTE(SUBSTITUTE("vpc"&amp;$B2414&amp;$C2414&amp;$D2414&amp;$E2414,".","_"),"(","_"),")","")</f>
        <v>vpc1002_5</v>
      </c>
      <c r="AO2414" s="1352">
        <f>O2414</f>
        <v>4</v>
      </c>
      <c r="AP2414" s="1352"/>
      <c r="AQ2414" s="1352"/>
      <c r="AR2414" s="1352"/>
      <c r="AS2414" s="1352"/>
      <c r="AT2414"/>
    </row>
    <row r="2415" spans="1:60" x14ac:dyDescent="0.2">
      <c r="A2415" s="1515">
        <v>10</v>
      </c>
      <c r="B2415" s="1516" t="s">
        <v>4944</v>
      </c>
      <c r="C2415" s="1511"/>
      <c r="D2415" s="1511"/>
      <c r="E2415" s="1511"/>
      <c r="F2415" s="1514"/>
      <c r="G2415" s="1509" t="str">
        <f t="shared" ref="G2415:G2425" si="165">G2414</f>
        <v>P</v>
      </c>
      <c r="H2415" s="1530" t="s">
        <v>3199</v>
      </c>
      <c r="I2415" s="589"/>
      <c r="J2415" s="589"/>
      <c r="K2415" s="589"/>
      <c r="L2415" s="1687"/>
      <c r="M2415" s="1769"/>
      <c r="N2415" s="1619"/>
      <c r="O2415" s="1669"/>
      <c r="P2415" s="905"/>
      <c r="Q2415" s="905"/>
      <c r="R2415" s="905"/>
      <c r="S2415" s="905"/>
      <c r="T2415" s="905"/>
      <c r="U2415"/>
      <c r="V2415"/>
      <c r="W2415"/>
      <c r="X2415"/>
      <c r="Y2415"/>
      <c r="Z2415"/>
      <c r="AA2415"/>
      <c r="AC2415"/>
      <c r="AD2415"/>
      <c r="AE2415"/>
      <c r="AF2415"/>
      <c r="AG2415"/>
      <c r="AH2415"/>
      <c r="AI2415"/>
      <c r="AJ2415"/>
      <c r="AK2415"/>
      <c r="AL2415" s="1352"/>
      <c r="AM2415" s="1352"/>
      <c r="AN2415" s="1352"/>
      <c r="AO2415" s="1352"/>
      <c r="AP2415" s="1352"/>
      <c r="AQ2415" s="1352"/>
      <c r="AR2415" s="1352"/>
      <c r="AS2415" s="1352"/>
      <c r="AT2415"/>
    </row>
    <row r="2416" spans="1:60" ht="16" x14ac:dyDescent="0.2">
      <c r="A2416" s="1515">
        <v>10</v>
      </c>
      <c r="B2416" s="1516" t="s">
        <v>4944</v>
      </c>
      <c r="C2416" s="1516" t="s">
        <v>254</v>
      </c>
      <c r="D2416" s="1511"/>
      <c r="E2416" s="1511"/>
      <c r="F2416" s="1514"/>
      <c r="G2416" s="1509" t="str">
        <f t="shared" si="165"/>
        <v>P</v>
      </c>
      <c r="H2416" s="1530" t="s">
        <v>3199</v>
      </c>
      <c r="I2416" s="589"/>
      <c r="J2416" s="606" t="s">
        <v>254</v>
      </c>
      <c r="K2416" s="606"/>
      <c r="L2416" s="1361" t="s">
        <v>4927</v>
      </c>
      <c r="M2416" s="1373" t="str">
        <f>IF(R2416,"Mandatory","N/A")</f>
        <v>Mandatory</v>
      </c>
      <c r="N2416" s="935"/>
      <c r="O2416" s="935"/>
      <c r="P2416" s="905" t="b">
        <v>0</v>
      </c>
      <c r="Q2416" s="905" t="b">
        <v>1</v>
      </c>
      <c r="R2416" s="905" t="b">
        <f>S2416</f>
        <v>1</v>
      </c>
      <c r="S2416" s="905" t="b">
        <f>IF(AY2266=INDEX(ddSingleOrMulti,2),TRUE,FALSE)</f>
        <v>1</v>
      </c>
      <c r="T2416" s="991" t="b">
        <f>AND(NOT(S2416),W2416=TRUE)</f>
        <v>0</v>
      </c>
      <c r="U2416"/>
      <c r="V2416"/>
      <c r="W2416" s="27" t="b">
        <v>1</v>
      </c>
      <c r="X2416" s="1123"/>
      <c r="Y2416" s="1136" t="str">
        <f>IF(LEN('11.1000'!X169)=0,"None",'11.1000'!X169)</f>
        <v>None</v>
      </c>
      <c r="Z2416" s="1123"/>
      <c r="AA2416"/>
      <c r="AC2416" s="1150" t="b">
        <f>OR(AD2416:AE2416)</f>
        <v>0</v>
      </c>
      <c r="AD2416" s="1150" t="b">
        <f>T2416</f>
        <v>0</v>
      </c>
      <c r="AE2416" s="1150" t="b">
        <f>AND(R2416,NOT(W2416=TRUE))</f>
        <v>0</v>
      </c>
      <c r="AF2416"/>
      <c r="AG2416"/>
      <c r="AH2416"/>
      <c r="AI2416"/>
      <c r="AJ2416"/>
      <c r="AK2416"/>
      <c r="AL2416" s="1352" t="str">
        <f>SUBSTITUTE(SUBSTITUTE(SUBSTITUTE("vpa"&amp;$B2416&amp;$C2416&amp;$D2416&amp;$E2416,".","_"),"(","_"),")","")</f>
        <v>vpa1002_5_1</v>
      </c>
      <c r="AM2416" s="1352" t="str">
        <f t="shared" ref="AM2416:AM2418" si="166">M2416</f>
        <v>Mandatory</v>
      </c>
      <c r="AN2416" s="1352"/>
      <c r="AO2416" s="1352"/>
      <c r="AP2416" s="1352" t="str">
        <f>SUBSTITUTE(SUBSTITUTE(SUBSTITUTE("vch"&amp;$B2416&amp;$C2416&amp;$D2416&amp;$E2416,".","_"),"(","_"),")","")</f>
        <v>vch1002_5_1</v>
      </c>
      <c r="AQ2416" s="1352" t="b">
        <f>IF(LEN(W2416)=0,"",W2416)</f>
        <v>1</v>
      </c>
      <c r="AR2416" s="1352" t="str">
        <f>SUBSTITUTE(SUBSTITUTE(SUBSTITUTE("vnt"&amp;$B2416&amp;$C2416&amp;$D2416&amp;$E2416,".","_"),"(","_"),")","")</f>
        <v>vnt1002_5_1</v>
      </c>
      <c r="AS2416" s="1352" t="str">
        <f>IF(LEN(X2416)=0,"",X2416)</f>
        <v/>
      </c>
      <c r="AT2416"/>
    </row>
    <row r="2417" spans="1:46" ht="16" x14ac:dyDescent="0.2">
      <c r="A2417" s="1515">
        <v>10</v>
      </c>
      <c r="B2417" s="1516" t="s">
        <v>4944</v>
      </c>
      <c r="C2417" s="1516" t="s">
        <v>255</v>
      </c>
      <c r="D2417" s="1511"/>
      <c r="E2417" s="1511"/>
      <c r="F2417" s="1514"/>
      <c r="G2417" s="1509" t="str">
        <f t="shared" si="165"/>
        <v>P</v>
      </c>
      <c r="H2417" s="1530" t="s">
        <v>3199</v>
      </c>
      <c r="I2417" s="589"/>
      <c r="J2417" s="606" t="s">
        <v>255</v>
      </c>
      <c r="K2417" s="606"/>
      <c r="L2417" s="1361" t="s">
        <v>4928</v>
      </c>
      <c r="M2417" s="1373" t="str">
        <f>IF(R2417,"Mandatory","N/A")</f>
        <v>Mandatory</v>
      </c>
      <c r="N2417" s="935"/>
      <c r="O2417" s="935"/>
      <c r="P2417" s="905" t="b">
        <v>0</v>
      </c>
      <c r="Q2417" s="905" t="b">
        <v>1</v>
      </c>
      <c r="R2417" s="905" t="b">
        <f>S2417</f>
        <v>1</v>
      </c>
      <c r="S2417" s="905" t="b">
        <f>IF(AY2266=INDEX(ddSingleOrMulti,2),TRUE,FALSE)</f>
        <v>1</v>
      </c>
      <c r="T2417" s="991" t="b">
        <f>AND(NOT(S2417),W2417=TRUE)</f>
        <v>0</v>
      </c>
      <c r="U2417"/>
      <c r="V2417"/>
      <c r="W2417" s="27" t="b">
        <v>1</v>
      </c>
      <c r="X2417" s="1123"/>
      <c r="Y2417" s="1136" t="str">
        <f>IF(LEN('11.1000'!X170)=0,"None",'11.1000'!X170)</f>
        <v>None</v>
      </c>
      <c r="Z2417" s="1123"/>
      <c r="AA2417"/>
      <c r="AC2417" s="1150" t="b">
        <f>OR(AD2417:AE2417)</f>
        <v>0</v>
      </c>
      <c r="AD2417" s="1150" t="b">
        <f>T2417</f>
        <v>0</v>
      </c>
      <c r="AE2417" s="1150" t="b">
        <f>AND(R2417,NOT(W2417=TRUE))</f>
        <v>0</v>
      </c>
      <c r="AF2417"/>
      <c r="AG2417"/>
      <c r="AH2417"/>
      <c r="AI2417"/>
      <c r="AJ2417"/>
      <c r="AK2417"/>
      <c r="AL2417" s="1352" t="str">
        <f>SUBSTITUTE(SUBSTITUTE(SUBSTITUTE("vpa"&amp;$B2417&amp;$C2417&amp;$D2417&amp;$E2417,".","_"),"(","_"),")","")</f>
        <v>vpa1002_5_2</v>
      </c>
      <c r="AM2417" s="1352" t="str">
        <f t="shared" si="166"/>
        <v>Mandatory</v>
      </c>
      <c r="AN2417" s="1352"/>
      <c r="AO2417" s="1352"/>
      <c r="AP2417" s="1352" t="str">
        <f>SUBSTITUTE(SUBSTITUTE(SUBSTITUTE("vch"&amp;$B2417&amp;$C2417&amp;$D2417&amp;$E2417,".","_"),"(","_"),")","")</f>
        <v>vch1002_5_2</v>
      </c>
      <c r="AQ2417" s="1352" t="b">
        <f>IF(LEN(W2417)=0,"",W2417)</f>
        <v>1</v>
      </c>
      <c r="AR2417" s="1352" t="str">
        <f>SUBSTITUTE(SUBSTITUTE(SUBSTITUTE("vnt"&amp;$B2417&amp;$C2417&amp;$D2417&amp;$E2417,".","_"),"(","_"),")","")</f>
        <v>vnt1002_5_2</v>
      </c>
      <c r="AS2417" s="1352" t="str">
        <f>IF(LEN(X2417)=0,"",X2417)</f>
        <v/>
      </c>
      <c r="AT2417"/>
    </row>
    <row r="2418" spans="1:46" x14ac:dyDescent="0.2">
      <c r="A2418" s="1515">
        <v>10</v>
      </c>
      <c r="B2418" s="1516" t="s">
        <v>4944</v>
      </c>
      <c r="C2418" s="1516" t="s">
        <v>256</v>
      </c>
      <c r="D2418" s="1511"/>
      <c r="E2418" s="1511"/>
      <c r="F2418" s="1514"/>
      <c r="G2418" s="1509" t="str">
        <f t="shared" si="165"/>
        <v>P</v>
      </c>
      <c r="H2418" s="1530" t="s">
        <v>3199</v>
      </c>
      <c r="I2418" s="589"/>
      <c r="J2418" s="590" t="s">
        <v>256</v>
      </c>
      <c r="K2418" s="590"/>
      <c r="L2418" s="1634" t="s">
        <v>4929</v>
      </c>
      <c r="M2418" s="948" t="str">
        <f>IF(R2418,"Mandatory","N/A")</f>
        <v>Mandatory</v>
      </c>
      <c r="N2418" s="4"/>
      <c r="O2418" s="935"/>
      <c r="P2418" s="905" t="b">
        <v>0</v>
      </c>
      <c r="Q2418" s="905" t="b">
        <v>1</v>
      </c>
      <c r="R2418" s="905" t="b">
        <f>S2418</f>
        <v>1</v>
      </c>
      <c r="S2418" s="905" t="b">
        <f>IF(AY2266=INDEX(ddSingleOrMulti,2),TRUE,FALSE)</f>
        <v>1</v>
      </c>
      <c r="T2418" s="991" t="b">
        <f>AND(NOT(S2418),W2418=TRUE)</f>
        <v>0</v>
      </c>
      <c r="U2418"/>
      <c r="V2418"/>
      <c r="W2418" s="27" t="b">
        <v>1</v>
      </c>
      <c r="X2418" s="1600"/>
      <c r="Y2418" s="1875" t="str">
        <f>IF(LEN('11.1000'!X171)=0,"None",'11.1000'!X171)</f>
        <v>None</v>
      </c>
      <c r="Z2418" s="1600"/>
      <c r="AA2418"/>
      <c r="AC2418" s="1150" t="b">
        <f>OR(AD2418:AE2418)</f>
        <v>0</v>
      </c>
      <c r="AD2418" s="1150" t="b">
        <f>T2418</f>
        <v>0</v>
      </c>
      <c r="AE2418" s="1150" t="b">
        <f>AND(R2418,NOT(W2418=TRUE))</f>
        <v>0</v>
      </c>
      <c r="AF2418"/>
      <c r="AG2418"/>
      <c r="AH2418"/>
      <c r="AI2418"/>
      <c r="AJ2418"/>
      <c r="AK2418"/>
      <c r="AL2418" s="1352" t="str">
        <f>SUBSTITUTE(SUBSTITUTE(SUBSTITUTE("vpa"&amp;$B2418&amp;$C2418&amp;$D2418&amp;$E2418,".","_"),"(","_"),")","")</f>
        <v>vpa1002_5_3</v>
      </c>
      <c r="AM2418" s="1352" t="str">
        <f t="shared" si="166"/>
        <v>Mandatory</v>
      </c>
      <c r="AN2418" s="1352"/>
      <c r="AO2418" s="1352"/>
      <c r="AP2418" s="1352" t="str">
        <f>SUBSTITUTE(SUBSTITUTE(SUBSTITUTE("vch"&amp;$B2418&amp;$C2418&amp;$D2418&amp;$E2418,".","_"),"(","_"),")","")</f>
        <v>vch1002_5_3</v>
      </c>
      <c r="AQ2418" s="1352" t="b">
        <f>IF(LEN(W2418)=0,"",W2418)</f>
        <v>1</v>
      </c>
      <c r="AR2418" s="1352" t="str">
        <f>SUBSTITUTE(SUBSTITUTE(SUBSTITUTE("vnt"&amp;$B2418&amp;$C2418&amp;$D2418&amp;$E2418,".","_"),"(","_"),")","")</f>
        <v>vnt1002_5_3</v>
      </c>
      <c r="AS2418" s="1352" t="str">
        <f>IF(LEN(X2418)=0,"",X2418)</f>
        <v/>
      </c>
      <c r="AT2418"/>
    </row>
    <row r="2419" spans="1:46" x14ac:dyDescent="0.2">
      <c r="A2419" s="1515">
        <v>10</v>
      </c>
      <c r="B2419" s="1516" t="s">
        <v>4944</v>
      </c>
      <c r="C2419" s="1516" t="s">
        <v>256</v>
      </c>
      <c r="D2419" s="1511"/>
      <c r="E2419" s="1511"/>
      <c r="F2419" s="1514"/>
      <c r="G2419" s="1509" t="str">
        <f t="shared" si="165"/>
        <v>P</v>
      </c>
      <c r="H2419" s="1530" t="s">
        <v>3199</v>
      </c>
      <c r="I2419" s="589"/>
      <c r="J2419" s="606"/>
      <c r="K2419" s="606"/>
      <c r="L2419" s="1639"/>
      <c r="M2419" s="935"/>
      <c r="N2419" s="4"/>
      <c r="O2419" s="935"/>
      <c r="P2419" s="905"/>
      <c r="Q2419" s="905"/>
      <c r="R2419" s="905"/>
      <c r="S2419" s="905"/>
      <c r="T2419" s="905"/>
      <c r="U2419"/>
      <c r="V2419"/>
      <c r="W2419"/>
      <c r="X2419" s="1600"/>
      <c r="Y2419" s="1877"/>
      <c r="Z2419" s="1600"/>
      <c r="AA2419"/>
      <c r="AC2419" s="1150"/>
      <c r="AD2419" s="1150"/>
      <c r="AE2419" s="1150"/>
      <c r="AF2419"/>
      <c r="AG2419"/>
      <c r="AH2419"/>
      <c r="AI2419"/>
      <c r="AJ2419"/>
      <c r="AK2419"/>
      <c r="AL2419" s="1352"/>
      <c r="AM2419" s="1352"/>
      <c r="AN2419" s="1352"/>
      <c r="AO2419" s="1352"/>
      <c r="AP2419" s="1352"/>
      <c r="AQ2419" s="1352"/>
      <c r="AR2419" s="1352"/>
      <c r="AS2419" s="1352"/>
      <c r="AT2419"/>
    </row>
    <row r="2420" spans="1:46" ht="16" x14ac:dyDescent="0.2">
      <c r="A2420" s="1515">
        <v>10</v>
      </c>
      <c r="B2420" s="1516" t="s">
        <v>4944</v>
      </c>
      <c r="C2420" s="1516" t="s">
        <v>259</v>
      </c>
      <c r="D2420" s="1511"/>
      <c r="E2420" s="1511"/>
      <c r="F2420" s="1514"/>
      <c r="G2420" s="1509" t="str">
        <f t="shared" si="165"/>
        <v>P</v>
      </c>
      <c r="H2420" s="1530" t="s">
        <v>3199</v>
      </c>
      <c r="I2420" s="589"/>
      <c r="J2420" s="606" t="s">
        <v>259</v>
      </c>
      <c r="K2420" s="606"/>
      <c r="L2420" s="1361" t="s">
        <v>4930</v>
      </c>
      <c r="M2420" s="935"/>
      <c r="N2420" s="4"/>
      <c r="O2420" s="935"/>
      <c r="P2420" s="905" t="b">
        <v>0</v>
      </c>
      <c r="Q2420" s="905" t="b">
        <v>1</v>
      </c>
      <c r="R2420" s="905" t="b">
        <v>0</v>
      </c>
      <c r="S2420" s="905" t="b">
        <f>IF(AY2266=INDEX(ddSingleOrMulti,2),TRUE,FALSE)</f>
        <v>1</v>
      </c>
      <c r="T2420" s="991" t="b">
        <f t="shared" ref="T2420:T2425" si="167">AND(NOT(S2420),W2420=TRUE)</f>
        <v>0</v>
      </c>
      <c r="U2420"/>
      <c r="V2420"/>
      <c r="W2420" s="27" t="b">
        <v>1</v>
      </c>
      <c r="X2420" s="1123"/>
      <c r="Y2420" s="1136" t="str">
        <f>IF(LEN('11.1000'!X173)=0,"None",'11.1000'!X173)</f>
        <v>None</v>
      </c>
      <c r="Z2420" s="1123"/>
      <c r="AA2420"/>
      <c r="AC2420" s="1150" t="b">
        <f t="shared" ref="AC2420:AC2425" si="168">OR(AD2420:AE2420)</f>
        <v>0</v>
      </c>
      <c r="AD2420" s="1150" t="b">
        <f t="shared" ref="AD2420:AD2425" si="169">T2420</f>
        <v>0</v>
      </c>
      <c r="AE2420" s="1150"/>
      <c r="AF2420"/>
      <c r="AG2420"/>
      <c r="AH2420"/>
      <c r="AI2420"/>
      <c r="AJ2420"/>
      <c r="AK2420"/>
      <c r="AL2420" s="1352"/>
      <c r="AM2420" s="1352"/>
      <c r="AN2420" s="1352"/>
      <c r="AO2420" s="1352"/>
      <c r="AP2420" s="1352" t="str">
        <f t="shared" ref="AP2420:AP2425" si="170">SUBSTITUTE(SUBSTITUTE(SUBSTITUTE("vch"&amp;$B2420&amp;$C2420&amp;$D2420&amp;$E2420,".","_"),"(","_"),")","")</f>
        <v>vch1002_5_4</v>
      </c>
      <c r="AQ2420" s="1352" t="b">
        <f t="shared" ref="AQ2420:AQ2425" si="171">IF(LEN(W2420)=0,"",W2420)</f>
        <v>1</v>
      </c>
      <c r="AR2420" s="1352" t="str">
        <f t="shared" ref="AR2420:AR2425" si="172">SUBSTITUTE(SUBSTITUTE(SUBSTITUTE("vnt"&amp;$B2420&amp;$C2420&amp;$D2420&amp;$E2420,".","_"),"(","_"),")","")</f>
        <v>vnt1002_5_4</v>
      </c>
      <c r="AS2420" s="1352" t="str">
        <f t="shared" ref="AS2420:AS2425" si="173">IF(LEN(X2420)=0,"",X2420)</f>
        <v/>
      </c>
      <c r="AT2420"/>
    </row>
    <row r="2421" spans="1:46" ht="16" x14ac:dyDescent="0.2">
      <c r="A2421" s="1515">
        <v>10</v>
      </c>
      <c r="B2421" s="1516" t="s">
        <v>4944</v>
      </c>
      <c r="C2421" s="1516" t="s">
        <v>263</v>
      </c>
      <c r="D2421" s="1511"/>
      <c r="E2421" s="1511"/>
      <c r="F2421" s="1514"/>
      <c r="G2421" s="1509" t="str">
        <f t="shared" si="165"/>
        <v>P</v>
      </c>
      <c r="H2421" s="1530" t="s">
        <v>3199</v>
      </c>
      <c r="I2421" s="589"/>
      <c r="J2421" s="606" t="s">
        <v>263</v>
      </c>
      <c r="K2421" s="606"/>
      <c r="L2421" s="1361" t="s">
        <v>4931</v>
      </c>
      <c r="M2421" s="935"/>
      <c r="N2421" s="4"/>
      <c r="O2421" s="935"/>
      <c r="P2421" s="905" t="b">
        <v>0</v>
      </c>
      <c r="Q2421" s="905" t="b">
        <v>1</v>
      </c>
      <c r="R2421" s="905" t="b">
        <v>0</v>
      </c>
      <c r="S2421" s="905" t="b">
        <f>IF(AY2266=INDEX(ddSingleOrMulti,2),TRUE,FALSE)</f>
        <v>1</v>
      </c>
      <c r="T2421" s="991" t="b">
        <f t="shared" si="167"/>
        <v>0</v>
      </c>
      <c r="U2421"/>
      <c r="V2421"/>
      <c r="W2421" s="27" t="b">
        <v>1</v>
      </c>
      <c r="X2421" s="1123"/>
      <c r="Y2421" s="1136" t="str">
        <f>IF(LEN('11.1000'!X174)=0,"None",'11.1000'!X174)</f>
        <v>None</v>
      </c>
      <c r="Z2421" s="1123"/>
      <c r="AA2421"/>
      <c r="AC2421" s="1150" t="b">
        <f t="shared" si="168"/>
        <v>0</v>
      </c>
      <c r="AD2421" s="1150" t="b">
        <f t="shared" si="169"/>
        <v>0</v>
      </c>
      <c r="AE2421" s="1150"/>
      <c r="AF2421"/>
      <c r="AG2421"/>
      <c r="AH2421"/>
      <c r="AI2421"/>
      <c r="AJ2421"/>
      <c r="AK2421"/>
      <c r="AL2421" s="1352"/>
      <c r="AM2421" s="1352"/>
      <c r="AN2421" s="1352"/>
      <c r="AO2421" s="1352"/>
      <c r="AP2421" s="1352" t="str">
        <f t="shared" si="170"/>
        <v>vch1002_5_5</v>
      </c>
      <c r="AQ2421" s="1352" t="b">
        <f t="shared" si="171"/>
        <v>1</v>
      </c>
      <c r="AR2421" s="1352" t="str">
        <f t="shared" si="172"/>
        <v>vnt1002_5_5</v>
      </c>
      <c r="AS2421" s="1352" t="str">
        <f t="shared" si="173"/>
        <v/>
      </c>
      <c r="AT2421"/>
    </row>
    <row r="2422" spans="1:46" ht="16" x14ac:dyDescent="0.2">
      <c r="A2422" s="1515">
        <v>10</v>
      </c>
      <c r="B2422" s="1516" t="s">
        <v>4944</v>
      </c>
      <c r="C2422" s="1516" t="s">
        <v>264</v>
      </c>
      <c r="D2422" s="1511"/>
      <c r="E2422" s="1511"/>
      <c r="F2422" s="1514"/>
      <c r="G2422" s="1509" t="str">
        <f t="shared" si="165"/>
        <v>P</v>
      </c>
      <c r="H2422" s="1530" t="s">
        <v>3199</v>
      </c>
      <c r="I2422" s="589"/>
      <c r="J2422" s="606" t="s">
        <v>264</v>
      </c>
      <c r="K2422" s="606"/>
      <c r="L2422" s="1361" t="s">
        <v>4932</v>
      </c>
      <c r="M2422" s="935"/>
      <c r="N2422" s="4"/>
      <c r="O2422" s="935"/>
      <c r="P2422" s="905" t="b">
        <v>0</v>
      </c>
      <c r="Q2422" s="905" t="b">
        <v>1</v>
      </c>
      <c r="R2422" s="905" t="b">
        <v>0</v>
      </c>
      <c r="S2422" s="905" t="b">
        <f>IF(AY2266=INDEX(ddSingleOrMulti,2),TRUE,FALSE)</f>
        <v>1</v>
      </c>
      <c r="T2422" s="991" t="b">
        <f t="shared" si="167"/>
        <v>0</v>
      </c>
      <c r="U2422"/>
      <c r="V2422"/>
      <c r="W2422" s="27" t="b">
        <v>1</v>
      </c>
      <c r="X2422" s="1123"/>
      <c r="Y2422" s="1136" t="str">
        <f>IF(LEN('11.1000'!X175)=0,"None",'11.1000'!X175)</f>
        <v>None</v>
      </c>
      <c r="Z2422" s="1123"/>
      <c r="AA2422"/>
      <c r="AC2422" s="1150" t="b">
        <f t="shared" si="168"/>
        <v>0</v>
      </c>
      <c r="AD2422" s="1150" t="b">
        <f t="shared" si="169"/>
        <v>0</v>
      </c>
      <c r="AE2422" s="1150"/>
      <c r="AF2422"/>
      <c r="AG2422"/>
      <c r="AH2422"/>
      <c r="AI2422"/>
      <c r="AJ2422"/>
      <c r="AK2422"/>
      <c r="AL2422" s="1352"/>
      <c r="AM2422" s="1352"/>
      <c r="AN2422" s="1352"/>
      <c r="AO2422" s="1352"/>
      <c r="AP2422" s="1352" t="str">
        <f t="shared" si="170"/>
        <v>vch1002_5_6</v>
      </c>
      <c r="AQ2422" s="1352" t="b">
        <f t="shared" si="171"/>
        <v>1</v>
      </c>
      <c r="AR2422" s="1352" t="str">
        <f t="shared" si="172"/>
        <v>vnt1002_5_6</v>
      </c>
      <c r="AS2422" s="1352" t="str">
        <f t="shared" si="173"/>
        <v/>
      </c>
      <c r="AT2422"/>
    </row>
    <row r="2423" spans="1:46" ht="16" x14ac:dyDescent="0.2">
      <c r="A2423" s="1515">
        <v>10</v>
      </c>
      <c r="B2423" s="1516" t="s">
        <v>4944</v>
      </c>
      <c r="C2423" s="1516" t="s">
        <v>356</v>
      </c>
      <c r="D2423" s="1511"/>
      <c r="E2423" s="1511"/>
      <c r="F2423" s="1514"/>
      <c r="G2423" s="1509" t="str">
        <f t="shared" si="165"/>
        <v>P</v>
      </c>
      <c r="H2423" s="1530" t="s">
        <v>3199</v>
      </c>
      <c r="I2423" s="589"/>
      <c r="J2423" s="606" t="s">
        <v>356</v>
      </c>
      <c r="K2423" s="606"/>
      <c r="L2423" s="1361" t="s">
        <v>4933</v>
      </c>
      <c r="M2423" s="935"/>
      <c r="N2423" s="4"/>
      <c r="O2423" s="935"/>
      <c r="P2423" s="905" t="b">
        <v>0</v>
      </c>
      <c r="Q2423" s="905" t="b">
        <v>1</v>
      </c>
      <c r="R2423" s="905" t="b">
        <v>0</v>
      </c>
      <c r="S2423" s="905" t="b">
        <f>IF(AY2266=INDEX(ddSingleOrMulti,2),TRUE,FALSE)</f>
        <v>1</v>
      </c>
      <c r="T2423" s="991" t="b">
        <f t="shared" si="167"/>
        <v>0</v>
      </c>
      <c r="U2423"/>
      <c r="V2423"/>
      <c r="W2423" s="27" t="b">
        <v>1</v>
      </c>
      <c r="X2423" s="1123"/>
      <c r="Y2423" s="1136" t="str">
        <f>IF(LEN('11.1000'!X176)=0,"None",'11.1000'!X176)</f>
        <v>None</v>
      </c>
      <c r="Z2423" s="1123"/>
      <c r="AA2423"/>
      <c r="AC2423" s="1150" t="b">
        <f t="shared" si="168"/>
        <v>0</v>
      </c>
      <c r="AD2423" s="1150" t="b">
        <f t="shared" si="169"/>
        <v>0</v>
      </c>
      <c r="AE2423" s="1150"/>
      <c r="AF2423"/>
      <c r="AG2423"/>
      <c r="AH2423"/>
      <c r="AI2423"/>
      <c r="AJ2423"/>
      <c r="AK2423"/>
      <c r="AL2423" s="1352"/>
      <c r="AM2423" s="1352"/>
      <c r="AN2423" s="1352"/>
      <c r="AO2423" s="1352"/>
      <c r="AP2423" s="1352" t="str">
        <f t="shared" si="170"/>
        <v>vch1002_5_7</v>
      </c>
      <c r="AQ2423" s="1352" t="b">
        <f t="shared" si="171"/>
        <v>1</v>
      </c>
      <c r="AR2423" s="1352" t="str">
        <f t="shared" si="172"/>
        <v>vnt1002_5_7</v>
      </c>
      <c r="AS2423" s="1352" t="str">
        <f t="shared" si="173"/>
        <v/>
      </c>
      <c r="AT2423"/>
    </row>
    <row r="2424" spans="1:46" ht="16" x14ac:dyDescent="0.2">
      <c r="A2424" s="1515">
        <v>10</v>
      </c>
      <c r="B2424" s="1516" t="s">
        <v>4944</v>
      </c>
      <c r="C2424" s="1516" t="s">
        <v>389</v>
      </c>
      <c r="D2424" s="1511"/>
      <c r="E2424" s="1511"/>
      <c r="F2424" s="1514"/>
      <c r="G2424" s="1509" t="str">
        <f t="shared" si="165"/>
        <v>P</v>
      </c>
      <c r="H2424" s="1530" t="s">
        <v>3199</v>
      </c>
      <c r="I2424" s="589"/>
      <c r="J2424" s="606" t="s">
        <v>389</v>
      </c>
      <c r="K2424" s="606"/>
      <c r="L2424" s="1361" t="s">
        <v>4934</v>
      </c>
      <c r="M2424" s="935"/>
      <c r="N2424" s="4"/>
      <c r="O2424" s="935"/>
      <c r="P2424" s="905" t="b">
        <v>0</v>
      </c>
      <c r="Q2424" s="905" t="b">
        <v>1</v>
      </c>
      <c r="R2424" s="905" t="b">
        <v>0</v>
      </c>
      <c r="S2424" s="905" t="b">
        <f>IF(AY2266=INDEX(ddSingleOrMulti,2),TRUE,FALSE)</f>
        <v>1</v>
      </c>
      <c r="T2424" s="991" t="b">
        <f t="shared" si="167"/>
        <v>0</v>
      </c>
      <c r="U2424"/>
      <c r="V2424"/>
      <c r="W2424" s="27" t="b">
        <v>1</v>
      </c>
      <c r="X2424" s="1123"/>
      <c r="Y2424" s="1136" t="str">
        <f>IF(LEN('11.1000'!X177)=0,"None",'11.1000'!X177)</f>
        <v>None</v>
      </c>
      <c r="Z2424" s="1123"/>
      <c r="AA2424"/>
      <c r="AC2424" s="1150" t="b">
        <f t="shared" si="168"/>
        <v>0</v>
      </c>
      <c r="AD2424" s="1150" t="b">
        <f t="shared" si="169"/>
        <v>0</v>
      </c>
      <c r="AE2424" s="1150"/>
      <c r="AF2424"/>
      <c r="AG2424"/>
      <c r="AH2424"/>
      <c r="AI2424"/>
      <c r="AJ2424"/>
      <c r="AK2424"/>
      <c r="AL2424" s="1352"/>
      <c r="AM2424" s="1352"/>
      <c r="AN2424" s="1352"/>
      <c r="AO2424" s="1352"/>
      <c r="AP2424" s="1352" t="str">
        <f t="shared" si="170"/>
        <v>vch1002_5_8</v>
      </c>
      <c r="AQ2424" s="1352" t="b">
        <f t="shared" si="171"/>
        <v>1</v>
      </c>
      <c r="AR2424" s="1352" t="str">
        <f t="shared" si="172"/>
        <v>vnt1002_5_8</v>
      </c>
      <c r="AS2424" s="1352" t="str">
        <f t="shared" si="173"/>
        <v/>
      </c>
      <c r="AT2424"/>
    </row>
    <row r="2425" spans="1:46" ht="17" thickBot="1" x14ac:dyDescent="0.25">
      <c r="A2425" s="1515">
        <v>10</v>
      </c>
      <c r="B2425" s="1516" t="s">
        <v>4944</v>
      </c>
      <c r="C2425" s="1516" t="s">
        <v>391</v>
      </c>
      <c r="D2425" s="1511"/>
      <c r="E2425" s="1511"/>
      <c r="F2425" s="1514"/>
      <c r="G2425" s="1509" t="str">
        <f t="shared" si="165"/>
        <v>P</v>
      </c>
      <c r="H2425" s="1530" t="s">
        <v>3199</v>
      </c>
      <c r="I2425" s="594"/>
      <c r="J2425" s="594" t="s">
        <v>391</v>
      </c>
      <c r="K2425" s="594"/>
      <c r="L2425" s="920" t="s">
        <v>4935</v>
      </c>
      <c r="M2425" s="922"/>
      <c r="N2425" s="239"/>
      <c r="O2425" s="922"/>
      <c r="P2425" s="100" t="b">
        <v>0</v>
      </c>
      <c r="Q2425" s="100" t="b">
        <v>1</v>
      </c>
      <c r="R2425" s="100" t="b">
        <v>0</v>
      </c>
      <c r="S2425" s="100" t="b">
        <f>IF(AY2266=INDEX(ddSingleOrMulti,2),TRUE,FALSE)</f>
        <v>1</v>
      </c>
      <c r="T2425" s="100" t="b">
        <f t="shared" si="167"/>
        <v>0</v>
      </c>
      <c r="U2425"/>
      <c r="V2425"/>
      <c r="W2425" s="101" t="b">
        <v>1</v>
      </c>
      <c r="X2425" s="1124"/>
      <c r="Y2425" s="1137" t="str">
        <f>IF(LEN('11.1000'!X178)=0,"None",'11.1000'!X178)</f>
        <v>None</v>
      </c>
      <c r="Z2425" s="1124"/>
      <c r="AA2425"/>
      <c r="AC2425" s="1150" t="b">
        <f t="shared" si="168"/>
        <v>0</v>
      </c>
      <c r="AD2425" s="1150" t="b">
        <f t="shared" si="169"/>
        <v>0</v>
      </c>
      <c r="AE2425" s="1150"/>
      <c r="AF2425"/>
      <c r="AG2425"/>
      <c r="AH2425"/>
      <c r="AI2425"/>
      <c r="AJ2425"/>
      <c r="AK2425"/>
      <c r="AL2425" s="1352"/>
      <c r="AM2425" s="1352"/>
      <c r="AN2425" s="1352"/>
      <c r="AO2425" s="1352"/>
      <c r="AP2425" s="1352" t="str">
        <f t="shared" si="170"/>
        <v>vch1002_5_9</v>
      </c>
      <c r="AQ2425" s="1352" t="b">
        <f t="shared" si="171"/>
        <v>1</v>
      </c>
      <c r="AR2425" s="1352" t="str">
        <f t="shared" si="172"/>
        <v>vnt1002_5_9</v>
      </c>
      <c r="AS2425" s="1352" t="str">
        <f t="shared" si="173"/>
        <v/>
      </c>
      <c r="AT2425"/>
    </row>
    <row r="2426" spans="1:46" ht="16" hidden="1" thickTop="1" x14ac:dyDescent="0.2">
      <c r="A2426" s="1515">
        <v>10</v>
      </c>
      <c r="B2426" s="1516" t="s">
        <v>4945</v>
      </c>
      <c r="C2426" s="1516"/>
      <c r="D2426" s="1511"/>
      <c r="E2426" s="1511"/>
      <c r="F2426" s="1514"/>
      <c r="G2426" s="1509" t="str">
        <f>IF(N2426&gt;0,"P","")</f>
        <v/>
      </c>
      <c r="H2426" s="1530" t="s">
        <v>3199</v>
      </c>
      <c r="I2426" s="589" t="s">
        <v>4936</v>
      </c>
      <c r="J2426" s="589"/>
      <c r="K2426" s="589"/>
      <c r="L2426" s="1687" t="s">
        <v>4937</v>
      </c>
      <c r="M2426" s="1769" t="s">
        <v>4946</v>
      </c>
      <c r="N2426" s="1682">
        <f>'11.1000'!O179</f>
        <v>0</v>
      </c>
      <c r="O2426" s="1669">
        <f>ROUNDDOWN(COUNTIF(W2430:W2436,TRUE)/2,0)</f>
        <v>0</v>
      </c>
      <c r="P2426" s="905"/>
      <c r="Q2426" s="905"/>
      <c r="R2426" s="905"/>
      <c r="S2426" s="905"/>
      <c r="T2426" s="905"/>
      <c r="U2426"/>
      <c r="V2426"/>
      <c r="W2426"/>
      <c r="X2426"/>
      <c r="Y2426"/>
      <c r="Z2426"/>
      <c r="AA2426"/>
      <c r="AC2426" s="1150"/>
      <c r="AD2426" s="1150"/>
      <c r="AE2426" s="1150"/>
      <c r="AF2426"/>
      <c r="AG2426"/>
      <c r="AH2426"/>
      <c r="AI2426"/>
      <c r="AJ2426"/>
      <c r="AK2426"/>
      <c r="AL2426" s="1352" t="str">
        <f>SUBSTITUTE(SUBSTITUTE(SUBSTITUTE("vpa"&amp;$B2426&amp;$C2426&amp;$D2426&amp;$E2426,".","_"),"(","_"),")","")</f>
        <v>vpa1002_6</v>
      </c>
      <c r="AM2426" s="1352" t="str">
        <f t="shared" ref="AM2426" si="174">M2426</f>
        <v>1 per 2 items</v>
      </c>
      <c r="AN2426" s="1352" t="str">
        <f>SUBSTITUTE(SUBSTITUTE(SUBSTITUTE("vpc"&amp;$B2426&amp;$C2426&amp;$D2426&amp;$E2426,".","_"),"(","_"),")","")</f>
        <v>vpc1002_6</v>
      </c>
      <c r="AO2426" s="1352">
        <f>O2426</f>
        <v>0</v>
      </c>
      <c r="AP2426" s="1352"/>
      <c r="AQ2426" s="1352"/>
      <c r="AR2426" s="1352"/>
      <c r="AS2426" s="1352"/>
      <c r="AT2426"/>
    </row>
    <row r="2427" spans="1:46" ht="16" hidden="1" thickTop="1" x14ac:dyDescent="0.2">
      <c r="A2427" s="1515">
        <v>10</v>
      </c>
      <c r="B2427" s="1516" t="s">
        <v>4945</v>
      </c>
      <c r="C2427" s="1516"/>
      <c r="D2427" s="1511"/>
      <c r="E2427" s="1511"/>
      <c r="F2427" s="1514"/>
      <c r="G2427" s="1509" t="str">
        <f t="shared" ref="G2427:G2436" si="175">G2426</f>
        <v/>
      </c>
      <c r="H2427" s="1530" t="s">
        <v>3199</v>
      </c>
      <c r="I2427" s="589"/>
      <c r="J2427" s="589"/>
      <c r="K2427" s="589"/>
      <c r="L2427" s="1687"/>
      <c r="M2427" s="1769"/>
      <c r="N2427" s="1619"/>
      <c r="O2427" s="1669"/>
      <c r="P2427" s="905"/>
      <c r="Q2427" s="905"/>
      <c r="R2427" s="905"/>
      <c r="S2427" s="905"/>
      <c r="T2427" s="905"/>
      <c r="U2427"/>
      <c r="V2427"/>
      <c r="W2427"/>
      <c r="X2427"/>
      <c r="Y2427"/>
      <c r="Z2427"/>
      <c r="AA2427"/>
      <c r="AC2427" s="1150"/>
      <c r="AD2427" s="1150"/>
      <c r="AE2427" s="1150"/>
      <c r="AF2427"/>
      <c r="AG2427"/>
      <c r="AH2427"/>
      <c r="AI2427"/>
      <c r="AJ2427"/>
      <c r="AK2427"/>
      <c r="AL2427" s="1352"/>
      <c r="AM2427" s="1352"/>
      <c r="AN2427" s="1352"/>
      <c r="AO2427" s="1352"/>
      <c r="AP2427" s="1352"/>
      <c r="AQ2427" s="1352"/>
      <c r="AR2427" s="1352"/>
      <c r="AS2427" s="1352"/>
      <c r="AT2427"/>
    </row>
    <row r="2428" spans="1:46" ht="16" hidden="1" thickTop="1" x14ac:dyDescent="0.2">
      <c r="A2428" s="1515">
        <v>10</v>
      </c>
      <c r="B2428" s="1516" t="s">
        <v>4945</v>
      </c>
      <c r="C2428" s="1516"/>
      <c r="D2428" s="1511"/>
      <c r="E2428" s="1511"/>
      <c r="F2428" s="1514"/>
      <c r="G2428" s="1509" t="str">
        <f t="shared" si="175"/>
        <v/>
      </c>
      <c r="H2428" s="1530" t="s">
        <v>3199</v>
      </c>
      <c r="I2428" s="589"/>
      <c r="J2428" s="589"/>
      <c r="K2428" s="589"/>
      <c r="L2428" s="1687"/>
      <c r="M2428" s="1769"/>
      <c r="N2428" s="1619"/>
      <c r="O2428" s="1669"/>
      <c r="P2428" s="905"/>
      <c r="Q2428" s="905"/>
      <c r="R2428" s="905"/>
      <c r="S2428" s="905"/>
      <c r="T2428" s="905"/>
      <c r="U2428"/>
      <c r="V2428"/>
      <c r="W2428"/>
      <c r="X2428"/>
      <c r="Y2428"/>
      <c r="Z2428"/>
      <c r="AA2428"/>
      <c r="AC2428" s="1150"/>
      <c r="AD2428" s="1150"/>
      <c r="AE2428" s="1150"/>
      <c r="AF2428"/>
      <c r="AG2428"/>
      <c r="AH2428"/>
      <c r="AI2428"/>
      <c r="AJ2428"/>
      <c r="AK2428"/>
      <c r="AL2428" s="1352"/>
      <c r="AM2428" s="1352"/>
      <c r="AN2428" s="1352"/>
      <c r="AO2428" s="1352"/>
      <c r="AP2428" s="1352"/>
      <c r="AQ2428" s="1352"/>
      <c r="AR2428" s="1352"/>
      <c r="AS2428" s="1352"/>
      <c r="AT2428"/>
    </row>
    <row r="2429" spans="1:46" ht="16" hidden="1" thickTop="1" x14ac:dyDescent="0.2">
      <c r="A2429" s="1515">
        <v>10</v>
      </c>
      <c r="B2429" s="1516" t="s">
        <v>4945</v>
      </c>
      <c r="C2429" s="1516"/>
      <c r="D2429" s="1511"/>
      <c r="E2429" s="1511"/>
      <c r="F2429" s="1514"/>
      <c r="G2429" s="1509" t="str">
        <f t="shared" si="175"/>
        <v/>
      </c>
      <c r="H2429" s="1530" t="s">
        <v>3199</v>
      </c>
      <c r="I2429" s="589"/>
      <c r="J2429" s="589"/>
      <c r="K2429" s="589"/>
      <c r="L2429" s="1687"/>
      <c r="M2429" s="1769"/>
      <c r="N2429" s="1619"/>
      <c r="O2429" s="1669"/>
      <c r="P2429" s="905"/>
      <c r="Q2429" s="905"/>
      <c r="R2429" s="905"/>
      <c r="S2429" s="905"/>
      <c r="T2429" s="905"/>
      <c r="U2429"/>
      <c r="V2429"/>
      <c r="W2429"/>
      <c r="X2429"/>
      <c r="Y2429"/>
      <c r="Z2429"/>
      <c r="AA2429"/>
      <c r="AC2429" s="1150"/>
      <c r="AD2429" s="1150"/>
      <c r="AE2429" s="1150"/>
      <c r="AF2429"/>
      <c r="AG2429"/>
      <c r="AH2429"/>
      <c r="AI2429"/>
      <c r="AJ2429"/>
      <c r="AK2429"/>
      <c r="AL2429" s="1352"/>
      <c r="AM2429" s="1352"/>
      <c r="AN2429" s="1352"/>
      <c r="AO2429" s="1352"/>
      <c r="AP2429" s="1352"/>
      <c r="AQ2429" s="1352"/>
      <c r="AR2429" s="1352"/>
      <c r="AS2429" s="1352"/>
      <c r="AT2429"/>
    </row>
    <row r="2430" spans="1:46" ht="17" hidden="1" thickTop="1" x14ac:dyDescent="0.2">
      <c r="A2430" s="1515">
        <v>10</v>
      </c>
      <c r="B2430" s="1516" t="s">
        <v>4945</v>
      </c>
      <c r="C2430" s="1516" t="s">
        <v>254</v>
      </c>
      <c r="D2430" s="1511"/>
      <c r="E2430" s="1511"/>
      <c r="F2430" s="1514"/>
      <c r="G2430" s="1509" t="str">
        <f t="shared" si="175"/>
        <v/>
      </c>
      <c r="H2430" s="1530" t="s">
        <v>3199</v>
      </c>
      <c r="I2430" s="589"/>
      <c r="J2430" s="606" t="s">
        <v>254</v>
      </c>
      <c r="K2430" s="606"/>
      <c r="L2430" s="1361" t="s">
        <v>4938</v>
      </c>
      <c r="M2430" s="935"/>
      <c r="N2430" s="4"/>
      <c r="O2430" s="935"/>
      <c r="P2430" s="905" t="b">
        <v>0</v>
      </c>
      <c r="Q2430" s="905" t="b">
        <v>1</v>
      </c>
      <c r="R2430" s="905" t="b">
        <v>0</v>
      </c>
      <c r="S2430" s="905" t="b">
        <f>IF(AY2266=INDEX(ddSingleOrMulti,2),TRUE,FALSE)</f>
        <v>1</v>
      </c>
      <c r="T2430" s="991" t="b">
        <f t="shared" ref="T2430:T2436" si="176">AND(NOT(S2430),W2430=TRUE)</f>
        <v>0</v>
      </c>
      <c r="U2430"/>
      <c r="V2430"/>
      <c r="W2430" s="27"/>
      <c r="X2430" s="1123"/>
      <c r="Y2430" s="1136" t="str">
        <f>IF(LEN('11.1000'!X183)=0,"None",'11.1000'!X183)</f>
        <v>None</v>
      </c>
      <c r="Z2430" s="1123"/>
      <c r="AA2430"/>
      <c r="AC2430" s="1150" t="b">
        <f t="shared" ref="AC2430:AC2436" si="177">OR(AD2430:AE2430)</f>
        <v>0</v>
      </c>
      <c r="AD2430" s="1150" t="b">
        <f t="shared" ref="AD2430:AD2436" si="178">T2430</f>
        <v>0</v>
      </c>
      <c r="AE2430" s="1150"/>
      <c r="AF2430"/>
      <c r="AG2430"/>
      <c r="AH2430"/>
      <c r="AI2430"/>
      <c r="AJ2430"/>
      <c r="AK2430"/>
      <c r="AL2430" s="1352"/>
      <c r="AM2430" s="1352"/>
      <c r="AN2430" s="1352"/>
      <c r="AO2430" s="1352"/>
      <c r="AP2430" s="1352" t="str">
        <f t="shared" ref="AP2430:AP2436" si="179">SUBSTITUTE(SUBSTITUTE(SUBSTITUTE("vch"&amp;$B2430&amp;$C2430&amp;$D2430&amp;$E2430,".","_"),"(","_"),")","")</f>
        <v>vch1002_6_1</v>
      </c>
      <c r="AQ2430" s="1352" t="str">
        <f t="shared" ref="AQ2430:AQ2436" si="180">IF(LEN(W2430)=0,"",W2430)</f>
        <v/>
      </c>
      <c r="AR2430" s="1352" t="str">
        <f t="shared" ref="AR2430:AR2436" si="181">SUBSTITUTE(SUBSTITUTE(SUBSTITUTE("vnt"&amp;$B2430&amp;$C2430&amp;$D2430&amp;$E2430,".","_"),"(","_"),")","")</f>
        <v>vnt1002_6_1</v>
      </c>
      <c r="AS2430" s="1352" t="str">
        <f t="shared" ref="AS2430:AS2436" si="182">IF(LEN(X2430)=0,"",X2430)</f>
        <v/>
      </c>
      <c r="AT2430"/>
    </row>
    <row r="2431" spans="1:46" ht="17" hidden="1" thickTop="1" x14ac:dyDescent="0.2">
      <c r="A2431" s="1515">
        <v>10</v>
      </c>
      <c r="B2431" s="1516" t="s">
        <v>4945</v>
      </c>
      <c r="C2431" s="1516" t="s">
        <v>255</v>
      </c>
      <c r="D2431" s="1511"/>
      <c r="E2431" s="1511"/>
      <c r="F2431" s="1514"/>
      <c r="G2431" s="1509" t="str">
        <f t="shared" si="175"/>
        <v/>
      </c>
      <c r="H2431" s="1530" t="s">
        <v>3199</v>
      </c>
      <c r="I2431" s="589"/>
      <c r="J2431" s="606" t="s">
        <v>255</v>
      </c>
      <c r="K2431" s="606"/>
      <c r="L2431" s="1361" t="s">
        <v>4939</v>
      </c>
      <c r="M2431" s="935"/>
      <c r="N2431" s="4"/>
      <c r="O2431" s="935"/>
      <c r="P2431" s="905" t="b">
        <v>0</v>
      </c>
      <c r="Q2431" s="905" t="b">
        <v>1</v>
      </c>
      <c r="R2431" s="905" t="b">
        <v>0</v>
      </c>
      <c r="S2431" s="905" t="b">
        <f>IF(AY2266=INDEX(ddSingleOrMulti,2),TRUE,FALSE)</f>
        <v>1</v>
      </c>
      <c r="T2431" s="991" t="b">
        <f t="shared" si="176"/>
        <v>0</v>
      </c>
      <c r="U2431"/>
      <c r="V2431"/>
      <c r="W2431" s="27"/>
      <c r="X2431" s="1123"/>
      <c r="Y2431" s="1136" t="str">
        <f>IF(LEN('11.1000'!X184)=0,"None",'11.1000'!X184)</f>
        <v>None</v>
      </c>
      <c r="Z2431" s="1123"/>
      <c r="AA2431"/>
      <c r="AC2431" s="1150" t="b">
        <f t="shared" si="177"/>
        <v>0</v>
      </c>
      <c r="AD2431" s="1150" t="b">
        <f t="shared" si="178"/>
        <v>0</v>
      </c>
      <c r="AE2431" s="1150"/>
      <c r="AF2431"/>
      <c r="AG2431"/>
      <c r="AH2431"/>
      <c r="AI2431"/>
      <c r="AJ2431"/>
      <c r="AK2431"/>
      <c r="AL2431" s="1352"/>
      <c r="AM2431" s="1352"/>
      <c r="AN2431" s="1352"/>
      <c r="AO2431" s="1352"/>
      <c r="AP2431" s="1352" t="str">
        <f t="shared" si="179"/>
        <v>vch1002_6_2</v>
      </c>
      <c r="AQ2431" s="1352" t="str">
        <f t="shared" si="180"/>
        <v/>
      </c>
      <c r="AR2431" s="1352" t="str">
        <f t="shared" si="181"/>
        <v>vnt1002_6_2</v>
      </c>
      <c r="AS2431" s="1352" t="str">
        <f t="shared" si="182"/>
        <v/>
      </c>
      <c r="AT2431"/>
    </row>
    <row r="2432" spans="1:46" ht="17" hidden="1" thickTop="1" x14ac:dyDescent="0.2">
      <c r="A2432" s="1515">
        <v>10</v>
      </c>
      <c r="B2432" s="1516" t="s">
        <v>4945</v>
      </c>
      <c r="C2432" s="1516" t="s">
        <v>256</v>
      </c>
      <c r="D2432" s="1511"/>
      <c r="E2432" s="1511"/>
      <c r="F2432" s="1514"/>
      <c r="G2432" s="1509" t="str">
        <f t="shared" si="175"/>
        <v/>
      </c>
      <c r="H2432" s="1530" t="s">
        <v>3199</v>
      </c>
      <c r="I2432" s="589"/>
      <c r="J2432" s="606" t="s">
        <v>256</v>
      </c>
      <c r="K2432" s="606"/>
      <c r="L2432" s="1361" t="s">
        <v>4940</v>
      </c>
      <c r="M2432" s="935"/>
      <c r="N2432" s="4"/>
      <c r="O2432" s="935"/>
      <c r="P2432" s="905" t="b">
        <v>0</v>
      </c>
      <c r="Q2432" s="905" t="b">
        <v>1</v>
      </c>
      <c r="R2432" s="905" t="b">
        <v>0</v>
      </c>
      <c r="S2432" s="905" t="b">
        <f>IF(AY2266=INDEX(ddSingleOrMulti,2),TRUE,FALSE)</f>
        <v>1</v>
      </c>
      <c r="T2432" s="991" t="b">
        <f t="shared" si="176"/>
        <v>0</v>
      </c>
      <c r="U2432"/>
      <c r="V2432"/>
      <c r="W2432" s="27"/>
      <c r="X2432" s="1123"/>
      <c r="Y2432" s="1136" t="str">
        <f>IF(LEN('11.1000'!X185)=0,"None",'11.1000'!X185)</f>
        <v>None</v>
      </c>
      <c r="Z2432" s="1123"/>
      <c r="AA2432"/>
      <c r="AC2432" s="1150" t="b">
        <f t="shared" si="177"/>
        <v>0</v>
      </c>
      <c r="AD2432" s="1150" t="b">
        <f t="shared" si="178"/>
        <v>0</v>
      </c>
      <c r="AE2432" s="1150"/>
      <c r="AF2432"/>
      <c r="AG2432"/>
      <c r="AH2432"/>
      <c r="AI2432"/>
      <c r="AJ2432"/>
      <c r="AK2432"/>
      <c r="AL2432" s="1352"/>
      <c r="AM2432" s="1352"/>
      <c r="AN2432" s="1352"/>
      <c r="AO2432" s="1352"/>
      <c r="AP2432" s="1352" t="str">
        <f t="shared" si="179"/>
        <v>vch1002_6_3</v>
      </c>
      <c r="AQ2432" s="1352" t="str">
        <f t="shared" si="180"/>
        <v/>
      </c>
      <c r="AR2432" s="1352" t="str">
        <f t="shared" si="181"/>
        <v>vnt1002_6_3</v>
      </c>
      <c r="AS2432" s="1352" t="str">
        <f t="shared" si="182"/>
        <v/>
      </c>
      <c r="AT2432"/>
    </row>
    <row r="2433" spans="1:60" ht="17" hidden="1" thickTop="1" x14ac:dyDescent="0.2">
      <c r="A2433" s="1515">
        <v>10</v>
      </c>
      <c r="B2433" s="1516" t="s">
        <v>4945</v>
      </c>
      <c r="C2433" s="1516" t="s">
        <v>259</v>
      </c>
      <c r="D2433" s="1511"/>
      <c r="E2433" s="1511"/>
      <c r="F2433" s="1514"/>
      <c r="G2433" s="1509" t="str">
        <f t="shared" si="175"/>
        <v/>
      </c>
      <c r="H2433" s="1530" t="s">
        <v>3199</v>
      </c>
      <c r="I2433" s="589"/>
      <c r="J2433" s="606" t="s">
        <v>259</v>
      </c>
      <c r="K2433" s="606"/>
      <c r="L2433" s="1361" t="s">
        <v>4941</v>
      </c>
      <c r="M2433" s="935"/>
      <c r="N2433" s="4"/>
      <c r="O2433" s="935"/>
      <c r="P2433" s="905" t="b">
        <v>0</v>
      </c>
      <c r="Q2433" s="905" t="b">
        <v>1</v>
      </c>
      <c r="R2433" s="905" t="b">
        <v>0</v>
      </c>
      <c r="S2433" s="905" t="b">
        <f>IF(AY2266=INDEX(ddSingleOrMulti,2),TRUE,FALSE)</f>
        <v>1</v>
      </c>
      <c r="T2433" s="991" t="b">
        <f t="shared" si="176"/>
        <v>0</v>
      </c>
      <c r="U2433"/>
      <c r="V2433"/>
      <c r="W2433" s="27"/>
      <c r="X2433" s="1123"/>
      <c r="Y2433" s="1136" t="str">
        <f>IF(LEN('11.1000'!X186)=0,"None",'11.1000'!X186)</f>
        <v>None</v>
      </c>
      <c r="Z2433" s="1123"/>
      <c r="AA2433"/>
      <c r="AC2433" s="1150" t="b">
        <f t="shared" si="177"/>
        <v>0</v>
      </c>
      <c r="AD2433" s="1150" t="b">
        <f t="shared" si="178"/>
        <v>0</v>
      </c>
      <c r="AE2433" s="1150"/>
      <c r="AF2433"/>
      <c r="AG2433"/>
      <c r="AH2433"/>
      <c r="AI2433"/>
      <c r="AJ2433"/>
      <c r="AK2433"/>
      <c r="AL2433" s="1352"/>
      <c r="AM2433" s="1352"/>
      <c r="AN2433" s="1352"/>
      <c r="AO2433" s="1352"/>
      <c r="AP2433" s="1352" t="str">
        <f t="shared" si="179"/>
        <v>vch1002_6_4</v>
      </c>
      <c r="AQ2433" s="1352" t="str">
        <f t="shared" si="180"/>
        <v/>
      </c>
      <c r="AR2433" s="1352" t="str">
        <f t="shared" si="181"/>
        <v>vnt1002_6_4</v>
      </c>
      <c r="AS2433" s="1352" t="str">
        <f t="shared" si="182"/>
        <v/>
      </c>
      <c r="AT2433"/>
    </row>
    <row r="2434" spans="1:60" ht="17" hidden="1" thickTop="1" x14ac:dyDescent="0.2">
      <c r="A2434" s="1515">
        <v>10</v>
      </c>
      <c r="B2434" s="1516" t="s">
        <v>4945</v>
      </c>
      <c r="C2434" s="1516" t="s">
        <v>263</v>
      </c>
      <c r="D2434" s="1511"/>
      <c r="E2434" s="1511"/>
      <c r="F2434" s="1514"/>
      <c r="G2434" s="1509" t="str">
        <f t="shared" si="175"/>
        <v/>
      </c>
      <c r="H2434" s="1530" t="s">
        <v>3199</v>
      </c>
      <c r="I2434" s="589"/>
      <c r="J2434" s="606" t="s">
        <v>263</v>
      </c>
      <c r="K2434" s="606"/>
      <c r="L2434" s="1361" t="s">
        <v>4942</v>
      </c>
      <c r="M2434" s="935"/>
      <c r="N2434" s="4"/>
      <c r="O2434" s="935"/>
      <c r="P2434" s="905" t="b">
        <v>0</v>
      </c>
      <c r="Q2434" s="905" t="b">
        <v>1</v>
      </c>
      <c r="R2434" s="905" t="b">
        <v>0</v>
      </c>
      <c r="S2434" s="905" t="b">
        <f>IF(AY2266=INDEX(ddSingleOrMulti,2),TRUE,FALSE)</f>
        <v>1</v>
      </c>
      <c r="T2434" s="991" t="b">
        <f t="shared" si="176"/>
        <v>0</v>
      </c>
      <c r="U2434"/>
      <c r="V2434"/>
      <c r="W2434" s="27"/>
      <c r="X2434" s="1123"/>
      <c r="Y2434" s="1136" t="str">
        <f>IF(LEN('11.1000'!X187)=0,"None",'11.1000'!X187)</f>
        <v>None</v>
      </c>
      <c r="Z2434" s="1123"/>
      <c r="AA2434"/>
      <c r="AC2434" s="1150" t="b">
        <f t="shared" si="177"/>
        <v>0</v>
      </c>
      <c r="AD2434" s="1150" t="b">
        <f t="shared" si="178"/>
        <v>0</v>
      </c>
      <c r="AE2434" s="1150"/>
      <c r="AF2434"/>
      <c r="AG2434"/>
      <c r="AH2434"/>
      <c r="AI2434"/>
      <c r="AJ2434"/>
      <c r="AK2434"/>
      <c r="AL2434" s="1352"/>
      <c r="AM2434" s="1352"/>
      <c r="AN2434" s="1352"/>
      <c r="AO2434" s="1352"/>
      <c r="AP2434" s="1352" t="str">
        <f t="shared" si="179"/>
        <v>vch1002_6_5</v>
      </c>
      <c r="AQ2434" s="1352" t="str">
        <f t="shared" si="180"/>
        <v/>
      </c>
      <c r="AR2434" s="1352" t="str">
        <f t="shared" si="181"/>
        <v>vnt1002_6_5</v>
      </c>
      <c r="AS2434" s="1352" t="str">
        <f t="shared" si="182"/>
        <v/>
      </c>
      <c r="AT2434"/>
    </row>
    <row r="2435" spans="1:60" ht="17" hidden="1" thickTop="1" x14ac:dyDescent="0.2">
      <c r="A2435" s="1515">
        <v>10</v>
      </c>
      <c r="B2435" s="1516" t="s">
        <v>4945</v>
      </c>
      <c r="C2435" s="1516" t="s">
        <v>264</v>
      </c>
      <c r="D2435" s="1511"/>
      <c r="E2435" s="1511"/>
      <c r="F2435" s="1514"/>
      <c r="G2435" s="1509" t="str">
        <f t="shared" si="175"/>
        <v/>
      </c>
      <c r="H2435" s="1530" t="s">
        <v>3199</v>
      </c>
      <c r="I2435" s="589"/>
      <c r="J2435" s="606" t="s">
        <v>264</v>
      </c>
      <c r="K2435" s="606"/>
      <c r="L2435" s="1361" t="s">
        <v>2829</v>
      </c>
      <c r="M2435" s="935"/>
      <c r="N2435" s="4"/>
      <c r="O2435" s="935"/>
      <c r="P2435" s="905" t="b">
        <v>0</v>
      </c>
      <c r="Q2435" s="905" t="b">
        <v>1</v>
      </c>
      <c r="R2435" s="905" t="b">
        <v>0</v>
      </c>
      <c r="S2435" s="905" t="b">
        <f>IF(AY2266=INDEX(ddSingleOrMulti,2),TRUE,FALSE)</f>
        <v>1</v>
      </c>
      <c r="T2435" s="991" t="b">
        <f t="shared" si="176"/>
        <v>0</v>
      </c>
      <c r="U2435"/>
      <c r="V2435"/>
      <c r="W2435" s="27"/>
      <c r="X2435" s="1123"/>
      <c r="Y2435" s="1136" t="str">
        <f>IF(LEN('11.1000'!X188)=0,"None",'11.1000'!X188)</f>
        <v>None</v>
      </c>
      <c r="Z2435" s="1123"/>
      <c r="AA2435"/>
      <c r="AC2435" s="1150" t="b">
        <f t="shared" si="177"/>
        <v>0</v>
      </c>
      <c r="AD2435" s="1150" t="b">
        <f t="shared" si="178"/>
        <v>0</v>
      </c>
      <c r="AE2435" s="1150"/>
      <c r="AF2435"/>
      <c r="AG2435"/>
      <c r="AH2435"/>
      <c r="AI2435"/>
      <c r="AJ2435"/>
      <c r="AK2435"/>
      <c r="AL2435" s="1352"/>
      <c r="AM2435" s="1352"/>
      <c r="AN2435" s="1352"/>
      <c r="AO2435" s="1352"/>
      <c r="AP2435" s="1352" t="str">
        <f t="shared" si="179"/>
        <v>vch1002_6_6</v>
      </c>
      <c r="AQ2435" s="1352" t="str">
        <f t="shared" si="180"/>
        <v/>
      </c>
      <c r="AR2435" s="1352" t="str">
        <f t="shared" si="181"/>
        <v>vnt1002_6_6</v>
      </c>
      <c r="AS2435" s="1352" t="str">
        <f t="shared" si="182"/>
        <v/>
      </c>
      <c r="AT2435"/>
    </row>
    <row r="2436" spans="1:60" ht="17" hidden="1" thickTop="1" x14ac:dyDescent="0.2">
      <c r="A2436" s="1515">
        <v>10</v>
      </c>
      <c r="B2436" s="1516" t="s">
        <v>4945</v>
      </c>
      <c r="C2436" s="1516" t="s">
        <v>356</v>
      </c>
      <c r="G2436" s="1509" t="str">
        <f t="shared" si="175"/>
        <v/>
      </c>
      <c r="H2436" s="1510" t="s">
        <v>3199</v>
      </c>
      <c r="I2436" s="589"/>
      <c r="J2436" s="589" t="s">
        <v>356</v>
      </c>
      <c r="K2436" s="589"/>
      <c r="L2436" s="917" t="s">
        <v>4943</v>
      </c>
      <c r="M2436" s="905"/>
      <c r="N2436" s="905"/>
      <c r="O2436" s="905"/>
      <c r="P2436" s="905" t="b">
        <v>0</v>
      </c>
      <c r="Q2436" s="905" t="b">
        <v>1</v>
      </c>
      <c r="R2436" s="905" t="b">
        <v>0</v>
      </c>
      <c r="S2436" s="905" t="b">
        <f>IF(AY2266=INDEX(ddSingleOrMulti,2),TRUE,FALSE)</f>
        <v>1</v>
      </c>
      <c r="T2436" s="991" t="b">
        <f t="shared" si="176"/>
        <v>0</v>
      </c>
      <c r="U2436"/>
      <c r="V2436"/>
      <c r="W2436" s="27"/>
      <c r="X2436" s="1123"/>
      <c r="Y2436" s="1136" t="str">
        <f>IF(LEN('11.1000'!X189)=0,"None",'11.1000'!X189)</f>
        <v>None</v>
      </c>
      <c r="Z2436" s="1123"/>
      <c r="AA2436"/>
      <c r="AC2436" s="1150" t="b">
        <f t="shared" si="177"/>
        <v>0</v>
      </c>
      <c r="AD2436" s="1150" t="b">
        <f t="shared" si="178"/>
        <v>0</v>
      </c>
      <c r="AE2436" s="1150"/>
      <c r="AF2436"/>
      <c r="AG2436"/>
      <c r="AH2436"/>
      <c r="AI2436"/>
      <c r="AJ2436"/>
      <c r="AK2436"/>
      <c r="AL2436" s="1352"/>
      <c r="AM2436" s="1352"/>
      <c r="AN2436" s="1352"/>
      <c r="AO2436" s="1352"/>
      <c r="AP2436" s="1352" t="str">
        <f t="shared" si="179"/>
        <v>vch1002_6_7</v>
      </c>
      <c r="AQ2436" s="1352" t="str">
        <f t="shared" si="180"/>
        <v/>
      </c>
      <c r="AR2436" s="1352" t="str">
        <f t="shared" si="181"/>
        <v>vnt1002_6_7</v>
      </c>
      <c r="AS2436" s="1352" t="str">
        <f t="shared" si="182"/>
        <v/>
      </c>
      <c r="AT2436"/>
    </row>
    <row r="2437" spans="1:60" ht="20" thickTop="1" x14ac:dyDescent="0.25">
      <c r="A2437" s="1507">
        <v>10</v>
      </c>
      <c r="B2437" s="1516">
        <v>1003</v>
      </c>
      <c r="C2437" s="1511"/>
      <c r="D2437" s="1511"/>
      <c r="E2437" s="1511"/>
      <c r="F2437" s="1514"/>
      <c r="G2437" s="1509" t="s">
        <v>3200</v>
      </c>
      <c r="H2437" s="1510" t="s">
        <v>3197</v>
      </c>
      <c r="I2437" s="72" t="s">
        <v>3759</v>
      </c>
      <c r="J2437" s="72"/>
      <c r="K2437" s="72"/>
      <c r="L2437" s="232"/>
      <c r="M2437" s="419"/>
      <c r="N2437" s="428"/>
      <c r="O2437" s="419"/>
      <c r="P2437" s="25"/>
      <c r="Q2437" s="25"/>
      <c r="R2437" s="25"/>
      <c r="S2437" s="25"/>
      <c r="T2437" s="25"/>
      <c r="U2437" s="25"/>
      <c r="V2437" s="25"/>
      <c r="W2437" s="25"/>
      <c r="X2437" s="25"/>
      <c r="Y2437" s="25"/>
      <c r="Z2437" s="714"/>
      <c r="AB2437" s="538"/>
      <c r="AC2437" s="538"/>
      <c r="AD2437" s="538"/>
      <c r="AE2437" s="538"/>
      <c r="AF2437" s="538"/>
      <c r="AG2437" s="538"/>
      <c r="AH2437" s="538"/>
      <c r="AI2437" s="538"/>
      <c r="AJ2437" s="538"/>
      <c r="AK2437" s="538"/>
      <c r="AL2437" s="1352"/>
      <c r="AM2437" s="1352"/>
      <c r="AN2437" s="1352"/>
      <c r="AO2437" s="1352"/>
      <c r="AP2437" s="1352"/>
      <c r="AQ2437" s="1352"/>
      <c r="AR2437" s="1352"/>
      <c r="AS2437" s="1352"/>
      <c r="AT2437" s="538"/>
      <c r="AU2437" s="538"/>
      <c r="AV2437" s="538"/>
      <c r="AW2437" s="538"/>
      <c r="AX2437" s="538"/>
      <c r="AY2437" s="538"/>
      <c r="AZ2437" s="538"/>
      <c r="BA2437" s="538"/>
      <c r="BB2437" s="538"/>
      <c r="BC2437" s="538"/>
      <c r="BD2437" s="538"/>
      <c r="BE2437" s="538"/>
      <c r="BF2437" s="538"/>
      <c r="BG2437" s="538"/>
      <c r="BH2437" s="538"/>
    </row>
    <row r="2438" spans="1:60" hidden="1" x14ac:dyDescent="0.2">
      <c r="A2438" s="1507">
        <v>10</v>
      </c>
      <c r="B2438" s="1516" t="s">
        <v>3214</v>
      </c>
      <c r="C2438" s="1511"/>
      <c r="D2438" s="1511"/>
      <c r="E2438" s="1511"/>
      <c r="F2438" s="1514"/>
      <c r="G2438" s="1510"/>
      <c r="H2438" s="1510"/>
      <c r="I2438" s="590" t="s">
        <v>3760</v>
      </c>
      <c r="J2438" s="609"/>
      <c r="K2438" s="609"/>
      <c r="L2438" s="1629" t="s">
        <v>3763</v>
      </c>
      <c r="M2438" s="578"/>
      <c r="N2438" s="129"/>
      <c r="O2438" s="578"/>
      <c r="P2438" s="96"/>
      <c r="Q2438" s="96"/>
      <c r="R2438" s="96"/>
      <c r="S2438" s="96"/>
      <c r="T2438" s="96"/>
      <c r="U2438" s="96"/>
      <c r="V2438" s="96"/>
      <c r="W2438" s="96"/>
      <c r="X2438" s="96"/>
      <c r="Y2438" s="96"/>
      <c r="Z2438" s="718"/>
      <c r="AB2438" s="538"/>
      <c r="AC2438" s="538"/>
      <c r="AD2438" s="538"/>
      <c r="AE2438" s="538"/>
      <c r="AF2438" s="538"/>
      <c r="AG2438" s="538"/>
      <c r="AH2438" s="538"/>
      <c r="AI2438" s="538"/>
      <c r="AJ2438" s="538"/>
      <c r="AK2438" s="538"/>
      <c r="AL2438" s="1352"/>
      <c r="AM2438" s="1352"/>
      <c r="AN2438" s="1352"/>
      <c r="AO2438" s="1352"/>
      <c r="AP2438" s="1352"/>
      <c r="AQ2438" s="1352"/>
      <c r="AR2438" s="1352"/>
      <c r="AS2438" s="1352"/>
      <c r="AT2438" s="538"/>
      <c r="AU2438" s="538"/>
      <c r="AV2438" s="538"/>
      <c r="AW2438" s="538"/>
      <c r="AX2438" s="538"/>
      <c r="AY2438" s="538"/>
      <c r="AZ2438" s="538"/>
      <c r="BA2438" s="538"/>
      <c r="BB2438" s="538"/>
      <c r="BC2438" s="538"/>
      <c r="BD2438" s="538"/>
      <c r="BE2438" s="538"/>
      <c r="BF2438" s="538"/>
      <c r="BG2438" s="538"/>
      <c r="BH2438" s="538"/>
    </row>
    <row r="2439" spans="1:60" hidden="1" x14ac:dyDescent="0.2">
      <c r="A2439" s="1507">
        <v>10</v>
      </c>
      <c r="B2439" s="1516" t="s">
        <v>3214</v>
      </c>
      <c r="C2439" s="1511"/>
      <c r="D2439" s="1511"/>
      <c r="E2439" s="1511"/>
      <c r="F2439" s="1514"/>
      <c r="G2439" s="1510"/>
      <c r="H2439" s="1510"/>
      <c r="I2439" s="102"/>
      <c r="J2439" s="609"/>
      <c r="K2439" s="609"/>
      <c r="L2439" s="1629"/>
      <c r="M2439" s="578"/>
      <c r="N2439" s="129"/>
      <c r="O2439" s="578"/>
      <c r="P2439" s="96"/>
      <c r="Q2439" s="96"/>
      <c r="R2439" s="96"/>
      <c r="S2439" s="96"/>
      <c r="T2439" s="96"/>
      <c r="U2439" s="96"/>
      <c r="V2439" s="96"/>
      <c r="W2439" s="96"/>
      <c r="X2439" s="96"/>
      <c r="Y2439" s="96"/>
      <c r="Z2439" s="718"/>
      <c r="AB2439" s="538"/>
      <c r="AC2439" s="538"/>
      <c r="AD2439" s="538"/>
      <c r="AE2439" s="538"/>
      <c r="AF2439" s="538"/>
      <c r="AG2439" s="538"/>
      <c r="AH2439" s="538"/>
      <c r="AI2439" s="538"/>
      <c r="AJ2439" s="538"/>
      <c r="AK2439" s="538"/>
      <c r="AL2439" s="1352"/>
      <c r="AM2439" s="1352"/>
      <c r="AN2439" s="1352"/>
      <c r="AO2439" s="1352"/>
      <c r="AP2439" s="1352"/>
      <c r="AQ2439" s="1352"/>
      <c r="AR2439" s="1352"/>
      <c r="AS2439" s="1352"/>
      <c r="AT2439" s="538"/>
      <c r="AU2439" s="538"/>
      <c r="AV2439" s="538"/>
      <c r="AW2439" s="538"/>
      <c r="AX2439" s="538"/>
      <c r="AY2439" s="538"/>
      <c r="AZ2439" s="538"/>
      <c r="BA2439" s="538"/>
      <c r="BB2439" s="538"/>
      <c r="BC2439" s="538"/>
      <c r="BD2439" s="538"/>
      <c r="BE2439" s="538"/>
      <c r="BF2439" s="538"/>
      <c r="BG2439" s="538"/>
      <c r="BH2439" s="538"/>
    </row>
    <row r="2440" spans="1:60" ht="16" hidden="1" thickBot="1" x14ac:dyDescent="0.25">
      <c r="A2440" s="1507">
        <v>10</v>
      </c>
      <c r="B2440" s="1516" t="s">
        <v>3214</v>
      </c>
      <c r="C2440" s="1511"/>
      <c r="D2440" s="1511"/>
      <c r="E2440" s="1511"/>
      <c r="F2440" s="1514"/>
      <c r="G2440" s="1510"/>
      <c r="H2440" s="1510"/>
      <c r="I2440" s="592"/>
      <c r="J2440" s="596"/>
      <c r="K2440" s="596"/>
      <c r="L2440" s="1630"/>
      <c r="M2440" s="577"/>
      <c r="N2440" s="239"/>
      <c r="O2440" s="577"/>
      <c r="P2440" s="100"/>
      <c r="Q2440" s="100"/>
      <c r="R2440" s="100"/>
      <c r="S2440" s="100"/>
      <c r="T2440" s="100"/>
      <c r="U2440" s="100"/>
      <c r="V2440" s="100"/>
      <c r="W2440" s="100"/>
      <c r="X2440" s="100"/>
      <c r="Y2440" s="100"/>
      <c r="Z2440" s="716"/>
      <c r="AB2440" s="538"/>
      <c r="AC2440" s="538"/>
      <c r="AD2440" s="538"/>
      <c r="AE2440" s="538"/>
      <c r="AF2440" s="538"/>
      <c r="AG2440" s="538"/>
      <c r="AH2440" s="538"/>
      <c r="AI2440" s="538"/>
      <c r="AJ2440" s="538"/>
      <c r="AK2440" s="538"/>
      <c r="AL2440" s="1352"/>
      <c r="AM2440" s="1352"/>
      <c r="AN2440" s="1352"/>
      <c r="AO2440" s="1352"/>
      <c r="AP2440" s="1352"/>
      <c r="AQ2440" s="1352"/>
      <c r="AR2440" s="1352"/>
      <c r="AS2440" s="1352"/>
      <c r="AT2440" s="538"/>
      <c r="AU2440" s="538"/>
      <c r="AV2440" s="538"/>
      <c r="AW2440" s="538"/>
      <c r="AX2440" s="538"/>
      <c r="AY2440" s="538"/>
      <c r="AZ2440" s="538"/>
      <c r="BA2440" s="538"/>
      <c r="BB2440" s="538"/>
      <c r="BC2440" s="538"/>
      <c r="BD2440" s="538"/>
      <c r="BE2440" s="538"/>
      <c r="BF2440" s="538"/>
      <c r="BG2440" s="538"/>
      <c r="BH2440" s="538"/>
    </row>
    <row r="2441" spans="1:60" hidden="1" x14ac:dyDescent="0.2">
      <c r="A2441" s="1507">
        <v>10</v>
      </c>
      <c r="B2441" s="1516">
        <v>1003.1</v>
      </c>
      <c r="C2441" s="1511"/>
      <c r="D2441" s="1511"/>
      <c r="E2441" s="1511"/>
      <c r="F2441" s="1514"/>
      <c r="G2441" s="1509" t="str">
        <f>IF(N2441&gt;0,"P","")</f>
        <v/>
      </c>
      <c r="H2441" s="1510" t="s">
        <v>3197</v>
      </c>
      <c r="I2441" s="136" t="s">
        <v>3761</v>
      </c>
      <c r="J2441" s="588"/>
      <c r="K2441" s="588"/>
      <c r="L2441" s="231" t="s">
        <v>3762</v>
      </c>
      <c r="M2441" s="554" t="s">
        <v>2842</v>
      </c>
      <c r="N2441" s="540">
        <f>'11.1000'!O194</f>
        <v>0</v>
      </c>
      <c r="O2441" s="540">
        <f>MIN(2,COUNTIF(W2442:W2447,TRUE))</f>
        <v>0</v>
      </c>
      <c r="P2441" s="538"/>
      <c r="Q2441" s="538"/>
      <c r="R2441" s="538"/>
      <c r="S2441" s="538"/>
      <c r="T2441" s="538"/>
      <c r="U2441" s="538"/>
      <c r="V2441" s="538"/>
      <c r="W2441" s="538"/>
      <c r="X2441" s="538"/>
      <c r="Y2441" s="538"/>
      <c r="Z2441" s="670"/>
      <c r="AB2441" s="538"/>
      <c r="AC2441" s="538"/>
      <c r="AD2441" s="538"/>
      <c r="AE2441" s="538"/>
      <c r="AF2441" s="538"/>
      <c r="AG2441" s="538"/>
      <c r="AH2441" s="538"/>
      <c r="AI2441" s="538"/>
      <c r="AJ2441" s="538"/>
      <c r="AK2441" s="538"/>
      <c r="AL2441" s="1352" t="str">
        <f>SUBSTITUTE(SUBSTITUTE(SUBSTITUTE("vpa"&amp;$B2441&amp;$C2441&amp;$D2441&amp;$E2441,".","_"),"(","_"),")","")</f>
        <v>vpa1003_1</v>
      </c>
      <c r="AM2441" s="1352" t="str">
        <f t="shared" ref="AM2441:AM2442" si="183">M2441</f>
        <v>2 Max</v>
      </c>
      <c r="AN2441" s="1352" t="str">
        <f>SUBSTITUTE(SUBSTITUTE(SUBSTITUTE("vpc"&amp;$B2441&amp;$C2441&amp;$D2441&amp;$E2441,".","_"),"(","_"),")","")</f>
        <v>vpc1003_1</v>
      </c>
      <c r="AO2441" s="1352">
        <f>O2441</f>
        <v>0</v>
      </c>
      <c r="AP2441" s="1352"/>
      <c r="AQ2441" s="1352"/>
      <c r="AR2441" s="1352"/>
      <c r="AS2441" s="1352"/>
      <c r="AT2441" s="538"/>
      <c r="AU2441" s="538"/>
      <c r="AV2441" s="538"/>
      <c r="AW2441" s="538"/>
      <c r="AX2441" s="538"/>
      <c r="AY2441" s="538"/>
      <c r="AZ2441" s="538"/>
      <c r="BA2441" s="538"/>
      <c r="BB2441" s="538"/>
      <c r="BC2441" s="538"/>
      <c r="BD2441" s="538"/>
      <c r="BE2441" s="538"/>
      <c r="BF2441" s="538"/>
      <c r="BG2441" s="538"/>
      <c r="BH2441" s="538"/>
    </row>
    <row r="2442" spans="1:60" hidden="1" x14ac:dyDescent="0.2">
      <c r="A2442" s="1507">
        <v>10</v>
      </c>
      <c r="B2442" s="1516">
        <v>1003.1</v>
      </c>
      <c r="C2442" s="1511" t="s">
        <v>254</v>
      </c>
      <c r="D2442" s="1511"/>
      <c r="E2442" s="1511"/>
      <c r="F2442" s="1514"/>
      <c r="G2442" s="1509" t="str">
        <f t="shared" ref="G2442:G2449" si="184">G2441</f>
        <v/>
      </c>
      <c r="H2442" s="1510" t="s">
        <v>3198</v>
      </c>
      <c r="I2442" s="136"/>
      <c r="J2442" s="590" t="s">
        <v>254</v>
      </c>
      <c r="K2442" s="609"/>
      <c r="L2442" s="1629" t="s">
        <v>2843</v>
      </c>
      <c r="M2442" s="1623">
        <v>1</v>
      </c>
      <c r="N2442" s="4"/>
      <c r="O2442" s="540"/>
      <c r="P2442" s="538" t="b">
        <v>1</v>
      </c>
      <c r="Q2442" s="538" t="b">
        <v>0</v>
      </c>
      <c r="R2442" s="538" t="b">
        <v>0</v>
      </c>
      <c r="S2442" s="538" t="b">
        <v>1</v>
      </c>
      <c r="T2442" s="538" t="b">
        <v>0</v>
      </c>
      <c r="U2442" s="538"/>
      <c r="V2442" s="538"/>
      <c r="W2442" s="27"/>
      <c r="X2442" s="1600"/>
      <c r="Y2442" s="1874" t="str">
        <f>IF(LEN('11.1000'!X195)=0,"None",'11.1000'!X195)</f>
        <v>None</v>
      </c>
      <c r="Z2442" s="1889"/>
      <c r="AB2442" s="538"/>
      <c r="AC2442" s="1150" t="b">
        <f>OR(AD2442:AE2442)</f>
        <v>0</v>
      </c>
      <c r="AD2442" s="1150" t="b">
        <f>T2442</f>
        <v>0</v>
      </c>
      <c r="AE2442" s="1150"/>
      <c r="AF2442" s="538"/>
      <c r="AG2442" s="538"/>
      <c r="AH2442" s="538"/>
      <c r="AI2442" s="538"/>
      <c r="AJ2442" s="538"/>
      <c r="AK2442" s="538"/>
      <c r="AL2442" s="1352" t="str">
        <f>SUBSTITUTE(SUBSTITUTE(SUBSTITUTE("vpa"&amp;$B2442&amp;$C2442&amp;$D2442&amp;$E2442,".","_"),"(","_"),")","")</f>
        <v>vpa1003_1_1</v>
      </c>
      <c r="AM2442" s="1352">
        <f t="shared" si="183"/>
        <v>1</v>
      </c>
      <c r="AN2442" s="1352"/>
      <c r="AO2442" s="1352"/>
      <c r="AP2442" s="1352" t="str">
        <f>SUBSTITUTE(SUBSTITUTE(SUBSTITUTE("vch"&amp;$B2442&amp;$C2442&amp;$D2442&amp;$E2442,".","_"),"(","_"),")","")</f>
        <v>vch1003_1_1</v>
      </c>
      <c r="AQ2442" s="1352" t="str">
        <f>IF(LEN(W2442)=0,"",W2442)</f>
        <v/>
      </c>
      <c r="AR2442" s="1352" t="str">
        <f>SUBSTITUTE(SUBSTITUTE(SUBSTITUTE("vnt"&amp;$B2442&amp;$C2442&amp;$D2442&amp;$E2442,".","_"),"(","_"),")","")</f>
        <v>vnt1003_1_1</v>
      </c>
      <c r="AS2442" s="1352" t="str">
        <f>IF(LEN(X2442)=0,"",X2442)</f>
        <v/>
      </c>
      <c r="AT2442" s="538"/>
      <c r="AU2442" s="538"/>
      <c r="AV2442" s="538"/>
      <c r="AW2442" s="538"/>
      <c r="AX2442" s="538"/>
      <c r="AY2442" s="538"/>
      <c r="AZ2442" s="538"/>
      <c r="BA2442" s="538"/>
      <c r="BB2442" s="538"/>
      <c r="BC2442" s="538"/>
      <c r="BD2442" s="538"/>
      <c r="BE2442" s="538"/>
      <c r="BF2442" s="538"/>
      <c r="BG2442" s="538"/>
      <c r="BH2442" s="538"/>
    </row>
    <row r="2443" spans="1:60" hidden="1" x14ac:dyDescent="0.2">
      <c r="A2443" s="1507">
        <v>10</v>
      </c>
      <c r="B2443" s="1516">
        <v>1003.1</v>
      </c>
      <c r="C2443" s="1511" t="s">
        <v>254</v>
      </c>
      <c r="D2443" s="1511"/>
      <c r="E2443" s="1511"/>
      <c r="F2443" s="1514"/>
      <c r="G2443" s="1509" t="str">
        <f t="shared" si="184"/>
        <v/>
      </c>
      <c r="H2443" s="1510" t="s">
        <v>3198</v>
      </c>
      <c r="I2443" s="136"/>
      <c r="J2443" s="606"/>
      <c r="K2443" s="208"/>
      <c r="L2443" s="1696"/>
      <c r="M2443" s="1624"/>
      <c r="N2443" s="4"/>
      <c r="O2443" s="540"/>
      <c r="P2443" s="538"/>
      <c r="Q2443" s="538"/>
      <c r="R2443" s="538"/>
      <c r="S2443" s="538"/>
      <c r="T2443" s="538"/>
      <c r="U2443" s="538"/>
      <c r="V2443" s="538"/>
      <c r="W2443" s="538"/>
      <c r="X2443" s="1600"/>
      <c r="Y2443" s="1874"/>
      <c r="Z2443" s="1889"/>
      <c r="AB2443" s="538"/>
      <c r="AC2443" s="1150"/>
      <c r="AD2443" s="1150"/>
      <c r="AE2443" s="1150"/>
      <c r="AF2443" s="538"/>
      <c r="AG2443" s="538"/>
      <c r="AH2443" s="538"/>
      <c r="AI2443" s="538"/>
      <c r="AJ2443" s="538"/>
      <c r="AK2443" s="538"/>
      <c r="AL2443" s="1352"/>
      <c r="AM2443" s="1352"/>
      <c r="AN2443" s="1352"/>
      <c r="AO2443" s="1352"/>
      <c r="AP2443" s="1352"/>
      <c r="AQ2443" s="1352"/>
      <c r="AR2443" s="1352"/>
      <c r="AS2443" s="1352"/>
      <c r="AT2443" s="538"/>
      <c r="AU2443" s="538"/>
      <c r="AV2443" s="538"/>
      <c r="AW2443" s="538"/>
      <c r="AX2443" s="538"/>
      <c r="AY2443" s="538"/>
      <c r="AZ2443" s="538"/>
      <c r="BA2443" s="538"/>
      <c r="BB2443" s="538"/>
      <c r="BC2443" s="538"/>
      <c r="BD2443" s="538"/>
      <c r="BE2443" s="538"/>
      <c r="BF2443" s="538"/>
      <c r="BG2443" s="538"/>
      <c r="BH2443" s="538"/>
    </row>
    <row r="2444" spans="1:60" hidden="1" x14ac:dyDescent="0.2">
      <c r="A2444" s="1507">
        <v>10</v>
      </c>
      <c r="B2444" s="1516">
        <v>1003.1</v>
      </c>
      <c r="C2444" s="1511" t="s">
        <v>255</v>
      </c>
      <c r="D2444" s="1511"/>
      <c r="E2444" s="1511"/>
      <c r="F2444" s="1514"/>
      <c r="G2444" s="1509" t="str">
        <f t="shared" si="184"/>
        <v/>
      </c>
      <c r="H2444" s="1510" t="s">
        <v>3199</v>
      </c>
      <c r="I2444" s="136"/>
      <c r="J2444" s="608" t="s">
        <v>255</v>
      </c>
      <c r="K2444" s="1404"/>
      <c r="L2444" s="1712" t="s">
        <v>2844</v>
      </c>
      <c r="M2444" s="1636">
        <v>1</v>
      </c>
      <c r="N2444" s="4"/>
      <c r="O2444" s="540"/>
      <c r="P2444" s="538" t="b">
        <v>0</v>
      </c>
      <c r="Q2444" s="538" t="b">
        <v>1</v>
      </c>
      <c r="R2444" s="538" t="b">
        <v>0</v>
      </c>
      <c r="S2444" s="538" t="b">
        <v>1</v>
      </c>
      <c r="T2444" s="538" t="b">
        <v>0</v>
      </c>
      <c r="U2444" s="538"/>
      <c r="V2444" s="538"/>
      <c r="W2444" s="27"/>
      <c r="X2444" s="1600"/>
      <c r="Y2444" s="1874" t="str">
        <f>IF(LEN('11.1000'!X197)=0,"None",'11.1000'!X197)</f>
        <v>None</v>
      </c>
      <c r="Z2444" s="1889"/>
      <c r="AB2444" s="538"/>
      <c r="AC2444" s="1150" t="b">
        <f>OR(AD2444:AE2444)</f>
        <v>0</v>
      </c>
      <c r="AD2444" s="1150" t="b">
        <f>T2444</f>
        <v>0</v>
      </c>
      <c r="AE2444" s="1150"/>
      <c r="AF2444" s="538"/>
      <c r="AG2444" s="538"/>
      <c r="AH2444" s="538"/>
      <c r="AI2444" s="538"/>
      <c r="AJ2444" s="538"/>
      <c r="AK2444" s="538"/>
      <c r="AL2444" s="1352" t="str">
        <f>SUBSTITUTE(SUBSTITUTE(SUBSTITUTE("vpa"&amp;$B2444&amp;$C2444&amp;$D2444&amp;$E2444,".","_"),"(","_"),")","")</f>
        <v>vpa1003_1_2</v>
      </c>
      <c r="AM2444" s="1352">
        <f t="shared" ref="AM2444" si="185">M2444</f>
        <v>1</v>
      </c>
      <c r="AN2444" s="1352"/>
      <c r="AO2444" s="1352"/>
      <c r="AP2444" s="1352" t="str">
        <f>SUBSTITUTE(SUBSTITUTE(SUBSTITUTE("vch"&amp;$B2444&amp;$C2444&amp;$D2444&amp;$E2444,".","_"),"(","_"),")","")</f>
        <v>vch1003_1_2</v>
      </c>
      <c r="AQ2444" s="1352" t="str">
        <f>IF(LEN(W2444)=0,"",W2444)</f>
        <v/>
      </c>
      <c r="AR2444" s="1352" t="str">
        <f>SUBSTITUTE(SUBSTITUTE(SUBSTITUTE("vnt"&amp;$B2444&amp;$C2444&amp;$D2444&amp;$E2444,".","_"),"(","_"),")","")</f>
        <v>vnt1003_1_2</v>
      </c>
      <c r="AS2444" s="1352" t="str">
        <f>IF(LEN(X2444)=0,"",X2444)</f>
        <v/>
      </c>
      <c r="AT2444" s="538"/>
      <c r="AU2444" s="538"/>
      <c r="AV2444" s="538"/>
      <c r="AW2444" s="538"/>
      <c r="AX2444" s="538"/>
      <c r="AY2444" s="538"/>
      <c r="AZ2444" s="538"/>
      <c r="BA2444" s="538"/>
      <c r="BB2444" s="538"/>
      <c r="BC2444" s="538"/>
      <c r="BD2444" s="538"/>
      <c r="BE2444" s="538"/>
      <c r="BF2444" s="538"/>
      <c r="BG2444" s="538"/>
      <c r="BH2444" s="538"/>
    </row>
    <row r="2445" spans="1:60" hidden="1" x14ac:dyDescent="0.2">
      <c r="A2445" s="1507">
        <v>10</v>
      </c>
      <c r="B2445" s="1516">
        <v>1003.1</v>
      </c>
      <c r="C2445" s="1511" t="s">
        <v>255</v>
      </c>
      <c r="D2445" s="1511"/>
      <c r="E2445" s="1511"/>
      <c r="F2445" s="1514"/>
      <c r="G2445" s="1509" t="str">
        <f t="shared" si="184"/>
        <v/>
      </c>
      <c r="H2445" s="1510" t="s">
        <v>3199</v>
      </c>
      <c r="I2445" s="136"/>
      <c r="J2445" s="590"/>
      <c r="K2445" s="609"/>
      <c r="L2445" s="1629"/>
      <c r="M2445" s="1623"/>
      <c r="N2445" s="4"/>
      <c r="O2445" s="540"/>
      <c r="P2445" s="538"/>
      <c r="Q2445" s="538"/>
      <c r="R2445" s="538"/>
      <c r="S2445" s="538"/>
      <c r="T2445" s="538"/>
      <c r="U2445" s="538"/>
      <c r="V2445" s="538"/>
      <c r="W2445" s="538"/>
      <c r="X2445" s="1600"/>
      <c r="Y2445" s="1874"/>
      <c r="Z2445" s="1889"/>
      <c r="AB2445" s="538"/>
      <c r="AC2445" s="1150"/>
      <c r="AD2445" s="1150"/>
      <c r="AE2445" s="1150"/>
      <c r="AF2445" s="538"/>
      <c r="AG2445" s="538"/>
      <c r="AH2445" s="538"/>
      <c r="AI2445" s="538"/>
      <c r="AJ2445" s="538"/>
      <c r="AK2445" s="538"/>
      <c r="AL2445" s="1352"/>
      <c r="AM2445" s="1352"/>
      <c r="AN2445" s="1352"/>
      <c r="AO2445" s="1352"/>
      <c r="AP2445" s="1352"/>
      <c r="AQ2445" s="1352"/>
      <c r="AR2445" s="1352"/>
      <c r="AS2445" s="1352"/>
      <c r="AT2445" s="538"/>
      <c r="AU2445" s="538"/>
      <c r="AV2445" s="538"/>
      <c r="AW2445" s="538"/>
      <c r="AX2445" s="538"/>
      <c r="AY2445" s="538"/>
      <c r="AZ2445" s="538"/>
      <c r="BA2445" s="538"/>
      <c r="BB2445" s="538"/>
      <c r="BC2445" s="538"/>
      <c r="BD2445" s="538"/>
      <c r="BE2445" s="538"/>
      <c r="BF2445" s="538"/>
      <c r="BG2445" s="538"/>
      <c r="BH2445" s="538"/>
    </row>
    <row r="2446" spans="1:60" hidden="1" x14ac:dyDescent="0.2">
      <c r="A2446" s="1507">
        <v>10</v>
      </c>
      <c r="B2446" s="1516">
        <v>1003.1</v>
      </c>
      <c r="C2446" s="1511" t="s">
        <v>255</v>
      </c>
      <c r="D2446" s="1511"/>
      <c r="E2446" s="1511"/>
      <c r="F2446" s="1514"/>
      <c r="G2446" s="1509" t="str">
        <f t="shared" si="184"/>
        <v/>
      </c>
      <c r="H2446" s="1510" t="s">
        <v>3199</v>
      </c>
      <c r="I2446" s="136"/>
      <c r="J2446" s="606"/>
      <c r="K2446" s="208"/>
      <c r="L2446" s="1696"/>
      <c r="M2446" s="1624"/>
      <c r="N2446" s="4"/>
      <c r="O2446" s="540"/>
      <c r="P2446" s="538"/>
      <c r="Q2446" s="538"/>
      <c r="R2446" s="538"/>
      <c r="S2446" s="538"/>
      <c r="T2446" s="538"/>
      <c r="U2446" s="538"/>
      <c r="V2446" s="538"/>
      <c r="W2446" s="538"/>
      <c r="X2446" s="1600"/>
      <c r="Y2446" s="1874"/>
      <c r="Z2446" s="1889"/>
      <c r="AB2446" s="538"/>
      <c r="AC2446" s="1150"/>
      <c r="AD2446" s="1150"/>
      <c r="AE2446" s="1150"/>
      <c r="AF2446" s="538"/>
      <c r="AG2446" s="538"/>
      <c r="AH2446" s="538"/>
      <c r="AI2446" s="538"/>
      <c r="AJ2446" s="538"/>
      <c r="AK2446" s="538"/>
      <c r="AL2446" s="1352"/>
      <c r="AM2446" s="1352"/>
      <c r="AN2446" s="1352"/>
      <c r="AO2446" s="1352"/>
      <c r="AP2446" s="1352"/>
      <c r="AQ2446" s="1352"/>
      <c r="AR2446" s="1352"/>
      <c r="AS2446" s="1352"/>
      <c r="AT2446" s="538"/>
      <c r="AU2446" s="538"/>
      <c r="AV2446" s="538"/>
      <c r="AW2446" s="538"/>
      <c r="AX2446" s="538"/>
      <c r="AY2446" s="538"/>
      <c r="AZ2446" s="538"/>
      <c r="BA2446" s="538"/>
      <c r="BB2446" s="538"/>
      <c r="BC2446" s="538"/>
      <c r="BD2446" s="538"/>
      <c r="BE2446" s="538"/>
      <c r="BF2446" s="538"/>
      <c r="BG2446" s="538"/>
      <c r="BH2446" s="538"/>
    </row>
    <row r="2447" spans="1:60" hidden="1" x14ac:dyDescent="0.2">
      <c r="A2447" s="1507">
        <v>10</v>
      </c>
      <c r="B2447" s="1516">
        <v>1003.1</v>
      </c>
      <c r="C2447" s="1511" t="s">
        <v>256</v>
      </c>
      <c r="D2447" s="1511"/>
      <c r="E2447" s="1511"/>
      <c r="F2447" s="1514"/>
      <c r="G2447" s="1509" t="str">
        <f t="shared" si="184"/>
        <v/>
      </c>
      <c r="H2447" s="1510" t="s">
        <v>3198</v>
      </c>
      <c r="I2447" s="136"/>
      <c r="J2447" s="589" t="s">
        <v>256</v>
      </c>
      <c r="K2447" s="588"/>
      <c r="L2447" s="1631" t="s">
        <v>2845</v>
      </c>
      <c r="M2447" s="1628">
        <v>1</v>
      </c>
      <c r="N2447" s="4"/>
      <c r="O2447" s="540"/>
      <c r="P2447" s="538" t="b">
        <v>1</v>
      </c>
      <c r="Q2447" s="538" t="b">
        <v>0</v>
      </c>
      <c r="R2447" s="538" t="b">
        <v>0</v>
      </c>
      <c r="S2447" s="538" t="b">
        <v>1</v>
      </c>
      <c r="T2447" s="538" t="b">
        <v>0</v>
      </c>
      <c r="U2447" s="538"/>
      <c r="V2447" s="538"/>
      <c r="W2447" s="27"/>
      <c r="X2447" s="1600"/>
      <c r="Y2447" s="1874" t="str">
        <f>IF(LEN('11.1000'!X200)=0,"None",'11.1000'!X200)</f>
        <v>None</v>
      </c>
      <c r="Z2447" s="1889"/>
      <c r="AB2447" s="538"/>
      <c r="AC2447" s="1150" t="b">
        <f>OR(AD2447:AE2447)</f>
        <v>0</v>
      </c>
      <c r="AD2447" s="1150" t="b">
        <f>T2447</f>
        <v>0</v>
      </c>
      <c r="AE2447" s="1150"/>
      <c r="AF2447" s="538"/>
      <c r="AG2447" s="538"/>
      <c r="AH2447" s="538"/>
      <c r="AI2447" s="538"/>
      <c r="AJ2447" s="538"/>
      <c r="AK2447" s="538"/>
      <c r="AL2447" s="1352" t="str">
        <f>SUBSTITUTE(SUBSTITUTE(SUBSTITUTE("vpa"&amp;$B2447&amp;$C2447&amp;$D2447&amp;$E2447,".","_"),"(","_"),")","")</f>
        <v>vpa1003_1_3</v>
      </c>
      <c r="AM2447" s="1352">
        <f t="shared" ref="AM2447" si="186">M2447</f>
        <v>1</v>
      </c>
      <c r="AN2447" s="1352"/>
      <c r="AO2447" s="1352"/>
      <c r="AP2447" s="1352" t="str">
        <f>SUBSTITUTE(SUBSTITUTE(SUBSTITUTE("vch"&amp;$B2447&amp;$C2447&amp;$D2447&amp;$E2447,".","_"),"(","_"),")","")</f>
        <v>vch1003_1_3</v>
      </c>
      <c r="AQ2447" s="1352" t="str">
        <f>IF(LEN(W2447)=0,"",W2447)</f>
        <v/>
      </c>
      <c r="AR2447" s="1352" t="str">
        <f>SUBSTITUTE(SUBSTITUTE(SUBSTITUTE("vnt"&amp;$B2447&amp;$C2447&amp;$D2447&amp;$E2447,".","_"),"(","_"),")","")</f>
        <v>vnt1003_1_3</v>
      </c>
      <c r="AS2447" s="1352" t="str">
        <f>IF(LEN(X2447)=0,"",X2447)</f>
        <v/>
      </c>
      <c r="AT2447" s="538"/>
      <c r="AU2447" s="538"/>
      <c r="AV2447" s="538"/>
      <c r="AW2447" s="538"/>
      <c r="AX2447" s="538"/>
      <c r="AY2447" s="538"/>
      <c r="AZ2447" s="538"/>
      <c r="BA2447" s="538"/>
      <c r="BB2447" s="538"/>
      <c r="BC2447" s="538"/>
      <c r="BD2447" s="538"/>
      <c r="BE2447" s="538"/>
      <c r="BF2447" s="538"/>
      <c r="BG2447" s="538"/>
      <c r="BH2447" s="538"/>
    </row>
    <row r="2448" spans="1:60" hidden="1" x14ac:dyDescent="0.2">
      <c r="A2448" s="1507">
        <v>10</v>
      </c>
      <c r="B2448" s="1516">
        <v>1003.1</v>
      </c>
      <c r="C2448" s="1511" t="s">
        <v>256</v>
      </c>
      <c r="D2448" s="1511"/>
      <c r="E2448" s="1511"/>
      <c r="F2448" s="1514"/>
      <c r="G2448" s="1509" t="str">
        <f t="shared" si="184"/>
        <v/>
      </c>
      <c r="H2448" s="1510" t="s">
        <v>3198</v>
      </c>
      <c r="I2448" s="136"/>
      <c r="J2448" s="588"/>
      <c r="K2448" s="588"/>
      <c r="L2448" s="1631"/>
      <c r="M2448" s="1628"/>
      <c r="N2448" s="4"/>
      <c r="O2448" s="540"/>
      <c r="P2448" s="538"/>
      <c r="Q2448" s="538"/>
      <c r="R2448" s="538"/>
      <c r="S2448" s="538"/>
      <c r="T2448" s="538"/>
      <c r="U2448" s="538"/>
      <c r="V2448" s="538"/>
      <c r="W2448" s="538"/>
      <c r="X2448" s="1600"/>
      <c r="Y2448" s="1874"/>
      <c r="Z2448" s="1889"/>
      <c r="AB2448" s="538"/>
      <c r="AC2448" s="538"/>
      <c r="AD2448" s="538"/>
      <c r="AE2448" s="538"/>
      <c r="AF2448" s="538"/>
      <c r="AG2448" s="538"/>
      <c r="AH2448" s="538"/>
      <c r="AI2448" s="538"/>
      <c r="AJ2448" s="538"/>
      <c r="AK2448" s="538"/>
      <c r="AL2448" s="1352"/>
      <c r="AM2448" s="1352"/>
      <c r="AN2448" s="1352"/>
      <c r="AO2448" s="1352"/>
      <c r="AP2448" s="1352"/>
      <c r="AQ2448" s="1352"/>
      <c r="AR2448" s="1352"/>
      <c r="AS2448" s="1352"/>
      <c r="AT2448" s="538"/>
      <c r="AU2448" s="538"/>
      <c r="AV2448" s="538"/>
      <c r="AW2448" s="538"/>
      <c r="AX2448" s="538"/>
      <c r="AY2448" s="538"/>
      <c r="AZ2448" s="538"/>
      <c r="BA2448" s="538"/>
      <c r="BB2448" s="538"/>
      <c r="BC2448" s="538"/>
      <c r="BD2448" s="538"/>
      <c r="BE2448" s="538"/>
      <c r="BF2448" s="538"/>
      <c r="BG2448" s="538"/>
      <c r="BH2448" s="538"/>
    </row>
    <row r="2449" spans="1:60" hidden="1" x14ac:dyDescent="0.2">
      <c r="A2449" s="1507">
        <v>10</v>
      </c>
      <c r="B2449" s="1516">
        <v>1003.1</v>
      </c>
      <c r="C2449" s="1511" t="s">
        <v>256</v>
      </c>
      <c r="D2449" s="1511"/>
      <c r="E2449" s="1511"/>
      <c r="F2449" s="1514"/>
      <c r="G2449" s="1509" t="str">
        <f t="shared" si="184"/>
        <v/>
      </c>
      <c r="H2449" s="1510" t="s">
        <v>3198</v>
      </c>
      <c r="I2449" s="136"/>
      <c r="J2449" s="588"/>
      <c r="K2449" s="588"/>
      <c r="L2449" s="1631"/>
      <c r="M2449" s="1628"/>
      <c r="N2449" s="4"/>
      <c r="O2449" s="540"/>
      <c r="P2449" s="538"/>
      <c r="Q2449" s="538"/>
      <c r="R2449" s="538"/>
      <c r="S2449" s="538"/>
      <c r="T2449" s="538"/>
      <c r="U2449" s="538"/>
      <c r="V2449" s="538"/>
      <c r="W2449" s="538"/>
      <c r="X2449" s="1600"/>
      <c r="Y2449" s="1874"/>
      <c r="Z2449" s="1889"/>
      <c r="AB2449" s="538"/>
      <c r="AC2449" s="538"/>
      <c r="AD2449" s="538"/>
      <c r="AE2449" s="538"/>
      <c r="AF2449" s="538"/>
      <c r="AG2449" s="538"/>
      <c r="AH2449" s="538"/>
      <c r="AI2449" s="538"/>
      <c r="AJ2449" s="538"/>
      <c r="AK2449" s="538"/>
      <c r="AL2449" s="1352"/>
      <c r="AM2449" s="1352"/>
      <c r="AN2449" s="1352"/>
      <c r="AO2449" s="1352"/>
      <c r="AP2449" s="1352"/>
      <c r="AQ2449" s="1352"/>
      <c r="AR2449" s="1352"/>
      <c r="AS2449" s="1352"/>
      <c r="AT2449" s="538"/>
      <c r="AU2449" s="538"/>
      <c r="AV2449" s="538"/>
      <c r="AW2449" s="538"/>
      <c r="AX2449" s="538"/>
      <c r="AY2449" s="538"/>
      <c r="AZ2449" s="538"/>
      <c r="BA2449" s="538"/>
      <c r="BB2449" s="538"/>
      <c r="BC2449" s="538"/>
      <c r="BD2449" s="538"/>
      <c r="BE2449" s="538"/>
      <c r="BF2449" s="538"/>
      <c r="BG2449" s="538"/>
      <c r="BH2449" s="538"/>
    </row>
    <row r="2450" spans="1:60" ht="19" x14ac:dyDescent="0.25">
      <c r="A2450" s="1515">
        <v>10</v>
      </c>
      <c r="B2450" s="1516" t="s">
        <v>4960</v>
      </c>
      <c r="C2450" s="1511"/>
      <c r="D2450" s="1511"/>
      <c r="E2450" s="1511"/>
      <c r="F2450" s="1514"/>
      <c r="G2450" s="1510" t="s">
        <v>3200</v>
      </c>
      <c r="H2450" s="1530" t="s">
        <v>3197</v>
      </c>
      <c r="I2450" s="72" t="s">
        <v>4952</v>
      </c>
      <c r="J2450" s="72"/>
      <c r="K2450" s="72"/>
      <c r="L2450" s="232"/>
      <c r="M2450" s="419"/>
      <c r="N2450" s="428"/>
      <c r="O2450" s="419"/>
      <c r="P2450" s="25"/>
      <c r="Q2450" s="25"/>
      <c r="R2450" s="25"/>
      <c r="S2450" s="25"/>
      <c r="T2450" s="25"/>
      <c r="U2450" s="25"/>
      <c r="V2450" s="25"/>
      <c r="W2450" s="25"/>
      <c r="X2450" s="25"/>
      <c r="Y2450" s="25"/>
      <c r="Z2450" s="25"/>
      <c r="AL2450" s="1352"/>
      <c r="AM2450" s="1352"/>
      <c r="AN2450" s="1352"/>
      <c r="AO2450" s="1352"/>
      <c r="AP2450" s="1352"/>
      <c r="AQ2450" s="1352"/>
      <c r="AR2450" s="1352"/>
      <c r="AS2450" s="1352"/>
    </row>
    <row r="2451" spans="1:60" x14ac:dyDescent="0.2">
      <c r="A2451" s="1515">
        <v>10</v>
      </c>
      <c r="B2451" s="1516">
        <v>1005.1</v>
      </c>
      <c r="G2451" s="1513" t="str">
        <f>IF(COUNTIF(G2452:G2459,"P")&gt;0,"P","")</f>
        <v>P</v>
      </c>
      <c r="H2451" s="1510" t="s">
        <v>3199</v>
      </c>
      <c r="I2451" s="589" t="s">
        <v>4947</v>
      </c>
      <c r="J2451" s="589"/>
      <c r="K2451" s="600"/>
      <c r="L2451" s="946" t="s">
        <v>4948</v>
      </c>
      <c r="M2451" s="905"/>
      <c r="N2451" s="905"/>
      <c r="O2451" s="905"/>
      <c r="P2451" s="905"/>
      <c r="Q2451" s="905"/>
      <c r="R2451" s="905"/>
      <c r="S2451" s="905"/>
      <c r="T2451" s="905"/>
      <c r="U2451" s="905"/>
      <c r="V2451" s="905"/>
      <c r="X2451" s="1122"/>
      <c r="AL2451" s="1352"/>
      <c r="AM2451" s="1352"/>
      <c r="AN2451" s="1352"/>
      <c r="AO2451" s="1352"/>
      <c r="AP2451" s="1352"/>
      <c r="AQ2451" s="1352"/>
      <c r="AR2451" s="1352"/>
      <c r="AS2451" s="1352"/>
    </row>
    <row r="2452" spans="1:60" hidden="1" x14ac:dyDescent="0.2">
      <c r="A2452" s="1515">
        <v>10</v>
      </c>
      <c r="B2452" s="1516">
        <v>1005.1</v>
      </c>
      <c r="C2452" s="467" t="s">
        <v>254</v>
      </c>
      <c r="G2452" s="1509" t="str">
        <f>IF(N2452&gt;0,"P","")</f>
        <v/>
      </c>
      <c r="H2452" s="1510" t="s">
        <v>3199</v>
      </c>
      <c r="I2452" s="589"/>
      <c r="J2452" s="590" t="s">
        <v>254</v>
      </c>
      <c r="K2452" s="601"/>
      <c r="L2452" s="1634" t="s">
        <v>4949</v>
      </c>
      <c r="M2452" s="1752">
        <v>2</v>
      </c>
      <c r="N2452" s="1619">
        <f>'11.1000'!O205</f>
        <v>0</v>
      </c>
      <c r="O2452" s="1755">
        <f>M2452*S2452*W2452</f>
        <v>0</v>
      </c>
      <c r="P2452" s="905" t="b">
        <v>0</v>
      </c>
      <c r="Q2452" s="905" t="b">
        <v>1</v>
      </c>
      <c r="R2452" s="905" t="b">
        <v>0</v>
      </c>
      <c r="S2452" s="905" t="b">
        <v>1</v>
      </c>
      <c r="T2452" s="905" t="b">
        <v>0</v>
      </c>
      <c r="U2452" s="905"/>
      <c r="V2452" s="905"/>
      <c r="W2452" s="27"/>
      <c r="X2452" s="1600"/>
      <c r="Y2452" s="1874" t="str">
        <f>IF(LEN('11.1000'!X205)=0,"None",'11.1000'!X205)</f>
        <v>None</v>
      </c>
      <c r="Z2452" s="1600"/>
      <c r="AC2452" s="1150" t="b">
        <f>OR(AD2452:AE2452)</f>
        <v>0</v>
      </c>
      <c r="AD2452" s="1150" t="b">
        <f>T2452</f>
        <v>0</v>
      </c>
      <c r="AE2452" s="1150"/>
      <c r="AL2452" s="1352" t="str">
        <f>SUBSTITUTE(SUBSTITUTE(SUBSTITUTE("vpa"&amp;$B2452&amp;$C2452&amp;$D2452&amp;$E2452,".","_"),"(","_"),")","")</f>
        <v>vpa1005_1_1</v>
      </c>
      <c r="AM2452" s="1352">
        <f t="shared" ref="AM2452" si="187">M2452</f>
        <v>2</v>
      </c>
      <c r="AN2452" s="1352" t="str">
        <f>SUBSTITUTE(SUBSTITUTE(SUBSTITUTE("vpc"&amp;$B2452&amp;$C2452&amp;$D2452&amp;$E2452,".","_"),"(","_"),")","")</f>
        <v>vpc1005_1_1</v>
      </c>
      <c r="AO2452" s="1352">
        <f>O2452</f>
        <v>0</v>
      </c>
      <c r="AP2452" s="1352" t="str">
        <f>SUBSTITUTE(SUBSTITUTE(SUBSTITUTE("vch"&amp;$B2452&amp;$C2452&amp;$D2452&amp;$E2452,".","_"),"(","_"),")","")</f>
        <v>vch1005_1_1</v>
      </c>
      <c r="AQ2452" s="1352" t="str">
        <f>IF(LEN(W2452)=0,"",W2452)</f>
        <v/>
      </c>
      <c r="AR2452" s="1352" t="str">
        <f>SUBSTITUTE(SUBSTITUTE(SUBSTITUTE("vnt"&amp;$B2452&amp;$C2452&amp;$D2452&amp;$E2452,".","_"),"(","_"),")","")</f>
        <v>vnt1005_1_1</v>
      </c>
      <c r="AS2452" s="1352" t="str">
        <f>IF(LEN(X2452)=0,"",X2452)</f>
        <v/>
      </c>
    </row>
    <row r="2453" spans="1:60" hidden="1" x14ac:dyDescent="0.2">
      <c r="A2453" s="1515">
        <v>10</v>
      </c>
      <c r="B2453" s="1516">
        <v>1005.1</v>
      </c>
      <c r="C2453" s="467" t="s">
        <v>254</v>
      </c>
      <c r="G2453" s="1509" t="str">
        <f>G2452</f>
        <v/>
      </c>
      <c r="H2453" s="1510" t="s">
        <v>3199</v>
      </c>
      <c r="I2453" s="589"/>
      <c r="J2453" s="590"/>
      <c r="K2453" s="601"/>
      <c r="L2453" s="1634"/>
      <c r="M2453" s="1752"/>
      <c r="N2453" s="1619"/>
      <c r="O2453" s="1755"/>
      <c r="P2453" s="905"/>
      <c r="Q2453" s="905"/>
      <c r="R2453" s="905"/>
      <c r="S2453" s="905"/>
      <c r="T2453" s="905"/>
      <c r="U2453" s="905"/>
      <c r="V2453" s="905"/>
      <c r="X2453" s="1600"/>
      <c r="Y2453" s="1874"/>
      <c r="Z2453" s="1600"/>
      <c r="AC2453" s="1150"/>
      <c r="AD2453" s="1150"/>
      <c r="AE2453" s="1150"/>
      <c r="AL2453" s="1352"/>
      <c r="AM2453" s="1352"/>
      <c r="AN2453" s="1352"/>
      <c r="AO2453" s="1352"/>
      <c r="AP2453" s="1352"/>
      <c r="AQ2453" s="1352"/>
      <c r="AR2453" s="1352"/>
      <c r="AS2453" s="1352"/>
    </row>
    <row r="2454" spans="1:60" hidden="1" x14ac:dyDescent="0.2">
      <c r="A2454" s="1515">
        <v>10</v>
      </c>
      <c r="B2454" s="1516">
        <v>1005.1</v>
      </c>
      <c r="C2454" s="467" t="s">
        <v>254</v>
      </c>
      <c r="G2454" s="1509" t="str">
        <f>G2453</f>
        <v/>
      </c>
      <c r="H2454" s="1510" t="s">
        <v>3199</v>
      </c>
      <c r="I2454" s="589"/>
      <c r="J2454" s="606"/>
      <c r="K2454" s="1407"/>
      <c r="L2454" s="1639"/>
      <c r="M2454" s="1754"/>
      <c r="N2454" s="1620"/>
      <c r="O2454" s="1756"/>
      <c r="P2454" s="905"/>
      <c r="Q2454" s="905"/>
      <c r="R2454" s="905"/>
      <c r="S2454" s="905"/>
      <c r="T2454" s="905"/>
      <c r="U2454" s="905"/>
      <c r="V2454" s="905"/>
      <c r="X2454" s="1600"/>
      <c r="Y2454" s="1874"/>
      <c r="Z2454" s="1600"/>
      <c r="AC2454" s="1150"/>
      <c r="AD2454" s="1150"/>
      <c r="AE2454" s="1150"/>
      <c r="AL2454" s="1352"/>
      <c r="AM2454" s="1352"/>
      <c r="AN2454" s="1352"/>
      <c r="AO2454" s="1352"/>
      <c r="AP2454" s="1352"/>
      <c r="AQ2454" s="1352"/>
      <c r="AR2454" s="1352"/>
      <c r="AS2454" s="1352"/>
    </row>
    <row r="2455" spans="1:60" hidden="1" x14ac:dyDescent="0.2">
      <c r="A2455" s="1515">
        <v>10</v>
      </c>
      <c r="B2455" s="1516">
        <v>1005.1</v>
      </c>
      <c r="C2455" s="467" t="s">
        <v>255</v>
      </c>
      <c r="G2455" s="1509" t="str">
        <f>IF(N2455&gt;0,"P","")</f>
        <v/>
      </c>
      <c r="H2455" s="1510" t="s">
        <v>3199</v>
      </c>
      <c r="I2455" s="589"/>
      <c r="J2455" s="590" t="s">
        <v>255</v>
      </c>
      <c r="K2455" s="601"/>
      <c r="L2455" s="1634" t="s">
        <v>4950</v>
      </c>
      <c r="M2455" s="1752">
        <v>2</v>
      </c>
      <c r="N2455" s="1619">
        <f>'11.1000'!O208</f>
        <v>0</v>
      </c>
      <c r="O2455" s="1755">
        <f>M2455*S2455*W2455</f>
        <v>0</v>
      </c>
      <c r="P2455" s="905" t="b">
        <v>0</v>
      </c>
      <c r="Q2455" s="905" t="b">
        <v>1</v>
      </c>
      <c r="R2455" s="905" t="b">
        <v>0</v>
      </c>
      <c r="S2455" s="905" t="b">
        <v>1</v>
      </c>
      <c r="T2455" s="905" t="b">
        <v>0</v>
      </c>
      <c r="U2455" s="905"/>
      <c r="V2455" s="905"/>
      <c r="W2455" s="27"/>
      <c r="X2455" s="1600"/>
      <c r="Y2455" s="1874" t="str">
        <f>IF(LEN('11.1000'!X208)=0,"None",'11.1000'!X208)</f>
        <v>None</v>
      </c>
      <c r="Z2455" s="1600"/>
      <c r="AC2455" s="1150" t="b">
        <f>OR(AD2455:AE2455)</f>
        <v>0</v>
      </c>
      <c r="AD2455" s="1150" t="b">
        <f>T2455</f>
        <v>0</v>
      </c>
      <c r="AE2455" s="1150"/>
      <c r="AL2455" s="1352" t="str">
        <f>SUBSTITUTE(SUBSTITUTE(SUBSTITUTE("vpa"&amp;$B2455&amp;$C2455&amp;$D2455&amp;$E2455,".","_"),"(","_"),")","")</f>
        <v>vpa1005_1_2</v>
      </c>
      <c r="AM2455" s="1352">
        <f t="shared" ref="AM2455" si="188">M2455</f>
        <v>2</v>
      </c>
      <c r="AN2455" s="1352" t="str">
        <f>SUBSTITUTE(SUBSTITUTE(SUBSTITUTE("vpc"&amp;$B2455&amp;$C2455&amp;$D2455&amp;$E2455,".","_"),"(","_"),")","")</f>
        <v>vpc1005_1_2</v>
      </c>
      <c r="AO2455" s="1352">
        <f>O2455</f>
        <v>0</v>
      </c>
      <c r="AP2455" s="1352" t="str">
        <f>SUBSTITUTE(SUBSTITUTE(SUBSTITUTE("vch"&amp;$B2455&amp;$C2455&amp;$D2455&amp;$E2455,".","_"),"(","_"),")","")</f>
        <v>vch1005_1_2</v>
      </c>
      <c r="AQ2455" s="1352" t="str">
        <f>IF(LEN(W2455)=0,"",W2455)</f>
        <v/>
      </c>
      <c r="AR2455" s="1352" t="str">
        <f>SUBSTITUTE(SUBSTITUTE(SUBSTITUTE("vnt"&amp;$B2455&amp;$C2455&amp;$D2455&amp;$E2455,".","_"),"(","_"),")","")</f>
        <v>vnt1005_1_2</v>
      </c>
      <c r="AS2455" s="1352" t="str">
        <f>IF(LEN(X2455)=0,"",X2455)</f>
        <v/>
      </c>
    </row>
    <row r="2456" spans="1:60" hidden="1" x14ac:dyDescent="0.2">
      <c r="A2456" s="1515">
        <v>10</v>
      </c>
      <c r="B2456" s="1516">
        <v>1005.1</v>
      </c>
      <c r="C2456" s="467" t="s">
        <v>255</v>
      </c>
      <c r="G2456" s="1509" t="str">
        <f>G2455</f>
        <v/>
      </c>
      <c r="H2456" s="1510" t="s">
        <v>3199</v>
      </c>
      <c r="I2456" s="589"/>
      <c r="J2456" s="590"/>
      <c r="K2456" s="601"/>
      <c r="L2456" s="1634"/>
      <c r="M2456" s="1752"/>
      <c r="N2456" s="1619"/>
      <c r="O2456" s="1755"/>
      <c r="P2456" s="905"/>
      <c r="Q2456" s="905"/>
      <c r="R2456" s="905"/>
      <c r="S2456" s="905"/>
      <c r="T2456" s="905"/>
      <c r="U2456" s="905"/>
      <c r="V2456" s="905"/>
      <c r="X2456" s="1600"/>
      <c r="Y2456" s="1874"/>
      <c r="Z2456" s="1600"/>
      <c r="AL2456" s="1352"/>
      <c r="AM2456" s="1352"/>
      <c r="AN2456" s="1352"/>
      <c r="AO2456" s="1352"/>
      <c r="AP2456" s="1352"/>
      <c r="AQ2456" s="1352"/>
      <c r="AR2456" s="1352"/>
      <c r="AS2456" s="1352"/>
    </row>
    <row r="2457" spans="1:60" hidden="1" x14ac:dyDescent="0.2">
      <c r="A2457" s="1515">
        <v>10</v>
      </c>
      <c r="B2457" s="1516">
        <v>1005.1</v>
      </c>
      <c r="C2457" s="467" t="s">
        <v>255</v>
      </c>
      <c r="G2457" s="1509" t="str">
        <f>G2456</f>
        <v/>
      </c>
      <c r="H2457" s="1510" t="s">
        <v>3199</v>
      </c>
      <c r="I2457" s="589"/>
      <c r="J2457" s="590"/>
      <c r="K2457" s="601"/>
      <c r="L2457" s="1634"/>
      <c r="M2457" s="1752"/>
      <c r="N2457" s="1619"/>
      <c r="O2457" s="1755"/>
      <c r="P2457" s="905"/>
      <c r="Q2457" s="905"/>
      <c r="R2457" s="905"/>
      <c r="S2457" s="905"/>
      <c r="T2457" s="905"/>
      <c r="U2457" s="905"/>
      <c r="V2457" s="905"/>
      <c r="X2457" s="1600"/>
      <c r="Y2457" s="1874"/>
      <c r="Z2457" s="1600"/>
      <c r="AL2457" s="1352"/>
      <c r="AM2457" s="1352"/>
      <c r="AN2457" s="1352"/>
      <c r="AO2457" s="1352"/>
      <c r="AP2457" s="1352"/>
      <c r="AQ2457" s="1352"/>
      <c r="AR2457" s="1352"/>
      <c r="AS2457" s="1352"/>
    </row>
    <row r="2458" spans="1:60" hidden="1" x14ac:dyDescent="0.2">
      <c r="A2458" s="1515">
        <v>10</v>
      </c>
      <c r="B2458" s="1516">
        <v>1005.1</v>
      </c>
      <c r="C2458" s="467" t="s">
        <v>255</v>
      </c>
      <c r="G2458" s="1509" t="str">
        <f>G2457</f>
        <v/>
      </c>
      <c r="H2458" s="1510" t="s">
        <v>3199</v>
      </c>
      <c r="I2458" s="589"/>
      <c r="J2458" s="606"/>
      <c r="K2458" s="1407"/>
      <c r="L2458" s="1639"/>
      <c r="M2458" s="1754"/>
      <c r="N2458" s="1620"/>
      <c r="O2458" s="1756"/>
      <c r="P2458" s="905"/>
      <c r="Q2458" s="905"/>
      <c r="R2458" s="905"/>
      <c r="S2458" s="905"/>
      <c r="T2458" s="905"/>
      <c r="U2458" s="905"/>
      <c r="V2458" s="905"/>
      <c r="X2458" s="1600"/>
      <c r="Y2458" s="1874"/>
      <c r="Z2458" s="1600"/>
      <c r="AL2458" s="1352"/>
      <c r="AM2458" s="1352"/>
      <c r="AN2458" s="1352"/>
      <c r="AO2458" s="1352"/>
      <c r="AP2458" s="1352"/>
      <c r="AQ2458" s="1352"/>
      <c r="AR2458" s="1352"/>
      <c r="AS2458" s="1352"/>
    </row>
    <row r="2459" spans="1:60" x14ac:dyDescent="0.2">
      <c r="A2459" s="1515">
        <v>10</v>
      </c>
      <c r="B2459" s="1516">
        <v>1005.1</v>
      </c>
      <c r="C2459" s="467" t="s">
        <v>256</v>
      </c>
      <c r="G2459" s="1509" t="str">
        <f>IF(N2459&gt;0,"P","")</f>
        <v>P</v>
      </c>
      <c r="H2459" s="1510" t="s">
        <v>3199</v>
      </c>
      <c r="I2459" s="589"/>
      <c r="J2459" s="589" t="s">
        <v>256</v>
      </c>
      <c r="K2459" s="600"/>
      <c r="L2459" s="1634" t="s">
        <v>4951</v>
      </c>
      <c r="M2459" s="1769">
        <v>2</v>
      </c>
      <c r="N2459" s="1669">
        <f>'11.1000'!O212</f>
        <v>2</v>
      </c>
      <c r="O2459" s="1644">
        <f>M2459*S2459</f>
        <v>2</v>
      </c>
      <c r="P2459" s="905" t="b">
        <v>0</v>
      </c>
      <c r="Q2459" s="905" t="b">
        <v>1</v>
      </c>
      <c r="R2459" s="905" t="b">
        <v>0</v>
      </c>
      <c r="S2459" s="905" t="b">
        <v>1</v>
      </c>
      <c r="T2459" s="905" t="b">
        <v>0</v>
      </c>
      <c r="U2459" s="905"/>
      <c r="V2459" s="905"/>
      <c r="W2459" s="1775" t="s">
        <v>4953</v>
      </c>
      <c r="AL2459" s="1352" t="str">
        <f>SUBSTITUTE(SUBSTITUTE(SUBSTITUTE("vpa"&amp;$B2459&amp;$C2459&amp;$D2459&amp;$E2459,".","_"),"(","_"),")","")</f>
        <v>vpa1005_1_3</v>
      </c>
      <c r="AM2459" s="1352">
        <f t="shared" ref="AM2459" si="189">M2459</f>
        <v>2</v>
      </c>
      <c r="AN2459" s="1352" t="str">
        <f>SUBSTITUTE(SUBSTITUTE(SUBSTITUTE("vpc"&amp;$B2459&amp;$C2459&amp;$D2459&amp;$E2459,".","_"),"(","_"),")","")</f>
        <v>vpc1005_1_3</v>
      </c>
      <c r="AO2459" s="1352">
        <f>O2459</f>
        <v>2</v>
      </c>
      <c r="AP2459" s="1352"/>
      <c r="AQ2459" s="1352"/>
      <c r="AR2459" s="1352"/>
      <c r="AS2459" s="1352"/>
    </row>
    <row r="2460" spans="1:60" x14ac:dyDescent="0.2">
      <c r="A2460" s="1515">
        <v>10</v>
      </c>
      <c r="B2460" s="1516">
        <v>1005.1</v>
      </c>
      <c r="C2460" s="467" t="s">
        <v>256</v>
      </c>
      <c r="G2460" s="1509" t="str">
        <f t="shared" ref="G2460:G2468" si="190">G2459</f>
        <v>P</v>
      </c>
      <c r="H2460" s="1510" t="s">
        <v>3199</v>
      </c>
      <c r="I2460" s="600"/>
      <c r="J2460" s="600"/>
      <c r="K2460" s="600"/>
      <c r="L2460" s="1634"/>
      <c r="M2460" s="1769"/>
      <c r="N2460" s="1669"/>
      <c r="O2460" s="1644"/>
      <c r="P2460" s="905"/>
      <c r="Q2460" s="905"/>
      <c r="R2460" s="905"/>
      <c r="S2460" s="905"/>
      <c r="T2460" s="905"/>
      <c r="U2460" s="905"/>
      <c r="V2460" s="905"/>
      <c r="W2460" s="1775"/>
    </row>
    <row r="2461" spans="1:60" x14ac:dyDescent="0.2">
      <c r="A2461" s="1515">
        <v>10</v>
      </c>
      <c r="B2461" s="1516">
        <v>1005.1</v>
      </c>
      <c r="C2461" s="467" t="s">
        <v>256</v>
      </c>
      <c r="G2461" s="1509" t="str">
        <f t="shared" si="190"/>
        <v>P</v>
      </c>
      <c r="H2461" s="1510" t="s">
        <v>3199</v>
      </c>
      <c r="I2461" s="600"/>
      <c r="J2461" s="600"/>
      <c r="K2461" s="600"/>
      <c r="L2461" s="1634"/>
      <c r="M2461" s="1769"/>
      <c r="N2461" s="1669"/>
      <c r="O2461" s="1644"/>
      <c r="P2461" s="905"/>
      <c r="Q2461" s="905"/>
      <c r="R2461" s="905"/>
      <c r="S2461" s="905"/>
      <c r="T2461" s="905"/>
      <c r="U2461" s="905"/>
      <c r="V2461" s="905"/>
      <c r="W2461" s="1775"/>
    </row>
    <row r="2462" spans="1:60" x14ac:dyDescent="0.2">
      <c r="A2462" s="1515">
        <v>10</v>
      </c>
      <c r="B2462" s="1516">
        <v>1005.1</v>
      </c>
      <c r="C2462" s="467" t="s">
        <v>256</v>
      </c>
      <c r="G2462" s="1509" t="str">
        <f t="shared" si="190"/>
        <v>P</v>
      </c>
      <c r="H2462" s="1510" t="s">
        <v>3199</v>
      </c>
      <c r="I2462" s="600"/>
      <c r="J2462" s="600"/>
      <c r="K2462" s="600"/>
      <c r="L2462" s="1634"/>
      <c r="M2462" s="1769"/>
      <c r="N2462" s="1669"/>
      <c r="O2462" s="1644"/>
      <c r="P2462" s="905"/>
      <c r="Q2462" s="905"/>
      <c r="R2462" s="905"/>
      <c r="S2462" s="905"/>
      <c r="T2462" s="905"/>
      <c r="U2462" s="905"/>
      <c r="V2462" s="905"/>
      <c r="W2462" s="1775"/>
    </row>
    <row r="2463" spans="1:60" x14ac:dyDescent="0.2">
      <c r="A2463" s="1515">
        <v>10</v>
      </c>
      <c r="B2463" s="1516">
        <v>1005.1</v>
      </c>
      <c r="C2463" s="467" t="s">
        <v>256</v>
      </c>
      <c r="G2463" s="1509" t="str">
        <f t="shared" si="190"/>
        <v>P</v>
      </c>
      <c r="H2463" s="1510" t="s">
        <v>3199</v>
      </c>
      <c r="I2463" s="600"/>
      <c r="J2463" s="600"/>
      <c r="K2463" s="600"/>
      <c r="L2463" s="1634"/>
      <c r="M2463" s="1769"/>
      <c r="N2463" s="1669"/>
      <c r="O2463" s="1644"/>
      <c r="P2463" s="905"/>
      <c r="Q2463" s="905"/>
      <c r="R2463" s="905"/>
      <c r="S2463" s="905"/>
      <c r="T2463" s="905"/>
      <c r="U2463" s="905"/>
      <c r="V2463" s="905"/>
      <c r="W2463" s="1775"/>
    </row>
    <row r="2464" spans="1:60" x14ac:dyDescent="0.2">
      <c r="A2464" s="1515">
        <v>10</v>
      </c>
      <c r="B2464" s="1516">
        <v>1005.1</v>
      </c>
      <c r="C2464" s="467" t="s">
        <v>256</v>
      </c>
      <c r="G2464" s="1509" t="str">
        <f t="shared" si="190"/>
        <v>P</v>
      </c>
      <c r="H2464" s="1510" t="s">
        <v>3199</v>
      </c>
      <c r="I2464" s="600"/>
      <c r="J2464" s="600"/>
      <c r="K2464" s="600"/>
      <c r="L2464" s="1634"/>
      <c r="M2464" s="1769"/>
      <c r="N2464" s="1669"/>
      <c r="O2464" s="1644"/>
      <c r="P2464" s="905"/>
      <c r="Q2464" s="905"/>
      <c r="R2464" s="905"/>
      <c r="S2464" s="905"/>
      <c r="T2464" s="905"/>
      <c r="U2464" s="905"/>
      <c r="V2464" s="905"/>
      <c r="W2464" s="1775"/>
    </row>
    <row r="2465" spans="1:26" x14ac:dyDescent="0.2">
      <c r="A2465" s="1515">
        <v>10</v>
      </c>
      <c r="B2465" s="1516">
        <v>1005.1</v>
      </c>
      <c r="C2465" s="467" t="s">
        <v>256</v>
      </c>
      <c r="G2465" s="1509" t="str">
        <f t="shared" si="190"/>
        <v>P</v>
      </c>
      <c r="H2465" s="1510" t="s">
        <v>3199</v>
      </c>
      <c r="I2465" s="600"/>
      <c r="J2465" s="600"/>
      <c r="K2465" s="600"/>
      <c r="L2465" s="1634"/>
      <c r="M2465" s="1769"/>
      <c r="N2465" s="1669"/>
      <c r="O2465" s="1644"/>
      <c r="P2465" s="905"/>
      <c r="Q2465" s="905"/>
      <c r="R2465" s="905"/>
      <c r="S2465" s="905"/>
      <c r="T2465" s="905"/>
      <c r="U2465" s="905"/>
      <c r="V2465" s="905"/>
      <c r="W2465" s="1775"/>
    </row>
    <row r="2466" spans="1:26" x14ac:dyDescent="0.2">
      <c r="A2466" s="1515">
        <v>10</v>
      </c>
      <c r="B2466" s="1516">
        <v>1005.1</v>
      </c>
      <c r="C2466" s="467" t="s">
        <v>256</v>
      </c>
      <c r="G2466" s="1509" t="str">
        <f t="shared" si="190"/>
        <v>P</v>
      </c>
      <c r="H2466" s="1510" t="s">
        <v>3199</v>
      </c>
      <c r="I2466" s="600"/>
      <c r="J2466" s="858"/>
      <c r="K2466" s="858"/>
      <c r="L2466" s="1634"/>
      <c r="M2466" s="1769"/>
      <c r="N2466" s="1669"/>
      <c r="O2466" s="1644"/>
      <c r="P2466" s="905"/>
      <c r="Q2466" s="905"/>
      <c r="R2466" s="905"/>
      <c r="S2466" s="905"/>
      <c r="T2466" s="905"/>
      <c r="U2466" s="905"/>
      <c r="V2466" s="905"/>
      <c r="W2466" s="1775"/>
    </row>
    <row r="2467" spans="1:26" x14ac:dyDescent="0.2">
      <c r="A2467" s="1515">
        <v>10</v>
      </c>
      <c r="B2467" s="1516">
        <v>1005.1</v>
      </c>
      <c r="C2467" s="467" t="s">
        <v>256</v>
      </c>
      <c r="G2467" s="1509" t="str">
        <f t="shared" si="190"/>
        <v>P</v>
      </c>
      <c r="H2467" s="1510" t="s">
        <v>3199</v>
      </c>
      <c r="I2467" s="600"/>
      <c r="J2467" s="858"/>
      <c r="K2467" s="858"/>
      <c r="L2467" s="1634"/>
      <c r="M2467" s="1769"/>
      <c r="N2467" s="1669"/>
      <c r="O2467" s="1644"/>
      <c r="P2467" s="905"/>
      <c r="Q2467" s="905"/>
      <c r="R2467" s="905"/>
      <c r="S2467" s="905"/>
      <c r="T2467" s="905"/>
      <c r="U2467" s="905"/>
      <c r="V2467" s="905"/>
      <c r="W2467" s="1775"/>
    </row>
    <row r="2468" spans="1:26" x14ac:dyDescent="0.2">
      <c r="A2468" s="1515">
        <v>10</v>
      </c>
      <c r="B2468" s="1516">
        <v>1005.1</v>
      </c>
      <c r="C2468" s="467" t="s">
        <v>256</v>
      </c>
      <c r="G2468" s="1509" t="str">
        <f t="shared" si="190"/>
        <v>P</v>
      </c>
      <c r="H2468" s="1510" t="s">
        <v>3199</v>
      </c>
      <c r="I2468" s="600"/>
      <c r="J2468" s="858"/>
      <c r="K2468" s="858"/>
      <c r="L2468" s="1634"/>
      <c r="M2468" s="1752"/>
      <c r="N2468" s="1669"/>
      <c r="O2468" s="1755"/>
      <c r="P2468" s="905"/>
      <c r="Q2468" s="905"/>
      <c r="R2468" s="905"/>
      <c r="S2468" s="905"/>
      <c r="T2468" s="905"/>
      <c r="U2468" s="905"/>
      <c r="V2468" s="905"/>
      <c r="W2468" s="1890"/>
    </row>
    <row r="2469" spans="1:26" x14ac:dyDescent="0.2">
      <c r="M2469" s="1135"/>
      <c r="N2469" s="1135"/>
      <c r="O2469" s="1135"/>
      <c r="P2469" s="1135"/>
      <c r="Q2469" s="1135"/>
      <c r="R2469" s="1135"/>
      <c r="S2469" s="1135"/>
      <c r="T2469" s="1135"/>
      <c r="U2469" s="1135"/>
      <c r="V2469" s="1135"/>
      <c r="W2469" s="1135"/>
      <c r="X2469" s="1135"/>
      <c r="Y2469" s="1135"/>
      <c r="Z2469" s="1135"/>
    </row>
  </sheetData>
  <sheetProtection algorithmName="SHA-512" hashValue="F4NQ80dQBAjexCveefcmabfpo6ASGbYuCOHxbdXAgJycuX1iJY9mRmFSMVz39n8wpak3Kr4mdc5RNn6NKNZkqA==" saltValue="lTKtGnWSn5b1rfG5BUpeEA==" spinCount="100000" sheet="1" objects="1" scenarios="1" selectLockedCells="1" autoFilter="0"/>
  <autoFilter ref="A7:H2468" xr:uid="{00000000-0009-0000-0000-00000D000000}">
    <filterColumn colId="6">
      <customFilters>
        <customFilter operator="notEqual" val=" "/>
      </customFilters>
    </filterColumn>
  </autoFilter>
  <mergeCells count="2870">
    <mergeCell ref="Y1828:Y1830"/>
    <mergeCell ref="Z1828:Z1830"/>
    <mergeCell ref="L1015:L1019"/>
    <mergeCell ref="L1020:L1021"/>
    <mergeCell ref="L1022:L1026"/>
    <mergeCell ref="L1027:L1031"/>
    <mergeCell ref="X1015:X1031"/>
    <mergeCell ref="Y1015:Y1031"/>
    <mergeCell ref="Z1015:Z1031"/>
    <mergeCell ref="L1609:L1612"/>
    <mergeCell ref="L1613:L1614"/>
    <mergeCell ref="L1615:L1620"/>
    <mergeCell ref="L1621:L1624"/>
    <mergeCell ref="X1609:X1624"/>
    <mergeCell ref="Y1609:Y1624"/>
    <mergeCell ref="Z1609:Z1624"/>
    <mergeCell ref="Z991:Z997"/>
    <mergeCell ref="Y991:Y997"/>
    <mergeCell ref="L1049:L1050"/>
    <mergeCell ref="M1049:M1050"/>
    <mergeCell ref="L1052:L1057"/>
    <mergeCell ref="M1052:M1057"/>
    <mergeCell ref="O1052:O1057"/>
    <mergeCell ref="L1059:L1060"/>
    <mergeCell ref="M1059:M1060"/>
    <mergeCell ref="O1059:O1060"/>
    <mergeCell ref="L1061:L1064"/>
    <mergeCell ref="M1061:M1063"/>
    <mergeCell ref="O1061:O1063"/>
    <mergeCell ref="L1065:L1068"/>
    <mergeCell ref="M1065:M1067"/>
    <mergeCell ref="O1065:O1067"/>
    <mergeCell ref="Z933:Z935"/>
    <mergeCell ref="Z936:Z937"/>
    <mergeCell ref="Z942:Z943"/>
    <mergeCell ref="Z945:Z946"/>
    <mergeCell ref="Z950:Z951"/>
    <mergeCell ref="Z952:Z954"/>
    <mergeCell ref="Z960:Z963"/>
    <mergeCell ref="Z964:Z965"/>
    <mergeCell ref="Z966:Z968"/>
    <mergeCell ref="Z969:Z970"/>
    <mergeCell ref="Z973:Z975"/>
    <mergeCell ref="Z976:Z977"/>
    <mergeCell ref="Z978:Z980"/>
    <mergeCell ref="Z981:Z990"/>
    <mergeCell ref="Y978:Y980"/>
    <mergeCell ref="Y981:Y990"/>
    <mergeCell ref="Y966:Y968"/>
    <mergeCell ref="Y973:Y975"/>
    <mergeCell ref="Y976:Y977"/>
    <mergeCell ref="Y955:Y958"/>
    <mergeCell ref="Z955:Z958"/>
    <mergeCell ref="L2149:L2150"/>
    <mergeCell ref="L1011:L1013"/>
    <mergeCell ref="L1605:L1607"/>
    <mergeCell ref="Z2003:Z2007"/>
    <mergeCell ref="Z2009:Z2012"/>
    <mergeCell ref="Z2013:Z2017"/>
    <mergeCell ref="Z2024:Z2025"/>
    <mergeCell ref="Z2026:Z2029"/>
    <mergeCell ref="Z2032:Z2033"/>
    <mergeCell ref="Z2034:Z2035"/>
    <mergeCell ref="Z2042:Z2043"/>
    <mergeCell ref="Z2044:Z2045"/>
    <mergeCell ref="Z2046:Z2047"/>
    <mergeCell ref="Z2048:Z2050"/>
    <mergeCell ref="Z2051:Z2054"/>
    <mergeCell ref="Z2055:Z2058"/>
    <mergeCell ref="Z2059:Z2063"/>
    <mergeCell ref="Z2066:Z2067"/>
    <mergeCell ref="Z2068:Z2069"/>
    <mergeCell ref="Z2070:Z2072"/>
    <mergeCell ref="Z2036:Z2037"/>
    <mergeCell ref="Z1900:Z1901"/>
    <mergeCell ref="Z1905:Z1906"/>
    <mergeCell ref="Z1907:Z1908"/>
    <mergeCell ref="Z1909:Z1914"/>
    <mergeCell ref="Z1920:Z1924"/>
    <mergeCell ref="Z1925:Z1935"/>
    <mergeCell ref="Z1939:Z1940"/>
    <mergeCell ref="Z1941:Z1943"/>
    <mergeCell ref="Z1944:Z1945"/>
    <mergeCell ref="Z1953:Z1963"/>
    <mergeCell ref="Z1964:Z1967"/>
    <mergeCell ref="Z2444:Z2446"/>
    <mergeCell ref="Z2447:Z2449"/>
    <mergeCell ref="Z6:Z7"/>
    <mergeCell ref="Z2344:Z2345"/>
    <mergeCell ref="Z2350:Z2351"/>
    <mergeCell ref="Z2352:Z2354"/>
    <mergeCell ref="Z2355:Z2356"/>
    <mergeCell ref="Z2357:Z2359"/>
    <mergeCell ref="Z2360:Z2361"/>
    <mergeCell ref="Z2363:Z2364"/>
    <mergeCell ref="Z2365:Z2366"/>
    <mergeCell ref="Z2368:Z2370"/>
    <mergeCell ref="Z2371:Z2372"/>
    <mergeCell ref="Z2377:Z2378"/>
    <mergeCell ref="Z2379:Z2382"/>
    <mergeCell ref="Z2383:Z2389"/>
    <mergeCell ref="Z2390:Z2391"/>
    <mergeCell ref="Z2393:Z2394"/>
    <mergeCell ref="Z2442:Z2443"/>
    <mergeCell ref="Z2270:Z2271"/>
    <mergeCell ref="Z2272:Z2273"/>
    <mergeCell ref="Z2275:Z2276"/>
    <mergeCell ref="Z2279:Z2284"/>
    <mergeCell ref="Z2285:Z2288"/>
    <mergeCell ref="Z2289:Z2290"/>
    <mergeCell ref="Z2291:Z2292"/>
    <mergeCell ref="Z2294:Z2295"/>
    <mergeCell ref="Z2296:Z2297"/>
    <mergeCell ref="Z2299:Z2300"/>
    <mergeCell ref="Z2301:Z2302"/>
    <mergeCell ref="Z2303:Z2304"/>
    <mergeCell ref="Z2309:Z2320"/>
    <mergeCell ref="Z2331:Z2333"/>
    <mergeCell ref="Z2334:Z2336"/>
    <mergeCell ref="Z2337:Z2338"/>
    <mergeCell ref="Z2340:Z2341"/>
    <mergeCell ref="Z2077:Z2087"/>
    <mergeCell ref="Z2088:Z2089"/>
    <mergeCell ref="Z2090:Z2092"/>
    <mergeCell ref="Z2093:Z2095"/>
    <mergeCell ref="Z2176:Z2177"/>
    <mergeCell ref="Z2178:Z2180"/>
    <mergeCell ref="Z2184:Z2185"/>
    <mergeCell ref="Z2186:Z2187"/>
    <mergeCell ref="Z2190:Z2193"/>
    <mergeCell ref="Z2194:Z2197"/>
    <mergeCell ref="Z2198:Z2202"/>
    <mergeCell ref="Z2206:Z2210"/>
    <mergeCell ref="Z2211:Z2213"/>
    <mergeCell ref="Z2227:Z2231"/>
    <mergeCell ref="Z2232:Z2233"/>
    <mergeCell ref="Z2264:Z2267"/>
    <mergeCell ref="Z2305:Z2306"/>
    <mergeCell ref="Z1968:Z1973"/>
    <mergeCell ref="Z1974:Z1977"/>
    <mergeCell ref="Z1980:Z1981"/>
    <mergeCell ref="Z1983:Z1984"/>
    <mergeCell ref="Z1985:Z1989"/>
    <mergeCell ref="Z1990:Z1995"/>
    <mergeCell ref="Z1996:Z1998"/>
    <mergeCell ref="Z1859:Z1864"/>
    <mergeCell ref="Z1865:Z1867"/>
    <mergeCell ref="Z1870:Z1872"/>
    <mergeCell ref="Z1873:Z1875"/>
    <mergeCell ref="Z1876:Z1880"/>
    <mergeCell ref="Z1881:Z1883"/>
    <mergeCell ref="Z1884:Z1886"/>
    <mergeCell ref="Z1890:Z1892"/>
    <mergeCell ref="Z1893:Z1894"/>
    <mergeCell ref="Z1895:Z1897"/>
    <mergeCell ref="Z1898:Z1899"/>
    <mergeCell ref="Z1843:Z1847"/>
    <mergeCell ref="Z1848:Z1850"/>
    <mergeCell ref="Z1851:Z1852"/>
    <mergeCell ref="Z1853:Z1855"/>
    <mergeCell ref="Z809:Z815"/>
    <mergeCell ref="Z893:Z895"/>
    <mergeCell ref="Z896:Z900"/>
    <mergeCell ref="Z902:Z904"/>
    <mergeCell ref="Z679:Z684"/>
    <mergeCell ref="Z699:Z700"/>
    <mergeCell ref="Z733:Z741"/>
    <mergeCell ref="Z742:Z748"/>
    <mergeCell ref="Z749:Z750"/>
    <mergeCell ref="Z755:Z761"/>
    <mergeCell ref="Z762:Z768"/>
    <mergeCell ref="Z769:Z774"/>
    <mergeCell ref="Z775:Z780"/>
    <mergeCell ref="Z781:Z786"/>
    <mergeCell ref="Z787:Z792"/>
    <mergeCell ref="Z817:Z824"/>
    <mergeCell ref="Z839:Z840"/>
    <mergeCell ref="Z886:Z892"/>
    <mergeCell ref="Z864:Z866"/>
    <mergeCell ref="Z868:Z882"/>
    <mergeCell ref="Z829:Z830"/>
    <mergeCell ref="Z831:Z832"/>
    <mergeCell ref="Z833:Z834"/>
    <mergeCell ref="Z835:Z836"/>
    <mergeCell ref="Z837:Z838"/>
    <mergeCell ref="Z724:Z730"/>
    <mergeCell ref="Z702:Z710"/>
    <mergeCell ref="Z693:Z698"/>
    <mergeCell ref="Z688:Z692"/>
    <mergeCell ref="Z552:Z554"/>
    <mergeCell ref="Z555:Z557"/>
    <mergeCell ref="Z559:Z563"/>
    <mergeCell ref="Z564:Z565"/>
    <mergeCell ref="Z571:Z576"/>
    <mergeCell ref="Z577:Z583"/>
    <mergeCell ref="Z584:Z586"/>
    <mergeCell ref="Z588:Z589"/>
    <mergeCell ref="Z590:Z591"/>
    <mergeCell ref="Z592:Z593"/>
    <mergeCell ref="Z594:Z595"/>
    <mergeCell ref="Z601:Z615"/>
    <mergeCell ref="Z616:Z624"/>
    <mergeCell ref="Z629:Z635"/>
    <mergeCell ref="Z642:Z657"/>
    <mergeCell ref="Z674:Z675"/>
    <mergeCell ref="Z677:Z678"/>
    <mergeCell ref="Z598:Z600"/>
    <mergeCell ref="Z271:Z281"/>
    <mergeCell ref="Z471:Z474"/>
    <mergeCell ref="Z495:Z497"/>
    <mergeCell ref="Z499:Z502"/>
    <mergeCell ref="Z503:Z508"/>
    <mergeCell ref="Z509:Z510"/>
    <mergeCell ref="Z513:Z524"/>
    <mergeCell ref="Z529:Z531"/>
    <mergeCell ref="Z532:Z535"/>
    <mergeCell ref="Z538:Z539"/>
    <mergeCell ref="Z549:Z550"/>
    <mergeCell ref="Z483:Z494"/>
    <mergeCell ref="Z330:Z332"/>
    <mergeCell ref="Z333:Z335"/>
    <mergeCell ref="Z347:Z349"/>
    <mergeCell ref="Z359:Z363"/>
    <mergeCell ref="Z364:Z382"/>
    <mergeCell ref="Z383:Z390"/>
    <mergeCell ref="Z400:Z402"/>
    <mergeCell ref="Z403:Z407"/>
    <mergeCell ref="Z412:Z414"/>
    <mergeCell ref="Z420:Z421"/>
    <mergeCell ref="Z429:Z430"/>
    <mergeCell ref="Z436:Z441"/>
    <mergeCell ref="Z445:Z455"/>
    <mergeCell ref="Z431:Z434"/>
    <mergeCell ref="Z525:Z528"/>
    <mergeCell ref="Z458:Z459"/>
    <mergeCell ref="Z460:Z462"/>
    <mergeCell ref="Z467:Z470"/>
    <mergeCell ref="Z264:Z265"/>
    <mergeCell ref="Z266:Z268"/>
    <mergeCell ref="Z207:Z208"/>
    <mergeCell ref="Z209:Z210"/>
    <mergeCell ref="Z211:Z214"/>
    <mergeCell ref="A1:H3"/>
    <mergeCell ref="A4:A6"/>
    <mergeCell ref="G4:G6"/>
    <mergeCell ref="H4:H6"/>
    <mergeCell ref="X2:Y2"/>
    <mergeCell ref="X1:Y1"/>
    <mergeCell ref="Y6:Y7"/>
    <mergeCell ref="O6:O7"/>
    <mergeCell ref="I6:K7"/>
    <mergeCell ref="L6:L7"/>
    <mergeCell ref="M6:M7"/>
    <mergeCell ref="W6:W7"/>
    <mergeCell ref="X6:X7"/>
    <mergeCell ref="N6:N7"/>
    <mergeCell ref="X4:Y4"/>
    <mergeCell ref="X5:Y5"/>
    <mergeCell ref="L13:L14"/>
    <mergeCell ref="Z142:Z143"/>
    <mergeCell ref="Z144:Z146"/>
    <mergeCell ref="I5:K5"/>
    <mergeCell ref="I1:K1"/>
    <mergeCell ref="Z147:Z148"/>
    <mergeCell ref="Z151:Z155"/>
    <mergeCell ref="M1:O5"/>
    <mergeCell ref="I2:L2"/>
    <mergeCell ref="I3:L3"/>
    <mergeCell ref="I4:L4"/>
    <mergeCell ref="W1:W3"/>
    <mergeCell ref="X3:Y3"/>
    <mergeCell ref="O13:O14"/>
    <mergeCell ref="Y960:Y963"/>
    <mergeCell ref="Y964:Y965"/>
    <mergeCell ref="Y893:Y895"/>
    <mergeCell ref="Y896:Y900"/>
    <mergeCell ref="Y902:Y904"/>
    <mergeCell ref="Y908:Y909"/>
    <mergeCell ref="Y933:Y935"/>
    <mergeCell ref="Y936:Y937"/>
    <mergeCell ref="L952:L953"/>
    <mergeCell ref="X952:X954"/>
    <mergeCell ref="L960:L963"/>
    <mergeCell ref="X960:X963"/>
    <mergeCell ref="L964:L965"/>
    <mergeCell ref="X964:X965"/>
    <mergeCell ref="L929:L932"/>
    <mergeCell ref="M929:M932"/>
    <mergeCell ref="L933:L937"/>
    <mergeCell ref="L942:L943"/>
    <mergeCell ref="L945:L946"/>
    <mergeCell ref="X945:X946"/>
    <mergeCell ref="L950:L951"/>
    <mergeCell ref="L908:L909"/>
    <mergeCell ref="M908:M909"/>
    <mergeCell ref="N73:N74"/>
    <mergeCell ref="L68:L69"/>
    <mergeCell ref="M15:M16"/>
    <mergeCell ref="O15:O16"/>
    <mergeCell ref="L44:L45"/>
    <mergeCell ref="L47:L48"/>
    <mergeCell ref="Z171:Z172"/>
    <mergeCell ref="Y13:Y14"/>
    <mergeCell ref="X13:X14"/>
    <mergeCell ref="L9:L11"/>
    <mergeCell ref="Y942:Y943"/>
    <mergeCell ref="Y945:Y946"/>
    <mergeCell ref="Y950:Y951"/>
    <mergeCell ref="L902:L904"/>
    <mergeCell ref="M902:M904"/>
    <mergeCell ref="X902:X904"/>
    <mergeCell ref="L51:L54"/>
    <mergeCell ref="L83:L84"/>
    <mergeCell ref="M83:M84"/>
    <mergeCell ref="L75:L79"/>
    <mergeCell ref="M66:M67"/>
    <mergeCell ref="O66:O67"/>
    <mergeCell ref="L71:L72"/>
    <mergeCell ref="L893:L895"/>
    <mergeCell ref="M893:M895"/>
    <mergeCell ref="L896:L900"/>
    <mergeCell ref="M896:M900"/>
    <mergeCell ref="M34:M36"/>
    <mergeCell ref="M13:M14"/>
    <mergeCell ref="O73:O74"/>
    <mergeCell ref="Z463:Z464"/>
    <mergeCell ref="Z465:Z466"/>
    <mergeCell ref="Z282:Z285"/>
    <mergeCell ref="Z289:Z291"/>
    <mergeCell ref="Z293:Z294"/>
    <mergeCell ref="Z298:Z299"/>
    <mergeCell ref="Z300:Z301"/>
    <mergeCell ref="Z302:Z303"/>
    <mergeCell ref="Z194:Z200"/>
    <mergeCell ref="Y15:Y16"/>
    <mergeCell ref="Z215:Z217"/>
    <mergeCell ref="Z219:Z226"/>
    <mergeCell ref="Z233:Z234"/>
    <mergeCell ref="Z236:Z239"/>
    <mergeCell ref="Z241:Z250"/>
    <mergeCell ref="Z251:Z253"/>
    <mergeCell ref="Z254:Z259"/>
    <mergeCell ref="Z422:Z423"/>
    <mergeCell ref="Z396:Z399"/>
    <mergeCell ref="Z409:Z411"/>
    <mergeCell ref="Y17:Y18"/>
    <mergeCell ref="Y396:Y399"/>
    <mergeCell ref="Y219:Y226"/>
    <mergeCell ref="Y254:Y259"/>
    <mergeCell ref="Y204:Y205"/>
    <mergeCell ref="Y207:Y208"/>
    <mergeCell ref="Y209:Y210"/>
    <mergeCell ref="Y211:Y214"/>
    <mergeCell ref="Y215:Y217"/>
    <mergeCell ref="Y233:Y234"/>
    <mergeCell ref="Y236:Y239"/>
    <mergeCell ref="Y241:Y250"/>
    <mergeCell ref="Y251:Y253"/>
    <mergeCell ref="Y359:Y363"/>
    <mergeCell ref="Y383:Y390"/>
    <mergeCell ref="Z44:Z46"/>
    <mergeCell ref="Z47:Z49"/>
    <mergeCell ref="Y180:Y185"/>
    <mergeCell ref="Y189:Y193"/>
    <mergeCell ref="Y194:Y200"/>
    <mergeCell ref="Z13:Z14"/>
    <mergeCell ref="Z15:Z16"/>
    <mergeCell ref="Z17:Z18"/>
    <mergeCell ref="Z19:Z27"/>
    <mergeCell ref="Z34:Z36"/>
    <mergeCell ref="Z37:Z41"/>
    <mergeCell ref="Z51:Z54"/>
    <mergeCell ref="Z56:Z60"/>
    <mergeCell ref="Z80:Z92"/>
    <mergeCell ref="Z93:Z104"/>
    <mergeCell ref="Z105:Z111"/>
    <mergeCell ref="Z112:Z114"/>
    <mergeCell ref="Z115:Z121"/>
    <mergeCell ref="Z312:Z325"/>
    <mergeCell ref="Z122:Z126"/>
    <mergeCell ref="Z132:Z135"/>
    <mergeCell ref="Z136:Z141"/>
    <mergeCell ref="Z201:Z203"/>
    <mergeCell ref="Z204:Z205"/>
    <mergeCell ref="Z149:Z150"/>
    <mergeCell ref="Z127:Z128"/>
    <mergeCell ref="Z129:Z131"/>
    <mergeCell ref="Z42:Z43"/>
    <mergeCell ref="Z173:Z179"/>
    <mergeCell ref="Z180:Z185"/>
    <mergeCell ref="Z189:Z193"/>
    <mergeCell ref="Z28:Z33"/>
    <mergeCell ref="Z157:Z161"/>
    <mergeCell ref="Z162:Z163"/>
    <mergeCell ref="Z164:Z166"/>
    <mergeCell ref="Z167:Z168"/>
    <mergeCell ref="Z169:Z170"/>
    <mergeCell ref="O29:O31"/>
    <mergeCell ref="O44:O46"/>
    <mergeCell ref="O47:O49"/>
    <mergeCell ref="L17:L18"/>
    <mergeCell ref="M17:M18"/>
    <mergeCell ref="O17:O18"/>
    <mergeCell ref="Y37:Y41"/>
    <mergeCell ref="N34:N36"/>
    <mergeCell ref="N37:N38"/>
    <mergeCell ref="X34:X36"/>
    <mergeCell ref="X37:X41"/>
    <mergeCell ref="L34:L36"/>
    <mergeCell ref="L85:L86"/>
    <mergeCell ref="O85:O86"/>
    <mergeCell ref="N85:N86"/>
    <mergeCell ref="N83:N84"/>
    <mergeCell ref="Y34:Y36"/>
    <mergeCell ref="Y19:Y27"/>
    <mergeCell ref="X28:X33"/>
    <mergeCell ref="X42:X43"/>
    <mergeCell ref="L56:L59"/>
    <mergeCell ref="X56:X60"/>
    <mergeCell ref="X19:X27"/>
    <mergeCell ref="L37:L38"/>
    <mergeCell ref="M37:M38"/>
    <mergeCell ref="O37:O38"/>
    <mergeCell ref="L61:L62"/>
    <mergeCell ref="L29:L31"/>
    <mergeCell ref="L42:L43"/>
    <mergeCell ref="N71:N72"/>
    <mergeCell ref="O51:O54"/>
    <mergeCell ref="Y80:Y92"/>
    <mergeCell ref="L724:L729"/>
    <mergeCell ref="X724:X730"/>
    <mergeCell ref="Y724:Y730"/>
    <mergeCell ref="M47:M49"/>
    <mergeCell ref="M75:M79"/>
    <mergeCell ref="L66:L67"/>
    <mergeCell ref="M142:M143"/>
    <mergeCell ref="O142:O143"/>
    <mergeCell ref="X142:X143"/>
    <mergeCell ref="N142:N143"/>
    <mergeCell ref="N136:N137"/>
    <mergeCell ref="L127:L128"/>
    <mergeCell ref="L129:L131"/>
    <mergeCell ref="O127:O128"/>
    <mergeCell ref="O129:O131"/>
    <mergeCell ref="X127:X128"/>
    <mergeCell ref="X129:X131"/>
    <mergeCell ref="N127:N128"/>
    <mergeCell ref="N129:N131"/>
    <mergeCell ref="M127:M128"/>
    <mergeCell ref="M129:M131"/>
    <mergeCell ref="N75:N79"/>
    <mergeCell ref="O64:O65"/>
    <mergeCell ref="M68:M69"/>
    <mergeCell ref="L90:L91"/>
    <mergeCell ref="M90:M91"/>
    <mergeCell ref="L105:L108"/>
    <mergeCell ref="L109:L111"/>
    <mergeCell ref="X47:X49"/>
    <mergeCell ref="X51:X54"/>
    <mergeCell ref="X171:X172"/>
    <mergeCell ref="X151:X155"/>
    <mergeCell ref="X15:X16"/>
    <mergeCell ref="X17:X18"/>
    <mergeCell ref="L15:L16"/>
    <mergeCell ref="X112:X114"/>
    <mergeCell ref="N112:N114"/>
    <mergeCell ref="L93:L94"/>
    <mergeCell ref="X93:X104"/>
    <mergeCell ref="L96:L97"/>
    <mergeCell ref="M96:M97"/>
    <mergeCell ref="O96:O97"/>
    <mergeCell ref="L100:L101"/>
    <mergeCell ref="N96:N97"/>
    <mergeCell ref="L73:L74"/>
    <mergeCell ref="M73:M74"/>
    <mergeCell ref="X105:X111"/>
    <mergeCell ref="M42:M43"/>
    <mergeCell ref="M44:M46"/>
    <mergeCell ref="O34:O36"/>
    <mergeCell ref="L64:L65"/>
    <mergeCell ref="M64:M65"/>
    <mergeCell ref="X61:X79"/>
    <mergeCell ref="M71:M72"/>
    <mergeCell ref="O71:O72"/>
    <mergeCell ref="L19:L22"/>
    <mergeCell ref="M19:M27"/>
    <mergeCell ref="O19:O27"/>
    <mergeCell ref="N19:N27"/>
    <mergeCell ref="N15:N16"/>
    <mergeCell ref="N29:N31"/>
    <mergeCell ref="N44:N46"/>
    <mergeCell ref="N17:N18"/>
    <mergeCell ref="X44:X46"/>
    <mergeCell ref="M157:M161"/>
    <mergeCell ref="O157:O161"/>
    <mergeCell ref="X157:X161"/>
    <mergeCell ref="N157:N161"/>
    <mergeCell ref="L144:L146"/>
    <mergeCell ref="M144:M146"/>
    <mergeCell ref="O144:O146"/>
    <mergeCell ref="X144:X146"/>
    <mergeCell ref="L147:L148"/>
    <mergeCell ref="M147:M148"/>
    <mergeCell ref="O147:O148"/>
    <mergeCell ref="X147:X148"/>
    <mergeCell ref="N147:N148"/>
    <mergeCell ref="N144:N146"/>
    <mergeCell ref="L162:L163"/>
    <mergeCell ref="M162:M163"/>
    <mergeCell ref="O162:O163"/>
    <mergeCell ref="X162:X163"/>
    <mergeCell ref="L149:L150"/>
    <mergeCell ref="O149:O150"/>
    <mergeCell ref="X149:X150"/>
    <mergeCell ref="N149:N150"/>
    <mergeCell ref="M149:M150"/>
    <mergeCell ref="N167:N168"/>
    <mergeCell ref="L171:L172"/>
    <mergeCell ref="M171:M172"/>
    <mergeCell ref="O90:O91"/>
    <mergeCell ref="N90:N91"/>
    <mergeCell ref="N47:N49"/>
    <mergeCell ref="M51:M54"/>
    <mergeCell ref="X173:X179"/>
    <mergeCell ref="L177:L178"/>
    <mergeCell ref="M177:M178"/>
    <mergeCell ref="N173:N174"/>
    <mergeCell ref="N171:N172"/>
    <mergeCell ref="L180:L181"/>
    <mergeCell ref="X180:X185"/>
    <mergeCell ref="L182:L183"/>
    <mergeCell ref="M182:M183"/>
    <mergeCell ref="O182:O183"/>
    <mergeCell ref="L184:L185"/>
    <mergeCell ref="M184:M185"/>
    <mergeCell ref="O184:O185"/>
    <mergeCell ref="N184:N185"/>
    <mergeCell ref="N182:N183"/>
    <mergeCell ref="L164:L166"/>
    <mergeCell ref="X164:X166"/>
    <mergeCell ref="M164:M166"/>
    <mergeCell ref="N164:N166"/>
    <mergeCell ref="O164:O166"/>
    <mergeCell ref="L167:L168"/>
    <mergeCell ref="M167:M168"/>
    <mergeCell ref="O167:O168"/>
    <mergeCell ref="X167:X168"/>
    <mergeCell ref="L157:L161"/>
    <mergeCell ref="L169:L170"/>
    <mergeCell ref="M169:M170"/>
    <mergeCell ref="O169:O170"/>
    <mergeCell ref="X169:X170"/>
    <mergeCell ref="X189:X193"/>
    <mergeCell ref="N189:N193"/>
    <mergeCell ref="L201:L203"/>
    <mergeCell ref="X201:X203"/>
    <mergeCell ref="L204:L205"/>
    <mergeCell ref="M204:M205"/>
    <mergeCell ref="O204:O205"/>
    <mergeCell ref="X204:X205"/>
    <mergeCell ref="N204:N205"/>
    <mergeCell ref="L194:L195"/>
    <mergeCell ref="X194:X200"/>
    <mergeCell ref="L197:L198"/>
    <mergeCell ref="M197:M198"/>
    <mergeCell ref="O197:O198"/>
    <mergeCell ref="L199:L200"/>
    <mergeCell ref="M199:M200"/>
    <mergeCell ref="O199:O200"/>
    <mergeCell ref="N199:N200"/>
    <mergeCell ref="N197:N198"/>
    <mergeCell ref="N169:N170"/>
    <mergeCell ref="M189:M193"/>
    <mergeCell ref="L173:L174"/>
    <mergeCell ref="X207:X208"/>
    <mergeCell ref="L209:L210"/>
    <mergeCell ref="M209:M210"/>
    <mergeCell ref="O209:O210"/>
    <mergeCell ref="X209:X210"/>
    <mergeCell ref="N209:N210"/>
    <mergeCell ref="N207:N208"/>
    <mergeCell ref="L211:L214"/>
    <mergeCell ref="M211:M214"/>
    <mergeCell ref="O211:O214"/>
    <mergeCell ref="X211:X214"/>
    <mergeCell ref="L215:L217"/>
    <mergeCell ref="M215:M217"/>
    <mergeCell ref="O215:O217"/>
    <mergeCell ref="X215:X217"/>
    <mergeCell ref="N215:N217"/>
    <mergeCell ref="N211:N214"/>
    <mergeCell ref="O207:O208"/>
    <mergeCell ref="X254:X259"/>
    <mergeCell ref="L241:L242"/>
    <mergeCell ref="M241:M242"/>
    <mergeCell ref="O241:O242"/>
    <mergeCell ref="L243:L245"/>
    <mergeCell ref="L246:L249"/>
    <mergeCell ref="L251:L253"/>
    <mergeCell ref="M251:M253"/>
    <mergeCell ref="O251:O253"/>
    <mergeCell ref="N251:N253"/>
    <mergeCell ref="N241:N242"/>
    <mergeCell ref="X251:X253"/>
    <mergeCell ref="L262:L263"/>
    <mergeCell ref="L264:L265"/>
    <mergeCell ref="O264:O265"/>
    <mergeCell ref="M219:M226"/>
    <mergeCell ref="O219:O226"/>
    <mergeCell ref="X219:X226"/>
    <mergeCell ref="L228:L230"/>
    <mergeCell ref="L231:L232"/>
    <mergeCell ref="L233:L234"/>
    <mergeCell ref="M233:M234"/>
    <mergeCell ref="O233:O234"/>
    <mergeCell ref="N233:N234"/>
    <mergeCell ref="N219:N226"/>
    <mergeCell ref="X233:X234"/>
    <mergeCell ref="X236:X239"/>
    <mergeCell ref="X241:X250"/>
    <mergeCell ref="X264:X265"/>
    <mergeCell ref="N264:N265"/>
    <mergeCell ref="M264:M265"/>
    <mergeCell ref="L308:L311"/>
    <mergeCell ref="L312:L315"/>
    <mergeCell ref="O312:O315"/>
    <mergeCell ref="X312:X325"/>
    <mergeCell ref="L322:L323"/>
    <mergeCell ref="L324:L325"/>
    <mergeCell ref="N312:N315"/>
    <mergeCell ref="L333:L335"/>
    <mergeCell ref="M333:M335"/>
    <mergeCell ref="O333:O335"/>
    <mergeCell ref="X333:X335"/>
    <mergeCell ref="L337:L339"/>
    <mergeCell ref="N347:N349"/>
    <mergeCell ref="N333:N335"/>
    <mergeCell ref="L326:L327"/>
    <mergeCell ref="L330:L332"/>
    <mergeCell ref="M330:M332"/>
    <mergeCell ref="O330:O332"/>
    <mergeCell ref="X330:X332"/>
    <mergeCell ref="N330:N332"/>
    <mergeCell ref="L328:L329"/>
    <mergeCell ref="L340:L341"/>
    <mergeCell ref="L375:L376"/>
    <mergeCell ref="N364:N365"/>
    <mergeCell ref="N359:N361"/>
    <mergeCell ref="X364:X382"/>
    <mergeCell ref="L381:L382"/>
    <mergeCell ref="M379:M380"/>
    <mergeCell ref="L379:L380"/>
    <mergeCell ref="L347:L349"/>
    <mergeCell ref="M347:M349"/>
    <mergeCell ref="O347:O349"/>
    <mergeCell ref="X347:X349"/>
    <mergeCell ref="L350:L352"/>
    <mergeCell ref="M350:M352"/>
    <mergeCell ref="L359:L361"/>
    <mergeCell ref="M359:M361"/>
    <mergeCell ref="O359:O361"/>
    <mergeCell ref="X359:X363"/>
    <mergeCell ref="L364:L365"/>
    <mergeCell ref="M364:M365"/>
    <mergeCell ref="O364:O365"/>
    <mergeCell ref="L369:L370"/>
    <mergeCell ref="L373:L374"/>
    <mergeCell ref="L353:L354"/>
    <mergeCell ref="L377:L378"/>
    <mergeCell ref="M377:M378"/>
    <mergeCell ref="L383:L387"/>
    <mergeCell ref="M383:M390"/>
    <mergeCell ref="O383:O390"/>
    <mergeCell ref="X383:X390"/>
    <mergeCell ref="L388:L390"/>
    <mergeCell ref="N383:N390"/>
    <mergeCell ref="L403:L405"/>
    <mergeCell ref="M403:M407"/>
    <mergeCell ref="O403:O407"/>
    <mergeCell ref="X403:X407"/>
    <mergeCell ref="L409:L410"/>
    <mergeCell ref="M409:M410"/>
    <mergeCell ref="L392:L393"/>
    <mergeCell ref="L396:L398"/>
    <mergeCell ref="M396:M398"/>
    <mergeCell ref="L400:L402"/>
    <mergeCell ref="M400:M402"/>
    <mergeCell ref="O400:O402"/>
    <mergeCell ref="X400:X402"/>
    <mergeCell ref="N403:N407"/>
    <mergeCell ref="N400:N402"/>
    <mergeCell ref="X396:X399"/>
    <mergeCell ref="X409:X411"/>
    <mergeCell ref="L420:L421"/>
    <mergeCell ref="M420:M421"/>
    <mergeCell ref="O420:O421"/>
    <mergeCell ref="X420:X421"/>
    <mergeCell ref="L424:L428"/>
    <mergeCell ref="L412:L414"/>
    <mergeCell ref="M412:M414"/>
    <mergeCell ref="O412:O414"/>
    <mergeCell ref="X412:X414"/>
    <mergeCell ref="L416:L419"/>
    <mergeCell ref="N420:N421"/>
    <mergeCell ref="N412:N414"/>
    <mergeCell ref="X436:X441"/>
    <mergeCell ref="L437:L438"/>
    <mergeCell ref="M437:M438"/>
    <mergeCell ref="O437:O438"/>
    <mergeCell ref="L439:L441"/>
    <mergeCell ref="M439:M441"/>
    <mergeCell ref="O439:O441"/>
    <mergeCell ref="L429:L430"/>
    <mergeCell ref="M429:M430"/>
    <mergeCell ref="O429:O430"/>
    <mergeCell ref="X429:X430"/>
    <mergeCell ref="L431:L432"/>
    <mergeCell ref="M431:M432"/>
    <mergeCell ref="N439:N441"/>
    <mergeCell ref="N437:N438"/>
    <mergeCell ref="N429:N430"/>
    <mergeCell ref="X422:X423"/>
    <mergeCell ref="X431:X434"/>
    <mergeCell ref="L433:L434"/>
    <mergeCell ref="L458:L459"/>
    <mergeCell ref="M458:M459"/>
    <mergeCell ref="O458:O459"/>
    <mergeCell ref="X458:X459"/>
    <mergeCell ref="L460:L461"/>
    <mergeCell ref="M460:M462"/>
    <mergeCell ref="O460:O462"/>
    <mergeCell ref="X460:X462"/>
    <mergeCell ref="N465:N466"/>
    <mergeCell ref="N463:N464"/>
    <mergeCell ref="N460:N462"/>
    <mergeCell ref="N458:N459"/>
    <mergeCell ref="L475:L479"/>
    <mergeCell ref="L442:L443"/>
    <mergeCell ref="L445:L448"/>
    <mergeCell ref="M445:M448"/>
    <mergeCell ref="O445:O448"/>
    <mergeCell ref="X445:X455"/>
    <mergeCell ref="L449:L452"/>
    <mergeCell ref="M449:M452"/>
    <mergeCell ref="O449:O452"/>
    <mergeCell ref="L453:L455"/>
    <mergeCell ref="M453:M455"/>
    <mergeCell ref="O453:O455"/>
    <mergeCell ref="N453:N455"/>
    <mergeCell ref="N449:N452"/>
    <mergeCell ref="N445:N448"/>
    <mergeCell ref="L463:L464"/>
    <mergeCell ref="M463:M464"/>
    <mergeCell ref="O463:O464"/>
    <mergeCell ref="X463:X464"/>
    <mergeCell ref="L467:L470"/>
    <mergeCell ref="M467:M470"/>
    <mergeCell ref="O467:O470"/>
    <mergeCell ref="X467:X470"/>
    <mergeCell ref="L471:L473"/>
    <mergeCell ref="M471:M474"/>
    <mergeCell ref="X471:X474"/>
    <mergeCell ref="N495:N497"/>
    <mergeCell ref="N467:N470"/>
    <mergeCell ref="L499:L502"/>
    <mergeCell ref="M499:M502"/>
    <mergeCell ref="O499:O502"/>
    <mergeCell ref="X499:X502"/>
    <mergeCell ref="L480:L482"/>
    <mergeCell ref="L493:L494"/>
    <mergeCell ref="X483:X494"/>
    <mergeCell ref="L465:L466"/>
    <mergeCell ref="M465:M466"/>
    <mergeCell ref="O465:O466"/>
    <mergeCell ref="X465:X466"/>
    <mergeCell ref="X529:X531"/>
    <mergeCell ref="L509:L510"/>
    <mergeCell ref="M509:M510"/>
    <mergeCell ref="O509:O510"/>
    <mergeCell ref="X509:X510"/>
    <mergeCell ref="L512:L517"/>
    <mergeCell ref="M512:M524"/>
    <mergeCell ref="O512:O524"/>
    <mergeCell ref="X513:X524"/>
    <mergeCell ref="L523:L524"/>
    <mergeCell ref="N529:N531"/>
    <mergeCell ref="N512:N524"/>
    <mergeCell ref="N509:N510"/>
    <mergeCell ref="L527:L528"/>
    <mergeCell ref="X525:X528"/>
    <mergeCell ref="M483:M492"/>
    <mergeCell ref="L487:L488"/>
    <mergeCell ref="L495:L497"/>
    <mergeCell ref="M495:M497"/>
    <mergeCell ref="O495:O497"/>
    <mergeCell ref="X495:X497"/>
    <mergeCell ref="X566:X567"/>
    <mergeCell ref="O584:O586"/>
    <mergeCell ref="L545:L548"/>
    <mergeCell ref="M545:M548"/>
    <mergeCell ref="O545:O548"/>
    <mergeCell ref="L549:L550"/>
    <mergeCell ref="X549:X550"/>
    <mergeCell ref="L532:L535"/>
    <mergeCell ref="M532:M535"/>
    <mergeCell ref="X532:X535"/>
    <mergeCell ref="L536:L537"/>
    <mergeCell ref="L538:L539"/>
    <mergeCell ref="M538:M539"/>
    <mergeCell ref="O538:O539"/>
    <mergeCell ref="X538:X539"/>
    <mergeCell ref="N545:N548"/>
    <mergeCell ref="N538:N539"/>
    <mergeCell ref="L559:L563"/>
    <mergeCell ref="M559:M563"/>
    <mergeCell ref="X559:X563"/>
    <mergeCell ref="L542:L543"/>
    <mergeCell ref="M542:M544"/>
    <mergeCell ref="O542:O544"/>
    <mergeCell ref="N542:N544"/>
    <mergeCell ref="M714:M715"/>
    <mergeCell ref="M716:M717"/>
    <mergeCell ref="N712:N717"/>
    <mergeCell ref="L625:L626"/>
    <mergeCell ref="M625:M626"/>
    <mergeCell ref="O625:O626"/>
    <mergeCell ref="X629:X635"/>
    <mergeCell ref="O641:O650"/>
    <mergeCell ref="X642:X657"/>
    <mergeCell ref="L649:L650"/>
    <mergeCell ref="L652:L653"/>
    <mergeCell ref="M652:M653"/>
    <mergeCell ref="L654:L655"/>
    <mergeCell ref="M654:M655"/>
    <mergeCell ref="L656:L657"/>
    <mergeCell ref="M656:M657"/>
    <mergeCell ref="N641:N650"/>
    <mergeCell ref="N625:N626"/>
    <mergeCell ref="X674:X675"/>
    <mergeCell ref="L676:L677"/>
    <mergeCell ref="M676:M678"/>
    <mergeCell ref="O676:O678"/>
    <mergeCell ref="X677:X678"/>
    <mergeCell ref="L658:L659"/>
    <mergeCell ref="L661:L662"/>
    <mergeCell ref="L673:L674"/>
    <mergeCell ref="M673:M675"/>
    <mergeCell ref="O673:O675"/>
    <mergeCell ref="N676:N678"/>
    <mergeCell ref="N673:N675"/>
    <mergeCell ref="O688:O692"/>
    <mergeCell ref="O693:O698"/>
    <mergeCell ref="Y201:Y203"/>
    <mergeCell ref="Y164:Y166"/>
    <mergeCell ref="Y167:Y168"/>
    <mergeCell ref="X848:X851"/>
    <mergeCell ref="Y169:Y170"/>
    <mergeCell ref="Y171:Y172"/>
    <mergeCell ref="X839:X840"/>
    <mergeCell ref="X769:X774"/>
    <mergeCell ref="Y173:Y179"/>
    <mergeCell ref="M817:M824"/>
    <mergeCell ref="O817:O824"/>
    <mergeCell ref="X817:X824"/>
    <mergeCell ref="L823:L824"/>
    <mergeCell ref="L829:L830"/>
    <mergeCell ref="L831:L832"/>
    <mergeCell ref="L833:L834"/>
    <mergeCell ref="L835:L836"/>
    <mergeCell ref="L837:L838"/>
    <mergeCell ref="M829:M830"/>
    <mergeCell ref="M831:M832"/>
    <mergeCell ref="M833:M834"/>
    <mergeCell ref="M835:M836"/>
    <mergeCell ref="M837:M838"/>
    <mergeCell ref="L742:L748"/>
    <mergeCell ref="M742:M748"/>
    <mergeCell ref="O742:O748"/>
    <mergeCell ref="X742:X748"/>
    <mergeCell ref="L731:L732"/>
    <mergeCell ref="Y312:Y325"/>
    <mergeCell ref="Y293:Y294"/>
    <mergeCell ref="Y289:Y291"/>
    <mergeCell ref="Y282:Y285"/>
    <mergeCell ref="Y93:Y104"/>
    <mergeCell ref="Y105:Y111"/>
    <mergeCell ref="Y112:Y114"/>
    <mergeCell ref="N51:N54"/>
    <mergeCell ref="Y51:Y54"/>
    <mergeCell ref="Y56:Y60"/>
    <mergeCell ref="X80:X92"/>
    <mergeCell ref="Y144:Y146"/>
    <mergeCell ref="Y147:Y148"/>
    <mergeCell ref="Y151:Y155"/>
    <mergeCell ref="Y157:Y161"/>
    <mergeCell ref="Y162:Y163"/>
    <mergeCell ref="Y115:Y121"/>
    <mergeCell ref="Y122:Y126"/>
    <mergeCell ref="Y132:Y135"/>
    <mergeCell ref="Y136:Y141"/>
    <mergeCell ref="Y142:Y143"/>
    <mergeCell ref="X122:X126"/>
    <mergeCell ref="X132:X135"/>
    <mergeCell ref="N122:N123"/>
    <mergeCell ref="O115:O118"/>
    <mergeCell ref="X115:X121"/>
    <mergeCell ref="N115:N118"/>
    <mergeCell ref="O136:O137"/>
    <mergeCell ref="X136:X141"/>
    <mergeCell ref="Y149:Y150"/>
    <mergeCell ref="Y129:Y131"/>
    <mergeCell ref="Y127:Y128"/>
    <mergeCell ref="Y61:Y79"/>
    <mergeCell ref="N68:N69"/>
    <mergeCell ref="O68:O69"/>
    <mergeCell ref="O75:O79"/>
    <mergeCell ref="Y271:Y281"/>
    <mergeCell ref="Y266:Y268"/>
    <mergeCell ref="Y264:Y265"/>
    <mergeCell ref="Y590:Y591"/>
    <mergeCell ref="Y699:Y700"/>
    <mergeCell ref="L848:L851"/>
    <mergeCell ref="M848:M851"/>
    <mergeCell ref="L733:L735"/>
    <mergeCell ref="M733:M741"/>
    <mergeCell ref="O733:O741"/>
    <mergeCell ref="L755:L757"/>
    <mergeCell ref="M755:M768"/>
    <mergeCell ref="W755:W756"/>
    <mergeCell ref="X755:X761"/>
    <mergeCell ref="W762:W763"/>
    <mergeCell ref="X762:X768"/>
    <mergeCell ref="L764:L766"/>
    <mergeCell ref="L767:L768"/>
    <mergeCell ref="L749:L750"/>
    <mergeCell ref="M749:M750"/>
    <mergeCell ref="O749:O750"/>
    <mergeCell ref="Y642:Y657"/>
    <mergeCell ref="L751:L754"/>
    <mergeCell ref="M751:M754"/>
    <mergeCell ref="O751:O754"/>
    <mergeCell ref="L699:L700"/>
    <mergeCell ref="M699:M700"/>
    <mergeCell ref="O699:O700"/>
    <mergeCell ref="X699:X700"/>
    <mergeCell ref="Y509:Y510"/>
    <mergeCell ref="Y460:Y462"/>
    <mergeCell ref="Y463:Y464"/>
    <mergeCell ref="Y465:Y466"/>
    <mergeCell ref="Y467:Y470"/>
    <mergeCell ref="Y471:Y474"/>
    <mergeCell ref="Y422:Y423"/>
    <mergeCell ref="Y431:Y434"/>
    <mergeCell ref="Y483:Y494"/>
    <mergeCell ref="Y409:Y411"/>
    <mergeCell ref="Y330:Y332"/>
    <mergeCell ref="Y333:Y335"/>
    <mergeCell ref="Y347:Y349"/>
    <mergeCell ref="Y364:Y382"/>
    <mergeCell ref="Y302:Y303"/>
    <mergeCell ref="Y300:Y301"/>
    <mergeCell ref="Y298:Y299"/>
    <mergeCell ref="L886:L891"/>
    <mergeCell ref="M886:M891"/>
    <mergeCell ref="X886:X892"/>
    <mergeCell ref="Y886:Y892"/>
    <mergeCell ref="L300:L301"/>
    <mergeCell ref="L302:L303"/>
    <mergeCell ref="L304:L306"/>
    <mergeCell ref="M843:M847"/>
    <mergeCell ref="L809:L814"/>
    <mergeCell ref="L794:L798"/>
    <mergeCell ref="M794:M798"/>
    <mergeCell ref="O794:O798"/>
    <mergeCell ref="L799:L807"/>
    <mergeCell ref="L862:L863"/>
    <mergeCell ref="M862:M863"/>
    <mergeCell ref="L868:L872"/>
    <mergeCell ref="M868:M870"/>
    <mergeCell ref="O868:O872"/>
    <mergeCell ref="L905:L907"/>
    <mergeCell ref="M905:M907"/>
    <mergeCell ref="X905:X907"/>
    <mergeCell ref="Y905:Y907"/>
    <mergeCell ref="Y799:Y808"/>
    <mergeCell ref="Y809:Y815"/>
    <mergeCell ref="Y843:Y847"/>
    <mergeCell ref="Y848:Y851"/>
    <mergeCell ref="Y852:Y853"/>
    <mergeCell ref="Y854:Y855"/>
    <mergeCell ref="Y858:Y861"/>
    <mergeCell ref="Y592:Y593"/>
    <mergeCell ref="Y594:Y595"/>
    <mergeCell ref="Y601:Y615"/>
    <mergeCell ref="Y616:Y624"/>
    <mergeCell ref="Y629:Y635"/>
    <mergeCell ref="X775:X780"/>
    <mergeCell ref="L781:L782"/>
    <mergeCell ref="X781:X786"/>
    <mergeCell ref="X787:X792"/>
    <mergeCell ref="L789:L790"/>
    <mergeCell ref="L791:L792"/>
    <mergeCell ref="L825:L827"/>
    <mergeCell ref="M825:M827"/>
    <mergeCell ref="O825:O827"/>
    <mergeCell ref="L839:L840"/>
    <mergeCell ref="M839:M840"/>
    <mergeCell ref="L817:L821"/>
    <mergeCell ref="L841:L842"/>
    <mergeCell ref="M841:M842"/>
    <mergeCell ref="O841:O842"/>
    <mergeCell ref="L843:L847"/>
    <mergeCell ref="L1865:L1866"/>
    <mergeCell ref="M1865:M1866"/>
    <mergeCell ref="O1865:O1866"/>
    <mergeCell ref="X1865:X1867"/>
    <mergeCell ref="L1868:L1869"/>
    <mergeCell ref="X1870:X1872"/>
    <mergeCell ref="X1873:X1875"/>
    <mergeCell ref="L1876:L1880"/>
    <mergeCell ref="M1876:M1880"/>
    <mergeCell ref="X1876:X1880"/>
    <mergeCell ref="L1881:L1883"/>
    <mergeCell ref="M1881:M1883"/>
    <mergeCell ref="O1881:O1883"/>
    <mergeCell ref="X1881:X1883"/>
    <mergeCell ref="N1881:N1883"/>
    <mergeCell ref="N1865:N1866"/>
    <mergeCell ref="N1859:N1864"/>
    <mergeCell ref="L1859:L1862"/>
    <mergeCell ref="M1859:M1864"/>
    <mergeCell ref="O1859:O1864"/>
    <mergeCell ref="X1859:X1864"/>
    <mergeCell ref="L1863:L1864"/>
    <mergeCell ref="L1888:L1889"/>
    <mergeCell ref="L1890:L1892"/>
    <mergeCell ref="O1890:O1892"/>
    <mergeCell ref="X1890:X1892"/>
    <mergeCell ref="M1891:M1892"/>
    <mergeCell ref="L1893:L1894"/>
    <mergeCell ref="O1893:O1894"/>
    <mergeCell ref="X1893:X1894"/>
    <mergeCell ref="L1895:L1897"/>
    <mergeCell ref="O1895:O1897"/>
    <mergeCell ref="X1895:X1897"/>
    <mergeCell ref="M1896:M1897"/>
    <mergeCell ref="L1898:L1899"/>
    <mergeCell ref="O1898:O1899"/>
    <mergeCell ref="X1898:X1899"/>
    <mergeCell ref="L1900:L1901"/>
    <mergeCell ref="O1900:O1901"/>
    <mergeCell ref="X1900:X1901"/>
    <mergeCell ref="N1900:N1901"/>
    <mergeCell ref="N1898:N1899"/>
    <mergeCell ref="N1895:N1897"/>
    <mergeCell ref="N1893:N1894"/>
    <mergeCell ref="N1890:N1892"/>
    <mergeCell ref="L1905:L1906"/>
    <mergeCell ref="O1905:O1906"/>
    <mergeCell ref="X1905:X1906"/>
    <mergeCell ref="L1907:L1908"/>
    <mergeCell ref="O1907:O1908"/>
    <mergeCell ref="X1907:X1908"/>
    <mergeCell ref="L1909:L1914"/>
    <mergeCell ref="M1909:M1914"/>
    <mergeCell ref="O1909:O1914"/>
    <mergeCell ref="X1909:X1914"/>
    <mergeCell ref="L1916:L1919"/>
    <mergeCell ref="M1916:M1919"/>
    <mergeCell ref="L1920:L1923"/>
    <mergeCell ref="M1920:M1924"/>
    <mergeCell ref="X1920:X1924"/>
    <mergeCell ref="X1925:X1935"/>
    <mergeCell ref="L1929:L1930"/>
    <mergeCell ref="M1929:M1930"/>
    <mergeCell ref="L1933:L1934"/>
    <mergeCell ref="M1933:M1934"/>
    <mergeCell ref="N1909:N1914"/>
    <mergeCell ref="N1907:N1908"/>
    <mergeCell ref="N1905:N1906"/>
    <mergeCell ref="N1916:N1919"/>
    <mergeCell ref="O1916:O1919"/>
    <mergeCell ref="L1936:L1937"/>
    <mergeCell ref="L1939:L1940"/>
    <mergeCell ref="M1939:M1940"/>
    <mergeCell ref="O1939:O1940"/>
    <mergeCell ref="X1939:X1940"/>
    <mergeCell ref="L1941:L1943"/>
    <mergeCell ref="M1941:M1943"/>
    <mergeCell ref="O1941:O1943"/>
    <mergeCell ref="X1941:X1943"/>
    <mergeCell ref="L1944:L1945"/>
    <mergeCell ref="M1944:M1945"/>
    <mergeCell ref="X1944:X1945"/>
    <mergeCell ref="L1946:L1950"/>
    <mergeCell ref="M1946:M1952"/>
    <mergeCell ref="O1946:O1952"/>
    <mergeCell ref="L1951:L1952"/>
    <mergeCell ref="L1953:L1956"/>
    <mergeCell ref="X1953:X1963"/>
    <mergeCell ref="N1946:N1952"/>
    <mergeCell ref="N1941:N1943"/>
    <mergeCell ref="N1939:N1940"/>
    <mergeCell ref="M1968:M1973"/>
    <mergeCell ref="O1968:O1973"/>
    <mergeCell ref="X1968:X1973"/>
    <mergeCell ref="L1974:L1977"/>
    <mergeCell ref="X1974:X1977"/>
    <mergeCell ref="L1978:L1979"/>
    <mergeCell ref="M1978:M1979"/>
    <mergeCell ref="O1978:O1979"/>
    <mergeCell ref="L1980:L1981"/>
    <mergeCell ref="X1980:X1981"/>
    <mergeCell ref="X1983:X1984"/>
    <mergeCell ref="L1985:L1986"/>
    <mergeCell ref="M1985:M1988"/>
    <mergeCell ref="O1985:O1988"/>
    <mergeCell ref="X1985:X1989"/>
    <mergeCell ref="L1987:L1988"/>
    <mergeCell ref="N1985:N1988"/>
    <mergeCell ref="N1978:N1979"/>
    <mergeCell ref="N1968:N1973"/>
    <mergeCell ref="N2026:N2027"/>
    <mergeCell ref="L2036:L2037"/>
    <mergeCell ref="M2036:M2037"/>
    <mergeCell ref="X2036:X2037"/>
    <mergeCell ref="X1990:X1995"/>
    <mergeCell ref="L1999:L2002"/>
    <mergeCell ref="O1999:O2002"/>
    <mergeCell ref="L2003:L2007"/>
    <mergeCell ref="M2003:M2007"/>
    <mergeCell ref="X2003:X2007"/>
    <mergeCell ref="L2009:L2011"/>
    <mergeCell ref="M2009:M2011"/>
    <mergeCell ref="X2009:X2012"/>
    <mergeCell ref="L2013:L2017"/>
    <mergeCell ref="M2013:M2017"/>
    <mergeCell ref="O2013:O2017"/>
    <mergeCell ref="X2013:X2017"/>
    <mergeCell ref="L2024:L2025"/>
    <mergeCell ref="M2024:M2025"/>
    <mergeCell ref="X2024:X2025"/>
    <mergeCell ref="N2013:N2017"/>
    <mergeCell ref="N1999:N2002"/>
    <mergeCell ref="N1990:N1995"/>
    <mergeCell ref="L1996:L1998"/>
    <mergeCell ref="M1996:M1998"/>
    <mergeCell ref="X1996:X1998"/>
    <mergeCell ref="L2018:L2023"/>
    <mergeCell ref="M2018:M2023"/>
    <mergeCell ref="O2018:O2023"/>
    <mergeCell ref="X2018:X2023"/>
    <mergeCell ref="L1990:L1995"/>
    <mergeCell ref="M1990:M1995"/>
    <mergeCell ref="L2030:L2031"/>
    <mergeCell ref="L2032:L2033"/>
    <mergeCell ref="M2032:M2033"/>
    <mergeCell ref="O2032:O2033"/>
    <mergeCell ref="X2032:X2033"/>
    <mergeCell ref="L2034:L2035"/>
    <mergeCell ref="M2034:M2035"/>
    <mergeCell ref="O2034:O2035"/>
    <mergeCell ref="X2034:X2035"/>
    <mergeCell ref="L2042:L2043"/>
    <mergeCell ref="M2042:M2043"/>
    <mergeCell ref="X2042:X2043"/>
    <mergeCell ref="L2044:L2045"/>
    <mergeCell ref="M2044:M2045"/>
    <mergeCell ref="O2044:O2045"/>
    <mergeCell ref="X2044:X2045"/>
    <mergeCell ref="N2044:N2045"/>
    <mergeCell ref="N2034:N2035"/>
    <mergeCell ref="N2032:N2033"/>
    <mergeCell ref="L2077:L2080"/>
    <mergeCell ref="M2077:M2080"/>
    <mergeCell ref="O2077:O2080"/>
    <mergeCell ref="X2077:X2087"/>
    <mergeCell ref="L2081:L2082"/>
    <mergeCell ref="M2081:M2082"/>
    <mergeCell ref="L2083:L2084"/>
    <mergeCell ref="M2083:M2084"/>
    <mergeCell ref="N2064:N2065"/>
    <mergeCell ref="N2077:N2080"/>
    <mergeCell ref="L2073:L2075"/>
    <mergeCell ref="M2073:M2075"/>
    <mergeCell ref="O2073:O2075"/>
    <mergeCell ref="X2073:X2075"/>
    <mergeCell ref="L2046:L2047"/>
    <mergeCell ref="M2046:M2047"/>
    <mergeCell ref="X2046:X2047"/>
    <mergeCell ref="L2048:L2050"/>
    <mergeCell ref="M2048:M2050"/>
    <mergeCell ref="O2048:O2050"/>
    <mergeCell ref="X2048:X2050"/>
    <mergeCell ref="L2051:L2052"/>
    <mergeCell ref="M2051:M2052"/>
    <mergeCell ref="O2051:O2052"/>
    <mergeCell ref="X2051:X2054"/>
    <mergeCell ref="L2055:L2056"/>
    <mergeCell ref="M2055:M2056"/>
    <mergeCell ref="O2055:O2056"/>
    <mergeCell ref="X2055:X2058"/>
    <mergeCell ref="X2059:X2063"/>
    <mergeCell ref="M2060:M2061"/>
    <mergeCell ref="N2051:N2052"/>
    <mergeCell ref="L2090:L2092"/>
    <mergeCell ref="M2090:M2092"/>
    <mergeCell ref="O2090:O2092"/>
    <mergeCell ref="X2090:X2092"/>
    <mergeCell ref="L2093:L2095"/>
    <mergeCell ref="M2093:M2095"/>
    <mergeCell ref="O2093:O2095"/>
    <mergeCell ref="X2093:X2095"/>
    <mergeCell ref="L2174:L2175"/>
    <mergeCell ref="M2174:M2175"/>
    <mergeCell ref="O2174:O2175"/>
    <mergeCell ref="N2174:N2175"/>
    <mergeCell ref="N2093:N2095"/>
    <mergeCell ref="N2090:N2092"/>
    <mergeCell ref="N2088:N2089"/>
    <mergeCell ref="L2096:L2097"/>
    <mergeCell ref="M2096:M2097"/>
    <mergeCell ref="O2096:O2097"/>
    <mergeCell ref="N2096:N2097"/>
    <mergeCell ref="L2109:L2110"/>
    <mergeCell ref="L2111:L2117"/>
    <mergeCell ref="L2118:L2124"/>
    <mergeCell ref="L2125:L2130"/>
    <mergeCell ref="L2131:L2135"/>
    <mergeCell ref="L2136:L2137"/>
    <mergeCell ref="L2138:L2141"/>
    <mergeCell ref="L2098:L2102"/>
    <mergeCell ref="M2098:M2102"/>
    <mergeCell ref="M2172:M2173"/>
    <mergeCell ref="O2172:O2173"/>
    <mergeCell ref="L2088:L2089"/>
    <mergeCell ref="M2088:M2089"/>
    <mergeCell ref="X2176:X2177"/>
    <mergeCell ref="L2178:L2180"/>
    <mergeCell ref="X2178:X2180"/>
    <mergeCell ref="L2184:L2185"/>
    <mergeCell ref="M2184:M2185"/>
    <mergeCell ref="O2184:O2185"/>
    <mergeCell ref="X2184:X2185"/>
    <mergeCell ref="L2186:L2187"/>
    <mergeCell ref="M2186:M2187"/>
    <mergeCell ref="X2186:X2187"/>
    <mergeCell ref="X2190:X2193"/>
    <mergeCell ref="L2191:L2192"/>
    <mergeCell ref="M2191:M2192"/>
    <mergeCell ref="X2194:X2197"/>
    <mergeCell ref="L2196:L2197"/>
    <mergeCell ref="M2196:M2197"/>
    <mergeCell ref="N2184:N2185"/>
    <mergeCell ref="L2181:L2183"/>
    <mergeCell ref="X2198:X2202"/>
    <mergeCell ref="L2201:L2202"/>
    <mergeCell ref="L2204:L2205"/>
    <mergeCell ref="L2206:L2210"/>
    <mergeCell ref="M2206:M2210"/>
    <mergeCell ref="O2206:O2210"/>
    <mergeCell ref="X2206:X2210"/>
    <mergeCell ref="L2211:L2213"/>
    <mergeCell ref="M2211:M2213"/>
    <mergeCell ref="O2211:O2213"/>
    <mergeCell ref="X2211:X2213"/>
    <mergeCell ref="L2227:L2231"/>
    <mergeCell ref="M2249:M2250"/>
    <mergeCell ref="L2251:L2253"/>
    <mergeCell ref="L2254:L2255"/>
    <mergeCell ref="M2254:M2255"/>
    <mergeCell ref="O2238:O2240"/>
    <mergeCell ref="N2238:N2240"/>
    <mergeCell ref="N2243:N2246"/>
    <mergeCell ref="X2227:X2231"/>
    <mergeCell ref="N2227:N2231"/>
    <mergeCell ref="N2211:N2213"/>
    <mergeCell ref="N2206:N2210"/>
    <mergeCell ref="N2198:N2199"/>
    <mergeCell ref="L2214:L2215"/>
    <mergeCell ref="L2216:L2222"/>
    <mergeCell ref="L2223:L2225"/>
    <mergeCell ref="M2216:M2217"/>
    <mergeCell ref="M2223:M2224"/>
    <mergeCell ref="X2232:X2233"/>
    <mergeCell ref="X2223:X2225"/>
    <mergeCell ref="X2236:X2237"/>
    <mergeCell ref="L2309:L2312"/>
    <mergeCell ref="X2309:X2320"/>
    <mergeCell ref="L2305:L2306"/>
    <mergeCell ref="X2305:X2306"/>
    <mergeCell ref="M2309:M2310"/>
    <mergeCell ref="O2309:O2312"/>
    <mergeCell ref="M2311:M2312"/>
    <mergeCell ref="N2309:N2312"/>
    <mergeCell ref="L2322:L2327"/>
    <mergeCell ref="L2328:L2329"/>
    <mergeCell ref="X2264:X2267"/>
    <mergeCell ref="L2270:L2271"/>
    <mergeCell ref="X2270:X2271"/>
    <mergeCell ref="L2272:L2273"/>
    <mergeCell ref="X2272:X2273"/>
    <mergeCell ref="L2279:L2280"/>
    <mergeCell ref="X2279:X2284"/>
    <mergeCell ref="L2283:L2284"/>
    <mergeCell ref="X2275:X2276"/>
    <mergeCell ref="M2275:M2276"/>
    <mergeCell ref="L2275:L2276"/>
    <mergeCell ref="M2328:M2330"/>
    <mergeCell ref="O2328:O2330"/>
    <mergeCell ref="L2303:L2304"/>
    <mergeCell ref="X2303:X2304"/>
    <mergeCell ref="L2257:L2258"/>
    <mergeCell ref="L2259:L2260"/>
    <mergeCell ref="M2259:M2261"/>
    <mergeCell ref="O2259:O2261"/>
    <mergeCell ref="N2247:N2248"/>
    <mergeCell ref="M2251:M2253"/>
    <mergeCell ref="X2247:X2255"/>
    <mergeCell ref="Y2270:Y2271"/>
    <mergeCell ref="Y2272:Y2273"/>
    <mergeCell ref="Y2279:Y2284"/>
    <mergeCell ref="Y2275:Y2276"/>
    <mergeCell ref="Y2285:Y2288"/>
    <mergeCell ref="Y2305:Y2306"/>
    <mergeCell ref="Y2149:Y2171"/>
    <mergeCell ref="Y2109:Y2110"/>
    <mergeCell ref="Y2034:Y2035"/>
    <mergeCell ref="Y2042:Y2043"/>
    <mergeCell ref="Y2044:Y2045"/>
    <mergeCell ref="Y2046:Y2047"/>
    <mergeCell ref="X2285:X2288"/>
    <mergeCell ref="L2289:L2290"/>
    <mergeCell ref="X2289:X2290"/>
    <mergeCell ref="L2291:L2292"/>
    <mergeCell ref="X2291:X2292"/>
    <mergeCell ref="L2294:L2295"/>
    <mergeCell ref="X2294:X2295"/>
    <mergeCell ref="L2296:L2297"/>
    <mergeCell ref="X2296:X2297"/>
    <mergeCell ref="L2299:L2300"/>
    <mergeCell ref="X2299:X2300"/>
    <mergeCell ref="L2301:L2302"/>
    <mergeCell ref="X2301:X2302"/>
    <mergeCell ref="X2444:X2446"/>
    <mergeCell ref="L2379:L2382"/>
    <mergeCell ref="X2379:X2382"/>
    <mergeCell ref="X2383:X2389"/>
    <mergeCell ref="L2390:L2391"/>
    <mergeCell ref="X2390:X2391"/>
    <mergeCell ref="M2371:M2372"/>
    <mergeCell ref="L2438:L2440"/>
    <mergeCell ref="L2442:L2443"/>
    <mergeCell ref="M2442:M2443"/>
    <mergeCell ref="X2442:X2443"/>
    <mergeCell ref="X2418:X2419"/>
    <mergeCell ref="M2352:M2354"/>
    <mergeCell ref="L2357:L2359"/>
    <mergeCell ref="L2360:L2361"/>
    <mergeCell ref="L2363:L2364"/>
    <mergeCell ref="L2399:L2400"/>
    <mergeCell ref="M2401:M2402"/>
    <mergeCell ref="L2393:L2394"/>
    <mergeCell ref="L2401:L2405"/>
    <mergeCell ref="L2365:L2366"/>
    <mergeCell ref="L2368:L2370"/>
    <mergeCell ref="L2371:L2372"/>
    <mergeCell ref="L2373:L2375"/>
    <mergeCell ref="M2373:M2376"/>
    <mergeCell ref="O2373:O2376"/>
    <mergeCell ref="L2377:L2378"/>
    <mergeCell ref="M2377:M2378"/>
    <mergeCell ref="X2377:X2378"/>
    <mergeCell ref="L2355:L2356"/>
    <mergeCell ref="X2355:X2356"/>
    <mergeCell ref="X2365:X2366"/>
    <mergeCell ref="L2331:L2333"/>
    <mergeCell ref="M2331:M2333"/>
    <mergeCell ref="X2331:X2333"/>
    <mergeCell ref="L2334:L2336"/>
    <mergeCell ref="M2334:M2336"/>
    <mergeCell ref="X2334:X2336"/>
    <mergeCell ref="L2337:L2338"/>
    <mergeCell ref="M2337:M2338"/>
    <mergeCell ref="X2337:X2338"/>
    <mergeCell ref="L2340:L2341"/>
    <mergeCell ref="X2340:X2341"/>
    <mergeCell ref="L2344:L2345"/>
    <mergeCell ref="X2344:X2345"/>
    <mergeCell ref="X2352:X2354"/>
    <mergeCell ref="X2357:X2359"/>
    <mergeCell ref="X2360:X2361"/>
    <mergeCell ref="X2363:X2364"/>
    <mergeCell ref="X2368:X2370"/>
    <mergeCell ref="X2371:X2372"/>
    <mergeCell ref="L2346:L2348"/>
    <mergeCell ref="M2346:M2349"/>
    <mergeCell ref="O2346:O2349"/>
    <mergeCell ref="L2350:L2351"/>
    <mergeCell ref="M2350:M2351"/>
    <mergeCell ref="X2350:X2351"/>
    <mergeCell ref="L2352:L2354"/>
    <mergeCell ref="Y2048:Y2050"/>
    <mergeCell ref="Y2051:Y2054"/>
    <mergeCell ref="Y2055:Y2058"/>
    <mergeCell ref="Y2059:Y2063"/>
    <mergeCell ref="Y2066:Y2067"/>
    <mergeCell ref="Y2068:Y2069"/>
    <mergeCell ref="Y2070:Y2072"/>
    <mergeCell ref="Y2077:Y2087"/>
    <mergeCell ref="Y2088:Y2089"/>
    <mergeCell ref="Y2090:Y2092"/>
    <mergeCell ref="Y2093:Y2095"/>
    <mergeCell ref="O2088:O2089"/>
    <mergeCell ref="L2064:L2065"/>
    <mergeCell ref="M2064:M2065"/>
    <mergeCell ref="O2064:O2065"/>
    <mergeCell ref="L2066:L2067"/>
    <mergeCell ref="Y2206:Y2210"/>
    <mergeCell ref="Y2232:Y2233"/>
    <mergeCell ref="Y2264:Y2267"/>
    <mergeCell ref="Y2352:Y2354"/>
    <mergeCell ref="N2259:N2261"/>
    <mergeCell ref="N2232:N2233"/>
    <mergeCell ref="L2236:L2237"/>
    <mergeCell ref="L2238:L2240"/>
    <mergeCell ref="M2238:M2240"/>
    <mergeCell ref="X858:X861"/>
    <mergeCell ref="X733:X741"/>
    <mergeCell ref="Y755:Y761"/>
    <mergeCell ref="Y762:Y768"/>
    <mergeCell ref="Y769:Y774"/>
    <mergeCell ref="Y862:Y863"/>
    <mergeCell ref="Y1968:Y1973"/>
    <mergeCell ref="Y1974:Y1977"/>
    <mergeCell ref="Y1980:Y1981"/>
    <mergeCell ref="Y1983:Y1984"/>
    <mergeCell ref="Y1985:Y1989"/>
    <mergeCell ref="Y1990:Y1995"/>
    <mergeCell ref="X864:X866"/>
    <mergeCell ref="X998:X999"/>
    <mergeCell ref="X1034:X1045"/>
    <mergeCell ref="X1046:X1048"/>
    <mergeCell ref="X1049:X1050"/>
    <mergeCell ref="X1052:X1057"/>
    <mergeCell ref="X1059:X1060"/>
    <mergeCell ref="X1061:X1064"/>
    <mergeCell ref="X1065:X1068"/>
    <mergeCell ref="X1070:X1076"/>
    <mergeCell ref="X1086:X1095"/>
    <mergeCell ref="X1096:X1104"/>
    <mergeCell ref="X1106:X1111"/>
    <mergeCell ref="X1112:X1118"/>
    <mergeCell ref="X1119:X1123"/>
    <mergeCell ref="X1125:X1130"/>
    <mergeCell ref="X868:X882"/>
    <mergeCell ref="Y1859:Y1864"/>
    <mergeCell ref="Y1865:Y1867"/>
    <mergeCell ref="Y1870:Y1872"/>
    <mergeCell ref="Z843:Z847"/>
    <mergeCell ref="Z848:Z851"/>
    <mergeCell ref="Z852:Z853"/>
    <mergeCell ref="Z854:Z855"/>
    <mergeCell ref="Z858:Z861"/>
    <mergeCell ref="Z862:Z863"/>
    <mergeCell ref="Z799:Z808"/>
    <mergeCell ref="Y733:Y741"/>
    <mergeCell ref="Y2447:Y2449"/>
    <mergeCell ref="N2373:N2376"/>
    <mergeCell ref="N2346:N2349"/>
    <mergeCell ref="N2328:N2330"/>
    <mergeCell ref="Y2289:Y2290"/>
    <mergeCell ref="Y2291:Y2292"/>
    <mergeCell ref="Y2294:Y2295"/>
    <mergeCell ref="Y2296:Y2297"/>
    <mergeCell ref="Y2299:Y2300"/>
    <mergeCell ref="Y2301:Y2302"/>
    <mergeCell ref="Y2303:Y2304"/>
    <mergeCell ref="Y2309:Y2320"/>
    <mergeCell ref="Y2331:Y2333"/>
    <mergeCell ref="Y2334:Y2336"/>
    <mergeCell ref="Y2337:Y2338"/>
    <mergeCell ref="Y2340:Y2341"/>
    <mergeCell ref="Y2344:Y2345"/>
    <mergeCell ref="Y2350:Y2351"/>
    <mergeCell ref="Y1925:Y1935"/>
    <mergeCell ref="Y1939:Y1940"/>
    <mergeCell ref="Y1941:Y1943"/>
    <mergeCell ref="Y1944:Y1945"/>
    <mergeCell ref="Y1953:Y1963"/>
    <mergeCell ref="Y1964:Y1967"/>
    <mergeCell ref="Y674:Y675"/>
    <mergeCell ref="Y677:Y678"/>
    <mergeCell ref="Y679:Y684"/>
    <mergeCell ref="N794:N798"/>
    <mergeCell ref="N841:N842"/>
    <mergeCell ref="N825:N827"/>
    <mergeCell ref="N817:N824"/>
    <mergeCell ref="N751:N754"/>
    <mergeCell ref="N749:N750"/>
    <mergeCell ref="N742:N748"/>
    <mergeCell ref="N733:N741"/>
    <mergeCell ref="Y775:Y780"/>
    <mergeCell ref="Y781:Y786"/>
    <mergeCell ref="Y787:Y792"/>
    <mergeCell ref="Y817:Y824"/>
    <mergeCell ref="Y839:Y840"/>
    <mergeCell ref="Y742:Y748"/>
    <mergeCell ref="Y749:Y750"/>
    <mergeCell ref="Y837:Y838"/>
    <mergeCell ref="Y835:Y836"/>
    <mergeCell ref="Y833:Y834"/>
    <mergeCell ref="Y831:Y832"/>
    <mergeCell ref="Y829:Y830"/>
    <mergeCell ref="Y702:Y710"/>
    <mergeCell ref="Y693:Y698"/>
    <mergeCell ref="Y688:Y692"/>
    <mergeCell ref="O679:O684"/>
    <mergeCell ref="X679:X684"/>
    <mergeCell ref="N699:N700"/>
    <mergeCell ref="N679:N684"/>
    <mergeCell ref="L911:L915"/>
    <mergeCell ref="M911:M915"/>
    <mergeCell ref="L1000:L1002"/>
    <mergeCell ref="M1000:M1002"/>
    <mergeCell ref="X1000:X1002"/>
    <mergeCell ref="Y1000:Y1002"/>
    <mergeCell ref="Z1000:Z1002"/>
    <mergeCell ref="L1003:L1005"/>
    <mergeCell ref="M1003:M1005"/>
    <mergeCell ref="M1007:M1010"/>
    <mergeCell ref="L1007:L1010"/>
    <mergeCell ref="X1007:X1010"/>
    <mergeCell ref="Y1007:Y1010"/>
    <mergeCell ref="Z1007:Z1010"/>
    <mergeCell ref="L991:L997"/>
    <mergeCell ref="M991:M997"/>
    <mergeCell ref="X991:X997"/>
    <mergeCell ref="L998:L999"/>
    <mergeCell ref="M998:M999"/>
    <mergeCell ref="L969:L970"/>
    <mergeCell ref="X969:X970"/>
    <mergeCell ref="L973:L975"/>
    <mergeCell ref="X973:X975"/>
    <mergeCell ref="L976:L977"/>
    <mergeCell ref="X976:X977"/>
    <mergeCell ref="L978:L980"/>
    <mergeCell ref="X978:X980"/>
    <mergeCell ref="M981:M990"/>
    <mergeCell ref="X981:X990"/>
    <mergeCell ref="Y969:Y970"/>
    <mergeCell ref="L966:L968"/>
    <mergeCell ref="X966:X968"/>
    <mergeCell ref="N688:N692"/>
    <mergeCell ref="N693:N698"/>
    <mergeCell ref="M266:M268"/>
    <mergeCell ref="M271:M273"/>
    <mergeCell ref="M282:M284"/>
    <mergeCell ref="M289:M291"/>
    <mergeCell ref="M293:M294"/>
    <mergeCell ref="M298:M299"/>
    <mergeCell ref="M300:M301"/>
    <mergeCell ref="M302:M303"/>
    <mergeCell ref="M304:M306"/>
    <mergeCell ref="L207:L208"/>
    <mergeCell ref="M207:M208"/>
    <mergeCell ref="L187:L188"/>
    <mergeCell ref="L189:L192"/>
    <mergeCell ref="L588:L589"/>
    <mergeCell ref="M588:M595"/>
    <mergeCell ref="L668:L672"/>
    <mergeCell ref="L614:L615"/>
    <mergeCell ref="N616:N617"/>
    <mergeCell ref="N601:N615"/>
    <mergeCell ref="L598:L600"/>
    <mergeCell ref="M598:M600"/>
    <mergeCell ref="M564:M565"/>
    <mergeCell ref="L552:L554"/>
    <mergeCell ref="L555:L557"/>
    <mergeCell ref="M555:M557"/>
    <mergeCell ref="N564:N565"/>
    <mergeCell ref="N555:N557"/>
    <mergeCell ref="L577:L579"/>
    <mergeCell ref="M577:M583"/>
    <mergeCell ref="L581:L583"/>
    <mergeCell ref="L616:L617"/>
    <mergeCell ref="M616:M617"/>
    <mergeCell ref="O616:O617"/>
    <mergeCell ref="L618:L620"/>
    <mergeCell ref="L622:L624"/>
    <mergeCell ref="N266:N268"/>
    <mergeCell ref="N282:N284"/>
    <mergeCell ref="N289:N291"/>
    <mergeCell ref="N293:N294"/>
    <mergeCell ref="N298:N299"/>
    <mergeCell ref="N300:N301"/>
    <mergeCell ref="N302:N303"/>
    <mergeCell ref="N304:N306"/>
    <mergeCell ref="L584:L585"/>
    <mergeCell ref="M584:M586"/>
    <mergeCell ref="L564:L565"/>
    <mergeCell ref="L115:L118"/>
    <mergeCell ref="L136:L137"/>
    <mergeCell ref="L142:L143"/>
    <mergeCell ref="O564:O565"/>
    <mergeCell ref="O555:O557"/>
    <mergeCell ref="O577:O583"/>
    <mergeCell ref="L569:L570"/>
    <mergeCell ref="L571:L572"/>
    <mergeCell ref="M571:M576"/>
    <mergeCell ref="O571:O576"/>
    <mergeCell ref="L574:L576"/>
    <mergeCell ref="N577:N583"/>
    <mergeCell ref="N571:N576"/>
    <mergeCell ref="L566:L567"/>
    <mergeCell ref="L504:L506"/>
    <mergeCell ref="M504:M506"/>
    <mergeCell ref="O83:O84"/>
    <mergeCell ref="O189:O193"/>
    <mergeCell ref="O173:O174"/>
    <mergeCell ref="N162:N163"/>
    <mergeCell ref="O171:O172"/>
    <mergeCell ref="O122:O123"/>
    <mergeCell ref="O112:O114"/>
    <mergeCell ref="O266:O268"/>
    <mergeCell ref="O282:O284"/>
    <mergeCell ref="O289:O291"/>
    <mergeCell ref="O293:O294"/>
    <mergeCell ref="O298:O299"/>
    <mergeCell ref="O300:O301"/>
    <mergeCell ref="O302:O303"/>
    <mergeCell ref="O304:O306"/>
    <mergeCell ref="L601:L606"/>
    <mergeCell ref="M601:M615"/>
    <mergeCell ref="O601:O615"/>
    <mergeCell ref="L607:L610"/>
    <mergeCell ref="L612:L613"/>
    <mergeCell ref="O588:O595"/>
    <mergeCell ref="L592:L593"/>
    <mergeCell ref="N588:N595"/>
    <mergeCell ref="N584:N586"/>
    <mergeCell ref="L507:L508"/>
    <mergeCell ref="M507:M508"/>
    <mergeCell ref="N499:N502"/>
    <mergeCell ref="L525:L526"/>
    <mergeCell ref="M525:M526"/>
    <mergeCell ref="L529:L530"/>
    <mergeCell ref="M529:M531"/>
    <mergeCell ref="O529:O531"/>
    <mergeCell ref="L873:L874"/>
    <mergeCell ref="M873:M874"/>
    <mergeCell ref="L122:L123"/>
    <mergeCell ref="L112:L114"/>
    <mergeCell ref="M112:M114"/>
    <mergeCell ref="L287:L288"/>
    <mergeCell ref="L289:L291"/>
    <mergeCell ref="L293:L294"/>
    <mergeCell ref="L295:L297"/>
    <mergeCell ref="L298:L299"/>
    <mergeCell ref="L266:L268"/>
    <mergeCell ref="L271:L274"/>
    <mergeCell ref="L275:L281"/>
    <mergeCell ref="L282:L285"/>
    <mergeCell ref="L132:L133"/>
    <mergeCell ref="L134:L135"/>
    <mergeCell ref="L875:L878"/>
    <mergeCell ref="M875:M878"/>
    <mergeCell ref="L679:L682"/>
    <mergeCell ref="M679:M684"/>
    <mergeCell ref="L686:L687"/>
    <mergeCell ref="L712:L713"/>
    <mergeCell ref="L718:L720"/>
    <mergeCell ref="L721:L722"/>
    <mergeCell ref="L702:L704"/>
    <mergeCell ref="L705:L706"/>
    <mergeCell ref="L688:L692"/>
    <mergeCell ref="M688:M692"/>
    <mergeCell ref="L693:L698"/>
    <mergeCell ref="M693:M698"/>
    <mergeCell ref="L709:L710"/>
    <mergeCell ref="M712:M713"/>
    <mergeCell ref="N868:N872"/>
    <mergeCell ref="O702:O704"/>
    <mergeCell ref="M702:M704"/>
    <mergeCell ref="L1034:L1035"/>
    <mergeCell ref="M1034:M1035"/>
    <mergeCell ref="L1037:L1042"/>
    <mergeCell ref="L1043:L1045"/>
    <mergeCell ref="L1046:L1047"/>
    <mergeCell ref="M1046:M1047"/>
    <mergeCell ref="X911:X915"/>
    <mergeCell ref="X852:X853"/>
    <mergeCell ref="X843:X847"/>
    <mergeCell ref="W809:W810"/>
    <mergeCell ref="X809:X815"/>
    <mergeCell ref="X799:X808"/>
    <mergeCell ref="X862:X863"/>
    <mergeCell ref="L854:L855"/>
    <mergeCell ref="M854:M855"/>
    <mergeCell ref="X854:X855"/>
    <mergeCell ref="L858:L861"/>
    <mergeCell ref="M858:M861"/>
    <mergeCell ref="L769:L776"/>
    <mergeCell ref="M769:M792"/>
    <mergeCell ref="N702:N704"/>
    <mergeCell ref="L864:L866"/>
    <mergeCell ref="M864:M866"/>
    <mergeCell ref="L852:L853"/>
    <mergeCell ref="M852:M853"/>
    <mergeCell ref="X942:X943"/>
    <mergeCell ref="X908:X909"/>
    <mergeCell ref="X933:X935"/>
    <mergeCell ref="X936:X937"/>
    <mergeCell ref="L1070:L1076"/>
    <mergeCell ref="M1070:M1075"/>
    <mergeCell ref="L1077:L1084"/>
    <mergeCell ref="N1065:N1067"/>
    <mergeCell ref="N1061:N1063"/>
    <mergeCell ref="N1059:N1060"/>
    <mergeCell ref="N1052:N1057"/>
    <mergeCell ref="L1086:L1090"/>
    <mergeCell ref="M1086:M1090"/>
    <mergeCell ref="O1086:O1090"/>
    <mergeCell ref="L1094:L1095"/>
    <mergeCell ref="L1096:L1104"/>
    <mergeCell ref="L1106:L1113"/>
    <mergeCell ref="L1119:L1123"/>
    <mergeCell ref="M1119:M1123"/>
    <mergeCell ref="O1119:O1123"/>
    <mergeCell ref="L1142:L1144"/>
    <mergeCell ref="M1151:M1152"/>
    <mergeCell ref="O1151:O1152"/>
    <mergeCell ref="L1154:L1156"/>
    <mergeCell ref="L1163:L1164"/>
    <mergeCell ref="M1163:M1164"/>
    <mergeCell ref="O1163:O1164"/>
    <mergeCell ref="L1166:L1168"/>
    <mergeCell ref="M1166:M1168"/>
    <mergeCell ref="O1166:O1168"/>
    <mergeCell ref="N1166:N1168"/>
    <mergeCell ref="N1163:N1164"/>
    <mergeCell ref="N1151:N1152"/>
    <mergeCell ref="N1119:N1123"/>
    <mergeCell ref="N1086:N1090"/>
    <mergeCell ref="L1169:L1172"/>
    <mergeCell ref="O1169:O1172"/>
    <mergeCell ref="L1176:L1181"/>
    <mergeCell ref="L1183:L1184"/>
    <mergeCell ref="M1183:M1184"/>
    <mergeCell ref="O1183:O1184"/>
    <mergeCell ref="L1185:L1186"/>
    <mergeCell ref="L1192:L1193"/>
    <mergeCell ref="L1195:L1200"/>
    <mergeCell ref="O1195:O1199"/>
    <mergeCell ref="L1205:L1211"/>
    <mergeCell ref="L1213:L1214"/>
    <mergeCell ref="L1217:L1218"/>
    <mergeCell ref="M1217:M1218"/>
    <mergeCell ref="O1217:O1218"/>
    <mergeCell ref="N1217:N1218"/>
    <mergeCell ref="N1195:N1199"/>
    <mergeCell ref="N1183:N1184"/>
    <mergeCell ref="N1169:N1172"/>
    <mergeCell ref="M1196:M1199"/>
    <mergeCell ref="L1222:L1224"/>
    <mergeCell ref="O1222:O1224"/>
    <mergeCell ref="L1227:L1228"/>
    <mergeCell ref="L1232:L1233"/>
    <mergeCell ref="L1241:L1242"/>
    <mergeCell ref="L1247:L1248"/>
    <mergeCell ref="M1247:M1248"/>
    <mergeCell ref="O1247:O1248"/>
    <mergeCell ref="L1249:L1250"/>
    <mergeCell ref="M1249:M1250"/>
    <mergeCell ref="O1249:O1250"/>
    <mergeCell ref="L1251:L1252"/>
    <mergeCell ref="M1251:M1252"/>
    <mergeCell ref="O1251:O1252"/>
    <mergeCell ref="L1254:L1255"/>
    <mergeCell ref="M1254:M1255"/>
    <mergeCell ref="O1254:O1255"/>
    <mergeCell ref="N1254:N1255"/>
    <mergeCell ref="N1251:N1252"/>
    <mergeCell ref="N1249:N1250"/>
    <mergeCell ref="N1247:N1248"/>
    <mergeCell ref="N1222:N1224"/>
    <mergeCell ref="M1256:M1257"/>
    <mergeCell ref="O1256:O1257"/>
    <mergeCell ref="L1258:L1259"/>
    <mergeCell ref="M1258:M1259"/>
    <mergeCell ref="O1258:O1259"/>
    <mergeCell ref="L1260:L1263"/>
    <mergeCell ref="O1260:O1263"/>
    <mergeCell ref="L1264:L1265"/>
    <mergeCell ref="O1264:O1265"/>
    <mergeCell ref="L1271:L1272"/>
    <mergeCell ref="O1271:O1272"/>
    <mergeCell ref="L1279:L1280"/>
    <mergeCell ref="L1281:L1282"/>
    <mergeCell ref="M1281:M1282"/>
    <mergeCell ref="O1281:O1282"/>
    <mergeCell ref="L1283:L1284"/>
    <mergeCell ref="M1283:M1284"/>
    <mergeCell ref="O1283:O1284"/>
    <mergeCell ref="N1283:N1284"/>
    <mergeCell ref="N1281:N1282"/>
    <mergeCell ref="N1271:N1272"/>
    <mergeCell ref="N1264:N1265"/>
    <mergeCell ref="N1258:N1259"/>
    <mergeCell ref="N1256:N1257"/>
    <mergeCell ref="L1285:L1286"/>
    <mergeCell ref="M1285:M1286"/>
    <mergeCell ref="O1285:O1286"/>
    <mergeCell ref="L1293:L1294"/>
    <mergeCell ref="M1293:M1294"/>
    <mergeCell ref="O1293:O1294"/>
    <mergeCell ref="L1295:L1296"/>
    <mergeCell ref="L1297:L1299"/>
    <mergeCell ref="L1300:L1301"/>
    <mergeCell ref="L1302:L1303"/>
    <mergeCell ref="L1304:L1305"/>
    <mergeCell ref="L1309:L1310"/>
    <mergeCell ref="L1311:L1312"/>
    <mergeCell ref="L1315:L1320"/>
    <mergeCell ref="L1321:L1322"/>
    <mergeCell ref="M1321:M1322"/>
    <mergeCell ref="O1321:O1322"/>
    <mergeCell ref="N1321:N1322"/>
    <mergeCell ref="N1293:N1294"/>
    <mergeCell ref="N1285:N1286"/>
    <mergeCell ref="L1323:L1324"/>
    <mergeCell ref="O1323:O1324"/>
    <mergeCell ref="L1327:L1328"/>
    <mergeCell ref="L1329:L1330"/>
    <mergeCell ref="L1333:L1334"/>
    <mergeCell ref="L1335:L1336"/>
    <mergeCell ref="L1337:L1338"/>
    <mergeCell ref="L1339:L1340"/>
    <mergeCell ref="L1341:L1343"/>
    <mergeCell ref="L1344:L1345"/>
    <mergeCell ref="L1346:L1347"/>
    <mergeCell ref="L1348:L1349"/>
    <mergeCell ref="L1350:L1352"/>
    <mergeCell ref="M1350:M1351"/>
    <mergeCell ref="O1350:O1351"/>
    <mergeCell ref="L1353:L1354"/>
    <mergeCell ref="L1355:L1356"/>
    <mergeCell ref="N1350:N1351"/>
    <mergeCell ref="N1323:N1324"/>
    <mergeCell ref="L1357:L1359"/>
    <mergeCell ref="L1360:L1361"/>
    <mergeCell ref="L1362:L1363"/>
    <mergeCell ref="L1364:L1365"/>
    <mergeCell ref="L1366:L1367"/>
    <mergeCell ref="L1368:L1370"/>
    <mergeCell ref="L1371:L1372"/>
    <mergeCell ref="L1376:L1378"/>
    <mergeCell ref="L1379:L1380"/>
    <mergeCell ref="O1379:O1380"/>
    <mergeCell ref="L1383:L1385"/>
    <mergeCell ref="M1383:M1384"/>
    <mergeCell ref="O1383:O1384"/>
    <mergeCell ref="L1387:L1388"/>
    <mergeCell ref="O1387:O1388"/>
    <mergeCell ref="L1391:L1393"/>
    <mergeCell ref="O1391:O1393"/>
    <mergeCell ref="N1391:N1393"/>
    <mergeCell ref="N1387:N1388"/>
    <mergeCell ref="N1383:N1384"/>
    <mergeCell ref="N1379:N1380"/>
    <mergeCell ref="L1396:L1398"/>
    <mergeCell ref="O1396:O1398"/>
    <mergeCell ref="L1401:L1403"/>
    <mergeCell ref="M1401:M1402"/>
    <mergeCell ref="O1401:O1402"/>
    <mergeCell ref="L1404:L1405"/>
    <mergeCell ref="M1404:M1405"/>
    <mergeCell ref="O1404:O1405"/>
    <mergeCell ref="L1406:L1408"/>
    <mergeCell ref="M1406:M1408"/>
    <mergeCell ref="O1406:O1408"/>
    <mergeCell ref="L1410:L1412"/>
    <mergeCell ref="M1410:M1412"/>
    <mergeCell ref="O1410:O1412"/>
    <mergeCell ref="L1415:L1417"/>
    <mergeCell ref="M1415:M1417"/>
    <mergeCell ref="O1415:O1417"/>
    <mergeCell ref="N1415:N1417"/>
    <mergeCell ref="N1410:N1412"/>
    <mergeCell ref="N1406:N1408"/>
    <mergeCell ref="N1404:N1405"/>
    <mergeCell ref="N1401:N1402"/>
    <mergeCell ref="N1396:N1398"/>
    <mergeCell ref="L1418:L1419"/>
    <mergeCell ref="M1418:M1419"/>
    <mergeCell ref="O1418:O1419"/>
    <mergeCell ref="L1420:L1421"/>
    <mergeCell ref="M1420:M1421"/>
    <mergeCell ref="O1420:O1421"/>
    <mergeCell ref="L1429:L1430"/>
    <mergeCell ref="M1429:M1430"/>
    <mergeCell ref="O1429:O1430"/>
    <mergeCell ref="L1433:L1438"/>
    <mergeCell ref="M1433:M1438"/>
    <mergeCell ref="O1433:O1438"/>
    <mergeCell ref="L1442:L1443"/>
    <mergeCell ref="L1445:L1449"/>
    <mergeCell ref="L1454:L1455"/>
    <mergeCell ref="L1456:L1458"/>
    <mergeCell ref="L1459:L1460"/>
    <mergeCell ref="M1459:M1460"/>
    <mergeCell ref="O1459:O1460"/>
    <mergeCell ref="N1459:N1460"/>
    <mergeCell ref="N1433:N1438"/>
    <mergeCell ref="N1429:N1430"/>
    <mergeCell ref="N1420:N1421"/>
    <mergeCell ref="N1418:N1419"/>
    <mergeCell ref="M1450:M1452"/>
    <mergeCell ref="N1450:N1452"/>
    <mergeCell ref="O1450:O1452"/>
    <mergeCell ref="L1462:L1463"/>
    <mergeCell ref="L1464:L1466"/>
    <mergeCell ref="O1464:O1466"/>
    <mergeCell ref="L1468:L1469"/>
    <mergeCell ref="M1468:M1469"/>
    <mergeCell ref="L1470:L1472"/>
    <mergeCell ref="M1470:M1471"/>
    <mergeCell ref="O1470:O1471"/>
    <mergeCell ref="L1479:L1480"/>
    <mergeCell ref="L1482:L1483"/>
    <mergeCell ref="M1482:M1483"/>
    <mergeCell ref="O1482:O1483"/>
    <mergeCell ref="L1484:L1485"/>
    <mergeCell ref="M1484:M1485"/>
    <mergeCell ref="O1484:O1485"/>
    <mergeCell ref="L1486:L1489"/>
    <mergeCell ref="M1486:M1489"/>
    <mergeCell ref="O1486:O1489"/>
    <mergeCell ref="N1486:N1489"/>
    <mergeCell ref="N1484:N1485"/>
    <mergeCell ref="N1482:N1483"/>
    <mergeCell ref="N1470:N1471"/>
    <mergeCell ref="N1464:N1466"/>
    <mergeCell ref="M1540:M1541"/>
    <mergeCell ref="O1540:O1541"/>
    <mergeCell ref="L1542:L1543"/>
    <mergeCell ref="M1542:M1543"/>
    <mergeCell ref="O1542:O1543"/>
    <mergeCell ref="L1491:L1492"/>
    <mergeCell ref="M1491:M1492"/>
    <mergeCell ref="O1491:O1492"/>
    <mergeCell ref="L1496:L1497"/>
    <mergeCell ref="M1496:M1497"/>
    <mergeCell ref="L1499:L1500"/>
    <mergeCell ref="L1501:L1505"/>
    <mergeCell ref="M1501:M1505"/>
    <mergeCell ref="O1501:O1505"/>
    <mergeCell ref="L1506:L1508"/>
    <mergeCell ref="O1506:O1508"/>
    <mergeCell ref="L1509:L1510"/>
    <mergeCell ref="M1509:M1510"/>
    <mergeCell ref="L1511:L1512"/>
    <mergeCell ref="M1511:M1512"/>
    <mergeCell ref="L1513:L1514"/>
    <mergeCell ref="O1513:O1514"/>
    <mergeCell ref="N1501:N1505"/>
    <mergeCell ref="N1491:N1492"/>
    <mergeCell ref="L1590:L1592"/>
    <mergeCell ref="L938:L940"/>
    <mergeCell ref="L955:L958"/>
    <mergeCell ref="L981:L987"/>
    <mergeCell ref="L988:L990"/>
    <mergeCell ref="L1550:L1551"/>
    <mergeCell ref="L1552:L1553"/>
    <mergeCell ref="M1552:M1553"/>
    <mergeCell ref="O1552:O1553"/>
    <mergeCell ref="L1554:L1557"/>
    <mergeCell ref="L1560:L1562"/>
    <mergeCell ref="M1560:M1562"/>
    <mergeCell ref="O1560:O1562"/>
    <mergeCell ref="L1563:L1567"/>
    <mergeCell ref="M1563:M1567"/>
    <mergeCell ref="O1563:O1567"/>
    <mergeCell ref="L1568:L1572"/>
    <mergeCell ref="M1568:M1570"/>
    <mergeCell ref="O1568:O1570"/>
    <mergeCell ref="L1525:L1526"/>
    <mergeCell ref="L1527:L1528"/>
    <mergeCell ref="L1531:L1532"/>
    <mergeCell ref="M1531:M1532"/>
    <mergeCell ref="O1531:O1532"/>
    <mergeCell ref="L1533:L1534"/>
    <mergeCell ref="M1533:M1534"/>
    <mergeCell ref="O1533:O1534"/>
    <mergeCell ref="L1535:L1536"/>
    <mergeCell ref="M1535:M1536"/>
    <mergeCell ref="O1535:O1536"/>
    <mergeCell ref="M1538:M1539"/>
    <mergeCell ref="O1538:O1539"/>
    <mergeCell ref="W1433:W1438"/>
    <mergeCell ref="L1596:L1598"/>
    <mergeCell ref="L1599:L1604"/>
    <mergeCell ref="L1626:L1636"/>
    <mergeCell ref="O1626:O1630"/>
    <mergeCell ref="L1637:L1638"/>
    <mergeCell ref="M1637:M1638"/>
    <mergeCell ref="L1639:L1640"/>
    <mergeCell ref="M1639:M1640"/>
    <mergeCell ref="L1641:L1642"/>
    <mergeCell ref="M1641:M1642"/>
    <mergeCell ref="L1643:L1645"/>
    <mergeCell ref="M1643:M1645"/>
    <mergeCell ref="L1646:L1647"/>
    <mergeCell ref="M1646:M1647"/>
    <mergeCell ref="L1648:L1652"/>
    <mergeCell ref="M1648:M1652"/>
    <mergeCell ref="N1626:N1630"/>
    <mergeCell ref="L1573:L1574"/>
    <mergeCell ref="M1573:M1574"/>
    <mergeCell ref="O1573:O1574"/>
    <mergeCell ref="L1575:L1578"/>
    <mergeCell ref="M1575:M1578"/>
    <mergeCell ref="O1575:O1578"/>
    <mergeCell ref="L1579:L1580"/>
    <mergeCell ref="O1579:O1580"/>
    <mergeCell ref="L1584:L1587"/>
    <mergeCell ref="M1584:M1587"/>
    <mergeCell ref="O1584:O1587"/>
    <mergeCell ref="L1588:L1589"/>
    <mergeCell ref="M1588:M1589"/>
    <mergeCell ref="O1588:O1589"/>
    <mergeCell ref="L1653:L1655"/>
    <mergeCell ref="M1653:M1655"/>
    <mergeCell ref="O1653:O1655"/>
    <mergeCell ref="L1656:L1657"/>
    <mergeCell ref="O1659:O1660"/>
    <mergeCell ref="L1661:L1662"/>
    <mergeCell ref="L1665:L1666"/>
    <mergeCell ref="M1665:M1666"/>
    <mergeCell ref="O1665:O1666"/>
    <mergeCell ref="L1667:L1670"/>
    <mergeCell ref="M1667:M1670"/>
    <mergeCell ref="O1667:O1670"/>
    <mergeCell ref="L1671:L1673"/>
    <mergeCell ref="L1674:L1675"/>
    <mergeCell ref="M1674:M1675"/>
    <mergeCell ref="O1674:O1675"/>
    <mergeCell ref="L1676:L1679"/>
    <mergeCell ref="M1676:M1679"/>
    <mergeCell ref="O1676:O1679"/>
    <mergeCell ref="N1653:N1655"/>
    <mergeCell ref="N1659:N1660"/>
    <mergeCell ref="N1665:N1666"/>
    <mergeCell ref="N1667:N1670"/>
    <mergeCell ref="M1672:M1673"/>
    <mergeCell ref="L1681:L1688"/>
    <mergeCell ref="M1681:M1682"/>
    <mergeCell ref="O1681:O1686"/>
    <mergeCell ref="M1683:M1686"/>
    <mergeCell ref="L1689:L1691"/>
    <mergeCell ref="M1689:M1691"/>
    <mergeCell ref="L1692:L1694"/>
    <mergeCell ref="O1692:O1694"/>
    <mergeCell ref="L1697:L1699"/>
    <mergeCell ref="M1697:M1698"/>
    <mergeCell ref="O1697:O1698"/>
    <mergeCell ref="L1701:L1703"/>
    <mergeCell ref="O1701:O1703"/>
    <mergeCell ref="M1704:M1707"/>
    <mergeCell ref="L1705:L1707"/>
    <mergeCell ref="L1710:L1711"/>
    <mergeCell ref="L1713:L1715"/>
    <mergeCell ref="O1713:O1715"/>
    <mergeCell ref="N1681:N1686"/>
    <mergeCell ref="N1692:N1694"/>
    <mergeCell ref="N1697:N1698"/>
    <mergeCell ref="N1701:N1703"/>
    <mergeCell ref="N1713:N1715"/>
    <mergeCell ref="L1718:L1719"/>
    <mergeCell ref="M1718:M1719"/>
    <mergeCell ref="O1718:O1719"/>
    <mergeCell ref="L1720:L1721"/>
    <mergeCell ref="L1722:L1723"/>
    <mergeCell ref="M1722:M1723"/>
    <mergeCell ref="L1724:L1730"/>
    <mergeCell ref="M1724:M1726"/>
    <mergeCell ref="O1724:O1726"/>
    <mergeCell ref="L1732:L1733"/>
    <mergeCell ref="L1734:L1737"/>
    <mergeCell ref="M1734:M1737"/>
    <mergeCell ref="O1734:O1737"/>
    <mergeCell ref="L1738:L1739"/>
    <mergeCell ref="M1738:M1739"/>
    <mergeCell ref="O1738:O1739"/>
    <mergeCell ref="L1740:L1741"/>
    <mergeCell ref="N1718:N1719"/>
    <mergeCell ref="N1724:N1726"/>
    <mergeCell ref="N1734:N1737"/>
    <mergeCell ref="N1738:N1739"/>
    <mergeCell ref="L1743:L1744"/>
    <mergeCell ref="M1743:M1744"/>
    <mergeCell ref="L1745:L1747"/>
    <mergeCell ref="M1745:M1747"/>
    <mergeCell ref="O1745:O1747"/>
    <mergeCell ref="L1751:L1752"/>
    <mergeCell ref="M1751:M1752"/>
    <mergeCell ref="O1751:O1752"/>
    <mergeCell ref="L1753:L1754"/>
    <mergeCell ref="L1755:L1756"/>
    <mergeCell ref="M1755:M1756"/>
    <mergeCell ref="O1755:O1756"/>
    <mergeCell ref="L1757:L1758"/>
    <mergeCell ref="M1757:M1758"/>
    <mergeCell ref="O1757:O1758"/>
    <mergeCell ref="L1761:L1762"/>
    <mergeCell ref="M1761:M1762"/>
    <mergeCell ref="O1761:O1762"/>
    <mergeCell ref="N1745:N1747"/>
    <mergeCell ref="N1751:N1752"/>
    <mergeCell ref="N1755:N1756"/>
    <mergeCell ref="N1757:N1758"/>
    <mergeCell ref="N1761:N1762"/>
    <mergeCell ref="L1763:L1764"/>
    <mergeCell ref="M1763:M1764"/>
    <mergeCell ref="O1763:O1764"/>
    <mergeCell ref="L1766:L1767"/>
    <mergeCell ref="M1766:M1767"/>
    <mergeCell ref="O1766:O1767"/>
    <mergeCell ref="L1768:L1769"/>
    <mergeCell ref="M1768:M1769"/>
    <mergeCell ref="O1768:O1769"/>
    <mergeCell ref="L1770:L1771"/>
    <mergeCell ref="L1778:L1779"/>
    <mergeCell ref="M1778:M1779"/>
    <mergeCell ref="L1780:L1782"/>
    <mergeCell ref="M1780:M1782"/>
    <mergeCell ref="L1783:L1785"/>
    <mergeCell ref="O1783:O1785"/>
    <mergeCell ref="L1786:L1787"/>
    <mergeCell ref="M1786:M1787"/>
    <mergeCell ref="L1774:L1775"/>
    <mergeCell ref="N1763:N1764"/>
    <mergeCell ref="N1766:N1767"/>
    <mergeCell ref="N1768:N1769"/>
    <mergeCell ref="N1783:N1785"/>
    <mergeCell ref="L1788:L1791"/>
    <mergeCell ref="L1792:L1794"/>
    <mergeCell ref="L1795:L1796"/>
    <mergeCell ref="L1798:L1801"/>
    <mergeCell ref="L1804:L1805"/>
    <mergeCell ref="L1806:L1807"/>
    <mergeCell ref="L1809:L1810"/>
    <mergeCell ref="L1811:L1812"/>
    <mergeCell ref="M1811:M1812"/>
    <mergeCell ref="O1811:O1812"/>
    <mergeCell ref="L1814:L1819"/>
    <mergeCell ref="O1814:O1818"/>
    <mergeCell ref="L1822:L1824"/>
    <mergeCell ref="O1822:O1824"/>
    <mergeCell ref="L1828:L1830"/>
    <mergeCell ref="L1833:L1836"/>
    <mergeCell ref="O1833:O1835"/>
    <mergeCell ref="N1811:N1812"/>
    <mergeCell ref="N1814:N1818"/>
    <mergeCell ref="N1822:N1824"/>
    <mergeCell ref="N1833:N1835"/>
    <mergeCell ref="M1828:M1830"/>
    <mergeCell ref="L2068:L2069"/>
    <mergeCell ref="L2070:L2072"/>
    <mergeCell ref="M2062:M2063"/>
    <mergeCell ref="N2055:N2056"/>
    <mergeCell ref="L1837:L1838"/>
    <mergeCell ref="M1837:M1838"/>
    <mergeCell ref="L1840:L1842"/>
    <mergeCell ref="M1840:M1842"/>
    <mergeCell ref="O1840:O1842"/>
    <mergeCell ref="L1843:L1845"/>
    <mergeCell ref="M1843:M1845"/>
    <mergeCell ref="O1843:O1845"/>
    <mergeCell ref="L1848:L1850"/>
    <mergeCell ref="M1848:M1850"/>
    <mergeCell ref="O1848:O1850"/>
    <mergeCell ref="L1851:L1852"/>
    <mergeCell ref="M1851:M1852"/>
    <mergeCell ref="O1851:O1852"/>
    <mergeCell ref="L1853:L1855"/>
    <mergeCell ref="M1853:M1855"/>
    <mergeCell ref="O1853:O1855"/>
    <mergeCell ref="N1840:N1842"/>
    <mergeCell ref="N1843:N1845"/>
    <mergeCell ref="N1848:N1850"/>
    <mergeCell ref="N1851:N1852"/>
    <mergeCell ref="N1853:N1855"/>
    <mergeCell ref="N2048:N2050"/>
    <mergeCell ref="L2026:L2027"/>
    <mergeCell ref="O2026:O2027"/>
    <mergeCell ref="O1990:O1995"/>
    <mergeCell ref="L1966:L1967"/>
    <mergeCell ref="L1968:L1973"/>
    <mergeCell ref="L2142:L2144"/>
    <mergeCell ref="L2145:L2148"/>
    <mergeCell ref="L2152:L2153"/>
    <mergeCell ref="L2154:L2155"/>
    <mergeCell ref="L2156:L2157"/>
    <mergeCell ref="L2158:L2160"/>
    <mergeCell ref="L2161:L2162"/>
    <mergeCell ref="L2163:L2164"/>
    <mergeCell ref="L2165:L2166"/>
    <mergeCell ref="L2167:L2169"/>
    <mergeCell ref="L2170:L2171"/>
    <mergeCell ref="L2172:L2173"/>
    <mergeCell ref="L2285:L2288"/>
    <mergeCell ref="L2232:L2233"/>
    <mergeCell ref="M2232:M2233"/>
    <mergeCell ref="O2232:O2233"/>
    <mergeCell ref="L2198:L2199"/>
    <mergeCell ref="M2198:M2199"/>
    <mergeCell ref="O2198:O2199"/>
    <mergeCell ref="L2176:L2177"/>
    <mergeCell ref="N2172:N2173"/>
    <mergeCell ref="L2264:L2267"/>
    <mergeCell ref="M2264:M2267"/>
    <mergeCell ref="M2227:M2231"/>
    <mergeCell ref="O2227:O2231"/>
    <mergeCell ref="L2243:L2246"/>
    <mergeCell ref="M2243:M2246"/>
    <mergeCell ref="O2243:O2246"/>
    <mergeCell ref="L2247:L2248"/>
    <mergeCell ref="M2247:M2248"/>
    <mergeCell ref="O2247:O2248"/>
    <mergeCell ref="L2249:L2250"/>
    <mergeCell ref="L2455:L2458"/>
    <mergeCell ref="M2455:M2458"/>
    <mergeCell ref="O2455:O2458"/>
    <mergeCell ref="L2459:L2468"/>
    <mergeCell ref="M2459:M2468"/>
    <mergeCell ref="O2459:O2468"/>
    <mergeCell ref="W2459:W2468"/>
    <mergeCell ref="M2403:M2405"/>
    <mergeCell ref="O2401:O2404"/>
    <mergeCell ref="N2401:N2404"/>
    <mergeCell ref="L2414:L2415"/>
    <mergeCell ref="M2414:M2415"/>
    <mergeCell ref="O2414:O2415"/>
    <mergeCell ref="L2418:L2419"/>
    <mergeCell ref="L2426:L2429"/>
    <mergeCell ref="M2426:M2429"/>
    <mergeCell ref="O2426:O2429"/>
    <mergeCell ref="N2414:N2415"/>
    <mergeCell ref="N2426:N2429"/>
    <mergeCell ref="L2452:L2454"/>
    <mergeCell ref="M2452:M2454"/>
    <mergeCell ref="O2452:O2454"/>
    <mergeCell ref="L2447:L2449"/>
    <mergeCell ref="M2447:M2449"/>
    <mergeCell ref="N2455:N2458"/>
    <mergeCell ref="N2452:N2454"/>
    <mergeCell ref="N2459:N2468"/>
    <mergeCell ref="L2444:L2446"/>
    <mergeCell ref="M2444:M2446"/>
    <mergeCell ref="N1588:N1589"/>
    <mergeCell ref="N1584:N1587"/>
    <mergeCell ref="N1579:N1580"/>
    <mergeCell ref="N1575:N1578"/>
    <mergeCell ref="N1573:N1574"/>
    <mergeCell ref="N1568:N1570"/>
    <mergeCell ref="N1563:N1567"/>
    <mergeCell ref="N1560:N1562"/>
    <mergeCell ref="N1552:N1553"/>
    <mergeCell ref="N1542:N1543"/>
    <mergeCell ref="N1540:N1541"/>
    <mergeCell ref="N1538:N1539"/>
    <mergeCell ref="N1535:N1536"/>
    <mergeCell ref="N1533:N1534"/>
    <mergeCell ref="N1531:N1532"/>
    <mergeCell ref="N1513:N1514"/>
    <mergeCell ref="N1506:N1508"/>
    <mergeCell ref="X266:X268"/>
    <mergeCell ref="X271:X281"/>
    <mergeCell ref="X282:X285"/>
    <mergeCell ref="X289:X291"/>
    <mergeCell ref="X293:X294"/>
    <mergeCell ref="X298:X299"/>
    <mergeCell ref="X300:X301"/>
    <mergeCell ref="X302:X303"/>
    <mergeCell ref="X304:X306"/>
    <mergeCell ref="X542:X544"/>
    <mergeCell ref="X688:X692"/>
    <mergeCell ref="X702:X710"/>
    <mergeCell ref="X829:X830"/>
    <mergeCell ref="X831:X832"/>
    <mergeCell ref="X833:X834"/>
    <mergeCell ref="X835:X836"/>
    <mergeCell ref="X837:X838"/>
    <mergeCell ref="X598:X600"/>
    <mergeCell ref="X503:X508"/>
    <mergeCell ref="X749:X750"/>
    <mergeCell ref="X584:X586"/>
    <mergeCell ref="X588:X589"/>
    <mergeCell ref="X590:X591"/>
    <mergeCell ref="X592:X593"/>
    <mergeCell ref="X594:X595"/>
    <mergeCell ref="X616:X624"/>
    <mergeCell ref="X601:X615"/>
    <mergeCell ref="X564:X565"/>
    <mergeCell ref="X552:X554"/>
    <mergeCell ref="X555:X557"/>
    <mergeCell ref="X577:X583"/>
    <mergeCell ref="X571:X576"/>
    <mergeCell ref="X893:X895"/>
    <mergeCell ref="X896:X900"/>
    <mergeCell ref="X950:X951"/>
    <mergeCell ref="X1003:X1006"/>
    <mergeCell ref="X955:X958"/>
    <mergeCell ref="X1131:X1133"/>
    <mergeCell ref="X1134:X1138"/>
    <mergeCell ref="X1139:X1141"/>
    <mergeCell ref="X1145:X1150"/>
    <mergeCell ref="X1151:X1152"/>
    <mergeCell ref="X1157:X1162"/>
    <mergeCell ref="X1169:X1175"/>
    <mergeCell ref="X1176:X1182"/>
    <mergeCell ref="X1183:X1186"/>
    <mergeCell ref="X1192:X1193"/>
    <mergeCell ref="X1195:X1203"/>
    <mergeCell ref="X1205:X1211"/>
    <mergeCell ref="X1254:X1255"/>
    <mergeCell ref="X1256:X1257"/>
    <mergeCell ref="X1258:X1259"/>
    <mergeCell ref="X1260:X1263"/>
    <mergeCell ref="X1281:X1282"/>
    <mergeCell ref="X1166:X1168"/>
    <mergeCell ref="X1283:X1284"/>
    <mergeCell ref="X1285:X1286"/>
    <mergeCell ref="X1290:X1291"/>
    <mergeCell ref="X1295:X1296"/>
    <mergeCell ref="X1297:X1299"/>
    <mergeCell ref="X1300:X1301"/>
    <mergeCell ref="X1302:X1303"/>
    <mergeCell ref="X1304:X1305"/>
    <mergeCell ref="X1309:X1310"/>
    <mergeCell ref="X1311:X1312"/>
    <mergeCell ref="X1314:X1320"/>
    <mergeCell ref="X1321:X1322"/>
    <mergeCell ref="X1329:X1330"/>
    <mergeCell ref="X1333:X1334"/>
    <mergeCell ref="X1335:X1336"/>
    <mergeCell ref="X1337:X1338"/>
    <mergeCell ref="X1339:X1340"/>
    <mergeCell ref="X1344:X1345"/>
    <mergeCell ref="X1346:X1347"/>
    <mergeCell ref="X1348:X1349"/>
    <mergeCell ref="X1353:X1354"/>
    <mergeCell ref="X1357:X1359"/>
    <mergeCell ref="X1360:X1367"/>
    <mergeCell ref="X1368:X1370"/>
    <mergeCell ref="X1371:X1372"/>
    <mergeCell ref="X1379:X1382"/>
    <mergeCell ref="X1383:X1385"/>
    <mergeCell ref="X1387:X1390"/>
    <mergeCell ref="X1391:X1395"/>
    <mergeCell ref="X1396:X1400"/>
    <mergeCell ref="X1401:X1403"/>
    <mergeCell ref="X1404:X1405"/>
    <mergeCell ref="X1406:X1408"/>
    <mergeCell ref="X1410:X1412"/>
    <mergeCell ref="X1415:X1417"/>
    <mergeCell ref="X1418:X1419"/>
    <mergeCell ref="X1429:X1430"/>
    <mergeCell ref="X1433:X1443"/>
    <mergeCell ref="X1453:X1455"/>
    <mergeCell ref="X1459:X1460"/>
    <mergeCell ref="X1461:X1463"/>
    <mergeCell ref="X1464:X1469"/>
    <mergeCell ref="X1479:X1480"/>
    <mergeCell ref="X1482:X1483"/>
    <mergeCell ref="X1484:X1485"/>
    <mergeCell ref="X1486:X1489"/>
    <mergeCell ref="X1496:X1497"/>
    <mergeCell ref="X1501:X1505"/>
    <mergeCell ref="X1506:X1512"/>
    <mergeCell ref="X1513:X1516"/>
    <mergeCell ref="X1531:X1532"/>
    <mergeCell ref="X1450:X1452"/>
    <mergeCell ref="X1420:X1421"/>
    <mergeCell ref="X1533:X1534"/>
    <mergeCell ref="X1535:X1536"/>
    <mergeCell ref="X1538:X1543"/>
    <mergeCell ref="X1552:X1553"/>
    <mergeCell ref="X1560:X1562"/>
    <mergeCell ref="X1563:X1567"/>
    <mergeCell ref="X1568:X1572"/>
    <mergeCell ref="X1573:X1574"/>
    <mergeCell ref="X1575:X1578"/>
    <mergeCell ref="X1579:X1582"/>
    <mergeCell ref="X1584:X1587"/>
    <mergeCell ref="X1588:X1589"/>
    <mergeCell ref="X1637:X1647"/>
    <mergeCell ref="X1648:X1652"/>
    <mergeCell ref="X1653:X1655"/>
    <mergeCell ref="X1659:X1662"/>
    <mergeCell ref="X1665:X1666"/>
    <mergeCell ref="X1667:X1670"/>
    <mergeCell ref="X1674:X1675"/>
    <mergeCell ref="X1676:X1679"/>
    <mergeCell ref="X1681:X1691"/>
    <mergeCell ref="X1692:X1696"/>
    <mergeCell ref="X1697:X1699"/>
    <mergeCell ref="X1701:X1712"/>
    <mergeCell ref="X1713:X1717"/>
    <mergeCell ref="X1718:X1719"/>
    <mergeCell ref="X1722:X1723"/>
    <mergeCell ref="X1724:X1730"/>
    <mergeCell ref="X1734:X1737"/>
    <mergeCell ref="X1738:X1739"/>
    <mergeCell ref="X1740:X1741"/>
    <mergeCell ref="X1843:X1847"/>
    <mergeCell ref="X1848:X1850"/>
    <mergeCell ref="X1851:X1852"/>
    <mergeCell ref="X1853:X1855"/>
    <mergeCell ref="X2096:X2097"/>
    <mergeCell ref="X2098:X2102"/>
    <mergeCell ref="X2103:X2108"/>
    <mergeCell ref="X1743:X1744"/>
    <mergeCell ref="X1745:X1747"/>
    <mergeCell ref="X1751:X1752"/>
    <mergeCell ref="X1755:X1756"/>
    <mergeCell ref="X1757:X1758"/>
    <mergeCell ref="X1761:X1762"/>
    <mergeCell ref="X1763:X1764"/>
    <mergeCell ref="X1766:X1767"/>
    <mergeCell ref="X1768:X1769"/>
    <mergeCell ref="X1772:X1782"/>
    <mergeCell ref="X1786:X1787"/>
    <mergeCell ref="X1788:X1810"/>
    <mergeCell ref="X1811:X1812"/>
    <mergeCell ref="X1814:X1821"/>
    <mergeCell ref="X1822:X1826"/>
    <mergeCell ref="X1837:X1838"/>
    <mergeCell ref="X2026:X2029"/>
    <mergeCell ref="X1828:X1830"/>
    <mergeCell ref="X2452:X2454"/>
    <mergeCell ref="X2455:X2458"/>
    <mergeCell ref="Y2455:Y2458"/>
    <mergeCell ref="Y2452:Y2454"/>
    <mergeCell ref="Y2401:Y2413"/>
    <mergeCell ref="Y2399:Y2400"/>
    <mergeCell ref="Y2247:Y2255"/>
    <mergeCell ref="Y2243:Y2246"/>
    <mergeCell ref="Y2238:Y2240"/>
    <mergeCell ref="Y2236:Y2237"/>
    <mergeCell ref="Y2223:Y2225"/>
    <mergeCell ref="Y2216:Y2222"/>
    <mergeCell ref="Y2181:Y2183"/>
    <mergeCell ref="Y2172:Y2173"/>
    <mergeCell ref="X2172:X2173"/>
    <mergeCell ref="X2181:X2183"/>
    <mergeCell ref="X2216:X2222"/>
    <mergeCell ref="Y2194:Y2197"/>
    <mergeCell ref="Y2198:Y2202"/>
    <mergeCell ref="Y2357:Y2359"/>
    <mergeCell ref="Y2360:Y2361"/>
    <mergeCell ref="Y2363:Y2364"/>
    <mergeCell ref="Y2365:Y2366"/>
    <mergeCell ref="Y2368:Y2370"/>
    <mergeCell ref="Y2371:Y2372"/>
    <mergeCell ref="Y2377:Y2378"/>
    <mergeCell ref="Y2379:Y2382"/>
    <mergeCell ref="Y2383:Y2389"/>
    <mergeCell ref="X2447:X2449"/>
    <mergeCell ref="X2393:X2394"/>
    <mergeCell ref="X2401:X2413"/>
    <mergeCell ref="X2399:X2400"/>
    <mergeCell ref="X2238:X2240"/>
    <mergeCell ref="X2243:X2246"/>
    <mergeCell ref="Y2442:Y2443"/>
    <mergeCell ref="Y2444:Y2446"/>
    <mergeCell ref="Y2176:Y2177"/>
    <mergeCell ref="Y2178:Y2180"/>
    <mergeCell ref="Y2184:Y2185"/>
    <mergeCell ref="Y2186:Y2187"/>
    <mergeCell ref="Y2190:Y2193"/>
    <mergeCell ref="Y2418:Y2419"/>
    <mergeCell ref="Y2211:Y2213"/>
    <mergeCell ref="Y2227:Y2231"/>
    <mergeCell ref="Y1814:Y1821"/>
    <mergeCell ref="Y1811:Y1812"/>
    <mergeCell ref="Y1788:Y1810"/>
    <mergeCell ref="Y1786:Y1787"/>
    <mergeCell ref="Y1772:Y1782"/>
    <mergeCell ref="X1840:X1842"/>
    <mergeCell ref="X2070:X2072"/>
    <mergeCell ref="X1964:X1967"/>
    <mergeCell ref="X1884:X1886"/>
    <mergeCell ref="X2109:X2110"/>
    <mergeCell ref="X2149:X2171"/>
    <mergeCell ref="Y1996:Y1998"/>
    <mergeCell ref="Y2003:Y2007"/>
    <mergeCell ref="Y2009:Y2012"/>
    <mergeCell ref="Y2013:Y2017"/>
    <mergeCell ref="Y2024:Y2025"/>
    <mergeCell ref="Y2026:Y2029"/>
    <mergeCell ref="X2088:X2089"/>
    <mergeCell ref="X2066:X2067"/>
    <mergeCell ref="X2068:X2069"/>
    <mergeCell ref="Y1768:Y1769"/>
    <mergeCell ref="Y1766:Y1767"/>
    <mergeCell ref="Y2103:Y2108"/>
    <mergeCell ref="Y2098:Y2102"/>
    <mergeCell ref="Y2096:Y2097"/>
    <mergeCell ref="Y2073:Y2075"/>
    <mergeCell ref="Y2018:Y2023"/>
    <mergeCell ref="Y1853:Y1855"/>
    <mergeCell ref="Y1851:Y1852"/>
    <mergeCell ref="Y1848:Y1850"/>
    <mergeCell ref="Y1843:Y1847"/>
    <mergeCell ref="Y1840:Y1842"/>
    <mergeCell ref="Y1837:Y1838"/>
    <mergeCell ref="Y1822:Y1826"/>
    <mergeCell ref="Y2390:Y2391"/>
    <mergeCell ref="Y2393:Y2394"/>
    <mergeCell ref="Y2032:Y2033"/>
    <mergeCell ref="Y2036:Y2037"/>
    <mergeCell ref="Y1873:Y1875"/>
    <mergeCell ref="Y1876:Y1880"/>
    <mergeCell ref="Y1881:Y1883"/>
    <mergeCell ref="Y1884:Y1886"/>
    <mergeCell ref="Y1890:Y1892"/>
    <mergeCell ref="Y1893:Y1894"/>
    <mergeCell ref="Y1895:Y1897"/>
    <mergeCell ref="Y1898:Y1899"/>
    <mergeCell ref="Y1900:Y1901"/>
    <mergeCell ref="Y1905:Y1906"/>
    <mergeCell ref="Y1907:Y1908"/>
    <mergeCell ref="Y1909:Y1914"/>
    <mergeCell ref="Y1920:Y1924"/>
    <mergeCell ref="Y2355:Y2356"/>
    <mergeCell ref="Y1763:Y1764"/>
    <mergeCell ref="Y1761:Y1762"/>
    <mergeCell ref="Y1757:Y1758"/>
    <mergeCell ref="Y1755:Y1756"/>
    <mergeCell ref="Y1751:Y1752"/>
    <mergeCell ref="Y1745:Y1747"/>
    <mergeCell ref="Y1740:Y1741"/>
    <mergeCell ref="Y1743:Y1744"/>
    <mergeCell ref="Y1738:Y1739"/>
    <mergeCell ref="Y1734:Y1737"/>
    <mergeCell ref="Y1724:Y1730"/>
    <mergeCell ref="Y1722:Y1723"/>
    <mergeCell ref="Y1718:Y1719"/>
    <mergeCell ref="Y1713:Y1717"/>
    <mergeCell ref="Y1701:Y1712"/>
    <mergeCell ref="Y1697:Y1699"/>
    <mergeCell ref="Y1692:Y1696"/>
    <mergeCell ref="Y1681:Y1691"/>
    <mergeCell ref="Y1676:Y1679"/>
    <mergeCell ref="Y1674:Y1675"/>
    <mergeCell ref="Y1667:Y1670"/>
    <mergeCell ref="Y1665:Y1666"/>
    <mergeCell ref="Y1659:Y1662"/>
    <mergeCell ref="Y1653:Y1655"/>
    <mergeCell ref="Y1648:Y1652"/>
    <mergeCell ref="Y1637:Y1647"/>
    <mergeCell ref="Y1588:Y1589"/>
    <mergeCell ref="Y1584:Y1587"/>
    <mergeCell ref="Y1579:Y1582"/>
    <mergeCell ref="Y1575:Y1578"/>
    <mergeCell ref="Y1573:Y1574"/>
    <mergeCell ref="Y1568:Y1572"/>
    <mergeCell ref="Y1563:Y1567"/>
    <mergeCell ref="Y1560:Y1562"/>
    <mergeCell ref="Y1552:Y1553"/>
    <mergeCell ref="Y1538:Y1543"/>
    <mergeCell ref="Y1535:Y1536"/>
    <mergeCell ref="Y1533:Y1534"/>
    <mergeCell ref="Y1531:Y1532"/>
    <mergeCell ref="Y1513:Y1516"/>
    <mergeCell ref="Y1506:Y1512"/>
    <mergeCell ref="Y1501:Y1505"/>
    <mergeCell ref="Y1496:Y1497"/>
    <mergeCell ref="Y1486:Y1489"/>
    <mergeCell ref="Y1484:Y1485"/>
    <mergeCell ref="Y1482:Y1483"/>
    <mergeCell ref="Y1479:Y1480"/>
    <mergeCell ref="Y1464:Y1469"/>
    <mergeCell ref="Y1461:Y1463"/>
    <mergeCell ref="Y1459:Y1460"/>
    <mergeCell ref="Y1453:Y1455"/>
    <mergeCell ref="Y1433:Y1443"/>
    <mergeCell ref="Y1429:Y1430"/>
    <mergeCell ref="Y1418:Y1419"/>
    <mergeCell ref="Y1415:Y1417"/>
    <mergeCell ref="Y1410:Y1412"/>
    <mergeCell ref="Y1406:Y1408"/>
    <mergeCell ref="Y1404:Y1405"/>
    <mergeCell ref="Y1401:Y1403"/>
    <mergeCell ref="Y1396:Y1400"/>
    <mergeCell ref="Y1391:Y1395"/>
    <mergeCell ref="Y1387:Y1390"/>
    <mergeCell ref="Y1383:Y1385"/>
    <mergeCell ref="Y1379:Y1382"/>
    <mergeCell ref="Y1371:Y1372"/>
    <mergeCell ref="Y1368:Y1370"/>
    <mergeCell ref="Y1360:Y1367"/>
    <mergeCell ref="Y1357:Y1359"/>
    <mergeCell ref="Y1420:Y1421"/>
    <mergeCell ref="Y1333:Y1334"/>
    <mergeCell ref="Y1329:Y1330"/>
    <mergeCell ref="Y1321:Y1322"/>
    <mergeCell ref="Y1112:Y1118"/>
    <mergeCell ref="Y1314:Y1320"/>
    <mergeCell ref="Y1311:Y1312"/>
    <mergeCell ref="Y1309:Y1310"/>
    <mergeCell ref="Y1304:Y1305"/>
    <mergeCell ref="Y1302:Y1303"/>
    <mergeCell ref="Y1300:Y1301"/>
    <mergeCell ref="Y1297:Y1299"/>
    <mergeCell ref="Y1295:Y1296"/>
    <mergeCell ref="Y1290:Y1291"/>
    <mergeCell ref="Y1285:Y1286"/>
    <mergeCell ref="Y1283:Y1284"/>
    <mergeCell ref="Y1281:Y1282"/>
    <mergeCell ref="Y1260:Y1263"/>
    <mergeCell ref="Y1258:Y1259"/>
    <mergeCell ref="Y1256:Y1257"/>
    <mergeCell ref="Y1254:Y1255"/>
    <mergeCell ref="Y1205:Y1211"/>
    <mergeCell ref="Y1086:Y1095"/>
    <mergeCell ref="Y1070:Y1076"/>
    <mergeCell ref="Y1065:Y1068"/>
    <mergeCell ref="Y1061:Y1064"/>
    <mergeCell ref="Y1059:Y1060"/>
    <mergeCell ref="Y1052:Y1057"/>
    <mergeCell ref="Y1049:Y1050"/>
    <mergeCell ref="Y1046:Y1048"/>
    <mergeCell ref="Y1034:Y1045"/>
    <mergeCell ref="Y998:Y999"/>
    <mergeCell ref="Y911:Y915"/>
    <mergeCell ref="Z911:Z915"/>
    <mergeCell ref="Y868:Y882"/>
    <mergeCell ref="Y1195:Y1203"/>
    <mergeCell ref="Y1192:Y1193"/>
    <mergeCell ref="Y1183:Y1186"/>
    <mergeCell ref="Y1176:Y1182"/>
    <mergeCell ref="Y1169:Y1175"/>
    <mergeCell ref="Y1157:Y1162"/>
    <mergeCell ref="Y1151:Y1152"/>
    <mergeCell ref="Y1145:Y1150"/>
    <mergeCell ref="Y1139:Y1141"/>
    <mergeCell ref="Y1134:Y1138"/>
    <mergeCell ref="Y1131:Y1133"/>
    <mergeCell ref="Y1125:Y1130"/>
    <mergeCell ref="Y1119:Y1123"/>
    <mergeCell ref="Z1134:Z1138"/>
    <mergeCell ref="Z1139:Z1141"/>
    <mergeCell ref="Z1145:Z1150"/>
    <mergeCell ref="Z905:Z907"/>
    <mergeCell ref="Y952:Y954"/>
    <mergeCell ref="Z908:Z909"/>
    <mergeCell ref="Y566:Y567"/>
    <mergeCell ref="Z566:Z567"/>
    <mergeCell ref="Y542:Y544"/>
    <mergeCell ref="Y304:Y306"/>
    <mergeCell ref="Z542:Z544"/>
    <mergeCell ref="Z304:Z306"/>
    <mergeCell ref="Y549:Y550"/>
    <mergeCell ref="Y552:Y554"/>
    <mergeCell ref="Y555:Y557"/>
    <mergeCell ref="Y559:Y563"/>
    <mergeCell ref="Y564:Y565"/>
    <mergeCell ref="Y513:Y524"/>
    <mergeCell ref="Y529:Y531"/>
    <mergeCell ref="Y532:Y535"/>
    <mergeCell ref="Y538:Y539"/>
    <mergeCell ref="Y525:Y528"/>
    <mergeCell ref="Y598:Y600"/>
    <mergeCell ref="Y571:Y576"/>
    <mergeCell ref="Y577:Y583"/>
    <mergeCell ref="Y584:Y586"/>
    <mergeCell ref="Y588:Y589"/>
    <mergeCell ref="Y429:Y430"/>
    <mergeCell ref="Y436:Y441"/>
    <mergeCell ref="Y445:Y455"/>
    <mergeCell ref="Y458:Y459"/>
    <mergeCell ref="Y400:Y402"/>
    <mergeCell ref="Y403:Y407"/>
    <mergeCell ref="Y412:Y414"/>
    <mergeCell ref="Y420:Y421"/>
    <mergeCell ref="Y495:Y497"/>
    <mergeCell ref="Y499:Y502"/>
    <mergeCell ref="Y503:Y508"/>
    <mergeCell ref="Z61:Z79"/>
    <mergeCell ref="Y47:Y49"/>
    <mergeCell ref="Y44:Y46"/>
    <mergeCell ref="Y42:Y43"/>
    <mergeCell ref="Y28:Y33"/>
    <mergeCell ref="Z2452:Z2454"/>
    <mergeCell ref="Z2455:Z2458"/>
    <mergeCell ref="Z2418:Z2419"/>
    <mergeCell ref="Z2401:Z2413"/>
    <mergeCell ref="Z2399:Z2400"/>
    <mergeCell ref="Z2236:Z2237"/>
    <mergeCell ref="Z2238:Z2240"/>
    <mergeCell ref="Z2243:Z2246"/>
    <mergeCell ref="Z2247:Z2255"/>
    <mergeCell ref="Z2216:Z2222"/>
    <mergeCell ref="Z2223:Z2225"/>
    <mergeCell ref="Z2181:Z2183"/>
    <mergeCell ref="Z2149:Z2171"/>
    <mergeCell ref="Z2172:Z2173"/>
    <mergeCell ref="Z2096:Z2097"/>
    <mergeCell ref="Z2098:Z2102"/>
    <mergeCell ref="Z2103:Z2108"/>
    <mergeCell ref="Z2109:Z2110"/>
    <mergeCell ref="Z2073:Z2075"/>
    <mergeCell ref="Z2018:Z2023"/>
    <mergeCell ref="Z1837:Z1838"/>
    <mergeCell ref="Z1840:Z1842"/>
    <mergeCell ref="Y864:Y866"/>
    <mergeCell ref="Z1811:Z1812"/>
    <mergeCell ref="Z1814:Z1821"/>
    <mergeCell ref="Z1822:Z1826"/>
    <mergeCell ref="Z1786:Z1787"/>
    <mergeCell ref="Z1788:Z1810"/>
    <mergeCell ref="Z1772:Z1782"/>
    <mergeCell ref="Z1761:Z1762"/>
    <mergeCell ref="Z1763:Z1764"/>
    <mergeCell ref="Z1766:Z1767"/>
    <mergeCell ref="Z1768:Z1769"/>
    <mergeCell ref="Z1751:Z1752"/>
    <mergeCell ref="Z1755:Z1756"/>
    <mergeCell ref="Z1757:Z1758"/>
    <mergeCell ref="Z1734:Z1737"/>
    <mergeCell ref="Z1738:Z1739"/>
    <mergeCell ref="Z1740:Z1741"/>
    <mergeCell ref="Z1743:Z1744"/>
    <mergeCell ref="Z1745:Z1747"/>
    <mergeCell ref="Z1722:Z1723"/>
    <mergeCell ref="Z1724:Z1730"/>
    <mergeCell ref="Z1701:Z1712"/>
    <mergeCell ref="Z1713:Z1717"/>
    <mergeCell ref="Z1718:Z1719"/>
    <mergeCell ref="Z1681:Z1691"/>
    <mergeCell ref="Z1692:Z1696"/>
    <mergeCell ref="Z1697:Z1699"/>
    <mergeCell ref="Z1674:Z1675"/>
    <mergeCell ref="Z1676:Z1679"/>
    <mergeCell ref="Z1659:Z1662"/>
    <mergeCell ref="Z1665:Z1666"/>
    <mergeCell ref="Z1667:Z1670"/>
    <mergeCell ref="Z1648:Z1652"/>
    <mergeCell ref="Z1653:Z1655"/>
    <mergeCell ref="Z1637:Z1647"/>
    <mergeCell ref="Z1034:Z1045"/>
    <mergeCell ref="Z1046:Z1048"/>
    <mergeCell ref="Z1049:Z1050"/>
    <mergeCell ref="Z1052:Z1057"/>
    <mergeCell ref="Z1059:Z1060"/>
    <mergeCell ref="Z1061:Z1064"/>
    <mergeCell ref="Z1065:Z1068"/>
    <mergeCell ref="Z1070:Z1076"/>
    <mergeCell ref="Z1086:Z1095"/>
    <mergeCell ref="Z1096:Z1104"/>
    <mergeCell ref="Z1106:Z1111"/>
    <mergeCell ref="Z1112:Z1118"/>
    <mergeCell ref="Z1119:Z1123"/>
    <mergeCell ref="Z1125:Z1130"/>
    <mergeCell ref="Z1131:Z1133"/>
    <mergeCell ref="Z1379:Z1382"/>
    <mergeCell ref="Z1560:Z1562"/>
    <mergeCell ref="Z1563:Z1567"/>
    <mergeCell ref="Z1568:Z1572"/>
    <mergeCell ref="Z1573:Z1574"/>
    <mergeCell ref="Z1575:Z1578"/>
    <mergeCell ref="Z1579:Z1582"/>
    <mergeCell ref="Z1584:Z1587"/>
    <mergeCell ref="Z1588:Z1589"/>
    <mergeCell ref="Z998:Z999"/>
    <mergeCell ref="Z1406:Z1408"/>
    <mergeCell ref="Z1410:Z1412"/>
    <mergeCell ref="Z1415:Z1417"/>
    <mergeCell ref="Z1418:Z1419"/>
    <mergeCell ref="Z1429:Z1430"/>
    <mergeCell ref="Z1433:Z1443"/>
    <mergeCell ref="Z1453:Z1455"/>
    <mergeCell ref="Z1459:Z1460"/>
    <mergeCell ref="Z1461:Z1463"/>
    <mergeCell ref="Z1464:Z1469"/>
    <mergeCell ref="Z1479:Z1480"/>
    <mergeCell ref="Z1297:Z1299"/>
    <mergeCell ref="Z1300:Z1301"/>
    <mergeCell ref="Z1302:Z1303"/>
    <mergeCell ref="Z1304:Z1305"/>
    <mergeCell ref="Z1309:Z1310"/>
    <mergeCell ref="Z1311:Z1312"/>
    <mergeCell ref="Z1314:Z1320"/>
    <mergeCell ref="Z1321:Z1322"/>
    <mergeCell ref="Z1329:Z1330"/>
    <mergeCell ref="Z1333:Z1334"/>
    <mergeCell ref="Z1335:Z1336"/>
    <mergeCell ref="Z1482:Z1483"/>
    <mergeCell ref="Z1258:Z1259"/>
    <mergeCell ref="Z1260:Z1263"/>
    <mergeCell ref="Z1552:Z1553"/>
    <mergeCell ref="Z1484:Z1485"/>
    <mergeCell ref="Z1486:Z1489"/>
    <mergeCell ref="Y1003:Y1006"/>
    <mergeCell ref="Z1003:Z1006"/>
    <mergeCell ref="X1077:X1085"/>
    <mergeCell ref="Y1077:Y1085"/>
    <mergeCell ref="Z1077:Z1085"/>
    <mergeCell ref="O712:O717"/>
    <mergeCell ref="X714:X715"/>
    <mergeCell ref="X716:X717"/>
    <mergeCell ref="Y714:Y715"/>
    <mergeCell ref="Y716:Y717"/>
    <mergeCell ref="Z714:Z715"/>
    <mergeCell ref="Z716:Z717"/>
    <mergeCell ref="Z1496:Z1497"/>
    <mergeCell ref="Z1501:Z1505"/>
    <mergeCell ref="Z1506:Z1512"/>
    <mergeCell ref="Z1337:Z1338"/>
    <mergeCell ref="Z1339:Z1340"/>
    <mergeCell ref="Z1344:Z1345"/>
    <mergeCell ref="Z1346:Z1347"/>
    <mergeCell ref="Z1348:Z1349"/>
    <mergeCell ref="Z1353:Z1354"/>
    <mergeCell ref="Z1357:Z1359"/>
    <mergeCell ref="Z1360:Z1367"/>
    <mergeCell ref="Z1368:Z1370"/>
    <mergeCell ref="Z1371:Z1372"/>
    <mergeCell ref="Z1401:Z1403"/>
    <mergeCell ref="Z1404:Z1405"/>
    <mergeCell ref="Z1383:Z1385"/>
    <mergeCell ref="Z1387:Z1390"/>
    <mergeCell ref="Z1391:Z1395"/>
    <mergeCell ref="Y1106:Y1111"/>
    <mergeCell ref="Y1096:Y1104"/>
    <mergeCell ref="L1544:L1549"/>
    <mergeCell ref="Y1450:Y1452"/>
    <mergeCell ref="Z1450:Z1452"/>
    <mergeCell ref="Z1513:Z1516"/>
    <mergeCell ref="Z1531:Z1532"/>
    <mergeCell ref="Z1533:Z1534"/>
    <mergeCell ref="Z1535:Z1536"/>
    <mergeCell ref="Z1538:Z1543"/>
    <mergeCell ref="Z1151:Z1152"/>
    <mergeCell ref="Z1157:Z1162"/>
    <mergeCell ref="Z1169:Z1175"/>
    <mergeCell ref="Z1176:Z1182"/>
    <mergeCell ref="Z1183:Z1186"/>
    <mergeCell ref="Z1192:Z1193"/>
    <mergeCell ref="Z1195:Z1203"/>
    <mergeCell ref="Z1205:Z1211"/>
    <mergeCell ref="Z1254:Z1255"/>
    <mergeCell ref="Z1256:Z1257"/>
    <mergeCell ref="Z1281:Z1282"/>
    <mergeCell ref="Z1283:Z1284"/>
    <mergeCell ref="Z1285:Z1286"/>
    <mergeCell ref="Z1290:Z1291"/>
    <mergeCell ref="Z1295:Z1296"/>
    <mergeCell ref="Z1396:Z1400"/>
    <mergeCell ref="Z1420:Z1421"/>
    <mergeCell ref="Y1353:Y1354"/>
    <mergeCell ref="Y1348:Y1349"/>
    <mergeCell ref="Y1346:Y1347"/>
    <mergeCell ref="Y1344:Y1345"/>
    <mergeCell ref="Y1339:Y1340"/>
    <mergeCell ref="Y1337:Y1338"/>
    <mergeCell ref="Y1335:Y1336"/>
  </mergeCells>
  <conditionalFormatting sqref="X2">
    <cfRule type="expression" dxfId="3189" priority="5926">
      <formula>verMandError</formula>
    </cfRule>
  </conditionalFormatting>
  <conditionalFormatting sqref="X3">
    <cfRule type="expression" dxfId="3188" priority="5927">
      <formula>verError</formula>
    </cfRule>
  </conditionalFormatting>
  <conditionalFormatting sqref="I2">
    <cfRule type="expression" dxfId="3187" priority="5899">
      <formula>$AM$2="Gold"</formula>
    </cfRule>
    <cfRule type="expression" dxfId="3186" priority="5900">
      <formula>$AM$2="Silver"</formula>
    </cfRule>
    <cfRule type="expression" dxfId="3185" priority="5901">
      <formula>$AM$2="Bronze"</formula>
    </cfRule>
    <cfRule type="expression" dxfId="3184" priority="5902">
      <formula>$AM$2="Emerald"</formula>
    </cfRule>
  </conditionalFormatting>
  <conditionalFormatting sqref="L5">
    <cfRule type="notContainsBlanks" dxfId="3183" priority="5898">
      <formula>LEN(TRIM(L5))&gt;0</formula>
    </cfRule>
  </conditionalFormatting>
  <conditionalFormatting sqref="L1">
    <cfRule type="notContainsBlanks" dxfId="3182" priority="5857">
      <formula>LEN(TRIM(L1))&gt;0</formula>
    </cfRule>
  </conditionalFormatting>
  <conditionalFormatting sqref="W81">
    <cfRule type="notContainsBlanks" dxfId="3181" priority="5856">
      <formula>LEN(TRIM(W81))&gt;0</formula>
    </cfRule>
  </conditionalFormatting>
  <conditionalFormatting sqref="X19:X27">
    <cfRule type="expression" dxfId="3180" priority="5547">
      <formula>$W$19=TRUE</formula>
    </cfRule>
  </conditionalFormatting>
  <conditionalFormatting sqref="X219:X226">
    <cfRule type="expression" dxfId="3179" priority="5546">
      <formula>$W$225=TRUE</formula>
    </cfRule>
  </conditionalFormatting>
  <conditionalFormatting sqref="X642:X657">
    <cfRule type="expression" dxfId="3178" priority="5387">
      <formula>NOT(ISBLANK(W649))</formula>
    </cfRule>
  </conditionalFormatting>
  <conditionalFormatting sqref="X383">
    <cfRule type="expression" dxfId="3177" priority="5270">
      <formula>W383=TRUE</formula>
    </cfRule>
  </conditionalFormatting>
  <conditionalFormatting sqref="X460:X462">
    <cfRule type="expression" dxfId="3176" priority="5188">
      <formula>W460="N/A"</formula>
    </cfRule>
  </conditionalFormatting>
  <conditionalFormatting sqref="X471:X472">
    <cfRule type="expression" dxfId="3175" priority="5187">
      <formula>W471="N/A"</formula>
    </cfRule>
  </conditionalFormatting>
  <conditionalFormatting sqref="X584:X586">
    <cfRule type="expression" dxfId="3174" priority="5162">
      <formula>W584</formula>
    </cfRule>
  </conditionalFormatting>
  <conditionalFormatting sqref="W571">
    <cfRule type="expression" dxfId="3173" priority="5161">
      <formula>AND($R$571,$S$571)</formula>
    </cfRule>
  </conditionalFormatting>
  <conditionalFormatting sqref="W571">
    <cfRule type="expression" dxfId="3172" priority="5160">
      <formula>AND(IF($R$571,$W$571,TRUE),LEN(TRIM($W$571))&gt;0)</formula>
    </cfRule>
  </conditionalFormatting>
  <conditionalFormatting sqref="W571">
    <cfRule type="expression" dxfId="3171" priority="5159">
      <formula>OR($S$571 = FALSE, AND($P$571 = FALSE, ReportType &lt;&gt; "Final"), AND($Q$571 = FALSE, ReportType &lt;&gt; "Rough"))</formula>
    </cfRule>
  </conditionalFormatting>
  <conditionalFormatting sqref="W571">
    <cfRule type="expression" dxfId="3170" priority="5158">
      <formula>OR($T$571 = TRUE, AND($W$571 = TRUE, $S$571 = FALSE))</formula>
    </cfRule>
  </conditionalFormatting>
  <conditionalFormatting sqref="X571 X577:X583">
    <cfRule type="expression" dxfId="3169" priority="5157">
      <formula>W571&gt;0</formula>
    </cfRule>
  </conditionalFormatting>
  <conditionalFormatting sqref="W577">
    <cfRule type="expression" dxfId="3168" priority="5156">
      <formula>AND(R577,S577)</formula>
    </cfRule>
  </conditionalFormatting>
  <conditionalFormatting sqref="W577">
    <cfRule type="expression" dxfId="3167" priority="5155">
      <formula>AND(IF(R577,W577,TRUE),LEN(TRIM(W577))&gt;0)</formula>
    </cfRule>
  </conditionalFormatting>
  <conditionalFormatting sqref="W577">
    <cfRule type="expression" dxfId="3166" priority="5154">
      <formula>OR(S577 = FALSE, AND($P$577 = FALSE, ReportType &lt;&gt; "Final"), AND($Q$577 = FALSE, ReportType &lt;&gt; "Rough"))</formula>
    </cfRule>
  </conditionalFormatting>
  <conditionalFormatting sqref="W577">
    <cfRule type="expression" dxfId="3165" priority="5153">
      <formula>OR(T577 = TRUE, AND(W577 = TRUE, S577 = FALSE))</formula>
    </cfRule>
  </conditionalFormatting>
  <conditionalFormatting sqref="W589">
    <cfRule type="expression" dxfId="3164" priority="5152">
      <formula>AND(R589,S589)</formula>
    </cfRule>
  </conditionalFormatting>
  <conditionalFormatting sqref="W589">
    <cfRule type="expression" dxfId="3163" priority="5151">
      <formula>AND(IF(R589,W589,TRUE),LEN(TRIM(W589))&gt;0)</formula>
    </cfRule>
  </conditionalFormatting>
  <conditionalFormatting sqref="W589">
    <cfRule type="expression" dxfId="3162" priority="5150">
      <formula>OR(S589 = FALSE, AND($P$589 = FALSE, ReportType &lt;&gt; "Final"), AND($Q$589 = FALSE, ReportType &lt;&gt; "Rough"))</formula>
    </cfRule>
  </conditionalFormatting>
  <conditionalFormatting sqref="W589">
    <cfRule type="expression" dxfId="3161" priority="5149">
      <formula>OR(T589 = TRUE, AND(W589 = TRUE, S589 = FALSE))</formula>
    </cfRule>
  </conditionalFormatting>
  <conditionalFormatting sqref="W591">
    <cfRule type="expression" dxfId="3160" priority="5148">
      <formula>AND(R591,S591)</formula>
    </cfRule>
  </conditionalFormatting>
  <conditionalFormatting sqref="W591">
    <cfRule type="expression" dxfId="3159" priority="5147">
      <formula>AND(IF(R591,W591,TRUE),LEN(TRIM(W591))&gt;0)</formula>
    </cfRule>
  </conditionalFormatting>
  <conditionalFormatting sqref="W591">
    <cfRule type="expression" dxfId="3158" priority="5146">
      <formula>OR(S591 = FALSE, AND($P$591 = FALSE, ReportType &lt;&gt; "Final"), AND($Q$591 = FALSE, ReportType &lt;&gt; "Rough"))</formula>
    </cfRule>
  </conditionalFormatting>
  <conditionalFormatting sqref="W591">
    <cfRule type="expression" dxfId="3157" priority="5145">
      <formula>OR(T591 = TRUE, AND(W591 = TRUE, S591 = FALSE))</formula>
    </cfRule>
  </conditionalFormatting>
  <conditionalFormatting sqref="W593">
    <cfRule type="expression" dxfId="3156" priority="5144">
      <formula>AND(R593,S593)</formula>
    </cfRule>
  </conditionalFormatting>
  <conditionalFormatting sqref="W593">
    <cfRule type="expression" dxfId="3155" priority="5143">
      <formula>AND(IF(R593,W593,TRUE),LEN(TRIM(W593))&gt;0)</formula>
    </cfRule>
  </conditionalFormatting>
  <conditionalFormatting sqref="W593">
    <cfRule type="expression" dxfId="3154" priority="5142">
      <formula>OR(S593 = FALSE, AND($P$593 = FALSE, ReportType &lt;&gt; "Final"), AND($Q$593 = FALSE, ReportType &lt;&gt; "Rough"))</formula>
    </cfRule>
  </conditionalFormatting>
  <conditionalFormatting sqref="W593">
    <cfRule type="expression" dxfId="3153" priority="5141">
      <formula>OR(T593 = TRUE, AND(W593 = TRUE, S593 = FALSE))</formula>
    </cfRule>
  </conditionalFormatting>
  <conditionalFormatting sqref="W595">
    <cfRule type="expression" dxfId="3152" priority="5140">
      <formula>AND(R595,S595)</formula>
    </cfRule>
  </conditionalFormatting>
  <conditionalFormatting sqref="W595">
    <cfRule type="expression" dxfId="3151" priority="5139">
      <formula>AND(IF(R595,W595,TRUE),LEN(TRIM(W595))&gt;0)</formula>
    </cfRule>
  </conditionalFormatting>
  <conditionalFormatting sqref="W595">
    <cfRule type="expression" dxfId="3150" priority="5138">
      <formula>OR(S595 = FALSE, AND($P$595 = FALSE, ReportType &lt;&gt; "Final"), AND($Q$595 = FALSE, ReportType &lt;&gt; "Rough"))</formula>
    </cfRule>
  </conditionalFormatting>
  <conditionalFormatting sqref="W595">
    <cfRule type="expression" dxfId="3149" priority="5137">
      <formula>OR(T595 = TRUE, AND(W595 = TRUE, S595 = FALSE))</formula>
    </cfRule>
  </conditionalFormatting>
  <conditionalFormatting sqref="X588 X590 X592 X594 X799:X808">
    <cfRule type="expression" dxfId="3148" priority="5136">
      <formula>W589&gt;0</formula>
    </cfRule>
  </conditionalFormatting>
  <conditionalFormatting sqref="X636">
    <cfRule type="expression" dxfId="3147" priority="5087">
      <formula>W636</formula>
    </cfRule>
  </conditionalFormatting>
  <conditionalFormatting sqref="X637">
    <cfRule type="expression" dxfId="3146" priority="5086">
      <formula>W637</formula>
    </cfRule>
  </conditionalFormatting>
  <conditionalFormatting sqref="X673:X674 X676:X677 X714">
    <cfRule type="expression" dxfId="3145" priority="5037">
      <formula>NOT(ISBLANK(W673))</formula>
    </cfRule>
  </conditionalFormatting>
  <conditionalFormatting sqref="X679:X684">
    <cfRule type="expression" dxfId="3144" priority="5032">
      <formula>NOT(ISBLANK(W679))</formula>
    </cfRule>
  </conditionalFormatting>
  <conditionalFormatting sqref="X755:X761">
    <cfRule type="expression" dxfId="3143" priority="5008">
      <formula>NOT(ISBLANK(W757))</formula>
    </cfRule>
  </conditionalFormatting>
  <conditionalFormatting sqref="X762:X768">
    <cfRule type="expression" dxfId="3142" priority="5007">
      <formula>NOT(ISBLANK(W764))</formula>
    </cfRule>
  </conditionalFormatting>
  <conditionalFormatting sqref="X769:X774">
    <cfRule type="expression" dxfId="3141" priority="4990">
      <formula>NOT(ISBLANK(W770))</formula>
    </cfRule>
  </conditionalFormatting>
  <conditionalFormatting sqref="X775:X780">
    <cfRule type="expression" dxfId="3140" priority="4989">
      <formula>NOT(ISBLANK(W776))</formula>
    </cfRule>
  </conditionalFormatting>
  <conditionalFormatting sqref="X781:X786">
    <cfRule type="expression" dxfId="3139" priority="4988">
      <formula>NOT(ISBLANK(W782))</formula>
    </cfRule>
  </conditionalFormatting>
  <conditionalFormatting sqref="X787:X792">
    <cfRule type="expression" dxfId="3138" priority="4987">
      <formula>NOT(ISBLANK(W788))</formula>
    </cfRule>
  </conditionalFormatting>
  <conditionalFormatting sqref="X817:X824">
    <cfRule type="expression" dxfId="3137" priority="4982">
      <formula>NOT(ISBLANK(W817))</formula>
    </cfRule>
  </conditionalFormatting>
  <conditionalFormatting sqref="W800">
    <cfRule type="expression" dxfId="3136" priority="4981">
      <formula>AND(R800,S800)</formula>
    </cfRule>
  </conditionalFormatting>
  <conditionalFormatting sqref="W800">
    <cfRule type="expression" dxfId="3135" priority="4980">
      <formula>AND(IF(R800,W800,TRUE),LEN(TRIM(W800))&gt;0)</formula>
    </cfRule>
  </conditionalFormatting>
  <conditionalFormatting sqref="W800">
    <cfRule type="expression" dxfId="3134" priority="4978">
      <formula>OR(T800 = TRUE, AND(W800 = TRUE, S800 = FALSE))</formula>
    </cfRule>
  </conditionalFormatting>
  <conditionalFormatting sqref="W811">
    <cfRule type="expression" dxfId="3133" priority="4977">
      <formula>AND(R811,S811)</formula>
    </cfRule>
  </conditionalFormatting>
  <conditionalFormatting sqref="W811">
    <cfRule type="expression" dxfId="3132" priority="4976">
      <formula>AND(IF(R811,W811,TRUE),LEN(TRIM(W811))&gt;0)</formula>
    </cfRule>
  </conditionalFormatting>
  <conditionalFormatting sqref="W811">
    <cfRule type="expression" dxfId="3131" priority="4974">
      <formula>OR(T811 = TRUE, AND(W811 = TRUE, S811 = FALSE))</formula>
    </cfRule>
  </conditionalFormatting>
  <conditionalFormatting sqref="X809:X815">
    <cfRule type="expression" dxfId="3130" priority="4972">
      <formula>W811&gt;0</formula>
    </cfRule>
  </conditionalFormatting>
  <conditionalFormatting sqref="W37">
    <cfRule type="expression" dxfId="3129" priority="4935">
      <formula>AND($R$37,$S$37)</formula>
    </cfRule>
  </conditionalFormatting>
  <conditionalFormatting sqref="W37">
    <cfRule type="expression" dxfId="3128" priority="4934">
      <formula>AND(IF($R$37,$W$37,TRUE),LEN(TRIM($W$37))&gt;0)</formula>
    </cfRule>
  </conditionalFormatting>
  <conditionalFormatting sqref="W37">
    <cfRule type="expression" dxfId="3127" priority="4933">
      <formula>OR($S$37 = FALSE, AND($P$37 = FALSE, ReportType &lt;&gt; "Final"), AND($Q$37 = FALSE, ReportType &lt;&gt; "Rough"))</formula>
    </cfRule>
  </conditionalFormatting>
  <conditionalFormatting sqref="W37">
    <cfRule type="expression" dxfId="3126" priority="4932">
      <formula>OR($T$37 = TRUE, AND(LEN(TRIM($W$37))&gt;0, $S$37 = FALSE))</formula>
    </cfRule>
  </conditionalFormatting>
  <conditionalFormatting sqref="W85">
    <cfRule type="expression" dxfId="3125" priority="4891">
      <formula>AND($R$85,$S$85)</formula>
    </cfRule>
  </conditionalFormatting>
  <conditionalFormatting sqref="W85">
    <cfRule type="expression" dxfId="3124" priority="4890">
      <formula>AND(IF($R$85,$W$85,TRUE),LEN(TRIM($W$85))&gt;0)</formula>
    </cfRule>
  </conditionalFormatting>
  <conditionalFormatting sqref="W85">
    <cfRule type="expression" dxfId="3123" priority="4889">
      <formula>OR($S$85 = FALSE, AND($P$85 = FALSE, ReportType &lt;&gt; "Final"), AND($Q$85 = FALSE, ReportType &lt;&gt; "Rough"))</formula>
    </cfRule>
  </conditionalFormatting>
  <conditionalFormatting sqref="W85">
    <cfRule type="expression" dxfId="3122" priority="4888">
      <formula>OR($T$85 = TRUE, AND(LEN(TRIM($W$85))&gt;0, $S$85 = FALSE))</formula>
    </cfRule>
  </conditionalFormatting>
  <conditionalFormatting sqref="W115">
    <cfRule type="expression" dxfId="3121" priority="4847">
      <formula>AND($R$115,$S$115)</formula>
    </cfRule>
  </conditionalFormatting>
  <conditionalFormatting sqref="W115">
    <cfRule type="expression" dxfId="3120" priority="4846">
      <formula>AND(IF($R$115,$W$115,TRUE),LEN(TRIM($W$115))&gt;0)</formula>
    </cfRule>
  </conditionalFormatting>
  <conditionalFormatting sqref="W115">
    <cfRule type="expression" dxfId="3119" priority="4845">
      <formula>OR($S$115 = FALSE, AND($P$115 = FALSE, ReportType &lt;&gt; "Final"), AND($Q$115 = FALSE, ReportType &lt;&gt; "Rough"))</formula>
    </cfRule>
  </conditionalFormatting>
  <conditionalFormatting sqref="W115">
    <cfRule type="expression" dxfId="3118" priority="4844">
      <formula>OR($T$115 = TRUE, AND(LEN(TRIM($W$115))&gt;0, $S$115 = FALSE))</formula>
    </cfRule>
  </conditionalFormatting>
  <conditionalFormatting sqref="W122">
    <cfRule type="expression" dxfId="3117" priority="4843">
      <formula>AND($R$122,$S$122)</formula>
    </cfRule>
  </conditionalFormatting>
  <conditionalFormatting sqref="W122">
    <cfRule type="expression" dxfId="3116" priority="4842">
      <formula>AND(IF($R$122,$W$122,TRUE),LEN(TRIM($W$122))&gt;0)</formula>
    </cfRule>
  </conditionalFormatting>
  <conditionalFormatting sqref="W122">
    <cfRule type="expression" dxfId="3115" priority="4841">
      <formula>OR($S$122 = FALSE, AND($P$122 = FALSE, ReportType &lt;&gt; "Final"), AND($Q$122 = FALSE, ReportType &lt;&gt; "Rough"))</formula>
    </cfRule>
  </conditionalFormatting>
  <conditionalFormatting sqref="W122">
    <cfRule type="expression" dxfId="3114" priority="4840">
      <formula>OR($T$122 = TRUE, AND(LEN(TRIM($W$122))&gt;0, $S$122 = FALSE))</formula>
    </cfRule>
  </conditionalFormatting>
  <conditionalFormatting sqref="W134">
    <cfRule type="expression" dxfId="3113" priority="4839">
      <formula>AND($R$134,$S$134)</formula>
    </cfRule>
  </conditionalFormatting>
  <conditionalFormatting sqref="W134">
    <cfRule type="expression" dxfId="3112" priority="4838">
      <formula>AND(IF($R$134,$W$134,TRUE),LEN(TRIM($W$134))&gt;0)</formula>
    </cfRule>
  </conditionalFormatting>
  <conditionalFormatting sqref="W134">
    <cfRule type="expression" dxfId="3111" priority="4837">
      <formula>OR($S$134 = FALSE, AND($P$134 = FALSE, ReportType &lt;&gt; "Final"), AND($Q$134 = FALSE, ReportType &lt;&gt; "Rough"))</formula>
    </cfRule>
  </conditionalFormatting>
  <conditionalFormatting sqref="W134">
    <cfRule type="expression" dxfId="3110" priority="4836">
      <formula>OR($T$134 = TRUE, AND(LEN(TRIM($W$134))&gt;0, $S$134 = FALSE))</formula>
    </cfRule>
  </conditionalFormatting>
  <conditionalFormatting sqref="W136">
    <cfRule type="expression" dxfId="3109" priority="4835">
      <formula>AND($R$136,$S$136)</formula>
    </cfRule>
  </conditionalFormatting>
  <conditionalFormatting sqref="W136">
    <cfRule type="expression" dxfId="3108" priority="4834">
      <formula>AND(IF($R$136,$W$136,TRUE),LEN(TRIM($W$136))&gt;0)</formula>
    </cfRule>
  </conditionalFormatting>
  <conditionalFormatting sqref="W136">
    <cfRule type="expression" dxfId="3107" priority="4833">
      <formula>OR($S$136 = FALSE, AND($P$136 = FALSE, ReportType &lt;&gt; "Final"), AND($Q$136 = FALSE, ReportType &lt;&gt; "Rough"))</formula>
    </cfRule>
  </conditionalFormatting>
  <conditionalFormatting sqref="W136">
    <cfRule type="expression" dxfId="3106" priority="4832">
      <formula>OR($T$136 = TRUE, AND(LEN(TRIM($W$136))&gt;0, $S$136 = FALSE))</formula>
    </cfRule>
  </conditionalFormatting>
  <conditionalFormatting sqref="W151">
    <cfRule type="expression" dxfId="3105" priority="4831">
      <formula>AND($R$151,$S$151)</formula>
    </cfRule>
  </conditionalFormatting>
  <conditionalFormatting sqref="W151">
    <cfRule type="expression" dxfId="3104" priority="4830">
      <formula>AND(IF($R$151,$W$151,TRUE),LEN(TRIM($W$151))&gt;0)</formula>
    </cfRule>
  </conditionalFormatting>
  <conditionalFormatting sqref="W151">
    <cfRule type="expression" dxfId="3103" priority="4829">
      <formula>OR($S$151 = FALSE, AND($P$151 = FALSE, ReportType &lt;&gt; "Final"), AND($Q$151 = FALSE, ReportType &lt;&gt; "Rough"))</formula>
    </cfRule>
  </conditionalFormatting>
  <conditionalFormatting sqref="W151">
    <cfRule type="expression" dxfId="3102" priority="4828">
      <formula>OR($T$151 = TRUE, AND(LEN(TRIM($W$151))&gt;0, $S$151 = FALSE))</formula>
    </cfRule>
  </conditionalFormatting>
  <conditionalFormatting sqref="W236">
    <cfRule type="expression" dxfId="3101" priority="4675">
      <formula>AND($R$236,$S$236)</formula>
    </cfRule>
  </conditionalFormatting>
  <conditionalFormatting sqref="W236">
    <cfRule type="expression" dxfId="3100" priority="4674">
      <formula>AND(IF($R$236,$W$236,TRUE),LEN(TRIM($W$236))&gt;0)</formula>
    </cfRule>
  </conditionalFormatting>
  <conditionalFormatting sqref="W236">
    <cfRule type="expression" dxfId="3099" priority="4673">
      <formula>OR($S$236 = FALSE, AND($P$236 = FALSE, ReportType &lt;&gt; "Final"), AND($Q$236 = FALSE, ReportType &lt;&gt; "Rough"))</formula>
    </cfRule>
  </conditionalFormatting>
  <conditionalFormatting sqref="W236">
    <cfRule type="expression" dxfId="3098" priority="4672">
      <formula>OR($T$236 = TRUE, AND(LEN(TRIM($W$236))&gt;0, $S$236 = FALSE))</formula>
    </cfRule>
  </conditionalFormatting>
  <conditionalFormatting sqref="W254">
    <cfRule type="expression" dxfId="3097" priority="4651">
      <formula>AND($R$254,$S$254)</formula>
    </cfRule>
  </conditionalFormatting>
  <conditionalFormatting sqref="W254">
    <cfRule type="expression" dxfId="3096" priority="4650">
      <formula>AND(IF($R$254,$W$254,TRUE),LEN(TRIM($W$254))&gt;0)</formula>
    </cfRule>
  </conditionalFormatting>
  <conditionalFormatting sqref="W254">
    <cfRule type="expression" dxfId="3095" priority="4649">
      <formula>OR($S$254 = FALSE, AND($P$254 = FALSE, ReportType &lt;&gt; "Final"), AND($Q$254 = FALSE, ReportType &lt;&gt; "Rough"))</formula>
    </cfRule>
  </conditionalFormatting>
  <conditionalFormatting sqref="W254">
    <cfRule type="expression" dxfId="3094" priority="4648">
      <formula>OR($T$254 = TRUE, AND(LEN(TRIM($W$254))&gt;0, $S$254 = FALSE))</formula>
    </cfRule>
  </conditionalFormatting>
  <conditionalFormatting sqref="W367">
    <cfRule type="expression" dxfId="3093" priority="4575">
      <formula>AND($R$367,$S$367)</formula>
    </cfRule>
  </conditionalFormatting>
  <conditionalFormatting sqref="W367">
    <cfRule type="expression" dxfId="3092" priority="4574">
      <formula>AND(IF($R$367,$W$367,TRUE),LEN(TRIM($W$367))&gt;0)</formula>
    </cfRule>
  </conditionalFormatting>
  <conditionalFormatting sqref="W367">
    <cfRule type="expression" dxfId="3091" priority="4573">
      <formula>OR($S$367 = FALSE, AND($P$367 = FALSE, ReportType &lt;&gt; "Final"), AND($Q$367 = FALSE, ReportType &lt;&gt; "Rough"))</formula>
    </cfRule>
  </conditionalFormatting>
  <conditionalFormatting sqref="W367">
    <cfRule type="expression" dxfId="3090" priority="4572">
      <formula>OR($T$367 = TRUE, AND(LEN(TRIM($W$367))&gt;0, $S$367 = FALSE))</formula>
    </cfRule>
  </conditionalFormatting>
  <conditionalFormatting sqref="W368">
    <cfRule type="expression" dxfId="3089" priority="4571">
      <formula>AND($R$368,$S$368)</formula>
    </cfRule>
  </conditionalFormatting>
  <conditionalFormatting sqref="W368">
    <cfRule type="expression" dxfId="3088" priority="4570">
      <formula>AND(IF($R$368,$W$368,TRUE),LEN(TRIM($W$368))&gt;0)</formula>
    </cfRule>
  </conditionalFormatting>
  <conditionalFormatting sqref="W368">
    <cfRule type="expression" dxfId="3087" priority="4569">
      <formula>OR($S$368 = FALSE, AND($P$368 = FALSE, ReportType &lt;&gt; "Final"), AND($Q$368 = FALSE, ReportType &lt;&gt; "Rough"))</formula>
    </cfRule>
  </conditionalFormatting>
  <conditionalFormatting sqref="W368">
    <cfRule type="expression" dxfId="3086" priority="4568">
      <formula>OR($T$368 = TRUE, AND(LEN(TRIM($W$368))&gt;0, $S$368 = FALSE))</formula>
    </cfRule>
  </conditionalFormatting>
  <conditionalFormatting sqref="W369">
    <cfRule type="expression" dxfId="3085" priority="4567">
      <formula>AND($R$369,$S$369)</formula>
    </cfRule>
  </conditionalFormatting>
  <conditionalFormatting sqref="W369">
    <cfRule type="expression" dxfId="3084" priority="4566">
      <formula>AND(IF($R$369,$W$369,TRUE),LEN(TRIM($W$369))&gt;0)</formula>
    </cfRule>
  </conditionalFormatting>
  <conditionalFormatting sqref="W369">
    <cfRule type="expression" dxfId="3083" priority="4565">
      <formula>OR($S$369 = FALSE, AND($P$369 = FALSE, ReportType &lt;&gt; "Final"), AND($Q$369 = FALSE, ReportType &lt;&gt; "Rough"))</formula>
    </cfRule>
  </conditionalFormatting>
  <conditionalFormatting sqref="W369">
    <cfRule type="expression" dxfId="3082" priority="4564">
      <formula>OR($T$369 = TRUE, AND(LEN(TRIM($W$369))&gt;0, $S$369 = FALSE))</formula>
    </cfRule>
  </conditionalFormatting>
  <conditionalFormatting sqref="W373">
    <cfRule type="expression" dxfId="3081" priority="4563">
      <formula>AND($R$373,$S$373)</formula>
    </cfRule>
  </conditionalFormatting>
  <conditionalFormatting sqref="W373">
    <cfRule type="expression" dxfId="3080" priority="4562">
      <formula>AND(IF($R$373,$W$373,TRUE),LEN(TRIM($W$373))&gt;0)</formula>
    </cfRule>
  </conditionalFormatting>
  <conditionalFormatting sqref="W373">
    <cfRule type="expression" dxfId="3079" priority="4561">
      <formula>OR($S$373 = FALSE, AND($P$373 = FALSE, ReportType &lt;&gt; "Final"), AND($Q$373 = FALSE, ReportType &lt;&gt; "Rough"))</formula>
    </cfRule>
  </conditionalFormatting>
  <conditionalFormatting sqref="W373">
    <cfRule type="expression" dxfId="3078" priority="4560">
      <formula>OR($T$373 = TRUE, AND(LEN(TRIM($W$373))&gt;0, $S$373 = FALSE))</formula>
    </cfRule>
  </conditionalFormatting>
  <conditionalFormatting sqref="W375">
    <cfRule type="expression" dxfId="3077" priority="4559">
      <formula>AND($R$375,$S$375)</formula>
    </cfRule>
  </conditionalFormatting>
  <conditionalFormatting sqref="W375">
    <cfRule type="expression" dxfId="3076" priority="4558">
      <formula>AND(IF($R$375,$W$375,TRUE),LEN(TRIM($W$375))&gt;0)</formula>
    </cfRule>
  </conditionalFormatting>
  <conditionalFormatting sqref="W375">
    <cfRule type="expression" dxfId="3075" priority="4557">
      <formula>OR($S$375 = FALSE, AND($P$375 = FALSE, ReportType &lt;&gt; "Final"), AND($Q$375 = FALSE, ReportType &lt;&gt; "Rough"))</formula>
    </cfRule>
  </conditionalFormatting>
  <conditionalFormatting sqref="W375">
    <cfRule type="expression" dxfId="3074" priority="4556">
      <formula>OR($T$375 = TRUE, AND(LEN(TRIM($W$375))&gt;0, $S$375 = FALSE))</formula>
    </cfRule>
  </conditionalFormatting>
  <conditionalFormatting sqref="W436">
    <cfRule type="expression" dxfId="3073" priority="4507">
      <formula>AND($R$436,$S$436)</formula>
    </cfRule>
  </conditionalFormatting>
  <conditionalFormatting sqref="W436">
    <cfRule type="expression" dxfId="3072" priority="4506">
      <formula>AND(IF($R$436,$W$436,TRUE),LEN(TRIM($W$436))&gt;0)</formula>
    </cfRule>
  </conditionalFormatting>
  <conditionalFormatting sqref="W436">
    <cfRule type="expression" dxfId="3071" priority="4505">
      <formula>OR($S$436 = FALSE, AND($P$436 = FALSE, ReportType &lt;&gt; "Final"), AND($Q$436 = FALSE, ReportType &lt;&gt; "Rough"))</formula>
    </cfRule>
  </conditionalFormatting>
  <conditionalFormatting sqref="W436">
    <cfRule type="expression" dxfId="3070" priority="4504">
      <formula>OR($T$436 = TRUE, AND(LEN(TRIM($W$436))&gt;0, $S$436 = FALSE))</formula>
    </cfRule>
  </conditionalFormatting>
  <conditionalFormatting sqref="W503">
    <cfRule type="expression" dxfId="3069" priority="4443">
      <formula>AND($R$503,$S$503)</formula>
    </cfRule>
  </conditionalFormatting>
  <conditionalFormatting sqref="W503">
    <cfRule type="expression" dxfId="3068" priority="4442">
      <formula>AND(IF($R$503,$W$503,TRUE),LEN(TRIM($W$503))&gt;0)</formula>
    </cfRule>
  </conditionalFormatting>
  <conditionalFormatting sqref="W503">
    <cfRule type="expression" dxfId="3067" priority="4441">
      <formula>OR($S$503 = FALSE, AND($P$503 = FALSE, ReportType &lt;&gt; "Final"), AND($Q$503 = FALSE, ReportType &lt;&gt; "Rough"))</formula>
    </cfRule>
  </conditionalFormatting>
  <conditionalFormatting sqref="W503">
    <cfRule type="expression" dxfId="3066" priority="4440">
      <formula>OR($T$503 = TRUE, AND(LEN(TRIM($W$503))&gt;0, $S$503 = FALSE))</formula>
    </cfRule>
  </conditionalFormatting>
  <conditionalFormatting sqref="W513">
    <cfRule type="expression" dxfId="3065" priority="4431">
      <formula>AND($R$513,$S$513)</formula>
    </cfRule>
  </conditionalFormatting>
  <conditionalFormatting sqref="W513">
    <cfRule type="expression" dxfId="3064" priority="4430">
      <formula>AND(IF($R$513,$W$513,TRUE),LEN(TRIM($W$513))&gt;0)</formula>
    </cfRule>
  </conditionalFormatting>
  <conditionalFormatting sqref="W513">
    <cfRule type="expression" dxfId="3063" priority="4429">
      <formula>OR($S$513 = FALSE, AND($P$513 = FALSE, ReportType &lt;&gt; "Final"), AND($Q$513 = FALSE, ReportType &lt;&gt; "Rough"))</formula>
    </cfRule>
  </conditionalFormatting>
  <conditionalFormatting sqref="W513">
    <cfRule type="expression" dxfId="3062" priority="4428">
      <formula>OR($T$513 = TRUE, AND(LEN(TRIM($W$513))&gt;0, $S$513 = FALSE))</formula>
    </cfRule>
  </conditionalFormatting>
  <conditionalFormatting sqref="W642">
    <cfRule type="expression" dxfId="3061" priority="4323">
      <formula>AND($R$642,$S$642)</formula>
    </cfRule>
  </conditionalFormatting>
  <conditionalFormatting sqref="W642">
    <cfRule type="expression" dxfId="3060" priority="4322">
      <formula>AND(IF($R$642,$W$642,TRUE),LEN(TRIM($W$642))&gt;0)</formula>
    </cfRule>
  </conditionalFormatting>
  <conditionalFormatting sqref="W642">
    <cfRule type="expression" dxfId="3059" priority="4321">
      <formula>OR($S$642 = FALSE, AND($P$642 = FALSE, ReportType &lt;&gt; "Final"), AND($Q$642 = FALSE, ReportType &lt;&gt; "Rough"))</formula>
    </cfRule>
  </conditionalFormatting>
  <conditionalFormatting sqref="W642">
    <cfRule type="expression" dxfId="3058" priority="4320">
      <formula>OR($T$642 = TRUE, AND(LEN(TRIM($W$642))&gt;0, $S$642 = FALSE))</formula>
    </cfRule>
  </conditionalFormatting>
  <conditionalFormatting sqref="W643">
    <cfRule type="expression" dxfId="3057" priority="4319">
      <formula>AND($R$643,$S$643)</formula>
    </cfRule>
  </conditionalFormatting>
  <conditionalFormatting sqref="W643">
    <cfRule type="expression" dxfId="3056" priority="4318">
      <formula>AND(IF($R$643,$W$643,TRUE),LEN(TRIM($W$643))&gt;0)</formula>
    </cfRule>
  </conditionalFormatting>
  <conditionalFormatting sqref="W643">
    <cfRule type="expression" dxfId="3055" priority="4317">
      <formula>OR($S$643 = FALSE, AND($P$643 = FALSE, ReportType &lt;&gt; "Final"), AND($Q$643 = FALSE, ReportType &lt;&gt; "Rough"))</formula>
    </cfRule>
  </conditionalFormatting>
  <conditionalFormatting sqref="W643">
    <cfRule type="expression" dxfId="3054" priority="4316">
      <formula>OR($T$643 = TRUE, AND(LEN(TRIM($W$643))&gt;0, $S$643 = FALSE))</formula>
    </cfRule>
  </conditionalFormatting>
  <conditionalFormatting sqref="W644">
    <cfRule type="expression" dxfId="3053" priority="4315">
      <formula>AND($R$644,$S$644)</formula>
    </cfRule>
  </conditionalFormatting>
  <conditionalFormatting sqref="W644">
    <cfRule type="expression" dxfId="3052" priority="4314">
      <formula>AND(IF($R$644,$W$644,TRUE),LEN(TRIM($W$644))&gt;0)</formula>
    </cfRule>
  </conditionalFormatting>
  <conditionalFormatting sqref="W644">
    <cfRule type="expression" dxfId="3051" priority="4313">
      <formula>OR($S$644 = FALSE, AND($P$644 = FALSE, ReportType &lt;&gt; "Final"), AND($Q$644 = FALSE, ReportType &lt;&gt; "Rough"))</formula>
    </cfRule>
  </conditionalFormatting>
  <conditionalFormatting sqref="W644">
    <cfRule type="expression" dxfId="3050" priority="4312">
      <formula>OR($T$644 = TRUE, AND(LEN(TRIM($W$644))&gt;0, $S$644 = FALSE))</formula>
    </cfRule>
  </conditionalFormatting>
  <conditionalFormatting sqref="W645">
    <cfRule type="expression" dxfId="3049" priority="4311">
      <formula>AND($R$645,$S$645)</formula>
    </cfRule>
  </conditionalFormatting>
  <conditionalFormatting sqref="W645">
    <cfRule type="expression" dxfId="3048" priority="4310">
      <formula>AND(IF($R$645,$W$645,TRUE),LEN(TRIM($W$645))&gt;0)</formula>
    </cfRule>
  </conditionalFormatting>
  <conditionalFormatting sqref="W645">
    <cfRule type="expression" dxfId="3047" priority="4309">
      <formula>OR($S$645 = FALSE, AND($P$645 = FALSE, ReportType &lt;&gt; "Final"), AND($Q$645 = FALSE, ReportType &lt;&gt; "Rough"))</formula>
    </cfRule>
  </conditionalFormatting>
  <conditionalFormatting sqref="W645">
    <cfRule type="expression" dxfId="3046" priority="4308">
      <formula>OR($T$645 = TRUE, AND(LEN(TRIM($W$645))&gt;0, $S$645 = FALSE))</formula>
    </cfRule>
  </conditionalFormatting>
  <conditionalFormatting sqref="W646">
    <cfRule type="expression" dxfId="3045" priority="4307">
      <formula>AND($R$646,$S$646)</formula>
    </cfRule>
  </conditionalFormatting>
  <conditionalFormatting sqref="W646">
    <cfRule type="expression" dxfId="3044" priority="4306">
      <formula>AND(IF($R$646,$W$646,TRUE),LEN(TRIM($W$646))&gt;0)</formula>
    </cfRule>
  </conditionalFormatting>
  <conditionalFormatting sqref="W646">
    <cfRule type="expression" dxfId="3043" priority="4305">
      <formula>OR($S$646 = FALSE, AND($P$646 = FALSE, ReportType &lt;&gt; "Final"), AND($Q$646 = FALSE, ReportType &lt;&gt; "Rough"))</formula>
    </cfRule>
  </conditionalFormatting>
  <conditionalFormatting sqref="W646">
    <cfRule type="expression" dxfId="3042" priority="4304">
      <formula>OR($T$646 = TRUE, AND(LEN(TRIM($W$646))&gt;0, $S$646 = FALSE))</formula>
    </cfRule>
  </conditionalFormatting>
  <conditionalFormatting sqref="W647">
    <cfRule type="expression" dxfId="3041" priority="4303">
      <formula>AND($R$647,$S$647)</formula>
    </cfRule>
  </conditionalFormatting>
  <conditionalFormatting sqref="W647">
    <cfRule type="expression" dxfId="3040" priority="4302">
      <formula>AND(IF($R$647,$W$647,TRUE),LEN(TRIM($W$647))&gt;0)</formula>
    </cfRule>
  </conditionalFormatting>
  <conditionalFormatting sqref="W647">
    <cfRule type="expression" dxfId="3039" priority="4301">
      <formula>OR($S$647 = FALSE, AND($P$647 = FALSE, ReportType &lt;&gt; "Final"), AND($Q$647 = FALSE, ReportType &lt;&gt; "Rough"))</formula>
    </cfRule>
  </conditionalFormatting>
  <conditionalFormatting sqref="W647">
    <cfRule type="expression" dxfId="3038" priority="4300">
      <formula>OR($T$647 = TRUE, AND(LEN(TRIM($W$647))&gt;0, $S$647 = FALSE))</formula>
    </cfRule>
  </conditionalFormatting>
  <conditionalFormatting sqref="W648">
    <cfRule type="expression" dxfId="3037" priority="4299">
      <formula>AND($R$648,$S$648)</formula>
    </cfRule>
  </conditionalFormatting>
  <conditionalFormatting sqref="W648">
    <cfRule type="expression" dxfId="3036" priority="4298">
      <formula>AND(IF($R$648,$W$648,TRUE),LEN(TRIM($W$648))&gt;0)</formula>
    </cfRule>
  </conditionalFormatting>
  <conditionalFormatting sqref="W648">
    <cfRule type="expression" dxfId="3035" priority="4297">
      <formula>OR($S$648 = FALSE, AND($P$648 = FALSE, ReportType &lt;&gt; "Final"), AND($Q$648 = FALSE, ReportType &lt;&gt; "Rough"))</formula>
    </cfRule>
  </conditionalFormatting>
  <conditionalFormatting sqref="W648">
    <cfRule type="expression" dxfId="3034" priority="4296">
      <formula>OR($T$648 = TRUE, AND(LEN(TRIM($W$648))&gt;0, $S$648 = FALSE))</formula>
    </cfRule>
  </conditionalFormatting>
  <conditionalFormatting sqref="W649">
    <cfRule type="expression" dxfId="3033" priority="4295">
      <formula>AND($R$649,$S$649)</formula>
    </cfRule>
  </conditionalFormatting>
  <conditionalFormatting sqref="W649">
    <cfRule type="expression" dxfId="3032" priority="4294">
      <formula>AND(IF($R$649,$W$649,TRUE),LEN(TRIM($W$649))&gt;0)</formula>
    </cfRule>
  </conditionalFormatting>
  <conditionalFormatting sqref="W649">
    <cfRule type="expression" dxfId="3031" priority="4293">
      <formula>OR($S$649 = FALSE, AND($P$649 = FALSE, ReportType &lt;&gt; "Final"), AND($Q$649 = FALSE, ReportType &lt;&gt; "Rough"))</formula>
    </cfRule>
  </conditionalFormatting>
  <conditionalFormatting sqref="W649">
    <cfRule type="expression" dxfId="3030" priority="4292">
      <formula>OR($T$649 = TRUE, AND(LEN(TRIM($W$649))&gt;0, $S$649 = FALSE))</formula>
    </cfRule>
  </conditionalFormatting>
  <conditionalFormatting sqref="W673">
    <cfRule type="expression" dxfId="3029" priority="4291">
      <formula>AND($R$673,$S$673)</formula>
    </cfRule>
  </conditionalFormatting>
  <conditionalFormatting sqref="W673">
    <cfRule type="expression" dxfId="3028" priority="4290">
      <formula>AND(IF($R$673,$W$673,TRUE),LEN(TRIM($W$673))&gt;0)</formula>
    </cfRule>
  </conditionalFormatting>
  <conditionalFormatting sqref="W673">
    <cfRule type="expression" dxfId="3027" priority="4289">
      <formula>OR($S$673 = FALSE, AND($P$673 = FALSE, ReportType &lt;&gt; "Final"), AND($Q$673 = FALSE, ReportType &lt;&gt; "Rough"))</formula>
    </cfRule>
  </conditionalFormatting>
  <conditionalFormatting sqref="W673">
    <cfRule type="expression" dxfId="3026" priority="4288">
      <formula>OR($T$673 = TRUE, AND(LEN(TRIM($W$673))&gt;0, $S$673 = FALSE))</formula>
    </cfRule>
  </conditionalFormatting>
  <conditionalFormatting sqref="W674">
    <cfRule type="expression" dxfId="3025" priority="4287">
      <formula>AND($R$674,$S$674)</formula>
    </cfRule>
  </conditionalFormatting>
  <conditionalFormatting sqref="W674">
    <cfRule type="expression" dxfId="3024" priority="4286">
      <formula>AND(IF($R$674,$W$674,TRUE),LEN(TRIM($W$674))&gt;0)</formula>
    </cfRule>
  </conditionalFormatting>
  <conditionalFormatting sqref="W674">
    <cfRule type="expression" dxfId="3023" priority="4285">
      <formula>OR($S$674 = FALSE, AND($P$674 = FALSE, ReportType &lt;&gt; "Final"), AND($Q$674 = FALSE, ReportType &lt;&gt; "Rough"))</formula>
    </cfRule>
  </conditionalFormatting>
  <conditionalFormatting sqref="W674">
    <cfRule type="expression" dxfId="3022" priority="4284">
      <formula>OR($T$674 = TRUE, AND(LEN(TRIM($W$674))&gt;0, $S$674 = FALSE))</formula>
    </cfRule>
  </conditionalFormatting>
  <conditionalFormatting sqref="W676">
    <cfRule type="expression" dxfId="3021" priority="4283">
      <formula>AND($R$676,$S$676)</formula>
    </cfRule>
  </conditionalFormatting>
  <conditionalFormatting sqref="W676">
    <cfRule type="expression" dxfId="3020" priority="4282">
      <formula>AND(IF($R$676,$W$676,TRUE),LEN(TRIM($W$676))&gt;0)</formula>
    </cfRule>
  </conditionalFormatting>
  <conditionalFormatting sqref="W676">
    <cfRule type="expression" dxfId="3019" priority="4281">
      <formula>OR($S$676 = FALSE, AND($P$676 = FALSE, ReportType &lt;&gt; "Final"), AND($Q$676 = FALSE, ReportType &lt;&gt; "Rough"))</formula>
    </cfRule>
  </conditionalFormatting>
  <conditionalFormatting sqref="W676">
    <cfRule type="expression" dxfId="3018" priority="4280">
      <formula>OR($T$676 = TRUE, AND(LEN(TRIM($W$676))&gt;0, $S$676 = FALSE))</formula>
    </cfRule>
  </conditionalFormatting>
  <conditionalFormatting sqref="W677">
    <cfRule type="expression" dxfId="3017" priority="4279">
      <formula>AND($R$677,$S$677)</formula>
    </cfRule>
  </conditionalFormatting>
  <conditionalFormatting sqref="W677">
    <cfRule type="expression" dxfId="3016" priority="4278">
      <formula>AND(IF($R$677,$W$677,TRUE),LEN(TRIM($W$677))&gt;0)</formula>
    </cfRule>
  </conditionalFormatting>
  <conditionalFormatting sqref="W677">
    <cfRule type="expression" dxfId="3015" priority="4277">
      <formula>OR($S$677 = FALSE, AND($P$677 = FALSE, ReportType &lt;&gt; "Final"), AND($Q$677 = FALSE, ReportType &lt;&gt; "Rough"))</formula>
    </cfRule>
  </conditionalFormatting>
  <conditionalFormatting sqref="W677">
    <cfRule type="expression" dxfId="3014" priority="4276">
      <formula>OR($T$677 = TRUE, AND(LEN(TRIM($W$677))&gt;0, $S$677 = FALSE))</formula>
    </cfRule>
  </conditionalFormatting>
  <conditionalFormatting sqref="W679">
    <cfRule type="expression" dxfId="3013" priority="4275">
      <formula>AND($R$679,$S$679)</formula>
    </cfRule>
  </conditionalFormatting>
  <conditionalFormatting sqref="W679">
    <cfRule type="expression" dxfId="3012" priority="4274">
      <formula>AND(IF($R$679,$W$679,TRUE),LEN(TRIM($W$679))&gt;0)</formula>
    </cfRule>
  </conditionalFormatting>
  <conditionalFormatting sqref="W679">
    <cfRule type="expression" dxfId="3011" priority="4273">
      <formula>OR($S$679 = FALSE, AND($P$679 = FALSE, ReportType &lt;&gt; "Final"), AND($Q$679 = FALSE, ReportType &lt;&gt; "Rough"))</formula>
    </cfRule>
  </conditionalFormatting>
  <conditionalFormatting sqref="W679">
    <cfRule type="expression" dxfId="3010" priority="4272">
      <formula>OR($T$679 = TRUE, AND(LEN(TRIM($W$679))&gt;0, $S$679 = FALSE))</formula>
    </cfRule>
  </conditionalFormatting>
  <conditionalFormatting sqref="W702">
    <cfRule type="expression" dxfId="3009" priority="4259">
      <formula>AND($R$702,$S$702)</formula>
    </cfRule>
  </conditionalFormatting>
  <conditionalFormatting sqref="W702">
    <cfRule type="expression" dxfId="3008" priority="4258">
      <formula>AND(IF($R$702,$W$702,TRUE),LEN(TRIM($W$702))&gt;0)</formula>
    </cfRule>
  </conditionalFormatting>
  <conditionalFormatting sqref="W702">
    <cfRule type="expression" dxfId="3007" priority="4257">
      <formula>OR($S$702 = FALSE, AND($P$702 = FALSE, ReportType &lt;&gt; "Final"), AND($Q$702 = FALSE, ReportType &lt;&gt; "Rough"))</formula>
    </cfRule>
  </conditionalFormatting>
  <conditionalFormatting sqref="W702">
    <cfRule type="expression" dxfId="3006" priority="4256">
      <formula>OR($T$702 = TRUE, AND(LEN(TRIM($W$702))&gt;0, $S$702 = FALSE))</formula>
    </cfRule>
  </conditionalFormatting>
  <conditionalFormatting sqref="W714">
    <cfRule type="expression" dxfId="3005" priority="4255">
      <formula>AND($R$714,$S$714)</formula>
    </cfRule>
  </conditionalFormatting>
  <conditionalFormatting sqref="W714">
    <cfRule type="expression" dxfId="3004" priority="4254">
      <formula>AND(IF($R$714,$W$714,TRUE),LEN(TRIM($W$714))&gt;0)</formula>
    </cfRule>
  </conditionalFormatting>
  <conditionalFormatting sqref="W714">
    <cfRule type="expression" dxfId="3003" priority="4253">
      <formula>OR($S$714 = FALSE, AND($P$714 = FALSE, ReportType &lt;&gt; "Final"), AND($Q$714 = FALSE, ReportType &lt;&gt; "Rough"))</formula>
    </cfRule>
  </conditionalFormatting>
  <conditionalFormatting sqref="W714">
    <cfRule type="expression" dxfId="3002" priority="4252">
      <formula>OR($T$714 = TRUE, AND(LEN(TRIM($W$714))&gt;0, $S$714 = FALSE))</formula>
    </cfRule>
  </conditionalFormatting>
  <conditionalFormatting sqref="W716">
    <cfRule type="expression" dxfId="3001" priority="4251">
      <formula>AND($R$716,$S$716)</formula>
    </cfRule>
  </conditionalFormatting>
  <conditionalFormatting sqref="W716">
    <cfRule type="expression" dxfId="3000" priority="4250">
      <formula>AND(IF($R$716,$W$716,TRUE),LEN(TRIM($W$716))&gt;0)</formula>
    </cfRule>
  </conditionalFormatting>
  <conditionalFormatting sqref="W716">
    <cfRule type="expression" dxfId="2999" priority="4249">
      <formula>OR($S$716 = FALSE, AND($P$716 = FALSE, ReportType &lt;&gt; "Final"), AND($Q$716 = FALSE, ReportType &lt;&gt; "Rough"))</formula>
    </cfRule>
  </conditionalFormatting>
  <conditionalFormatting sqref="W716">
    <cfRule type="expression" dxfId="2998" priority="4248">
      <formula>OR($T$716 = TRUE, AND(LEN(TRIM($W$716))&gt;0, $S$716 = FALSE))</formula>
    </cfRule>
  </conditionalFormatting>
  <conditionalFormatting sqref="W757">
    <cfRule type="expression" dxfId="2997" priority="4235">
      <formula>AND($R$757,$S$757)</formula>
    </cfRule>
  </conditionalFormatting>
  <conditionalFormatting sqref="W757">
    <cfRule type="expression" dxfId="2996" priority="4234">
      <formula>AND(IF($R$757,$W$757,TRUE),LEN(TRIM($W$757))&gt;0)</formula>
    </cfRule>
  </conditionalFormatting>
  <conditionalFormatting sqref="W757">
    <cfRule type="expression" dxfId="2995" priority="4233">
      <formula>OR($S$757 = FALSE, AND($P$757 = FALSE, ReportType &lt;&gt; "Final"), AND($Q$757 = FALSE, ReportType &lt;&gt; "Rough"))</formula>
    </cfRule>
  </conditionalFormatting>
  <conditionalFormatting sqref="W757">
    <cfRule type="expression" dxfId="2994" priority="4232">
      <formula>OR($T$757 = TRUE, AND(LEN(TRIM($W$757))&gt;0, $S$757 = FALSE))</formula>
    </cfRule>
  </conditionalFormatting>
  <conditionalFormatting sqref="W764">
    <cfRule type="expression" dxfId="2993" priority="4231">
      <formula>AND($R$764,$S$764)</formula>
    </cfRule>
  </conditionalFormatting>
  <conditionalFormatting sqref="W764">
    <cfRule type="expression" dxfId="2992" priority="4230">
      <formula>AND(IF($R$764,$W$764,TRUE),LEN(TRIM($W$764))&gt;0)</formula>
    </cfRule>
  </conditionalFormatting>
  <conditionalFormatting sqref="W764">
    <cfRule type="expression" dxfId="2991" priority="4229">
      <formula>OR($S$764 = FALSE, AND($P$764 = FALSE, ReportType &lt;&gt; "Final"), AND($Q$764 = FALSE, ReportType &lt;&gt; "Rough"))</formula>
    </cfRule>
  </conditionalFormatting>
  <conditionalFormatting sqref="W764">
    <cfRule type="expression" dxfId="2990" priority="4228">
      <formula>OR($T$764 = TRUE, AND(LEN(TRIM($W$764))&gt;0, $S$764 = FALSE))</formula>
    </cfRule>
  </conditionalFormatting>
  <conditionalFormatting sqref="W770">
    <cfRule type="expression" dxfId="2989" priority="4227">
      <formula>AND($R$770,$S$770)</formula>
    </cfRule>
  </conditionalFormatting>
  <conditionalFormatting sqref="W770">
    <cfRule type="expression" dxfId="2988" priority="4226">
      <formula>AND(IF($R$770,$W$770,TRUE),LEN(TRIM($W$770))&gt;0)</formula>
    </cfRule>
  </conditionalFormatting>
  <conditionalFormatting sqref="W770">
    <cfRule type="expression" dxfId="2987" priority="4225">
      <formula>OR($S$770 = FALSE, AND($P$770 = FALSE, ReportType &lt;&gt; "Final"), AND($Q$770 = FALSE, ReportType &lt;&gt; "Rough"))</formula>
    </cfRule>
  </conditionalFormatting>
  <conditionalFormatting sqref="W770">
    <cfRule type="expression" dxfId="2986" priority="4224">
      <formula>OR($T$770 = TRUE, AND(LEN(TRIM($W$770))&gt;0, $S$770 = FALSE))</formula>
    </cfRule>
  </conditionalFormatting>
  <conditionalFormatting sqref="W776">
    <cfRule type="expression" dxfId="2985" priority="4223">
      <formula>AND($R$776,$S$776)</formula>
    </cfRule>
  </conditionalFormatting>
  <conditionalFormatting sqref="W776">
    <cfRule type="expression" dxfId="2984" priority="4222">
      <formula>AND(IF($R$776,$W$776,TRUE),LEN(TRIM($W$776))&gt;0)</formula>
    </cfRule>
  </conditionalFormatting>
  <conditionalFormatting sqref="W776">
    <cfRule type="expression" dxfId="2983" priority="4221">
      <formula>OR($S$776 = FALSE, AND($P$776 = FALSE, ReportType &lt;&gt; "Final"), AND($Q$776 = FALSE, ReportType &lt;&gt; "Rough"))</formula>
    </cfRule>
  </conditionalFormatting>
  <conditionalFormatting sqref="W776">
    <cfRule type="expression" dxfId="2982" priority="4220">
      <formula>OR($T$776 = TRUE, AND(LEN(TRIM($W$776))&gt;0, $S$776 = FALSE))</formula>
    </cfRule>
  </conditionalFormatting>
  <conditionalFormatting sqref="W782">
    <cfRule type="expression" dxfId="2981" priority="4219">
      <formula>AND($R$782,$S$782)</formula>
    </cfRule>
  </conditionalFormatting>
  <conditionalFormatting sqref="W782">
    <cfRule type="expression" dxfId="2980" priority="4218">
      <formula>AND(IF($R$782,$W$782,TRUE),LEN(TRIM($W$782))&gt;0)</formula>
    </cfRule>
  </conditionalFormatting>
  <conditionalFormatting sqref="W782">
    <cfRule type="expression" dxfId="2979" priority="4217">
      <formula>OR($S$782 = FALSE, AND($P$782 = FALSE, ReportType &lt;&gt; "Final"), AND($Q$782 = FALSE, ReportType &lt;&gt; "Rough"))</formula>
    </cfRule>
  </conditionalFormatting>
  <conditionalFormatting sqref="W782">
    <cfRule type="expression" dxfId="2978" priority="4216">
      <formula>OR($T$782 = TRUE, AND(LEN(TRIM($W$782))&gt;0, $S$782 = FALSE))</formula>
    </cfRule>
  </conditionalFormatting>
  <conditionalFormatting sqref="W788">
    <cfRule type="expression" dxfId="2977" priority="4215">
      <formula>AND($R$788,$S$788)</formula>
    </cfRule>
  </conditionalFormatting>
  <conditionalFormatting sqref="W788">
    <cfRule type="expression" dxfId="2976" priority="4214">
      <formula>AND(IF($R$788,$W$788,TRUE),LEN(TRIM($W$788))&gt;0)</formula>
    </cfRule>
  </conditionalFormatting>
  <conditionalFormatting sqref="W788">
    <cfRule type="expression" dxfId="2975" priority="4213">
      <formula>OR($S$788 = FALSE, AND($P$788 = FALSE, ReportType &lt;&gt; "Final"), AND($Q$788 = FALSE, ReportType &lt;&gt; "Rough"))</formula>
    </cfRule>
  </conditionalFormatting>
  <conditionalFormatting sqref="W788">
    <cfRule type="expression" dxfId="2974" priority="4212">
      <formula>OR($T$788 = TRUE, AND(LEN(TRIM($W$788))&gt;0, $S$788 = FALSE))</formula>
    </cfRule>
  </conditionalFormatting>
  <conditionalFormatting sqref="W817">
    <cfRule type="expression" dxfId="2973" priority="4211">
      <formula>AND($R$817,$S$817)</formula>
    </cfRule>
  </conditionalFormatting>
  <conditionalFormatting sqref="W817">
    <cfRule type="expression" dxfId="2972" priority="4210">
      <formula>AND(IF($R$817,$W$817,TRUE),LEN(TRIM($W$817))&gt;0)</formula>
    </cfRule>
  </conditionalFormatting>
  <conditionalFormatting sqref="W817">
    <cfRule type="expression" dxfId="2971" priority="4209">
      <formula>OR($S$817 = FALSE, AND($P$817 = FALSE, ReportType &lt;&gt; "Final"), AND($Q$817 = FALSE, ReportType &lt;&gt; "Rough"))</formula>
    </cfRule>
  </conditionalFormatting>
  <conditionalFormatting sqref="W817">
    <cfRule type="expression" dxfId="2970" priority="4208">
      <formula>OR($T$817 = TRUE, AND(LEN(TRIM($W$817))&gt;0, $S$817 = FALSE))</formula>
    </cfRule>
  </conditionalFormatting>
  <conditionalFormatting sqref="W422">
    <cfRule type="expression" dxfId="2969" priority="4143">
      <formula>AND($R$422,$S$422)</formula>
    </cfRule>
  </conditionalFormatting>
  <conditionalFormatting sqref="W422">
    <cfRule type="expression" dxfId="2968" priority="4142">
      <formula>AND($W$422&lt;&gt;"Not Met",LEN(TRIM($W$422))&gt;0)</formula>
    </cfRule>
  </conditionalFormatting>
  <conditionalFormatting sqref="W422">
    <cfRule type="expression" dxfId="2967" priority="4141">
      <formula>OR($S$422 = FALSE, AND($P$422 = FALSE, ReportType &lt;&gt; "Final"), AND($Q$422 = FALSE, ReportType &lt;&gt; "Rough"))</formula>
    </cfRule>
  </conditionalFormatting>
  <conditionalFormatting sqref="W422">
    <cfRule type="expression" dxfId="2966" priority="4140">
      <formula>OR($T$422 = TRUE, AND(LEN(TRIM($W$422))&gt;0, $S$422 = FALSE))</formula>
    </cfRule>
  </conditionalFormatting>
  <conditionalFormatting sqref="W431">
    <cfRule type="expression" dxfId="2965" priority="4139">
      <formula>AND($R$431,$S$431)</formula>
    </cfRule>
  </conditionalFormatting>
  <conditionalFormatting sqref="W431">
    <cfRule type="expression" dxfId="2964" priority="4138">
      <formula>AND($W$431&lt;&gt;"Not Met",LEN(TRIM($W$431))&gt;0)</formula>
    </cfRule>
  </conditionalFormatting>
  <conditionalFormatting sqref="W431">
    <cfRule type="expression" dxfId="2963" priority="4137">
      <formula>OR($S$431 = FALSE, AND($P$431 = FALSE, ReportType &lt;&gt; "Final"), AND($Q$431 = FALSE, ReportType &lt;&gt; "Rough"))</formula>
    </cfRule>
  </conditionalFormatting>
  <conditionalFormatting sqref="W431">
    <cfRule type="expression" dxfId="2962" priority="4136">
      <formula>OR($T$431 = TRUE, AND(LEN(TRIM($W$431))&gt;0, $S$431 = FALSE))</formula>
    </cfRule>
  </conditionalFormatting>
  <conditionalFormatting sqref="W460">
    <cfRule type="expression" dxfId="2961" priority="4135">
      <formula>AND($R$460,$S$460)</formula>
    </cfRule>
  </conditionalFormatting>
  <conditionalFormatting sqref="W460">
    <cfRule type="expression" dxfId="2960" priority="4134">
      <formula>AND($W$460&lt;&gt;"Not Met",LEN(TRIM($W$460))&gt;0)</formula>
    </cfRule>
  </conditionalFormatting>
  <conditionalFormatting sqref="W460">
    <cfRule type="expression" dxfId="2959" priority="4133">
      <formula>OR($S$460 = FALSE, AND($P$460 = FALSE, ReportType &lt;&gt; "Final"), AND($Q$460 = FALSE, ReportType &lt;&gt; "Rough"))</formula>
    </cfRule>
  </conditionalFormatting>
  <conditionalFormatting sqref="W460">
    <cfRule type="expression" dxfId="2958" priority="4132">
      <formula>OR($T$460 = TRUE, AND(LEN(TRIM($W$460))&gt;0, $S$460 = FALSE))</formula>
    </cfRule>
  </conditionalFormatting>
  <conditionalFormatting sqref="W471">
    <cfRule type="expression" dxfId="2957" priority="4131">
      <formula>AND($R$471,$S$471)</formula>
    </cfRule>
  </conditionalFormatting>
  <conditionalFormatting sqref="W471">
    <cfRule type="expression" dxfId="2956" priority="4130">
      <formula>AND($W$471&lt;&gt;"Not Met",LEN(TRIM($W$471))&gt;0)</formula>
    </cfRule>
  </conditionalFormatting>
  <conditionalFormatting sqref="W471">
    <cfRule type="expression" dxfId="2955" priority="4129">
      <formula>OR($S$471 = FALSE, AND($P$471 = FALSE, ReportType &lt;&gt; "Final"), AND($Q$471 = FALSE, ReportType &lt;&gt; "Rough"))</formula>
    </cfRule>
  </conditionalFormatting>
  <conditionalFormatting sqref="W471">
    <cfRule type="expression" dxfId="2954" priority="4128">
      <formula>OR($T$471 = TRUE, AND(LEN(TRIM($W$471))&gt;0, $S$471 = FALSE))</formula>
    </cfRule>
  </conditionalFormatting>
  <conditionalFormatting sqref="W525">
    <cfRule type="expression" dxfId="2953" priority="4127">
      <formula>AND($R$525,$S$525)</formula>
    </cfRule>
  </conditionalFormatting>
  <conditionalFormatting sqref="W525">
    <cfRule type="expression" dxfId="2952" priority="4126">
      <formula>AND($W$525&lt;&gt;"Not Met",LEN(TRIM($W$525))&gt;0)</formula>
    </cfRule>
  </conditionalFormatting>
  <conditionalFormatting sqref="W525">
    <cfRule type="expression" dxfId="2951" priority="4125">
      <formula>OR($S$525 = FALSE, AND($P$525 = FALSE, ReportType &lt;&gt; "Final"), AND($Q$525 = FALSE, ReportType &lt;&gt; "Rough"))</formula>
    </cfRule>
  </conditionalFormatting>
  <conditionalFormatting sqref="W525">
    <cfRule type="expression" dxfId="2950" priority="4124">
      <formula>OR($T$525 = TRUE, AND(LEN(TRIM($W$525))&gt;0, $S$525 = FALSE))</formula>
    </cfRule>
  </conditionalFormatting>
  <conditionalFormatting sqref="W532">
    <cfRule type="expression" dxfId="2949" priority="4123">
      <formula>AND($R$532,$S$532)</formula>
    </cfRule>
  </conditionalFormatting>
  <conditionalFormatting sqref="W532">
    <cfRule type="expression" dxfId="2948" priority="4122">
      <formula>AND($W$532&lt;&gt;"Not Met",LEN(TRIM($W$532))&gt;0)</formula>
    </cfRule>
  </conditionalFormatting>
  <conditionalFormatting sqref="W532">
    <cfRule type="expression" dxfId="2947" priority="4121">
      <formula>OR($S$532 = FALSE, AND($P$532 = FALSE, ReportType &lt;&gt; "Final"), AND($Q$532 = FALSE, ReportType &lt;&gt; "Rough"))</formula>
    </cfRule>
  </conditionalFormatting>
  <conditionalFormatting sqref="W532">
    <cfRule type="expression" dxfId="2946" priority="4120">
      <formula>OR($T$532 = TRUE, AND(LEN(TRIM($W$532))&gt;0, $S$532 = FALSE))</formula>
    </cfRule>
  </conditionalFormatting>
  <conditionalFormatting sqref="W538">
    <cfRule type="expression" dxfId="2945" priority="4119">
      <formula>AND($R$538,$S$538)</formula>
    </cfRule>
  </conditionalFormatting>
  <conditionalFormatting sqref="W538">
    <cfRule type="expression" dxfId="2944" priority="4118">
      <formula>AND($W$538&lt;&gt;"Not Met",LEN(TRIM($W$538))&gt;0)</formula>
    </cfRule>
  </conditionalFormatting>
  <conditionalFormatting sqref="W538">
    <cfRule type="expression" dxfId="2943" priority="4117">
      <formula>OR($S$538 = FALSE, AND($P$538 = FALSE, ReportType &lt;&gt; "Final"), AND($Q$538 = FALSE, ReportType &lt;&gt; "Rough"))</formula>
    </cfRule>
  </conditionalFormatting>
  <conditionalFormatting sqref="W538">
    <cfRule type="expression" dxfId="2942" priority="4116">
      <formula>OR($T$538 = TRUE, AND(LEN(TRIM($W$538))&gt;0, $S$538 = FALSE))</formula>
    </cfRule>
  </conditionalFormatting>
  <conditionalFormatting sqref="W15">
    <cfRule type="expression" dxfId="2941" priority="4096">
      <formula>OR($T$15 = TRUE, AND($W$15 = TRUE, $S$15 = FALSE))</formula>
    </cfRule>
    <cfRule type="expression" dxfId="2940" priority="4097">
      <formula>OR($S$15 = FALSE, AND($P$15 = FALSE, ReportType &lt;&gt; "Final"), AND($Q$15 = FALSE, ReportType &lt;&gt; "Rough"))</formula>
    </cfRule>
    <cfRule type="expression" dxfId="2939" priority="4098">
      <formula>AND(IF($R$15,$W$15,TRUE),LEN(TRIM($W$15))&gt;0)</formula>
    </cfRule>
    <cfRule type="expression" dxfId="2938" priority="4099">
      <formula>AND($R$15,$S$15)</formula>
    </cfRule>
  </conditionalFormatting>
  <conditionalFormatting sqref="W17">
    <cfRule type="expression" dxfId="2937" priority="4095">
      <formula>AND($R$17,$S$17)</formula>
    </cfRule>
  </conditionalFormatting>
  <conditionalFormatting sqref="W17">
    <cfRule type="expression" dxfId="2936" priority="4094">
      <formula>AND(IF($R$17,$W$17,TRUE),LEN(TRIM($W$17))&gt;0)</formula>
    </cfRule>
  </conditionalFormatting>
  <conditionalFormatting sqref="W17">
    <cfRule type="expression" dxfId="2935" priority="4093">
      <formula>OR($S$17 = FALSE, AND($P$17 = FALSE, ReportType &lt;&gt; "Final"), AND($Q$17 = FALSE, ReportType &lt;&gt; "Rough"))</formula>
    </cfRule>
  </conditionalFormatting>
  <conditionalFormatting sqref="W17">
    <cfRule type="expression" dxfId="2934" priority="4092">
      <formula>OR($T$17 = TRUE, AND($W$17 = TRUE, $S$17 = FALSE))</formula>
    </cfRule>
  </conditionalFormatting>
  <conditionalFormatting sqref="W19">
    <cfRule type="expression" dxfId="2933" priority="4087">
      <formula>AND($R$19,$S$19)</formula>
    </cfRule>
  </conditionalFormatting>
  <conditionalFormatting sqref="W19">
    <cfRule type="expression" dxfId="2932" priority="4086">
      <formula>AND(IF($R$19,$W$19,TRUE),LEN(TRIM($W$19))&gt;0)</formula>
    </cfRule>
  </conditionalFormatting>
  <conditionalFormatting sqref="W19">
    <cfRule type="expression" dxfId="2931" priority="4085">
      <formula>OR($S$19 = FALSE, AND($P$19 = FALSE, ReportType &lt;&gt; "Final"), AND($Q$19 = FALSE, ReportType &lt;&gt; "Rough"))</formula>
    </cfRule>
  </conditionalFormatting>
  <conditionalFormatting sqref="W19">
    <cfRule type="expression" dxfId="2930" priority="4084">
      <formula>OR($T$19 = TRUE, AND($W$19 = TRUE, $S$19 = FALSE))</formula>
    </cfRule>
  </conditionalFormatting>
  <conditionalFormatting sqref="W34">
    <cfRule type="expression" dxfId="2929" priority="4083">
      <formula>AND($R$34,$S$34)</formula>
    </cfRule>
  </conditionalFormatting>
  <conditionalFormatting sqref="W34">
    <cfRule type="expression" dxfId="2928" priority="4082">
      <formula>AND(IF($R$34,$W$34,TRUE),LEN(TRIM($W$34))&gt;0)</formula>
    </cfRule>
  </conditionalFormatting>
  <conditionalFormatting sqref="W34">
    <cfRule type="expression" dxfId="2927" priority="4081">
      <formula>OR($S$34 = FALSE, AND($P$34 = FALSE, ReportType &lt;&gt; "Final"), AND($Q$34 = FALSE, ReportType &lt;&gt; "Rough"))</formula>
    </cfRule>
  </conditionalFormatting>
  <conditionalFormatting sqref="W34">
    <cfRule type="expression" dxfId="2926" priority="4080">
      <formula>OR($T$34 = TRUE, AND($W$34 = TRUE, $S$34 = FALSE))</formula>
    </cfRule>
  </conditionalFormatting>
  <conditionalFormatting sqref="W51">
    <cfRule type="expression" dxfId="2925" priority="4079">
      <formula>AND($R$51,$S$51)</formula>
    </cfRule>
  </conditionalFormatting>
  <conditionalFormatting sqref="W51">
    <cfRule type="expression" dxfId="2924" priority="4078">
      <formula>AND(IF($R$51,$W$51,TRUE),LEN(TRIM($W$51))&gt;0)</formula>
    </cfRule>
  </conditionalFormatting>
  <conditionalFormatting sqref="W51">
    <cfRule type="expression" dxfId="2923" priority="4077">
      <formula>OR($S$51 = FALSE, AND($P$51 = FALSE, ReportType &lt;&gt; "Final"), AND($Q$51 = FALSE, ReportType &lt;&gt; "Rough"))</formula>
    </cfRule>
  </conditionalFormatting>
  <conditionalFormatting sqref="W51">
    <cfRule type="expression" dxfId="2922" priority="4076">
      <formula>OR($T$51 = TRUE, AND($W$51 = TRUE, $S$51 = FALSE))</formula>
    </cfRule>
  </conditionalFormatting>
  <conditionalFormatting sqref="W63">
    <cfRule type="expression" dxfId="2921" priority="4075">
      <formula>AND($R$63,$S$63)</formula>
    </cfRule>
  </conditionalFormatting>
  <conditionalFormatting sqref="W63">
    <cfRule type="expression" dxfId="2920" priority="4074">
      <formula>AND(IF($R$63,$W$63,TRUE),LEN(TRIM($W$63))&gt;0)</formula>
    </cfRule>
  </conditionalFormatting>
  <conditionalFormatting sqref="W63">
    <cfRule type="expression" dxfId="2919" priority="4073">
      <formula>OR($S$63 = FALSE, AND($P$63 = FALSE, ReportType &lt;&gt; "Final"), AND($Q$63 = FALSE, ReportType &lt;&gt; "Rough"))</formula>
    </cfRule>
  </conditionalFormatting>
  <conditionalFormatting sqref="W63">
    <cfRule type="expression" dxfId="2918" priority="4072">
      <formula>OR($T$63 = TRUE, AND($W$63 = TRUE, $S$63 = FALSE))</formula>
    </cfRule>
  </conditionalFormatting>
  <conditionalFormatting sqref="W64">
    <cfRule type="expression" dxfId="2917" priority="4071">
      <formula>AND($R$64,$S$64)</formula>
    </cfRule>
  </conditionalFormatting>
  <conditionalFormatting sqref="W64">
    <cfRule type="expression" dxfId="2916" priority="4070">
      <formula>AND(IF($R$64,$W$64,TRUE),LEN(TRIM($W$64))&gt;0)</formula>
    </cfRule>
  </conditionalFormatting>
  <conditionalFormatting sqref="W64">
    <cfRule type="expression" dxfId="2915" priority="4069">
      <formula>OR($S$64 = FALSE, AND($P$64 = FALSE, ReportType &lt;&gt; "Final"), AND($Q$64 = FALSE, ReportType &lt;&gt; "Rough"))</formula>
    </cfRule>
  </conditionalFormatting>
  <conditionalFormatting sqref="W64">
    <cfRule type="expression" dxfId="2914" priority="4068">
      <formula>OR($T$64 = TRUE, AND($W$64 = TRUE, $S$64 = FALSE))</formula>
    </cfRule>
  </conditionalFormatting>
  <conditionalFormatting sqref="W66">
    <cfRule type="expression" dxfId="2913" priority="4067">
      <formula>AND($R$66,$S$66)</formula>
    </cfRule>
  </conditionalFormatting>
  <conditionalFormatting sqref="W66">
    <cfRule type="expression" dxfId="2912" priority="4066">
      <formula>AND(IF($R$66,$W$66,TRUE),LEN(TRIM($W$66))&gt;0)</formula>
    </cfRule>
  </conditionalFormatting>
  <conditionalFormatting sqref="W66">
    <cfRule type="expression" dxfId="2911" priority="4065">
      <formula>OR($S$66 = FALSE, AND($P$66 = FALSE, ReportType &lt;&gt; "Final"), AND($Q$66 = FALSE, ReportType &lt;&gt; "Rough"))</formula>
    </cfRule>
  </conditionalFormatting>
  <conditionalFormatting sqref="W66">
    <cfRule type="expression" dxfId="2910" priority="4064">
      <formula>OR($T$66 = TRUE, AND($W$66 = TRUE, $S$66 = FALSE))</formula>
    </cfRule>
  </conditionalFormatting>
  <conditionalFormatting sqref="W68">
    <cfRule type="expression" dxfId="2909" priority="4063">
      <formula>AND($R$68,$S$68)</formula>
    </cfRule>
  </conditionalFormatting>
  <conditionalFormatting sqref="W68">
    <cfRule type="expression" dxfId="2908" priority="4062">
      <formula>AND(IF($R$68,$W$68,TRUE),LEN(TRIM($W$68))&gt;0)</formula>
    </cfRule>
  </conditionalFormatting>
  <conditionalFormatting sqref="W68">
    <cfRule type="expression" dxfId="2907" priority="4061">
      <formula>OR($S$68 = FALSE, AND($P$68 = FALSE, ReportType &lt;&gt; "Final"), AND($Q$68 = FALSE, ReportType &lt;&gt; "Rough"))</formula>
    </cfRule>
  </conditionalFormatting>
  <conditionalFormatting sqref="W68">
    <cfRule type="expression" dxfId="2906" priority="4060">
      <formula>OR($T$68 = TRUE, AND($W$68 = TRUE, $S$68 = FALSE))</formula>
    </cfRule>
  </conditionalFormatting>
  <conditionalFormatting sqref="W70">
    <cfRule type="expression" dxfId="2905" priority="4059">
      <formula>AND($R$70,$S$70)</formula>
    </cfRule>
  </conditionalFormatting>
  <conditionalFormatting sqref="W70">
    <cfRule type="expression" dxfId="2904" priority="4058">
      <formula>AND(IF($R$70,$W$70,TRUE),LEN(TRIM($W$70))&gt;0)</formula>
    </cfRule>
  </conditionalFormatting>
  <conditionalFormatting sqref="W70">
    <cfRule type="expression" dxfId="2903" priority="4057">
      <formula>OR($S$70 = FALSE, AND($P$70 = FALSE, ReportType &lt;&gt; "Final"), AND($Q$70 = FALSE, ReportType &lt;&gt; "Rough"))</formula>
    </cfRule>
  </conditionalFormatting>
  <conditionalFormatting sqref="W70">
    <cfRule type="expression" dxfId="2902" priority="4056">
      <formula>OR($T$70 = TRUE, AND($W$70 = TRUE, $S$70 = FALSE))</formula>
    </cfRule>
  </conditionalFormatting>
  <conditionalFormatting sqref="W71">
    <cfRule type="expression" dxfId="2901" priority="4055">
      <formula>AND($R$71,$S$71)</formula>
    </cfRule>
  </conditionalFormatting>
  <conditionalFormatting sqref="W71">
    <cfRule type="expression" dxfId="2900" priority="4054">
      <formula>AND(IF($R$71,$W$71,TRUE),LEN(TRIM($W$71))&gt;0)</formula>
    </cfRule>
  </conditionalFormatting>
  <conditionalFormatting sqref="W71">
    <cfRule type="expression" dxfId="2899" priority="4053">
      <formula>OR($S$71 = FALSE, AND($P$71 = FALSE, ReportType &lt;&gt; "Final"), AND($Q$71 = FALSE, ReportType &lt;&gt; "Rough"))</formula>
    </cfRule>
  </conditionalFormatting>
  <conditionalFormatting sqref="W71">
    <cfRule type="expression" dxfId="2898" priority="4052">
      <formula>OR($T$71 = TRUE, AND($W$71 = TRUE, $S$71 = FALSE))</formula>
    </cfRule>
  </conditionalFormatting>
  <conditionalFormatting sqref="W73">
    <cfRule type="expression" dxfId="2897" priority="4051">
      <formula>AND($R$73,$S$73)</formula>
    </cfRule>
  </conditionalFormatting>
  <conditionalFormatting sqref="W73">
    <cfRule type="expression" dxfId="2896" priority="4050">
      <formula>AND(IF($R$73,$W$73,TRUE),LEN(TRIM($W$73))&gt;0)</formula>
    </cfRule>
  </conditionalFormatting>
  <conditionalFormatting sqref="W73">
    <cfRule type="expression" dxfId="2895" priority="4049">
      <formula>OR($S$73 = FALSE, AND($P$73 = FALSE, ReportType &lt;&gt; "Final"), AND($Q$73 = FALSE, ReportType &lt;&gt; "Rough"))</formula>
    </cfRule>
  </conditionalFormatting>
  <conditionalFormatting sqref="W73">
    <cfRule type="expression" dxfId="2894" priority="4048">
      <formula>OR($T$73 = TRUE, AND($W$73 = TRUE, $S$73 = FALSE))</formula>
    </cfRule>
  </conditionalFormatting>
  <conditionalFormatting sqref="W82">
    <cfRule type="expression" dxfId="2893" priority="4047">
      <formula>AND($R$82,$S$82)</formula>
    </cfRule>
  </conditionalFormatting>
  <conditionalFormatting sqref="W82">
    <cfRule type="expression" dxfId="2892" priority="4046">
      <formula>AND(IF($R$82,$W$82,TRUE),LEN(TRIM($W$82))&gt;0)</formula>
    </cfRule>
  </conditionalFormatting>
  <conditionalFormatting sqref="W82">
    <cfRule type="expression" dxfId="2891" priority="4045">
      <formula>OR($S$82 = FALSE, AND($P$82 = FALSE, ReportType &lt;&gt; "Final"), AND($Q$82 = FALSE, ReportType &lt;&gt; "Rough"))</formula>
    </cfRule>
  </conditionalFormatting>
  <conditionalFormatting sqref="W82">
    <cfRule type="expression" dxfId="2890" priority="4044">
      <formula>OR($T$82 = TRUE, AND($W$82 = TRUE, $S$82 = FALSE))</formula>
    </cfRule>
  </conditionalFormatting>
  <conditionalFormatting sqref="W83">
    <cfRule type="expression" dxfId="2889" priority="4043">
      <formula>AND($R$83,$S$83)</formula>
    </cfRule>
  </conditionalFormatting>
  <conditionalFormatting sqref="W83">
    <cfRule type="expression" dxfId="2888" priority="4042">
      <formula>AND(IF($R$83,$W$83,TRUE),LEN(TRIM($W$83))&gt;0)</formula>
    </cfRule>
  </conditionalFormatting>
  <conditionalFormatting sqref="W83">
    <cfRule type="expression" dxfId="2887" priority="4041">
      <formula>OR($S$83 = FALSE, AND($P$83 = FALSE, ReportType &lt;&gt; "Final"), AND($Q$83 = FALSE, ReportType &lt;&gt; "Rough"))</formula>
    </cfRule>
  </conditionalFormatting>
  <conditionalFormatting sqref="W83">
    <cfRule type="expression" dxfId="2886" priority="4040">
      <formula>OR($T$83 = TRUE, AND($W$83 = TRUE, $S$83 = FALSE))</formula>
    </cfRule>
  </conditionalFormatting>
  <conditionalFormatting sqref="W90">
    <cfRule type="expression" dxfId="2885" priority="4039">
      <formula>AND($R$90,$S$90)</formula>
    </cfRule>
  </conditionalFormatting>
  <conditionalFormatting sqref="W90">
    <cfRule type="expression" dxfId="2884" priority="4038">
      <formula>AND(IF($R$90,$W$90,TRUE),LEN(TRIM($W$90))&gt;0)</formula>
    </cfRule>
  </conditionalFormatting>
  <conditionalFormatting sqref="W90">
    <cfRule type="expression" dxfId="2883" priority="4037">
      <formula>OR($S$90 = FALSE, AND($P$90 = FALSE, ReportType &lt;&gt; "Final"), AND($Q$90 = FALSE, ReportType &lt;&gt; "Rough"))</formula>
    </cfRule>
  </conditionalFormatting>
  <conditionalFormatting sqref="W90">
    <cfRule type="expression" dxfId="2882" priority="4036">
      <formula>OR($T$90 = TRUE, AND($W$90 = TRUE, $S$90 = FALSE))</formula>
    </cfRule>
  </conditionalFormatting>
  <conditionalFormatting sqref="W92">
    <cfRule type="expression" dxfId="2881" priority="4035">
      <formula>AND($R$92,$S$92)</formula>
    </cfRule>
  </conditionalFormatting>
  <conditionalFormatting sqref="W92">
    <cfRule type="expression" dxfId="2880" priority="4034">
      <formula>AND(IF($R$92,$W$92,TRUE),LEN(TRIM($W$92))&gt;0)</formula>
    </cfRule>
  </conditionalFormatting>
  <conditionalFormatting sqref="W92">
    <cfRule type="expression" dxfId="2879" priority="4033">
      <formula>OR($S$92 = FALSE, AND($P$92 = FALSE, ReportType &lt;&gt; "Final"), AND($Q$92 = FALSE, ReportType &lt;&gt; "Rough"))</formula>
    </cfRule>
  </conditionalFormatting>
  <conditionalFormatting sqref="W92">
    <cfRule type="expression" dxfId="2878" priority="4032">
      <formula>OR($T$92 = TRUE, AND($W$92 = TRUE, $S$92 = FALSE))</formula>
    </cfRule>
  </conditionalFormatting>
  <conditionalFormatting sqref="W96">
    <cfRule type="expression" dxfId="2877" priority="4031">
      <formula>AND($R$96,$S$96)</formula>
    </cfRule>
  </conditionalFormatting>
  <conditionalFormatting sqref="W96">
    <cfRule type="expression" dxfId="2876" priority="4030">
      <formula>AND(IF($R$96,$W$96,TRUE),LEN(TRIM($W$96))&gt;0)</formula>
    </cfRule>
  </conditionalFormatting>
  <conditionalFormatting sqref="W96">
    <cfRule type="expression" dxfId="2875" priority="4029">
      <formula>OR($S$96 = FALSE, AND($P$96 = FALSE, ReportType &lt;&gt; "Final"), AND($Q$96 = FALSE, ReportType &lt;&gt; "Rough"))</formula>
    </cfRule>
  </conditionalFormatting>
  <conditionalFormatting sqref="W96">
    <cfRule type="expression" dxfId="2874" priority="4028">
      <formula>OR($T$96 = TRUE, AND($W$96 = TRUE, $S$96 = FALSE))</formula>
    </cfRule>
  </conditionalFormatting>
  <conditionalFormatting sqref="W99">
    <cfRule type="expression" dxfId="2873" priority="4027">
      <formula>AND($R$99,$S$99)</formula>
    </cfRule>
  </conditionalFormatting>
  <conditionalFormatting sqref="W99">
    <cfRule type="expression" dxfId="2872" priority="4026">
      <formula>AND(IF($R$99,$W$99,TRUE),LEN(TRIM($W$99))&gt;0)</formula>
    </cfRule>
  </conditionalFormatting>
  <conditionalFormatting sqref="W99">
    <cfRule type="expression" dxfId="2871" priority="4025">
      <formula>OR($S$99 = FALSE, AND($P$99 = FALSE, ReportType &lt;&gt; "Final"), AND($Q$99 = FALSE, ReportType &lt;&gt; "Rough"))</formula>
    </cfRule>
  </conditionalFormatting>
  <conditionalFormatting sqref="W99">
    <cfRule type="expression" dxfId="2870" priority="4024">
      <formula>OR($T$99 = TRUE, AND($W$99 = TRUE, $S$99 = FALSE))</formula>
    </cfRule>
  </conditionalFormatting>
  <conditionalFormatting sqref="W100">
    <cfRule type="expression" dxfId="2869" priority="4023">
      <formula>AND($R$100,$S$100)</formula>
    </cfRule>
  </conditionalFormatting>
  <conditionalFormatting sqref="W100">
    <cfRule type="expression" dxfId="2868" priority="4022">
      <formula>AND(IF($R$100,$W$100,TRUE),LEN(TRIM($W$100))&gt;0)</formula>
    </cfRule>
  </conditionalFormatting>
  <conditionalFormatting sqref="W100">
    <cfRule type="expression" dxfId="2867" priority="4021">
      <formula>OR($S$100 = FALSE, AND($P$100 = FALSE, ReportType &lt;&gt; "Final"), AND($Q$100 = FALSE, ReportType &lt;&gt; "Rough"))</formula>
    </cfRule>
  </conditionalFormatting>
  <conditionalFormatting sqref="W100">
    <cfRule type="expression" dxfId="2866" priority="4020">
      <formula>OR($T$100 = TRUE, AND($W$100 = TRUE, $S$100 = FALSE))</formula>
    </cfRule>
  </conditionalFormatting>
  <conditionalFormatting sqref="W102">
    <cfRule type="expression" dxfId="2865" priority="4019">
      <formula>AND($R$102,$S$102)</formula>
    </cfRule>
  </conditionalFormatting>
  <conditionalFormatting sqref="W102">
    <cfRule type="expression" dxfId="2864" priority="4018">
      <formula>AND(IF($R$102,$W$102,TRUE),LEN(TRIM($W$102))&gt;0)</formula>
    </cfRule>
  </conditionalFormatting>
  <conditionalFormatting sqref="W102">
    <cfRule type="expression" dxfId="2863" priority="4017">
      <formula>OR($S$102 = FALSE, AND($P$102 = FALSE, ReportType &lt;&gt; "Final"), AND($Q$102 = FALSE, ReportType &lt;&gt; "Rough"))</formula>
    </cfRule>
  </conditionalFormatting>
  <conditionalFormatting sqref="W102">
    <cfRule type="expression" dxfId="2862" priority="4016">
      <formula>OR($T$102 = TRUE, AND($W$102 = TRUE, $S$102 = FALSE))</formula>
    </cfRule>
  </conditionalFormatting>
  <conditionalFormatting sqref="W103">
    <cfRule type="expression" dxfId="2861" priority="4015">
      <formula>AND($R$103,$S$103)</formula>
    </cfRule>
  </conditionalFormatting>
  <conditionalFormatting sqref="W103">
    <cfRule type="expression" dxfId="2860" priority="4014">
      <formula>AND(IF($R$103,$W$103,TRUE),LEN(TRIM($W$103))&gt;0)</formula>
    </cfRule>
  </conditionalFormatting>
  <conditionalFormatting sqref="W103">
    <cfRule type="expression" dxfId="2859" priority="4013">
      <formula>OR($S$103 = FALSE, AND($P$103 = FALSE, ReportType &lt;&gt; "Final"), AND($Q$103 = FALSE, ReportType &lt;&gt; "Rough"))</formula>
    </cfRule>
  </conditionalFormatting>
  <conditionalFormatting sqref="W103">
    <cfRule type="expression" dxfId="2858" priority="4012">
      <formula>OR($T$103 = TRUE, AND($W$103 = TRUE, $S$103 = FALSE))</formula>
    </cfRule>
  </conditionalFormatting>
  <conditionalFormatting sqref="W104">
    <cfRule type="expression" dxfId="2857" priority="4011">
      <formula>AND($R$104,$S$104)</formula>
    </cfRule>
  </conditionalFormatting>
  <conditionalFormatting sqref="W104">
    <cfRule type="expression" dxfId="2856" priority="4010">
      <formula>AND(IF($R$104,$W$104,TRUE),LEN(TRIM($W$104))&gt;0)</formula>
    </cfRule>
  </conditionalFormatting>
  <conditionalFormatting sqref="W104">
    <cfRule type="expression" dxfId="2855" priority="4009">
      <formula>OR($S$104 = FALSE, AND($P$104 = FALSE, ReportType &lt;&gt; "Final"), AND($Q$104 = FALSE, ReportType &lt;&gt; "Rough"))</formula>
    </cfRule>
  </conditionalFormatting>
  <conditionalFormatting sqref="W104">
    <cfRule type="expression" dxfId="2854" priority="4008">
      <formula>OR($T$104 = TRUE, AND($W$104 = TRUE, $S$104 = FALSE))</formula>
    </cfRule>
  </conditionalFormatting>
  <conditionalFormatting sqref="W112">
    <cfRule type="expression" dxfId="2853" priority="4007">
      <formula>AND($R$112,$S$112)</formula>
    </cfRule>
  </conditionalFormatting>
  <conditionalFormatting sqref="W112">
    <cfRule type="expression" dxfId="2852" priority="4006">
      <formula>AND(IF($R$112,$W$112,TRUE),LEN(TRIM($W$112))&gt;0)</formula>
    </cfRule>
  </conditionalFormatting>
  <conditionalFormatting sqref="W112">
    <cfRule type="expression" dxfId="2851" priority="4005">
      <formula>OR($S$112 = FALSE, AND($P$112 = FALSE, ReportType &lt;&gt; "Final"), AND($Q$112 = FALSE, ReportType &lt;&gt; "Rough"))</formula>
    </cfRule>
  </conditionalFormatting>
  <conditionalFormatting sqref="W112">
    <cfRule type="expression" dxfId="2850" priority="4004">
      <formula>OR($T$112 = TRUE, AND($W$112 = TRUE, $S$112 = FALSE))</formula>
    </cfRule>
  </conditionalFormatting>
  <conditionalFormatting sqref="W142">
    <cfRule type="expression" dxfId="2849" priority="3999">
      <formula>AND($R$142,$S$142)</formula>
    </cfRule>
  </conditionalFormatting>
  <conditionalFormatting sqref="W142">
    <cfRule type="expression" dxfId="2848" priority="3998">
      <formula>AND(IF($R$142,$W$142,TRUE),LEN(TRIM($W$142))&gt;0)</formula>
    </cfRule>
  </conditionalFormatting>
  <conditionalFormatting sqref="W142">
    <cfRule type="expression" dxfId="2847" priority="3997">
      <formula>OR($S$142 = FALSE, AND($P$142 = FALSE, ReportType &lt;&gt; "Final"), AND($Q$142 = FALSE, ReportType &lt;&gt; "Rough"))</formula>
    </cfRule>
  </conditionalFormatting>
  <conditionalFormatting sqref="W142">
    <cfRule type="expression" dxfId="2846" priority="3996">
      <formula>OR($T$142 = TRUE, AND($W$142 = TRUE, $S$142 = FALSE))</formula>
    </cfRule>
  </conditionalFormatting>
  <conditionalFormatting sqref="W144">
    <cfRule type="expression" dxfId="2845" priority="3995">
      <formula>AND($R$144,$S$144)</formula>
    </cfRule>
  </conditionalFormatting>
  <conditionalFormatting sqref="W144">
    <cfRule type="expression" dxfId="2844" priority="3994">
      <formula>AND(IF($R$144,$W$144,TRUE),LEN(TRIM($W$144))&gt;0)</formula>
    </cfRule>
  </conditionalFormatting>
  <conditionalFormatting sqref="W144">
    <cfRule type="expression" dxfId="2843" priority="3993">
      <formula>OR($S$144 = FALSE, AND($P$144 = FALSE, ReportType &lt;&gt; "Final"), AND($Q$144 = FALSE, ReportType &lt;&gt; "Rough"))</formula>
    </cfRule>
  </conditionalFormatting>
  <conditionalFormatting sqref="W144">
    <cfRule type="expression" dxfId="2842" priority="3992">
      <formula>OR($T$144 = TRUE, AND($W$144 = TRUE, $S$144 = FALSE))</formula>
    </cfRule>
  </conditionalFormatting>
  <conditionalFormatting sqref="W147">
    <cfRule type="expression" dxfId="2841" priority="3991">
      <formula>AND($R$147,$S$147)</formula>
    </cfRule>
  </conditionalFormatting>
  <conditionalFormatting sqref="W147">
    <cfRule type="expression" dxfId="2840" priority="3990">
      <formula>AND(IF($R$147,$W$147,TRUE),LEN(TRIM($W$147))&gt;0)</formula>
    </cfRule>
  </conditionalFormatting>
  <conditionalFormatting sqref="W147">
    <cfRule type="expression" dxfId="2839" priority="3989">
      <formula>OR($S$147 = FALSE, AND($P$147 = FALSE, ReportType &lt;&gt; "Final"), AND($Q$147 = FALSE, ReportType &lt;&gt; "Rough"))</formula>
    </cfRule>
  </conditionalFormatting>
  <conditionalFormatting sqref="W147">
    <cfRule type="expression" dxfId="2838" priority="3988">
      <formula>OR($T$147 = TRUE, AND($W$147 = TRUE, $S$147 = FALSE))</formula>
    </cfRule>
  </conditionalFormatting>
  <conditionalFormatting sqref="W156">
    <cfRule type="expression" dxfId="2837" priority="3987">
      <formula>AND($R$156,$S$156)</formula>
    </cfRule>
  </conditionalFormatting>
  <conditionalFormatting sqref="W156">
    <cfRule type="expression" dxfId="2836" priority="3986">
      <formula>AND(IF($R$156,$W$156,TRUE),LEN(TRIM($W$156))&gt;0)</formula>
    </cfRule>
  </conditionalFormatting>
  <conditionalFormatting sqref="W156">
    <cfRule type="expression" dxfId="2835" priority="3985">
      <formula>OR($S$156 = FALSE, AND($P$156 = FALSE, ReportType &lt;&gt; "Final"), AND($Q$156 = FALSE, ReportType &lt;&gt; "Rough"))</formula>
    </cfRule>
  </conditionalFormatting>
  <conditionalFormatting sqref="W156">
    <cfRule type="expression" dxfId="2834" priority="3984">
      <formula>OR($T$156 = TRUE, AND($W$156 = TRUE, $S$156 = FALSE))</formula>
    </cfRule>
  </conditionalFormatting>
  <conditionalFormatting sqref="W157">
    <cfRule type="expression" dxfId="2833" priority="3983">
      <formula>AND($R$157,$S$157)</formula>
    </cfRule>
  </conditionalFormatting>
  <conditionalFormatting sqref="W157">
    <cfRule type="expression" dxfId="2832" priority="3982">
      <formula>AND(IF($R$157,$W$157,TRUE),LEN(TRIM($W$157))&gt;0)</formula>
    </cfRule>
  </conditionalFormatting>
  <conditionalFormatting sqref="W157">
    <cfRule type="expression" dxfId="2831" priority="3981">
      <formula>OR($S$157 = FALSE, AND($P$157 = FALSE, ReportType &lt;&gt; "Final"), AND($Q$157 = FALSE, ReportType &lt;&gt; "Rough"))</formula>
    </cfRule>
  </conditionalFormatting>
  <conditionalFormatting sqref="W157">
    <cfRule type="expression" dxfId="2830" priority="3980">
      <formula>OR($T$157 = TRUE, AND($W$157 = TRUE, $S$157 = FALSE))</formula>
    </cfRule>
  </conditionalFormatting>
  <conditionalFormatting sqref="W162">
    <cfRule type="expression" dxfId="2829" priority="3979">
      <formula>AND($R$162,$S$162)</formula>
    </cfRule>
  </conditionalFormatting>
  <conditionalFormatting sqref="W162">
    <cfRule type="expression" dxfId="2828" priority="3978">
      <formula>AND(IF($R$162,$W$162,TRUE),LEN(TRIM($W$162))&gt;0)</formula>
    </cfRule>
  </conditionalFormatting>
  <conditionalFormatting sqref="W162">
    <cfRule type="expression" dxfId="2827" priority="3977">
      <formula>OR($S$162 = FALSE, AND($P$162 = FALSE, ReportType &lt;&gt; "Final"), AND($Q$162 = FALSE, ReportType &lt;&gt; "Rough"))</formula>
    </cfRule>
  </conditionalFormatting>
  <conditionalFormatting sqref="W162">
    <cfRule type="expression" dxfId="2826" priority="3976">
      <formula>OR($T$162 = TRUE, AND($W$162 = TRUE, $S$162 = FALSE))</formula>
    </cfRule>
  </conditionalFormatting>
  <conditionalFormatting sqref="W164">
    <cfRule type="expression" dxfId="2825" priority="3975">
      <formula>AND($R$164,$S$164)</formula>
    </cfRule>
  </conditionalFormatting>
  <conditionalFormatting sqref="W164">
    <cfRule type="expression" dxfId="2824" priority="3974">
      <formula>AND(IF($R$164,$W$164,TRUE),LEN(TRIM($W$164))&gt;0)</formula>
    </cfRule>
  </conditionalFormatting>
  <conditionalFormatting sqref="W164">
    <cfRule type="expression" dxfId="2823" priority="3973">
      <formula>OR($S$164 = FALSE, AND($P$164 = FALSE, ReportType &lt;&gt; "Final"), AND($Q$164 = FALSE, ReportType &lt;&gt; "Rough"))</formula>
    </cfRule>
  </conditionalFormatting>
  <conditionalFormatting sqref="W164">
    <cfRule type="expression" dxfId="2822" priority="3972">
      <formula>OR($T$164 = TRUE, AND($W$164 = TRUE, $S$164 = FALSE))</formula>
    </cfRule>
  </conditionalFormatting>
  <conditionalFormatting sqref="W167">
    <cfRule type="expression" dxfId="2821" priority="3971">
      <formula>AND($R$167,$S$167)</formula>
    </cfRule>
  </conditionalFormatting>
  <conditionalFormatting sqref="W167">
    <cfRule type="expression" dxfId="2820" priority="3970">
      <formula>AND(IF($R$167,$W$167,TRUE),LEN(TRIM($W$167))&gt;0)</formula>
    </cfRule>
  </conditionalFormatting>
  <conditionalFormatting sqref="W167">
    <cfRule type="expression" dxfId="2819" priority="3969">
      <formula>OR($S$167 = FALSE, AND($P$167 = FALSE, ReportType &lt;&gt; "Final"), AND($Q$167 = FALSE, ReportType &lt;&gt; "Rough"))</formula>
    </cfRule>
  </conditionalFormatting>
  <conditionalFormatting sqref="W167">
    <cfRule type="expression" dxfId="2818" priority="3968">
      <formula>OR($T$167 = TRUE, AND($W$167 = TRUE, $S$167 = FALSE))</formula>
    </cfRule>
  </conditionalFormatting>
  <conditionalFormatting sqref="W169">
    <cfRule type="expression" dxfId="2817" priority="3967">
      <formula>AND($R$169,$S$169)</formula>
    </cfRule>
  </conditionalFormatting>
  <conditionalFormatting sqref="W169">
    <cfRule type="expression" dxfId="2816" priority="3966">
      <formula>AND(IF($R$169,$W$169,TRUE),LEN(TRIM($W$169))&gt;0)</formula>
    </cfRule>
  </conditionalFormatting>
  <conditionalFormatting sqref="W169">
    <cfRule type="expression" dxfId="2815" priority="3965">
      <formula>OR($S$169 = FALSE, AND($P$169 = FALSE, ReportType &lt;&gt; "Final"), AND($Q$169 = FALSE, ReportType &lt;&gt; "Rough"))</formula>
    </cfRule>
  </conditionalFormatting>
  <conditionalFormatting sqref="W169">
    <cfRule type="expression" dxfId="2814" priority="3964">
      <formula>OR($T$169 = TRUE, AND($W$169 = TRUE, $S$169 = FALSE))</formula>
    </cfRule>
  </conditionalFormatting>
  <conditionalFormatting sqref="W171">
    <cfRule type="expression" dxfId="2813" priority="3963">
      <formula>AND($R$171,$S$171)</formula>
    </cfRule>
  </conditionalFormatting>
  <conditionalFormatting sqref="W171">
    <cfRule type="expression" dxfId="2812" priority="3962">
      <formula>AND(IF($R$171,$W$171,TRUE),LEN(TRIM($W$171))&gt;0)</formula>
    </cfRule>
  </conditionalFormatting>
  <conditionalFormatting sqref="W171">
    <cfRule type="expression" dxfId="2811" priority="3961">
      <formula>OR($S$171 = FALSE, AND($P$171 = FALSE, ReportType &lt;&gt; "Final"), AND($Q$171 = FALSE, ReportType &lt;&gt; "Rough"))</formula>
    </cfRule>
  </conditionalFormatting>
  <conditionalFormatting sqref="W171">
    <cfRule type="expression" dxfId="2810" priority="3960">
      <formula>OR($T$171 = TRUE, AND($W$171 = TRUE, $S$171 = FALSE))</formula>
    </cfRule>
  </conditionalFormatting>
  <conditionalFormatting sqref="W175">
    <cfRule type="expression" dxfId="2809" priority="3959">
      <formula>AND($R$175,$S$175)</formula>
    </cfRule>
  </conditionalFormatting>
  <conditionalFormatting sqref="W175">
    <cfRule type="expression" dxfId="2808" priority="3958">
      <formula>AND(IF($R$175,$W$175,TRUE),LEN(TRIM($W$175))&gt;0)</formula>
    </cfRule>
  </conditionalFormatting>
  <conditionalFormatting sqref="W175">
    <cfRule type="expression" dxfId="2807" priority="3957">
      <formula>OR($S$175 = FALSE, AND($P$175 = FALSE, ReportType &lt;&gt; "Final"), AND($Q$175 = FALSE, ReportType &lt;&gt; "Rough"))</formula>
    </cfRule>
  </conditionalFormatting>
  <conditionalFormatting sqref="W175">
    <cfRule type="expression" dxfId="2806" priority="3956">
      <formula>OR($T$175 = TRUE, AND($W$175 = TRUE, $S$175 = FALSE))</formula>
    </cfRule>
  </conditionalFormatting>
  <conditionalFormatting sqref="W176">
    <cfRule type="expression" dxfId="2805" priority="3955">
      <formula>AND($R$176,$S$176)</formula>
    </cfRule>
  </conditionalFormatting>
  <conditionalFormatting sqref="W176">
    <cfRule type="expression" dxfId="2804" priority="3954">
      <formula>AND(IF($R$176,$W$176,TRUE),LEN(TRIM($W$176))&gt;0)</formula>
    </cfRule>
  </conditionalFormatting>
  <conditionalFormatting sqref="W176">
    <cfRule type="expression" dxfId="2803" priority="3953">
      <formula>OR($S$176 = FALSE, AND($P$176 = FALSE, ReportType &lt;&gt; "Final"), AND($Q$176 = FALSE, ReportType &lt;&gt; "Rough"))</formula>
    </cfRule>
  </conditionalFormatting>
  <conditionalFormatting sqref="W176">
    <cfRule type="expression" dxfId="2802" priority="3952">
      <formula>OR($T$176 = TRUE, AND($W$176 = TRUE, $S$176 = FALSE))</formula>
    </cfRule>
  </conditionalFormatting>
  <conditionalFormatting sqref="W177">
    <cfRule type="expression" dxfId="2801" priority="3951">
      <formula>AND($R$177,$S$177)</formula>
    </cfRule>
  </conditionalFormatting>
  <conditionalFormatting sqref="W177">
    <cfRule type="expression" dxfId="2800" priority="3950">
      <formula>AND(IF($R$177,$W$177,TRUE),LEN(TRIM($W$177))&gt;0)</formula>
    </cfRule>
  </conditionalFormatting>
  <conditionalFormatting sqref="W177">
    <cfRule type="expression" dxfId="2799" priority="3949">
      <formula>OR($S$177 = FALSE, AND($P$177 = FALSE, ReportType &lt;&gt; "Final"), AND($Q$177 = FALSE, ReportType &lt;&gt; "Rough"))</formula>
    </cfRule>
  </conditionalFormatting>
  <conditionalFormatting sqref="W177">
    <cfRule type="expression" dxfId="2798" priority="3948">
      <formula>OR($T$177 = TRUE, AND($W$177 = TRUE, $S$177 = FALSE))</formula>
    </cfRule>
  </conditionalFormatting>
  <conditionalFormatting sqref="W179">
    <cfRule type="expression" dxfId="2797" priority="3947">
      <formula>AND($R$179,$S$179)</formula>
    </cfRule>
  </conditionalFormatting>
  <conditionalFormatting sqref="W179">
    <cfRule type="expression" dxfId="2796" priority="3946">
      <formula>AND(IF($R$179,$W$179,TRUE),LEN(TRIM($W$179))&gt;0)</formula>
    </cfRule>
  </conditionalFormatting>
  <conditionalFormatting sqref="W179">
    <cfRule type="expression" dxfId="2795" priority="3945">
      <formula>OR($S$179 = FALSE, AND($P$179 = FALSE, ReportType &lt;&gt; "Final"), AND($Q$179 = FALSE, ReportType &lt;&gt; "Rough"))</formula>
    </cfRule>
  </conditionalFormatting>
  <conditionalFormatting sqref="W179">
    <cfRule type="expression" dxfId="2794" priority="3944">
      <formula>OR($T$179 = TRUE, AND($W$179 = TRUE, $S$179 = FALSE))</formula>
    </cfRule>
  </conditionalFormatting>
  <conditionalFormatting sqref="W182">
    <cfRule type="expression" dxfId="2793" priority="3943">
      <formula>AND($R$182,$S$182)</formula>
    </cfRule>
  </conditionalFormatting>
  <conditionalFormatting sqref="W182">
    <cfRule type="expression" dxfId="2792" priority="3942">
      <formula>AND(IF($R$182,$W$182,TRUE),LEN(TRIM($W$182))&gt;0)</formula>
    </cfRule>
  </conditionalFormatting>
  <conditionalFormatting sqref="W182">
    <cfRule type="expression" dxfId="2791" priority="3941">
      <formula>OR($S$182 = FALSE, AND($P$182 = FALSE, ReportType &lt;&gt; "Final"), AND($Q$182 = FALSE, ReportType &lt;&gt; "Rough"))</formula>
    </cfRule>
  </conditionalFormatting>
  <conditionalFormatting sqref="W182">
    <cfRule type="expression" dxfId="2790" priority="3940">
      <formula>OR($T$182 = TRUE, AND($W$182 = TRUE, $S$182 = FALSE))</formula>
    </cfRule>
  </conditionalFormatting>
  <conditionalFormatting sqref="W184">
    <cfRule type="expression" dxfId="2789" priority="3939">
      <formula>AND($R$184,$S$184)</formula>
    </cfRule>
  </conditionalFormatting>
  <conditionalFormatting sqref="W184">
    <cfRule type="expression" dxfId="2788" priority="3938">
      <formula>AND(IF($R$184,$W$184,TRUE),LEN(TRIM($W$184))&gt;0)</formula>
    </cfRule>
  </conditionalFormatting>
  <conditionalFormatting sqref="W184">
    <cfRule type="expression" dxfId="2787" priority="3937">
      <formula>OR($S$184 = FALSE, AND($P$184 = FALSE, ReportType &lt;&gt; "Final"), AND($Q$184 = FALSE, ReportType &lt;&gt; "Rough"))</formula>
    </cfRule>
  </conditionalFormatting>
  <conditionalFormatting sqref="W184">
    <cfRule type="expression" dxfId="2786" priority="3936">
      <formula>OR($T$184 = TRUE, AND($W$184 = TRUE, $S$184 = FALSE))</formula>
    </cfRule>
  </conditionalFormatting>
  <conditionalFormatting sqref="W189">
    <cfRule type="expression" dxfId="2785" priority="3935">
      <formula>AND($R$189,$S$189)</formula>
    </cfRule>
  </conditionalFormatting>
  <conditionalFormatting sqref="W189">
    <cfRule type="expression" dxfId="2784" priority="3934">
      <formula>AND(IF($R$189,$W$189,TRUE),LEN(TRIM($W$189))&gt;0)</formula>
    </cfRule>
  </conditionalFormatting>
  <conditionalFormatting sqref="W189">
    <cfRule type="expression" dxfId="2783" priority="3933">
      <formula>OR($S$189 = FALSE, AND($P$189 = FALSE, ReportType &lt;&gt; "Final"), AND($Q$189 = FALSE, ReportType &lt;&gt; "Rough"))</formula>
    </cfRule>
  </conditionalFormatting>
  <conditionalFormatting sqref="W189">
    <cfRule type="expression" dxfId="2782" priority="3932">
      <formula>OR($T$189 = TRUE, AND($W$189 = TRUE, $S$189 = FALSE))</formula>
    </cfRule>
  </conditionalFormatting>
  <conditionalFormatting sqref="W196">
    <cfRule type="expression" dxfId="2781" priority="3931">
      <formula>AND($R$196,$S$196)</formula>
    </cfRule>
  </conditionalFormatting>
  <conditionalFormatting sqref="W196">
    <cfRule type="expression" dxfId="2780" priority="3930">
      <formula>AND(IF($R$196,$W$196,TRUE),LEN(TRIM($W$196))&gt;0)</formula>
    </cfRule>
  </conditionalFormatting>
  <conditionalFormatting sqref="W196">
    <cfRule type="expression" dxfId="2779" priority="3929">
      <formula>OR($S$196 = FALSE, AND($P$196 = FALSE, ReportType &lt;&gt; "Final"), AND($Q$196 = FALSE, ReportType &lt;&gt; "Rough"))</formula>
    </cfRule>
  </conditionalFormatting>
  <conditionalFormatting sqref="W196">
    <cfRule type="expression" dxfId="2778" priority="3928">
      <formula>OR($T$196 = TRUE, AND($W$196 = TRUE, $S$196 = FALSE))</formula>
    </cfRule>
  </conditionalFormatting>
  <conditionalFormatting sqref="W197">
    <cfRule type="expression" dxfId="2777" priority="3927">
      <formula>AND($R$197,$S$197)</formula>
    </cfRule>
  </conditionalFormatting>
  <conditionalFormatting sqref="W197">
    <cfRule type="expression" dxfId="2776" priority="3926">
      <formula>AND(IF($R$197,$W$197,TRUE),LEN(TRIM($W$197))&gt;0)</formula>
    </cfRule>
  </conditionalFormatting>
  <conditionalFormatting sqref="W197">
    <cfRule type="expression" dxfId="2775" priority="3925">
      <formula>OR($S$197 = FALSE, AND($P$197 = FALSE, ReportType &lt;&gt; "Final"), AND($Q$197 = FALSE, ReportType &lt;&gt; "Rough"))</formula>
    </cfRule>
  </conditionalFormatting>
  <conditionalFormatting sqref="W197">
    <cfRule type="expression" dxfId="2774" priority="3924">
      <formula>OR($T$197 = TRUE, AND($W$197 = TRUE, $S$197 = FALSE))</formula>
    </cfRule>
  </conditionalFormatting>
  <conditionalFormatting sqref="W199">
    <cfRule type="expression" dxfId="2773" priority="3923">
      <formula>AND($R$199,$S$199)</formula>
    </cfRule>
  </conditionalFormatting>
  <conditionalFormatting sqref="W199">
    <cfRule type="expression" dxfId="2772" priority="3922">
      <formula>AND(IF($R$199,$W$199,TRUE),LEN(TRIM($W$199))&gt;0)</formula>
    </cfRule>
  </conditionalFormatting>
  <conditionalFormatting sqref="W199">
    <cfRule type="expression" dxfId="2771" priority="3921">
      <formula>OR($S$199 = FALSE, AND($P$199 = FALSE, ReportType &lt;&gt; "Final"), AND($Q$199 = FALSE, ReportType &lt;&gt; "Rough"))</formula>
    </cfRule>
  </conditionalFormatting>
  <conditionalFormatting sqref="W199">
    <cfRule type="expression" dxfId="2770" priority="3920">
      <formula>OR($T$199 = TRUE, AND($W$199 = TRUE, $S$199 = FALSE))</formula>
    </cfRule>
  </conditionalFormatting>
  <conditionalFormatting sqref="W204">
    <cfRule type="expression" dxfId="2769" priority="3919">
      <formula>AND($R$204,$S$204)</formula>
    </cfRule>
  </conditionalFormatting>
  <conditionalFormatting sqref="W204">
    <cfRule type="expression" dxfId="2768" priority="3918">
      <formula>AND(IF($R$204,$W$204,TRUE),LEN(TRIM($W$204))&gt;0)</formula>
    </cfRule>
  </conditionalFormatting>
  <conditionalFormatting sqref="W204">
    <cfRule type="expression" dxfId="2767" priority="3917">
      <formula>OR($S$204 = FALSE, AND($P$204 = FALSE, ReportType &lt;&gt; "Final"), AND($Q$204 = FALSE, ReportType &lt;&gt; "Rough"))</formula>
    </cfRule>
  </conditionalFormatting>
  <conditionalFormatting sqref="W204">
    <cfRule type="expression" dxfId="2766" priority="3916">
      <formula>OR($T$204 = TRUE, AND($W$204 = TRUE, $S$204 = FALSE))</formula>
    </cfRule>
  </conditionalFormatting>
  <conditionalFormatting sqref="W206">
    <cfRule type="expression" dxfId="2765" priority="3915">
      <formula>AND($R$206,$S$206)</formula>
    </cfRule>
  </conditionalFormatting>
  <conditionalFormatting sqref="W206">
    <cfRule type="expression" dxfId="2764" priority="3914">
      <formula>AND(IF($R$206,$W$206,TRUE),LEN(TRIM($W$206))&gt;0)</formula>
    </cfRule>
  </conditionalFormatting>
  <conditionalFormatting sqref="W206">
    <cfRule type="expression" dxfId="2763" priority="3913">
      <formula>OR($S$206 = FALSE, AND($P$206 = FALSE, ReportType &lt;&gt; "Final"), AND($Q$206 = FALSE, ReportType &lt;&gt; "Rough"))</formula>
    </cfRule>
  </conditionalFormatting>
  <conditionalFormatting sqref="W206">
    <cfRule type="expression" dxfId="2762" priority="3912">
      <formula>OR($T$206 = TRUE, AND($W$206 = TRUE, $S$206 = FALSE))</formula>
    </cfRule>
  </conditionalFormatting>
  <conditionalFormatting sqref="W207">
    <cfRule type="expression" dxfId="2761" priority="3911">
      <formula>AND($R$207,$S$207)</formula>
    </cfRule>
  </conditionalFormatting>
  <conditionalFormatting sqref="W207">
    <cfRule type="expression" dxfId="2760" priority="3910">
      <formula>AND(IF($R$207,$W$207,TRUE),LEN(TRIM($W$207))&gt;0)</formula>
    </cfRule>
  </conditionalFormatting>
  <conditionalFormatting sqref="W207">
    <cfRule type="expression" dxfId="2759" priority="3909">
      <formula>OR($S$207 = FALSE, AND($P$207 = FALSE, ReportType &lt;&gt; "Final"), AND($Q$207 = FALSE, ReportType &lt;&gt; "Rough"))</formula>
    </cfRule>
  </conditionalFormatting>
  <conditionalFormatting sqref="W207">
    <cfRule type="expression" dxfId="2758" priority="3908">
      <formula>OR($T$207 = TRUE, AND($W$207 = TRUE, $S$207 = FALSE))</formula>
    </cfRule>
  </conditionalFormatting>
  <conditionalFormatting sqref="W209">
    <cfRule type="expression" dxfId="2757" priority="3907">
      <formula>AND($R$209,$S$209)</formula>
    </cfRule>
  </conditionalFormatting>
  <conditionalFormatting sqref="W209">
    <cfRule type="expression" dxfId="2756" priority="3906">
      <formula>AND(IF($R$209,$W$209,TRUE),LEN(TRIM($W$209))&gt;0)</formula>
    </cfRule>
  </conditionalFormatting>
  <conditionalFormatting sqref="W209">
    <cfRule type="expression" dxfId="2755" priority="3905">
      <formula>OR($S$209 = FALSE, AND($P$209 = FALSE, ReportType &lt;&gt; "Final"), AND($Q$209 = FALSE, ReportType &lt;&gt; "Rough"))</formula>
    </cfRule>
  </conditionalFormatting>
  <conditionalFormatting sqref="W209">
    <cfRule type="expression" dxfId="2754" priority="3904">
      <formula>OR($T$209 = TRUE, AND($W$209 = TRUE, $S$209 = FALSE))</formula>
    </cfRule>
  </conditionalFormatting>
  <conditionalFormatting sqref="W211">
    <cfRule type="expression" dxfId="2753" priority="3903">
      <formula>AND($R$211,$S$211)</formula>
    </cfRule>
  </conditionalFormatting>
  <conditionalFormatting sqref="W211">
    <cfRule type="expression" dxfId="2752" priority="3902">
      <formula>AND(IF($R$211,$W$211,TRUE),LEN(TRIM($W$211))&gt;0)</formula>
    </cfRule>
  </conditionalFormatting>
  <conditionalFormatting sqref="W211">
    <cfRule type="expression" dxfId="2751" priority="3901">
      <formula>OR($S$211 = FALSE, AND($P$211 = FALSE, ReportType &lt;&gt; "Final"), AND($Q$211 = FALSE, ReportType &lt;&gt; "Rough"))</formula>
    </cfRule>
  </conditionalFormatting>
  <conditionalFormatting sqref="W211">
    <cfRule type="expression" dxfId="2750" priority="3900">
      <formula>OR($T$211 = TRUE, AND($W$211 = TRUE, $S$211 = FALSE))</formula>
    </cfRule>
  </conditionalFormatting>
  <conditionalFormatting sqref="W215">
    <cfRule type="expression" dxfId="2749" priority="3899">
      <formula>AND($R$215,$S$215)</formula>
    </cfRule>
  </conditionalFormatting>
  <conditionalFormatting sqref="W215">
    <cfRule type="expression" dxfId="2748" priority="3898">
      <formula>AND(IF($R$215,$W$215,TRUE),LEN(TRIM($W$215))&gt;0)</formula>
    </cfRule>
  </conditionalFormatting>
  <conditionalFormatting sqref="W215">
    <cfRule type="expression" dxfId="2747" priority="3897">
      <formula>OR($S$215 = FALSE, AND($P$215 = FALSE, ReportType &lt;&gt; "Final"), AND($Q$215 = FALSE, ReportType &lt;&gt; "Rough"))</formula>
    </cfRule>
  </conditionalFormatting>
  <conditionalFormatting sqref="W215">
    <cfRule type="expression" dxfId="2746" priority="3896">
      <formula>OR($T$215 = TRUE, AND($W$215 = TRUE, $S$215 = FALSE))</formula>
    </cfRule>
  </conditionalFormatting>
  <conditionalFormatting sqref="W218">
    <cfRule type="expression" dxfId="2745" priority="3895">
      <formula>AND($R$218,$S$218)</formula>
    </cfRule>
  </conditionalFormatting>
  <conditionalFormatting sqref="W218">
    <cfRule type="expression" dxfId="2744" priority="3894">
      <formula>AND(IF($R$218,$W$218,TRUE),LEN(TRIM($W$218))&gt;0)</formula>
    </cfRule>
  </conditionalFormatting>
  <conditionalFormatting sqref="W218">
    <cfRule type="expression" dxfId="2743" priority="3893">
      <formula>OR($S$218 = FALSE, AND($P$218 = FALSE, ReportType &lt;&gt; "Final"), AND($Q$218 = FALSE, ReportType &lt;&gt; "Rough"))</formula>
    </cfRule>
  </conditionalFormatting>
  <conditionalFormatting sqref="W218">
    <cfRule type="expression" dxfId="2742" priority="3892">
      <formula>OR($T$218 = TRUE, AND($W$218 = TRUE, $S$218 = FALSE))</formula>
    </cfRule>
  </conditionalFormatting>
  <conditionalFormatting sqref="W220">
    <cfRule type="expression" dxfId="2741" priority="3891">
      <formula>AND($R$220,$S$220)</formula>
    </cfRule>
  </conditionalFormatting>
  <conditionalFormatting sqref="W220">
    <cfRule type="expression" dxfId="2740" priority="3890">
      <formula>AND(IF($R$220,$W$220,TRUE),LEN(TRIM($W$220))&gt;0)</formula>
    </cfRule>
  </conditionalFormatting>
  <conditionalFormatting sqref="W220">
    <cfRule type="expression" dxfId="2739" priority="3889">
      <formula>OR($S$220 = FALSE, AND($P$220 = FALSE, ReportType &lt;&gt; "Final"), AND($Q$220 = FALSE, ReportType &lt;&gt; "Rough"))</formula>
    </cfRule>
  </conditionalFormatting>
  <conditionalFormatting sqref="W220">
    <cfRule type="expression" dxfId="2738" priority="3888">
      <formula>OR($T$220 = TRUE, AND($W$220 = TRUE, $S$220 = FALSE))</formula>
    </cfRule>
  </conditionalFormatting>
  <conditionalFormatting sqref="W221">
    <cfRule type="expression" dxfId="2737" priority="3887">
      <formula>AND($R$221,$S$221)</formula>
    </cfRule>
  </conditionalFormatting>
  <conditionalFormatting sqref="W221">
    <cfRule type="expression" dxfId="2736" priority="3886">
      <formula>AND(IF($R$221,$W$221,TRUE),LEN(TRIM($W$221))&gt;0)</formula>
    </cfRule>
  </conditionalFormatting>
  <conditionalFormatting sqref="W221">
    <cfRule type="expression" dxfId="2735" priority="3885">
      <formula>OR($S$221 = FALSE, AND($P$221 = FALSE, ReportType &lt;&gt; "Final"), AND($Q$221 = FALSE, ReportType &lt;&gt; "Rough"))</formula>
    </cfRule>
  </conditionalFormatting>
  <conditionalFormatting sqref="W221">
    <cfRule type="expression" dxfId="2734" priority="3884">
      <formula>OR($T$221 = TRUE, AND($W$221 = TRUE, $S$221 = FALSE))</formula>
    </cfRule>
  </conditionalFormatting>
  <conditionalFormatting sqref="W222">
    <cfRule type="expression" dxfId="2733" priority="3883">
      <formula>AND($R$222,$S$222)</formula>
    </cfRule>
  </conditionalFormatting>
  <conditionalFormatting sqref="W222">
    <cfRule type="expression" dxfId="2732" priority="3882">
      <formula>AND(IF($R$222,$W$222,TRUE),LEN(TRIM($W$222))&gt;0)</formula>
    </cfRule>
  </conditionalFormatting>
  <conditionalFormatting sqref="W222">
    <cfRule type="expression" dxfId="2731" priority="3881">
      <formula>OR($S$222 = FALSE, AND($P$222 = FALSE, ReportType &lt;&gt; "Final"), AND($Q$222 = FALSE, ReportType &lt;&gt; "Rough"))</formula>
    </cfRule>
  </conditionalFormatting>
  <conditionalFormatting sqref="W222">
    <cfRule type="expression" dxfId="2730" priority="3880">
      <formula>OR($T$222 = TRUE, AND($W$222 = TRUE, $S$222 = FALSE))</formula>
    </cfRule>
  </conditionalFormatting>
  <conditionalFormatting sqref="W223">
    <cfRule type="expression" dxfId="2729" priority="3879">
      <formula>AND($R$223,$S$223)</formula>
    </cfRule>
  </conditionalFormatting>
  <conditionalFormatting sqref="W223">
    <cfRule type="expression" dxfId="2728" priority="3878">
      <formula>AND(IF($R$223,$W$223,TRUE),LEN(TRIM($W$223))&gt;0)</formula>
    </cfRule>
  </conditionalFormatting>
  <conditionalFormatting sqref="W223">
    <cfRule type="expression" dxfId="2727" priority="3877">
      <formula>OR($S$223 = FALSE, AND($P$223 = FALSE, ReportType &lt;&gt; "Final"), AND($Q$223 = FALSE, ReportType &lt;&gt; "Rough"))</formula>
    </cfRule>
  </conditionalFormatting>
  <conditionalFormatting sqref="W223">
    <cfRule type="expression" dxfId="2726" priority="3876">
      <formula>OR($T$223 = TRUE, AND($W$223 = TRUE, $S$223 = FALSE))</formula>
    </cfRule>
  </conditionalFormatting>
  <conditionalFormatting sqref="W224">
    <cfRule type="expression" dxfId="2725" priority="3875">
      <formula>AND($R$224,$S$224)</formula>
    </cfRule>
  </conditionalFormatting>
  <conditionalFormatting sqref="W224">
    <cfRule type="expression" dxfId="2724" priority="3874">
      <formula>AND(IF($R$224,$W$224,TRUE),LEN(TRIM($W$224))&gt;0)</formula>
    </cfRule>
  </conditionalFormatting>
  <conditionalFormatting sqref="W224">
    <cfRule type="expression" dxfId="2723" priority="3873">
      <formula>OR($S$224 = FALSE, AND($P$224 = FALSE, ReportType &lt;&gt; "Final"), AND($Q$224 = FALSE, ReportType &lt;&gt; "Rough"))</formula>
    </cfRule>
  </conditionalFormatting>
  <conditionalFormatting sqref="W224">
    <cfRule type="expression" dxfId="2722" priority="3872">
      <formula>OR($T$224 = TRUE, AND($W$224 = TRUE, $S$224 = FALSE))</formula>
    </cfRule>
  </conditionalFormatting>
  <conditionalFormatting sqref="W225">
    <cfRule type="expression" dxfId="2721" priority="3871">
      <formula>AND($R$225,$S$225)</formula>
    </cfRule>
  </conditionalFormatting>
  <conditionalFormatting sqref="W225">
    <cfRule type="expression" dxfId="2720" priority="3870">
      <formula>AND(IF($R$225,$W$225,TRUE),LEN(TRIM($W$225))&gt;0)</formula>
    </cfRule>
  </conditionalFormatting>
  <conditionalFormatting sqref="W225">
    <cfRule type="expression" dxfId="2719" priority="3869">
      <formula>OR($S$225 = FALSE, AND($P$225 = FALSE, ReportType &lt;&gt; "Final"), AND($Q$225 = FALSE, ReportType &lt;&gt; "Rough"))</formula>
    </cfRule>
  </conditionalFormatting>
  <conditionalFormatting sqref="W225">
    <cfRule type="expression" dxfId="2718" priority="3868">
      <formula>OR($T$225 = TRUE, AND($W$225 = TRUE, $S$225 = FALSE))</formula>
    </cfRule>
  </conditionalFormatting>
  <conditionalFormatting sqref="W233">
    <cfRule type="expression" dxfId="2717" priority="3863">
      <formula>AND($R$233,$S$233)</formula>
    </cfRule>
  </conditionalFormatting>
  <conditionalFormatting sqref="W233">
    <cfRule type="expression" dxfId="2716" priority="3862">
      <formula>AND(IF($R$233,$W$233,TRUE),LEN(TRIM($W$233))&gt;0)</formula>
    </cfRule>
  </conditionalFormatting>
  <conditionalFormatting sqref="W233">
    <cfRule type="expression" dxfId="2715" priority="3861">
      <formula>OR($S$233 = FALSE, AND($P$233 = FALSE, ReportType &lt;&gt; "Final"), AND($Q$233 = FALSE, ReportType &lt;&gt; "Rough"))</formula>
    </cfRule>
  </conditionalFormatting>
  <conditionalFormatting sqref="W233">
    <cfRule type="expression" dxfId="2714" priority="3860">
      <formula>OR($T$233 = TRUE, AND($W$233 = TRUE, $S$233 = FALSE))</formula>
    </cfRule>
  </conditionalFormatting>
  <conditionalFormatting sqref="W235">
    <cfRule type="expression" dxfId="2713" priority="3859">
      <formula>AND($R$235,$S$235)</formula>
    </cfRule>
  </conditionalFormatting>
  <conditionalFormatting sqref="W235">
    <cfRule type="expression" dxfId="2712" priority="3858">
      <formula>AND(IF($R$235,$W$235,TRUE),LEN(TRIM($W$235))&gt;0)</formula>
    </cfRule>
  </conditionalFormatting>
  <conditionalFormatting sqref="W235">
    <cfRule type="expression" dxfId="2711" priority="3857">
      <formula>OR($S$235 = FALSE, AND($P$235 = FALSE, ReportType &lt;&gt; "Final"), AND($Q$235 = FALSE, ReportType &lt;&gt; "Rough"))</formula>
    </cfRule>
  </conditionalFormatting>
  <conditionalFormatting sqref="W235">
    <cfRule type="expression" dxfId="2710" priority="3856">
      <formula>OR($T$235 = TRUE, AND($W$235 = TRUE, $S$235 = FALSE))</formula>
    </cfRule>
  </conditionalFormatting>
  <conditionalFormatting sqref="W243">
    <cfRule type="expression" dxfId="2709" priority="3855">
      <formula>AND($R$243,$S$243)</formula>
    </cfRule>
  </conditionalFormatting>
  <conditionalFormatting sqref="W243">
    <cfRule type="expression" dxfId="2708" priority="3854">
      <formula>AND(IF($R$243,$W$243,TRUE),LEN(TRIM($W$243))&gt;0)</formula>
    </cfRule>
  </conditionalFormatting>
  <conditionalFormatting sqref="W243">
    <cfRule type="expression" dxfId="2707" priority="3853">
      <formula>OR($S$243 = FALSE, AND($P$243 = FALSE, ReportType &lt;&gt; "Final"), AND($Q$243 = FALSE, ReportType &lt;&gt; "Rough"))</formula>
    </cfRule>
  </conditionalFormatting>
  <conditionalFormatting sqref="W243">
    <cfRule type="expression" dxfId="2706" priority="3852">
      <formula>OR($T$243 = TRUE, AND($W$243 = TRUE, $S$243 = FALSE))</formula>
    </cfRule>
  </conditionalFormatting>
  <conditionalFormatting sqref="W246">
    <cfRule type="expression" dxfId="2705" priority="3851">
      <formula>AND($R$246,$S$246)</formula>
    </cfRule>
  </conditionalFormatting>
  <conditionalFormatting sqref="W246">
    <cfRule type="expression" dxfId="2704" priority="3850">
      <formula>AND(IF($R$246,$W$246,TRUE),LEN(TRIM($W$246))&gt;0)</formula>
    </cfRule>
  </conditionalFormatting>
  <conditionalFormatting sqref="W246">
    <cfRule type="expression" dxfId="2703" priority="3849">
      <formula>OR($S$246 = FALSE, AND($P$246 = FALSE, ReportType &lt;&gt; "Final"), AND($Q$246 = FALSE, ReportType &lt;&gt; "Rough"))</formula>
    </cfRule>
  </conditionalFormatting>
  <conditionalFormatting sqref="W246">
    <cfRule type="expression" dxfId="2702" priority="3848">
      <formula>OR($T$246 = TRUE, AND($W$246 = TRUE, $S$246 = FALSE))</formula>
    </cfRule>
  </conditionalFormatting>
  <conditionalFormatting sqref="W250">
    <cfRule type="expression" dxfId="2701" priority="3847">
      <formula>AND($R$250,$S$250)</formula>
    </cfRule>
  </conditionalFormatting>
  <conditionalFormatting sqref="W250">
    <cfRule type="expression" dxfId="2700" priority="3846">
      <formula>AND(IF($R$250,$W$250,TRUE),LEN(TRIM($W$250))&gt;0)</formula>
    </cfRule>
  </conditionalFormatting>
  <conditionalFormatting sqref="W250">
    <cfRule type="expression" dxfId="2699" priority="3845">
      <formula>OR($S$250 = FALSE, AND($P$250 = FALSE, ReportType &lt;&gt; "Final"), AND($Q$250 = FALSE, ReportType &lt;&gt; "Rough"))</formula>
    </cfRule>
  </conditionalFormatting>
  <conditionalFormatting sqref="W250">
    <cfRule type="expression" dxfId="2698" priority="3844">
      <formula>OR($T$250 = TRUE, AND($W$250 = TRUE, $S$250 = FALSE))</formula>
    </cfRule>
  </conditionalFormatting>
  <conditionalFormatting sqref="W251">
    <cfRule type="expression" dxfId="2697" priority="3843">
      <formula>AND($R$251,$S$251)</formula>
    </cfRule>
  </conditionalFormatting>
  <conditionalFormatting sqref="W251">
    <cfRule type="expression" dxfId="2696" priority="3842">
      <formula>AND(IF($R$251,$W$251,TRUE),LEN(TRIM($W$251))&gt;0)</formula>
    </cfRule>
  </conditionalFormatting>
  <conditionalFormatting sqref="W251">
    <cfRule type="expression" dxfId="2695" priority="3841">
      <formula>OR($S$251 = FALSE, AND($P$251 = FALSE, ReportType &lt;&gt; "Final"), AND($Q$251 = FALSE, ReportType &lt;&gt; "Rough"))</formula>
    </cfRule>
  </conditionalFormatting>
  <conditionalFormatting sqref="W251">
    <cfRule type="expression" dxfId="2694" priority="3840">
      <formula>OR($T$251 = TRUE, AND($W$251 = TRUE, $S$251 = FALSE))</formula>
    </cfRule>
  </conditionalFormatting>
  <conditionalFormatting sqref="W330">
    <cfRule type="expression" dxfId="2693" priority="3827">
      <formula>AND($R$330,$S$330)</formula>
    </cfRule>
  </conditionalFormatting>
  <conditionalFormatting sqref="W330">
    <cfRule type="expression" dxfId="2692" priority="3826">
      <formula>AND(IF($R$330,$W$330,TRUE),LEN(TRIM($W$330))&gt;0)</formula>
    </cfRule>
  </conditionalFormatting>
  <conditionalFormatting sqref="W330">
    <cfRule type="expression" dxfId="2691" priority="3825">
      <formula>OR($S$330 = FALSE, AND($P$330 = FALSE, ReportType &lt;&gt; "Final"), AND($Q$330 = FALSE, ReportType &lt;&gt; "Rough"))</formula>
    </cfRule>
  </conditionalFormatting>
  <conditionalFormatting sqref="W330">
    <cfRule type="expression" dxfId="2690" priority="3824">
      <formula>OR($T$330 = TRUE, AND($W$330 = TRUE, $S$330 = FALSE))</formula>
    </cfRule>
  </conditionalFormatting>
  <conditionalFormatting sqref="W333">
    <cfRule type="expression" dxfId="2689" priority="3823">
      <formula>AND($R$333,$S$333)</formula>
    </cfRule>
  </conditionalFormatting>
  <conditionalFormatting sqref="W333">
    <cfRule type="expression" dxfId="2688" priority="3822">
      <formula>AND(IF($R$333,$W$333,TRUE),LEN(TRIM($W$333))&gt;0)</formula>
    </cfRule>
  </conditionalFormatting>
  <conditionalFormatting sqref="W333">
    <cfRule type="expression" dxfId="2687" priority="3821">
      <formula>OR($S$333 = FALSE, AND($P$333 = FALSE, ReportType &lt;&gt; "Final"), AND($Q$333 = FALSE, ReportType &lt;&gt; "Rough"))</formula>
    </cfRule>
  </conditionalFormatting>
  <conditionalFormatting sqref="W333">
    <cfRule type="expression" dxfId="2686" priority="3820">
      <formula>OR($T$333 = TRUE, AND($W$333 = TRUE, $S$333 = FALSE))</formula>
    </cfRule>
  </conditionalFormatting>
  <conditionalFormatting sqref="W336">
    <cfRule type="expression" dxfId="2685" priority="3819">
      <formula>AND($R$336,$S$336)</formula>
    </cfRule>
  </conditionalFormatting>
  <conditionalFormatting sqref="W336">
    <cfRule type="expression" dxfId="2684" priority="3818">
      <formula>AND(IF($R$336,$W$336,TRUE),LEN(TRIM($W$336))&gt;0)</formula>
    </cfRule>
  </conditionalFormatting>
  <conditionalFormatting sqref="W336">
    <cfRule type="expression" dxfId="2683" priority="3817">
      <formula>OR($S$336 = FALSE, AND($P$336 = FALSE, ReportType &lt;&gt; "Final"), AND($Q$336 = FALSE, ReportType &lt;&gt; "Rough"))</formula>
    </cfRule>
  </conditionalFormatting>
  <conditionalFormatting sqref="W336">
    <cfRule type="expression" dxfId="2682" priority="3816">
      <formula>OR($T$336 = TRUE, AND($W$336 = TRUE, $S$336 = FALSE))</formula>
    </cfRule>
  </conditionalFormatting>
  <conditionalFormatting sqref="W342">
    <cfRule type="expression" dxfId="2681" priority="3815">
      <formula>AND($R$342,$S$342)</formula>
    </cfRule>
  </conditionalFormatting>
  <conditionalFormatting sqref="W342">
    <cfRule type="expression" dxfId="2680" priority="3814">
      <formula>AND(IF($R$342,$W$342,TRUE),LEN(TRIM($W$342))&gt;0)</formula>
    </cfRule>
  </conditionalFormatting>
  <conditionalFormatting sqref="W342">
    <cfRule type="expression" dxfId="2679" priority="3813">
      <formula>OR($S$342 = FALSE, AND($P$342 = FALSE, ReportType &lt;&gt; "Final"), AND($Q$342 = FALSE, ReportType &lt;&gt; "Rough"))</formula>
    </cfRule>
  </conditionalFormatting>
  <conditionalFormatting sqref="W342">
    <cfRule type="expression" dxfId="2678" priority="3812">
      <formula>OR($T$342 = TRUE, AND($W$342 = TRUE, $S$342 = FALSE))</formula>
    </cfRule>
  </conditionalFormatting>
  <conditionalFormatting sqref="W343">
    <cfRule type="expression" dxfId="2677" priority="3811">
      <formula>AND($R$343,$S$343)</formula>
    </cfRule>
  </conditionalFormatting>
  <conditionalFormatting sqref="W343">
    <cfRule type="expression" dxfId="2676" priority="3810">
      <formula>AND(IF($R$343,$W$343,TRUE),LEN(TRIM($W$343))&gt;0)</formula>
    </cfRule>
  </conditionalFormatting>
  <conditionalFormatting sqref="W343">
    <cfRule type="expression" dxfId="2675" priority="3809">
      <formula>OR($S$343 = FALSE, AND($P$343 = FALSE, ReportType &lt;&gt; "Final"), AND($Q$343 = FALSE, ReportType &lt;&gt; "Rough"))</formula>
    </cfRule>
  </conditionalFormatting>
  <conditionalFormatting sqref="W343">
    <cfRule type="expression" dxfId="2674" priority="3808">
      <formula>OR($T$343 = TRUE, AND($W$343 = TRUE, $S$343 = FALSE))</formula>
    </cfRule>
  </conditionalFormatting>
  <conditionalFormatting sqref="W344">
    <cfRule type="expression" dxfId="2673" priority="3807">
      <formula>AND($R$344,$S$344)</formula>
    </cfRule>
  </conditionalFormatting>
  <conditionalFormatting sqref="W344">
    <cfRule type="expression" dxfId="2672" priority="3806">
      <formula>AND(IF($R$344,$W$344,TRUE),LEN(TRIM($W$344))&gt;0)</formula>
    </cfRule>
  </conditionalFormatting>
  <conditionalFormatting sqref="W344">
    <cfRule type="expression" dxfId="2671" priority="3805">
      <formula>OR($S$344 = FALSE, AND($P$344 = FALSE, ReportType &lt;&gt; "Final"), AND($Q$344 = FALSE, ReportType &lt;&gt; "Rough"))</formula>
    </cfRule>
  </conditionalFormatting>
  <conditionalFormatting sqref="W344">
    <cfRule type="expression" dxfId="2670" priority="3804">
      <formula>OR($T$344 = TRUE, AND($W$344 = TRUE, $S$344 = FALSE))</formula>
    </cfRule>
  </conditionalFormatting>
  <conditionalFormatting sqref="W345">
    <cfRule type="expression" dxfId="2669" priority="3803">
      <formula>AND($R$345,$S$345)</formula>
    </cfRule>
  </conditionalFormatting>
  <conditionalFormatting sqref="W345">
    <cfRule type="expression" dxfId="2668" priority="3802">
      <formula>AND(IF($R$345,$W$345,TRUE),LEN(TRIM($W$345))&gt;0)</formula>
    </cfRule>
  </conditionalFormatting>
  <conditionalFormatting sqref="W345">
    <cfRule type="expression" dxfId="2667" priority="3801">
      <formula>OR($S$345 = FALSE, AND($P$345 = FALSE, ReportType &lt;&gt; "Final"), AND($Q$345 = FALSE, ReportType &lt;&gt; "Rough"))</formula>
    </cfRule>
  </conditionalFormatting>
  <conditionalFormatting sqref="W345">
    <cfRule type="expression" dxfId="2666" priority="3800">
      <formula>OR($T$345 = TRUE, AND($W$345 = TRUE, $S$345 = FALSE))</formula>
    </cfRule>
  </conditionalFormatting>
  <conditionalFormatting sqref="W346">
    <cfRule type="expression" dxfId="2665" priority="3799">
      <formula>AND($R$346,$S$346)</formula>
    </cfRule>
  </conditionalFormatting>
  <conditionalFormatting sqref="W346">
    <cfRule type="expression" dxfId="2664" priority="3798">
      <formula>AND(IF($R$346,$W$346,TRUE),LEN(TRIM($W$346))&gt;0)</formula>
    </cfRule>
  </conditionalFormatting>
  <conditionalFormatting sqref="W346">
    <cfRule type="expression" dxfId="2663" priority="3797">
      <formula>OR($S$346 = FALSE, AND($P$346 = FALSE, ReportType &lt;&gt; "Final"), AND($Q$346 = FALSE, ReportType &lt;&gt; "Rough"))</formula>
    </cfRule>
  </conditionalFormatting>
  <conditionalFormatting sqref="W346">
    <cfRule type="expression" dxfId="2662" priority="3796">
      <formula>OR($T$346 = TRUE, AND($W$346 = TRUE, $S$346 = FALSE))</formula>
    </cfRule>
  </conditionalFormatting>
  <conditionalFormatting sqref="W347">
    <cfRule type="expression" dxfId="2661" priority="3795">
      <formula>AND($R$347,$S$347)</formula>
    </cfRule>
  </conditionalFormatting>
  <conditionalFormatting sqref="W347">
    <cfRule type="expression" dxfId="2660" priority="3794">
      <formula>AND(IF($R$347,$W$347,TRUE),LEN(TRIM($W$347))&gt;0)</formula>
    </cfRule>
  </conditionalFormatting>
  <conditionalFormatting sqref="W347">
    <cfRule type="expression" dxfId="2659" priority="3793">
      <formula>OR($S$347 = FALSE, AND($P$347 = FALSE, ReportType &lt;&gt; "Final"), AND($Q$347 = FALSE, ReportType &lt;&gt; "Rough"))</formula>
    </cfRule>
  </conditionalFormatting>
  <conditionalFormatting sqref="W347">
    <cfRule type="expression" dxfId="2658" priority="3792">
      <formula>OR($T$347 = TRUE, AND($W$347 = TRUE, $S$347 = FALSE))</formula>
    </cfRule>
  </conditionalFormatting>
  <conditionalFormatting sqref="W355">
    <cfRule type="expression" dxfId="2657" priority="3791">
      <formula>AND($R$355,$S$355)</formula>
    </cfRule>
  </conditionalFormatting>
  <conditionalFormatting sqref="W355">
    <cfRule type="expression" dxfId="2656" priority="3790">
      <formula>AND(IF($R$355,$W$355,TRUE),LEN(TRIM($W$355))&gt;0)</formula>
    </cfRule>
  </conditionalFormatting>
  <conditionalFormatting sqref="W355">
    <cfRule type="expression" dxfId="2655" priority="3789">
      <formula>OR($S$355 = FALSE, AND($P$355 = FALSE, ReportType &lt;&gt; "Final"), AND($Q$355 = FALSE, ReportType &lt;&gt; "Rough"))</formula>
    </cfRule>
  </conditionalFormatting>
  <conditionalFormatting sqref="W355">
    <cfRule type="expression" dxfId="2654" priority="3788">
      <formula>OR($T$355 = TRUE, AND($W$355 = TRUE, $S$355 = FALSE))</formula>
    </cfRule>
  </conditionalFormatting>
  <conditionalFormatting sqref="W356">
    <cfRule type="expression" dxfId="2653" priority="3787">
      <formula>AND($R$356,$S$356)</formula>
    </cfRule>
  </conditionalFormatting>
  <conditionalFormatting sqref="W356">
    <cfRule type="expression" dxfId="2652" priority="3786">
      <formula>AND(IF($R$356,$W$356,TRUE),LEN(TRIM($W$356))&gt;0)</formula>
    </cfRule>
  </conditionalFormatting>
  <conditionalFormatting sqref="W356">
    <cfRule type="expression" dxfId="2651" priority="3785">
      <formula>OR($S$356 = FALSE, AND($P$356 = FALSE, ReportType &lt;&gt; "Final"), AND($Q$356 = FALSE, ReportType &lt;&gt; "Rough"))</formula>
    </cfRule>
  </conditionalFormatting>
  <conditionalFormatting sqref="W356">
    <cfRule type="expression" dxfId="2650" priority="3784">
      <formula>OR($T$356 = TRUE, AND($W$356 = TRUE, $S$356 = FALSE))</formula>
    </cfRule>
  </conditionalFormatting>
  <conditionalFormatting sqref="W357">
    <cfRule type="expression" dxfId="2649" priority="3783">
      <formula>AND($R$357,$S$357)</formula>
    </cfRule>
  </conditionalFormatting>
  <conditionalFormatting sqref="W357">
    <cfRule type="expression" dxfId="2648" priority="3782">
      <formula>AND(IF($R$357,$W$357,TRUE),LEN(TRIM($W$357))&gt;0)</formula>
    </cfRule>
  </conditionalFormatting>
  <conditionalFormatting sqref="W357">
    <cfRule type="expression" dxfId="2647" priority="3781">
      <formula>OR($S$357 = FALSE, AND($P$357 = FALSE, ReportType &lt;&gt; "Final"), AND($Q$357 = FALSE, ReportType &lt;&gt; "Rough"))</formula>
    </cfRule>
  </conditionalFormatting>
  <conditionalFormatting sqref="W357">
    <cfRule type="expression" dxfId="2646" priority="3780">
      <formula>OR($T$357 = TRUE, AND($W$357 = TRUE, $S$357 = FALSE))</formula>
    </cfRule>
  </conditionalFormatting>
  <conditionalFormatting sqref="W358">
    <cfRule type="expression" dxfId="2645" priority="3779">
      <formula>AND($R$358,$S$358)</formula>
    </cfRule>
  </conditionalFormatting>
  <conditionalFormatting sqref="W358">
    <cfRule type="expression" dxfId="2644" priority="3778">
      <formula>AND(IF($R$358,$W$358,TRUE),LEN(TRIM($W$358))&gt;0)</formula>
    </cfRule>
  </conditionalFormatting>
  <conditionalFormatting sqref="W358">
    <cfRule type="expression" dxfId="2643" priority="3777">
      <formula>OR($S$358 = FALSE, AND($P$358 = FALSE, ReportType &lt;&gt; "Final"), AND($Q$358 = FALSE, ReportType &lt;&gt; "Rough"))</formula>
    </cfRule>
  </conditionalFormatting>
  <conditionalFormatting sqref="W358">
    <cfRule type="expression" dxfId="2642" priority="3776">
      <formula>OR($T$358 = TRUE, AND($W$358 = TRUE, $S$358 = FALSE))</formula>
    </cfRule>
  </conditionalFormatting>
  <conditionalFormatting sqref="W383">
    <cfRule type="expression" dxfId="2641" priority="3771">
      <formula>AND($R$383,$S$383)</formula>
    </cfRule>
  </conditionalFormatting>
  <conditionalFormatting sqref="W383">
    <cfRule type="expression" dxfId="2640" priority="3770">
      <formula>AND(IF($R$383,$W$383,TRUE),LEN(TRIM($W$383))&gt;0)</formula>
    </cfRule>
  </conditionalFormatting>
  <conditionalFormatting sqref="W383">
    <cfRule type="expression" dxfId="2639" priority="3769">
      <formula>OR($S$383 = FALSE, AND($P$383 = FALSE, ReportType &lt;&gt; "Final"), AND($Q$383 = FALSE, ReportType &lt;&gt; "Rough"))</formula>
    </cfRule>
  </conditionalFormatting>
  <conditionalFormatting sqref="W383">
    <cfRule type="expression" dxfId="2638" priority="3768">
      <formula>OR($T$383 = TRUE, AND($W$383 = TRUE, $S$383 = FALSE))</formula>
    </cfRule>
  </conditionalFormatting>
  <conditionalFormatting sqref="W400">
    <cfRule type="expression" dxfId="2637" priority="3759">
      <formula>AND($R$400,$S$400)</formula>
    </cfRule>
  </conditionalFormatting>
  <conditionalFormatting sqref="W400">
    <cfRule type="expression" dxfId="2636" priority="3758">
      <formula>AND(IF($R$400,$W$400,TRUE),LEN(TRIM($W$400))&gt;0)</formula>
    </cfRule>
  </conditionalFormatting>
  <conditionalFormatting sqref="W400">
    <cfRule type="expression" dxfId="2635" priority="3757">
      <formula>OR($S$400 = FALSE, AND($P$400 = FALSE, ReportType &lt;&gt; "Final"), AND($Q$400 = FALSE, ReportType &lt;&gt; "Rough"))</formula>
    </cfRule>
  </conditionalFormatting>
  <conditionalFormatting sqref="W400">
    <cfRule type="expression" dxfId="2634" priority="3756">
      <formula>OR($T$400 = TRUE, AND($W$400 = TRUE, $S$400 = FALSE))</formula>
    </cfRule>
  </conditionalFormatting>
  <conditionalFormatting sqref="W406">
    <cfRule type="expression" dxfId="2633" priority="3755">
      <formula>AND($R$406,$S$406)</formula>
    </cfRule>
  </conditionalFormatting>
  <conditionalFormatting sqref="W406">
    <cfRule type="expression" dxfId="2632" priority="3754">
      <formula>AND(IF($R$406,$W$406,TRUE),LEN(TRIM($W$406))&gt;0)</formula>
    </cfRule>
  </conditionalFormatting>
  <conditionalFormatting sqref="W406">
    <cfRule type="expression" dxfId="2631" priority="3753">
      <formula>OR($S$406 = FALSE, AND($P$406 = FALSE, ReportType &lt;&gt; "Final"), AND($Q$406 = FALSE, ReportType &lt;&gt; "Rough"))</formula>
    </cfRule>
  </conditionalFormatting>
  <conditionalFormatting sqref="W406">
    <cfRule type="expression" dxfId="2630" priority="3752">
      <formula>OR($T$406 = TRUE, AND($W$406 = TRUE, $S$406 = FALSE))</formula>
    </cfRule>
  </conditionalFormatting>
  <conditionalFormatting sqref="W407">
    <cfRule type="expression" dxfId="2629" priority="3751">
      <formula>AND($R$407,$S$407)</formula>
    </cfRule>
  </conditionalFormatting>
  <conditionalFormatting sqref="W407">
    <cfRule type="expression" dxfId="2628" priority="3750">
      <formula>AND(IF($R$407,$W$407,TRUE),LEN(TRIM($W$407))&gt;0)</formula>
    </cfRule>
  </conditionalFormatting>
  <conditionalFormatting sqref="W407">
    <cfRule type="expression" dxfId="2627" priority="3749">
      <formula>OR($S$407 = FALSE, AND($P$407 = FALSE, ReportType &lt;&gt; "Final"), AND($Q$407 = FALSE, ReportType &lt;&gt; "Rough"))</formula>
    </cfRule>
  </conditionalFormatting>
  <conditionalFormatting sqref="W407">
    <cfRule type="expression" dxfId="2626" priority="3748">
      <formula>OR($T$407 = TRUE, AND($W$407 = TRUE, $S$407 = FALSE))</formula>
    </cfRule>
  </conditionalFormatting>
  <conditionalFormatting sqref="W412">
    <cfRule type="expression" dxfId="2625" priority="3743">
      <formula>AND($R$412,$S$412)</formula>
    </cfRule>
  </conditionalFormatting>
  <conditionalFormatting sqref="W412">
    <cfRule type="expression" dxfId="2624" priority="3742">
      <formula>AND(IF($R$412,$W$412,TRUE),LEN(TRIM($W$412))&gt;0)</formula>
    </cfRule>
  </conditionalFormatting>
  <conditionalFormatting sqref="W412">
    <cfRule type="expression" dxfId="2623" priority="3741">
      <formula>OR($S$412 = FALSE, AND($P$412 = FALSE, ReportType &lt;&gt; "Final"), AND($Q$412 = FALSE, ReportType &lt;&gt; "Rough"))</formula>
    </cfRule>
  </conditionalFormatting>
  <conditionalFormatting sqref="W412">
    <cfRule type="expression" dxfId="2622" priority="3740">
      <formula>OR($T$412 = TRUE, AND($W$412 = TRUE, $S$412 = FALSE))</formula>
    </cfRule>
  </conditionalFormatting>
  <conditionalFormatting sqref="W420">
    <cfRule type="expression" dxfId="2621" priority="3739">
      <formula>AND($R$420,$S$420)</formula>
    </cfRule>
  </conditionalFormatting>
  <conditionalFormatting sqref="W420">
    <cfRule type="expression" dxfId="2620" priority="3738">
      <formula>AND(IF($R$420,$W$420,TRUE),LEN(TRIM($W$420))&gt;0)</formula>
    </cfRule>
  </conditionalFormatting>
  <conditionalFormatting sqref="W420">
    <cfRule type="expression" dxfId="2619" priority="3737">
      <formula>OR($S$420 = FALSE, AND($P$420 = FALSE, ReportType &lt;&gt; "Final"), AND($Q$420 = FALSE, ReportType &lt;&gt; "Rough"))</formula>
    </cfRule>
  </conditionalFormatting>
  <conditionalFormatting sqref="W420">
    <cfRule type="expression" dxfId="2618" priority="3736">
      <formula>OR($T$420 = TRUE, AND($W$420 = TRUE, $S$420 = FALSE))</formula>
    </cfRule>
  </conditionalFormatting>
  <conditionalFormatting sqref="W429">
    <cfRule type="expression" dxfId="2617" priority="3735">
      <formula>AND($R$429,$S$429)</formula>
    </cfRule>
  </conditionalFormatting>
  <conditionalFormatting sqref="W429">
    <cfRule type="expression" dxfId="2616" priority="3734">
      <formula>AND(IF($R$429,$W$429,TRUE),LEN(TRIM($W$429))&gt;0)</formula>
    </cfRule>
  </conditionalFormatting>
  <conditionalFormatting sqref="W429">
    <cfRule type="expression" dxfId="2615" priority="3733">
      <formula>OR($S$429 = FALSE, AND($P$429 = FALSE, ReportType &lt;&gt; "Final"), AND($Q$429 = FALSE, ReportType &lt;&gt; "Rough"))</formula>
    </cfRule>
  </conditionalFormatting>
  <conditionalFormatting sqref="W429">
    <cfRule type="expression" dxfId="2614" priority="3732">
      <formula>OR($T$429 = TRUE, AND($W$429 = TRUE, $S$429 = FALSE))</formula>
    </cfRule>
  </conditionalFormatting>
  <conditionalFormatting sqref="W437">
    <cfRule type="expression" dxfId="2613" priority="3731">
      <formula>AND($R$437,$S$437)</formula>
    </cfRule>
  </conditionalFormatting>
  <conditionalFormatting sqref="W437">
    <cfRule type="expression" dxfId="2612" priority="3730">
      <formula>AND(IF($R$437,$W$437,TRUE),LEN(TRIM($W$437))&gt;0)</formula>
    </cfRule>
  </conditionalFormatting>
  <conditionalFormatting sqref="W437">
    <cfRule type="expression" dxfId="2611" priority="3729">
      <formula>OR($S$437 = FALSE, AND($P$437 = FALSE, ReportType &lt;&gt; "Final"), AND($Q$437 = FALSE, ReportType &lt;&gt; "Rough"))</formula>
    </cfRule>
  </conditionalFormatting>
  <conditionalFormatting sqref="W437">
    <cfRule type="expression" dxfId="2610" priority="3728">
      <formula>OR($T$437 = TRUE, AND($W$437 = TRUE, $S$437 = FALSE))</formula>
    </cfRule>
  </conditionalFormatting>
  <conditionalFormatting sqref="W439">
    <cfRule type="expression" dxfId="2609" priority="3727">
      <formula>AND($R$439,$S$439)</formula>
    </cfRule>
  </conditionalFormatting>
  <conditionalFormatting sqref="W439">
    <cfRule type="expression" dxfId="2608" priority="3726">
      <formula>AND(IF($R$439,$W$439,TRUE),LEN(TRIM($W$439))&gt;0)</formula>
    </cfRule>
  </conditionalFormatting>
  <conditionalFormatting sqref="W439">
    <cfRule type="expression" dxfId="2607" priority="3725">
      <formula>OR($S$439 = FALSE, AND($P$439 = FALSE, ReportType &lt;&gt; "Final"), AND($Q$439 = FALSE, ReportType &lt;&gt; "Rough"))</formula>
    </cfRule>
  </conditionalFormatting>
  <conditionalFormatting sqref="W439">
    <cfRule type="expression" dxfId="2606" priority="3724">
      <formula>OR($T$439 = TRUE, AND($W$439 = TRUE, $S$439 = FALSE))</formula>
    </cfRule>
  </conditionalFormatting>
  <conditionalFormatting sqref="W445">
    <cfRule type="expression" dxfId="2605" priority="3723">
      <formula>AND($R$445,$S$445)</formula>
    </cfRule>
  </conditionalFormatting>
  <conditionalFormatting sqref="W445">
    <cfRule type="expression" dxfId="2604" priority="3722">
      <formula>AND(IF($R$445,$W$445,TRUE),LEN(TRIM($W$445))&gt;0)</formula>
    </cfRule>
  </conditionalFormatting>
  <conditionalFormatting sqref="W445">
    <cfRule type="expression" dxfId="2603" priority="3721">
      <formula>OR($S$445 = FALSE, AND($P$445 = FALSE, ReportType &lt;&gt; "Final"), AND($Q$445 = FALSE, ReportType &lt;&gt; "Rough"))</formula>
    </cfRule>
  </conditionalFormatting>
  <conditionalFormatting sqref="W445">
    <cfRule type="expression" dxfId="2602" priority="3720">
      <formula>OR($T$445 = TRUE, AND($W$445 = TRUE, $S$445 = FALSE))</formula>
    </cfRule>
  </conditionalFormatting>
  <conditionalFormatting sqref="W449">
    <cfRule type="expression" dxfId="2601" priority="3719">
      <formula>AND($R$449,$S$449)</formula>
    </cfRule>
  </conditionalFormatting>
  <conditionalFormatting sqref="W449">
    <cfRule type="expression" dxfId="2600" priority="3718">
      <formula>AND(IF($R$449,$W$449,TRUE),LEN(TRIM($W$449))&gt;0)</formula>
    </cfRule>
  </conditionalFormatting>
  <conditionalFormatting sqref="W449">
    <cfRule type="expression" dxfId="2599" priority="3717">
      <formula>OR($S$449 = FALSE, AND($P$449 = FALSE, ReportType &lt;&gt; "Final"), AND($Q$449 = FALSE, ReportType &lt;&gt; "Rough"))</formula>
    </cfRule>
  </conditionalFormatting>
  <conditionalFormatting sqref="W449">
    <cfRule type="expression" dxfId="2598" priority="3716">
      <formula>OR($T$449 = TRUE, AND($W$449 = TRUE, $S$449 = FALSE))</formula>
    </cfRule>
  </conditionalFormatting>
  <conditionalFormatting sqref="W453">
    <cfRule type="expression" dxfId="2597" priority="3715">
      <formula>AND($R$453,$S$453)</formula>
    </cfRule>
  </conditionalFormatting>
  <conditionalFormatting sqref="W453">
    <cfRule type="expression" dxfId="2596" priority="3714">
      <formula>AND(IF($R$453,$W$453,TRUE),LEN(TRIM($W$453))&gt;0)</formula>
    </cfRule>
  </conditionalFormatting>
  <conditionalFormatting sqref="W453">
    <cfRule type="expression" dxfId="2595" priority="3713">
      <formula>OR($S$453 = FALSE, AND($P$453 = FALSE, ReportType &lt;&gt; "Final"), AND($Q$453 = FALSE, ReportType &lt;&gt; "Rough"))</formula>
    </cfRule>
  </conditionalFormatting>
  <conditionalFormatting sqref="W453">
    <cfRule type="expression" dxfId="2594" priority="3712">
      <formula>OR($T$453 = TRUE, AND($W$453 = TRUE, $S$453 = FALSE))</formula>
    </cfRule>
  </conditionalFormatting>
  <conditionalFormatting sqref="W458">
    <cfRule type="expression" dxfId="2593" priority="3711">
      <formula>AND($R$458,$S$458)</formula>
    </cfRule>
  </conditionalFormatting>
  <conditionalFormatting sqref="W458">
    <cfRule type="expression" dxfId="2592" priority="3710">
      <formula>AND(IF($R$458,$W$458,TRUE),LEN(TRIM($W$458))&gt;0)</formula>
    </cfRule>
  </conditionalFormatting>
  <conditionalFormatting sqref="W458">
    <cfRule type="expression" dxfId="2591" priority="3709">
      <formula>OR($S$458 = FALSE, AND($P$458 = FALSE, ReportType &lt;&gt; "Final"), AND($Q$458 = FALSE, ReportType &lt;&gt; "Rough"))</formula>
    </cfRule>
  </conditionalFormatting>
  <conditionalFormatting sqref="W458">
    <cfRule type="expression" dxfId="2590" priority="3708">
      <formula>OR($T$458 = TRUE, AND($W$458 = TRUE, $S$458 = FALSE))</formula>
    </cfRule>
  </conditionalFormatting>
  <conditionalFormatting sqref="W463">
    <cfRule type="expression" dxfId="2589" priority="3707">
      <formula>AND($R$463,$S$463)</formula>
    </cfRule>
  </conditionalFormatting>
  <conditionalFormatting sqref="W463">
    <cfRule type="expression" dxfId="2588" priority="3706">
      <formula>AND(IF($R$463,$W$463,TRUE),LEN(TRIM($W$463))&gt;0)</formula>
    </cfRule>
  </conditionalFormatting>
  <conditionalFormatting sqref="W463">
    <cfRule type="expression" dxfId="2587" priority="3705">
      <formula>OR($S$463 = FALSE, AND($P$463 = FALSE, ReportType &lt;&gt; "Final"), AND($Q$463 = FALSE, ReportType &lt;&gt; "Rough"))</formula>
    </cfRule>
  </conditionalFormatting>
  <conditionalFormatting sqref="W463">
    <cfRule type="expression" dxfId="2586" priority="3704">
      <formula>OR($T$463 = TRUE, AND($W$463 = TRUE, $S$463 = FALSE))</formula>
    </cfRule>
  </conditionalFormatting>
  <conditionalFormatting sqref="W465">
    <cfRule type="expression" dxfId="2585" priority="3703">
      <formula>AND($R$465,$S$465)</formula>
    </cfRule>
  </conditionalFormatting>
  <conditionalFormatting sqref="W465">
    <cfRule type="expression" dxfId="2584" priority="3702">
      <formula>AND(IF($R$465,$W$465,TRUE),LEN(TRIM($W$465))&gt;0)</formula>
    </cfRule>
  </conditionalFormatting>
  <conditionalFormatting sqref="W465">
    <cfRule type="expression" dxfId="2583" priority="3701">
      <formula>OR($S$465 = FALSE, AND($P$465 = FALSE, ReportType &lt;&gt; "Final"), AND($Q$465 = FALSE, ReportType &lt;&gt; "Rough"))</formula>
    </cfRule>
  </conditionalFormatting>
  <conditionalFormatting sqref="W465">
    <cfRule type="expression" dxfId="2582" priority="3700">
      <formula>OR($T$465 = TRUE, AND($W$465 = TRUE, $S$465 = FALSE))</formula>
    </cfRule>
  </conditionalFormatting>
  <conditionalFormatting sqref="W467">
    <cfRule type="expression" dxfId="2581" priority="3699">
      <formula>AND($R$467,$S$467)</formula>
    </cfRule>
  </conditionalFormatting>
  <conditionalFormatting sqref="W467">
    <cfRule type="expression" dxfId="2580" priority="3698">
      <formula>AND(IF($R$467,$W$467,TRUE),LEN(TRIM($W$467))&gt;0)</formula>
    </cfRule>
  </conditionalFormatting>
  <conditionalFormatting sqref="W467">
    <cfRule type="expression" dxfId="2579" priority="3697">
      <formula>OR($S$467 = FALSE, AND($P$467 = FALSE, ReportType &lt;&gt; "Final"), AND($Q$467 = FALSE, ReportType &lt;&gt; "Rough"))</formula>
    </cfRule>
  </conditionalFormatting>
  <conditionalFormatting sqref="W467">
    <cfRule type="expression" dxfId="2578" priority="3696">
      <formula>OR($T$467 = TRUE, AND($W$467 = TRUE, $S$467 = FALSE))</formula>
    </cfRule>
  </conditionalFormatting>
  <conditionalFormatting sqref="W495">
    <cfRule type="expression" dxfId="2577" priority="3691">
      <formula>AND($R$495,$S$495)</formula>
    </cfRule>
  </conditionalFormatting>
  <conditionalFormatting sqref="W495">
    <cfRule type="expression" dxfId="2576" priority="3690">
      <formula>AND(IF($R$495,$W$495,TRUE),LEN(TRIM($W$495))&gt;0)</formula>
    </cfRule>
  </conditionalFormatting>
  <conditionalFormatting sqref="W495">
    <cfRule type="expression" dxfId="2575" priority="3689">
      <formula>OR($S$495 = FALSE, AND($P$495 = FALSE, ReportType &lt;&gt; "Final"), AND($Q$495 = FALSE, ReportType &lt;&gt; "Rough"))</formula>
    </cfRule>
  </conditionalFormatting>
  <conditionalFormatting sqref="W495">
    <cfRule type="expression" dxfId="2574" priority="3688">
      <formula>OR($T$495 = TRUE, AND($W$495 = TRUE, $S$495 = FALSE))</formula>
    </cfRule>
  </conditionalFormatting>
  <conditionalFormatting sqref="W498">
    <cfRule type="expression" dxfId="2573" priority="3687">
      <formula>AND($R$498,$S$498)</formula>
    </cfRule>
  </conditionalFormatting>
  <conditionalFormatting sqref="W498">
    <cfRule type="expression" dxfId="2572" priority="3686">
      <formula>AND(IF($R$498,$W$498,TRUE),LEN(TRIM($W$498))&gt;0)</formula>
    </cfRule>
  </conditionalFormatting>
  <conditionalFormatting sqref="W498">
    <cfRule type="expression" dxfId="2571" priority="3685">
      <formula>OR($S$498 = FALSE, AND($P$498 = FALSE, ReportType &lt;&gt; "Final"), AND($Q$498 = FALSE, ReportType &lt;&gt; "Rough"))</formula>
    </cfRule>
  </conditionalFormatting>
  <conditionalFormatting sqref="W498">
    <cfRule type="expression" dxfId="2570" priority="3684">
      <formula>OR($T$498 = TRUE, AND($W$498 = TRUE, $S$498 = FALSE))</formula>
    </cfRule>
  </conditionalFormatting>
  <conditionalFormatting sqref="W499">
    <cfRule type="expression" dxfId="2569" priority="3683">
      <formula>AND($R$499,$S$499)</formula>
    </cfRule>
  </conditionalFormatting>
  <conditionalFormatting sqref="W499">
    <cfRule type="expression" dxfId="2568" priority="3682">
      <formula>AND(IF($R$499,$W$499,TRUE),LEN(TRIM($W$499))&gt;0)</formula>
    </cfRule>
  </conditionalFormatting>
  <conditionalFormatting sqref="W499">
    <cfRule type="expression" dxfId="2567" priority="3681">
      <formula>OR($S$499 = FALSE, AND($P$499 = FALSE, ReportType &lt;&gt; "Final"), AND($Q$499 = FALSE, ReportType &lt;&gt; "Rough"))</formula>
    </cfRule>
  </conditionalFormatting>
  <conditionalFormatting sqref="W499">
    <cfRule type="expression" dxfId="2566" priority="3680">
      <formula>OR($T$499 = TRUE, AND($W$499 = TRUE, $S$499 = FALSE))</formula>
    </cfRule>
  </conditionalFormatting>
  <conditionalFormatting sqref="W509">
    <cfRule type="expression" dxfId="2565" priority="3679">
      <formula>AND($R$509,$S$509)</formula>
    </cfRule>
  </conditionalFormatting>
  <conditionalFormatting sqref="W509">
    <cfRule type="expression" dxfId="2564" priority="3678">
      <formula>AND(IF($R$509,$W$509,TRUE),LEN(TRIM($W$509))&gt;0)</formula>
    </cfRule>
  </conditionalFormatting>
  <conditionalFormatting sqref="W509">
    <cfRule type="expression" dxfId="2563" priority="3677">
      <formula>OR($S$509 = FALSE, AND($P$509 = FALSE, ReportType &lt;&gt; "Final"), AND($Q$509 = FALSE, ReportType &lt;&gt; "Rough"))</formula>
    </cfRule>
  </conditionalFormatting>
  <conditionalFormatting sqref="W509">
    <cfRule type="expression" dxfId="2562" priority="3676">
      <formula>OR($T$509 = TRUE, AND($W$509 = TRUE, $S$509 = FALSE))</formula>
    </cfRule>
  </conditionalFormatting>
  <conditionalFormatting sqref="W511">
    <cfRule type="expression" dxfId="2561" priority="3675">
      <formula>AND($R$511,$S$511)</formula>
    </cfRule>
  </conditionalFormatting>
  <conditionalFormatting sqref="W511">
    <cfRule type="expression" dxfId="2560" priority="3674">
      <formula>AND(IF($R$511,$W$511,TRUE),LEN(TRIM($W$511))&gt;0)</formula>
    </cfRule>
  </conditionalFormatting>
  <conditionalFormatting sqref="W511">
    <cfRule type="expression" dxfId="2559" priority="3673">
      <formula>OR($S$511 = FALSE, AND($P$511 = FALSE, ReportType &lt;&gt; "Final"), AND($Q$511 = FALSE, ReportType &lt;&gt; "Rough"))</formula>
    </cfRule>
  </conditionalFormatting>
  <conditionalFormatting sqref="W511">
    <cfRule type="expression" dxfId="2558" priority="3672">
      <formula>OR($T$511 = TRUE, AND($W$511 = TRUE, $S$511 = FALSE))</formula>
    </cfRule>
  </conditionalFormatting>
  <conditionalFormatting sqref="W529">
    <cfRule type="expression" dxfId="2557" priority="3671">
      <formula>AND($R$529,$S$529)</formula>
    </cfRule>
  </conditionalFormatting>
  <conditionalFormatting sqref="W529">
    <cfRule type="expression" dxfId="2556" priority="3670">
      <formula>AND(IF($R$529,$W$529,TRUE),LEN(TRIM($W$529))&gt;0)</formula>
    </cfRule>
  </conditionalFormatting>
  <conditionalFormatting sqref="W529">
    <cfRule type="expression" dxfId="2555" priority="3669">
      <formula>OR($S$529 = FALSE, AND($P$529 = FALSE, ReportType &lt;&gt; "Final"), AND($Q$529 = FALSE, ReportType &lt;&gt; "Rough"))</formula>
    </cfRule>
  </conditionalFormatting>
  <conditionalFormatting sqref="W529">
    <cfRule type="expression" dxfId="2554" priority="3668">
      <formula>OR($T$529 = TRUE, AND($W$529 = TRUE, $S$529 = FALSE))</formula>
    </cfRule>
  </conditionalFormatting>
  <conditionalFormatting sqref="W540">
    <cfRule type="expression" dxfId="2553" priority="3667">
      <formula>AND($R$540,$S$540)</formula>
    </cfRule>
  </conditionalFormatting>
  <conditionalFormatting sqref="W540">
    <cfRule type="expression" dxfId="2552" priority="3666">
      <formula>AND(IF($R$540,$W$540,TRUE),LEN(TRIM($W$540))&gt;0)</formula>
    </cfRule>
  </conditionalFormatting>
  <conditionalFormatting sqref="W540">
    <cfRule type="expression" dxfId="2551" priority="3665">
      <formula>OR($S$540 = FALSE, AND($P$540 = FALSE, ReportType &lt;&gt; "Final"), AND($Q$540 = FALSE, ReportType &lt;&gt; "Rough"))</formula>
    </cfRule>
  </conditionalFormatting>
  <conditionalFormatting sqref="W540">
    <cfRule type="expression" dxfId="2550" priority="3664">
      <formula>OR($T$540 = TRUE, AND($W$540 = TRUE, $S$540 = FALSE))</formula>
    </cfRule>
  </conditionalFormatting>
  <conditionalFormatting sqref="W541">
    <cfRule type="expression" dxfId="2549" priority="3663">
      <formula>AND($R$541,$S$541)</formula>
    </cfRule>
  </conditionalFormatting>
  <conditionalFormatting sqref="W541">
    <cfRule type="expression" dxfId="2548" priority="3662">
      <formula>AND(IF($R$541,$W$541,TRUE),LEN(TRIM($W$541))&gt;0)</formula>
    </cfRule>
  </conditionalFormatting>
  <conditionalFormatting sqref="W541">
    <cfRule type="expression" dxfId="2547" priority="3661">
      <formula>OR($S$541 = FALSE, AND($P$541 = FALSE, ReportType &lt;&gt; "Final"), AND($Q$541 = FALSE, ReportType &lt;&gt; "Rough"))</formula>
    </cfRule>
  </conditionalFormatting>
  <conditionalFormatting sqref="W541">
    <cfRule type="expression" dxfId="2546" priority="3660">
      <formula>OR($T$541 = TRUE, AND($W$541 = TRUE, $S$541 = FALSE))</formula>
    </cfRule>
  </conditionalFormatting>
  <conditionalFormatting sqref="W549">
    <cfRule type="expression" dxfId="2545" priority="3659">
      <formula>AND($R$549,$S$549)</formula>
    </cfRule>
  </conditionalFormatting>
  <conditionalFormatting sqref="W549">
    <cfRule type="expression" dxfId="2544" priority="3658">
      <formula>AND(IF($R$549,$W$549,TRUE),LEN(TRIM($W$549))&gt;0)</formula>
    </cfRule>
  </conditionalFormatting>
  <conditionalFormatting sqref="W549">
    <cfRule type="expression" dxfId="2543" priority="3657">
      <formula>OR($S$549 = FALSE, AND($P$549 = FALSE, ReportType &lt;&gt; "Final"), AND($Q$549 = FALSE, ReportType &lt;&gt; "Rough"))</formula>
    </cfRule>
  </conditionalFormatting>
  <conditionalFormatting sqref="W549">
    <cfRule type="expression" dxfId="2542" priority="3656">
      <formula>OR($T$549 = TRUE, AND($W$549 = TRUE, $S$549 = FALSE))</formula>
    </cfRule>
  </conditionalFormatting>
  <conditionalFormatting sqref="W551">
    <cfRule type="expression" dxfId="2541" priority="3655">
      <formula>AND($R$551,$S$551)</formula>
    </cfRule>
  </conditionalFormatting>
  <conditionalFormatting sqref="W551">
    <cfRule type="expression" dxfId="2540" priority="3654">
      <formula>AND(IF($R$551,$W$551,TRUE),LEN(TRIM($W$551))&gt;0)</formula>
    </cfRule>
  </conditionalFormatting>
  <conditionalFormatting sqref="W551">
    <cfRule type="expression" dxfId="2539" priority="3653">
      <formula>OR($S$551 = FALSE, AND($P$551 = FALSE, ReportType &lt;&gt; "Final"), AND($Q$551 = FALSE, ReportType &lt;&gt; "Rough"))</formula>
    </cfRule>
  </conditionalFormatting>
  <conditionalFormatting sqref="W551">
    <cfRule type="expression" dxfId="2538" priority="3652">
      <formula>OR($T$551 = TRUE, AND($W$551 = TRUE, $S$551 = FALSE))</formula>
    </cfRule>
  </conditionalFormatting>
  <conditionalFormatting sqref="W552">
    <cfRule type="expression" dxfId="2537" priority="3651">
      <formula>AND($R$552,$S$552)</formula>
    </cfRule>
  </conditionalFormatting>
  <conditionalFormatting sqref="W552">
    <cfRule type="expression" dxfId="2536" priority="3650">
      <formula>AND(IF($R$552,$W$552,TRUE),LEN(TRIM($W$552))&gt;0)</formula>
    </cfRule>
  </conditionalFormatting>
  <conditionalFormatting sqref="W552">
    <cfRule type="expression" dxfId="2535" priority="3649">
      <formula>OR($S$552 = FALSE, AND($P$552 = FALSE, ReportType &lt;&gt; "Final"), AND($Q$552 = FALSE, ReportType &lt;&gt; "Rough"))</formula>
    </cfRule>
  </conditionalFormatting>
  <conditionalFormatting sqref="W552">
    <cfRule type="expression" dxfId="2534" priority="3648">
      <formula>OR($T$552 = TRUE, AND($W$552 = TRUE, $S$552 = FALSE))</formula>
    </cfRule>
  </conditionalFormatting>
  <conditionalFormatting sqref="W555">
    <cfRule type="expression" dxfId="2533" priority="3647">
      <formula>AND($R$555,$S$555)</formula>
    </cfRule>
  </conditionalFormatting>
  <conditionalFormatting sqref="W555">
    <cfRule type="expression" dxfId="2532" priority="3646">
      <formula>AND(IF($R$555,$W$555,TRUE),LEN(TRIM($W$555))&gt;0)</formula>
    </cfRule>
  </conditionalFormatting>
  <conditionalFormatting sqref="W555">
    <cfRule type="expression" dxfId="2531" priority="3645">
      <formula>OR($S$555 = FALSE, AND($P$555 = FALSE, ReportType &lt;&gt; "Final"), AND($Q$555 = FALSE, ReportType &lt;&gt; "Rough"))</formula>
    </cfRule>
  </conditionalFormatting>
  <conditionalFormatting sqref="W555">
    <cfRule type="expression" dxfId="2530" priority="3644">
      <formula>OR($T$555 = TRUE, AND($W$555 = TRUE, $S$555 = FALSE))</formula>
    </cfRule>
  </conditionalFormatting>
  <conditionalFormatting sqref="W564">
    <cfRule type="expression" dxfId="2529" priority="3639">
      <formula>AND($R$564,$S$564)</formula>
    </cfRule>
  </conditionalFormatting>
  <conditionalFormatting sqref="W564">
    <cfRule type="expression" dxfId="2528" priority="3638">
      <formula>AND(IF($R$564,$W$564,TRUE),LEN(TRIM($W$564))&gt;0)</formula>
    </cfRule>
  </conditionalFormatting>
  <conditionalFormatting sqref="W564">
    <cfRule type="expression" dxfId="2527" priority="3637">
      <formula>OR($S$564 = FALSE, AND($P$564 = FALSE, ReportType &lt;&gt; "Final"), AND($Q$564 = FALSE, ReportType &lt;&gt; "Rough"))</formula>
    </cfRule>
  </conditionalFormatting>
  <conditionalFormatting sqref="W564">
    <cfRule type="expression" dxfId="2526" priority="3636">
      <formula>OR($T$564 = TRUE, AND($W$564 = TRUE, $S$564 = FALSE))</formula>
    </cfRule>
  </conditionalFormatting>
  <conditionalFormatting sqref="W566">
    <cfRule type="expression" dxfId="2525" priority="3635">
      <formula>AND($R$566,$S$566)</formula>
    </cfRule>
  </conditionalFormatting>
  <conditionalFormatting sqref="W566">
    <cfRule type="expression" dxfId="2524" priority="3634">
      <formula>AND(IF($R$566,$W$566,TRUE),LEN(TRIM($W$566))&gt;0)</formula>
    </cfRule>
  </conditionalFormatting>
  <conditionalFormatting sqref="W566">
    <cfRule type="expression" dxfId="2523" priority="3633">
      <formula>OR($S$566 = FALSE, AND($P$566 = FALSE, ReportType &lt;&gt; "Final"), AND($Q$566 = FALSE, ReportType &lt;&gt; "Rough"))</formula>
    </cfRule>
  </conditionalFormatting>
  <conditionalFormatting sqref="W566">
    <cfRule type="expression" dxfId="2522" priority="3632">
      <formula>OR($T$566 = TRUE, AND($W$566 = TRUE, $S$566 = FALSE))</formula>
    </cfRule>
  </conditionalFormatting>
  <conditionalFormatting sqref="W584">
    <cfRule type="expression" dxfId="2521" priority="3631">
      <formula>AND($R$584,$S$584)</formula>
    </cfRule>
  </conditionalFormatting>
  <conditionalFormatting sqref="W584">
    <cfRule type="expression" dxfId="2520" priority="3630">
      <formula>AND(IF($R$584,$W$584,TRUE),LEN(TRIM($W$584))&gt;0)</formula>
    </cfRule>
  </conditionalFormatting>
  <conditionalFormatting sqref="W584">
    <cfRule type="expression" dxfId="2519" priority="3629">
      <formula>OR($S$584 = FALSE, AND($P$584 = FALSE, ReportType &lt;&gt; "Final"), AND($Q$584 = FALSE, ReportType &lt;&gt; "Rough"))</formula>
    </cfRule>
  </conditionalFormatting>
  <conditionalFormatting sqref="W584">
    <cfRule type="expression" dxfId="2518" priority="3628">
      <formula>OR($T$584 = TRUE, AND($W$584 = TRUE, $S$584 = FALSE))</formula>
    </cfRule>
  </conditionalFormatting>
  <conditionalFormatting sqref="W601">
    <cfRule type="expression" dxfId="2517" priority="3627">
      <formula>AND($R$601,$S$601)</formula>
    </cfRule>
  </conditionalFormatting>
  <conditionalFormatting sqref="W601">
    <cfRule type="expression" dxfId="2516" priority="3626">
      <formula>AND(IF($R$601,$W$601,TRUE),LEN(TRIM($W$601))&gt;0)</formula>
    </cfRule>
  </conditionalFormatting>
  <conditionalFormatting sqref="W601">
    <cfRule type="expression" dxfId="2515" priority="3625">
      <formula>OR($S$601 = FALSE, AND($P$601 = FALSE, ReportType &lt;&gt; "Final"), AND($Q$601 = FALSE, ReportType &lt;&gt; "Rough"))</formula>
    </cfRule>
  </conditionalFormatting>
  <conditionalFormatting sqref="W601">
    <cfRule type="expression" dxfId="2514" priority="3624">
      <formula>OR($T$601 = TRUE, AND($W$601 = TRUE, $S$601 = FALSE))</formula>
    </cfRule>
  </conditionalFormatting>
  <conditionalFormatting sqref="W614">
    <cfRule type="expression" dxfId="2513" priority="3623">
      <formula>AND($R$614,$S$614)</formula>
    </cfRule>
  </conditionalFormatting>
  <conditionalFormatting sqref="W614">
    <cfRule type="expression" dxfId="2512" priority="3622">
      <formula>AND(IF($R$614,$W$614,TRUE),LEN(TRIM($W$614))&gt;0)</formula>
    </cfRule>
  </conditionalFormatting>
  <conditionalFormatting sqref="W614">
    <cfRule type="expression" dxfId="2511" priority="3621">
      <formula>OR($S$614 = FALSE, AND($P$614 = FALSE, ReportType &lt;&gt; "Final"), AND($Q$614 = FALSE, ReportType &lt;&gt; "Rough"))</formula>
    </cfRule>
  </conditionalFormatting>
  <conditionalFormatting sqref="W614">
    <cfRule type="expression" dxfId="2510" priority="3620">
      <formula>OR($T$614 = TRUE, AND($W$614 = TRUE, $S$614 = FALSE))</formula>
    </cfRule>
  </conditionalFormatting>
  <conditionalFormatting sqref="W616">
    <cfRule type="expression" dxfId="2509" priority="3619">
      <formula>AND($R$616,$S$616)</formula>
    </cfRule>
  </conditionalFormatting>
  <conditionalFormatting sqref="W616">
    <cfRule type="expression" dxfId="2508" priority="3618">
      <formula>AND(IF($R$616,$W$616,TRUE),LEN(TRIM($W$616))&gt;0)</formula>
    </cfRule>
  </conditionalFormatting>
  <conditionalFormatting sqref="W616">
    <cfRule type="expression" dxfId="2507" priority="3617">
      <formula>OR($S$616 = FALSE, AND($P$616 = FALSE, ReportType &lt;&gt; "Final"), AND($Q$616 = FALSE, ReportType &lt;&gt; "Rough"))</formula>
    </cfRule>
  </conditionalFormatting>
  <conditionalFormatting sqref="W616">
    <cfRule type="expression" dxfId="2506" priority="3616">
      <formula>OR($T$616 = TRUE, AND($W$616 = TRUE, $S$616 = FALSE))</formula>
    </cfRule>
  </conditionalFormatting>
  <conditionalFormatting sqref="W629">
    <cfRule type="expression" dxfId="2505" priority="3615">
      <formula>AND($R$629,$S$629)</formula>
    </cfRule>
  </conditionalFormatting>
  <conditionalFormatting sqref="W629">
    <cfRule type="expression" dxfId="2504" priority="3614">
      <formula>AND(IF($R$629,$W$629,TRUE),LEN(TRIM($W$629))&gt;0)</formula>
    </cfRule>
  </conditionalFormatting>
  <conditionalFormatting sqref="W629">
    <cfRule type="expression" dxfId="2503" priority="3613">
      <formula>OR($S$629 = FALSE, AND($P$629 = FALSE, ReportType &lt;&gt; "Final"), AND($Q$629 = FALSE, ReportType &lt;&gt; "Rough"))</formula>
    </cfRule>
  </conditionalFormatting>
  <conditionalFormatting sqref="W629">
    <cfRule type="expression" dxfId="2502" priority="3612">
      <formula>OR($T$629 = TRUE, AND($W$629 = TRUE, $S$629 = FALSE))</formula>
    </cfRule>
  </conditionalFormatting>
  <conditionalFormatting sqref="W630">
    <cfRule type="expression" dxfId="2501" priority="3611">
      <formula>AND($R$630,$S$630)</formula>
    </cfRule>
  </conditionalFormatting>
  <conditionalFormatting sqref="W630">
    <cfRule type="expression" dxfId="2500" priority="3610">
      <formula>AND(IF($R$630,$W$630,TRUE),LEN(TRIM($W$630))&gt;0)</formula>
    </cfRule>
  </conditionalFormatting>
  <conditionalFormatting sqref="W630">
    <cfRule type="expression" dxfId="2499" priority="3609">
      <formula>OR($S$630 = FALSE, AND($P$630 = FALSE, ReportType &lt;&gt; "Final"), AND($Q$630 = FALSE, ReportType &lt;&gt; "Rough"))</formula>
    </cfRule>
  </conditionalFormatting>
  <conditionalFormatting sqref="W630">
    <cfRule type="expression" dxfId="2498" priority="3608">
      <formula>OR($T$630 = TRUE, AND($W$630 = TRUE, $S$630 = FALSE))</formula>
    </cfRule>
  </conditionalFormatting>
  <conditionalFormatting sqref="W631">
    <cfRule type="expression" dxfId="2497" priority="3607">
      <formula>AND($R$631,$S$631)</formula>
    </cfRule>
  </conditionalFormatting>
  <conditionalFormatting sqref="W631">
    <cfRule type="expression" dxfId="2496" priority="3606">
      <formula>AND(IF($R$631,$W$631,TRUE),LEN(TRIM($W$631))&gt;0)</formula>
    </cfRule>
  </conditionalFormatting>
  <conditionalFormatting sqref="W631">
    <cfRule type="expression" dxfId="2495" priority="3605">
      <formula>OR($S$631 = FALSE, AND($P$631 = FALSE, ReportType &lt;&gt; "Final"), AND($Q$631 = FALSE, ReportType &lt;&gt; "Rough"))</formula>
    </cfRule>
  </conditionalFormatting>
  <conditionalFormatting sqref="W631">
    <cfRule type="expression" dxfId="2494" priority="3604">
      <formula>OR($T$631 = TRUE, AND($W$631 = TRUE, $S$631 = FALSE))</formula>
    </cfRule>
  </conditionalFormatting>
  <conditionalFormatting sqref="W632">
    <cfRule type="expression" dxfId="2493" priority="3603">
      <formula>AND($R$632,$S$632)</formula>
    </cfRule>
  </conditionalFormatting>
  <conditionalFormatting sqref="W632">
    <cfRule type="expression" dxfId="2492" priority="3602">
      <formula>AND(IF($R$632,$W$632,TRUE),LEN(TRIM($W$632))&gt;0)</formula>
    </cfRule>
  </conditionalFormatting>
  <conditionalFormatting sqref="W632">
    <cfRule type="expression" dxfId="2491" priority="3601">
      <formula>OR($S$632 = FALSE, AND($P$632 = FALSE, ReportType &lt;&gt; "Final"), AND($Q$632 = FALSE, ReportType &lt;&gt; "Rough"))</formula>
    </cfRule>
  </conditionalFormatting>
  <conditionalFormatting sqref="W632">
    <cfRule type="expression" dxfId="2490" priority="3600">
      <formula>OR($T$632 = TRUE, AND($W$632 = TRUE, $S$632 = FALSE))</formula>
    </cfRule>
  </conditionalFormatting>
  <conditionalFormatting sqref="W633">
    <cfRule type="expression" dxfId="2489" priority="3599">
      <formula>AND($R$633,$S$633)</formula>
    </cfRule>
  </conditionalFormatting>
  <conditionalFormatting sqref="W633">
    <cfRule type="expression" dxfId="2488" priority="3598">
      <formula>AND(IF($R$633,$W$633,TRUE),LEN(TRIM($W$633))&gt;0)</formula>
    </cfRule>
  </conditionalFormatting>
  <conditionalFormatting sqref="W633">
    <cfRule type="expression" dxfId="2487" priority="3597">
      <formula>OR($S$633 = FALSE, AND($P$633 = FALSE, ReportType &lt;&gt; "Final"), AND($Q$633 = FALSE, ReportType &lt;&gt; "Rough"))</formula>
    </cfRule>
  </conditionalFormatting>
  <conditionalFormatting sqref="W633">
    <cfRule type="expression" dxfId="2486" priority="3596">
      <formula>OR($T$633 = TRUE, AND($W$633 = TRUE, $S$633 = FALSE))</formula>
    </cfRule>
  </conditionalFormatting>
  <conditionalFormatting sqref="W634">
    <cfRule type="expression" dxfId="2485" priority="3595">
      <formula>AND($R$634,$S$634)</formula>
    </cfRule>
  </conditionalFormatting>
  <conditionalFormatting sqref="W634">
    <cfRule type="expression" dxfId="2484" priority="3594">
      <formula>AND(IF($R$634,$W$634,TRUE),LEN(TRIM($W$634))&gt;0)</formula>
    </cfRule>
  </conditionalFormatting>
  <conditionalFormatting sqref="W634">
    <cfRule type="expression" dxfId="2483" priority="3593">
      <formula>OR($S$634 = FALSE, AND($P$634 = FALSE, ReportType &lt;&gt; "Final"), AND($Q$634 = FALSE, ReportType &lt;&gt; "Rough"))</formula>
    </cfRule>
  </conditionalFormatting>
  <conditionalFormatting sqref="W634">
    <cfRule type="expression" dxfId="2482" priority="3592">
      <formula>OR($T$634 = TRUE, AND($W$634 = TRUE, $S$634 = FALSE))</formula>
    </cfRule>
  </conditionalFormatting>
  <conditionalFormatting sqref="W635">
    <cfRule type="expression" dxfId="2481" priority="3591">
      <formula>AND($R$635,$S$635)</formula>
    </cfRule>
  </conditionalFormatting>
  <conditionalFormatting sqref="W635">
    <cfRule type="expression" dxfId="2480" priority="3590">
      <formula>AND(IF($R$635,$W$635,TRUE),LEN(TRIM($W$635))&gt;0)</formula>
    </cfRule>
  </conditionalFormatting>
  <conditionalFormatting sqref="W635">
    <cfRule type="expression" dxfId="2479" priority="3589">
      <formula>OR($S$635 = FALSE, AND($P$635 = FALSE, ReportType &lt;&gt; "Final"), AND($Q$635 = FALSE, ReportType &lt;&gt; "Rough"))</formula>
    </cfRule>
  </conditionalFormatting>
  <conditionalFormatting sqref="W635">
    <cfRule type="expression" dxfId="2478" priority="3588">
      <formula>OR($T$635 = TRUE, AND($W$635 = TRUE, $S$635 = FALSE))</formula>
    </cfRule>
  </conditionalFormatting>
  <conditionalFormatting sqref="W636">
    <cfRule type="expression" dxfId="2477" priority="3587">
      <formula>AND($R$636,$S$636)</formula>
    </cfRule>
  </conditionalFormatting>
  <conditionalFormatting sqref="W636">
    <cfRule type="expression" dxfId="2476" priority="3586">
      <formula>AND(IF($R$636,$W$636,TRUE),LEN(TRIM($W$636))&gt;0)</formula>
    </cfRule>
  </conditionalFormatting>
  <conditionalFormatting sqref="W636">
    <cfRule type="expression" dxfId="2475" priority="3585">
      <formula>OR($S$636 = FALSE, AND($P$636 = FALSE, ReportType &lt;&gt; "Final"), AND($Q$636 = FALSE, ReportType &lt;&gt; "Rough"))</formula>
    </cfRule>
  </conditionalFormatting>
  <conditionalFormatting sqref="W636">
    <cfRule type="expression" dxfId="2474" priority="3584">
      <formula>OR($T$636 = TRUE, AND($W$636 = TRUE, $S$636 = FALSE))</formula>
    </cfRule>
  </conditionalFormatting>
  <conditionalFormatting sqref="W637">
    <cfRule type="expression" dxfId="2473" priority="3583">
      <formula>AND($R$637,$S$637)</formula>
    </cfRule>
  </conditionalFormatting>
  <conditionalFormatting sqref="W637">
    <cfRule type="expression" dxfId="2472" priority="3582">
      <formula>AND(IF($R$637,$W$637,TRUE),LEN(TRIM($W$637))&gt;0)</formula>
    </cfRule>
  </conditionalFormatting>
  <conditionalFormatting sqref="W637">
    <cfRule type="expression" dxfId="2471" priority="3581">
      <formula>OR($S$637 = FALSE, AND($P$637 = FALSE, ReportType &lt;&gt; "Final"), AND($Q$637 = FALSE, ReportType &lt;&gt; "Rough"))</formula>
    </cfRule>
  </conditionalFormatting>
  <conditionalFormatting sqref="W637">
    <cfRule type="expression" dxfId="2470" priority="3580">
      <formula>OR($T$637 = TRUE, AND($W$637 = TRUE, $S$637 = FALSE))</formula>
    </cfRule>
  </conditionalFormatting>
  <conditionalFormatting sqref="W688">
    <cfRule type="expression" dxfId="2469" priority="3579">
      <formula>AND($R$688,$S$688)</formula>
    </cfRule>
  </conditionalFormatting>
  <conditionalFormatting sqref="W688">
    <cfRule type="expression" dxfId="2468" priority="3578">
      <formula>AND(IF($R$688,$W$688,TRUE),LEN(TRIM($W$688))&gt;0)</formula>
    </cfRule>
  </conditionalFormatting>
  <conditionalFormatting sqref="W688">
    <cfRule type="expression" dxfId="2467" priority="3577">
      <formula>OR($S$688 = FALSE, AND($P$688 = FALSE, ReportType &lt;&gt; "Final"), AND($Q$688 = FALSE, ReportType &lt;&gt; "Rough"))</formula>
    </cfRule>
  </conditionalFormatting>
  <conditionalFormatting sqref="W688">
    <cfRule type="expression" dxfId="2466" priority="3576">
      <formula>OR($T$688 = TRUE, AND($W$688 = TRUE, $S$688 = FALSE))</formula>
    </cfRule>
  </conditionalFormatting>
  <conditionalFormatting sqref="W693">
    <cfRule type="expression" dxfId="2465" priority="3575">
      <formula>AND($R$693,$S$693)</formula>
    </cfRule>
  </conditionalFormatting>
  <conditionalFormatting sqref="W693">
    <cfRule type="expression" dxfId="2464" priority="3574">
      <formula>AND(IF($R$693,$W$693,TRUE),LEN(TRIM($W$693))&gt;0)</formula>
    </cfRule>
  </conditionalFormatting>
  <conditionalFormatting sqref="W693">
    <cfRule type="expression" dxfId="2463" priority="3573">
      <formula>OR($S$693 = FALSE, AND($P$693 = FALSE, ReportType &lt;&gt; "Final"), AND($Q$693 = FALSE, ReportType &lt;&gt; "Rough"))</formula>
    </cfRule>
  </conditionalFormatting>
  <conditionalFormatting sqref="W693">
    <cfRule type="expression" dxfId="2462" priority="3572">
      <formula>OR($T$693 = TRUE, AND($W$693 = TRUE, $S$693 = FALSE))</formula>
    </cfRule>
  </conditionalFormatting>
  <conditionalFormatting sqref="W699">
    <cfRule type="expression" dxfId="2461" priority="3571">
      <formula>AND($R$699,$S$699)</formula>
    </cfRule>
  </conditionalFormatting>
  <conditionalFormatting sqref="W699">
    <cfRule type="expression" dxfId="2460" priority="3570">
      <formula>AND(IF($R$699,$W$699,TRUE),LEN(TRIM($W$699))&gt;0)</formula>
    </cfRule>
  </conditionalFormatting>
  <conditionalFormatting sqref="W699">
    <cfRule type="expression" dxfId="2459" priority="3569">
      <formula>OR($S$699 = FALSE, AND($P$699 = FALSE, ReportType &lt;&gt; "Final"), AND($Q$699 = FALSE, ReportType &lt;&gt; "Rough"))</formula>
    </cfRule>
  </conditionalFormatting>
  <conditionalFormatting sqref="W699">
    <cfRule type="expression" dxfId="2458" priority="3568">
      <formula>OR($T$699 = TRUE, AND($W$699 = TRUE, $S$699 = FALSE))</formula>
    </cfRule>
  </conditionalFormatting>
  <conditionalFormatting sqref="W733">
    <cfRule type="expression" dxfId="2457" priority="3567">
      <formula>AND($R$733,$S$733)</formula>
    </cfRule>
  </conditionalFormatting>
  <conditionalFormatting sqref="W733">
    <cfRule type="expression" dxfId="2456" priority="3566">
      <formula>AND(IF($R$733,$W$733,TRUE),LEN(TRIM($W$733))&gt;0)</formula>
    </cfRule>
  </conditionalFormatting>
  <conditionalFormatting sqref="W733">
    <cfRule type="expression" dxfId="2455" priority="3565">
      <formula>OR($S$733 = FALSE, AND($P$733 = FALSE, ReportType &lt;&gt; "Final"), AND($Q$733 = FALSE, ReportType &lt;&gt; "Rough"))</formula>
    </cfRule>
  </conditionalFormatting>
  <conditionalFormatting sqref="W733">
    <cfRule type="expression" dxfId="2454" priority="3564">
      <formula>OR($T$733 = TRUE, AND($W$733 = TRUE, $S$733 = FALSE))</formula>
    </cfRule>
  </conditionalFormatting>
  <conditionalFormatting sqref="W742">
    <cfRule type="expression" dxfId="2453" priority="3563">
      <formula>AND($R$742,$S$742)</formula>
    </cfRule>
  </conditionalFormatting>
  <conditionalFormatting sqref="W742">
    <cfRule type="expression" dxfId="2452" priority="3562">
      <formula>AND(IF($R$742,$W$742,TRUE),LEN(TRIM($W$742))&gt;0)</formula>
    </cfRule>
  </conditionalFormatting>
  <conditionalFormatting sqref="W742">
    <cfRule type="expression" dxfId="2451" priority="3561">
      <formula>OR($S$742 = FALSE, AND($P$742 = FALSE, ReportType &lt;&gt; "Final"), AND($Q$742 = FALSE, ReportType &lt;&gt; "Rough"))</formula>
    </cfRule>
  </conditionalFormatting>
  <conditionalFormatting sqref="W742">
    <cfRule type="expression" dxfId="2450" priority="3560">
      <formula>OR($T$742 = TRUE, AND($W$742 = TRUE, $S$742 = FALSE))</formula>
    </cfRule>
  </conditionalFormatting>
  <conditionalFormatting sqref="W749">
    <cfRule type="expression" dxfId="2449" priority="3559">
      <formula>AND($R$749,$S$749)</formula>
    </cfRule>
  </conditionalFormatting>
  <conditionalFormatting sqref="W749">
    <cfRule type="expression" dxfId="2448" priority="3558">
      <formula>AND(IF($R$749,$W$749,TRUE),LEN(TRIM($W$749))&gt;0)</formula>
    </cfRule>
  </conditionalFormatting>
  <conditionalFormatting sqref="W749">
    <cfRule type="expression" dxfId="2447" priority="3557">
      <formula>OR($S$749 = FALSE, AND($P$749 = FALSE, ReportType &lt;&gt; "Final"), AND($Q$749 = FALSE, ReportType &lt;&gt; "Rough"))</formula>
    </cfRule>
  </conditionalFormatting>
  <conditionalFormatting sqref="W749">
    <cfRule type="expression" dxfId="2446" priority="3556">
      <formula>OR($T$749 = TRUE, AND($W$749 = TRUE, $S$749 = FALSE))</formula>
    </cfRule>
  </conditionalFormatting>
  <conditionalFormatting sqref="W828">
    <cfRule type="expression" dxfId="2445" priority="3555">
      <formula>AND($R$828,$S$828)</formula>
    </cfRule>
  </conditionalFormatting>
  <conditionalFormatting sqref="W828">
    <cfRule type="expression" dxfId="2444" priority="3554">
      <formula>AND(IF($R$828,$W$828,TRUE),LEN(TRIM($W$828))&gt;0)</formula>
    </cfRule>
  </conditionalFormatting>
  <conditionalFormatting sqref="W828">
    <cfRule type="expression" dxfId="2443" priority="3553">
      <formula>OR($S$828 = FALSE, AND($P$828 = FALSE, ReportType &lt;&gt; "Final"), AND($Q$828 = FALSE, ReportType &lt;&gt; "Rough"))</formula>
    </cfRule>
  </conditionalFormatting>
  <conditionalFormatting sqref="W828">
    <cfRule type="expression" dxfId="2442" priority="3552">
      <formula>OR($T$828 = TRUE, AND($W$828 = TRUE, $S$828 = FALSE))</formula>
    </cfRule>
  </conditionalFormatting>
  <conditionalFormatting sqref="W829">
    <cfRule type="expression" dxfId="2441" priority="3551">
      <formula>AND($R$829,$S$829)</formula>
    </cfRule>
  </conditionalFormatting>
  <conditionalFormatting sqref="W829">
    <cfRule type="expression" dxfId="2440" priority="3550">
      <formula>AND(IF($R$829,$W$829,TRUE),LEN(TRIM($W$829))&gt;0)</formula>
    </cfRule>
  </conditionalFormatting>
  <conditionalFormatting sqref="W829">
    <cfRule type="expression" dxfId="2439" priority="3549">
      <formula>OR($S$829 = FALSE, AND($P$829 = FALSE, ReportType &lt;&gt; "Final"), AND($Q$829 = FALSE, ReportType &lt;&gt; "Rough"))</formula>
    </cfRule>
  </conditionalFormatting>
  <conditionalFormatting sqref="W829">
    <cfRule type="expression" dxfId="2438" priority="3548">
      <formula>OR($T$829 = TRUE, AND($W$829 = TRUE, $S$829 = FALSE))</formula>
    </cfRule>
  </conditionalFormatting>
  <conditionalFormatting sqref="W833">
    <cfRule type="expression" dxfId="2437" priority="3547">
      <formula>AND($R$833,$S$833)</formula>
    </cfRule>
  </conditionalFormatting>
  <conditionalFormatting sqref="W833">
    <cfRule type="expression" dxfId="2436" priority="3546">
      <formula>AND(IF($R$833,$W$833,TRUE),LEN(TRIM($W$833))&gt;0)</formula>
    </cfRule>
  </conditionalFormatting>
  <conditionalFormatting sqref="W833">
    <cfRule type="expression" dxfId="2435" priority="3545">
      <formula>OR($S$833 = FALSE, AND($P$833 = FALSE, ReportType &lt;&gt; "Final"), AND($Q$833 = FALSE, ReportType &lt;&gt; "Rough"))</formula>
    </cfRule>
  </conditionalFormatting>
  <conditionalFormatting sqref="W833">
    <cfRule type="expression" dxfId="2434" priority="3544">
      <formula>OR($T$833 = TRUE, AND($W$833 = TRUE, $S$833 = FALSE))</formula>
    </cfRule>
  </conditionalFormatting>
  <conditionalFormatting sqref="W831">
    <cfRule type="expression" dxfId="2433" priority="3543">
      <formula>AND($R$831,$S$831)</formula>
    </cfRule>
  </conditionalFormatting>
  <conditionalFormatting sqref="W831">
    <cfRule type="expression" dxfId="2432" priority="3542">
      <formula>AND(IF($R$831,$W$831,TRUE),LEN(TRIM($W$831))&gt;0)</formula>
    </cfRule>
  </conditionalFormatting>
  <conditionalFormatting sqref="W831">
    <cfRule type="expression" dxfId="2431" priority="3541">
      <formula>OR($S$831 = FALSE, AND($P$831 = FALSE, ReportType &lt;&gt; "Final"), AND($Q$831 = FALSE, ReportType &lt;&gt; "Rough"))</formula>
    </cfRule>
  </conditionalFormatting>
  <conditionalFormatting sqref="W831">
    <cfRule type="expression" dxfId="2430" priority="3540">
      <formula>OR($T$831 = TRUE, AND($W$831 = TRUE, $S$831 = FALSE))</formula>
    </cfRule>
  </conditionalFormatting>
  <conditionalFormatting sqref="W835">
    <cfRule type="expression" dxfId="2429" priority="3539">
      <formula>AND($R$835,$S$835)</formula>
    </cfRule>
  </conditionalFormatting>
  <conditionalFormatting sqref="W835">
    <cfRule type="expression" dxfId="2428" priority="3538">
      <formula>AND(IF($R$835,$W$835,TRUE),LEN(TRIM($W$835))&gt;0)</formula>
    </cfRule>
  </conditionalFormatting>
  <conditionalFormatting sqref="W835">
    <cfRule type="expression" dxfId="2427" priority="3537">
      <formula>OR($S$835 = FALSE, AND($P$835 = FALSE, ReportType &lt;&gt; "Final"), AND($Q$835 = FALSE, ReportType &lt;&gt; "Rough"))</formula>
    </cfRule>
  </conditionalFormatting>
  <conditionalFormatting sqref="W835">
    <cfRule type="expression" dxfId="2426" priority="3536">
      <formula>OR($T$835 = TRUE, AND($W$835 = TRUE, $S$835 = FALSE))</formula>
    </cfRule>
  </conditionalFormatting>
  <conditionalFormatting sqref="W837">
    <cfRule type="expression" dxfId="2425" priority="3535">
      <formula>AND($R$837,$S$837)</formula>
    </cfRule>
  </conditionalFormatting>
  <conditionalFormatting sqref="W837">
    <cfRule type="expression" dxfId="2424" priority="3534">
      <formula>AND(IF($R$837,$W$837,TRUE),LEN(TRIM($W$837))&gt;0)</formula>
    </cfRule>
  </conditionalFormatting>
  <conditionalFormatting sqref="W837">
    <cfRule type="expression" dxfId="2423" priority="3533">
      <formula>OR($S$837 = FALSE, AND($P$837 = FALSE, ReportType &lt;&gt; "Final"), AND($Q$837 = FALSE, ReportType &lt;&gt; "Rough"))</formula>
    </cfRule>
  </conditionalFormatting>
  <conditionalFormatting sqref="W837">
    <cfRule type="expression" dxfId="2422" priority="3532">
      <formula>OR($T$837 = TRUE, AND($W$837 = TRUE, $S$837 = FALSE))</formula>
    </cfRule>
  </conditionalFormatting>
  <conditionalFormatting sqref="W839">
    <cfRule type="expression" dxfId="2421" priority="3531">
      <formula>AND($R$839,$S$839)</formula>
    </cfRule>
  </conditionalFormatting>
  <conditionalFormatting sqref="W839">
    <cfRule type="expression" dxfId="2420" priority="3530">
      <formula>AND(IF($R$839,$W$839,TRUE),LEN(TRIM($W$839))&gt;0)</formula>
    </cfRule>
  </conditionalFormatting>
  <conditionalFormatting sqref="W839">
    <cfRule type="expression" dxfId="2419" priority="3529">
      <formula>OR($S$839 = FALSE, AND($P$839 = FALSE, ReportType &lt;&gt; "Final"), AND($Q$839 = FALSE, ReportType &lt;&gt; "Rough"))</formula>
    </cfRule>
  </conditionalFormatting>
  <conditionalFormatting sqref="W839">
    <cfRule type="expression" dxfId="2418" priority="3528">
      <formula>OR($T$839 = TRUE, AND($W$839 = TRUE, $S$839 = FALSE))</formula>
    </cfRule>
  </conditionalFormatting>
  <conditionalFormatting sqref="W843">
    <cfRule type="expression" dxfId="2417" priority="3527">
      <formula>AND($R$843,$S$843)</formula>
    </cfRule>
  </conditionalFormatting>
  <conditionalFormatting sqref="W843">
    <cfRule type="expression" dxfId="2416" priority="3526">
      <formula>AND(IF($R$843,$W$843,TRUE),LEN(TRIM($W$843))&gt;0)</formula>
    </cfRule>
  </conditionalFormatting>
  <conditionalFormatting sqref="W843">
    <cfRule type="expression" dxfId="2415" priority="3525">
      <formula>OR($S$843 = FALSE, AND($P$843 = FALSE, ReportType &lt;&gt; "Final"), AND($Q$843 = FALSE, ReportType &lt;&gt; "Rough"))</formula>
    </cfRule>
  </conditionalFormatting>
  <conditionalFormatting sqref="W843">
    <cfRule type="expression" dxfId="2414" priority="3524">
      <formula>OR($T$843 = TRUE, AND($W$843 = TRUE, $S$843 = FALSE))</formula>
    </cfRule>
  </conditionalFormatting>
  <conditionalFormatting sqref="W848">
    <cfRule type="expression" dxfId="2413" priority="3523">
      <formula>AND($R$848,$S$848)</formula>
    </cfRule>
  </conditionalFormatting>
  <conditionalFormatting sqref="W848">
    <cfRule type="expression" dxfId="2412" priority="3522">
      <formula>AND(IF($R$848,$W$848,TRUE),LEN(TRIM($W$848))&gt;0)</formula>
    </cfRule>
  </conditionalFormatting>
  <conditionalFormatting sqref="W848">
    <cfRule type="expression" dxfId="2411" priority="3521">
      <formula>OR($S$848 = FALSE, AND($P$848 = FALSE, ReportType &lt;&gt; "Final"), AND($Q$848 = FALSE, ReportType &lt;&gt; "Rough"))</formula>
    </cfRule>
  </conditionalFormatting>
  <conditionalFormatting sqref="W848">
    <cfRule type="expression" dxfId="2410" priority="3520">
      <formula>OR($T$848 = TRUE, AND($W$848 = TRUE, $S$848 = FALSE))</formula>
    </cfRule>
  </conditionalFormatting>
  <conditionalFormatting sqref="W852">
    <cfRule type="expression" dxfId="2409" priority="3519">
      <formula>AND($R$852,$S$852)</formula>
    </cfRule>
  </conditionalFormatting>
  <conditionalFormatting sqref="W852">
    <cfRule type="expression" dxfId="2408" priority="3518">
      <formula>AND(IF($R$852,$W$852,TRUE),LEN(TRIM($W$852))&gt;0)</formula>
    </cfRule>
  </conditionalFormatting>
  <conditionalFormatting sqref="W852">
    <cfRule type="expression" dxfId="2407" priority="3517">
      <formula>OR($S$852 = FALSE, AND($P$852 = FALSE, ReportType &lt;&gt; "Final"), AND($Q$852 = FALSE, ReportType &lt;&gt; "Rough"))</formula>
    </cfRule>
  </conditionalFormatting>
  <conditionalFormatting sqref="W852">
    <cfRule type="expression" dxfId="2406" priority="3516">
      <formula>OR($T$852 = TRUE, AND($W$852 = TRUE, $S$852 = FALSE))</formula>
    </cfRule>
  </conditionalFormatting>
  <conditionalFormatting sqref="W854">
    <cfRule type="expression" dxfId="2405" priority="3515">
      <formula>AND($R$854,$S$854)</formula>
    </cfRule>
  </conditionalFormatting>
  <conditionalFormatting sqref="W854">
    <cfRule type="expression" dxfId="2404" priority="3514">
      <formula>AND(IF($R$854,$W$854,TRUE),LEN(TRIM($W$854))&gt;0)</formula>
    </cfRule>
  </conditionalFormatting>
  <conditionalFormatting sqref="W854">
    <cfRule type="expression" dxfId="2403" priority="3513">
      <formula>OR($S$854 = FALSE, AND($P$854 = FALSE, ReportType &lt;&gt; "Final"), AND($Q$854 = FALSE, ReportType &lt;&gt; "Rough"))</formula>
    </cfRule>
  </conditionalFormatting>
  <conditionalFormatting sqref="W854">
    <cfRule type="expression" dxfId="2402" priority="3512">
      <formula>OR($T$854 = TRUE, AND($W$854 = TRUE, $S$854 = FALSE))</formula>
    </cfRule>
  </conditionalFormatting>
  <conditionalFormatting sqref="W856">
    <cfRule type="expression" dxfId="2401" priority="3511">
      <formula>AND($R$856,$S$856)</formula>
    </cfRule>
  </conditionalFormatting>
  <conditionalFormatting sqref="W856">
    <cfRule type="expression" dxfId="2400" priority="3510">
      <formula>AND(IF($R$856,$W$856,TRUE),LEN(TRIM($W$856))&gt;0)</formula>
    </cfRule>
  </conditionalFormatting>
  <conditionalFormatting sqref="W856">
    <cfRule type="expression" dxfId="2399" priority="3509">
      <formula>OR($S$856 = FALSE, AND($P$856 = FALSE, ReportType &lt;&gt; "Final"), AND($Q$856 = FALSE, ReportType &lt;&gt; "Rough"))</formula>
    </cfRule>
  </conditionalFormatting>
  <conditionalFormatting sqref="W856">
    <cfRule type="expression" dxfId="2398" priority="3508">
      <formula>OR($T$856 = TRUE, AND($W$856 = TRUE, $S$856 = FALSE))</formula>
    </cfRule>
  </conditionalFormatting>
  <conditionalFormatting sqref="W857">
    <cfRule type="expression" dxfId="2397" priority="3507">
      <formula>AND($R$857,$S$857)</formula>
    </cfRule>
  </conditionalFormatting>
  <conditionalFormatting sqref="W857">
    <cfRule type="expression" dxfId="2396" priority="3506">
      <formula>AND(IF($R$857,$W$857,TRUE),LEN(TRIM($W$857))&gt;0)</formula>
    </cfRule>
  </conditionalFormatting>
  <conditionalFormatting sqref="W857">
    <cfRule type="expression" dxfId="2395" priority="3505">
      <formula>OR($S$857 = FALSE, AND($P$857 = FALSE, ReportType &lt;&gt; "Final"), AND($Q$857 = FALSE, ReportType &lt;&gt; "Rough"))</formula>
    </cfRule>
  </conditionalFormatting>
  <conditionalFormatting sqref="W857">
    <cfRule type="expression" dxfId="2394" priority="3504">
      <formula>OR($T$857 = TRUE, AND($W$857 = TRUE, $S$857 = FALSE))</formula>
    </cfRule>
  </conditionalFormatting>
  <conditionalFormatting sqref="W858">
    <cfRule type="expression" dxfId="2393" priority="3503">
      <formula>AND($R$858,$S$858)</formula>
    </cfRule>
  </conditionalFormatting>
  <conditionalFormatting sqref="W858">
    <cfRule type="expression" dxfId="2392" priority="3502">
      <formula>AND(IF($R$858,$W$858,TRUE),LEN(TRIM($W$858))&gt;0)</formula>
    </cfRule>
  </conditionalFormatting>
  <conditionalFormatting sqref="W858">
    <cfRule type="expression" dxfId="2391" priority="3501">
      <formula>OR($S$858 = FALSE, AND($P$858 = FALSE, ReportType &lt;&gt; "Final"), AND($Q$858 = FALSE, ReportType &lt;&gt; "Rough"))</formula>
    </cfRule>
  </conditionalFormatting>
  <conditionalFormatting sqref="W858">
    <cfRule type="expression" dxfId="2390" priority="3500">
      <formula>OR($T$858 = TRUE, AND($W$858 = TRUE, $S$858 = FALSE))</formula>
    </cfRule>
  </conditionalFormatting>
  <conditionalFormatting sqref="W862">
    <cfRule type="expression" dxfId="2389" priority="3499">
      <formula>AND($R$862,$S$862)</formula>
    </cfRule>
  </conditionalFormatting>
  <conditionalFormatting sqref="W862">
    <cfRule type="expression" dxfId="2388" priority="3498">
      <formula>AND(IF($R$862,$W$862,TRUE),LEN(TRIM($W$862))&gt;0)</formula>
    </cfRule>
  </conditionalFormatting>
  <conditionalFormatting sqref="W862">
    <cfRule type="expression" dxfId="2387" priority="3497">
      <formula>OR($S$862 = FALSE, AND($P$862 = FALSE, ReportType &lt;&gt; "Final"), AND($Q$862 = FALSE, ReportType &lt;&gt; "Rough"))</formula>
    </cfRule>
  </conditionalFormatting>
  <conditionalFormatting sqref="W862">
    <cfRule type="expression" dxfId="2386" priority="3496">
      <formula>OR($T$862 = TRUE, AND($W$862 = TRUE, $S$862 = FALSE))</formula>
    </cfRule>
  </conditionalFormatting>
  <conditionalFormatting sqref="W933">
    <cfRule type="expression" dxfId="2385" priority="3077">
      <formula>AND(R933,S933)</formula>
    </cfRule>
  </conditionalFormatting>
  <conditionalFormatting sqref="W933">
    <cfRule type="expression" dxfId="2384" priority="3076">
      <formula>NOT(ISBLANK(W933))</formula>
    </cfRule>
  </conditionalFormatting>
  <conditionalFormatting sqref="W933">
    <cfRule type="expression" dxfId="2383" priority="3075">
      <formula>OR(S933 = FALSE, AND(P933 = FALSE, ReportType &lt;&gt; "Final"), AND(Q933 = FALSE, ReportType &lt;&gt; "Rough"))</formula>
    </cfRule>
  </conditionalFormatting>
  <conditionalFormatting sqref="W933">
    <cfRule type="expression" dxfId="2382" priority="3074">
      <formula>OR(T933 = TRUE, AND(W933 = TRUE, S933 = FALSE))</formula>
    </cfRule>
  </conditionalFormatting>
  <conditionalFormatting sqref="W893">
    <cfRule type="expression" dxfId="2381" priority="2974">
      <formula>AND($R$893,$S$893)</formula>
    </cfRule>
  </conditionalFormatting>
  <conditionalFormatting sqref="W893">
    <cfRule type="expression" dxfId="2380" priority="2973">
      <formula>AND(IF($R$893,$W$893,TRUE),LEN(TRIM($W$893))&gt;0)</formula>
    </cfRule>
  </conditionalFormatting>
  <conditionalFormatting sqref="W893">
    <cfRule type="expression" dxfId="2379" priority="2972">
      <formula>OR($S$893 = FALSE, AND($P$893 = FALSE, ReportType &lt;&gt; "Final"), AND($Q$893 = FALSE, ReportType &lt;&gt; "Rough"))</formula>
    </cfRule>
  </conditionalFormatting>
  <conditionalFormatting sqref="W893">
    <cfRule type="expression" dxfId="2378" priority="2971">
      <formula>OR($T$893 = TRUE, AND($W$893 = TRUE, $S$893 = FALSE))</formula>
    </cfRule>
  </conditionalFormatting>
  <conditionalFormatting sqref="W896">
    <cfRule type="expression" dxfId="2377" priority="2970">
      <formula>AND($R$896,$S$896)</formula>
    </cfRule>
  </conditionalFormatting>
  <conditionalFormatting sqref="W896">
    <cfRule type="expression" dxfId="2376" priority="2969">
      <formula>AND($W$896&lt;&gt;"Not Met",LEN(TRIM($W$896))&gt;0)</formula>
    </cfRule>
  </conditionalFormatting>
  <conditionalFormatting sqref="W896">
    <cfRule type="expression" dxfId="2375" priority="2968">
      <formula>OR($S$896 = FALSE, AND($P$896 = FALSE, ReportType &lt;&gt; "Final"), AND($Q$896 = FALSE, ReportType &lt;&gt; "Rough"))</formula>
    </cfRule>
  </conditionalFormatting>
  <conditionalFormatting sqref="W896">
    <cfRule type="expression" dxfId="2374" priority="2967">
      <formula>OR($T$896 = TRUE, AND(LEN(TRIM($W$896))&gt;0, $S$896 = FALSE))</formula>
    </cfRule>
  </conditionalFormatting>
  <conditionalFormatting sqref="W902">
    <cfRule type="expression" dxfId="2373" priority="2966">
      <formula>AND($R$902,$S$902)</formula>
    </cfRule>
  </conditionalFormatting>
  <conditionalFormatting sqref="W902">
    <cfRule type="expression" dxfId="2372" priority="2965">
      <formula>AND(IF($R$902,$W$902,TRUE),LEN(TRIM($W$902))&gt;0)</formula>
    </cfRule>
  </conditionalFormatting>
  <conditionalFormatting sqref="W902">
    <cfRule type="expression" dxfId="2371" priority="2964">
      <formula>OR($S$902 = FALSE, AND($P$902 = FALSE, ReportType &lt;&gt; "Final"), AND($Q$902 = FALSE, ReportType &lt;&gt; "Rough"))</formula>
    </cfRule>
  </conditionalFormatting>
  <conditionalFormatting sqref="W902">
    <cfRule type="expression" dxfId="2370" priority="2963">
      <formula>OR($T$902 = TRUE, AND($W$902 = TRUE, $S$902 = FALSE))</formula>
    </cfRule>
  </conditionalFormatting>
  <conditionalFormatting sqref="W905">
    <cfRule type="expression" dxfId="2369" priority="2962">
      <formula>AND($R$905,$S$905)</formula>
    </cfRule>
  </conditionalFormatting>
  <conditionalFormatting sqref="W905">
    <cfRule type="expression" dxfId="2368" priority="2961">
      <formula>AND(IF($R$905,$W$905,TRUE),LEN(TRIM($W$905))&gt;0)</formula>
    </cfRule>
  </conditionalFormatting>
  <conditionalFormatting sqref="W905">
    <cfRule type="expression" dxfId="2367" priority="2960">
      <formula>OR($S$905 = FALSE, AND($P$905 = FALSE, ReportType &lt;&gt; "Final"), AND($Q$905 = FALSE, ReportType &lt;&gt; "Rough"))</formula>
    </cfRule>
  </conditionalFormatting>
  <conditionalFormatting sqref="W905">
    <cfRule type="expression" dxfId="2366" priority="2959">
      <formula>OR($T$905 = TRUE, AND($W$905 = TRUE, $S$905 = FALSE))</formula>
    </cfRule>
  </conditionalFormatting>
  <conditionalFormatting sqref="W908">
    <cfRule type="expression" dxfId="2365" priority="2958">
      <formula>AND($R$908,$S$908)</formula>
    </cfRule>
  </conditionalFormatting>
  <conditionalFormatting sqref="W908">
    <cfRule type="expression" dxfId="2364" priority="2957">
      <formula>AND(IF($R$908,$W$908,TRUE),LEN(TRIM($W$908))&gt;0)</formula>
    </cfRule>
  </conditionalFormatting>
  <conditionalFormatting sqref="W908">
    <cfRule type="expression" dxfId="2363" priority="2956">
      <formula>OR($S$908 = FALSE, AND($P$908 = FALSE, ReportType &lt;&gt; "Final"), AND($Q$908 = FALSE, ReportType &lt;&gt; "Rough"))</formula>
    </cfRule>
  </conditionalFormatting>
  <conditionalFormatting sqref="W908">
    <cfRule type="expression" dxfId="2362" priority="2955">
      <formula>OR($T$908 = TRUE, AND($W$908 = TRUE, $S$908 = FALSE))</formula>
    </cfRule>
  </conditionalFormatting>
  <conditionalFormatting sqref="W912">
    <cfRule type="expression" dxfId="2361" priority="2954">
      <formula>AND($R$912,$S$912)</formula>
    </cfRule>
  </conditionalFormatting>
  <conditionalFormatting sqref="W912">
    <cfRule type="expression" dxfId="2360" priority="2953">
      <formula>AND(IF($R$912,$W$912,TRUE),LEN(TRIM($W$912))&gt;0)</formula>
    </cfRule>
  </conditionalFormatting>
  <conditionalFormatting sqref="W912">
    <cfRule type="expression" dxfId="2359" priority="2952">
      <formula>OR($S$912 = FALSE, AND($P$912 = FALSE, ReportType &lt;&gt; "Final"), AND($Q$912 = FALSE, ReportType &lt;&gt; "Rough"))</formula>
    </cfRule>
  </conditionalFormatting>
  <conditionalFormatting sqref="W912">
    <cfRule type="expression" dxfId="2358" priority="2951">
      <formula>OR($T$912 = TRUE, AND($W$912 = TRUE, $S$912 = FALSE))</formula>
    </cfRule>
  </conditionalFormatting>
  <conditionalFormatting sqref="W952">
    <cfRule type="expression" dxfId="2357" priority="2946">
      <formula>AND($R$952,$S$952)</formula>
    </cfRule>
  </conditionalFormatting>
  <conditionalFormatting sqref="W952">
    <cfRule type="expression" dxfId="2356" priority="2945">
      <formula>AND(IF($R$952,$W$952,TRUE),LEN(TRIM($W$952))&gt;0)</formula>
    </cfRule>
  </conditionalFormatting>
  <conditionalFormatting sqref="W952">
    <cfRule type="expression" dxfId="2355" priority="2944">
      <formula>OR($S$952 = FALSE, AND($P$952 = FALSE, ReportType &lt;&gt; "Final"), AND($Q$952 = FALSE, ReportType &lt;&gt; "Rough"))</formula>
    </cfRule>
  </conditionalFormatting>
  <conditionalFormatting sqref="W952">
    <cfRule type="expression" dxfId="2354" priority="2943">
      <formula>OR($T$952 = TRUE, AND($W$952 = TRUE, $S$952 = FALSE))</formula>
    </cfRule>
  </conditionalFormatting>
  <conditionalFormatting sqref="W955">
    <cfRule type="expression" dxfId="2353" priority="2942">
      <formula>AND($R$955,$S$955)</formula>
    </cfRule>
  </conditionalFormatting>
  <conditionalFormatting sqref="W955">
    <cfRule type="expression" dxfId="2352" priority="2941">
      <formula>AND(IF($R$955,$W$955,TRUE),LEN(TRIM($W$955))&gt;0)</formula>
    </cfRule>
  </conditionalFormatting>
  <conditionalFormatting sqref="W955">
    <cfRule type="expression" dxfId="2351" priority="2940">
      <formula>OR($S$955 = FALSE, AND($P$955 = FALSE, ReportType &lt;&gt; "Final"), AND($Q$955 = FALSE, ReportType &lt;&gt; "Rough"))</formula>
    </cfRule>
  </conditionalFormatting>
  <conditionalFormatting sqref="W955">
    <cfRule type="expression" dxfId="2350" priority="2939">
      <formula>OR($T$955 = TRUE, AND($W$955 = TRUE, $S$955 = FALSE))</formula>
    </cfRule>
  </conditionalFormatting>
  <conditionalFormatting sqref="W991">
    <cfRule type="expression" dxfId="2349" priority="2934">
      <formula>AND($R$991,$S$991)</formula>
    </cfRule>
  </conditionalFormatting>
  <conditionalFormatting sqref="W991">
    <cfRule type="expression" dxfId="2348" priority="2933">
      <formula>AND($W$991&lt;&gt;"Not Met",LEN(TRIM($W$991))&gt;0)</formula>
    </cfRule>
  </conditionalFormatting>
  <conditionalFormatting sqref="W991">
    <cfRule type="expression" dxfId="2347" priority="2932">
      <formula>OR($S$991 = FALSE, AND($P$991 = FALSE, ReportType &lt;&gt; "Final"), AND($Q$991 = FALSE, ReportType &lt;&gt; "Rough"))</formula>
    </cfRule>
  </conditionalFormatting>
  <conditionalFormatting sqref="W991">
    <cfRule type="expression" dxfId="2346" priority="2931">
      <formula>OR($T$991 = TRUE, AND(LEN(TRIM($W$991))&gt;0, $S$991 = FALSE))</formula>
    </cfRule>
  </conditionalFormatting>
  <conditionalFormatting sqref="W1000">
    <cfRule type="expression" dxfId="2345" priority="2922">
      <formula>AND($R$1000,$S$1000)</formula>
    </cfRule>
  </conditionalFormatting>
  <conditionalFormatting sqref="W1000">
    <cfRule type="expression" dxfId="2344" priority="2921">
      <formula>AND(IF($R$1000,$W$1000,TRUE),LEN(TRIM($W$1000))&gt;0)</formula>
    </cfRule>
  </conditionalFormatting>
  <conditionalFormatting sqref="W1000">
    <cfRule type="expression" dxfId="2343" priority="2920">
      <formula>OR($S$1000 = FALSE, AND($P$1000 = FALSE, ReportType &lt;&gt; "Final"), AND($Q$1000 = FALSE, ReportType &lt;&gt; "Rough"))</formula>
    </cfRule>
  </conditionalFormatting>
  <conditionalFormatting sqref="W1000">
    <cfRule type="expression" dxfId="2342" priority="2919">
      <formula>OR($T$1000 = TRUE, AND($W$1000 = TRUE, $S$1000 = FALSE))</formula>
    </cfRule>
  </conditionalFormatting>
  <conditionalFormatting sqref="W2052">
    <cfRule type="expression" dxfId="2341" priority="2015">
      <formula>AND(R2052,S2052)</formula>
    </cfRule>
  </conditionalFormatting>
  <conditionalFormatting sqref="W2052">
    <cfRule type="expression" dxfId="2340" priority="2014">
      <formula>AND(IF(R2052,W2052,TRUE),LEN(TRIM(W2052))&gt;0)</formula>
    </cfRule>
  </conditionalFormatting>
  <conditionalFormatting sqref="W2052">
    <cfRule type="expression" dxfId="2339" priority="2013">
      <formula>OR(S2052 = FALSE, AND(P2052 = FALSE, ReportType &lt;&gt; "Final"), AND(Q2052 = FALSE, ReportType &lt;&gt; "Rough"))</formula>
    </cfRule>
  </conditionalFormatting>
  <conditionalFormatting sqref="W2052">
    <cfRule type="expression" dxfId="2338" priority="2012">
      <formula>OR(T2052 = TRUE, AND(W2052 = TRUE, S2052 = FALSE))</formula>
    </cfRule>
  </conditionalFormatting>
  <conditionalFormatting sqref="W2054">
    <cfRule type="expression" dxfId="2337" priority="2011">
      <formula>AND(R2054,S2054)</formula>
    </cfRule>
  </conditionalFormatting>
  <conditionalFormatting sqref="W2054">
    <cfRule type="expression" dxfId="2336" priority="2010">
      <formula>AND(IF(R2054,W2054,TRUE),LEN(TRIM(W2054))&gt;0)</formula>
    </cfRule>
  </conditionalFormatting>
  <conditionalFormatting sqref="W2054">
    <cfRule type="expression" dxfId="2335" priority="2009">
      <formula>OR(S2054 = FALSE, AND(P2054 = FALSE, ReportType &lt;&gt; "Final"), AND(Q2054 = FALSE, ReportType &lt;&gt; "Rough"))</formula>
    </cfRule>
  </conditionalFormatting>
  <conditionalFormatting sqref="W2054">
    <cfRule type="expression" dxfId="2334" priority="2008">
      <formula>OR(T2054 = TRUE, AND(W2054 = TRUE, S2054 = FALSE))</formula>
    </cfRule>
  </conditionalFormatting>
  <conditionalFormatting sqref="W2061">
    <cfRule type="expression" dxfId="2333" priority="2007">
      <formula>AND(R2061,S2061)</formula>
    </cfRule>
  </conditionalFormatting>
  <conditionalFormatting sqref="W2061">
    <cfRule type="expression" dxfId="2332" priority="2006">
      <formula>AND(IF(R2061,W2061,TRUE),LEN(TRIM(W2061))&gt;0)</formula>
    </cfRule>
  </conditionalFormatting>
  <conditionalFormatting sqref="W2061">
    <cfRule type="expression" dxfId="2331" priority="2005">
      <formula>OR(S2061 = FALSE, AND(P2061 = FALSE, ReportType &lt;&gt; "Final"), AND(Q2061 = FALSE, ReportType &lt;&gt; "Rough"))</formula>
    </cfRule>
  </conditionalFormatting>
  <conditionalFormatting sqref="W2061">
    <cfRule type="expression" dxfId="2330" priority="2004">
      <formula>OR(T2061 = TRUE, AND(W2061 = TRUE, S2061 = FALSE))</formula>
    </cfRule>
  </conditionalFormatting>
  <conditionalFormatting sqref="W2063">
    <cfRule type="expression" dxfId="2329" priority="2003">
      <formula>AND(R2063,S2063)</formula>
    </cfRule>
  </conditionalFormatting>
  <conditionalFormatting sqref="W2063">
    <cfRule type="expression" dxfId="2328" priority="2002">
      <formula>AND(IF(R2063,W2063,TRUE),LEN(TRIM(W2063))&gt;0)</formula>
    </cfRule>
  </conditionalFormatting>
  <conditionalFormatting sqref="W2063">
    <cfRule type="expression" dxfId="2327" priority="2001">
      <formula>OR(S2063 = FALSE, AND(P2063 = FALSE, ReportType &lt;&gt; "Final"), AND(Q2063 = FALSE, ReportType &lt;&gt; "Rough"))</formula>
    </cfRule>
  </conditionalFormatting>
  <conditionalFormatting sqref="W2063">
    <cfRule type="expression" dxfId="2326" priority="2000">
      <formula>OR(T2063 = TRUE, AND(W2063 = TRUE, S2063 = FALSE))</formula>
    </cfRule>
  </conditionalFormatting>
  <conditionalFormatting sqref="X1920:X1924">
    <cfRule type="expression" dxfId="2325" priority="1999">
      <formula>W1920="N/A"</formula>
    </cfRule>
  </conditionalFormatting>
  <conditionalFormatting sqref="W1859">
    <cfRule type="expression" dxfId="2324" priority="1994">
      <formula>AND($R$1859,$S$1859)</formula>
    </cfRule>
  </conditionalFormatting>
  <conditionalFormatting sqref="W1859">
    <cfRule type="expression" dxfId="2323" priority="1993">
      <formula>AND(IF($R$1859,$W$1859,TRUE),LEN(TRIM($W$1859))&gt;0)</formula>
    </cfRule>
  </conditionalFormatting>
  <conditionalFormatting sqref="W1859">
    <cfRule type="expression" dxfId="2322" priority="1992">
      <formula>OR($S$1859 = FALSE, AND($P$1859 = FALSE, ReportType &lt;&gt; "Final"), AND($Q$1859 = FALSE, ReportType &lt;&gt; "Rough"))</formula>
    </cfRule>
  </conditionalFormatting>
  <conditionalFormatting sqref="W1859">
    <cfRule type="expression" dxfId="2321" priority="1991">
      <formula>OR($T$1859 = TRUE, AND($W$1859 = TRUE, $S$1859 = FALSE))</formula>
    </cfRule>
  </conditionalFormatting>
  <conditionalFormatting sqref="W1865">
    <cfRule type="expression" dxfId="2320" priority="1990">
      <formula>AND($R$1865,$S$1865)</formula>
    </cfRule>
  </conditionalFormatting>
  <conditionalFormatting sqref="W1865">
    <cfRule type="expression" dxfId="2319" priority="1989">
      <formula>AND(IF($R$1865,$W$1865,TRUE),LEN(TRIM($W$1865))&gt;0)</formula>
    </cfRule>
  </conditionalFormatting>
  <conditionalFormatting sqref="W1865">
    <cfRule type="expression" dxfId="2318" priority="1988">
      <formula>OR($S$1865 = FALSE, AND($P$1865 = FALSE, ReportType &lt;&gt; "Final"), AND($Q$1865 = FALSE, ReportType &lt;&gt; "Rough"))</formula>
    </cfRule>
  </conditionalFormatting>
  <conditionalFormatting sqref="W1865">
    <cfRule type="expression" dxfId="2317" priority="1987">
      <formula>OR($T$1865 = TRUE, AND($W$1865 = TRUE, $S$1865 = FALSE))</formula>
    </cfRule>
  </conditionalFormatting>
  <conditionalFormatting sqref="W1870">
    <cfRule type="expression" dxfId="2316" priority="1986">
      <formula>AND($R$1870,$S$1870)</formula>
    </cfRule>
  </conditionalFormatting>
  <conditionalFormatting sqref="W1870">
    <cfRule type="expression" dxfId="2315" priority="1985">
      <formula>AND($W$1870&lt;&gt;"Not Met",LEN(TRIM($W$1870))&gt;0)</formula>
    </cfRule>
  </conditionalFormatting>
  <conditionalFormatting sqref="W1870">
    <cfRule type="expression" dxfId="2314" priority="1984">
      <formula>OR($S$1870 = FALSE, AND($P$1870 = FALSE, ReportType &lt;&gt; "Final"), AND($Q$1870 = FALSE, ReportType &lt;&gt; "Rough"))</formula>
    </cfRule>
  </conditionalFormatting>
  <conditionalFormatting sqref="W1870">
    <cfRule type="expression" dxfId="2313" priority="1983">
      <formula>OR($T$1870 = TRUE, AND(LEN(TRIM($W$1870))&gt;0, $S$1870 = FALSE))</formula>
    </cfRule>
  </conditionalFormatting>
  <conditionalFormatting sqref="W1873">
    <cfRule type="expression" dxfId="2312" priority="1982">
      <formula>AND($R$1873,$S$1873)</formula>
    </cfRule>
  </conditionalFormatting>
  <conditionalFormatting sqref="W1873">
    <cfRule type="expression" dxfId="2311" priority="1981">
      <formula>AND($W$1873&lt;&gt;"Not Met",LEN(TRIM($W$1873))&gt;0)</formula>
    </cfRule>
  </conditionalFormatting>
  <conditionalFormatting sqref="W1873">
    <cfRule type="expression" dxfId="2310" priority="1980">
      <formula>OR($S$1873 = FALSE, AND($P$1873 = FALSE, ReportType &lt;&gt; "Final"), AND($Q$1873 = FALSE, ReportType &lt;&gt; "Rough"))</formula>
    </cfRule>
  </conditionalFormatting>
  <conditionalFormatting sqref="W1873">
    <cfRule type="expression" dxfId="2309" priority="1979">
      <formula>OR($T$1873 = TRUE, AND(LEN(TRIM($W$1873))&gt;0, $S$1873 = FALSE))</formula>
    </cfRule>
  </conditionalFormatting>
  <conditionalFormatting sqref="W1876">
    <cfRule type="expression" dxfId="2308" priority="1978">
      <formula>AND($R$1876,$S$1876)</formula>
    </cfRule>
  </conditionalFormatting>
  <conditionalFormatting sqref="W1876">
    <cfRule type="expression" dxfId="2307" priority="1977">
      <formula>AND($W$1876&lt;&gt;"Not Met",LEN(TRIM($W$1876))&gt;0)</formula>
    </cfRule>
  </conditionalFormatting>
  <conditionalFormatting sqref="W1876">
    <cfRule type="expression" dxfId="2306" priority="1976">
      <formula>OR($S$1876 = FALSE, AND($P$1876 = FALSE, ReportType &lt;&gt; "Final"), AND($Q$1876 = FALSE, ReportType &lt;&gt; "Rough"))</formula>
    </cfRule>
  </conditionalFormatting>
  <conditionalFormatting sqref="W1876">
    <cfRule type="expression" dxfId="2305" priority="1975">
      <formula>OR($T$1876 = TRUE, AND(LEN(TRIM($W$1876))&gt;0, $S$1876 = FALSE))</formula>
    </cfRule>
  </conditionalFormatting>
  <conditionalFormatting sqref="W1881">
    <cfRule type="expression" dxfId="2304" priority="1974">
      <formula>AND($R$1881,$S$1881)</formula>
    </cfRule>
  </conditionalFormatting>
  <conditionalFormatting sqref="W1881">
    <cfRule type="expression" dxfId="2303" priority="1973">
      <formula>AND(IF($R$1881,$W$1881,TRUE),LEN(TRIM($W$1881))&gt;0)</formula>
    </cfRule>
  </conditionalFormatting>
  <conditionalFormatting sqref="W1881">
    <cfRule type="expression" dxfId="2302" priority="1972">
      <formula>OR($S$1881 = FALSE, AND($P$1881 = FALSE, ReportType &lt;&gt; "Final"), AND($Q$1881 = FALSE, ReportType &lt;&gt; "Rough"))</formula>
    </cfRule>
  </conditionalFormatting>
  <conditionalFormatting sqref="W1881">
    <cfRule type="expression" dxfId="2301" priority="1971">
      <formula>OR($T$1881 = TRUE, AND($W$1881 = TRUE, $S$1881 = FALSE))</formula>
    </cfRule>
  </conditionalFormatting>
  <conditionalFormatting sqref="W1884">
    <cfRule type="expression" dxfId="2300" priority="1970">
      <formula>AND($R$1884,$S$1884)</formula>
    </cfRule>
  </conditionalFormatting>
  <conditionalFormatting sqref="W1884">
    <cfRule type="expression" dxfId="2299" priority="1969">
      <formula>AND($W$1884&lt;&gt;"Not Met",LEN(TRIM($W$1884))&gt;0)</formula>
    </cfRule>
  </conditionalFormatting>
  <conditionalFormatting sqref="W1884">
    <cfRule type="expression" dxfId="2298" priority="1968">
      <formula>OR($S$1884 = FALSE, AND($P$1884 = FALSE, ReportType &lt;&gt; "Final"), AND($Q$1884 = FALSE, ReportType &lt;&gt; "Rough"))</formula>
    </cfRule>
  </conditionalFormatting>
  <conditionalFormatting sqref="W1884">
    <cfRule type="expression" dxfId="2297" priority="1967">
      <formula>OR($T$1884 = TRUE, AND(LEN(TRIM($W$1884))&gt;0, $S$1884 = FALSE))</formula>
    </cfRule>
  </conditionalFormatting>
  <conditionalFormatting sqref="W1890">
    <cfRule type="expression" dxfId="2296" priority="1966">
      <formula>AND($R$1890,$S$1890)</formula>
    </cfRule>
  </conditionalFormatting>
  <conditionalFormatting sqref="W1890">
    <cfRule type="expression" dxfId="2295" priority="1965">
      <formula>AND($W$1890&lt;&gt;"Not Met",LEN(TRIM($W$1890))&gt;0)</formula>
    </cfRule>
  </conditionalFormatting>
  <conditionalFormatting sqref="W1890">
    <cfRule type="expression" dxfId="2294" priority="1964">
      <formula>OR($S$1890 = FALSE, AND($P$1890 = FALSE, ReportType &lt;&gt; "Final"), AND($Q$1890 = FALSE, ReportType &lt;&gt; "Rough"))</formula>
    </cfRule>
  </conditionalFormatting>
  <conditionalFormatting sqref="W1890">
    <cfRule type="expression" dxfId="2293" priority="1963">
      <formula>OR($T$1890 = TRUE, AND(LEN(TRIM($W$1890))&gt;0, $S$1890 = FALSE,W1890&lt;&gt;"N/A"))</formula>
    </cfRule>
  </conditionalFormatting>
  <conditionalFormatting sqref="W1893">
    <cfRule type="expression" dxfId="2292" priority="1962">
      <formula>AND($R$1893,$S$1893)</formula>
    </cfRule>
  </conditionalFormatting>
  <conditionalFormatting sqref="W1893">
    <cfRule type="expression" dxfId="2291" priority="1961">
      <formula>AND($W$1893&lt;&gt;"Not Met",LEN(TRIM($W$1893))&gt;0)</formula>
    </cfRule>
  </conditionalFormatting>
  <conditionalFormatting sqref="W1893">
    <cfRule type="expression" dxfId="2290" priority="1960">
      <formula>OR($S$1893 = FALSE, AND($P$1893 = FALSE, ReportType &lt;&gt; "Final"), AND($Q$1893 = FALSE, ReportType &lt;&gt; "Rough"))</formula>
    </cfRule>
  </conditionalFormatting>
  <conditionalFormatting sqref="W1893">
    <cfRule type="expression" dxfId="2289" priority="1959">
      <formula>OR($T$1893 = TRUE, AND(LEN(TRIM($W$1893))&gt;0, $S$1893 = FALSE,W1893&lt;&gt;"N/A"))</formula>
    </cfRule>
  </conditionalFormatting>
  <conditionalFormatting sqref="W1895">
    <cfRule type="expression" dxfId="2288" priority="1958">
      <formula>AND($R$1895,$S$1895)</formula>
    </cfRule>
  </conditionalFormatting>
  <conditionalFormatting sqref="W1895">
    <cfRule type="expression" dxfId="2287" priority="1957">
      <formula>AND($W$1895&lt;&gt;"Not Met",LEN(TRIM($W$1895))&gt;0)</formula>
    </cfRule>
  </conditionalFormatting>
  <conditionalFormatting sqref="W1895">
    <cfRule type="expression" dxfId="2286" priority="1956">
      <formula>OR($S$1895 = FALSE, AND($P$1895 = FALSE, ReportType &lt;&gt; "Final"), AND($Q$1895 = FALSE, ReportType &lt;&gt; "Rough"))</formula>
    </cfRule>
  </conditionalFormatting>
  <conditionalFormatting sqref="W1895">
    <cfRule type="expression" dxfId="2285" priority="1955">
      <formula>OR($T$1895 = TRUE, AND(LEN(TRIM($W$1895))&gt;0, $S$1895 = FALSE,W1895&lt;&gt;"N/A"))</formula>
    </cfRule>
  </conditionalFormatting>
  <conditionalFormatting sqref="W1898">
    <cfRule type="expression" dxfId="2284" priority="1954">
      <formula>AND($R$1898,$S$1898)</formula>
    </cfRule>
  </conditionalFormatting>
  <conditionalFormatting sqref="W1898">
    <cfRule type="expression" dxfId="2283" priority="1953">
      <formula>AND($W$1898&lt;&gt;"Not Met",LEN(TRIM($W$1898))&gt;0)</formula>
    </cfRule>
  </conditionalFormatting>
  <conditionalFormatting sqref="W1898">
    <cfRule type="expression" dxfId="2282" priority="1952">
      <formula>OR($S$1898 = FALSE, AND($P$1898 = FALSE, ReportType &lt;&gt; "Final"), AND($Q$1898 = FALSE, ReportType &lt;&gt; "Rough"))</formula>
    </cfRule>
  </conditionalFormatting>
  <conditionalFormatting sqref="W1898">
    <cfRule type="expression" dxfId="2281" priority="1951">
      <formula>OR($T$1898 = TRUE, AND(LEN(TRIM($W$1898))&gt;0, $S$1898 = FALSE,W1898&lt;&gt;"N/A"))</formula>
    </cfRule>
  </conditionalFormatting>
  <conditionalFormatting sqref="W1900">
    <cfRule type="expression" dxfId="2280" priority="1950">
      <formula>AND($R$1900,$S$1900)</formula>
    </cfRule>
  </conditionalFormatting>
  <conditionalFormatting sqref="W1900">
    <cfRule type="expression" dxfId="2279" priority="1949">
      <formula>AND($W$1900&lt;&gt;"Not Met",LEN(TRIM($W$1900))&gt;0)</formula>
    </cfRule>
  </conditionalFormatting>
  <conditionalFormatting sqref="W1900">
    <cfRule type="expression" dxfId="2278" priority="1948">
      <formula>OR($S$1900 = FALSE, AND($P$1900 = FALSE, ReportType &lt;&gt; "Final"), AND($Q$1900 = FALSE, ReportType &lt;&gt; "Rough"))</formula>
    </cfRule>
  </conditionalFormatting>
  <conditionalFormatting sqref="W1900">
    <cfRule type="expression" dxfId="2277" priority="1947">
      <formula>OR($T$1900 = TRUE, AND(LEN(TRIM($W$1900))&gt;0, $S$1900 = FALSE,W1900&lt;&gt;"N/A"))</formula>
    </cfRule>
  </conditionalFormatting>
  <conditionalFormatting sqref="W1909">
    <cfRule type="expression" dxfId="2276" priority="1946">
      <formula>AND($R$1909,$S$1909)</formula>
    </cfRule>
  </conditionalFormatting>
  <conditionalFormatting sqref="W1909">
    <cfRule type="expression" dxfId="2275" priority="1945">
      <formula>AND(IF($R$1909,$W$1909,TRUE),LEN(TRIM($W$1909))&gt;0)</formula>
    </cfRule>
  </conditionalFormatting>
  <conditionalFormatting sqref="W1909">
    <cfRule type="expression" dxfId="2274" priority="1944">
      <formula>OR($S$1909 = FALSE, AND($P$1909 = FALSE, ReportType &lt;&gt; "Final"), AND($Q$1909 = FALSE, ReportType &lt;&gt; "Rough"))</formula>
    </cfRule>
  </conditionalFormatting>
  <conditionalFormatting sqref="W1909">
    <cfRule type="expression" dxfId="2273" priority="1943">
      <formula>OR($T$1909 = TRUE, AND($W$1909 = TRUE, $S$1909 = FALSE))</formula>
    </cfRule>
  </conditionalFormatting>
  <conditionalFormatting sqref="W1915">
    <cfRule type="expression" dxfId="2272" priority="1942">
      <formula>AND($R$1915,$S$1915)</formula>
    </cfRule>
  </conditionalFormatting>
  <conditionalFormatting sqref="W1915">
    <cfRule type="expression" dxfId="2271" priority="1941">
      <formula>AND(IF($R$1915,$W$1915,TRUE),LEN(TRIM($W$1915))&gt;0)</formula>
    </cfRule>
  </conditionalFormatting>
  <conditionalFormatting sqref="W1915">
    <cfRule type="expression" dxfId="2270" priority="1940">
      <formula>OR($S$1915 = FALSE, AND($P$1915 = FALSE, ReportType &lt;&gt; "Final"), AND($Q$1915 = FALSE, ReportType &lt;&gt; "Rough"))</formula>
    </cfRule>
  </conditionalFormatting>
  <conditionalFormatting sqref="W1915">
    <cfRule type="expression" dxfId="2269" priority="1939">
      <formula>OR($T$1915 = TRUE, AND($W$1915 = TRUE, $S$1915 = FALSE))</formula>
    </cfRule>
  </conditionalFormatting>
  <conditionalFormatting sqref="W1920">
    <cfRule type="expression" dxfId="2268" priority="1938">
      <formula>AND($R$1920,$S$1920)</formula>
    </cfRule>
  </conditionalFormatting>
  <conditionalFormatting sqref="W1920">
    <cfRule type="expression" dxfId="2267" priority="1937">
      <formula>AND($W$1920&lt;&gt;"Not Met",LEN(TRIM($W$1920))&gt;0)</formula>
    </cfRule>
  </conditionalFormatting>
  <conditionalFormatting sqref="W1920">
    <cfRule type="expression" dxfId="2266" priority="1936">
      <formula>OR($S$1920 = FALSE, AND($P$1920 = FALSE, ReportType &lt;&gt; "Final"), AND($Q$1920 = FALSE, ReportType &lt;&gt; "Rough"))</formula>
    </cfRule>
  </conditionalFormatting>
  <conditionalFormatting sqref="W1920">
    <cfRule type="expression" dxfId="2265" priority="1935">
      <formula>OR($T$1920 = TRUE, AND(LEN(TRIM($W$1920))&gt;0, $S$1920 = FALSE))</formula>
    </cfRule>
  </conditionalFormatting>
  <conditionalFormatting sqref="W1925">
    <cfRule type="expression" dxfId="2264" priority="1934">
      <formula>AND($R$1925,$S$1925)</formula>
    </cfRule>
  </conditionalFormatting>
  <conditionalFormatting sqref="W1925">
    <cfRule type="expression" dxfId="2263" priority="1933">
      <formula>AND($W$1925&lt;&gt;"Not Met",LEN(TRIM($W$1925))&gt;0)</formula>
    </cfRule>
  </conditionalFormatting>
  <conditionalFormatting sqref="W1925">
    <cfRule type="expression" dxfId="2262" priority="1932">
      <formula>OR($S$1925 = FALSE, AND($P$1925 = FALSE, ReportType &lt;&gt; "Final"), AND($Q$1925 = FALSE, ReportType &lt;&gt; "Rough"))</formula>
    </cfRule>
  </conditionalFormatting>
  <conditionalFormatting sqref="W1925">
    <cfRule type="expression" dxfId="2261" priority="1931">
      <formula>OR($T$1925 = TRUE, AND(LEN(TRIM($W$1925))&gt;0, $S$1925 = FALSE))</formula>
    </cfRule>
  </conditionalFormatting>
  <conditionalFormatting sqref="W1926">
    <cfRule type="expression" dxfId="2260" priority="1930">
      <formula>AND($R$1926,$S$1926)</formula>
    </cfRule>
  </conditionalFormatting>
  <conditionalFormatting sqref="W1926">
    <cfRule type="expression" dxfId="2259" priority="1929">
      <formula>AND($W$1926&lt;&gt;"Not Met",LEN(TRIM($W$1926))&gt;0)</formula>
    </cfRule>
  </conditionalFormatting>
  <conditionalFormatting sqref="W1926">
    <cfRule type="expression" dxfId="2258" priority="1928">
      <formula>OR($S$1926 = FALSE, AND($P$1926 = FALSE, ReportType &lt;&gt; "Final"), AND($Q$1926 = FALSE, ReportType &lt;&gt; "Rough"))</formula>
    </cfRule>
  </conditionalFormatting>
  <conditionalFormatting sqref="W1926">
    <cfRule type="expression" dxfId="2257" priority="1927">
      <formula>OR($T$1926 = TRUE, AND(LEN(TRIM($W$1926))&gt;0, $S$1926 = FALSE))</formula>
    </cfRule>
  </conditionalFormatting>
  <conditionalFormatting sqref="W1927">
    <cfRule type="expression" dxfId="2256" priority="1926">
      <formula>AND($R$1927,$S$1927)</formula>
    </cfRule>
  </conditionalFormatting>
  <conditionalFormatting sqref="W1927">
    <cfRule type="expression" dxfId="2255" priority="1925">
      <formula>AND($W$1927&lt;&gt;"Not Met",LEN(TRIM($W$1927))&gt;0)</formula>
    </cfRule>
  </conditionalFormatting>
  <conditionalFormatting sqref="W1927">
    <cfRule type="expression" dxfId="2254" priority="1924">
      <formula>OR($S$1927 = FALSE, AND($P$1927 = FALSE, ReportType &lt;&gt; "Final"), AND($Q$1927 = FALSE, ReportType &lt;&gt; "Rough"))</formula>
    </cfRule>
  </conditionalFormatting>
  <conditionalFormatting sqref="W1927">
    <cfRule type="expression" dxfId="2253" priority="1923">
      <formula>OR($T$1927 = TRUE, AND(LEN(TRIM($W$1927))&gt;0, $S$1927 = FALSE))</formula>
    </cfRule>
  </conditionalFormatting>
  <conditionalFormatting sqref="W1928">
    <cfRule type="expression" dxfId="2252" priority="1922">
      <formula>AND($R$1928,$S$1928)</formula>
    </cfRule>
  </conditionalFormatting>
  <conditionalFormatting sqref="W1928">
    <cfRule type="expression" dxfId="2251" priority="1921">
      <formula>AND($W$1928&lt;&gt;"Not Met",LEN(TRIM($W$1928))&gt;0)</formula>
    </cfRule>
  </conditionalFormatting>
  <conditionalFormatting sqref="W1928">
    <cfRule type="expression" dxfId="2250" priority="1920">
      <formula>OR($S$1928 = FALSE, AND($P$1928 = FALSE, ReportType &lt;&gt; "Final"), AND($Q$1928 = FALSE, ReportType &lt;&gt; "Rough"))</formula>
    </cfRule>
  </conditionalFormatting>
  <conditionalFormatting sqref="W1928">
    <cfRule type="expression" dxfId="2249" priority="1919">
      <formula>OR($T$1928 = TRUE, AND(LEN(TRIM($W$1928))&gt;0, $S$1928 = FALSE))</formula>
    </cfRule>
  </conditionalFormatting>
  <conditionalFormatting sqref="W1939">
    <cfRule type="expression" dxfId="2248" priority="1918">
      <formula>AND($R$1939,$S$1939)</formula>
    </cfRule>
  </conditionalFormatting>
  <conditionalFormatting sqref="W1939">
    <cfRule type="expression" dxfId="2247" priority="1917">
      <formula>AND(IF($R$1939,$W$1939,TRUE),LEN(TRIM($W$1939))&gt;0)</formula>
    </cfRule>
  </conditionalFormatting>
  <conditionalFormatting sqref="W1939">
    <cfRule type="expression" dxfId="2246" priority="1916">
      <formula>OR($S$1939 = FALSE, AND($P$1939 = FALSE, ReportType &lt;&gt; "Final"), AND($Q$1939 = FALSE, ReportType &lt;&gt; "Rough"))</formula>
    </cfRule>
  </conditionalFormatting>
  <conditionalFormatting sqref="W1939">
    <cfRule type="expression" dxfId="2245" priority="1915">
      <formula>OR($T$1939 = TRUE, AND($W$1939 = TRUE, $S$1939 = FALSE))</formula>
    </cfRule>
  </conditionalFormatting>
  <conditionalFormatting sqref="W1941">
    <cfRule type="expression" dxfId="2244" priority="1914">
      <formula>AND($R$1941,$S$1941)</formula>
    </cfRule>
  </conditionalFormatting>
  <conditionalFormatting sqref="W1941">
    <cfRule type="expression" dxfId="2243" priority="1913">
      <formula>AND(IF($R$1941,$W$1941,TRUE),LEN(TRIM($W$1941))&gt;0)</formula>
    </cfRule>
  </conditionalFormatting>
  <conditionalFormatting sqref="W1941">
    <cfRule type="expression" dxfId="2242" priority="1912">
      <formula>OR($S$1941 = FALSE, AND($P$1941 = FALSE, ReportType &lt;&gt; "Final"), AND($Q$1941 = FALSE, ReportType &lt;&gt; "Rough"))</formula>
    </cfRule>
  </conditionalFormatting>
  <conditionalFormatting sqref="W1941">
    <cfRule type="expression" dxfId="2241" priority="1911">
      <formula>OR($T$1941 = TRUE, AND($W$1941 = TRUE, $S$1941 = FALSE))</formula>
    </cfRule>
  </conditionalFormatting>
  <conditionalFormatting sqref="W1944">
    <cfRule type="expression" dxfId="2240" priority="1910">
      <formula>AND($R$1944,$S$1944)</formula>
    </cfRule>
  </conditionalFormatting>
  <conditionalFormatting sqref="W1944">
    <cfRule type="expression" dxfId="2239" priority="1909">
      <formula>AND(IF($R$1944,$W$1944,TRUE),LEN(TRIM($W$1944))&gt;0)</formula>
    </cfRule>
  </conditionalFormatting>
  <conditionalFormatting sqref="W1944">
    <cfRule type="expression" dxfId="2238" priority="1908">
      <formula>OR($S$1944 = FALSE, AND($P$1944 = FALSE, ReportType &lt;&gt; "Final"), AND($Q$1944 = FALSE, ReportType &lt;&gt; "Rough"))</formula>
    </cfRule>
  </conditionalFormatting>
  <conditionalFormatting sqref="W1944">
    <cfRule type="expression" dxfId="2237" priority="1907">
      <formula>OR($T$1944 = TRUE, AND($W$1944 = TRUE, $S$1944 = FALSE))</formula>
    </cfRule>
  </conditionalFormatting>
  <conditionalFormatting sqref="W1968">
    <cfRule type="expression" dxfId="2236" priority="1906">
      <formula>AND($R$1968,$S$1968)</formula>
    </cfRule>
  </conditionalFormatting>
  <conditionalFormatting sqref="W1968">
    <cfRule type="expression" dxfId="2235" priority="1905">
      <formula>AND(IF($R$1968,$W$1968,TRUE),LEN(TRIM($W$1968))&gt;0)</formula>
    </cfRule>
  </conditionalFormatting>
  <conditionalFormatting sqref="W1968">
    <cfRule type="expression" dxfId="2234" priority="1904">
      <formula>OR($S$1968 = FALSE, AND($P$1968 = FALSE, ReportType &lt;&gt; "Final"), AND($Q$1968 = FALSE, ReportType &lt;&gt; "Rough"))</formula>
    </cfRule>
  </conditionalFormatting>
  <conditionalFormatting sqref="W1968">
    <cfRule type="expression" dxfId="2233" priority="1903">
      <formula>OR($T$1968 = TRUE, AND($W$1968 = TRUE, $S$1968 = FALSE))</formula>
    </cfRule>
  </conditionalFormatting>
  <conditionalFormatting sqref="W1980">
    <cfRule type="expression" dxfId="2232" priority="1902">
      <formula>AND($R$1980,$S$1980)</formula>
    </cfRule>
  </conditionalFormatting>
  <conditionalFormatting sqref="W1980">
    <cfRule type="expression" dxfId="2231" priority="1901">
      <formula>AND(IF($R$1980,$W$1980,TRUE),LEN(TRIM($W$1980))&gt;0)</formula>
    </cfRule>
  </conditionalFormatting>
  <conditionalFormatting sqref="W1980">
    <cfRule type="expression" dxfId="2230" priority="1900">
      <formula>OR($S$1980 = FALSE, AND($P$1980 = FALSE, ReportType &lt;&gt; "Final"), AND($Q$1980 = FALSE, ReportType &lt;&gt; "Rough"))</formula>
    </cfRule>
  </conditionalFormatting>
  <conditionalFormatting sqref="W1980">
    <cfRule type="expression" dxfId="2229" priority="1899">
      <formula>OR($T$1980 = TRUE, AND($W$1980 = TRUE, $S$1980 = FALSE))</formula>
    </cfRule>
  </conditionalFormatting>
  <conditionalFormatting sqref="W1982">
    <cfRule type="expression" dxfId="2228" priority="1898">
      <formula>AND($R$1982,$S$1982)</formula>
    </cfRule>
  </conditionalFormatting>
  <conditionalFormatting sqref="W1982">
    <cfRule type="expression" dxfId="2227" priority="1897">
      <formula>AND(IF($R$1982,$W$1982,TRUE),LEN(TRIM($W$1982))&gt;0)</formula>
    </cfRule>
  </conditionalFormatting>
  <conditionalFormatting sqref="W1982">
    <cfRule type="expression" dxfId="2226" priority="1896">
      <formula>OR($S$1982 = FALSE, AND($P$1982 = FALSE, ReportType &lt;&gt; "Final"), AND($Q$1982 = FALSE, ReportType &lt;&gt; "Rough"))</formula>
    </cfRule>
  </conditionalFormatting>
  <conditionalFormatting sqref="W1982">
    <cfRule type="expression" dxfId="2225" priority="1895">
      <formula>OR($T$1982 = TRUE, AND($W$1982 = TRUE, $S$1982 = FALSE))</formula>
    </cfRule>
  </conditionalFormatting>
  <conditionalFormatting sqref="W1983">
    <cfRule type="expression" dxfId="2224" priority="1894">
      <formula>AND($R$1983,$S$1983)</formula>
    </cfRule>
  </conditionalFormatting>
  <conditionalFormatting sqref="W1983">
    <cfRule type="expression" dxfId="2223" priority="1893">
      <formula>AND(IF($R$1983,$W$1983,TRUE),LEN(TRIM($W$1983))&gt;0)</formula>
    </cfRule>
  </conditionalFormatting>
  <conditionalFormatting sqref="W1983">
    <cfRule type="expression" dxfId="2222" priority="1892">
      <formula>OR($S$1983 = FALSE, AND($P$1983 = FALSE, ReportType &lt;&gt; "Final"), AND($Q$1983 = FALSE, ReportType &lt;&gt; "Rough"))</formula>
    </cfRule>
  </conditionalFormatting>
  <conditionalFormatting sqref="W1983">
    <cfRule type="expression" dxfId="2221" priority="1891">
      <formula>OR($T$1983 = TRUE, AND($W$1983 = TRUE, $S$1983 = FALSE))</formula>
    </cfRule>
  </conditionalFormatting>
  <conditionalFormatting sqref="W1985">
    <cfRule type="expression" dxfId="2220" priority="1890">
      <formula>AND($R$1985,$S$1985)</formula>
    </cfRule>
  </conditionalFormatting>
  <conditionalFormatting sqref="W1985">
    <cfRule type="expression" dxfId="2219" priority="1889">
      <formula>AND(IF($R$1985,$W$1985,TRUE),LEN(TRIM($W$1985))&gt;0)</formula>
    </cfRule>
  </conditionalFormatting>
  <conditionalFormatting sqref="W1985">
    <cfRule type="expression" dxfId="2218" priority="1888">
      <formula>OR($S$1985 = FALSE, AND($P$1985 = FALSE, ReportType &lt;&gt; "Final"), AND($Q$1985 = FALSE, ReportType &lt;&gt; "Rough"))</formula>
    </cfRule>
  </conditionalFormatting>
  <conditionalFormatting sqref="W1985">
    <cfRule type="expression" dxfId="2217" priority="1887">
      <formula>OR($T$1985 = TRUE, AND($W$1985 = TRUE, $S$1985 = FALSE))</formula>
    </cfRule>
  </conditionalFormatting>
  <conditionalFormatting sqref="W1990">
    <cfRule type="expression" dxfId="2216" priority="1886">
      <formula>AND($R$1990,$S$1990)</formula>
    </cfRule>
  </conditionalFormatting>
  <conditionalFormatting sqref="W1990">
    <cfRule type="expression" dxfId="2215" priority="1885">
      <formula>AND(IF($R$1990,$W$1990,TRUE),LEN(TRIM($W$1990))&gt;0)</formula>
    </cfRule>
  </conditionalFormatting>
  <conditionalFormatting sqref="W1990">
    <cfRule type="expression" dxfId="2214" priority="1884">
      <formula>OR($S$1990 = FALSE, AND($P$1990 = FALSE, ReportType &lt;&gt; "Final"), AND($Q$1990 = FALSE, ReportType &lt;&gt; "Rough"))</formula>
    </cfRule>
  </conditionalFormatting>
  <conditionalFormatting sqref="W1990">
    <cfRule type="expression" dxfId="2213" priority="1883">
      <formula>OR($T$1990 = TRUE, AND($W$1990 = TRUE, $S$1990 = FALSE))</formula>
    </cfRule>
  </conditionalFormatting>
  <conditionalFormatting sqref="W2003">
    <cfRule type="expression" dxfId="2212" priority="1882">
      <formula>AND($R$2003,$S$2003)</formula>
    </cfRule>
  </conditionalFormatting>
  <conditionalFormatting sqref="W2003">
    <cfRule type="expression" dxfId="2211" priority="1881">
      <formula>AND(IF($R$2003,$W$2003,TRUE),LEN(TRIM($W$2003))&gt;0)</formula>
    </cfRule>
  </conditionalFormatting>
  <conditionalFormatting sqref="W2003">
    <cfRule type="expression" dxfId="2210" priority="1880">
      <formula>OR($S$2003 = FALSE, AND($P$2003 = FALSE, ReportType &lt;&gt; "Final"), AND($Q$2003 = FALSE, ReportType &lt;&gt; "Rough"))</formula>
    </cfRule>
  </conditionalFormatting>
  <conditionalFormatting sqref="W2003">
    <cfRule type="expression" dxfId="2209" priority="1879">
      <formula>OR($T$2003 = TRUE, AND($W$2003 = TRUE, $S$2003 = FALSE))</formula>
    </cfRule>
  </conditionalFormatting>
  <conditionalFormatting sqref="W2008">
    <cfRule type="expression" dxfId="2208" priority="1878">
      <formula>AND($R$2008,$S$2008)</formula>
    </cfRule>
  </conditionalFormatting>
  <conditionalFormatting sqref="W2008">
    <cfRule type="expression" dxfId="2207" priority="1877">
      <formula>AND(IF($R$2008,$W$2008,TRUE),LEN(TRIM($W$2008))&gt;0)</formula>
    </cfRule>
  </conditionalFormatting>
  <conditionalFormatting sqref="W2008">
    <cfRule type="expression" dxfId="2206" priority="1876">
      <formula>OR($S$2008 = FALSE, AND($P$2008 = FALSE, ReportType &lt;&gt; "Final"), AND($Q$2008 = FALSE, ReportType &lt;&gt; "Rough"))</formula>
    </cfRule>
  </conditionalFormatting>
  <conditionalFormatting sqref="W2008">
    <cfRule type="expression" dxfId="2205" priority="1875">
      <formula>OR($T$2008 = TRUE, AND($W$2008 = TRUE, $S$2008 = FALSE))</formula>
    </cfRule>
  </conditionalFormatting>
  <conditionalFormatting sqref="W2009">
    <cfRule type="expression" dxfId="2204" priority="1874">
      <formula>AND($R$2009,$S$2009)</formula>
    </cfRule>
  </conditionalFormatting>
  <conditionalFormatting sqref="W2009">
    <cfRule type="expression" dxfId="2203" priority="1873">
      <formula>AND(IF($R$2009,$W$2009,TRUE),LEN(TRIM($W$2009))&gt;0)</formula>
    </cfRule>
  </conditionalFormatting>
  <conditionalFormatting sqref="W2009">
    <cfRule type="expression" dxfId="2202" priority="1872">
      <formula>OR($S$2009 = FALSE, AND($P$2009 = FALSE, ReportType &lt;&gt; "Final"), AND($Q$2009 = FALSE, ReportType &lt;&gt; "Rough"))</formula>
    </cfRule>
  </conditionalFormatting>
  <conditionalFormatting sqref="W2009">
    <cfRule type="expression" dxfId="2201" priority="1871">
      <formula>OR($T$2009 = TRUE, AND($W$2009 = TRUE, $S$2009 = FALSE))</formula>
    </cfRule>
  </conditionalFormatting>
  <conditionalFormatting sqref="W2013">
    <cfRule type="expression" dxfId="2200" priority="1870">
      <formula>AND($R$2013,$S$2013)</formula>
    </cfRule>
  </conditionalFormatting>
  <conditionalFormatting sqref="W2013">
    <cfRule type="expression" dxfId="2199" priority="1869">
      <formula>AND(IF($R$2013,$W$2013,TRUE),LEN(TRIM($W$2013))&gt;0)</formula>
    </cfRule>
  </conditionalFormatting>
  <conditionalFormatting sqref="W2013">
    <cfRule type="expression" dxfId="2198" priority="1868">
      <formula>OR($S$2013 = FALSE, AND($P$2013 = FALSE, ReportType &lt;&gt; "Final"), AND($Q$2013 = FALSE, ReportType &lt;&gt; "Rough"))</formula>
    </cfRule>
  </conditionalFormatting>
  <conditionalFormatting sqref="W2013">
    <cfRule type="expression" dxfId="2197" priority="1867">
      <formula>OR($T$2013 = TRUE, AND($W$2013 = TRUE, $S$2013 = FALSE))</formula>
    </cfRule>
  </conditionalFormatting>
  <conditionalFormatting sqref="W2024">
    <cfRule type="expression" dxfId="2196" priority="1866">
      <formula>AND($R$2024,$S$2024)</formula>
    </cfRule>
  </conditionalFormatting>
  <conditionalFormatting sqref="W2024">
    <cfRule type="expression" dxfId="2195" priority="1865">
      <formula>AND($W$2024&lt;&gt;"Not Met",LEN(TRIM($W$2024))&gt;0)</formula>
    </cfRule>
  </conditionalFormatting>
  <conditionalFormatting sqref="W2024">
    <cfRule type="expression" dxfId="2194" priority="1864">
      <formula>OR($S$2024 = FALSE, AND($P$2024 = FALSE, ReportType &lt;&gt; "Final"), AND($Q$2024 = FALSE, ReportType &lt;&gt; "Rough"))</formula>
    </cfRule>
  </conditionalFormatting>
  <conditionalFormatting sqref="W2024">
    <cfRule type="expression" dxfId="2193" priority="1863">
      <formula>OR($T$2024 = TRUE, AND(LEN(TRIM($W$2024))&gt;0, $S$2024 = FALSE))</formula>
    </cfRule>
  </conditionalFormatting>
  <conditionalFormatting sqref="W2028">
    <cfRule type="expression" dxfId="2192" priority="1862">
      <formula>AND($R$2028,$S$2028)</formula>
    </cfRule>
  </conditionalFormatting>
  <conditionalFormatting sqref="W2028">
    <cfRule type="expression" dxfId="2191" priority="1861">
      <formula>AND(IF($R$2028,$W$2028,TRUE),LEN(TRIM($W$2028))&gt;0)</formula>
    </cfRule>
  </conditionalFormatting>
  <conditionalFormatting sqref="W2028">
    <cfRule type="expression" dxfId="2190" priority="1860">
      <formula>OR($S$2028 = FALSE, AND($P$2028 = FALSE, ReportType &lt;&gt; "Final"), AND($Q$2028 = FALSE, ReportType &lt;&gt; "Rough"))</formula>
    </cfRule>
  </conditionalFormatting>
  <conditionalFormatting sqref="W2028">
    <cfRule type="expression" dxfId="2189" priority="1859">
      <formula>OR($T$2028 = TRUE, AND($W$2028 = TRUE, $S$2028 = FALSE))</formula>
    </cfRule>
  </conditionalFormatting>
  <conditionalFormatting sqref="W2029">
    <cfRule type="expression" dxfId="2188" priority="1858">
      <formula>AND($R$2029,$S$2029)</formula>
    </cfRule>
  </conditionalFormatting>
  <conditionalFormatting sqref="W2029">
    <cfRule type="expression" dxfId="2187" priority="1857">
      <formula>AND(IF($R$2029,$W$2029,TRUE),LEN(TRIM($W$2029))&gt;0)</formula>
    </cfRule>
  </conditionalFormatting>
  <conditionalFormatting sqref="W2029">
    <cfRule type="expression" dxfId="2186" priority="1856">
      <formula>OR($S$2029 = FALSE, AND($P$2029 = FALSE, ReportType &lt;&gt; "Final"), AND($Q$2029 = FALSE, ReportType &lt;&gt; "Rough"))</formula>
    </cfRule>
  </conditionalFormatting>
  <conditionalFormatting sqref="W2029">
    <cfRule type="expression" dxfId="2185" priority="1855">
      <formula>OR($T$2029 = TRUE, AND($W$2029 = TRUE, $S$2029 = FALSE))</formula>
    </cfRule>
  </conditionalFormatting>
  <conditionalFormatting sqref="W2032">
    <cfRule type="expression" dxfId="2184" priority="1854">
      <formula>AND($R$2032,$S$2032)</formula>
    </cfRule>
  </conditionalFormatting>
  <conditionalFormatting sqref="W2032">
    <cfRule type="expression" dxfId="2183" priority="1853">
      <formula>AND(IF($R$2032,$W$2032,TRUE),LEN(TRIM($W$2032))&gt;0)</formula>
    </cfRule>
  </conditionalFormatting>
  <conditionalFormatting sqref="W2032">
    <cfRule type="expression" dxfId="2182" priority="1852">
      <formula>OR($S$2032 = FALSE, AND($P$2032 = FALSE, ReportType &lt;&gt; "Final"), AND($Q$2032 = FALSE, ReportType &lt;&gt; "Rough"))</formula>
    </cfRule>
  </conditionalFormatting>
  <conditionalFormatting sqref="W2032">
    <cfRule type="expression" dxfId="2181" priority="1851">
      <formula>OR($T$2032 = TRUE, AND($W$2032 = TRUE, $S$2032 = FALSE))</formula>
    </cfRule>
  </conditionalFormatting>
  <conditionalFormatting sqref="W2034">
    <cfRule type="expression" dxfId="2180" priority="1850">
      <formula>AND($R$2034,$S$2034)</formula>
    </cfRule>
  </conditionalFormatting>
  <conditionalFormatting sqref="W2034">
    <cfRule type="expression" dxfId="2179" priority="1849">
      <formula>AND(IF($R$2034,$W$2034,TRUE),LEN(TRIM($W$2034))&gt;0)</formula>
    </cfRule>
  </conditionalFormatting>
  <conditionalFormatting sqref="W2034">
    <cfRule type="expression" dxfId="2178" priority="1848">
      <formula>OR($S$2034 = FALSE, AND($P$2034 = FALSE, ReportType &lt;&gt; "Final"), AND($Q$2034 = FALSE, ReportType &lt;&gt; "Rough"))</formula>
    </cfRule>
  </conditionalFormatting>
  <conditionalFormatting sqref="W2034">
    <cfRule type="expression" dxfId="2177" priority="1847">
      <formula>OR($T$2034 = TRUE, AND($W$2034 = TRUE, $S$2034 = FALSE))</formula>
    </cfRule>
  </conditionalFormatting>
  <conditionalFormatting sqref="W2042">
    <cfRule type="expression" dxfId="2176" priority="1846">
      <formula>AND($R$2042,$S$2042)</formula>
    </cfRule>
  </conditionalFormatting>
  <conditionalFormatting sqref="W2042">
    <cfRule type="expression" dxfId="2175" priority="1845">
      <formula>AND(IF($R$2042,$W$2042,TRUE),LEN(TRIM($W$2042))&gt;0)</formula>
    </cfRule>
  </conditionalFormatting>
  <conditionalFormatting sqref="W2042">
    <cfRule type="expression" dxfId="2174" priority="1844">
      <formula>OR($S$2042 = FALSE, AND($P$2042 = FALSE, ReportType &lt;&gt; "Final"), AND($Q$2042 = FALSE, ReportType &lt;&gt; "Rough"))</formula>
    </cfRule>
  </conditionalFormatting>
  <conditionalFormatting sqref="W2042">
    <cfRule type="expression" dxfId="2173" priority="1843">
      <formula>OR($T$2042 = TRUE, AND($W$2042 = TRUE, $S$2042 = FALSE))</formula>
    </cfRule>
  </conditionalFormatting>
  <conditionalFormatting sqref="W2044">
    <cfRule type="expression" dxfId="2172" priority="1842">
      <formula>AND($R$2044,$S$2044)</formula>
    </cfRule>
  </conditionalFormatting>
  <conditionalFormatting sqref="W2044">
    <cfRule type="expression" dxfId="2171" priority="1841">
      <formula>AND(IF($R$2044,$W$2044,TRUE),LEN(TRIM($W$2044))&gt;0)</formula>
    </cfRule>
  </conditionalFormatting>
  <conditionalFormatting sqref="W2044">
    <cfRule type="expression" dxfId="2170" priority="1840">
      <formula>OR($S$2044 = FALSE, AND($P$2044 = FALSE, ReportType &lt;&gt; "Final"), AND($Q$2044 = FALSE, ReportType &lt;&gt; "Rough"))</formula>
    </cfRule>
  </conditionalFormatting>
  <conditionalFormatting sqref="W2044">
    <cfRule type="expression" dxfId="2169" priority="1839">
      <formula>OR($T$2044 = TRUE, AND($W$2044 = TRUE, $S$2044 = FALSE))</formula>
    </cfRule>
  </conditionalFormatting>
  <conditionalFormatting sqref="W2046">
    <cfRule type="expression" dxfId="2168" priority="1838">
      <formula>AND($R$2046,$S$2046)</formula>
    </cfRule>
  </conditionalFormatting>
  <conditionalFormatting sqref="W2046">
    <cfRule type="expression" dxfId="2167" priority="1837">
      <formula>AND($W$2046&lt;&gt;"Not Met",LEN(TRIM($W$2046))&gt;0)</formula>
    </cfRule>
  </conditionalFormatting>
  <conditionalFormatting sqref="W2046">
    <cfRule type="expression" dxfId="2166" priority="1836">
      <formula>OR($S$2046 = FALSE, AND($P$2046 = FALSE, ReportType &lt;&gt; "Final"), AND($Q$2046 = FALSE, ReportType &lt;&gt; "Rough"))</formula>
    </cfRule>
  </conditionalFormatting>
  <conditionalFormatting sqref="W2046">
    <cfRule type="expression" dxfId="2165" priority="1835">
      <formula>OR($T$2046 = TRUE, AND(LEN(TRIM($W$2046))&gt;0, $S$2046 = FALSE))</formula>
    </cfRule>
  </conditionalFormatting>
  <conditionalFormatting sqref="W2048">
    <cfRule type="expression" dxfId="2164" priority="1834">
      <formula>AND($R$2048,$S$2048)</formula>
    </cfRule>
  </conditionalFormatting>
  <conditionalFormatting sqref="W2048">
    <cfRule type="expression" dxfId="2163" priority="1833">
      <formula>AND(IF($R$2048,$W$2048,TRUE),LEN(TRIM($W$2048))&gt;0)</formula>
    </cfRule>
  </conditionalFormatting>
  <conditionalFormatting sqref="W2048">
    <cfRule type="expression" dxfId="2162" priority="1832">
      <formula>OR($S$2048 = FALSE, AND($P$2048 = FALSE, ReportType &lt;&gt; "Final"), AND($Q$2048 = FALSE, ReportType &lt;&gt; "Rough"))</formula>
    </cfRule>
  </conditionalFormatting>
  <conditionalFormatting sqref="W2048">
    <cfRule type="expression" dxfId="2161" priority="1831">
      <formula>OR($T$2048 = TRUE, AND($W$2048 = TRUE, $S$2048 = FALSE))</formula>
    </cfRule>
  </conditionalFormatting>
  <conditionalFormatting sqref="W2055">
    <cfRule type="expression" dxfId="2160" priority="1830">
      <formula>AND($R$2055,$S$2055)</formula>
    </cfRule>
  </conditionalFormatting>
  <conditionalFormatting sqref="W2055">
    <cfRule type="expression" dxfId="2159" priority="1829">
      <formula>AND(IF($R$2055,$W$2055,TRUE),LEN(TRIM($W$2055))&gt;0)</formula>
    </cfRule>
  </conditionalFormatting>
  <conditionalFormatting sqref="W2055">
    <cfRule type="expression" dxfId="2158" priority="1828">
      <formula>OR($S$2055 = FALSE, AND($P$2055 = FALSE, ReportType &lt;&gt; "Final"), AND($Q$2055 = FALSE, ReportType &lt;&gt; "Rough"))</formula>
    </cfRule>
  </conditionalFormatting>
  <conditionalFormatting sqref="W2055">
    <cfRule type="expression" dxfId="2157" priority="1827">
      <formula>OR($T$2055 = TRUE, AND($W$2055 = TRUE, $S$2055 = FALSE))</formula>
    </cfRule>
  </conditionalFormatting>
  <conditionalFormatting sqref="W2066">
    <cfRule type="expression" dxfId="2156" priority="1826">
      <formula>AND($R$2066,$S$2066)</formula>
    </cfRule>
  </conditionalFormatting>
  <conditionalFormatting sqref="W2066">
    <cfRule type="expression" dxfId="2155" priority="1825">
      <formula>AND(IF($R$2066,$W$2066,TRUE),LEN(TRIM($W$2066))&gt;0)</formula>
    </cfRule>
  </conditionalFormatting>
  <conditionalFormatting sqref="W2066">
    <cfRule type="expression" dxfId="2154" priority="1824">
      <formula>OR($S$2066 = FALSE, AND($P$2066 = FALSE, ReportType &lt;&gt; "Final"), AND($Q$2066 = FALSE, ReportType &lt;&gt; "Rough"))</formula>
    </cfRule>
  </conditionalFormatting>
  <conditionalFormatting sqref="W2066">
    <cfRule type="expression" dxfId="2153" priority="1823">
      <formula>OR($T$2066 = TRUE, AND($W$2066 = TRUE, $S$2066 = FALSE))</formula>
    </cfRule>
  </conditionalFormatting>
  <conditionalFormatting sqref="W2068">
    <cfRule type="expression" dxfId="2152" priority="1822">
      <formula>AND($R$2068,$S$2068)</formula>
    </cfRule>
  </conditionalFormatting>
  <conditionalFormatting sqref="W2068">
    <cfRule type="expression" dxfId="2151" priority="1821">
      <formula>AND(IF($R$2068,$W$2068,TRUE),LEN(TRIM($W$2068))&gt;0)</formula>
    </cfRule>
  </conditionalFormatting>
  <conditionalFormatting sqref="W2068">
    <cfRule type="expression" dxfId="2150" priority="1820">
      <formula>OR($S$2068 = FALSE, AND($P$2068 = FALSE, ReportType &lt;&gt; "Final"), AND($Q$2068 = FALSE, ReportType &lt;&gt; "Rough"))</formula>
    </cfRule>
  </conditionalFormatting>
  <conditionalFormatting sqref="W2068">
    <cfRule type="expression" dxfId="2149" priority="1819">
      <formula>OR($T$2068 = TRUE, AND($W$2068 = TRUE, $S$2068 = FALSE))</formula>
    </cfRule>
  </conditionalFormatting>
  <conditionalFormatting sqref="W2070">
    <cfRule type="expression" dxfId="2148" priority="1818">
      <formula>AND($R$2070,$S$2070)</formula>
    </cfRule>
  </conditionalFormatting>
  <conditionalFormatting sqref="W2070">
    <cfRule type="expression" dxfId="2147" priority="1817">
      <formula>AND(IF($R$2070,$W$2070,TRUE),LEN(TRIM($W$2070))&gt;0)</formula>
    </cfRule>
  </conditionalFormatting>
  <conditionalFormatting sqref="W2070">
    <cfRule type="expression" dxfId="2146" priority="1816">
      <formula>OR($S$2070 = FALSE, AND($P$2070 = FALSE, ReportType &lt;&gt; "Final"), AND($Q$2070 = FALSE, ReportType &lt;&gt; "Rough"))</formula>
    </cfRule>
  </conditionalFormatting>
  <conditionalFormatting sqref="W2070">
    <cfRule type="expression" dxfId="2145" priority="1815">
      <formula>OR($T$2070 = TRUE, AND($W$2070 = TRUE, $S$2070 = FALSE))</formula>
    </cfRule>
  </conditionalFormatting>
  <conditionalFormatting sqref="W2077">
    <cfRule type="expression" dxfId="2144" priority="1814">
      <formula>AND($R$2077,$S$2077)</formula>
    </cfRule>
  </conditionalFormatting>
  <conditionalFormatting sqref="W2077">
    <cfRule type="expression" dxfId="2143" priority="1813">
      <formula>AND($W$2077&lt;&gt;"Not Met",LEN(TRIM($W$2077))&gt;0)</formula>
    </cfRule>
  </conditionalFormatting>
  <conditionalFormatting sqref="W2077">
    <cfRule type="expression" dxfId="2142" priority="1812">
      <formula>OR($S$2077 = FALSE, AND($P$2077 = FALSE, ReportType &lt;&gt; "Final"), AND($Q$2077 = FALSE, ReportType &lt;&gt; "Rough"))</formula>
    </cfRule>
  </conditionalFormatting>
  <conditionalFormatting sqref="W2077">
    <cfRule type="expression" dxfId="2141" priority="1811">
      <formula>OR($T$2077 = TRUE, AND(LEN(TRIM($W$2077))&gt;0, $S$2077 = FALSE))</formula>
    </cfRule>
  </conditionalFormatting>
  <conditionalFormatting sqref="W2088">
    <cfRule type="expression" dxfId="2140" priority="1810">
      <formula>AND($R$2088,$S$2088)</formula>
    </cfRule>
  </conditionalFormatting>
  <conditionalFormatting sqref="W2088">
    <cfRule type="expression" dxfId="2139" priority="1809">
      <formula>AND(IF($R$2088,$W$2088,TRUE),LEN(TRIM($W$2088))&gt;0)</formula>
    </cfRule>
  </conditionalFormatting>
  <conditionalFormatting sqref="W2088">
    <cfRule type="expression" dxfId="2138" priority="1808">
      <formula>OR($S$2088 = FALSE, AND($P$2088 = FALSE, ReportType &lt;&gt; "Final"), AND($Q$2088 = FALSE, ReportType &lt;&gt; "Rough"))</formula>
    </cfRule>
  </conditionalFormatting>
  <conditionalFormatting sqref="W2088">
    <cfRule type="expression" dxfId="2137" priority="1807">
      <formula>OR($T$2088 = TRUE, AND($W$2088 = TRUE, $S$2088 = FALSE))</formula>
    </cfRule>
  </conditionalFormatting>
  <conditionalFormatting sqref="W2090">
    <cfRule type="expression" dxfId="2136" priority="1806">
      <formula>AND($R$2090,$S$2090)</formula>
    </cfRule>
  </conditionalFormatting>
  <conditionalFormatting sqref="W2090">
    <cfRule type="expression" dxfId="2135" priority="1805">
      <formula>AND(IF($R$2090,$W$2090,TRUE),LEN(TRIM($W$2090))&gt;0)</formula>
    </cfRule>
  </conditionalFormatting>
  <conditionalFormatting sqref="W2090">
    <cfRule type="expression" dxfId="2134" priority="1804">
      <formula>OR($S$2090 = FALSE, AND($P$2090 = FALSE, ReportType &lt;&gt; "Final"), AND($Q$2090 = FALSE, ReportType &lt;&gt; "Rough"))</formula>
    </cfRule>
  </conditionalFormatting>
  <conditionalFormatting sqref="W2090">
    <cfRule type="expression" dxfId="2133" priority="1803">
      <formula>OR($T$2090 = TRUE, AND($W$2090 = TRUE, $S$2090 = FALSE))</formula>
    </cfRule>
  </conditionalFormatting>
  <conditionalFormatting sqref="W2093">
    <cfRule type="expression" dxfId="2132" priority="1802">
      <formula>AND($R$2093,$S$2093)</formula>
    </cfRule>
  </conditionalFormatting>
  <conditionalFormatting sqref="W2093">
    <cfRule type="expression" dxfId="2131" priority="1801">
      <formula>AND(IF($R$2093,$W$2093,TRUE),LEN(TRIM($W$2093))&gt;0)</formula>
    </cfRule>
  </conditionalFormatting>
  <conditionalFormatting sqref="W2093">
    <cfRule type="expression" dxfId="2130" priority="1800">
      <formula>OR($S$2093 = FALSE, AND($P$2093 = FALSE, ReportType &lt;&gt; "Final"), AND($Q$2093 = FALSE, ReportType &lt;&gt; "Rough"))</formula>
    </cfRule>
  </conditionalFormatting>
  <conditionalFormatting sqref="W2093">
    <cfRule type="expression" dxfId="2129" priority="1799">
      <formula>OR($T$2093 = TRUE, AND($W$2093 = TRUE, $S$2093 = FALSE))</formula>
    </cfRule>
  </conditionalFormatting>
  <conditionalFormatting sqref="W2176">
    <cfRule type="expression" dxfId="2128" priority="1790">
      <formula>AND($R$2176,$S$2176)</formula>
    </cfRule>
  </conditionalFormatting>
  <conditionalFormatting sqref="W2176">
    <cfRule type="expression" dxfId="2127" priority="1789">
      <formula>AND(IF($R$2176,$W$2176,TRUE),LEN(TRIM($W$2176))&gt;0)</formula>
    </cfRule>
  </conditionalFormatting>
  <conditionalFormatting sqref="W2176">
    <cfRule type="expression" dxfId="2126" priority="1788">
      <formula>OR($S$2176 = FALSE, AND($P$2176 = FALSE, ReportType &lt;&gt; "Final"), AND($Q$2176 = FALSE, ReportType &lt;&gt; "Rough"))</formula>
    </cfRule>
  </conditionalFormatting>
  <conditionalFormatting sqref="W2176">
    <cfRule type="expression" dxfId="2125" priority="1787">
      <formula>OR($T$2176 = TRUE, AND($W$2176 = TRUE, $S$2176 = FALSE))</formula>
    </cfRule>
  </conditionalFormatting>
  <conditionalFormatting sqref="W2178">
    <cfRule type="expression" dxfId="2124" priority="1786">
      <formula>AND($R$2178,$S$2178)</formula>
    </cfRule>
  </conditionalFormatting>
  <conditionalFormatting sqref="W2178">
    <cfRule type="expression" dxfId="2123" priority="1785">
      <formula>AND(IF($R$2178,$W$2178,TRUE),LEN(TRIM($W$2178))&gt;0)</formula>
    </cfRule>
  </conditionalFormatting>
  <conditionalFormatting sqref="W2178">
    <cfRule type="expression" dxfId="2122" priority="1784">
      <formula>OR($S$2178 = FALSE, AND($P$2178 = FALSE, ReportType &lt;&gt; "Final"), AND($Q$2178 = FALSE, ReportType &lt;&gt; "Rough"))</formula>
    </cfRule>
  </conditionalFormatting>
  <conditionalFormatting sqref="W2178">
    <cfRule type="expression" dxfId="2121" priority="1783">
      <formula>OR($T$2178 = TRUE, AND($W$2178 = TRUE, $S$2178 = FALSE))</formula>
    </cfRule>
  </conditionalFormatting>
  <conditionalFormatting sqref="W2184">
    <cfRule type="expression" dxfId="2120" priority="1782">
      <formula>AND($R$2184,$S$2184)</formula>
    </cfRule>
  </conditionalFormatting>
  <conditionalFormatting sqref="W2184">
    <cfRule type="expression" dxfId="2119" priority="1781">
      <formula>AND(IF($R$2184,$W$2184,TRUE),LEN(TRIM($W$2184))&gt;0)</formula>
    </cfRule>
  </conditionalFormatting>
  <conditionalFormatting sqref="W2184">
    <cfRule type="expression" dxfId="2118" priority="1780">
      <formula>OR($S$2184 = FALSE, AND($P$2184 = FALSE, ReportType &lt;&gt; "Final"), AND($Q$2184 = FALSE, ReportType &lt;&gt; "Rough"))</formula>
    </cfRule>
  </conditionalFormatting>
  <conditionalFormatting sqref="W2184">
    <cfRule type="expression" dxfId="2117" priority="1779">
      <formula>OR($T$2184 = TRUE, AND($W$2184 = TRUE, $S$2184 = FALSE))</formula>
    </cfRule>
  </conditionalFormatting>
  <conditionalFormatting sqref="W2186">
    <cfRule type="expression" dxfId="2116" priority="1778">
      <formula>AND($R$2186,$S$2186)</formula>
    </cfRule>
  </conditionalFormatting>
  <conditionalFormatting sqref="W2186">
    <cfRule type="expression" dxfId="2115" priority="1777">
      <formula>AND(IF($R$2186,$W$2186,TRUE),LEN(TRIM($W$2186))&gt;0)</formula>
    </cfRule>
  </conditionalFormatting>
  <conditionalFormatting sqref="W2186">
    <cfRule type="expression" dxfId="2114" priority="1776">
      <formula>OR($S$2186 = FALSE, AND($P$2186 = FALSE, ReportType &lt;&gt; "Final"), AND($Q$2186 = FALSE, ReportType &lt;&gt; "Rough"))</formula>
    </cfRule>
  </conditionalFormatting>
  <conditionalFormatting sqref="W2186">
    <cfRule type="expression" dxfId="2113" priority="1775">
      <formula>OR($T$2186 = TRUE, AND($W$2186 = TRUE, $S$2186 = FALSE))</formula>
    </cfRule>
  </conditionalFormatting>
  <conditionalFormatting sqref="W2190">
    <cfRule type="expression" dxfId="2112" priority="1774">
      <formula>AND($R$2190,$S$2190)</formula>
    </cfRule>
  </conditionalFormatting>
  <conditionalFormatting sqref="W2190">
    <cfRule type="expression" dxfId="2111" priority="1773">
      <formula>AND($W$2190&lt;&gt;"Not Met",LEN(TRIM($W$2190))&gt;0)</formula>
    </cfRule>
  </conditionalFormatting>
  <conditionalFormatting sqref="W2190">
    <cfRule type="expression" dxfId="2110" priority="1772">
      <formula>OR($S$2190 = FALSE, AND($P$2190 = FALSE, ReportType &lt;&gt; "Final"), AND($Q$2190 = FALSE, ReportType &lt;&gt; "Rough"))</formula>
    </cfRule>
  </conditionalFormatting>
  <conditionalFormatting sqref="W2190">
    <cfRule type="expression" dxfId="2109" priority="1771">
      <formula>OR($T$2190 = TRUE, AND(LEN(TRIM($W$2190))&gt;0, $S$2190 = FALSE))</formula>
    </cfRule>
  </conditionalFormatting>
  <conditionalFormatting sqref="W2194">
    <cfRule type="expression" dxfId="2108" priority="1770">
      <formula>AND($R$2194,$S$2194)</formula>
    </cfRule>
  </conditionalFormatting>
  <conditionalFormatting sqref="W2194">
    <cfRule type="expression" dxfId="2107" priority="1769">
      <formula>AND($W$2194&lt;&gt;"Not Met",LEN(TRIM($W$2194))&gt;0)</formula>
    </cfRule>
  </conditionalFormatting>
  <conditionalFormatting sqref="W2194">
    <cfRule type="expression" dxfId="2106" priority="1768">
      <formula>OR($S$2194 = FALSE, AND($P$2194 = FALSE, ReportType &lt;&gt; "Final"), AND($Q$2194 = FALSE, ReportType &lt;&gt; "Rough"))</formula>
    </cfRule>
  </conditionalFormatting>
  <conditionalFormatting sqref="W2194">
    <cfRule type="expression" dxfId="2105" priority="1767">
      <formula>OR($T$2194 = TRUE, AND(LEN(TRIM($W$2194))&gt;0, $S$2194 = FALSE))</formula>
    </cfRule>
  </conditionalFormatting>
  <conditionalFormatting sqref="W2200">
    <cfRule type="expression" dxfId="2104" priority="1766">
      <formula>AND($R$2200,$S$2200)</formula>
    </cfRule>
  </conditionalFormatting>
  <conditionalFormatting sqref="W2200">
    <cfRule type="expression" dxfId="2103" priority="1765">
      <formula>AND(IF($R$2200,$W$2200,TRUE),LEN(TRIM($W$2200))&gt;0)</formula>
    </cfRule>
  </conditionalFormatting>
  <conditionalFormatting sqref="W2200">
    <cfRule type="expression" dxfId="2102" priority="1764">
      <formula>OR($S$2200 = FALSE, AND($P$2200 = FALSE, ReportType &lt;&gt; "Final"), AND($Q$2200 = FALSE, ReportType &lt;&gt; "Rough"))</formula>
    </cfRule>
  </conditionalFormatting>
  <conditionalFormatting sqref="W2200">
    <cfRule type="expression" dxfId="2101" priority="1763">
      <formula>OR($T$2200 = TRUE, AND($W$2200 = TRUE, $S$2200 = FALSE))</formula>
    </cfRule>
  </conditionalFormatting>
  <conditionalFormatting sqref="W2201">
    <cfRule type="expression" dxfId="2100" priority="1762">
      <formula>AND($R$2201,$S$2201)</formula>
    </cfRule>
  </conditionalFormatting>
  <conditionalFormatting sqref="W2201">
    <cfRule type="expression" dxfId="2099" priority="1761">
      <formula>AND(IF($R$2201,$W$2201,TRUE),LEN(TRIM($W$2201))&gt;0)</formula>
    </cfRule>
  </conditionalFormatting>
  <conditionalFormatting sqref="W2201">
    <cfRule type="expression" dxfId="2098" priority="1760">
      <formula>OR($S$2201 = FALSE, AND($P$2201 = FALSE, ReportType &lt;&gt; "Final"), AND($Q$2201 = FALSE, ReportType &lt;&gt; "Rough"))</formula>
    </cfRule>
  </conditionalFormatting>
  <conditionalFormatting sqref="W2201">
    <cfRule type="expression" dxfId="2097" priority="1759">
      <formula>OR($T$2201 = TRUE, AND($W$2201 = TRUE, $S$2201 = FALSE))</formula>
    </cfRule>
  </conditionalFormatting>
  <conditionalFormatting sqref="W2206">
    <cfRule type="expression" dxfId="2096" priority="1758">
      <formula>AND($R$2206,$S$2206)</formula>
    </cfRule>
  </conditionalFormatting>
  <conditionalFormatting sqref="W2206">
    <cfRule type="expression" dxfId="2095" priority="1757">
      <formula>AND(IF($R$2206,$W$2206,TRUE),LEN(TRIM($W$2206))&gt;0)</formula>
    </cfRule>
  </conditionalFormatting>
  <conditionalFormatting sqref="W2206">
    <cfRule type="expression" dxfId="2094" priority="1756">
      <formula>OR($S$2206 = FALSE, AND($P$2206 = FALSE, ReportType &lt;&gt; "Final"), AND($Q$2206 = FALSE, ReportType &lt;&gt; "Rough"))</formula>
    </cfRule>
  </conditionalFormatting>
  <conditionalFormatting sqref="W2206">
    <cfRule type="expression" dxfId="2093" priority="1755">
      <formula>OR($T$2206 = TRUE, AND($W$2206 = TRUE, $S$2206 = FALSE))</formula>
    </cfRule>
  </conditionalFormatting>
  <conditionalFormatting sqref="W2211">
    <cfRule type="expression" dxfId="2092" priority="1754">
      <formula>AND($R$2211,$S$2211)</formula>
    </cfRule>
  </conditionalFormatting>
  <conditionalFormatting sqref="W2211">
    <cfRule type="expression" dxfId="2091" priority="1753">
      <formula>AND(IF($R$2211,$W$2211,TRUE),LEN(TRIM($W$2211))&gt;0)</formula>
    </cfRule>
  </conditionalFormatting>
  <conditionalFormatting sqref="W2211">
    <cfRule type="expression" dxfId="2090" priority="1752">
      <formula>OR($S$2211 = FALSE, AND($P$2211 = FALSE, ReportType &lt;&gt; "Final"), AND($Q$2211 = FALSE, ReportType &lt;&gt; "Rough"))</formula>
    </cfRule>
  </conditionalFormatting>
  <conditionalFormatting sqref="W2211">
    <cfRule type="expression" dxfId="2089" priority="1751">
      <formula>OR($T$2211 = TRUE, AND($W$2211 = TRUE, $S$2211 = FALSE))</formula>
    </cfRule>
  </conditionalFormatting>
  <conditionalFormatting sqref="W2227">
    <cfRule type="expression" dxfId="2088" priority="1750">
      <formula>AND($R$2227,$S$2227)</formula>
    </cfRule>
  </conditionalFormatting>
  <conditionalFormatting sqref="W2227">
    <cfRule type="expression" dxfId="2087" priority="1749">
      <formula>AND(IF($R$2227,$W$2227,TRUE),LEN(TRIM($W$2227))&gt;0)</formula>
    </cfRule>
  </conditionalFormatting>
  <conditionalFormatting sqref="W2227">
    <cfRule type="expression" dxfId="2086" priority="1748">
      <formula>OR($S$2227 = FALSE, AND($P$2227 = FALSE, ReportType &lt;&gt; "Final"), AND($Q$2227 = FALSE, ReportType &lt;&gt; "Rough"))</formula>
    </cfRule>
  </conditionalFormatting>
  <conditionalFormatting sqref="W2227">
    <cfRule type="expression" dxfId="2085" priority="1747">
      <formula>OR($T$2227 = TRUE, AND($W$2227 = TRUE, $S$2227 = FALSE))</formula>
    </cfRule>
  </conditionalFormatting>
  <conditionalFormatting sqref="W2232">
    <cfRule type="expression" dxfId="2084" priority="1746">
      <formula>AND($R$2232,$S$2232)</formula>
    </cfRule>
  </conditionalFormatting>
  <conditionalFormatting sqref="W2232">
    <cfRule type="expression" dxfId="2083" priority="1745">
      <formula>AND(IF($R$2232,$W$2232,TRUE),LEN(TRIM($W$2232))&gt;0)</formula>
    </cfRule>
  </conditionalFormatting>
  <conditionalFormatting sqref="W2232">
    <cfRule type="expression" dxfId="2082" priority="1744">
      <formula>OR($S$2232 = FALSE, AND($P$2232 = FALSE, ReportType &lt;&gt; "Final"), AND($Q$2232 = FALSE, ReportType &lt;&gt; "Rough"))</formula>
    </cfRule>
  </conditionalFormatting>
  <conditionalFormatting sqref="W2232">
    <cfRule type="expression" dxfId="2081" priority="1743">
      <formula>OR($T$2232 = TRUE, AND($W$2232 = TRUE, $S$2232 = FALSE))</formula>
    </cfRule>
  </conditionalFormatting>
  <conditionalFormatting sqref="O2373:O2376">
    <cfRule type="cellIs" dxfId="2080" priority="1742" operator="greaterThan">
      <formula>0</formula>
    </cfRule>
  </conditionalFormatting>
  <conditionalFormatting sqref="O2346:O2349">
    <cfRule type="cellIs" dxfId="2079" priority="1741" operator="greaterThan">
      <formula>0</formula>
    </cfRule>
  </conditionalFormatting>
  <conditionalFormatting sqref="O2328:O2330">
    <cfRule type="cellIs" dxfId="2078" priority="1740" operator="greaterThan">
      <formula>0</formula>
    </cfRule>
  </conditionalFormatting>
  <conditionalFormatting sqref="W2262">
    <cfRule type="expression" dxfId="2077" priority="1499">
      <formula>AND($R$2262,$S$2262)</formula>
    </cfRule>
  </conditionalFormatting>
  <conditionalFormatting sqref="W2262">
    <cfRule type="expression" dxfId="2076" priority="1498">
      <formula>AND(IF($R$2262,$W$2262,TRUE),LEN(TRIM($W$2262))&gt;0)</formula>
    </cfRule>
  </conditionalFormatting>
  <conditionalFormatting sqref="W2262">
    <cfRule type="expression" dxfId="2075" priority="1497">
      <formula>OR($S$2262 = FALSE, AND($P$2262 = FALSE, ReportType &lt;&gt; "Final"), AND($Q$2262 = FALSE, ReportType &lt;&gt; "Rough"))</formula>
    </cfRule>
  </conditionalFormatting>
  <conditionalFormatting sqref="W2262">
    <cfRule type="expression" dxfId="2074" priority="1496">
      <formula>OR($T$2262 = TRUE, AND($W$2262 = TRUE, $S$2262 = FALSE))</formula>
    </cfRule>
  </conditionalFormatting>
  <conditionalFormatting sqref="W2263">
    <cfRule type="expression" dxfId="2073" priority="1495">
      <formula>AND($R$2263,$S$2263)</formula>
    </cfRule>
  </conditionalFormatting>
  <conditionalFormatting sqref="W2263">
    <cfRule type="expression" dxfId="2072" priority="1494">
      <formula>AND(IF($R$2263,$W$2263,TRUE),LEN(TRIM($W$2263))&gt;0)</formula>
    </cfRule>
  </conditionalFormatting>
  <conditionalFormatting sqref="W2263">
    <cfRule type="expression" dxfId="2071" priority="1493">
      <formula>OR($S$2263 = FALSE, AND($P$2263 = FALSE, ReportType &lt;&gt; "Final"), AND($Q$2263 = FALSE, ReportType &lt;&gt; "Rough"))</formula>
    </cfRule>
  </conditionalFormatting>
  <conditionalFormatting sqref="W2263">
    <cfRule type="expression" dxfId="2070" priority="1492">
      <formula>OR($T$2263 = TRUE, AND($W$2263 = TRUE, $S$2263 = FALSE))</formula>
    </cfRule>
  </conditionalFormatting>
  <conditionalFormatting sqref="W2264">
    <cfRule type="expression" dxfId="2069" priority="1491">
      <formula>AND($R$2264,$S$2264)</formula>
    </cfRule>
  </conditionalFormatting>
  <conditionalFormatting sqref="W2264">
    <cfRule type="expression" dxfId="2068" priority="1490">
      <formula>AND(IF($R$2264,$W$2264,TRUE),LEN(TRIM($W$2264))&gt;0)</formula>
    </cfRule>
  </conditionalFormatting>
  <conditionalFormatting sqref="W2264">
    <cfRule type="expression" dxfId="2067" priority="1489">
      <formula>OR($S$2264 = FALSE, AND($P$2264 = FALSE, ReportType &lt;&gt; "Final"), AND($Q$2264 = FALSE, ReportType &lt;&gt; "Rough"))</formula>
    </cfRule>
  </conditionalFormatting>
  <conditionalFormatting sqref="W2264">
    <cfRule type="expression" dxfId="2066" priority="1488">
      <formula>OR($T$2264 = TRUE, AND($W$2264 = TRUE, $S$2264 = FALSE))</formula>
    </cfRule>
  </conditionalFormatting>
  <conditionalFormatting sqref="W2268">
    <cfRule type="expression" dxfId="2065" priority="1487">
      <formula>AND($R$2268,$S$2268)</formula>
    </cfRule>
  </conditionalFormatting>
  <conditionalFormatting sqref="W2268">
    <cfRule type="expression" dxfId="2064" priority="1486">
      <formula>AND(IF($R$2268,$W$2268,TRUE),LEN(TRIM($W$2268))&gt;0)</formula>
    </cfRule>
  </conditionalFormatting>
  <conditionalFormatting sqref="W2268">
    <cfRule type="expression" dxfId="2063" priority="1485">
      <formula>OR($S$2268 = FALSE, AND($P$2268 = FALSE, ReportType &lt;&gt; "Final"), AND($Q$2268 = FALSE, ReportType &lt;&gt; "Rough"))</formula>
    </cfRule>
  </conditionalFormatting>
  <conditionalFormatting sqref="W2268">
    <cfRule type="expression" dxfId="2062" priority="1484">
      <formula>OR($T$2268 = TRUE, AND($W$2268 = TRUE, $S$2268 = FALSE))</formula>
    </cfRule>
  </conditionalFormatting>
  <conditionalFormatting sqref="W2269">
    <cfRule type="expression" dxfId="2061" priority="1483">
      <formula>AND($R$2269,$S$2269)</formula>
    </cfRule>
  </conditionalFormatting>
  <conditionalFormatting sqref="W2269">
    <cfRule type="expression" dxfId="2060" priority="1482">
      <formula>AND(IF($R$2269,$W$2269,TRUE),LEN(TRIM($W$2269))&gt;0)</formula>
    </cfRule>
  </conditionalFormatting>
  <conditionalFormatting sqref="W2269">
    <cfRule type="expression" dxfId="2059" priority="1481">
      <formula>OR($S$2269 = FALSE, AND($P$2269 = FALSE, ReportType &lt;&gt; "Final"), AND($Q$2269 = FALSE, ReportType &lt;&gt; "Rough"))</formula>
    </cfRule>
  </conditionalFormatting>
  <conditionalFormatting sqref="W2269">
    <cfRule type="expression" dxfId="2058" priority="1480">
      <formula>OR($T$2269 = TRUE, AND($W$2269 = TRUE, $S$2269 = FALSE))</formula>
    </cfRule>
  </conditionalFormatting>
  <conditionalFormatting sqref="W2270">
    <cfRule type="expression" dxfId="2057" priority="1479">
      <formula>AND($R$2270,$S$2270)</formula>
    </cfRule>
  </conditionalFormatting>
  <conditionalFormatting sqref="W2270">
    <cfRule type="expression" dxfId="2056" priority="1478">
      <formula>AND(IF($R$2270,$W$2270,TRUE),LEN(TRIM($W$2270))&gt;0)</formula>
    </cfRule>
  </conditionalFormatting>
  <conditionalFormatting sqref="W2270">
    <cfRule type="expression" dxfId="2055" priority="1477">
      <formula>OR($S$2270 = FALSE, AND($P$2270 = FALSE, ReportType &lt;&gt; "Final"), AND($Q$2270 = FALSE, ReportType &lt;&gt; "Rough"))</formula>
    </cfRule>
  </conditionalFormatting>
  <conditionalFormatting sqref="W2270">
    <cfRule type="expression" dxfId="2054" priority="1476">
      <formula>OR($T$2270 = TRUE, AND($W$2270 = TRUE, $S$2270 = FALSE))</formula>
    </cfRule>
  </conditionalFormatting>
  <conditionalFormatting sqref="W2272">
    <cfRule type="expression" dxfId="2053" priority="1475">
      <formula>AND($R$2272,$S$2272)</formula>
    </cfRule>
  </conditionalFormatting>
  <conditionalFormatting sqref="W2272">
    <cfRule type="expression" dxfId="2052" priority="1474">
      <formula>AND(IF($R$2272,$W$2272,TRUE),LEN(TRIM($W$2272))&gt;0)</formula>
    </cfRule>
  </conditionalFormatting>
  <conditionalFormatting sqref="W2272">
    <cfRule type="expression" dxfId="2051" priority="1473">
      <formula>OR($S$2272 = FALSE, AND($P$2272 = FALSE, ReportType &lt;&gt; "Final"), AND($Q$2272 = FALSE, ReportType &lt;&gt; "Rough"))</formula>
    </cfRule>
  </conditionalFormatting>
  <conditionalFormatting sqref="W2272">
    <cfRule type="expression" dxfId="2050" priority="1472">
      <formula>OR($T$2272 = TRUE, AND($W$2272 = TRUE, $S$2272 = FALSE))</formula>
    </cfRule>
  </conditionalFormatting>
  <conditionalFormatting sqref="W2274">
    <cfRule type="expression" dxfId="2049" priority="1471">
      <formula>AND($R$2274,$S$2274)</formula>
    </cfRule>
  </conditionalFormatting>
  <conditionalFormatting sqref="W2274">
    <cfRule type="expression" dxfId="2048" priority="1470">
      <formula>AND(IF($R$2274,$W$2274,TRUE),LEN(TRIM($W$2274))&gt;0)</formula>
    </cfRule>
  </conditionalFormatting>
  <conditionalFormatting sqref="W2274">
    <cfRule type="expression" dxfId="2047" priority="1469">
      <formula>OR($S$2274 = FALSE, AND($P$2274 = FALSE, ReportType &lt;&gt; "Final"), AND($Q$2274 = FALSE, ReportType &lt;&gt; "Rough"))</formula>
    </cfRule>
  </conditionalFormatting>
  <conditionalFormatting sqref="W2274">
    <cfRule type="expression" dxfId="2046" priority="1468">
      <formula>OR($T$2274 = TRUE, AND($W$2274 = TRUE, $S$2274 = FALSE))</formula>
    </cfRule>
  </conditionalFormatting>
  <conditionalFormatting sqref="W2275">
    <cfRule type="expression" dxfId="2045" priority="1467">
      <formula>AND($R$2275,$S$2275)</formula>
    </cfRule>
  </conditionalFormatting>
  <conditionalFormatting sqref="W2275">
    <cfRule type="expression" dxfId="2044" priority="1466">
      <formula>AND(IF($R$2275,$W$2275,TRUE),LEN(TRIM($W$2275))&gt;0)</formula>
    </cfRule>
  </conditionalFormatting>
  <conditionalFormatting sqref="W2275">
    <cfRule type="expression" dxfId="2043" priority="1465">
      <formula>OR($S$2275 = FALSE, AND($P$2275 = FALSE, ReportType &lt;&gt; "Final"), AND($Q$2275 = FALSE, ReportType &lt;&gt; "Rough"))</formula>
    </cfRule>
  </conditionalFormatting>
  <conditionalFormatting sqref="W2275">
    <cfRule type="expression" dxfId="2042" priority="1464">
      <formula>OR($T$2275 = TRUE, AND($W$2275 = TRUE, $S$2275 = FALSE))</formula>
    </cfRule>
  </conditionalFormatting>
  <conditionalFormatting sqref="W2277">
    <cfRule type="expression" dxfId="2041" priority="1463">
      <formula>AND($R$2277,$S$2277)</formula>
    </cfRule>
  </conditionalFormatting>
  <conditionalFormatting sqref="W2277">
    <cfRule type="expression" dxfId="2040" priority="1462">
      <formula>AND(IF($R$2277,$W$2277,TRUE),LEN(TRIM($W$2277))&gt;0)</formula>
    </cfRule>
  </conditionalFormatting>
  <conditionalFormatting sqref="W2277">
    <cfRule type="expression" dxfId="2039" priority="1461">
      <formula>OR($S$2277 = FALSE, AND($P$2277 = FALSE, ReportType &lt;&gt; "Final"), AND($Q$2277 = FALSE, ReportType &lt;&gt; "Rough"))</formula>
    </cfRule>
  </conditionalFormatting>
  <conditionalFormatting sqref="W2277">
    <cfRule type="expression" dxfId="2038" priority="1460">
      <formula>OR($T$2277 = TRUE, AND($W$2277 = TRUE, $S$2277 = FALSE))</formula>
    </cfRule>
  </conditionalFormatting>
  <conditionalFormatting sqref="W2278">
    <cfRule type="expression" dxfId="2037" priority="1459">
      <formula>AND($R$2278,$S$2278)</formula>
    </cfRule>
  </conditionalFormatting>
  <conditionalFormatting sqref="W2278">
    <cfRule type="expression" dxfId="2036" priority="1458">
      <formula>AND(IF($R$2278,$W$2278,TRUE),LEN(TRIM($W$2278))&gt;0)</formula>
    </cfRule>
  </conditionalFormatting>
  <conditionalFormatting sqref="W2278">
    <cfRule type="expression" dxfId="2035" priority="1457">
      <formula>OR($S$2278 = FALSE, AND($P$2278 = FALSE, ReportType &lt;&gt; "Final"), AND($Q$2278 = FALSE, ReportType &lt;&gt; "Rough"))</formula>
    </cfRule>
  </conditionalFormatting>
  <conditionalFormatting sqref="W2278">
    <cfRule type="expression" dxfId="2034" priority="1456">
      <formula>OR($T$2278 = TRUE, AND($W$2278 = TRUE, $S$2278 = FALSE))</formula>
    </cfRule>
  </conditionalFormatting>
  <conditionalFormatting sqref="W2279">
    <cfRule type="expression" dxfId="2033" priority="1455">
      <formula>AND($R$2279,$S$2279)</formula>
    </cfRule>
  </conditionalFormatting>
  <conditionalFormatting sqref="W2279">
    <cfRule type="expression" dxfId="2032" priority="1454">
      <formula>AND(IF($R$2279,$W$2279,TRUE),LEN(TRIM($W$2279))&gt;0)</formula>
    </cfRule>
  </conditionalFormatting>
  <conditionalFormatting sqref="W2279">
    <cfRule type="expression" dxfId="2031" priority="1453">
      <formula>OR($S$2279 = FALSE, AND($P$2279 = FALSE, ReportType &lt;&gt; "Final"), AND($Q$2279 = FALSE, ReportType &lt;&gt; "Rough"))</formula>
    </cfRule>
  </conditionalFormatting>
  <conditionalFormatting sqref="W2279">
    <cfRule type="expression" dxfId="2030" priority="1452">
      <formula>OR($T$2279 = TRUE, AND($W$2279 = TRUE, $S$2279 = FALSE))</formula>
    </cfRule>
  </conditionalFormatting>
  <conditionalFormatting sqref="W2285">
    <cfRule type="expression" dxfId="2029" priority="1451">
      <formula>AND($R$2285,$S$2285)</formula>
    </cfRule>
  </conditionalFormatting>
  <conditionalFormatting sqref="W2285">
    <cfRule type="expression" dxfId="2028" priority="1450">
      <formula>AND(IF($R$2285,$W$2285,TRUE),LEN(TRIM($W$2285))&gt;0)</formula>
    </cfRule>
  </conditionalFormatting>
  <conditionalFormatting sqref="W2285">
    <cfRule type="expression" dxfId="2027" priority="1449">
      <formula>OR($S$2285 = FALSE, AND($P$2285 = FALSE, ReportType &lt;&gt; "Final"), AND($Q$2285 = FALSE, ReportType &lt;&gt; "Rough"))</formula>
    </cfRule>
  </conditionalFormatting>
  <conditionalFormatting sqref="W2285">
    <cfRule type="expression" dxfId="2026" priority="1448">
      <formula>OR($T$2285 = TRUE, AND($W$2285 = TRUE, $S$2285 = FALSE))</formula>
    </cfRule>
  </conditionalFormatting>
  <conditionalFormatting sqref="W2289">
    <cfRule type="expression" dxfId="2025" priority="1447">
      <formula>AND($R$2289,$S$2289)</formula>
    </cfRule>
  </conditionalFormatting>
  <conditionalFormatting sqref="W2289">
    <cfRule type="expression" dxfId="2024" priority="1446">
      <formula>AND(IF($R$2289,$W$2289,TRUE),LEN(TRIM($W$2289))&gt;0)</formula>
    </cfRule>
  </conditionalFormatting>
  <conditionalFormatting sqref="W2289">
    <cfRule type="expression" dxfId="2023" priority="1445">
      <formula>OR($S$2289 = FALSE, AND($P$2289 = FALSE, ReportType &lt;&gt; "Final"), AND($Q$2289 = FALSE, ReportType &lt;&gt; "Rough"))</formula>
    </cfRule>
  </conditionalFormatting>
  <conditionalFormatting sqref="W2289">
    <cfRule type="expression" dxfId="2022" priority="1444">
      <formula>OR($T$2289 = TRUE, AND($W$2289 = TRUE, $S$2289 = FALSE))</formula>
    </cfRule>
  </conditionalFormatting>
  <conditionalFormatting sqref="W2291">
    <cfRule type="expression" dxfId="2021" priority="1443">
      <formula>AND($R$2291,$S$2291)</formula>
    </cfRule>
  </conditionalFormatting>
  <conditionalFormatting sqref="W2291">
    <cfRule type="expression" dxfId="2020" priority="1442">
      <formula>AND(IF($R$2291,$W$2291,TRUE),LEN(TRIM($W$2291))&gt;0)</formula>
    </cfRule>
  </conditionalFormatting>
  <conditionalFormatting sqref="W2291">
    <cfRule type="expression" dxfId="2019" priority="1441">
      <formula>OR($S$2291 = FALSE, AND($P$2291 = FALSE, ReportType &lt;&gt; "Final"), AND($Q$2291 = FALSE, ReportType &lt;&gt; "Rough"))</formula>
    </cfRule>
  </conditionalFormatting>
  <conditionalFormatting sqref="W2291">
    <cfRule type="expression" dxfId="2018" priority="1440">
      <formula>OR($T$2291 = TRUE, AND($W$2291 = TRUE, $S$2291 = FALSE))</formula>
    </cfRule>
  </conditionalFormatting>
  <conditionalFormatting sqref="W2293">
    <cfRule type="expression" dxfId="2017" priority="1439">
      <formula>AND($R$2293,$S$2293)</formula>
    </cfRule>
  </conditionalFormatting>
  <conditionalFormatting sqref="W2293">
    <cfRule type="expression" dxfId="2016" priority="1438">
      <formula>AND(IF($R$2293,$W$2293,TRUE),LEN(TRIM($W$2293))&gt;0)</formula>
    </cfRule>
  </conditionalFormatting>
  <conditionalFormatting sqref="W2293">
    <cfRule type="expression" dxfId="2015" priority="1437">
      <formula>OR($S$2293 = FALSE, AND($P$2293 = FALSE, ReportType &lt;&gt; "Final"), AND($Q$2293 = FALSE, ReportType &lt;&gt; "Rough"))</formula>
    </cfRule>
  </conditionalFormatting>
  <conditionalFormatting sqref="W2293">
    <cfRule type="expression" dxfId="2014" priority="1436">
      <formula>OR($T$2293 = TRUE, AND($W$2293 = TRUE, $S$2293 = FALSE))</formula>
    </cfRule>
  </conditionalFormatting>
  <conditionalFormatting sqref="W2294">
    <cfRule type="expression" dxfId="2013" priority="1435">
      <formula>AND($R$2294,$S$2294)</formula>
    </cfRule>
  </conditionalFormatting>
  <conditionalFormatting sqref="W2294">
    <cfRule type="expression" dxfId="2012" priority="1434">
      <formula>AND(IF($R$2294,$W$2294,TRUE),LEN(TRIM($W$2294))&gt;0)</formula>
    </cfRule>
  </conditionalFormatting>
  <conditionalFormatting sqref="W2294">
    <cfRule type="expression" dxfId="2011" priority="1433">
      <formula>OR($S$2294 = FALSE, AND($P$2294 = FALSE, ReportType &lt;&gt; "Final"), AND($Q$2294 = FALSE, ReportType &lt;&gt; "Rough"))</formula>
    </cfRule>
  </conditionalFormatting>
  <conditionalFormatting sqref="W2294">
    <cfRule type="expression" dxfId="2010" priority="1432">
      <formula>OR($T$2294 = TRUE, AND($W$2294 = TRUE, $S$2294 = FALSE))</formula>
    </cfRule>
  </conditionalFormatting>
  <conditionalFormatting sqref="W2296">
    <cfRule type="expression" dxfId="2009" priority="1431">
      <formula>AND($R$2296,$S$2296)</formula>
    </cfRule>
  </conditionalFormatting>
  <conditionalFormatting sqref="W2296">
    <cfRule type="expression" dxfId="2008" priority="1430">
      <formula>AND(IF($R$2296,$W$2296,TRUE),LEN(TRIM($W$2296))&gt;0)</formula>
    </cfRule>
  </conditionalFormatting>
  <conditionalFormatting sqref="W2296">
    <cfRule type="expression" dxfId="2007" priority="1429">
      <formula>OR($S$2296 = FALSE, AND($P$2296 = FALSE, ReportType &lt;&gt; "Final"), AND($Q$2296 = FALSE, ReportType &lt;&gt; "Rough"))</formula>
    </cfRule>
  </conditionalFormatting>
  <conditionalFormatting sqref="W2296">
    <cfRule type="expression" dxfId="2006" priority="1428">
      <formula>OR($T$2296 = TRUE, AND($W$2296 = TRUE, $S$2296 = FALSE))</formula>
    </cfRule>
  </conditionalFormatting>
  <conditionalFormatting sqref="W2298">
    <cfRule type="expression" dxfId="2005" priority="1427">
      <formula>AND($R$2298,$S$2298)</formula>
    </cfRule>
  </conditionalFormatting>
  <conditionalFormatting sqref="W2298">
    <cfRule type="expression" dxfId="2004" priority="1426">
      <formula>AND(IF($R$2298,$W$2298,TRUE),LEN(TRIM($W$2298))&gt;0)</formula>
    </cfRule>
  </conditionalFormatting>
  <conditionalFormatting sqref="W2298">
    <cfRule type="expression" dxfId="2003" priority="1425">
      <formula>OR($S$2298 = FALSE, AND($P$2298 = FALSE, ReportType &lt;&gt; "Final"), AND($Q$2298 = FALSE, ReportType &lt;&gt; "Rough"))</formula>
    </cfRule>
  </conditionalFormatting>
  <conditionalFormatting sqref="W2298">
    <cfRule type="expression" dxfId="2002" priority="1424">
      <formula>OR($T$2298 = TRUE, AND($W$2298 = TRUE, $S$2298 = FALSE))</formula>
    </cfRule>
  </conditionalFormatting>
  <conditionalFormatting sqref="W2299">
    <cfRule type="expression" dxfId="2001" priority="1423">
      <formula>AND($R$2299,$S$2299)</formula>
    </cfRule>
  </conditionalFormatting>
  <conditionalFormatting sqref="W2299">
    <cfRule type="expression" dxfId="2000" priority="1422">
      <formula>AND(IF($R$2299,$W$2299,TRUE),LEN(TRIM($W$2299))&gt;0)</formula>
    </cfRule>
  </conditionalFormatting>
  <conditionalFormatting sqref="W2299">
    <cfRule type="expression" dxfId="1999" priority="1421">
      <formula>OR($S$2299 = FALSE, AND($P$2299 = FALSE, ReportType &lt;&gt; "Final"), AND($Q$2299 = FALSE, ReportType &lt;&gt; "Rough"))</formula>
    </cfRule>
  </conditionalFormatting>
  <conditionalFormatting sqref="W2299">
    <cfRule type="expression" dxfId="1998" priority="1420">
      <formula>OR($T$2299 = TRUE, AND($W$2299 = TRUE, $S$2299 = FALSE))</formula>
    </cfRule>
  </conditionalFormatting>
  <conditionalFormatting sqref="W2301">
    <cfRule type="expression" dxfId="1997" priority="1419">
      <formula>AND($R$2301,$S$2301)</formula>
    </cfRule>
  </conditionalFormatting>
  <conditionalFormatting sqref="W2301">
    <cfRule type="expression" dxfId="1996" priority="1418">
      <formula>AND(IF($R$2301,$W$2301,TRUE),LEN(TRIM($W$2301))&gt;0)</formula>
    </cfRule>
  </conditionalFormatting>
  <conditionalFormatting sqref="W2301">
    <cfRule type="expression" dxfId="1995" priority="1417">
      <formula>OR($S$2301 = FALSE, AND($P$2301 = FALSE, ReportType &lt;&gt; "Final"), AND($Q$2301 = FALSE, ReportType &lt;&gt; "Rough"))</formula>
    </cfRule>
  </conditionalFormatting>
  <conditionalFormatting sqref="W2301">
    <cfRule type="expression" dxfId="1994" priority="1416">
      <formula>OR($T$2301 = TRUE, AND($W$2301 = TRUE, $S$2301 = FALSE))</formula>
    </cfRule>
  </conditionalFormatting>
  <conditionalFormatting sqref="W2303">
    <cfRule type="expression" dxfId="1993" priority="1415">
      <formula>AND($R$2303,$S$2303)</formula>
    </cfRule>
  </conditionalFormatting>
  <conditionalFormatting sqref="W2303">
    <cfRule type="expression" dxfId="1992" priority="1414">
      <formula>AND(IF($R$2303,$W$2303,TRUE),LEN(TRIM($W$2303))&gt;0)</formula>
    </cfRule>
  </conditionalFormatting>
  <conditionalFormatting sqref="W2303">
    <cfRule type="expression" dxfId="1991" priority="1413">
      <formula>OR($S$2303 = FALSE, AND($P$2303 = FALSE, ReportType &lt;&gt; "Final"), AND($Q$2303 = FALSE, ReportType &lt;&gt; "Rough"))</formula>
    </cfRule>
  </conditionalFormatting>
  <conditionalFormatting sqref="W2303">
    <cfRule type="expression" dxfId="1990" priority="1412">
      <formula>OR($T$2303 = TRUE, AND($W$2303 = TRUE, $S$2303 = FALSE))</formula>
    </cfRule>
  </conditionalFormatting>
  <conditionalFormatting sqref="W2309">
    <cfRule type="expression" dxfId="1989" priority="1403">
      <formula>AND($R$2309,$S$2309)</formula>
    </cfRule>
  </conditionalFormatting>
  <conditionalFormatting sqref="W2309">
    <cfRule type="expression" dxfId="1988" priority="1402">
      <formula>AND(IF($R$2309,$W$2309,TRUE),LEN(TRIM($W$2309))&gt;0)</formula>
    </cfRule>
  </conditionalFormatting>
  <conditionalFormatting sqref="W2309">
    <cfRule type="expression" dxfId="1987" priority="1401">
      <formula>OR($S$2309 = FALSE, AND($P$2309 = FALSE, ReportType &lt;&gt; "Final"), AND($Q$2309 = FALSE, ReportType &lt;&gt; "Rough"))</formula>
    </cfRule>
  </conditionalFormatting>
  <conditionalFormatting sqref="W2309">
    <cfRule type="expression" dxfId="1986" priority="1400">
      <formula>OR($T$2309 = TRUE, AND($W$2309 = TRUE, $S$2309 = FALSE))</formula>
    </cfRule>
  </conditionalFormatting>
  <conditionalFormatting sqref="W2331">
    <cfRule type="expression" dxfId="1985" priority="1399">
      <formula>AND($R$2331,$S$2331)</formula>
    </cfRule>
  </conditionalFormatting>
  <conditionalFormatting sqref="W2331">
    <cfRule type="expression" dxfId="1984" priority="1398">
      <formula>AND(IF($R$2331,$W$2331,TRUE),LEN(TRIM($W$2331))&gt;0)</formula>
    </cfRule>
  </conditionalFormatting>
  <conditionalFormatting sqref="W2331">
    <cfRule type="expression" dxfId="1983" priority="1397">
      <formula>OR($S$2331 = FALSE, AND($P$2331 = FALSE, ReportType &lt;&gt; "Final"), AND($Q$2331 = FALSE, ReportType &lt;&gt; "Rough"))</formula>
    </cfRule>
  </conditionalFormatting>
  <conditionalFormatting sqref="W2331">
    <cfRule type="expression" dxfId="1982" priority="1396">
      <formula>OR($T$2331 = TRUE, AND($W$2331 = TRUE, $S$2331 = FALSE))</formula>
    </cfRule>
  </conditionalFormatting>
  <conditionalFormatting sqref="W2334">
    <cfRule type="expression" dxfId="1981" priority="1395">
      <formula>AND($R$2334,$S$2334)</formula>
    </cfRule>
  </conditionalFormatting>
  <conditionalFormatting sqref="W2334">
    <cfRule type="expression" dxfId="1980" priority="1394">
      <formula>AND(IF($R$2334,$W$2334,TRUE),LEN(TRIM($W$2334))&gt;0)</formula>
    </cfRule>
  </conditionalFormatting>
  <conditionalFormatting sqref="W2334">
    <cfRule type="expression" dxfId="1979" priority="1393">
      <formula>OR($S$2334 = FALSE, AND($P$2334 = FALSE, ReportType &lt;&gt; "Final"), AND($Q$2334 = FALSE, ReportType &lt;&gt; "Rough"))</formula>
    </cfRule>
  </conditionalFormatting>
  <conditionalFormatting sqref="W2334">
    <cfRule type="expression" dxfId="1978" priority="1392">
      <formula>OR($T$2334 = TRUE, AND($W$2334 = TRUE, $S$2334 = FALSE))</formula>
    </cfRule>
  </conditionalFormatting>
  <conditionalFormatting sqref="W2337">
    <cfRule type="expression" dxfId="1977" priority="1391">
      <formula>AND($R$2337,$S$2337)</formula>
    </cfRule>
  </conditionalFormatting>
  <conditionalFormatting sqref="W2337">
    <cfRule type="expression" dxfId="1976" priority="1390">
      <formula>AND(IF($R$2337,$W$2337,TRUE),LEN(TRIM($W$2337))&gt;0)</formula>
    </cfRule>
  </conditionalFormatting>
  <conditionalFormatting sqref="W2337">
    <cfRule type="expression" dxfId="1975" priority="1389">
      <formula>OR($S$2337 = FALSE, AND($P$2337 = FALSE, ReportType &lt;&gt; "Final"), AND($Q$2337 = FALSE, ReportType &lt;&gt; "Rough"))</formula>
    </cfRule>
  </conditionalFormatting>
  <conditionalFormatting sqref="W2337">
    <cfRule type="expression" dxfId="1974" priority="1388">
      <formula>OR($T$2337 = TRUE, AND($W$2337 = TRUE, $S$2337 = FALSE))</formula>
    </cfRule>
  </conditionalFormatting>
  <conditionalFormatting sqref="W2339">
    <cfRule type="expression" dxfId="1973" priority="1387">
      <formula>AND($R$2339,$S$2339)</formula>
    </cfRule>
  </conditionalFormatting>
  <conditionalFormatting sqref="W2339">
    <cfRule type="expression" dxfId="1972" priority="1386">
      <formula>AND(IF($R$2339,$W$2339,TRUE),LEN(TRIM($W$2339))&gt;0)</formula>
    </cfRule>
  </conditionalFormatting>
  <conditionalFormatting sqref="W2339">
    <cfRule type="expression" dxfId="1971" priority="1385">
      <formula>OR($S$2339 = FALSE, AND($P$2339 = FALSE, ReportType &lt;&gt; "Final"), AND($Q$2339 = FALSE, ReportType &lt;&gt; "Rough"))</formula>
    </cfRule>
  </conditionalFormatting>
  <conditionalFormatting sqref="W2339">
    <cfRule type="expression" dxfId="1970" priority="1384">
      <formula>OR($T$2339 = TRUE, AND($W$2339 = TRUE, $S$2339 = FALSE))</formula>
    </cfRule>
  </conditionalFormatting>
  <conditionalFormatting sqref="W2340">
    <cfRule type="expression" dxfId="1969" priority="1383">
      <formula>AND($R$2340,$S$2340)</formula>
    </cfRule>
  </conditionalFormatting>
  <conditionalFormatting sqref="W2340">
    <cfRule type="expression" dxfId="1968" priority="1382">
      <formula>AND(IF($R$2340,$W$2340,TRUE),LEN(TRIM($W$2340))&gt;0)</formula>
    </cfRule>
  </conditionalFormatting>
  <conditionalFormatting sqref="W2340">
    <cfRule type="expression" dxfId="1967" priority="1381">
      <formula>OR($S$2340 = FALSE, AND($P$2340 = FALSE, ReportType &lt;&gt; "Final"), AND($Q$2340 = FALSE, ReportType &lt;&gt; "Rough"))</formula>
    </cfRule>
  </conditionalFormatting>
  <conditionalFormatting sqref="W2340">
    <cfRule type="expression" dxfId="1966" priority="1380">
      <formula>OR($T$2340 = TRUE, AND($W$2340 = TRUE, $S$2340 = FALSE))</formula>
    </cfRule>
  </conditionalFormatting>
  <conditionalFormatting sqref="W2342">
    <cfRule type="expression" dxfId="1965" priority="1379">
      <formula>AND($R$2342,$S$2342)</formula>
    </cfRule>
  </conditionalFormatting>
  <conditionalFormatting sqref="W2342">
    <cfRule type="expression" dxfId="1964" priority="1378">
      <formula>AND(IF($R$2342,$W$2342,TRUE),LEN(TRIM($W$2342))&gt;0)</formula>
    </cfRule>
  </conditionalFormatting>
  <conditionalFormatting sqref="W2342">
    <cfRule type="expression" dxfId="1963" priority="1377">
      <formula>OR($S$2342 = FALSE, AND($P$2342 = FALSE, ReportType &lt;&gt; "Final"), AND($Q$2342 = FALSE, ReportType &lt;&gt; "Rough"))</formula>
    </cfRule>
  </conditionalFormatting>
  <conditionalFormatting sqref="W2342">
    <cfRule type="expression" dxfId="1962" priority="1376">
      <formula>OR($T$2342 = TRUE, AND($W$2342 = TRUE, $S$2342 = FALSE))</formula>
    </cfRule>
  </conditionalFormatting>
  <conditionalFormatting sqref="W2343">
    <cfRule type="expression" dxfId="1961" priority="1375">
      <formula>AND($R$2343,$S$2343)</formula>
    </cfRule>
  </conditionalFormatting>
  <conditionalFormatting sqref="W2343">
    <cfRule type="expression" dxfId="1960" priority="1374">
      <formula>AND(IF($R$2343,$W$2343,TRUE),LEN(TRIM($W$2343))&gt;0)</formula>
    </cfRule>
  </conditionalFormatting>
  <conditionalFormatting sqref="W2343">
    <cfRule type="expression" dxfId="1959" priority="1373">
      <formula>OR($S$2343 = FALSE, AND($P$2343 = FALSE, ReportType &lt;&gt; "Final"), AND($Q$2343 = FALSE, ReportType &lt;&gt; "Rough"))</formula>
    </cfRule>
  </conditionalFormatting>
  <conditionalFormatting sqref="W2343">
    <cfRule type="expression" dxfId="1958" priority="1372">
      <formula>OR($T$2343 = TRUE, AND($W$2343 = TRUE, $S$2343 = FALSE))</formula>
    </cfRule>
  </conditionalFormatting>
  <conditionalFormatting sqref="W2344">
    <cfRule type="expression" dxfId="1957" priority="1371">
      <formula>AND($R$2344,$S$2344)</formula>
    </cfRule>
  </conditionalFormatting>
  <conditionalFormatting sqref="W2344">
    <cfRule type="expression" dxfId="1956" priority="1370">
      <formula>AND(IF($R$2344,$W$2344,TRUE),LEN(TRIM($W$2344))&gt;0)</formula>
    </cfRule>
  </conditionalFormatting>
  <conditionalFormatting sqref="W2344">
    <cfRule type="expression" dxfId="1955" priority="1369">
      <formula>OR($S$2344 = FALSE, AND($P$2344 = FALSE, ReportType &lt;&gt; "Final"), AND($Q$2344 = FALSE, ReportType &lt;&gt; "Rough"))</formula>
    </cfRule>
  </conditionalFormatting>
  <conditionalFormatting sqref="W2344">
    <cfRule type="expression" dxfId="1954" priority="1368">
      <formula>OR($T$2344 = TRUE, AND($W$2344 = TRUE, $S$2344 = FALSE))</formula>
    </cfRule>
  </conditionalFormatting>
  <conditionalFormatting sqref="W2350">
    <cfRule type="expression" dxfId="1953" priority="1367">
      <formula>AND($R$2350,$S$2350)</formula>
    </cfRule>
  </conditionalFormatting>
  <conditionalFormatting sqref="W2350">
    <cfRule type="expression" dxfId="1952" priority="1366">
      <formula>AND(IF($R$2350,$W$2350,TRUE),LEN(TRIM($W$2350))&gt;0)</formula>
    </cfRule>
  </conditionalFormatting>
  <conditionalFormatting sqref="W2350">
    <cfRule type="expression" dxfId="1951" priority="1365">
      <formula>OR($S$2350 = FALSE, AND($P$2350 = FALSE, ReportType &lt;&gt; "Final"), AND($Q$2350 = FALSE, ReportType &lt;&gt; "Rough"))</formula>
    </cfRule>
  </conditionalFormatting>
  <conditionalFormatting sqref="W2350">
    <cfRule type="expression" dxfId="1950" priority="1364">
      <formula>OR($T$2350 = TRUE, AND($W$2350 = TRUE, $S$2350 = FALSE))</formula>
    </cfRule>
  </conditionalFormatting>
  <conditionalFormatting sqref="W2352">
    <cfRule type="expression" dxfId="1949" priority="1363">
      <formula>AND($R$2352,$S$2352)</formula>
    </cfRule>
  </conditionalFormatting>
  <conditionalFormatting sqref="W2352">
    <cfRule type="expression" dxfId="1948" priority="1362">
      <formula>AND(IF($R$2352,$W$2352,TRUE),LEN(TRIM($W$2352))&gt;0)</formula>
    </cfRule>
  </conditionalFormatting>
  <conditionalFormatting sqref="W2352">
    <cfRule type="expression" dxfId="1947" priority="1361">
      <formula>OR($S$2352 = FALSE, AND($P$2352 = FALSE, ReportType &lt;&gt; "Final"), AND($Q$2352 = FALSE, ReportType &lt;&gt; "Rough"))</formula>
    </cfRule>
  </conditionalFormatting>
  <conditionalFormatting sqref="W2352">
    <cfRule type="expression" dxfId="1946" priority="1360">
      <formula>OR($T$2352 = TRUE, AND($W$2352 = TRUE, $S$2352 = FALSE))</formula>
    </cfRule>
  </conditionalFormatting>
  <conditionalFormatting sqref="W2355">
    <cfRule type="expression" dxfId="1945" priority="1359">
      <formula>AND($R$2355,$S$2355)</formula>
    </cfRule>
  </conditionalFormatting>
  <conditionalFormatting sqref="W2355">
    <cfRule type="expression" dxfId="1944" priority="1358">
      <formula>AND(IF($R$2355,$W$2355,TRUE),LEN(TRIM($W$2355))&gt;0)</formula>
    </cfRule>
  </conditionalFormatting>
  <conditionalFormatting sqref="W2355">
    <cfRule type="expression" dxfId="1943" priority="1357">
      <formula>OR($S$2355 = FALSE, AND($P$2355 = FALSE, ReportType &lt;&gt; "Final"), AND($Q$2355 = FALSE, ReportType &lt;&gt; "Rough"))</formula>
    </cfRule>
  </conditionalFormatting>
  <conditionalFormatting sqref="W2355">
    <cfRule type="expression" dxfId="1942" priority="1356">
      <formula>OR($T$2355 = TRUE, AND($W$2355 = TRUE, $S$2355 = FALSE))</formula>
    </cfRule>
  </conditionalFormatting>
  <conditionalFormatting sqref="W2357">
    <cfRule type="expression" dxfId="1941" priority="1355">
      <formula>AND($R$2357,$S$2357)</formula>
    </cfRule>
  </conditionalFormatting>
  <conditionalFormatting sqref="W2357">
    <cfRule type="expression" dxfId="1940" priority="1354">
      <formula>AND(IF($R$2357,$W$2357,TRUE),LEN(TRIM($W$2357))&gt;0)</formula>
    </cfRule>
  </conditionalFormatting>
  <conditionalFormatting sqref="W2357">
    <cfRule type="expression" dxfId="1939" priority="1353">
      <formula>OR($S$2357 = FALSE, AND($P$2357 = FALSE, ReportType &lt;&gt; "Final"), AND($Q$2357 = FALSE, ReportType &lt;&gt; "Rough"))</formula>
    </cfRule>
  </conditionalFormatting>
  <conditionalFormatting sqref="W2357">
    <cfRule type="expression" dxfId="1938" priority="1352">
      <formula>OR($T$2357 = TRUE, AND($W$2357 = TRUE, $S$2357 = FALSE))</formula>
    </cfRule>
  </conditionalFormatting>
  <conditionalFormatting sqref="W2360">
    <cfRule type="expression" dxfId="1937" priority="1351">
      <formula>AND($R$2360,$S$2360)</formula>
    </cfRule>
  </conditionalFormatting>
  <conditionalFormatting sqref="W2360">
    <cfRule type="expression" dxfId="1936" priority="1350">
      <formula>AND(IF($R$2360,$W$2360,TRUE),LEN(TRIM($W$2360))&gt;0)</formula>
    </cfRule>
  </conditionalFormatting>
  <conditionalFormatting sqref="W2360">
    <cfRule type="expression" dxfId="1935" priority="1349">
      <formula>OR($S$2360 = FALSE, AND($P$2360 = FALSE, ReportType &lt;&gt; "Final"), AND($Q$2360 = FALSE, ReportType &lt;&gt; "Rough"))</formula>
    </cfRule>
  </conditionalFormatting>
  <conditionalFormatting sqref="W2360">
    <cfRule type="expression" dxfId="1934" priority="1348">
      <formula>OR($T$2360 = TRUE, AND($W$2360 = TRUE, $S$2360 = FALSE))</formula>
    </cfRule>
  </conditionalFormatting>
  <conditionalFormatting sqref="W2362">
    <cfRule type="expression" dxfId="1933" priority="1347">
      <formula>AND($R$2362,$S$2362)</formula>
    </cfRule>
  </conditionalFormatting>
  <conditionalFormatting sqref="W2362">
    <cfRule type="expression" dxfId="1932" priority="1346">
      <formula>AND(IF($R$2362,$W$2362,TRUE),LEN(TRIM($W$2362))&gt;0)</formula>
    </cfRule>
  </conditionalFormatting>
  <conditionalFormatting sqref="W2362">
    <cfRule type="expression" dxfId="1931" priority="1345">
      <formula>OR($S$2362 = FALSE, AND($P$2362 = FALSE, ReportType &lt;&gt; "Final"), AND($Q$2362 = FALSE, ReportType &lt;&gt; "Rough"))</formula>
    </cfRule>
  </conditionalFormatting>
  <conditionalFormatting sqref="W2362">
    <cfRule type="expression" dxfId="1930" priority="1344">
      <formula>OR($T$2362 = TRUE, AND($W$2362 = TRUE, $S$2362 = FALSE))</formula>
    </cfRule>
  </conditionalFormatting>
  <conditionalFormatting sqref="W2363">
    <cfRule type="expression" dxfId="1929" priority="1343">
      <formula>AND($R$2363,$S$2363)</formula>
    </cfRule>
  </conditionalFormatting>
  <conditionalFormatting sqref="W2363">
    <cfRule type="expression" dxfId="1928" priority="1342">
      <formula>AND(IF($R$2363,$W$2363,TRUE),LEN(TRIM($W$2363))&gt;0)</formula>
    </cfRule>
  </conditionalFormatting>
  <conditionalFormatting sqref="W2363">
    <cfRule type="expression" dxfId="1927" priority="1341">
      <formula>OR($S$2363 = FALSE, AND($P$2363 = FALSE, ReportType &lt;&gt; "Final"), AND($Q$2363 = FALSE, ReportType &lt;&gt; "Rough"))</formula>
    </cfRule>
  </conditionalFormatting>
  <conditionalFormatting sqref="W2363">
    <cfRule type="expression" dxfId="1926" priority="1340">
      <formula>OR($T$2363 = TRUE, AND($W$2363 = TRUE, $S$2363 = FALSE))</formula>
    </cfRule>
  </conditionalFormatting>
  <conditionalFormatting sqref="W2365">
    <cfRule type="expression" dxfId="1925" priority="1339">
      <formula>AND($R$2365,$S$2365)</formula>
    </cfRule>
  </conditionalFormatting>
  <conditionalFormatting sqref="W2365">
    <cfRule type="expression" dxfId="1924" priority="1338">
      <formula>AND(IF($R$2365,$W$2365,TRUE),LEN(TRIM($W$2365))&gt;0)</formula>
    </cfRule>
  </conditionalFormatting>
  <conditionalFormatting sqref="W2365">
    <cfRule type="expression" dxfId="1923" priority="1337">
      <formula>OR($S$2365 = FALSE, AND($P$2365 = FALSE, ReportType &lt;&gt; "Final"), AND($Q$2365 = FALSE, ReportType &lt;&gt; "Rough"))</formula>
    </cfRule>
  </conditionalFormatting>
  <conditionalFormatting sqref="W2365">
    <cfRule type="expression" dxfId="1922" priority="1336">
      <formula>OR($T$2365 = TRUE, AND($W$2365 = TRUE, $S$2365 = FALSE))</formula>
    </cfRule>
  </conditionalFormatting>
  <conditionalFormatting sqref="W2367">
    <cfRule type="expression" dxfId="1921" priority="1335">
      <formula>AND($R$2367,$S$2367)</formula>
    </cfRule>
  </conditionalFormatting>
  <conditionalFormatting sqref="W2367">
    <cfRule type="expression" dxfId="1920" priority="1334">
      <formula>AND(IF($R$2367,$W$2367,TRUE),LEN(TRIM($W$2367))&gt;0)</formula>
    </cfRule>
  </conditionalFormatting>
  <conditionalFormatting sqref="W2367">
    <cfRule type="expression" dxfId="1919" priority="1333">
      <formula>OR($S$2367 = FALSE, AND($P$2367 = FALSE, ReportType &lt;&gt; "Final"), AND($Q$2367 = FALSE, ReportType &lt;&gt; "Rough"))</formula>
    </cfRule>
  </conditionalFormatting>
  <conditionalFormatting sqref="W2367">
    <cfRule type="expression" dxfId="1918" priority="1332">
      <formula>OR($T$2367 = TRUE, AND($W$2367 = TRUE, $S$2367 = FALSE))</formula>
    </cfRule>
  </conditionalFormatting>
  <conditionalFormatting sqref="W2368">
    <cfRule type="expression" dxfId="1917" priority="1331">
      <formula>AND($R$2368,$S$2368)</formula>
    </cfRule>
  </conditionalFormatting>
  <conditionalFormatting sqref="W2368">
    <cfRule type="expression" dxfId="1916" priority="1330">
      <formula>AND(IF($R$2368,$W$2368,TRUE),LEN(TRIM($W$2368))&gt;0)</formula>
    </cfRule>
  </conditionalFormatting>
  <conditionalFormatting sqref="W2368">
    <cfRule type="expression" dxfId="1915" priority="1329">
      <formula>OR($S$2368 = FALSE, AND($P$2368 = FALSE, ReportType &lt;&gt; "Final"), AND($Q$2368 = FALSE, ReportType &lt;&gt; "Rough"))</formula>
    </cfRule>
  </conditionalFormatting>
  <conditionalFormatting sqref="W2368">
    <cfRule type="expression" dxfId="1914" priority="1328">
      <formula>OR($T$2368 = TRUE, AND($W$2368 = TRUE, $S$2368 = FALSE))</formula>
    </cfRule>
  </conditionalFormatting>
  <conditionalFormatting sqref="W2371">
    <cfRule type="expression" dxfId="1913" priority="1327">
      <formula>AND($R$2371,$S$2371)</formula>
    </cfRule>
  </conditionalFormatting>
  <conditionalFormatting sqref="W2371">
    <cfRule type="expression" dxfId="1912" priority="1326">
      <formula>AND(IF($R$2371,$W$2371,TRUE),LEN(TRIM($W$2371))&gt;0)</formula>
    </cfRule>
  </conditionalFormatting>
  <conditionalFormatting sqref="W2371">
    <cfRule type="expression" dxfId="1911" priority="1325">
      <formula>OR($S$2371 = FALSE, AND($P$2371 = FALSE, ReportType &lt;&gt; "Final"), AND($Q$2371 = FALSE, ReportType &lt;&gt; "Rough"))</formula>
    </cfRule>
  </conditionalFormatting>
  <conditionalFormatting sqref="W2371">
    <cfRule type="expression" dxfId="1910" priority="1324">
      <formula>OR($T$2371 = TRUE, AND($W$2371 = TRUE, $S$2371 = FALSE))</formula>
    </cfRule>
  </conditionalFormatting>
  <conditionalFormatting sqref="W2377">
    <cfRule type="expression" dxfId="1909" priority="1323">
      <formula>AND($R$2377,$S$2377)</formula>
    </cfRule>
  </conditionalFormatting>
  <conditionalFormatting sqref="W2377">
    <cfRule type="expression" dxfId="1908" priority="1322">
      <formula>AND(IF($R$2377,$W$2377,TRUE),LEN(TRIM($W$2377))&gt;0)</formula>
    </cfRule>
  </conditionalFormatting>
  <conditionalFormatting sqref="W2377">
    <cfRule type="expression" dxfId="1907" priority="1321">
      <formula>OR($S$2377 = FALSE, AND($P$2377 = FALSE, ReportType &lt;&gt; "Final"), AND($Q$2377 = FALSE, ReportType &lt;&gt; "Rough"))</formula>
    </cfRule>
  </conditionalFormatting>
  <conditionalFormatting sqref="W2377">
    <cfRule type="expression" dxfId="1906" priority="1320">
      <formula>OR($T$2377 = TRUE, AND($W$2377 = TRUE, $S$2377 = FALSE))</formula>
    </cfRule>
  </conditionalFormatting>
  <conditionalFormatting sqref="W2379">
    <cfRule type="expression" dxfId="1905" priority="1319">
      <formula>AND($R$2379,$S$2379)</formula>
    </cfRule>
  </conditionalFormatting>
  <conditionalFormatting sqref="W2379">
    <cfRule type="expression" dxfId="1904" priority="1318">
      <formula>AND(IF($R$2379,$W$2379,TRUE),LEN(TRIM($W$2379))&gt;0)</formula>
    </cfRule>
  </conditionalFormatting>
  <conditionalFormatting sqref="W2379">
    <cfRule type="expression" dxfId="1903" priority="1317">
      <formula>OR($S$2379 = FALSE, AND($P$2379 = FALSE, ReportType &lt;&gt; "Final"), AND($Q$2379 = FALSE, ReportType &lt;&gt; "Rough"))</formula>
    </cfRule>
  </conditionalFormatting>
  <conditionalFormatting sqref="W2379">
    <cfRule type="expression" dxfId="1902" priority="1316">
      <formula>OR($T$2379 = TRUE, AND($W$2379 = TRUE, $S$2379 = FALSE))</formula>
    </cfRule>
  </conditionalFormatting>
  <conditionalFormatting sqref="W2383">
    <cfRule type="expression" dxfId="1901" priority="1315">
      <formula>AND($R$2383,$S$2383)</formula>
    </cfRule>
  </conditionalFormatting>
  <conditionalFormatting sqref="W2383">
    <cfRule type="expression" dxfId="1900" priority="1314">
      <formula>AND(IF($R$2383,$W$2383,TRUE),LEN(TRIM($W$2383))&gt;0)</formula>
    </cfRule>
  </conditionalFormatting>
  <conditionalFormatting sqref="W2383">
    <cfRule type="expression" dxfId="1899" priority="1313">
      <formula>OR($S$2383 = FALSE, AND($P$2383 = FALSE, ReportType &lt;&gt; "Final"), AND($Q$2383 = FALSE, ReportType &lt;&gt; "Rough"))</formula>
    </cfRule>
  </conditionalFormatting>
  <conditionalFormatting sqref="W2383">
    <cfRule type="expression" dxfId="1898" priority="1312">
      <formula>OR($T$2383 = TRUE, AND($W$2383 = TRUE, $S$2383 = FALSE))</formula>
    </cfRule>
  </conditionalFormatting>
  <conditionalFormatting sqref="W2390">
    <cfRule type="expression" dxfId="1897" priority="1311">
      <formula>AND($R$2390,$S$2390)</formula>
    </cfRule>
  </conditionalFormatting>
  <conditionalFormatting sqref="W2390">
    <cfRule type="expression" dxfId="1896" priority="1310">
      <formula>AND(IF($R$2390,$W$2390,TRUE),LEN(TRIM($W$2390))&gt;0)</formula>
    </cfRule>
  </conditionalFormatting>
  <conditionalFormatting sqref="W2390">
    <cfRule type="expression" dxfId="1895" priority="1309">
      <formula>OR($S$2390 = FALSE, AND($P$2390 = FALSE, ReportType &lt;&gt; "Final"), AND($Q$2390 = FALSE, ReportType &lt;&gt; "Rough"))</formula>
    </cfRule>
  </conditionalFormatting>
  <conditionalFormatting sqref="W2390">
    <cfRule type="expression" dxfId="1894" priority="1308">
      <formula>OR($T$2390 = TRUE, AND($W$2390 = TRUE, $S$2390 = FALSE))</formula>
    </cfRule>
  </conditionalFormatting>
  <conditionalFormatting sqref="W2392">
    <cfRule type="expression" dxfId="1893" priority="1307">
      <formula>AND($R$2392,$S$2392)</formula>
    </cfRule>
  </conditionalFormatting>
  <conditionalFormatting sqref="W2392">
    <cfRule type="expression" dxfId="1892" priority="1306">
      <formula>AND(IF($R$2392,$W$2392,TRUE),LEN(TRIM($W$2392))&gt;0)</formula>
    </cfRule>
  </conditionalFormatting>
  <conditionalFormatting sqref="W2392">
    <cfRule type="expression" dxfId="1891" priority="1305">
      <formula>OR($S$2392 = FALSE, AND($P$2392 = FALSE, ReportType &lt;&gt; "Final"), AND($Q$2392 = FALSE, ReportType &lt;&gt; "Rough"))</formula>
    </cfRule>
  </conditionalFormatting>
  <conditionalFormatting sqref="W2392">
    <cfRule type="expression" dxfId="1890" priority="1304">
      <formula>OR($T$2392 = TRUE, AND($W$2392 = TRUE, $S$2392 = FALSE))</formula>
    </cfRule>
  </conditionalFormatting>
  <conditionalFormatting sqref="W2393">
    <cfRule type="expression" dxfId="1889" priority="1303">
      <formula>AND($R$2393,$S$2393)</formula>
    </cfRule>
  </conditionalFormatting>
  <conditionalFormatting sqref="W2393">
    <cfRule type="expression" dxfId="1888" priority="1302">
      <formula>AND(IF($R$2393,$W$2393,TRUE),LEN(TRIM($W$2393))&gt;0)</formula>
    </cfRule>
  </conditionalFormatting>
  <conditionalFormatting sqref="W2393">
    <cfRule type="expression" dxfId="1887" priority="1301">
      <formula>OR($S$2393 = FALSE, AND($P$2393 = FALSE, ReportType &lt;&gt; "Final"), AND($Q$2393 = FALSE, ReportType &lt;&gt; "Rough"))</formula>
    </cfRule>
  </conditionalFormatting>
  <conditionalFormatting sqref="W2393">
    <cfRule type="expression" dxfId="1886" priority="1300">
      <formula>OR($T$2393 = TRUE, AND($W$2393 = TRUE, $S$2393 = FALSE))</formula>
    </cfRule>
  </conditionalFormatting>
  <conditionalFormatting sqref="W2395">
    <cfRule type="expression" dxfId="1885" priority="1299">
      <formula>AND($R$2395,$S$2395)</formula>
    </cfRule>
  </conditionalFormatting>
  <conditionalFormatting sqref="W2395">
    <cfRule type="expression" dxfId="1884" priority="1298">
      <formula>AND(IF($R$2395,$W$2395,TRUE),LEN(TRIM($W$2395))&gt;0)</formula>
    </cfRule>
  </conditionalFormatting>
  <conditionalFormatting sqref="W2395">
    <cfRule type="expression" dxfId="1883" priority="1297">
      <formula>OR($S$2395 = FALSE, AND($P$2395 = FALSE, ReportType &lt;&gt; "Final"), AND($Q$2395 = FALSE, ReportType &lt;&gt; "Rough"))</formula>
    </cfRule>
  </conditionalFormatting>
  <conditionalFormatting sqref="W2395">
    <cfRule type="expression" dxfId="1882" priority="1296">
      <formula>OR($T$2395 = TRUE, AND($W$2395 = TRUE, $S$2395 = FALSE))</formula>
    </cfRule>
  </conditionalFormatting>
  <conditionalFormatting sqref="W2396">
    <cfRule type="expression" dxfId="1881" priority="1295">
      <formula>AND($R$2396,$S$2396)</formula>
    </cfRule>
  </conditionalFormatting>
  <conditionalFormatting sqref="W2396">
    <cfRule type="expression" dxfId="1880" priority="1294">
      <formula>AND(IF($R$2396,$W$2396,TRUE),LEN(TRIM($W$2396))&gt;0)</formula>
    </cfRule>
  </conditionalFormatting>
  <conditionalFormatting sqref="W2396">
    <cfRule type="expression" dxfId="1879" priority="1293">
      <formula>OR($S$2396 = FALSE, AND($P$2396 = FALSE, ReportType &lt;&gt; "Final"), AND($Q$2396 = FALSE, ReportType &lt;&gt; "Rough"))</formula>
    </cfRule>
  </conditionalFormatting>
  <conditionalFormatting sqref="W2396">
    <cfRule type="expression" dxfId="1878" priority="1292">
      <formula>OR($T$2396 = TRUE, AND($W$2396 = TRUE, $S$2396 = FALSE))</formula>
    </cfRule>
  </conditionalFormatting>
  <conditionalFormatting sqref="W2397">
    <cfRule type="expression" dxfId="1877" priority="1291">
      <formula>AND($R$2397,$S$2397)</formula>
    </cfRule>
  </conditionalFormatting>
  <conditionalFormatting sqref="W2397">
    <cfRule type="expression" dxfId="1876" priority="1290">
      <formula>AND(IF($R$2397,$W$2397,TRUE),LEN(TRIM($W$2397))&gt;0)</formula>
    </cfRule>
  </conditionalFormatting>
  <conditionalFormatting sqref="W2397">
    <cfRule type="expression" dxfId="1875" priority="1289">
      <formula>OR($S$2397 = FALSE, AND($P$2397 = FALSE, ReportType &lt;&gt; "Final"), AND($Q$2397 = FALSE, ReportType &lt;&gt; "Rough"))</formula>
    </cfRule>
  </conditionalFormatting>
  <conditionalFormatting sqref="W2397">
    <cfRule type="expression" dxfId="1874" priority="1288">
      <formula>OR($T$2397 = TRUE, AND($W$2397 = TRUE, $S$2397 = FALSE))</formula>
    </cfRule>
  </conditionalFormatting>
  <conditionalFormatting sqref="W2398">
    <cfRule type="expression" dxfId="1873" priority="1287">
      <formula>AND($R$2398,$S$2398)</formula>
    </cfRule>
  </conditionalFormatting>
  <conditionalFormatting sqref="W2398">
    <cfRule type="expression" dxfId="1872" priority="1286">
      <formula>AND(IF($R$2398,$W$2398,TRUE),LEN(TRIM($W$2398))&gt;0)</formula>
    </cfRule>
  </conditionalFormatting>
  <conditionalFormatting sqref="W2398">
    <cfRule type="expression" dxfId="1871" priority="1285">
      <formula>OR($S$2398 = FALSE, AND($P$2398 = FALSE, ReportType &lt;&gt; "Final"), AND($Q$2398 = FALSE, ReportType &lt;&gt; "Rough"))</formula>
    </cfRule>
  </conditionalFormatting>
  <conditionalFormatting sqref="W2398">
    <cfRule type="expression" dxfId="1870" priority="1284">
      <formula>OR($T$2398 = TRUE, AND($W$2398 = TRUE, $S$2398 = FALSE))</formula>
    </cfRule>
  </conditionalFormatting>
  <conditionalFormatting sqref="W2401">
    <cfRule type="expression" dxfId="1869" priority="1283">
      <formula>AND($R$2401,$S$2401)</formula>
    </cfRule>
  </conditionalFormatting>
  <conditionalFormatting sqref="W2401">
    <cfRule type="expression" dxfId="1868" priority="1282">
      <formula>AND(IF($R$2401,$W$2401,TRUE),LEN(TRIM($W$2401))&gt;0)</formula>
    </cfRule>
  </conditionalFormatting>
  <conditionalFormatting sqref="W2401">
    <cfRule type="expression" dxfId="1867" priority="1281">
      <formula>OR($S$2401 = FALSE, AND($P$2401 = FALSE, ReportType &lt;&gt; "Final"), AND($Q$2401 = FALSE, ReportType &lt;&gt; "Rough"))</formula>
    </cfRule>
  </conditionalFormatting>
  <conditionalFormatting sqref="W2401">
    <cfRule type="expression" dxfId="1866" priority="1280">
      <formula>OR($T$2401 = TRUE, AND($W$2401 = TRUE, $S$2401 = FALSE))</formula>
    </cfRule>
  </conditionalFormatting>
  <conditionalFormatting sqref="W2442">
    <cfRule type="expression" dxfId="1865" priority="1279">
      <formula>AND($R$2442,$S$2442)</formula>
    </cfRule>
  </conditionalFormatting>
  <conditionalFormatting sqref="W2442">
    <cfRule type="expression" dxfId="1864" priority="1278">
      <formula>AND(IF($R$2442,$W$2442,TRUE),LEN(TRIM($W$2442))&gt;0)</formula>
    </cfRule>
  </conditionalFormatting>
  <conditionalFormatting sqref="W2442">
    <cfRule type="expression" dxfId="1863" priority="1277">
      <formula>OR($S$2442 = FALSE, AND($P$2442 = FALSE, ReportType &lt;&gt; "Final"), AND($Q$2442 = FALSE, ReportType &lt;&gt; "Rough"))</formula>
    </cfRule>
  </conditionalFormatting>
  <conditionalFormatting sqref="W2442">
    <cfRule type="expression" dxfId="1862" priority="1276">
      <formula>OR($T$2442 = TRUE, AND($W$2442 = TRUE, $S$2442 = FALSE))</formula>
    </cfRule>
  </conditionalFormatting>
  <conditionalFormatting sqref="W2444">
    <cfRule type="expression" dxfId="1861" priority="1275">
      <formula>AND($R$2444,$S$2444)</formula>
    </cfRule>
  </conditionalFormatting>
  <conditionalFormatting sqref="W2444">
    <cfRule type="expression" dxfId="1860" priority="1274">
      <formula>AND(IF($R$2444,$W$2444,TRUE),LEN(TRIM($W$2444))&gt;0)</formula>
    </cfRule>
  </conditionalFormatting>
  <conditionalFormatting sqref="W2444">
    <cfRule type="expression" dxfId="1859" priority="1273">
      <formula>OR($S$2444 = FALSE, AND($P$2444 = FALSE, ReportType &lt;&gt; "Final"), AND($Q$2444 = FALSE, ReportType &lt;&gt; "Rough"))</formula>
    </cfRule>
  </conditionalFormatting>
  <conditionalFormatting sqref="W2444">
    <cfRule type="expression" dxfId="1858" priority="1272">
      <formula>OR($T$2444 = TRUE, AND($W$2444 = TRUE, $S$2444 = FALSE))</formula>
    </cfRule>
  </conditionalFormatting>
  <conditionalFormatting sqref="W2447">
    <cfRule type="expression" dxfId="1857" priority="1271">
      <formula>AND($R$2447,$S$2447)</formula>
    </cfRule>
  </conditionalFormatting>
  <conditionalFormatting sqref="W2447">
    <cfRule type="expression" dxfId="1856" priority="1270">
      <formula>AND(IF($R$2447,$W$2447,TRUE),LEN(TRIM($W$2447))&gt;0)</formula>
    </cfRule>
  </conditionalFormatting>
  <conditionalFormatting sqref="W2447">
    <cfRule type="expression" dxfId="1855" priority="1269">
      <formula>OR($S$2447 = FALSE, AND($P$2447 = FALSE, ReportType &lt;&gt; "Final"), AND($Q$2447 = FALSE, ReportType &lt;&gt; "Rough"))</formula>
    </cfRule>
  </conditionalFormatting>
  <conditionalFormatting sqref="W2447">
    <cfRule type="expression" dxfId="1854" priority="1268">
      <formula>OR($T$2447 = TRUE, AND($W$2447 = TRUE, $S$2447 = FALSE))</formula>
    </cfRule>
  </conditionalFormatting>
  <conditionalFormatting sqref="W1953">
    <cfRule type="expression" dxfId="1853" priority="1259">
      <formula>AND(R1953,S1953)</formula>
    </cfRule>
  </conditionalFormatting>
  <conditionalFormatting sqref="W1953">
    <cfRule type="expression" dxfId="1852" priority="1258">
      <formula>NOT(ISBLANK(W1953))</formula>
    </cfRule>
  </conditionalFormatting>
  <conditionalFormatting sqref="W1953">
    <cfRule type="expression" dxfId="1851" priority="1257">
      <formula>OR(S1953 = FALSE, AND(P1953 = FALSE, ReportType &lt;&gt; "Final"), AND(Q1953 = FALSE, ReportType &lt;&gt; "Rough"))</formula>
    </cfRule>
  </conditionalFormatting>
  <conditionalFormatting sqref="W1953">
    <cfRule type="expression" dxfId="1850" priority="1256">
      <formula>OR(T1953 = TRUE, AND(W1953 = TRUE, S1953 = FALSE))</formula>
    </cfRule>
  </conditionalFormatting>
  <conditionalFormatting sqref="W1964">
    <cfRule type="expression" dxfId="1849" priority="1255">
      <formula>AND(R1964,S1964)</formula>
    </cfRule>
  </conditionalFormatting>
  <conditionalFormatting sqref="W1964">
    <cfRule type="expression" dxfId="1848" priority="1254">
      <formula>NOT(ISBLANK(W1964))</formula>
    </cfRule>
  </conditionalFormatting>
  <conditionalFormatting sqref="W1964">
    <cfRule type="expression" dxfId="1847" priority="1253">
      <formula>OR(S1964 = FALSE, AND(P1964 = FALSE, ReportType &lt;&gt; "Final"), AND(Q1964 = FALSE, ReportType &lt;&gt; "Rough"))</formula>
    </cfRule>
  </conditionalFormatting>
  <conditionalFormatting sqref="W1964">
    <cfRule type="expression" dxfId="1846" priority="1252">
      <formula>OR(T1964 = TRUE, AND(W1964 = TRUE, S1964 = FALSE))</formula>
    </cfRule>
  </conditionalFormatting>
  <conditionalFormatting sqref="W1965">
    <cfRule type="expression" dxfId="1845" priority="1251">
      <formula>AND(R1965,S1965)</formula>
    </cfRule>
  </conditionalFormatting>
  <conditionalFormatting sqref="W1965">
    <cfRule type="expression" dxfId="1844" priority="1250">
      <formula>NOT(ISBLANK(W1965))</formula>
    </cfRule>
  </conditionalFormatting>
  <conditionalFormatting sqref="W1965">
    <cfRule type="expression" dxfId="1843" priority="1249">
      <formula>OR(S1965 = FALSE, AND(P1965 = FALSE, ReportType &lt;&gt; "Final"), AND(Q1965 = FALSE, ReportType &lt;&gt; "Rough"))</formula>
    </cfRule>
  </conditionalFormatting>
  <conditionalFormatting sqref="W1965">
    <cfRule type="expression" dxfId="1842" priority="1248">
      <formula>OR(T1965 = TRUE, AND(W1965 = TRUE, S1965 = FALSE))</formula>
    </cfRule>
  </conditionalFormatting>
  <conditionalFormatting sqref="W1905">
    <cfRule type="expression" dxfId="1841" priority="1243">
      <formula>AND($R$1905,$S$1905)</formula>
    </cfRule>
  </conditionalFormatting>
  <conditionalFormatting sqref="W1905">
    <cfRule type="expression" dxfId="1840" priority="1242">
      <formula>AND($W$1905&lt;&gt;"Not Met",LEN(TRIM($W$1905))&gt;0)</formula>
    </cfRule>
  </conditionalFormatting>
  <conditionalFormatting sqref="W1905">
    <cfRule type="expression" dxfId="1839" priority="1241">
      <formula>OR($S$1905 = FALSE, AND($P$1905 = FALSE, ReportType &lt;&gt; "Final"), AND($Q$1905 = FALSE, ReportType &lt;&gt; "Rough"))</formula>
    </cfRule>
  </conditionalFormatting>
  <conditionalFormatting sqref="W1905">
    <cfRule type="expression" dxfId="1838" priority="1240">
      <formula>OR($T$1905 = TRUE, AND($W$1905="Met", $S$1905 = FALSE))</formula>
    </cfRule>
  </conditionalFormatting>
  <conditionalFormatting sqref="W1907">
    <cfRule type="expression" dxfId="1837" priority="1239">
      <formula>AND($R$1907,$S$1907)</formula>
    </cfRule>
  </conditionalFormatting>
  <conditionalFormatting sqref="W1907">
    <cfRule type="expression" dxfId="1836" priority="1238">
      <formula>AND($W$1907&lt;&gt;"Not Met",LEN(TRIM($W$1907))&gt;0)</formula>
    </cfRule>
  </conditionalFormatting>
  <conditionalFormatting sqref="W1907">
    <cfRule type="expression" dxfId="1835" priority="1237">
      <formula>OR($S$1907 = FALSE, AND($P$1907 = FALSE, ReportType &lt;&gt; "Final"), AND($Q$1907 = FALSE, ReportType &lt;&gt; "Rough"))</formula>
    </cfRule>
  </conditionalFormatting>
  <conditionalFormatting sqref="W1907">
    <cfRule type="expression" dxfId="1834" priority="1236">
      <formula>OR($T$1907 = TRUE, AND($W$1907="Met", $S$1907 = FALSE))</formula>
    </cfRule>
  </conditionalFormatting>
  <conditionalFormatting sqref="X1">
    <cfRule type="expression" dxfId="1833" priority="5931">
      <formula>verStartError</formula>
    </cfRule>
  </conditionalFormatting>
  <conditionalFormatting sqref="W1902">
    <cfRule type="expression" dxfId="1832" priority="1235">
      <formula>AND($R$1902,$S$1902)</formula>
    </cfRule>
  </conditionalFormatting>
  <conditionalFormatting sqref="W1902">
    <cfRule type="expression" dxfId="1831" priority="1234">
      <formula>AND(IF($R$1902,$W$1902,TRUE),LEN(TRIM($W$1902))&gt;0)</formula>
    </cfRule>
  </conditionalFormatting>
  <conditionalFormatting sqref="W1902">
    <cfRule type="expression" dxfId="1830" priority="1233">
      <formula>OR($S$1902 = FALSE, AND($P$1902 = FALSE, ReportType &lt;&gt; "Final"), AND($Q$1902 = FALSE, ReportType &lt;&gt; "Rough"))</formula>
    </cfRule>
  </conditionalFormatting>
  <conditionalFormatting sqref="W1902">
    <cfRule type="expression" dxfId="1829" priority="1232">
      <formula>OR($T$1902 = TRUE, AND($W$1902 = TRUE, $S$1902 = FALSE))</formula>
    </cfRule>
  </conditionalFormatting>
  <conditionalFormatting sqref="W936">
    <cfRule type="expression" dxfId="1828" priority="1226">
      <formula>AND(R936,S936)</formula>
    </cfRule>
  </conditionalFormatting>
  <conditionalFormatting sqref="W936">
    <cfRule type="expression" dxfId="1827" priority="1225">
      <formula>NOT(ISBLANK(W936))</formula>
    </cfRule>
  </conditionalFormatting>
  <conditionalFormatting sqref="W936">
    <cfRule type="expression" dxfId="1826" priority="1224">
      <formula>S936 = FALSE</formula>
    </cfRule>
  </conditionalFormatting>
  <conditionalFormatting sqref="W936">
    <cfRule type="expression" dxfId="1825" priority="1223">
      <formula>OR(T936 = TRUE, AND(W936 = TRUE, S936 = FALSE))</formula>
    </cfRule>
  </conditionalFormatting>
  <conditionalFormatting sqref="W2307">
    <cfRule type="expression" dxfId="1824" priority="1169">
      <formula>AND($R$2307,$S$2307)</formula>
    </cfRule>
  </conditionalFormatting>
  <conditionalFormatting sqref="W2307">
    <cfRule type="expression" dxfId="1823" priority="1168">
      <formula>AND(IF($R$2307,$W$2307,TRUE),LEN(TRIM($W$2307))&gt;0)</formula>
    </cfRule>
  </conditionalFormatting>
  <conditionalFormatting sqref="W2307">
    <cfRule type="expression" dxfId="1822" priority="1167">
      <formula>OR($S$2307 = FALSE, AND($P$2307 = FALSE, ReportType &lt;&gt; "Final"), AND($Q$2307 = FALSE, ReportType &lt;&gt; "Rough"))</formula>
    </cfRule>
  </conditionalFormatting>
  <conditionalFormatting sqref="W2307">
    <cfRule type="expression" dxfId="1821" priority="1166">
      <formula>OR($T$2307 = TRUE, AND($W$2307 = TRUE, $S$2307 = FALSE))</formula>
    </cfRule>
  </conditionalFormatting>
  <conditionalFormatting sqref="W2308">
    <cfRule type="expression" dxfId="1820" priority="1165">
      <formula>AND($R$2308,$S$2308)</formula>
    </cfRule>
  </conditionalFormatting>
  <conditionalFormatting sqref="W2308">
    <cfRule type="expression" dxfId="1819" priority="1164">
      <formula>AND(IF($R$2308,$W$2308,TRUE),LEN(TRIM($W$2308))&gt;0)</formula>
    </cfRule>
  </conditionalFormatting>
  <conditionalFormatting sqref="W2308">
    <cfRule type="expression" dxfId="1818" priority="1163">
      <formula>OR($S$2308 = FALSE, AND($P$2308 = FALSE, ReportType &lt;&gt; "Final"), AND($Q$2308 = FALSE, ReportType &lt;&gt; "Rough"))</formula>
    </cfRule>
  </conditionalFormatting>
  <conditionalFormatting sqref="W2308">
    <cfRule type="expression" dxfId="1817" priority="1162">
      <formula>OR($T$2308 = TRUE, AND($W$2308 = TRUE, $S$2308 = FALSE))</formula>
    </cfRule>
  </conditionalFormatting>
  <conditionalFormatting sqref="W396">
    <cfRule type="expression" dxfId="1816" priority="1161">
      <formula>AND($R$396,$S$396)</formula>
    </cfRule>
  </conditionalFormatting>
  <conditionalFormatting sqref="W396">
    <cfRule type="expression" dxfId="1815" priority="1160">
      <formula>AND($W$396&lt;&gt;"Not Met",LEN(TRIM($W$396))&gt;0)</formula>
    </cfRule>
  </conditionalFormatting>
  <conditionalFormatting sqref="W396">
    <cfRule type="expression" dxfId="1814" priority="1159">
      <formula>OR($S$396 = FALSE, AND($P$396 = FALSE, ReportType &lt;&gt; "Final"), AND($Q$396 = FALSE, ReportType &lt;&gt; "Rough"))</formula>
    </cfRule>
  </conditionalFormatting>
  <conditionalFormatting sqref="W396">
    <cfRule type="expression" dxfId="1813" priority="1158">
      <formula>OR($T$396 = TRUE, AND(LEN(TRIM($W$396))&gt;0, $S$396 = FALSE))</formula>
    </cfRule>
  </conditionalFormatting>
  <conditionalFormatting sqref="W409">
    <cfRule type="expression" dxfId="1812" priority="1157">
      <formula>AND($R$409,$S$409)</formula>
    </cfRule>
  </conditionalFormatting>
  <conditionalFormatting sqref="W409">
    <cfRule type="expression" dxfId="1811" priority="1156">
      <formula>AND($W$409&lt;&gt;"Not Met",LEN(TRIM($W$409))&gt;0)</formula>
    </cfRule>
  </conditionalFormatting>
  <conditionalFormatting sqref="W409">
    <cfRule type="expression" dxfId="1810" priority="1155">
      <formula>OR($S$409 = FALSE, AND($P$409 = FALSE, ReportType &lt;&gt; "Final"), AND($Q$409 = FALSE, ReportType &lt;&gt; "Rough"))</formula>
    </cfRule>
  </conditionalFormatting>
  <conditionalFormatting sqref="W409">
    <cfRule type="expression" dxfId="1809" priority="1154">
      <formula>OR($T$409 = TRUE, AND(LEN(TRIM($W$409))&gt;0, $S$409 = FALSE))</formula>
    </cfRule>
  </conditionalFormatting>
  <conditionalFormatting sqref="W483">
    <cfRule type="expression" dxfId="1808" priority="1153">
      <formula>AND($R$483,$S$483)</formula>
    </cfRule>
  </conditionalFormatting>
  <conditionalFormatting sqref="W483">
    <cfRule type="expression" dxfId="1807" priority="1152">
      <formula>AND($W$483&lt;&gt;"Not Met",LEN(TRIM($W$483))&gt;0)</formula>
    </cfRule>
  </conditionalFormatting>
  <conditionalFormatting sqref="W483">
    <cfRule type="expression" dxfId="1806" priority="1151">
      <formula>OR($S$483 = FALSE, AND($P$483 = FALSE, ReportType &lt;&gt; "Final"), AND($Q$483 = FALSE, ReportType &lt;&gt; "Rough"))</formula>
    </cfRule>
  </conditionalFormatting>
  <conditionalFormatting sqref="W483">
    <cfRule type="expression" dxfId="1805" priority="1150">
      <formula>OR($T$483 = TRUE, AND(LEN(TRIM($W$483))&gt;0, $S$483 = FALSE))</formula>
    </cfRule>
  </conditionalFormatting>
  <conditionalFormatting sqref="W598">
    <cfRule type="expression" dxfId="1804" priority="1149">
      <formula>AND($R$598,$S$598)</formula>
    </cfRule>
  </conditionalFormatting>
  <conditionalFormatting sqref="W598">
    <cfRule type="expression" dxfId="1803" priority="1148">
      <formula>AND(IF($R$598,$W$598,TRUE),LEN(TRIM($W$598))&gt;0)</formula>
    </cfRule>
  </conditionalFormatting>
  <conditionalFormatting sqref="W598">
    <cfRule type="expression" dxfId="1802" priority="1147">
      <formula>OR($S$598 = FALSE, AND($P$598 = FALSE, ReportType &lt;&gt; "Final"), AND($Q$598 = FALSE, ReportType &lt;&gt; "Rough"))</formula>
    </cfRule>
  </conditionalFormatting>
  <conditionalFormatting sqref="W598">
    <cfRule type="expression" dxfId="1801" priority="1146">
      <formula>OR($T$598 = TRUE, AND($W$598 = TRUE, $S$598 = FALSE))</formula>
    </cfRule>
  </conditionalFormatting>
  <conditionalFormatting sqref="W886">
    <cfRule type="expression" dxfId="1800" priority="1145">
      <formula>AND($R$886,$S$886)</formula>
    </cfRule>
  </conditionalFormatting>
  <conditionalFormatting sqref="W886">
    <cfRule type="expression" dxfId="1799" priority="1144">
      <formula>AND(IF($R$886,$W$886,TRUE),LEN(TRIM($W$886))&gt;0)</formula>
    </cfRule>
  </conditionalFormatting>
  <conditionalFormatting sqref="W886">
    <cfRule type="expression" dxfId="1798" priority="1143">
      <formula>OR($S$886 = FALSE, AND($P$886 = FALSE, ReportType &lt;&gt; "Final"), AND($Q$886 = FALSE, ReportType &lt;&gt; "Rough"))</formula>
    </cfRule>
  </conditionalFormatting>
  <conditionalFormatting sqref="W886">
    <cfRule type="expression" dxfId="1797" priority="1142">
      <formula>OR($T$886 = TRUE, AND($W$886 = TRUE, $S$886 = FALSE))</formula>
    </cfRule>
  </conditionalFormatting>
  <conditionalFormatting sqref="W2305">
    <cfRule type="expression" dxfId="1796" priority="1120">
      <formula>AND($R$2305,$S$2305)</formula>
    </cfRule>
  </conditionalFormatting>
  <conditionalFormatting sqref="W2305">
    <cfRule type="expression" dxfId="1795" priority="1119">
      <formula>AND(IF($R$2305,$W$2305,TRUE),LEN(TRIM($W$2305))&gt;0)</formula>
    </cfRule>
  </conditionalFormatting>
  <conditionalFormatting sqref="W2305">
    <cfRule type="expression" dxfId="1794" priority="1118">
      <formula>OR($S$2305 = FALSE, AND($P$2305 = FALSE, ReportType &lt;&gt; "Final"), AND($Q$2305 = FALSE, ReportType &lt;&gt; "Rough"))</formula>
    </cfRule>
  </conditionalFormatting>
  <conditionalFormatting sqref="W2305">
    <cfRule type="expression" dxfId="1793" priority="1117">
      <formula>OR($T$2305 = TRUE, AND($W$2305 = TRUE, $S$2305 = FALSE))</formula>
    </cfRule>
  </conditionalFormatting>
  <conditionalFormatting sqref="W1996">
    <cfRule type="expression" dxfId="1792" priority="1110">
      <formula>AND($R$1996,$S$1996)</formula>
    </cfRule>
  </conditionalFormatting>
  <conditionalFormatting sqref="W1996">
    <cfRule type="expression" dxfId="1791" priority="1109">
      <formula>AND($W$1996&lt;&gt;"Not Met",LEN(TRIM($W$1996))&gt;0)</formula>
    </cfRule>
  </conditionalFormatting>
  <conditionalFormatting sqref="W1996">
    <cfRule type="expression" dxfId="1790" priority="1108">
      <formula>OR($S$1996 = FALSE, AND($P$1996 = FALSE, ReportType &lt;&gt; "Final"), AND($Q$1996 = FALSE, ReportType &lt;&gt; "Rough"))</formula>
    </cfRule>
  </conditionalFormatting>
  <conditionalFormatting sqref="W1996">
    <cfRule type="expression" dxfId="1789" priority="1107">
      <formula>OR($T$1996 = TRUE, AND(LEN(TRIM($W$1996))&gt;0, $S$1996 = FALSE))</formula>
    </cfRule>
  </conditionalFormatting>
  <conditionalFormatting sqref="W2036">
    <cfRule type="expression" dxfId="1788" priority="1106">
      <formula>AND($R$2036,$S$2036)</formula>
    </cfRule>
  </conditionalFormatting>
  <conditionalFormatting sqref="W2036">
    <cfRule type="expression" dxfId="1787" priority="1105">
      <formula>AND(IF($R$2036,$W$2036,TRUE),LEN(TRIM($W$2036))&gt;0)</formula>
    </cfRule>
  </conditionalFormatting>
  <conditionalFormatting sqref="W2036">
    <cfRule type="expression" dxfId="1786" priority="1104">
      <formula>OR($S$2036 = FALSE, AND($P$2036 = FALSE, ReportType &lt;&gt; "Final"), AND($Q$2036 = FALSE, ReportType &lt;&gt; "Rough"))</formula>
    </cfRule>
  </conditionalFormatting>
  <conditionalFormatting sqref="W2036">
    <cfRule type="expression" dxfId="1785" priority="1103">
      <formula>OR($T$2036 = TRUE, AND($W$2036 = TRUE, $S$2036 = FALSE))</formula>
    </cfRule>
  </conditionalFormatting>
  <conditionalFormatting sqref="W29">
    <cfRule type="expression" dxfId="1784" priority="1100">
      <formula>AND($R$29,$S$29)</formula>
    </cfRule>
  </conditionalFormatting>
  <conditionalFormatting sqref="W29">
    <cfRule type="expression" dxfId="1783" priority="1099">
      <formula>AND($W$29&lt;&gt;"Not Met",LEN(TRIM($W$29))&gt;0)</formula>
    </cfRule>
  </conditionalFormatting>
  <conditionalFormatting sqref="W29">
    <cfRule type="expression" dxfId="1782" priority="1098">
      <formula>OR($S$29 = FALSE, AND($P$29 = FALSE, ReportType &lt;&gt; "Final"), AND($Q$29 = FALSE, ReportType &lt;&gt; "Rough"))</formula>
    </cfRule>
  </conditionalFormatting>
  <conditionalFormatting sqref="W29">
    <cfRule type="expression" dxfId="1781" priority="1097">
      <formula>OR($T$29 = TRUE, AND(LEN(TRIM($W$29))&gt;0, $S$29 = FALSE))</formula>
    </cfRule>
  </conditionalFormatting>
  <conditionalFormatting sqref="W42">
    <cfRule type="expression" dxfId="1780" priority="1096">
      <formula>AND($R$42,$S$42)</formula>
    </cfRule>
  </conditionalFormatting>
  <conditionalFormatting sqref="W42">
    <cfRule type="expression" dxfId="1779" priority="1095">
      <formula>AND(IF($R$42,$W$42,TRUE),LEN(TRIM($W$42))&gt;0)</formula>
    </cfRule>
  </conditionalFormatting>
  <conditionalFormatting sqref="W42">
    <cfRule type="expression" dxfId="1778" priority="1094">
      <formula>OR($S$42 = FALSE, AND($P$42 = FALSE, ReportType &lt;&gt; "Final"), AND($Q$42 = FALSE, ReportType &lt;&gt; "Rough"))</formula>
    </cfRule>
  </conditionalFormatting>
  <conditionalFormatting sqref="W42">
    <cfRule type="expression" dxfId="1777" priority="1093">
      <formula>OR($T$42 = TRUE, AND($W$42 = TRUE, $S$42 = FALSE))</formula>
    </cfRule>
  </conditionalFormatting>
  <conditionalFormatting sqref="W44">
    <cfRule type="expression" dxfId="1776" priority="1092">
      <formula>AND($R$44,$S$44)</formula>
    </cfRule>
  </conditionalFormatting>
  <conditionalFormatting sqref="W44">
    <cfRule type="expression" dxfId="1775" priority="1091">
      <formula>AND(IF($R$44,$W$44,TRUE),LEN(TRIM($W$44))&gt;0)</formula>
    </cfRule>
  </conditionalFormatting>
  <conditionalFormatting sqref="W44">
    <cfRule type="expression" dxfId="1774" priority="1090">
      <formula>OR($S$44 = FALSE, AND($P$44 = FALSE, ReportType &lt;&gt; "Final"), AND($Q$44 = FALSE, ReportType &lt;&gt; "Rough"))</formula>
    </cfRule>
  </conditionalFormatting>
  <conditionalFormatting sqref="W44">
    <cfRule type="expression" dxfId="1773" priority="1089">
      <formula>OR($T$44 = TRUE, AND($W$44 = TRUE, $S$44 = FALSE))</formula>
    </cfRule>
  </conditionalFormatting>
  <conditionalFormatting sqref="W47">
    <cfRule type="expression" dxfId="1772" priority="1088">
      <formula>AND($R$47,$S$47)</formula>
    </cfRule>
  </conditionalFormatting>
  <conditionalFormatting sqref="W47">
    <cfRule type="expression" dxfId="1771" priority="1087">
      <formula>AND(IF($R$47,$W$47,TRUE),LEN(TRIM($W$47))&gt;0)</formula>
    </cfRule>
  </conditionalFormatting>
  <conditionalFormatting sqref="W47">
    <cfRule type="expression" dxfId="1770" priority="1086">
      <formula>OR($S$47 = FALSE, AND($P$47 = FALSE, ReportType &lt;&gt; "Final"), AND($Q$47 = FALSE, ReportType &lt;&gt; "Rough"))</formula>
    </cfRule>
  </conditionalFormatting>
  <conditionalFormatting sqref="W47">
    <cfRule type="expression" dxfId="1769" priority="1085">
      <formula>OR($T$47 = TRUE, AND($W$47 = TRUE, $S$47 = FALSE))</formula>
    </cfRule>
  </conditionalFormatting>
  <conditionalFormatting sqref="W75">
    <cfRule type="expression" dxfId="1768" priority="1084">
      <formula>AND($R$75,$S$75)</formula>
    </cfRule>
  </conditionalFormatting>
  <conditionalFormatting sqref="W75">
    <cfRule type="expression" dxfId="1767" priority="1083">
      <formula>AND(IF($R$75,$W$75,TRUE),LEN(TRIM($W$75))&gt;0)</formula>
    </cfRule>
  </conditionalFormatting>
  <conditionalFormatting sqref="W75">
    <cfRule type="expression" dxfId="1766" priority="1082">
      <formula>OR($S$75 = FALSE, AND($P$75 = FALSE, ReportType &lt;&gt; "Final"), AND($Q$75 = FALSE, ReportType &lt;&gt; "Rough"))</formula>
    </cfRule>
  </conditionalFormatting>
  <conditionalFormatting sqref="W75">
    <cfRule type="expression" dxfId="1765" priority="1081">
      <formula>OR($T$75 = TRUE, AND($W$75 = TRUE, $S$75 = FALSE))</formula>
    </cfRule>
  </conditionalFormatting>
  <conditionalFormatting sqref="W127">
    <cfRule type="expression" dxfId="1764" priority="1072">
      <formula>AND($R$127,$S$127)</formula>
    </cfRule>
  </conditionalFormatting>
  <conditionalFormatting sqref="W127">
    <cfRule type="expression" dxfId="1763" priority="1071">
      <formula>AND(IF($R$127,$W$127,TRUE),LEN(TRIM($W$127))&gt;0)</formula>
    </cfRule>
  </conditionalFormatting>
  <conditionalFormatting sqref="W127">
    <cfRule type="expression" dxfId="1762" priority="1070">
      <formula>OR($S$127 = FALSE, AND($P$127 = FALSE, ReportType &lt;&gt; "Final"), AND($Q$127 = FALSE, ReportType &lt;&gt; "Rough"))</formula>
    </cfRule>
  </conditionalFormatting>
  <conditionalFormatting sqref="W127">
    <cfRule type="expression" dxfId="1761" priority="1069">
      <formula>OR($T$127 = TRUE, AND($W$127 = TRUE, $S$127 = FALSE))</formula>
    </cfRule>
  </conditionalFormatting>
  <conditionalFormatting sqref="W129">
    <cfRule type="expression" dxfId="1760" priority="1068">
      <formula>AND($R$129,$S$129)</formula>
    </cfRule>
  </conditionalFormatting>
  <conditionalFormatting sqref="W129">
    <cfRule type="expression" dxfId="1759" priority="1067">
      <formula>AND(IF($R$129,$W$129,TRUE),LEN(TRIM($W$129))&gt;0)</formula>
    </cfRule>
  </conditionalFormatting>
  <conditionalFormatting sqref="W129">
    <cfRule type="expression" dxfId="1758" priority="1066">
      <formula>OR($S$129 = FALSE, AND($P$129 = FALSE, ReportType &lt;&gt; "Final"), AND($Q$129 = FALSE, ReportType &lt;&gt; "Rough"))</formula>
    </cfRule>
  </conditionalFormatting>
  <conditionalFormatting sqref="W129">
    <cfRule type="expression" dxfId="1757" priority="1065">
      <formula>OR($T$129 = TRUE, AND($W$129 = TRUE, $S$129 = FALSE))</formula>
    </cfRule>
  </conditionalFormatting>
  <conditionalFormatting sqref="W149">
    <cfRule type="expression" dxfId="1756" priority="1064">
      <formula>AND($R$149,$S$149)</formula>
    </cfRule>
  </conditionalFormatting>
  <conditionalFormatting sqref="W149">
    <cfRule type="expression" dxfId="1755" priority="1063">
      <formula>AND(IF($R$149,$W$149,TRUE),LEN(TRIM($W$149))&gt;0)</formula>
    </cfRule>
  </conditionalFormatting>
  <conditionalFormatting sqref="W149">
    <cfRule type="expression" dxfId="1754" priority="1062">
      <formula>OR($S$149 = FALSE, AND($P$149 = FALSE, ReportType &lt;&gt; "Final"), AND($Q$149 = FALSE, ReportType &lt;&gt; "Rough"))</formula>
    </cfRule>
  </conditionalFormatting>
  <conditionalFormatting sqref="W149">
    <cfRule type="expression" dxfId="1753" priority="1061">
      <formula>OR($T$149 = TRUE, AND($W$149 = TRUE, $S$149 = FALSE))</formula>
    </cfRule>
  </conditionalFormatting>
  <conditionalFormatting sqref="W261">
    <cfRule type="expression" dxfId="1752" priority="1060">
      <formula>AND($R$261,$S$261)</formula>
    </cfRule>
  </conditionalFormatting>
  <conditionalFormatting sqref="W261">
    <cfRule type="expression" dxfId="1751" priority="1059">
      <formula>AND(IF($R$261,$W$261,TRUE),LEN(TRIM($W$261))&gt;0)</formula>
    </cfRule>
  </conditionalFormatting>
  <conditionalFormatting sqref="W261">
    <cfRule type="expression" dxfId="1750" priority="1058">
      <formula>OR($S$261 = FALSE, AND($P$261 = FALSE, ReportType &lt;&gt; "Final"), AND($Q$261 = FALSE, ReportType &lt;&gt; "Rough"))</formula>
    </cfRule>
  </conditionalFormatting>
  <conditionalFormatting sqref="W261">
    <cfRule type="expression" dxfId="1749" priority="1057">
      <formula>OR($T$261 = TRUE, AND($W$261 = TRUE, $S$261 = FALSE))</formula>
    </cfRule>
  </conditionalFormatting>
  <conditionalFormatting sqref="W266">
    <cfRule type="expression" dxfId="1748" priority="1056">
      <formula>AND($R$266,$S$266)</formula>
    </cfRule>
  </conditionalFormatting>
  <conditionalFormatting sqref="W266">
    <cfRule type="expression" dxfId="1747" priority="1055">
      <formula>AND(IF($R$266,$W$266,TRUE),LEN(TRIM($W$266))&gt;0)</formula>
    </cfRule>
  </conditionalFormatting>
  <conditionalFormatting sqref="W266">
    <cfRule type="expression" dxfId="1746" priority="1054">
      <formula>OR($S$266 = FALSE, AND($P$266 = FALSE, ReportType &lt;&gt; "Final"), AND($Q$266 = FALSE, ReportType &lt;&gt; "Rough"))</formula>
    </cfRule>
  </conditionalFormatting>
  <conditionalFormatting sqref="W266">
    <cfRule type="expression" dxfId="1745" priority="1053">
      <formula>OR($T$266 = TRUE, AND($W$266 = TRUE, $S$266 = FALSE))</formula>
    </cfRule>
  </conditionalFormatting>
  <conditionalFormatting sqref="W269">
    <cfRule type="expression" dxfId="1744" priority="1052">
      <formula>AND($R$269,$S$269)</formula>
    </cfRule>
  </conditionalFormatting>
  <conditionalFormatting sqref="W269">
    <cfRule type="expression" dxfId="1743" priority="1051">
      <formula>AND(IF($R$269,$W$269,TRUE),LEN(TRIM($W$269))&gt;0)</formula>
    </cfRule>
  </conditionalFormatting>
  <conditionalFormatting sqref="W269">
    <cfRule type="expression" dxfId="1742" priority="1050">
      <formula>OR($S$269 = FALSE, AND($P$269 = FALSE, ReportType &lt;&gt; "Final"), AND($Q$269 = FALSE, ReportType &lt;&gt; "Rough"))</formula>
    </cfRule>
  </conditionalFormatting>
  <conditionalFormatting sqref="W269">
    <cfRule type="expression" dxfId="1741" priority="1049">
      <formula>OR($T$269 = TRUE, AND($W$269 = TRUE, $S$269 = FALSE))</formula>
    </cfRule>
  </conditionalFormatting>
  <conditionalFormatting sqref="W270">
    <cfRule type="expression" dxfId="1740" priority="1048">
      <formula>AND($R$270,$S$270)</formula>
    </cfRule>
  </conditionalFormatting>
  <conditionalFormatting sqref="W270">
    <cfRule type="expression" dxfId="1739" priority="1047">
      <formula>AND(IF($R$270,$W$270,TRUE),LEN(TRIM($W$270))&gt;0)</formula>
    </cfRule>
  </conditionalFormatting>
  <conditionalFormatting sqref="W270">
    <cfRule type="expression" dxfId="1738" priority="1046">
      <formula>OR($S$270 = FALSE, AND($P$270 = FALSE, ReportType &lt;&gt; "Final"), AND($Q$270 = FALSE, ReportType &lt;&gt; "Rough"))</formula>
    </cfRule>
  </conditionalFormatting>
  <conditionalFormatting sqref="W270">
    <cfRule type="expression" dxfId="1737" priority="1045">
      <formula>OR($T$270 = TRUE, AND($W$270 = TRUE, $S$270 = FALSE))</formula>
    </cfRule>
  </conditionalFormatting>
  <conditionalFormatting sqref="W264">
    <cfRule type="expression" dxfId="1736" priority="1044">
      <formula>AND($R$254,$S$254)</formula>
    </cfRule>
  </conditionalFormatting>
  <conditionalFormatting sqref="W264">
    <cfRule type="expression" dxfId="1735" priority="1043">
      <formula>AND(IF($R$254,$W$254,TRUE),LEN(TRIM($W$254))&gt;0)</formula>
    </cfRule>
  </conditionalFormatting>
  <conditionalFormatting sqref="W264">
    <cfRule type="expression" dxfId="1734" priority="1042">
      <formula>OR($S$254 = FALSE, AND($P$254 = FALSE, ReportType &lt;&gt; "Final"), AND($Q$254 = FALSE, ReportType &lt;&gt; "Rough"))</formula>
    </cfRule>
  </conditionalFormatting>
  <conditionalFormatting sqref="W264">
    <cfRule type="expression" dxfId="1733" priority="1041">
      <formula>OR($T$254 = TRUE, AND(LEN(TRIM($W$254))&gt;0, $S$254 = FALSE))</formula>
    </cfRule>
  </conditionalFormatting>
  <conditionalFormatting sqref="W272">
    <cfRule type="expression" dxfId="1732" priority="1040">
      <formula>AND($R$254,$S$254)</formula>
    </cfRule>
  </conditionalFormatting>
  <conditionalFormatting sqref="W272">
    <cfRule type="expression" dxfId="1731" priority="1039">
      <formula>AND(IF($R$254,$W$254,TRUE),LEN(TRIM($W$254))&gt;0)</formula>
    </cfRule>
  </conditionalFormatting>
  <conditionalFormatting sqref="W272">
    <cfRule type="expression" dxfId="1730" priority="1038">
      <formula>OR($S$254 = FALSE, AND($P$254 = FALSE, ReportType &lt;&gt; "Final"), AND($Q$254 = FALSE, ReportType &lt;&gt; "Rough"))</formula>
    </cfRule>
  </conditionalFormatting>
  <conditionalFormatting sqref="W272">
    <cfRule type="expression" dxfId="1729" priority="1037">
      <formula>OR($T$254 = TRUE, AND(LEN(TRIM($W$254))&gt;0, $S$254 = FALSE))</formula>
    </cfRule>
  </conditionalFormatting>
  <conditionalFormatting sqref="W282">
    <cfRule type="expression" dxfId="1728" priority="1036">
      <formula>AND($R$282,$S$282)</formula>
    </cfRule>
  </conditionalFormatting>
  <conditionalFormatting sqref="W282">
    <cfRule type="expression" dxfId="1727" priority="1035">
      <formula>AND(IF($R$282,$W$282,TRUE),LEN(TRIM($W$282))&gt;0)</formula>
    </cfRule>
  </conditionalFormatting>
  <conditionalFormatting sqref="W282">
    <cfRule type="expression" dxfId="1726" priority="1034">
      <formula>OR($S$282 = FALSE, AND($P$282 = FALSE, ReportType &lt;&gt; "Final"), AND($Q$282 = FALSE, ReportType &lt;&gt; "Rough"))</formula>
    </cfRule>
  </conditionalFormatting>
  <conditionalFormatting sqref="W282">
    <cfRule type="expression" dxfId="1725" priority="1033">
      <formula>OR($T$282 = TRUE, AND($W$282 = TRUE, $S$282 = FALSE))</formula>
    </cfRule>
  </conditionalFormatting>
  <conditionalFormatting sqref="W286">
    <cfRule type="expression" dxfId="1724" priority="1032">
      <formula>AND($R$286,$S$286)</formula>
    </cfRule>
  </conditionalFormatting>
  <conditionalFormatting sqref="W286">
    <cfRule type="expression" dxfId="1723" priority="1031">
      <formula>AND(IF($R$286,$W$286,TRUE),LEN(TRIM($W$286))&gt;0)</formula>
    </cfRule>
  </conditionalFormatting>
  <conditionalFormatting sqref="W286">
    <cfRule type="expression" dxfId="1722" priority="1030">
      <formula>OR($S$286 = FALSE, AND($P$286 = FALSE, ReportType &lt;&gt; "Final"), AND($Q$286 = FALSE, ReportType &lt;&gt; "Rough"))</formula>
    </cfRule>
  </conditionalFormatting>
  <conditionalFormatting sqref="W286">
    <cfRule type="expression" dxfId="1721" priority="1029">
      <formula>OR($T$286 = TRUE, AND($W$286 = TRUE, $S$286 = FALSE))</formula>
    </cfRule>
  </conditionalFormatting>
  <conditionalFormatting sqref="W289">
    <cfRule type="expression" dxfId="1720" priority="1028">
      <formula>AND($R$289,$S$289)</formula>
    </cfRule>
  </conditionalFormatting>
  <conditionalFormatting sqref="W289">
    <cfRule type="expression" dxfId="1719" priority="1027">
      <formula>AND(IF($R$289,$W$289,TRUE),LEN(TRIM($W$289))&gt;0)</formula>
    </cfRule>
  </conditionalFormatting>
  <conditionalFormatting sqref="W289">
    <cfRule type="expression" dxfId="1718" priority="1026">
      <formula>OR($S$289 = FALSE, AND($P$289 = FALSE, ReportType &lt;&gt; "Final"), AND($Q$289 = FALSE, ReportType &lt;&gt; "Rough"))</formula>
    </cfRule>
  </conditionalFormatting>
  <conditionalFormatting sqref="W289">
    <cfRule type="expression" dxfId="1717" priority="1025">
      <formula>OR($T$289 = TRUE, AND($W$289 = TRUE, $S$289 = FALSE))</formula>
    </cfRule>
  </conditionalFormatting>
  <conditionalFormatting sqref="W292">
    <cfRule type="expression" dxfId="1716" priority="1024">
      <formula>AND($R$292,$S$292)</formula>
    </cfRule>
  </conditionalFormatting>
  <conditionalFormatting sqref="W292">
    <cfRule type="expression" dxfId="1715" priority="1023">
      <formula>AND(IF($R$292,$W$292,TRUE),LEN(TRIM($W$292))&gt;0)</formula>
    </cfRule>
  </conditionalFormatting>
  <conditionalFormatting sqref="W292">
    <cfRule type="expression" dxfId="1714" priority="1022">
      <formula>OR($S$292 = FALSE, AND($P$292 = FALSE, ReportType &lt;&gt; "Final"), AND($Q$292 = FALSE, ReportType &lt;&gt; "Rough"))</formula>
    </cfRule>
  </conditionalFormatting>
  <conditionalFormatting sqref="W292">
    <cfRule type="expression" dxfId="1713" priority="1021">
      <formula>OR($T$292 = TRUE, AND($W$292 = TRUE, $S$292 = FALSE))</formula>
    </cfRule>
  </conditionalFormatting>
  <conditionalFormatting sqref="W293">
    <cfRule type="expression" dxfId="1712" priority="1020">
      <formula>AND($R$293,$S$293)</formula>
    </cfRule>
  </conditionalFormatting>
  <conditionalFormatting sqref="W293">
    <cfRule type="expression" dxfId="1711" priority="1019">
      <formula>AND(IF($R$293,$W$293,TRUE),LEN(TRIM($W$293))&gt;0)</formula>
    </cfRule>
  </conditionalFormatting>
  <conditionalFormatting sqref="W293">
    <cfRule type="expression" dxfId="1710" priority="1018">
      <formula>OR($S$293 = FALSE, AND($P$293 = FALSE, ReportType &lt;&gt; "Final"), AND($Q$293 = FALSE, ReportType &lt;&gt; "Rough"))</formula>
    </cfRule>
  </conditionalFormatting>
  <conditionalFormatting sqref="W293">
    <cfRule type="expression" dxfId="1709" priority="1017">
      <formula>OR($T$293 = TRUE, AND($W$293 = TRUE, $S$293 = FALSE))</formula>
    </cfRule>
  </conditionalFormatting>
  <conditionalFormatting sqref="W298">
    <cfRule type="expression" dxfId="1708" priority="1016">
      <formula>AND($R$298,$S$298)</formula>
    </cfRule>
  </conditionalFormatting>
  <conditionalFormatting sqref="W298">
    <cfRule type="expression" dxfId="1707" priority="1015">
      <formula>AND(IF($R$298,$W$298,TRUE),LEN(TRIM($W$298))&gt;0)</formula>
    </cfRule>
  </conditionalFormatting>
  <conditionalFormatting sqref="W298">
    <cfRule type="expression" dxfId="1706" priority="1014">
      <formula>OR($S$298 = FALSE, AND($P$298 = FALSE, ReportType &lt;&gt; "Final"), AND($Q$298 = FALSE, ReportType &lt;&gt; "Rough"))</formula>
    </cfRule>
  </conditionalFormatting>
  <conditionalFormatting sqref="W298">
    <cfRule type="expression" dxfId="1705" priority="1013">
      <formula>OR($T$298 = TRUE, AND($W$298 = TRUE, $S$298 = FALSE))</formula>
    </cfRule>
  </conditionalFormatting>
  <conditionalFormatting sqref="W300">
    <cfRule type="expression" dxfId="1704" priority="1012">
      <formula>AND($R$300,$S$300)</formula>
    </cfRule>
  </conditionalFormatting>
  <conditionalFormatting sqref="W300">
    <cfRule type="expression" dxfId="1703" priority="1011">
      <formula>AND(IF($R$300,$W$300,TRUE),LEN(TRIM($W$300))&gt;0)</formula>
    </cfRule>
  </conditionalFormatting>
  <conditionalFormatting sqref="W300">
    <cfRule type="expression" dxfId="1702" priority="1010">
      <formula>OR($S$300 = FALSE, AND($P$300 = FALSE, ReportType &lt;&gt; "Final"), AND($Q$300 = FALSE, ReportType &lt;&gt; "Rough"))</formula>
    </cfRule>
  </conditionalFormatting>
  <conditionalFormatting sqref="W300">
    <cfRule type="expression" dxfId="1701" priority="1009">
      <formula>OR($T$300 = TRUE, AND($W$300 = TRUE, $S$300 = FALSE))</formula>
    </cfRule>
  </conditionalFormatting>
  <conditionalFormatting sqref="W302">
    <cfRule type="expression" dxfId="1700" priority="1008">
      <formula>AND($R$302,$S$302)</formula>
    </cfRule>
  </conditionalFormatting>
  <conditionalFormatting sqref="W302">
    <cfRule type="expression" dxfId="1699" priority="1007">
      <formula>AND(IF($R$302,$W$302,TRUE),LEN(TRIM($W$302))&gt;0)</formula>
    </cfRule>
  </conditionalFormatting>
  <conditionalFormatting sqref="W302">
    <cfRule type="expression" dxfId="1698" priority="1006">
      <formula>OR($S$302 = FALSE, AND($P$302 = FALSE, ReportType &lt;&gt; "Final"), AND($Q$302 = FALSE, ReportType &lt;&gt; "Rough"))</formula>
    </cfRule>
  </conditionalFormatting>
  <conditionalFormatting sqref="W302">
    <cfRule type="expression" dxfId="1697" priority="1005">
      <formula>OR($T$302 = TRUE, AND($W$302 = TRUE, $S$302 = FALSE))</formula>
    </cfRule>
  </conditionalFormatting>
  <conditionalFormatting sqref="W304">
    <cfRule type="expression" dxfId="1696" priority="1004">
      <formula>AND($R$304,$S$304)</formula>
    </cfRule>
  </conditionalFormatting>
  <conditionalFormatting sqref="W304">
    <cfRule type="expression" dxfId="1695" priority="1003">
      <formula>AND(IF($R$304,$W$304,TRUE),LEN(TRIM($W$304))&gt;0)</formula>
    </cfRule>
  </conditionalFormatting>
  <conditionalFormatting sqref="W304">
    <cfRule type="expression" dxfId="1694" priority="1002">
      <formula>OR($S$304 = FALSE, AND($P$304 = FALSE, ReportType &lt;&gt; "Final"), AND($Q$304 = FALSE, ReportType &lt;&gt; "Rough"))</formula>
    </cfRule>
  </conditionalFormatting>
  <conditionalFormatting sqref="W304">
    <cfRule type="expression" dxfId="1693" priority="1001">
      <formula>OR($T$304 = TRUE, AND($W$304 = TRUE, $S$304 = FALSE))</formula>
    </cfRule>
  </conditionalFormatting>
  <conditionalFormatting sqref="W542">
    <cfRule type="expression" dxfId="1692" priority="1000">
      <formula>AND($R$542,$S$542)</formula>
    </cfRule>
  </conditionalFormatting>
  <conditionalFormatting sqref="W542">
    <cfRule type="expression" dxfId="1691" priority="999">
      <formula>AND(IF($R$542,$W$542,TRUE),LEN(TRIM($W$542))&gt;0)</formula>
    </cfRule>
  </conditionalFormatting>
  <conditionalFormatting sqref="W542">
    <cfRule type="expression" dxfId="1690" priority="998">
      <formula>OR($S$542 = FALSE, AND($P$542 = FALSE, ReportType &lt;&gt; "Final"), AND($Q$542 = FALSE, ReportType &lt;&gt; "Rough"))</formula>
    </cfRule>
  </conditionalFormatting>
  <conditionalFormatting sqref="W542">
    <cfRule type="expression" dxfId="1689" priority="997">
      <formula>OR($T$542 = TRUE, AND($W$542 = TRUE, $S$542 = FALSE))</formula>
    </cfRule>
  </conditionalFormatting>
  <conditionalFormatting sqref="W800">
    <cfRule type="expression" dxfId="1688" priority="11500">
      <formula>OR(S800 = FALSE, AND($P$800 = FALSE, ReportType &lt;&gt; "Final"), AND($Q$800 = FALSE, ReportType &lt;&gt; "Rough"))</formula>
    </cfRule>
  </conditionalFormatting>
  <conditionalFormatting sqref="W811">
    <cfRule type="expression" dxfId="1687" priority="11501">
      <formula>OR(S811 = FALSE, AND($P$811 = FALSE, ReportType &lt;&gt; "Final"), AND($Q$811 = FALSE, ReportType &lt;&gt; "Rough"))</formula>
    </cfRule>
  </conditionalFormatting>
  <conditionalFormatting sqref="W864">
    <cfRule type="expression" dxfId="1686" priority="992">
      <formula>AND($R$864,$S$864)</formula>
    </cfRule>
  </conditionalFormatting>
  <conditionalFormatting sqref="W864">
    <cfRule type="expression" dxfId="1685" priority="991">
      <formula>AND($W$864&lt;&gt;"Not Met",LEN(TRIM($W$864))&gt;0)</formula>
    </cfRule>
  </conditionalFormatting>
  <conditionalFormatting sqref="W864">
    <cfRule type="expression" dxfId="1684" priority="990">
      <formula>OR($S$864 = FALSE, AND($P$864 = FALSE, ReportType &lt;&gt; "Final"), AND($Q$864 = FALSE, ReportType &lt;&gt; "Rough"))</formula>
    </cfRule>
  </conditionalFormatting>
  <conditionalFormatting sqref="W864">
    <cfRule type="expression" dxfId="1683" priority="989">
      <formula>OR($T$864 = TRUE, AND(LEN(TRIM($W$864))&gt;0, $S$864 = FALSE))</formula>
    </cfRule>
  </conditionalFormatting>
  <conditionalFormatting sqref="W868">
    <cfRule type="expression" dxfId="1682" priority="984">
      <formula>AND($R$868,$S$868)</formula>
    </cfRule>
  </conditionalFormatting>
  <conditionalFormatting sqref="W868">
    <cfRule type="expression" dxfId="1681" priority="983">
      <formula>AND($W$868&lt;&gt;"Not Met",LEN(TRIM($W$868))&gt;0)</formula>
    </cfRule>
  </conditionalFormatting>
  <conditionalFormatting sqref="W868">
    <cfRule type="expression" dxfId="1680" priority="982">
      <formula>OR($S$868 = FALSE, AND($P$868 = FALSE, ReportType &lt;&gt; "Final"), AND($Q$868 = FALSE, ReportType &lt;&gt; "Rough"))</formula>
    </cfRule>
  </conditionalFormatting>
  <conditionalFormatting sqref="W868">
    <cfRule type="expression" dxfId="1679" priority="981">
      <formula>OR($T$868 = TRUE, AND(LEN(TRIM($W$868))&gt;0, $S$868 = FALSE))</formula>
    </cfRule>
  </conditionalFormatting>
  <conditionalFormatting sqref="W916">
    <cfRule type="expression" dxfId="1678" priority="975">
      <formula>AND($R$916,$S$916)</formula>
    </cfRule>
  </conditionalFormatting>
  <conditionalFormatting sqref="W916">
    <cfRule type="expression" dxfId="1677" priority="974">
      <formula>AND($W$916&lt;&gt;"Not Met",LEN(TRIM($W$916))&gt;0)</formula>
    </cfRule>
  </conditionalFormatting>
  <conditionalFormatting sqref="W916">
    <cfRule type="expression" dxfId="1676" priority="973">
      <formula>OR($S$916 = FALSE, AND($P$916 = FALSE, ReportType &lt;&gt; "Final"), AND($Q$916 = FALSE, ReportType &lt;&gt; "Rough"))</formula>
    </cfRule>
  </conditionalFormatting>
  <conditionalFormatting sqref="W916">
    <cfRule type="expression" dxfId="1675" priority="972">
      <formula>OR($T$916 = TRUE, AND(LEN(TRIM($W$916))&gt;0, $S$916 = FALSE))</formula>
    </cfRule>
  </conditionalFormatting>
  <conditionalFormatting sqref="W917">
    <cfRule type="expression" dxfId="1674" priority="971">
      <formula>AND($R$917,$S$917)</formula>
    </cfRule>
  </conditionalFormatting>
  <conditionalFormatting sqref="W917">
    <cfRule type="expression" dxfId="1673" priority="970">
      <formula>AND($W$917&lt;&gt;"Not Met",LEN(TRIM($W$917))&gt;0)</formula>
    </cfRule>
  </conditionalFormatting>
  <conditionalFormatting sqref="W917">
    <cfRule type="expression" dxfId="1672" priority="969">
      <formula>OR($S$917 = FALSE, AND($P$917 = FALSE, ReportType &lt;&gt; "Final"), AND($Q$917 = FALSE, ReportType &lt;&gt; "Rough"))</formula>
    </cfRule>
  </conditionalFormatting>
  <conditionalFormatting sqref="W917">
    <cfRule type="expression" dxfId="1671" priority="968">
      <formula>OR($T$917 = TRUE, AND(LEN(TRIM($W$917))&gt;0, $S$917 = FALSE))</formula>
    </cfRule>
  </conditionalFormatting>
  <conditionalFormatting sqref="W918">
    <cfRule type="expression" dxfId="1670" priority="967">
      <formula>AND($R$918,$S$918)</formula>
    </cfRule>
  </conditionalFormatting>
  <conditionalFormatting sqref="W918">
    <cfRule type="expression" dxfId="1669" priority="966">
      <formula>AND($W$918&lt;&gt;"Not Met",LEN(TRIM($W$918))&gt;0)</formula>
    </cfRule>
  </conditionalFormatting>
  <conditionalFormatting sqref="W918">
    <cfRule type="expression" dxfId="1668" priority="965">
      <formula>OR($S$918 = FALSE, AND($P$918 = FALSE, ReportType &lt;&gt; "Final"), AND($Q$918 = FALSE, ReportType &lt;&gt; "Rough"))</formula>
    </cfRule>
  </conditionalFormatting>
  <conditionalFormatting sqref="W918">
    <cfRule type="expression" dxfId="1667" priority="964">
      <formula>OR($T$918 = TRUE, AND(LEN(TRIM($W$918))&gt;0, $S$918 = FALSE))</formula>
    </cfRule>
  </conditionalFormatting>
  <conditionalFormatting sqref="W919">
    <cfRule type="expression" dxfId="1666" priority="963">
      <formula>AND($R$919,$S$919)</formula>
    </cfRule>
  </conditionalFormatting>
  <conditionalFormatting sqref="W919">
    <cfRule type="expression" dxfId="1665" priority="962">
      <formula>AND($W$919&lt;&gt;"Not Met",LEN(TRIM($W$919))&gt;0)</formula>
    </cfRule>
  </conditionalFormatting>
  <conditionalFormatting sqref="W919">
    <cfRule type="expression" dxfId="1664" priority="961">
      <formula>OR($S$919 = FALSE, AND($P$919 = FALSE, ReportType &lt;&gt; "Final"), AND($Q$919 = FALSE, ReportType &lt;&gt; "Rough"))</formula>
    </cfRule>
  </conditionalFormatting>
  <conditionalFormatting sqref="W919">
    <cfRule type="expression" dxfId="1663" priority="960">
      <formula>OR($T$919 = TRUE, AND(LEN(TRIM($W$919))&gt;0, $S$919 = FALSE))</formula>
    </cfRule>
  </conditionalFormatting>
  <conditionalFormatting sqref="W920">
    <cfRule type="expression" dxfId="1662" priority="959">
      <formula>AND($R$920,$S$920)</formula>
    </cfRule>
  </conditionalFormatting>
  <conditionalFormatting sqref="W920">
    <cfRule type="expression" dxfId="1661" priority="958">
      <formula>AND($W$920&lt;&gt;"Not Met",LEN(TRIM($W$920))&gt;0)</formula>
    </cfRule>
  </conditionalFormatting>
  <conditionalFormatting sqref="W920">
    <cfRule type="expression" dxfId="1660" priority="957">
      <formula>OR($S$920 = FALSE, AND($P$920 = FALSE, ReportType &lt;&gt; "Final"), AND($Q$920 = FALSE, ReportType &lt;&gt; "Rough"))</formula>
    </cfRule>
  </conditionalFormatting>
  <conditionalFormatting sqref="W920">
    <cfRule type="expression" dxfId="1659" priority="956">
      <formula>OR($T$920 = TRUE, AND(LEN(TRIM($W$920))&gt;0, $S$920 = FALSE))</formula>
    </cfRule>
  </conditionalFormatting>
  <conditionalFormatting sqref="W921">
    <cfRule type="expression" dxfId="1658" priority="955">
      <formula>AND($R$921,$S$921)</formula>
    </cfRule>
  </conditionalFormatting>
  <conditionalFormatting sqref="W921">
    <cfRule type="expression" dxfId="1657" priority="954">
      <formula>AND($W$921&lt;&gt;"Not Met",LEN(TRIM($W$921))&gt;0)</formula>
    </cfRule>
  </conditionalFormatting>
  <conditionalFormatting sqref="W921">
    <cfRule type="expression" dxfId="1656" priority="953">
      <formula>OR($S$921 = FALSE, AND($P$921 = FALSE, ReportType &lt;&gt; "Final"), AND($Q$921 = FALSE, ReportType &lt;&gt; "Rough"))</formula>
    </cfRule>
  </conditionalFormatting>
  <conditionalFormatting sqref="W921">
    <cfRule type="expression" dxfId="1655" priority="952">
      <formula>OR($T$921 = TRUE, AND(LEN(TRIM($W$921))&gt;0, $S$921 = FALSE))</formula>
    </cfRule>
  </conditionalFormatting>
  <conditionalFormatting sqref="W922">
    <cfRule type="expression" dxfId="1654" priority="951">
      <formula>AND($R$922,$S$922)</formula>
    </cfRule>
  </conditionalFormatting>
  <conditionalFormatting sqref="W922">
    <cfRule type="expression" dxfId="1653" priority="950">
      <formula>AND($W$922&lt;&gt;"Not Met",LEN(TRIM($W$922))&gt;0)</formula>
    </cfRule>
  </conditionalFormatting>
  <conditionalFormatting sqref="W922">
    <cfRule type="expression" dxfId="1652" priority="949">
      <formula>OR($S$922 = FALSE, AND($P$922 = FALSE, ReportType &lt;&gt; "Final"), AND($Q$922 = FALSE, ReportType &lt;&gt; "Rough"))</formula>
    </cfRule>
  </conditionalFormatting>
  <conditionalFormatting sqref="W922">
    <cfRule type="expression" dxfId="1651" priority="948">
      <formula>OR($T$922 = TRUE, AND(LEN(TRIM($W$922))&gt;0, $S$922 = FALSE))</formula>
    </cfRule>
  </conditionalFormatting>
  <conditionalFormatting sqref="W923">
    <cfRule type="expression" dxfId="1650" priority="947">
      <formula>AND($R$923,$S$923)</formula>
    </cfRule>
  </conditionalFormatting>
  <conditionalFormatting sqref="W923">
    <cfRule type="expression" dxfId="1649" priority="946">
      <formula>AND($W$923&lt;&gt;"Not Met",LEN(TRIM($W$923))&gt;0)</formula>
    </cfRule>
  </conditionalFormatting>
  <conditionalFormatting sqref="W923">
    <cfRule type="expression" dxfId="1648" priority="945">
      <formula>OR($S$923 = FALSE, AND($P$923 = FALSE, ReportType &lt;&gt; "Final"), AND($Q$923 = FALSE, ReportType &lt;&gt; "Rough"))</formula>
    </cfRule>
  </conditionalFormatting>
  <conditionalFormatting sqref="W923">
    <cfRule type="expression" dxfId="1647" priority="944">
      <formula>OR($T$923 = TRUE, AND(LEN(TRIM($W$923))&gt;0, $S$923 = FALSE))</formula>
    </cfRule>
  </conditionalFormatting>
  <conditionalFormatting sqref="W924">
    <cfRule type="expression" dxfId="1646" priority="943">
      <formula>AND($R$924,$S$924)</formula>
    </cfRule>
  </conditionalFormatting>
  <conditionalFormatting sqref="W924">
    <cfRule type="expression" dxfId="1645" priority="942">
      <formula>AND($W$924&lt;&gt;"Not Met",LEN(TRIM($W$924))&gt;0)</formula>
    </cfRule>
  </conditionalFormatting>
  <conditionalFormatting sqref="W924">
    <cfRule type="expression" dxfId="1644" priority="941">
      <formula>OR($S$924 = FALSE, AND($P$924 = FALSE, ReportType &lt;&gt; "Final"), AND($Q$924 = FALSE, ReportType &lt;&gt; "Rough"))</formula>
    </cfRule>
  </conditionalFormatting>
  <conditionalFormatting sqref="W924">
    <cfRule type="expression" dxfId="1643" priority="940">
      <formula>OR($T$924 = TRUE, AND(LEN(TRIM($W$924))&gt;0, $S$924 = FALSE))</formula>
    </cfRule>
  </conditionalFormatting>
  <conditionalFormatting sqref="W925">
    <cfRule type="expression" dxfId="1642" priority="939">
      <formula>AND($R$925,$S$925)</formula>
    </cfRule>
  </conditionalFormatting>
  <conditionalFormatting sqref="W925">
    <cfRule type="expression" dxfId="1641" priority="938">
      <formula>AND($W$925&lt;&gt;"Not Met",LEN(TRIM($W$925))&gt;0)</formula>
    </cfRule>
  </conditionalFormatting>
  <conditionalFormatting sqref="W925">
    <cfRule type="expression" dxfId="1640" priority="937">
      <formula>OR($S$925 = FALSE, AND($P$925 = FALSE, ReportType &lt;&gt; "Final"), AND($Q$925 = FALSE, ReportType &lt;&gt; "Rough"))</formula>
    </cfRule>
  </conditionalFormatting>
  <conditionalFormatting sqref="W925">
    <cfRule type="expression" dxfId="1639" priority="936">
      <formula>OR($T$925 = TRUE, AND(LEN(TRIM($W$925))&gt;0, $S$925 = FALSE))</formula>
    </cfRule>
  </conditionalFormatting>
  <conditionalFormatting sqref="W926">
    <cfRule type="expression" dxfId="1638" priority="935">
      <formula>AND($R$926,$S$926)</formula>
    </cfRule>
  </conditionalFormatting>
  <conditionalFormatting sqref="W926">
    <cfRule type="expression" dxfId="1637" priority="934">
      <formula>AND($W$926&lt;&gt;"Not Met",LEN(TRIM($W$926))&gt;0)</formula>
    </cfRule>
  </conditionalFormatting>
  <conditionalFormatting sqref="W926">
    <cfRule type="expression" dxfId="1636" priority="933">
      <formula>OR($S$926 = FALSE, AND($P$926 = FALSE, ReportType &lt;&gt; "Final"), AND($Q$926 = FALSE, ReportType &lt;&gt; "Rough"))</formula>
    </cfRule>
  </conditionalFormatting>
  <conditionalFormatting sqref="W926">
    <cfRule type="expression" dxfId="1635" priority="932">
      <formula>OR($T$926 = TRUE, AND(LEN(TRIM($W$926))&gt;0, $S$926 = FALSE))</formula>
    </cfRule>
  </conditionalFormatting>
  <conditionalFormatting sqref="W927">
    <cfRule type="expression" dxfId="1634" priority="931">
      <formula>AND($R$927,$S$927)</formula>
    </cfRule>
  </conditionalFormatting>
  <conditionalFormatting sqref="W927">
    <cfRule type="expression" dxfId="1633" priority="930">
      <formula>AND($W$927&lt;&gt;"Not Met",LEN(TRIM($W$927))&gt;0)</formula>
    </cfRule>
  </conditionalFormatting>
  <conditionalFormatting sqref="W927">
    <cfRule type="expression" dxfId="1632" priority="929">
      <formula>OR($S$927 = FALSE, AND($P$927 = FALSE, ReportType &lt;&gt; "Final"), AND($Q$927 = FALSE, ReportType &lt;&gt; "Rough"))</formula>
    </cfRule>
  </conditionalFormatting>
  <conditionalFormatting sqref="W927">
    <cfRule type="expression" dxfId="1631" priority="928">
      <formula>OR($T$927 = TRUE, AND(LEN(TRIM($W$927))&gt;0, $S$927 = FALSE))</formula>
    </cfRule>
  </conditionalFormatting>
  <conditionalFormatting sqref="W928">
    <cfRule type="expression" dxfId="1630" priority="927">
      <formula>AND($R$928,$S$928)</formula>
    </cfRule>
  </conditionalFormatting>
  <conditionalFormatting sqref="W928">
    <cfRule type="expression" dxfId="1629" priority="926">
      <formula>AND($W$928&lt;&gt;"Not Met",LEN(TRIM($W$928))&gt;0)</formula>
    </cfRule>
  </conditionalFormatting>
  <conditionalFormatting sqref="W928">
    <cfRule type="expression" dxfId="1628" priority="925">
      <formula>OR($S$928 = FALSE, AND($P$928 = FALSE, ReportType &lt;&gt; "Final"), AND($Q$928 = FALSE, ReportType &lt;&gt; "Rough"))</formula>
    </cfRule>
  </conditionalFormatting>
  <conditionalFormatting sqref="W928">
    <cfRule type="expression" dxfId="1627" priority="924">
      <formula>OR($T$928 = TRUE, AND(LEN(TRIM($W$928))&gt;0, $S$928 = FALSE))</formula>
    </cfRule>
  </conditionalFormatting>
  <conditionalFormatting sqref="W1052">
    <cfRule type="expression" dxfId="1626" priority="911">
      <formula>AND($R$1052,$S$1052)</formula>
    </cfRule>
  </conditionalFormatting>
  <conditionalFormatting sqref="W1052">
    <cfRule type="expression" dxfId="1625" priority="910">
      <formula>AND(IF($R$1052,$W$1052,TRUE),LEN(TRIM($W$1052))&gt;0)</formula>
    </cfRule>
  </conditionalFormatting>
  <conditionalFormatting sqref="W1052">
    <cfRule type="expression" dxfId="1624" priority="909">
      <formula>OR($S$1052 = FALSE, AND($P$1052 = FALSE, ReportType &lt;&gt; "Final"), AND($Q$1052 = FALSE, ReportType &lt;&gt; "Rough"))</formula>
    </cfRule>
  </conditionalFormatting>
  <conditionalFormatting sqref="W1052">
    <cfRule type="expression" dxfId="1623" priority="908">
      <formula>OR($T$1052 = TRUE, AND($W$1052 = TRUE, $S$1052 = FALSE))</formula>
    </cfRule>
  </conditionalFormatting>
  <conditionalFormatting sqref="W1061">
    <cfRule type="expression" dxfId="1622" priority="907">
      <formula>AND($R$1061,$S$1061)</formula>
    </cfRule>
  </conditionalFormatting>
  <conditionalFormatting sqref="W1061">
    <cfRule type="expression" dxfId="1621" priority="906">
      <formula>AND(IF($R$1061,$W$1061,TRUE),LEN(TRIM($W$1061))&gt;0)</formula>
    </cfRule>
  </conditionalFormatting>
  <conditionalFormatting sqref="W1061">
    <cfRule type="expression" dxfId="1620" priority="905">
      <formula>OR($S$1061 = FALSE, AND($P$1061 = FALSE, ReportType &lt;&gt; "Final"), AND($Q$1061 = FALSE, ReportType &lt;&gt; "Rough"))</formula>
    </cfRule>
  </conditionalFormatting>
  <conditionalFormatting sqref="W1061">
    <cfRule type="expression" dxfId="1619" priority="904">
      <formula>OR($T$1061 = TRUE, AND($W$1061 = TRUE, $S$1061 = FALSE))</formula>
    </cfRule>
  </conditionalFormatting>
  <conditionalFormatting sqref="W1077">
    <cfRule type="expression" dxfId="1618" priority="899">
      <formula>AND($R$1077,$S$1077)</formula>
    </cfRule>
  </conditionalFormatting>
  <conditionalFormatting sqref="W1077">
    <cfRule type="expression" dxfId="1617" priority="898">
      <formula>AND($W$1077&lt;&gt;"Not Met",LEN(TRIM($W$1077))&gt;0)</formula>
    </cfRule>
  </conditionalFormatting>
  <conditionalFormatting sqref="W1077">
    <cfRule type="expression" dxfId="1616" priority="897">
      <formula>OR($S$1077 = FALSE, AND($P$1077 = FALSE, ReportType &lt;&gt; "Final"), AND($Q$1077 = FALSE, ReportType &lt;&gt; "Rough"))</formula>
    </cfRule>
  </conditionalFormatting>
  <conditionalFormatting sqref="W1077">
    <cfRule type="expression" dxfId="1615" priority="896">
      <formula>OR($T$1077 = TRUE, AND(LEN(TRIM($W$1077))&gt;0, $S$1077 = FALSE))</formula>
    </cfRule>
  </conditionalFormatting>
  <conditionalFormatting sqref="W1086">
    <cfRule type="expression" dxfId="1614" priority="895">
      <formula>AND($R$1086,$S$1086)</formula>
    </cfRule>
  </conditionalFormatting>
  <conditionalFormatting sqref="W1086">
    <cfRule type="expression" dxfId="1613" priority="894">
      <formula>AND($W$1086&lt;&gt;"Not Met",LEN(TRIM($W$1086))&gt;0)</formula>
    </cfRule>
  </conditionalFormatting>
  <conditionalFormatting sqref="W1086">
    <cfRule type="expression" dxfId="1612" priority="893">
      <formula>OR($S$1086 = FALSE, AND($P$1086 = FALSE, ReportType &lt;&gt; "Final"), AND($Q$1086 = FALSE, ReportType &lt;&gt; "Rough"))</formula>
    </cfRule>
  </conditionalFormatting>
  <conditionalFormatting sqref="W1086">
    <cfRule type="expression" dxfId="1611" priority="892">
      <formula>OR($T$1086 = TRUE, AND(LEN(TRIM($W$1086))&gt;0, $S$1086 = FALSE))</formula>
    </cfRule>
  </conditionalFormatting>
  <conditionalFormatting sqref="W1096">
    <cfRule type="expression" dxfId="1610" priority="891">
      <formula>AND($R$1096,$S$1096)</formula>
    </cfRule>
  </conditionalFormatting>
  <conditionalFormatting sqref="W1096">
    <cfRule type="expression" dxfId="1609" priority="890">
      <formula>AND($W$1096&lt;&gt;"Not Met",LEN(TRIM($W$1096))&gt;0)</formula>
    </cfRule>
  </conditionalFormatting>
  <conditionalFormatting sqref="W1096">
    <cfRule type="expression" dxfId="1608" priority="889">
      <formula>OR($S$1096 = FALSE, AND($P$1096 = FALSE, ReportType &lt;&gt; "Final"), AND($Q$1096 = FALSE, ReportType &lt;&gt; "Rough"))</formula>
    </cfRule>
  </conditionalFormatting>
  <conditionalFormatting sqref="W1096">
    <cfRule type="expression" dxfId="1607" priority="888">
      <formula>OR($T$1096 = TRUE, AND(LEN(TRIM($W$1096))&gt;0, $S$1096 = FALSE))</formula>
    </cfRule>
  </conditionalFormatting>
  <conditionalFormatting sqref="W1107">
    <cfRule type="expression" dxfId="1606" priority="887">
      <formula>AND($R$1107,$S$1107)</formula>
    </cfRule>
  </conditionalFormatting>
  <conditionalFormatting sqref="W1107">
    <cfRule type="expression" dxfId="1605" priority="886">
      <formula>AND($W$1107&lt;&gt;"Not Met",LEN(TRIM($W$1107))&gt;0)</formula>
    </cfRule>
  </conditionalFormatting>
  <conditionalFormatting sqref="W1107">
    <cfRule type="expression" dxfId="1604" priority="885">
      <formula>OR($S$1107 = FALSE, AND($P$1107 = FALSE, ReportType &lt;&gt; "Final"), AND($Q$1107 = FALSE, ReportType &lt;&gt; "Rough"))</formula>
    </cfRule>
  </conditionalFormatting>
  <conditionalFormatting sqref="W1107">
    <cfRule type="expression" dxfId="1603" priority="884">
      <formula>OR($T$1107 = TRUE, AND(LEN(TRIM($W$1107))&gt;0, $S$1107 = FALSE))</formula>
    </cfRule>
  </conditionalFormatting>
  <conditionalFormatting sqref="W1113">
    <cfRule type="expression" dxfId="1602" priority="883">
      <formula>AND($R$1113,$S$1113)</formula>
    </cfRule>
  </conditionalFormatting>
  <conditionalFormatting sqref="W1113">
    <cfRule type="expression" dxfId="1601" priority="882">
      <formula>AND($W$1113&lt;&gt;"Not Met",LEN(TRIM($W$1113))&gt;0)</formula>
    </cfRule>
  </conditionalFormatting>
  <conditionalFormatting sqref="W1113">
    <cfRule type="expression" dxfId="1600" priority="881">
      <formula>OR($S$1113 = FALSE, AND($P$1113 = FALSE, ReportType &lt;&gt; "Final"), AND($Q$1113 = FALSE, ReportType &lt;&gt; "Rough"))</formula>
    </cfRule>
  </conditionalFormatting>
  <conditionalFormatting sqref="W1113">
    <cfRule type="expression" dxfId="1599" priority="880">
      <formula>OR($T$1113 = TRUE, AND(LEN(TRIM($W$1113))&gt;0, $S$1113 = FALSE))</formula>
    </cfRule>
  </conditionalFormatting>
  <conditionalFormatting sqref="W1119">
    <cfRule type="expression" dxfId="1598" priority="879">
      <formula>AND($R$1119,$S$1119)</formula>
    </cfRule>
  </conditionalFormatting>
  <conditionalFormatting sqref="W1119">
    <cfRule type="expression" dxfId="1597" priority="878">
      <formula>AND(IF($R$1119,$W$1119,TRUE),LEN(TRIM($W$1119))&gt;0)</formula>
    </cfRule>
  </conditionalFormatting>
  <conditionalFormatting sqref="W1119">
    <cfRule type="expression" dxfId="1596" priority="877">
      <formula>OR($S$1119 = FALSE, AND($P$1119 = FALSE, ReportType &lt;&gt; "Final"), AND($Q$1119 = FALSE, ReportType &lt;&gt; "Rough"))</formula>
    </cfRule>
  </conditionalFormatting>
  <conditionalFormatting sqref="W1119">
    <cfRule type="expression" dxfId="1595" priority="876">
      <formula>OR($T$1119 = TRUE, AND($W$1119 = TRUE, $S$1119 = FALSE))</formula>
    </cfRule>
  </conditionalFormatting>
  <conditionalFormatting sqref="W1163">
    <cfRule type="expression" dxfId="1594" priority="875">
      <formula>AND($R$1163,$S$1163)</formula>
    </cfRule>
  </conditionalFormatting>
  <conditionalFormatting sqref="W1163">
    <cfRule type="expression" dxfId="1593" priority="874">
      <formula>AND(IF($R$1163,$W$1163,TRUE),LEN(TRIM($W$1163))&gt;0)</formula>
    </cfRule>
  </conditionalFormatting>
  <conditionalFormatting sqref="W1163">
    <cfRule type="expression" dxfId="1592" priority="873">
      <formula>OR($S$1163 = FALSE, AND($P$1163 = FALSE, ReportType &lt;&gt; "Final"), AND($Q$1163 = FALSE, ReportType &lt;&gt; "Rough"))</formula>
    </cfRule>
  </conditionalFormatting>
  <conditionalFormatting sqref="W1163">
    <cfRule type="expression" dxfId="1591" priority="872">
      <formula>OR($T$1163 = TRUE, AND($W$1163 = TRUE, $S$1163 = FALSE))</formula>
    </cfRule>
  </conditionalFormatting>
  <conditionalFormatting sqref="W1166">
    <cfRule type="expression" dxfId="1590" priority="871">
      <formula>AND($R$1166,$S$1166)</formula>
    </cfRule>
  </conditionalFormatting>
  <conditionalFormatting sqref="W1166">
    <cfRule type="expression" dxfId="1589" priority="870">
      <formula>AND(IF($R$1166,$W$1166,TRUE),LEN(TRIM($W$1166))&gt;0)</formula>
    </cfRule>
  </conditionalFormatting>
  <conditionalFormatting sqref="W1166">
    <cfRule type="expression" dxfId="1588" priority="869">
      <formula>OR($S$1166 = FALSE, AND($P$1166 = FALSE, ReportType &lt;&gt; "Final"), AND($Q$1166 = FALSE, ReportType &lt;&gt; "Rough"))</formula>
    </cfRule>
  </conditionalFormatting>
  <conditionalFormatting sqref="W1166">
    <cfRule type="expression" dxfId="1587" priority="868">
      <formula>OR($T$1166 = TRUE, AND($W$1166 = TRUE, $S$1166 = FALSE))</formula>
    </cfRule>
  </conditionalFormatting>
  <conditionalFormatting sqref="W1176">
    <cfRule type="expression" dxfId="1586" priority="867">
      <formula>AND($R$1176,$S$1176)</formula>
    </cfRule>
  </conditionalFormatting>
  <conditionalFormatting sqref="W1176">
    <cfRule type="expression" dxfId="1585" priority="866">
      <formula>AND(IF($R$1176,$W$1176,TRUE),LEN(TRIM($W$1176))&gt;0)</formula>
    </cfRule>
  </conditionalFormatting>
  <conditionalFormatting sqref="W1176">
    <cfRule type="expression" dxfId="1584" priority="865">
      <formula>OR($S$1176 = FALSE, AND($P$1176 = FALSE, ReportType &lt;&gt; "Final"), AND($Q$1176 = FALSE, ReportType &lt;&gt; "Rough"))</formula>
    </cfRule>
  </conditionalFormatting>
  <conditionalFormatting sqref="W1176">
    <cfRule type="expression" dxfId="1583" priority="864">
      <formula>OR($T$1176 = TRUE, AND($W$1176 = TRUE, $S$1176 = FALSE))</formula>
    </cfRule>
  </conditionalFormatting>
  <conditionalFormatting sqref="W1183">
    <cfRule type="expression" dxfId="1582" priority="863">
      <formula>AND($R$1183,$S$1183)</formula>
    </cfRule>
  </conditionalFormatting>
  <conditionalFormatting sqref="W1183">
    <cfRule type="expression" dxfId="1581" priority="862">
      <formula>AND(IF($R$1183,$W$1183,TRUE),LEN(TRIM($W$1183))&gt;0)</formula>
    </cfRule>
  </conditionalFormatting>
  <conditionalFormatting sqref="W1183">
    <cfRule type="expression" dxfId="1580" priority="861">
      <formula>OR($S$1183 = FALSE, AND($P$1183 = FALSE, ReportType &lt;&gt; "Final"), AND($Q$1183 = FALSE, ReportType &lt;&gt; "Rough"))</formula>
    </cfRule>
  </conditionalFormatting>
  <conditionalFormatting sqref="W1183">
    <cfRule type="expression" dxfId="1579" priority="860">
      <formula>OR($T$1183 = TRUE, AND($W$1183 = TRUE, $S$1183 = FALSE))</formula>
    </cfRule>
  </conditionalFormatting>
  <conditionalFormatting sqref="W1188">
    <cfRule type="expression" dxfId="1578" priority="859">
      <formula>AND($R$1188,$S$1188)</formula>
    </cfRule>
  </conditionalFormatting>
  <conditionalFormatting sqref="W1188">
    <cfRule type="expression" dxfId="1577" priority="858">
      <formula>AND(IF($R$1188,$W$1188,TRUE),LEN(TRIM($W$1188))&gt;0)</formula>
    </cfRule>
  </conditionalFormatting>
  <conditionalFormatting sqref="W1188">
    <cfRule type="expression" dxfId="1576" priority="857">
      <formula>OR($S$1188 = FALSE, AND($P$1188 = FALSE, ReportType &lt;&gt; "Final"), AND($Q$1188 = FALSE, ReportType &lt;&gt; "Rough"))</formula>
    </cfRule>
  </conditionalFormatting>
  <conditionalFormatting sqref="W1188">
    <cfRule type="expression" dxfId="1575" priority="856">
      <formula>OR($T$1188 = TRUE, AND($W$1188 = TRUE, $S$1188 = FALSE))</formula>
    </cfRule>
  </conditionalFormatting>
  <conditionalFormatting sqref="W1189">
    <cfRule type="expression" dxfId="1574" priority="855">
      <formula>AND($R$1189,$S$1189)</formula>
    </cfRule>
  </conditionalFormatting>
  <conditionalFormatting sqref="W1189">
    <cfRule type="expression" dxfId="1573" priority="854">
      <formula>AND(IF($R$1189,$W$1189,TRUE),LEN(TRIM($W$1189))&gt;0)</formula>
    </cfRule>
  </conditionalFormatting>
  <conditionalFormatting sqref="W1189">
    <cfRule type="expression" dxfId="1572" priority="853">
      <formula>OR($S$1189 = FALSE, AND($P$1189 = FALSE, ReportType &lt;&gt; "Final"), AND($Q$1189 = FALSE, ReportType &lt;&gt; "Rough"))</formula>
    </cfRule>
  </conditionalFormatting>
  <conditionalFormatting sqref="W1189">
    <cfRule type="expression" dxfId="1571" priority="852">
      <formula>OR($T$1189 = TRUE, AND($W$1189 = TRUE, $S$1189 = FALSE))</formula>
    </cfRule>
  </conditionalFormatting>
  <conditionalFormatting sqref="W1191">
    <cfRule type="expression" dxfId="1570" priority="851">
      <formula>AND($R$1191,$S$1191)</formula>
    </cfRule>
  </conditionalFormatting>
  <conditionalFormatting sqref="W1191">
    <cfRule type="expression" dxfId="1569" priority="850">
      <formula>AND(IF($R$1191,$W$1191,TRUE),LEN(TRIM($W$1191))&gt;0)</formula>
    </cfRule>
  </conditionalFormatting>
  <conditionalFormatting sqref="W1191">
    <cfRule type="expression" dxfId="1568" priority="849">
      <formula>OR($S$1191 = FALSE, AND($P$1191 = FALSE, ReportType &lt;&gt; "Final"), AND($Q$1191 = FALSE, ReportType &lt;&gt; "Rough"))</formula>
    </cfRule>
  </conditionalFormatting>
  <conditionalFormatting sqref="W1191">
    <cfRule type="expression" dxfId="1567" priority="848">
      <formula>OR($T$1191 = TRUE, AND($W$1191 = TRUE, $S$1191 = FALSE))</formula>
    </cfRule>
  </conditionalFormatting>
  <conditionalFormatting sqref="W1192">
    <cfRule type="expression" dxfId="1566" priority="847">
      <formula>AND($R$1192,$S$1192)</formula>
    </cfRule>
  </conditionalFormatting>
  <conditionalFormatting sqref="W1192">
    <cfRule type="expression" dxfId="1565" priority="846">
      <formula>AND(IF($R$1192,$W$1192,TRUE),LEN(TRIM($W$1192))&gt;0)</formula>
    </cfRule>
  </conditionalFormatting>
  <conditionalFormatting sqref="W1192">
    <cfRule type="expression" dxfId="1564" priority="845">
      <formula>OR($S$1192 = FALSE, AND($P$1192 = FALSE, ReportType &lt;&gt; "Final"), AND($Q$1192 = FALSE, ReportType &lt;&gt; "Rough"))</formula>
    </cfRule>
  </conditionalFormatting>
  <conditionalFormatting sqref="W1192">
    <cfRule type="expression" dxfId="1563" priority="844">
      <formula>OR($T$1192 = TRUE, AND($W$1192 = TRUE, $S$1192 = FALSE))</formula>
    </cfRule>
  </conditionalFormatting>
  <conditionalFormatting sqref="W1194">
    <cfRule type="expression" dxfId="1562" priority="843">
      <formula>AND($R$1194,$S$1194)</formula>
    </cfRule>
  </conditionalFormatting>
  <conditionalFormatting sqref="W1194">
    <cfRule type="expression" dxfId="1561" priority="842">
      <formula>AND(IF($R$1194,$W$1194,TRUE),LEN(TRIM($W$1194))&gt;0)</formula>
    </cfRule>
  </conditionalFormatting>
  <conditionalFormatting sqref="W1194">
    <cfRule type="expression" dxfId="1560" priority="841">
      <formula>OR($S$1194 = FALSE, AND($P$1194 = FALSE, ReportType &lt;&gt; "Final"), AND($Q$1194 = FALSE, ReportType &lt;&gt; "Rough"))</formula>
    </cfRule>
  </conditionalFormatting>
  <conditionalFormatting sqref="W1194">
    <cfRule type="expression" dxfId="1559" priority="840">
      <formula>OR($T$1194 = TRUE, AND($W$1194 = TRUE, $S$1194 = FALSE))</formula>
    </cfRule>
  </conditionalFormatting>
  <conditionalFormatting sqref="W1195">
    <cfRule type="expression" dxfId="1558" priority="839">
      <formula>AND($R$1195,$S$1195)</formula>
    </cfRule>
  </conditionalFormatting>
  <conditionalFormatting sqref="W1195">
    <cfRule type="expression" dxfId="1557" priority="838">
      <formula>AND($W$1195&lt;&gt;"Not Met",LEN(TRIM($W$1195))&gt;0)</formula>
    </cfRule>
  </conditionalFormatting>
  <conditionalFormatting sqref="W1195">
    <cfRule type="expression" dxfId="1556" priority="837">
      <formula>OR($S$1195 = FALSE, AND($P$1195 = FALSE, ReportType &lt;&gt; "Final"), AND($Q$1195 = FALSE, ReportType &lt;&gt; "Rough"))</formula>
    </cfRule>
  </conditionalFormatting>
  <conditionalFormatting sqref="W1195">
    <cfRule type="expression" dxfId="1555" priority="836">
      <formula>OR($T$1195 = TRUE, AND(LEN(TRIM($W$1195))&gt;0, $S$1195 = FALSE))</formula>
    </cfRule>
  </conditionalFormatting>
  <conditionalFormatting sqref="W1206">
    <cfRule type="expression" dxfId="1554" priority="835">
      <formula>AND($R$1206,$S$1206)</formula>
    </cfRule>
  </conditionalFormatting>
  <conditionalFormatting sqref="W1206">
    <cfRule type="expression" dxfId="1553" priority="834">
      <formula>AND($W$1206&lt;&gt;"Not Met",LEN(TRIM($W$1206))&gt;0)</formula>
    </cfRule>
  </conditionalFormatting>
  <conditionalFormatting sqref="W1206">
    <cfRule type="expression" dxfId="1552" priority="833">
      <formula>OR($S$1206 = FALSE, AND($P$1206 = FALSE, ReportType &lt;&gt; "Final"), AND($Q$1206 = FALSE, ReportType &lt;&gt; "Rough"))</formula>
    </cfRule>
  </conditionalFormatting>
  <conditionalFormatting sqref="W1206">
    <cfRule type="expression" dxfId="1551" priority="832">
      <formula>OR($T$1206 = TRUE, AND(LEN(TRIM($W$1206))&gt;0, $S$1206 = FALSE))</formula>
    </cfRule>
  </conditionalFormatting>
  <conditionalFormatting sqref="W1254">
    <cfRule type="expression" dxfId="1550" priority="831">
      <formula>AND($R$1254,$S$1254)</formula>
    </cfRule>
  </conditionalFormatting>
  <conditionalFormatting sqref="W1254">
    <cfRule type="expression" dxfId="1549" priority="830">
      <formula>AND(IF($R$1254,$W$1254,TRUE),LEN(TRIM($W$1254))&gt;0)</formula>
    </cfRule>
  </conditionalFormatting>
  <conditionalFormatting sqref="W1254">
    <cfRule type="expression" dxfId="1548" priority="829">
      <formula>OR($S$1254 = FALSE, AND($P$1254 = FALSE, ReportType &lt;&gt; "Final"), AND($Q$1254 = FALSE, ReportType &lt;&gt; "Rough"))</formula>
    </cfRule>
  </conditionalFormatting>
  <conditionalFormatting sqref="W1254">
    <cfRule type="expression" dxfId="1547" priority="828">
      <formula>OR($T$1254 = TRUE, AND($W$1254 = TRUE, $S$1254 = FALSE))</formula>
    </cfRule>
  </conditionalFormatting>
  <conditionalFormatting sqref="W1256">
    <cfRule type="expression" dxfId="1546" priority="827">
      <formula>AND($R$1256,$S$1256)</formula>
    </cfRule>
  </conditionalFormatting>
  <conditionalFormatting sqref="W1256">
    <cfRule type="expression" dxfId="1545" priority="826">
      <formula>AND(IF($R$1256,$W$1256,TRUE),LEN(TRIM($W$1256))&gt;0)</formula>
    </cfRule>
  </conditionalFormatting>
  <conditionalFormatting sqref="W1256">
    <cfRule type="expression" dxfId="1544" priority="825">
      <formula>OR($S$1256 = FALSE, AND($P$1256 = FALSE, ReportType &lt;&gt; "Final"), AND($Q$1256 = FALSE, ReportType &lt;&gt; "Rough"))</formula>
    </cfRule>
  </conditionalFormatting>
  <conditionalFormatting sqref="W1256">
    <cfRule type="expression" dxfId="1543" priority="824">
      <formula>OR($T$1256 = TRUE, AND($W$1256 = TRUE, $S$1256 = FALSE))</formula>
    </cfRule>
  </conditionalFormatting>
  <conditionalFormatting sqref="W1258">
    <cfRule type="expression" dxfId="1542" priority="823">
      <formula>AND($R$1258,$S$1258)</formula>
    </cfRule>
  </conditionalFormatting>
  <conditionalFormatting sqref="W1258">
    <cfRule type="expression" dxfId="1541" priority="822">
      <formula>AND(IF($R$1258,$W$1258,TRUE),LEN(TRIM($W$1258))&gt;0)</formula>
    </cfRule>
  </conditionalFormatting>
  <conditionalFormatting sqref="W1258">
    <cfRule type="expression" dxfId="1540" priority="821">
      <formula>OR($S$1258 = FALSE, AND($P$1258 = FALSE, ReportType &lt;&gt; "Final"), AND($Q$1258 = FALSE, ReportType &lt;&gt; "Rough"))</formula>
    </cfRule>
  </conditionalFormatting>
  <conditionalFormatting sqref="W1258">
    <cfRule type="expression" dxfId="1539" priority="820">
      <formula>OR($T$1258 = TRUE, AND($W$1258 = TRUE, $S$1258 = FALSE))</formula>
    </cfRule>
  </conditionalFormatting>
  <conditionalFormatting sqref="W1260">
    <cfRule type="expression" dxfId="1538" priority="819">
      <formula>AND($R$1260,$S$1260)</formula>
    </cfRule>
  </conditionalFormatting>
  <conditionalFormatting sqref="W1260">
    <cfRule type="expression" dxfId="1537" priority="818">
      <formula>AND($W$1260&lt;&gt;"Not Met",LEN(TRIM($W$1260))&gt;0)</formula>
    </cfRule>
  </conditionalFormatting>
  <conditionalFormatting sqref="W1260">
    <cfRule type="expression" dxfId="1536" priority="817">
      <formula>OR($S$1260 = FALSE, AND($P$1260 = FALSE, ReportType &lt;&gt; "Final"), AND($Q$1260 = FALSE, ReportType &lt;&gt; "Rough"))</formula>
    </cfRule>
  </conditionalFormatting>
  <conditionalFormatting sqref="W1260">
    <cfRule type="expression" dxfId="1535" priority="816">
      <formula>OR($T$1260 = TRUE, AND(LEN(TRIM($W$1260))&gt;0, $S$1260 = FALSE))</formula>
    </cfRule>
  </conditionalFormatting>
  <conditionalFormatting sqref="W1281">
    <cfRule type="expression" dxfId="1534" priority="815">
      <formula>AND($R$1281,$S$1281)</formula>
    </cfRule>
  </conditionalFormatting>
  <conditionalFormatting sqref="W1281">
    <cfRule type="expression" dxfId="1533" priority="814">
      <formula>AND(IF($R$1281,$W$1281,TRUE),LEN(TRIM($W$1281))&gt;0)</formula>
    </cfRule>
  </conditionalFormatting>
  <conditionalFormatting sqref="W1281">
    <cfRule type="expression" dxfId="1532" priority="813">
      <formula>OR($S$1281 = FALSE, AND($P$1281 = FALSE, ReportType &lt;&gt; "Final"), AND($Q$1281 = FALSE, ReportType &lt;&gt; "Rough"))</formula>
    </cfRule>
  </conditionalFormatting>
  <conditionalFormatting sqref="W1281">
    <cfRule type="expression" dxfId="1531" priority="812">
      <formula>OR($T$1281 = TRUE, AND($W$1281 = TRUE, $S$1281 = FALSE))</formula>
    </cfRule>
  </conditionalFormatting>
  <conditionalFormatting sqref="W1283">
    <cfRule type="expression" dxfId="1530" priority="811">
      <formula>AND($R$1283,$S$1283)</formula>
    </cfRule>
  </conditionalFormatting>
  <conditionalFormatting sqref="W1283">
    <cfRule type="expression" dxfId="1529" priority="810">
      <formula>AND(IF($R$1283,$W$1283,TRUE),LEN(TRIM($W$1283))&gt;0)</formula>
    </cfRule>
  </conditionalFormatting>
  <conditionalFormatting sqref="W1283">
    <cfRule type="expression" dxfId="1528" priority="809">
      <formula>OR($S$1283 = FALSE, AND($P$1283 = FALSE, ReportType &lt;&gt; "Final"), AND($Q$1283 = FALSE, ReportType &lt;&gt; "Rough"))</formula>
    </cfRule>
  </conditionalFormatting>
  <conditionalFormatting sqref="W1283">
    <cfRule type="expression" dxfId="1527" priority="808">
      <formula>OR($T$1283 = TRUE, AND($W$1283 = TRUE, $S$1283 = FALSE))</formula>
    </cfRule>
  </conditionalFormatting>
  <conditionalFormatting sqref="W1285">
    <cfRule type="expression" dxfId="1526" priority="807">
      <formula>AND($R$1285,$S$1285)</formula>
    </cfRule>
  </conditionalFormatting>
  <conditionalFormatting sqref="W1285">
    <cfRule type="expression" dxfId="1525" priority="806">
      <formula>AND(IF($R$1285,$W$1285,TRUE),LEN(TRIM($W$1285))&gt;0)</formula>
    </cfRule>
  </conditionalFormatting>
  <conditionalFormatting sqref="W1285">
    <cfRule type="expression" dxfId="1524" priority="805">
      <formula>OR($S$1285 = FALSE, AND($P$1285 = FALSE, ReportType &lt;&gt; "Final"), AND($Q$1285 = FALSE, ReportType &lt;&gt; "Rough"))</formula>
    </cfRule>
  </conditionalFormatting>
  <conditionalFormatting sqref="W1285">
    <cfRule type="expression" dxfId="1523" priority="804">
      <formula>OR($T$1285 = TRUE, AND($W$1285 = TRUE, $S$1285 = FALSE))</formula>
    </cfRule>
  </conditionalFormatting>
  <conditionalFormatting sqref="W1288">
    <cfRule type="expression" dxfId="1522" priority="803">
      <formula>AND($R$1288,$S$1288)</formula>
    </cfRule>
  </conditionalFormatting>
  <conditionalFormatting sqref="W1288">
    <cfRule type="expression" dxfId="1521" priority="802">
      <formula>AND(IF($R$1288,$W$1288,TRUE),LEN(TRIM($W$1288))&gt;0)</formula>
    </cfRule>
  </conditionalFormatting>
  <conditionalFormatting sqref="W1288">
    <cfRule type="expression" dxfId="1520" priority="801">
      <formula>OR($S$1288 = FALSE, AND($P$1288 = FALSE, ReportType &lt;&gt; "Final"), AND($Q$1288 = FALSE, ReportType &lt;&gt; "Rough"))</formula>
    </cfRule>
  </conditionalFormatting>
  <conditionalFormatting sqref="W1288">
    <cfRule type="expression" dxfId="1519" priority="800">
      <formula>OR($T$1288 = TRUE, AND($W$1288 = TRUE, $S$1288 = FALSE))</formula>
    </cfRule>
  </conditionalFormatting>
  <conditionalFormatting sqref="W1289">
    <cfRule type="expression" dxfId="1518" priority="799">
      <formula>AND($R$1289,$S$1289)</formula>
    </cfRule>
  </conditionalFormatting>
  <conditionalFormatting sqref="W1289">
    <cfRule type="expression" dxfId="1517" priority="798">
      <formula>AND(IF($R$1289,$W$1289,TRUE),LEN(TRIM($W$1289))&gt;0)</formula>
    </cfRule>
  </conditionalFormatting>
  <conditionalFormatting sqref="W1289">
    <cfRule type="expression" dxfId="1516" priority="797">
      <formula>OR($S$1289 = FALSE, AND($P$1289 = FALSE, ReportType &lt;&gt; "Final"), AND($Q$1289 = FALSE, ReportType &lt;&gt; "Rough"))</formula>
    </cfRule>
  </conditionalFormatting>
  <conditionalFormatting sqref="W1289">
    <cfRule type="expression" dxfId="1515" priority="796">
      <formula>OR($T$1289 = TRUE, AND($W$1289 = TRUE, $S$1289 = FALSE))</formula>
    </cfRule>
  </conditionalFormatting>
  <conditionalFormatting sqref="W1290">
    <cfRule type="expression" dxfId="1514" priority="795">
      <formula>AND($R$1290,$S$1290)</formula>
    </cfRule>
  </conditionalFormatting>
  <conditionalFormatting sqref="W1290">
    <cfRule type="expression" dxfId="1513" priority="794">
      <formula>AND(IF($R$1290,$W$1290,TRUE),LEN(TRIM($W$1290))&gt;0)</formula>
    </cfRule>
  </conditionalFormatting>
  <conditionalFormatting sqref="W1290">
    <cfRule type="expression" dxfId="1512" priority="793">
      <formula>OR($S$1290 = FALSE, AND($P$1290 = FALSE, ReportType &lt;&gt; "Final"), AND($Q$1290 = FALSE, ReportType &lt;&gt; "Rough"))</formula>
    </cfRule>
  </conditionalFormatting>
  <conditionalFormatting sqref="W1290">
    <cfRule type="expression" dxfId="1511" priority="792">
      <formula>OR($T$1290 = TRUE, AND($W$1290 = TRUE, $S$1290 = FALSE))</formula>
    </cfRule>
  </conditionalFormatting>
  <conditionalFormatting sqref="W1293">
    <cfRule type="expression" dxfId="1510" priority="791">
      <formula>AND($R$1293,$S$1293)</formula>
    </cfRule>
  </conditionalFormatting>
  <conditionalFormatting sqref="W1293">
    <cfRule type="expression" dxfId="1509" priority="790">
      <formula>AND(IF($R$1293,$W$1293,TRUE),LEN(TRIM($W$1293))&gt;0)</formula>
    </cfRule>
  </conditionalFormatting>
  <conditionalFormatting sqref="W1293">
    <cfRule type="expression" dxfId="1508" priority="789">
      <formula>OR($S$1293 = FALSE, AND($P$1293 = FALSE, ReportType &lt;&gt; "Final"), AND($Q$1293 = FALSE, ReportType &lt;&gt; "Rough"))</formula>
    </cfRule>
  </conditionalFormatting>
  <conditionalFormatting sqref="W1293">
    <cfRule type="expression" dxfId="1507" priority="788">
      <formula>OR($T$1293 = TRUE, AND($W$1293 = TRUE, $S$1293 = FALSE))</formula>
    </cfRule>
  </conditionalFormatting>
  <conditionalFormatting sqref="W1321">
    <cfRule type="expression" dxfId="1506" priority="787">
      <formula>AND($R$1321,$S$1321)</formula>
    </cfRule>
  </conditionalFormatting>
  <conditionalFormatting sqref="W1321">
    <cfRule type="expression" dxfId="1505" priority="786">
      <formula>AND(IF($R$1321,$W$1321,TRUE),LEN(TRIM($W$1321))&gt;0)</formula>
    </cfRule>
  </conditionalFormatting>
  <conditionalFormatting sqref="W1321">
    <cfRule type="expression" dxfId="1504" priority="785">
      <formula>OR($S$1321 = FALSE, AND($P$1321 = FALSE, ReportType &lt;&gt; "Final"), AND($Q$1321 = FALSE, ReportType &lt;&gt; "Rough"))</formula>
    </cfRule>
  </conditionalFormatting>
  <conditionalFormatting sqref="W1321">
    <cfRule type="expression" dxfId="1503" priority="784">
      <formula>OR($T$1321 = TRUE, AND($W$1321 = TRUE, $S$1321 = FALSE))</formula>
    </cfRule>
  </conditionalFormatting>
  <conditionalFormatting sqref="W1329">
    <cfRule type="expression" dxfId="1502" priority="783">
      <formula>AND($R$1329,$S$1329)</formula>
    </cfRule>
  </conditionalFormatting>
  <conditionalFormatting sqref="W1329">
    <cfRule type="expression" dxfId="1501" priority="782">
      <formula>AND(IF($R$1329,$W$1329,TRUE),LEN(TRIM($W$1329))&gt;0)</formula>
    </cfRule>
  </conditionalFormatting>
  <conditionalFormatting sqref="W1329">
    <cfRule type="expression" dxfId="1500" priority="781">
      <formula>OR($S$1329 = FALSE, AND($P$1329 = FALSE, ReportType &lt;&gt; "Final"), AND($Q$1329 = FALSE, ReportType &lt;&gt; "Rough"))</formula>
    </cfRule>
  </conditionalFormatting>
  <conditionalFormatting sqref="W1329">
    <cfRule type="expression" dxfId="1499" priority="780">
      <formula>OR($T$1329 = TRUE, AND($W$1329 = TRUE, $S$1329 = FALSE))</formula>
    </cfRule>
  </conditionalFormatting>
  <conditionalFormatting sqref="W1331">
    <cfRule type="expression" dxfId="1498" priority="779">
      <formula>AND($R$1331,$S$1331)</formula>
    </cfRule>
  </conditionalFormatting>
  <conditionalFormatting sqref="W1331">
    <cfRule type="expression" dxfId="1497" priority="778">
      <formula>AND(IF($R$1331,$W$1331,TRUE),LEN(TRIM($W$1331))&gt;0)</formula>
    </cfRule>
  </conditionalFormatting>
  <conditionalFormatting sqref="W1331">
    <cfRule type="expression" dxfId="1496" priority="777">
      <formula>OR($S$1331 = FALSE, AND($P$1331 = FALSE, ReportType &lt;&gt; "Final"), AND($Q$1331 = FALSE, ReportType &lt;&gt; "Rough"))</formula>
    </cfRule>
  </conditionalFormatting>
  <conditionalFormatting sqref="W1331">
    <cfRule type="expression" dxfId="1495" priority="776">
      <formula>OR($T$1331 = TRUE, AND($W$1331 = TRUE, $S$1331 = FALSE))</formula>
    </cfRule>
  </conditionalFormatting>
  <conditionalFormatting sqref="W1332">
    <cfRule type="expression" dxfId="1494" priority="775">
      <formula>AND($R$1332,$S$1332)</formula>
    </cfRule>
  </conditionalFormatting>
  <conditionalFormatting sqref="W1332">
    <cfRule type="expression" dxfId="1493" priority="774">
      <formula>AND(IF($R$1332,$W$1332,TRUE),LEN(TRIM($W$1332))&gt;0)</formula>
    </cfRule>
  </conditionalFormatting>
  <conditionalFormatting sqref="W1332">
    <cfRule type="expression" dxfId="1492" priority="773">
      <formula>OR($S$1332 = FALSE, AND($P$1332 = FALSE, ReportType &lt;&gt; "Final"), AND($Q$1332 = FALSE, ReportType &lt;&gt; "Rough"))</formula>
    </cfRule>
  </conditionalFormatting>
  <conditionalFormatting sqref="W1332">
    <cfRule type="expression" dxfId="1491" priority="772">
      <formula>OR($T$1332 = TRUE, AND($W$1332 = TRUE, $S$1332 = FALSE))</formula>
    </cfRule>
  </conditionalFormatting>
  <conditionalFormatting sqref="W1333">
    <cfRule type="expression" dxfId="1490" priority="771">
      <formula>AND($R$1333,$S$1333)</formula>
    </cfRule>
  </conditionalFormatting>
  <conditionalFormatting sqref="W1333">
    <cfRule type="expression" dxfId="1489" priority="770">
      <formula>AND(IF($R$1333,$W$1333,TRUE),LEN(TRIM($W$1333))&gt;0)</formula>
    </cfRule>
  </conditionalFormatting>
  <conditionalFormatting sqref="W1333">
    <cfRule type="expression" dxfId="1488" priority="769">
      <formula>OR($S$1333 = FALSE, AND($P$1333 = FALSE, ReportType &lt;&gt; "Final"), AND($Q$1333 = FALSE, ReportType &lt;&gt; "Rough"))</formula>
    </cfRule>
  </conditionalFormatting>
  <conditionalFormatting sqref="W1333">
    <cfRule type="expression" dxfId="1487" priority="768">
      <formula>OR($T$1333 = TRUE, AND($W$1333 = TRUE, $S$1333 = FALSE))</formula>
    </cfRule>
  </conditionalFormatting>
  <conditionalFormatting sqref="W1335">
    <cfRule type="expression" dxfId="1486" priority="767">
      <formula>AND($R$1335,$S$1335)</formula>
    </cfRule>
  </conditionalFormatting>
  <conditionalFormatting sqref="W1335">
    <cfRule type="expression" dxfId="1485" priority="766">
      <formula>AND(IF($R$1335,$W$1335,TRUE),LEN(TRIM($W$1335))&gt;0)</formula>
    </cfRule>
  </conditionalFormatting>
  <conditionalFormatting sqref="W1335">
    <cfRule type="expression" dxfId="1484" priority="765">
      <formula>OR($S$1335 = FALSE, AND($P$1335 = FALSE, ReportType &lt;&gt; "Final"), AND($Q$1335 = FALSE, ReportType &lt;&gt; "Rough"))</formula>
    </cfRule>
  </conditionalFormatting>
  <conditionalFormatting sqref="W1335">
    <cfRule type="expression" dxfId="1483" priority="764">
      <formula>OR($T$1335 = TRUE, AND($W$1335 = TRUE, $S$1335 = FALSE))</formula>
    </cfRule>
  </conditionalFormatting>
  <conditionalFormatting sqref="W1337">
    <cfRule type="expression" dxfId="1482" priority="763">
      <formula>AND($R$1337,$S$1337)</formula>
    </cfRule>
  </conditionalFormatting>
  <conditionalFormatting sqref="W1337">
    <cfRule type="expression" dxfId="1481" priority="762">
      <formula>AND(IF($R$1337,$W$1337,TRUE),LEN(TRIM($W$1337))&gt;0)</formula>
    </cfRule>
  </conditionalFormatting>
  <conditionalFormatting sqref="W1337">
    <cfRule type="expression" dxfId="1480" priority="761">
      <formula>OR($S$1337 = FALSE, AND($P$1337 = FALSE, ReportType &lt;&gt; "Final"), AND($Q$1337 = FALSE, ReportType &lt;&gt; "Rough"))</formula>
    </cfRule>
  </conditionalFormatting>
  <conditionalFormatting sqref="W1337">
    <cfRule type="expression" dxfId="1479" priority="760">
      <formula>OR($T$1337 = TRUE, AND($W$1337 = TRUE, $S$1337 = FALSE))</formula>
    </cfRule>
  </conditionalFormatting>
  <conditionalFormatting sqref="W1339">
    <cfRule type="expression" dxfId="1478" priority="759">
      <formula>AND($R$1339,$S$1339)</formula>
    </cfRule>
  </conditionalFormatting>
  <conditionalFormatting sqref="W1339">
    <cfRule type="expression" dxfId="1477" priority="758">
      <formula>AND(IF($R$1339,$W$1339,TRUE),LEN(TRIM($W$1339))&gt;0)</formula>
    </cfRule>
  </conditionalFormatting>
  <conditionalFormatting sqref="W1339">
    <cfRule type="expression" dxfId="1476" priority="757">
      <formula>OR($S$1339 = FALSE, AND($P$1339 = FALSE, ReportType &lt;&gt; "Final"), AND($Q$1339 = FALSE, ReportType &lt;&gt; "Rough"))</formula>
    </cfRule>
  </conditionalFormatting>
  <conditionalFormatting sqref="W1339">
    <cfRule type="expression" dxfId="1475" priority="756">
      <formula>OR($T$1339 = TRUE, AND($W$1339 = TRUE, $S$1339 = FALSE))</formula>
    </cfRule>
  </conditionalFormatting>
  <conditionalFormatting sqref="W1344">
    <cfRule type="expression" dxfId="1474" priority="755">
      <formula>AND($R$1344,$S$1344)</formula>
    </cfRule>
  </conditionalFormatting>
  <conditionalFormatting sqref="W1344">
    <cfRule type="expression" dxfId="1473" priority="754">
      <formula>AND(IF($R$1344,$W$1344,TRUE),LEN(TRIM($W$1344))&gt;0)</formula>
    </cfRule>
  </conditionalFormatting>
  <conditionalFormatting sqref="W1344">
    <cfRule type="expression" dxfId="1472" priority="753">
      <formula>OR($S$1344 = FALSE, AND($P$1344 = FALSE, ReportType &lt;&gt; "Final"), AND($Q$1344 = FALSE, ReportType &lt;&gt; "Rough"))</formula>
    </cfRule>
  </conditionalFormatting>
  <conditionalFormatting sqref="W1344">
    <cfRule type="expression" dxfId="1471" priority="752">
      <formula>OR($T$1344 = TRUE, AND($W$1344 = TRUE, $S$1344 = FALSE))</formula>
    </cfRule>
  </conditionalFormatting>
  <conditionalFormatting sqref="W1346">
    <cfRule type="expression" dxfId="1470" priority="751">
      <formula>AND($R$1346,$S$1346)</formula>
    </cfRule>
  </conditionalFormatting>
  <conditionalFormatting sqref="W1346">
    <cfRule type="expression" dxfId="1469" priority="750">
      <formula>AND(IF($R$1346,$W$1346,TRUE),LEN(TRIM($W$1346))&gt;0)</formula>
    </cfRule>
  </conditionalFormatting>
  <conditionalFormatting sqref="W1346">
    <cfRule type="expression" dxfId="1468" priority="749">
      <formula>OR($S$1346 = FALSE, AND($P$1346 = FALSE, ReportType &lt;&gt; "Final"), AND($Q$1346 = FALSE, ReportType &lt;&gt; "Rough"))</formula>
    </cfRule>
  </conditionalFormatting>
  <conditionalFormatting sqref="W1346">
    <cfRule type="expression" dxfId="1467" priority="748">
      <formula>OR($T$1346 = TRUE, AND($W$1346 = TRUE, $S$1346 = FALSE))</formula>
    </cfRule>
  </conditionalFormatting>
  <conditionalFormatting sqref="W1348">
    <cfRule type="expression" dxfId="1466" priority="747">
      <formula>AND($R$1348,$S$1348)</formula>
    </cfRule>
  </conditionalFormatting>
  <conditionalFormatting sqref="W1348">
    <cfRule type="expression" dxfId="1465" priority="746">
      <formula>AND(IF($R$1348,$W$1348,TRUE),LEN(TRIM($W$1348))&gt;0)</formula>
    </cfRule>
  </conditionalFormatting>
  <conditionalFormatting sqref="W1348">
    <cfRule type="expression" dxfId="1464" priority="745">
      <formula>OR($S$1348 = FALSE, AND($P$1348 = FALSE, ReportType &lt;&gt; "Final"), AND($Q$1348 = FALSE, ReportType &lt;&gt; "Rough"))</formula>
    </cfRule>
  </conditionalFormatting>
  <conditionalFormatting sqref="W1348">
    <cfRule type="expression" dxfId="1463" priority="744">
      <formula>OR($T$1348 = TRUE, AND($W$1348 = TRUE, $S$1348 = FALSE))</formula>
    </cfRule>
  </conditionalFormatting>
  <conditionalFormatting sqref="W1350">
    <cfRule type="expression" dxfId="1462" priority="743">
      <formula>AND($R$1350,$S$1350)</formula>
    </cfRule>
  </conditionalFormatting>
  <conditionalFormatting sqref="W1350">
    <cfRule type="expression" dxfId="1461" priority="742">
      <formula>AND(IF($R$1350,$W$1350,TRUE),LEN(TRIM($W$1350))&gt;0)</formula>
    </cfRule>
  </conditionalFormatting>
  <conditionalFormatting sqref="W1350">
    <cfRule type="expression" dxfId="1460" priority="741">
      <formula>OR($S$1350 = FALSE, AND($P$1350 = FALSE, ReportType &lt;&gt; "Final"), AND($Q$1350 = FALSE, ReportType &lt;&gt; "Rough"))</formula>
    </cfRule>
  </conditionalFormatting>
  <conditionalFormatting sqref="W1350">
    <cfRule type="expression" dxfId="1459" priority="740">
      <formula>OR($T$1350 = TRUE, AND($W$1350 = TRUE, $S$1350 = FALSE))</formula>
    </cfRule>
  </conditionalFormatting>
  <conditionalFormatting sqref="W1379">
    <cfRule type="expression" dxfId="1458" priority="739">
      <formula>AND($R$1379,$S$1379)</formula>
    </cfRule>
  </conditionalFormatting>
  <conditionalFormatting sqref="W1379">
    <cfRule type="expression" dxfId="1457" priority="738">
      <formula>AND($W$1379&lt;&gt;"Not Met",LEN(TRIM($W$1379))&gt;0)</formula>
    </cfRule>
  </conditionalFormatting>
  <conditionalFormatting sqref="W1379">
    <cfRule type="expression" dxfId="1456" priority="737">
      <formula>OR($S$1379 = FALSE, AND($P$1379 = FALSE, ReportType &lt;&gt; "Final"), AND($Q$1379 = FALSE, ReportType &lt;&gt; "Rough"))</formula>
    </cfRule>
  </conditionalFormatting>
  <conditionalFormatting sqref="W1379">
    <cfRule type="expression" dxfId="1455" priority="736">
      <formula>OR($T$1379 = TRUE, AND(LEN(TRIM($W$1379))&gt;0, $S$1379 = FALSE))</formula>
    </cfRule>
  </conditionalFormatting>
  <conditionalFormatting sqref="W1383">
    <cfRule type="expression" dxfId="1454" priority="735">
      <formula>AND($R$1383,$S$1383)</formula>
    </cfRule>
  </conditionalFormatting>
  <conditionalFormatting sqref="W1383">
    <cfRule type="expression" dxfId="1453" priority="734">
      <formula>AND(IF($R$1383,$W$1383,TRUE),LEN(TRIM($W$1383))&gt;0)</formula>
    </cfRule>
  </conditionalFormatting>
  <conditionalFormatting sqref="W1383">
    <cfRule type="expression" dxfId="1452" priority="733">
      <formula>OR($S$1383 = FALSE, AND($P$1383 = FALSE, ReportType &lt;&gt; "Final"), AND($Q$1383 = FALSE, ReportType &lt;&gt; "Rough"))</formula>
    </cfRule>
  </conditionalFormatting>
  <conditionalFormatting sqref="W1383">
    <cfRule type="expression" dxfId="1451" priority="732">
      <formula>OR($T$1383 = TRUE, AND($W$1383 = TRUE, $S$1383 = FALSE))</formula>
    </cfRule>
  </conditionalFormatting>
  <conditionalFormatting sqref="W1387">
    <cfRule type="expression" dxfId="1450" priority="731">
      <formula>AND($R$1387,$S$1387)</formula>
    </cfRule>
  </conditionalFormatting>
  <conditionalFormatting sqref="W1387">
    <cfRule type="expression" dxfId="1449" priority="730">
      <formula>AND($W$1387&lt;&gt;"Not Met",LEN(TRIM($W$1387))&gt;0)</formula>
    </cfRule>
  </conditionalFormatting>
  <conditionalFormatting sqref="W1387">
    <cfRule type="expression" dxfId="1448" priority="729">
      <formula>OR($S$1387 = FALSE, AND($P$1387 = FALSE, ReportType &lt;&gt; "Final"), AND($Q$1387 = FALSE, ReportType &lt;&gt; "Rough"))</formula>
    </cfRule>
  </conditionalFormatting>
  <conditionalFormatting sqref="W1387">
    <cfRule type="expression" dxfId="1447" priority="728">
      <formula>OR($T$1387 = TRUE, AND(LEN(TRIM($W$1387))&gt;0, $S$1387 = FALSE))</formula>
    </cfRule>
  </conditionalFormatting>
  <conditionalFormatting sqref="W1391">
    <cfRule type="expression" dxfId="1446" priority="727">
      <formula>AND($R$1391,$S$1391)</formula>
    </cfRule>
  </conditionalFormatting>
  <conditionalFormatting sqref="W1391">
    <cfRule type="expression" dxfId="1445" priority="726">
      <formula>AND($W$1391&lt;&gt;"Not Met",LEN(TRIM($W$1391))&gt;0)</formula>
    </cfRule>
  </conditionalFormatting>
  <conditionalFormatting sqref="W1391">
    <cfRule type="expression" dxfId="1444" priority="725">
      <formula>OR($S$1391 = FALSE, AND($P$1391 = FALSE, ReportType &lt;&gt; "Final"), AND($Q$1391 = FALSE, ReportType &lt;&gt; "Rough"))</formula>
    </cfRule>
  </conditionalFormatting>
  <conditionalFormatting sqref="W1391">
    <cfRule type="expression" dxfId="1443" priority="724">
      <formula>OR($T$1391 = TRUE, AND(LEN(TRIM($W$1391))&gt;0, $S$1391 = FALSE))</formula>
    </cfRule>
  </conditionalFormatting>
  <conditionalFormatting sqref="W1396">
    <cfRule type="expression" dxfId="1442" priority="723">
      <formula>AND($R$1396,$S$1396)</formula>
    </cfRule>
  </conditionalFormatting>
  <conditionalFormatting sqref="W1396">
    <cfRule type="expression" dxfId="1441" priority="722">
      <formula>AND($W$1396&lt;&gt;"Not Met",LEN(TRIM($W$1396))&gt;0)</formula>
    </cfRule>
  </conditionalFormatting>
  <conditionalFormatting sqref="W1396">
    <cfRule type="expression" dxfId="1440" priority="721">
      <formula>OR($S$1396 = FALSE, AND($P$1396 = FALSE, ReportType &lt;&gt; "Final"), AND($Q$1396 = FALSE, ReportType &lt;&gt; "Rough"))</formula>
    </cfRule>
  </conditionalFormatting>
  <conditionalFormatting sqref="W1396">
    <cfRule type="expression" dxfId="1439" priority="720">
      <formula>OR($T$1396 = TRUE, AND(LEN(TRIM($W$1396))&gt;0, $S$1396 = FALSE))</formula>
    </cfRule>
  </conditionalFormatting>
  <conditionalFormatting sqref="W1401">
    <cfRule type="expression" dxfId="1438" priority="719">
      <formula>AND($R$1401,$S$1401)</formula>
    </cfRule>
  </conditionalFormatting>
  <conditionalFormatting sqref="W1401">
    <cfRule type="expression" dxfId="1437" priority="718">
      <formula>AND(IF($R$1401,$W$1401,TRUE),LEN(TRIM($W$1401))&gt;0)</formula>
    </cfRule>
  </conditionalFormatting>
  <conditionalFormatting sqref="W1401">
    <cfRule type="expression" dxfId="1436" priority="717">
      <formula>OR($S$1401 = FALSE, AND($P$1401 = FALSE, ReportType &lt;&gt; "Final"), AND($Q$1401 = FALSE, ReportType &lt;&gt; "Rough"))</formula>
    </cfRule>
  </conditionalFormatting>
  <conditionalFormatting sqref="W1401">
    <cfRule type="expression" dxfId="1435" priority="716">
      <formula>OR($T$1401 = TRUE, AND($W$1401 = TRUE, $S$1401 = FALSE))</formula>
    </cfRule>
  </conditionalFormatting>
  <conditionalFormatting sqref="W1404">
    <cfRule type="expression" dxfId="1434" priority="715">
      <formula>AND($R$1404,$S$1404)</formula>
    </cfRule>
  </conditionalFormatting>
  <conditionalFormatting sqref="W1404">
    <cfRule type="expression" dxfId="1433" priority="714">
      <formula>AND(IF($R$1404,$W$1404,TRUE),LEN(TRIM($W$1404))&gt;0)</formula>
    </cfRule>
  </conditionalFormatting>
  <conditionalFormatting sqref="W1404">
    <cfRule type="expression" dxfId="1432" priority="713">
      <formula>OR($S$1404 = FALSE, AND($P$1404 = FALSE, ReportType &lt;&gt; "Final"), AND($Q$1404 = FALSE, ReportType &lt;&gt; "Rough"))</formula>
    </cfRule>
  </conditionalFormatting>
  <conditionalFormatting sqref="W1404">
    <cfRule type="expression" dxfId="1431" priority="712">
      <formula>OR($T$1404 = TRUE, AND($W$1404 = TRUE, $S$1404 = FALSE))</formula>
    </cfRule>
  </conditionalFormatting>
  <conditionalFormatting sqref="W1409">
    <cfRule type="expression" dxfId="1430" priority="711">
      <formula>AND($R$1409,$S$1409)</formula>
    </cfRule>
  </conditionalFormatting>
  <conditionalFormatting sqref="W1409">
    <cfRule type="expression" dxfId="1429" priority="710">
      <formula>AND(IF($R$1409,$W$1409,TRUE),LEN(TRIM($W$1409))&gt;0)</formula>
    </cfRule>
  </conditionalFormatting>
  <conditionalFormatting sqref="W1409">
    <cfRule type="expression" dxfId="1428" priority="709">
      <formula>OR($S$1409 = FALSE, AND($P$1409 = FALSE, ReportType &lt;&gt; "Final"), AND($Q$1409 = FALSE, ReportType &lt;&gt; "Rough"))</formula>
    </cfRule>
  </conditionalFormatting>
  <conditionalFormatting sqref="W1409">
    <cfRule type="expression" dxfId="1427" priority="708">
      <formula>OR($T$1409 = TRUE, AND($W$1409 = TRUE, $S$1409 = FALSE))</formula>
    </cfRule>
  </conditionalFormatting>
  <conditionalFormatting sqref="W1410">
    <cfRule type="expression" dxfId="1426" priority="707">
      <formula>AND($R$1410,$S$1410)</formula>
    </cfRule>
  </conditionalFormatting>
  <conditionalFormatting sqref="W1410">
    <cfRule type="expression" dxfId="1425" priority="706">
      <formula>AND(IF($R$1410,$W$1410,TRUE),LEN(TRIM($W$1410))&gt;0)</formula>
    </cfRule>
  </conditionalFormatting>
  <conditionalFormatting sqref="W1410">
    <cfRule type="expression" dxfId="1424" priority="705">
      <formula>OR($S$1410 = FALSE, AND($P$1410 = FALSE, ReportType &lt;&gt; "Final"), AND($Q$1410 = FALSE, ReportType &lt;&gt; "Rough"))</formula>
    </cfRule>
  </conditionalFormatting>
  <conditionalFormatting sqref="W1410">
    <cfRule type="expression" dxfId="1423" priority="704">
      <formula>OR($T$1410 = TRUE, AND($W$1410 = TRUE, $S$1410 = FALSE))</formula>
    </cfRule>
  </conditionalFormatting>
  <conditionalFormatting sqref="W1415">
    <cfRule type="expression" dxfId="1422" priority="703">
      <formula>AND($R$1415,$S$1415)</formula>
    </cfRule>
  </conditionalFormatting>
  <conditionalFormatting sqref="W1415">
    <cfRule type="expression" dxfId="1421" priority="702">
      <formula>AND(IF($R$1415,$W$1415,TRUE),LEN(TRIM($W$1415))&gt;0)</formula>
    </cfRule>
  </conditionalFormatting>
  <conditionalFormatting sqref="W1415">
    <cfRule type="expression" dxfId="1420" priority="701">
      <formula>OR($S$1415 = FALSE, AND($P$1415 = FALSE, ReportType &lt;&gt; "Final"), AND($Q$1415 = FALSE, ReportType &lt;&gt; "Rough"))</formula>
    </cfRule>
  </conditionalFormatting>
  <conditionalFormatting sqref="W1415">
    <cfRule type="expression" dxfId="1419" priority="700">
      <formula>OR($T$1415 = TRUE, AND($W$1415 = TRUE, $S$1415 = FALSE))</formula>
    </cfRule>
  </conditionalFormatting>
  <conditionalFormatting sqref="W1418">
    <cfRule type="expression" dxfId="1418" priority="699">
      <formula>AND($R$1418,$S$1418)</formula>
    </cfRule>
  </conditionalFormatting>
  <conditionalFormatting sqref="W1418">
    <cfRule type="expression" dxfId="1417" priority="698">
      <formula>AND(IF($R$1418,$W$1418,TRUE),LEN(TRIM($W$1418))&gt;0)</formula>
    </cfRule>
  </conditionalFormatting>
  <conditionalFormatting sqref="W1418">
    <cfRule type="expression" dxfId="1416" priority="697">
      <formula>OR($S$1418 = FALSE, AND($P$1418 = FALSE, ReportType &lt;&gt; "Final"), AND($Q$1418 = FALSE, ReportType &lt;&gt; "Rough"))</formula>
    </cfRule>
  </conditionalFormatting>
  <conditionalFormatting sqref="W1418">
    <cfRule type="expression" dxfId="1415" priority="696">
      <formula>OR($T$1418 = TRUE, AND($W$1418 = TRUE, $S$1418 = FALSE))</formula>
    </cfRule>
  </conditionalFormatting>
  <conditionalFormatting sqref="W1420">
    <cfRule type="expression" dxfId="1414" priority="695">
      <formula>AND($R$1420,$S$1420)</formula>
    </cfRule>
  </conditionalFormatting>
  <conditionalFormatting sqref="W1420">
    <cfRule type="expression" dxfId="1413" priority="694">
      <formula>AND(IF($R$1420,$W$1420,TRUE),LEN(TRIM($W$1420))&gt;0)</formula>
    </cfRule>
  </conditionalFormatting>
  <conditionalFormatting sqref="W1420">
    <cfRule type="expression" dxfId="1412" priority="693">
      <formula>OR($S$1420 = FALSE, AND($P$1420 = FALSE, ReportType &lt;&gt; "Final"), AND($Q$1420 = FALSE, ReportType &lt;&gt; "Rough"))</formula>
    </cfRule>
  </conditionalFormatting>
  <conditionalFormatting sqref="W1420">
    <cfRule type="expression" dxfId="1411" priority="692">
      <formula>OR($T$1420 = TRUE, AND($W$1420 = TRUE, $S$1420 = FALSE))</formula>
    </cfRule>
  </conditionalFormatting>
  <conditionalFormatting sqref="W1429">
    <cfRule type="expression" dxfId="1410" priority="691">
      <formula>AND($R$1429,$S$1429)</formula>
    </cfRule>
  </conditionalFormatting>
  <conditionalFormatting sqref="W1429">
    <cfRule type="expression" dxfId="1409" priority="690">
      <formula>AND(IF($R$1429,$W$1429,TRUE),LEN(TRIM($W$1429))&gt;0)</formula>
    </cfRule>
  </conditionalFormatting>
  <conditionalFormatting sqref="W1429">
    <cfRule type="expression" dxfId="1408" priority="689">
      <formula>OR($S$1429 = FALSE, AND($P$1429 = FALSE, ReportType &lt;&gt; "Final"), AND($Q$1429 = FALSE, ReportType &lt;&gt; "Rough"))</formula>
    </cfRule>
  </conditionalFormatting>
  <conditionalFormatting sqref="W1429">
    <cfRule type="expression" dxfId="1407" priority="688">
      <formula>OR($T$1429 = TRUE, AND($W$1429 = TRUE, $S$1429 = FALSE))</formula>
    </cfRule>
  </conditionalFormatting>
  <conditionalFormatting sqref="W1431">
    <cfRule type="expression" dxfId="1406" priority="687">
      <formula>AND($R$1431,$S$1431)</formula>
    </cfRule>
  </conditionalFormatting>
  <conditionalFormatting sqref="W1431">
    <cfRule type="expression" dxfId="1405" priority="686">
      <formula>AND(IF($R$1431,$W$1431,TRUE),LEN(TRIM($W$1431))&gt;0)</formula>
    </cfRule>
  </conditionalFormatting>
  <conditionalFormatting sqref="W1431">
    <cfRule type="expression" dxfId="1404" priority="685">
      <formula>OR($S$1431 = FALSE, AND($P$1431 = FALSE, ReportType &lt;&gt; "Final"), AND($Q$1431 = FALSE, ReportType &lt;&gt; "Rough"))</formula>
    </cfRule>
  </conditionalFormatting>
  <conditionalFormatting sqref="W1431">
    <cfRule type="expression" dxfId="1403" priority="684">
      <formula>OR($T$1431 = TRUE, AND($W$1431 = TRUE, $S$1431 = FALSE))</formula>
    </cfRule>
  </conditionalFormatting>
  <conditionalFormatting sqref="W1453">
    <cfRule type="expression" dxfId="1402" priority="683">
      <formula>AND($R$1453,$S$1453)</formula>
    </cfRule>
  </conditionalFormatting>
  <conditionalFormatting sqref="W1453">
    <cfRule type="expression" dxfId="1401" priority="682">
      <formula>AND(IF($R$1453,$W$1453,TRUE),LEN(TRIM($W$1453))&gt;0)</formula>
    </cfRule>
  </conditionalFormatting>
  <conditionalFormatting sqref="W1453">
    <cfRule type="expression" dxfId="1400" priority="681">
      <formula>OR($S$1453 = FALSE, AND($P$1453 = FALSE, ReportType &lt;&gt; "Final"), AND($Q$1453 = FALSE, ReportType &lt;&gt; "Rough"))</formula>
    </cfRule>
  </conditionalFormatting>
  <conditionalFormatting sqref="W1453">
    <cfRule type="expression" dxfId="1399" priority="680">
      <formula>OR($T$1453 = TRUE, AND($W$1453 = TRUE, $S$1453 = FALSE))</formula>
    </cfRule>
  </conditionalFormatting>
  <conditionalFormatting sqref="W1459">
    <cfRule type="expression" dxfId="1398" priority="679">
      <formula>AND($R$1459,$S$1459)</formula>
    </cfRule>
  </conditionalFormatting>
  <conditionalFormatting sqref="W1459">
    <cfRule type="expression" dxfId="1397" priority="678">
      <formula>AND(IF($R$1459,$W$1459,TRUE),LEN(TRIM($W$1459))&gt;0)</formula>
    </cfRule>
  </conditionalFormatting>
  <conditionalFormatting sqref="W1459">
    <cfRule type="expression" dxfId="1396" priority="677">
      <formula>OR($S$1459 = FALSE, AND($P$1459 = FALSE, ReportType &lt;&gt; "Final"), AND($Q$1459 = FALSE, ReportType &lt;&gt; "Rough"))</formula>
    </cfRule>
  </conditionalFormatting>
  <conditionalFormatting sqref="W1459">
    <cfRule type="expression" dxfId="1395" priority="676">
      <formula>OR($T$1459 = TRUE, AND($W$1459 = TRUE, $S$1459 = FALSE))</formula>
    </cfRule>
  </conditionalFormatting>
  <conditionalFormatting sqref="W1461">
    <cfRule type="expression" dxfId="1394" priority="675">
      <formula>AND($R$1461,$S$1461)</formula>
    </cfRule>
  </conditionalFormatting>
  <conditionalFormatting sqref="W1461">
    <cfRule type="expression" dxfId="1393" priority="674">
      <formula>AND(IF($R$1461,$W$1461,TRUE),LEN(TRIM($W$1461))&gt;0)</formula>
    </cfRule>
  </conditionalFormatting>
  <conditionalFormatting sqref="W1461">
    <cfRule type="expression" dxfId="1392" priority="673">
      <formula>OR($S$1461 = FALSE, AND($P$1461 = FALSE, ReportType &lt;&gt; "Final"), AND($Q$1461 = FALSE, ReportType &lt;&gt; "Rough"))</formula>
    </cfRule>
  </conditionalFormatting>
  <conditionalFormatting sqref="W1461">
    <cfRule type="expression" dxfId="1391" priority="672">
      <formula>OR($T$1461 = TRUE, AND($W$1461 = TRUE, $S$1461 = FALSE))</formula>
    </cfRule>
  </conditionalFormatting>
  <conditionalFormatting sqref="W1464">
    <cfRule type="expression" dxfId="1390" priority="671">
      <formula>AND($R$1464,$S$1464)</formula>
    </cfRule>
  </conditionalFormatting>
  <conditionalFormatting sqref="W1464">
    <cfRule type="expression" dxfId="1389" priority="670">
      <formula>AND($W$1464&lt;&gt;"Not Met",LEN(TRIM($W$1464))&gt;0)</formula>
    </cfRule>
  </conditionalFormatting>
  <conditionalFormatting sqref="W1464">
    <cfRule type="expression" dxfId="1388" priority="669">
      <formula>OR($S$1464 = FALSE, AND($P$1464 = FALSE, ReportType &lt;&gt; "Final"), AND($Q$1464 = FALSE, ReportType &lt;&gt; "Rough"))</formula>
    </cfRule>
  </conditionalFormatting>
  <conditionalFormatting sqref="W1464">
    <cfRule type="expression" dxfId="1387" priority="668">
      <formula>OR($T$1464 = TRUE, AND(LEN(TRIM($W$1464))&gt;0, $S$1464 = FALSE))</formula>
    </cfRule>
  </conditionalFormatting>
  <conditionalFormatting sqref="W1470">
    <cfRule type="expression" dxfId="1386" priority="667">
      <formula>AND($R$1470,$S$1470)</formula>
    </cfRule>
  </conditionalFormatting>
  <conditionalFormatting sqref="W1470">
    <cfRule type="expression" dxfId="1385" priority="666">
      <formula>AND(IF($R$1470,$W$1470,TRUE),LEN(TRIM($W$1470))&gt;0)</formula>
    </cfRule>
  </conditionalFormatting>
  <conditionalFormatting sqref="W1470">
    <cfRule type="expression" dxfId="1384" priority="665">
      <formula>OR($S$1470 = FALSE, AND($P$1470 = FALSE, ReportType &lt;&gt; "Final"), AND($Q$1470 = FALSE, ReportType &lt;&gt; "Rough"))</formula>
    </cfRule>
  </conditionalFormatting>
  <conditionalFormatting sqref="W1470">
    <cfRule type="expression" dxfId="1383" priority="664">
      <formula>OR($T$1470 = TRUE, AND($W$1470 = TRUE, $S$1470 = FALSE))</formula>
    </cfRule>
  </conditionalFormatting>
  <conditionalFormatting sqref="W1472">
    <cfRule type="expression" dxfId="1382" priority="663">
      <formula>AND($R$1472,$S$1472)</formula>
    </cfRule>
  </conditionalFormatting>
  <conditionalFormatting sqref="W1472">
    <cfRule type="expression" dxfId="1381" priority="662">
      <formula>AND(IF($R$1472,$W$1472,TRUE),LEN(TRIM($W$1472))&gt;0)</formula>
    </cfRule>
  </conditionalFormatting>
  <conditionalFormatting sqref="W1472">
    <cfRule type="expression" dxfId="1380" priority="661">
      <formula>OR($S$1472 = FALSE, AND($P$1472 = FALSE, ReportType &lt;&gt; "Final"), AND($Q$1472 = FALSE, ReportType &lt;&gt; "Rough"))</formula>
    </cfRule>
  </conditionalFormatting>
  <conditionalFormatting sqref="W1472">
    <cfRule type="expression" dxfId="1379" priority="660">
      <formula>OR($T$1472 = TRUE, AND($W$1472 = TRUE, $S$1472 = FALSE))</formula>
    </cfRule>
  </conditionalFormatting>
  <conditionalFormatting sqref="W1482">
    <cfRule type="expression" dxfId="1378" priority="659">
      <formula>AND($R$1482,$S$1482)</formula>
    </cfRule>
  </conditionalFormatting>
  <conditionalFormatting sqref="W1482">
    <cfRule type="expression" dxfId="1377" priority="658">
      <formula>AND(IF($R$1482,$W$1482,TRUE),LEN(TRIM($W$1482))&gt;0)</formula>
    </cfRule>
  </conditionalFormatting>
  <conditionalFormatting sqref="W1482">
    <cfRule type="expression" dxfId="1376" priority="657">
      <formula>OR($S$1482 = FALSE, AND($P$1482 = FALSE, ReportType &lt;&gt; "Final"), AND($Q$1482 = FALSE, ReportType &lt;&gt; "Rough"))</formula>
    </cfRule>
  </conditionalFormatting>
  <conditionalFormatting sqref="W1482">
    <cfRule type="expression" dxfId="1375" priority="656">
      <formula>OR($T$1482 = TRUE, AND($W$1482 = TRUE, $S$1482 = FALSE))</formula>
    </cfRule>
  </conditionalFormatting>
  <conditionalFormatting sqref="W1484">
    <cfRule type="expression" dxfId="1374" priority="655">
      <formula>AND($R$1484,$S$1484)</formula>
    </cfRule>
  </conditionalFormatting>
  <conditionalFormatting sqref="W1484">
    <cfRule type="expression" dxfId="1373" priority="654">
      <formula>AND(IF($R$1484,$W$1484,TRUE),LEN(TRIM($W$1484))&gt;0)</formula>
    </cfRule>
  </conditionalFormatting>
  <conditionalFormatting sqref="W1484">
    <cfRule type="expression" dxfId="1372" priority="653">
      <formula>OR($S$1484 = FALSE, AND($P$1484 = FALSE, ReportType &lt;&gt; "Final"), AND($Q$1484 = FALSE, ReportType &lt;&gt; "Rough"))</formula>
    </cfRule>
  </conditionalFormatting>
  <conditionalFormatting sqref="W1484">
    <cfRule type="expression" dxfId="1371" priority="652">
      <formula>OR($T$1484 = TRUE, AND($W$1484 = TRUE, $S$1484 = FALSE))</formula>
    </cfRule>
  </conditionalFormatting>
  <conditionalFormatting sqref="W1486">
    <cfRule type="expression" dxfId="1370" priority="651">
      <formula>AND($R$1486,$S$1486)</formula>
    </cfRule>
  </conditionalFormatting>
  <conditionalFormatting sqref="W1486">
    <cfRule type="expression" dxfId="1369" priority="650">
      <formula>AND(IF($R$1486,$W$1486,TRUE),LEN(TRIM($W$1486))&gt;0)</formula>
    </cfRule>
  </conditionalFormatting>
  <conditionalFormatting sqref="W1486">
    <cfRule type="expression" dxfId="1368" priority="649">
      <formula>OR($S$1486 = FALSE, AND($P$1486 = FALSE, ReportType &lt;&gt; "Final"), AND($Q$1486 = FALSE, ReportType &lt;&gt; "Rough"))</formula>
    </cfRule>
  </conditionalFormatting>
  <conditionalFormatting sqref="W1486">
    <cfRule type="expression" dxfId="1367" priority="648">
      <formula>OR($T$1486 = TRUE, AND($W$1486 = TRUE, $S$1486 = FALSE))</formula>
    </cfRule>
  </conditionalFormatting>
  <conditionalFormatting sqref="W1493">
    <cfRule type="expression" dxfId="1366" priority="647">
      <formula>AND($R$1493,$S$1493)</formula>
    </cfRule>
  </conditionalFormatting>
  <conditionalFormatting sqref="W1493">
    <cfRule type="expression" dxfId="1365" priority="646">
      <formula>AND(IF($R$1493,$W$1493,TRUE),LEN(TRIM($W$1493))&gt;0)</formula>
    </cfRule>
  </conditionalFormatting>
  <conditionalFormatting sqref="W1493">
    <cfRule type="expression" dxfId="1364" priority="645">
      <formula>OR($S$1493 = FALSE, AND($P$1493 = FALSE, ReportType &lt;&gt; "Final"), AND($Q$1493 = FALSE, ReportType &lt;&gt; "Rough"))</formula>
    </cfRule>
  </conditionalFormatting>
  <conditionalFormatting sqref="W1493">
    <cfRule type="expression" dxfId="1363" priority="644">
      <formula>OR($T$1493 = TRUE, AND($W$1493 = TRUE, $S$1493 = FALSE))</formula>
    </cfRule>
  </conditionalFormatting>
  <conditionalFormatting sqref="W1494">
    <cfRule type="expression" dxfId="1362" priority="643">
      <formula>AND($R$1494,$S$1494)</formula>
    </cfRule>
  </conditionalFormatting>
  <conditionalFormatting sqref="W1494">
    <cfRule type="expression" dxfId="1361" priority="642">
      <formula>AND(IF($R$1494,$W$1494,TRUE),LEN(TRIM($W$1494))&gt;0)</formula>
    </cfRule>
  </conditionalFormatting>
  <conditionalFormatting sqref="W1494">
    <cfRule type="expression" dxfId="1360" priority="641">
      <formula>OR($S$1494 = FALSE, AND($P$1494 = FALSE, ReportType &lt;&gt; "Final"), AND($Q$1494 = FALSE, ReportType &lt;&gt; "Rough"))</formula>
    </cfRule>
  </conditionalFormatting>
  <conditionalFormatting sqref="W1494">
    <cfRule type="expression" dxfId="1359" priority="640">
      <formula>OR($T$1494 = TRUE, AND($W$1494 = TRUE, $S$1494 = FALSE))</formula>
    </cfRule>
  </conditionalFormatting>
  <conditionalFormatting sqref="W1495">
    <cfRule type="expression" dxfId="1358" priority="639">
      <formula>AND($R$1495,$S$1495)</formula>
    </cfRule>
  </conditionalFormatting>
  <conditionalFormatting sqref="W1495">
    <cfRule type="expression" dxfId="1357" priority="638">
      <formula>AND(IF($R$1495,$W$1495,TRUE),LEN(TRIM($W$1495))&gt;0)</formula>
    </cfRule>
  </conditionalFormatting>
  <conditionalFormatting sqref="W1495">
    <cfRule type="expression" dxfId="1356" priority="637">
      <formula>OR($S$1495 = FALSE, AND($P$1495 = FALSE, ReportType &lt;&gt; "Final"), AND($Q$1495 = FALSE, ReportType &lt;&gt; "Rough"))</formula>
    </cfRule>
  </conditionalFormatting>
  <conditionalFormatting sqref="W1495">
    <cfRule type="expression" dxfId="1355" priority="636">
      <formula>OR($T$1495 = TRUE, AND($W$1495 = TRUE, $S$1495 = FALSE))</formula>
    </cfRule>
  </conditionalFormatting>
  <conditionalFormatting sqref="W1496">
    <cfRule type="expression" dxfId="1354" priority="635">
      <formula>AND($R$1496,$S$1496)</formula>
    </cfRule>
  </conditionalFormatting>
  <conditionalFormatting sqref="W1496">
    <cfRule type="expression" dxfId="1353" priority="634">
      <formula>AND(IF($R$1496,$W$1496,TRUE),LEN(TRIM($W$1496))&gt;0)</formula>
    </cfRule>
  </conditionalFormatting>
  <conditionalFormatting sqref="W1496">
    <cfRule type="expression" dxfId="1352" priority="633">
      <formula>OR($S$1496 = FALSE, AND($P$1496 = FALSE, ReportType &lt;&gt; "Final"), AND($Q$1496 = FALSE, ReportType &lt;&gt; "Rough"))</formula>
    </cfRule>
  </conditionalFormatting>
  <conditionalFormatting sqref="W1496">
    <cfRule type="expression" dxfId="1351" priority="632">
      <formula>OR($T$1496 = TRUE, AND($W$1496 = TRUE, $S$1496 = FALSE))</formula>
    </cfRule>
  </conditionalFormatting>
  <conditionalFormatting sqref="W1498">
    <cfRule type="expression" dxfId="1350" priority="631">
      <formula>AND($R$1498,$S$1498)</formula>
    </cfRule>
  </conditionalFormatting>
  <conditionalFormatting sqref="W1498">
    <cfRule type="expression" dxfId="1349" priority="630">
      <formula>AND(IF($R$1498,$W$1498,TRUE),LEN(TRIM($W$1498))&gt;0)</formula>
    </cfRule>
  </conditionalFormatting>
  <conditionalFormatting sqref="W1498">
    <cfRule type="expression" dxfId="1348" priority="629">
      <formula>OR($S$1498 = FALSE, AND($P$1498 = FALSE, ReportType &lt;&gt; "Final"), AND($Q$1498 = FALSE, ReportType &lt;&gt; "Rough"))</formula>
    </cfRule>
  </conditionalFormatting>
  <conditionalFormatting sqref="W1498">
    <cfRule type="expression" dxfId="1347" priority="628">
      <formula>OR($T$1498 = TRUE, AND($W$1498 = TRUE, $S$1498 = FALSE))</formula>
    </cfRule>
  </conditionalFormatting>
  <conditionalFormatting sqref="W1501">
    <cfRule type="expression" dxfId="1346" priority="627">
      <formula>AND($R$1501,$S$1501)</formula>
    </cfRule>
  </conditionalFormatting>
  <conditionalFormatting sqref="W1501">
    <cfRule type="expression" dxfId="1345" priority="626">
      <formula>AND(IF($R$1501,$W$1501,TRUE),LEN(TRIM($W$1501))&gt;0)</formula>
    </cfRule>
  </conditionalFormatting>
  <conditionalFormatting sqref="W1501">
    <cfRule type="expression" dxfId="1344" priority="625">
      <formula>OR($S$1501 = FALSE, AND($P$1501 = FALSE, ReportType &lt;&gt; "Final"), AND($Q$1501 = FALSE, ReportType &lt;&gt; "Rough"))</formula>
    </cfRule>
  </conditionalFormatting>
  <conditionalFormatting sqref="W1501">
    <cfRule type="expression" dxfId="1343" priority="624">
      <formula>OR($T$1501 = TRUE, AND($W$1501 = TRUE, $S$1501 = FALSE))</formula>
    </cfRule>
  </conditionalFormatting>
  <conditionalFormatting sqref="W1506">
    <cfRule type="expression" dxfId="1342" priority="623">
      <formula>AND($R$1506,$S$1506)</formula>
    </cfRule>
  </conditionalFormatting>
  <conditionalFormatting sqref="W1506">
    <cfRule type="expression" dxfId="1341" priority="622">
      <formula>AND($W$1506&lt;&gt;"Not Met",LEN(TRIM($W$1506))&gt;0)</formula>
    </cfRule>
  </conditionalFormatting>
  <conditionalFormatting sqref="W1506">
    <cfRule type="expression" dxfId="1340" priority="621">
      <formula>OR($S$1506 = FALSE, AND($P$1506 = FALSE, ReportType &lt;&gt; "Final"), AND($Q$1506 = FALSE, ReportType &lt;&gt; "Rough"))</formula>
    </cfRule>
  </conditionalFormatting>
  <conditionalFormatting sqref="W1506">
    <cfRule type="expression" dxfId="1339" priority="620">
      <formula>OR($T$1506 = TRUE, AND(LEN(TRIM($W$1506))&gt;0, $S$1506 = FALSE))</formula>
    </cfRule>
  </conditionalFormatting>
  <conditionalFormatting sqref="W1517">
    <cfRule type="expression" dxfId="1338" priority="619">
      <formula>AND($R$1517,$S$1517)</formula>
    </cfRule>
  </conditionalFormatting>
  <conditionalFormatting sqref="W1517">
    <cfRule type="expression" dxfId="1337" priority="618">
      <formula>AND(IF($R$1517,$W$1517,TRUE),LEN(TRIM($W$1517))&gt;0)</formula>
    </cfRule>
  </conditionalFormatting>
  <conditionalFormatting sqref="W1517">
    <cfRule type="expression" dxfId="1336" priority="617">
      <formula>OR($S$1517 = FALSE, AND($P$1517 = FALSE, ReportType &lt;&gt; "Final"), AND($Q$1517 = FALSE, ReportType &lt;&gt; "Rough"))</formula>
    </cfRule>
  </conditionalFormatting>
  <conditionalFormatting sqref="W1517">
    <cfRule type="expression" dxfId="1335" priority="616">
      <formula>OR($T$1517 = TRUE, AND($W$1517 = TRUE, $S$1517 = FALSE))</formula>
    </cfRule>
  </conditionalFormatting>
  <conditionalFormatting sqref="W1518">
    <cfRule type="expression" dxfId="1334" priority="615">
      <formula>AND($R$1518,$S$1518)</formula>
    </cfRule>
  </conditionalFormatting>
  <conditionalFormatting sqref="W1518">
    <cfRule type="expression" dxfId="1333" priority="614">
      <formula>AND(IF($R$1518,$W$1518,TRUE),LEN(TRIM($W$1518))&gt;0)</formula>
    </cfRule>
  </conditionalFormatting>
  <conditionalFormatting sqref="W1518">
    <cfRule type="expression" dxfId="1332" priority="613">
      <formula>OR($S$1518 = FALSE, AND($P$1518 = FALSE, ReportType &lt;&gt; "Final"), AND($Q$1518 = FALSE, ReportType &lt;&gt; "Rough"))</formula>
    </cfRule>
  </conditionalFormatting>
  <conditionalFormatting sqref="W1518">
    <cfRule type="expression" dxfId="1331" priority="612">
      <formula>OR($T$1518 = TRUE, AND($W$1518 = TRUE, $S$1518 = FALSE))</formula>
    </cfRule>
  </conditionalFormatting>
  <conditionalFormatting sqref="W1519">
    <cfRule type="expression" dxfId="1330" priority="611">
      <formula>AND($R$1519,$S$1519)</formula>
    </cfRule>
  </conditionalFormatting>
  <conditionalFormatting sqref="W1519">
    <cfRule type="expression" dxfId="1329" priority="610">
      <formula>AND(IF($R$1519,$W$1519,TRUE),LEN(TRIM($W$1519))&gt;0)</formula>
    </cfRule>
  </conditionalFormatting>
  <conditionalFormatting sqref="W1519">
    <cfRule type="expression" dxfId="1328" priority="609">
      <formula>OR($S$1519 = FALSE, AND($P$1519 = FALSE, ReportType &lt;&gt; "Final"), AND($Q$1519 = FALSE, ReportType &lt;&gt; "Rough"))</formula>
    </cfRule>
  </conditionalFormatting>
  <conditionalFormatting sqref="W1519">
    <cfRule type="expression" dxfId="1327" priority="608">
      <formula>OR($T$1519 = TRUE, AND($W$1519 = TRUE, $S$1519 = FALSE))</formula>
    </cfRule>
  </conditionalFormatting>
  <conditionalFormatting sqref="W1520">
    <cfRule type="expression" dxfId="1326" priority="607">
      <formula>AND($R$1520,$S$1520)</formula>
    </cfRule>
  </conditionalFormatting>
  <conditionalFormatting sqref="W1520">
    <cfRule type="expression" dxfId="1325" priority="606">
      <formula>AND(IF($R$1520,$W$1520,TRUE),LEN(TRIM($W$1520))&gt;0)</formula>
    </cfRule>
  </conditionalFormatting>
  <conditionalFormatting sqref="W1520">
    <cfRule type="expression" dxfId="1324" priority="605">
      <formula>OR($S$1520 = FALSE, AND($P$1520 = FALSE, ReportType &lt;&gt; "Final"), AND($Q$1520 = FALSE, ReportType &lt;&gt; "Rough"))</formula>
    </cfRule>
  </conditionalFormatting>
  <conditionalFormatting sqref="W1520">
    <cfRule type="expression" dxfId="1323" priority="604">
      <formula>OR($T$1520 = TRUE, AND($W$1520 = TRUE, $S$1520 = FALSE))</formula>
    </cfRule>
  </conditionalFormatting>
  <conditionalFormatting sqref="W1521">
    <cfRule type="expression" dxfId="1322" priority="603">
      <formula>AND($R$1521,$S$1521)</formula>
    </cfRule>
  </conditionalFormatting>
  <conditionalFormatting sqref="W1521">
    <cfRule type="expression" dxfId="1321" priority="602">
      <formula>AND(IF($R$1521,$W$1521,TRUE),LEN(TRIM($W$1521))&gt;0)</formula>
    </cfRule>
  </conditionalFormatting>
  <conditionalFormatting sqref="W1521">
    <cfRule type="expression" dxfId="1320" priority="601">
      <formula>OR($S$1521 = FALSE, AND($P$1521 = FALSE, ReportType &lt;&gt; "Final"), AND($Q$1521 = FALSE, ReportType &lt;&gt; "Rough"))</formula>
    </cfRule>
  </conditionalFormatting>
  <conditionalFormatting sqref="W1521">
    <cfRule type="expression" dxfId="1319" priority="600">
      <formula>OR($T$1521 = TRUE, AND($W$1521 = TRUE, $S$1521 = FALSE))</formula>
    </cfRule>
  </conditionalFormatting>
  <conditionalFormatting sqref="W1522">
    <cfRule type="expression" dxfId="1318" priority="599">
      <formula>AND($R$1522,$S$1522)</formula>
    </cfRule>
  </conditionalFormatting>
  <conditionalFormatting sqref="W1522">
    <cfRule type="expression" dxfId="1317" priority="598">
      <formula>AND(IF($R$1522,$W$1522,TRUE),LEN(TRIM($W$1522))&gt;0)</formula>
    </cfRule>
  </conditionalFormatting>
  <conditionalFormatting sqref="W1522">
    <cfRule type="expression" dxfId="1316" priority="597">
      <formula>OR($S$1522 = FALSE, AND($P$1522 = FALSE, ReportType &lt;&gt; "Final"), AND($Q$1522 = FALSE, ReportType &lt;&gt; "Rough"))</formula>
    </cfRule>
  </conditionalFormatting>
  <conditionalFormatting sqref="W1522">
    <cfRule type="expression" dxfId="1315" priority="596">
      <formula>OR($T$1522 = TRUE, AND($W$1522 = TRUE, $S$1522 = FALSE))</formula>
    </cfRule>
  </conditionalFormatting>
  <conditionalFormatting sqref="W1523">
    <cfRule type="expression" dxfId="1314" priority="595">
      <formula>AND($R$1523,$S$1523)</formula>
    </cfRule>
  </conditionalFormatting>
  <conditionalFormatting sqref="W1523">
    <cfRule type="expression" dxfId="1313" priority="594">
      <formula>AND(IF($R$1523,$W$1523,TRUE),LEN(TRIM($W$1523))&gt;0)</formula>
    </cfRule>
  </conditionalFormatting>
  <conditionalFormatting sqref="W1523">
    <cfRule type="expression" dxfId="1312" priority="593">
      <formula>OR($S$1523 = FALSE, AND($P$1523 = FALSE, ReportType &lt;&gt; "Final"), AND($Q$1523 = FALSE, ReportType &lt;&gt; "Rough"))</formula>
    </cfRule>
  </conditionalFormatting>
  <conditionalFormatting sqref="W1523">
    <cfRule type="expression" dxfId="1311" priority="592">
      <formula>OR($T$1523 = TRUE, AND($W$1523 = TRUE, $S$1523 = FALSE))</formula>
    </cfRule>
  </conditionalFormatting>
  <conditionalFormatting sqref="W1524">
    <cfRule type="expression" dxfId="1310" priority="591">
      <formula>AND($R$1524,$S$1524)</formula>
    </cfRule>
  </conditionalFormatting>
  <conditionalFormatting sqref="W1524">
    <cfRule type="expression" dxfId="1309" priority="590">
      <formula>AND(IF($R$1524,$W$1524,TRUE),LEN(TRIM($W$1524))&gt;0)</formula>
    </cfRule>
  </conditionalFormatting>
  <conditionalFormatting sqref="W1524">
    <cfRule type="expression" dxfId="1308" priority="589">
      <formula>OR($S$1524 = FALSE, AND($P$1524 = FALSE, ReportType &lt;&gt; "Final"), AND($Q$1524 = FALSE, ReportType &lt;&gt; "Rough"))</formula>
    </cfRule>
  </conditionalFormatting>
  <conditionalFormatting sqref="W1524">
    <cfRule type="expression" dxfId="1307" priority="588">
      <formula>OR($T$1524 = TRUE, AND($W$1524 = TRUE, $S$1524 = FALSE))</formula>
    </cfRule>
  </conditionalFormatting>
  <conditionalFormatting sqref="W1531">
    <cfRule type="expression" dxfId="1306" priority="587">
      <formula>AND($R$1531,$S$1531)</formula>
    </cfRule>
  </conditionalFormatting>
  <conditionalFormatting sqref="W1531">
    <cfRule type="expression" dxfId="1305" priority="586">
      <formula>AND(IF($R$1531,$W$1531,TRUE),LEN(TRIM($W$1531))&gt;0)</formula>
    </cfRule>
  </conditionalFormatting>
  <conditionalFormatting sqref="W1531">
    <cfRule type="expression" dxfId="1304" priority="585">
      <formula>OR($S$1531 = FALSE, AND($P$1531 = FALSE, ReportType &lt;&gt; "Final"), AND($Q$1531 = FALSE, ReportType &lt;&gt; "Rough"))</formula>
    </cfRule>
  </conditionalFormatting>
  <conditionalFormatting sqref="W1531">
    <cfRule type="expression" dxfId="1303" priority="584">
      <formula>OR($T$1531 = TRUE, AND($W$1531 = TRUE, $S$1531 = FALSE))</formula>
    </cfRule>
  </conditionalFormatting>
  <conditionalFormatting sqref="W1533">
    <cfRule type="expression" dxfId="1302" priority="583">
      <formula>AND($R$1533,$S$1533)</formula>
    </cfRule>
  </conditionalFormatting>
  <conditionalFormatting sqref="W1533">
    <cfRule type="expression" dxfId="1301" priority="582">
      <formula>AND(IF($R$1533,$W$1533,TRUE),LEN(TRIM($W$1533))&gt;0)</formula>
    </cfRule>
  </conditionalFormatting>
  <conditionalFormatting sqref="W1533">
    <cfRule type="expression" dxfId="1300" priority="581">
      <formula>OR($S$1533 = FALSE, AND($P$1533 = FALSE, ReportType &lt;&gt; "Final"), AND($Q$1533 = FALSE, ReportType &lt;&gt; "Rough"))</formula>
    </cfRule>
  </conditionalFormatting>
  <conditionalFormatting sqref="W1533">
    <cfRule type="expression" dxfId="1299" priority="580">
      <formula>OR($T$1533 = TRUE, AND($W$1533 = TRUE, $S$1533 = FALSE))</formula>
    </cfRule>
  </conditionalFormatting>
  <conditionalFormatting sqref="W1535">
    <cfRule type="expression" dxfId="1298" priority="579">
      <formula>AND($R$1535,$S$1535)</formula>
    </cfRule>
  </conditionalFormatting>
  <conditionalFormatting sqref="W1535">
    <cfRule type="expression" dxfId="1297" priority="578">
      <formula>AND(IF($R$1535,$W$1535,TRUE),LEN(TRIM($W$1535))&gt;0)</formula>
    </cfRule>
  </conditionalFormatting>
  <conditionalFormatting sqref="W1535">
    <cfRule type="expression" dxfId="1296" priority="577">
      <formula>OR($S$1535 = FALSE, AND($P$1535 = FALSE, ReportType &lt;&gt; "Final"), AND($Q$1535 = FALSE, ReportType &lt;&gt; "Rough"))</formula>
    </cfRule>
  </conditionalFormatting>
  <conditionalFormatting sqref="W1535">
    <cfRule type="expression" dxfId="1295" priority="576">
      <formula>OR($T$1535 = TRUE, AND($W$1535 = TRUE, $S$1535 = FALSE))</formula>
    </cfRule>
  </conditionalFormatting>
  <conditionalFormatting sqref="W1538">
    <cfRule type="expression" dxfId="1294" priority="575">
      <formula>AND($R$1538,$S$1538)</formula>
    </cfRule>
  </conditionalFormatting>
  <conditionalFormatting sqref="W1538">
    <cfRule type="expression" dxfId="1293" priority="574">
      <formula>AND(IF($R$1538,$W$1538,TRUE),LEN(TRIM($W$1538))&gt;0)</formula>
    </cfRule>
  </conditionalFormatting>
  <conditionalFormatting sqref="W1538">
    <cfRule type="expression" dxfId="1292" priority="573">
      <formula>OR($S$1538 = FALSE, AND($P$1538 = FALSE, ReportType &lt;&gt; "Final"), AND($Q$1538 = FALSE, ReportType &lt;&gt; "Rough"))</formula>
    </cfRule>
  </conditionalFormatting>
  <conditionalFormatting sqref="W1538">
    <cfRule type="expression" dxfId="1291" priority="572">
      <formula>OR($T$1538 = TRUE, AND($W$1538 = TRUE, $S$1538 = FALSE))</formula>
    </cfRule>
  </conditionalFormatting>
  <conditionalFormatting sqref="W1552">
    <cfRule type="expression" dxfId="1290" priority="571">
      <formula>AND($R$1552,$S$1552)</formula>
    </cfRule>
  </conditionalFormatting>
  <conditionalFormatting sqref="W1552">
    <cfRule type="expression" dxfId="1289" priority="570">
      <formula>AND(IF($R$1552,$W$1552,TRUE),LEN(TRIM($W$1552))&gt;0)</formula>
    </cfRule>
  </conditionalFormatting>
  <conditionalFormatting sqref="W1552">
    <cfRule type="expression" dxfId="1288" priority="569">
      <formula>OR($S$1552 = FALSE, AND($P$1552 = FALSE, ReportType &lt;&gt; "Final"), AND($Q$1552 = FALSE, ReportType &lt;&gt; "Rough"))</formula>
    </cfRule>
  </conditionalFormatting>
  <conditionalFormatting sqref="W1552">
    <cfRule type="expression" dxfId="1287" priority="568">
      <formula>OR($T$1552 = TRUE, AND($W$1552 = TRUE, $S$1552 = FALSE))</formula>
    </cfRule>
  </conditionalFormatting>
  <conditionalFormatting sqref="W1558">
    <cfRule type="expression" dxfId="1286" priority="567">
      <formula>AND($R$1558,$S$1558)</formula>
    </cfRule>
  </conditionalFormatting>
  <conditionalFormatting sqref="W1558">
    <cfRule type="expression" dxfId="1285" priority="566">
      <formula>AND(IF($R$1558,$W$1558,TRUE),LEN(TRIM($W$1558))&gt;0)</formula>
    </cfRule>
  </conditionalFormatting>
  <conditionalFormatting sqref="W1558">
    <cfRule type="expression" dxfId="1284" priority="565">
      <formula>OR($S$1558 = FALSE, AND($P$1558 = FALSE, ReportType &lt;&gt; "Final"), AND($Q$1558 = FALSE, ReportType &lt;&gt; "Rough"))</formula>
    </cfRule>
  </conditionalFormatting>
  <conditionalFormatting sqref="W1558">
    <cfRule type="expression" dxfId="1283" priority="564">
      <formula>OR($T$1558 = TRUE, AND($W$1558 = TRUE, $S$1558 = FALSE))</formula>
    </cfRule>
  </conditionalFormatting>
  <conditionalFormatting sqref="W1559">
    <cfRule type="expression" dxfId="1282" priority="563">
      <formula>AND($R$1559,$S$1559)</formula>
    </cfRule>
  </conditionalFormatting>
  <conditionalFormatting sqref="W1559">
    <cfRule type="expression" dxfId="1281" priority="562">
      <formula>AND(IF($R$1559,$W$1559,TRUE),LEN(TRIM($W$1559))&gt;0)</formula>
    </cfRule>
  </conditionalFormatting>
  <conditionalFormatting sqref="W1559">
    <cfRule type="expression" dxfId="1280" priority="561">
      <formula>OR($S$1559 = FALSE, AND($P$1559 = FALSE, ReportType &lt;&gt; "Final"), AND($Q$1559 = FALSE, ReportType &lt;&gt; "Rough"))</formula>
    </cfRule>
  </conditionalFormatting>
  <conditionalFormatting sqref="W1559">
    <cfRule type="expression" dxfId="1279" priority="560">
      <formula>OR($T$1559 = TRUE, AND($W$1559 = TRUE, $S$1559 = FALSE))</formula>
    </cfRule>
  </conditionalFormatting>
  <conditionalFormatting sqref="W1560">
    <cfRule type="expression" dxfId="1278" priority="559">
      <formula>AND($R$1560,$S$1560)</formula>
    </cfRule>
  </conditionalFormatting>
  <conditionalFormatting sqref="W1560">
    <cfRule type="expression" dxfId="1277" priority="558">
      <formula>AND(IF($R$1560,$W$1560,TRUE),LEN(TRIM($W$1560))&gt;0)</formula>
    </cfRule>
  </conditionalFormatting>
  <conditionalFormatting sqref="W1560">
    <cfRule type="expression" dxfId="1276" priority="557">
      <formula>OR($S$1560 = FALSE, AND($P$1560 = FALSE, ReportType &lt;&gt; "Final"), AND($Q$1560 = FALSE, ReportType &lt;&gt; "Rough"))</formula>
    </cfRule>
  </conditionalFormatting>
  <conditionalFormatting sqref="W1560">
    <cfRule type="expression" dxfId="1275" priority="556">
      <formula>OR($T$1560 = TRUE, AND($W$1560 = TRUE, $S$1560 = FALSE))</formula>
    </cfRule>
  </conditionalFormatting>
  <conditionalFormatting sqref="W1563">
    <cfRule type="expression" dxfId="1274" priority="555">
      <formula>AND($R$1563,$S$1563)</formula>
    </cfRule>
  </conditionalFormatting>
  <conditionalFormatting sqref="W1563">
    <cfRule type="expression" dxfId="1273" priority="554">
      <formula>AND(IF($R$1563,$W$1563,TRUE),LEN(TRIM($W$1563))&gt;0)</formula>
    </cfRule>
  </conditionalFormatting>
  <conditionalFormatting sqref="W1563">
    <cfRule type="expression" dxfId="1272" priority="553">
      <formula>OR($S$1563 = FALSE, AND($P$1563 = FALSE, ReportType &lt;&gt; "Final"), AND($Q$1563 = FALSE, ReportType &lt;&gt; "Rough"))</formula>
    </cfRule>
  </conditionalFormatting>
  <conditionalFormatting sqref="W1563">
    <cfRule type="expression" dxfId="1271" priority="552">
      <formula>OR($T$1563 = TRUE, AND($W$1563 = TRUE, $S$1563 = FALSE))</formula>
    </cfRule>
  </conditionalFormatting>
  <conditionalFormatting sqref="W1568">
    <cfRule type="expression" dxfId="1270" priority="551">
      <formula>AND($R$1568,$S$1568)</formula>
    </cfRule>
  </conditionalFormatting>
  <conditionalFormatting sqref="W1568">
    <cfRule type="expression" dxfId="1269" priority="550">
      <formula>AND(IF($R$1568,$W$1568,TRUE),LEN(TRIM($W$1568))&gt;0)</formula>
    </cfRule>
  </conditionalFormatting>
  <conditionalFormatting sqref="W1568">
    <cfRule type="expression" dxfId="1268" priority="549">
      <formula>OR($S$1568 = FALSE, AND($P$1568 = FALSE, ReportType &lt;&gt; "Final"), AND($Q$1568 = FALSE, ReportType &lt;&gt; "Rough"))</formula>
    </cfRule>
  </conditionalFormatting>
  <conditionalFormatting sqref="W1568">
    <cfRule type="expression" dxfId="1267" priority="548">
      <formula>OR($T$1568 = TRUE, AND($W$1568 = TRUE, $S$1568 = FALSE))</formula>
    </cfRule>
  </conditionalFormatting>
  <conditionalFormatting sqref="W1573">
    <cfRule type="expression" dxfId="1266" priority="547">
      <formula>AND($R$1573,$S$1573)</formula>
    </cfRule>
  </conditionalFormatting>
  <conditionalFormatting sqref="W1573">
    <cfRule type="expression" dxfId="1265" priority="546">
      <formula>AND(IF($R$1573,$W$1573,TRUE),LEN(TRIM($W$1573))&gt;0)</formula>
    </cfRule>
  </conditionalFormatting>
  <conditionalFormatting sqref="W1573">
    <cfRule type="expression" dxfId="1264" priority="545">
      <formula>OR($S$1573 = FALSE, AND($P$1573 = FALSE, ReportType &lt;&gt; "Final"), AND($Q$1573 = FALSE, ReportType &lt;&gt; "Rough"))</formula>
    </cfRule>
  </conditionalFormatting>
  <conditionalFormatting sqref="W1573">
    <cfRule type="expression" dxfId="1263" priority="544">
      <formula>OR($T$1573 = TRUE, AND($W$1573 = TRUE, $S$1573 = FALSE))</formula>
    </cfRule>
  </conditionalFormatting>
  <conditionalFormatting sqref="W1575">
    <cfRule type="expression" dxfId="1262" priority="543">
      <formula>AND($R$1575,$S$1575)</formula>
    </cfRule>
  </conditionalFormatting>
  <conditionalFormatting sqref="W1575">
    <cfRule type="expression" dxfId="1261" priority="542">
      <formula>AND(IF($R$1575,$W$1575,TRUE),LEN(TRIM($W$1575))&gt;0)</formula>
    </cfRule>
  </conditionalFormatting>
  <conditionalFormatting sqref="W1575">
    <cfRule type="expression" dxfId="1260" priority="541">
      <formula>OR($S$1575 = FALSE, AND($P$1575 = FALSE, ReportType &lt;&gt; "Final"), AND($Q$1575 = FALSE, ReportType &lt;&gt; "Rough"))</formula>
    </cfRule>
  </conditionalFormatting>
  <conditionalFormatting sqref="W1575">
    <cfRule type="expression" dxfId="1259" priority="540">
      <formula>OR($T$1575 = TRUE, AND($W$1575 = TRUE, $S$1575 = FALSE))</formula>
    </cfRule>
  </conditionalFormatting>
  <conditionalFormatting sqref="W1579">
    <cfRule type="expression" dxfId="1258" priority="539">
      <formula>AND($R$1579,$S$1579)</formula>
    </cfRule>
  </conditionalFormatting>
  <conditionalFormatting sqref="W1579">
    <cfRule type="expression" dxfId="1257" priority="538">
      <formula>AND($W$1579&lt;&gt;"Not Met",LEN(TRIM($W$1579))&gt;0)</formula>
    </cfRule>
  </conditionalFormatting>
  <conditionalFormatting sqref="W1579">
    <cfRule type="expression" dxfId="1256" priority="537">
      <formula>OR($S$1579 = FALSE, AND($P$1579 = FALSE, ReportType &lt;&gt; "Final"), AND($Q$1579 = FALSE, ReportType &lt;&gt; "Rough"))</formula>
    </cfRule>
  </conditionalFormatting>
  <conditionalFormatting sqref="W1579">
    <cfRule type="expression" dxfId="1255" priority="536">
      <formula>OR($T$1579 = TRUE, AND(LEN(TRIM($W$1579))&gt;0, $S$1579 = FALSE))</formula>
    </cfRule>
  </conditionalFormatting>
  <conditionalFormatting sqref="W1584">
    <cfRule type="expression" dxfId="1254" priority="535">
      <formula>AND($R$1584,$S$1584)</formula>
    </cfRule>
  </conditionalFormatting>
  <conditionalFormatting sqref="W1584">
    <cfRule type="expression" dxfId="1253" priority="534">
      <formula>AND(IF($R$1584,$W$1584,TRUE),LEN(TRIM($W$1584))&gt;0)</formula>
    </cfRule>
  </conditionalFormatting>
  <conditionalFormatting sqref="W1584">
    <cfRule type="expression" dxfId="1252" priority="533">
      <formula>OR($S$1584 = FALSE, AND($P$1584 = FALSE, ReportType &lt;&gt; "Final"), AND($Q$1584 = FALSE, ReportType &lt;&gt; "Rough"))</formula>
    </cfRule>
  </conditionalFormatting>
  <conditionalFormatting sqref="W1584">
    <cfRule type="expression" dxfId="1251" priority="532">
      <formula>OR($T$1584 = TRUE, AND($W$1584 = TRUE, $S$1584 = FALSE))</formula>
    </cfRule>
  </conditionalFormatting>
  <conditionalFormatting sqref="W1588">
    <cfRule type="expression" dxfId="1250" priority="531">
      <formula>AND($R$1588,$S$1588)</formula>
    </cfRule>
  </conditionalFormatting>
  <conditionalFormatting sqref="W1588">
    <cfRule type="expression" dxfId="1249" priority="530">
      <formula>AND(IF($R$1588,$W$1588,TRUE),LEN(TRIM($W$1588))&gt;0)</formula>
    </cfRule>
  </conditionalFormatting>
  <conditionalFormatting sqref="W1588">
    <cfRule type="expression" dxfId="1248" priority="529">
      <formula>OR($S$1588 = FALSE, AND($P$1588 = FALSE, ReportType &lt;&gt; "Final"), AND($Q$1588 = FALSE, ReportType &lt;&gt; "Rough"))</formula>
    </cfRule>
  </conditionalFormatting>
  <conditionalFormatting sqref="W1588">
    <cfRule type="expression" dxfId="1247" priority="528">
      <formula>OR($T$1588 = TRUE, AND($W$1588 = TRUE, $S$1588 = FALSE))</formula>
    </cfRule>
  </conditionalFormatting>
  <conditionalFormatting sqref="W1593">
    <cfRule type="expression" dxfId="1246" priority="527">
      <formula>AND($R$1593,$S$1593)</formula>
    </cfRule>
  </conditionalFormatting>
  <conditionalFormatting sqref="W1593">
    <cfRule type="expression" dxfId="1245" priority="526">
      <formula>AND(IF($R$1593,$W$1593,TRUE),LEN(TRIM($W$1593))&gt;0)</formula>
    </cfRule>
  </conditionalFormatting>
  <conditionalFormatting sqref="W1593">
    <cfRule type="expression" dxfId="1244" priority="525">
      <formula>OR($S$1593 = FALSE, AND($P$1593 = FALSE, ReportType &lt;&gt; "Final"), AND($Q$1593 = FALSE, ReportType &lt;&gt; "Rough"))</formula>
    </cfRule>
  </conditionalFormatting>
  <conditionalFormatting sqref="W1593">
    <cfRule type="expression" dxfId="1243" priority="524">
      <formula>OR($T$1593 = TRUE, AND($W$1593 = TRUE, $S$1593 = FALSE))</formula>
    </cfRule>
  </conditionalFormatting>
  <conditionalFormatting sqref="W1594">
    <cfRule type="expression" dxfId="1242" priority="523">
      <formula>AND($R$1594,$S$1594)</formula>
    </cfRule>
  </conditionalFormatting>
  <conditionalFormatting sqref="W1594">
    <cfRule type="expression" dxfId="1241" priority="522">
      <formula>AND(IF($R$1594,$W$1594,TRUE),LEN(TRIM($W$1594))&gt;0)</formula>
    </cfRule>
  </conditionalFormatting>
  <conditionalFormatting sqref="W1594">
    <cfRule type="expression" dxfId="1240" priority="521">
      <formula>OR($S$1594 = FALSE, AND($P$1594 = FALSE, ReportType &lt;&gt; "Final"), AND($Q$1594 = FALSE, ReportType &lt;&gt; "Rough"))</formula>
    </cfRule>
  </conditionalFormatting>
  <conditionalFormatting sqref="W1594">
    <cfRule type="expression" dxfId="1239" priority="520">
      <formula>OR($T$1594 = TRUE, AND($W$1594 = TRUE, $S$1594 = FALSE))</formula>
    </cfRule>
  </conditionalFormatting>
  <conditionalFormatting sqref="W998">
    <cfRule type="expression" dxfId="1238" priority="519">
      <formula>AND($R$998,$S$998)</formula>
    </cfRule>
  </conditionalFormatting>
  <conditionalFormatting sqref="W998">
    <cfRule type="expression" dxfId="1237" priority="518">
      <formula>AND(IF($R$998,$W$998,TRUE),LEN(TRIM($W$998))&gt;0)</formula>
    </cfRule>
  </conditionalFormatting>
  <conditionalFormatting sqref="W998">
    <cfRule type="expression" dxfId="1236" priority="517">
      <formula>OR($S$998 = FALSE, AND($P$998 = FALSE, ReportType &lt;&gt; "Final"), AND($Q$998 = FALSE, ReportType &lt;&gt; "Rough"))</formula>
    </cfRule>
  </conditionalFormatting>
  <conditionalFormatting sqref="W998">
    <cfRule type="expression" dxfId="1235" priority="516">
      <formula>OR($T$998 = TRUE, AND($W$998 = TRUE, $S$998 = FALSE))</formula>
    </cfRule>
  </conditionalFormatting>
  <conditionalFormatting sqref="W1054">
    <cfRule type="expression" dxfId="1234" priority="515">
      <formula>AND(R1054,S1054)</formula>
    </cfRule>
  </conditionalFormatting>
  <conditionalFormatting sqref="W1054">
    <cfRule type="expression" dxfId="1233" priority="514">
      <formula>NOT(ISBLANK(W1054))</formula>
    </cfRule>
  </conditionalFormatting>
  <conditionalFormatting sqref="W1054">
    <cfRule type="expression" dxfId="1232" priority="513">
      <formula>OR(S1054 = FALSE, AND(P1054 = FALSE, ReportType &lt;&gt; "Final"), AND(Q1054 = FALSE, ReportType &lt;&gt; "Rough"))</formula>
    </cfRule>
  </conditionalFormatting>
  <conditionalFormatting sqref="W1054">
    <cfRule type="expression" dxfId="1231" priority="512">
      <formula>OR(T1054 = TRUE, AND(W1054 = TRUE, S1054 = FALSE))</formula>
    </cfRule>
  </conditionalFormatting>
  <conditionalFormatting sqref="W1060">
    <cfRule type="expression" dxfId="1230" priority="511">
      <formula>AND(R1060,S1060)</formula>
    </cfRule>
  </conditionalFormatting>
  <conditionalFormatting sqref="W1060">
    <cfRule type="expression" dxfId="1229" priority="510">
      <formula>NOT(ISBLANK(W1060))</formula>
    </cfRule>
  </conditionalFormatting>
  <conditionalFormatting sqref="W1060">
    <cfRule type="expression" dxfId="1228" priority="509">
      <formula>OR(S1060 = FALSE, AND(P1060 = FALSE, ReportType &lt;&gt; "Final"), AND(Q1060 = FALSE, ReportType &lt;&gt; "Rough"))</formula>
    </cfRule>
  </conditionalFormatting>
  <conditionalFormatting sqref="W1060">
    <cfRule type="expression" dxfId="1227" priority="508">
      <formula>OR(T1060 = TRUE, AND(W1060 = TRUE, S1060 = FALSE))</formula>
    </cfRule>
  </conditionalFormatting>
  <conditionalFormatting sqref="W1126">
    <cfRule type="expression" dxfId="1226" priority="507">
      <formula>AND(R1126,S1126)</formula>
    </cfRule>
  </conditionalFormatting>
  <conditionalFormatting sqref="W1126">
    <cfRule type="expression" dxfId="1225" priority="506">
      <formula>NOT(ISBLANK(W1126))</formula>
    </cfRule>
  </conditionalFormatting>
  <conditionalFormatting sqref="W1126">
    <cfRule type="expression" dxfId="1224" priority="505">
      <formula>OR(S1126 = FALSE, AND(P1126 = FALSE, ReportType &lt;&gt; "Final"), AND(Q1126 = FALSE, ReportType &lt;&gt; "Rough"))</formula>
    </cfRule>
  </conditionalFormatting>
  <conditionalFormatting sqref="W1126">
    <cfRule type="expression" dxfId="1223" priority="504">
      <formula>OR(T1126 = TRUE, AND(W1126 = TRUE, S1126 = FALSE))</formula>
    </cfRule>
  </conditionalFormatting>
  <conditionalFormatting sqref="W1132">
    <cfRule type="expression" dxfId="1222" priority="503">
      <formula>AND(R1132,S1132)</formula>
    </cfRule>
  </conditionalFormatting>
  <conditionalFormatting sqref="W1132">
    <cfRule type="expression" dxfId="1221" priority="502">
      <formula>NOT(ISBLANK(W1132))</formula>
    </cfRule>
  </conditionalFormatting>
  <conditionalFormatting sqref="W1132">
    <cfRule type="expression" dxfId="1220" priority="501">
      <formula>OR(S1132 = FALSE, AND(P1132 = FALSE, ReportType &lt;&gt; "Final"), AND(Q1132 = FALSE, ReportType &lt;&gt; "Rough"))</formula>
    </cfRule>
  </conditionalFormatting>
  <conditionalFormatting sqref="W1132">
    <cfRule type="expression" dxfId="1219" priority="500">
      <formula>OR(T1132 = TRUE, AND(W1132 = TRUE, S1132 = FALSE))</formula>
    </cfRule>
  </conditionalFormatting>
  <conditionalFormatting sqref="W1135">
    <cfRule type="expression" dxfId="1218" priority="499">
      <formula>AND(R1135,S1135)</formula>
    </cfRule>
  </conditionalFormatting>
  <conditionalFormatting sqref="W1135">
    <cfRule type="expression" dxfId="1217" priority="498">
      <formula>NOT(ISBLANK(W1135))</formula>
    </cfRule>
  </conditionalFormatting>
  <conditionalFormatting sqref="W1135">
    <cfRule type="expression" dxfId="1216" priority="497">
      <formula>OR(S1135 = FALSE, AND(P1135 = FALSE, ReportType &lt;&gt; "Final"), AND(Q1135 = FALSE, ReportType &lt;&gt; "Rough"))</formula>
    </cfRule>
  </conditionalFormatting>
  <conditionalFormatting sqref="W1135">
    <cfRule type="expression" dxfId="1215" priority="496">
      <formula>OR(T1135 = TRUE, AND(W1135 = TRUE, S1135 = FALSE))</formula>
    </cfRule>
  </conditionalFormatting>
  <conditionalFormatting sqref="W1140">
    <cfRule type="expression" dxfId="1214" priority="495">
      <formula>AND(R1140,S1140)</formula>
    </cfRule>
  </conditionalFormatting>
  <conditionalFormatting sqref="W1140">
    <cfRule type="expression" dxfId="1213" priority="494">
      <formula>NOT(ISBLANK(W1140))</formula>
    </cfRule>
  </conditionalFormatting>
  <conditionalFormatting sqref="W1140">
    <cfRule type="expression" dxfId="1212" priority="493">
      <formula>OR(S1140 = FALSE, AND(P1140 = FALSE, ReportType &lt;&gt; "Final"), AND(Q1140 = FALSE, ReportType &lt;&gt; "Rough"))</formula>
    </cfRule>
  </conditionalFormatting>
  <conditionalFormatting sqref="W1140">
    <cfRule type="expression" dxfId="1211" priority="492">
      <formula>OR(T1140 = TRUE, AND(W1140 = TRUE, S1140 = FALSE))</formula>
    </cfRule>
  </conditionalFormatting>
  <conditionalFormatting sqref="W1146">
    <cfRule type="expression" dxfId="1210" priority="491">
      <formula>AND(R1146,S1146)</formula>
    </cfRule>
  </conditionalFormatting>
  <conditionalFormatting sqref="W1146">
    <cfRule type="expression" dxfId="1209" priority="490">
      <formula>NOT(ISBLANK(W1146))</formula>
    </cfRule>
  </conditionalFormatting>
  <conditionalFormatting sqref="W1146">
    <cfRule type="expression" dxfId="1208" priority="489">
      <formula>OR(S1146 = FALSE, AND(P1146 = FALSE, ReportType &lt;&gt; "Final"), AND(Q1146 = FALSE, ReportType &lt;&gt; "Rough"))</formula>
    </cfRule>
  </conditionalFormatting>
  <conditionalFormatting sqref="W1146">
    <cfRule type="expression" dxfId="1207" priority="488">
      <formula>OR(T1146 = TRUE, AND(W1146 = TRUE, S1146 = FALSE))</formula>
    </cfRule>
  </conditionalFormatting>
  <conditionalFormatting sqref="W1151">
    <cfRule type="expression" dxfId="1206" priority="487">
      <formula>AND(R1151,S1151)</formula>
    </cfRule>
  </conditionalFormatting>
  <conditionalFormatting sqref="W1151">
    <cfRule type="expression" dxfId="1205" priority="486">
      <formula>NOT(ISBLANK(W1151))</formula>
    </cfRule>
  </conditionalFormatting>
  <conditionalFormatting sqref="W1151">
    <cfRule type="expression" dxfId="1204" priority="485">
      <formula>OR(S1151 = FALSE, AND(P1151 = FALSE, ReportType &lt;&gt; "Final"), AND(Q1151 = FALSE, ReportType &lt;&gt; "Rough"))</formula>
    </cfRule>
  </conditionalFormatting>
  <conditionalFormatting sqref="W1151">
    <cfRule type="expression" dxfId="1203" priority="484">
      <formula>OR(T1151 = TRUE, AND(W1151 = TRUE, S1151 = FALSE))</formula>
    </cfRule>
  </conditionalFormatting>
  <conditionalFormatting sqref="W1153">
    <cfRule type="expression" dxfId="1202" priority="483">
      <formula>AND(R1153,S1153)</formula>
    </cfRule>
  </conditionalFormatting>
  <conditionalFormatting sqref="W1153">
    <cfRule type="expression" dxfId="1201" priority="482">
      <formula>NOT(ISBLANK(W1153))</formula>
    </cfRule>
  </conditionalFormatting>
  <conditionalFormatting sqref="W1153">
    <cfRule type="expression" dxfId="1200" priority="481">
      <formula>OR(S1153 = FALSE, AND(P1153 = FALSE, ReportType &lt;&gt; "Final"), AND(Q1153 = FALSE, ReportType &lt;&gt; "Rough"))</formula>
    </cfRule>
  </conditionalFormatting>
  <conditionalFormatting sqref="W1153">
    <cfRule type="expression" dxfId="1199" priority="480">
      <formula>OR(T1153 = TRUE, AND(W1153 = TRUE, S1153 = FALSE))</formula>
    </cfRule>
  </conditionalFormatting>
  <conditionalFormatting sqref="W1158">
    <cfRule type="expression" dxfId="1198" priority="479">
      <formula>AND(R1158,S1158)</formula>
    </cfRule>
  </conditionalFormatting>
  <conditionalFormatting sqref="W1158">
    <cfRule type="expression" dxfId="1197" priority="478">
      <formula>NOT(ISBLANK(W1158))</formula>
    </cfRule>
  </conditionalFormatting>
  <conditionalFormatting sqref="W1158">
    <cfRule type="expression" dxfId="1196" priority="477">
      <formula>OR(S1158 = FALSE, AND(P1158 = FALSE, ReportType &lt;&gt; "Final"), AND(Q1158 = FALSE, ReportType &lt;&gt; "Rough"))</formula>
    </cfRule>
  </conditionalFormatting>
  <conditionalFormatting sqref="W1158">
    <cfRule type="expression" dxfId="1195" priority="476">
      <formula>OR(T1158 = TRUE, AND(W1158 = TRUE, S1158 = FALSE))</formula>
    </cfRule>
  </conditionalFormatting>
  <conditionalFormatting sqref="W1165">
    <cfRule type="expression" dxfId="1194" priority="475">
      <formula>AND(R1165,S1165)</formula>
    </cfRule>
  </conditionalFormatting>
  <conditionalFormatting sqref="W1165">
    <cfRule type="expression" dxfId="1193" priority="474">
      <formula>NOT(ISBLANK(W1165))</formula>
    </cfRule>
  </conditionalFormatting>
  <conditionalFormatting sqref="W1165">
    <cfRule type="expression" dxfId="1192" priority="473">
      <formula>OR(S1165 = FALSE, AND(P1165 = FALSE, ReportType &lt;&gt; "Final"), AND(Q1165 = FALSE, ReportType &lt;&gt; "Rough"))</formula>
    </cfRule>
  </conditionalFormatting>
  <conditionalFormatting sqref="W1165">
    <cfRule type="expression" dxfId="1191" priority="472">
      <formula>OR(T1165 = TRUE, AND(W1165 = TRUE, S1165 = FALSE))</formula>
    </cfRule>
  </conditionalFormatting>
  <conditionalFormatting sqref="W1170">
    <cfRule type="expression" dxfId="1190" priority="471">
      <formula>AND(R1170,S1170)</formula>
    </cfRule>
  </conditionalFormatting>
  <conditionalFormatting sqref="W1170">
    <cfRule type="expression" dxfId="1189" priority="470">
      <formula>NOT(ISBLANK(W1170))</formula>
    </cfRule>
  </conditionalFormatting>
  <conditionalFormatting sqref="W1170">
    <cfRule type="expression" dxfId="1188" priority="469">
      <formula>OR(S1170 = FALSE, AND(P1170 = FALSE, ReportType &lt;&gt; "Final"), AND(Q1170 = FALSE, ReportType &lt;&gt; "Rough"))</formula>
    </cfRule>
  </conditionalFormatting>
  <conditionalFormatting sqref="W1170">
    <cfRule type="expression" dxfId="1187" priority="468">
      <formula>OR(T1170 = TRUE, AND(W1170 = TRUE, S1170 = FALSE))</formula>
    </cfRule>
  </conditionalFormatting>
  <conditionalFormatting sqref="W1178">
    <cfRule type="expression" dxfId="1186" priority="467">
      <formula>AND(R1178,S1178)</formula>
    </cfRule>
  </conditionalFormatting>
  <conditionalFormatting sqref="W1178">
    <cfRule type="expression" dxfId="1185" priority="466">
      <formula>NOT(ISBLANK(W1178))</formula>
    </cfRule>
  </conditionalFormatting>
  <conditionalFormatting sqref="W1178">
    <cfRule type="expression" dxfId="1184" priority="465">
      <formula>OR(S1178 = FALSE, AND(P1178 = FALSE, ReportType &lt;&gt; "Final"), AND(Q1178 = FALSE, ReportType &lt;&gt; "Rough"))</formula>
    </cfRule>
  </conditionalFormatting>
  <conditionalFormatting sqref="W1178">
    <cfRule type="expression" dxfId="1183" priority="464">
      <formula>OR(T1178 = TRUE, AND(W1178 = TRUE, S1178 = FALSE))</formula>
    </cfRule>
  </conditionalFormatting>
  <conditionalFormatting sqref="W1208">
    <cfRule type="expression" dxfId="1182" priority="459">
      <formula>AND(R1208,S1208)</formula>
    </cfRule>
  </conditionalFormatting>
  <conditionalFormatting sqref="W1208">
    <cfRule type="expression" dxfId="1181" priority="458">
      <formula>NOT(ISBLANK(W1208))</formula>
    </cfRule>
  </conditionalFormatting>
  <conditionalFormatting sqref="W1208">
    <cfRule type="expression" dxfId="1180" priority="457">
      <formula>OR(S1208 = FALSE, AND(P1208 = FALSE, ReportType &lt;&gt; "Final"), AND(Q1208 = FALSE, ReportType &lt;&gt; "Rough"))</formula>
    </cfRule>
  </conditionalFormatting>
  <conditionalFormatting sqref="W1208">
    <cfRule type="expression" dxfId="1179" priority="456">
      <formula>OR(T1208 = TRUE, AND(W1208 = TRUE, S1208 = FALSE))</formula>
    </cfRule>
  </conditionalFormatting>
  <conditionalFormatting sqref="W1262">
    <cfRule type="expression" dxfId="1178" priority="455">
      <formula>AND(R1262,S1262)</formula>
    </cfRule>
  </conditionalFormatting>
  <conditionalFormatting sqref="W1262">
    <cfRule type="expression" dxfId="1177" priority="454">
      <formula>NOT(ISBLANK(W1262))</formula>
    </cfRule>
  </conditionalFormatting>
  <conditionalFormatting sqref="W1262">
    <cfRule type="expression" dxfId="1176" priority="453">
      <formula>OR(S1262 = FALSE, AND(P1262 = FALSE, ReportType &lt;&gt; "Final"), AND(Q1262 = FALSE, ReportType &lt;&gt; "Rough"))</formula>
    </cfRule>
  </conditionalFormatting>
  <conditionalFormatting sqref="W1262">
    <cfRule type="expression" dxfId="1175" priority="452">
      <formula>OR(T1262 = TRUE, AND(W1262 = TRUE, S1262 = FALSE))</formula>
    </cfRule>
  </conditionalFormatting>
  <conditionalFormatting sqref="W1407">
    <cfRule type="expression" dxfId="1174" priority="451">
      <formula>AND(R1407,S1407)</formula>
    </cfRule>
  </conditionalFormatting>
  <conditionalFormatting sqref="W1407">
    <cfRule type="expression" dxfId="1173" priority="450">
      <formula>NOT(ISBLANK(W1407))</formula>
    </cfRule>
  </conditionalFormatting>
  <conditionalFormatting sqref="W1407">
    <cfRule type="expression" dxfId="1172" priority="449">
      <formula>OR(S1407 = FALSE, AND(P1407 = FALSE, ReportType &lt;&gt; "Final"), AND(Q1407 = FALSE, ReportType &lt;&gt; "Rough"))</formula>
    </cfRule>
  </conditionalFormatting>
  <conditionalFormatting sqref="W1407">
    <cfRule type="expression" dxfId="1171" priority="448">
      <formula>OR(T1407 = TRUE, AND(W1407 = TRUE, S1407 = FALSE))</formula>
    </cfRule>
  </conditionalFormatting>
  <conditionalFormatting sqref="W1450">
    <cfRule type="expression" dxfId="1170" priority="447">
      <formula>AND(R1450,S1450)</formula>
    </cfRule>
  </conditionalFormatting>
  <conditionalFormatting sqref="W1450">
    <cfRule type="expression" dxfId="1169" priority="446">
      <formula>NOT(ISBLANK(W1450))</formula>
    </cfRule>
  </conditionalFormatting>
  <conditionalFormatting sqref="W1450">
    <cfRule type="expression" dxfId="1168" priority="445">
      <formula>OR(S1450 = FALSE, AND(P1450 = FALSE, ReportType &lt;&gt; "Final"), AND(Q1450 = FALSE, ReportType &lt;&gt; "Rough"))</formula>
    </cfRule>
  </conditionalFormatting>
  <conditionalFormatting sqref="W1450">
    <cfRule type="expression" dxfId="1167" priority="444">
      <formula>OR(T1450 = TRUE, AND(W1450 = TRUE, S1450 = FALSE))</formula>
    </cfRule>
  </conditionalFormatting>
  <conditionalFormatting sqref="W1540">
    <cfRule type="expression" dxfId="1166" priority="443">
      <formula>AND(R1540,S1540)</formula>
    </cfRule>
  </conditionalFormatting>
  <conditionalFormatting sqref="W1540">
    <cfRule type="expression" dxfId="1165" priority="442">
      <formula>NOT(ISBLANK(W1540))</formula>
    </cfRule>
  </conditionalFormatting>
  <conditionalFormatting sqref="W1540">
    <cfRule type="expression" dxfId="1164" priority="441">
      <formula>OR(S1540 = FALSE, AND(P1540 = FALSE, ReportType &lt;&gt; "Final"), AND(Q1540 = FALSE, ReportType &lt;&gt; "Rough"))</formula>
    </cfRule>
  </conditionalFormatting>
  <conditionalFormatting sqref="W1540">
    <cfRule type="expression" dxfId="1163" priority="440">
      <formula>OR(T1540 = TRUE, AND(W1540 = TRUE, S1540 = FALSE))</formula>
    </cfRule>
  </conditionalFormatting>
  <conditionalFormatting sqref="W1542">
    <cfRule type="expression" dxfId="1162" priority="439">
      <formula>AND(R1542,S1542)</formula>
    </cfRule>
  </conditionalFormatting>
  <conditionalFormatting sqref="W1542">
    <cfRule type="expression" dxfId="1161" priority="438">
      <formula>NOT(ISBLANK(W1542))</formula>
    </cfRule>
  </conditionalFormatting>
  <conditionalFormatting sqref="W1542">
    <cfRule type="expression" dxfId="1160" priority="437">
      <formula>OR(S1542 = FALSE, AND(P1542 = FALSE, ReportType &lt;&gt; "Final"), AND(Q1542 = FALSE, ReportType &lt;&gt; "Rough"))</formula>
    </cfRule>
  </conditionalFormatting>
  <conditionalFormatting sqref="W1542">
    <cfRule type="expression" dxfId="1159" priority="436">
      <formula>OR(T1542 = TRUE, AND(W1542 = TRUE, S1542 = FALSE))</formula>
    </cfRule>
  </conditionalFormatting>
  <conditionalFormatting sqref="M1722:M1723">
    <cfRule type="expression" dxfId="1158" priority="435">
      <formula>NOT(O1731&gt;0)</formula>
    </cfRule>
  </conditionalFormatting>
  <conditionalFormatting sqref="W1627">
    <cfRule type="expression" dxfId="1157" priority="430">
      <formula>AND($R$1627,$S$1627)</formula>
    </cfRule>
  </conditionalFormatting>
  <conditionalFormatting sqref="W1627">
    <cfRule type="expression" dxfId="1156" priority="429">
      <formula>AND($W$1627&lt;&gt;"Not Met",LEN(TRIM($W$1627))&gt;0)</formula>
    </cfRule>
  </conditionalFormatting>
  <conditionalFormatting sqref="W1627">
    <cfRule type="expression" dxfId="1155" priority="428">
      <formula>OR($S$1627 = FALSE, AND($P$1627 = FALSE, ReportType &lt;&gt; "Final"), AND($Q$1627 = FALSE, ReportType &lt;&gt; "Rough"))</formula>
    </cfRule>
  </conditionalFormatting>
  <conditionalFormatting sqref="W1627">
    <cfRule type="expression" dxfId="1154" priority="427">
      <formula>OR($T$1627 = TRUE, AND(LEN(TRIM($W$1627))&gt;0, $S$1627 = FALSE))</formula>
    </cfRule>
  </conditionalFormatting>
  <conditionalFormatting sqref="W1653">
    <cfRule type="expression" dxfId="1153" priority="426">
      <formula>AND($R$1653,$S$1653)</formula>
    </cfRule>
  </conditionalFormatting>
  <conditionalFormatting sqref="W1653">
    <cfRule type="expression" dxfId="1152" priority="425">
      <formula>AND(IF($R$1653,$W$1653,TRUE),LEN(TRIM($W$1653))&gt;0)</formula>
    </cfRule>
  </conditionalFormatting>
  <conditionalFormatting sqref="W1653">
    <cfRule type="expression" dxfId="1151" priority="424">
      <formula>OR($S$1653 = FALSE, AND($P$1653 = FALSE, ReportType &lt;&gt; "Final"), AND($Q$1653 = FALSE, ReportType &lt;&gt; "Rough"))</formula>
    </cfRule>
  </conditionalFormatting>
  <conditionalFormatting sqref="W1653">
    <cfRule type="expression" dxfId="1150" priority="423">
      <formula>OR($T$1653 = TRUE, AND($W$1653 = TRUE, $S$1653 = FALSE))</formula>
    </cfRule>
  </conditionalFormatting>
  <conditionalFormatting sqref="W1658">
    <cfRule type="expression" dxfId="1149" priority="422">
      <formula>AND($R$1658,$S$1658)</formula>
    </cfRule>
  </conditionalFormatting>
  <conditionalFormatting sqref="W1658">
    <cfRule type="expression" dxfId="1148" priority="421">
      <formula>AND(IF($R$1658,$W$1658,TRUE),LEN(TRIM($W$1658))&gt;0)</formula>
    </cfRule>
  </conditionalFormatting>
  <conditionalFormatting sqref="W1658">
    <cfRule type="expression" dxfId="1147" priority="420">
      <formula>OR($S$1658 = FALSE, AND($P$1658 = FALSE, ReportType &lt;&gt; "Final"), AND($Q$1658 = FALSE, ReportType &lt;&gt; "Rough"))</formula>
    </cfRule>
  </conditionalFormatting>
  <conditionalFormatting sqref="W1658">
    <cfRule type="expression" dxfId="1146" priority="419">
      <formula>OR($T$1658 = TRUE, AND($W$1658 = TRUE, $S$1658 = FALSE))</formula>
    </cfRule>
  </conditionalFormatting>
  <conditionalFormatting sqref="W1659">
    <cfRule type="expression" dxfId="1145" priority="418">
      <formula>AND($R$1659,$S$1659)</formula>
    </cfRule>
  </conditionalFormatting>
  <conditionalFormatting sqref="W1659">
    <cfRule type="expression" dxfId="1144" priority="417">
      <formula>AND($W$1659&lt;&gt;"Not Met",LEN(TRIM($W$1659))&gt;0)</formula>
    </cfRule>
  </conditionalFormatting>
  <conditionalFormatting sqref="W1659">
    <cfRule type="expression" dxfId="1143" priority="416">
      <formula>OR($S$1659 = FALSE, AND($P$1659 = FALSE, ReportType &lt;&gt; "Final"), AND($Q$1659 = FALSE, ReportType &lt;&gt; "Rough"))</formula>
    </cfRule>
  </conditionalFormatting>
  <conditionalFormatting sqref="W1659">
    <cfRule type="expression" dxfId="1142" priority="415">
      <formula>OR($T$1659 = TRUE, AND(LEN(TRIM($W$1659))&gt;0, $S$1659 = FALSE))</formula>
    </cfRule>
  </conditionalFormatting>
  <conditionalFormatting sqref="W1681">
    <cfRule type="expression" dxfId="1141" priority="414">
      <formula>AND($R$1681,$S$1681)</formula>
    </cfRule>
  </conditionalFormatting>
  <conditionalFormatting sqref="W1681">
    <cfRule type="expression" dxfId="1140" priority="413">
      <formula>AND($W$1681&lt;&gt;"Not Met",LEN(TRIM($W$1681))&gt;0)</formula>
    </cfRule>
  </conditionalFormatting>
  <conditionalFormatting sqref="W1681">
    <cfRule type="expression" dxfId="1139" priority="412">
      <formula>OR($S$1681 = FALSE, AND($P$1681 = FALSE, ReportType &lt;&gt; "Final"), AND($Q$1681 = FALSE, ReportType &lt;&gt; "Rough"))</formula>
    </cfRule>
  </conditionalFormatting>
  <conditionalFormatting sqref="W1681">
    <cfRule type="expression" dxfId="1138" priority="411">
      <formula>OR($T$1681 = TRUE, AND(LEN(TRIM($W$1681))&gt;0, $S$1681 = FALSE))</formula>
    </cfRule>
  </conditionalFormatting>
  <conditionalFormatting sqref="W1692">
    <cfRule type="expression" dxfId="1137" priority="410">
      <formula>AND($R$1692,$S$1692)</formula>
    </cfRule>
  </conditionalFormatting>
  <conditionalFormatting sqref="W1692">
    <cfRule type="expression" dxfId="1136" priority="409">
      <formula>AND($W$1692&lt;&gt;"Not Met",LEN(TRIM($W$1692))&gt;0)</formula>
    </cfRule>
  </conditionalFormatting>
  <conditionalFormatting sqref="W1692">
    <cfRule type="expression" dxfId="1135" priority="408">
      <formula>OR($S$1692 = FALSE, AND($P$1692 = FALSE, ReportType &lt;&gt; "Final"), AND($Q$1692 = FALSE, ReportType &lt;&gt; "Rough"))</formula>
    </cfRule>
  </conditionalFormatting>
  <conditionalFormatting sqref="W1692">
    <cfRule type="expression" dxfId="1134" priority="407">
      <formula>OR($T$1692 = TRUE, AND(LEN(TRIM($W$1692))&gt;0, $S$1692 = FALSE))</formula>
    </cfRule>
  </conditionalFormatting>
  <conditionalFormatting sqref="W1697">
    <cfRule type="expression" dxfId="1133" priority="406">
      <formula>AND($R$1697,$S$1697)</formula>
    </cfRule>
  </conditionalFormatting>
  <conditionalFormatting sqref="W1697">
    <cfRule type="expression" dxfId="1132" priority="405">
      <formula>AND($W$1697&lt;&gt;"Not Met",LEN(TRIM($W$1697))&gt;0)</formula>
    </cfRule>
  </conditionalFormatting>
  <conditionalFormatting sqref="W1697">
    <cfRule type="expression" dxfId="1131" priority="404">
      <formula>OR($S$1697 = FALSE, AND($P$1697 = FALSE, ReportType &lt;&gt; "Final"), AND($Q$1697 = FALSE, ReportType &lt;&gt; "Rough"))</formula>
    </cfRule>
  </conditionalFormatting>
  <conditionalFormatting sqref="W1697">
    <cfRule type="expression" dxfId="1130" priority="403">
      <formula>OR($T$1697 = TRUE, AND(LEN(TRIM($W$1697))&gt;0, $S$1697 = FALSE))</formula>
    </cfRule>
  </conditionalFormatting>
  <conditionalFormatting sqref="W1701">
    <cfRule type="expression" dxfId="1129" priority="402">
      <formula>AND($R$1701,$S$1701)</formula>
    </cfRule>
  </conditionalFormatting>
  <conditionalFormatting sqref="W1701">
    <cfRule type="expression" dxfId="1128" priority="401">
      <formula>AND($W$1701&lt;&gt;"Not Met",LEN(TRIM($W$1701))&gt;0)</formula>
    </cfRule>
  </conditionalFormatting>
  <conditionalFormatting sqref="W1701">
    <cfRule type="expression" dxfId="1127" priority="400">
      <formula>OR($S$1701 = FALSE, AND($P$1701 = FALSE, ReportType &lt;&gt; "Final"), AND($Q$1701 = FALSE, ReportType &lt;&gt; "Rough"))</formula>
    </cfRule>
  </conditionalFormatting>
  <conditionalFormatting sqref="W1701">
    <cfRule type="expression" dxfId="1126" priority="399">
      <formula>OR($T$1701 = TRUE, AND(LEN(TRIM($W$1701))&gt;0, $S$1701 = FALSE))</formula>
    </cfRule>
  </conditionalFormatting>
  <conditionalFormatting sqref="W1703">
    <cfRule type="expression" dxfId="1125" priority="398">
      <formula>AND($R$1703,$S$1703)</formula>
    </cfRule>
  </conditionalFormatting>
  <conditionalFormatting sqref="W1703">
    <cfRule type="expression" dxfId="1124" priority="397">
      <formula>AND($W$1703&lt;&gt;"Not Met",LEN(TRIM($W$1703))&gt;0)</formula>
    </cfRule>
  </conditionalFormatting>
  <conditionalFormatting sqref="W1703">
    <cfRule type="expression" dxfId="1123" priority="396">
      <formula>OR($S$1703 = FALSE, AND($P$1703 = FALSE, ReportType &lt;&gt; "Final"), AND($Q$1703 = FALSE, ReportType &lt;&gt; "Rough"))</formula>
    </cfRule>
  </conditionalFormatting>
  <conditionalFormatting sqref="W1703">
    <cfRule type="expression" dxfId="1122" priority="395">
      <formula>OR($T$1703 = TRUE, AND(LEN(TRIM($W$1703))&gt;0, $S$1703 = FALSE))</formula>
    </cfRule>
  </conditionalFormatting>
  <conditionalFormatting sqref="W1713">
    <cfRule type="expression" dxfId="1121" priority="394">
      <formula>AND($R$1713,$S$1713)</formula>
    </cfRule>
  </conditionalFormatting>
  <conditionalFormatting sqref="W1713">
    <cfRule type="expression" dxfId="1120" priority="393">
      <formula>AND($W$1713&lt;&gt;"Not Met",LEN(TRIM($W$1713))&gt;0)</formula>
    </cfRule>
  </conditionalFormatting>
  <conditionalFormatting sqref="W1713">
    <cfRule type="expression" dxfId="1119" priority="392">
      <formula>OR($S$1713 = FALSE, AND($P$1713 = FALSE, ReportType &lt;&gt; "Final"), AND($Q$1713 = FALSE, ReportType &lt;&gt; "Rough"))</formula>
    </cfRule>
  </conditionalFormatting>
  <conditionalFormatting sqref="W1713">
    <cfRule type="expression" dxfId="1118" priority="391">
      <formula>OR($T$1713 = TRUE, AND(LEN(TRIM($W$1713))&gt;0, $S$1713 = FALSE))</formula>
    </cfRule>
  </conditionalFormatting>
  <conditionalFormatting sqref="W1718">
    <cfRule type="expression" dxfId="1117" priority="390">
      <formula>AND($R$1718,$S$1718)</formula>
    </cfRule>
  </conditionalFormatting>
  <conditionalFormatting sqref="W1718">
    <cfRule type="expression" dxfId="1116" priority="389">
      <formula>AND($W$1718&lt;&gt;"Not Met",LEN(TRIM($W$1718))&gt;0)</formula>
    </cfRule>
  </conditionalFormatting>
  <conditionalFormatting sqref="W1718">
    <cfRule type="expression" dxfId="1115" priority="388">
      <formula>OR($S$1718 = FALSE, AND($P$1718 = FALSE, ReportType &lt;&gt; "Final"), AND($Q$1718 = FALSE, ReportType &lt;&gt; "Rough"))</formula>
    </cfRule>
  </conditionalFormatting>
  <conditionalFormatting sqref="W1718">
    <cfRule type="expression" dxfId="1114" priority="387">
      <formula>OR($T$1718 = TRUE, AND(LEN(TRIM($W$1718))&gt;0, $S$1718 = FALSE))</formula>
    </cfRule>
  </conditionalFormatting>
  <conditionalFormatting sqref="W1724">
    <cfRule type="expression" dxfId="1113" priority="386">
      <formula>AND($R$1724,$S$1724)</formula>
    </cfRule>
  </conditionalFormatting>
  <conditionalFormatting sqref="W1724">
    <cfRule type="expression" dxfId="1112" priority="385">
      <formula>AND($W$1724&lt;&gt;"Not Met",LEN(TRIM($W$1724))&gt;0)</formula>
    </cfRule>
  </conditionalFormatting>
  <conditionalFormatting sqref="W1724">
    <cfRule type="expression" dxfId="1111" priority="384">
      <formula>OR($S$1724 = FALSE, AND($P$1724 = FALSE, ReportType &lt;&gt; "Final"), AND($Q$1724 = FALSE, ReportType &lt;&gt; "Rough"))</formula>
    </cfRule>
  </conditionalFormatting>
  <conditionalFormatting sqref="W1724">
    <cfRule type="expression" dxfId="1110" priority="383">
      <formula>OR($T$1724 = TRUE, AND(LEN(TRIM($W$1724))&gt;0, $S$1724 = FALSE))</formula>
    </cfRule>
  </conditionalFormatting>
  <conditionalFormatting sqref="W1731">
    <cfRule type="expression" dxfId="1109" priority="382">
      <formula>AND($R$1731,$S$1731)</formula>
    </cfRule>
  </conditionalFormatting>
  <conditionalFormatting sqref="W1731">
    <cfRule type="expression" dxfId="1108" priority="381">
      <formula>AND(IF($R$1731,$W$1731,TRUE),LEN(TRIM($W$1731))&gt;0)</formula>
    </cfRule>
  </conditionalFormatting>
  <conditionalFormatting sqref="W1731">
    <cfRule type="expression" dxfId="1107" priority="380">
      <formula>OR($S$1731 = FALSE, AND($P$1731 = FALSE, ReportType &lt;&gt; "Final"), AND($Q$1731 = FALSE, ReportType &lt;&gt; "Rough"))</formula>
    </cfRule>
  </conditionalFormatting>
  <conditionalFormatting sqref="W1731">
    <cfRule type="expression" dxfId="1106" priority="379">
      <formula>OR($T$1731 = TRUE, AND($W$1731 = TRUE, $S$1731 = FALSE))</formula>
    </cfRule>
  </conditionalFormatting>
  <conditionalFormatting sqref="W1734">
    <cfRule type="expression" dxfId="1105" priority="378">
      <formula>AND($R$1734,$S$1734)</formula>
    </cfRule>
  </conditionalFormatting>
  <conditionalFormatting sqref="W1734">
    <cfRule type="expression" dxfId="1104" priority="377">
      <formula>AND($W$1734&lt;&gt;"Not Met",LEN(TRIM($W$1734))&gt;0)</formula>
    </cfRule>
  </conditionalFormatting>
  <conditionalFormatting sqref="W1734">
    <cfRule type="expression" dxfId="1103" priority="376">
      <formula>OR($S$1734 = FALSE, AND($P$1734 = FALSE, ReportType &lt;&gt; "Final"), AND($Q$1734 = FALSE, ReportType &lt;&gt; "Rough"))</formula>
    </cfRule>
  </conditionalFormatting>
  <conditionalFormatting sqref="W1734">
    <cfRule type="expression" dxfId="1102" priority="375">
      <formula>OR($T$1734 = TRUE, AND(LEN(TRIM($W$1734))&gt;0, $S$1734 = FALSE))</formula>
    </cfRule>
  </conditionalFormatting>
  <conditionalFormatting sqref="W1738">
    <cfRule type="expression" dxfId="1101" priority="374">
      <formula>AND($R$1738,$S$1738)</formula>
    </cfRule>
  </conditionalFormatting>
  <conditionalFormatting sqref="W1738">
    <cfRule type="expression" dxfId="1100" priority="373">
      <formula>AND(IF($R$1738,$W$1738,TRUE),LEN(TRIM($W$1738))&gt;0)</formula>
    </cfRule>
  </conditionalFormatting>
  <conditionalFormatting sqref="W1738">
    <cfRule type="expression" dxfId="1099" priority="372">
      <formula>OR($S$1738 = FALSE, AND($P$1738 = FALSE, ReportType &lt;&gt; "Final"), AND($Q$1738 = FALSE, ReportType &lt;&gt; "Rough"))</formula>
    </cfRule>
  </conditionalFormatting>
  <conditionalFormatting sqref="W1738">
    <cfRule type="expression" dxfId="1098" priority="371">
      <formula>OR($T$1738 = TRUE, AND($W$1738 = TRUE, $S$1738 = FALSE))</formula>
    </cfRule>
  </conditionalFormatting>
  <conditionalFormatting sqref="W1740">
    <cfRule type="expression" dxfId="1097" priority="370">
      <formula>AND($R$1740,$S$1740)</formula>
    </cfRule>
  </conditionalFormatting>
  <conditionalFormatting sqref="W1740">
    <cfRule type="expression" dxfId="1096" priority="369">
      <formula>AND(IF($R$1740,$W$1740,TRUE),LEN(TRIM($W$1740))&gt;0)</formula>
    </cfRule>
  </conditionalFormatting>
  <conditionalFormatting sqref="W1740">
    <cfRule type="expression" dxfId="1095" priority="368">
      <formula>OR($S$1740 = FALSE, AND($P$1740 = FALSE, ReportType &lt;&gt; "Final"), AND($Q$1740 = FALSE, ReportType &lt;&gt; "Rough"))</formula>
    </cfRule>
  </conditionalFormatting>
  <conditionalFormatting sqref="W1740">
    <cfRule type="expression" dxfId="1094" priority="367">
      <formula>OR($T$1740 = TRUE, AND($W$1740 = TRUE, $S$1740 = FALSE))</formula>
    </cfRule>
  </conditionalFormatting>
  <conditionalFormatting sqref="W1743">
    <cfRule type="expression" dxfId="1093" priority="366">
      <formula>AND($R$1743,$S$1743)</formula>
    </cfRule>
  </conditionalFormatting>
  <conditionalFormatting sqref="W1743">
    <cfRule type="expression" dxfId="1092" priority="365">
      <formula>AND($W$1743&lt;&gt;"Not Met",LEN(TRIM($W$1743))&gt;0)</formula>
    </cfRule>
  </conditionalFormatting>
  <conditionalFormatting sqref="W1743">
    <cfRule type="expression" dxfId="1091" priority="364">
      <formula>OR($S$1743 = FALSE, AND($P$1743 = FALSE, ReportType &lt;&gt; "Final"), AND($Q$1743 = FALSE, ReportType &lt;&gt; "Rough"))</formula>
    </cfRule>
  </conditionalFormatting>
  <conditionalFormatting sqref="W1743">
    <cfRule type="expression" dxfId="1090" priority="363">
      <formula>OR($T$1743 = TRUE, AND(LEN(TRIM($W$1743))&gt;0, $S$1743 = FALSE))</formula>
    </cfRule>
  </conditionalFormatting>
  <conditionalFormatting sqref="W1745">
    <cfRule type="expression" dxfId="1089" priority="362">
      <formula>AND($R$1745,$S$1745)</formula>
    </cfRule>
  </conditionalFormatting>
  <conditionalFormatting sqref="W1745">
    <cfRule type="expression" dxfId="1088" priority="361">
      <formula>AND(IF($R$1745,$W$1745,TRUE),LEN(TRIM($W$1745))&gt;0)</formula>
    </cfRule>
  </conditionalFormatting>
  <conditionalFormatting sqref="W1745">
    <cfRule type="expression" dxfId="1087" priority="360">
      <formula>OR($S$1745 = FALSE, AND($P$1745 = FALSE, ReportType &lt;&gt; "Final"), AND($Q$1745 = FALSE, ReportType &lt;&gt; "Rough"))</formula>
    </cfRule>
  </conditionalFormatting>
  <conditionalFormatting sqref="W1745">
    <cfRule type="expression" dxfId="1086" priority="359">
      <formula>OR($T$1745 = TRUE, AND($W$1745 = TRUE, $S$1745 = FALSE))</formula>
    </cfRule>
  </conditionalFormatting>
  <conditionalFormatting sqref="W1749">
    <cfRule type="expression" dxfId="1085" priority="358">
      <formula>AND($R$1749,$S$1749)</formula>
    </cfRule>
  </conditionalFormatting>
  <conditionalFormatting sqref="W1749">
    <cfRule type="expression" dxfId="1084" priority="357">
      <formula>AND(IF($R$1749,$W$1749,TRUE),LEN(TRIM($W$1749))&gt;0)</formula>
    </cfRule>
  </conditionalFormatting>
  <conditionalFormatting sqref="W1749">
    <cfRule type="expression" dxfId="1083" priority="356">
      <formula>OR($S$1749 = FALSE, AND($P$1749 = FALSE, ReportType &lt;&gt; "Final"), AND($Q$1749 = FALSE, ReportType &lt;&gt; "Rough"))</formula>
    </cfRule>
  </conditionalFormatting>
  <conditionalFormatting sqref="W1749">
    <cfRule type="expression" dxfId="1082" priority="355">
      <formula>OR($T$1749 = TRUE, AND($W$1749 = TRUE, $S$1749 = FALSE))</formula>
    </cfRule>
  </conditionalFormatting>
  <conditionalFormatting sqref="W1750">
    <cfRule type="expression" dxfId="1081" priority="354">
      <formula>AND($R$1750,$S$1750)</formula>
    </cfRule>
  </conditionalFormatting>
  <conditionalFormatting sqref="W1750">
    <cfRule type="expression" dxfId="1080" priority="353">
      <formula>AND(IF($R$1750,$W$1750,TRUE),LEN(TRIM($W$1750))&gt;0)</formula>
    </cfRule>
  </conditionalFormatting>
  <conditionalFormatting sqref="W1750">
    <cfRule type="expression" dxfId="1079" priority="352">
      <formula>OR($S$1750 = FALSE, AND($P$1750 = FALSE, ReportType &lt;&gt; "Final"), AND($Q$1750 = FALSE, ReportType &lt;&gt; "Rough"))</formula>
    </cfRule>
  </conditionalFormatting>
  <conditionalFormatting sqref="W1750">
    <cfRule type="expression" dxfId="1078" priority="351">
      <formula>OR($T$1750 = TRUE, AND($W$1750 = TRUE, $S$1750 = FALSE))</formula>
    </cfRule>
  </conditionalFormatting>
  <conditionalFormatting sqref="W1751">
    <cfRule type="expression" dxfId="1077" priority="350">
      <formula>AND($R$1751,$S$1751)</formula>
    </cfRule>
  </conditionalFormatting>
  <conditionalFormatting sqref="W1751">
    <cfRule type="expression" dxfId="1076" priority="349">
      <formula>AND(IF($R$1751,$W$1751,TRUE),LEN(TRIM($W$1751))&gt;0)</formula>
    </cfRule>
  </conditionalFormatting>
  <conditionalFormatting sqref="W1751">
    <cfRule type="expression" dxfId="1075" priority="348">
      <formula>OR($S$1751 = FALSE, AND($P$1751 = FALSE, ReportType &lt;&gt; "Final"), AND($Q$1751 = FALSE, ReportType &lt;&gt; "Rough"))</formula>
    </cfRule>
  </conditionalFormatting>
  <conditionalFormatting sqref="W1751">
    <cfRule type="expression" dxfId="1074" priority="347">
      <formula>OR($T$1751 = TRUE, AND($W$1751 = TRUE, $S$1751 = FALSE))</formula>
    </cfRule>
  </conditionalFormatting>
  <conditionalFormatting sqref="W1755">
    <cfRule type="expression" dxfId="1073" priority="346">
      <formula>AND($R$1755,$S$1755)</formula>
    </cfRule>
  </conditionalFormatting>
  <conditionalFormatting sqref="W1755">
    <cfRule type="expression" dxfId="1072" priority="345">
      <formula>AND(IF($R$1755,$W$1755,TRUE),LEN(TRIM($W$1755))&gt;0)</formula>
    </cfRule>
  </conditionalFormatting>
  <conditionalFormatting sqref="W1755">
    <cfRule type="expression" dxfId="1071" priority="344">
      <formula>OR($S$1755 = FALSE, AND($P$1755 = FALSE, ReportType &lt;&gt; "Final"), AND($Q$1755 = FALSE, ReportType &lt;&gt; "Rough"))</formula>
    </cfRule>
  </conditionalFormatting>
  <conditionalFormatting sqref="W1755">
    <cfRule type="expression" dxfId="1070" priority="343">
      <formula>OR($T$1755 = TRUE, AND($W$1755 = TRUE, $S$1755 = FALSE))</formula>
    </cfRule>
  </conditionalFormatting>
  <conditionalFormatting sqref="W1757">
    <cfRule type="expression" dxfId="1069" priority="342">
      <formula>AND($R$1757,$S$1757)</formula>
    </cfRule>
  </conditionalFormatting>
  <conditionalFormatting sqref="W1757">
    <cfRule type="expression" dxfId="1068" priority="341">
      <formula>AND(IF($R$1757,$W$1757,TRUE),LEN(TRIM($W$1757))&gt;0)</formula>
    </cfRule>
  </conditionalFormatting>
  <conditionalFormatting sqref="W1757">
    <cfRule type="expression" dxfId="1067" priority="340">
      <formula>OR($S$1757 = FALSE, AND($P$1757 = FALSE, ReportType &lt;&gt; "Final"), AND($Q$1757 = FALSE, ReportType &lt;&gt; "Rough"))</formula>
    </cfRule>
  </conditionalFormatting>
  <conditionalFormatting sqref="W1757">
    <cfRule type="expression" dxfId="1066" priority="339">
      <formula>OR($T$1757 = TRUE, AND($W$1757 = TRUE, $S$1757 = FALSE))</formula>
    </cfRule>
  </conditionalFormatting>
  <conditionalFormatting sqref="W1761">
    <cfRule type="expression" dxfId="1065" priority="338">
      <formula>AND($R$1761,$S$1761)</formula>
    </cfRule>
  </conditionalFormatting>
  <conditionalFormatting sqref="W1761">
    <cfRule type="expression" dxfId="1064" priority="337">
      <formula>AND(IF($R$1761,$W$1761,TRUE),LEN(TRIM($W$1761))&gt;0)</formula>
    </cfRule>
  </conditionalFormatting>
  <conditionalFormatting sqref="W1761">
    <cfRule type="expression" dxfId="1063" priority="336">
      <formula>OR($S$1761 = FALSE, AND($P$1761 = FALSE, ReportType &lt;&gt; "Final"), AND($Q$1761 = FALSE, ReportType &lt;&gt; "Rough"))</formula>
    </cfRule>
  </conditionalFormatting>
  <conditionalFormatting sqref="W1761">
    <cfRule type="expression" dxfId="1062" priority="335">
      <formula>OR($T$1761 = TRUE, AND($W$1761 = TRUE, $S$1761 = FALSE))</formula>
    </cfRule>
  </conditionalFormatting>
  <conditionalFormatting sqref="W1763">
    <cfRule type="expression" dxfId="1061" priority="334">
      <formula>AND($R$1763,$S$1763)</formula>
    </cfRule>
  </conditionalFormatting>
  <conditionalFormatting sqref="W1763">
    <cfRule type="expression" dxfId="1060" priority="333">
      <formula>AND(IF($R$1763,$W$1763,TRUE),LEN(TRIM($W$1763))&gt;0)</formula>
    </cfRule>
  </conditionalFormatting>
  <conditionalFormatting sqref="W1763">
    <cfRule type="expression" dxfId="1059" priority="332">
      <formula>OR($S$1763 = FALSE, AND($P$1763 = FALSE, ReportType &lt;&gt; "Final"), AND($Q$1763 = FALSE, ReportType &lt;&gt; "Rough"))</formula>
    </cfRule>
  </conditionalFormatting>
  <conditionalFormatting sqref="W1763">
    <cfRule type="expression" dxfId="1058" priority="331">
      <formula>OR($T$1763 = TRUE, AND($W$1763 = TRUE, $S$1763 = FALSE))</formula>
    </cfRule>
  </conditionalFormatting>
  <conditionalFormatting sqref="W1765">
    <cfRule type="expression" dxfId="1057" priority="330">
      <formula>AND($R$1765,$S$1765)</formula>
    </cfRule>
  </conditionalFormatting>
  <conditionalFormatting sqref="W1765">
    <cfRule type="expression" dxfId="1056" priority="329">
      <formula>AND(IF($R$1765,$W$1765,TRUE),LEN(TRIM($W$1765))&gt;0)</formula>
    </cfRule>
  </conditionalFormatting>
  <conditionalFormatting sqref="W1765">
    <cfRule type="expression" dxfId="1055" priority="328">
      <formula>OR($S$1765 = FALSE, AND($P$1765 = FALSE, ReportType &lt;&gt; "Final"), AND($Q$1765 = FALSE, ReportType &lt;&gt; "Rough"))</formula>
    </cfRule>
  </conditionalFormatting>
  <conditionalFormatting sqref="W1765">
    <cfRule type="expression" dxfId="1054" priority="327">
      <formula>OR($T$1765 = TRUE, AND($W$1765 = TRUE, $S$1765 = FALSE))</formula>
    </cfRule>
  </conditionalFormatting>
  <conditionalFormatting sqref="W1766">
    <cfRule type="expression" dxfId="1053" priority="326">
      <formula>AND($R$1766,$S$1766)</formula>
    </cfRule>
  </conditionalFormatting>
  <conditionalFormatting sqref="W1766">
    <cfRule type="expression" dxfId="1052" priority="325">
      <formula>AND(IF($R$1766,$W$1766,TRUE),LEN(TRIM($W$1766))&gt;0)</formula>
    </cfRule>
  </conditionalFormatting>
  <conditionalFormatting sqref="W1766">
    <cfRule type="expression" dxfId="1051" priority="324">
      <formula>OR($S$1766 = FALSE, AND($P$1766 = FALSE, ReportType &lt;&gt; "Final"), AND($Q$1766 = FALSE, ReportType &lt;&gt; "Rough"))</formula>
    </cfRule>
  </conditionalFormatting>
  <conditionalFormatting sqref="W1766">
    <cfRule type="expression" dxfId="1050" priority="323">
      <formula>OR($T$1766 = TRUE, AND($W$1766 = TRUE, $S$1766 = FALSE))</formula>
    </cfRule>
  </conditionalFormatting>
  <conditionalFormatting sqref="W1768">
    <cfRule type="expression" dxfId="1049" priority="322">
      <formula>AND($R$1768,$S$1768)</formula>
    </cfRule>
  </conditionalFormatting>
  <conditionalFormatting sqref="W1768">
    <cfRule type="expression" dxfId="1048" priority="321">
      <formula>AND(IF($R$1768,$W$1768,TRUE),LEN(TRIM($W$1768))&gt;0)</formula>
    </cfRule>
  </conditionalFormatting>
  <conditionalFormatting sqref="W1768">
    <cfRule type="expression" dxfId="1047" priority="320">
      <formula>OR($S$1768 = FALSE, AND($P$1768 = FALSE, ReportType &lt;&gt; "Final"), AND($Q$1768 = FALSE, ReportType &lt;&gt; "Rough"))</formula>
    </cfRule>
  </conditionalFormatting>
  <conditionalFormatting sqref="W1768">
    <cfRule type="expression" dxfId="1046" priority="319">
      <formula>OR($T$1768 = TRUE, AND($W$1768 = TRUE, $S$1768 = FALSE))</formula>
    </cfRule>
  </conditionalFormatting>
  <conditionalFormatting sqref="W1772">
    <cfRule type="expression" dxfId="1045" priority="318">
      <formula>AND($R$1772,$S$1772)</formula>
    </cfRule>
  </conditionalFormatting>
  <conditionalFormatting sqref="W1772">
    <cfRule type="expression" dxfId="1044" priority="317">
      <formula>AND($W$1772&lt;&gt;"Not Met",LEN(TRIM($W$1772))&gt;0)</formula>
    </cfRule>
  </conditionalFormatting>
  <conditionalFormatting sqref="W1772">
    <cfRule type="expression" dxfId="1043" priority="316">
      <formula>OR($S$1772 = FALSE, AND($P$1772 = FALSE, ReportType &lt;&gt; "Final"), AND($Q$1772 = FALSE, ReportType &lt;&gt; "Rough"))</formula>
    </cfRule>
  </conditionalFormatting>
  <conditionalFormatting sqref="W1772">
    <cfRule type="expression" dxfId="1042" priority="315">
      <formula>OR($T$1772 = TRUE, AND(LEN(TRIM($W$1772))&gt;0, $S$1772 = FALSE))</formula>
    </cfRule>
  </conditionalFormatting>
  <conditionalFormatting sqref="W1786">
    <cfRule type="expression" dxfId="1041" priority="314">
      <formula>AND($R$1786,$S$1786)</formula>
    </cfRule>
  </conditionalFormatting>
  <conditionalFormatting sqref="W1786">
    <cfRule type="expression" dxfId="1040" priority="313">
      <formula>AND($W$1786&lt;&gt;"Not Met",LEN(TRIM($W$1786))&gt;0)</formula>
    </cfRule>
  </conditionalFormatting>
  <conditionalFormatting sqref="W1786">
    <cfRule type="expression" dxfId="1039" priority="312">
      <formula>OR($S$1786 = FALSE, AND($P$1786 = FALSE, ReportType &lt;&gt; "Final"), AND($Q$1786 = FALSE, ReportType &lt;&gt; "Rough"))</formula>
    </cfRule>
  </conditionalFormatting>
  <conditionalFormatting sqref="W1786">
    <cfRule type="expression" dxfId="1038" priority="311">
      <formula>OR($T$1786 = TRUE, AND(LEN(TRIM($W$1786))&gt;0, $S$1786 = FALSE))</formula>
    </cfRule>
  </conditionalFormatting>
  <conditionalFormatting sqref="W1788">
    <cfRule type="expression" dxfId="1037" priority="310">
      <formula>AND($R$1788,$S$1788)</formula>
    </cfRule>
  </conditionalFormatting>
  <conditionalFormatting sqref="W1788">
    <cfRule type="expression" dxfId="1036" priority="309">
      <formula>AND(IF($R$1788,$W$1788,TRUE),LEN(TRIM($W$1788))&gt;0)</formula>
    </cfRule>
  </conditionalFormatting>
  <conditionalFormatting sqref="W1788">
    <cfRule type="expression" dxfId="1035" priority="308">
      <formula>OR($S$1788 = FALSE, AND($P$1788 = FALSE, ReportType &lt;&gt; "Final"), AND($Q$1788 = FALSE, ReportType &lt;&gt; "Rough"))</formula>
    </cfRule>
  </conditionalFormatting>
  <conditionalFormatting sqref="W1788">
    <cfRule type="expression" dxfId="1034" priority="307">
      <formula>OR($T$1788 = TRUE, AND($W$1788 = TRUE, $S$1788 = FALSE))</formula>
    </cfRule>
  </conditionalFormatting>
  <conditionalFormatting sqref="W1811">
    <cfRule type="expression" dxfId="1033" priority="306">
      <formula>AND($R$1811,$S$1811)</formula>
    </cfRule>
  </conditionalFormatting>
  <conditionalFormatting sqref="W1811">
    <cfRule type="expression" dxfId="1032" priority="305">
      <formula>AND(IF($R$1811,$W$1811,TRUE),LEN(TRIM($W$1811))&gt;0)</formula>
    </cfRule>
  </conditionalFormatting>
  <conditionalFormatting sqref="W1811">
    <cfRule type="expression" dxfId="1031" priority="304">
      <formula>OR($S$1811 = FALSE, AND($P$1811 = FALSE, ReportType &lt;&gt; "Final"), AND($Q$1811 = FALSE, ReportType &lt;&gt; "Rough"))</formula>
    </cfRule>
  </conditionalFormatting>
  <conditionalFormatting sqref="W1811">
    <cfRule type="expression" dxfId="1030" priority="303">
      <formula>OR($T$1811 = TRUE, AND($W$1811 = TRUE, $S$1811 = FALSE))</formula>
    </cfRule>
  </conditionalFormatting>
  <conditionalFormatting sqref="W1814">
    <cfRule type="expression" dxfId="1029" priority="302">
      <formula>AND($R$1814,$S$1814)</formula>
    </cfRule>
  </conditionalFormatting>
  <conditionalFormatting sqref="W1814">
    <cfRule type="expression" dxfId="1028" priority="301">
      <formula>AND($W$1814&lt;&gt;"Not Met",LEN(TRIM($W$1814))&gt;0)</formula>
    </cfRule>
  </conditionalFormatting>
  <conditionalFormatting sqref="W1814">
    <cfRule type="expression" dxfId="1027" priority="300">
      <formula>OR($S$1814 = FALSE, AND($P$1814 = FALSE, ReportType &lt;&gt; "Final"), AND($Q$1814 = FALSE, ReportType &lt;&gt; "Rough"))</formula>
    </cfRule>
  </conditionalFormatting>
  <conditionalFormatting sqref="W1814">
    <cfRule type="expression" dxfId="1026" priority="299">
      <formula>OR($T$1814 = TRUE, AND(LEN(TRIM($W$1814))&gt;0, $S$1814 = FALSE))</formula>
    </cfRule>
  </conditionalFormatting>
  <conditionalFormatting sqref="W1822">
    <cfRule type="expression" dxfId="1025" priority="298">
      <formula>AND($R$1822,$S$1822)</formula>
    </cfRule>
  </conditionalFormatting>
  <conditionalFormatting sqref="W1822">
    <cfRule type="expression" dxfId="1024" priority="297">
      <formula>AND($W$1822&lt;&gt;"Not Met",LEN(TRIM($W$1822))&gt;0)</formula>
    </cfRule>
  </conditionalFormatting>
  <conditionalFormatting sqref="W1822">
    <cfRule type="expression" dxfId="1023" priority="296">
      <formula>OR($S$1822 = FALSE, AND($P$1822 = FALSE, ReportType &lt;&gt; "Final"), AND($Q$1822 = FALSE, ReportType &lt;&gt; "Rough"))</formula>
    </cfRule>
  </conditionalFormatting>
  <conditionalFormatting sqref="W1822">
    <cfRule type="expression" dxfId="1022" priority="295">
      <formula>OR($T$1822 = TRUE, AND(LEN(TRIM($W$1822))&gt;0, $S$1822 = FALSE))</formula>
    </cfRule>
  </conditionalFormatting>
  <conditionalFormatting sqref="W1831">
    <cfRule type="expression" dxfId="1021" priority="294">
      <formula>AND($R$1831,$S$1831)</formula>
    </cfRule>
  </conditionalFormatting>
  <conditionalFormatting sqref="W1831">
    <cfRule type="expression" dxfId="1020" priority="293">
      <formula>AND(IF($R$1831,$W$1831,TRUE),LEN(TRIM($W$1831))&gt;0)</formula>
    </cfRule>
  </conditionalFormatting>
  <conditionalFormatting sqref="W1831">
    <cfRule type="expression" dxfId="1019" priority="292">
      <formula>OR($S$1831 = FALSE, AND($P$1831 = FALSE, ReportType &lt;&gt; "Final"), AND($Q$1831 = FALSE, ReportType &lt;&gt; "Rough"))</formula>
    </cfRule>
  </conditionalFormatting>
  <conditionalFormatting sqref="W1831">
    <cfRule type="expression" dxfId="1018" priority="291">
      <formula>OR($T$1831 = TRUE, AND($W$1831 = TRUE, $S$1831 = FALSE))</formula>
    </cfRule>
  </conditionalFormatting>
  <conditionalFormatting sqref="W1837">
    <cfRule type="expression" dxfId="1017" priority="290">
      <formula>AND($R$1837,$S$1837)</formula>
    </cfRule>
  </conditionalFormatting>
  <conditionalFormatting sqref="W1837">
    <cfRule type="expression" dxfId="1016" priority="289">
      <formula>AND($W$1837&lt;&gt;"Not Met",LEN(TRIM($W$1837))&gt;0)</formula>
    </cfRule>
  </conditionalFormatting>
  <conditionalFormatting sqref="W1837">
    <cfRule type="expression" dxfId="1015" priority="288">
      <formula>OR($S$1837 = FALSE, AND($P$1837 = FALSE, ReportType &lt;&gt; "Final"), AND($Q$1837 = FALSE, ReportType &lt;&gt; "Rough"))</formula>
    </cfRule>
  </conditionalFormatting>
  <conditionalFormatting sqref="W1837">
    <cfRule type="expression" dxfId="1014" priority="287">
      <formula>OR($T$1837 = TRUE, AND(LEN(TRIM($W$1837))&gt;0, $S$1837 = FALSE))</formula>
    </cfRule>
  </conditionalFormatting>
  <conditionalFormatting sqref="W1843">
    <cfRule type="expression" dxfId="1013" priority="286">
      <formula>AND($R$1843,$S$1843)</formula>
    </cfRule>
  </conditionalFormatting>
  <conditionalFormatting sqref="W1843">
    <cfRule type="expression" dxfId="1012" priority="285">
      <formula>AND($W$1843&lt;&gt;"Not Met",LEN(TRIM($W$1843))&gt;0)</formula>
    </cfRule>
  </conditionalFormatting>
  <conditionalFormatting sqref="W1843">
    <cfRule type="expression" dxfId="1011" priority="284">
      <formula>OR($S$1843 = FALSE, AND($P$1843 = FALSE, ReportType &lt;&gt; "Final"), AND($Q$1843 = FALSE, ReportType &lt;&gt; "Rough"))</formula>
    </cfRule>
  </conditionalFormatting>
  <conditionalFormatting sqref="W1843">
    <cfRule type="expression" dxfId="1010" priority="283">
      <formula>OR($T$1843 = TRUE, AND(LEN(TRIM($W$1843))&gt;0, $S$1843 = FALSE))</formula>
    </cfRule>
  </conditionalFormatting>
  <conditionalFormatting sqref="W1839">
    <cfRule type="expression" dxfId="1009" priority="282">
      <formula>AND($R$1839,$S$1839)</formula>
    </cfRule>
  </conditionalFormatting>
  <conditionalFormatting sqref="W1839">
    <cfRule type="expression" dxfId="1008" priority="281">
      <formula>AND(IF($R$1839,$W$1839,TRUE),LEN(TRIM($W$1839))&gt;0)</formula>
    </cfRule>
  </conditionalFormatting>
  <conditionalFormatting sqref="W1839">
    <cfRule type="expression" dxfId="1007" priority="280">
      <formula>OR($S$1839 = FALSE, AND($P$1839 = FALSE, ReportType &lt;&gt; "Final"), AND($Q$1839 = FALSE, ReportType &lt;&gt; "Rough"))</formula>
    </cfRule>
  </conditionalFormatting>
  <conditionalFormatting sqref="W1839">
    <cfRule type="expression" dxfId="1006" priority="279">
      <formula>OR($T$1839 = TRUE, AND($W$1839 = TRUE, $S$1839 = FALSE))</formula>
    </cfRule>
  </conditionalFormatting>
  <conditionalFormatting sqref="W1848">
    <cfRule type="expression" dxfId="1005" priority="278">
      <formula>AND($R$1848,$S$1848)</formula>
    </cfRule>
  </conditionalFormatting>
  <conditionalFormatting sqref="W1848">
    <cfRule type="expression" dxfId="1004" priority="277">
      <formula>AND(IF($R$1848,$W$1848,TRUE),LEN(TRIM($W$1848))&gt;0)</formula>
    </cfRule>
  </conditionalFormatting>
  <conditionalFormatting sqref="W1848">
    <cfRule type="expression" dxfId="1003" priority="276">
      <formula>OR($S$1848 = FALSE, AND($P$1848 = FALSE, ReportType &lt;&gt; "Final"), AND($Q$1848 = FALSE, ReportType &lt;&gt; "Rough"))</formula>
    </cfRule>
  </conditionalFormatting>
  <conditionalFormatting sqref="W1848">
    <cfRule type="expression" dxfId="1002" priority="275">
      <formula>OR($T$1848 = TRUE, AND($W$1848 = TRUE, $S$1848 = FALSE))</formula>
    </cfRule>
  </conditionalFormatting>
  <conditionalFormatting sqref="W1851">
    <cfRule type="expression" dxfId="1001" priority="270">
      <formula>AND($R$1851,$S$1851)</formula>
    </cfRule>
  </conditionalFormatting>
  <conditionalFormatting sqref="W1851">
    <cfRule type="expression" dxfId="1000" priority="269">
      <formula>AND(IF($R$1851,$W$1851,TRUE),LEN(TRIM($W$1851))&gt;0)</formula>
    </cfRule>
  </conditionalFormatting>
  <conditionalFormatting sqref="W1851">
    <cfRule type="expression" dxfId="999" priority="268">
      <formula>OR($S$1851 = FALSE, AND($P$1851 = FALSE, ReportType &lt;&gt; "Final"), AND($Q$1851 = FALSE, ReportType &lt;&gt; "Rough"))</formula>
    </cfRule>
  </conditionalFormatting>
  <conditionalFormatting sqref="W1851">
    <cfRule type="expression" dxfId="998" priority="267">
      <formula>OR($T$1851 = TRUE, AND($W$1851 = TRUE, $S$1851 = FALSE))</formula>
    </cfRule>
  </conditionalFormatting>
  <conditionalFormatting sqref="W1853">
    <cfRule type="expression" dxfId="997" priority="266">
      <formula>AND($R$1853,$S$1853)</formula>
    </cfRule>
  </conditionalFormatting>
  <conditionalFormatting sqref="W1853">
    <cfRule type="expression" dxfId="996" priority="265">
      <formula>AND(IF($R$1853,$W$1853,TRUE),LEN(TRIM($W$1853))&gt;0)</formula>
    </cfRule>
  </conditionalFormatting>
  <conditionalFormatting sqref="W1853">
    <cfRule type="expression" dxfId="995" priority="264">
      <formula>OR($S$1853 = FALSE, AND($P$1853 = FALSE, ReportType &lt;&gt; "Final"), AND($Q$1853 = FALSE, ReportType &lt;&gt; "Rough"))</formula>
    </cfRule>
  </conditionalFormatting>
  <conditionalFormatting sqref="W1853">
    <cfRule type="expression" dxfId="994" priority="263">
      <formula>OR($T$1853 = TRUE, AND($W$1853 = TRUE, $S$1853 = FALSE))</formula>
    </cfRule>
  </conditionalFormatting>
  <conditionalFormatting sqref="W1841">
    <cfRule type="expression" dxfId="993" priority="262">
      <formula>AND(R1841,S1841)</formula>
    </cfRule>
  </conditionalFormatting>
  <conditionalFormatting sqref="W1841">
    <cfRule type="expression" dxfId="992" priority="261">
      <formula>NOT(ISBLANK(W1841))</formula>
    </cfRule>
  </conditionalFormatting>
  <conditionalFormatting sqref="W1841">
    <cfRule type="expression" dxfId="991" priority="260">
      <formula>OR(S1841 = FALSE, AND(P1841 = FALSE, ReportType &lt;&gt; "Final"), AND(Q1841 = FALSE, ReportType &lt;&gt; "Rough"))</formula>
    </cfRule>
  </conditionalFormatting>
  <conditionalFormatting sqref="W1841">
    <cfRule type="expression" dxfId="990" priority="259">
      <formula>OR(T1841 = TRUE, AND(W1841 = TRUE, S1841 = FALSE))</formula>
    </cfRule>
  </conditionalFormatting>
  <conditionalFormatting sqref="W1676">
    <cfRule type="expression" dxfId="989" priority="258">
      <formula>AND(R1676,S1676)</formula>
    </cfRule>
  </conditionalFormatting>
  <conditionalFormatting sqref="W1676">
    <cfRule type="expression" dxfId="988" priority="257">
      <formula>NOT(ISBLANK(W1676))</formula>
    </cfRule>
  </conditionalFormatting>
  <conditionalFormatting sqref="W1676">
    <cfRule type="expression" dxfId="987" priority="256">
      <formula>OR(S1676 = FALSE, AND(P1676 = FALSE, ReportType &lt;&gt; "Final"), AND(Q1676 = FALSE, ReportType &lt;&gt; "Rough"))</formula>
    </cfRule>
  </conditionalFormatting>
  <conditionalFormatting sqref="W1676">
    <cfRule type="expression" dxfId="986" priority="255">
      <formula>OR(T1676 = TRUE, AND(W1676 = TRUE, S1676 = FALSE))</formula>
    </cfRule>
  </conditionalFormatting>
  <conditionalFormatting sqref="W1674">
    <cfRule type="expression" dxfId="985" priority="254">
      <formula>AND(R1674,S1674)</formula>
    </cfRule>
  </conditionalFormatting>
  <conditionalFormatting sqref="W1674">
    <cfRule type="expression" dxfId="984" priority="253">
      <formula>NOT(ISBLANK(W1674))</formula>
    </cfRule>
  </conditionalFormatting>
  <conditionalFormatting sqref="W1674">
    <cfRule type="expression" dxfId="983" priority="252">
      <formula>OR(S1674 = FALSE, AND(P1674 = FALSE, ReportType &lt;&gt; "Final"), AND(Q1674 = FALSE, ReportType &lt;&gt; "Rough"))</formula>
    </cfRule>
  </conditionalFormatting>
  <conditionalFormatting sqref="W1674">
    <cfRule type="expression" dxfId="982" priority="251">
      <formula>OR(T1674 = TRUE, AND(W1674 = TRUE, S1674 = FALSE))</formula>
    </cfRule>
  </conditionalFormatting>
  <conditionalFormatting sqref="W1667">
    <cfRule type="expression" dxfId="981" priority="250">
      <formula>AND(R1667,S1667)</formula>
    </cfRule>
  </conditionalFormatting>
  <conditionalFormatting sqref="W1667">
    <cfRule type="expression" dxfId="980" priority="249">
      <formula>NOT(ISBLANK(W1667))</formula>
    </cfRule>
  </conditionalFormatting>
  <conditionalFormatting sqref="W1667">
    <cfRule type="expression" dxfId="979" priority="248">
      <formula>OR(S1667 = FALSE, AND(P1667 = FALSE, ReportType &lt;&gt; "Final"), AND(Q1667 = FALSE, ReportType &lt;&gt; "Rough"))</formula>
    </cfRule>
  </conditionalFormatting>
  <conditionalFormatting sqref="W1667">
    <cfRule type="expression" dxfId="978" priority="247">
      <formula>OR(T1667 = TRUE, AND(W1667 = TRUE, S1667 = FALSE))</formula>
    </cfRule>
  </conditionalFormatting>
  <conditionalFormatting sqref="W1665">
    <cfRule type="expression" dxfId="977" priority="246">
      <formula>AND(R1665,S1665)</formula>
    </cfRule>
  </conditionalFormatting>
  <conditionalFormatting sqref="W1665">
    <cfRule type="expression" dxfId="976" priority="245">
      <formula>NOT(ISBLANK(W1665))</formula>
    </cfRule>
  </conditionalFormatting>
  <conditionalFormatting sqref="W1665">
    <cfRule type="expression" dxfId="975" priority="244">
      <formula>OR(S1665 = FALSE, AND(P1665 = FALSE, ReportType &lt;&gt; "Final"), AND(Q1665 = FALSE, ReportType &lt;&gt; "Rough"))</formula>
    </cfRule>
  </conditionalFormatting>
  <conditionalFormatting sqref="W1665">
    <cfRule type="expression" dxfId="974" priority="243">
      <formula>OR(T1665 = TRUE, AND(W1665 = TRUE, S1665 = FALSE))</formula>
    </cfRule>
  </conditionalFormatting>
  <conditionalFormatting sqref="W2018">
    <cfRule type="expression" dxfId="973" priority="242">
      <formula>AND($R$2018,$S$2018)</formula>
    </cfRule>
  </conditionalFormatting>
  <conditionalFormatting sqref="W2018">
    <cfRule type="expression" dxfId="972" priority="241">
      <formula>AND(IF($R$2018,$W$2018,TRUE),LEN(TRIM($W$2018))&gt;0)</formula>
    </cfRule>
  </conditionalFormatting>
  <conditionalFormatting sqref="W2018">
    <cfRule type="expression" dxfId="971" priority="240">
      <formula>OR($S$2018 = FALSE, AND($P$2018 = FALSE, ReportType &lt;&gt; "Final"), AND($Q$2018 = FALSE, ReportType &lt;&gt; "Rough"))</formula>
    </cfRule>
  </conditionalFormatting>
  <conditionalFormatting sqref="W2018">
    <cfRule type="expression" dxfId="970" priority="239">
      <formula>OR($T$2018 = TRUE, AND($W$2018 = TRUE, $S$2018 = FALSE))</formula>
    </cfRule>
  </conditionalFormatting>
  <conditionalFormatting sqref="W2073">
    <cfRule type="expression" dxfId="969" priority="238">
      <formula>AND($R$2073,$S$2073)</formula>
    </cfRule>
  </conditionalFormatting>
  <conditionalFormatting sqref="W2073">
    <cfRule type="expression" dxfId="968" priority="237">
      <formula>AND(IF($R$2073,$W$2073,TRUE),LEN(TRIM($W$2073))&gt;0)</formula>
    </cfRule>
  </conditionalFormatting>
  <conditionalFormatting sqref="W2073">
    <cfRule type="expression" dxfId="967" priority="236">
      <formula>OR($S$2073 = FALSE, AND($P$2073 = FALSE, ReportType &lt;&gt; "Final"), AND($Q$2073 = FALSE, ReportType &lt;&gt; "Rough"))</formula>
    </cfRule>
  </conditionalFormatting>
  <conditionalFormatting sqref="W2073">
    <cfRule type="expression" dxfId="966" priority="235">
      <formula>OR($T$2073 = TRUE, AND($W$2073 = TRUE, $S$2073 = FALSE))</formula>
    </cfRule>
  </conditionalFormatting>
  <conditionalFormatting sqref="W2098">
    <cfRule type="expression" dxfId="965" priority="218">
      <formula>AND($R$2098,$S$2098)</formula>
    </cfRule>
  </conditionalFormatting>
  <conditionalFormatting sqref="W2098">
    <cfRule type="expression" dxfId="964" priority="217">
      <formula>AND($W$2098&lt;&gt;"Not Met",LEN(TRIM($W$2098))&gt;0)</formula>
    </cfRule>
  </conditionalFormatting>
  <conditionalFormatting sqref="W2098">
    <cfRule type="expression" dxfId="963" priority="216">
      <formula>OR($S$2098 = FALSE, AND($P$2098 = FALSE, ReportType &lt;&gt; "Final"), AND($Q$2098 = FALSE, ReportType &lt;&gt; "Rough"))</formula>
    </cfRule>
  </conditionalFormatting>
  <conditionalFormatting sqref="W2098">
    <cfRule type="expression" dxfId="962" priority="215">
      <formula>OR($T$2098 = TRUE, AND(LEN(TRIM($W$2098))&gt;0, $S$2098 = FALSE))</formula>
    </cfRule>
  </conditionalFormatting>
  <conditionalFormatting sqref="W2096">
    <cfRule type="expression" dxfId="961" priority="214">
      <formula>AND($R$2096,$S$2096)</formula>
    </cfRule>
  </conditionalFormatting>
  <conditionalFormatting sqref="W2096">
    <cfRule type="expression" dxfId="960" priority="213">
      <formula>AND(IF($R$2096,$W$2096,TRUE),LEN(TRIM($W$2096))&gt;0)</formula>
    </cfRule>
  </conditionalFormatting>
  <conditionalFormatting sqref="W2096">
    <cfRule type="expression" dxfId="959" priority="212">
      <formula>OR($S$2096 = FALSE, AND($P$2096 = FALSE, ReportType &lt;&gt; "Final"), AND($Q$2096 = FALSE, ReportType &lt;&gt; "Rough"))</formula>
    </cfRule>
  </conditionalFormatting>
  <conditionalFormatting sqref="W2096">
    <cfRule type="expression" dxfId="958" priority="211">
      <formula>OR($T$2096 = TRUE, AND($W$2096 = TRUE, $S$2096 = FALSE))</formula>
    </cfRule>
  </conditionalFormatting>
  <conditionalFormatting sqref="W2147">
    <cfRule type="expression" dxfId="957" priority="210">
      <formula>AND($R$2147,$S$2147)</formula>
    </cfRule>
  </conditionalFormatting>
  <conditionalFormatting sqref="W2147">
    <cfRule type="expression" dxfId="956" priority="209">
      <formula>AND(IF($R$2147,$W$2147,TRUE),LEN(TRIM($W$2147))&gt;0)</formula>
    </cfRule>
  </conditionalFormatting>
  <conditionalFormatting sqref="W2147">
    <cfRule type="expression" dxfId="955" priority="208">
      <formula>OR($S$2147 = FALSE, AND($P$2147 = FALSE, ReportType &lt;&gt; "Final"), AND($Q$2147 = FALSE, ReportType &lt;&gt; "Rough"))</formula>
    </cfRule>
  </conditionalFormatting>
  <conditionalFormatting sqref="W2147">
    <cfRule type="expression" dxfId="954" priority="207">
      <formula>OR($T$2147 = TRUE, AND($W$2147 = TRUE, $S$2147 = FALSE))</formula>
    </cfRule>
  </conditionalFormatting>
  <conditionalFormatting sqref="W2149">
    <cfRule type="expression" dxfId="953" priority="206">
      <formula>AND($R$2149,$S$2149)</formula>
    </cfRule>
  </conditionalFormatting>
  <conditionalFormatting sqref="W2149">
    <cfRule type="expression" dxfId="952" priority="205">
      <formula>AND(IF($R$2149,$W$2149,TRUE),LEN(TRIM($W$2149))&gt;0)</formula>
    </cfRule>
  </conditionalFormatting>
  <conditionalFormatting sqref="W2149">
    <cfRule type="expression" dxfId="951" priority="204">
      <formula>OR($S$2149 = FALSE, AND($P$2149 = FALSE, ReportType &lt;&gt; "Final"), AND($Q$2149 = FALSE, ReportType &lt;&gt; "Rough"))</formula>
    </cfRule>
  </conditionalFormatting>
  <conditionalFormatting sqref="W2149">
    <cfRule type="expression" dxfId="950" priority="203">
      <formula>OR($T$2149 = TRUE, AND($W$2149 = TRUE, $S$2149 = FALSE))</formula>
    </cfRule>
  </conditionalFormatting>
  <conditionalFormatting sqref="W2172">
    <cfRule type="expression" dxfId="949" priority="202">
      <formula>AND($R$2172,$S$2172)</formula>
    </cfRule>
  </conditionalFormatting>
  <conditionalFormatting sqref="W2172">
    <cfRule type="expression" dxfId="948" priority="201">
      <formula>AND(IF($R$2172,$W$2172,TRUE),LEN(TRIM($W$2172))&gt;0)</formula>
    </cfRule>
  </conditionalFormatting>
  <conditionalFormatting sqref="W2172">
    <cfRule type="expression" dxfId="947" priority="200">
      <formula>OR($S$2172 = FALSE, AND($P$2172 = FALSE, ReportType &lt;&gt; "Final"), AND($Q$2172 = FALSE, ReportType &lt;&gt; "Rough"))</formula>
    </cfRule>
  </conditionalFormatting>
  <conditionalFormatting sqref="W2172">
    <cfRule type="expression" dxfId="946" priority="199">
      <formula>OR($T$2172 = TRUE, AND($W$2172 = TRUE, $S$2172 = FALSE))</formula>
    </cfRule>
  </conditionalFormatting>
  <conditionalFormatting sqref="W2181">
    <cfRule type="expression" dxfId="945" priority="198">
      <formula>AND($R$2181,$S$2181)</formula>
    </cfRule>
  </conditionalFormatting>
  <conditionalFormatting sqref="W2181">
    <cfRule type="expression" dxfId="944" priority="197">
      <formula>AND(IF($R$2181,$W$2181,TRUE),LEN(TRIM($W$2181))&gt;0)</formula>
    </cfRule>
  </conditionalFormatting>
  <conditionalFormatting sqref="W2181">
    <cfRule type="expression" dxfId="943" priority="196">
      <formula>OR($S$2181 = FALSE, AND($P$2181 = FALSE, ReportType &lt;&gt; "Final"), AND($Q$2181 = FALSE, ReportType &lt;&gt; "Rough"))</formula>
    </cfRule>
  </conditionalFormatting>
  <conditionalFormatting sqref="W2181">
    <cfRule type="expression" dxfId="942" priority="195">
      <formula>OR($T$2181 = TRUE, AND($W$2181 = TRUE, $S$2181 = FALSE))</formula>
    </cfRule>
  </conditionalFormatting>
  <conditionalFormatting sqref="W2216">
    <cfRule type="expression" dxfId="941" priority="194">
      <formula>AND($R$2216,$S$2216)</formula>
    </cfRule>
  </conditionalFormatting>
  <conditionalFormatting sqref="W2216">
    <cfRule type="expression" dxfId="940" priority="193">
      <formula>AND(IF($R$2216,$W$2216,TRUE),LEN(TRIM($W$2216))&gt;0)</formula>
    </cfRule>
  </conditionalFormatting>
  <conditionalFormatting sqref="W2216">
    <cfRule type="expression" dxfId="939" priority="192">
      <formula>OR($S$2216 = FALSE, AND($P$2216 = FALSE, ReportType &lt;&gt; "Final"), AND($Q$2216 = FALSE, ReportType &lt;&gt; "Rough"))</formula>
    </cfRule>
  </conditionalFormatting>
  <conditionalFormatting sqref="W2216">
    <cfRule type="expression" dxfId="938" priority="191">
      <formula>OR($T$2216 = TRUE, AND($W$2216 = TRUE, $S$2216 = FALSE))</formula>
    </cfRule>
  </conditionalFormatting>
  <conditionalFormatting sqref="W2223">
    <cfRule type="expression" dxfId="937" priority="190">
      <formula>AND($R$2223,$S$2223)</formula>
    </cfRule>
  </conditionalFormatting>
  <conditionalFormatting sqref="W2223">
    <cfRule type="expression" dxfId="936" priority="189">
      <formula>AND(IF($R$2223,$W$2223,TRUE),LEN(TRIM($W$2223))&gt;0)</formula>
    </cfRule>
  </conditionalFormatting>
  <conditionalFormatting sqref="W2223">
    <cfRule type="expression" dxfId="935" priority="188">
      <formula>OR($S$2223 = FALSE, AND($P$2223 = FALSE, ReportType &lt;&gt; "Final"), AND($Q$2223 = FALSE, ReportType &lt;&gt; "Rough"))</formula>
    </cfRule>
  </conditionalFormatting>
  <conditionalFormatting sqref="W2223">
    <cfRule type="expression" dxfId="934" priority="187">
      <formula>OR($T$2223 = TRUE, AND($W$2223 = TRUE, $S$2223 = FALSE))</formula>
    </cfRule>
  </conditionalFormatting>
  <conditionalFormatting sqref="W2235">
    <cfRule type="expression" dxfId="933" priority="186">
      <formula>AND($R$2235,$S$2235)</formula>
    </cfRule>
  </conditionalFormatting>
  <conditionalFormatting sqref="W2235">
    <cfRule type="expression" dxfId="932" priority="185">
      <formula>AND(IF($R$2235,$W$2235,TRUE),LEN(TRIM($W$2235))&gt;0)</formula>
    </cfRule>
  </conditionalFormatting>
  <conditionalFormatting sqref="W2235">
    <cfRule type="expression" dxfId="931" priority="184">
      <formula>OR($S$2235 = FALSE, AND($P$2235 = FALSE, ReportType &lt;&gt; "Final"), AND($Q$2235 = FALSE, ReportType &lt;&gt; "Rough"))</formula>
    </cfRule>
  </conditionalFormatting>
  <conditionalFormatting sqref="W2235">
    <cfRule type="expression" dxfId="930" priority="183">
      <formula>OR($T$2235 = TRUE, AND($W$2235 = TRUE, $S$2235 = FALSE))</formula>
    </cfRule>
  </conditionalFormatting>
  <conditionalFormatting sqref="W2236">
    <cfRule type="expression" dxfId="929" priority="182">
      <formula>AND($R$2236,$S$2236)</formula>
    </cfRule>
  </conditionalFormatting>
  <conditionalFormatting sqref="W2236">
    <cfRule type="expression" dxfId="928" priority="181">
      <formula>AND(IF($R$2236,$W$2236,TRUE),LEN(TRIM($W$2236))&gt;0)</formula>
    </cfRule>
  </conditionalFormatting>
  <conditionalFormatting sqref="W2236">
    <cfRule type="expression" dxfId="927" priority="180">
      <formula>OR($S$2236 = FALSE, AND($P$2236 = FALSE, ReportType &lt;&gt; "Final"), AND($Q$2236 = FALSE, ReportType &lt;&gt; "Rough"))</formula>
    </cfRule>
  </conditionalFormatting>
  <conditionalFormatting sqref="W2236">
    <cfRule type="expression" dxfId="926" priority="179">
      <formula>OR($T$2236 = TRUE, AND($W$2236 = TRUE, $S$2236 = FALSE))</formula>
    </cfRule>
  </conditionalFormatting>
  <conditionalFormatting sqref="W2238">
    <cfRule type="expression" dxfId="925" priority="178">
      <formula>AND($R$2238,$S$2238)</formula>
    </cfRule>
  </conditionalFormatting>
  <conditionalFormatting sqref="W2238">
    <cfRule type="expression" dxfId="924" priority="177">
      <formula>AND(IF($R$2238,$W$2238,TRUE),LEN(TRIM($W$2238))&gt;0)</formula>
    </cfRule>
  </conditionalFormatting>
  <conditionalFormatting sqref="W2238">
    <cfRule type="expression" dxfId="923" priority="176">
      <formula>OR($S$2238 = FALSE, AND($P$2238 = FALSE, ReportType &lt;&gt; "Final"), AND($Q$2238 = FALSE, ReportType &lt;&gt; "Rough"))</formula>
    </cfRule>
  </conditionalFormatting>
  <conditionalFormatting sqref="W2238">
    <cfRule type="expression" dxfId="922" priority="175">
      <formula>OR($T$2238 = TRUE, AND($W$2238 = TRUE, $S$2238 = FALSE))</formula>
    </cfRule>
  </conditionalFormatting>
  <conditionalFormatting sqref="W2243">
    <cfRule type="expression" dxfId="921" priority="174">
      <formula>AND($R$2243,$S$2243)</formula>
    </cfRule>
  </conditionalFormatting>
  <conditionalFormatting sqref="W2243">
    <cfRule type="expression" dxfId="920" priority="173">
      <formula>AND(IF($R$2243,$W$2243,TRUE),LEN(TRIM($W$2243))&gt;0)</formula>
    </cfRule>
  </conditionalFormatting>
  <conditionalFormatting sqref="W2243">
    <cfRule type="expression" dxfId="919" priority="172">
      <formula>OR($S$2243 = FALSE, AND($P$2243 = FALSE, ReportType &lt;&gt; "Final"), AND($Q$2243 = FALSE, ReportType &lt;&gt; "Rough"))</formula>
    </cfRule>
  </conditionalFormatting>
  <conditionalFormatting sqref="W2243">
    <cfRule type="expression" dxfId="918" priority="171">
      <formula>OR($T$2243 = TRUE, AND($W$2243 = TRUE, $S$2243 = FALSE))</formula>
    </cfRule>
  </conditionalFormatting>
  <conditionalFormatting sqref="W2247">
    <cfRule type="expression" dxfId="917" priority="170">
      <formula>AND($R$2247,$S$2247)</formula>
    </cfRule>
  </conditionalFormatting>
  <conditionalFormatting sqref="W2247">
    <cfRule type="expression" dxfId="916" priority="169">
      <formula>AND($W$2247&lt;&gt;"Not Met",LEN(TRIM($W$2247))&gt;0)</formula>
    </cfRule>
  </conditionalFormatting>
  <conditionalFormatting sqref="W2247">
    <cfRule type="expression" dxfId="915" priority="168">
      <formula>OR($S$2247 = FALSE, AND($P$2247 = FALSE, ReportType &lt;&gt; "Final"), AND($Q$2247 = FALSE, ReportType &lt;&gt; "Rough"))</formula>
    </cfRule>
  </conditionalFormatting>
  <conditionalFormatting sqref="W2247">
    <cfRule type="expression" dxfId="914" priority="167">
      <formula>OR($T$2247 = TRUE, AND(LEN(TRIM($W$2247))&gt;0, $S$2247 = FALSE))</formula>
    </cfRule>
  </conditionalFormatting>
  <conditionalFormatting sqref="W2399">
    <cfRule type="expression" dxfId="913" priority="166">
      <formula>AND($R$2399,$S$2399)</formula>
    </cfRule>
  </conditionalFormatting>
  <conditionalFormatting sqref="W2399">
    <cfRule type="expression" dxfId="912" priority="165">
      <formula>AND(IF($R$2399,$W$2399,TRUE),LEN(TRIM($W$2399))&gt;0)</formula>
    </cfRule>
  </conditionalFormatting>
  <conditionalFormatting sqref="W2399">
    <cfRule type="expression" dxfId="911" priority="164">
      <formula>OR($S$2399 = FALSE, AND($P$2399 = FALSE, ReportType &lt;&gt; "Final"), AND($Q$2399 = FALSE, ReportType &lt;&gt; "Rough"))</formula>
    </cfRule>
  </conditionalFormatting>
  <conditionalFormatting sqref="W2399">
    <cfRule type="expression" dxfId="910" priority="163">
      <formula>OR($T$2399 = TRUE, AND($W$2399 = TRUE, $S$2399 = FALSE))</formula>
    </cfRule>
  </conditionalFormatting>
  <conditionalFormatting sqref="W2416">
    <cfRule type="expression" dxfId="909" priority="162">
      <formula>AND($R$2416,$S$2416)</formula>
    </cfRule>
  </conditionalFormatting>
  <conditionalFormatting sqref="W2416">
    <cfRule type="expression" dxfId="908" priority="161">
      <formula>AND(IF($R$2416,$W$2416,TRUE),LEN(TRIM($W$2416))&gt;0)</formula>
    </cfRule>
  </conditionalFormatting>
  <conditionalFormatting sqref="W2416">
    <cfRule type="expression" dxfId="907" priority="160">
      <formula>OR($S$2416 = FALSE, AND($P$2416 = FALSE, ReportType &lt;&gt; "Final"), AND($Q$2416 = FALSE, ReportType &lt;&gt; "Rough"))</formula>
    </cfRule>
  </conditionalFormatting>
  <conditionalFormatting sqref="W2416">
    <cfRule type="expression" dxfId="906" priority="159">
      <formula>OR($T$2416 = TRUE, AND($W$2416 = TRUE, $S$2416 = FALSE))</formula>
    </cfRule>
  </conditionalFormatting>
  <conditionalFormatting sqref="W2417">
    <cfRule type="expression" dxfId="905" priority="158">
      <formula>AND($R$2417,$S$2417)</formula>
    </cfRule>
  </conditionalFormatting>
  <conditionalFormatting sqref="W2417">
    <cfRule type="expression" dxfId="904" priority="157">
      <formula>AND(IF($R$2417,$W$2417,TRUE),LEN(TRIM($W$2417))&gt;0)</formula>
    </cfRule>
  </conditionalFormatting>
  <conditionalFormatting sqref="W2417">
    <cfRule type="expression" dxfId="903" priority="156">
      <formula>OR($S$2417 = FALSE, AND($P$2417 = FALSE, ReportType &lt;&gt; "Final"), AND($Q$2417 = FALSE, ReportType &lt;&gt; "Rough"))</formula>
    </cfRule>
  </conditionalFormatting>
  <conditionalFormatting sqref="W2417">
    <cfRule type="expression" dxfId="902" priority="155">
      <formula>OR($T$2417 = TRUE, AND($W$2417 = TRUE, $S$2417 = FALSE))</formula>
    </cfRule>
  </conditionalFormatting>
  <conditionalFormatting sqref="W2418">
    <cfRule type="expression" dxfId="901" priority="154">
      <formula>AND($R$2418,$S$2418)</formula>
    </cfRule>
  </conditionalFormatting>
  <conditionalFormatting sqref="W2418">
    <cfRule type="expression" dxfId="900" priority="153">
      <formula>AND(IF($R$2418,$W$2418,TRUE),LEN(TRIM($W$2418))&gt;0)</formula>
    </cfRule>
  </conditionalFormatting>
  <conditionalFormatting sqref="W2418">
    <cfRule type="expression" dxfId="899" priority="152">
      <formula>OR($S$2418 = FALSE, AND($P$2418 = FALSE, ReportType &lt;&gt; "Final"), AND($Q$2418 = FALSE, ReportType &lt;&gt; "Rough"))</formula>
    </cfRule>
  </conditionalFormatting>
  <conditionalFormatting sqref="W2418">
    <cfRule type="expression" dxfId="898" priority="151">
      <formula>OR($T$2418 = TRUE, AND($W$2418 = TRUE, $S$2418 = FALSE))</formula>
    </cfRule>
  </conditionalFormatting>
  <conditionalFormatting sqref="W2420">
    <cfRule type="expression" dxfId="897" priority="150">
      <formula>AND($R$2420,$S$2420)</formula>
    </cfRule>
  </conditionalFormatting>
  <conditionalFormatting sqref="W2420">
    <cfRule type="expression" dxfId="896" priority="149">
      <formula>AND(IF($R$2420,$W$2420,TRUE),LEN(TRIM($W$2420))&gt;0)</formula>
    </cfRule>
  </conditionalFormatting>
  <conditionalFormatting sqref="W2420">
    <cfRule type="expression" dxfId="895" priority="148">
      <formula>OR($S$2420 = FALSE, AND($P$2420 = FALSE, ReportType &lt;&gt; "Final"), AND($Q$2420 = FALSE, ReportType &lt;&gt; "Rough"))</formula>
    </cfRule>
  </conditionalFormatting>
  <conditionalFormatting sqref="W2420">
    <cfRule type="expression" dxfId="894" priority="147">
      <formula>OR($T$2420 = TRUE, AND($W$2420 = TRUE, $S$2420 = FALSE))</formula>
    </cfRule>
  </conditionalFormatting>
  <conditionalFormatting sqref="W2421">
    <cfRule type="expression" dxfId="893" priority="146">
      <formula>AND($R$2421,$S$2421)</formula>
    </cfRule>
  </conditionalFormatting>
  <conditionalFormatting sqref="W2421">
    <cfRule type="expression" dxfId="892" priority="145">
      <formula>AND(IF($R$2421,$W$2421,TRUE),LEN(TRIM($W$2421))&gt;0)</formula>
    </cfRule>
  </conditionalFormatting>
  <conditionalFormatting sqref="W2421">
    <cfRule type="expression" dxfId="891" priority="144">
      <formula>OR($S$2421 = FALSE, AND($P$2421 = FALSE, ReportType &lt;&gt; "Final"), AND($Q$2421 = FALSE, ReportType &lt;&gt; "Rough"))</formula>
    </cfRule>
  </conditionalFormatting>
  <conditionalFormatting sqref="W2421">
    <cfRule type="expression" dxfId="890" priority="143">
      <formula>OR($T$2421 = TRUE, AND($W$2421 = TRUE, $S$2421 = FALSE))</formula>
    </cfRule>
  </conditionalFormatting>
  <conditionalFormatting sqref="W2422">
    <cfRule type="expression" dxfId="889" priority="142">
      <formula>AND($R$2422,$S$2422)</formula>
    </cfRule>
  </conditionalFormatting>
  <conditionalFormatting sqref="W2422">
    <cfRule type="expression" dxfId="888" priority="141">
      <formula>AND(IF($R$2422,$W$2422,TRUE),LEN(TRIM($W$2422))&gt;0)</formula>
    </cfRule>
  </conditionalFormatting>
  <conditionalFormatting sqref="W2422">
    <cfRule type="expression" dxfId="887" priority="140">
      <formula>OR($S$2422 = FALSE, AND($P$2422 = FALSE, ReportType &lt;&gt; "Final"), AND($Q$2422 = FALSE, ReportType &lt;&gt; "Rough"))</formula>
    </cfRule>
  </conditionalFormatting>
  <conditionalFormatting sqref="W2422">
    <cfRule type="expression" dxfId="886" priority="139">
      <formula>OR($T$2422 = TRUE, AND($W$2422 = TRUE, $S$2422 = FALSE))</formula>
    </cfRule>
  </conditionalFormatting>
  <conditionalFormatting sqref="W2423">
    <cfRule type="expression" dxfId="885" priority="138">
      <formula>AND($R$2423,$S$2423)</formula>
    </cfRule>
  </conditionalFormatting>
  <conditionalFormatting sqref="W2423">
    <cfRule type="expression" dxfId="884" priority="137">
      <formula>AND(IF($R$2423,$W$2423,TRUE),LEN(TRIM($W$2423))&gt;0)</formula>
    </cfRule>
  </conditionalFormatting>
  <conditionalFormatting sqref="W2423">
    <cfRule type="expression" dxfId="883" priority="136">
      <formula>OR($S$2423 = FALSE, AND($P$2423 = FALSE, ReportType &lt;&gt; "Final"), AND($Q$2423 = FALSE, ReportType &lt;&gt; "Rough"))</formula>
    </cfRule>
  </conditionalFormatting>
  <conditionalFormatting sqref="W2423">
    <cfRule type="expression" dxfId="882" priority="135">
      <formula>OR($T$2423 = TRUE, AND($W$2423 = TRUE, $S$2423 = FALSE))</formula>
    </cfRule>
  </conditionalFormatting>
  <conditionalFormatting sqref="W2424">
    <cfRule type="expression" dxfId="881" priority="134">
      <formula>AND($R$2424,$S$2424)</formula>
    </cfRule>
  </conditionalFormatting>
  <conditionalFormatting sqref="W2424">
    <cfRule type="expression" dxfId="880" priority="133">
      <formula>AND(IF($R$2424,$W$2424,TRUE),LEN(TRIM($W$2424))&gt;0)</formula>
    </cfRule>
  </conditionalFormatting>
  <conditionalFormatting sqref="W2424">
    <cfRule type="expression" dxfId="879" priority="132">
      <formula>OR($S$2424 = FALSE, AND($P$2424 = FALSE, ReportType &lt;&gt; "Final"), AND($Q$2424 = FALSE, ReportType &lt;&gt; "Rough"))</formula>
    </cfRule>
  </conditionalFormatting>
  <conditionalFormatting sqref="W2424">
    <cfRule type="expression" dxfId="878" priority="131">
      <formula>OR($T$2424 = TRUE, AND($W$2424 = TRUE, $S$2424 = FALSE))</formula>
    </cfRule>
  </conditionalFormatting>
  <conditionalFormatting sqref="W2425">
    <cfRule type="expression" dxfId="877" priority="130">
      <formula>AND($R$2425,$S$2425)</formula>
    </cfRule>
  </conditionalFormatting>
  <conditionalFormatting sqref="W2425">
    <cfRule type="expression" dxfId="876" priority="129">
      <formula>AND(IF($R$2425,$W$2425,TRUE),LEN(TRIM($W$2425))&gt;0)</formula>
    </cfRule>
  </conditionalFormatting>
  <conditionalFormatting sqref="W2425">
    <cfRule type="expression" dxfId="875" priority="128">
      <formula>OR($S$2425 = FALSE, AND($P$2425 = FALSE, ReportType &lt;&gt; "Final"), AND($Q$2425 = FALSE, ReportType &lt;&gt; "Rough"))</formula>
    </cfRule>
  </conditionalFormatting>
  <conditionalFormatting sqref="W2425">
    <cfRule type="expression" dxfId="874" priority="127">
      <formula>OR($T$2425 = TRUE, AND($W$2425 = TRUE, $S$2425 = FALSE))</formula>
    </cfRule>
  </conditionalFormatting>
  <conditionalFormatting sqref="W2430">
    <cfRule type="expression" dxfId="873" priority="126">
      <formula>AND($R$2430,$S$2430)</formula>
    </cfRule>
  </conditionalFormatting>
  <conditionalFormatting sqref="W2430">
    <cfRule type="expression" dxfId="872" priority="125">
      <formula>AND(IF($R$2430,$W$2430,TRUE),LEN(TRIM($W$2430))&gt;0)</formula>
    </cfRule>
  </conditionalFormatting>
  <conditionalFormatting sqref="W2430">
    <cfRule type="expression" dxfId="871" priority="124">
      <formula>OR($S$2430 = FALSE, AND($P$2430 = FALSE, ReportType &lt;&gt; "Final"), AND($Q$2430 = FALSE, ReportType &lt;&gt; "Rough"))</formula>
    </cfRule>
  </conditionalFormatting>
  <conditionalFormatting sqref="W2430">
    <cfRule type="expression" dxfId="870" priority="123">
      <formula>OR($T$2430 = TRUE, AND($W$2430 = TRUE, $S$2430 = FALSE))</formula>
    </cfRule>
  </conditionalFormatting>
  <conditionalFormatting sqref="W2431">
    <cfRule type="expression" dxfId="869" priority="122">
      <formula>AND($R$2431,$S$2431)</formula>
    </cfRule>
  </conditionalFormatting>
  <conditionalFormatting sqref="W2431">
    <cfRule type="expression" dxfId="868" priority="121">
      <formula>AND(IF($R$2431,$W$2431,TRUE),LEN(TRIM($W$2431))&gt;0)</formula>
    </cfRule>
  </conditionalFormatting>
  <conditionalFormatting sqref="W2431">
    <cfRule type="expression" dxfId="867" priority="120">
      <formula>OR($S$2431 = FALSE, AND($P$2431 = FALSE, ReportType &lt;&gt; "Final"), AND($Q$2431 = FALSE, ReportType &lt;&gt; "Rough"))</formula>
    </cfRule>
  </conditionalFormatting>
  <conditionalFormatting sqref="W2431">
    <cfRule type="expression" dxfId="866" priority="119">
      <formula>OR($T$2431 = TRUE, AND($W$2431 = TRUE, $S$2431 = FALSE))</formula>
    </cfRule>
  </conditionalFormatting>
  <conditionalFormatting sqref="W2432">
    <cfRule type="expression" dxfId="865" priority="118">
      <formula>AND($R$2432,$S$2432)</formula>
    </cfRule>
  </conditionalFormatting>
  <conditionalFormatting sqref="W2432">
    <cfRule type="expression" dxfId="864" priority="117">
      <formula>AND(IF($R$2432,$W$2432,TRUE),LEN(TRIM($W$2432))&gt;0)</formula>
    </cfRule>
  </conditionalFormatting>
  <conditionalFormatting sqref="W2432">
    <cfRule type="expression" dxfId="863" priority="116">
      <formula>OR($S$2432 = FALSE, AND($P$2432 = FALSE, ReportType &lt;&gt; "Final"), AND($Q$2432 = FALSE, ReportType &lt;&gt; "Rough"))</formula>
    </cfRule>
  </conditionalFormatting>
  <conditionalFormatting sqref="W2432">
    <cfRule type="expression" dxfId="862" priority="115">
      <formula>OR($T$2432 = TRUE, AND($W$2432 = TRUE, $S$2432 = FALSE))</formula>
    </cfRule>
  </conditionalFormatting>
  <conditionalFormatting sqref="W2433">
    <cfRule type="expression" dxfId="861" priority="114">
      <formula>AND($R$2433,$S$2433)</formula>
    </cfRule>
  </conditionalFormatting>
  <conditionalFormatting sqref="W2433">
    <cfRule type="expression" dxfId="860" priority="113">
      <formula>AND(IF($R$2433,$W$2433,TRUE),LEN(TRIM($W$2433))&gt;0)</formula>
    </cfRule>
  </conditionalFormatting>
  <conditionalFormatting sqref="W2433">
    <cfRule type="expression" dxfId="859" priority="112">
      <formula>OR($S$2433 = FALSE, AND($P$2433 = FALSE, ReportType &lt;&gt; "Final"), AND($Q$2433 = FALSE, ReportType &lt;&gt; "Rough"))</formula>
    </cfRule>
  </conditionalFormatting>
  <conditionalFormatting sqref="W2433">
    <cfRule type="expression" dxfId="858" priority="111">
      <formula>OR($T$2433 = TRUE, AND($W$2433 = TRUE, $S$2433 = FALSE))</formula>
    </cfRule>
  </conditionalFormatting>
  <conditionalFormatting sqref="W2434">
    <cfRule type="expression" dxfId="857" priority="110">
      <formula>AND($R$2434,$S$2434)</formula>
    </cfRule>
  </conditionalFormatting>
  <conditionalFormatting sqref="W2434">
    <cfRule type="expression" dxfId="856" priority="109">
      <formula>AND(IF($R$2434,$W$2434,TRUE),LEN(TRIM($W$2434))&gt;0)</formula>
    </cfRule>
  </conditionalFormatting>
  <conditionalFormatting sqref="W2434">
    <cfRule type="expression" dxfId="855" priority="108">
      <formula>OR($S$2434 = FALSE, AND($P$2434 = FALSE, ReportType &lt;&gt; "Final"), AND($Q$2434 = FALSE, ReportType &lt;&gt; "Rough"))</formula>
    </cfRule>
  </conditionalFormatting>
  <conditionalFormatting sqref="W2434">
    <cfRule type="expression" dxfId="854" priority="107">
      <formula>OR($T$2434 = TRUE, AND($W$2434 = TRUE, $S$2434 = FALSE))</formula>
    </cfRule>
  </conditionalFormatting>
  <conditionalFormatting sqref="W2435">
    <cfRule type="expression" dxfId="853" priority="106">
      <formula>AND($R$2435,$S$2435)</formula>
    </cfRule>
  </conditionalFormatting>
  <conditionalFormatting sqref="W2435">
    <cfRule type="expression" dxfId="852" priority="105">
      <formula>AND(IF($R$2435,$W$2435,TRUE),LEN(TRIM($W$2435))&gt;0)</formula>
    </cfRule>
  </conditionalFormatting>
  <conditionalFormatting sqref="W2435">
    <cfRule type="expression" dxfId="851" priority="104">
      <formula>OR($S$2435 = FALSE, AND($P$2435 = FALSE, ReportType &lt;&gt; "Final"), AND($Q$2435 = FALSE, ReportType &lt;&gt; "Rough"))</formula>
    </cfRule>
  </conditionalFormatting>
  <conditionalFormatting sqref="W2435">
    <cfRule type="expression" dxfId="850" priority="103">
      <formula>OR($T$2435 = TRUE, AND($W$2435 = TRUE, $S$2435 = FALSE))</formula>
    </cfRule>
  </conditionalFormatting>
  <conditionalFormatting sqref="W2436">
    <cfRule type="expression" dxfId="849" priority="102">
      <formula>AND($R$2436,$S$2436)</formula>
    </cfRule>
  </conditionalFormatting>
  <conditionalFormatting sqref="W2436">
    <cfRule type="expression" dxfId="848" priority="101">
      <formula>AND(IF($R$2436,$W$2436,TRUE),LEN(TRIM($W$2436))&gt;0)</formula>
    </cfRule>
  </conditionalFormatting>
  <conditionalFormatting sqref="W2436">
    <cfRule type="expression" dxfId="847" priority="100">
      <formula>OR($S$2436 = FALSE, AND($P$2436 = FALSE, ReportType &lt;&gt; "Final"), AND($Q$2436 = FALSE, ReportType &lt;&gt; "Rough"))</formula>
    </cfRule>
  </conditionalFormatting>
  <conditionalFormatting sqref="W2436">
    <cfRule type="expression" dxfId="846" priority="99">
      <formula>OR($T$2436 = TRUE, AND($W$2436 = TRUE, $S$2436 = FALSE))</formula>
    </cfRule>
  </conditionalFormatting>
  <conditionalFormatting sqref="W2452">
    <cfRule type="expression" dxfId="845" priority="98">
      <formula>AND($R$2452,$S$2452)</formula>
    </cfRule>
  </conditionalFormatting>
  <conditionalFormatting sqref="W2452">
    <cfRule type="expression" dxfId="844" priority="97">
      <formula>AND(IF($R$2452,$W$2452,TRUE),LEN(TRIM($W$2452))&gt;0)</formula>
    </cfRule>
  </conditionalFormatting>
  <conditionalFormatting sqref="W2452">
    <cfRule type="expression" dxfId="843" priority="96">
      <formula>OR($S$2452 = FALSE, AND($P$2452 = FALSE, ReportType &lt;&gt; "Final"), AND($Q$2452 = FALSE, ReportType &lt;&gt; "Rough"))</formula>
    </cfRule>
  </conditionalFormatting>
  <conditionalFormatting sqref="W2452">
    <cfRule type="expression" dxfId="842" priority="95">
      <formula>OR($T$2452 = TRUE, AND($W$2452 = TRUE, $S$2452 = FALSE))</formula>
    </cfRule>
  </conditionalFormatting>
  <conditionalFormatting sqref="W2455">
    <cfRule type="expression" dxfId="841" priority="94">
      <formula>AND($R$2455,$S$2455)</formula>
    </cfRule>
  </conditionalFormatting>
  <conditionalFormatting sqref="W2455">
    <cfRule type="expression" dxfId="840" priority="93">
      <formula>AND(IF($R$2455,$W$2455,TRUE),LEN(TRIM($W$2455))&gt;0)</formula>
    </cfRule>
  </conditionalFormatting>
  <conditionalFormatting sqref="W2455">
    <cfRule type="expression" dxfId="839" priority="92">
      <formula>OR($S$2455 = FALSE, AND($P$2455 = FALSE, ReportType &lt;&gt; "Final"), AND($Q$2455 = FALSE, ReportType &lt;&gt; "Rough"))</formula>
    </cfRule>
  </conditionalFormatting>
  <conditionalFormatting sqref="W2455">
    <cfRule type="expression" dxfId="838" priority="91">
      <formula>OR($T$2455 = TRUE, AND($W$2455 = TRUE, $S$2455 = FALSE))</formula>
    </cfRule>
  </conditionalFormatting>
  <conditionalFormatting sqref="X44:X46">
    <cfRule type="expression" dxfId="837" priority="90">
      <formula>$W$45</formula>
    </cfRule>
  </conditionalFormatting>
  <conditionalFormatting sqref="X47:X49">
    <cfRule type="expression" dxfId="836" priority="89">
      <formula>$W$48</formula>
    </cfRule>
  </conditionalFormatting>
  <conditionalFormatting sqref="X542:X543">
    <cfRule type="expression" dxfId="835" priority="88">
      <formula>$W$244</formula>
    </cfRule>
  </conditionalFormatting>
  <conditionalFormatting sqref="X702:X709">
    <cfRule type="expression" dxfId="834" priority="87">
      <formula>NOT(ISBLANK(W702))</formula>
    </cfRule>
  </conditionalFormatting>
  <conditionalFormatting sqref="X864:X866">
    <cfRule type="expression" dxfId="833" priority="86">
      <formula>LEN($W$562)&gt;0</formula>
    </cfRule>
  </conditionalFormatting>
  <conditionalFormatting sqref="X1106:X1111">
    <cfRule type="expression" dxfId="832" priority="85">
      <formula>W1107=INDEX(INDIRECT(U1107),1)</formula>
    </cfRule>
  </conditionalFormatting>
  <conditionalFormatting sqref="X1112:X1118">
    <cfRule type="expression" dxfId="831" priority="84">
      <formula>W1113=INDEX(INDIRECT(U1113),1)</formula>
    </cfRule>
  </conditionalFormatting>
  <conditionalFormatting sqref="X1453:X1455">
    <cfRule type="expression" dxfId="830" priority="83">
      <formula>W1453=TRUE</formula>
    </cfRule>
  </conditionalFormatting>
  <conditionalFormatting sqref="X1461:X1463">
    <cfRule type="expression" dxfId="829" priority="82">
      <formula>W1461=TRUE</formula>
    </cfRule>
  </conditionalFormatting>
  <conditionalFormatting sqref="M322:M323">
    <cfRule type="expression" dxfId="828" priority="11726">
      <formula>$AY$24&gt;4099</formula>
    </cfRule>
  </conditionalFormatting>
  <conditionalFormatting sqref="L322:L323">
    <cfRule type="expression" dxfId="827" priority="11727">
      <formula>AY321&gt;4099</formula>
    </cfRule>
  </conditionalFormatting>
  <conditionalFormatting sqref="W884">
    <cfRule type="expression" dxfId="826" priority="73">
      <formula>T884</formula>
    </cfRule>
  </conditionalFormatting>
  <conditionalFormatting sqref="W1599">
    <cfRule type="expression" dxfId="825" priority="72">
      <formula>T1599</formula>
    </cfRule>
  </conditionalFormatting>
  <conditionalFormatting sqref="W1020">
    <cfRule type="expression" dxfId="824" priority="71">
      <formula>AND(R1020,S1020)</formula>
    </cfRule>
  </conditionalFormatting>
  <conditionalFormatting sqref="W1020">
    <cfRule type="expression" dxfId="823" priority="70">
      <formula>NOT(ISBLANK(W1020))</formula>
    </cfRule>
  </conditionalFormatting>
  <conditionalFormatting sqref="W1020">
    <cfRule type="expression" dxfId="822" priority="69">
      <formula>OR(S1020 = FALSE, AND(P1020 = FALSE, ReportType &lt;&gt; "Final"), AND(Q1020 = FALSE, ReportType &lt;&gt; "Rough"))</formula>
    </cfRule>
  </conditionalFormatting>
  <conditionalFormatting sqref="W1020">
    <cfRule type="expression" dxfId="821" priority="68">
      <formula>OR(T1020 = TRUE, AND(W1020 = TRUE, S1020 = FALSE))</formula>
    </cfRule>
  </conditionalFormatting>
  <conditionalFormatting sqref="W1613">
    <cfRule type="expression" dxfId="820" priority="67">
      <formula>AND(R1613,S1613)</formula>
    </cfRule>
  </conditionalFormatting>
  <conditionalFormatting sqref="W1613">
    <cfRule type="expression" dxfId="819" priority="66">
      <formula>NOT(ISBLANK(W1613))</formula>
    </cfRule>
  </conditionalFormatting>
  <conditionalFormatting sqref="W1613">
    <cfRule type="expression" dxfId="818" priority="65">
      <formula>OR(S1613 = FALSE, AND(P1613 = FALSE, ReportType &lt;&gt; "Final"), AND(Q1613 = FALSE, ReportType &lt;&gt; "Rough"))</formula>
    </cfRule>
  </conditionalFormatting>
  <conditionalFormatting sqref="W1613">
    <cfRule type="expression" dxfId="817" priority="64">
      <formula>OR(T1613 = TRUE, AND(W1613 = TRUE, S1613 = FALSE))</formula>
    </cfRule>
  </conditionalFormatting>
  <conditionalFormatting sqref="M1672:M1673">
    <cfRule type="expression" dxfId="816" priority="63">
      <formula>R1671</formula>
    </cfRule>
  </conditionalFormatting>
  <conditionalFormatting sqref="W981">
    <cfRule type="expression" dxfId="815" priority="62">
      <formula>AND($R$981,$S$981)</formula>
    </cfRule>
  </conditionalFormatting>
  <conditionalFormatting sqref="W981">
    <cfRule type="expression" dxfId="814" priority="61">
      <formula>AND($W$981&lt;&gt;"Not Met",LEN(TRIM($W$981))&gt;0)</formula>
    </cfRule>
  </conditionalFormatting>
  <conditionalFormatting sqref="W981">
    <cfRule type="expression" dxfId="813" priority="60">
      <formula>OR($S$981 = FALSE, AND($P$981 = FALSE, ReportType &lt;&gt; "Final"), AND($Q$981 = FALSE, ReportType &lt;&gt; "Rough"))</formula>
    </cfRule>
  </conditionalFormatting>
  <conditionalFormatting sqref="W981">
    <cfRule type="expression" dxfId="812" priority="59">
      <formula>OR($T$981 = TRUE, AND(LEN(TRIM($W$981))&gt;0, $S$981 = FALSE))</formula>
    </cfRule>
  </conditionalFormatting>
  <conditionalFormatting sqref="W1003">
    <cfRule type="expression" dxfId="811" priority="58">
      <formula>AND($R$1003,$S$1003)</formula>
    </cfRule>
  </conditionalFormatting>
  <conditionalFormatting sqref="W1003">
    <cfRule type="expression" dxfId="810" priority="57">
      <formula>AND($W$1003&lt;&gt;"Not Met",LEN(TRIM($W$1003))&gt;0)</formula>
    </cfRule>
  </conditionalFormatting>
  <conditionalFormatting sqref="W1003">
    <cfRule type="expression" dxfId="809" priority="56">
      <formula>OR($S$1003 = FALSE, AND($P$1003 = FALSE, ReportType &lt;&gt; "Final"), AND($Q$1003 = FALSE, ReportType &lt;&gt; "Rough"))</formula>
    </cfRule>
  </conditionalFormatting>
  <conditionalFormatting sqref="W1003">
    <cfRule type="expression" dxfId="808" priority="55">
      <formula>OR($T$1003 = TRUE, AND(LEN(TRIM($W$1003))&gt;0, $S$1003 = FALSE))</formula>
    </cfRule>
  </conditionalFormatting>
  <conditionalFormatting sqref="W1007">
    <cfRule type="expression" dxfId="807" priority="54">
      <formula>AND($R$1007,$S$1007)</formula>
    </cfRule>
  </conditionalFormatting>
  <conditionalFormatting sqref="W1007">
    <cfRule type="expression" dxfId="806" priority="53">
      <formula>AND($W$1007&lt;&gt;"Not Met",LEN(TRIM($W$1007))&gt;0)</formula>
    </cfRule>
  </conditionalFormatting>
  <conditionalFormatting sqref="W1007">
    <cfRule type="expression" dxfId="805" priority="52">
      <formula>OR($S$1007 = FALSE, AND($P$1007 = FALSE, ReportType &lt;&gt; "Final"), AND($Q$1007 = FALSE, ReportType &lt;&gt; "Rough"))</formula>
    </cfRule>
  </conditionalFormatting>
  <conditionalFormatting sqref="W1007">
    <cfRule type="expression" dxfId="804" priority="51">
      <formula>OR($T$1007 = TRUE, AND(LEN(TRIM($W$1007))&gt;0, $S$1007 = FALSE))</formula>
    </cfRule>
  </conditionalFormatting>
  <conditionalFormatting sqref="W1452">
    <cfRule type="expression" dxfId="803" priority="50">
      <formula>AND(R1452,S1452)</formula>
    </cfRule>
  </conditionalFormatting>
  <conditionalFormatting sqref="W1452">
    <cfRule type="expression" dxfId="802" priority="49">
      <formula>NOT(ISBLANK(W1452))</formula>
    </cfRule>
  </conditionalFormatting>
  <conditionalFormatting sqref="W1452">
    <cfRule type="expression" dxfId="801" priority="48">
      <formula>S1452 = FALSE</formula>
    </cfRule>
  </conditionalFormatting>
  <conditionalFormatting sqref="W1452">
    <cfRule type="expression" dxfId="800" priority="47">
      <formula>OR(T1452 = TRUE, AND(W1452 = TRUE, S1452 = FALSE))</formula>
    </cfRule>
  </conditionalFormatting>
  <conditionalFormatting sqref="X716">
    <cfRule type="expression" dxfId="799" priority="11840">
      <formula>NOT(ISBLANK(W716))</formula>
    </cfRule>
  </conditionalFormatting>
  <conditionalFormatting sqref="X724:X730">
    <cfRule type="expression" dxfId="798" priority="46">
      <formula>R724</formula>
    </cfRule>
  </conditionalFormatting>
  <conditionalFormatting sqref="W559">
    <cfRule type="expression" dxfId="797" priority="45">
      <formula>AND($R$559,$S$559)</formula>
    </cfRule>
  </conditionalFormatting>
  <conditionalFormatting sqref="W559">
    <cfRule type="expression" dxfId="796" priority="44">
      <formula>AND($W$559&lt;&gt;"Not Met",LEN(TRIM($W$559))&gt;0)</formula>
    </cfRule>
  </conditionalFormatting>
  <conditionalFormatting sqref="W559">
    <cfRule type="expression" dxfId="795" priority="43">
      <formula>OR($S$559 = FALSE, AND($P$559 = FALSE, ReportType &lt;&gt; "Final"), AND($Q$559 = FALSE, ReportType &lt;&gt; "Rough"))</formula>
    </cfRule>
  </conditionalFormatting>
  <conditionalFormatting sqref="W559">
    <cfRule type="expression" dxfId="794" priority="42">
      <formula>OR($T$559 = TRUE, AND(LEN(TRIM($W$559))&gt;0, $S$559 = FALSE))</formula>
    </cfRule>
  </conditionalFormatting>
  <conditionalFormatting sqref="W930">
    <cfRule type="expression" dxfId="793" priority="41">
      <formula>AND($R$930,$S$930)</formula>
    </cfRule>
  </conditionalFormatting>
  <conditionalFormatting sqref="W930">
    <cfRule type="expression" dxfId="792" priority="40">
      <formula>AND(IF($R$930,$W$930,TRUE),LEN(TRIM($W$930))&gt;0)</formula>
    </cfRule>
  </conditionalFormatting>
  <conditionalFormatting sqref="W930">
    <cfRule type="expression" dxfId="791" priority="39">
      <formula>OR($S$930 = FALSE, AND($P$930 = FALSE, ReportType &lt;&gt; "Final"), AND($Q$930 = FALSE, ReportType &lt;&gt; "Rough"))</formula>
    </cfRule>
  </conditionalFormatting>
  <conditionalFormatting sqref="W930">
    <cfRule type="expression" dxfId="790" priority="38">
      <formula>OR($T$930 = TRUE, AND($W$930 = TRUE, $S$930 = FALSE))</formula>
    </cfRule>
  </conditionalFormatting>
  <conditionalFormatting sqref="M1196:M1199">
    <cfRule type="expression" dxfId="789" priority="37">
      <formula>(T1200&gt;6)</formula>
    </cfRule>
  </conditionalFormatting>
  <conditionalFormatting sqref="W1197">
    <cfRule type="expression" dxfId="788" priority="36">
      <formula>AND(R1197,S1197)</formula>
    </cfRule>
  </conditionalFormatting>
  <conditionalFormatting sqref="W1197">
    <cfRule type="expression" dxfId="787" priority="35">
      <formula>NOT(ISBLANK(W1197))</formula>
    </cfRule>
  </conditionalFormatting>
  <conditionalFormatting sqref="W1197">
    <cfRule type="expression" dxfId="786" priority="34">
      <formula>OR(S1197 = FALSE, AND(P1197 = FALSE, ReportType &lt;&gt; "Final"), AND(Q1197 = FALSE, ReportType &lt;&gt; "Rough"))</formula>
    </cfRule>
  </conditionalFormatting>
  <conditionalFormatting sqref="W1197">
    <cfRule type="expression" dxfId="785" priority="33">
      <formula>OR(T1197 = TRUE, AND(W1197 = TRUE, S1197 = FALSE))</formula>
    </cfRule>
  </conditionalFormatting>
  <conditionalFormatting sqref="W1199">
    <cfRule type="expression" dxfId="784" priority="32">
      <formula>AND(R1199,S1199)</formula>
    </cfRule>
  </conditionalFormatting>
  <conditionalFormatting sqref="W1199">
    <cfRule type="expression" dxfId="783" priority="31">
      <formula>NOT(ISBLANK(W1199))</formula>
    </cfRule>
  </conditionalFormatting>
  <conditionalFormatting sqref="W1199">
    <cfRule type="expression" dxfId="782" priority="30">
      <formula>OR(S1199 = FALSE, AND(P1199 = FALSE, ReportType &lt;&gt; "Final"), AND(Q1199 = FALSE, ReportType &lt;&gt; "Rough"))</formula>
    </cfRule>
  </conditionalFormatting>
  <conditionalFormatting sqref="W1199">
    <cfRule type="expression" dxfId="781" priority="29">
      <formula>OR(T1199 = TRUE, AND(W1199 = TRUE, S1199 = FALSE))</formula>
    </cfRule>
  </conditionalFormatting>
  <conditionalFormatting sqref="W1070">
    <cfRule type="expression" dxfId="780" priority="28">
      <formula>AND($R$1070,$S$1070)</formula>
    </cfRule>
  </conditionalFormatting>
  <conditionalFormatting sqref="W1070">
    <cfRule type="expression" dxfId="779" priority="27">
      <formula>AND($W$1070&lt;&gt;"Not Met",LEN(TRIM($W$1070))&gt;0)</formula>
    </cfRule>
  </conditionalFormatting>
  <conditionalFormatting sqref="W1070">
    <cfRule type="expression" dxfId="778" priority="26">
      <formula>OR($S$1070 = FALSE, AND($P$1070 = FALSE, ReportType &lt;&gt; "Final"), AND($Q$1070 = FALSE, ReportType &lt;&gt; "Rough"))</formula>
    </cfRule>
  </conditionalFormatting>
  <conditionalFormatting sqref="W1070">
    <cfRule type="expression" dxfId="777" priority="25">
      <formula>OR($T$1070 = TRUE, AND(LEN(TRIM($W$1070))&gt;0, $S$1070 = FALSE))</formula>
    </cfRule>
  </conditionalFormatting>
  <conditionalFormatting sqref="W1034">
    <cfRule type="expression" dxfId="776" priority="17">
      <formula>AND($R$1034,$S$1034)</formula>
    </cfRule>
  </conditionalFormatting>
  <conditionalFormatting sqref="W1034">
    <cfRule type="expression" dxfId="775" priority="16">
      <formula>AND($W$1034&lt;&gt;"Not Met",LEN(TRIM($W$1034))&gt;0)</formula>
    </cfRule>
  </conditionalFormatting>
  <conditionalFormatting sqref="W1034">
    <cfRule type="expression" dxfId="774" priority="15">
      <formula>OR($S$1034 = FALSE, AND($P$1034 = FALSE, ReportType &lt;&gt; "Final"), AND($Q$1034 = FALSE, ReportType &lt;&gt; "Rough"))</formula>
    </cfRule>
  </conditionalFormatting>
  <conditionalFormatting sqref="W1034">
    <cfRule type="expression" dxfId="773" priority="14">
      <formula>OR($T$1034 = TRUE, AND(LEN(TRIM($W$1034))&gt;0, $S$1034 = FALSE))</formula>
    </cfRule>
  </conditionalFormatting>
  <conditionalFormatting sqref="W1046">
    <cfRule type="expression" dxfId="772" priority="13">
      <formula>AND($R$1046,$S$1046)</formula>
    </cfRule>
  </conditionalFormatting>
  <conditionalFormatting sqref="W1046">
    <cfRule type="expression" dxfId="771" priority="12">
      <formula>AND($W$1046&lt;&gt;"Not Met",LEN(TRIM($W$1046))&gt;0)</formula>
    </cfRule>
  </conditionalFormatting>
  <conditionalFormatting sqref="W1046">
    <cfRule type="expression" dxfId="770" priority="11">
      <formula>OR($S$1046 = FALSE, AND($P$1046 = FALSE, ReportType &lt;&gt; "Final"), AND($Q$1046 = FALSE, ReportType &lt;&gt; "Rough"))</formula>
    </cfRule>
  </conditionalFormatting>
  <conditionalFormatting sqref="W1046">
    <cfRule type="expression" dxfId="769" priority="10">
      <formula>OR($T$1046 = TRUE, AND(LEN(TRIM($W$1046))&gt;0, $S$1046 = FALSE))</formula>
    </cfRule>
  </conditionalFormatting>
  <conditionalFormatting sqref="W1049">
    <cfRule type="expression" dxfId="768" priority="9">
      <formula>AND($R$1049,$S$1049)</formula>
    </cfRule>
  </conditionalFormatting>
  <conditionalFormatting sqref="W1049">
    <cfRule type="expression" dxfId="767" priority="8">
      <formula>AND($W$1049&lt;&gt;"Not Met",LEN(TRIM($W$1049))&gt;0)</formula>
    </cfRule>
  </conditionalFormatting>
  <conditionalFormatting sqref="W1049">
    <cfRule type="expression" dxfId="766" priority="7">
      <formula>OR($S$1049 = FALSE, AND($P$1049 = FALSE, ReportType &lt;&gt; "Final"), AND($Q$1049 = FALSE, ReportType &lt;&gt; "Rough"))</formula>
    </cfRule>
  </conditionalFormatting>
  <conditionalFormatting sqref="W1049">
    <cfRule type="expression" dxfId="765" priority="6">
      <formula>OR($T$1049 = TRUE, AND(LEN(TRIM($W$1049))&gt;0, $S$1049 = FALSE))</formula>
    </cfRule>
  </conditionalFormatting>
  <conditionalFormatting sqref="X1034 X1046 X1049">
    <cfRule type="expression" dxfId="764" priority="5">
      <formula>(W1034=INDEX(INDIRECT(U1034),3))</formula>
    </cfRule>
  </conditionalFormatting>
  <conditionalFormatting sqref="W1828">
    <cfRule type="expression" dxfId="763" priority="4">
      <formula>AND($R$1828,$S$1828)</formula>
    </cfRule>
  </conditionalFormatting>
  <conditionalFormatting sqref="W1828">
    <cfRule type="expression" dxfId="762" priority="3">
      <formula>AND($W$1828&lt;&gt;"Not Met",LEN(TRIM($W$1828))&gt;0)</formula>
    </cfRule>
  </conditionalFormatting>
  <conditionalFormatting sqref="W1828">
    <cfRule type="expression" dxfId="761" priority="2">
      <formula>OR($S$1828 = FALSE, AND($P$1828 = FALSE, ReportType &lt;&gt; "Final"), AND($Q$1828 = FALSE, ReportType &lt;&gt; "Rough"))</formula>
    </cfRule>
  </conditionalFormatting>
  <conditionalFormatting sqref="W1828">
    <cfRule type="expression" dxfId="760" priority="1">
      <formula>OR($T$1828 = TRUE, AND(LEN(TRIM($W$1828))&gt;0, $S$1828 = FALSE))</formula>
    </cfRule>
  </conditionalFormatting>
  <dataValidations count="162">
    <dataValidation type="list" allowBlank="1" showInputMessage="1" showErrorMessage="1" sqref="L5" xr:uid="{00000000-0002-0000-0D00-000000000000}">
      <formula1>"Rough, Final"</formula1>
    </dataValidation>
    <dataValidation type="decimal" allowBlank="1" showDropDown="1" showInputMessage="1" showErrorMessage="1" error="Enter Percentage" prompt="Enter Percentage" sqref="W81" xr:uid="{B3894FF4-D924-41AB-B829-6DE3DFCBF88F}">
      <formula1>0</formula1>
      <formula2>1</formula2>
    </dataValidation>
    <dataValidation type="whole" allowBlank="1" showDropDown="1" showInputMessage="1" showErrorMessage="1" error="Enter a whole number" prompt="Enter number of products" sqref="W811 W800" xr:uid="{00000000-0002-0000-0D00-000002000000}">
      <formula1>0</formula1>
      <formula2>20</formula2>
    </dataValidation>
    <dataValidation type="decimal" allowBlank="1" showDropDown="1" showInputMessage="1" showErrorMessage="1" error="Enter a percentage" prompt="Enter a percentage" sqref="W577 W589 W591 W593 W595 W1953 W1964:W1965 W272 W1054 W1020 W1613" xr:uid="{00000000-0002-0000-0D00-000003000000}">
      <formula1>0</formula1>
      <formula2>1</formula2>
    </dataValidation>
    <dataValidation type="whole" allowBlank="1" showDropDown="1" showInputMessage="1" showErrorMessage="1" error="Enter a number" prompt="Enter number of square feet" sqref="W571" xr:uid="{00000000-0002-0000-0D00-000004000000}">
      <formula1>0</formula1>
      <formula2>10000</formula2>
    </dataValidation>
    <dataValidation type="list" allowBlank="1" showInputMessage="1" showErrorMessage="1" error="Please use the dropdown." sqref="W37" xr:uid="{00000000-0002-0000-0D00-000005000000}">
      <formula1>INDIRECT($U$37)</formula1>
    </dataValidation>
    <dataValidation type="list" allowBlank="1" showInputMessage="1" showErrorMessage="1" error="Please use the dropdown." sqref="W85" xr:uid="{00000000-0002-0000-0D00-000006000000}">
      <formula1>INDIRECT($U$85)</formula1>
    </dataValidation>
    <dataValidation type="list" allowBlank="1" showInputMessage="1" showErrorMessage="1" error="Please use the dropdown." sqref="W115" xr:uid="{00000000-0002-0000-0D00-000007000000}">
      <formula1>INDIRECT($U$115)</formula1>
    </dataValidation>
    <dataValidation type="list" allowBlank="1" showInputMessage="1" showErrorMessage="1" error="Please use the dropdown." sqref="W122" xr:uid="{00000000-0002-0000-0D00-000008000000}">
      <formula1>INDIRECT($U$122)</formula1>
    </dataValidation>
    <dataValidation type="list" allowBlank="1" showInputMessage="1" showErrorMessage="1" error="Please use the dropdown." sqref="W134" xr:uid="{00000000-0002-0000-0D00-000009000000}">
      <formula1>INDIRECT($U$134)</formula1>
    </dataValidation>
    <dataValidation type="list" allowBlank="1" showInputMessage="1" showErrorMessage="1" error="Please use the dropdown." sqref="W136" xr:uid="{00000000-0002-0000-0D00-00000A000000}">
      <formula1>INDIRECT($U$136)</formula1>
    </dataValidation>
    <dataValidation type="list" allowBlank="1" showInputMessage="1" showErrorMessage="1" error="Please use the dropdown." sqref="W151" xr:uid="{00000000-0002-0000-0D00-00000B000000}">
      <formula1>INDIRECT($U$151)</formula1>
    </dataValidation>
    <dataValidation type="list" allowBlank="1" showInputMessage="1" showErrorMessage="1" error="Please use the dropdown." sqref="W236" xr:uid="{00000000-0002-0000-0D00-00000C000000}">
      <formula1>INDIRECT($U$236)</formula1>
    </dataValidation>
    <dataValidation type="list" allowBlank="1" showInputMessage="1" showErrorMessage="1" error="Please use the dropdown." sqref="W254" xr:uid="{00000000-0002-0000-0D00-00000E000000}">
      <formula1>INDIRECT($U$254)</formula1>
    </dataValidation>
    <dataValidation type="list" allowBlank="1" showInputMessage="1" showErrorMessage="1" error="Please use the dropdown." sqref="W367" xr:uid="{00000000-0002-0000-0D00-000010000000}">
      <formula1>INDIRECT($U$367)</formula1>
    </dataValidation>
    <dataValidation type="list" allowBlank="1" showInputMessage="1" showErrorMessage="1" error="Please use the dropdown." sqref="W368" xr:uid="{00000000-0002-0000-0D00-000011000000}">
      <formula1>INDIRECT($U$368)</formula1>
    </dataValidation>
    <dataValidation type="list" allowBlank="1" showInputMessage="1" showErrorMessage="1" error="Please use the dropdown." sqref="W369" xr:uid="{00000000-0002-0000-0D00-000012000000}">
      <formula1>INDIRECT($U$369)</formula1>
    </dataValidation>
    <dataValidation type="list" allowBlank="1" showInputMessage="1" showErrorMessage="1" error="Please use the dropdown." sqref="W373" xr:uid="{00000000-0002-0000-0D00-000013000000}">
      <formula1>INDIRECT($U$373)</formula1>
    </dataValidation>
    <dataValidation type="list" allowBlank="1" showInputMessage="1" showErrorMessage="1" error="Please use the dropdown." sqref="W375" xr:uid="{00000000-0002-0000-0D00-000014000000}">
      <formula1>INDIRECT($U$375)</formula1>
    </dataValidation>
    <dataValidation type="list" allowBlank="1" showInputMessage="1" showErrorMessage="1" error="Please use the dropdown." sqref="W436" xr:uid="{00000000-0002-0000-0D00-000015000000}">
      <formula1>INDIRECT($U$436)</formula1>
    </dataValidation>
    <dataValidation type="list" allowBlank="1" showInputMessage="1" showErrorMessage="1" error="Please use the dropdown." sqref="W503" xr:uid="{00000000-0002-0000-0D00-000016000000}">
      <formula1>INDIRECT($U$503)</formula1>
    </dataValidation>
    <dataValidation type="list" allowBlank="1" showInputMessage="1" showErrorMessage="1" error="Please use the dropdown." sqref="W513" xr:uid="{00000000-0002-0000-0D00-000017000000}">
      <formula1>INDIRECT($U$513)</formula1>
    </dataValidation>
    <dataValidation type="list" allowBlank="1" showInputMessage="1" showErrorMessage="1" error="Please use the dropdown." sqref="W642" xr:uid="{00000000-0002-0000-0D00-000018000000}">
      <formula1>INDIRECT($U$642)</formula1>
    </dataValidation>
    <dataValidation type="list" allowBlank="1" showInputMessage="1" showErrorMessage="1" error="Please use the dropdown." sqref="W643" xr:uid="{00000000-0002-0000-0D00-000019000000}">
      <formula1>INDIRECT($U$643)</formula1>
    </dataValidation>
    <dataValidation type="list" allowBlank="1" showInputMessage="1" showErrorMessage="1" error="Please use the dropdown." sqref="W644" xr:uid="{00000000-0002-0000-0D00-00001A000000}">
      <formula1>INDIRECT($U$644)</formula1>
    </dataValidation>
    <dataValidation type="list" allowBlank="1" showInputMessage="1" showErrorMessage="1" error="Please use the dropdown." sqref="W645" xr:uid="{00000000-0002-0000-0D00-00001B000000}">
      <formula1>INDIRECT($U$645)</formula1>
    </dataValidation>
    <dataValidation type="list" allowBlank="1" showInputMessage="1" showErrorMessage="1" error="Please use the dropdown." sqref="W646" xr:uid="{00000000-0002-0000-0D00-00001C000000}">
      <formula1>INDIRECT($U$646)</formula1>
    </dataValidation>
    <dataValidation type="list" allowBlank="1" showInputMessage="1" showErrorMessage="1" error="Please use the dropdown." sqref="W647" xr:uid="{00000000-0002-0000-0D00-00001D000000}">
      <formula1>INDIRECT($U$647)</formula1>
    </dataValidation>
    <dataValidation type="list" allowBlank="1" showInputMessage="1" showErrorMessage="1" error="Please use the dropdown." sqref="W648" xr:uid="{00000000-0002-0000-0D00-00001E000000}">
      <formula1>INDIRECT($U$648)</formula1>
    </dataValidation>
    <dataValidation type="list" allowBlank="1" showInputMessage="1" showErrorMessage="1" error="Please use the dropdown." sqref="W649" xr:uid="{00000000-0002-0000-0D00-00001F000000}">
      <formula1>INDIRECT($U$649)</formula1>
    </dataValidation>
    <dataValidation type="list" allowBlank="1" showInputMessage="1" showErrorMessage="1" error="Please use the dropdown." sqref="W673" xr:uid="{00000000-0002-0000-0D00-000020000000}">
      <formula1>INDIRECT($U$673)</formula1>
    </dataValidation>
    <dataValidation type="list" allowBlank="1" showInputMessage="1" showErrorMessage="1" error="Please use the dropdown." sqref="W674" xr:uid="{00000000-0002-0000-0D00-000021000000}">
      <formula1>INDIRECT($U$674)</formula1>
    </dataValidation>
    <dataValidation type="list" allowBlank="1" showInputMessage="1" showErrorMessage="1" error="Please use the dropdown." sqref="W676" xr:uid="{00000000-0002-0000-0D00-000022000000}">
      <formula1>INDIRECT($U$676)</formula1>
    </dataValidation>
    <dataValidation type="list" allowBlank="1" showInputMessage="1" showErrorMessage="1" error="Please use the dropdown." sqref="W677" xr:uid="{00000000-0002-0000-0D00-000023000000}">
      <formula1>INDIRECT($U$677)</formula1>
    </dataValidation>
    <dataValidation type="list" allowBlank="1" showInputMessage="1" showErrorMessage="1" error="Please use the dropdown." sqref="W679" xr:uid="{00000000-0002-0000-0D00-000024000000}">
      <formula1>INDIRECT($U$679)</formula1>
    </dataValidation>
    <dataValidation type="list" allowBlank="1" showInputMessage="1" showErrorMessage="1" error="Please use the dropdown." sqref="W702" xr:uid="{00000000-0002-0000-0D00-000025000000}">
      <formula1>INDIRECT($U$702)</formula1>
    </dataValidation>
    <dataValidation type="list" allowBlank="1" showInputMessage="1" showErrorMessage="1" error="Please use the dropdown." sqref="W714" xr:uid="{00000000-0002-0000-0D00-000026000000}">
      <formula1>INDIRECT($U$714)</formula1>
    </dataValidation>
    <dataValidation type="list" allowBlank="1" showInputMessage="1" showErrorMessage="1" error="Please use the dropdown." sqref="W716" xr:uid="{00000000-0002-0000-0D00-000027000000}">
      <formula1>INDIRECT($U$716)</formula1>
    </dataValidation>
    <dataValidation type="list" allowBlank="1" showInputMessage="1" showErrorMessage="1" error="Please use the dropdown." sqref="W757" xr:uid="{00000000-0002-0000-0D00-000028000000}">
      <formula1>INDIRECT($U$757)</formula1>
    </dataValidation>
    <dataValidation type="list" allowBlank="1" showInputMessage="1" showErrorMessage="1" error="Please use the dropdown." sqref="W764" xr:uid="{00000000-0002-0000-0D00-000029000000}">
      <formula1>INDIRECT($U$764)</formula1>
    </dataValidation>
    <dataValidation type="list" allowBlank="1" showInputMessage="1" showErrorMessage="1" error="Please use the dropdown." sqref="W770" xr:uid="{00000000-0002-0000-0D00-00002A000000}">
      <formula1>INDIRECT($U$770)</formula1>
    </dataValidation>
    <dataValidation type="list" allowBlank="1" showInputMessage="1" showErrorMessage="1" error="Please use the dropdown." sqref="W776" xr:uid="{00000000-0002-0000-0D00-00002B000000}">
      <formula1>INDIRECT($U$776)</formula1>
    </dataValidation>
    <dataValidation type="list" allowBlank="1" showInputMessage="1" showErrorMessage="1" error="Please use the dropdown." sqref="W782" xr:uid="{00000000-0002-0000-0D00-00002C000000}">
      <formula1>INDIRECT($U$782)</formula1>
    </dataValidation>
    <dataValidation type="list" allowBlank="1" showInputMessage="1" showErrorMessage="1" error="Please use the dropdown." sqref="W788" xr:uid="{00000000-0002-0000-0D00-00002D000000}">
      <formula1>INDIRECT($U$788)</formula1>
    </dataValidation>
    <dataValidation type="list" allowBlank="1" showInputMessage="1" showErrorMessage="1" error="Please use the dropdown." sqref="W817" xr:uid="{00000000-0002-0000-0D00-00002E000000}">
      <formula1>INDIRECT($U$817)</formula1>
    </dataValidation>
    <dataValidation type="list" allowBlank="1" showInputMessage="1" showErrorMessage="1" error="Please use the dropdown." sqref="W422" xr:uid="{00000000-0002-0000-0D00-00002F000000}">
      <formula1>INDIRECT($U$422)</formula1>
    </dataValidation>
    <dataValidation type="list" allowBlank="1" showInputMessage="1" showErrorMessage="1" error="Please use the dropdown." sqref="W431" xr:uid="{00000000-0002-0000-0D00-000030000000}">
      <formula1>INDIRECT($U$431)</formula1>
    </dataValidation>
    <dataValidation type="list" allowBlank="1" showInputMessage="1" showErrorMessage="1" error="Please use the dropdown." sqref="W460" xr:uid="{00000000-0002-0000-0D00-000031000000}">
      <formula1>INDIRECT($U$460)</formula1>
    </dataValidation>
    <dataValidation type="list" allowBlank="1" showInputMessage="1" showErrorMessage="1" error="Please use the dropdown." sqref="W471" xr:uid="{00000000-0002-0000-0D00-000032000000}">
      <formula1>INDIRECT($U$471)</formula1>
    </dataValidation>
    <dataValidation type="list" allowBlank="1" showInputMessage="1" showErrorMessage="1" error="Please use the dropdown." sqref="W525" xr:uid="{00000000-0002-0000-0D00-000033000000}">
      <formula1>INDIRECT($U$525)</formula1>
    </dataValidation>
    <dataValidation type="list" allowBlank="1" showInputMessage="1" showErrorMessage="1" error="Please use the dropdown." sqref="W532" xr:uid="{00000000-0002-0000-0D00-000034000000}">
      <formula1>INDIRECT($U$532)</formula1>
    </dataValidation>
    <dataValidation type="list" allowBlank="1" showInputMessage="1" showErrorMessage="1" error="Please use the dropdown." sqref="W538" xr:uid="{00000000-0002-0000-0D00-000035000000}">
      <formula1>INDIRECT($U$538)</formula1>
    </dataValidation>
    <dataValidation type="list" allowBlank="1" showDropDown="1" showInputMessage="1" showErrorMessage="1" error="Use Checkbox" prompt="Use Checkbox" sqref="W839 W862 W856:W858 W854 W852 W848 W843 W749 W742 W733 W566 W688 W629:W637 W616 W614 W601 W584 W540:W542 W564 W2455 W555 W551:W552 W549 W42 W529 W511 W509 W498:W499 W495 W893 W467 W465 W463 W458 W453 W449 W445 W439 W437 W429 W420 W400 W2274:W2275 W406:W407 W2036 W2307:W2309 W383 W355:W358 W342:W347 W336 W333 W330 W1000 W2305 W250:W251 W246 W243 W235 W233 W220:W225 W218 W215 W211 W209 W206:W207 W204 W199 W196:W197 W189 W184 W182 W179 W175:W177 W171 W169 W167 W164 W162 W156:W157 W147 W2416:W2418 W142 W112 W102:W104 W99:W100 W96 W92 W90 W82:W83 W73 W2395:W2399 W66 W63:W64 W51 W34 W19 W17 W15 W2447 W2444 W2442 W2235:W2236 W2392:W2393 W2390 W2383 W2379 W2377 W2371 W2367:W2368 W2365 W2362:W2363 W2360 W2357 W2355 W2352 W2350 W2342:W2344 W2339:W2340 W2337 W2334 W2331 W2303 W2301 W2298:W2299 W2296 W2293:W2294 W2291 W2289 W2285 W1902 W2272 W2268:W2270 W2262:W2264 W2232 W2227 W2211 W2206 W2200:W2201 W2186 W2184 W2178 W2176 W2073 W2093 W2090 W2088 W2070 W2068 W2066 W2055 W2048 W2044 W2042 W2034 W2032 W2028:W2029 W2013 W2008:W2009 W2003 W1990 W1985 W1982:W1983 W1980 W1968 W1944 W1941 W1939 W1915 W1909 W1881 W1865 W1859 W2277:W2279 W908 W2430:W2436 W955 W952 W412 W912 W886 W902 W598 W905 W2420:W2425 W2149 W304 W302 W300 W298 W292:W293 W289 W286 W282 W269:W270 W266 W261 W149 W129 W127 W75 W47 W44 W693 W699 W828:W829 W831 W833 W835 W837 W998 W70:W71 W1588 W1584 W1575 W1573 W1568 W1563 W1558:W1560 W1552 W1538 W1535 W1533 W1531 W1517:W1524 W1501 W1498 W1493:W1496 W1486 W1484 W1482 W1472 W1470 W1461 W1459 W1453 W1431 W1429 W1420 W1418 W1415 W1409:W1410 W1404 W1401 W1383 W1350 W1348 W1346 W1344 W1339 W1337 W1335 W1331:W1333 W1329 W1321 W1293 W1288:W1290 W1285 W1283 W1281 W1258 W1256 W1254 W1194 W1191:W1192 W1188:W1189 W1183 W1176 W1166 W1163 W1119 W930 W1061 W1052 W2401 W68 W1593:W1594 W1768 W1765:W1766 W1763 W1761 W1757 W1755 W1749:W1751 W1745 W1740 W1738 W1731 W1658 W1653 W1853 W1851 W1848 W1839 W1831 W1811 W1788 W2018 W2172 W144 W2147 W2096 W2452 W2181 W2223 W2216 W2243 W2238" xr:uid="{00000000-0002-0000-0D00-000036000000}">
      <formula1>TorF</formula1>
    </dataValidation>
    <dataValidation type="decimal" allowBlank="1" showDropDown="1" showInputMessage="1" showErrorMessage="1" prompt="Enter the ACH50" sqref="W933 W1450" xr:uid="{00000000-0002-0000-0D00-000037000000}">
      <formula1>0</formula1>
      <formula2>50</formula2>
    </dataValidation>
    <dataValidation type="list" allowBlank="1" showInputMessage="1" showErrorMessage="1" error="Please use the dropdown." sqref="W896" xr:uid="{00000000-0002-0000-0D00-000038000000}">
      <formula1>INDIRECT($U$896)</formula1>
    </dataValidation>
    <dataValidation type="list" allowBlank="1" showInputMessage="1" showErrorMessage="1" error="Please use the dropdown." sqref="W991" xr:uid="{00000000-0002-0000-0D00-000039000000}">
      <formula1>INDIRECT($U$991)</formula1>
    </dataValidation>
    <dataValidation type="whole" allowBlank="1" showDropDown="1" showInputMessage="1" showErrorMessage="1" error="Enter a whole number" prompt="Enter number of humidistats" sqref="W2054" xr:uid="{00000000-0002-0000-0D00-00003A000000}">
      <formula1>0</formula1>
      <formula2>10</formula2>
    </dataValidation>
    <dataValidation type="whole" allowBlank="1" showDropDown="1" showInputMessage="1" showErrorMessage="1" error="Enter a whole number" prompt="Enter number of timers" sqref="W2052" xr:uid="{00000000-0002-0000-0D00-00003B000000}">
      <formula1>0</formula1>
      <formula2>10</formula2>
    </dataValidation>
    <dataValidation type="list" allowBlank="1" showInputMessage="1" showErrorMessage="1" error="Please use the dropdown." sqref="W1870" xr:uid="{00000000-0002-0000-0D00-00003C000000}">
      <formula1>INDIRECT($U$1870)</formula1>
    </dataValidation>
    <dataValidation type="list" allowBlank="1" showInputMessage="1" showErrorMessage="1" error="Please use the dropdown." sqref="W1873" xr:uid="{00000000-0002-0000-0D00-00003D000000}">
      <formula1>INDIRECT($U$1873)</formula1>
    </dataValidation>
    <dataValidation type="list" allowBlank="1" showInputMessage="1" showErrorMessage="1" error="Please use the dropdown." sqref="W1876" xr:uid="{00000000-0002-0000-0D00-00003E000000}">
      <formula1>INDIRECT($U$1876)</formula1>
    </dataValidation>
    <dataValidation type="list" allowBlank="1" showInputMessage="1" showErrorMessage="1" error="Please use the dropdown." sqref="W1884" xr:uid="{00000000-0002-0000-0D00-00003F000000}">
      <formula1>INDIRECT($U$1884)</formula1>
    </dataValidation>
    <dataValidation type="list" allowBlank="1" showInputMessage="1" showErrorMessage="1" error="Please use the dropdown." sqref="W1890" xr:uid="{00000000-0002-0000-0D00-000040000000}">
      <formula1>INDIRECT($U$1890)</formula1>
    </dataValidation>
    <dataValidation type="list" allowBlank="1" showInputMessage="1" showErrorMessage="1" error="Please use the dropdown." sqref="W1893" xr:uid="{00000000-0002-0000-0D00-000041000000}">
      <formula1>INDIRECT($U$1893)</formula1>
    </dataValidation>
    <dataValidation type="list" allowBlank="1" showInputMessage="1" showErrorMessage="1" error="Please use the dropdown." sqref="W1895" xr:uid="{00000000-0002-0000-0D00-000042000000}">
      <formula1>INDIRECT($U$1895)</formula1>
    </dataValidation>
    <dataValidation type="list" allowBlank="1" showInputMessage="1" showErrorMessage="1" error="Please use the dropdown." sqref="W1898" xr:uid="{00000000-0002-0000-0D00-000043000000}">
      <formula1>INDIRECT($U$1898)</formula1>
    </dataValidation>
    <dataValidation type="list" allowBlank="1" showInputMessage="1" showErrorMessage="1" error="Please use the dropdown." sqref="W1900" xr:uid="{00000000-0002-0000-0D00-000044000000}">
      <formula1>INDIRECT($U$1900)</formula1>
    </dataValidation>
    <dataValidation type="list" allowBlank="1" showInputMessage="1" showErrorMessage="1" error="Please use the dropdown." sqref="W1920" xr:uid="{00000000-0002-0000-0D00-000045000000}">
      <formula1>INDIRECT($U$1920)</formula1>
    </dataValidation>
    <dataValidation type="list" allowBlank="1" showInputMessage="1" showErrorMessage="1" error="Please use the dropdown." sqref="W1925" xr:uid="{00000000-0002-0000-0D00-000046000000}">
      <formula1>INDIRECT($U$1925)</formula1>
    </dataValidation>
    <dataValidation type="list" allowBlank="1" showInputMessage="1" showErrorMessage="1" error="Please use the dropdown." sqref="W1926" xr:uid="{00000000-0002-0000-0D00-000047000000}">
      <formula1>INDIRECT($U$1926)</formula1>
    </dataValidation>
    <dataValidation type="list" allowBlank="1" showInputMessage="1" showErrorMessage="1" error="Please use the dropdown." sqref="W1927" xr:uid="{00000000-0002-0000-0D00-000048000000}">
      <formula1>INDIRECT($U$1927)</formula1>
    </dataValidation>
    <dataValidation type="list" allowBlank="1" showInputMessage="1" showErrorMessage="1" error="Please use the dropdown." sqref="W1928" xr:uid="{00000000-0002-0000-0D00-000049000000}">
      <formula1>INDIRECT($U$1928)</formula1>
    </dataValidation>
    <dataValidation type="list" allowBlank="1" showInputMessage="1" showErrorMessage="1" error="Please use the dropdown." sqref="W2024" xr:uid="{00000000-0002-0000-0D00-00004A000000}">
      <formula1>INDIRECT($U$2024)</formula1>
    </dataValidation>
    <dataValidation type="list" allowBlank="1" showInputMessage="1" showErrorMessage="1" error="Please use the dropdown." sqref="W2046" xr:uid="{00000000-0002-0000-0D00-00004B000000}">
      <formula1>INDIRECT($U$2046)</formula1>
    </dataValidation>
    <dataValidation type="list" allowBlank="1" showInputMessage="1" showErrorMessage="1" error="Please use the dropdown." sqref="W2077" xr:uid="{00000000-0002-0000-0D00-00004C000000}">
      <formula1>INDIRECT($U$2077)</formula1>
    </dataValidation>
    <dataValidation type="list" allowBlank="1" showInputMessage="1" showErrorMessage="1" error="Please use the dropdown." sqref="W2190" xr:uid="{00000000-0002-0000-0D00-00004E000000}">
      <formula1>INDIRECT($U$2190)</formula1>
    </dataValidation>
    <dataValidation type="list" allowBlank="1" showInputMessage="1" showErrorMessage="1" error="Please use the dropdown." sqref="W2194" xr:uid="{00000000-0002-0000-0D00-00004F000000}">
      <formula1>INDIRECT($U$2194)</formula1>
    </dataValidation>
    <dataValidation type="list" allowBlank="1" showInputMessage="1" showErrorMessage="1" error="Please use the dropdown." sqref="W1905" xr:uid="{00000000-0002-0000-0D00-000050000000}">
      <formula1>INDIRECT($U$1905)</formula1>
    </dataValidation>
    <dataValidation type="list" allowBlank="1" showInputMessage="1" showErrorMessage="1" error="Please use the dropdown." sqref="W1907" xr:uid="{00000000-0002-0000-0D00-000051000000}">
      <formula1>INDIRECT($U$1907)</formula1>
    </dataValidation>
    <dataValidation type="whole" allowBlank="1" showDropDown="1" showInputMessage="1" showErrorMessage="1" error="Enter a whole number" prompt="Enter number of fans" sqref="W2061 W2063" xr:uid="{00000000-0002-0000-0D00-000052000000}">
      <formula1>0</formula1>
      <formula2>10</formula2>
    </dataValidation>
    <dataValidation type="decimal" allowBlank="1" showDropDown="1" showInputMessage="1" showErrorMessage="1" prompt="Enter the ELR50" sqref="W936 W1452" xr:uid="{00000000-0002-0000-0D00-000053000000}">
      <formula1>0</formula1>
      <formula2>1</formula2>
    </dataValidation>
    <dataValidation type="list" allowBlank="1" showInputMessage="1" showErrorMessage="1" error="Please use the dropdown." sqref="W396" xr:uid="{00000000-0002-0000-0D00-000054000000}">
      <formula1>INDIRECT($U$396)</formula1>
    </dataValidation>
    <dataValidation type="list" allowBlank="1" showInputMessage="1" showErrorMessage="1" error="Please use the dropdown." sqref="W409" xr:uid="{00000000-0002-0000-0D00-000055000000}">
      <formula1>INDIRECT($U$409)</formula1>
    </dataValidation>
    <dataValidation type="list" allowBlank="1" showInputMessage="1" showErrorMessage="1" error="Please use the dropdown." sqref="W483" xr:uid="{00000000-0002-0000-0D00-000056000000}">
      <formula1>INDIRECT($U$483)</formula1>
    </dataValidation>
    <dataValidation type="list" allowBlank="1" showInputMessage="1" showErrorMessage="1" error="Please use the dropdown." sqref="W1996" xr:uid="{00000000-0002-0000-0D00-000057000000}">
      <formula1>INDIRECT($U$1996)</formula1>
    </dataValidation>
    <dataValidation type="decimal" allowBlank="1" showDropDown="1" showInputMessage="1" showErrorMessage="1" error="Enter a number" prompt="Enter square feet" sqref="W264" xr:uid="{55C43F34-A8D9-4F25-9637-65F41C680829}">
      <formula1>0</formula1>
      <formula2>10000</formula2>
    </dataValidation>
    <dataValidation type="list" allowBlank="1" showInputMessage="1" showErrorMessage="1" error="Please use the dropdown." sqref="W29" xr:uid="{EE4CFF97-EA5D-409D-90D2-DF1222D0CE50}">
      <formula1>INDIRECT($U$29)</formula1>
    </dataValidation>
    <dataValidation type="list" allowBlank="1" showInputMessage="1" showErrorMessage="1" error="Please use the dropdown." sqref="W864" xr:uid="{DD0FDE41-7703-4CE2-BE3A-F29A3BCAC5DB}">
      <formula1>INDIRECT($U$864)</formula1>
    </dataValidation>
    <dataValidation type="list" allowBlank="1" showInputMessage="1" showErrorMessage="1" error="Please use the dropdown." sqref="W868" xr:uid="{56FE5898-503F-48A2-929C-D4AD30168600}">
      <formula1>INDIRECT($U$868)</formula1>
    </dataValidation>
    <dataValidation type="list" allowBlank="1" showInputMessage="1" showErrorMessage="1" error="Please use the dropdown." sqref="W916" xr:uid="{563EA866-662D-4266-B130-61C0B9286C7B}">
      <formula1>INDIRECT($U$916)</formula1>
    </dataValidation>
    <dataValidation type="list" allowBlank="1" showInputMessage="1" showErrorMessage="1" error="Please use the dropdown." sqref="W917" xr:uid="{10A66432-A8A7-4A25-97D0-9C968EDB2CFE}">
      <formula1>INDIRECT($U$917)</formula1>
    </dataValidation>
    <dataValidation type="list" allowBlank="1" showInputMessage="1" showErrorMessage="1" error="Please use the dropdown." sqref="W918" xr:uid="{5DCA756B-4A5D-457A-9334-76394D20BB10}">
      <formula1>INDIRECT($U$918)</formula1>
    </dataValidation>
    <dataValidation type="list" allowBlank="1" showInputMessage="1" showErrorMessage="1" error="Please use the dropdown." sqref="W919" xr:uid="{160E8271-33C9-43FC-8906-7849328E264F}">
      <formula1>INDIRECT($U$919)</formula1>
    </dataValidation>
    <dataValidation type="list" allowBlank="1" showInputMessage="1" showErrorMessage="1" error="Please use the dropdown." sqref="W920" xr:uid="{ACA56D2E-584B-4888-A9E5-C31CA6199BF2}">
      <formula1>INDIRECT($U$920)</formula1>
    </dataValidation>
    <dataValidation type="list" allowBlank="1" showInputMessage="1" showErrorMessage="1" error="Please use the dropdown." sqref="W921" xr:uid="{E4BC635C-CB02-49B4-A851-23D7824A1F1F}">
      <formula1>INDIRECT($U$921)</formula1>
    </dataValidation>
    <dataValidation type="list" allowBlank="1" showInputMessage="1" showErrorMessage="1" error="Please use the dropdown." sqref="W922" xr:uid="{7F66CE1B-49E8-4019-8692-34BE74BB7351}">
      <formula1>INDIRECT($U$922)</formula1>
    </dataValidation>
    <dataValidation type="list" allowBlank="1" showInputMessage="1" showErrorMessage="1" error="Please use the dropdown." sqref="W923" xr:uid="{F0ED2519-26C3-462D-BE73-263A10C9DEA2}">
      <formula1>INDIRECT($U$923)</formula1>
    </dataValidation>
    <dataValidation type="list" allowBlank="1" showInputMessage="1" showErrorMessage="1" error="Please use the dropdown." sqref="W924" xr:uid="{B08F6F6B-EB5C-43DB-ABA6-7B263D418BDF}">
      <formula1>INDIRECT($U$924)</formula1>
    </dataValidation>
    <dataValidation type="list" allowBlank="1" showInputMessage="1" showErrorMessage="1" error="Please use the dropdown." sqref="W925" xr:uid="{801F3201-7B1F-4289-84D2-07691AC723C2}">
      <formula1>INDIRECT($U$925)</formula1>
    </dataValidation>
    <dataValidation type="list" allowBlank="1" showInputMessage="1" showErrorMessage="1" error="Please use the dropdown." sqref="W926" xr:uid="{8E436DA7-1C0C-441B-B372-97B0040C8A13}">
      <formula1>INDIRECT($U$926)</formula1>
    </dataValidation>
    <dataValidation type="list" allowBlank="1" showInputMessage="1" showErrorMessage="1" error="Please use the dropdown." sqref="W927" xr:uid="{04515034-4ED6-4F8E-9057-1152E001843F}">
      <formula1>INDIRECT($U$927)</formula1>
    </dataValidation>
    <dataValidation type="list" allowBlank="1" showInputMessage="1" showErrorMessage="1" error="Please use the dropdown." sqref="W928" xr:uid="{F96557A4-DB28-4FAA-9FD7-7BDB40C5766D}">
      <formula1>INDIRECT($U$928)</formula1>
    </dataValidation>
    <dataValidation type="list" allowBlank="1" showInputMessage="1" showErrorMessage="1" error="Please use the dropdown." sqref="W1077" xr:uid="{88EFF75D-9FAF-4EA1-B874-2BF08E2743EB}">
      <formula1>INDIRECT($U$1077)</formula1>
    </dataValidation>
    <dataValidation type="list" allowBlank="1" showInputMessage="1" showErrorMessage="1" error="Please use the dropdown." sqref="W1086" xr:uid="{843F4CE0-E6D0-45E1-AB34-7BC818300BBE}">
      <formula1>INDIRECT($U$1086)</formula1>
    </dataValidation>
    <dataValidation type="list" allowBlank="1" showInputMessage="1" showErrorMessage="1" error="Please use the dropdown." sqref="W1096" xr:uid="{C947E2F8-2B04-4CBC-912F-A5D1C26DA86F}">
      <formula1>INDIRECT($U$1096)</formula1>
    </dataValidation>
    <dataValidation type="list" allowBlank="1" showInputMessage="1" showErrorMessage="1" error="Please use the dropdown." sqref="W1107" xr:uid="{C8867465-94F4-4736-96F0-35ADC378FB3D}">
      <formula1>INDIRECT($U$1107)</formula1>
    </dataValidation>
    <dataValidation type="list" allowBlank="1" showInputMessage="1" showErrorMessage="1" error="Please use the dropdown." sqref="W1113" xr:uid="{829BB8E0-BE43-4ACD-8C1F-C2FCBD18BD3C}">
      <formula1>INDIRECT($U$1113)</formula1>
    </dataValidation>
    <dataValidation type="list" allowBlank="1" showInputMessage="1" showErrorMessage="1" error="Please use the dropdown." sqref="W1195" xr:uid="{E6CE4B53-F7EB-4060-8321-297F22E9C1DB}">
      <formula1>INDIRECT($U$1195)</formula1>
    </dataValidation>
    <dataValidation type="list" allowBlank="1" showInputMessage="1" showErrorMessage="1" error="Please use the dropdown." sqref="W1206" xr:uid="{B86D2628-A05A-4715-B16F-0914CF45D532}">
      <formula1>INDIRECT($U$1206)</formula1>
    </dataValidation>
    <dataValidation type="list" allowBlank="1" showInputMessage="1" showErrorMessage="1" error="Please use the dropdown." sqref="W1260" xr:uid="{4B043846-C196-4C66-BA18-1F28FF4141E1}">
      <formula1>INDIRECT($U$1260)</formula1>
    </dataValidation>
    <dataValidation type="list" allowBlank="1" showInputMessage="1" showErrorMessage="1" error="Please use the dropdown." sqref="W1379" xr:uid="{9F6A04A8-B855-4AA7-BE3F-5011D7CD181E}">
      <formula1>INDIRECT($U$1379)</formula1>
    </dataValidation>
    <dataValidation type="list" allowBlank="1" showInputMessage="1" showErrorMessage="1" error="Please use the dropdown." sqref="W1387" xr:uid="{E17314A0-5A21-4D13-B2D6-EEC72C59379D}">
      <formula1>INDIRECT($U$1387)</formula1>
    </dataValidation>
    <dataValidation type="list" allowBlank="1" showInputMessage="1" showErrorMessage="1" error="Please use the dropdown." sqref="W1391" xr:uid="{CF54E435-0215-4CBD-8843-5B516306E4DE}">
      <formula1>INDIRECT($U$1391)</formula1>
    </dataValidation>
    <dataValidation type="list" allowBlank="1" showInputMessage="1" showErrorMessage="1" error="Please use the dropdown." sqref="W1396" xr:uid="{4E672FD5-3942-4F32-B290-A2A0117E0D46}">
      <formula1>INDIRECT($U$1396)</formula1>
    </dataValidation>
    <dataValidation type="list" allowBlank="1" showInputMessage="1" showErrorMessage="1" error="Please use the dropdown." sqref="W1464" xr:uid="{8AF7F0AD-9C3A-4948-A053-CC207DE02BF6}">
      <formula1>INDIRECT($U$1464)</formula1>
    </dataValidation>
    <dataValidation type="list" allowBlank="1" showInputMessage="1" showErrorMessage="1" error="Please use the dropdown." sqref="W1506" xr:uid="{C1CC677A-2B01-4594-9F92-80B790657C80}">
      <formula1>INDIRECT($U$1506)</formula1>
    </dataValidation>
    <dataValidation type="list" allowBlank="1" showInputMessage="1" showErrorMessage="1" error="Please use the dropdown." sqref="W1579" xr:uid="{C81E83D6-5B10-4590-88DD-58F882457230}">
      <formula1>INDIRECT($U$1579)</formula1>
    </dataValidation>
    <dataValidation type="decimal" allowBlank="1" showDropDown="1" showInputMessage="1" showErrorMessage="1" error="Enter a nuber of inches" prompt="Enter a number of inches" sqref="W1060" xr:uid="{C5A687F3-2380-4778-A806-806512559825}">
      <formula1>0</formula1>
      <formula2>36</formula2>
    </dataValidation>
    <dataValidation type="decimal" allowBlank="1" showDropDown="1" showInputMessage="1" showErrorMessage="1" prompt="Enter the AFUE" sqref="W1126 W1132 W1135 W1140" xr:uid="{28DB314E-AD0F-4F15-99C2-B3119B3E8DFF}">
      <formula1>0</formula1>
      <formula2>1</formula2>
    </dataValidation>
    <dataValidation type="decimal" allowBlank="1" showDropDown="1" showInputMessage="1" showErrorMessage="1" prompt="Enter the HSPF" sqref="W1146 W1151" xr:uid="{D2F63F4C-B660-4D94-9A8F-01195D77A092}">
      <formula1>0</formula1>
      <formula2>100</formula2>
    </dataValidation>
    <dataValidation type="decimal" allowBlank="1" showDropDown="1" showInputMessage="1" showErrorMessage="1" prompt="Enter the COP" sqref="W1153 W1165" xr:uid="{E41BFBAD-D372-4A2A-9735-09D7A4CB095E}">
      <formula1>0</formula1>
      <formula2>100</formula2>
    </dataValidation>
    <dataValidation type="decimal" allowBlank="1" showDropDown="1" showInputMessage="1" showErrorMessage="1" prompt="Enter the SEER" sqref="W1158" xr:uid="{BF4D3BD3-4A94-4C03-9DE2-810FA0D91C7F}">
      <formula1>0</formula1>
      <formula2>100</formula2>
    </dataValidation>
    <dataValidation type="decimal" allowBlank="1" showDropDown="1" showInputMessage="1" showErrorMessage="1" prompt="Enter the EER" sqref="W1170" xr:uid="{386C47A1-BEBE-4F97-8DF7-5375A0C945CC}">
      <formula1>0</formula1>
      <formula2>100</formula2>
    </dataValidation>
    <dataValidation type="whole" allowBlank="1" showDropDown="1" showInputMessage="1" showErrorMessage="1" prompt="Enter number of fans" sqref="W1178" xr:uid="{4DDB08E4-7FF5-41D8-8630-34F98DEBA72D}">
      <formula1>0</formula1>
      <formula2>100</formula2>
    </dataValidation>
    <dataValidation type="decimal" allowBlank="1" showDropDown="1" showInputMessage="1" showErrorMessage="1" error="Enter a Number" prompt="Enter cfm/100 sf" sqref="W1197 W1199" xr:uid="{B5D38AC3-0794-44BC-9454-1833598EEF3A}">
      <formula1>0</formula1>
      <formula2>4</formula2>
    </dataValidation>
    <dataValidation type="decimal" allowBlank="1" showDropDown="1" showInputMessage="1" showErrorMessage="1" error="Enter a number" prompt="Enter Energy Factor or Thermal Efficiency" sqref="W1208" xr:uid="{39C8AFF7-DE39-4561-93E6-FB18F028AF97}">
      <formula1>0</formula1>
      <formula2>3</formula2>
    </dataValidation>
    <dataValidation type="decimal" allowBlank="1" showDropDown="1" showInputMessage="1" showErrorMessage="1" error="Enter a number" prompt="Enter SEF" sqref="W1262" xr:uid="{7634D5B4-C7C4-4C08-BBBB-24DF3532F680}">
      <formula1>0</formula1>
      <formula2>5</formula2>
    </dataValidation>
    <dataValidation type="whole" allowBlank="1" showDropDown="1" showInputMessage="1" showErrorMessage="1" error="Enter a whole number" prompt="Enter number of recessed luminaires penetrating the thermal envelope" sqref="W1407" xr:uid="{8DB28F05-CA38-4FFC-8BD6-0BE5903BD45D}">
      <formula1>0</formula1>
      <formula2>100</formula2>
    </dataValidation>
    <dataValidation type="whole" allowBlank="1" showDropDown="1" showInputMessage="1" showErrorMessage="1" error="Enter a whole number" prompt="Enter number of kW" sqref="W1540" xr:uid="{371D0C49-89FE-4469-9792-C2A6E4FA9BEB}">
      <formula1>0</formula1>
      <formula2>1000</formula2>
    </dataValidation>
    <dataValidation type="whole" allowBlank="1" showDropDown="1" showInputMessage="1" showErrorMessage="1" error="Enter a whole number" prompt="Enter number of kWh" sqref="W1542" xr:uid="{C0A8F11A-8A4A-4E08-B4E7-2D2EC3F54AA9}">
      <formula1>0</formula1>
      <formula2>1000</formula2>
    </dataValidation>
    <dataValidation type="list" allowBlank="1" showInputMessage="1" showErrorMessage="1" error="Please use the dropdown." sqref="W1627" xr:uid="{B095A1D6-9CBB-488A-918E-167A1B742BE2}">
      <formula1>INDIRECT($U$1627)</formula1>
    </dataValidation>
    <dataValidation type="list" allowBlank="1" showInputMessage="1" showErrorMessage="1" error="Please use the dropdown." sqref="W1659" xr:uid="{D0AEEADA-2C72-46C4-9283-BBA2992DC6AB}">
      <formula1>INDIRECT($U$1659)</formula1>
    </dataValidation>
    <dataValidation type="list" allowBlank="1" showInputMessage="1" showErrorMessage="1" error="Please use the dropdown." sqref="W1681" xr:uid="{591D289D-149B-42C3-B02A-280886404FED}">
      <formula1>INDIRECT($U$1681)</formula1>
    </dataValidation>
    <dataValidation type="list" allowBlank="1" showInputMessage="1" showErrorMessage="1" error="Please use the dropdown." sqref="W1692" xr:uid="{DF725D65-92CB-423D-9CDE-CE2588A38E2D}">
      <formula1>INDIRECT($U$1692)</formula1>
    </dataValidation>
    <dataValidation type="list" allowBlank="1" showInputMessage="1" showErrorMessage="1" error="Please use the dropdown." sqref="W1697" xr:uid="{E30B3EC1-CE4D-44B1-9340-4868B320FED9}">
      <formula1>INDIRECT($U$1697)</formula1>
    </dataValidation>
    <dataValidation type="list" allowBlank="1" showInputMessage="1" showErrorMessage="1" error="Please use the dropdown." sqref="W1701" xr:uid="{42DAD458-BCF6-4308-8C5B-C95014500982}">
      <formula1>INDIRECT($U$1701)</formula1>
    </dataValidation>
    <dataValidation type="list" allowBlank="1" showInputMessage="1" showErrorMessage="1" error="Please use the dropdown." sqref="W1703" xr:uid="{D9DEE6B1-4C2E-4ABE-A282-4A766960A87F}">
      <formula1>INDIRECT($U$1703)</formula1>
    </dataValidation>
    <dataValidation type="list" allowBlank="1" showInputMessage="1" showErrorMessage="1" error="Please use the dropdown." sqref="W1713" xr:uid="{D06CEB76-C650-4B58-A33B-CADFADDDB982}">
      <formula1>INDIRECT($U$1713)</formula1>
    </dataValidation>
    <dataValidation type="list" allowBlank="1" showInputMessage="1" showErrorMessage="1" error="Please use the dropdown." sqref="W1718" xr:uid="{8BD9CAFB-1C84-4D49-A371-1ED2AACC416C}">
      <formula1>INDIRECT($U$1718)</formula1>
    </dataValidation>
    <dataValidation type="list" allowBlank="1" showInputMessage="1" showErrorMessage="1" error="Please use the dropdown." sqref="W1724" xr:uid="{C34213CC-4EC8-478B-B7FF-C205FCBF4452}">
      <formula1>INDIRECT($U$1724)</formula1>
    </dataValidation>
    <dataValidation type="list" allowBlank="1" showInputMessage="1" showErrorMessage="1" error="Please use the dropdown." sqref="W1734" xr:uid="{27FB86F4-913F-4853-918F-78176259F4A8}">
      <formula1>INDIRECT($U$1734)</formula1>
    </dataValidation>
    <dataValidation type="list" allowBlank="1" showInputMessage="1" showErrorMessage="1" error="Please use the dropdown." sqref="W1743" xr:uid="{3C985D2F-739B-4F19-B92A-B3945A1F15BD}">
      <formula1>INDIRECT($U$1743)</formula1>
    </dataValidation>
    <dataValidation type="list" allowBlank="1" showInputMessage="1" showErrorMessage="1" error="Please use the dropdown." sqref="W1772" xr:uid="{7F322768-DC5A-4309-B0B9-1962471E1C18}">
      <formula1>INDIRECT($U$1772)</formula1>
    </dataValidation>
    <dataValidation type="list" allowBlank="1" showInputMessage="1" showErrorMessage="1" error="Please use the dropdown." sqref="W1786" xr:uid="{9C259FFB-794E-4DA6-891C-C98A045EF835}">
      <formula1>INDIRECT($U$1786)</formula1>
    </dataValidation>
    <dataValidation type="list" allowBlank="1" showInputMessage="1" showErrorMessage="1" error="Please use the dropdown." sqref="W1814" xr:uid="{5F10EE34-66A6-4674-AA6A-5FB9AC59247D}">
      <formula1>INDIRECT($U$1814)</formula1>
    </dataValidation>
    <dataValidation type="list" allowBlank="1" showInputMessage="1" showErrorMessage="1" error="Please use the dropdown." sqref="W1822" xr:uid="{70888119-719A-4310-9C3F-1209EEEA7D05}">
      <formula1>INDIRECT($U$1822)</formula1>
    </dataValidation>
    <dataValidation type="list" allowBlank="1" showInputMessage="1" showErrorMessage="1" error="Please use the dropdown." sqref="W1837" xr:uid="{C7614970-CC52-4C36-AAFD-F56EE4BCBC32}">
      <formula1>INDIRECT($U$1837)</formula1>
    </dataValidation>
    <dataValidation type="list" allowBlank="1" showInputMessage="1" showErrorMessage="1" error="Please use the dropdown." sqref="W1843" xr:uid="{54FCF0D0-5ED3-4238-998F-25659FDD3B3B}">
      <formula1>INDIRECT($U$1843)</formula1>
    </dataValidation>
    <dataValidation type="whole" allowBlank="1" showDropDown="1" showInputMessage="1" showErrorMessage="1" error="Enter a whole number" prompt="Enter number of systems" sqref="W1841" xr:uid="{9CD14B4C-013F-4BCC-8EF7-87AD6840E2FD}">
      <formula1>0</formula1>
      <formula2>5</formula2>
    </dataValidation>
    <dataValidation type="whole" allowBlank="1" showDropDown="1" showInputMessage="1" showErrorMessage="1" error="Enter a whole number" prompt="Enter number of meters" sqref="W1667 W1665" xr:uid="{414832C2-45FE-4A93-A97D-5087BFFB97E6}">
      <formula1>0</formula1>
      <formula2>100</formula2>
    </dataValidation>
    <dataValidation type="list" allowBlank="1" showInputMessage="1" showErrorMessage="1" error="Please use the dropdown." sqref="W2098" xr:uid="{F2C514A1-EF87-4F1A-BCB8-0F9A274EAE83}">
      <formula1>INDIRECT($U$2098)</formula1>
    </dataValidation>
    <dataValidation type="list" allowBlank="1" showInputMessage="1" showErrorMessage="1" error="Please use the dropdown." sqref="W2247" xr:uid="{D7DB5180-7FAB-409A-89FF-47CC57F218D1}">
      <formula1>INDIRECT($U$2247)</formula1>
    </dataValidation>
    <dataValidation type="list" allowBlank="1" showInputMessage="1" showErrorMessage="1" error="Please use the dropdown." sqref="W981" xr:uid="{663D166C-2F3F-4435-A2BC-D6910B7B9165}">
      <formula1>INDIRECT($U$981)</formula1>
    </dataValidation>
    <dataValidation type="list" allowBlank="1" showInputMessage="1" showErrorMessage="1" error="Please use the dropdown." sqref="W1003" xr:uid="{3C7C8472-8704-4394-8575-2531DFE39D96}">
      <formula1>INDIRECT($U$1003)</formula1>
    </dataValidation>
    <dataValidation type="list" allowBlank="1" showInputMessage="1" showErrorMessage="1" error="Please use the dropdown." sqref="W1007" xr:uid="{8BC33C70-ECDC-4166-A133-45B3598E6728}">
      <formula1>INDIRECT($U$1007)</formula1>
    </dataValidation>
    <dataValidation type="whole" allowBlank="1" showDropDown="1" showInputMessage="1" showErrorMessage="1" error="Enter a whole number" prompt="Enter number of meters" sqref="W1674 W1676" xr:uid="{758F5B2E-DE90-44FF-B327-AA275675AD83}">
      <formula1>0</formula1>
      <formula2>700</formula2>
    </dataValidation>
    <dataValidation type="list" allowBlank="1" showInputMessage="1" showErrorMessage="1" error="Please use the dropdown." sqref="W559" xr:uid="{1F3E3138-CF86-45DF-9317-DDEAA847F3FB}">
      <formula1>INDIRECT($U$559)</formula1>
    </dataValidation>
    <dataValidation type="list" allowBlank="1" showInputMessage="1" showErrorMessage="1" error="Please use the dropdown." sqref="W1070" xr:uid="{40EFEE82-FAE3-454D-A022-D82623DA9D12}">
      <formula1>INDIRECT($U$1070)</formula1>
    </dataValidation>
    <dataValidation type="list" allowBlank="1" showInputMessage="1" showErrorMessage="1" error="Please use the dropdown." sqref="W1034" xr:uid="{39F4DF82-243D-4905-967A-FB91C0A57C6A}">
      <formula1>INDIRECT($U$1034)</formula1>
    </dataValidation>
    <dataValidation type="list" allowBlank="1" showInputMessage="1" showErrorMessage="1" error="Please use the dropdown." sqref="W1046" xr:uid="{37430142-A949-4D54-A76E-39A68C80FEF7}">
      <formula1>INDIRECT($U$1046)</formula1>
    </dataValidation>
    <dataValidation type="list" allowBlank="1" showInputMessage="1" showErrorMessage="1" error="Please use the dropdown." sqref="W1049" xr:uid="{E35CB2BC-6C13-468B-97CA-161046D412FE}">
      <formula1>INDIRECT($U$1049)</formula1>
    </dataValidation>
    <dataValidation type="list" allowBlank="1" showInputMessage="1" showErrorMessage="1" error="Please use the dropdown." sqref="W1828" xr:uid="{CECB3562-8395-4A0B-8F8E-A1E6A3E41BF3}">
      <formula1>INDIRECT($U$1828)</formula1>
    </dataValidation>
  </dataValidations>
  <hyperlinks>
    <hyperlink ref="L444" location="'Figure 6(3)'!A1" display="See Figure 6(3)" xr:uid="{00000000-0004-0000-0D00-000000000000}"/>
    <hyperlink ref="L436" location="'Figure 6(3)'!A1" display="See Figure 6(3)" xr:uid="{00000000-0004-0000-0D00-000001000000}"/>
    <hyperlink ref="L531" location="'Table 602.1.12'!A1" display="See Table 602.1.12" xr:uid="{00000000-0004-0000-0D00-000002000000}"/>
    <hyperlink ref="L591" location="'Table 604.1'!A1" display="See Table 604.1" xr:uid="{00000000-0004-0000-0D00-000003000000}"/>
    <hyperlink ref="L954" location="'Table 701.4.3.2(2)'!A1" display="See Table 701.4.3.2(2)" xr:uid="{00000000-0004-0000-0D00-000006000000}"/>
    <hyperlink ref="L1984" location="'Table 901.9.1'!A1" display="See Table 901.9.1" xr:uid="{00000000-0004-0000-0D00-000007000000}"/>
    <hyperlink ref="L1989" location="'Table 901.9.2'!A1" display="See Table 901.9.2" xr:uid="{00000000-0004-0000-0D00-000008000000}"/>
    <hyperlink ref="L2012" location="'Table 901.10(3)'!A1" display="See Table 901.10(3)" xr:uid="{00000000-0004-0000-0D00-000009000000}"/>
    <hyperlink ref="M755:M768" location="'Table 11.610.1.2.1'!A1" display="'Table 11.610.1.2.1'!A1" xr:uid="{A5B793A1-E0E1-4A74-9F88-52570BB9B436}"/>
    <hyperlink ref="M769:M792" location="'Table 11.610.1.2.2'!A1" display="'Table 11.610.1.2.2'!A1" xr:uid="{17E4FF76-E7B8-454D-93B7-3826D4A63752}"/>
    <hyperlink ref="M1052:M1057" location="'Table 11.703.2.1(b)'!A1" display="Per Table 11.703.2.1(b)" xr:uid="{45A6A950-2B96-4577-8C98-D67E23DF5A69}"/>
    <hyperlink ref="M1059:M1060" location="'Table 11.703.2.2'!A1" display="Per Table 11.703.2.2" xr:uid="{5A89A7CD-3AF8-4C86-ADD7-3D478C49AA26}"/>
    <hyperlink ref="M1065:M1067" location="'Table 11.703.2.4'!A1" display="Per Table 11.703.2.4" xr:uid="{FCC4C266-1167-40D2-9DB2-827A5375DA08}"/>
    <hyperlink ref="M1086:M1090" location="'Table 11.703.2.5.2(a),(b)&amp;(c)'!A1" display="'Table 11.703.2.5.2(a),(b)&amp;(c)'!A1" xr:uid="{438DC724-B6F3-4D78-B22F-5F3B41BC049E}"/>
    <hyperlink ref="L1058" location="'Table 11.703.2.1(a)'!A1" display="See Table 11.703.2.1(a)" xr:uid="{1003B6DC-04B0-4ACD-B45C-486322F1DD56}"/>
    <hyperlink ref="L1014" location="'Table 305.2.5.1'!A1" display="See Table Table 305.2.5.1" xr:uid="{48DF85B4-5412-4F41-89AA-E297F40BB766}"/>
    <hyperlink ref="L1608" location="'Table 305.2.6.1'!A1" display="See Table Table 305.2.6.1" xr:uid="{2D554694-DCFC-4F73-AF84-2B3F7CFBA287}"/>
    <hyperlink ref="L1085" location="'Table 11.703.2.5.1'!A1" display="See Table 11.703.2.5.1" xr:uid="{FED4D414-D8E4-4FF4-9BAB-594A753FF8AF}"/>
    <hyperlink ref="L1006" location="'Table 11.703.2.5.1'!A1" display="See Table 11.703.2.5.1" xr:uid="{06DC6D6E-97E5-4785-882E-F59CA3492686}"/>
  </hyperlinks>
  <pageMargins left="0.7" right="0.7" top="0.75" bottom="0.75" header="0.3" footer="0.3"/>
  <pageSetup scale="60" fitToHeight="8" orientation="portrait" r:id="rId1"/>
  <rowBreaks count="24" manualBreakCount="24">
    <brk id="79" min="8" max="22" man="1"/>
    <brk id="131" min="8" max="22" man="1"/>
    <brk id="192" max="16383" man="1"/>
    <brk id="233" max="16383" man="1"/>
    <brk id="314" max="16383" man="1"/>
    <brk id="365" max="16383" man="1"/>
    <brk id="397" max="16383" man="1"/>
    <brk id="478" max="16383" man="1"/>
    <brk id="551" max="16383" man="1"/>
    <brk id="574" max="16383" man="1"/>
    <brk id="645" max="16383" man="1"/>
    <brk id="730" max="16383" man="1"/>
    <brk id="822" max="16383" man="1"/>
    <brk id="917" max="16383" man="1"/>
    <brk id="991" max="16383" man="1"/>
    <brk id="1862" max="16383" man="1"/>
    <brk id="1923" max="16383" man="1"/>
    <brk id="1981" max="16383" man="1"/>
    <brk id="2044" max="16383" man="1"/>
    <brk id="2194" max="16383" man="1"/>
    <brk id="2262" max="16383" man="1"/>
    <brk id="2327" max="16383" man="1"/>
    <brk id="2379" max="16383" man="1"/>
    <brk id="2443" max="16383" man="1"/>
  </rowBreaks>
  <drawing r:id="rId2"/>
  <legacyDrawing r:id="rId3"/>
  <mc:AlternateContent xmlns:mc="http://schemas.openxmlformats.org/markup-compatibility/2006">
    <mc:Choice Requires="x14">
      <controls>
        <mc:AlternateContent xmlns:mc="http://schemas.openxmlformats.org/markup-compatibility/2006">
          <mc:Choice Requires="x14">
            <control shapeId="15564" r:id="rId4" name="Check Box 204">
              <controlPr locked="0" defaultSize="0" autoFill="0" autoLine="0" autoPict="0">
                <anchor moveWithCells="1" sizeWithCells="1">
                  <from>
                    <xdr:col>22</xdr:col>
                    <xdr:colOff>0</xdr:colOff>
                    <xdr:row>14</xdr:row>
                    <xdr:rowOff>0</xdr:rowOff>
                  </from>
                  <to>
                    <xdr:col>22</xdr:col>
                    <xdr:colOff>177800</xdr:colOff>
                    <xdr:row>14</xdr:row>
                    <xdr:rowOff>177800</xdr:rowOff>
                  </to>
                </anchor>
              </controlPr>
            </control>
          </mc:Choice>
        </mc:AlternateContent>
        <mc:AlternateContent xmlns:mc="http://schemas.openxmlformats.org/markup-compatibility/2006">
          <mc:Choice Requires="x14">
            <control shapeId="15565" r:id="rId5" name="Check Box 205">
              <controlPr locked="0" defaultSize="0" autoFill="0" autoLine="0" autoPict="0">
                <anchor moveWithCells="1" sizeWithCells="1">
                  <from>
                    <xdr:col>22</xdr:col>
                    <xdr:colOff>0</xdr:colOff>
                    <xdr:row>16</xdr:row>
                    <xdr:rowOff>0</xdr:rowOff>
                  </from>
                  <to>
                    <xdr:col>22</xdr:col>
                    <xdr:colOff>177800</xdr:colOff>
                    <xdr:row>16</xdr:row>
                    <xdr:rowOff>177800</xdr:rowOff>
                  </to>
                </anchor>
              </controlPr>
            </control>
          </mc:Choice>
        </mc:AlternateContent>
        <mc:AlternateContent xmlns:mc="http://schemas.openxmlformats.org/markup-compatibility/2006">
          <mc:Choice Requires="x14">
            <control shapeId="15567" r:id="rId6" name="Check Box 207">
              <controlPr locked="0" defaultSize="0" autoFill="0" autoLine="0" autoPict="0">
                <anchor moveWithCells="1" sizeWithCells="1">
                  <from>
                    <xdr:col>22</xdr:col>
                    <xdr:colOff>0</xdr:colOff>
                    <xdr:row>18</xdr:row>
                    <xdr:rowOff>0</xdr:rowOff>
                  </from>
                  <to>
                    <xdr:col>22</xdr:col>
                    <xdr:colOff>177800</xdr:colOff>
                    <xdr:row>18</xdr:row>
                    <xdr:rowOff>177800</xdr:rowOff>
                  </to>
                </anchor>
              </controlPr>
            </control>
          </mc:Choice>
        </mc:AlternateContent>
        <mc:AlternateContent xmlns:mc="http://schemas.openxmlformats.org/markup-compatibility/2006">
          <mc:Choice Requires="x14">
            <control shapeId="15568" r:id="rId7" name="Check Box 208">
              <controlPr locked="0" defaultSize="0" autoFill="0" autoLine="0" autoPict="0">
                <anchor moveWithCells="1" sizeWithCells="1">
                  <from>
                    <xdr:col>22</xdr:col>
                    <xdr:colOff>0</xdr:colOff>
                    <xdr:row>33</xdr:row>
                    <xdr:rowOff>0</xdr:rowOff>
                  </from>
                  <to>
                    <xdr:col>22</xdr:col>
                    <xdr:colOff>177800</xdr:colOff>
                    <xdr:row>33</xdr:row>
                    <xdr:rowOff>177800</xdr:rowOff>
                  </to>
                </anchor>
              </controlPr>
            </control>
          </mc:Choice>
        </mc:AlternateContent>
        <mc:AlternateContent xmlns:mc="http://schemas.openxmlformats.org/markup-compatibility/2006">
          <mc:Choice Requires="x14">
            <control shapeId="15569" r:id="rId8" name="Check Box 209">
              <controlPr locked="0" defaultSize="0" autoFill="0" autoLine="0" autoPict="0">
                <anchor moveWithCells="1" sizeWithCells="1">
                  <from>
                    <xdr:col>22</xdr:col>
                    <xdr:colOff>0</xdr:colOff>
                    <xdr:row>50</xdr:row>
                    <xdr:rowOff>0</xdr:rowOff>
                  </from>
                  <to>
                    <xdr:col>22</xdr:col>
                    <xdr:colOff>177800</xdr:colOff>
                    <xdr:row>50</xdr:row>
                    <xdr:rowOff>177800</xdr:rowOff>
                  </to>
                </anchor>
              </controlPr>
            </control>
          </mc:Choice>
        </mc:AlternateContent>
        <mc:AlternateContent xmlns:mc="http://schemas.openxmlformats.org/markup-compatibility/2006">
          <mc:Choice Requires="x14">
            <control shapeId="15570" r:id="rId9" name="Check Box 210">
              <controlPr locked="0" defaultSize="0" autoFill="0" autoLine="0" autoPict="0">
                <anchor moveWithCells="1" sizeWithCells="1">
                  <from>
                    <xdr:col>22</xdr:col>
                    <xdr:colOff>0</xdr:colOff>
                    <xdr:row>62</xdr:row>
                    <xdr:rowOff>0</xdr:rowOff>
                  </from>
                  <to>
                    <xdr:col>22</xdr:col>
                    <xdr:colOff>177800</xdr:colOff>
                    <xdr:row>62</xdr:row>
                    <xdr:rowOff>177800</xdr:rowOff>
                  </to>
                </anchor>
              </controlPr>
            </control>
          </mc:Choice>
        </mc:AlternateContent>
        <mc:AlternateContent xmlns:mc="http://schemas.openxmlformats.org/markup-compatibility/2006">
          <mc:Choice Requires="x14">
            <control shapeId="15571" r:id="rId10" name="Check Box 211">
              <controlPr locked="0" defaultSize="0" autoFill="0" autoLine="0" autoPict="0">
                <anchor moveWithCells="1" sizeWithCells="1">
                  <from>
                    <xdr:col>22</xdr:col>
                    <xdr:colOff>0</xdr:colOff>
                    <xdr:row>63</xdr:row>
                    <xdr:rowOff>0</xdr:rowOff>
                  </from>
                  <to>
                    <xdr:col>22</xdr:col>
                    <xdr:colOff>177800</xdr:colOff>
                    <xdr:row>63</xdr:row>
                    <xdr:rowOff>177800</xdr:rowOff>
                  </to>
                </anchor>
              </controlPr>
            </control>
          </mc:Choice>
        </mc:AlternateContent>
        <mc:AlternateContent xmlns:mc="http://schemas.openxmlformats.org/markup-compatibility/2006">
          <mc:Choice Requires="x14">
            <control shapeId="15572" r:id="rId11" name="Check Box 212">
              <controlPr locked="0" defaultSize="0" autoFill="0" autoLine="0" autoPict="0">
                <anchor moveWithCells="1" sizeWithCells="1">
                  <from>
                    <xdr:col>22</xdr:col>
                    <xdr:colOff>0</xdr:colOff>
                    <xdr:row>65</xdr:row>
                    <xdr:rowOff>0</xdr:rowOff>
                  </from>
                  <to>
                    <xdr:col>22</xdr:col>
                    <xdr:colOff>177800</xdr:colOff>
                    <xdr:row>65</xdr:row>
                    <xdr:rowOff>177800</xdr:rowOff>
                  </to>
                </anchor>
              </controlPr>
            </control>
          </mc:Choice>
        </mc:AlternateContent>
        <mc:AlternateContent xmlns:mc="http://schemas.openxmlformats.org/markup-compatibility/2006">
          <mc:Choice Requires="x14">
            <control shapeId="15573" r:id="rId12" name="Check Box 213">
              <controlPr locked="0" defaultSize="0" autoFill="0" autoLine="0" autoPict="0">
                <anchor moveWithCells="1" sizeWithCells="1">
                  <from>
                    <xdr:col>22</xdr:col>
                    <xdr:colOff>0</xdr:colOff>
                    <xdr:row>67</xdr:row>
                    <xdr:rowOff>0</xdr:rowOff>
                  </from>
                  <to>
                    <xdr:col>22</xdr:col>
                    <xdr:colOff>177800</xdr:colOff>
                    <xdr:row>67</xdr:row>
                    <xdr:rowOff>177800</xdr:rowOff>
                  </to>
                </anchor>
              </controlPr>
            </control>
          </mc:Choice>
        </mc:AlternateContent>
        <mc:AlternateContent xmlns:mc="http://schemas.openxmlformats.org/markup-compatibility/2006">
          <mc:Choice Requires="x14">
            <control shapeId="15574" r:id="rId13" name="Check Box 214">
              <controlPr locked="0" defaultSize="0" autoFill="0" autoLine="0" autoPict="0">
                <anchor moveWithCells="1" sizeWithCells="1">
                  <from>
                    <xdr:col>22</xdr:col>
                    <xdr:colOff>0</xdr:colOff>
                    <xdr:row>69</xdr:row>
                    <xdr:rowOff>0</xdr:rowOff>
                  </from>
                  <to>
                    <xdr:col>22</xdr:col>
                    <xdr:colOff>177800</xdr:colOff>
                    <xdr:row>69</xdr:row>
                    <xdr:rowOff>177800</xdr:rowOff>
                  </to>
                </anchor>
              </controlPr>
            </control>
          </mc:Choice>
        </mc:AlternateContent>
        <mc:AlternateContent xmlns:mc="http://schemas.openxmlformats.org/markup-compatibility/2006">
          <mc:Choice Requires="x14">
            <control shapeId="15575" r:id="rId14" name="Check Box 215">
              <controlPr locked="0" defaultSize="0" autoFill="0" autoLine="0" autoPict="0">
                <anchor moveWithCells="1" sizeWithCells="1">
                  <from>
                    <xdr:col>22</xdr:col>
                    <xdr:colOff>0</xdr:colOff>
                    <xdr:row>70</xdr:row>
                    <xdr:rowOff>0</xdr:rowOff>
                  </from>
                  <to>
                    <xdr:col>22</xdr:col>
                    <xdr:colOff>177800</xdr:colOff>
                    <xdr:row>70</xdr:row>
                    <xdr:rowOff>177800</xdr:rowOff>
                  </to>
                </anchor>
              </controlPr>
            </control>
          </mc:Choice>
        </mc:AlternateContent>
        <mc:AlternateContent xmlns:mc="http://schemas.openxmlformats.org/markup-compatibility/2006">
          <mc:Choice Requires="x14">
            <control shapeId="15576" r:id="rId15" name="Check Box 216">
              <controlPr locked="0" defaultSize="0" autoFill="0" autoLine="0" autoPict="0">
                <anchor moveWithCells="1" sizeWithCells="1">
                  <from>
                    <xdr:col>22</xdr:col>
                    <xdr:colOff>0</xdr:colOff>
                    <xdr:row>72</xdr:row>
                    <xdr:rowOff>0</xdr:rowOff>
                  </from>
                  <to>
                    <xdr:col>22</xdr:col>
                    <xdr:colOff>177800</xdr:colOff>
                    <xdr:row>72</xdr:row>
                    <xdr:rowOff>177800</xdr:rowOff>
                  </to>
                </anchor>
              </controlPr>
            </control>
          </mc:Choice>
        </mc:AlternateContent>
        <mc:AlternateContent xmlns:mc="http://schemas.openxmlformats.org/markup-compatibility/2006">
          <mc:Choice Requires="x14">
            <control shapeId="15577" r:id="rId16" name="Check Box 217">
              <controlPr locked="0" defaultSize="0" autoFill="0" autoLine="0" autoPict="0">
                <anchor moveWithCells="1" sizeWithCells="1">
                  <from>
                    <xdr:col>22</xdr:col>
                    <xdr:colOff>0</xdr:colOff>
                    <xdr:row>81</xdr:row>
                    <xdr:rowOff>0</xdr:rowOff>
                  </from>
                  <to>
                    <xdr:col>22</xdr:col>
                    <xdr:colOff>177800</xdr:colOff>
                    <xdr:row>81</xdr:row>
                    <xdr:rowOff>177800</xdr:rowOff>
                  </to>
                </anchor>
              </controlPr>
            </control>
          </mc:Choice>
        </mc:AlternateContent>
        <mc:AlternateContent xmlns:mc="http://schemas.openxmlformats.org/markup-compatibility/2006">
          <mc:Choice Requires="x14">
            <control shapeId="15578" r:id="rId17" name="Check Box 218">
              <controlPr locked="0" defaultSize="0" autoFill="0" autoLine="0" autoPict="0">
                <anchor moveWithCells="1" sizeWithCells="1">
                  <from>
                    <xdr:col>22</xdr:col>
                    <xdr:colOff>0</xdr:colOff>
                    <xdr:row>82</xdr:row>
                    <xdr:rowOff>0</xdr:rowOff>
                  </from>
                  <to>
                    <xdr:col>22</xdr:col>
                    <xdr:colOff>177800</xdr:colOff>
                    <xdr:row>82</xdr:row>
                    <xdr:rowOff>177800</xdr:rowOff>
                  </to>
                </anchor>
              </controlPr>
            </control>
          </mc:Choice>
        </mc:AlternateContent>
        <mc:AlternateContent xmlns:mc="http://schemas.openxmlformats.org/markup-compatibility/2006">
          <mc:Choice Requires="x14">
            <control shapeId="15579" r:id="rId18" name="Check Box 219">
              <controlPr locked="0" defaultSize="0" autoFill="0" autoLine="0" autoPict="0">
                <anchor moveWithCells="1" sizeWithCells="1">
                  <from>
                    <xdr:col>22</xdr:col>
                    <xdr:colOff>0</xdr:colOff>
                    <xdr:row>89</xdr:row>
                    <xdr:rowOff>0</xdr:rowOff>
                  </from>
                  <to>
                    <xdr:col>22</xdr:col>
                    <xdr:colOff>177800</xdr:colOff>
                    <xdr:row>89</xdr:row>
                    <xdr:rowOff>177800</xdr:rowOff>
                  </to>
                </anchor>
              </controlPr>
            </control>
          </mc:Choice>
        </mc:AlternateContent>
        <mc:AlternateContent xmlns:mc="http://schemas.openxmlformats.org/markup-compatibility/2006">
          <mc:Choice Requires="x14">
            <control shapeId="15580" r:id="rId19" name="Check Box 220">
              <controlPr locked="0" defaultSize="0" autoFill="0" autoLine="0" autoPict="0">
                <anchor moveWithCells="1" sizeWithCells="1">
                  <from>
                    <xdr:col>22</xdr:col>
                    <xdr:colOff>0</xdr:colOff>
                    <xdr:row>91</xdr:row>
                    <xdr:rowOff>0</xdr:rowOff>
                  </from>
                  <to>
                    <xdr:col>22</xdr:col>
                    <xdr:colOff>177800</xdr:colOff>
                    <xdr:row>91</xdr:row>
                    <xdr:rowOff>177800</xdr:rowOff>
                  </to>
                </anchor>
              </controlPr>
            </control>
          </mc:Choice>
        </mc:AlternateContent>
        <mc:AlternateContent xmlns:mc="http://schemas.openxmlformats.org/markup-compatibility/2006">
          <mc:Choice Requires="x14">
            <control shapeId="15581" r:id="rId20" name="Check Box 221">
              <controlPr locked="0" defaultSize="0" autoFill="0" autoLine="0" autoPict="0">
                <anchor moveWithCells="1" sizeWithCells="1">
                  <from>
                    <xdr:col>22</xdr:col>
                    <xdr:colOff>0</xdr:colOff>
                    <xdr:row>95</xdr:row>
                    <xdr:rowOff>0</xdr:rowOff>
                  </from>
                  <to>
                    <xdr:col>22</xdr:col>
                    <xdr:colOff>177800</xdr:colOff>
                    <xdr:row>95</xdr:row>
                    <xdr:rowOff>177800</xdr:rowOff>
                  </to>
                </anchor>
              </controlPr>
            </control>
          </mc:Choice>
        </mc:AlternateContent>
        <mc:AlternateContent xmlns:mc="http://schemas.openxmlformats.org/markup-compatibility/2006">
          <mc:Choice Requires="x14">
            <control shapeId="15582" r:id="rId21" name="Check Box 222">
              <controlPr locked="0" defaultSize="0" autoFill="0" autoLine="0" autoPict="0">
                <anchor moveWithCells="1" sizeWithCells="1">
                  <from>
                    <xdr:col>22</xdr:col>
                    <xdr:colOff>0</xdr:colOff>
                    <xdr:row>98</xdr:row>
                    <xdr:rowOff>0</xdr:rowOff>
                  </from>
                  <to>
                    <xdr:col>22</xdr:col>
                    <xdr:colOff>177800</xdr:colOff>
                    <xdr:row>98</xdr:row>
                    <xdr:rowOff>177800</xdr:rowOff>
                  </to>
                </anchor>
              </controlPr>
            </control>
          </mc:Choice>
        </mc:AlternateContent>
        <mc:AlternateContent xmlns:mc="http://schemas.openxmlformats.org/markup-compatibility/2006">
          <mc:Choice Requires="x14">
            <control shapeId="15583" r:id="rId22" name="Check Box 223">
              <controlPr locked="0" defaultSize="0" autoFill="0" autoLine="0" autoPict="0">
                <anchor moveWithCells="1" sizeWithCells="1">
                  <from>
                    <xdr:col>22</xdr:col>
                    <xdr:colOff>0</xdr:colOff>
                    <xdr:row>99</xdr:row>
                    <xdr:rowOff>0</xdr:rowOff>
                  </from>
                  <to>
                    <xdr:col>22</xdr:col>
                    <xdr:colOff>177800</xdr:colOff>
                    <xdr:row>99</xdr:row>
                    <xdr:rowOff>177800</xdr:rowOff>
                  </to>
                </anchor>
              </controlPr>
            </control>
          </mc:Choice>
        </mc:AlternateContent>
        <mc:AlternateContent xmlns:mc="http://schemas.openxmlformats.org/markup-compatibility/2006">
          <mc:Choice Requires="x14">
            <control shapeId="15584" r:id="rId23" name="Check Box 224">
              <controlPr locked="0" defaultSize="0" autoFill="0" autoLine="0" autoPict="0">
                <anchor moveWithCells="1" sizeWithCells="1">
                  <from>
                    <xdr:col>22</xdr:col>
                    <xdr:colOff>0</xdr:colOff>
                    <xdr:row>101</xdr:row>
                    <xdr:rowOff>0</xdr:rowOff>
                  </from>
                  <to>
                    <xdr:col>22</xdr:col>
                    <xdr:colOff>177800</xdr:colOff>
                    <xdr:row>101</xdr:row>
                    <xdr:rowOff>177800</xdr:rowOff>
                  </to>
                </anchor>
              </controlPr>
            </control>
          </mc:Choice>
        </mc:AlternateContent>
        <mc:AlternateContent xmlns:mc="http://schemas.openxmlformats.org/markup-compatibility/2006">
          <mc:Choice Requires="x14">
            <control shapeId="15585" r:id="rId24" name="Check Box 225">
              <controlPr locked="0" defaultSize="0" autoFill="0" autoLine="0" autoPict="0">
                <anchor moveWithCells="1" sizeWithCells="1">
                  <from>
                    <xdr:col>22</xdr:col>
                    <xdr:colOff>0</xdr:colOff>
                    <xdr:row>102</xdr:row>
                    <xdr:rowOff>0</xdr:rowOff>
                  </from>
                  <to>
                    <xdr:col>22</xdr:col>
                    <xdr:colOff>177800</xdr:colOff>
                    <xdr:row>102</xdr:row>
                    <xdr:rowOff>177800</xdr:rowOff>
                  </to>
                </anchor>
              </controlPr>
            </control>
          </mc:Choice>
        </mc:AlternateContent>
        <mc:AlternateContent xmlns:mc="http://schemas.openxmlformats.org/markup-compatibility/2006">
          <mc:Choice Requires="x14">
            <control shapeId="15586" r:id="rId25" name="Check Box 226">
              <controlPr locked="0" defaultSize="0" autoFill="0" autoLine="0" autoPict="0">
                <anchor moveWithCells="1" sizeWithCells="1">
                  <from>
                    <xdr:col>22</xdr:col>
                    <xdr:colOff>0</xdr:colOff>
                    <xdr:row>103</xdr:row>
                    <xdr:rowOff>0</xdr:rowOff>
                  </from>
                  <to>
                    <xdr:col>22</xdr:col>
                    <xdr:colOff>177800</xdr:colOff>
                    <xdr:row>103</xdr:row>
                    <xdr:rowOff>177800</xdr:rowOff>
                  </to>
                </anchor>
              </controlPr>
            </control>
          </mc:Choice>
        </mc:AlternateContent>
        <mc:AlternateContent xmlns:mc="http://schemas.openxmlformats.org/markup-compatibility/2006">
          <mc:Choice Requires="x14">
            <control shapeId="15587" r:id="rId26" name="Check Box 227">
              <controlPr locked="0" defaultSize="0" autoFill="0" autoLine="0" autoPict="0">
                <anchor moveWithCells="1" sizeWithCells="1">
                  <from>
                    <xdr:col>22</xdr:col>
                    <xdr:colOff>0</xdr:colOff>
                    <xdr:row>111</xdr:row>
                    <xdr:rowOff>0</xdr:rowOff>
                  </from>
                  <to>
                    <xdr:col>22</xdr:col>
                    <xdr:colOff>177800</xdr:colOff>
                    <xdr:row>111</xdr:row>
                    <xdr:rowOff>177800</xdr:rowOff>
                  </to>
                </anchor>
              </controlPr>
            </control>
          </mc:Choice>
        </mc:AlternateContent>
        <mc:AlternateContent xmlns:mc="http://schemas.openxmlformats.org/markup-compatibility/2006">
          <mc:Choice Requires="x14">
            <control shapeId="15589" r:id="rId27" name="Check Box 229">
              <controlPr locked="0" defaultSize="0" autoFill="0" autoLine="0" autoPict="0">
                <anchor moveWithCells="1" sizeWithCells="1">
                  <from>
                    <xdr:col>22</xdr:col>
                    <xdr:colOff>0</xdr:colOff>
                    <xdr:row>141</xdr:row>
                    <xdr:rowOff>0</xdr:rowOff>
                  </from>
                  <to>
                    <xdr:col>22</xdr:col>
                    <xdr:colOff>177800</xdr:colOff>
                    <xdr:row>141</xdr:row>
                    <xdr:rowOff>177800</xdr:rowOff>
                  </to>
                </anchor>
              </controlPr>
            </control>
          </mc:Choice>
        </mc:AlternateContent>
        <mc:AlternateContent xmlns:mc="http://schemas.openxmlformats.org/markup-compatibility/2006">
          <mc:Choice Requires="x14">
            <control shapeId="15590" r:id="rId28" name="Check Box 230">
              <controlPr locked="0" defaultSize="0" autoFill="0" autoLine="0" autoPict="0">
                <anchor moveWithCells="1" sizeWithCells="1">
                  <from>
                    <xdr:col>22</xdr:col>
                    <xdr:colOff>0</xdr:colOff>
                    <xdr:row>143</xdr:row>
                    <xdr:rowOff>0</xdr:rowOff>
                  </from>
                  <to>
                    <xdr:col>22</xdr:col>
                    <xdr:colOff>177800</xdr:colOff>
                    <xdr:row>143</xdr:row>
                    <xdr:rowOff>177800</xdr:rowOff>
                  </to>
                </anchor>
              </controlPr>
            </control>
          </mc:Choice>
        </mc:AlternateContent>
        <mc:AlternateContent xmlns:mc="http://schemas.openxmlformats.org/markup-compatibility/2006">
          <mc:Choice Requires="x14">
            <control shapeId="15591" r:id="rId29" name="Check Box 231">
              <controlPr locked="0" defaultSize="0" autoFill="0" autoLine="0" autoPict="0">
                <anchor moveWithCells="1" sizeWithCells="1">
                  <from>
                    <xdr:col>22</xdr:col>
                    <xdr:colOff>0</xdr:colOff>
                    <xdr:row>146</xdr:row>
                    <xdr:rowOff>0</xdr:rowOff>
                  </from>
                  <to>
                    <xdr:col>22</xdr:col>
                    <xdr:colOff>177800</xdr:colOff>
                    <xdr:row>146</xdr:row>
                    <xdr:rowOff>177800</xdr:rowOff>
                  </to>
                </anchor>
              </controlPr>
            </control>
          </mc:Choice>
        </mc:AlternateContent>
        <mc:AlternateContent xmlns:mc="http://schemas.openxmlformats.org/markup-compatibility/2006">
          <mc:Choice Requires="x14">
            <control shapeId="15592" r:id="rId30" name="Check Box 232">
              <controlPr locked="0" defaultSize="0" autoFill="0" autoLine="0" autoPict="0">
                <anchor moveWithCells="1" sizeWithCells="1">
                  <from>
                    <xdr:col>22</xdr:col>
                    <xdr:colOff>0</xdr:colOff>
                    <xdr:row>155</xdr:row>
                    <xdr:rowOff>0</xdr:rowOff>
                  </from>
                  <to>
                    <xdr:col>22</xdr:col>
                    <xdr:colOff>177800</xdr:colOff>
                    <xdr:row>155</xdr:row>
                    <xdr:rowOff>177800</xdr:rowOff>
                  </to>
                </anchor>
              </controlPr>
            </control>
          </mc:Choice>
        </mc:AlternateContent>
        <mc:AlternateContent xmlns:mc="http://schemas.openxmlformats.org/markup-compatibility/2006">
          <mc:Choice Requires="x14">
            <control shapeId="15593" r:id="rId31" name="Check Box 233">
              <controlPr locked="0" defaultSize="0" autoFill="0" autoLine="0" autoPict="0">
                <anchor moveWithCells="1" sizeWithCells="1">
                  <from>
                    <xdr:col>22</xdr:col>
                    <xdr:colOff>0</xdr:colOff>
                    <xdr:row>156</xdr:row>
                    <xdr:rowOff>0</xdr:rowOff>
                  </from>
                  <to>
                    <xdr:col>22</xdr:col>
                    <xdr:colOff>177800</xdr:colOff>
                    <xdr:row>156</xdr:row>
                    <xdr:rowOff>177800</xdr:rowOff>
                  </to>
                </anchor>
              </controlPr>
            </control>
          </mc:Choice>
        </mc:AlternateContent>
        <mc:AlternateContent xmlns:mc="http://schemas.openxmlformats.org/markup-compatibility/2006">
          <mc:Choice Requires="x14">
            <control shapeId="15594" r:id="rId32" name="Check Box 234">
              <controlPr locked="0" defaultSize="0" autoFill="0" autoLine="0" autoPict="0">
                <anchor moveWithCells="1" sizeWithCells="1">
                  <from>
                    <xdr:col>22</xdr:col>
                    <xdr:colOff>0</xdr:colOff>
                    <xdr:row>161</xdr:row>
                    <xdr:rowOff>0</xdr:rowOff>
                  </from>
                  <to>
                    <xdr:col>22</xdr:col>
                    <xdr:colOff>177800</xdr:colOff>
                    <xdr:row>161</xdr:row>
                    <xdr:rowOff>177800</xdr:rowOff>
                  </to>
                </anchor>
              </controlPr>
            </control>
          </mc:Choice>
        </mc:AlternateContent>
        <mc:AlternateContent xmlns:mc="http://schemas.openxmlformats.org/markup-compatibility/2006">
          <mc:Choice Requires="x14">
            <control shapeId="15595" r:id="rId33" name="Check Box 235">
              <controlPr locked="0" defaultSize="0" autoFill="0" autoLine="0" autoPict="0">
                <anchor moveWithCells="1" sizeWithCells="1">
                  <from>
                    <xdr:col>22</xdr:col>
                    <xdr:colOff>0</xdr:colOff>
                    <xdr:row>163</xdr:row>
                    <xdr:rowOff>0</xdr:rowOff>
                  </from>
                  <to>
                    <xdr:col>22</xdr:col>
                    <xdr:colOff>177800</xdr:colOff>
                    <xdr:row>163</xdr:row>
                    <xdr:rowOff>177800</xdr:rowOff>
                  </to>
                </anchor>
              </controlPr>
            </control>
          </mc:Choice>
        </mc:AlternateContent>
        <mc:AlternateContent xmlns:mc="http://schemas.openxmlformats.org/markup-compatibility/2006">
          <mc:Choice Requires="x14">
            <control shapeId="15596" r:id="rId34" name="Check Box 236">
              <controlPr locked="0" defaultSize="0" autoFill="0" autoLine="0" autoPict="0">
                <anchor moveWithCells="1" sizeWithCells="1">
                  <from>
                    <xdr:col>22</xdr:col>
                    <xdr:colOff>0</xdr:colOff>
                    <xdr:row>166</xdr:row>
                    <xdr:rowOff>0</xdr:rowOff>
                  </from>
                  <to>
                    <xdr:col>22</xdr:col>
                    <xdr:colOff>177800</xdr:colOff>
                    <xdr:row>166</xdr:row>
                    <xdr:rowOff>177800</xdr:rowOff>
                  </to>
                </anchor>
              </controlPr>
            </control>
          </mc:Choice>
        </mc:AlternateContent>
        <mc:AlternateContent xmlns:mc="http://schemas.openxmlformats.org/markup-compatibility/2006">
          <mc:Choice Requires="x14">
            <control shapeId="15597" r:id="rId35" name="Check Box 237">
              <controlPr locked="0" defaultSize="0" autoFill="0" autoLine="0" autoPict="0">
                <anchor moveWithCells="1" sizeWithCells="1">
                  <from>
                    <xdr:col>22</xdr:col>
                    <xdr:colOff>0</xdr:colOff>
                    <xdr:row>168</xdr:row>
                    <xdr:rowOff>0</xdr:rowOff>
                  </from>
                  <to>
                    <xdr:col>22</xdr:col>
                    <xdr:colOff>177800</xdr:colOff>
                    <xdr:row>168</xdr:row>
                    <xdr:rowOff>177800</xdr:rowOff>
                  </to>
                </anchor>
              </controlPr>
            </control>
          </mc:Choice>
        </mc:AlternateContent>
        <mc:AlternateContent xmlns:mc="http://schemas.openxmlformats.org/markup-compatibility/2006">
          <mc:Choice Requires="x14">
            <control shapeId="15598" r:id="rId36" name="Check Box 238">
              <controlPr locked="0" defaultSize="0" autoFill="0" autoLine="0" autoPict="0">
                <anchor moveWithCells="1" sizeWithCells="1">
                  <from>
                    <xdr:col>22</xdr:col>
                    <xdr:colOff>0</xdr:colOff>
                    <xdr:row>170</xdr:row>
                    <xdr:rowOff>0</xdr:rowOff>
                  </from>
                  <to>
                    <xdr:col>22</xdr:col>
                    <xdr:colOff>177800</xdr:colOff>
                    <xdr:row>170</xdr:row>
                    <xdr:rowOff>177800</xdr:rowOff>
                  </to>
                </anchor>
              </controlPr>
            </control>
          </mc:Choice>
        </mc:AlternateContent>
        <mc:AlternateContent xmlns:mc="http://schemas.openxmlformats.org/markup-compatibility/2006">
          <mc:Choice Requires="x14">
            <control shapeId="15599" r:id="rId37" name="Check Box 239">
              <controlPr locked="0" defaultSize="0" autoFill="0" autoLine="0" autoPict="0">
                <anchor moveWithCells="1" sizeWithCells="1">
                  <from>
                    <xdr:col>22</xdr:col>
                    <xdr:colOff>0</xdr:colOff>
                    <xdr:row>174</xdr:row>
                    <xdr:rowOff>0</xdr:rowOff>
                  </from>
                  <to>
                    <xdr:col>22</xdr:col>
                    <xdr:colOff>177800</xdr:colOff>
                    <xdr:row>174</xdr:row>
                    <xdr:rowOff>177800</xdr:rowOff>
                  </to>
                </anchor>
              </controlPr>
            </control>
          </mc:Choice>
        </mc:AlternateContent>
        <mc:AlternateContent xmlns:mc="http://schemas.openxmlformats.org/markup-compatibility/2006">
          <mc:Choice Requires="x14">
            <control shapeId="15600" r:id="rId38" name="Check Box 240">
              <controlPr locked="0" defaultSize="0" autoFill="0" autoLine="0" autoPict="0">
                <anchor moveWithCells="1" sizeWithCells="1">
                  <from>
                    <xdr:col>22</xdr:col>
                    <xdr:colOff>0</xdr:colOff>
                    <xdr:row>175</xdr:row>
                    <xdr:rowOff>0</xdr:rowOff>
                  </from>
                  <to>
                    <xdr:col>22</xdr:col>
                    <xdr:colOff>177800</xdr:colOff>
                    <xdr:row>175</xdr:row>
                    <xdr:rowOff>177800</xdr:rowOff>
                  </to>
                </anchor>
              </controlPr>
            </control>
          </mc:Choice>
        </mc:AlternateContent>
        <mc:AlternateContent xmlns:mc="http://schemas.openxmlformats.org/markup-compatibility/2006">
          <mc:Choice Requires="x14">
            <control shapeId="15601" r:id="rId39" name="Check Box 241">
              <controlPr locked="0" defaultSize="0" autoFill="0" autoLine="0" autoPict="0">
                <anchor moveWithCells="1" sizeWithCells="1">
                  <from>
                    <xdr:col>22</xdr:col>
                    <xdr:colOff>0</xdr:colOff>
                    <xdr:row>176</xdr:row>
                    <xdr:rowOff>0</xdr:rowOff>
                  </from>
                  <to>
                    <xdr:col>22</xdr:col>
                    <xdr:colOff>177800</xdr:colOff>
                    <xdr:row>176</xdr:row>
                    <xdr:rowOff>177800</xdr:rowOff>
                  </to>
                </anchor>
              </controlPr>
            </control>
          </mc:Choice>
        </mc:AlternateContent>
        <mc:AlternateContent xmlns:mc="http://schemas.openxmlformats.org/markup-compatibility/2006">
          <mc:Choice Requires="x14">
            <control shapeId="15602" r:id="rId40" name="Check Box 242">
              <controlPr locked="0" defaultSize="0" autoFill="0" autoLine="0" autoPict="0">
                <anchor moveWithCells="1" sizeWithCells="1">
                  <from>
                    <xdr:col>22</xdr:col>
                    <xdr:colOff>0</xdr:colOff>
                    <xdr:row>178</xdr:row>
                    <xdr:rowOff>0</xdr:rowOff>
                  </from>
                  <to>
                    <xdr:col>22</xdr:col>
                    <xdr:colOff>177800</xdr:colOff>
                    <xdr:row>178</xdr:row>
                    <xdr:rowOff>177800</xdr:rowOff>
                  </to>
                </anchor>
              </controlPr>
            </control>
          </mc:Choice>
        </mc:AlternateContent>
        <mc:AlternateContent xmlns:mc="http://schemas.openxmlformats.org/markup-compatibility/2006">
          <mc:Choice Requires="x14">
            <control shapeId="15603" r:id="rId41" name="Check Box 243">
              <controlPr locked="0" defaultSize="0" autoFill="0" autoLine="0" autoPict="0">
                <anchor moveWithCells="1" sizeWithCells="1">
                  <from>
                    <xdr:col>22</xdr:col>
                    <xdr:colOff>0</xdr:colOff>
                    <xdr:row>181</xdr:row>
                    <xdr:rowOff>0</xdr:rowOff>
                  </from>
                  <to>
                    <xdr:col>22</xdr:col>
                    <xdr:colOff>177800</xdr:colOff>
                    <xdr:row>181</xdr:row>
                    <xdr:rowOff>177800</xdr:rowOff>
                  </to>
                </anchor>
              </controlPr>
            </control>
          </mc:Choice>
        </mc:AlternateContent>
        <mc:AlternateContent xmlns:mc="http://schemas.openxmlformats.org/markup-compatibility/2006">
          <mc:Choice Requires="x14">
            <control shapeId="15604" r:id="rId42" name="Check Box 244">
              <controlPr locked="0" defaultSize="0" autoFill="0" autoLine="0" autoPict="0">
                <anchor moveWithCells="1" sizeWithCells="1">
                  <from>
                    <xdr:col>22</xdr:col>
                    <xdr:colOff>0</xdr:colOff>
                    <xdr:row>183</xdr:row>
                    <xdr:rowOff>0</xdr:rowOff>
                  </from>
                  <to>
                    <xdr:col>22</xdr:col>
                    <xdr:colOff>177800</xdr:colOff>
                    <xdr:row>183</xdr:row>
                    <xdr:rowOff>177800</xdr:rowOff>
                  </to>
                </anchor>
              </controlPr>
            </control>
          </mc:Choice>
        </mc:AlternateContent>
        <mc:AlternateContent xmlns:mc="http://schemas.openxmlformats.org/markup-compatibility/2006">
          <mc:Choice Requires="x14">
            <control shapeId="15605" r:id="rId43" name="Check Box 245">
              <controlPr locked="0" defaultSize="0" autoFill="0" autoLine="0" autoPict="0">
                <anchor moveWithCells="1" sizeWithCells="1">
                  <from>
                    <xdr:col>22</xdr:col>
                    <xdr:colOff>0</xdr:colOff>
                    <xdr:row>188</xdr:row>
                    <xdr:rowOff>0</xdr:rowOff>
                  </from>
                  <to>
                    <xdr:col>22</xdr:col>
                    <xdr:colOff>177800</xdr:colOff>
                    <xdr:row>188</xdr:row>
                    <xdr:rowOff>177800</xdr:rowOff>
                  </to>
                </anchor>
              </controlPr>
            </control>
          </mc:Choice>
        </mc:AlternateContent>
        <mc:AlternateContent xmlns:mc="http://schemas.openxmlformats.org/markup-compatibility/2006">
          <mc:Choice Requires="x14">
            <control shapeId="15606" r:id="rId44" name="Check Box 246">
              <controlPr locked="0" defaultSize="0" autoFill="0" autoLine="0" autoPict="0">
                <anchor moveWithCells="1" sizeWithCells="1">
                  <from>
                    <xdr:col>22</xdr:col>
                    <xdr:colOff>0</xdr:colOff>
                    <xdr:row>195</xdr:row>
                    <xdr:rowOff>0</xdr:rowOff>
                  </from>
                  <to>
                    <xdr:col>22</xdr:col>
                    <xdr:colOff>177800</xdr:colOff>
                    <xdr:row>195</xdr:row>
                    <xdr:rowOff>177800</xdr:rowOff>
                  </to>
                </anchor>
              </controlPr>
            </control>
          </mc:Choice>
        </mc:AlternateContent>
        <mc:AlternateContent xmlns:mc="http://schemas.openxmlformats.org/markup-compatibility/2006">
          <mc:Choice Requires="x14">
            <control shapeId="15607" r:id="rId45" name="Check Box 247">
              <controlPr locked="0" defaultSize="0" autoFill="0" autoLine="0" autoPict="0">
                <anchor moveWithCells="1" sizeWithCells="1">
                  <from>
                    <xdr:col>22</xdr:col>
                    <xdr:colOff>0</xdr:colOff>
                    <xdr:row>196</xdr:row>
                    <xdr:rowOff>0</xdr:rowOff>
                  </from>
                  <to>
                    <xdr:col>22</xdr:col>
                    <xdr:colOff>177800</xdr:colOff>
                    <xdr:row>196</xdr:row>
                    <xdr:rowOff>177800</xdr:rowOff>
                  </to>
                </anchor>
              </controlPr>
            </control>
          </mc:Choice>
        </mc:AlternateContent>
        <mc:AlternateContent xmlns:mc="http://schemas.openxmlformats.org/markup-compatibility/2006">
          <mc:Choice Requires="x14">
            <control shapeId="15608" r:id="rId46" name="Check Box 248">
              <controlPr locked="0" defaultSize="0" autoFill="0" autoLine="0" autoPict="0">
                <anchor moveWithCells="1" sizeWithCells="1">
                  <from>
                    <xdr:col>22</xdr:col>
                    <xdr:colOff>0</xdr:colOff>
                    <xdr:row>198</xdr:row>
                    <xdr:rowOff>0</xdr:rowOff>
                  </from>
                  <to>
                    <xdr:col>22</xdr:col>
                    <xdr:colOff>177800</xdr:colOff>
                    <xdr:row>198</xdr:row>
                    <xdr:rowOff>177800</xdr:rowOff>
                  </to>
                </anchor>
              </controlPr>
            </control>
          </mc:Choice>
        </mc:AlternateContent>
        <mc:AlternateContent xmlns:mc="http://schemas.openxmlformats.org/markup-compatibility/2006">
          <mc:Choice Requires="x14">
            <control shapeId="15609" r:id="rId47" name="Check Box 249">
              <controlPr locked="0" defaultSize="0" autoFill="0" autoLine="0" autoPict="0">
                <anchor moveWithCells="1" sizeWithCells="1">
                  <from>
                    <xdr:col>22</xdr:col>
                    <xdr:colOff>0</xdr:colOff>
                    <xdr:row>203</xdr:row>
                    <xdr:rowOff>0</xdr:rowOff>
                  </from>
                  <to>
                    <xdr:col>22</xdr:col>
                    <xdr:colOff>177800</xdr:colOff>
                    <xdr:row>203</xdr:row>
                    <xdr:rowOff>177800</xdr:rowOff>
                  </to>
                </anchor>
              </controlPr>
            </control>
          </mc:Choice>
        </mc:AlternateContent>
        <mc:AlternateContent xmlns:mc="http://schemas.openxmlformats.org/markup-compatibility/2006">
          <mc:Choice Requires="x14">
            <control shapeId="15610" r:id="rId48" name="Check Box 250">
              <controlPr locked="0" defaultSize="0" autoFill="0" autoLine="0" autoPict="0">
                <anchor moveWithCells="1" sizeWithCells="1">
                  <from>
                    <xdr:col>22</xdr:col>
                    <xdr:colOff>0</xdr:colOff>
                    <xdr:row>205</xdr:row>
                    <xdr:rowOff>0</xdr:rowOff>
                  </from>
                  <to>
                    <xdr:col>22</xdr:col>
                    <xdr:colOff>177800</xdr:colOff>
                    <xdr:row>205</xdr:row>
                    <xdr:rowOff>177800</xdr:rowOff>
                  </to>
                </anchor>
              </controlPr>
            </control>
          </mc:Choice>
        </mc:AlternateContent>
        <mc:AlternateContent xmlns:mc="http://schemas.openxmlformats.org/markup-compatibility/2006">
          <mc:Choice Requires="x14">
            <control shapeId="15611" r:id="rId49" name="Check Box 251">
              <controlPr locked="0" defaultSize="0" autoFill="0" autoLine="0" autoPict="0">
                <anchor moveWithCells="1" sizeWithCells="1">
                  <from>
                    <xdr:col>22</xdr:col>
                    <xdr:colOff>0</xdr:colOff>
                    <xdr:row>206</xdr:row>
                    <xdr:rowOff>0</xdr:rowOff>
                  </from>
                  <to>
                    <xdr:col>22</xdr:col>
                    <xdr:colOff>177800</xdr:colOff>
                    <xdr:row>206</xdr:row>
                    <xdr:rowOff>177800</xdr:rowOff>
                  </to>
                </anchor>
              </controlPr>
            </control>
          </mc:Choice>
        </mc:AlternateContent>
        <mc:AlternateContent xmlns:mc="http://schemas.openxmlformats.org/markup-compatibility/2006">
          <mc:Choice Requires="x14">
            <control shapeId="15612" r:id="rId50" name="Check Box 252">
              <controlPr locked="0" defaultSize="0" autoFill="0" autoLine="0" autoPict="0">
                <anchor moveWithCells="1" sizeWithCells="1">
                  <from>
                    <xdr:col>22</xdr:col>
                    <xdr:colOff>0</xdr:colOff>
                    <xdr:row>208</xdr:row>
                    <xdr:rowOff>0</xdr:rowOff>
                  </from>
                  <to>
                    <xdr:col>22</xdr:col>
                    <xdr:colOff>177800</xdr:colOff>
                    <xdr:row>208</xdr:row>
                    <xdr:rowOff>177800</xdr:rowOff>
                  </to>
                </anchor>
              </controlPr>
            </control>
          </mc:Choice>
        </mc:AlternateContent>
        <mc:AlternateContent xmlns:mc="http://schemas.openxmlformats.org/markup-compatibility/2006">
          <mc:Choice Requires="x14">
            <control shapeId="15613" r:id="rId51" name="Check Box 253">
              <controlPr locked="0" defaultSize="0" autoFill="0" autoLine="0" autoPict="0">
                <anchor moveWithCells="1" sizeWithCells="1">
                  <from>
                    <xdr:col>22</xdr:col>
                    <xdr:colOff>0</xdr:colOff>
                    <xdr:row>210</xdr:row>
                    <xdr:rowOff>0</xdr:rowOff>
                  </from>
                  <to>
                    <xdr:col>22</xdr:col>
                    <xdr:colOff>177800</xdr:colOff>
                    <xdr:row>210</xdr:row>
                    <xdr:rowOff>177800</xdr:rowOff>
                  </to>
                </anchor>
              </controlPr>
            </control>
          </mc:Choice>
        </mc:AlternateContent>
        <mc:AlternateContent xmlns:mc="http://schemas.openxmlformats.org/markup-compatibility/2006">
          <mc:Choice Requires="x14">
            <control shapeId="15614" r:id="rId52" name="Check Box 254">
              <controlPr locked="0" defaultSize="0" autoFill="0" autoLine="0" autoPict="0">
                <anchor moveWithCells="1" sizeWithCells="1">
                  <from>
                    <xdr:col>22</xdr:col>
                    <xdr:colOff>0</xdr:colOff>
                    <xdr:row>214</xdr:row>
                    <xdr:rowOff>0</xdr:rowOff>
                  </from>
                  <to>
                    <xdr:col>22</xdr:col>
                    <xdr:colOff>177800</xdr:colOff>
                    <xdr:row>214</xdr:row>
                    <xdr:rowOff>177800</xdr:rowOff>
                  </to>
                </anchor>
              </controlPr>
            </control>
          </mc:Choice>
        </mc:AlternateContent>
        <mc:AlternateContent xmlns:mc="http://schemas.openxmlformats.org/markup-compatibility/2006">
          <mc:Choice Requires="x14">
            <control shapeId="15615" r:id="rId53" name="Check Box 255">
              <controlPr locked="0" defaultSize="0" autoFill="0" autoLine="0" autoPict="0">
                <anchor moveWithCells="1" sizeWithCells="1">
                  <from>
                    <xdr:col>22</xdr:col>
                    <xdr:colOff>0</xdr:colOff>
                    <xdr:row>217</xdr:row>
                    <xdr:rowOff>0</xdr:rowOff>
                  </from>
                  <to>
                    <xdr:col>22</xdr:col>
                    <xdr:colOff>177800</xdr:colOff>
                    <xdr:row>217</xdr:row>
                    <xdr:rowOff>177800</xdr:rowOff>
                  </to>
                </anchor>
              </controlPr>
            </control>
          </mc:Choice>
        </mc:AlternateContent>
        <mc:AlternateContent xmlns:mc="http://schemas.openxmlformats.org/markup-compatibility/2006">
          <mc:Choice Requires="x14">
            <control shapeId="15616" r:id="rId54" name="Check Box 256">
              <controlPr locked="0" defaultSize="0" autoFill="0" autoLine="0" autoPict="0">
                <anchor moveWithCells="1" sizeWithCells="1">
                  <from>
                    <xdr:col>22</xdr:col>
                    <xdr:colOff>0</xdr:colOff>
                    <xdr:row>219</xdr:row>
                    <xdr:rowOff>0</xdr:rowOff>
                  </from>
                  <to>
                    <xdr:col>22</xdr:col>
                    <xdr:colOff>177800</xdr:colOff>
                    <xdr:row>219</xdr:row>
                    <xdr:rowOff>177800</xdr:rowOff>
                  </to>
                </anchor>
              </controlPr>
            </control>
          </mc:Choice>
        </mc:AlternateContent>
        <mc:AlternateContent xmlns:mc="http://schemas.openxmlformats.org/markup-compatibility/2006">
          <mc:Choice Requires="x14">
            <control shapeId="15617" r:id="rId55" name="Check Box 257">
              <controlPr locked="0" defaultSize="0" autoFill="0" autoLine="0" autoPict="0">
                <anchor moveWithCells="1" sizeWithCells="1">
                  <from>
                    <xdr:col>22</xdr:col>
                    <xdr:colOff>0</xdr:colOff>
                    <xdr:row>220</xdr:row>
                    <xdr:rowOff>0</xdr:rowOff>
                  </from>
                  <to>
                    <xdr:col>22</xdr:col>
                    <xdr:colOff>177800</xdr:colOff>
                    <xdr:row>220</xdr:row>
                    <xdr:rowOff>177800</xdr:rowOff>
                  </to>
                </anchor>
              </controlPr>
            </control>
          </mc:Choice>
        </mc:AlternateContent>
        <mc:AlternateContent xmlns:mc="http://schemas.openxmlformats.org/markup-compatibility/2006">
          <mc:Choice Requires="x14">
            <control shapeId="15618" r:id="rId56" name="Check Box 258">
              <controlPr locked="0" defaultSize="0" autoFill="0" autoLine="0" autoPict="0">
                <anchor moveWithCells="1" sizeWithCells="1">
                  <from>
                    <xdr:col>22</xdr:col>
                    <xdr:colOff>0</xdr:colOff>
                    <xdr:row>221</xdr:row>
                    <xdr:rowOff>0</xdr:rowOff>
                  </from>
                  <to>
                    <xdr:col>22</xdr:col>
                    <xdr:colOff>177800</xdr:colOff>
                    <xdr:row>221</xdr:row>
                    <xdr:rowOff>177800</xdr:rowOff>
                  </to>
                </anchor>
              </controlPr>
            </control>
          </mc:Choice>
        </mc:AlternateContent>
        <mc:AlternateContent xmlns:mc="http://schemas.openxmlformats.org/markup-compatibility/2006">
          <mc:Choice Requires="x14">
            <control shapeId="15619" r:id="rId57" name="Check Box 259">
              <controlPr locked="0" defaultSize="0" autoFill="0" autoLine="0" autoPict="0">
                <anchor moveWithCells="1" sizeWithCells="1">
                  <from>
                    <xdr:col>22</xdr:col>
                    <xdr:colOff>0</xdr:colOff>
                    <xdr:row>222</xdr:row>
                    <xdr:rowOff>0</xdr:rowOff>
                  </from>
                  <to>
                    <xdr:col>22</xdr:col>
                    <xdr:colOff>177800</xdr:colOff>
                    <xdr:row>222</xdr:row>
                    <xdr:rowOff>177800</xdr:rowOff>
                  </to>
                </anchor>
              </controlPr>
            </control>
          </mc:Choice>
        </mc:AlternateContent>
        <mc:AlternateContent xmlns:mc="http://schemas.openxmlformats.org/markup-compatibility/2006">
          <mc:Choice Requires="x14">
            <control shapeId="15620" r:id="rId58" name="Check Box 260">
              <controlPr locked="0" defaultSize="0" autoFill="0" autoLine="0" autoPict="0">
                <anchor moveWithCells="1" sizeWithCells="1">
                  <from>
                    <xdr:col>22</xdr:col>
                    <xdr:colOff>0</xdr:colOff>
                    <xdr:row>223</xdr:row>
                    <xdr:rowOff>0</xdr:rowOff>
                  </from>
                  <to>
                    <xdr:col>22</xdr:col>
                    <xdr:colOff>177800</xdr:colOff>
                    <xdr:row>223</xdr:row>
                    <xdr:rowOff>177800</xdr:rowOff>
                  </to>
                </anchor>
              </controlPr>
            </control>
          </mc:Choice>
        </mc:AlternateContent>
        <mc:AlternateContent xmlns:mc="http://schemas.openxmlformats.org/markup-compatibility/2006">
          <mc:Choice Requires="x14">
            <control shapeId="15621" r:id="rId59" name="Check Box 261">
              <controlPr locked="0" defaultSize="0" autoFill="0" autoLine="0" autoPict="0">
                <anchor moveWithCells="1" sizeWithCells="1">
                  <from>
                    <xdr:col>22</xdr:col>
                    <xdr:colOff>0</xdr:colOff>
                    <xdr:row>224</xdr:row>
                    <xdr:rowOff>0</xdr:rowOff>
                  </from>
                  <to>
                    <xdr:col>22</xdr:col>
                    <xdr:colOff>177800</xdr:colOff>
                    <xdr:row>224</xdr:row>
                    <xdr:rowOff>177800</xdr:rowOff>
                  </to>
                </anchor>
              </controlPr>
            </control>
          </mc:Choice>
        </mc:AlternateContent>
        <mc:AlternateContent xmlns:mc="http://schemas.openxmlformats.org/markup-compatibility/2006">
          <mc:Choice Requires="x14">
            <control shapeId="15623" r:id="rId60" name="Check Box 263">
              <controlPr locked="0" defaultSize="0" autoFill="0" autoLine="0" autoPict="0">
                <anchor moveWithCells="1" sizeWithCells="1">
                  <from>
                    <xdr:col>22</xdr:col>
                    <xdr:colOff>0</xdr:colOff>
                    <xdr:row>232</xdr:row>
                    <xdr:rowOff>0</xdr:rowOff>
                  </from>
                  <to>
                    <xdr:col>22</xdr:col>
                    <xdr:colOff>177800</xdr:colOff>
                    <xdr:row>232</xdr:row>
                    <xdr:rowOff>177800</xdr:rowOff>
                  </to>
                </anchor>
              </controlPr>
            </control>
          </mc:Choice>
        </mc:AlternateContent>
        <mc:AlternateContent xmlns:mc="http://schemas.openxmlformats.org/markup-compatibility/2006">
          <mc:Choice Requires="x14">
            <control shapeId="15624" r:id="rId61" name="Check Box 264">
              <controlPr locked="0" defaultSize="0" autoFill="0" autoLine="0" autoPict="0">
                <anchor moveWithCells="1" sizeWithCells="1">
                  <from>
                    <xdr:col>22</xdr:col>
                    <xdr:colOff>0</xdr:colOff>
                    <xdr:row>234</xdr:row>
                    <xdr:rowOff>0</xdr:rowOff>
                  </from>
                  <to>
                    <xdr:col>22</xdr:col>
                    <xdr:colOff>177800</xdr:colOff>
                    <xdr:row>234</xdr:row>
                    <xdr:rowOff>177800</xdr:rowOff>
                  </to>
                </anchor>
              </controlPr>
            </control>
          </mc:Choice>
        </mc:AlternateContent>
        <mc:AlternateContent xmlns:mc="http://schemas.openxmlformats.org/markup-compatibility/2006">
          <mc:Choice Requires="x14">
            <control shapeId="15625" r:id="rId62" name="Check Box 265">
              <controlPr locked="0" defaultSize="0" autoFill="0" autoLine="0" autoPict="0">
                <anchor moveWithCells="1" sizeWithCells="1">
                  <from>
                    <xdr:col>22</xdr:col>
                    <xdr:colOff>0</xdr:colOff>
                    <xdr:row>242</xdr:row>
                    <xdr:rowOff>0</xdr:rowOff>
                  </from>
                  <to>
                    <xdr:col>22</xdr:col>
                    <xdr:colOff>177800</xdr:colOff>
                    <xdr:row>242</xdr:row>
                    <xdr:rowOff>177800</xdr:rowOff>
                  </to>
                </anchor>
              </controlPr>
            </control>
          </mc:Choice>
        </mc:AlternateContent>
        <mc:AlternateContent xmlns:mc="http://schemas.openxmlformats.org/markup-compatibility/2006">
          <mc:Choice Requires="x14">
            <control shapeId="15626" r:id="rId63" name="Check Box 266">
              <controlPr locked="0" defaultSize="0" autoFill="0" autoLine="0" autoPict="0">
                <anchor moveWithCells="1" sizeWithCells="1">
                  <from>
                    <xdr:col>22</xdr:col>
                    <xdr:colOff>0</xdr:colOff>
                    <xdr:row>245</xdr:row>
                    <xdr:rowOff>0</xdr:rowOff>
                  </from>
                  <to>
                    <xdr:col>22</xdr:col>
                    <xdr:colOff>177800</xdr:colOff>
                    <xdr:row>245</xdr:row>
                    <xdr:rowOff>177800</xdr:rowOff>
                  </to>
                </anchor>
              </controlPr>
            </control>
          </mc:Choice>
        </mc:AlternateContent>
        <mc:AlternateContent xmlns:mc="http://schemas.openxmlformats.org/markup-compatibility/2006">
          <mc:Choice Requires="x14">
            <control shapeId="15627" r:id="rId64" name="Check Box 267">
              <controlPr locked="0" defaultSize="0" autoFill="0" autoLine="0" autoPict="0">
                <anchor moveWithCells="1" sizeWithCells="1">
                  <from>
                    <xdr:col>22</xdr:col>
                    <xdr:colOff>0</xdr:colOff>
                    <xdr:row>249</xdr:row>
                    <xdr:rowOff>0</xdr:rowOff>
                  </from>
                  <to>
                    <xdr:col>22</xdr:col>
                    <xdr:colOff>177800</xdr:colOff>
                    <xdr:row>249</xdr:row>
                    <xdr:rowOff>177800</xdr:rowOff>
                  </to>
                </anchor>
              </controlPr>
            </control>
          </mc:Choice>
        </mc:AlternateContent>
        <mc:AlternateContent xmlns:mc="http://schemas.openxmlformats.org/markup-compatibility/2006">
          <mc:Choice Requires="x14">
            <control shapeId="15628" r:id="rId65" name="Check Box 268">
              <controlPr locked="0" defaultSize="0" autoFill="0" autoLine="0" autoPict="0">
                <anchor moveWithCells="1" sizeWithCells="1">
                  <from>
                    <xdr:col>22</xdr:col>
                    <xdr:colOff>0</xdr:colOff>
                    <xdr:row>250</xdr:row>
                    <xdr:rowOff>0</xdr:rowOff>
                  </from>
                  <to>
                    <xdr:col>22</xdr:col>
                    <xdr:colOff>177800</xdr:colOff>
                    <xdr:row>250</xdr:row>
                    <xdr:rowOff>177800</xdr:rowOff>
                  </to>
                </anchor>
              </controlPr>
            </control>
          </mc:Choice>
        </mc:AlternateContent>
        <mc:AlternateContent xmlns:mc="http://schemas.openxmlformats.org/markup-compatibility/2006">
          <mc:Choice Requires="x14">
            <control shapeId="15632" r:id="rId66" name="Check Box 272">
              <controlPr locked="0" defaultSize="0" autoFill="0" autoLine="0" autoPict="0">
                <anchor moveWithCells="1" sizeWithCells="1">
                  <from>
                    <xdr:col>22</xdr:col>
                    <xdr:colOff>0</xdr:colOff>
                    <xdr:row>329</xdr:row>
                    <xdr:rowOff>0</xdr:rowOff>
                  </from>
                  <to>
                    <xdr:col>22</xdr:col>
                    <xdr:colOff>177800</xdr:colOff>
                    <xdr:row>329</xdr:row>
                    <xdr:rowOff>177800</xdr:rowOff>
                  </to>
                </anchor>
              </controlPr>
            </control>
          </mc:Choice>
        </mc:AlternateContent>
        <mc:AlternateContent xmlns:mc="http://schemas.openxmlformats.org/markup-compatibility/2006">
          <mc:Choice Requires="x14">
            <control shapeId="15633" r:id="rId67" name="Check Box 273">
              <controlPr locked="0" defaultSize="0" autoFill="0" autoLine="0" autoPict="0">
                <anchor moveWithCells="1" sizeWithCells="1">
                  <from>
                    <xdr:col>22</xdr:col>
                    <xdr:colOff>0</xdr:colOff>
                    <xdr:row>332</xdr:row>
                    <xdr:rowOff>0</xdr:rowOff>
                  </from>
                  <to>
                    <xdr:col>22</xdr:col>
                    <xdr:colOff>177800</xdr:colOff>
                    <xdr:row>332</xdr:row>
                    <xdr:rowOff>177800</xdr:rowOff>
                  </to>
                </anchor>
              </controlPr>
            </control>
          </mc:Choice>
        </mc:AlternateContent>
        <mc:AlternateContent xmlns:mc="http://schemas.openxmlformats.org/markup-compatibility/2006">
          <mc:Choice Requires="x14">
            <control shapeId="15634" r:id="rId68" name="Check Box 274">
              <controlPr locked="0" defaultSize="0" autoFill="0" autoLine="0" autoPict="0">
                <anchor moveWithCells="1" sizeWithCells="1">
                  <from>
                    <xdr:col>22</xdr:col>
                    <xdr:colOff>0</xdr:colOff>
                    <xdr:row>335</xdr:row>
                    <xdr:rowOff>0</xdr:rowOff>
                  </from>
                  <to>
                    <xdr:col>22</xdr:col>
                    <xdr:colOff>177800</xdr:colOff>
                    <xdr:row>335</xdr:row>
                    <xdr:rowOff>177800</xdr:rowOff>
                  </to>
                </anchor>
              </controlPr>
            </control>
          </mc:Choice>
        </mc:AlternateContent>
        <mc:AlternateContent xmlns:mc="http://schemas.openxmlformats.org/markup-compatibility/2006">
          <mc:Choice Requires="x14">
            <control shapeId="15635" r:id="rId69" name="Check Box 275">
              <controlPr locked="0" defaultSize="0" autoFill="0" autoLine="0" autoPict="0">
                <anchor moveWithCells="1" sizeWithCells="1">
                  <from>
                    <xdr:col>22</xdr:col>
                    <xdr:colOff>0</xdr:colOff>
                    <xdr:row>341</xdr:row>
                    <xdr:rowOff>0</xdr:rowOff>
                  </from>
                  <to>
                    <xdr:col>22</xdr:col>
                    <xdr:colOff>177800</xdr:colOff>
                    <xdr:row>341</xdr:row>
                    <xdr:rowOff>177800</xdr:rowOff>
                  </to>
                </anchor>
              </controlPr>
            </control>
          </mc:Choice>
        </mc:AlternateContent>
        <mc:AlternateContent xmlns:mc="http://schemas.openxmlformats.org/markup-compatibility/2006">
          <mc:Choice Requires="x14">
            <control shapeId="15636" r:id="rId70" name="Check Box 276">
              <controlPr locked="0" defaultSize="0" autoFill="0" autoLine="0" autoPict="0">
                <anchor moveWithCells="1" sizeWithCells="1">
                  <from>
                    <xdr:col>22</xdr:col>
                    <xdr:colOff>0</xdr:colOff>
                    <xdr:row>342</xdr:row>
                    <xdr:rowOff>0</xdr:rowOff>
                  </from>
                  <to>
                    <xdr:col>22</xdr:col>
                    <xdr:colOff>177800</xdr:colOff>
                    <xdr:row>342</xdr:row>
                    <xdr:rowOff>177800</xdr:rowOff>
                  </to>
                </anchor>
              </controlPr>
            </control>
          </mc:Choice>
        </mc:AlternateContent>
        <mc:AlternateContent xmlns:mc="http://schemas.openxmlformats.org/markup-compatibility/2006">
          <mc:Choice Requires="x14">
            <control shapeId="15637" r:id="rId71" name="Check Box 277">
              <controlPr locked="0" defaultSize="0" autoFill="0" autoLine="0" autoPict="0">
                <anchor moveWithCells="1" sizeWithCells="1">
                  <from>
                    <xdr:col>22</xdr:col>
                    <xdr:colOff>0</xdr:colOff>
                    <xdr:row>343</xdr:row>
                    <xdr:rowOff>0</xdr:rowOff>
                  </from>
                  <to>
                    <xdr:col>22</xdr:col>
                    <xdr:colOff>177800</xdr:colOff>
                    <xdr:row>343</xdr:row>
                    <xdr:rowOff>177800</xdr:rowOff>
                  </to>
                </anchor>
              </controlPr>
            </control>
          </mc:Choice>
        </mc:AlternateContent>
        <mc:AlternateContent xmlns:mc="http://schemas.openxmlformats.org/markup-compatibility/2006">
          <mc:Choice Requires="x14">
            <control shapeId="15638" r:id="rId72" name="Check Box 278">
              <controlPr locked="0" defaultSize="0" autoFill="0" autoLine="0" autoPict="0">
                <anchor moveWithCells="1" sizeWithCells="1">
                  <from>
                    <xdr:col>22</xdr:col>
                    <xdr:colOff>0</xdr:colOff>
                    <xdr:row>344</xdr:row>
                    <xdr:rowOff>0</xdr:rowOff>
                  </from>
                  <to>
                    <xdr:col>22</xdr:col>
                    <xdr:colOff>177800</xdr:colOff>
                    <xdr:row>344</xdr:row>
                    <xdr:rowOff>177800</xdr:rowOff>
                  </to>
                </anchor>
              </controlPr>
            </control>
          </mc:Choice>
        </mc:AlternateContent>
        <mc:AlternateContent xmlns:mc="http://schemas.openxmlformats.org/markup-compatibility/2006">
          <mc:Choice Requires="x14">
            <control shapeId="15639" r:id="rId73" name="Check Box 279">
              <controlPr locked="0" defaultSize="0" autoFill="0" autoLine="0" autoPict="0">
                <anchor moveWithCells="1" sizeWithCells="1">
                  <from>
                    <xdr:col>22</xdr:col>
                    <xdr:colOff>0</xdr:colOff>
                    <xdr:row>345</xdr:row>
                    <xdr:rowOff>0</xdr:rowOff>
                  </from>
                  <to>
                    <xdr:col>22</xdr:col>
                    <xdr:colOff>177800</xdr:colOff>
                    <xdr:row>345</xdr:row>
                    <xdr:rowOff>177800</xdr:rowOff>
                  </to>
                </anchor>
              </controlPr>
            </control>
          </mc:Choice>
        </mc:AlternateContent>
        <mc:AlternateContent xmlns:mc="http://schemas.openxmlformats.org/markup-compatibility/2006">
          <mc:Choice Requires="x14">
            <control shapeId="15640" r:id="rId74" name="Check Box 280">
              <controlPr locked="0" defaultSize="0" autoFill="0" autoLine="0" autoPict="0">
                <anchor moveWithCells="1" sizeWithCells="1">
                  <from>
                    <xdr:col>22</xdr:col>
                    <xdr:colOff>0</xdr:colOff>
                    <xdr:row>346</xdr:row>
                    <xdr:rowOff>0</xdr:rowOff>
                  </from>
                  <to>
                    <xdr:col>22</xdr:col>
                    <xdr:colOff>177800</xdr:colOff>
                    <xdr:row>346</xdr:row>
                    <xdr:rowOff>177800</xdr:rowOff>
                  </to>
                </anchor>
              </controlPr>
            </control>
          </mc:Choice>
        </mc:AlternateContent>
        <mc:AlternateContent xmlns:mc="http://schemas.openxmlformats.org/markup-compatibility/2006">
          <mc:Choice Requires="x14">
            <control shapeId="15641" r:id="rId75" name="Check Box 281">
              <controlPr locked="0" defaultSize="0" autoFill="0" autoLine="0" autoPict="0">
                <anchor moveWithCells="1" sizeWithCells="1">
                  <from>
                    <xdr:col>22</xdr:col>
                    <xdr:colOff>0</xdr:colOff>
                    <xdr:row>354</xdr:row>
                    <xdr:rowOff>0</xdr:rowOff>
                  </from>
                  <to>
                    <xdr:col>22</xdr:col>
                    <xdr:colOff>177800</xdr:colOff>
                    <xdr:row>354</xdr:row>
                    <xdr:rowOff>177800</xdr:rowOff>
                  </to>
                </anchor>
              </controlPr>
            </control>
          </mc:Choice>
        </mc:AlternateContent>
        <mc:AlternateContent xmlns:mc="http://schemas.openxmlformats.org/markup-compatibility/2006">
          <mc:Choice Requires="x14">
            <control shapeId="15642" r:id="rId76" name="Check Box 282">
              <controlPr locked="0" defaultSize="0" autoFill="0" autoLine="0" autoPict="0">
                <anchor moveWithCells="1" sizeWithCells="1">
                  <from>
                    <xdr:col>22</xdr:col>
                    <xdr:colOff>0</xdr:colOff>
                    <xdr:row>355</xdr:row>
                    <xdr:rowOff>0</xdr:rowOff>
                  </from>
                  <to>
                    <xdr:col>22</xdr:col>
                    <xdr:colOff>177800</xdr:colOff>
                    <xdr:row>355</xdr:row>
                    <xdr:rowOff>177800</xdr:rowOff>
                  </to>
                </anchor>
              </controlPr>
            </control>
          </mc:Choice>
        </mc:AlternateContent>
        <mc:AlternateContent xmlns:mc="http://schemas.openxmlformats.org/markup-compatibility/2006">
          <mc:Choice Requires="x14">
            <control shapeId="15643" r:id="rId77" name="Check Box 283">
              <controlPr locked="0" defaultSize="0" autoFill="0" autoLine="0" autoPict="0">
                <anchor moveWithCells="1" sizeWithCells="1">
                  <from>
                    <xdr:col>22</xdr:col>
                    <xdr:colOff>0</xdr:colOff>
                    <xdr:row>356</xdr:row>
                    <xdr:rowOff>0</xdr:rowOff>
                  </from>
                  <to>
                    <xdr:col>22</xdr:col>
                    <xdr:colOff>177800</xdr:colOff>
                    <xdr:row>356</xdr:row>
                    <xdr:rowOff>177800</xdr:rowOff>
                  </to>
                </anchor>
              </controlPr>
            </control>
          </mc:Choice>
        </mc:AlternateContent>
        <mc:AlternateContent xmlns:mc="http://schemas.openxmlformats.org/markup-compatibility/2006">
          <mc:Choice Requires="x14">
            <control shapeId="15644" r:id="rId78" name="Check Box 284">
              <controlPr locked="0" defaultSize="0" autoFill="0" autoLine="0" autoPict="0">
                <anchor moveWithCells="1" sizeWithCells="1">
                  <from>
                    <xdr:col>22</xdr:col>
                    <xdr:colOff>0</xdr:colOff>
                    <xdr:row>357</xdr:row>
                    <xdr:rowOff>0</xdr:rowOff>
                  </from>
                  <to>
                    <xdr:col>22</xdr:col>
                    <xdr:colOff>177800</xdr:colOff>
                    <xdr:row>357</xdr:row>
                    <xdr:rowOff>177800</xdr:rowOff>
                  </to>
                </anchor>
              </controlPr>
            </control>
          </mc:Choice>
        </mc:AlternateContent>
        <mc:AlternateContent xmlns:mc="http://schemas.openxmlformats.org/markup-compatibility/2006">
          <mc:Choice Requires="x14">
            <control shapeId="15646" r:id="rId79" name="Check Box 286">
              <controlPr locked="0" defaultSize="0" autoFill="0" autoLine="0" autoPict="0">
                <anchor moveWithCells="1" sizeWithCells="1">
                  <from>
                    <xdr:col>22</xdr:col>
                    <xdr:colOff>0</xdr:colOff>
                    <xdr:row>382</xdr:row>
                    <xdr:rowOff>0</xdr:rowOff>
                  </from>
                  <to>
                    <xdr:col>22</xdr:col>
                    <xdr:colOff>177800</xdr:colOff>
                    <xdr:row>382</xdr:row>
                    <xdr:rowOff>177800</xdr:rowOff>
                  </to>
                </anchor>
              </controlPr>
            </control>
          </mc:Choice>
        </mc:AlternateContent>
        <mc:AlternateContent xmlns:mc="http://schemas.openxmlformats.org/markup-compatibility/2006">
          <mc:Choice Requires="x14">
            <control shapeId="15649" r:id="rId80" name="Check Box 289">
              <controlPr locked="0" defaultSize="0" autoFill="0" autoLine="0" autoPict="0">
                <anchor moveWithCells="1" sizeWithCells="1">
                  <from>
                    <xdr:col>22</xdr:col>
                    <xdr:colOff>0</xdr:colOff>
                    <xdr:row>399</xdr:row>
                    <xdr:rowOff>0</xdr:rowOff>
                  </from>
                  <to>
                    <xdr:col>22</xdr:col>
                    <xdr:colOff>177800</xdr:colOff>
                    <xdr:row>399</xdr:row>
                    <xdr:rowOff>177800</xdr:rowOff>
                  </to>
                </anchor>
              </controlPr>
            </control>
          </mc:Choice>
        </mc:AlternateContent>
        <mc:AlternateContent xmlns:mc="http://schemas.openxmlformats.org/markup-compatibility/2006">
          <mc:Choice Requires="x14">
            <control shapeId="15650" r:id="rId81" name="Check Box 290">
              <controlPr locked="0" defaultSize="0" autoFill="0" autoLine="0" autoPict="0">
                <anchor moveWithCells="1" sizeWithCells="1">
                  <from>
                    <xdr:col>22</xdr:col>
                    <xdr:colOff>0</xdr:colOff>
                    <xdr:row>405</xdr:row>
                    <xdr:rowOff>0</xdr:rowOff>
                  </from>
                  <to>
                    <xdr:col>22</xdr:col>
                    <xdr:colOff>177800</xdr:colOff>
                    <xdr:row>405</xdr:row>
                    <xdr:rowOff>177800</xdr:rowOff>
                  </to>
                </anchor>
              </controlPr>
            </control>
          </mc:Choice>
        </mc:AlternateContent>
        <mc:AlternateContent xmlns:mc="http://schemas.openxmlformats.org/markup-compatibility/2006">
          <mc:Choice Requires="x14">
            <control shapeId="15651" r:id="rId82" name="Check Box 291">
              <controlPr locked="0" defaultSize="0" autoFill="0" autoLine="0" autoPict="0">
                <anchor moveWithCells="1" sizeWithCells="1">
                  <from>
                    <xdr:col>22</xdr:col>
                    <xdr:colOff>0</xdr:colOff>
                    <xdr:row>406</xdr:row>
                    <xdr:rowOff>0</xdr:rowOff>
                  </from>
                  <to>
                    <xdr:col>22</xdr:col>
                    <xdr:colOff>177800</xdr:colOff>
                    <xdr:row>406</xdr:row>
                    <xdr:rowOff>177800</xdr:rowOff>
                  </to>
                </anchor>
              </controlPr>
            </control>
          </mc:Choice>
        </mc:AlternateContent>
        <mc:AlternateContent xmlns:mc="http://schemas.openxmlformats.org/markup-compatibility/2006">
          <mc:Choice Requires="x14">
            <control shapeId="15653" r:id="rId83" name="Check Box 293">
              <controlPr locked="0" defaultSize="0" autoFill="0" autoLine="0" autoPict="0">
                <anchor moveWithCells="1" sizeWithCells="1">
                  <from>
                    <xdr:col>22</xdr:col>
                    <xdr:colOff>0</xdr:colOff>
                    <xdr:row>411</xdr:row>
                    <xdr:rowOff>0</xdr:rowOff>
                  </from>
                  <to>
                    <xdr:col>22</xdr:col>
                    <xdr:colOff>177800</xdr:colOff>
                    <xdr:row>411</xdr:row>
                    <xdr:rowOff>177800</xdr:rowOff>
                  </to>
                </anchor>
              </controlPr>
            </control>
          </mc:Choice>
        </mc:AlternateContent>
        <mc:AlternateContent xmlns:mc="http://schemas.openxmlformats.org/markup-compatibility/2006">
          <mc:Choice Requires="x14">
            <control shapeId="15654" r:id="rId84" name="Check Box 294">
              <controlPr locked="0" defaultSize="0" autoFill="0" autoLine="0" autoPict="0">
                <anchor moveWithCells="1" sizeWithCells="1">
                  <from>
                    <xdr:col>22</xdr:col>
                    <xdr:colOff>0</xdr:colOff>
                    <xdr:row>419</xdr:row>
                    <xdr:rowOff>0</xdr:rowOff>
                  </from>
                  <to>
                    <xdr:col>22</xdr:col>
                    <xdr:colOff>177800</xdr:colOff>
                    <xdr:row>419</xdr:row>
                    <xdr:rowOff>177800</xdr:rowOff>
                  </to>
                </anchor>
              </controlPr>
            </control>
          </mc:Choice>
        </mc:AlternateContent>
        <mc:AlternateContent xmlns:mc="http://schemas.openxmlformats.org/markup-compatibility/2006">
          <mc:Choice Requires="x14">
            <control shapeId="15655" r:id="rId85" name="Check Box 295">
              <controlPr locked="0" defaultSize="0" autoFill="0" autoLine="0" autoPict="0">
                <anchor moveWithCells="1" sizeWithCells="1">
                  <from>
                    <xdr:col>22</xdr:col>
                    <xdr:colOff>0</xdr:colOff>
                    <xdr:row>428</xdr:row>
                    <xdr:rowOff>0</xdr:rowOff>
                  </from>
                  <to>
                    <xdr:col>22</xdr:col>
                    <xdr:colOff>177800</xdr:colOff>
                    <xdr:row>428</xdr:row>
                    <xdr:rowOff>177800</xdr:rowOff>
                  </to>
                </anchor>
              </controlPr>
            </control>
          </mc:Choice>
        </mc:AlternateContent>
        <mc:AlternateContent xmlns:mc="http://schemas.openxmlformats.org/markup-compatibility/2006">
          <mc:Choice Requires="x14">
            <control shapeId="15656" r:id="rId86" name="Check Box 296">
              <controlPr locked="0" defaultSize="0" autoFill="0" autoLine="0" autoPict="0">
                <anchor moveWithCells="1" sizeWithCells="1">
                  <from>
                    <xdr:col>22</xdr:col>
                    <xdr:colOff>0</xdr:colOff>
                    <xdr:row>436</xdr:row>
                    <xdr:rowOff>0</xdr:rowOff>
                  </from>
                  <to>
                    <xdr:col>22</xdr:col>
                    <xdr:colOff>177800</xdr:colOff>
                    <xdr:row>436</xdr:row>
                    <xdr:rowOff>177800</xdr:rowOff>
                  </to>
                </anchor>
              </controlPr>
            </control>
          </mc:Choice>
        </mc:AlternateContent>
        <mc:AlternateContent xmlns:mc="http://schemas.openxmlformats.org/markup-compatibility/2006">
          <mc:Choice Requires="x14">
            <control shapeId="15657" r:id="rId87" name="Check Box 297">
              <controlPr locked="0" defaultSize="0" autoFill="0" autoLine="0" autoPict="0">
                <anchor moveWithCells="1" sizeWithCells="1">
                  <from>
                    <xdr:col>22</xdr:col>
                    <xdr:colOff>0</xdr:colOff>
                    <xdr:row>438</xdr:row>
                    <xdr:rowOff>0</xdr:rowOff>
                  </from>
                  <to>
                    <xdr:col>22</xdr:col>
                    <xdr:colOff>177800</xdr:colOff>
                    <xdr:row>438</xdr:row>
                    <xdr:rowOff>177800</xdr:rowOff>
                  </to>
                </anchor>
              </controlPr>
            </control>
          </mc:Choice>
        </mc:AlternateContent>
        <mc:AlternateContent xmlns:mc="http://schemas.openxmlformats.org/markup-compatibility/2006">
          <mc:Choice Requires="x14">
            <control shapeId="15658" r:id="rId88" name="Check Box 298">
              <controlPr locked="0" defaultSize="0" autoFill="0" autoLine="0" autoPict="0">
                <anchor moveWithCells="1" sizeWithCells="1">
                  <from>
                    <xdr:col>22</xdr:col>
                    <xdr:colOff>0</xdr:colOff>
                    <xdr:row>444</xdr:row>
                    <xdr:rowOff>0</xdr:rowOff>
                  </from>
                  <to>
                    <xdr:col>22</xdr:col>
                    <xdr:colOff>177800</xdr:colOff>
                    <xdr:row>444</xdr:row>
                    <xdr:rowOff>177800</xdr:rowOff>
                  </to>
                </anchor>
              </controlPr>
            </control>
          </mc:Choice>
        </mc:AlternateContent>
        <mc:AlternateContent xmlns:mc="http://schemas.openxmlformats.org/markup-compatibility/2006">
          <mc:Choice Requires="x14">
            <control shapeId="15659" r:id="rId89" name="Check Box 299">
              <controlPr locked="0" defaultSize="0" autoFill="0" autoLine="0" autoPict="0">
                <anchor moveWithCells="1" sizeWithCells="1">
                  <from>
                    <xdr:col>22</xdr:col>
                    <xdr:colOff>0</xdr:colOff>
                    <xdr:row>448</xdr:row>
                    <xdr:rowOff>0</xdr:rowOff>
                  </from>
                  <to>
                    <xdr:col>22</xdr:col>
                    <xdr:colOff>177800</xdr:colOff>
                    <xdr:row>448</xdr:row>
                    <xdr:rowOff>177800</xdr:rowOff>
                  </to>
                </anchor>
              </controlPr>
            </control>
          </mc:Choice>
        </mc:AlternateContent>
        <mc:AlternateContent xmlns:mc="http://schemas.openxmlformats.org/markup-compatibility/2006">
          <mc:Choice Requires="x14">
            <control shapeId="15660" r:id="rId90" name="Check Box 300">
              <controlPr locked="0" defaultSize="0" autoFill="0" autoLine="0" autoPict="0">
                <anchor moveWithCells="1" sizeWithCells="1">
                  <from>
                    <xdr:col>22</xdr:col>
                    <xdr:colOff>0</xdr:colOff>
                    <xdr:row>452</xdr:row>
                    <xdr:rowOff>0</xdr:rowOff>
                  </from>
                  <to>
                    <xdr:col>22</xdr:col>
                    <xdr:colOff>177800</xdr:colOff>
                    <xdr:row>452</xdr:row>
                    <xdr:rowOff>177800</xdr:rowOff>
                  </to>
                </anchor>
              </controlPr>
            </control>
          </mc:Choice>
        </mc:AlternateContent>
        <mc:AlternateContent xmlns:mc="http://schemas.openxmlformats.org/markup-compatibility/2006">
          <mc:Choice Requires="x14">
            <control shapeId="15661" r:id="rId91" name="Check Box 301">
              <controlPr locked="0" defaultSize="0" autoFill="0" autoLine="0" autoPict="0">
                <anchor moveWithCells="1" sizeWithCells="1">
                  <from>
                    <xdr:col>22</xdr:col>
                    <xdr:colOff>0</xdr:colOff>
                    <xdr:row>457</xdr:row>
                    <xdr:rowOff>0</xdr:rowOff>
                  </from>
                  <to>
                    <xdr:col>22</xdr:col>
                    <xdr:colOff>177800</xdr:colOff>
                    <xdr:row>457</xdr:row>
                    <xdr:rowOff>177800</xdr:rowOff>
                  </to>
                </anchor>
              </controlPr>
            </control>
          </mc:Choice>
        </mc:AlternateContent>
        <mc:AlternateContent xmlns:mc="http://schemas.openxmlformats.org/markup-compatibility/2006">
          <mc:Choice Requires="x14">
            <control shapeId="15662" r:id="rId92" name="Check Box 302">
              <controlPr locked="0" defaultSize="0" autoFill="0" autoLine="0" autoPict="0">
                <anchor moveWithCells="1" sizeWithCells="1">
                  <from>
                    <xdr:col>22</xdr:col>
                    <xdr:colOff>0</xdr:colOff>
                    <xdr:row>462</xdr:row>
                    <xdr:rowOff>0</xdr:rowOff>
                  </from>
                  <to>
                    <xdr:col>22</xdr:col>
                    <xdr:colOff>177800</xdr:colOff>
                    <xdr:row>462</xdr:row>
                    <xdr:rowOff>177800</xdr:rowOff>
                  </to>
                </anchor>
              </controlPr>
            </control>
          </mc:Choice>
        </mc:AlternateContent>
        <mc:AlternateContent xmlns:mc="http://schemas.openxmlformats.org/markup-compatibility/2006">
          <mc:Choice Requires="x14">
            <control shapeId="15663" r:id="rId93" name="Check Box 303">
              <controlPr locked="0" defaultSize="0" autoFill="0" autoLine="0" autoPict="0">
                <anchor moveWithCells="1" sizeWithCells="1">
                  <from>
                    <xdr:col>22</xdr:col>
                    <xdr:colOff>0</xdr:colOff>
                    <xdr:row>464</xdr:row>
                    <xdr:rowOff>0</xdr:rowOff>
                  </from>
                  <to>
                    <xdr:col>22</xdr:col>
                    <xdr:colOff>177800</xdr:colOff>
                    <xdr:row>464</xdr:row>
                    <xdr:rowOff>177800</xdr:rowOff>
                  </to>
                </anchor>
              </controlPr>
            </control>
          </mc:Choice>
        </mc:AlternateContent>
        <mc:AlternateContent xmlns:mc="http://schemas.openxmlformats.org/markup-compatibility/2006">
          <mc:Choice Requires="x14">
            <control shapeId="15664" r:id="rId94" name="Check Box 304">
              <controlPr locked="0" defaultSize="0" autoFill="0" autoLine="0" autoPict="0">
                <anchor moveWithCells="1" sizeWithCells="1">
                  <from>
                    <xdr:col>22</xdr:col>
                    <xdr:colOff>0</xdr:colOff>
                    <xdr:row>466</xdr:row>
                    <xdr:rowOff>0</xdr:rowOff>
                  </from>
                  <to>
                    <xdr:col>22</xdr:col>
                    <xdr:colOff>177800</xdr:colOff>
                    <xdr:row>466</xdr:row>
                    <xdr:rowOff>177800</xdr:rowOff>
                  </to>
                </anchor>
              </controlPr>
            </control>
          </mc:Choice>
        </mc:AlternateContent>
        <mc:AlternateContent xmlns:mc="http://schemas.openxmlformats.org/markup-compatibility/2006">
          <mc:Choice Requires="x14">
            <control shapeId="15666" r:id="rId95" name="Check Box 306">
              <controlPr locked="0" defaultSize="0" autoFill="0" autoLine="0" autoPict="0">
                <anchor moveWithCells="1" sizeWithCells="1">
                  <from>
                    <xdr:col>22</xdr:col>
                    <xdr:colOff>0</xdr:colOff>
                    <xdr:row>494</xdr:row>
                    <xdr:rowOff>0</xdr:rowOff>
                  </from>
                  <to>
                    <xdr:col>22</xdr:col>
                    <xdr:colOff>177800</xdr:colOff>
                    <xdr:row>494</xdr:row>
                    <xdr:rowOff>177800</xdr:rowOff>
                  </to>
                </anchor>
              </controlPr>
            </control>
          </mc:Choice>
        </mc:AlternateContent>
        <mc:AlternateContent xmlns:mc="http://schemas.openxmlformats.org/markup-compatibility/2006">
          <mc:Choice Requires="x14">
            <control shapeId="15667" r:id="rId96" name="Check Box 307">
              <controlPr locked="0" defaultSize="0" autoFill="0" autoLine="0" autoPict="0">
                <anchor moveWithCells="1" sizeWithCells="1">
                  <from>
                    <xdr:col>22</xdr:col>
                    <xdr:colOff>0</xdr:colOff>
                    <xdr:row>497</xdr:row>
                    <xdr:rowOff>0</xdr:rowOff>
                  </from>
                  <to>
                    <xdr:col>22</xdr:col>
                    <xdr:colOff>177800</xdr:colOff>
                    <xdr:row>497</xdr:row>
                    <xdr:rowOff>177800</xdr:rowOff>
                  </to>
                </anchor>
              </controlPr>
            </control>
          </mc:Choice>
        </mc:AlternateContent>
        <mc:AlternateContent xmlns:mc="http://schemas.openxmlformats.org/markup-compatibility/2006">
          <mc:Choice Requires="x14">
            <control shapeId="15668" r:id="rId97" name="Check Box 308">
              <controlPr locked="0" defaultSize="0" autoFill="0" autoLine="0" autoPict="0">
                <anchor moveWithCells="1" sizeWithCells="1">
                  <from>
                    <xdr:col>22</xdr:col>
                    <xdr:colOff>0</xdr:colOff>
                    <xdr:row>498</xdr:row>
                    <xdr:rowOff>0</xdr:rowOff>
                  </from>
                  <to>
                    <xdr:col>22</xdr:col>
                    <xdr:colOff>177800</xdr:colOff>
                    <xdr:row>498</xdr:row>
                    <xdr:rowOff>177800</xdr:rowOff>
                  </to>
                </anchor>
              </controlPr>
            </control>
          </mc:Choice>
        </mc:AlternateContent>
        <mc:AlternateContent xmlns:mc="http://schemas.openxmlformats.org/markup-compatibility/2006">
          <mc:Choice Requires="x14">
            <control shapeId="15669" r:id="rId98" name="Check Box 309">
              <controlPr locked="0" defaultSize="0" autoFill="0" autoLine="0" autoPict="0">
                <anchor moveWithCells="1" sizeWithCells="1">
                  <from>
                    <xdr:col>22</xdr:col>
                    <xdr:colOff>0</xdr:colOff>
                    <xdr:row>508</xdr:row>
                    <xdr:rowOff>0</xdr:rowOff>
                  </from>
                  <to>
                    <xdr:col>22</xdr:col>
                    <xdr:colOff>177800</xdr:colOff>
                    <xdr:row>508</xdr:row>
                    <xdr:rowOff>177800</xdr:rowOff>
                  </to>
                </anchor>
              </controlPr>
            </control>
          </mc:Choice>
        </mc:AlternateContent>
        <mc:AlternateContent xmlns:mc="http://schemas.openxmlformats.org/markup-compatibility/2006">
          <mc:Choice Requires="x14">
            <control shapeId="15670" r:id="rId99" name="Check Box 310">
              <controlPr locked="0" defaultSize="0" autoFill="0" autoLine="0" autoPict="0">
                <anchor moveWithCells="1" sizeWithCells="1">
                  <from>
                    <xdr:col>22</xdr:col>
                    <xdr:colOff>0</xdr:colOff>
                    <xdr:row>510</xdr:row>
                    <xdr:rowOff>0</xdr:rowOff>
                  </from>
                  <to>
                    <xdr:col>22</xdr:col>
                    <xdr:colOff>177800</xdr:colOff>
                    <xdr:row>510</xdr:row>
                    <xdr:rowOff>177800</xdr:rowOff>
                  </to>
                </anchor>
              </controlPr>
            </control>
          </mc:Choice>
        </mc:AlternateContent>
        <mc:AlternateContent xmlns:mc="http://schemas.openxmlformats.org/markup-compatibility/2006">
          <mc:Choice Requires="x14">
            <control shapeId="15671" r:id="rId100" name="Check Box 311">
              <controlPr locked="0" defaultSize="0" autoFill="0" autoLine="0" autoPict="0">
                <anchor moveWithCells="1" sizeWithCells="1">
                  <from>
                    <xdr:col>22</xdr:col>
                    <xdr:colOff>0</xdr:colOff>
                    <xdr:row>528</xdr:row>
                    <xdr:rowOff>0</xdr:rowOff>
                  </from>
                  <to>
                    <xdr:col>22</xdr:col>
                    <xdr:colOff>177800</xdr:colOff>
                    <xdr:row>528</xdr:row>
                    <xdr:rowOff>177800</xdr:rowOff>
                  </to>
                </anchor>
              </controlPr>
            </control>
          </mc:Choice>
        </mc:AlternateContent>
        <mc:AlternateContent xmlns:mc="http://schemas.openxmlformats.org/markup-compatibility/2006">
          <mc:Choice Requires="x14">
            <control shapeId="15672" r:id="rId101" name="Check Box 312">
              <controlPr locked="0" defaultSize="0" autoFill="0" autoLine="0" autoPict="0">
                <anchor moveWithCells="1" sizeWithCells="1">
                  <from>
                    <xdr:col>22</xdr:col>
                    <xdr:colOff>0</xdr:colOff>
                    <xdr:row>539</xdr:row>
                    <xdr:rowOff>0</xdr:rowOff>
                  </from>
                  <to>
                    <xdr:col>22</xdr:col>
                    <xdr:colOff>177800</xdr:colOff>
                    <xdr:row>539</xdr:row>
                    <xdr:rowOff>177800</xdr:rowOff>
                  </to>
                </anchor>
              </controlPr>
            </control>
          </mc:Choice>
        </mc:AlternateContent>
        <mc:AlternateContent xmlns:mc="http://schemas.openxmlformats.org/markup-compatibility/2006">
          <mc:Choice Requires="x14">
            <control shapeId="15673" r:id="rId102" name="Check Box 313">
              <controlPr locked="0" defaultSize="0" autoFill="0" autoLine="0" autoPict="0">
                <anchor moveWithCells="1" sizeWithCells="1">
                  <from>
                    <xdr:col>22</xdr:col>
                    <xdr:colOff>0</xdr:colOff>
                    <xdr:row>540</xdr:row>
                    <xdr:rowOff>0</xdr:rowOff>
                  </from>
                  <to>
                    <xdr:col>22</xdr:col>
                    <xdr:colOff>177800</xdr:colOff>
                    <xdr:row>540</xdr:row>
                    <xdr:rowOff>177800</xdr:rowOff>
                  </to>
                </anchor>
              </controlPr>
            </control>
          </mc:Choice>
        </mc:AlternateContent>
        <mc:AlternateContent xmlns:mc="http://schemas.openxmlformats.org/markup-compatibility/2006">
          <mc:Choice Requires="x14">
            <control shapeId="15674" r:id="rId103" name="Check Box 314">
              <controlPr locked="0" defaultSize="0" autoFill="0" autoLine="0" autoPict="0">
                <anchor moveWithCells="1" sizeWithCells="1">
                  <from>
                    <xdr:col>22</xdr:col>
                    <xdr:colOff>0</xdr:colOff>
                    <xdr:row>548</xdr:row>
                    <xdr:rowOff>0</xdr:rowOff>
                  </from>
                  <to>
                    <xdr:col>22</xdr:col>
                    <xdr:colOff>177800</xdr:colOff>
                    <xdr:row>548</xdr:row>
                    <xdr:rowOff>177800</xdr:rowOff>
                  </to>
                </anchor>
              </controlPr>
            </control>
          </mc:Choice>
        </mc:AlternateContent>
        <mc:AlternateContent xmlns:mc="http://schemas.openxmlformats.org/markup-compatibility/2006">
          <mc:Choice Requires="x14">
            <control shapeId="15675" r:id="rId104" name="Check Box 315">
              <controlPr locked="0" defaultSize="0" autoFill="0" autoLine="0" autoPict="0">
                <anchor moveWithCells="1" sizeWithCells="1">
                  <from>
                    <xdr:col>22</xdr:col>
                    <xdr:colOff>0</xdr:colOff>
                    <xdr:row>550</xdr:row>
                    <xdr:rowOff>0</xdr:rowOff>
                  </from>
                  <to>
                    <xdr:col>22</xdr:col>
                    <xdr:colOff>177800</xdr:colOff>
                    <xdr:row>550</xdr:row>
                    <xdr:rowOff>177800</xdr:rowOff>
                  </to>
                </anchor>
              </controlPr>
            </control>
          </mc:Choice>
        </mc:AlternateContent>
        <mc:AlternateContent xmlns:mc="http://schemas.openxmlformats.org/markup-compatibility/2006">
          <mc:Choice Requires="x14">
            <control shapeId="15676" r:id="rId105" name="Check Box 316">
              <controlPr locked="0" defaultSize="0" autoFill="0" autoLine="0" autoPict="0">
                <anchor moveWithCells="1" sizeWithCells="1">
                  <from>
                    <xdr:col>22</xdr:col>
                    <xdr:colOff>0</xdr:colOff>
                    <xdr:row>551</xdr:row>
                    <xdr:rowOff>0</xdr:rowOff>
                  </from>
                  <to>
                    <xdr:col>22</xdr:col>
                    <xdr:colOff>177800</xdr:colOff>
                    <xdr:row>551</xdr:row>
                    <xdr:rowOff>177800</xdr:rowOff>
                  </to>
                </anchor>
              </controlPr>
            </control>
          </mc:Choice>
        </mc:AlternateContent>
        <mc:AlternateContent xmlns:mc="http://schemas.openxmlformats.org/markup-compatibility/2006">
          <mc:Choice Requires="x14">
            <control shapeId="15677" r:id="rId106" name="Check Box 317">
              <controlPr locked="0" defaultSize="0" autoFill="0" autoLine="0" autoPict="0">
                <anchor moveWithCells="1" sizeWithCells="1">
                  <from>
                    <xdr:col>22</xdr:col>
                    <xdr:colOff>0</xdr:colOff>
                    <xdr:row>554</xdr:row>
                    <xdr:rowOff>0</xdr:rowOff>
                  </from>
                  <to>
                    <xdr:col>22</xdr:col>
                    <xdr:colOff>177800</xdr:colOff>
                    <xdr:row>554</xdr:row>
                    <xdr:rowOff>177800</xdr:rowOff>
                  </to>
                </anchor>
              </controlPr>
            </control>
          </mc:Choice>
        </mc:AlternateContent>
        <mc:AlternateContent xmlns:mc="http://schemas.openxmlformats.org/markup-compatibility/2006">
          <mc:Choice Requires="x14">
            <control shapeId="15679" r:id="rId107" name="Check Box 319">
              <controlPr locked="0" defaultSize="0" autoFill="0" autoLine="0" autoPict="0">
                <anchor moveWithCells="1" sizeWithCells="1">
                  <from>
                    <xdr:col>22</xdr:col>
                    <xdr:colOff>0</xdr:colOff>
                    <xdr:row>563</xdr:row>
                    <xdr:rowOff>0</xdr:rowOff>
                  </from>
                  <to>
                    <xdr:col>22</xdr:col>
                    <xdr:colOff>177800</xdr:colOff>
                    <xdr:row>563</xdr:row>
                    <xdr:rowOff>177800</xdr:rowOff>
                  </to>
                </anchor>
              </controlPr>
            </control>
          </mc:Choice>
        </mc:AlternateContent>
        <mc:AlternateContent xmlns:mc="http://schemas.openxmlformats.org/markup-compatibility/2006">
          <mc:Choice Requires="x14">
            <control shapeId="15680" r:id="rId108" name="Check Box 320">
              <controlPr locked="0" defaultSize="0" autoFill="0" autoLine="0" autoPict="0">
                <anchor moveWithCells="1" sizeWithCells="1">
                  <from>
                    <xdr:col>22</xdr:col>
                    <xdr:colOff>0</xdr:colOff>
                    <xdr:row>565</xdr:row>
                    <xdr:rowOff>0</xdr:rowOff>
                  </from>
                  <to>
                    <xdr:col>22</xdr:col>
                    <xdr:colOff>177800</xdr:colOff>
                    <xdr:row>565</xdr:row>
                    <xdr:rowOff>177800</xdr:rowOff>
                  </to>
                </anchor>
              </controlPr>
            </control>
          </mc:Choice>
        </mc:AlternateContent>
        <mc:AlternateContent xmlns:mc="http://schemas.openxmlformats.org/markup-compatibility/2006">
          <mc:Choice Requires="x14">
            <control shapeId="15681" r:id="rId109" name="Check Box 321">
              <controlPr locked="0" defaultSize="0" autoFill="0" autoLine="0" autoPict="0">
                <anchor moveWithCells="1" sizeWithCells="1">
                  <from>
                    <xdr:col>22</xdr:col>
                    <xdr:colOff>0</xdr:colOff>
                    <xdr:row>583</xdr:row>
                    <xdr:rowOff>0</xdr:rowOff>
                  </from>
                  <to>
                    <xdr:col>22</xdr:col>
                    <xdr:colOff>177800</xdr:colOff>
                    <xdr:row>583</xdr:row>
                    <xdr:rowOff>177800</xdr:rowOff>
                  </to>
                </anchor>
              </controlPr>
            </control>
          </mc:Choice>
        </mc:AlternateContent>
        <mc:AlternateContent xmlns:mc="http://schemas.openxmlformats.org/markup-compatibility/2006">
          <mc:Choice Requires="x14">
            <control shapeId="15682" r:id="rId110" name="Check Box 322">
              <controlPr locked="0" defaultSize="0" autoFill="0" autoLine="0" autoPict="0">
                <anchor moveWithCells="1" sizeWithCells="1">
                  <from>
                    <xdr:col>22</xdr:col>
                    <xdr:colOff>0</xdr:colOff>
                    <xdr:row>600</xdr:row>
                    <xdr:rowOff>0</xdr:rowOff>
                  </from>
                  <to>
                    <xdr:col>22</xdr:col>
                    <xdr:colOff>177800</xdr:colOff>
                    <xdr:row>600</xdr:row>
                    <xdr:rowOff>177800</xdr:rowOff>
                  </to>
                </anchor>
              </controlPr>
            </control>
          </mc:Choice>
        </mc:AlternateContent>
        <mc:AlternateContent xmlns:mc="http://schemas.openxmlformats.org/markup-compatibility/2006">
          <mc:Choice Requires="x14">
            <control shapeId="15683" r:id="rId111" name="Check Box 323">
              <controlPr locked="0" defaultSize="0" autoFill="0" autoLine="0" autoPict="0">
                <anchor moveWithCells="1" sizeWithCells="1">
                  <from>
                    <xdr:col>22</xdr:col>
                    <xdr:colOff>0</xdr:colOff>
                    <xdr:row>613</xdr:row>
                    <xdr:rowOff>0</xdr:rowOff>
                  </from>
                  <to>
                    <xdr:col>22</xdr:col>
                    <xdr:colOff>177800</xdr:colOff>
                    <xdr:row>613</xdr:row>
                    <xdr:rowOff>177800</xdr:rowOff>
                  </to>
                </anchor>
              </controlPr>
            </control>
          </mc:Choice>
        </mc:AlternateContent>
        <mc:AlternateContent xmlns:mc="http://schemas.openxmlformats.org/markup-compatibility/2006">
          <mc:Choice Requires="x14">
            <control shapeId="15684" r:id="rId112" name="Check Box 324">
              <controlPr locked="0" defaultSize="0" autoFill="0" autoLine="0" autoPict="0">
                <anchor moveWithCells="1" sizeWithCells="1">
                  <from>
                    <xdr:col>22</xdr:col>
                    <xdr:colOff>0</xdr:colOff>
                    <xdr:row>615</xdr:row>
                    <xdr:rowOff>0</xdr:rowOff>
                  </from>
                  <to>
                    <xdr:col>22</xdr:col>
                    <xdr:colOff>177800</xdr:colOff>
                    <xdr:row>615</xdr:row>
                    <xdr:rowOff>177800</xdr:rowOff>
                  </to>
                </anchor>
              </controlPr>
            </control>
          </mc:Choice>
        </mc:AlternateContent>
        <mc:AlternateContent xmlns:mc="http://schemas.openxmlformats.org/markup-compatibility/2006">
          <mc:Choice Requires="x14">
            <control shapeId="15685" r:id="rId113" name="Check Box 325">
              <controlPr locked="0" defaultSize="0" autoFill="0" autoLine="0" autoPict="0">
                <anchor moveWithCells="1" sizeWithCells="1">
                  <from>
                    <xdr:col>22</xdr:col>
                    <xdr:colOff>0</xdr:colOff>
                    <xdr:row>628</xdr:row>
                    <xdr:rowOff>0</xdr:rowOff>
                  </from>
                  <to>
                    <xdr:col>22</xdr:col>
                    <xdr:colOff>177800</xdr:colOff>
                    <xdr:row>628</xdr:row>
                    <xdr:rowOff>177800</xdr:rowOff>
                  </to>
                </anchor>
              </controlPr>
            </control>
          </mc:Choice>
        </mc:AlternateContent>
        <mc:AlternateContent xmlns:mc="http://schemas.openxmlformats.org/markup-compatibility/2006">
          <mc:Choice Requires="x14">
            <control shapeId="15686" r:id="rId114" name="Check Box 326">
              <controlPr locked="0" defaultSize="0" autoFill="0" autoLine="0" autoPict="0">
                <anchor moveWithCells="1" sizeWithCells="1">
                  <from>
                    <xdr:col>22</xdr:col>
                    <xdr:colOff>0</xdr:colOff>
                    <xdr:row>629</xdr:row>
                    <xdr:rowOff>0</xdr:rowOff>
                  </from>
                  <to>
                    <xdr:col>22</xdr:col>
                    <xdr:colOff>177800</xdr:colOff>
                    <xdr:row>629</xdr:row>
                    <xdr:rowOff>177800</xdr:rowOff>
                  </to>
                </anchor>
              </controlPr>
            </control>
          </mc:Choice>
        </mc:AlternateContent>
        <mc:AlternateContent xmlns:mc="http://schemas.openxmlformats.org/markup-compatibility/2006">
          <mc:Choice Requires="x14">
            <control shapeId="15687" r:id="rId115" name="Check Box 327">
              <controlPr locked="0" defaultSize="0" autoFill="0" autoLine="0" autoPict="0">
                <anchor moveWithCells="1" sizeWithCells="1">
                  <from>
                    <xdr:col>22</xdr:col>
                    <xdr:colOff>0</xdr:colOff>
                    <xdr:row>630</xdr:row>
                    <xdr:rowOff>0</xdr:rowOff>
                  </from>
                  <to>
                    <xdr:col>22</xdr:col>
                    <xdr:colOff>177800</xdr:colOff>
                    <xdr:row>630</xdr:row>
                    <xdr:rowOff>177800</xdr:rowOff>
                  </to>
                </anchor>
              </controlPr>
            </control>
          </mc:Choice>
        </mc:AlternateContent>
        <mc:AlternateContent xmlns:mc="http://schemas.openxmlformats.org/markup-compatibility/2006">
          <mc:Choice Requires="x14">
            <control shapeId="15688" r:id="rId116" name="Check Box 328">
              <controlPr locked="0" defaultSize="0" autoFill="0" autoLine="0" autoPict="0">
                <anchor moveWithCells="1" sizeWithCells="1">
                  <from>
                    <xdr:col>22</xdr:col>
                    <xdr:colOff>0</xdr:colOff>
                    <xdr:row>631</xdr:row>
                    <xdr:rowOff>0</xdr:rowOff>
                  </from>
                  <to>
                    <xdr:col>22</xdr:col>
                    <xdr:colOff>177800</xdr:colOff>
                    <xdr:row>631</xdr:row>
                    <xdr:rowOff>177800</xdr:rowOff>
                  </to>
                </anchor>
              </controlPr>
            </control>
          </mc:Choice>
        </mc:AlternateContent>
        <mc:AlternateContent xmlns:mc="http://schemas.openxmlformats.org/markup-compatibility/2006">
          <mc:Choice Requires="x14">
            <control shapeId="15689" r:id="rId117" name="Check Box 329">
              <controlPr locked="0" defaultSize="0" autoFill="0" autoLine="0" autoPict="0">
                <anchor moveWithCells="1" sizeWithCells="1">
                  <from>
                    <xdr:col>22</xdr:col>
                    <xdr:colOff>0</xdr:colOff>
                    <xdr:row>632</xdr:row>
                    <xdr:rowOff>0</xdr:rowOff>
                  </from>
                  <to>
                    <xdr:col>22</xdr:col>
                    <xdr:colOff>177800</xdr:colOff>
                    <xdr:row>632</xdr:row>
                    <xdr:rowOff>177800</xdr:rowOff>
                  </to>
                </anchor>
              </controlPr>
            </control>
          </mc:Choice>
        </mc:AlternateContent>
        <mc:AlternateContent xmlns:mc="http://schemas.openxmlformats.org/markup-compatibility/2006">
          <mc:Choice Requires="x14">
            <control shapeId="15690" r:id="rId118" name="Check Box 330">
              <controlPr locked="0" defaultSize="0" autoFill="0" autoLine="0" autoPict="0">
                <anchor moveWithCells="1" sizeWithCells="1">
                  <from>
                    <xdr:col>22</xdr:col>
                    <xdr:colOff>0</xdr:colOff>
                    <xdr:row>633</xdr:row>
                    <xdr:rowOff>0</xdr:rowOff>
                  </from>
                  <to>
                    <xdr:col>22</xdr:col>
                    <xdr:colOff>177800</xdr:colOff>
                    <xdr:row>633</xdr:row>
                    <xdr:rowOff>177800</xdr:rowOff>
                  </to>
                </anchor>
              </controlPr>
            </control>
          </mc:Choice>
        </mc:AlternateContent>
        <mc:AlternateContent xmlns:mc="http://schemas.openxmlformats.org/markup-compatibility/2006">
          <mc:Choice Requires="x14">
            <control shapeId="15691" r:id="rId119" name="Check Box 331">
              <controlPr locked="0" defaultSize="0" autoFill="0" autoLine="0" autoPict="0">
                <anchor moveWithCells="1" sizeWithCells="1">
                  <from>
                    <xdr:col>22</xdr:col>
                    <xdr:colOff>0</xdr:colOff>
                    <xdr:row>634</xdr:row>
                    <xdr:rowOff>0</xdr:rowOff>
                  </from>
                  <to>
                    <xdr:col>22</xdr:col>
                    <xdr:colOff>177800</xdr:colOff>
                    <xdr:row>634</xdr:row>
                    <xdr:rowOff>177800</xdr:rowOff>
                  </to>
                </anchor>
              </controlPr>
            </control>
          </mc:Choice>
        </mc:AlternateContent>
        <mc:AlternateContent xmlns:mc="http://schemas.openxmlformats.org/markup-compatibility/2006">
          <mc:Choice Requires="x14">
            <control shapeId="15692" r:id="rId120" name="Check Box 332">
              <controlPr locked="0" defaultSize="0" autoFill="0" autoLine="0" autoPict="0">
                <anchor moveWithCells="1" sizeWithCells="1">
                  <from>
                    <xdr:col>22</xdr:col>
                    <xdr:colOff>0</xdr:colOff>
                    <xdr:row>635</xdr:row>
                    <xdr:rowOff>0</xdr:rowOff>
                  </from>
                  <to>
                    <xdr:col>22</xdr:col>
                    <xdr:colOff>177800</xdr:colOff>
                    <xdr:row>635</xdr:row>
                    <xdr:rowOff>177800</xdr:rowOff>
                  </to>
                </anchor>
              </controlPr>
            </control>
          </mc:Choice>
        </mc:AlternateContent>
        <mc:AlternateContent xmlns:mc="http://schemas.openxmlformats.org/markup-compatibility/2006">
          <mc:Choice Requires="x14">
            <control shapeId="15693" r:id="rId121" name="Check Box 333">
              <controlPr locked="0" defaultSize="0" autoFill="0" autoLine="0" autoPict="0">
                <anchor moveWithCells="1" sizeWithCells="1">
                  <from>
                    <xdr:col>22</xdr:col>
                    <xdr:colOff>0</xdr:colOff>
                    <xdr:row>636</xdr:row>
                    <xdr:rowOff>0</xdr:rowOff>
                  </from>
                  <to>
                    <xdr:col>22</xdr:col>
                    <xdr:colOff>177800</xdr:colOff>
                    <xdr:row>636</xdr:row>
                    <xdr:rowOff>177800</xdr:rowOff>
                  </to>
                </anchor>
              </controlPr>
            </control>
          </mc:Choice>
        </mc:AlternateContent>
        <mc:AlternateContent xmlns:mc="http://schemas.openxmlformats.org/markup-compatibility/2006">
          <mc:Choice Requires="x14">
            <control shapeId="15694" r:id="rId122" name="Check Box 334">
              <controlPr locked="0" defaultSize="0" autoFill="0" autoLine="0" autoPict="0">
                <anchor moveWithCells="1" sizeWithCells="1">
                  <from>
                    <xdr:col>22</xdr:col>
                    <xdr:colOff>0</xdr:colOff>
                    <xdr:row>687</xdr:row>
                    <xdr:rowOff>0</xdr:rowOff>
                  </from>
                  <to>
                    <xdr:col>22</xdr:col>
                    <xdr:colOff>177800</xdr:colOff>
                    <xdr:row>687</xdr:row>
                    <xdr:rowOff>177800</xdr:rowOff>
                  </to>
                </anchor>
              </controlPr>
            </control>
          </mc:Choice>
        </mc:AlternateContent>
        <mc:AlternateContent xmlns:mc="http://schemas.openxmlformats.org/markup-compatibility/2006">
          <mc:Choice Requires="x14">
            <control shapeId="15695" r:id="rId123" name="Check Box 335">
              <controlPr locked="0" defaultSize="0" autoFill="0" autoLine="0" autoPict="0">
                <anchor moveWithCells="1" sizeWithCells="1">
                  <from>
                    <xdr:col>22</xdr:col>
                    <xdr:colOff>0</xdr:colOff>
                    <xdr:row>692</xdr:row>
                    <xdr:rowOff>0</xdr:rowOff>
                  </from>
                  <to>
                    <xdr:col>22</xdr:col>
                    <xdr:colOff>177800</xdr:colOff>
                    <xdr:row>692</xdr:row>
                    <xdr:rowOff>177800</xdr:rowOff>
                  </to>
                </anchor>
              </controlPr>
            </control>
          </mc:Choice>
        </mc:AlternateContent>
        <mc:AlternateContent xmlns:mc="http://schemas.openxmlformats.org/markup-compatibility/2006">
          <mc:Choice Requires="x14">
            <control shapeId="15696" r:id="rId124" name="Check Box 336">
              <controlPr locked="0" defaultSize="0" autoFill="0" autoLine="0" autoPict="0">
                <anchor moveWithCells="1" sizeWithCells="1">
                  <from>
                    <xdr:col>22</xdr:col>
                    <xdr:colOff>0</xdr:colOff>
                    <xdr:row>698</xdr:row>
                    <xdr:rowOff>0</xdr:rowOff>
                  </from>
                  <to>
                    <xdr:col>22</xdr:col>
                    <xdr:colOff>177800</xdr:colOff>
                    <xdr:row>698</xdr:row>
                    <xdr:rowOff>177800</xdr:rowOff>
                  </to>
                </anchor>
              </controlPr>
            </control>
          </mc:Choice>
        </mc:AlternateContent>
        <mc:AlternateContent xmlns:mc="http://schemas.openxmlformats.org/markup-compatibility/2006">
          <mc:Choice Requires="x14">
            <control shapeId="15697" r:id="rId125" name="Check Box 337">
              <controlPr locked="0" defaultSize="0" autoFill="0" autoLine="0" autoPict="0">
                <anchor moveWithCells="1" sizeWithCells="1">
                  <from>
                    <xdr:col>22</xdr:col>
                    <xdr:colOff>0</xdr:colOff>
                    <xdr:row>732</xdr:row>
                    <xdr:rowOff>0</xdr:rowOff>
                  </from>
                  <to>
                    <xdr:col>22</xdr:col>
                    <xdr:colOff>177800</xdr:colOff>
                    <xdr:row>732</xdr:row>
                    <xdr:rowOff>177800</xdr:rowOff>
                  </to>
                </anchor>
              </controlPr>
            </control>
          </mc:Choice>
        </mc:AlternateContent>
        <mc:AlternateContent xmlns:mc="http://schemas.openxmlformats.org/markup-compatibility/2006">
          <mc:Choice Requires="x14">
            <control shapeId="15698" r:id="rId126" name="Check Box 338">
              <controlPr locked="0" defaultSize="0" autoFill="0" autoLine="0" autoPict="0">
                <anchor moveWithCells="1" sizeWithCells="1">
                  <from>
                    <xdr:col>22</xdr:col>
                    <xdr:colOff>0</xdr:colOff>
                    <xdr:row>741</xdr:row>
                    <xdr:rowOff>0</xdr:rowOff>
                  </from>
                  <to>
                    <xdr:col>22</xdr:col>
                    <xdr:colOff>177800</xdr:colOff>
                    <xdr:row>741</xdr:row>
                    <xdr:rowOff>177800</xdr:rowOff>
                  </to>
                </anchor>
              </controlPr>
            </control>
          </mc:Choice>
        </mc:AlternateContent>
        <mc:AlternateContent xmlns:mc="http://schemas.openxmlformats.org/markup-compatibility/2006">
          <mc:Choice Requires="x14">
            <control shapeId="15699" r:id="rId127" name="Check Box 339">
              <controlPr locked="0" defaultSize="0" autoFill="0" autoLine="0" autoPict="0">
                <anchor moveWithCells="1" sizeWithCells="1">
                  <from>
                    <xdr:col>22</xdr:col>
                    <xdr:colOff>0</xdr:colOff>
                    <xdr:row>748</xdr:row>
                    <xdr:rowOff>0</xdr:rowOff>
                  </from>
                  <to>
                    <xdr:col>22</xdr:col>
                    <xdr:colOff>177800</xdr:colOff>
                    <xdr:row>748</xdr:row>
                    <xdr:rowOff>177800</xdr:rowOff>
                  </to>
                </anchor>
              </controlPr>
            </control>
          </mc:Choice>
        </mc:AlternateContent>
        <mc:AlternateContent xmlns:mc="http://schemas.openxmlformats.org/markup-compatibility/2006">
          <mc:Choice Requires="x14">
            <control shapeId="15700" r:id="rId128" name="Check Box 340">
              <controlPr locked="0" defaultSize="0" autoFill="0" autoLine="0" autoPict="0">
                <anchor moveWithCells="1" sizeWithCells="1">
                  <from>
                    <xdr:col>22</xdr:col>
                    <xdr:colOff>0</xdr:colOff>
                    <xdr:row>827</xdr:row>
                    <xdr:rowOff>0</xdr:rowOff>
                  </from>
                  <to>
                    <xdr:col>22</xdr:col>
                    <xdr:colOff>177800</xdr:colOff>
                    <xdr:row>827</xdr:row>
                    <xdr:rowOff>177800</xdr:rowOff>
                  </to>
                </anchor>
              </controlPr>
            </control>
          </mc:Choice>
        </mc:AlternateContent>
        <mc:AlternateContent xmlns:mc="http://schemas.openxmlformats.org/markup-compatibility/2006">
          <mc:Choice Requires="x14">
            <control shapeId="15701" r:id="rId129" name="Check Box 341">
              <controlPr locked="0" defaultSize="0" autoFill="0" autoLine="0" autoPict="0">
                <anchor moveWithCells="1" sizeWithCells="1">
                  <from>
                    <xdr:col>22</xdr:col>
                    <xdr:colOff>0</xdr:colOff>
                    <xdr:row>828</xdr:row>
                    <xdr:rowOff>0</xdr:rowOff>
                  </from>
                  <to>
                    <xdr:col>22</xdr:col>
                    <xdr:colOff>177800</xdr:colOff>
                    <xdr:row>828</xdr:row>
                    <xdr:rowOff>177800</xdr:rowOff>
                  </to>
                </anchor>
              </controlPr>
            </control>
          </mc:Choice>
        </mc:AlternateContent>
        <mc:AlternateContent xmlns:mc="http://schemas.openxmlformats.org/markup-compatibility/2006">
          <mc:Choice Requires="x14">
            <control shapeId="15702" r:id="rId130" name="Check Box 342">
              <controlPr locked="0" defaultSize="0" autoFill="0" autoLine="0" autoPict="0">
                <anchor moveWithCells="1" sizeWithCells="1">
                  <from>
                    <xdr:col>22</xdr:col>
                    <xdr:colOff>0</xdr:colOff>
                    <xdr:row>832</xdr:row>
                    <xdr:rowOff>0</xdr:rowOff>
                  </from>
                  <to>
                    <xdr:col>22</xdr:col>
                    <xdr:colOff>177800</xdr:colOff>
                    <xdr:row>832</xdr:row>
                    <xdr:rowOff>177800</xdr:rowOff>
                  </to>
                </anchor>
              </controlPr>
            </control>
          </mc:Choice>
        </mc:AlternateContent>
        <mc:AlternateContent xmlns:mc="http://schemas.openxmlformats.org/markup-compatibility/2006">
          <mc:Choice Requires="x14">
            <control shapeId="15703" r:id="rId131" name="Check Box 343">
              <controlPr locked="0" defaultSize="0" autoFill="0" autoLine="0" autoPict="0">
                <anchor moveWithCells="1" sizeWithCells="1">
                  <from>
                    <xdr:col>22</xdr:col>
                    <xdr:colOff>0</xdr:colOff>
                    <xdr:row>830</xdr:row>
                    <xdr:rowOff>0</xdr:rowOff>
                  </from>
                  <to>
                    <xdr:col>22</xdr:col>
                    <xdr:colOff>177800</xdr:colOff>
                    <xdr:row>830</xdr:row>
                    <xdr:rowOff>177800</xdr:rowOff>
                  </to>
                </anchor>
              </controlPr>
            </control>
          </mc:Choice>
        </mc:AlternateContent>
        <mc:AlternateContent xmlns:mc="http://schemas.openxmlformats.org/markup-compatibility/2006">
          <mc:Choice Requires="x14">
            <control shapeId="15704" r:id="rId132" name="Check Box 344">
              <controlPr locked="0" defaultSize="0" autoFill="0" autoLine="0" autoPict="0">
                <anchor moveWithCells="1" sizeWithCells="1">
                  <from>
                    <xdr:col>22</xdr:col>
                    <xdr:colOff>0</xdr:colOff>
                    <xdr:row>834</xdr:row>
                    <xdr:rowOff>0</xdr:rowOff>
                  </from>
                  <to>
                    <xdr:col>22</xdr:col>
                    <xdr:colOff>177800</xdr:colOff>
                    <xdr:row>834</xdr:row>
                    <xdr:rowOff>177800</xdr:rowOff>
                  </to>
                </anchor>
              </controlPr>
            </control>
          </mc:Choice>
        </mc:AlternateContent>
        <mc:AlternateContent xmlns:mc="http://schemas.openxmlformats.org/markup-compatibility/2006">
          <mc:Choice Requires="x14">
            <control shapeId="15705" r:id="rId133" name="Check Box 345">
              <controlPr locked="0" defaultSize="0" autoFill="0" autoLine="0" autoPict="0">
                <anchor moveWithCells="1" sizeWithCells="1">
                  <from>
                    <xdr:col>22</xdr:col>
                    <xdr:colOff>0</xdr:colOff>
                    <xdr:row>836</xdr:row>
                    <xdr:rowOff>0</xdr:rowOff>
                  </from>
                  <to>
                    <xdr:col>22</xdr:col>
                    <xdr:colOff>177800</xdr:colOff>
                    <xdr:row>836</xdr:row>
                    <xdr:rowOff>177800</xdr:rowOff>
                  </to>
                </anchor>
              </controlPr>
            </control>
          </mc:Choice>
        </mc:AlternateContent>
        <mc:AlternateContent xmlns:mc="http://schemas.openxmlformats.org/markup-compatibility/2006">
          <mc:Choice Requires="x14">
            <control shapeId="15706" r:id="rId134" name="Check Box 346">
              <controlPr locked="0" defaultSize="0" autoFill="0" autoLine="0" autoPict="0">
                <anchor moveWithCells="1" sizeWithCells="1">
                  <from>
                    <xdr:col>22</xdr:col>
                    <xdr:colOff>0</xdr:colOff>
                    <xdr:row>838</xdr:row>
                    <xdr:rowOff>0</xdr:rowOff>
                  </from>
                  <to>
                    <xdr:col>22</xdr:col>
                    <xdr:colOff>177800</xdr:colOff>
                    <xdr:row>838</xdr:row>
                    <xdr:rowOff>177800</xdr:rowOff>
                  </to>
                </anchor>
              </controlPr>
            </control>
          </mc:Choice>
        </mc:AlternateContent>
        <mc:AlternateContent xmlns:mc="http://schemas.openxmlformats.org/markup-compatibility/2006">
          <mc:Choice Requires="x14">
            <control shapeId="15707" r:id="rId135" name="Check Box 347">
              <controlPr locked="0" defaultSize="0" autoFill="0" autoLine="0" autoPict="0">
                <anchor moveWithCells="1" sizeWithCells="1">
                  <from>
                    <xdr:col>22</xdr:col>
                    <xdr:colOff>0</xdr:colOff>
                    <xdr:row>842</xdr:row>
                    <xdr:rowOff>0</xdr:rowOff>
                  </from>
                  <to>
                    <xdr:col>22</xdr:col>
                    <xdr:colOff>177800</xdr:colOff>
                    <xdr:row>842</xdr:row>
                    <xdr:rowOff>177800</xdr:rowOff>
                  </to>
                </anchor>
              </controlPr>
            </control>
          </mc:Choice>
        </mc:AlternateContent>
        <mc:AlternateContent xmlns:mc="http://schemas.openxmlformats.org/markup-compatibility/2006">
          <mc:Choice Requires="x14">
            <control shapeId="15708" r:id="rId136" name="Check Box 348">
              <controlPr locked="0" defaultSize="0" autoFill="0" autoLine="0" autoPict="0">
                <anchor moveWithCells="1" sizeWithCells="1">
                  <from>
                    <xdr:col>22</xdr:col>
                    <xdr:colOff>0</xdr:colOff>
                    <xdr:row>847</xdr:row>
                    <xdr:rowOff>0</xdr:rowOff>
                  </from>
                  <to>
                    <xdr:col>22</xdr:col>
                    <xdr:colOff>177800</xdr:colOff>
                    <xdr:row>847</xdr:row>
                    <xdr:rowOff>177800</xdr:rowOff>
                  </to>
                </anchor>
              </controlPr>
            </control>
          </mc:Choice>
        </mc:AlternateContent>
        <mc:AlternateContent xmlns:mc="http://schemas.openxmlformats.org/markup-compatibility/2006">
          <mc:Choice Requires="x14">
            <control shapeId="15709" r:id="rId137" name="Check Box 349">
              <controlPr locked="0" defaultSize="0" autoFill="0" autoLine="0" autoPict="0">
                <anchor moveWithCells="1" sizeWithCells="1">
                  <from>
                    <xdr:col>22</xdr:col>
                    <xdr:colOff>0</xdr:colOff>
                    <xdr:row>851</xdr:row>
                    <xdr:rowOff>0</xdr:rowOff>
                  </from>
                  <to>
                    <xdr:col>22</xdr:col>
                    <xdr:colOff>177800</xdr:colOff>
                    <xdr:row>851</xdr:row>
                    <xdr:rowOff>177800</xdr:rowOff>
                  </to>
                </anchor>
              </controlPr>
            </control>
          </mc:Choice>
        </mc:AlternateContent>
        <mc:AlternateContent xmlns:mc="http://schemas.openxmlformats.org/markup-compatibility/2006">
          <mc:Choice Requires="x14">
            <control shapeId="15710" r:id="rId138" name="Check Box 350">
              <controlPr locked="0" defaultSize="0" autoFill="0" autoLine="0" autoPict="0">
                <anchor moveWithCells="1" sizeWithCells="1">
                  <from>
                    <xdr:col>22</xdr:col>
                    <xdr:colOff>0</xdr:colOff>
                    <xdr:row>853</xdr:row>
                    <xdr:rowOff>0</xdr:rowOff>
                  </from>
                  <to>
                    <xdr:col>22</xdr:col>
                    <xdr:colOff>177800</xdr:colOff>
                    <xdr:row>853</xdr:row>
                    <xdr:rowOff>177800</xdr:rowOff>
                  </to>
                </anchor>
              </controlPr>
            </control>
          </mc:Choice>
        </mc:AlternateContent>
        <mc:AlternateContent xmlns:mc="http://schemas.openxmlformats.org/markup-compatibility/2006">
          <mc:Choice Requires="x14">
            <control shapeId="15711" r:id="rId139" name="Check Box 351">
              <controlPr locked="0" defaultSize="0" autoFill="0" autoLine="0" autoPict="0">
                <anchor moveWithCells="1" sizeWithCells="1">
                  <from>
                    <xdr:col>22</xdr:col>
                    <xdr:colOff>0</xdr:colOff>
                    <xdr:row>855</xdr:row>
                    <xdr:rowOff>0</xdr:rowOff>
                  </from>
                  <to>
                    <xdr:col>22</xdr:col>
                    <xdr:colOff>177800</xdr:colOff>
                    <xdr:row>855</xdr:row>
                    <xdr:rowOff>177800</xdr:rowOff>
                  </to>
                </anchor>
              </controlPr>
            </control>
          </mc:Choice>
        </mc:AlternateContent>
        <mc:AlternateContent xmlns:mc="http://schemas.openxmlformats.org/markup-compatibility/2006">
          <mc:Choice Requires="x14">
            <control shapeId="15712" r:id="rId140" name="Check Box 352">
              <controlPr locked="0" defaultSize="0" autoFill="0" autoLine="0" autoPict="0">
                <anchor moveWithCells="1" sizeWithCells="1">
                  <from>
                    <xdr:col>22</xdr:col>
                    <xdr:colOff>0</xdr:colOff>
                    <xdr:row>856</xdr:row>
                    <xdr:rowOff>0</xdr:rowOff>
                  </from>
                  <to>
                    <xdr:col>22</xdr:col>
                    <xdr:colOff>177800</xdr:colOff>
                    <xdr:row>856</xdr:row>
                    <xdr:rowOff>177800</xdr:rowOff>
                  </to>
                </anchor>
              </controlPr>
            </control>
          </mc:Choice>
        </mc:AlternateContent>
        <mc:AlternateContent xmlns:mc="http://schemas.openxmlformats.org/markup-compatibility/2006">
          <mc:Choice Requires="x14">
            <control shapeId="15713" r:id="rId141" name="Check Box 353">
              <controlPr locked="0" defaultSize="0" autoFill="0" autoLine="0" autoPict="0">
                <anchor moveWithCells="1" sizeWithCells="1">
                  <from>
                    <xdr:col>22</xdr:col>
                    <xdr:colOff>0</xdr:colOff>
                    <xdr:row>857</xdr:row>
                    <xdr:rowOff>0</xdr:rowOff>
                  </from>
                  <to>
                    <xdr:col>22</xdr:col>
                    <xdr:colOff>177800</xdr:colOff>
                    <xdr:row>857</xdr:row>
                    <xdr:rowOff>177800</xdr:rowOff>
                  </to>
                </anchor>
              </controlPr>
            </control>
          </mc:Choice>
        </mc:AlternateContent>
        <mc:AlternateContent xmlns:mc="http://schemas.openxmlformats.org/markup-compatibility/2006">
          <mc:Choice Requires="x14">
            <control shapeId="15714" r:id="rId142" name="Check Box 354">
              <controlPr locked="0" defaultSize="0" autoFill="0" autoLine="0" autoPict="0">
                <anchor moveWithCells="1" sizeWithCells="1">
                  <from>
                    <xdr:col>22</xdr:col>
                    <xdr:colOff>0</xdr:colOff>
                    <xdr:row>861</xdr:row>
                    <xdr:rowOff>0</xdr:rowOff>
                  </from>
                  <to>
                    <xdr:col>22</xdr:col>
                    <xdr:colOff>177800</xdr:colOff>
                    <xdr:row>861</xdr:row>
                    <xdr:rowOff>177800</xdr:rowOff>
                  </to>
                </anchor>
              </controlPr>
            </control>
          </mc:Choice>
        </mc:AlternateContent>
        <mc:AlternateContent xmlns:mc="http://schemas.openxmlformats.org/markup-compatibility/2006">
          <mc:Choice Requires="x14">
            <control shapeId="15805" r:id="rId143" name="Check Box 445">
              <controlPr locked="0" defaultSize="0" autoFill="0" autoLine="0" autoPict="0">
                <anchor moveWithCells="1" sizeWithCells="1">
                  <from>
                    <xdr:col>22</xdr:col>
                    <xdr:colOff>0</xdr:colOff>
                    <xdr:row>892</xdr:row>
                    <xdr:rowOff>0</xdr:rowOff>
                  </from>
                  <to>
                    <xdr:col>22</xdr:col>
                    <xdr:colOff>177800</xdr:colOff>
                    <xdr:row>892</xdr:row>
                    <xdr:rowOff>177800</xdr:rowOff>
                  </to>
                </anchor>
              </controlPr>
            </control>
          </mc:Choice>
        </mc:AlternateContent>
        <mc:AlternateContent xmlns:mc="http://schemas.openxmlformats.org/markup-compatibility/2006">
          <mc:Choice Requires="x14">
            <control shapeId="15806" r:id="rId144" name="Check Box 446">
              <controlPr locked="0" defaultSize="0" autoFill="0" autoLine="0" autoPict="0">
                <anchor moveWithCells="1" sizeWithCells="1">
                  <from>
                    <xdr:col>22</xdr:col>
                    <xdr:colOff>0</xdr:colOff>
                    <xdr:row>901</xdr:row>
                    <xdr:rowOff>0</xdr:rowOff>
                  </from>
                  <to>
                    <xdr:col>22</xdr:col>
                    <xdr:colOff>177800</xdr:colOff>
                    <xdr:row>901</xdr:row>
                    <xdr:rowOff>177800</xdr:rowOff>
                  </to>
                </anchor>
              </controlPr>
            </control>
          </mc:Choice>
        </mc:AlternateContent>
        <mc:AlternateContent xmlns:mc="http://schemas.openxmlformats.org/markup-compatibility/2006">
          <mc:Choice Requires="x14">
            <control shapeId="15807" r:id="rId145" name="Check Box 447">
              <controlPr locked="0" defaultSize="0" autoFill="0" autoLine="0" autoPict="0">
                <anchor moveWithCells="1" sizeWithCells="1">
                  <from>
                    <xdr:col>22</xdr:col>
                    <xdr:colOff>0</xdr:colOff>
                    <xdr:row>904</xdr:row>
                    <xdr:rowOff>0</xdr:rowOff>
                  </from>
                  <to>
                    <xdr:col>22</xdr:col>
                    <xdr:colOff>177800</xdr:colOff>
                    <xdr:row>904</xdr:row>
                    <xdr:rowOff>177800</xdr:rowOff>
                  </to>
                </anchor>
              </controlPr>
            </control>
          </mc:Choice>
        </mc:AlternateContent>
        <mc:AlternateContent xmlns:mc="http://schemas.openxmlformats.org/markup-compatibility/2006">
          <mc:Choice Requires="x14">
            <control shapeId="15808" r:id="rId146" name="Check Box 448">
              <controlPr locked="0" defaultSize="0" autoFill="0" autoLine="0" autoPict="0">
                <anchor moveWithCells="1" sizeWithCells="1">
                  <from>
                    <xdr:col>22</xdr:col>
                    <xdr:colOff>0</xdr:colOff>
                    <xdr:row>907</xdr:row>
                    <xdr:rowOff>0</xdr:rowOff>
                  </from>
                  <to>
                    <xdr:col>22</xdr:col>
                    <xdr:colOff>177800</xdr:colOff>
                    <xdr:row>907</xdr:row>
                    <xdr:rowOff>177800</xdr:rowOff>
                  </to>
                </anchor>
              </controlPr>
            </control>
          </mc:Choice>
        </mc:AlternateContent>
        <mc:AlternateContent xmlns:mc="http://schemas.openxmlformats.org/markup-compatibility/2006">
          <mc:Choice Requires="x14">
            <control shapeId="15809" r:id="rId147" name="Check Box 449">
              <controlPr locked="0" defaultSize="0" autoFill="0" autoLine="0" autoPict="0">
                <anchor moveWithCells="1" sizeWithCells="1">
                  <from>
                    <xdr:col>22</xdr:col>
                    <xdr:colOff>0</xdr:colOff>
                    <xdr:row>911</xdr:row>
                    <xdr:rowOff>0</xdr:rowOff>
                  </from>
                  <to>
                    <xdr:col>22</xdr:col>
                    <xdr:colOff>177800</xdr:colOff>
                    <xdr:row>911</xdr:row>
                    <xdr:rowOff>177800</xdr:rowOff>
                  </to>
                </anchor>
              </controlPr>
            </control>
          </mc:Choice>
        </mc:AlternateContent>
        <mc:AlternateContent xmlns:mc="http://schemas.openxmlformats.org/markup-compatibility/2006">
          <mc:Choice Requires="x14">
            <control shapeId="15811" r:id="rId148" name="Check Box 451">
              <controlPr locked="0" defaultSize="0" autoFill="0" autoLine="0" autoPict="0">
                <anchor moveWithCells="1" sizeWithCells="1">
                  <from>
                    <xdr:col>22</xdr:col>
                    <xdr:colOff>0</xdr:colOff>
                    <xdr:row>951</xdr:row>
                    <xdr:rowOff>0</xdr:rowOff>
                  </from>
                  <to>
                    <xdr:col>22</xdr:col>
                    <xdr:colOff>177800</xdr:colOff>
                    <xdr:row>951</xdr:row>
                    <xdr:rowOff>177800</xdr:rowOff>
                  </to>
                </anchor>
              </controlPr>
            </control>
          </mc:Choice>
        </mc:AlternateContent>
        <mc:AlternateContent xmlns:mc="http://schemas.openxmlformats.org/markup-compatibility/2006">
          <mc:Choice Requires="x14">
            <control shapeId="15812" r:id="rId149" name="Check Box 452">
              <controlPr locked="0" defaultSize="0" autoFill="0" autoLine="0" autoPict="0">
                <anchor moveWithCells="1" sizeWithCells="1">
                  <from>
                    <xdr:col>22</xdr:col>
                    <xdr:colOff>0</xdr:colOff>
                    <xdr:row>954</xdr:row>
                    <xdr:rowOff>0</xdr:rowOff>
                  </from>
                  <to>
                    <xdr:col>22</xdr:col>
                    <xdr:colOff>177800</xdr:colOff>
                    <xdr:row>954</xdr:row>
                    <xdr:rowOff>177800</xdr:rowOff>
                  </to>
                </anchor>
              </controlPr>
            </control>
          </mc:Choice>
        </mc:AlternateContent>
        <mc:AlternateContent xmlns:mc="http://schemas.openxmlformats.org/markup-compatibility/2006">
          <mc:Choice Requires="x14">
            <control shapeId="15816" r:id="rId150" name="Check Box 456">
              <controlPr locked="0" defaultSize="0" autoFill="0" autoLine="0" autoPict="0">
                <anchor moveWithCells="1" sizeWithCells="1">
                  <from>
                    <xdr:col>22</xdr:col>
                    <xdr:colOff>0</xdr:colOff>
                    <xdr:row>999</xdr:row>
                    <xdr:rowOff>0</xdr:rowOff>
                  </from>
                  <to>
                    <xdr:col>22</xdr:col>
                    <xdr:colOff>177800</xdr:colOff>
                    <xdr:row>999</xdr:row>
                    <xdr:rowOff>177800</xdr:rowOff>
                  </to>
                </anchor>
              </controlPr>
            </control>
          </mc:Choice>
        </mc:AlternateContent>
        <mc:AlternateContent xmlns:mc="http://schemas.openxmlformats.org/markup-compatibility/2006">
          <mc:Choice Requires="x14">
            <control shapeId="15982" r:id="rId151" name="Check Box 622">
              <controlPr locked="0" defaultSize="0" autoFill="0" autoLine="0" autoPict="0">
                <anchor moveWithCells="1" sizeWithCells="1">
                  <from>
                    <xdr:col>22</xdr:col>
                    <xdr:colOff>0</xdr:colOff>
                    <xdr:row>1858</xdr:row>
                    <xdr:rowOff>0</xdr:rowOff>
                  </from>
                  <to>
                    <xdr:col>22</xdr:col>
                    <xdr:colOff>177800</xdr:colOff>
                    <xdr:row>1858</xdr:row>
                    <xdr:rowOff>177800</xdr:rowOff>
                  </to>
                </anchor>
              </controlPr>
            </control>
          </mc:Choice>
        </mc:AlternateContent>
        <mc:AlternateContent xmlns:mc="http://schemas.openxmlformats.org/markup-compatibility/2006">
          <mc:Choice Requires="x14">
            <control shapeId="15983" r:id="rId152" name="Check Box 623">
              <controlPr locked="0" defaultSize="0" autoFill="0" autoLine="0" autoPict="0">
                <anchor moveWithCells="1" sizeWithCells="1">
                  <from>
                    <xdr:col>22</xdr:col>
                    <xdr:colOff>0</xdr:colOff>
                    <xdr:row>1864</xdr:row>
                    <xdr:rowOff>0</xdr:rowOff>
                  </from>
                  <to>
                    <xdr:col>22</xdr:col>
                    <xdr:colOff>177800</xdr:colOff>
                    <xdr:row>1864</xdr:row>
                    <xdr:rowOff>177800</xdr:rowOff>
                  </to>
                </anchor>
              </controlPr>
            </control>
          </mc:Choice>
        </mc:AlternateContent>
        <mc:AlternateContent xmlns:mc="http://schemas.openxmlformats.org/markup-compatibility/2006">
          <mc:Choice Requires="x14">
            <control shapeId="15984" r:id="rId153" name="Check Box 624">
              <controlPr locked="0" defaultSize="0" autoFill="0" autoLine="0" autoPict="0">
                <anchor moveWithCells="1" sizeWithCells="1">
                  <from>
                    <xdr:col>22</xdr:col>
                    <xdr:colOff>0</xdr:colOff>
                    <xdr:row>1880</xdr:row>
                    <xdr:rowOff>0</xdr:rowOff>
                  </from>
                  <to>
                    <xdr:col>22</xdr:col>
                    <xdr:colOff>177800</xdr:colOff>
                    <xdr:row>1880</xdr:row>
                    <xdr:rowOff>177800</xdr:rowOff>
                  </to>
                </anchor>
              </controlPr>
            </control>
          </mc:Choice>
        </mc:AlternateContent>
        <mc:AlternateContent xmlns:mc="http://schemas.openxmlformats.org/markup-compatibility/2006">
          <mc:Choice Requires="x14">
            <control shapeId="15985" r:id="rId154" name="Check Box 625">
              <controlPr locked="0" defaultSize="0" autoFill="0" autoLine="0" autoPict="0">
                <anchor moveWithCells="1" sizeWithCells="1">
                  <from>
                    <xdr:col>22</xdr:col>
                    <xdr:colOff>0</xdr:colOff>
                    <xdr:row>1908</xdr:row>
                    <xdr:rowOff>0</xdr:rowOff>
                  </from>
                  <to>
                    <xdr:col>22</xdr:col>
                    <xdr:colOff>177800</xdr:colOff>
                    <xdr:row>1908</xdr:row>
                    <xdr:rowOff>177800</xdr:rowOff>
                  </to>
                </anchor>
              </controlPr>
            </control>
          </mc:Choice>
        </mc:AlternateContent>
        <mc:AlternateContent xmlns:mc="http://schemas.openxmlformats.org/markup-compatibility/2006">
          <mc:Choice Requires="x14">
            <control shapeId="15986" r:id="rId155" name="Check Box 626">
              <controlPr locked="0" defaultSize="0" autoFill="0" autoLine="0" autoPict="0">
                <anchor moveWithCells="1" sizeWithCells="1">
                  <from>
                    <xdr:col>22</xdr:col>
                    <xdr:colOff>0</xdr:colOff>
                    <xdr:row>1914</xdr:row>
                    <xdr:rowOff>0</xdr:rowOff>
                  </from>
                  <to>
                    <xdr:col>22</xdr:col>
                    <xdr:colOff>177800</xdr:colOff>
                    <xdr:row>1914</xdr:row>
                    <xdr:rowOff>177800</xdr:rowOff>
                  </to>
                </anchor>
              </controlPr>
            </control>
          </mc:Choice>
        </mc:AlternateContent>
        <mc:AlternateContent xmlns:mc="http://schemas.openxmlformats.org/markup-compatibility/2006">
          <mc:Choice Requires="x14">
            <control shapeId="15987" r:id="rId156" name="Check Box 627">
              <controlPr locked="0" defaultSize="0" autoFill="0" autoLine="0" autoPict="0">
                <anchor moveWithCells="1" sizeWithCells="1">
                  <from>
                    <xdr:col>22</xdr:col>
                    <xdr:colOff>0</xdr:colOff>
                    <xdr:row>1938</xdr:row>
                    <xdr:rowOff>0</xdr:rowOff>
                  </from>
                  <to>
                    <xdr:col>22</xdr:col>
                    <xdr:colOff>177800</xdr:colOff>
                    <xdr:row>1938</xdr:row>
                    <xdr:rowOff>177800</xdr:rowOff>
                  </to>
                </anchor>
              </controlPr>
            </control>
          </mc:Choice>
        </mc:AlternateContent>
        <mc:AlternateContent xmlns:mc="http://schemas.openxmlformats.org/markup-compatibility/2006">
          <mc:Choice Requires="x14">
            <control shapeId="15988" r:id="rId157" name="Check Box 628">
              <controlPr locked="0" defaultSize="0" autoFill="0" autoLine="0" autoPict="0">
                <anchor moveWithCells="1" sizeWithCells="1">
                  <from>
                    <xdr:col>22</xdr:col>
                    <xdr:colOff>0</xdr:colOff>
                    <xdr:row>1940</xdr:row>
                    <xdr:rowOff>0</xdr:rowOff>
                  </from>
                  <to>
                    <xdr:col>22</xdr:col>
                    <xdr:colOff>177800</xdr:colOff>
                    <xdr:row>1940</xdr:row>
                    <xdr:rowOff>177800</xdr:rowOff>
                  </to>
                </anchor>
              </controlPr>
            </control>
          </mc:Choice>
        </mc:AlternateContent>
        <mc:AlternateContent xmlns:mc="http://schemas.openxmlformats.org/markup-compatibility/2006">
          <mc:Choice Requires="x14">
            <control shapeId="15989" r:id="rId158" name="Check Box 629">
              <controlPr locked="0" defaultSize="0" autoFill="0" autoLine="0" autoPict="0">
                <anchor moveWithCells="1" sizeWithCells="1">
                  <from>
                    <xdr:col>22</xdr:col>
                    <xdr:colOff>0</xdr:colOff>
                    <xdr:row>1943</xdr:row>
                    <xdr:rowOff>0</xdr:rowOff>
                  </from>
                  <to>
                    <xdr:col>22</xdr:col>
                    <xdr:colOff>177800</xdr:colOff>
                    <xdr:row>1943</xdr:row>
                    <xdr:rowOff>177800</xdr:rowOff>
                  </to>
                </anchor>
              </controlPr>
            </control>
          </mc:Choice>
        </mc:AlternateContent>
        <mc:AlternateContent xmlns:mc="http://schemas.openxmlformats.org/markup-compatibility/2006">
          <mc:Choice Requires="x14">
            <control shapeId="15990" r:id="rId159" name="Check Box 630">
              <controlPr locked="0" defaultSize="0" autoFill="0" autoLine="0" autoPict="0">
                <anchor moveWithCells="1" sizeWithCells="1">
                  <from>
                    <xdr:col>22</xdr:col>
                    <xdr:colOff>0</xdr:colOff>
                    <xdr:row>1967</xdr:row>
                    <xdr:rowOff>0</xdr:rowOff>
                  </from>
                  <to>
                    <xdr:col>22</xdr:col>
                    <xdr:colOff>177800</xdr:colOff>
                    <xdr:row>1967</xdr:row>
                    <xdr:rowOff>177800</xdr:rowOff>
                  </to>
                </anchor>
              </controlPr>
            </control>
          </mc:Choice>
        </mc:AlternateContent>
        <mc:AlternateContent xmlns:mc="http://schemas.openxmlformats.org/markup-compatibility/2006">
          <mc:Choice Requires="x14">
            <control shapeId="15991" r:id="rId160" name="Check Box 631">
              <controlPr locked="0" defaultSize="0" autoFill="0" autoLine="0" autoPict="0">
                <anchor moveWithCells="1" sizeWithCells="1">
                  <from>
                    <xdr:col>22</xdr:col>
                    <xdr:colOff>0</xdr:colOff>
                    <xdr:row>1979</xdr:row>
                    <xdr:rowOff>0</xdr:rowOff>
                  </from>
                  <to>
                    <xdr:col>22</xdr:col>
                    <xdr:colOff>177800</xdr:colOff>
                    <xdr:row>1979</xdr:row>
                    <xdr:rowOff>177800</xdr:rowOff>
                  </to>
                </anchor>
              </controlPr>
            </control>
          </mc:Choice>
        </mc:AlternateContent>
        <mc:AlternateContent xmlns:mc="http://schemas.openxmlformats.org/markup-compatibility/2006">
          <mc:Choice Requires="x14">
            <control shapeId="15992" r:id="rId161" name="Check Box 632">
              <controlPr locked="0" defaultSize="0" autoFill="0" autoLine="0" autoPict="0">
                <anchor moveWithCells="1" sizeWithCells="1">
                  <from>
                    <xdr:col>22</xdr:col>
                    <xdr:colOff>0</xdr:colOff>
                    <xdr:row>1981</xdr:row>
                    <xdr:rowOff>0</xdr:rowOff>
                  </from>
                  <to>
                    <xdr:col>22</xdr:col>
                    <xdr:colOff>177800</xdr:colOff>
                    <xdr:row>1981</xdr:row>
                    <xdr:rowOff>177800</xdr:rowOff>
                  </to>
                </anchor>
              </controlPr>
            </control>
          </mc:Choice>
        </mc:AlternateContent>
        <mc:AlternateContent xmlns:mc="http://schemas.openxmlformats.org/markup-compatibility/2006">
          <mc:Choice Requires="x14">
            <control shapeId="15993" r:id="rId162" name="Check Box 633">
              <controlPr locked="0" defaultSize="0" autoFill="0" autoLine="0" autoPict="0">
                <anchor moveWithCells="1" sizeWithCells="1">
                  <from>
                    <xdr:col>22</xdr:col>
                    <xdr:colOff>0</xdr:colOff>
                    <xdr:row>1982</xdr:row>
                    <xdr:rowOff>0</xdr:rowOff>
                  </from>
                  <to>
                    <xdr:col>22</xdr:col>
                    <xdr:colOff>177800</xdr:colOff>
                    <xdr:row>1982</xdr:row>
                    <xdr:rowOff>177800</xdr:rowOff>
                  </to>
                </anchor>
              </controlPr>
            </control>
          </mc:Choice>
        </mc:AlternateContent>
        <mc:AlternateContent xmlns:mc="http://schemas.openxmlformats.org/markup-compatibility/2006">
          <mc:Choice Requires="x14">
            <control shapeId="15994" r:id="rId163" name="Check Box 634">
              <controlPr locked="0" defaultSize="0" autoFill="0" autoLine="0" autoPict="0">
                <anchor moveWithCells="1" sizeWithCells="1">
                  <from>
                    <xdr:col>22</xdr:col>
                    <xdr:colOff>0</xdr:colOff>
                    <xdr:row>1984</xdr:row>
                    <xdr:rowOff>0</xdr:rowOff>
                  </from>
                  <to>
                    <xdr:col>22</xdr:col>
                    <xdr:colOff>177800</xdr:colOff>
                    <xdr:row>1984</xdr:row>
                    <xdr:rowOff>177800</xdr:rowOff>
                  </to>
                </anchor>
              </controlPr>
            </control>
          </mc:Choice>
        </mc:AlternateContent>
        <mc:AlternateContent xmlns:mc="http://schemas.openxmlformats.org/markup-compatibility/2006">
          <mc:Choice Requires="x14">
            <control shapeId="15995" r:id="rId164" name="Check Box 635">
              <controlPr locked="0" defaultSize="0" autoFill="0" autoLine="0" autoPict="0">
                <anchor moveWithCells="1" sizeWithCells="1">
                  <from>
                    <xdr:col>22</xdr:col>
                    <xdr:colOff>0</xdr:colOff>
                    <xdr:row>1989</xdr:row>
                    <xdr:rowOff>0</xdr:rowOff>
                  </from>
                  <to>
                    <xdr:col>22</xdr:col>
                    <xdr:colOff>177800</xdr:colOff>
                    <xdr:row>1989</xdr:row>
                    <xdr:rowOff>177800</xdr:rowOff>
                  </to>
                </anchor>
              </controlPr>
            </control>
          </mc:Choice>
        </mc:AlternateContent>
        <mc:AlternateContent xmlns:mc="http://schemas.openxmlformats.org/markup-compatibility/2006">
          <mc:Choice Requires="x14">
            <control shapeId="15996" r:id="rId165" name="Check Box 636">
              <controlPr locked="0" defaultSize="0" autoFill="0" autoLine="0" autoPict="0">
                <anchor moveWithCells="1" sizeWithCells="1">
                  <from>
                    <xdr:col>22</xdr:col>
                    <xdr:colOff>0</xdr:colOff>
                    <xdr:row>2002</xdr:row>
                    <xdr:rowOff>0</xdr:rowOff>
                  </from>
                  <to>
                    <xdr:col>22</xdr:col>
                    <xdr:colOff>177800</xdr:colOff>
                    <xdr:row>2002</xdr:row>
                    <xdr:rowOff>177800</xdr:rowOff>
                  </to>
                </anchor>
              </controlPr>
            </control>
          </mc:Choice>
        </mc:AlternateContent>
        <mc:AlternateContent xmlns:mc="http://schemas.openxmlformats.org/markup-compatibility/2006">
          <mc:Choice Requires="x14">
            <control shapeId="15997" r:id="rId166" name="Check Box 637">
              <controlPr locked="0" defaultSize="0" autoFill="0" autoLine="0" autoPict="0">
                <anchor moveWithCells="1" sizeWithCells="1">
                  <from>
                    <xdr:col>22</xdr:col>
                    <xdr:colOff>0</xdr:colOff>
                    <xdr:row>2007</xdr:row>
                    <xdr:rowOff>0</xdr:rowOff>
                  </from>
                  <to>
                    <xdr:col>22</xdr:col>
                    <xdr:colOff>177800</xdr:colOff>
                    <xdr:row>2007</xdr:row>
                    <xdr:rowOff>177800</xdr:rowOff>
                  </to>
                </anchor>
              </controlPr>
            </control>
          </mc:Choice>
        </mc:AlternateContent>
        <mc:AlternateContent xmlns:mc="http://schemas.openxmlformats.org/markup-compatibility/2006">
          <mc:Choice Requires="x14">
            <control shapeId="15998" r:id="rId167" name="Check Box 638">
              <controlPr locked="0" defaultSize="0" autoFill="0" autoLine="0" autoPict="0">
                <anchor moveWithCells="1" sizeWithCells="1">
                  <from>
                    <xdr:col>22</xdr:col>
                    <xdr:colOff>0</xdr:colOff>
                    <xdr:row>2008</xdr:row>
                    <xdr:rowOff>0</xdr:rowOff>
                  </from>
                  <to>
                    <xdr:col>22</xdr:col>
                    <xdr:colOff>177800</xdr:colOff>
                    <xdr:row>2008</xdr:row>
                    <xdr:rowOff>177800</xdr:rowOff>
                  </to>
                </anchor>
              </controlPr>
            </control>
          </mc:Choice>
        </mc:AlternateContent>
        <mc:AlternateContent xmlns:mc="http://schemas.openxmlformats.org/markup-compatibility/2006">
          <mc:Choice Requires="x14">
            <control shapeId="15999" r:id="rId168" name="Check Box 639">
              <controlPr locked="0" defaultSize="0" autoFill="0" autoLine="0" autoPict="0">
                <anchor moveWithCells="1" sizeWithCells="1">
                  <from>
                    <xdr:col>22</xdr:col>
                    <xdr:colOff>0</xdr:colOff>
                    <xdr:row>2012</xdr:row>
                    <xdr:rowOff>0</xdr:rowOff>
                  </from>
                  <to>
                    <xdr:col>22</xdr:col>
                    <xdr:colOff>177800</xdr:colOff>
                    <xdr:row>2012</xdr:row>
                    <xdr:rowOff>177800</xdr:rowOff>
                  </to>
                </anchor>
              </controlPr>
            </control>
          </mc:Choice>
        </mc:AlternateContent>
        <mc:AlternateContent xmlns:mc="http://schemas.openxmlformats.org/markup-compatibility/2006">
          <mc:Choice Requires="x14">
            <control shapeId="16000" r:id="rId169" name="Check Box 640">
              <controlPr locked="0" defaultSize="0" autoFill="0" autoLine="0" autoPict="0">
                <anchor moveWithCells="1" sizeWithCells="1">
                  <from>
                    <xdr:col>22</xdr:col>
                    <xdr:colOff>0</xdr:colOff>
                    <xdr:row>2027</xdr:row>
                    <xdr:rowOff>0</xdr:rowOff>
                  </from>
                  <to>
                    <xdr:col>22</xdr:col>
                    <xdr:colOff>177800</xdr:colOff>
                    <xdr:row>2027</xdr:row>
                    <xdr:rowOff>177800</xdr:rowOff>
                  </to>
                </anchor>
              </controlPr>
            </control>
          </mc:Choice>
        </mc:AlternateContent>
        <mc:AlternateContent xmlns:mc="http://schemas.openxmlformats.org/markup-compatibility/2006">
          <mc:Choice Requires="x14">
            <control shapeId="16001" r:id="rId170" name="Check Box 641">
              <controlPr locked="0" defaultSize="0" autoFill="0" autoLine="0" autoPict="0">
                <anchor moveWithCells="1" sizeWithCells="1">
                  <from>
                    <xdr:col>22</xdr:col>
                    <xdr:colOff>0</xdr:colOff>
                    <xdr:row>2028</xdr:row>
                    <xdr:rowOff>0</xdr:rowOff>
                  </from>
                  <to>
                    <xdr:col>22</xdr:col>
                    <xdr:colOff>177800</xdr:colOff>
                    <xdr:row>2028</xdr:row>
                    <xdr:rowOff>177800</xdr:rowOff>
                  </to>
                </anchor>
              </controlPr>
            </control>
          </mc:Choice>
        </mc:AlternateContent>
        <mc:AlternateContent xmlns:mc="http://schemas.openxmlformats.org/markup-compatibility/2006">
          <mc:Choice Requires="x14">
            <control shapeId="16002" r:id="rId171" name="Check Box 642">
              <controlPr locked="0" defaultSize="0" autoFill="0" autoLine="0" autoPict="0">
                <anchor moveWithCells="1" sizeWithCells="1">
                  <from>
                    <xdr:col>22</xdr:col>
                    <xdr:colOff>0</xdr:colOff>
                    <xdr:row>2031</xdr:row>
                    <xdr:rowOff>0</xdr:rowOff>
                  </from>
                  <to>
                    <xdr:col>22</xdr:col>
                    <xdr:colOff>177800</xdr:colOff>
                    <xdr:row>2031</xdr:row>
                    <xdr:rowOff>177800</xdr:rowOff>
                  </to>
                </anchor>
              </controlPr>
            </control>
          </mc:Choice>
        </mc:AlternateContent>
        <mc:AlternateContent xmlns:mc="http://schemas.openxmlformats.org/markup-compatibility/2006">
          <mc:Choice Requires="x14">
            <control shapeId="16003" r:id="rId172" name="Check Box 643">
              <controlPr locked="0" defaultSize="0" autoFill="0" autoLine="0" autoPict="0">
                <anchor moveWithCells="1" sizeWithCells="1">
                  <from>
                    <xdr:col>22</xdr:col>
                    <xdr:colOff>0</xdr:colOff>
                    <xdr:row>2033</xdr:row>
                    <xdr:rowOff>0</xdr:rowOff>
                  </from>
                  <to>
                    <xdr:col>22</xdr:col>
                    <xdr:colOff>177800</xdr:colOff>
                    <xdr:row>2033</xdr:row>
                    <xdr:rowOff>177800</xdr:rowOff>
                  </to>
                </anchor>
              </controlPr>
            </control>
          </mc:Choice>
        </mc:AlternateContent>
        <mc:AlternateContent xmlns:mc="http://schemas.openxmlformats.org/markup-compatibility/2006">
          <mc:Choice Requires="x14">
            <control shapeId="16004" r:id="rId173" name="Check Box 644">
              <controlPr locked="0" defaultSize="0" autoFill="0" autoLine="0" autoPict="0">
                <anchor moveWithCells="1" sizeWithCells="1">
                  <from>
                    <xdr:col>22</xdr:col>
                    <xdr:colOff>0</xdr:colOff>
                    <xdr:row>2041</xdr:row>
                    <xdr:rowOff>0</xdr:rowOff>
                  </from>
                  <to>
                    <xdr:col>22</xdr:col>
                    <xdr:colOff>177800</xdr:colOff>
                    <xdr:row>2041</xdr:row>
                    <xdr:rowOff>177800</xdr:rowOff>
                  </to>
                </anchor>
              </controlPr>
            </control>
          </mc:Choice>
        </mc:AlternateContent>
        <mc:AlternateContent xmlns:mc="http://schemas.openxmlformats.org/markup-compatibility/2006">
          <mc:Choice Requires="x14">
            <control shapeId="16005" r:id="rId174" name="Check Box 645">
              <controlPr locked="0" defaultSize="0" autoFill="0" autoLine="0" autoPict="0">
                <anchor moveWithCells="1" sizeWithCells="1">
                  <from>
                    <xdr:col>22</xdr:col>
                    <xdr:colOff>0</xdr:colOff>
                    <xdr:row>2043</xdr:row>
                    <xdr:rowOff>0</xdr:rowOff>
                  </from>
                  <to>
                    <xdr:col>22</xdr:col>
                    <xdr:colOff>177800</xdr:colOff>
                    <xdr:row>2043</xdr:row>
                    <xdr:rowOff>177800</xdr:rowOff>
                  </to>
                </anchor>
              </controlPr>
            </control>
          </mc:Choice>
        </mc:AlternateContent>
        <mc:AlternateContent xmlns:mc="http://schemas.openxmlformats.org/markup-compatibility/2006">
          <mc:Choice Requires="x14">
            <control shapeId="16006" r:id="rId175" name="Check Box 646">
              <controlPr locked="0" defaultSize="0" autoFill="0" autoLine="0" autoPict="0">
                <anchor moveWithCells="1" sizeWithCells="1">
                  <from>
                    <xdr:col>22</xdr:col>
                    <xdr:colOff>0</xdr:colOff>
                    <xdr:row>2047</xdr:row>
                    <xdr:rowOff>0</xdr:rowOff>
                  </from>
                  <to>
                    <xdr:col>22</xdr:col>
                    <xdr:colOff>177800</xdr:colOff>
                    <xdr:row>2047</xdr:row>
                    <xdr:rowOff>177800</xdr:rowOff>
                  </to>
                </anchor>
              </controlPr>
            </control>
          </mc:Choice>
        </mc:AlternateContent>
        <mc:AlternateContent xmlns:mc="http://schemas.openxmlformats.org/markup-compatibility/2006">
          <mc:Choice Requires="x14">
            <control shapeId="16007" r:id="rId176" name="Check Box 647">
              <controlPr locked="0" defaultSize="0" autoFill="0" autoLine="0" autoPict="0">
                <anchor moveWithCells="1" sizeWithCells="1">
                  <from>
                    <xdr:col>22</xdr:col>
                    <xdr:colOff>0</xdr:colOff>
                    <xdr:row>2054</xdr:row>
                    <xdr:rowOff>0</xdr:rowOff>
                  </from>
                  <to>
                    <xdr:col>22</xdr:col>
                    <xdr:colOff>177800</xdr:colOff>
                    <xdr:row>2054</xdr:row>
                    <xdr:rowOff>177800</xdr:rowOff>
                  </to>
                </anchor>
              </controlPr>
            </control>
          </mc:Choice>
        </mc:AlternateContent>
        <mc:AlternateContent xmlns:mc="http://schemas.openxmlformats.org/markup-compatibility/2006">
          <mc:Choice Requires="x14">
            <control shapeId="16008" r:id="rId177" name="Check Box 648">
              <controlPr locked="0" defaultSize="0" autoFill="0" autoLine="0" autoPict="0">
                <anchor moveWithCells="1" sizeWithCells="1">
                  <from>
                    <xdr:col>22</xdr:col>
                    <xdr:colOff>0</xdr:colOff>
                    <xdr:row>2065</xdr:row>
                    <xdr:rowOff>0</xdr:rowOff>
                  </from>
                  <to>
                    <xdr:col>22</xdr:col>
                    <xdr:colOff>177800</xdr:colOff>
                    <xdr:row>2065</xdr:row>
                    <xdr:rowOff>177800</xdr:rowOff>
                  </to>
                </anchor>
              </controlPr>
            </control>
          </mc:Choice>
        </mc:AlternateContent>
        <mc:AlternateContent xmlns:mc="http://schemas.openxmlformats.org/markup-compatibility/2006">
          <mc:Choice Requires="x14">
            <control shapeId="16009" r:id="rId178" name="Check Box 649">
              <controlPr locked="0" defaultSize="0" autoFill="0" autoLine="0" autoPict="0">
                <anchor moveWithCells="1" sizeWithCells="1">
                  <from>
                    <xdr:col>22</xdr:col>
                    <xdr:colOff>0</xdr:colOff>
                    <xdr:row>2067</xdr:row>
                    <xdr:rowOff>0</xdr:rowOff>
                  </from>
                  <to>
                    <xdr:col>22</xdr:col>
                    <xdr:colOff>177800</xdr:colOff>
                    <xdr:row>2067</xdr:row>
                    <xdr:rowOff>177800</xdr:rowOff>
                  </to>
                </anchor>
              </controlPr>
            </control>
          </mc:Choice>
        </mc:AlternateContent>
        <mc:AlternateContent xmlns:mc="http://schemas.openxmlformats.org/markup-compatibility/2006">
          <mc:Choice Requires="x14">
            <control shapeId="16010" r:id="rId179" name="Check Box 650">
              <controlPr locked="0" defaultSize="0" autoFill="0" autoLine="0" autoPict="0">
                <anchor moveWithCells="1" sizeWithCells="1">
                  <from>
                    <xdr:col>22</xdr:col>
                    <xdr:colOff>0</xdr:colOff>
                    <xdr:row>2069</xdr:row>
                    <xdr:rowOff>0</xdr:rowOff>
                  </from>
                  <to>
                    <xdr:col>22</xdr:col>
                    <xdr:colOff>177800</xdr:colOff>
                    <xdr:row>2069</xdr:row>
                    <xdr:rowOff>177800</xdr:rowOff>
                  </to>
                </anchor>
              </controlPr>
            </control>
          </mc:Choice>
        </mc:AlternateContent>
        <mc:AlternateContent xmlns:mc="http://schemas.openxmlformats.org/markup-compatibility/2006">
          <mc:Choice Requires="x14">
            <control shapeId="16011" r:id="rId180" name="Check Box 651">
              <controlPr locked="0" defaultSize="0" autoFill="0" autoLine="0" autoPict="0">
                <anchor moveWithCells="1" sizeWithCells="1">
                  <from>
                    <xdr:col>22</xdr:col>
                    <xdr:colOff>0</xdr:colOff>
                    <xdr:row>2087</xdr:row>
                    <xdr:rowOff>0</xdr:rowOff>
                  </from>
                  <to>
                    <xdr:col>22</xdr:col>
                    <xdr:colOff>177800</xdr:colOff>
                    <xdr:row>2087</xdr:row>
                    <xdr:rowOff>177800</xdr:rowOff>
                  </to>
                </anchor>
              </controlPr>
            </control>
          </mc:Choice>
        </mc:AlternateContent>
        <mc:AlternateContent xmlns:mc="http://schemas.openxmlformats.org/markup-compatibility/2006">
          <mc:Choice Requires="x14">
            <control shapeId="16012" r:id="rId181" name="Check Box 652">
              <controlPr locked="0" defaultSize="0" autoFill="0" autoLine="0" autoPict="0">
                <anchor moveWithCells="1" sizeWithCells="1">
                  <from>
                    <xdr:col>22</xdr:col>
                    <xdr:colOff>0</xdr:colOff>
                    <xdr:row>2089</xdr:row>
                    <xdr:rowOff>0</xdr:rowOff>
                  </from>
                  <to>
                    <xdr:col>22</xdr:col>
                    <xdr:colOff>177800</xdr:colOff>
                    <xdr:row>2089</xdr:row>
                    <xdr:rowOff>177800</xdr:rowOff>
                  </to>
                </anchor>
              </controlPr>
            </control>
          </mc:Choice>
        </mc:AlternateContent>
        <mc:AlternateContent xmlns:mc="http://schemas.openxmlformats.org/markup-compatibility/2006">
          <mc:Choice Requires="x14">
            <control shapeId="16013" r:id="rId182" name="Check Box 653">
              <controlPr locked="0" defaultSize="0" autoFill="0" autoLine="0" autoPict="0">
                <anchor moveWithCells="1" sizeWithCells="1">
                  <from>
                    <xdr:col>22</xdr:col>
                    <xdr:colOff>0</xdr:colOff>
                    <xdr:row>2092</xdr:row>
                    <xdr:rowOff>0</xdr:rowOff>
                  </from>
                  <to>
                    <xdr:col>22</xdr:col>
                    <xdr:colOff>177800</xdr:colOff>
                    <xdr:row>2092</xdr:row>
                    <xdr:rowOff>177800</xdr:rowOff>
                  </to>
                </anchor>
              </controlPr>
            </control>
          </mc:Choice>
        </mc:AlternateContent>
        <mc:AlternateContent xmlns:mc="http://schemas.openxmlformats.org/markup-compatibility/2006">
          <mc:Choice Requires="x14">
            <control shapeId="16015" r:id="rId183" name="Check Box 655">
              <controlPr locked="0" defaultSize="0" autoFill="0" autoLine="0" autoPict="0">
                <anchor moveWithCells="1" sizeWithCells="1">
                  <from>
                    <xdr:col>22</xdr:col>
                    <xdr:colOff>0</xdr:colOff>
                    <xdr:row>2175</xdr:row>
                    <xdr:rowOff>0</xdr:rowOff>
                  </from>
                  <to>
                    <xdr:col>22</xdr:col>
                    <xdr:colOff>177800</xdr:colOff>
                    <xdr:row>2175</xdr:row>
                    <xdr:rowOff>177800</xdr:rowOff>
                  </to>
                </anchor>
              </controlPr>
            </control>
          </mc:Choice>
        </mc:AlternateContent>
        <mc:AlternateContent xmlns:mc="http://schemas.openxmlformats.org/markup-compatibility/2006">
          <mc:Choice Requires="x14">
            <control shapeId="16016" r:id="rId184" name="Check Box 656">
              <controlPr locked="0" defaultSize="0" autoFill="0" autoLine="0" autoPict="0">
                <anchor moveWithCells="1" sizeWithCells="1">
                  <from>
                    <xdr:col>22</xdr:col>
                    <xdr:colOff>0</xdr:colOff>
                    <xdr:row>2177</xdr:row>
                    <xdr:rowOff>0</xdr:rowOff>
                  </from>
                  <to>
                    <xdr:col>22</xdr:col>
                    <xdr:colOff>177800</xdr:colOff>
                    <xdr:row>2177</xdr:row>
                    <xdr:rowOff>177800</xdr:rowOff>
                  </to>
                </anchor>
              </controlPr>
            </control>
          </mc:Choice>
        </mc:AlternateContent>
        <mc:AlternateContent xmlns:mc="http://schemas.openxmlformats.org/markup-compatibility/2006">
          <mc:Choice Requires="x14">
            <control shapeId="16017" r:id="rId185" name="Check Box 657">
              <controlPr locked="0" defaultSize="0" autoFill="0" autoLine="0" autoPict="0">
                <anchor moveWithCells="1" sizeWithCells="1">
                  <from>
                    <xdr:col>22</xdr:col>
                    <xdr:colOff>0</xdr:colOff>
                    <xdr:row>2183</xdr:row>
                    <xdr:rowOff>0</xdr:rowOff>
                  </from>
                  <to>
                    <xdr:col>22</xdr:col>
                    <xdr:colOff>177800</xdr:colOff>
                    <xdr:row>2183</xdr:row>
                    <xdr:rowOff>177800</xdr:rowOff>
                  </to>
                </anchor>
              </controlPr>
            </control>
          </mc:Choice>
        </mc:AlternateContent>
        <mc:AlternateContent xmlns:mc="http://schemas.openxmlformats.org/markup-compatibility/2006">
          <mc:Choice Requires="x14">
            <control shapeId="16018" r:id="rId186" name="Check Box 658">
              <controlPr locked="0" defaultSize="0" autoFill="0" autoLine="0" autoPict="0">
                <anchor moveWithCells="1" sizeWithCells="1">
                  <from>
                    <xdr:col>22</xdr:col>
                    <xdr:colOff>0</xdr:colOff>
                    <xdr:row>2185</xdr:row>
                    <xdr:rowOff>0</xdr:rowOff>
                  </from>
                  <to>
                    <xdr:col>22</xdr:col>
                    <xdr:colOff>177800</xdr:colOff>
                    <xdr:row>2185</xdr:row>
                    <xdr:rowOff>177800</xdr:rowOff>
                  </to>
                </anchor>
              </controlPr>
            </control>
          </mc:Choice>
        </mc:AlternateContent>
        <mc:AlternateContent xmlns:mc="http://schemas.openxmlformats.org/markup-compatibility/2006">
          <mc:Choice Requires="x14">
            <control shapeId="16019" r:id="rId187" name="Check Box 659">
              <controlPr locked="0" defaultSize="0" autoFill="0" autoLine="0" autoPict="0">
                <anchor moveWithCells="1" sizeWithCells="1">
                  <from>
                    <xdr:col>22</xdr:col>
                    <xdr:colOff>0</xdr:colOff>
                    <xdr:row>2199</xdr:row>
                    <xdr:rowOff>0</xdr:rowOff>
                  </from>
                  <to>
                    <xdr:col>22</xdr:col>
                    <xdr:colOff>177800</xdr:colOff>
                    <xdr:row>2199</xdr:row>
                    <xdr:rowOff>177800</xdr:rowOff>
                  </to>
                </anchor>
              </controlPr>
            </control>
          </mc:Choice>
        </mc:AlternateContent>
        <mc:AlternateContent xmlns:mc="http://schemas.openxmlformats.org/markup-compatibility/2006">
          <mc:Choice Requires="x14">
            <control shapeId="16020" r:id="rId188" name="Check Box 660">
              <controlPr locked="0" defaultSize="0" autoFill="0" autoLine="0" autoPict="0">
                <anchor moveWithCells="1" sizeWithCells="1">
                  <from>
                    <xdr:col>22</xdr:col>
                    <xdr:colOff>0</xdr:colOff>
                    <xdr:row>2200</xdr:row>
                    <xdr:rowOff>0</xdr:rowOff>
                  </from>
                  <to>
                    <xdr:col>22</xdr:col>
                    <xdr:colOff>177800</xdr:colOff>
                    <xdr:row>2200</xdr:row>
                    <xdr:rowOff>177800</xdr:rowOff>
                  </to>
                </anchor>
              </controlPr>
            </control>
          </mc:Choice>
        </mc:AlternateContent>
        <mc:AlternateContent xmlns:mc="http://schemas.openxmlformats.org/markup-compatibility/2006">
          <mc:Choice Requires="x14">
            <control shapeId="16021" r:id="rId189" name="Check Box 661">
              <controlPr locked="0" defaultSize="0" autoFill="0" autoLine="0" autoPict="0">
                <anchor moveWithCells="1" sizeWithCells="1">
                  <from>
                    <xdr:col>22</xdr:col>
                    <xdr:colOff>0</xdr:colOff>
                    <xdr:row>2205</xdr:row>
                    <xdr:rowOff>0</xdr:rowOff>
                  </from>
                  <to>
                    <xdr:col>22</xdr:col>
                    <xdr:colOff>177800</xdr:colOff>
                    <xdr:row>2205</xdr:row>
                    <xdr:rowOff>177800</xdr:rowOff>
                  </to>
                </anchor>
              </controlPr>
            </control>
          </mc:Choice>
        </mc:AlternateContent>
        <mc:AlternateContent xmlns:mc="http://schemas.openxmlformats.org/markup-compatibility/2006">
          <mc:Choice Requires="x14">
            <control shapeId="16022" r:id="rId190" name="Check Box 662">
              <controlPr locked="0" defaultSize="0" autoFill="0" autoLine="0" autoPict="0">
                <anchor moveWithCells="1" sizeWithCells="1">
                  <from>
                    <xdr:col>22</xdr:col>
                    <xdr:colOff>0</xdr:colOff>
                    <xdr:row>2210</xdr:row>
                    <xdr:rowOff>0</xdr:rowOff>
                  </from>
                  <to>
                    <xdr:col>22</xdr:col>
                    <xdr:colOff>177800</xdr:colOff>
                    <xdr:row>2210</xdr:row>
                    <xdr:rowOff>177800</xdr:rowOff>
                  </to>
                </anchor>
              </controlPr>
            </control>
          </mc:Choice>
        </mc:AlternateContent>
        <mc:AlternateContent xmlns:mc="http://schemas.openxmlformats.org/markup-compatibility/2006">
          <mc:Choice Requires="x14">
            <control shapeId="16023" r:id="rId191" name="Check Box 663">
              <controlPr locked="0" defaultSize="0" autoFill="0" autoLine="0" autoPict="0">
                <anchor moveWithCells="1" sizeWithCells="1">
                  <from>
                    <xdr:col>22</xdr:col>
                    <xdr:colOff>0</xdr:colOff>
                    <xdr:row>2226</xdr:row>
                    <xdr:rowOff>0</xdr:rowOff>
                  </from>
                  <to>
                    <xdr:col>22</xdr:col>
                    <xdr:colOff>177800</xdr:colOff>
                    <xdr:row>2226</xdr:row>
                    <xdr:rowOff>177800</xdr:rowOff>
                  </to>
                </anchor>
              </controlPr>
            </control>
          </mc:Choice>
        </mc:AlternateContent>
        <mc:AlternateContent xmlns:mc="http://schemas.openxmlformats.org/markup-compatibility/2006">
          <mc:Choice Requires="x14">
            <control shapeId="16024" r:id="rId192" name="Check Box 664">
              <controlPr locked="0" defaultSize="0" autoFill="0" autoLine="0" autoPict="0">
                <anchor moveWithCells="1" sizeWithCells="1">
                  <from>
                    <xdr:col>22</xdr:col>
                    <xdr:colOff>0</xdr:colOff>
                    <xdr:row>2231</xdr:row>
                    <xdr:rowOff>0</xdr:rowOff>
                  </from>
                  <to>
                    <xdr:col>22</xdr:col>
                    <xdr:colOff>177800</xdr:colOff>
                    <xdr:row>2231</xdr:row>
                    <xdr:rowOff>177800</xdr:rowOff>
                  </to>
                </anchor>
              </controlPr>
            </control>
          </mc:Choice>
        </mc:AlternateContent>
        <mc:AlternateContent xmlns:mc="http://schemas.openxmlformats.org/markup-compatibility/2006">
          <mc:Choice Requires="x14">
            <control shapeId="16086" r:id="rId193" name="Check Box 726">
              <controlPr locked="0" defaultSize="0" autoFill="0" autoLine="0" autoPict="0">
                <anchor moveWithCells="1" sizeWithCells="1">
                  <from>
                    <xdr:col>22</xdr:col>
                    <xdr:colOff>0</xdr:colOff>
                    <xdr:row>2261</xdr:row>
                    <xdr:rowOff>0</xdr:rowOff>
                  </from>
                  <to>
                    <xdr:col>22</xdr:col>
                    <xdr:colOff>177800</xdr:colOff>
                    <xdr:row>2261</xdr:row>
                    <xdr:rowOff>177800</xdr:rowOff>
                  </to>
                </anchor>
              </controlPr>
            </control>
          </mc:Choice>
        </mc:AlternateContent>
        <mc:AlternateContent xmlns:mc="http://schemas.openxmlformats.org/markup-compatibility/2006">
          <mc:Choice Requires="x14">
            <control shapeId="16087" r:id="rId194" name="Check Box 727">
              <controlPr locked="0" defaultSize="0" autoFill="0" autoLine="0" autoPict="0">
                <anchor moveWithCells="1" sizeWithCells="1">
                  <from>
                    <xdr:col>22</xdr:col>
                    <xdr:colOff>0</xdr:colOff>
                    <xdr:row>2262</xdr:row>
                    <xdr:rowOff>0</xdr:rowOff>
                  </from>
                  <to>
                    <xdr:col>22</xdr:col>
                    <xdr:colOff>177800</xdr:colOff>
                    <xdr:row>2262</xdr:row>
                    <xdr:rowOff>177800</xdr:rowOff>
                  </to>
                </anchor>
              </controlPr>
            </control>
          </mc:Choice>
        </mc:AlternateContent>
        <mc:AlternateContent xmlns:mc="http://schemas.openxmlformats.org/markup-compatibility/2006">
          <mc:Choice Requires="x14">
            <control shapeId="16088" r:id="rId195" name="Check Box 728">
              <controlPr locked="0" defaultSize="0" autoFill="0" autoLine="0" autoPict="0">
                <anchor moveWithCells="1" sizeWithCells="1">
                  <from>
                    <xdr:col>22</xdr:col>
                    <xdr:colOff>0</xdr:colOff>
                    <xdr:row>2263</xdr:row>
                    <xdr:rowOff>0</xdr:rowOff>
                  </from>
                  <to>
                    <xdr:col>22</xdr:col>
                    <xdr:colOff>177800</xdr:colOff>
                    <xdr:row>2263</xdr:row>
                    <xdr:rowOff>177800</xdr:rowOff>
                  </to>
                </anchor>
              </controlPr>
            </control>
          </mc:Choice>
        </mc:AlternateContent>
        <mc:AlternateContent xmlns:mc="http://schemas.openxmlformats.org/markup-compatibility/2006">
          <mc:Choice Requires="x14">
            <control shapeId="16089" r:id="rId196" name="Check Box 729">
              <controlPr locked="0" defaultSize="0" autoFill="0" autoLine="0" autoPict="0">
                <anchor moveWithCells="1" sizeWithCells="1">
                  <from>
                    <xdr:col>22</xdr:col>
                    <xdr:colOff>0</xdr:colOff>
                    <xdr:row>2267</xdr:row>
                    <xdr:rowOff>0</xdr:rowOff>
                  </from>
                  <to>
                    <xdr:col>22</xdr:col>
                    <xdr:colOff>177800</xdr:colOff>
                    <xdr:row>2267</xdr:row>
                    <xdr:rowOff>177800</xdr:rowOff>
                  </to>
                </anchor>
              </controlPr>
            </control>
          </mc:Choice>
        </mc:AlternateContent>
        <mc:AlternateContent xmlns:mc="http://schemas.openxmlformats.org/markup-compatibility/2006">
          <mc:Choice Requires="x14">
            <control shapeId="16090" r:id="rId197" name="Check Box 730">
              <controlPr locked="0" defaultSize="0" autoFill="0" autoLine="0" autoPict="0">
                <anchor moveWithCells="1" sizeWithCells="1">
                  <from>
                    <xdr:col>22</xdr:col>
                    <xdr:colOff>0</xdr:colOff>
                    <xdr:row>2268</xdr:row>
                    <xdr:rowOff>0</xdr:rowOff>
                  </from>
                  <to>
                    <xdr:col>22</xdr:col>
                    <xdr:colOff>177800</xdr:colOff>
                    <xdr:row>2268</xdr:row>
                    <xdr:rowOff>177800</xdr:rowOff>
                  </to>
                </anchor>
              </controlPr>
            </control>
          </mc:Choice>
        </mc:AlternateContent>
        <mc:AlternateContent xmlns:mc="http://schemas.openxmlformats.org/markup-compatibility/2006">
          <mc:Choice Requires="x14">
            <control shapeId="16091" r:id="rId198" name="Check Box 731">
              <controlPr locked="0" defaultSize="0" autoFill="0" autoLine="0" autoPict="0">
                <anchor moveWithCells="1" sizeWithCells="1">
                  <from>
                    <xdr:col>22</xdr:col>
                    <xdr:colOff>0</xdr:colOff>
                    <xdr:row>2269</xdr:row>
                    <xdr:rowOff>0</xdr:rowOff>
                  </from>
                  <to>
                    <xdr:col>22</xdr:col>
                    <xdr:colOff>177800</xdr:colOff>
                    <xdr:row>2269</xdr:row>
                    <xdr:rowOff>177800</xdr:rowOff>
                  </to>
                </anchor>
              </controlPr>
            </control>
          </mc:Choice>
        </mc:AlternateContent>
        <mc:AlternateContent xmlns:mc="http://schemas.openxmlformats.org/markup-compatibility/2006">
          <mc:Choice Requires="x14">
            <control shapeId="16092" r:id="rId199" name="Check Box 732">
              <controlPr locked="0" defaultSize="0" autoFill="0" autoLine="0" autoPict="0">
                <anchor moveWithCells="1" sizeWithCells="1">
                  <from>
                    <xdr:col>22</xdr:col>
                    <xdr:colOff>0</xdr:colOff>
                    <xdr:row>2271</xdr:row>
                    <xdr:rowOff>0</xdr:rowOff>
                  </from>
                  <to>
                    <xdr:col>22</xdr:col>
                    <xdr:colOff>177800</xdr:colOff>
                    <xdr:row>2271</xdr:row>
                    <xdr:rowOff>177800</xdr:rowOff>
                  </to>
                </anchor>
              </controlPr>
            </control>
          </mc:Choice>
        </mc:AlternateContent>
        <mc:AlternateContent xmlns:mc="http://schemas.openxmlformats.org/markup-compatibility/2006">
          <mc:Choice Requires="x14">
            <control shapeId="16093" r:id="rId200" name="Check Box 733">
              <controlPr locked="0" defaultSize="0" autoFill="0" autoLine="0" autoPict="0">
                <anchor moveWithCells="1" sizeWithCells="1">
                  <from>
                    <xdr:col>22</xdr:col>
                    <xdr:colOff>0</xdr:colOff>
                    <xdr:row>2273</xdr:row>
                    <xdr:rowOff>0</xdr:rowOff>
                  </from>
                  <to>
                    <xdr:col>22</xdr:col>
                    <xdr:colOff>177800</xdr:colOff>
                    <xdr:row>2273</xdr:row>
                    <xdr:rowOff>177800</xdr:rowOff>
                  </to>
                </anchor>
              </controlPr>
            </control>
          </mc:Choice>
        </mc:AlternateContent>
        <mc:AlternateContent xmlns:mc="http://schemas.openxmlformats.org/markup-compatibility/2006">
          <mc:Choice Requires="x14">
            <control shapeId="16094" r:id="rId201" name="Check Box 734">
              <controlPr locked="0" defaultSize="0" autoFill="0" autoLine="0" autoPict="0">
                <anchor moveWithCells="1" sizeWithCells="1">
                  <from>
                    <xdr:col>22</xdr:col>
                    <xdr:colOff>0</xdr:colOff>
                    <xdr:row>2274</xdr:row>
                    <xdr:rowOff>0</xdr:rowOff>
                  </from>
                  <to>
                    <xdr:col>22</xdr:col>
                    <xdr:colOff>177800</xdr:colOff>
                    <xdr:row>2274</xdr:row>
                    <xdr:rowOff>177800</xdr:rowOff>
                  </to>
                </anchor>
              </controlPr>
            </control>
          </mc:Choice>
        </mc:AlternateContent>
        <mc:AlternateContent xmlns:mc="http://schemas.openxmlformats.org/markup-compatibility/2006">
          <mc:Choice Requires="x14">
            <control shapeId="16095" r:id="rId202" name="Check Box 735">
              <controlPr locked="0" defaultSize="0" autoFill="0" autoLine="0" autoPict="0">
                <anchor moveWithCells="1" sizeWithCells="1">
                  <from>
                    <xdr:col>22</xdr:col>
                    <xdr:colOff>0</xdr:colOff>
                    <xdr:row>2276</xdr:row>
                    <xdr:rowOff>0</xdr:rowOff>
                  </from>
                  <to>
                    <xdr:col>22</xdr:col>
                    <xdr:colOff>177800</xdr:colOff>
                    <xdr:row>2276</xdr:row>
                    <xdr:rowOff>177800</xdr:rowOff>
                  </to>
                </anchor>
              </controlPr>
            </control>
          </mc:Choice>
        </mc:AlternateContent>
        <mc:AlternateContent xmlns:mc="http://schemas.openxmlformats.org/markup-compatibility/2006">
          <mc:Choice Requires="x14">
            <control shapeId="16096" r:id="rId203" name="Check Box 736">
              <controlPr locked="0" defaultSize="0" autoFill="0" autoLine="0" autoPict="0">
                <anchor moveWithCells="1" sizeWithCells="1">
                  <from>
                    <xdr:col>22</xdr:col>
                    <xdr:colOff>0</xdr:colOff>
                    <xdr:row>2277</xdr:row>
                    <xdr:rowOff>0</xdr:rowOff>
                  </from>
                  <to>
                    <xdr:col>22</xdr:col>
                    <xdr:colOff>177800</xdr:colOff>
                    <xdr:row>2277</xdr:row>
                    <xdr:rowOff>177800</xdr:rowOff>
                  </to>
                </anchor>
              </controlPr>
            </control>
          </mc:Choice>
        </mc:AlternateContent>
        <mc:AlternateContent xmlns:mc="http://schemas.openxmlformats.org/markup-compatibility/2006">
          <mc:Choice Requires="x14">
            <control shapeId="16097" r:id="rId204" name="Check Box 737">
              <controlPr locked="0" defaultSize="0" autoFill="0" autoLine="0" autoPict="0">
                <anchor moveWithCells="1" sizeWithCells="1">
                  <from>
                    <xdr:col>22</xdr:col>
                    <xdr:colOff>0</xdr:colOff>
                    <xdr:row>2278</xdr:row>
                    <xdr:rowOff>0</xdr:rowOff>
                  </from>
                  <to>
                    <xdr:col>22</xdr:col>
                    <xdr:colOff>177800</xdr:colOff>
                    <xdr:row>2278</xdr:row>
                    <xdr:rowOff>177800</xdr:rowOff>
                  </to>
                </anchor>
              </controlPr>
            </control>
          </mc:Choice>
        </mc:AlternateContent>
        <mc:AlternateContent xmlns:mc="http://schemas.openxmlformats.org/markup-compatibility/2006">
          <mc:Choice Requires="x14">
            <control shapeId="16098" r:id="rId205" name="Check Box 738">
              <controlPr locked="0" defaultSize="0" autoFill="0" autoLine="0" autoPict="0">
                <anchor moveWithCells="1" sizeWithCells="1">
                  <from>
                    <xdr:col>22</xdr:col>
                    <xdr:colOff>0</xdr:colOff>
                    <xdr:row>2284</xdr:row>
                    <xdr:rowOff>0</xdr:rowOff>
                  </from>
                  <to>
                    <xdr:col>22</xdr:col>
                    <xdr:colOff>177800</xdr:colOff>
                    <xdr:row>2284</xdr:row>
                    <xdr:rowOff>177800</xdr:rowOff>
                  </to>
                </anchor>
              </controlPr>
            </control>
          </mc:Choice>
        </mc:AlternateContent>
        <mc:AlternateContent xmlns:mc="http://schemas.openxmlformats.org/markup-compatibility/2006">
          <mc:Choice Requires="x14">
            <control shapeId="16099" r:id="rId206" name="Check Box 739">
              <controlPr locked="0" defaultSize="0" autoFill="0" autoLine="0" autoPict="0">
                <anchor moveWithCells="1" sizeWithCells="1">
                  <from>
                    <xdr:col>22</xdr:col>
                    <xdr:colOff>0</xdr:colOff>
                    <xdr:row>2288</xdr:row>
                    <xdr:rowOff>0</xdr:rowOff>
                  </from>
                  <to>
                    <xdr:col>22</xdr:col>
                    <xdr:colOff>177800</xdr:colOff>
                    <xdr:row>2288</xdr:row>
                    <xdr:rowOff>177800</xdr:rowOff>
                  </to>
                </anchor>
              </controlPr>
            </control>
          </mc:Choice>
        </mc:AlternateContent>
        <mc:AlternateContent xmlns:mc="http://schemas.openxmlformats.org/markup-compatibility/2006">
          <mc:Choice Requires="x14">
            <control shapeId="16100" r:id="rId207" name="Check Box 740">
              <controlPr locked="0" defaultSize="0" autoFill="0" autoLine="0" autoPict="0">
                <anchor moveWithCells="1" sizeWithCells="1">
                  <from>
                    <xdr:col>22</xdr:col>
                    <xdr:colOff>0</xdr:colOff>
                    <xdr:row>2290</xdr:row>
                    <xdr:rowOff>0</xdr:rowOff>
                  </from>
                  <to>
                    <xdr:col>22</xdr:col>
                    <xdr:colOff>177800</xdr:colOff>
                    <xdr:row>2290</xdr:row>
                    <xdr:rowOff>177800</xdr:rowOff>
                  </to>
                </anchor>
              </controlPr>
            </control>
          </mc:Choice>
        </mc:AlternateContent>
        <mc:AlternateContent xmlns:mc="http://schemas.openxmlformats.org/markup-compatibility/2006">
          <mc:Choice Requires="x14">
            <control shapeId="16101" r:id="rId208" name="Check Box 741">
              <controlPr locked="0" defaultSize="0" autoFill="0" autoLine="0" autoPict="0">
                <anchor moveWithCells="1" sizeWithCells="1">
                  <from>
                    <xdr:col>22</xdr:col>
                    <xdr:colOff>0</xdr:colOff>
                    <xdr:row>2292</xdr:row>
                    <xdr:rowOff>0</xdr:rowOff>
                  </from>
                  <to>
                    <xdr:col>22</xdr:col>
                    <xdr:colOff>177800</xdr:colOff>
                    <xdr:row>2292</xdr:row>
                    <xdr:rowOff>177800</xdr:rowOff>
                  </to>
                </anchor>
              </controlPr>
            </control>
          </mc:Choice>
        </mc:AlternateContent>
        <mc:AlternateContent xmlns:mc="http://schemas.openxmlformats.org/markup-compatibility/2006">
          <mc:Choice Requires="x14">
            <control shapeId="16102" r:id="rId209" name="Check Box 742">
              <controlPr locked="0" defaultSize="0" autoFill="0" autoLine="0" autoPict="0">
                <anchor moveWithCells="1" sizeWithCells="1">
                  <from>
                    <xdr:col>22</xdr:col>
                    <xdr:colOff>0</xdr:colOff>
                    <xdr:row>2293</xdr:row>
                    <xdr:rowOff>0</xdr:rowOff>
                  </from>
                  <to>
                    <xdr:col>22</xdr:col>
                    <xdr:colOff>177800</xdr:colOff>
                    <xdr:row>2293</xdr:row>
                    <xdr:rowOff>177800</xdr:rowOff>
                  </to>
                </anchor>
              </controlPr>
            </control>
          </mc:Choice>
        </mc:AlternateContent>
        <mc:AlternateContent xmlns:mc="http://schemas.openxmlformats.org/markup-compatibility/2006">
          <mc:Choice Requires="x14">
            <control shapeId="16103" r:id="rId210" name="Check Box 743">
              <controlPr locked="0" defaultSize="0" autoFill="0" autoLine="0" autoPict="0">
                <anchor moveWithCells="1" sizeWithCells="1">
                  <from>
                    <xdr:col>22</xdr:col>
                    <xdr:colOff>0</xdr:colOff>
                    <xdr:row>2295</xdr:row>
                    <xdr:rowOff>0</xdr:rowOff>
                  </from>
                  <to>
                    <xdr:col>22</xdr:col>
                    <xdr:colOff>177800</xdr:colOff>
                    <xdr:row>2295</xdr:row>
                    <xdr:rowOff>177800</xdr:rowOff>
                  </to>
                </anchor>
              </controlPr>
            </control>
          </mc:Choice>
        </mc:AlternateContent>
        <mc:AlternateContent xmlns:mc="http://schemas.openxmlformats.org/markup-compatibility/2006">
          <mc:Choice Requires="x14">
            <control shapeId="16104" r:id="rId211" name="Check Box 744">
              <controlPr locked="0" defaultSize="0" autoFill="0" autoLine="0" autoPict="0">
                <anchor moveWithCells="1" sizeWithCells="1">
                  <from>
                    <xdr:col>22</xdr:col>
                    <xdr:colOff>0</xdr:colOff>
                    <xdr:row>2297</xdr:row>
                    <xdr:rowOff>0</xdr:rowOff>
                  </from>
                  <to>
                    <xdr:col>22</xdr:col>
                    <xdr:colOff>177800</xdr:colOff>
                    <xdr:row>2297</xdr:row>
                    <xdr:rowOff>177800</xdr:rowOff>
                  </to>
                </anchor>
              </controlPr>
            </control>
          </mc:Choice>
        </mc:AlternateContent>
        <mc:AlternateContent xmlns:mc="http://schemas.openxmlformats.org/markup-compatibility/2006">
          <mc:Choice Requires="x14">
            <control shapeId="16105" r:id="rId212" name="Check Box 745">
              <controlPr locked="0" defaultSize="0" autoFill="0" autoLine="0" autoPict="0">
                <anchor moveWithCells="1" sizeWithCells="1">
                  <from>
                    <xdr:col>22</xdr:col>
                    <xdr:colOff>0</xdr:colOff>
                    <xdr:row>2298</xdr:row>
                    <xdr:rowOff>0</xdr:rowOff>
                  </from>
                  <to>
                    <xdr:col>22</xdr:col>
                    <xdr:colOff>177800</xdr:colOff>
                    <xdr:row>2298</xdr:row>
                    <xdr:rowOff>177800</xdr:rowOff>
                  </to>
                </anchor>
              </controlPr>
            </control>
          </mc:Choice>
        </mc:AlternateContent>
        <mc:AlternateContent xmlns:mc="http://schemas.openxmlformats.org/markup-compatibility/2006">
          <mc:Choice Requires="x14">
            <control shapeId="16106" r:id="rId213" name="Check Box 746">
              <controlPr locked="0" defaultSize="0" autoFill="0" autoLine="0" autoPict="0">
                <anchor moveWithCells="1" sizeWithCells="1">
                  <from>
                    <xdr:col>22</xdr:col>
                    <xdr:colOff>0</xdr:colOff>
                    <xdr:row>2300</xdr:row>
                    <xdr:rowOff>0</xdr:rowOff>
                  </from>
                  <to>
                    <xdr:col>22</xdr:col>
                    <xdr:colOff>177800</xdr:colOff>
                    <xdr:row>2300</xdr:row>
                    <xdr:rowOff>177800</xdr:rowOff>
                  </to>
                </anchor>
              </controlPr>
            </control>
          </mc:Choice>
        </mc:AlternateContent>
        <mc:AlternateContent xmlns:mc="http://schemas.openxmlformats.org/markup-compatibility/2006">
          <mc:Choice Requires="x14">
            <control shapeId="16107" r:id="rId214" name="Check Box 747">
              <controlPr locked="0" defaultSize="0" autoFill="0" autoLine="0" autoPict="0">
                <anchor moveWithCells="1" sizeWithCells="1">
                  <from>
                    <xdr:col>22</xdr:col>
                    <xdr:colOff>0</xdr:colOff>
                    <xdr:row>2302</xdr:row>
                    <xdr:rowOff>0</xdr:rowOff>
                  </from>
                  <to>
                    <xdr:col>22</xdr:col>
                    <xdr:colOff>177800</xdr:colOff>
                    <xdr:row>2302</xdr:row>
                    <xdr:rowOff>177800</xdr:rowOff>
                  </to>
                </anchor>
              </controlPr>
            </control>
          </mc:Choice>
        </mc:AlternateContent>
        <mc:AlternateContent xmlns:mc="http://schemas.openxmlformats.org/markup-compatibility/2006">
          <mc:Choice Requires="x14">
            <control shapeId="16110" r:id="rId215" name="Check Box 750">
              <controlPr locked="0" defaultSize="0" autoFill="0" autoLine="0" autoPict="0">
                <anchor moveWithCells="1" sizeWithCells="1">
                  <from>
                    <xdr:col>22</xdr:col>
                    <xdr:colOff>0</xdr:colOff>
                    <xdr:row>2308</xdr:row>
                    <xdr:rowOff>0</xdr:rowOff>
                  </from>
                  <to>
                    <xdr:col>22</xdr:col>
                    <xdr:colOff>177800</xdr:colOff>
                    <xdr:row>2308</xdr:row>
                    <xdr:rowOff>177800</xdr:rowOff>
                  </to>
                </anchor>
              </controlPr>
            </control>
          </mc:Choice>
        </mc:AlternateContent>
        <mc:AlternateContent xmlns:mc="http://schemas.openxmlformats.org/markup-compatibility/2006">
          <mc:Choice Requires="x14">
            <control shapeId="16111" r:id="rId216" name="Check Box 751">
              <controlPr locked="0" defaultSize="0" autoFill="0" autoLine="0" autoPict="0">
                <anchor moveWithCells="1" sizeWithCells="1">
                  <from>
                    <xdr:col>22</xdr:col>
                    <xdr:colOff>0</xdr:colOff>
                    <xdr:row>2330</xdr:row>
                    <xdr:rowOff>0</xdr:rowOff>
                  </from>
                  <to>
                    <xdr:col>22</xdr:col>
                    <xdr:colOff>177800</xdr:colOff>
                    <xdr:row>2330</xdr:row>
                    <xdr:rowOff>177800</xdr:rowOff>
                  </to>
                </anchor>
              </controlPr>
            </control>
          </mc:Choice>
        </mc:AlternateContent>
        <mc:AlternateContent xmlns:mc="http://schemas.openxmlformats.org/markup-compatibility/2006">
          <mc:Choice Requires="x14">
            <control shapeId="16112" r:id="rId217" name="Check Box 752">
              <controlPr locked="0" defaultSize="0" autoFill="0" autoLine="0" autoPict="0">
                <anchor moveWithCells="1" sizeWithCells="1">
                  <from>
                    <xdr:col>22</xdr:col>
                    <xdr:colOff>0</xdr:colOff>
                    <xdr:row>2333</xdr:row>
                    <xdr:rowOff>0</xdr:rowOff>
                  </from>
                  <to>
                    <xdr:col>22</xdr:col>
                    <xdr:colOff>177800</xdr:colOff>
                    <xdr:row>2333</xdr:row>
                    <xdr:rowOff>177800</xdr:rowOff>
                  </to>
                </anchor>
              </controlPr>
            </control>
          </mc:Choice>
        </mc:AlternateContent>
        <mc:AlternateContent xmlns:mc="http://schemas.openxmlformats.org/markup-compatibility/2006">
          <mc:Choice Requires="x14">
            <control shapeId="16113" r:id="rId218" name="Check Box 753">
              <controlPr locked="0" defaultSize="0" autoFill="0" autoLine="0" autoPict="0">
                <anchor moveWithCells="1" sizeWithCells="1">
                  <from>
                    <xdr:col>22</xdr:col>
                    <xdr:colOff>0</xdr:colOff>
                    <xdr:row>2336</xdr:row>
                    <xdr:rowOff>0</xdr:rowOff>
                  </from>
                  <to>
                    <xdr:col>22</xdr:col>
                    <xdr:colOff>177800</xdr:colOff>
                    <xdr:row>2336</xdr:row>
                    <xdr:rowOff>177800</xdr:rowOff>
                  </to>
                </anchor>
              </controlPr>
            </control>
          </mc:Choice>
        </mc:AlternateContent>
        <mc:AlternateContent xmlns:mc="http://schemas.openxmlformats.org/markup-compatibility/2006">
          <mc:Choice Requires="x14">
            <control shapeId="16114" r:id="rId219" name="Check Box 754">
              <controlPr locked="0" defaultSize="0" autoFill="0" autoLine="0" autoPict="0">
                <anchor moveWithCells="1" sizeWithCells="1">
                  <from>
                    <xdr:col>22</xdr:col>
                    <xdr:colOff>0</xdr:colOff>
                    <xdr:row>2338</xdr:row>
                    <xdr:rowOff>0</xdr:rowOff>
                  </from>
                  <to>
                    <xdr:col>22</xdr:col>
                    <xdr:colOff>177800</xdr:colOff>
                    <xdr:row>2338</xdr:row>
                    <xdr:rowOff>177800</xdr:rowOff>
                  </to>
                </anchor>
              </controlPr>
            </control>
          </mc:Choice>
        </mc:AlternateContent>
        <mc:AlternateContent xmlns:mc="http://schemas.openxmlformats.org/markup-compatibility/2006">
          <mc:Choice Requires="x14">
            <control shapeId="16115" r:id="rId220" name="Check Box 755">
              <controlPr locked="0" defaultSize="0" autoFill="0" autoLine="0" autoPict="0">
                <anchor moveWithCells="1" sizeWithCells="1">
                  <from>
                    <xdr:col>22</xdr:col>
                    <xdr:colOff>0</xdr:colOff>
                    <xdr:row>2339</xdr:row>
                    <xdr:rowOff>0</xdr:rowOff>
                  </from>
                  <to>
                    <xdr:col>22</xdr:col>
                    <xdr:colOff>177800</xdr:colOff>
                    <xdr:row>2339</xdr:row>
                    <xdr:rowOff>177800</xdr:rowOff>
                  </to>
                </anchor>
              </controlPr>
            </control>
          </mc:Choice>
        </mc:AlternateContent>
        <mc:AlternateContent xmlns:mc="http://schemas.openxmlformats.org/markup-compatibility/2006">
          <mc:Choice Requires="x14">
            <control shapeId="16116" r:id="rId221" name="Check Box 756">
              <controlPr locked="0" defaultSize="0" autoFill="0" autoLine="0" autoPict="0">
                <anchor moveWithCells="1" sizeWithCells="1">
                  <from>
                    <xdr:col>22</xdr:col>
                    <xdr:colOff>0</xdr:colOff>
                    <xdr:row>2341</xdr:row>
                    <xdr:rowOff>0</xdr:rowOff>
                  </from>
                  <to>
                    <xdr:col>22</xdr:col>
                    <xdr:colOff>177800</xdr:colOff>
                    <xdr:row>2341</xdr:row>
                    <xdr:rowOff>177800</xdr:rowOff>
                  </to>
                </anchor>
              </controlPr>
            </control>
          </mc:Choice>
        </mc:AlternateContent>
        <mc:AlternateContent xmlns:mc="http://schemas.openxmlformats.org/markup-compatibility/2006">
          <mc:Choice Requires="x14">
            <control shapeId="16117" r:id="rId222" name="Check Box 757">
              <controlPr locked="0" defaultSize="0" autoFill="0" autoLine="0" autoPict="0">
                <anchor moveWithCells="1" sizeWithCells="1">
                  <from>
                    <xdr:col>22</xdr:col>
                    <xdr:colOff>0</xdr:colOff>
                    <xdr:row>2342</xdr:row>
                    <xdr:rowOff>0</xdr:rowOff>
                  </from>
                  <to>
                    <xdr:col>22</xdr:col>
                    <xdr:colOff>177800</xdr:colOff>
                    <xdr:row>2342</xdr:row>
                    <xdr:rowOff>177800</xdr:rowOff>
                  </to>
                </anchor>
              </controlPr>
            </control>
          </mc:Choice>
        </mc:AlternateContent>
        <mc:AlternateContent xmlns:mc="http://schemas.openxmlformats.org/markup-compatibility/2006">
          <mc:Choice Requires="x14">
            <control shapeId="16118" r:id="rId223" name="Check Box 758">
              <controlPr locked="0" defaultSize="0" autoFill="0" autoLine="0" autoPict="0">
                <anchor moveWithCells="1" sizeWithCells="1">
                  <from>
                    <xdr:col>22</xdr:col>
                    <xdr:colOff>0</xdr:colOff>
                    <xdr:row>2343</xdr:row>
                    <xdr:rowOff>0</xdr:rowOff>
                  </from>
                  <to>
                    <xdr:col>22</xdr:col>
                    <xdr:colOff>177800</xdr:colOff>
                    <xdr:row>2343</xdr:row>
                    <xdr:rowOff>177800</xdr:rowOff>
                  </to>
                </anchor>
              </controlPr>
            </control>
          </mc:Choice>
        </mc:AlternateContent>
        <mc:AlternateContent xmlns:mc="http://schemas.openxmlformats.org/markup-compatibility/2006">
          <mc:Choice Requires="x14">
            <control shapeId="16119" r:id="rId224" name="Check Box 759">
              <controlPr locked="0" defaultSize="0" autoFill="0" autoLine="0" autoPict="0">
                <anchor moveWithCells="1" sizeWithCells="1">
                  <from>
                    <xdr:col>22</xdr:col>
                    <xdr:colOff>0</xdr:colOff>
                    <xdr:row>2349</xdr:row>
                    <xdr:rowOff>0</xdr:rowOff>
                  </from>
                  <to>
                    <xdr:col>22</xdr:col>
                    <xdr:colOff>177800</xdr:colOff>
                    <xdr:row>2349</xdr:row>
                    <xdr:rowOff>177800</xdr:rowOff>
                  </to>
                </anchor>
              </controlPr>
            </control>
          </mc:Choice>
        </mc:AlternateContent>
        <mc:AlternateContent xmlns:mc="http://schemas.openxmlformats.org/markup-compatibility/2006">
          <mc:Choice Requires="x14">
            <control shapeId="16120" r:id="rId225" name="Check Box 760">
              <controlPr locked="0" defaultSize="0" autoFill="0" autoLine="0" autoPict="0">
                <anchor moveWithCells="1" sizeWithCells="1">
                  <from>
                    <xdr:col>22</xdr:col>
                    <xdr:colOff>0</xdr:colOff>
                    <xdr:row>2351</xdr:row>
                    <xdr:rowOff>0</xdr:rowOff>
                  </from>
                  <to>
                    <xdr:col>22</xdr:col>
                    <xdr:colOff>177800</xdr:colOff>
                    <xdr:row>2351</xdr:row>
                    <xdr:rowOff>177800</xdr:rowOff>
                  </to>
                </anchor>
              </controlPr>
            </control>
          </mc:Choice>
        </mc:AlternateContent>
        <mc:AlternateContent xmlns:mc="http://schemas.openxmlformats.org/markup-compatibility/2006">
          <mc:Choice Requires="x14">
            <control shapeId="16121" r:id="rId226" name="Check Box 761">
              <controlPr locked="0" defaultSize="0" autoFill="0" autoLine="0" autoPict="0">
                <anchor moveWithCells="1" sizeWithCells="1">
                  <from>
                    <xdr:col>22</xdr:col>
                    <xdr:colOff>0</xdr:colOff>
                    <xdr:row>2354</xdr:row>
                    <xdr:rowOff>0</xdr:rowOff>
                  </from>
                  <to>
                    <xdr:col>22</xdr:col>
                    <xdr:colOff>177800</xdr:colOff>
                    <xdr:row>2354</xdr:row>
                    <xdr:rowOff>177800</xdr:rowOff>
                  </to>
                </anchor>
              </controlPr>
            </control>
          </mc:Choice>
        </mc:AlternateContent>
        <mc:AlternateContent xmlns:mc="http://schemas.openxmlformats.org/markup-compatibility/2006">
          <mc:Choice Requires="x14">
            <control shapeId="16122" r:id="rId227" name="Check Box 762">
              <controlPr locked="0" defaultSize="0" autoFill="0" autoLine="0" autoPict="0">
                <anchor moveWithCells="1" sizeWithCells="1">
                  <from>
                    <xdr:col>22</xdr:col>
                    <xdr:colOff>0</xdr:colOff>
                    <xdr:row>2356</xdr:row>
                    <xdr:rowOff>0</xdr:rowOff>
                  </from>
                  <to>
                    <xdr:col>22</xdr:col>
                    <xdr:colOff>177800</xdr:colOff>
                    <xdr:row>2356</xdr:row>
                    <xdr:rowOff>177800</xdr:rowOff>
                  </to>
                </anchor>
              </controlPr>
            </control>
          </mc:Choice>
        </mc:AlternateContent>
        <mc:AlternateContent xmlns:mc="http://schemas.openxmlformats.org/markup-compatibility/2006">
          <mc:Choice Requires="x14">
            <control shapeId="16123" r:id="rId228" name="Check Box 763">
              <controlPr locked="0" defaultSize="0" autoFill="0" autoLine="0" autoPict="0">
                <anchor moveWithCells="1" sizeWithCells="1">
                  <from>
                    <xdr:col>22</xdr:col>
                    <xdr:colOff>0</xdr:colOff>
                    <xdr:row>2359</xdr:row>
                    <xdr:rowOff>0</xdr:rowOff>
                  </from>
                  <to>
                    <xdr:col>22</xdr:col>
                    <xdr:colOff>177800</xdr:colOff>
                    <xdr:row>2359</xdr:row>
                    <xdr:rowOff>177800</xdr:rowOff>
                  </to>
                </anchor>
              </controlPr>
            </control>
          </mc:Choice>
        </mc:AlternateContent>
        <mc:AlternateContent xmlns:mc="http://schemas.openxmlformats.org/markup-compatibility/2006">
          <mc:Choice Requires="x14">
            <control shapeId="16124" r:id="rId229" name="Check Box 764">
              <controlPr locked="0" defaultSize="0" autoFill="0" autoLine="0" autoPict="0">
                <anchor moveWithCells="1" sizeWithCells="1">
                  <from>
                    <xdr:col>22</xdr:col>
                    <xdr:colOff>0</xdr:colOff>
                    <xdr:row>2361</xdr:row>
                    <xdr:rowOff>0</xdr:rowOff>
                  </from>
                  <to>
                    <xdr:col>22</xdr:col>
                    <xdr:colOff>177800</xdr:colOff>
                    <xdr:row>2361</xdr:row>
                    <xdr:rowOff>177800</xdr:rowOff>
                  </to>
                </anchor>
              </controlPr>
            </control>
          </mc:Choice>
        </mc:AlternateContent>
        <mc:AlternateContent xmlns:mc="http://schemas.openxmlformats.org/markup-compatibility/2006">
          <mc:Choice Requires="x14">
            <control shapeId="16125" r:id="rId230" name="Check Box 765">
              <controlPr locked="0" defaultSize="0" autoFill="0" autoLine="0" autoPict="0">
                <anchor moveWithCells="1" sizeWithCells="1">
                  <from>
                    <xdr:col>22</xdr:col>
                    <xdr:colOff>0</xdr:colOff>
                    <xdr:row>2362</xdr:row>
                    <xdr:rowOff>0</xdr:rowOff>
                  </from>
                  <to>
                    <xdr:col>22</xdr:col>
                    <xdr:colOff>177800</xdr:colOff>
                    <xdr:row>2362</xdr:row>
                    <xdr:rowOff>177800</xdr:rowOff>
                  </to>
                </anchor>
              </controlPr>
            </control>
          </mc:Choice>
        </mc:AlternateContent>
        <mc:AlternateContent xmlns:mc="http://schemas.openxmlformats.org/markup-compatibility/2006">
          <mc:Choice Requires="x14">
            <control shapeId="16126" r:id="rId231" name="Check Box 766">
              <controlPr locked="0" defaultSize="0" autoFill="0" autoLine="0" autoPict="0">
                <anchor moveWithCells="1" sizeWithCells="1">
                  <from>
                    <xdr:col>22</xdr:col>
                    <xdr:colOff>0</xdr:colOff>
                    <xdr:row>2364</xdr:row>
                    <xdr:rowOff>0</xdr:rowOff>
                  </from>
                  <to>
                    <xdr:col>22</xdr:col>
                    <xdr:colOff>177800</xdr:colOff>
                    <xdr:row>2364</xdr:row>
                    <xdr:rowOff>177800</xdr:rowOff>
                  </to>
                </anchor>
              </controlPr>
            </control>
          </mc:Choice>
        </mc:AlternateContent>
        <mc:AlternateContent xmlns:mc="http://schemas.openxmlformats.org/markup-compatibility/2006">
          <mc:Choice Requires="x14">
            <control shapeId="16127" r:id="rId232" name="Check Box 767">
              <controlPr locked="0" defaultSize="0" autoFill="0" autoLine="0" autoPict="0">
                <anchor moveWithCells="1" sizeWithCells="1">
                  <from>
                    <xdr:col>22</xdr:col>
                    <xdr:colOff>0</xdr:colOff>
                    <xdr:row>2366</xdr:row>
                    <xdr:rowOff>0</xdr:rowOff>
                  </from>
                  <to>
                    <xdr:col>22</xdr:col>
                    <xdr:colOff>177800</xdr:colOff>
                    <xdr:row>2366</xdr:row>
                    <xdr:rowOff>177800</xdr:rowOff>
                  </to>
                </anchor>
              </controlPr>
            </control>
          </mc:Choice>
        </mc:AlternateContent>
        <mc:AlternateContent xmlns:mc="http://schemas.openxmlformats.org/markup-compatibility/2006">
          <mc:Choice Requires="x14">
            <control shapeId="16128" r:id="rId233" name="Check Box 768">
              <controlPr locked="0" defaultSize="0" autoFill="0" autoLine="0" autoPict="0">
                <anchor moveWithCells="1" sizeWithCells="1">
                  <from>
                    <xdr:col>22</xdr:col>
                    <xdr:colOff>0</xdr:colOff>
                    <xdr:row>2367</xdr:row>
                    <xdr:rowOff>0</xdr:rowOff>
                  </from>
                  <to>
                    <xdr:col>22</xdr:col>
                    <xdr:colOff>177800</xdr:colOff>
                    <xdr:row>2367</xdr:row>
                    <xdr:rowOff>177800</xdr:rowOff>
                  </to>
                </anchor>
              </controlPr>
            </control>
          </mc:Choice>
        </mc:AlternateContent>
        <mc:AlternateContent xmlns:mc="http://schemas.openxmlformats.org/markup-compatibility/2006">
          <mc:Choice Requires="x14">
            <control shapeId="16129" r:id="rId234" name="Check Box 769">
              <controlPr locked="0" defaultSize="0" autoFill="0" autoLine="0" autoPict="0">
                <anchor moveWithCells="1" sizeWithCells="1">
                  <from>
                    <xdr:col>22</xdr:col>
                    <xdr:colOff>0</xdr:colOff>
                    <xdr:row>2370</xdr:row>
                    <xdr:rowOff>0</xdr:rowOff>
                  </from>
                  <to>
                    <xdr:col>22</xdr:col>
                    <xdr:colOff>177800</xdr:colOff>
                    <xdr:row>2370</xdr:row>
                    <xdr:rowOff>177800</xdr:rowOff>
                  </to>
                </anchor>
              </controlPr>
            </control>
          </mc:Choice>
        </mc:AlternateContent>
        <mc:AlternateContent xmlns:mc="http://schemas.openxmlformats.org/markup-compatibility/2006">
          <mc:Choice Requires="x14">
            <control shapeId="16130" r:id="rId235" name="Check Box 770">
              <controlPr locked="0" defaultSize="0" autoFill="0" autoLine="0" autoPict="0">
                <anchor moveWithCells="1" sizeWithCells="1">
                  <from>
                    <xdr:col>22</xdr:col>
                    <xdr:colOff>0</xdr:colOff>
                    <xdr:row>2376</xdr:row>
                    <xdr:rowOff>0</xdr:rowOff>
                  </from>
                  <to>
                    <xdr:col>22</xdr:col>
                    <xdr:colOff>177800</xdr:colOff>
                    <xdr:row>2376</xdr:row>
                    <xdr:rowOff>177800</xdr:rowOff>
                  </to>
                </anchor>
              </controlPr>
            </control>
          </mc:Choice>
        </mc:AlternateContent>
        <mc:AlternateContent xmlns:mc="http://schemas.openxmlformats.org/markup-compatibility/2006">
          <mc:Choice Requires="x14">
            <control shapeId="16131" r:id="rId236" name="Check Box 771">
              <controlPr locked="0" defaultSize="0" autoFill="0" autoLine="0" autoPict="0">
                <anchor moveWithCells="1" sizeWithCells="1">
                  <from>
                    <xdr:col>22</xdr:col>
                    <xdr:colOff>0</xdr:colOff>
                    <xdr:row>2378</xdr:row>
                    <xdr:rowOff>0</xdr:rowOff>
                  </from>
                  <to>
                    <xdr:col>22</xdr:col>
                    <xdr:colOff>177800</xdr:colOff>
                    <xdr:row>2378</xdr:row>
                    <xdr:rowOff>177800</xdr:rowOff>
                  </to>
                </anchor>
              </controlPr>
            </control>
          </mc:Choice>
        </mc:AlternateContent>
        <mc:AlternateContent xmlns:mc="http://schemas.openxmlformats.org/markup-compatibility/2006">
          <mc:Choice Requires="x14">
            <control shapeId="16132" r:id="rId237" name="Check Box 772">
              <controlPr locked="0" defaultSize="0" autoFill="0" autoLine="0" autoPict="0">
                <anchor moveWithCells="1" sizeWithCells="1">
                  <from>
                    <xdr:col>22</xdr:col>
                    <xdr:colOff>0</xdr:colOff>
                    <xdr:row>2382</xdr:row>
                    <xdr:rowOff>0</xdr:rowOff>
                  </from>
                  <to>
                    <xdr:col>22</xdr:col>
                    <xdr:colOff>177800</xdr:colOff>
                    <xdr:row>2382</xdr:row>
                    <xdr:rowOff>177800</xdr:rowOff>
                  </to>
                </anchor>
              </controlPr>
            </control>
          </mc:Choice>
        </mc:AlternateContent>
        <mc:AlternateContent xmlns:mc="http://schemas.openxmlformats.org/markup-compatibility/2006">
          <mc:Choice Requires="x14">
            <control shapeId="16133" r:id="rId238" name="Check Box 773">
              <controlPr locked="0" defaultSize="0" autoFill="0" autoLine="0" autoPict="0">
                <anchor moveWithCells="1" sizeWithCells="1">
                  <from>
                    <xdr:col>22</xdr:col>
                    <xdr:colOff>0</xdr:colOff>
                    <xdr:row>2389</xdr:row>
                    <xdr:rowOff>0</xdr:rowOff>
                  </from>
                  <to>
                    <xdr:col>22</xdr:col>
                    <xdr:colOff>177800</xdr:colOff>
                    <xdr:row>2389</xdr:row>
                    <xdr:rowOff>177800</xdr:rowOff>
                  </to>
                </anchor>
              </controlPr>
            </control>
          </mc:Choice>
        </mc:AlternateContent>
        <mc:AlternateContent xmlns:mc="http://schemas.openxmlformats.org/markup-compatibility/2006">
          <mc:Choice Requires="x14">
            <control shapeId="16134" r:id="rId239" name="Check Box 774">
              <controlPr locked="0" defaultSize="0" autoFill="0" autoLine="0" autoPict="0">
                <anchor moveWithCells="1" sizeWithCells="1">
                  <from>
                    <xdr:col>22</xdr:col>
                    <xdr:colOff>0</xdr:colOff>
                    <xdr:row>2391</xdr:row>
                    <xdr:rowOff>0</xdr:rowOff>
                  </from>
                  <to>
                    <xdr:col>22</xdr:col>
                    <xdr:colOff>177800</xdr:colOff>
                    <xdr:row>2391</xdr:row>
                    <xdr:rowOff>177800</xdr:rowOff>
                  </to>
                </anchor>
              </controlPr>
            </control>
          </mc:Choice>
        </mc:AlternateContent>
        <mc:AlternateContent xmlns:mc="http://schemas.openxmlformats.org/markup-compatibility/2006">
          <mc:Choice Requires="x14">
            <control shapeId="16135" r:id="rId240" name="Check Box 775">
              <controlPr locked="0" defaultSize="0" autoFill="0" autoLine="0" autoPict="0">
                <anchor moveWithCells="1" sizeWithCells="1">
                  <from>
                    <xdr:col>22</xdr:col>
                    <xdr:colOff>0</xdr:colOff>
                    <xdr:row>2392</xdr:row>
                    <xdr:rowOff>0</xdr:rowOff>
                  </from>
                  <to>
                    <xdr:col>22</xdr:col>
                    <xdr:colOff>177800</xdr:colOff>
                    <xdr:row>2392</xdr:row>
                    <xdr:rowOff>177800</xdr:rowOff>
                  </to>
                </anchor>
              </controlPr>
            </control>
          </mc:Choice>
        </mc:AlternateContent>
        <mc:AlternateContent xmlns:mc="http://schemas.openxmlformats.org/markup-compatibility/2006">
          <mc:Choice Requires="x14">
            <control shapeId="16136" r:id="rId241" name="Check Box 776">
              <controlPr locked="0" defaultSize="0" autoFill="0" autoLine="0" autoPict="0">
                <anchor moveWithCells="1" sizeWithCells="1">
                  <from>
                    <xdr:col>22</xdr:col>
                    <xdr:colOff>0</xdr:colOff>
                    <xdr:row>2394</xdr:row>
                    <xdr:rowOff>0</xdr:rowOff>
                  </from>
                  <to>
                    <xdr:col>22</xdr:col>
                    <xdr:colOff>177800</xdr:colOff>
                    <xdr:row>2394</xdr:row>
                    <xdr:rowOff>177800</xdr:rowOff>
                  </to>
                </anchor>
              </controlPr>
            </control>
          </mc:Choice>
        </mc:AlternateContent>
        <mc:AlternateContent xmlns:mc="http://schemas.openxmlformats.org/markup-compatibility/2006">
          <mc:Choice Requires="x14">
            <control shapeId="16137" r:id="rId242" name="Check Box 777">
              <controlPr locked="0" defaultSize="0" autoFill="0" autoLine="0" autoPict="0">
                <anchor moveWithCells="1" sizeWithCells="1">
                  <from>
                    <xdr:col>22</xdr:col>
                    <xdr:colOff>0</xdr:colOff>
                    <xdr:row>2395</xdr:row>
                    <xdr:rowOff>0</xdr:rowOff>
                  </from>
                  <to>
                    <xdr:col>22</xdr:col>
                    <xdr:colOff>177800</xdr:colOff>
                    <xdr:row>2395</xdr:row>
                    <xdr:rowOff>177800</xdr:rowOff>
                  </to>
                </anchor>
              </controlPr>
            </control>
          </mc:Choice>
        </mc:AlternateContent>
        <mc:AlternateContent xmlns:mc="http://schemas.openxmlformats.org/markup-compatibility/2006">
          <mc:Choice Requires="x14">
            <control shapeId="16138" r:id="rId243" name="Check Box 778">
              <controlPr locked="0" defaultSize="0" autoFill="0" autoLine="0" autoPict="0">
                <anchor moveWithCells="1" sizeWithCells="1">
                  <from>
                    <xdr:col>22</xdr:col>
                    <xdr:colOff>0</xdr:colOff>
                    <xdr:row>2396</xdr:row>
                    <xdr:rowOff>0</xdr:rowOff>
                  </from>
                  <to>
                    <xdr:col>22</xdr:col>
                    <xdr:colOff>177800</xdr:colOff>
                    <xdr:row>2396</xdr:row>
                    <xdr:rowOff>177800</xdr:rowOff>
                  </to>
                </anchor>
              </controlPr>
            </control>
          </mc:Choice>
        </mc:AlternateContent>
        <mc:AlternateContent xmlns:mc="http://schemas.openxmlformats.org/markup-compatibility/2006">
          <mc:Choice Requires="x14">
            <control shapeId="16139" r:id="rId244" name="Check Box 779">
              <controlPr locked="0" defaultSize="0" autoFill="0" autoLine="0" autoPict="0">
                <anchor moveWithCells="1" sizeWithCells="1">
                  <from>
                    <xdr:col>22</xdr:col>
                    <xdr:colOff>0</xdr:colOff>
                    <xdr:row>2397</xdr:row>
                    <xdr:rowOff>0</xdr:rowOff>
                  </from>
                  <to>
                    <xdr:col>22</xdr:col>
                    <xdr:colOff>177800</xdr:colOff>
                    <xdr:row>2397</xdr:row>
                    <xdr:rowOff>177800</xdr:rowOff>
                  </to>
                </anchor>
              </controlPr>
            </control>
          </mc:Choice>
        </mc:AlternateContent>
        <mc:AlternateContent xmlns:mc="http://schemas.openxmlformats.org/markup-compatibility/2006">
          <mc:Choice Requires="x14">
            <control shapeId="16140" r:id="rId245" name="Check Box 780">
              <controlPr locked="0" defaultSize="0" autoFill="0" autoLine="0" autoPict="0">
                <anchor moveWithCells="1" sizeWithCells="1">
                  <from>
                    <xdr:col>22</xdr:col>
                    <xdr:colOff>0</xdr:colOff>
                    <xdr:row>2400</xdr:row>
                    <xdr:rowOff>0</xdr:rowOff>
                  </from>
                  <to>
                    <xdr:col>22</xdr:col>
                    <xdr:colOff>177800</xdr:colOff>
                    <xdr:row>2400</xdr:row>
                    <xdr:rowOff>177800</xdr:rowOff>
                  </to>
                </anchor>
              </controlPr>
            </control>
          </mc:Choice>
        </mc:AlternateContent>
        <mc:AlternateContent xmlns:mc="http://schemas.openxmlformats.org/markup-compatibility/2006">
          <mc:Choice Requires="x14">
            <control shapeId="16141" r:id="rId246" name="Check Box 781">
              <controlPr locked="0" defaultSize="0" autoFill="0" autoLine="0" autoPict="0">
                <anchor moveWithCells="1" sizeWithCells="1">
                  <from>
                    <xdr:col>22</xdr:col>
                    <xdr:colOff>0</xdr:colOff>
                    <xdr:row>2441</xdr:row>
                    <xdr:rowOff>0</xdr:rowOff>
                  </from>
                  <to>
                    <xdr:col>22</xdr:col>
                    <xdr:colOff>177800</xdr:colOff>
                    <xdr:row>2441</xdr:row>
                    <xdr:rowOff>177800</xdr:rowOff>
                  </to>
                </anchor>
              </controlPr>
            </control>
          </mc:Choice>
        </mc:AlternateContent>
        <mc:AlternateContent xmlns:mc="http://schemas.openxmlformats.org/markup-compatibility/2006">
          <mc:Choice Requires="x14">
            <control shapeId="16142" r:id="rId247" name="Check Box 782">
              <controlPr locked="0" defaultSize="0" autoFill="0" autoLine="0" autoPict="0">
                <anchor moveWithCells="1" sizeWithCells="1">
                  <from>
                    <xdr:col>22</xdr:col>
                    <xdr:colOff>0</xdr:colOff>
                    <xdr:row>2443</xdr:row>
                    <xdr:rowOff>0</xdr:rowOff>
                  </from>
                  <to>
                    <xdr:col>22</xdr:col>
                    <xdr:colOff>177800</xdr:colOff>
                    <xdr:row>2443</xdr:row>
                    <xdr:rowOff>177800</xdr:rowOff>
                  </to>
                </anchor>
              </controlPr>
            </control>
          </mc:Choice>
        </mc:AlternateContent>
        <mc:AlternateContent xmlns:mc="http://schemas.openxmlformats.org/markup-compatibility/2006">
          <mc:Choice Requires="x14">
            <control shapeId="16143" r:id="rId248" name="Check Box 783">
              <controlPr locked="0" defaultSize="0" autoFill="0" autoLine="0" autoPict="0">
                <anchor moveWithCells="1" sizeWithCells="1">
                  <from>
                    <xdr:col>22</xdr:col>
                    <xdr:colOff>0</xdr:colOff>
                    <xdr:row>2446</xdr:row>
                    <xdr:rowOff>0</xdr:rowOff>
                  </from>
                  <to>
                    <xdr:col>22</xdr:col>
                    <xdr:colOff>177800</xdr:colOff>
                    <xdr:row>2446</xdr:row>
                    <xdr:rowOff>177800</xdr:rowOff>
                  </to>
                </anchor>
              </controlPr>
            </control>
          </mc:Choice>
        </mc:AlternateContent>
        <mc:AlternateContent xmlns:mc="http://schemas.openxmlformats.org/markup-compatibility/2006">
          <mc:Choice Requires="x14">
            <control shapeId="16148" r:id="rId249" name="Check Box 788">
              <controlPr locked="0" defaultSize="0" autoFill="0" autoLine="0" autoPict="0">
                <anchor moveWithCells="1" sizeWithCells="1">
                  <from>
                    <xdr:col>22</xdr:col>
                    <xdr:colOff>0</xdr:colOff>
                    <xdr:row>1901</xdr:row>
                    <xdr:rowOff>0</xdr:rowOff>
                  </from>
                  <to>
                    <xdr:col>22</xdr:col>
                    <xdr:colOff>177800</xdr:colOff>
                    <xdr:row>1901</xdr:row>
                    <xdr:rowOff>177800</xdr:rowOff>
                  </to>
                </anchor>
              </controlPr>
            </control>
          </mc:Choice>
        </mc:AlternateContent>
        <mc:AlternateContent xmlns:mc="http://schemas.openxmlformats.org/markup-compatibility/2006">
          <mc:Choice Requires="x14">
            <control shapeId="16154" r:id="rId250" name="Check Box 794">
              <controlPr locked="0" defaultSize="0" autoFill="0" autoLine="0" autoPict="0">
                <anchor moveWithCells="1" sizeWithCells="1">
                  <from>
                    <xdr:col>22</xdr:col>
                    <xdr:colOff>0</xdr:colOff>
                    <xdr:row>2306</xdr:row>
                    <xdr:rowOff>0</xdr:rowOff>
                  </from>
                  <to>
                    <xdr:col>22</xdr:col>
                    <xdr:colOff>177800</xdr:colOff>
                    <xdr:row>2306</xdr:row>
                    <xdr:rowOff>177800</xdr:rowOff>
                  </to>
                </anchor>
              </controlPr>
            </control>
          </mc:Choice>
        </mc:AlternateContent>
        <mc:AlternateContent xmlns:mc="http://schemas.openxmlformats.org/markup-compatibility/2006">
          <mc:Choice Requires="x14">
            <control shapeId="16155" r:id="rId251" name="Check Box 795">
              <controlPr locked="0" defaultSize="0" autoFill="0" autoLine="0" autoPict="0">
                <anchor moveWithCells="1" sizeWithCells="1">
                  <from>
                    <xdr:col>22</xdr:col>
                    <xdr:colOff>0</xdr:colOff>
                    <xdr:row>2307</xdr:row>
                    <xdr:rowOff>0</xdr:rowOff>
                  </from>
                  <to>
                    <xdr:col>22</xdr:col>
                    <xdr:colOff>177800</xdr:colOff>
                    <xdr:row>2307</xdr:row>
                    <xdr:rowOff>177800</xdr:rowOff>
                  </to>
                </anchor>
              </controlPr>
            </control>
          </mc:Choice>
        </mc:AlternateContent>
        <mc:AlternateContent xmlns:mc="http://schemas.openxmlformats.org/markup-compatibility/2006">
          <mc:Choice Requires="x14">
            <control shapeId="16157" r:id="rId252" name="Check Box 797">
              <controlPr locked="0" defaultSize="0" autoFill="0" autoLine="0" autoPict="0">
                <anchor moveWithCells="1" sizeWithCells="1">
                  <from>
                    <xdr:col>22</xdr:col>
                    <xdr:colOff>0</xdr:colOff>
                    <xdr:row>597</xdr:row>
                    <xdr:rowOff>0</xdr:rowOff>
                  </from>
                  <to>
                    <xdr:col>22</xdr:col>
                    <xdr:colOff>177800</xdr:colOff>
                    <xdr:row>597</xdr:row>
                    <xdr:rowOff>177800</xdr:rowOff>
                  </to>
                </anchor>
              </controlPr>
            </control>
          </mc:Choice>
        </mc:AlternateContent>
        <mc:AlternateContent xmlns:mc="http://schemas.openxmlformats.org/markup-compatibility/2006">
          <mc:Choice Requires="x14">
            <control shapeId="16159" r:id="rId253" name="Check Box 799">
              <controlPr locked="0" defaultSize="0" autoFill="0" autoLine="0" autoPict="0">
                <anchor moveWithCells="1" sizeWithCells="1">
                  <from>
                    <xdr:col>22</xdr:col>
                    <xdr:colOff>0</xdr:colOff>
                    <xdr:row>885</xdr:row>
                    <xdr:rowOff>0</xdr:rowOff>
                  </from>
                  <to>
                    <xdr:col>22</xdr:col>
                    <xdr:colOff>177800</xdr:colOff>
                    <xdr:row>885</xdr:row>
                    <xdr:rowOff>177800</xdr:rowOff>
                  </to>
                </anchor>
              </controlPr>
            </control>
          </mc:Choice>
        </mc:AlternateContent>
        <mc:AlternateContent xmlns:mc="http://schemas.openxmlformats.org/markup-compatibility/2006">
          <mc:Choice Requires="x14">
            <control shapeId="16166" r:id="rId254" name="Check Box 806">
              <controlPr locked="0" defaultSize="0" autoFill="0" autoLine="0" autoPict="0">
                <anchor moveWithCells="1" sizeWithCells="1">
                  <from>
                    <xdr:col>22</xdr:col>
                    <xdr:colOff>0</xdr:colOff>
                    <xdr:row>2304</xdr:row>
                    <xdr:rowOff>0</xdr:rowOff>
                  </from>
                  <to>
                    <xdr:col>22</xdr:col>
                    <xdr:colOff>177800</xdr:colOff>
                    <xdr:row>2304</xdr:row>
                    <xdr:rowOff>177800</xdr:rowOff>
                  </to>
                </anchor>
              </controlPr>
            </control>
          </mc:Choice>
        </mc:AlternateContent>
        <mc:AlternateContent xmlns:mc="http://schemas.openxmlformats.org/markup-compatibility/2006">
          <mc:Choice Requires="x14">
            <control shapeId="16169" r:id="rId255" name="Check Box 809">
              <controlPr locked="0" defaultSize="0" autoFill="0" autoLine="0" autoPict="0">
                <anchor moveWithCells="1" sizeWithCells="1">
                  <from>
                    <xdr:col>22</xdr:col>
                    <xdr:colOff>0</xdr:colOff>
                    <xdr:row>2035</xdr:row>
                    <xdr:rowOff>0</xdr:rowOff>
                  </from>
                  <to>
                    <xdr:col>22</xdr:col>
                    <xdr:colOff>177800</xdr:colOff>
                    <xdr:row>2035</xdr:row>
                    <xdr:rowOff>177800</xdr:rowOff>
                  </to>
                </anchor>
              </controlPr>
            </control>
          </mc:Choice>
        </mc:AlternateContent>
        <mc:AlternateContent xmlns:mc="http://schemas.openxmlformats.org/markup-compatibility/2006">
          <mc:Choice Requires="x14">
            <control shapeId="16173" r:id="rId256" name="Check Box 813">
              <controlPr locked="0" defaultSize="0" autoFill="0" autoLine="0" autoPict="0">
                <anchor moveWithCells="1" sizeWithCells="1">
                  <from>
                    <xdr:col>22</xdr:col>
                    <xdr:colOff>0</xdr:colOff>
                    <xdr:row>41</xdr:row>
                    <xdr:rowOff>0</xdr:rowOff>
                  </from>
                  <to>
                    <xdr:col>22</xdr:col>
                    <xdr:colOff>177800</xdr:colOff>
                    <xdr:row>41</xdr:row>
                    <xdr:rowOff>177800</xdr:rowOff>
                  </to>
                </anchor>
              </controlPr>
            </control>
          </mc:Choice>
        </mc:AlternateContent>
        <mc:AlternateContent xmlns:mc="http://schemas.openxmlformats.org/markup-compatibility/2006">
          <mc:Choice Requires="x14">
            <control shapeId="16174" r:id="rId257" name="Check Box 814">
              <controlPr locked="0" defaultSize="0" autoFill="0" autoLine="0" autoPict="0">
                <anchor moveWithCells="1" sizeWithCells="1">
                  <from>
                    <xdr:col>22</xdr:col>
                    <xdr:colOff>0</xdr:colOff>
                    <xdr:row>43</xdr:row>
                    <xdr:rowOff>0</xdr:rowOff>
                  </from>
                  <to>
                    <xdr:col>22</xdr:col>
                    <xdr:colOff>177800</xdr:colOff>
                    <xdr:row>43</xdr:row>
                    <xdr:rowOff>177800</xdr:rowOff>
                  </to>
                </anchor>
              </controlPr>
            </control>
          </mc:Choice>
        </mc:AlternateContent>
        <mc:AlternateContent xmlns:mc="http://schemas.openxmlformats.org/markup-compatibility/2006">
          <mc:Choice Requires="x14">
            <control shapeId="16175" r:id="rId258" name="Check Box 815">
              <controlPr locked="0" defaultSize="0" autoFill="0" autoLine="0" autoPict="0">
                <anchor moveWithCells="1" sizeWithCells="1">
                  <from>
                    <xdr:col>22</xdr:col>
                    <xdr:colOff>0</xdr:colOff>
                    <xdr:row>46</xdr:row>
                    <xdr:rowOff>0</xdr:rowOff>
                  </from>
                  <to>
                    <xdr:col>22</xdr:col>
                    <xdr:colOff>177800</xdr:colOff>
                    <xdr:row>46</xdr:row>
                    <xdr:rowOff>177800</xdr:rowOff>
                  </to>
                </anchor>
              </controlPr>
            </control>
          </mc:Choice>
        </mc:AlternateContent>
        <mc:AlternateContent xmlns:mc="http://schemas.openxmlformats.org/markup-compatibility/2006">
          <mc:Choice Requires="x14">
            <control shapeId="16176" r:id="rId259" name="Check Box 816">
              <controlPr locked="0" defaultSize="0" autoFill="0" autoLine="0" autoPict="0">
                <anchor moveWithCells="1" sizeWithCells="1">
                  <from>
                    <xdr:col>22</xdr:col>
                    <xdr:colOff>0</xdr:colOff>
                    <xdr:row>74</xdr:row>
                    <xdr:rowOff>0</xdr:rowOff>
                  </from>
                  <to>
                    <xdr:col>22</xdr:col>
                    <xdr:colOff>177800</xdr:colOff>
                    <xdr:row>74</xdr:row>
                    <xdr:rowOff>177800</xdr:rowOff>
                  </to>
                </anchor>
              </controlPr>
            </control>
          </mc:Choice>
        </mc:AlternateContent>
        <mc:AlternateContent xmlns:mc="http://schemas.openxmlformats.org/markup-compatibility/2006">
          <mc:Choice Requires="x14">
            <control shapeId="16177" r:id="rId260" name="Check Box 817">
              <controlPr locked="0" defaultSize="0" autoFill="0" autoLine="0" autoPict="0">
                <anchor moveWithCells="1" sizeWithCells="1">
                  <from>
                    <xdr:col>22</xdr:col>
                    <xdr:colOff>0</xdr:colOff>
                    <xdr:row>126</xdr:row>
                    <xdr:rowOff>0</xdr:rowOff>
                  </from>
                  <to>
                    <xdr:col>22</xdr:col>
                    <xdr:colOff>177800</xdr:colOff>
                    <xdr:row>126</xdr:row>
                    <xdr:rowOff>177800</xdr:rowOff>
                  </to>
                </anchor>
              </controlPr>
            </control>
          </mc:Choice>
        </mc:AlternateContent>
        <mc:AlternateContent xmlns:mc="http://schemas.openxmlformats.org/markup-compatibility/2006">
          <mc:Choice Requires="x14">
            <control shapeId="16178" r:id="rId261" name="Check Box 818">
              <controlPr locked="0" defaultSize="0" autoFill="0" autoLine="0" autoPict="0">
                <anchor moveWithCells="1" sizeWithCells="1">
                  <from>
                    <xdr:col>22</xdr:col>
                    <xdr:colOff>0</xdr:colOff>
                    <xdr:row>128</xdr:row>
                    <xdr:rowOff>0</xdr:rowOff>
                  </from>
                  <to>
                    <xdr:col>22</xdr:col>
                    <xdr:colOff>177800</xdr:colOff>
                    <xdr:row>128</xdr:row>
                    <xdr:rowOff>177800</xdr:rowOff>
                  </to>
                </anchor>
              </controlPr>
            </control>
          </mc:Choice>
        </mc:AlternateContent>
        <mc:AlternateContent xmlns:mc="http://schemas.openxmlformats.org/markup-compatibility/2006">
          <mc:Choice Requires="x14">
            <control shapeId="16179" r:id="rId262" name="Check Box 819">
              <controlPr locked="0" defaultSize="0" autoFill="0" autoLine="0" autoPict="0">
                <anchor moveWithCells="1" sizeWithCells="1">
                  <from>
                    <xdr:col>22</xdr:col>
                    <xdr:colOff>0</xdr:colOff>
                    <xdr:row>148</xdr:row>
                    <xdr:rowOff>0</xdr:rowOff>
                  </from>
                  <to>
                    <xdr:col>22</xdr:col>
                    <xdr:colOff>177800</xdr:colOff>
                    <xdr:row>148</xdr:row>
                    <xdr:rowOff>177800</xdr:rowOff>
                  </to>
                </anchor>
              </controlPr>
            </control>
          </mc:Choice>
        </mc:AlternateContent>
        <mc:AlternateContent xmlns:mc="http://schemas.openxmlformats.org/markup-compatibility/2006">
          <mc:Choice Requires="x14">
            <control shapeId="16180" r:id="rId263" name="Check Box 820">
              <controlPr locked="0" defaultSize="0" autoFill="0" autoLine="0" autoPict="0">
                <anchor moveWithCells="1" sizeWithCells="1">
                  <from>
                    <xdr:col>22</xdr:col>
                    <xdr:colOff>0</xdr:colOff>
                    <xdr:row>260</xdr:row>
                    <xdr:rowOff>0</xdr:rowOff>
                  </from>
                  <to>
                    <xdr:col>22</xdr:col>
                    <xdr:colOff>177800</xdr:colOff>
                    <xdr:row>260</xdr:row>
                    <xdr:rowOff>177800</xdr:rowOff>
                  </to>
                </anchor>
              </controlPr>
            </control>
          </mc:Choice>
        </mc:AlternateContent>
        <mc:AlternateContent xmlns:mc="http://schemas.openxmlformats.org/markup-compatibility/2006">
          <mc:Choice Requires="x14">
            <control shapeId="16181" r:id="rId264" name="Check Box 821">
              <controlPr locked="0" defaultSize="0" autoFill="0" autoLine="0" autoPict="0">
                <anchor moveWithCells="1" sizeWithCells="1">
                  <from>
                    <xdr:col>22</xdr:col>
                    <xdr:colOff>0</xdr:colOff>
                    <xdr:row>265</xdr:row>
                    <xdr:rowOff>0</xdr:rowOff>
                  </from>
                  <to>
                    <xdr:col>22</xdr:col>
                    <xdr:colOff>177800</xdr:colOff>
                    <xdr:row>265</xdr:row>
                    <xdr:rowOff>177800</xdr:rowOff>
                  </to>
                </anchor>
              </controlPr>
            </control>
          </mc:Choice>
        </mc:AlternateContent>
        <mc:AlternateContent xmlns:mc="http://schemas.openxmlformats.org/markup-compatibility/2006">
          <mc:Choice Requires="x14">
            <control shapeId="16182" r:id="rId265" name="Check Box 822">
              <controlPr locked="0" defaultSize="0" autoFill="0" autoLine="0" autoPict="0">
                <anchor moveWithCells="1" sizeWithCells="1">
                  <from>
                    <xdr:col>22</xdr:col>
                    <xdr:colOff>0</xdr:colOff>
                    <xdr:row>268</xdr:row>
                    <xdr:rowOff>0</xdr:rowOff>
                  </from>
                  <to>
                    <xdr:col>22</xdr:col>
                    <xdr:colOff>177800</xdr:colOff>
                    <xdr:row>268</xdr:row>
                    <xdr:rowOff>177800</xdr:rowOff>
                  </to>
                </anchor>
              </controlPr>
            </control>
          </mc:Choice>
        </mc:AlternateContent>
        <mc:AlternateContent xmlns:mc="http://schemas.openxmlformats.org/markup-compatibility/2006">
          <mc:Choice Requires="x14">
            <control shapeId="16183" r:id="rId266" name="Check Box 823">
              <controlPr locked="0" defaultSize="0" autoFill="0" autoLine="0" autoPict="0">
                <anchor moveWithCells="1" sizeWithCells="1">
                  <from>
                    <xdr:col>22</xdr:col>
                    <xdr:colOff>0</xdr:colOff>
                    <xdr:row>269</xdr:row>
                    <xdr:rowOff>0</xdr:rowOff>
                  </from>
                  <to>
                    <xdr:col>22</xdr:col>
                    <xdr:colOff>177800</xdr:colOff>
                    <xdr:row>269</xdr:row>
                    <xdr:rowOff>177800</xdr:rowOff>
                  </to>
                </anchor>
              </controlPr>
            </control>
          </mc:Choice>
        </mc:AlternateContent>
        <mc:AlternateContent xmlns:mc="http://schemas.openxmlformats.org/markup-compatibility/2006">
          <mc:Choice Requires="x14">
            <control shapeId="16185" r:id="rId267" name="Check Box 825">
              <controlPr locked="0" defaultSize="0" autoFill="0" autoLine="0" autoPict="0">
                <anchor moveWithCells="1" sizeWithCells="1">
                  <from>
                    <xdr:col>22</xdr:col>
                    <xdr:colOff>0</xdr:colOff>
                    <xdr:row>281</xdr:row>
                    <xdr:rowOff>0</xdr:rowOff>
                  </from>
                  <to>
                    <xdr:col>22</xdr:col>
                    <xdr:colOff>177800</xdr:colOff>
                    <xdr:row>281</xdr:row>
                    <xdr:rowOff>177800</xdr:rowOff>
                  </to>
                </anchor>
              </controlPr>
            </control>
          </mc:Choice>
        </mc:AlternateContent>
        <mc:AlternateContent xmlns:mc="http://schemas.openxmlformats.org/markup-compatibility/2006">
          <mc:Choice Requires="x14">
            <control shapeId="16186" r:id="rId268" name="Check Box 826">
              <controlPr locked="0" defaultSize="0" autoFill="0" autoLine="0" autoPict="0">
                <anchor moveWithCells="1" sizeWithCells="1">
                  <from>
                    <xdr:col>22</xdr:col>
                    <xdr:colOff>0</xdr:colOff>
                    <xdr:row>285</xdr:row>
                    <xdr:rowOff>0</xdr:rowOff>
                  </from>
                  <to>
                    <xdr:col>22</xdr:col>
                    <xdr:colOff>177800</xdr:colOff>
                    <xdr:row>285</xdr:row>
                    <xdr:rowOff>177800</xdr:rowOff>
                  </to>
                </anchor>
              </controlPr>
            </control>
          </mc:Choice>
        </mc:AlternateContent>
        <mc:AlternateContent xmlns:mc="http://schemas.openxmlformats.org/markup-compatibility/2006">
          <mc:Choice Requires="x14">
            <control shapeId="16187" r:id="rId269" name="Check Box 827">
              <controlPr locked="0" defaultSize="0" autoFill="0" autoLine="0" autoPict="0">
                <anchor moveWithCells="1" sizeWithCells="1">
                  <from>
                    <xdr:col>22</xdr:col>
                    <xdr:colOff>0</xdr:colOff>
                    <xdr:row>288</xdr:row>
                    <xdr:rowOff>0</xdr:rowOff>
                  </from>
                  <to>
                    <xdr:col>22</xdr:col>
                    <xdr:colOff>177800</xdr:colOff>
                    <xdr:row>288</xdr:row>
                    <xdr:rowOff>177800</xdr:rowOff>
                  </to>
                </anchor>
              </controlPr>
            </control>
          </mc:Choice>
        </mc:AlternateContent>
        <mc:AlternateContent xmlns:mc="http://schemas.openxmlformats.org/markup-compatibility/2006">
          <mc:Choice Requires="x14">
            <control shapeId="16188" r:id="rId270" name="Check Box 828">
              <controlPr locked="0" defaultSize="0" autoFill="0" autoLine="0" autoPict="0">
                <anchor moveWithCells="1" sizeWithCells="1">
                  <from>
                    <xdr:col>22</xdr:col>
                    <xdr:colOff>0</xdr:colOff>
                    <xdr:row>291</xdr:row>
                    <xdr:rowOff>0</xdr:rowOff>
                  </from>
                  <to>
                    <xdr:col>22</xdr:col>
                    <xdr:colOff>177800</xdr:colOff>
                    <xdr:row>291</xdr:row>
                    <xdr:rowOff>177800</xdr:rowOff>
                  </to>
                </anchor>
              </controlPr>
            </control>
          </mc:Choice>
        </mc:AlternateContent>
        <mc:AlternateContent xmlns:mc="http://schemas.openxmlformats.org/markup-compatibility/2006">
          <mc:Choice Requires="x14">
            <control shapeId="16189" r:id="rId271" name="Check Box 829">
              <controlPr locked="0" defaultSize="0" autoFill="0" autoLine="0" autoPict="0">
                <anchor moveWithCells="1" sizeWithCells="1">
                  <from>
                    <xdr:col>22</xdr:col>
                    <xdr:colOff>0</xdr:colOff>
                    <xdr:row>292</xdr:row>
                    <xdr:rowOff>0</xdr:rowOff>
                  </from>
                  <to>
                    <xdr:col>22</xdr:col>
                    <xdr:colOff>177800</xdr:colOff>
                    <xdr:row>292</xdr:row>
                    <xdr:rowOff>177800</xdr:rowOff>
                  </to>
                </anchor>
              </controlPr>
            </control>
          </mc:Choice>
        </mc:AlternateContent>
        <mc:AlternateContent xmlns:mc="http://schemas.openxmlformats.org/markup-compatibility/2006">
          <mc:Choice Requires="x14">
            <control shapeId="16190" r:id="rId272" name="Check Box 830">
              <controlPr locked="0" defaultSize="0" autoFill="0" autoLine="0" autoPict="0">
                <anchor moveWithCells="1" sizeWithCells="1">
                  <from>
                    <xdr:col>22</xdr:col>
                    <xdr:colOff>0</xdr:colOff>
                    <xdr:row>297</xdr:row>
                    <xdr:rowOff>0</xdr:rowOff>
                  </from>
                  <to>
                    <xdr:col>22</xdr:col>
                    <xdr:colOff>177800</xdr:colOff>
                    <xdr:row>297</xdr:row>
                    <xdr:rowOff>177800</xdr:rowOff>
                  </to>
                </anchor>
              </controlPr>
            </control>
          </mc:Choice>
        </mc:AlternateContent>
        <mc:AlternateContent xmlns:mc="http://schemas.openxmlformats.org/markup-compatibility/2006">
          <mc:Choice Requires="x14">
            <control shapeId="16191" r:id="rId273" name="Check Box 831">
              <controlPr locked="0" defaultSize="0" autoFill="0" autoLine="0" autoPict="0">
                <anchor moveWithCells="1" sizeWithCells="1">
                  <from>
                    <xdr:col>22</xdr:col>
                    <xdr:colOff>0</xdr:colOff>
                    <xdr:row>299</xdr:row>
                    <xdr:rowOff>0</xdr:rowOff>
                  </from>
                  <to>
                    <xdr:col>22</xdr:col>
                    <xdr:colOff>177800</xdr:colOff>
                    <xdr:row>299</xdr:row>
                    <xdr:rowOff>177800</xdr:rowOff>
                  </to>
                </anchor>
              </controlPr>
            </control>
          </mc:Choice>
        </mc:AlternateContent>
        <mc:AlternateContent xmlns:mc="http://schemas.openxmlformats.org/markup-compatibility/2006">
          <mc:Choice Requires="x14">
            <control shapeId="16192" r:id="rId274" name="Check Box 832">
              <controlPr locked="0" defaultSize="0" autoFill="0" autoLine="0" autoPict="0">
                <anchor moveWithCells="1" sizeWithCells="1">
                  <from>
                    <xdr:col>22</xdr:col>
                    <xdr:colOff>0</xdr:colOff>
                    <xdr:row>301</xdr:row>
                    <xdr:rowOff>0</xdr:rowOff>
                  </from>
                  <to>
                    <xdr:col>22</xdr:col>
                    <xdr:colOff>177800</xdr:colOff>
                    <xdr:row>301</xdr:row>
                    <xdr:rowOff>177800</xdr:rowOff>
                  </to>
                </anchor>
              </controlPr>
            </control>
          </mc:Choice>
        </mc:AlternateContent>
        <mc:AlternateContent xmlns:mc="http://schemas.openxmlformats.org/markup-compatibility/2006">
          <mc:Choice Requires="x14">
            <control shapeId="16193" r:id="rId275" name="Check Box 833">
              <controlPr locked="0" defaultSize="0" autoFill="0" autoLine="0" autoPict="0">
                <anchor moveWithCells="1" sizeWithCells="1">
                  <from>
                    <xdr:col>22</xdr:col>
                    <xdr:colOff>0</xdr:colOff>
                    <xdr:row>303</xdr:row>
                    <xdr:rowOff>0</xdr:rowOff>
                  </from>
                  <to>
                    <xdr:col>22</xdr:col>
                    <xdr:colOff>177800</xdr:colOff>
                    <xdr:row>303</xdr:row>
                    <xdr:rowOff>177800</xdr:rowOff>
                  </to>
                </anchor>
              </controlPr>
            </control>
          </mc:Choice>
        </mc:AlternateContent>
        <mc:AlternateContent xmlns:mc="http://schemas.openxmlformats.org/markup-compatibility/2006">
          <mc:Choice Requires="x14">
            <control shapeId="16195" r:id="rId276" name="Check Box 835">
              <controlPr locked="0" defaultSize="0" autoFill="0" autoLine="0" autoPict="0">
                <anchor moveWithCells="1" sizeWithCells="1">
                  <from>
                    <xdr:col>22</xdr:col>
                    <xdr:colOff>0</xdr:colOff>
                    <xdr:row>541</xdr:row>
                    <xdr:rowOff>0</xdr:rowOff>
                  </from>
                  <to>
                    <xdr:col>22</xdr:col>
                    <xdr:colOff>177800</xdr:colOff>
                    <xdr:row>541</xdr:row>
                    <xdr:rowOff>177800</xdr:rowOff>
                  </to>
                </anchor>
              </controlPr>
            </control>
          </mc:Choice>
        </mc:AlternateContent>
        <mc:AlternateContent xmlns:mc="http://schemas.openxmlformats.org/markup-compatibility/2006">
          <mc:Choice Requires="x14">
            <control shapeId="16201" r:id="rId277" name="Check Box 841">
              <controlPr locked="0" defaultSize="0" autoFill="0" autoLine="0" autoPict="0">
                <anchor moveWithCells="1" sizeWithCells="1">
                  <from>
                    <xdr:col>22</xdr:col>
                    <xdr:colOff>0</xdr:colOff>
                    <xdr:row>1051</xdr:row>
                    <xdr:rowOff>0</xdr:rowOff>
                  </from>
                  <to>
                    <xdr:col>22</xdr:col>
                    <xdr:colOff>177800</xdr:colOff>
                    <xdr:row>1051</xdr:row>
                    <xdr:rowOff>177800</xdr:rowOff>
                  </to>
                </anchor>
              </controlPr>
            </control>
          </mc:Choice>
        </mc:AlternateContent>
        <mc:AlternateContent xmlns:mc="http://schemas.openxmlformats.org/markup-compatibility/2006">
          <mc:Choice Requires="x14">
            <control shapeId="16202" r:id="rId278" name="Check Box 842">
              <controlPr locked="0" defaultSize="0" autoFill="0" autoLine="0" autoPict="0">
                <anchor moveWithCells="1" sizeWithCells="1">
                  <from>
                    <xdr:col>22</xdr:col>
                    <xdr:colOff>0</xdr:colOff>
                    <xdr:row>1060</xdr:row>
                    <xdr:rowOff>0</xdr:rowOff>
                  </from>
                  <to>
                    <xdr:col>22</xdr:col>
                    <xdr:colOff>177800</xdr:colOff>
                    <xdr:row>1060</xdr:row>
                    <xdr:rowOff>177800</xdr:rowOff>
                  </to>
                </anchor>
              </controlPr>
            </control>
          </mc:Choice>
        </mc:AlternateContent>
        <mc:AlternateContent xmlns:mc="http://schemas.openxmlformats.org/markup-compatibility/2006">
          <mc:Choice Requires="x14">
            <control shapeId="16204" r:id="rId279" name="Check Box 844">
              <controlPr locked="0" defaultSize="0" autoFill="0" autoLine="0" autoPict="0">
                <anchor moveWithCells="1" sizeWithCells="1">
                  <from>
                    <xdr:col>22</xdr:col>
                    <xdr:colOff>0</xdr:colOff>
                    <xdr:row>1118</xdr:row>
                    <xdr:rowOff>0</xdr:rowOff>
                  </from>
                  <to>
                    <xdr:col>22</xdr:col>
                    <xdr:colOff>177800</xdr:colOff>
                    <xdr:row>1118</xdr:row>
                    <xdr:rowOff>177800</xdr:rowOff>
                  </to>
                </anchor>
              </controlPr>
            </control>
          </mc:Choice>
        </mc:AlternateContent>
        <mc:AlternateContent xmlns:mc="http://schemas.openxmlformats.org/markup-compatibility/2006">
          <mc:Choice Requires="x14">
            <control shapeId="16206" r:id="rId280" name="Check Box 846">
              <controlPr locked="0" defaultSize="0" autoFill="0" autoLine="0" autoPict="0">
                <anchor moveWithCells="1" sizeWithCells="1">
                  <from>
                    <xdr:col>22</xdr:col>
                    <xdr:colOff>0</xdr:colOff>
                    <xdr:row>1162</xdr:row>
                    <xdr:rowOff>0</xdr:rowOff>
                  </from>
                  <to>
                    <xdr:col>22</xdr:col>
                    <xdr:colOff>177800</xdr:colOff>
                    <xdr:row>1162</xdr:row>
                    <xdr:rowOff>177800</xdr:rowOff>
                  </to>
                </anchor>
              </controlPr>
            </control>
          </mc:Choice>
        </mc:AlternateContent>
        <mc:AlternateContent xmlns:mc="http://schemas.openxmlformats.org/markup-compatibility/2006">
          <mc:Choice Requires="x14">
            <control shapeId="16207" r:id="rId281" name="Check Box 847">
              <controlPr locked="0" defaultSize="0" autoFill="0" autoLine="0" autoPict="0">
                <anchor moveWithCells="1" sizeWithCells="1">
                  <from>
                    <xdr:col>22</xdr:col>
                    <xdr:colOff>0</xdr:colOff>
                    <xdr:row>1165</xdr:row>
                    <xdr:rowOff>0</xdr:rowOff>
                  </from>
                  <to>
                    <xdr:col>22</xdr:col>
                    <xdr:colOff>177800</xdr:colOff>
                    <xdr:row>1165</xdr:row>
                    <xdr:rowOff>177800</xdr:rowOff>
                  </to>
                </anchor>
              </controlPr>
            </control>
          </mc:Choice>
        </mc:AlternateContent>
        <mc:AlternateContent xmlns:mc="http://schemas.openxmlformats.org/markup-compatibility/2006">
          <mc:Choice Requires="x14">
            <control shapeId="16208" r:id="rId282" name="Check Box 848">
              <controlPr locked="0" defaultSize="0" autoFill="0" autoLine="0" autoPict="0">
                <anchor moveWithCells="1" sizeWithCells="1">
                  <from>
                    <xdr:col>22</xdr:col>
                    <xdr:colOff>0</xdr:colOff>
                    <xdr:row>1175</xdr:row>
                    <xdr:rowOff>0</xdr:rowOff>
                  </from>
                  <to>
                    <xdr:col>22</xdr:col>
                    <xdr:colOff>177800</xdr:colOff>
                    <xdr:row>1175</xdr:row>
                    <xdr:rowOff>177800</xdr:rowOff>
                  </to>
                </anchor>
              </controlPr>
            </control>
          </mc:Choice>
        </mc:AlternateContent>
        <mc:AlternateContent xmlns:mc="http://schemas.openxmlformats.org/markup-compatibility/2006">
          <mc:Choice Requires="x14">
            <control shapeId="16209" r:id="rId283" name="Check Box 849">
              <controlPr locked="0" defaultSize="0" autoFill="0" autoLine="0" autoPict="0">
                <anchor moveWithCells="1" sizeWithCells="1">
                  <from>
                    <xdr:col>22</xdr:col>
                    <xdr:colOff>0</xdr:colOff>
                    <xdr:row>1182</xdr:row>
                    <xdr:rowOff>0</xdr:rowOff>
                  </from>
                  <to>
                    <xdr:col>22</xdr:col>
                    <xdr:colOff>177800</xdr:colOff>
                    <xdr:row>1182</xdr:row>
                    <xdr:rowOff>177800</xdr:rowOff>
                  </to>
                </anchor>
              </controlPr>
            </control>
          </mc:Choice>
        </mc:AlternateContent>
        <mc:AlternateContent xmlns:mc="http://schemas.openxmlformats.org/markup-compatibility/2006">
          <mc:Choice Requires="x14">
            <control shapeId="16210" r:id="rId284" name="Check Box 850">
              <controlPr locked="0" defaultSize="0" autoFill="0" autoLine="0" autoPict="0">
                <anchor moveWithCells="1" sizeWithCells="1">
                  <from>
                    <xdr:col>22</xdr:col>
                    <xdr:colOff>0</xdr:colOff>
                    <xdr:row>1187</xdr:row>
                    <xdr:rowOff>0</xdr:rowOff>
                  </from>
                  <to>
                    <xdr:col>22</xdr:col>
                    <xdr:colOff>177800</xdr:colOff>
                    <xdr:row>1187</xdr:row>
                    <xdr:rowOff>177800</xdr:rowOff>
                  </to>
                </anchor>
              </controlPr>
            </control>
          </mc:Choice>
        </mc:AlternateContent>
        <mc:AlternateContent xmlns:mc="http://schemas.openxmlformats.org/markup-compatibility/2006">
          <mc:Choice Requires="x14">
            <control shapeId="16211" r:id="rId285" name="Check Box 851">
              <controlPr locked="0" defaultSize="0" autoFill="0" autoLine="0" autoPict="0">
                <anchor moveWithCells="1" sizeWithCells="1">
                  <from>
                    <xdr:col>22</xdr:col>
                    <xdr:colOff>0</xdr:colOff>
                    <xdr:row>1188</xdr:row>
                    <xdr:rowOff>0</xdr:rowOff>
                  </from>
                  <to>
                    <xdr:col>22</xdr:col>
                    <xdr:colOff>177800</xdr:colOff>
                    <xdr:row>1188</xdr:row>
                    <xdr:rowOff>177800</xdr:rowOff>
                  </to>
                </anchor>
              </controlPr>
            </control>
          </mc:Choice>
        </mc:AlternateContent>
        <mc:AlternateContent xmlns:mc="http://schemas.openxmlformats.org/markup-compatibility/2006">
          <mc:Choice Requires="x14">
            <control shapeId="16212" r:id="rId286" name="Check Box 852">
              <controlPr locked="0" defaultSize="0" autoFill="0" autoLine="0" autoPict="0">
                <anchor moveWithCells="1" sizeWithCells="1">
                  <from>
                    <xdr:col>22</xdr:col>
                    <xdr:colOff>0</xdr:colOff>
                    <xdr:row>1190</xdr:row>
                    <xdr:rowOff>0</xdr:rowOff>
                  </from>
                  <to>
                    <xdr:col>22</xdr:col>
                    <xdr:colOff>177800</xdr:colOff>
                    <xdr:row>1190</xdr:row>
                    <xdr:rowOff>177800</xdr:rowOff>
                  </to>
                </anchor>
              </controlPr>
            </control>
          </mc:Choice>
        </mc:AlternateContent>
        <mc:AlternateContent xmlns:mc="http://schemas.openxmlformats.org/markup-compatibility/2006">
          <mc:Choice Requires="x14">
            <control shapeId="16213" r:id="rId287" name="Check Box 853">
              <controlPr locked="0" defaultSize="0" autoFill="0" autoLine="0" autoPict="0">
                <anchor moveWithCells="1" sizeWithCells="1">
                  <from>
                    <xdr:col>22</xdr:col>
                    <xdr:colOff>0</xdr:colOff>
                    <xdr:row>1191</xdr:row>
                    <xdr:rowOff>0</xdr:rowOff>
                  </from>
                  <to>
                    <xdr:col>22</xdr:col>
                    <xdr:colOff>177800</xdr:colOff>
                    <xdr:row>1191</xdr:row>
                    <xdr:rowOff>177800</xdr:rowOff>
                  </to>
                </anchor>
              </controlPr>
            </control>
          </mc:Choice>
        </mc:AlternateContent>
        <mc:AlternateContent xmlns:mc="http://schemas.openxmlformats.org/markup-compatibility/2006">
          <mc:Choice Requires="x14">
            <control shapeId="16214" r:id="rId288" name="Check Box 854">
              <controlPr locked="0" defaultSize="0" autoFill="0" autoLine="0" autoPict="0">
                <anchor moveWithCells="1" sizeWithCells="1">
                  <from>
                    <xdr:col>22</xdr:col>
                    <xdr:colOff>0</xdr:colOff>
                    <xdr:row>1193</xdr:row>
                    <xdr:rowOff>0</xdr:rowOff>
                  </from>
                  <to>
                    <xdr:col>22</xdr:col>
                    <xdr:colOff>177800</xdr:colOff>
                    <xdr:row>1193</xdr:row>
                    <xdr:rowOff>177800</xdr:rowOff>
                  </to>
                </anchor>
              </controlPr>
            </control>
          </mc:Choice>
        </mc:AlternateContent>
        <mc:AlternateContent xmlns:mc="http://schemas.openxmlformats.org/markup-compatibility/2006">
          <mc:Choice Requires="x14">
            <control shapeId="16215" r:id="rId289" name="Check Box 855">
              <controlPr locked="0" defaultSize="0" autoFill="0" autoLine="0" autoPict="0">
                <anchor moveWithCells="1" sizeWithCells="1">
                  <from>
                    <xdr:col>22</xdr:col>
                    <xdr:colOff>0</xdr:colOff>
                    <xdr:row>1253</xdr:row>
                    <xdr:rowOff>0</xdr:rowOff>
                  </from>
                  <to>
                    <xdr:col>22</xdr:col>
                    <xdr:colOff>177800</xdr:colOff>
                    <xdr:row>1253</xdr:row>
                    <xdr:rowOff>177800</xdr:rowOff>
                  </to>
                </anchor>
              </controlPr>
            </control>
          </mc:Choice>
        </mc:AlternateContent>
        <mc:AlternateContent xmlns:mc="http://schemas.openxmlformats.org/markup-compatibility/2006">
          <mc:Choice Requires="x14">
            <control shapeId="16216" r:id="rId290" name="Check Box 856">
              <controlPr locked="0" defaultSize="0" autoFill="0" autoLine="0" autoPict="0">
                <anchor moveWithCells="1" sizeWithCells="1">
                  <from>
                    <xdr:col>22</xdr:col>
                    <xdr:colOff>0</xdr:colOff>
                    <xdr:row>1255</xdr:row>
                    <xdr:rowOff>0</xdr:rowOff>
                  </from>
                  <to>
                    <xdr:col>22</xdr:col>
                    <xdr:colOff>177800</xdr:colOff>
                    <xdr:row>1255</xdr:row>
                    <xdr:rowOff>177800</xdr:rowOff>
                  </to>
                </anchor>
              </controlPr>
            </control>
          </mc:Choice>
        </mc:AlternateContent>
        <mc:AlternateContent xmlns:mc="http://schemas.openxmlformats.org/markup-compatibility/2006">
          <mc:Choice Requires="x14">
            <control shapeId="16217" r:id="rId291" name="Check Box 857">
              <controlPr locked="0" defaultSize="0" autoFill="0" autoLine="0" autoPict="0">
                <anchor moveWithCells="1" sizeWithCells="1">
                  <from>
                    <xdr:col>22</xdr:col>
                    <xdr:colOff>0</xdr:colOff>
                    <xdr:row>1257</xdr:row>
                    <xdr:rowOff>0</xdr:rowOff>
                  </from>
                  <to>
                    <xdr:col>22</xdr:col>
                    <xdr:colOff>177800</xdr:colOff>
                    <xdr:row>1257</xdr:row>
                    <xdr:rowOff>177800</xdr:rowOff>
                  </to>
                </anchor>
              </controlPr>
            </control>
          </mc:Choice>
        </mc:AlternateContent>
        <mc:AlternateContent xmlns:mc="http://schemas.openxmlformats.org/markup-compatibility/2006">
          <mc:Choice Requires="x14">
            <control shapeId="16218" r:id="rId292" name="Check Box 858">
              <controlPr locked="0" defaultSize="0" autoFill="0" autoLine="0" autoPict="0">
                <anchor moveWithCells="1" sizeWithCells="1">
                  <from>
                    <xdr:col>22</xdr:col>
                    <xdr:colOff>0</xdr:colOff>
                    <xdr:row>1280</xdr:row>
                    <xdr:rowOff>0</xdr:rowOff>
                  </from>
                  <to>
                    <xdr:col>22</xdr:col>
                    <xdr:colOff>177800</xdr:colOff>
                    <xdr:row>1280</xdr:row>
                    <xdr:rowOff>177800</xdr:rowOff>
                  </to>
                </anchor>
              </controlPr>
            </control>
          </mc:Choice>
        </mc:AlternateContent>
        <mc:AlternateContent xmlns:mc="http://schemas.openxmlformats.org/markup-compatibility/2006">
          <mc:Choice Requires="x14">
            <control shapeId="16219" r:id="rId293" name="Check Box 859">
              <controlPr locked="0" defaultSize="0" autoFill="0" autoLine="0" autoPict="0">
                <anchor moveWithCells="1" sizeWithCells="1">
                  <from>
                    <xdr:col>22</xdr:col>
                    <xdr:colOff>0</xdr:colOff>
                    <xdr:row>1282</xdr:row>
                    <xdr:rowOff>0</xdr:rowOff>
                  </from>
                  <to>
                    <xdr:col>22</xdr:col>
                    <xdr:colOff>177800</xdr:colOff>
                    <xdr:row>1282</xdr:row>
                    <xdr:rowOff>177800</xdr:rowOff>
                  </to>
                </anchor>
              </controlPr>
            </control>
          </mc:Choice>
        </mc:AlternateContent>
        <mc:AlternateContent xmlns:mc="http://schemas.openxmlformats.org/markup-compatibility/2006">
          <mc:Choice Requires="x14">
            <control shapeId="16220" r:id="rId294" name="Check Box 860">
              <controlPr locked="0" defaultSize="0" autoFill="0" autoLine="0" autoPict="0">
                <anchor moveWithCells="1" sizeWithCells="1">
                  <from>
                    <xdr:col>22</xdr:col>
                    <xdr:colOff>0</xdr:colOff>
                    <xdr:row>1284</xdr:row>
                    <xdr:rowOff>0</xdr:rowOff>
                  </from>
                  <to>
                    <xdr:col>22</xdr:col>
                    <xdr:colOff>177800</xdr:colOff>
                    <xdr:row>1284</xdr:row>
                    <xdr:rowOff>177800</xdr:rowOff>
                  </to>
                </anchor>
              </controlPr>
            </control>
          </mc:Choice>
        </mc:AlternateContent>
        <mc:AlternateContent xmlns:mc="http://schemas.openxmlformats.org/markup-compatibility/2006">
          <mc:Choice Requires="x14">
            <control shapeId="16221" r:id="rId295" name="Check Box 861">
              <controlPr locked="0" defaultSize="0" autoFill="0" autoLine="0" autoPict="0">
                <anchor moveWithCells="1" sizeWithCells="1">
                  <from>
                    <xdr:col>22</xdr:col>
                    <xdr:colOff>0</xdr:colOff>
                    <xdr:row>1287</xdr:row>
                    <xdr:rowOff>0</xdr:rowOff>
                  </from>
                  <to>
                    <xdr:col>22</xdr:col>
                    <xdr:colOff>177800</xdr:colOff>
                    <xdr:row>1287</xdr:row>
                    <xdr:rowOff>177800</xdr:rowOff>
                  </to>
                </anchor>
              </controlPr>
            </control>
          </mc:Choice>
        </mc:AlternateContent>
        <mc:AlternateContent xmlns:mc="http://schemas.openxmlformats.org/markup-compatibility/2006">
          <mc:Choice Requires="x14">
            <control shapeId="16222" r:id="rId296" name="Check Box 862">
              <controlPr locked="0" defaultSize="0" autoFill="0" autoLine="0" autoPict="0">
                <anchor moveWithCells="1" sizeWithCells="1">
                  <from>
                    <xdr:col>22</xdr:col>
                    <xdr:colOff>0</xdr:colOff>
                    <xdr:row>1288</xdr:row>
                    <xdr:rowOff>0</xdr:rowOff>
                  </from>
                  <to>
                    <xdr:col>22</xdr:col>
                    <xdr:colOff>177800</xdr:colOff>
                    <xdr:row>1288</xdr:row>
                    <xdr:rowOff>177800</xdr:rowOff>
                  </to>
                </anchor>
              </controlPr>
            </control>
          </mc:Choice>
        </mc:AlternateContent>
        <mc:AlternateContent xmlns:mc="http://schemas.openxmlformats.org/markup-compatibility/2006">
          <mc:Choice Requires="x14">
            <control shapeId="16223" r:id="rId297" name="Check Box 863">
              <controlPr locked="0" defaultSize="0" autoFill="0" autoLine="0" autoPict="0">
                <anchor moveWithCells="1" sizeWithCells="1">
                  <from>
                    <xdr:col>22</xdr:col>
                    <xdr:colOff>0</xdr:colOff>
                    <xdr:row>1289</xdr:row>
                    <xdr:rowOff>0</xdr:rowOff>
                  </from>
                  <to>
                    <xdr:col>22</xdr:col>
                    <xdr:colOff>177800</xdr:colOff>
                    <xdr:row>1289</xdr:row>
                    <xdr:rowOff>177800</xdr:rowOff>
                  </to>
                </anchor>
              </controlPr>
            </control>
          </mc:Choice>
        </mc:AlternateContent>
        <mc:AlternateContent xmlns:mc="http://schemas.openxmlformats.org/markup-compatibility/2006">
          <mc:Choice Requires="x14">
            <control shapeId="16224" r:id="rId298" name="Check Box 864">
              <controlPr locked="0" defaultSize="0" autoFill="0" autoLine="0" autoPict="0">
                <anchor moveWithCells="1" sizeWithCells="1">
                  <from>
                    <xdr:col>22</xdr:col>
                    <xdr:colOff>0</xdr:colOff>
                    <xdr:row>1292</xdr:row>
                    <xdr:rowOff>0</xdr:rowOff>
                  </from>
                  <to>
                    <xdr:col>22</xdr:col>
                    <xdr:colOff>177800</xdr:colOff>
                    <xdr:row>1292</xdr:row>
                    <xdr:rowOff>177800</xdr:rowOff>
                  </to>
                </anchor>
              </controlPr>
            </control>
          </mc:Choice>
        </mc:AlternateContent>
        <mc:AlternateContent xmlns:mc="http://schemas.openxmlformats.org/markup-compatibility/2006">
          <mc:Choice Requires="x14">
            <control shapeId="16225" r:id="rId299" name="Check Box 865">
              <controlPr locked="0" defaultSize="0" autoFill="0" autoLine="0" autoPict="0">
                <anchor moveWithCells="1" sizeWithCells="1">
                  <from>
                    <xdr:col>22</xdr:col>
                    <xdr:colOff>0</xdr:colOff>
                    <xdr:row>1320</xdr:row>
                    <xdr:rowOff>0</xdr:rowOff>
                  </from>
                  <to>
                    <xdr:col>22</xdr:col>
                    <xdr:colOff>177800</xdr:colOff>
                    <xdr:row>1320</xdr:row>
                    <xdr:rowOff>177800</xdr:rowOff>
                  </to>
                </anchor>
              </controlPr>
            </control>
          </mc:Choice>
        </mc:AlternateContent>
        <mc:AlternateContent xmlns:mc="http://schemas.openxmlformats.org/markup-compatibility/2006">
          <mc:Choice Requires="x14">
            <control shapeId="16226" r:id="rId300" name="Check Box 866">
              <controlPr locked="0" defaultSize="0" autoFill="0" autoLine="0" autoPict="0">
                <anchor moveWithCells="1" sizeWithCells="1">
                  <from>
                    <xdr:col>22</xdr:col>
                    <xdr:colOff>0</xdr:colOff>
                    <xdr:row>1328</xdr:row>
                    <xdr:rowOff>0</xdr:rowOff>
                  </from>
                  <to>
                    <xdr:col>22</xdr:col>
                    <xdr:colOff>177800</xdr:colOff>
                    <xdr:row>1328</xdr:row>
                    <xdr:rowOff>177800</xdr:rowOff>
                  </to>
                </anchor>
              </controlPr>
            </control>
          </mc:Choice>
        </mc:AlternateContent>
        <mc:AlternateContent xmlns:mc="http://schemas.openxmlformats.org/markup-compatibility/2006">
          <mc:Choice Requires="x14">
            <control shapeId="16227" r:id="rId301" name="Check Box 867">
              <controlPr locked="0" defaultSize="0" autoFill="0" autoLine="0" autoPict="0">
                <anchor moveWithCells="1" sizeWithCells="1">
                  <from>
                    <xdr:col>22</xdr:col>
                    <xdr:colOff>0</xdr:colOff>
                    <xdr:row>1330</xdr:row>
                    <xdr:rowOff>0</xdr:rowOff>
                  </from>
                  <to>
                    <xdr:col>22</xdr:col>
                    <xdr:colOff>177800</xdr:colOff>
                    <xdr:row>1330</xdr:row>
                    <xdr:rowOff>177800</xdr:rowOff>
                  </to>
                </anchor>
              </controlPr>
            </control>
          </mc:Choice>
        </mc:AlternateContent>
        <mc:AlternateContent xmlns:mc="http://schemas.openxmlformats.org/markup-compatibility/2006">
          <mc:Choice Requires="x14">
            <control shapeId="16228" r:id="rId302" name="Check Box 868">
              <controlPr locked="0" defaultSize="0" autoFill="0" autoLine="0" autoPict="0">
                <anchor moveWithCells="1" sizeWithCells="1">
                  <from>
                    <xdr:col>22</xdr:col>
                    <xdr:colOff>0</xdr:colOff>
                    <xdr:row>1331</xdr:row>
                    <xdr:rowOff>0</xdr:rowOff>
                  </from>
                  <to>
                    <xdr:col>22</xdr:col>
                    <xdr:colOff>177800</xdr:colOff>
                    <xdr:row>1331</xdr:row>
                    <xdr:rowOff>177800</xdr:rowOff>
                  </to>
                </anchor>
              </controlPr>
            </control>
          </mc:Choice>
        </mc:AlternateContent>
        <mc:AlternateContent xmlns:mc="http://schemas.openxmlformats.org/markup-compatibility/2006">
          <mc:Choice Requires="x14">
            <control shapeId="16229" r:id="rId303" name="Check Box 869">
              <controlPr locked="0" defaultSize="0" autoFill="0" autoLine="0" autoPict="0">
                <anchor moveWithCells="1" sizeWithCells="1">
                  <from>
                    <xdr:col>22</xdr:col>
                    <xdr:colOff>0</xdr:colOff>
                    <xdr:row>1332</xdr:row>
                    <xdr:rowOff>0</xdr:rowOff>
                  </from>
                  <to>
                    <xdr:col>22</xdr:col>
                    <xdr:colOff>177800</xdr:colOff>
                    <xdr:row>1332</xdr:row>
                    <xdr:rowOff>177800</xdr:rowOff>
                  </to>
                </anchor>
              </controlPr>
            </control>
          </mc:Choice>
        </mc:AlternateContent>
        <mc:AlternateContent xmlns:mc="http://schemas.openxmlformats.org/markup-compatibility/2006">
          <mc:Choice Requires="x14">
            <control shapeId="16230" r:id="rId304" name="Check Box 870">
              <controlPr locked="0" defaultSize="0" autoFill="0" autoLine="0" autoPict="0">
                <anchor moveWithCells="1" sizeWithCells="1">
                  <from>
                    <xdr:col>22</xdr:col>
                    <xdr:colOff>0</xdr:colOff>
                    <xdr:row>1334</xdr:row>
                    <xdr:rowOff>0</xdr:rowOff>
                  </from>
                  <to>
                    <xdr:col>22</xdr:col>
                    <xdr:colOff>177800</xdr:colOff>
                    <xdr:row>1334</xdr:row>
                    <xdr:rowOff>177800</xdr:rowOff>
                  </to>
                </anchor>
              </controlPr>
            </control>
          </mc:Choice>
        </mc:AlternateContent>
        <mc:AlternateContent xmlns:mc="http://schemas.openxmlformats.org/markup-compatibility/2006">
          <mc:Choice Requires="x14">
            <control shapeId="16231" r:id="rId305" name="Check Box 871">
              <controlPr locked="0" defaultSize="0" autoFill="0" autoLine="0" autoPict="0">
                <anchor moveWithCells="1" sizeWithCells="1">
                  <from>
                    <xdr:col>22</xdr:col>
                    <xdr:colOff>0</xdr:colOff>
                    <xdr:row>1336</xdr:row>
                    <xdr:rowOff>0</xdr:rowOff>
                  </from>
                  <to>
                    <xdr:col>22</xdr:col>
                    <xdr:colOff>177800</xdr:colOff>
                    <xdr:row>1336</xdr:row>
                    <xdr:rowOff>177800</xdr:rowOff>
                  </to>
                </anchor>
              </controlPr>
            </control>
          </mc:Choice>
        </mc:AlternateContent>
        <mc:AlternateContent xmlns:mc="http://schemas.openxmlformats.org/markup-compatibility/2006">
          <mc:Choice Requires="x14">
            <control shapeId="16232" r:id="rId306" name="Check Box 872">
              <controlPr locked="0" defaultSize="0" autoFill="0" autoLine="0" autoPict="0">
                <anchor moveWithCells="1" sizeWithCells="1">
                  <from>
                    <xdr:col>22</xdr:col>
                    <xdr:colOff>0</xdr:colOff>
                    <xdr:row>1338</xdr:row>
                    <xdr:rowOff>0</xdr:rowOff>
                  </from>
                  <to>
                    <xdr:col>22</xdr:col>
                    <xdr:colOff>177800</xdr:colOff>
                    <xdr:row>1338</xdr:row>
                    <xdr:rowOff>177800</xdr:rowOff>
                  </to>
                </anchor>
              </controlPr>
            </control>
          </mc:Choice>
        </mc:AlternateContent>
        <mc:AlternateContent xmlns:mc="http://schemas.openxmlformats.org/markup-compatibility/2006">
          <mc:Choice Requires="x14">
            <control shapeId="16233" r:id="rId307" name="Check Box 873">
              <controlPr locked="0" defaultSize="0" autoFill="0" autoLine="0" autoPict="0">
                <anchor moveWithCells="1" sizeWithCells="1">
                  <from>
                    <xdr:col>22</xdr:col>
                    <xdr:colOff>0</xdr:colOff>
                    <xdr:row>1343</xdr:row>
                    <xdr:rowOff>0</xdr:rowOff>
                  </from>
                  <to>
                    <xdr:col>22</xdr:col>
                    <xdr:colOff>177800</xdr:colOff>
                    <xdr:row>1343</xdr:row>
                    <xdr:rowOff>177800</xdr:rowOff>
                  </to>
                </anchor>
              </controlPr>
            </control>
          </mc:Choice>
        </mc:AlternateContent>
        <mc:AlternateContent xmlns:mc="http://schemas.openxmlformats.org/markup-compatibility/2006">
          <mc:Choice Requires="x14">
            <control shapeId="16234" r:id="rId308" name="Check Box 874">
              <controlPr locked="0" defaultSize="0" autoFill="0" autoLine="0" autoPict="0">
                <anchor moveWithCells="1" sizeWithCells="1">
                  <from>
                    <xdr:col>22</xdr:col>
                    <xdr:colOff>0</xdr:colOff>
                    <xdr:row>1345</xdr:row>
                    <xdr:rowOff>0</xdr:rowOff>
                  </from>
                  <to>
                    <xdr:col>22</xdr:col>
                    <xdr:colOff>177800</xdr:colOff>
                    <xdr:row>1345</xdr:row>
                    <xdr:rowOff>177800</xdr:rowOff>
                  </to>
                </anchor>
              </controlPr>
            </control>
          </mc:Choice>
        </mc:AlternateContent>
        <mc:AlternateContent xmlns:mc="http://schemas.openxmlformats.org/markup-compatibility/2006">
          <mc:Choice Requires="x14">
            <control shapeId="16235" r:id="rId309" name="Check Box 875">
              <controlPr locked="0" defaultSize="0" autoFill="0" autoLine="0" autoPict="0">
                <anchor moveWithCells="1" sizeWithCells="1">
                  <from>
                    <xdr:col>22</xdr:col>
                    <xdr:colOff>0</xdr:colOff>
                    <xdr:row>1347</xdr:row>
                    <xdr:rowOff>0</xdr:rowOff>
                  </from>
                  <to>
                    <xdr:col>22</xdr:col>
                    <xdr:colOff>177800</xdr:colOff>
                    <xdr:row>1347</xdr:row>
                    <xdr:rowOff>177800</xdr:rowOff>
                  </to>
                </anchor>
              </controlPr>
            </control>
          </mc:Choice>
        </mc:AlternateContent>
        <mc:AlternateContent xmlns:mc="http://schemas.openxmlformats.org/markup-compatibility/2006">
          <mc:Choice Requires="x14">
            <control shapeId="16236" r:id="rId310" name="Check Box 876">
              <controlPr locked="0" defaultSize="0" autoFill="0" autoLine="0" autoPict="0">
                <anchor moveWithCells="1" sizeWithCells="1">
                  <from>
                    <xdr:col>22</xdr:col>
                    <xdr:colOff>0</xdr:colOff>
                    <xdr:row>1349</xdr:row>
                    <xdr:rowOff>0</xdr:rowOff>
                  </from>
                  <to>
                    <xdr:col>22</xdr:col>
                    <xdr:colOff>177800</xdr:colOff>
                    <xdr:row>1349</xdr:row>
                    <xdr:rowOff>177800</xdr:rowOff>
                  </to>
                </anchor>
              </controlPr>
            </control>
          </mc:Choice>
        </mc:AlternateContent>
        <mc:AlternateContent xmlns:mc="http://schemas.openxmlformats.org/markup-compatibility/2006">
          <mc:Choice Requires="x14">
            <control shapeId="16237" r:id="rId311" name="Check Box 877">
              <controlPr locked="0" defaultSize="0" autoFill="0" autoLine="0" autoPict="0">
                <anchor moveWithCells="1" sizeWithCells="1">
                  <from>
                    <xdr:col>22</xdr:col>
                    <xdr:colOff>0</xdr:colOff>
                    <xdr:row>1382</xdr:row>
                    <xdr:rowOff>0</xdr:rowOff>
                  </from>
                  <to>
                    <xdr:col>22</xdr:col>
                    <xdr:colOff>177800</xdr:colOff>
                    <xdr:row>1382</xdr:row>
                    <xdr:rowOff>177800</xdr:rowOff>
                  </to>
                </anchor>
              </controlPr>
            </control>
          </mc:Choice>
        </mc:AlternateContent>
        <mc:AlternateContent xmlns:mc="http://schemas.openxmlformats.org/markup-compatibility/2006">
          <mc:Choice Requires="x14">
            <control shapeId="16238" r:id="rId312" name="Check Box 878">
              <controlPr locked="0" defaultSize="0" autoFill="0" autoLine="0" autoPict="0">
                <anchor moveWithCells="1" sizeWithCells="1">
                  <from>
                    <xdr:col>22</xdr:col>
                    <xdr:colOff>0</xdr:colOff>
                    <xdr:row>1400</xdr:row>
                    <xdr:rowOff>0</xdr:rowOff>
                  </from>
                  <to>
                    <xdr:col>22</xdr:col>
                    <xdr:colOff>177800</xdr:colOff>
                    <xdr:row>1400</xdr:row>
                    <xdr:rowOff>177800</xdr:rowOff>
                  </to>
                </anchor>
              </controlPr>
            </control>
          </mc:Choice>
        </mc:AlternateContent>
        <mc:AlternateContent xmlns:mc="http://schemas.openxmlformats.org/markup-compatibility/2006">
          <mc:Choice Requires="x14">
            <control shapeId="16239" r:id="rId313" name="Check Box 879">
              <controlPr locked="0" defaultSize="0" autoFill="0" autoLine="0" autoPict="0">
                <anchor moveWithCells="1" sizeWithCells="1">
                  <from>
                    <xdr:col>22</xdr:col>
                    <xdr:colOff>0</xdr:colOff>
                    <xdr:row>1403</xdr:row>
                    <xdr:rowOff>0</xdr:rowOff>
                  </from>
                  <to>
                    <xdr:col>22</xdr:col>
                    <xdr:colOff>177800</xdr:colOff>
                    <xdr:row>1403</xdr:row>
                    <xdr:rowOff>177800</xdr:rowOff>
                  </to>
                </anchor>
              </controlPr>
            </control>
          </mc:Choice>
        </mc:AlternateContent>
        <mc:AlternateContent xmlns:mc="http://schemas.openxmlformats.org/markup-compatibility/2006">
          <mc:Choice Requires="x14">
            <control shapeId="16240" r:id="rId314" name="Check Box 880">
              <controlPr locked="0" defaultSize="0" autoFill="0" autoLine="0" autoPict="0">
                <anchor moveWithCells="1" sizeWithCells="1">
                  <from>
                    <xdr:col>22</xdr:col>
                    <xdr:colOff>0</xdr:colOff>
                    <xdr:row>1408</xdr:row>
                    <xdr:rowOff>0</xdr:rowOff>
                  </from>
                  <to>
                    <xdr:col>22</xdr:col>
                    <xdr:colOff>177800</xdr:colOff>
                    <xdr:row>1408</xdr:row>
                    <xdr:rowOff>177800</xdr:rowOff>
                  </to>
                </anchor>
              </controlPr>
            </control>
          </mc:Choice>
        </mc:AlternateContent>
        <mc:AlternateContent xmlns:mc="http://schemas.openxmlformats.org/markup-compatibility/2006">
          <mc:Choice Requires="x14">
            <control shapeId="16241" r:id="rId315" name="Check Box 881">
              <controlPr locked="0" defaultSize="0" autoFill="0" autoLine="0" autoPict="0">
                <anchor moveWithCells="1" sizeWithCells="1">
                  <from>
                    <xdr:col>22</xdr:col>
                    <xdr:colOff>0</xdr:colOff>
                    <xdr:row>1409</xdr:row>
                    <xdr:rowOff>0</xdr:rowOff>
                  </from>
                  <to>
                    <xdr:col>22</xdr:col>
                    <xdr:colOff>177800</xdr:colOff>
                    <xdr:row>1409</xdr:row>
                    <xdr:rowOff>177800</xdr:rowOff>
                  </to>
                </anchor>
              </controlPr>
            </control>
          </mc:Choice>
        </mc:AlternateContent>
        <mc:AlternateContent xmlns:mc="http://schemas.openxmlformats.org/markup-compatibility/2006">
          <mc:Choice Requires="x14">
            <control shapeId="16242" r:id="rId316" name="Check Box 882">
              <controlPr locked="0" defaultSize="0" autoFill="0" autoLine="0" autoPict="0">
                <anchor moveWithCells="1" sizeWithCells="1">
                  <from>
                    <xdr:col>22</xdr:col>
                    <xdr:colOff>0</xdr:colOff>
                    <xdr:row>1414</xdr:row>
                    <xdr:rowOff>0</xdr:rowOff>
                  </from>
                  <to>
                    <xdr:col>22</xdr:col>
                    <xdr:colOff>177800</xdr:colOff>
                    <xdr:row>1414</xdr:row>
                    <xdr:rowOff>177800</xdr:rowOff>
                  </to>
                </anchor>
              </controlPr>
            </control>
          </mc:Choice>
        </mc:AlternateContent>
        <mc:AlternateContent xmlns:mc="http://schemas.openxmlformats.org/markup-compatibility/2006">
          <mc:Choice Requires="x14">
            <control shapeId="16243" r:id="rId317" name="Check Box 883">
              <controlPr locked="0" defaultSize="0" autoFill="0" autoLine="0" autoPict="0">
                <anchor moveWithCells="1" sizeWithCells="1">
                  <from>
                    <xdr:col>22</xdr:col>
                    <xdr:colOff>0</xdr:colOff>
                    <xdr:row>1417</xdr:row>
                    <xdr:rowOff>0</xdr:rowOff>
                  </from>
                  <to>
                    <xdr:col>22</xdr:col>
                    <xdr:colOff>177800</xdr:colOff>
                    <xdr:row>1417</xdr:row>
                    <xdr:rowOff>177800</xdr:rowOff>
                  </to>
                </anchor>
              </controlPr>
            </control>
          </mc:Choice>
        </mc:AlternateContent>
        <mc:AlternateContent xmlns:mc="http://schemas.openxmlformats.org/markup-compatibility/2006">
          <mc:Choice Requires="x14">
            <control shapeId="16244" r:id="rId318" name="Check Box 884">
              <controlPr locked="0" defaultSize="0" autoFill="0" autoLine="0" autoPict="0">
                <anchor moveWithCells="1" sizeWithCells="1">
                  <from>
                    <xdr:col>22</xdr:col>
                    <xdr:colOff>0</xdr:colOff>
                    <xdr:row>1419</xdr:row>
                    <xdr:rowOff>0</xdr:rowOff>
                  </from>
                  <to>
                    <xdr:col>22</xdr:col>
                    <xdr:colOff>177800</xdr:colOff>
                    <xdr:row>1419</xdr:row>
                    <xdr:rowOff>177800</xdr:rowOff>
                  </to>
                </anchor>
              </controlPr>
            </control>
          </mc:Choice>
        </mc:AlternateContent>
        <mc:AlternateContent xmlns:mc="http://schemas.openxmlformats.org/markup-compatibility/2006">
          <mc:Choice Requires="x14">
            <control shapeId="16245" r:id="rId319" name="Check Box 885">
              <controlPr locked="0" defaultSize="0" autoFill="0" autoLine="0" autoPict="0">
                <anchor moveWithCells="1" sizeWithCells="1">
                  <from>
                    <xdr:col>22</xdr:col>
                    <xdr:colOff>0</xdr:colOff>
                    <xdr:row>1428</xdr:row>
                    <xdr:rowOff>0</xdr:rowOff>
                  </from>
                  <to>
                    <xdr:col>22</xdr:col>
                    <xdr:colOff>177800</xdr:colOff>
                    <xdr:row>1428</xdr:row>
                    <xdr:rowOff>177800</xdr:rowOff>
                  </to>
                </anchor>
              </controlPr>
            </control>
          </mc:Choice>
        </mc:AlternateContent>
        <mc:AlternateContent xmlns:mc="http://schemas.openxmlformats.org/markup-compatibility/2006">
          <mc:Choice Requires="x14">
            <control shapeId="16246" r:id="rId320" name="Check Box 886">
              <controlPr locked="0" defaultSize="0" autoFill="0" autoLine="0" autoPict="0">
                <anchor moveWithCells="1" sizeWithCells="1">
                  <from>
                    <xdr:col>22</xdr:col>
                    <xdr:colOff>0</xdr:colOff>
                    <xdr:row>1430</xdr:row>
                    <xdr:rowOff>0</xdr:rowOff>
                  </from>
                  <to>
                    <xdr:col>22</xdr:col>
                    <xdr:colOff>177800</xdr:colOff>
                    <xdr:row>1430</xdr:row>
                    <xdr:rowOff>177800</xdr:rowOff>
                  </to>
                </anchor>
              </controlPr>
            </control>
          </mc:Choice>
        </mc:AlternateContent>
        <mc:AlternateContent xmlns:mc="http://schemas.openxmlformats.org/markup-compatibility/2006">
          <mc:Choice Requires="x14">
            <control shapeId="16247" r:id="rId321" name="Check Box 887">
              <controlPr locked="0" defaultSize="0" autoFill="0" autoLine="0" autoPict="0">
                <anchor moveWithCells="1" sizeWithCells="1">
                  <from>
                    <xdr:col>22</xdr:col>
                    <xdr:colOff>0</xdr:colOff>
                    <xdr:row>1452</xdr:row>
                    <xdr:rowOff>0</xdr:rowOff>
                  </from>
                  <to>
                    <xdr:col>22</xdr:col>
                    <xdr:colOff>177800</xdr:colOff>
                    <xdr:row>1452</xdr:row>
                    <xdr:rowOff>177800</xdr:rowOff>
                  </to>
                </anchor>
              </controlPr>
            </control>
          </mc:Choice>
        </mc:AlternateContent>
        <mc:AlternateContent xmlns:mc="http://schemas.openxmlformats.org/markup-compatibility/2006">
          <mc:Choice Requires="x14">
            <control shapeId="16248" r:id="rId322" name="Check Box 888">
              <controlPr locked="0" defaultSize="0" autoFill="0" autoLine="0" autoPict="0">
                <anchor moveWithCells="1" sizeWithCells="1">
                  <from>
                    <xdr:col>22</xdr:col>
                    <xdr:colOff>0</xdr:colOff>
                    <xdr:row>1458</xdr:row>
                    <xdr:rowOff>0</xdr:rowOff>
                  </from>
                  <to>
                    <xdr:col>22</xdr:col>
                    <xdr:colOff>177800</xdr:colOff>
                    <xdr:row>1458</xdr:row>
                    <xdr:rowOff>177800</xdr:rowOff>
                  </to>
                </anchor>
              </controlPr>
            </control>
          </mc:Choice>
        </mc:AlternateContent>
        <mc:AlternateContent xmlns:mc="http://schemas.openxmlformats.org/markup-compatibility/2006">
          <mc:Choice Requires="x14">
            <control shapeId="16249" r:id="rId323" name="Check Box 889">
              <controlPr locked="0" defaultSize="0" autoFill="0" autoLine="0" autoPict="0">
                <anchor moveWithCells="1" sizeWithCells="1">
                  <from>
                    <xdr:col>22</xdr:col>
                    <xdr:colOff>0</xdr:colOff>
                    <xdr:row>1460</xdr:row>
                    <xdr:rowOff>0</xdr:rowOff>
                  </from>
                  <to>
                    <xdr:col>22</xdr:col>
                    <xdr:colOff>177800</xdr:colOff>
                    <xdr:row>1460</xdr:row>
                    <xdr:rowOff>177800</xdr:rowOff>
                  </to>
                </anchor>
              </controlPr>
            </control>
          </mc:Choice>
        </mc:AlternateContent>
        <mc:AlternateContent xmlns:mc="http://schemas.openxmlformats.org/markup-compatibility/2006">
          <mc:Choice Requires="x14">
            <control shapeId="16250" r:id="rId324" name="Check Box 890">
              <controlPr locked="0" defaultSize="0" autoFill="0" autoLine="0" autoPict="0">
                <anchor moveWithCells="1" sizeWithCells="1">
                  <from>
                    <xdr:col>22</xdr:col>
                    <xdr:colOff>0</xdr:colOff>
                    <xdr:row>1469</xdr:row>
                    <xdr:rowOff>0</xdr:rowOff>
                  </from>
                  <to>
                    <xdr:col>22</xdr:col>
                    <xdr:colOff>177800</xdr:colOff>
                    <xdr:row>1469</xdr:row>
                    <xdr:rowOff>177800</xdr:rowOff>
                  </to>
                </anchor>
              </controlPr>
            </control>
          </mc:Choice>
        </mc:AlternateContent>
        <mc:AlternateContent xmlns:mc="http://schemas.openxmlformats.org/markup-compatibility/2006">
          <mc:Choice Requires="x14">
            <control shapeId="16251" r:id="rId325" name="Check Box 891">
              <controlPr locked="0" defaultSize="0" autoFill="0" autoLine="0" autoPict="0">
                <anchor moveWithCells="1" sizeWithCells="1">
                  <from>
                    <xdr:col>22</xdr:col>
                    <xdr:colOff>0</xdr:colOff>
                    <xdr:row>1471</xdr:row>
                    <xdr:rowOff>0</xdr:rowOff>
                  </from>
                  <to>
                    <xdr:col>22</xdr:col>
                    <xdr:colOff>177800</xdr:colOff>
                    <xdr:row>1471</xdr:row>
                    <xdr:rowOff>177800</xdr:rowOff>
                  </to>
                </anchor>
              </controlPr>
            </control>
          </mc:Choice>
        </mc:AlternateContent>
        <mc:AlternateContent xmlns:mc="http://schemas.openxmlformats.org/markup-compatibility/2006">
          <mc:Choice Requires="x14">
            <control shapeId="16252" r:id="rId326" name="Check Box 892">
              <controlPr locked="0" defaultSize="0" autoFill="0" autoLine="0" autoPict="0">
                <anchor moveWithCells="1" sizeWithCells="1">
                  <from>
                    <xdr:col>22</xdr:col>
                    <xdr:colOff>0</xdr:colOff>
                    <xdr:row>1481</xdr:row>
                    <xdr:rowOff>0</xdr:rowOff>
                  </from>
                  <to>
                    <xdr:col>22</xdr:col>
                    <xdr:colOff>177800</xdr:colOff>
                    <xdr:row>1481</xdr:row>
                    <xdr:rowOff>177800</xdr:rowOff>
                  </to>
                </anchor>
              </controlPr>
            </control>
          </mc:Choice>
        </mc:AlternateContent>
        <mc:AlternateContent xmlns:mc="http://schemas.openxmlformats.org/markup-compatibility/2006">
          <mc:Choice Requires="x14">
            <control shapeId="16253" r:id="rId327" name="Check Box 893">
              <controlPr locked="0" defaultSize="0" autoFill="0" autoLine="0" autoPict="0">
                <anchor moveWithCells="1" sizeWithCells="1">
                  <from>
                    <xdr:col>22</xdr:col>
                    <xdr:colOff>0</xdr:colOff>
                    <xdr:row>1483</xdr:row>
                    <xdr:rowOff>0</xdr:rowOff>
                  </from>
                  <to>
                    <xdr:col>22</xdr:col>
                    <xdr:colOff>177800</xdr:colOff>
                    <xdr:row>1483</xdr:row>
                    <xdr:rowOff>177800</xdr:rowOff>
                  </to>
                </anchor>
              </controlPr>
            </control>
          </mc:Choice>
        </mc:AlternateContent>
        <mc:AlternateContent xmlns:mc="http://schemas.openxmlformats.org/markup-compatibility/2006">
          <mc:Choice Requires="x14">
            <control shapeId="16254" r:id="rId328" name="Check Box 894">
              <controlPr locked="0" defaultSize="0" autoFill="0" autoLine="0" autoPict="0">
                <anchor moveWithCells="1" sizeWithCells="1">
                  <from>
                    <xdr:col>22</xdr:col>
                    <xdr:colOff>0</xdr:colOff>
                    <xdr:row>1485</xdr:row>
                    <xdr:rowOff>0</xdr:rowOff>
                  </from>
                  <to>
                    <xdr:col>22</xdr:col>
                    <xdr:colOff>177800</xdr:colOff>
                    <xdr:row>1485</xdr:row>
                    <xdr:rowOff>177800</xdr:rowOff>
                  </to>
                </anchor>
              </controlPr>
            </control>
          </mc:Choice>
        </mc:AlternateContent>
        <mc:AlternateContent xmlns:mc="http://schemas.openxmlformats.org/markup-compatibility/2006">
          <mc:Choice Requires="x14">
            <control shapeId="16256" r:id="rId329" name="Check Box 896">
              <controlPr locked="0" defaultSize="0" autoFill="0" autoLine="0" autoPict="0">
                <anchor moveWithCells="1" sizeWithCells="1">
                  <from>
                    <xdr:col>22</xdr:col>
                    <xdr:colOff>0</xdr:colOff>
                    <xdr:row>1492</xdr:row>
                    <xdr:rowOff>0</xdr:rowOff>
                  </from>
                  <to>
                    <xdr:col>22</xdr:col>
                    <xdr:colOff>177800</xdr:colOff>
                    <xdr:row>1492</xdr:row>
                    <xdr:rowOff>177800</xdr:rowOff>
                  </to>
                </anchor>
              </controlPr>
            </control>
          </mc:Choice>
        </mc:AlternateContent>
        <mc:AlternateContent xmlns:mc="http://schemas.openxmlformats.org/markup-compatibility/2006">
          <mc:Choice Requires="x14">
            <control shapeId="16257" r:id="rId330" name="Check Box 897">
              <controlPr locked="0" defaultSize="0" autoFill="0" autoLine="0" autoPict="0">
                <anchor moveWithCells="1" sizeWithCells="1">
                  <from>
                    <xdr:col>22</xdr:col>
                    <xdr:colOff>0</xdr:colOff>
                    <xdr:row>1493</xdr:row>
                    <xdr:rowOff>0</xdr:rowOff>
                  </from>
                  <to>
                    <xdr:col>22</xdr:col>
                    <xdr:colOff>177800</xdr:colOff>
                    <xdr:row>1493</xdr:row>
                    <xdr:rowOff>177800</xdr:rowOff>
                  </to>
                </anchor>
              </controlPr>
            </control>
          </mc:Choice>
        </mc:AlternateContent>
        <mc:AlternateContent xmlns:mc="http://schemas.openxmlformats.org/markup-compatibility/2006">
          <mc:Choice Requires="x14">
            <control shapeId="16258" r:id="rId331" name="Check Box 898">
              <controlPr locked="0" defaultSize="0" autoFill="0" autoLine="0" autoPict="0">
                <anchor moveWithCells="1" sizeWithCells="1">
                  <from>
                    <xdr:col>22</xdr:col>
                    <xdr:colOff>0</xdr:colOff>
                    <xdr:row>1494</xdr:row>
                    <xdr:rowOff>0</xdr:rowOff>
                  </from>
                  <to>
                    <xdr:col>22</xdr:col>
                    <xdr:colOff>177800</xdr:colOff>
                    <xdr:row>1494</xdr:row>
                    <xdr:rowOff>177800</xdr:rowOff>
                  </to>
                </anchor>
              </controlPr>
            </control>
          </mc:Choice>
        </mc:AlternateContent>
        <mc:AlternateContent xmlns:mc="http://schemas.openxmlformats.org/markup-compatibility/2006">
          <mc:Choice Requires="x14">
            <control shapeId="16259" r:id="rId332" name="Check Box 899">
              <controlPr locked="0" defaultSize="0" autoFill="0" autoLine="0" autoPict="0">
                <anchor moveWithCells="1" sizeWithCells="1">
                  <from>
                    <xdr:col>22</xdr:col>
                    <xdr:colOff>0</xdr:colOff>
                    <xdr:row>1495</xdr:row>
                    <xdr:rowOff>0</xdr:rowOff>
                  </from>
                  <to>
                    <xdr:col>22</xdr:col>
                    <xdr:colOff>177800</xdr:colOff>
                    <xdr:row>1495</xdr:row>
                    <xdr:rowOff>177800</xdr:rowOff>
                  </to>
                </anchor>
              </controlPr>
            </control>
          </mc:Choice>
        </mc:AlternateContent>
        <mc:AlternateContent xmlns:mc="http://schemas.openxmlformats.org/markup-compatibility/2006">
          <mc:Choice Requires="x14">
            <control shapeId="16260" r:id="rId333" name="Check Box 900">
              <controlPr locked="0" defaultSize="0" autoFill="0" autoLine="0" autoPict="0">
                <anchor moveWithCells="1" sizeWithCells="1">
                  <from>
                    <xdr:col>22</xdr:col>
                    <xdr:colOff>0</xdr:colOff>
                    <xdr:row>1497</xdr:row>
                    <xdr:rowOff>0</xdr:rowOff>
                  </from>
                  <to>
                    <xdr:col>22</xdr:col>
                    <xdr:colOff>177800</xdr:colOff>
                    <xdr:row>1497</xdr:row>
                    <xdr:rowOff>177800</xdr:rowOff>
                  </to>
                </anchor>
              </controlPr>
            </control>
          </mc:Choice>
        </mc:AlternateContent>
        <mc:AlternateContent xmlns:mc="http://schemas.openxmlformats.org/markup-compatibility/2006">
          <mc:Choice Requires="x14">
            <control shapeId="16261" r:id="rId334" name="Check Box 901">
              <controlPr locked="0" defaultSize="0" autoFill="0" autoLine="0" autoPict="0">
                <anchor moveWithCells="1" sizeWithCells="1">
                  <from>
                    <xdr:col>22</xdr:col>
                    <xdr:colOff>0</xdr:colOff>
                    <xdr:row>1500</xdr:row>
                    <xdr:rowOff>0</xdr:rowOff>
                  </from>
                  <to>
                    <xdr:col>22</xdr:col>
                    <xdr:colOff>177800</xdr:colOff>
                    <xdr:row>1500</xdr:row>
                    <xdr:rowOff>177800</xdr:rowOff>
                  </to>
                </anchor>
              </controlPr>
            </control>
          </mc:Choice>
        </mc:AlternateContent>
        <mc:AlternateContent xmlns:mc="http://schemas.openxmlformats.org/markup-compatibility/2006">
          <mc:Choice Requires="x14">
            <control shapeId="16262" r:id="rId335" name="Check Box 902">
              <controlPr locked="0" defaultSize="0" autoFill="0" autoLine="0" autoPict="0">
                <anchor moveWithCells="1" sizeWithCells="1">
                  <from>
                    <xdr:col>22</xdr:col>
                    <xdr:colOff>0</xdr:colOff>
                    <xdr:row>1516</xdr:row>
                    <xdr:rowOff>0</xdr:rowOff>
                  </from>
                  <to>
                    <xdr:col>22</xdr:col>
                    <xdr:colOff>177800</xdr:colOff>
                    <xdr:row>1516</xdr:row>
                    <xdr:rowOff>177800</xdr:rowOff>
                  </to>
                </anchor>
              </controlPr>
            </control>
          </mc:Choice>
        </mc:AlternateContent>
        <mc:AlternateContent xmlns:mc="http://schemas.openxmlformats.org/markup-compatibility/2006">
          <mc:Choice Requires="x14">
            <control shapeId="16263" r:id="rId336" name="Check Box 903">
              <controlPr locked="0" defaultSize="0" autoFill="0" autoLine="0" autoPict="0">
                <anchor moveWithCells="1" sizeWithCells="1">
                  <from>
                    <xdr:col>22</xdr:col>
                    <xdr:colOff>0</xdr:colOff>
                    <xdr:row>1517</xdr:row>
                    <xdr:rowOff>0</xdr:rowOff>
                  </from>
                  <to>
                    <xdr:col>22</xdr:col>
                    <xdr:colOff>177800</xdr:colOff>
                    <xdr:row>1517</xdr:row>
                    <xdr:rowOff>177800</xdr:rowOff>
                  </to>
                </anchor>
              </controlPr>
            </control>
          </mc:Choice>
        </mc:AlternateContent>
        <mc:AlternateContent xmlns:mc="http://schemas.openxmlformats.org/markup-compatibility/2006">
          <mc:Choice Requires="x14">
            <control shapeId="16264" r:id="rId337" name="Check Box 904">
              <controlPr locked="0" defaultSize="0" autoFill="0" autoLine="0" autoPict="0">
                <anchor moveWithCells="1" sizeWithCells="1">
                  <from>
                    <xdr:col>22</xdr:col>
                    <xdr:colOff>0</xdr:colOff>
                    <xdr:row>1518</xdr:row>
                    <xdr:rowOff>0</xdr:rowOff>
                  </from>
                  <to>
                    <xdr:col>22</xdr:col>
                    <xdr:colOff>177800</xdr:colOff>
                    <xdr:row>1518</xdr:row>
                    <xdr:rowOff>177800</xdr:rowOff>
                  </to>
                </anchor>
              </controlPr>
            </control>
          </mc:Choice>
        </mc:AlternateContent>
        <mc:AlternateContent xmlns:mc="http://schemas.openxmlformats.org/markup-compatibility/2006">
          <mc:Choice Requires="x14">
            <control shapeId="16265" r:id="rId338" name="Check Box 905">
              <controlPr locked="0" defaultSize="0" autoFill="0" autoLine="0" autoPict="0">
                <anchor moveWithCells="1" sizeWithCells="1">
                  <from>
                    <xdr:col>22</xdr:col>
                    <xdr:colOff>0</xdr:colOff>
                    <xdr:row>1519</xdr:row>
                    <xdr:rowOff>0</xdr:rowOff>
                  </from>
                  <to>
                    <xdr:col>22</xdr:col>
                    <xdr:colOff>177800</xdr:colOff>
                    <xdr:row>1519</xdr:row>
                    <xdr:rowOff>177800</xdr:rowOff>
                  </to>
                </anchor>
              </controlPr>
            </control>
          </mc:Choice>
        </mc:AlternateContent>
        <mc:AlternateContent xmlns:mc="http://schemas.openxmlformats.org/markup-compatibility/2006">
          <mc:Choice Requires="x14">
            <control shapeId="16266" r:id="rId339" name="Check Box 906">
              <controlPr locked="0" defaultSize="0" autoFill="0" autoLine="0" autoPict="0">
                <anchor moveWithCells="1" sizeWithCells="1">
                  <from>
                    <xdr:col>22</xdr:col>
                    <xdr:colOff>0</xdr:colOff>
                    <xdr:row>1520</xdr:row>
                    <xdr:rowOff>0</xdr:rowOff>
                  </from>
                  <to>
                    <xdr:col>22</xdr:col>
                    <xdr:colOff>177800</xdr:colOff>
                    <xdr:row>1520</xdr:row>
                    <xdr:rowOff>177800</xdr:rowOff>
                  </to>
                </anchor>
              </controlPr>
            </control>
          </mc:Choice>
        </mc:AlternateContent>
        <mc:AlternateContent xmlns:mc="http://schemas.openxmlformats.org/markup-compatibility/2006">
          <mc:Choice Requires="x14">
            <control shapeId="16267" r:id="rId340" name="Check Box 907">
              <controlPr locked="0" defaultSize="0" autoFill="0" autoLine="0" autoPict="0">
                <anchor moveWithCells="1" sizeWithCells="1">
                  <from>
                    <xdr:col>22</xdr:col>
                    <xdr:colOff>0</xdr:colOff>
                    <xdr:row>1521</xdr:row>
                    <xdr:rowOff>0</xdr:rowOff>
                  </from>
                  <to>
                    <xdr:col>22</xdr:col>
                    <xdr:colOff>177800</xdr:colOff>
                    <xdr:row>1521</xdr:row>
                    <xdr:rowOff>177800</xdr:rowOff>
                  </to>
                </anchor>
              </controlPr>
            </control>
          </mc:Choice>
        </mc:AlternateContent>
        <mc:AlternateContent xmlns:mc="http://schemas.openxmlformats.org/markup-compatibility/2006">
          <mc:Choice Requires="x14">
            <control shapeId="16268" r:id="rId341" name="Check Box 908">
              <controlPr locked="0" defaultSize="0" autoFill="0" autoLine="0" autoPict="0">
                <anchor moveWithCells="1" sizeWithCells="1">
                  <from>
                    <xdr:col>22</xdr:col>
                    <xdr:colOff>0</xdr:colOff>
                    <xdr:row>1522</xdr:row>
                    <xdr:rowOff>0</xdr:rowOff>
                  </from>
                  <to>
                    <xdr:col>22</xdr:col>
                    <xdr:colOff>177800</xdr:colOff>
                    <xdr:row>1522</xdr:row>
                    <xdr:rowOff>177800</xdr:rowOff>
                  </to>
                </anchor>
              </controlPr>
            </control>
          </mc:Choice>
        </mc:AlternateContent>
        <mc:AlternateContent xmlns:mc="http://schemas.openxmlformats.org/markup-compatibility/2006">
          <mc:Choice Requires="x14">
            <control shapeId="16269" r:id="rId342" name="Check Box 909">
              <controlPr locked="0" defaultSize="0" autoFill="0" autoLine="0" autoPict="0">
                <anchor moveWithCells="1" sizeWithCells="1">
                  <from>
                    <xdr:col>22</xdr:col>
                    <xdr:colOff>0</xdr:colOff>
                    <xdr:row>1523</xdr:row>
                    <xdr:rowOff>0</xdr:rowOff>
                  </from>
                  <to>
                    <xdr:col>22</xdr:col>
                    <xdr:colOff>177800</xdr:colOff>
                    <xdr:row>1523</xdr:row>
                    <xdr:rowOff>177800</xdr:rowOff>
                  </to>
                </anchor>
              </controlPr>
            </control>
          </mc:Choice>
        </mc:AlternateContent>
        <mc:AlternateContent xmlns:mc="http://schemas.openxmlformats.org/markup-compatibility/2006">
          <mc:Choice Requires="x14">
            <control shapeId="16270" r:id="rId343" name="Check Box 910">
              <controlPr locked="0" defaultSize="0" autoFill="0" autoLine="0" autoPict="0">
                <anchor moveWithCells="1" sizeWithCells="1">
                  <from>
                    <xdr:col>22</xdr:col>
                    <xdr:colOff>0</xdr:colOff>
                    <xdr:row>1530</xdr:row>
                    <xdr:rowOff>0</xdr:rowOff>
                  </from>
                  <to>
                    <xdr:col>22</xdr:col>
                    <xdr:colOff>177800</xdr:colOff>
                    <xdr:row>1530</xdr:row>
                    <xdr:rowOff>177800</xdr:rowOff>
                  </to>
                </anchor>
              </controlPr>
            </control>
          </mc:Choice>
        </mc:AlternateContent>
        <mc:AlternateContent xmlns:mc="http://schemas.openxmlformats.org/markup-compatibility/2006">
          <mc:Choice Requires="x14">
            <control shapeId="16271" r:id="rId344" name="Check Box 911">
              <controlPr locked="0" defaultSize="0" autoFill="0" autoLine="0" autoPict="0">
                <anchor moveWithCells="1" sizeWithCells="1">
                  <from>
                    <xdr:col>22</xdr:col>
                    <xdr:colOff>0</xdr:colOff>
                    <xdr:row>1532</xdr:row>
                    <xdr:rowOff>0</xdr:rowOff>
                  </from>
                  <to>
                    <xdr:col>22</xdr:col>
                    <xdr:colOff>177800</xdr:colOff>
                    <xdr:row>1532</xdr:row>
                    <xdr:rowOff>177800</xdr:rowOff>
                  </to>
                </anchor>
              </controlPr>
            </control>
          </mc:Choice>
        </mc:AlternateContent>
        <mc:AlternateContent xmlns:mc="http://schemas.openxmlformats.org/markup-compatibility/2006">
          <mc:Choice Requires="x14">
            <control shapeId="16272" r:id="rId345" name="Check Box 912">
              <controlPr locked="0" defaultSize="0" autoFill="0" autoLine="0" autoPict="0">
                <anchor moveWithCells="1" sizeWithCells="1">
                  <from>
                    <xdr:col>22</xdr:col>
                    <xdr:colOff>0</xdr:colOff>
                    <xdr:row>1534</xdr:row>
                    <xdr:rowOff>0</xdr:rowOff>
                  </from>
                  <to>
                    <xdr:col>22</xdr:col>
                    <xdr:colOff>177800</xdr:colOff>
                    <xdr:row>1534</xdr:row>
                    <xdr:rowOff>177800</xdr:rowOff>
                  </to>
                </anchor>
              </controlPr>
            </control>
          </mc:Choice>
        </mc:AlternateContent>
        <mc:AlternateContent xmlns:mc="http://schemas.openxmlformats.org/markup-compatibility/2006">
          <mc:Choice Requires="x14">
            <control shapeId="16273" r:id="rId346" name="Check Box 913">
              <controlPr locked="0" defaultSize="0" autoFill="0" autoLine="0" autoPict="0">
                <anchor moveWithCells="1" sizeWithCells="1">
                  <from>
                    <xdr:col>22</xdr:col>
                    <xdr:colOff>0</xdr:colOff>
                    <xdr:row>1537</xdr:row>
                    <xdr:rowOff>0</xdr:rowOff>
                  </from>
                  <to>
                    <xdr:col>22</xdr:col>
                    <xdr:colOff>177800</xdr:colOff>
                    <xdr:row>1537</xdr:row>
                    <xdr:rowOff>177800</xdr:rowOff>
                  </to>
                </anchor>
              </controlPr>
            </control>
          </mc:Choice>
        </mc:AlternateContent>
        <mc:AlternateContent xmlns:mc="http://schemas.openxmlformats.org/markup-compatibility/2006">
          <mc:Choice Requires="x14">
            <control shapeId="16275" r:id="rId347" name="Check Box 915">
              <controlPr locked="0" defaultSize="0" autoFill="0" autoLine="0" autoPict="0">
                <anchor moveWithCells="1" sizeWithCells="1">
                  <from>
                    <xdr:col>22</xdr:col>
                    <xdr:colOff>0</xdr:colOff>
                    <xdr:row>1551</xdr:row>
                    <xdr:rowOff>0</xdr:rowOff>
                  </from>
                  <to>
                    <xdr:col>22</xdr:col>
                    <xdr:colOff>177800</xdr:colOff>
                    <xdr:row>1551</xdr:row>
                    <xdr:rowOff>177800</xdr:rowOff>
                  </to>
                </anchor>
              </controlPr>
            </control>
          </mc:Choice>
        </mc:AlternateContent>
        <mc:AlternateContent xmlns:mc="http://schemas.openxmlformats.org/markup-compatibility/2006">
          <mc:Choice Requires="x14">
            <control shapeId="16276" r:id="rId348" name="Check Box 916">
              <controlPr locked="0" defaultSize="0" autoFill="0" autoLine="0" autoPict="0">
                <anchor moveWithCells="1" sizeWithCells="1">
                  <from>
                    <xdr:col>22</xdr:col>
                    <xdr:colOff>0</xdr:colOff>
                    <xdr:row>1557</xdr:row>
                    <xdr:rowOff>0</xdr:rowOff>
                  </from>
                  <to>
                    <xdr:col>22</xdr:col>
                    <xdr:colOff>177800</xdr:colOff>
                    <xdr:row>1557</xdr:row>
                    <xdr:rowOff>177800</xdr:rowOff>
                  </to>
                </anchor>
              </controlPr>
            </control>
          </mc:Choice>
        </mc:AlternateContent>
        <mc:AlternateContent xmlns:mc="http://schemas.openxmlformats.org/markup-compatibility/2006">
          <mc:Choice Requires="x14">
            <control shapeId="16277" r:id="rId349" name="Check Box 917">
              <controlPr locked="0" defaultSize="0" autoFill="0" autoLine="0" autoPict="0">
                <anchor moveWithCells="1" sizeWithCells="1">
                  <from>
                    <xdr:col>22</xdr:col>
                    <xdr:colOff>0</xdr:colOff>
                    <xdr:row>1558</xdr:row>
                    <xdr:rowOff>0</xdr:rowOff>
                  </from>
                  <to>
                    <xdr:col>22</xdr:col>
                    <xdr:colOff>177800</xdr:colOff>
                    <xdr:row>1558</xdr:row>
                    <xdr:rowOff>177800</xdr:rowOff>
                  </to>
                </anchor>
              </controlPr>
            </control>
          </mc:Choice>
        </mc:AlternateContent>
        <mc:AlternateContent xmlns:mc="http://schemas.openxmlformats.org/markup-compatibility/2006">
          <mc:Choice Requires="x14">
            <control shapeId="16278" r:id="rId350" name="Check Box 918">
              <controlPr locked="0" defaultSize="0" autoFill="0" autoLine="0" autoPict="0">
                <anchor moveWithCells="1" sizeWithCells="1">
                  <from>
                    <xdr:col>22</xdr:col>
                    <xdr:colOff>0</xdr:colOff>
                    <xdr:row>1559</xdr:row>
                    <xdr:rowOff>0</xdr:rowOff>
                  </from>
                  <to>
                    <xdr:col>22</xdr:col>
                    <xdr:colOff>177800</xdr:colOff>
                    <xdr:row>1559</xdr:row>
                    <xdr:rowOff>177800</xdr:rowOff>
                  </to>
                </anchor>
              </controlPr>
            </control>
          </mc:Choice>
        </mc:AlternateContent>
        <mc:AlternateContent xmlns:mc="http://schemas.openxmlformats.org/markup-compatibility/2006">
          <mc:Choice Requires="x14">
            <control shapeId="16279" r:id="rId351" name="Check Box 919">
              <controlPr locked="0" defaultSize="0" autoFill="0" autoLine="0" autoPict="0">
                <anchor moveWithCells="1" sizeWithCells="1">
                  <from>
                    <xdr:col>22</xdr:col>
                    <xdr:colOff>0</xdr:colOff>
                    <xdr:row>1562</xdr:row>
                    <xdr:rowOff>0</xdr:rowOff>
                  </from>
                  <to>
                    <xdr:col>22</xdr:col>
                    <xdr:colOff>177800</xdr:colOff>
                    <xdr:row>1562</xdr:row>
                    <xdr:rowOff>177800</xdr:rowOff>
                  </to>
                </anchor>
              </controlPr>
            </control>
          </mc:Choice>
        </mc:AlternateContent>
        <mc:AlternateContent xmlns:mc="http://schemas.openxmlformats.org/markup-compatibility/2006">
          <mc:Choice Requires="x14">
            <control shapeId="16280" r:id="rId352" name="Check Box 920">
              <controlPr locked="0" defaultSize="0" autoFill="0" autoLine="0" autoPict="0">
                <anchor moveWithCells="1" sizeWithCells="1">
                  <from>
                    <xdr:col>22</xdr:col>
                    <xdr:colOff>0</xdr:colOff>
                    <xdr:row>1567</xdr:row>
                    <xdr:rowOff>0</xdr:rowOff>
                  </from>
                  <to>
                    <xdr:col>22</xdr:col>
                    <xdr:colOff>177800</xdr:colOff>
                    <xdr:row>1567</xdr:row>
                    <xdr:rowOff>177800</xdr:rowOff>
                  </to>
                </anchor>
              </controlPr>
            </control>
          </mc:Choice>
        </mc:AlternateContent>
        <mc:AlternateContent xmlns:mc="http://schemas.openxmlformats.org/markup-compatibility/2006">
          <mc:Choice Requires="x14">
            <control shapeId="16281" r:id="rId353" name="Check Box 921">
              <controlPr locked="0" defaultSize="0" autoFill="0" autoLine="0" autoPict="0">
                <anchor moveWithCells="1" sizeWithCells="1">
                  <from>
                    <xdr:col>22</xdr:col>
                    <xdr:colOff>0</xdr:colOff>
                    <xdr:row>1572</xdr:row>
                    <xdr:rowOff>0</xdr:rowOff>
                  </from>
                  <to>
                    <xdr:col>22</xdr:col>
                    <xdr:colOff>177800</xdr:colOff>
                    <xdr:row>1572</xdr:row>
                    <xdr:rowOff>177800</xdr:rowOff>
                  </to>
                </anchor>
              </controlPr>
            </control>
          </mc:Choice>
        </mc:AlternateContent>
        <mc:AlternateContent xmlns:mc="http://schemas.openxmlformats.org/markup-compatibility/2006">
          <mc:Choice Requires="x14">
            <control shapeId="16282" r:id="rId354" name="Check Box 922">
              <controlPr locked="0" defaultSize="0" autoFill="0" autoLine="0" autoPict="0">
                <anchor moveWithCells="1" sizeWithCells="1">
                  <from>
                    <xdr:col>22</xdr:col>
                    <xdr:colOff>0</xdr:colOff>
                    <xdr:row>1574</xdr:row>
                    <xdr:rowOff>0</xdr:rowOff>
                  </from>
                  <to>
                    <xdr:col>22</xdr:col>
                    <xdr:colOff>177800</xdr:colOff>
                    <xdr:row>1574</xdr:row>
                    <xdr:rowOff>177800</xdr:rowOff>
                  </to>
                </anchor>
              </controlPr>
            </control>
          </mc:Choice>
        </mc:AlternateContent>
        <mc:AlternateContent xmlns:mc="http://schemas.openxmlformats.org/markup-compatibility/2006">
          <mc:Choice Requires="x14">
            <control shapeId="16283" r:id="rId355" name="Check Box 923">
              <controlPr locked="0" defaultSize="0" autoFill="0" autoLine="0" autoPict="0">
                <anchor moveWithCells="1" sizeWithCells="1">
                  <from>
                    <xdr:col>22</xdr:col>
                    <xdr:colOff>0</xdr:colOff>
                    <xdr:row>1583</xdr:row>
                    <xdr:rowOff>0</xdr:rowOff>
                  </from>
                  <to>
                    <xdr:col>22</xdr:col>
                    <xdr:colOff>177800</xdr:colOff>
                    <xdr:row>1583</xdr:row>
                    <xdr:rowOff>177800</xdr:rowOff>
                  </to>
                </anchor>
              </controlPr>
            </control>
          </mc:Choice>
        </mc:AlternateContent>
        <mc:AlternateContent xmlns:mc="http://schemas.openxmlformats.org/markup-compatibility/2006">
          <mc:Choice Requires="x14">
            <control shapeId="16284" r:id="rId356" name="Check Box 924">
              <controlPr locked="0" defaultSize="0" autoFill="0" autoLine="0" autoPict="0">
                <anchor moveWithCells="1" sizeWithCells="1">
                  <from>
                    <xdr:col>22</xdr:col>
                    <xdr:colOff>0</xdr:colOff>
                    <xdr:row>1587</xdr:row>
                    <xdr:rowOff>0</xdr:rowOff>
                  </from>
                  <to>
                    <xdr:col>22</xdr:col>
                    <xdr:colOff>177800</xdr:colOff>
                    <xdr:row>1587</xdr:row>
                    <xdr:rowOff>177800</xdr:rowOff>
                  </to>
                </anchor>
              </controlPr>
            </control>
          </mc:Choice>
        </mc:AlternateContent>
        <mc:AlternateContent xmlns:mc="http://schemas.openxmlformats.org/markup-compatibility/2006">
          <mc:Choice Requires="x14">
            <control shapeId="16285" r:id="rId357" name="Check Box 925">
              <controlPr locked="0" defaultSize="0" autoFill="0" autoLine="0" autoPict="0">
                <anchor moveWithCells="1" sizeWithCells="1">
                  <from>
                    <xdr:col>22</xdr:col>
                    <xdr:colOff>0</xdr:colOff>
                    <xdr:row>1592</xdr:row>
                    <xdr:rowOff>0</xdr:rowOff>
                  </from>
                  <to>
                    <xdr:col>22</xdr:col>
                    <xdr:colOff>177800</xdr:colOff>
                    <xdr:row>1592</xdr:row>
                    <xdr:rowOff>177800</xdr:rowOff>
                  </to>
                </anchor>
              </controlPr>
            </control>
          </mc:Choice>
        </mc:AlternateContent>
        <mc:AlternateContent xmlns:mc="http://schemas.openxmlformats.org/markup-compatibility/2006">
          <mc:Choice Requires="x14">
            <control shapeId="16286" r:id="rId358" name="Check Box 926">
              <controlPr locked="0" defaultSize="0" autoFill="0" autoLine="0" autoPict="0">
                <anchor moveWithCells="1" sizeWithCells="1">
                  <from>
                    <xdr:col>22</xdr:col>
                    <xdr:colOff>0</xdr:colOff>
                    <xdr:row>1593</xdr:row>
                    <xdr:rowOff>0</xdr:rowOff>
                  </from>
                  <to>
                    <xdr:col>22</xdr:col>
                    <xdr:colOff>177800</xdr:colOff>
                    <xdr:row>1593</xdr:row>
                    <xdr:rowOff>177800</xdr:rowOff>
                  </to>
                </anchor>
              </controlPr>
            </control>
          </mc:Choice>
        </mc:AlternateContent>
        <mc:AlternateContent xmlns:mc="http://schemas.openxmlformats.org/markup-compatibility/2006">
          <mc:Choice Requires="x14">
            <control shapeId="16287" r:id="rId359" name="Check Box 927">
              <controlPr locked="0" defaultSize="0" autoFill="0" autoLine="0" autoPict="0">
                <anchor moveWithCells="1" sizeWithCells="1">
                  <from>
                    <xdr:col>22</xdr:col>
                    <xdr:colOff>0</xdr:colOff>
                    <xdr:row>997</xdr:row>
                    <xdr:rowOff>0</xdr:rowOff>
                  </from>
                  <to>
                    <xdr:col>22</xdr:col>
                    <xdr:colOff>177800</xdr:colOff>
                    <xdr:row>997</xdr:row>
                    <xdr:rowOff>177800</xdr:rowOff>
                  </to>
                </anchor>
              </controlPr>
            </control>
          </mc:Choice>
        </mc:AlternateContent>
        <mc:AlternateContent xmlns:mc="http://schemas.openxmlformats.org/markup-compatibility/2006">
          <mc:Choice Requires="x14">
            <control shapeId="16289" r:id="rId360" name="Check Box 929">
              <controlPr locked="0" defaultSize="0" autoFill="0" autoLine="0" autoPict="0">
                <anchor moveWithCells="1" sizeWithCells="1">
                  <from>
                    <xdr:col>22</xdr:col>
                    <xdr:colOff>0</xdr:colOff>
                    <xdr:row>1652</xdr:row>
                    <xdr:rowOff>0</xdr:rowOff>
                  </from>
                  <to>
                    <xdr:col>22</xdr:col>
                    <xdr:colOff>177800</xdr:colOff>
                    <xdr:row>1652</xdr:row>
                    <xdr:rowOff>177800</xdr:rowOff>
                  </to>
                </anchor>
              </controlPr>
            </control>
          </mc:Choice>
        </mc:AlternateContent>
        <mc:AlternateContent xmlns:mc="http://schemas.openxmlformats.org/markup-compatibility/2006">
          <mc:Choice Requires="x14">
            <control shapeId="16290" r:id="rId361" name="Check Box 930">
              <controlPr locked="0" defaultSize="0" autoFill="0" autoLine="0" autoPict="0">
                <anchor moveWithCells="1" sizeWithCells="1">
                  <from>
                    <xdr:col>22</xdr:col>
                    <xdr:colOff>0</xdr:colOff>
                    <xdr:row>1657</xdr:row>
                    <xdr:rowOff>0</xdr:rowOff>
                  </from>
                  <to>
                    <xdr:col>22</xdr:col>
                    <xdr:colOff>177800</xdr:colOff>
                    <xdr:row>1657</xdr:row>
                    <xdr:rowOff>177800</xdr:rowOff>
                  </to>
                </anchor>
              </controlPr>
            </control>
          </mc:Choice>
        </mc:AlternateContent>
        <mc:AlternateContent xmlns:mc="http://schemas.openxmlformats.org/markup-compatibility/2006">
          <mc:Choice Requires="x14">
            <control shapeId="16291" r:id="rId362" name="Check Box 931">
              <controlPr locked="0" defaultSize="0" autoFill="0" autoLine="0" autoPict="0">
                <anchor moveWithCells="1" sizeWithCells="1">
                  <from>
                    <xdr:col>22</xdr:col>
                    <xdr:colOff>0</xdr:colOff>
                    <xdr:row>1730</xdr:row>
                    <xdr:rowOff>0</xdr:rowOff>
                  </from>
                  <to>
                    <xdr:col>22</xdr:col>
                    <xdr:colOff>177800</xdr:colOff>
                    <xdr:row>1730</xdr:row>
                    <xdr:rowOff>177800</xdr:rowOff>
                  </to>
                </anchor>
              </controlPr>
            </control>
          </mc:Choice>
        </mc:AlternateContent>
        <mc:AlternateContent xmlns:mc="http://schemas.openxmlformats.org/markup-compatibility/2006">
          <mc:Choice Requires="x14">
            <control shapeId="16292" r:id="rId363" name="Check Box 932">
              <controlPr locked="0" defaultSize="0" autoFill="0" autoLine="0" autoPict="0">
                <anchor moveWithCells="1" sizeWithCells="1">
                  <from>
                    <xdr:col>22</xdr:col>
                    <xdr:colOff>0</xdr:colOff>
                    <xdr:row>1737</xdr:row>
                    <xdr:rowOff>0</xdr:rowOff>
                  </from>
                  <to>
                    <xdr:col>22</xdr:col>
                    <xdr:colOff>177800</xdr:colOff>
                    <xdr:row>1737</xdr:row>
                    <xdr:rowOff>177800</xdr:rowOff>
                  </to>
                </anchor>
              </controlPr>
            </control>
          </mc:Choice>
        </mc:AlternateContent>
        <mc:AlternateContent xmlns:mc="http://schemas.openxmlformats.org/markup-compatibility/2006">
          <mc:Choice Requires="x14">
            <control shapeId="16293" r:id="rId364" name="Check Box 933">
              <controlPr locked="0" defaultSize="0" autoFill="0" autoLine="0" autoPict="0">
                <anchor moveWithCells="1" sizeWithCells="1">
                  <from>
                    <xdr:col>22</xdr:col>
                    <xdr:colOff>0</xdr:colOff>
                    <xdr:row>1739</xdr:row>
                    <xdr:rowOff>0</xdr:rowOff>
                  </from>
                  <to>
                    <xdr:col>22</xdr:col>
                    <xdr:colOff>177800</xdr:colOff>
                    <xdr:row>1739</xdr:row>
                    <xdr:rowOff>177800</xdr:rowOff>
                  </to>
                </anchor>
              </controlPr>
            </control>
          </mc:Choice>
        </mc:AlternateContent>
        <mc:AlternateContent xmlns:mc="http://schemas.openxmlformats.org/markup-compatibility/2006">
          <mc:Choice Requires="x14">
            <control shapeId="16294" r:id="rId365" name="Check Box 934">
              <controlPr locked="0" defaultSize="0" autoFill="0" autoLine="0" autoPict="0">
                <anchor moveWithCells="1" sizeWithCells="1">
                  <from>
                    <xdr:col>22</xdr:col>
                    <xdr:colOff>0</xdr:colOff>
                    <xdr:row>1744</xdr:row>
                    <xdr:rowOff>0</xdr:rowOff>
                  </from>
                  <to>
                    <xdr:col>22</xdr:col>
                    <xdr:colOff>177800</xdr:colOff>
                    <xdr:row>1744</xdr:row>
                    <xdr:rowOff>177800</xdr:rowOff>
                  </to>
                </anchor>
              </controlPr>
            </control>
          </mc:Choice>
        </mc:AlternateContent>
        <mc:AlternateContent xmlns:mc="http://schemas.openxmlformats.org/markup-compatibility/2006">
          <mc:Choice Requires="x14">
            <control shapeId="16295" r:id="rId366" name="Check Box 935">
              <controlPr locked="0" defaultSize="0" autoFill="0" autoLine="0" autoPict="0">
                <anchor moveWithCells="1" sizeWithCells="1">
                  <from>
                    <xdr:col>22</xdr:col>
                    <xdr:colOff>0</xdr:colOff>
                    <xdr:row>1748</xdr:row>
                    <xdr:rowOff>0</xdr:rowOff>
                  </from>
                  <to>
                    <xdr:col>22</xdr:col>
                    <xdr:colOff>177800</xdr:colOff>
                    <xdr:row>1748</xdr:row>
                    <xdr:rowOff>177800</xdr:rowOff>
                  </to>
                </anchor>
              </controlPr>
            </control>
          </mc:Choice>
        </mc:AlternateContent>
        <mc:AlternateContent xmlns:mc="http://schemas.openxmlformats.org/markup-compatibility/2006">
          <mc:Choice Requires="x14">
            <control shapeId="16296" r:id="rId367" name="Check Box 936">
              <controlPr locked="0" defaultSize="0" autoFill="0" autoLine="0" autoPict="0">
                <anchor moveWithCells="1" sizeWithCells="1">
                  <from>
                    <xdr:col>22</xdr:col>
                    <xdr:colOff>0</xdr:colOff>
                    <xdr:row>1749</xdr:row>
                    <xdr:rowOff>0</xdr:rowOff>
                  </from>
                  <to>
                    <xdr:col>22</xdr:col>
                    <xdr:colOff>177800</xdr:colOff>
                    <xdr:row>1749</xdr:row>
                    <xdr:rowOff>177800</xdr:rowOff>
                  </to>
                </anchor>
              </controlPr>
            </control>
          </mc:Choice>
        </mc:AlternateContent>
        <mc:AlternateContent xmlns:mc="http://schemas.openxmlformats.org/markup-compatibility/2006">
          <mc:Choice Requires="x14">
            <control shapeId="16297" r:id="rId368" name="Check Box 937">
              <controlPr locked="0" defaultSize="0" autoFill="0" autoLine="0" autoPict="0">
                <anchor moveWithCells="1" sizeWithCells="1">
                  <from>
                    <xdr:col>22</xdr:col>
                    <xdr:colOff>0</xdr:colOff>
                    <xdr:row>1750</xdr:row>
                    <xdr:rowOff>0</xdr:rowOff>
                  </from>
                  <to>
                    <xdr:col>22</xdr:col>
                    <xdr:colOff>177800</xdr:colOff>
                    <xdr:row>1750</xdr:row>
                    <xdr:rowOff>177800</xdr:rowOff>
                  </to>
                </anchor>
              </controlPr>
            </control>
          </mc:Choice>
        </mc:AlternateContent>
        <mc:AlternateContent xmlns:mc="http://schemas.openxmlformats.org/markup-compatibility/2006">
          <mc:Choice Requires="x14">
            <control shapeId="16298" r:id="rId369" name="Check Box 938">
              <controlPr locked="0" defaultSize="0" autoFill="0" autoLine="0" autoPict="0">
                <anchor moveWithCells="1" sizeWithCells="1">
                  <from>
                    <xdr:col>22</xdr:col>
                    <xdr:colOff>0</xdr:colOff>
                    <xdr:row>1754</xdr:row>
                    <xdr:rowOff>0</xdr:rowOff>
                  </from>
                  <to>
                    <xdr:col>22</xdr:col>
                    <xdr:colOff>177800</xdr:colOff>
                    <xdr:row>1754</xdr:row>
                    <xdr:rowOff>177800</xdr:rowOff>
                  </to>
                </anchor>
              </controlPr>
            </control>
          </mc:Choice>
        </mc:AlternateContent>
        <mc:AlternateContent xmlns:mc="http://schemas.openxmlformats.org/markup-compatibility/2006">
          <mc:Choice Requires="x14">
            <control shapeId="16299" r:id="rId370" name="Check Box 939">
              <controlPr locked="0" defaultSize="0" autoFill="0" autoLine="0" autoPict="0">
                <anchor moveWithCells="1" sizeWithCells="1">
                  <from>
                    <xdr:col>22</xdr:col>
                    <xdr:colOff>0</xdr:colOff>
                    <xdr:row>1756</xdr:row>
                    <xdr:rowOff>0</xdr:rowOff>
                  </from>
                  <to>
                    <xdr:col>22</xdr:col>
                    <xdr:colOff>177800</xdr:colOff>
                    <xdr:row>1756</xdr:row>
                    <xdr:rowOff>177800</xdr:rowOff>
                  </to>
                </anchor>
              </controlPr>
            </control>
          </mc:Choice>
        </mc:AlternateContent>
        <mc:AlternateContent xmlns:mc="http://schemas.openxmlformats.org/markup-compatibility/2006">
          <mc:Choice Requires="x14">
            <control shapeId="16300" r:id="rId371" name="Check Box 940">
              <controlPr locked="0" defaultSize="0" autoFill="0" autoLine="0" autoPict="0">
                <anchor moveWithCells="1" sizeWithCells="1">
                  <from>
                    <xdr:col>22</xdr:col>
                    <xdr:colOff>0</xdr:colOff>
                    <xdr:row>1760</xdr:row>
                    <xdr:rowOff>0</xdr:rowOff>
                  </from>
                  <to>
                    <xdr:col>22</xdr:col>
                    <xdr:colOff>177800</xdr:colOff>
                    <xdr:row>1760</xdr:row>
                    <xdr:rowOff>177800</xdr:rowOff>
                  </to>
                </anchor>
              </controlPr>
            </control>
          </mc:Choice>
        </mc:AlternateContent>
        <mc:AlternateContent xmlns:mc="http://schemas.openxmlformats.org/markup-compatibility/2006">
          <mc:Choice Requires="x14">
            <control shapeId="16301" r:id="rId372" name="Check Box 941">
              <controlPr locked="0" defaultSize="0" autoFill="0" autoLine="0" autoPict="0">
                <anchor moveWithCells="1" sizeWithCells="1">
                  <from>
                    <xdr:col>22</xdr:col>
                    <xdr:colOff>0</xdr:colOff>
                    <xdr:row>1762</xdr:row>
                    <xdr:rowOff>0</xdr:rowOff>
                  </from>
                  <to>
                    <xdr:col>22</xdr:col>
                    <xdr:colOff>177800</xdr:colOff>
                    <xdr:row>1762</xdr:row>
                    <xdr:rowOff>177800</xdr:rowOff>
                  </to>
                </anchor>
              </controlPr>
            </control>
          </mc:Choice>
        </mc:AlternateContent>
        <mc:AlternateContent xmlns:mc="http://schemas.openxmlformats.org/markup-compatibility/2006">
          <mc:Choice Requires="x14">
            <control shapeId="16302" r:id="rId373" name="Check Box 942">
              <controlPr locked="0" defaultSize="0" autoFill="0" autoLine="0" autoPict="0">
                <anchor moveWithCells="1" sizeWithCells="1">
                  <from>
                    <xdr:col>22</xdr:col>
                    <xdr:colOff>0</xdr:colOff>
                    <xdr:row>1764</xdr:row>
                    <xdr:rowOff>0</xdr:rowOff>
                  </from>
                  <to>
                    <xdr:col>22</xdr:col>
                    <xdr:colOff>177800</xdr:colOff>
                    <xdr:row>1764</xdr:row>
                    <xdr:rowOff>177800</xdr:rowOff>
                  </to>
                </anchor>
              </controlPr>
            </control>
          </mc:Choice>
        </mc:AlternateContent>
        <mc:AlternateContent xmlns:mc="http://schemas.openxmlformats.org/markup-compatibility/2006">
          <mc:Choice Requires="x14">
            <control shapeId="16303" r:id="rId374" name="Check Box 943">
              <controlPr locked="0" defaultSize="0" autoFill="0" autoLine="0" autoPict="0">
                <anchor moveWithCells="1" sizeWithCells="1">
                  <from>
                    <xdr:col>22</xdr:col>
                    <xdr:colOff>0</xdr:colOff>
                    <xdr:row>1765</xdr:row>
                    <xdr:rowOff>0</xdr:rowOff>
                  </from>
                  <to>
                    <xdr:col>22</xdr:col>
                    <xdr:colOff>177800</xdr:colOff>
                    <xdr:row>1765</xdr:row>
                    <xdr:rowOff>177800</xdr:rowOff>
                  </to>
                </anchor>
              </controlPr>
            </control>
          </mc:Choice>
        </mc:AlternateContent>
        <mc:AlternateContent xmlns:mc="http://schemas.openxmlformats.org/markup-compatibility/2006">
          <mc:Choice Requires="x14">
            <control shapeId="16304" r:id="rId375" name="Check Box 944">
              <controlPr locked="0" defaultSize="0" autoFill="0" autoLine="0" autoPict="0">
                <anchor moveWithCells="1" sizeWithCells="1">
                  <from>
                    <xdr:col>22</xdr:col>
                    <xdr:colOff>0</xdr:colOff>
                    <xdr:row>1767</xdr:row>
                    <xdr:rowOff>0</xdr:rowOff>
                  </from>
                  <to>
                    <xdr:col>22</xdr:col>
                    <xdr:colOff>177800</xdr:colOff>
                    <xdr:row>1767</xdr:row>
                    <xdr:rowOff>177800</xdr:rowOff>
                  </to>
                </anchor>
              </controlPr>
            </control>
          </mc:Choice>
        </mc:AlternateContent>
        <mc:AlternateContent xmlns:mc="http://schemas.openxmlformats.org/markup-compatibility/2006">
          <mc:Choice Requires="x14">
            <control shapeId="16305" r:id="rId376" name="Check Box 945">
              <controlPr locked="0" defaultSize="0" autoFill="0" autoLine="0" autoPict="0">
                <anchor moveWithCells="1" sizeWithCells="1">
                  <from>
                    <xdr:col>22</xdr:col>
                    <xdr:colOff>0</xdr:colOff>
                    <xdr:row>1787</xdr:row>
                    <xdr:rowOff>0</xdr:rowOff>
                  </from>
                  <to>
                    <xdr:col>22</xdr:col>
                    <xdr:colOff>177800</xdr:colOff>
                    <xdr:row>1787</xdr:row>
                    <xdr:rowOff>177800</xdr:rowOff>
                  </to>
                </anchor>
              </controlPr>
            </control>
          </mc:Choice>
        </mc:AlternateContent>
        <mc:AlternateContent xmlns:mc="http://schemas.openxmlformats.org/markup-compatibility/2006">
          <mc:Choice Requires="x14">
            <control shapeId="16306" r:id="rId377" name="Check Box 946">
              <controlPr locked="0" defaultSize="0" autoFill="0" autoLine="0" autoPict="0">
                <anchor moveWithCells="1" sizeWithCells="1">
                  <from>
                    <xdr:col>22</xdr:col>
                    <xdr:colOff>0</xdr:colOff>
                    <xdr:row>1810</xdr:row>
                    <xdr:rowOff>0</xdr:rowOff>
                  </from>
                  <to>
                    <xdr:col>22</xdr:col>
                    <xdr:colOff>177800</xdr:colOff>
                    <xdr:row>1810</xdr:row>
                    <xdr:rowOff>177800</xdr:rowOff>
                  </to>
                </anchor>
              </controlPr>
            </control>
          </mc:Choice>
        </mc:AlternateContent>
        <mc:AlternateContent xmlns:mc="http://schemas.openxmlformats.org/markup-compatibility/2006">
          <mc:Choice Requires="x14">
            <control shapeId="16307" r:id="rId378" name="Check Box 947">
              <controlPr locked="0" defaultSize="0" autoFill="0" autoLine="0" autoPict="0">
                <anchor moveWithCells="1" sizeWithCells="1">
                  <from>
                    <xdr:col>22</xdr:col>
                    <xdr:colOff>0</xdr:colOff>
                    <xdr:row>1830</xdr:row>
                    <xdr:rowOff>0</xdr:rowOff>
                  </from>
                  <to>
                    <xdr:col>22</xdr:col>
                    <xdr:colOff>177800</xdr:colOff>
                    <xdr:row>1830</xdr:row>
                    <xdr:rowOff>177800</xdr:rowOff>
                  </to>
                </anchor>
              </controlPr>
            </control>
          </mc:Choice>
        </mc:AlternateContent>
        <mc:AlternateContent xmlns:mc="http://schemas.openxmlformats.org/markup-compatibility/2006">
          <mc:Choice Requires="x14">
            <control shapeId="16308" r:id="rId379" name="Check Box 948">
              <controlPr locked="0" defaultSize="0" autoFill="0" autoLine="0" autoPict="0">
                <anchor moveWithCells="1" sizeWithCells="1">
                  <from>
                    <xdr:col>22</xdr:col>
                    <xdr:colOff>0</xdr:colOff>
                    <xdr:row>1838</xdr:row>
                    <xdr:rowOff>0</xdr:rowOff>
                  </from>
                  <to>
                    <xdr:col>22</xdr:col>
                    <xdr:colOff>177800</xdr:colOff>
                    <xdr:row>1838</xdr:row>
                    <xdr:rowOff>177800</xdr:rowOff>
                  </to>
                </anchor>
              </controlPr>
            </control>
          </mc:Choice>
        </mc:AlternateContent>
        <mc:AlternateContent xmlns:mc="http://schemas.openxmlformats.org/markup-compatibility/2006">
          <mc:Choice Requires="x14">
            <control shapeId="16309" r:id="rId380" name="Check Box 949">
              <controlPr locked="0" defaultSize="0" autoFill="0" autoLine="0" autoPict="0">
                <anchor moveWithCells="1" sizeWithCells="1">
                  <from>
                    <xdr:col>22</xdr:col>
                    <xdr:colOff>0</xdr:colOff>
                    <xdr:row>1847</xdr:row>
                    <xdr:rowOff>0</xdr:rowOff>
                  </from>
                  <to>
                    <xdr:col>22</xdr:col>
                    <xdr:colOff>177800</xdr:colOff>
                    <xdr:row>1847</xdr:row>
                    <xdr:rowOff>177800</xdr:rowOff>
                  </to>
                </anchor>
              </controlPr>
            </control>
          </mc:Choice>
        </mc:AlternateContent>
        <mc:AlternateContent xmlns:mc="http://schemas.openxmlformats.org/markup-compatibility/2006">
          <mc:Choice Requires="x14">
            <control shapeId="16311" r:id="rId381" name="Check Box 951">
              <controlPr locked="0" defaultSize="0" autoFill="0" autoLine="0" autoPict="0">
                <anchor moveWithCells="1" sizeWithCells="1">
                  <from>
                    <xdr:col>22</xdr:col>
                    <xdr:colOff>0</xdr:colOff>
                    <xdr:row>1850</xdr:row>
                    <xdr:rowOff>0</xdr:rowOff>
                  </from>
                  <to>
                    <xdr:col>22</xdr:col>
                    <xdr:colOff>177800</xdr:colOff>
                    <xdr:row>1850</xdr:row>
                    <xdr:rowOff>177800</xdr:rowOff>
                  </to>
                </anchor>
              </controlPr>
            </control>
          </mc:Choice>
        </mc:AlternateContent>
        <mc:AlternateContent xmlns:mc="http://schemas.openxmlformats.org/markup-compatibility/2006">
          <mc:Choice Requires="x14">
            <control shapeId="16312" r:id="rId382" name="Check Box 952">
              <controlPr locked="0" defaultSize="0" autoFill="0" autoLine="0" autoPict="0">
                <anchor moveWithCells="1" sizeWithCells="1">
                  <from>
                    <xdr:col>22</xdr:col>
                    <xdr:colOff>0</xdr:colOff>
                    <xdr:row>1852</xdr:row>
                    <xdr:rowOff>0</xdr:rowOff>
                  </from>
                  <to>
                    <xdr:col>22</xdr:col>
                    <xdr:colOff>177800</xdr:colOff>
                    <xdr:row>1852</xdr:row>
                    <xdr:rowOff>177800</xdr:rowOff>
                  </to>
                </anchor>
              </controlPr>
            </control>
          </mc:Choice>
        </mc:AlternateContent>
        <mc:AlternateContent xmlns:mc="http://schemas.openxmlformats.org/markup-compatibility/2006">
          <mc:Choice Requires="x14">
            <control shapeId="16314" r:id="rId383" name="Check Box 954">
              <controlPr locked="0" defaultSize="0" autoFill="0" autoLine="0" autoPict="0">
                <anchor moveWithCells="1" sizeWithCells="1">
                  <from>
                    <xdr:col>22</xdr:col>
                    <xdr:colOff>0</xdr:colOff>
                    <xdr:row>2017</xdr:row>
                    <xdr:rowOff>0</xdr:rowOff>
                  </from>
                  <to>
                    <xdr:col>22</xdr:col>
                    <xdr:colOff>177800</xdr:colOff>
                    <xdr:row>2017</xdr:row>
                    <xdr:rowOff>177800</xdr:rowOff>
                  </to>
                </anchor>
              </controlPr>
            </control>
          </mc:Choice>
        </mc:AlternateContent>
        <mc:AlternateContent xmlns:mc="http://schemas.openxmlformats.org/markup-compatibility/2006">
          <mc:Choice Requires="x14">
            <control shapeId="16316" r:id="rId384" name="Check Box 956">
              <controlPr locked="0" defaultSize="0" autoFill="0" autoLine="0" autoPict="0">
                <anchor moveWithCells="1" sizeWithCells="1">
                  <from>
                    <xdr:col>22</xdr:col>
                    <xdr:colOff>0</xdr:colOff>
                    <xdr:row>2072</xdr:row>
                    <xdr:rowOff>0</xdr:rowOff>
                  </from>
                  <to>
                    <xdr:col>22</xdr:col>
                    <xdr:colOff>177800</xdr:colOff>
                    <xdr:row>2072</xdr:row>
                    <xdr:rowOff>177800</xdr:rowOff>
                  </to>
                </anchor>
              </controlPr>
            </control>
          </mc:Choice>
        </mc:AlternateContent>
        <mc:AlternateContent xmlns:mc="http://schemas.openxmlformats.org/markup-compatibility/2006">
          <mc:Choice Requires="x14">
            <control shapeId="16320" r:id="rId385" name="Check Box 960">
              <controlPr locked="0" defaultSize="0" autoFill="0" autoLine="0" autoPict="0">
                <anchor moveWithCells="1" sizeWithCells="1">
                  <from>
                    <xdr:col>22</xdr:col>
                    <xdr:colOff>0</xdr:colOff>
                    <xdr:row>2095</xdr:row>
                    <xdr:rowOff>0</xdr:rowOff>
                  </from>
                  <to>
                    <xdr:col>22</xdr:col>
                    <xdr:colOff>177800</xdr:colOff>
                    <xdr:row>2095</xdr:row>
                    <xdr:rowOff>177800</xdr:rowOff>
                  </to>
                </anchor>
              </controlPr>
            </control>
          </mc:Choice>
        </mc:AlternateContent>
        <mc:AlternateContent xmlns:mc="http://schemas.openxmlformats.org/markup-compatibility/2006">
          <mc:Choice Requires="x14">
            <control shapeId="16322" r:id="rId386" name="Check Box 962">
              <controlPr locked="0" defaultSize="0" autoFill="0" autoLine="0" autoPict="0">
                <anchor moveWithCells="1" sizeWithCells="1">
                  <from>
                    <xdr:col>22</xdr:col>
                    <xdr:colOff>0</xdr:colOff>
                    <xdr:row>2146</xdr:row>
                    <xdr:rowOff>0</xdr:rowOff>
                  </from>
                  <to>
                    <xdr:col>22</xdr:col>
                    <xdr:colOff>177800</xdr:colOff>
                    <xdr:row>2146</xdr:row>
                    <xdr:rowOff>177800</xdr:rowOff>
                  </to>
                </anchor>
              </controlPr>
            </control>
          </mc:Choice>
        </mc:AlternateContent>
        <mc:AlternateContent xmlns:mc="http://schemas.openxmlformats.org/markup-compatibility/2006">
          <mc:Choice Requires="x14">
            <control shapeId="16323" r:id="rId387" name="Check Box 963">
              <controlPr locked="0" defaultSize="0" autoFill="0" autoLine="0" autoPict="0">
                <anchor moveWithCells="1" sizeWithCells="1">
                  <from>
                    <xdr:col>22</xdr:col>
                    <xdr:colOff>0</xdr:colOff>
                    <xdr:row>2148</xdr:row>
                    <xdr:rowOff>0</xdr:rowOff>
                  </from>
                  <to>
                    <xdr:col>22</xdr:col>
                    <xdr:colOff>177800</xdr:colOff>
                    <xdr:row>2148</xdr:row>
                    <xdr:rowOff>177800</xdr:rowOff>
                  </to>
                </anchor>
              </controlPr>
            </control>
          </mc:Choice>
        </mc:AlternateContent>
        <mc:AlternateContent xmlns:mc="http://schemas.openxmlformats.org/markup-compatibility/2006">
          <mc:Choice Requires="x14">
            <control shapeId="16324" r:id="rId388" name="Check Box 964">
              <controlPr locked="0" defaultSize="0" autoFill="0" autoLine="0" autoPict="0">
                <anchor moveWithCells="1" sizeWithCells="1">
                  <from>
                    <xdr:col>22</xdr:col>
                    <xdr:colOff>0</xdr:colOff>
                    <xdr:row>2171</xdr:row>
                    <xdr:rowOff>0</xdr:rowOff>
                  </from>
                  <to>
                    <xdr:col>22</xdr:col>
                    <xdr:colOff>177800</xdr:colOff>
                    <xdr:row>2171</xdr:row>
                    <xdr:rowOff>177800</xdr:rowOff>
                  </to>
                </anchor>
              </controlPr>
            </control>
          </mc:Choice>
        </mc:AlternateContent>
        <mc:AlternateContent xmlns:mc="http://schemas.openxmlformats.org/markup-compatibility/2006">
          <mc:Choice Requires="x14">
            <control shapeId="16325" r:id="rId389" name="Check Box 965">
              <controlPr locked="0" defaultSize="0" autoFill="0" autoLine="0" autoPict="0">
                <anchor moveWithCells="1" sizeWithCells="1">
                  <from>
                    <xdr:col>22</xdr:col>
                    <xdr:colOff>0</xdr:colOff>
                    <xdr:row>2180</xdr:row>
                    <xdr:rowOff>0</xdr:rowOff>
                  </from>
                  <to>
                    <xdr:col>22</xdr:col>
                    <xdr:colOff>177800</xdr:colOff>
                    <xdr:row>2180</xdr:row>
                    <xdr:rowOff>177800</xdr:rowOff>
                  </to>
                </anchor>
              </controlPr>
            </control>
          </mc:Choice>
        </mc:AlternateContent>
        <mc:AlternateContent xmlns:mc="http://schemas.openxmlformats.org/markup-compatibility/2006">
          <mc:Choice Requires="x14">
            <control shapeId="16326" r:id="rId390" name="Check Box 966">
              <controlPr locked="0" defaultSize="0" autoFill="0" autoLine="0" autoPict="0">
                <anchor moveWithCells="1" sizeWithCells="1">
                  <from>
                    <xdr:col>22</xdr:col>
                    <xdr:colOff>0</xdr:colOff>
                    <xdr:row>2215</xdr:row>
                    <xdr:rowOff>0</xdr:rowOff>
                  </from>
                  <to>
                    <xdr:col>22</xdr:col>
                    <xdr:colOff>177800</xdr:colOff>
                    <xdr:row>2215</xdr:row>
                    <xdr:rowOff>177800</xdr:rowOff>
                  </to>
                </anchor>
              </controlPr>
            </control>
          </mc:Choice>
        </mc:AlternateContent>
        <mc:AlternateContent xmlns:mc="http://schemas.openxmlformats.org/markup-compatibility/2006">
          <mc:Choice Requires="x14">
            <control shapeId="16327" r:id="rId391" name="Check Box 967">
              <controlPr locked="0" defaultSize="0" autoFill="0" autoLine="0" autoPict="0">
                <anchor moveWithCells="1" sizeWithCells="1">
                  <from>
                    <xdr:col>22</xdr:col>
                    <xdr:colOff>0</xdr:colOff>
                    <xdr:row>2222</xdr:row>
                    <xdr:rowOff>0</xdr:rowOff>
                  </from>
                  <to>
                    <xdr:col>22</xdr:col>
                    <xdr:colOff>177800</xdr:colOff>
                    <xdr:row>2222</xdr:row>
                    <xdr:rowOff>177800</xdr:rowOff>
                  </to>
                </anchor>
              </controlPr>
            </control>
          </mc:Choice>
        </mc:AlternateContent>
        <mc:AlternateContent xmlns:mc="http://schemas.openxmlformats.org/markup-compatibility/2006">
          <mc:Choice Requires="x14">
            <control shapeId="16329" r:id="rId392" name="Check Box 969">
              <controlPr locked="0" defaultSize="0" autoFill="0" autoLine="0" autoPict="0">
                <anchor moveWithCells="1" sizeWithCells="1">
                  <from>
                    <xdr:col>22</xdr:col>
                    <xdr:colOff>0</xdr:colOff>
                    <xdr:row>2234</xdr:row>
                    <xdr:rowOff>0</xdr:rowOff>
                  </from>
                  <to>
                    <xdr:col>22</xdr:col>
                    <xdr:colOff>177800</xdr:colOff>
                    <xdr:row>2234</xdr:row>
                    <xdr:rowOff>177800</xdr:rowOff>
                  </to>
                </anchor>
              </controlPr>
            </control>
          </mc:Choice>
        </mc:AlternateContent>
        <mc:AlternateContent xmlns:mc="http://schemas.openxmlformats.org/markup-compatibility/2006">
          <mc:Choice Requires="x14">
            <control shapeId="16330" r:id="rId393" name="Check Box 970">
              <controlPr locked="0" defaultSize="0" autoFill="0" autoLine="0" autoPict="0">
                <anchor moveWithCells="1" sizeWithCells="1">
                  <from>
                    <xdr:col>22</xdr:col>
                    <xdr:colOff>0</xdr:colOff>
                    <xdr:row>2235</xdr:row>
                    <xdr:rowOff>0</xdr:rowOff>
                  </from>
                  <to>
                    <xdr:col>22</xdr:col>
                    <xdr:colOff>177800</xdr:colOff>
                    <xdr:row>2235</xdr:row>
                    <xdr:rowOff>177800</xdr:rowOff>
                  </to>
                </anchor>
              </controlPr>
            </control>
          </mc:Choice>
        </mc:AlternateContent>
        <mc:AlternateContent xmlns:mc="http://schemas.openxmlformats.org/markup-compatibility/2006">
          <mc:Choice Requires="x14">
            <control shapeId="16331" r:id="rId394" name="Check Box 971">
              <controlPr locked="0" defaultSize="0" autoFill="0" autoLine="0" autoPict="0">
                <anchor moveWithCells="1" sizeWithCells="1">
                  <from>
                    <xdr:col>22</xdr:col>
                    <xdr:colOff>0</xdr:colOff>
                    <xdr:row>2237</xdr:row>
                    <xdr:rowOff>0</xdr:rowOff>
                  </from>
                  <to>
                    <xdr:col>22</xdr:col>
                    <xdr:colOff>177800</xdr:colOff>
                    <xdr:row>2237</xdr:row>
                    <xdr:rowOff>177800</xdr:rowOff>
                  </to>
                </anchor>
              </controlPr>
            </control>
          </mc:Choice>
        </mc:AlternateContent>
        <mc:AlternateContent xmlns:mc="http://schemas.openxmlformats.org/markup-compatibility/2006">
          <mc:Choice Requires="x14">
            <control shapeId="16332" r:id="rId395" name="Check Box 972">
              <controlPr locked="0" defaultSize="0" autoFill="0" autoLine="0" autoPict="0">
                <anchor moveWithCells="1" sizeWithCells="1">
                  <from>
                    <xdr:col>22</xdr:col>
                    <xdr:colOff>0</xdr:colOff>
                    <xdr:row>2242</xdr:row>
                    <xdr:rowOff>0</xdr:rowOff>
                  </from>
                  <to>
                    <xdr:col>22</xdr:col>
                    <xdr:colOff>177800</xdr:colOff>
                    <xdr:row>2242</xdr:row>
                    <xdr:rowOff>177800</xdr:rowOff>
                  </to>
                </anchor>
              </controlPr>
            </control>
          </mc:Choice>
        </mc:AlternateContent>
        <mc:AlternateContent xmlns:mc="http://schemas.openxmlformats.org/markup-compatibility/2006">
          <mc:Choice Requires="x14">
            <control shapeId="16333" r:id="rId396" name="Check Box 973">
              <controlPr locked="0" defaultSize="0" autoFill="0" autoLine="0" autoPict="0">
                <anchor moveWithCells="1" sizeWithCells="1">
                  <from>
                    <xdr:col>22</xdr:col>
                    <xdr:colOff>0</xdr:colOff>
                    <xdr:row>2398</xdr:row>
                    <xdr:rowOff>0</xdr:rowOff>
                  </from>
                  <to>
                    <xdr:col>22</xdr:col>
                    <xdr:colOff>177800</xdr:colOff>
                    <xdr:row>2398</xdr:row>
                    <xdr:rowOff>177800</xdr:rowOff>
                  </to>
                </anchor>
              </controlPr>
            </control>
          </mc:Choice>
        </mc:AlternateContent>
        <mc:AlternateContent xmlns:mc="http://schemas.openxmlformats.org/markup-compatibility/2006">
          <mc:Choice Requires="x14">
            <control shapeId="16335" r:id="rId397" name="Check Box 975">
              <controlPr locked="0" defaultSize="0" autoFill="0" autoLine="0" autoPict="0">
                <anchor moveWithCells="1" sizeWithCells="1">
                  <from>
                    <xdr:col>22</xdr:col>
                    <xdr:colOff>0</xdr:colOff>
                    <xdr:row>2415</xdr:row>
                    <xdr:rowOff>0</xdr:rowOff>
                  </from>
                  <to>
                    <xdr:col>22</xdr:col>
                    <xdr:colOff>177800</xdr:colOff>
                    <xdr:row>2415</xdr:row>
                    <xdr:rowOff>177800</xdr:rowOff>
                  </to>
                </anchor>
              </controlPr>
            </control>
          </mc:Choice>
        </mc:AlternateContent>
        <mc:AlternateContent xmlns:mc="http://schemas.openxmlformats.org/markup-compatibility/2006">
          <mc:Choice Requires="x14">
            <control shapeId="16336" r:id="rId398" name="Check Box 976">
              <controlPr locked="0" defaultSize="0" autoFill="0" autoLine="0" autoPict="0">
                <anchor moveWithCells="1" sizeWithCells="1">
                  <from>
                    <xdr:col>22</xdr:col>
                    <xdr:colOff>0</xdr:colOff>
                    <xdr:row>2416</xdr:row>
                    <xdr:rowOff>0</xdr:rowOff>
                  </from>
                  <to>
                    <xdr:col>22</xdr:col>
                    <xdr:colOff>177800</xdr:colOff>
                    <xdr:row>2416</xdr:row>
                    <xdr:rowOff>177800</xdr:rowOff>
                  </to>
                </anchor>
              </controlPr>
            </control>
          </mc:Choice>
        </mc:AlternateContent>
        <mc:AlternateContent xmlns:mc="http://schemas.openxmlformats.org/markup-compatibility/2006">
          <mc:Choice Requires="x14">
            <control shapeId="16337" r:id="rId399" name="Check Box 977">
              <controlPr locked="0" defaultSize="0" autoFill="0" autoLine="0" autoPict="0">
                <anchor moveWithCells="1" sizeWithCells="1">
                  <from>
                    <xdr:col>22</xdr:col>
                    <xdr:colOff>0</xdr:colOff>
                    <xdr:row>2417</xdr:row>
                    <xdr:rowOff>0</xdr:rowOff>
                  </from>
                  <to>
                    <xdr:col>22</xdr:col>
                    <xdr:colOff>177800</xdr:colOff>
                    <xdr:row>2417</xdr:row>
                    <xdr:rowOff>177800</xdr:rowOff>
                  </to>
                </anchor>
              </controlPr>
            </control>
          </mc:Choice>
        </mc:AlternateContent>
        <mc:AlternateContent xmlns:mc="http://schemas.openxmlformats.org/markup-compatibility/2006">
          <mc:Choice Requires="x14">
            <control shapeId="16338" r:id="rId400" name="Check Box 978">
              <controlPr locked="0" defaultSize="0" autoFill="0" autoLine="0" autoPict="0">
                <anchor moveWithCells="1" sizeWithCells="1">
                  <from>
                    <xdr:col>22</xdr:col>
                    <xdr:colOff>0</xdr:colOff>
                    <xdr:row>2419</xdr:row>
                    <xdr:rowOff>0</xdr:rowOff>
                  </from>
                  <to>
                    <xdr:col>22</xdr:col>
                    <xdr:colOff>177800</xdr:colOff>
                    <xdr:row>2419</xdr:row>
                    <xdr:rowOff>177800</xdr:rowOff>
                  </to>
                </anchor>
              </controlPr>
            </control>
          </mc:Choice>
        </mc:AlternateContent>
        <mc:AlternateContent xmlns:mc="http://schemas.openxmlformats.org/markup-compatibility/2006">
          <mc:Choice Requires="x14">
            <control shapeId="16339" r:id="rId401" name="Check Box 979">
              <controlPr locked="0" defaultSize="0" autoFill="0" autoLine="0" autoPict="0">
                <anchor moveWithCells="1" sizeWithCells="1">
                  <from>
                    <xdr:col>22</xdr:col>
                    <xdr:colOff>0</xdr:colOff>
                    <xdr:row>2420</xdr:row>
                    <xdr:rowOff>0</xdr:rowOff>
                  </from>
                  <to>
                    <xdr:col>22</xdr:col>
                    <xdr:colOff>177800</xdr:colOff>
                    <xdr:row>2420</xdr:row>
                    <xdr:rowOff>177800</xdr:rowOff>
                  </to>
                </anchor>
              </controlPr>
            </control>
          </mc:Choice>
        </mc:AlternateContent>
        <mc:AlternateContent xmlns:mc="http://schemas.openxmlformats.org/markup-compatibility/2006">
          <mc:Choice Requires="x14">
            <control shapeId="16340" r:id="rId402" name="Check Box 980">
              <controlPr locked="0" defaultSize="0" autoFill="0" autoLine="0" autoPict="0">
                <anchor moveWithCells="1" sizeWithCells="1">
                  <from>
                    <xdr:col>22</xdr:col>
                    <xdr:colOff>0</xdr:colOff>
                    <xdr:row>2421</xdr:row>
                    <xdr:rowOff>0</xdr:rowOff>
                  </from>
                  <to>
                    <xdr:col>22</xdr:col>
                    <xdr:colOff>177800</xdr:colOff>
                    <xdr:row>2421</xdr:row>
                    <xdr:rowOff>177800</xdr:rowOff>
                  </to>
                </anchor>
              </controlPr>
            </control>
          </mc:Choice>
        </mc:AlternateContent>
        <mc:AlternateContent xmlns:mc="http://schemas.openxmlformats.org/markup-compatibility/2006">
          <mc:Choice Requires="x14">
            <control shapeId="16341" r:id="rId403" name="Check Box 981">
              <controlPr locked="0" defaultSize="0" autoFill="0" autoLine="0" autoPict="0">
                <anchor moveWithCells="1" sizeWithCells="1">
                  <from>
                    <xdr:col>22</xdr:col>
                    <xdr:colOff>0</xdr:colOff>
                    <xdr:row>2422</xdr:row>
                    <xdr:rowOff>0</xdr:rowOff>
                  </from>
                  <to>
                    <xdr:col>22</xdr:col>
                    <xdr:colOff>177800</xdr:colOff>
                    <xdr:row>2422</xdr:row>
                    <xdr:rowOff>177800</xdr:rowOff>
                  </to>
                </anchor>
              </controlPr>
            </control>
          </mc:Choice>
        </mc:AlternateContent>
        <mc:AlternateContent xmlns:mc="http://schemas.openxmlformats.org/markup-compatibility/2006">
          <mc:Choice Requires="x14">
            <control shapeId="16342" r:id="rId404" name="Check Box 982">
              <controlPr locked="0" defaultSize="0" autoFill="0" autoLine="0" autoPict="0">
                <anchor moveWithCells="1" sizeWithCells="1">
                  <from>
                    <xdr:col>22</xdr:col>
                    <xdr:colOff>0</xdr:colOff>
                    <xdr:row>2423</xdr:row>
                    <xdr:rowOff>0</xdr:rowOff>
                  </from>
                  <to>
                    <xdr:col>22</xdr:col>
                    <xdr:colOff>177800</xdr:colOff>
                    <xdr:row>2423</xdr:row>
                    <xdr:rowOff>177800</xdr:rowOff>
                  </to>
                </anchor>
              </controlPr>
            </control>
          </mc:Choice>
        </mc:AlternateContent>
        <mc:AlternateContent xmlns:mc="http://schemas.openxmlformats.org/markup-compatibility/2006">
          <mc:Choice Requires="x14">
            <control shapeId="16343" r:id="rId405" name="Check Box 983">
              <controlPr locked="0" defaultSize="0" autoFill="0" autoLine="0" autoPict="0">
                <anchor moveWithCells="1" sizeWithCells="1">
                  <from>
                    <xdr:col>22</xdr:col>
                    <xdr:colOff>0</xdr:colOff>
                    <xdr:row>2424</xdr:row>
                    <xdr:rowOff>0</xdr:rowOff>
                  </from>
                  <to>
                    <xdr:col>22</xdr:col>
                    <xdr:colOff>177800</xdr:colOff>
                    <xdr:row>2424</xdr:row>
                    <xdr:rowOff>177800</xdr:rowOff>
                  </to>
                </anchor>
              </controlPr>
            </control>
          </mc:Choice>
        </mc:AlternateContent>
        <mc:AlternateContent xmlns:mc="http://schemas.openxmlformats.org/markup-compatibility/2006">
          <mc:Choice Requires="x14">
            <control shapeId="16344" r:id="rId406" name="Check Box 984">
              <controlPr locked="0" defaultSize="0" autoFill="0" autoLine="0" autoPict="0">
                <anchor moveWithCells="1" sizeWithCells="1">
                  <from>
                    <xdr:col>22</xdr:col>
                    <xdr:colOff>0</xdr:colOff>
                    <xdr:row>2429</xdr:row>
                    <xdr:rowOff>0</xdr:rowOff>
                  </from>
                  <to>
                    <xdr:col>22</xdr:col>
                    <xdr:colOff>177800</xdr:colOff>
                    <xdr:row>2429</xdr:row>
                    <xdr:rowOff>177800</xdr:rowOff>
                  </to>
                </anchor>
              </controlPr>
            </control>
          </mc:Choice>
        </mc:AlternateContent>
        <mc:AlternateContent xmlns:mc="http://schemas.openxmlformats.org/markup-compatibility/2006">
          <mc:Choice Requires="x14">
            <control shapeId="16345" r:id="rId407" name="Check Box 985">
              <controlPr locked="0" defaultSize="0" autoFill="0" autoLine="0" autoPict="0">
                <anchor moveWithCells="1" sizeWithCells="1">
                  <from>
                    <xdr:col>22</xdr:col>
                    <xdr:colOff>0</xdr:colOff>
                    <xdr:row>2430</xdr:row>
                    <xdr:rowOff>0</xdr:rowOff>
                  </from>
                  <to>
                    <xdr:col>22</xdr:col>
                    <xdr:colOff>177800</xdr:colOff>
                    <xdr:row>2430</xdr:row>
                    <xdr:rowOff>177800</xdr:rowOff>
                  </to>
                </anchor>
              </controlPr>
            </control>
          </mc:Choice>
        </mc:AlternateContent>
        <mc:AlternateContent xmlns:mc="http://schemas.openxmlformats.org/markup-compatibility/2006">
          <mc:Choice Requires="x14">
            <control shapeId="16346" r:id="rId408" name="Check Box 986">
              <controlPr locked="0" defaultSize="0" autoFill="0" autoLine="0" autoPict="0">
                <anchor moveWithCells="1" sizeWithCells="1">
                  <from>
                    <xdr:col>22</xdr:col>
                    <xdr:colOff>0</xdr:colOff>
                    <xdr:row>2431</xdr:row>
                    <xdr:rowOff>0</xdr:rowOff>
                  </from>
                  <to>
                    <xdr:col>22</xdr:col>
                    <xdr:colOff>177800</xdr:colOff>
                    <xdr:row>2431</xdr:row>
                    <xdr:rowOff>177800</xdr:rowOff>
                  </to>
                </anchor>
              </controlPr>
            </control>
          </mc:Choice>
        </mc:AlternateContent>
        <mc:AlternateContent xmlns:mc="http://schemas.openxmlformats.org/markup-compatibility/2006">
          <mc:Choice Requires="x14">
            <control shapeId="16347" r:id="rId409" name="Check Box 987">
              <controlPr locked="0" defaultSize="0" autoFill="0" autoLine="0" autoPict="0">
                <anchor moveWithCells="1" sizeWithCells="1">
                  <from>
                    <xdr:col>22</xdr:col>
                    <xdr:colOff>0</xdr:colOff>
                    <xdr:row>2432</xdr:row>
                    <xdr:rowOff>0</xdr:rowOff>
                  </from>
                  <to>
                    <xdr:col>22</xdr:col>
                    <xdr:colOff>177800</xdr:colOff>
                    <xdr:row>2432</xdr:row>
                    <xdr:rowOff>177800</xdr:rowOff>
                  </to>
                </anchor>
              </controlPr>
            </control>
          </mc:Choice>
        </mc:AlternateContent>
        <mc:AlternateContent xmlns:mc="http://schemas.openxmlformats.org/markup-compatibility/2006">
          <mc:Choice Requires="x14">
            <control shapeId="16348" r:id="rId410" name="Check Box 988">
              <controlPr locked="0" defaultSize="0" autoFill="0" autoLine="0" autoPict="0">
                <anchor moveWithCells="1" sizeWithCells="1">
                  <from>
                    <xdr:col>22</xdr:col>
                    <xdr:colOff>0</xdr:colOff>
                    <xdr:row>2433</xdr:row>
                    <xdr:rowOff>0</xdr:rowOff>
                  </from>
                  <to>
                    <xdr:col>22</xdr:col>
                    <xdr:colOff>177800</xdr:colOff>
                    <xdr:row>2433</xdr:row>
                    <xdr:rowOff>177800</xdr:rowOff>
                  </to>
                </anchor>
              </controlPr>
            </control>
          </mc:Choice>
        </mc:AlternateContent>
        <mc:AlternateContent xmlns:mc="http://schemas.openxmlformats.org/markup-compatibility/2006">
          <mc:Choice Requires="x14">
            <control shapeId="16349" r:id="rId411" name="Check Box 989">
              <controlPr locked="0" defaultSize="0" autoFill="0" autoLine="0" autoPict="0">
                <anchor moveWithCells="1" sizeWithCells="1">
                  <from>
                    <xdr:col>22</xdr:col>
                    <xdr:colOff>0</xdr:colOff>
                    <xdr:row>2434</xdr:row>
                    <xdr:rowOff>0</xdr:rowOff>
                  </from>
                  <to>
                    <xdr:col>22</xdr:col>
                    <xdr:colOff>177800</xdr:colOff>
                    <xdr:row>2434</xdr:row>
                    <xdr:rowOff>177800</xdr:rowOff>
                  </to>
                </anchor>
              </controlPr>
            </control>
          </mc:Choice>
        </mc:AlternateContent>
        <mc:AlternateContent xmlns:mc="http://schemas.openxmlformats.org/markup-compatibility/2006">
          <mc:Choice Requires="x14">
            <control shapeId="16350" r:id="rId412" name="Check Box 990">
              <controlPr locked="0" defaultSize="0" autoFill="0" autoLine="0" autoPict="0">
                <anchor moveWithCells="1" sizeWithCells="1">
                  <from>
                    <xdr:col>22</xdr:col>
                    <xdr:colOff>0</xdr:colOff>
                    <xdr:row>2435</xdr:row>
                    <xdr:rowOff>0</xdr:rowOff>
                  </from>
                  <to>
                    <xdr:col>22</xdr:col>
                    <xdr:colOff>177800</xdr:colOff>
                    <xdr:row>2435</xdr:row>
                    <xdr:rowOff>177800</xdr:rowOff>
                  </to>
                </anchor>
              </controlPr>
            </control>
          </mc:Choice>
        </mc:AlternateContent>
        <mc:AlternateContent xmlns:mc="http://schemas.openxmlformats.org/markup-compatibility/2006">
          <mc:Choice Requires="x14">
            <control shapeId="16351" r:id="rId413" name="Check Box 991">
              <controlPr locked="0" defaultSize="0" autoFill="0" autoLine="0" autoPict="0">
                <anchor moveWithCells="1" sizeWithCells="1">
                  <from>
                    <xdr:col>22</xdr:col>
                    <xdr:colOff>0</xdr:colOff>
                    <xdr:row>2451</xdr:row>
                    <xdr:rowOff>0</xdr:rowOff>
                  </from>
                  <to>
                    <xdr:col>22</xdr:col>
                    <xdr:colOff>177800</xdr:colOff>
                    <xdr:row>2451</xdr:row>
                    <xdr:rowOff>177800</xdr:rowOff>
                  </to>
                </anchor>
              </controlPr>
            </control>
          </mc:Choice>
        </mc:AlternateContent>
        <mc:AlternateContent xmlns:mc="http://schemas.openxmlformats.org/markup-compatibility/2006">
          <mc:Choice Requires="x14">
            <control shapeId="16352" r:id="rId414" name="Check Box 992">
              <controlPr locked="0" defaultSize="0" autoFill="0" autoLine="0" autoPict="0">
                <anchor moveWithCells="1" sizeWithCells="1">
                  <from>
                    <xdr:col>22</xdr:col>
                    <xdr:colOff>0</xdr:colOff>
                    <xdr:row>2454</xdr:row>
                    <xdr:rowOff>0</xdr:rowOff>
                  </from>
                  <to>
                    <xdr:col>22</xdr:col>
                    <xdr:colOff>177800</xdr:colOff>
                    <xdr:row>2454</xdr:row>
                    <xdr:rowOff>177800</xdr:rowOff>
                  </to>
                </anchor>
              </controlPr>
            </control>
          </mc:Choice>
        </mc:AlternateContent>
        <mc:AlternateContent xmlns:mc="http://schemas.openxmlformats.org/markup-compatibility/2006">
          <mc:Choice Requires="x14">
            <control shapeId="16355" r:id="rId415" name="Check Box 995">
              <controlPr locked="0" defaultSize="0" autoFill="0" autoLine="0" autoPict="0">
                <anchor moveWithCells="1">
                  <from>
                    <xdr:col>22</xdr:col>
                    <xdr:colOff>0</xdr:colOff>
                    <xdr:row>929</xdr:row>
                    <xdr:rowOff>0</xdr:rowOff>
                  </from>
                  <to>
                    <xdr:col>22</xdr:col>
                    <xdr:colOff>177800</xdr:colOff>
                    <xdr:row>929</xdr:row>
                    <xdr:rowOff>177800</xdr:rowOff>
                  </to>
                </anchor>
              </controlPr>
            </control>
          </mc:Choice>
        </mc:AlternateContent>
      </controls>
    </mc:Choice>
  </mc:AlternateContent>
  <extLst>
    <ext xmlns:x14="http://schemas.microsoft.com/office/spreadsheetml/2009/9/main" uri="{78C0D931-6437-407d-A8EE-F0AAD7539E65}">
      <x14:conditionalFormattings>
        <x14:conditionalFormatting xmlns:xm="http://schemas.microsoft.com/office/excel/2006/main">
          <x14:cfRule type="expression" priority="23" id="{8BC9F0BA-F7BC-47D1-93B8-77664E61756A}">
            <xm:f>OR('11.500'!W100=TRUE,AND(LEN('11.500'!W100)&gt;0,NOT('11.500'!W100=FALSE),NOT('11.500'!W100="N/A")))</xm:f>
            <x14:dxf>
              <fill>
                <patternFill>
                  <bgColor rgb="FF92D050"/>
                </patternFill>
              </fill>
            </x14:dxf>
          </x14:cfRule>
          <xm:sqref>L99:L103 L175:L179 L220:L225 L243:L250</xm:sqref>
        </x14:conditionalFormatting>
        <x14:conditionalFormatting xmlns:xm="http://schemas.microsoft.com/office/excel/2006/main">
          <x14:cfRule type="expression" priority="22" id="{B5936822-D541-429B-A93E-B7C1DBDBF9E3}">
            <xm:f>OR('11.600'!W69=TRUE,AND(LEN('11.600'!W69)&gt;0,NOT('11.600'!W69=FALSE),NOT('11.600'!W69="N/A")))</xm:f>
            <x14:dxf>
              <fill>
                <patternFill>
                  <bgColor rgb="FF92D050"/>
                </patternFill>
              </fill>
            </x14:dxf>
          </x14:cfRule>
          <xm:sqref>L367:L370 L373:L376 L406:L407 L549:L554 L629:L637 L642:L650 L828:L840 L843:L866</xm:sqref>
        </x14:conditionalFormatting>
        <x14:conditionalFormatting xmlns:xm="http://schemas.microsoft.com/office/excel/2006/main">
          <x14:cfRule type="expression" priority="21" id="{4BB26696-18C5-4BE3-9FDE-F46D457E7BEA}">
            <xm:f>OR('11.700'!W42=TRUE,AND(LEN('11.700'!W42)&gt;0,NOT('11.700'!W42=FALSE),NOT('11.700'!W42="N/A")))</xm:f>
            <x14:dxf>
              <fill>
                <patternFill>
                  <bgColor rgb="FF92D050"/>
                </patternFill>
              </fill>
            </x14:dxf>
          </x14:cfRule>
          <xm:sqref>L916:L928 L1191:L1194 L1329:L1340 L1344:L1349 L1493:L1498 L1517:L1524</xm:sqref>
        </x14:conditionalFormatting>
        <x14:conditionalFormatting xmlns:xm="http://schemas.microsoft.com/office/excel/2006/main">
          <x14:cfRule type="expression" priority="20" id="{EE7DC485-318F-4AA7-A19D-C9F42817CECB}">
            <xm:f>OR('11.800'!W200=TRUE,AND(LEN('11.800'!W200)&gt;0,NOT('11.800'!W200=FALSE),NOT('11.800'!W200="N/A")))</xm:f>
            <x14:dxf>
              <fill>
                <patternFill>
                  <bgColor rgb="FF92D050"/>
                </patternFill>
              </fill>
            </x14:dxf>
          </x14:cfRule>
          <xm:sqref>L1786:L1791</xm:sqref>
        </x14:conditionalFormatting>
        <x14:conditionalFormatting xmlns:xm="http://schemas.microsoft.com/office/excel/2006/main">
          <x14:cfRule type="expression" priority="19" id="{64C5707B-F2DB-488C-B39E-13DB012AAE47}">
            <xm:f>OR('11.900'!W78=TRUE,AND(LEN('11.900'!W78)&gt;0,NOT('11.900'!W78=FALSE),NOT('11.900'!W78="N/A")))</xm:f>
            <x14:dxf>
              <fill>
                <patternFill>
                  <bgColor rgb="FF92D050"/>
                </patternFill>
              </fill>
            </x14:dxf>
          </x14:cfRule>
          <xm:sqref>L1925:L1928 L1953 L1964 L1965 L1980:L1983 L2003:L2011 L2028:L2029 L2066:L2072 L2176:L2183 L2200:L2202 L2235:L2237</xm:sqref>
        </x14:conditionalFormatting>
        <x14:conditionalFormatting xmlns:xm="http://schemas.microsoft.com/office/excel/2006/main">
          <x14:cfRule type="expression" priority="18" id="{7AD62303-CD92-4B08-BA1B-03E51F48591A}">
            <xm:f>OR('11.1000'!W15=TRUE,AND(LEN('11.1000'!W15)&gt;0,NOT('11.1000'!W15=FALSE),NOT('11.1000'!W15="N/A")))</xm:f>
            <x14:dxf>
              <fill>
                <patternFill>
                  <bgColor rgb="FF92D050"/>
                </patternFill>
              </fill>
            </x14:dxf>
          </x14:cfRule>
          <xm:sqref>L2262:L2280 L2285:L2308 L2331:L2345 L2350:L2372 L2377:L2383 L2390:L2400 L2416:L2425 L2430:L2436 L2442:L2449</xm:sqref>
        </x14:conditionalFormatting>
      </x14:conditionalFormattings>
    </ext>
    <ext xmlns:x14="http://schemas.microsoft.com/office/spreadsheetml/2009/9/main" uri="{CCE6A557-97BC-4b89-ADB6-D9C93CAAB3DF}">
      <x14:dataValidations xmlns:xm="http://schemas.microsoft.com/office/excel/2006/main" count="1">
        <x14:dataValidation type="list" allowBlank="1" showInputMessage="1" showErrorMessage="1" xr:uid="{00000000-0002-0000-0D00-000058000000}">
          <x14:formula1>
            <xm:f>Points!$C$14:$F$14</xm:f>
          </x14:formula1>
          <xm:sqref>L1</xm:sqref>
        </x14:dataValidation>
      </x14:dataValidations>
    </ext>
  </extLst>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9067F84-AB37-499A-A8EB-70EE8886B5BC}">
  <sheetPr codeName="Sheet1">
    <pageSetUpPr fitToPage="1"/>
  </sheetPr>
  <dimension ref="A1:AS655"/>
  <sheetViews>
    <sheetView showGridLines="0" topLeftCell="G1" zoomScaleNormal="100" workbookViewId="0">
      <pane ySplit="7" topLeftCell="A8" activePane="bottomLeft" state="frozen"/>
      <selection activeCell="S425" sqref="S425"/>
      <selection pane="bottomLeft" activeCell="L5" sqref="L5"/>
    </sheetView>
  </sheetViews>
  <sheetFormatPr baseColWidth="10" defaultColWidth="9.1640625" defaultRowHeight="15" x14ac:dyDescent="0.2"/>
  <cols>
    <col min="1" max="1" width="3.33203125" style="1421" hidden="1" customWidth="1"/>
    <col min="2" max="2" width="9.6640625" style="1421" hidden="1" customWidth="1"/>
    <col min="3" max="6" width="4.5" style="1421" hidden="1" customWidth="1"/>
    <col min="7" max="8" width="3.1640625" style="1421" bestFit="1" customWidth="1"/>
    <col min="9" max="9" width="10.5" style="1421" customWidth="1"/>
    <col min="10" max="11" width="3.83203125" style="1421" customWidth="1"/>
    <col min="12" max="12" width="71.6640625" style="1421" customWidth="1"/>
    <col min="13" max="13" width="13.5" style="1421" customWidth="1"/>
    <col min="14" max="15" width="7.6640625" style="1421" customWidth="1"/>
    <col min="16" max="21" width="8.83203125" style="1421" hidden="1" customWidth="1"/>
    <col min="22" max="22" width="3" style="1421" hidden="1" customWidth="1"/>
    <col min="23" max="23" width="21.5" style="1421" customWidth="1"/>
    <col min="24" max="24" width="69" style="1421" customWidth="1"/>
    <col min="25" max="26" width="34.83203125" style="1421" hidden="1" customWidth="1"/>
    <col min="27" max="27" width="9.5" style="1421" hidden="1" customWidth="1"/>
    <col min="28" max="28" width="2.1640625" style="1421" hidden="1" customWidth="1"/>
    <col min="29" max="29" width="8.5" style="1421" hidden="1" customWidth="1"/>
    <col min="30" max="30" width="6.1640625" style="1421" hidden="1" customWidth="1"/>
    <col min="31" max="31" width="10.5" style="1421" hidden="1" customWidth="1"/>
    <col min="32" max="32" width="8.33203125" style="1421" hidden="1" customWidth="1"/>
    <col min="33" max="33" width="13.33203125" style="1421" hidden="1" customWidth="1"/>
    <col min="34" max="34" width="6.1640625" style="1421" hidden="1" customWidth="1"/>
    <col min="35" max="35" width="5.83203125" style="1421" hidden="1" customWidth="1"/>
    <col min="36" max="41" width="9.1640625" style="1421" hidden="1" customWidth="1"/>
    <col min="42" max="42" width="16.83203125" style="1421" hidden="1" customWidth="1"/>
    <col min="43" max="43" width="4.33203125" style="1421" hidden="1" customWidth="1"/>
    <col min="44" max="44" width="17.33203125" style="1421" hidden="1" customWidth="1"/>
    <col min="45" max="45" width="2.1640625" style="1421" hidden="1" customWidth="1"/>
    <col min="46" max="61" width="0" style="1421" hidden="1" customWidth="1"/>
    <col min="62" max="16384" width="9.1640625" style="1421"/>
  </cols>
  <sheetData>
    <row r="1" spans="1:45" ht="15" customHeight="1" x14ac:dyDescent="0.2">
      <c r="A1" s="1926" t="s">
        <v>3449</v>
      </c>
      <c r="B1" s="1926"/>
      <c r="C1" s="1926"/>
      <c r="D1" s="1926"/>
      <c r="E1" s="1926"/>
      <c r="F1" s="1926"/>
      <c r="G1" s="1926"/>
      <c r="H1" s="1926"/>
      <c r="I1" s="1927" t="str">
        <f ca="1">IF(S14=1,IF(L5="Final",IF(AND(NOT(AH1),NOT(AH2)),"Qualified for FULL Commercial Certification", "Not Yet Qualified"),"Not Yet Qualified"),IF(S14=2,IF(AND(NOT(AH4),NOT(AH2)),"Qualified for CORE &amp; SHELL Commercial Certification", "Not Yet Qualified"),"Select a path"))</f>
        <v>Select a path</v>
      </c>
      <c r="J1" s="1928"/>
      <c r="K1" s="1928"/>
      <c r="L1" s="1929"/>
      <c r="M1" s="1912"/>
      <c r="N1" s="1913"/>
      <c r="O1" s="1914"/>
      <c r="P1" s="30"/>
      <c r="Q1" s="30"/>
      <c r="R1" s="30"/>
      <c r="S1" s="30"/>
      <c r="T1" s="30"/>
      <c r="U1" s="30"/>
      <c r="V1" s="30"/>
      <c r="W1" s="1898" t="s">
        <v>5034</v>
      </c>
      <c r="X1" s="520" t="s">
        <v>3425</v>
      </c>
      <c r="Z1" s="1422"/>
      <c r="AG1" s="1419" t="s">
        <v>293</v>
      </c>
      <c r="AH1" s="1421" t="b">
        <f ca="1">OR(ReportType="",IF(ReportType="Rough",OR(AF:AF),OR(AE:AE)))</f>
        <v>1</v>
      </c>
    </row>
    <row r="2" spans="1:45" x14ac:dyDescent="0.2">
      <c r="A2" s="1926"/>
      <c r="B2" s="1926"/>
      <c r="C2" s="1926"/>
      <c r="D2" s="1926"/>
      <c r="E2" s="1926"/>
      <c r="F2" s="1926"/>
      <c r="G2" s="1926"/>
      <c r="H2" s="1926"/>
      <c r="I2" s="1930"/>
      <c r="J2" s="1931"/>
      <c r="K2" s="1931"/>
      <c r="L2" s="1932"/>
      <c r="M2" s="1915"/>
      <c r="N2" s="1546"/>
      <c r="O2" s="1917"/>
      <c r="P2" s="30"/>
      <c r="Q2" s="30"/>
      <c r="R2" s="30"/>
      <c r="S2" s="30"/>
      <c r="T2" s="30"/>
      <c r="U2" s="30"/>
      <c r="V2" s="30"/>
      <c r="W2" s="1898"/>
      <c r="X2" s="520" t="s">
        <v>5300</v>
      </c>
      <c r="Z2" s="1422"/>
      <c r="AG2" s="1419" t="s">
        <v>294</v>
      </c>
      <c r="AH2" s="1421" t="b">
        <f ca="1">OR(AD:AD)</f>
        <v>0</v>
      </c>
    </row>
    <row r="3" spans="1:45" x14ac:dyDescent="0.2">
      <c r="A3" s="1926"/>
      <c r="B3" s="1926"/>
      <c r="C3" s="1926"/>
      <c r="D3" s="1926"/>
      <c r="E3" s="1926"/>
      <c r="F3" s="1926"/>
      <c r="G3" s="1926"/>
      <c r="H3" s="1926"/>
      <c r="I3" s="1930"/>
      <c r="J3" s="1931"/>
      <c r="K3" s="1931"/>
      <c r="L3" s="1932"/>
      <c r="M3" s="1915"/>
      <c r="N3" s="1546"/>
      <c r="O3" s="1917"/>
      <c r="P3" s="30"/>
      <c r="Q3" s="30"/>
      <c r="R3" s="30"/>
      <c r="S3" s="30"/>
      <c r="T3" s="30"/>
      <c r="U3" s="30"/>
      <c r="V3" s="30"/>
      <c r="W3" s="1899"/>
      <c r="X3" s="520" t="s">
        <v>2889</v>
      </c>
      <c r="Z3" s="1422"/>
      <c r="AG3" s="1419"/>
    </row>
    <row r="4" spans="1:45" ht="15" customHeight="1" x14ac:dyDescent="0.2">
      <c r="A4" s="1790"/>
      <c r="C4" s="1457"/>
      <c r="D4" s="1457"/>
      <c r="E4" s="1457"/>
      <c r="G4" s="1790" t="s">
        <v>5301</v>
      </c>
      <c r="H4" s="1790" t="s">
        <v>3209</v>
      </c>
      <c r="I4" s="1933"/>
      <c r="J4" s="1934"/>
      <c r="K4" s="1934"/>
      <c r="L4" s="1935"/>
      <c r="M4" s="1915"/>
      <c r="N4" s="1546"/>
      <c r="O4" s="1917"/>
      <c r="P4" s="30"/>
      <c r="Q4" s="30"/>
      <c r="R4" s="30"/>
      <c r="S4" s="30"/>
      <c r="T4" s="30"/>
      <c r="U4" s="30"/>
      <c r="V4" s="30"/>
      <c r="W4" s="325" t="s">
        <v>2888</v>
      </c>
      <c r="X4" s="1458" t="str">
        <f>IF(verCity="","",IF(dstBatch, "Various ", verHomeAddress)&amp;", "&amp;verCity&amp;", "&amp;verState&amp;"  "&amp;verZIP)</f>
        <v>Various , Atlanta, Georgia  30311</v>
      </c>
      <c r="Z4" s="1468"/>
      <c r="AF4" s="1419"/>
      <c r="AG4" s="1419" t="s">
        <v>5302</v>
      </c>
      <c r="AH4" s="1419" t="b">
        <f ca="1">OR(AE:AE)</f>
        <v>1</v>
      </c>
    </row>
    <row r="5" spans="1:45" ht="15" customHeight="1" x14ac:dyDescent="0.2">
      <c r="A5" s="1790"/>
      <c r="C5" s="586"/>
      <c r="D5" s="586"/>
      <c r="E5" s="586"/>
      <c r="G5" s="1790"/>
      <c r="H5" s="1790"/>
      <c r="I5" s="1910" t="s">
        <v>3190</v>
      </c>
      <c r="J5" s="1910"/>
      <c r="K5" s="1910"/>
      <c r="L5" s="1469"/>
      <c r="M5" s="1918"/>
      <c r="N5" s="1919"/>
      <c r="O5" s="1920"/>
      <c r="P5" s="30"/>
      <c r="Q5" s="30"/>
      <c r="R5" s="30"/>
      <c r="S5" s="30"/>
      <c r="T5" s="30"/>
      <c r="U5" s="30"/>
      <c r="V5" s="30"/>
      <c r="W5" s="324" t="s">
        <v>130</v>
      </c>
      <c r="X5" s="1459" t="str">
        <f>IF('Overview (Verification)'!P12="","",'Overview (Verification)'!P12)</f>
        <v/>
      </c>
      <c r="Z5" s="1468"/>
      <c r="AF5" s="1419"/>
    </row>
    <row r="6" spans="1:45" ht="15" customHeight="1" x14ac:dyDescent="0.2">
      <c r="A6" s="1790"/>
      <c r="C6" s="586"/>
      <c r="D6" s="586"/>
      <c r="E6" s="586"/>
      <c r="G6" s="1790"/>
      <c r="H6" s="1790"/>
      <c r="I6" s="1667" t="s">
        <v>247</v>
      </c>
      <c r="J6" s="1667"/>
      <c r="K6" s="1668"/>
      <c r="L6" s="1665" t="s">
        <v>291</v>
      </c>
      <c r="M6" s="1665" t="s">
        <v>248</v>
      </c>
      <c r="N6" s="1905"/>
      <c r="O6" s="1905"/>
      <c r="P6" s="1435" t="s">
        <v>295</v>
      </c>
      <c r="Q6" s="1435" t="s">
        <v>296</v>
      </c>
      <c r="R6" s="1435" t="s">
        <v>249</v>
      </c>
      <c r="S6" s="1435" t="s">
        <v>250</v>
      </c>
      <c r="T6" s="1435" t="s">
        <v>0</v>
      </c>
      <c r="U6" s="1435" t="s">
        <v>341</v>
      </c>
      <c r="V6" s="1435"/>
      <c r="W6" s="1665" t="s">
        <v>251</v>
      </c>
      <c r="X6" s="1665" t="s">
        <v>3433</v>
      </c>
      <c r="Z6" s="1924" t="s">
        <v>3458</v>
      </c>
      <c r="AC6" s="1415" t="s">
        <v>288</v>
      </c>
      <c r="AD6" s="1415" t="s">
        <v>0</v>
      </c>
      <c r="AE6" s="1415" t="s">
        <v>287</v>
      </c>
      <c r="AF6" s="1419" t="s">
        <v>3225</v>
      </c>
      <c r="AG6" s="1419"/>
    </row>
    <row r="7" spans="1:45" x14ac:dyDescent="0.2">
      <c r="B7" s="1455"/>
      <c r="C7" s="1455"/>
      <c r="D7" s="1455"/>
      <c r="E7" s="1455"/>
      <c r="I7" s="1667"/>
      <c r="J7" s="1667"/>
      <c r="K7" s="1668"/>
      <c r="L7" s="1665"/>
      <c r="M7" s="1665"/>
      <c r="N7" s="1905"/>
      <c r="O7" s="1905"/>
      <c r="P7" s="1435"/>
      <c r="Q7" s="1435"/>
      <c r="R7" s="1435"/>
      <c r="S7" s="1435"/>
      <c r="T7" s="1435"/>
      <c r="U7" s="1435"/>
      <c r="V7" s="1435"/>
      <c r="W7" s="1665"/>
      <c r="X7" s="1665"/>
      <c r="Z7" s="1925"/>
      <c r="AC7" s="1415"/>
      <c r="AD7" s="1415"/>
      <c r="AE7" s="1415"/>
    </row>
    <row r="8" spans="1:45" ht="19" x14ac:dyDescent="0.25">
      <c r="A8" s="1420"/>
      <c r="B8" s="1420"/>
      <c r="C8" s="1420"/>
      <c r="D8" s="1420"/>
      <c r="E8" s="1420"/>
      <c r="F8" s="1420"/>
      <c r="G8" s="1421" t="s">
        <v>5303</v>
      </c>
      <c r="H8" s="1421" t="s">
        <v>3197</v>
      </c>
      <c r="I8" s="24" t="s">
        <v>5304</v>
      </c>
      <c r="J8" s="24"/>
      <c r="K8" s="24"/>
      <c r="L8" s="25"/>
      <c r="M8" s="26"/>
      <c r="N8" s="26"/>
      <c r="O8" s="26"/>
      <c r="P8" s="1421" t="s">
        <v>246</v>
      </c>
      <c r="Q8" s="1421" t="s">
        <v>246</v>
      </c>
      <c r="R8" s="1421" t="s">
        <v>246</v>
      </c>
      <c r="S8" s="1421" t="s">
        <v>246</v>
      </c>
      <c r="T8" s="1421" t="s">
        <v>246</v>
      </c>
      <c r="U8" s="1421" t="s">
        <v>246</v>
      </c>
      <c r="V8" s="1421" t="s">
        <v>246</v>
      </c>
      <c r="W8" s="25"/>
      <c r="X8" s="25"/>
      <c r="Y8" s="1415" t="s">
        <v>246</v>
      </c>
      <c r="Z8" s="719" t="s">
        <v>246</v>
      </c>
      <c r="AB8" s="1415" t="s">
        <v>246</v>
      </c>
      <c r="AC8" s="1415" t="s">
        <v>246</v>
      </c>
      <c r="AD8" s="1415" t="s">
        <v>246</v>
      </c>
      <c r="AE8" s="1415" t="s">
        <v>246</v>
      </c>
      <c r="AF8" s="1415" t="s">
        <v>246</v>
      </c>
      <c r="AG8" s="1415" t="s">
        <v>246</v>
      </c>
      <c r="AH8" s="1415" t="s">
        <v>246</v>
      </c>
      <c r="AI8" s="1415" t="s">
        <v>246</v>
      </c>
      <c r="AJ8" s="1415" t="s">
        <v>246</v>
      </c>
      <c r="AK8" s="1415" t="s">
        <v>246</v>
      </c>
      <c r="AL8" s="1415" t="s">
        <v>246</v>
      </c>
      <c r="AM8" s="1415" t="s">
        <v>246</v>
      </c>
      <c r="AN8" s="1415" t="s">
        <v>246</v>
      </c>
      <c r="AO8" s="1415" t="s">
        <v>246</v>
      </c>
      <c r="AP8" s="1415" t="s">
        <v>246</v>
      </c>
      <c r="AQ8" s="1415" t="s">
        <v>246</v>
      </c>
      <c r="AR8" s="1415" t="s">
        <v>246</v>
      </c>
      <c r="AS8" s="1415" t="s">
        <v>246</v>
      </c>
    </row>
    <row r="9" spans="1:45" x14ac:dyDescent="0.2">
      <c r="B9" s="92" t="s">
        <v>5305</v>
      </c>
      <c r="C9" s="858"/>
      <c r="G9" s="1421" t="s">
        <v>5303</v>
      </c>
      <c r="I9" s="89" t="s">
        <v>5305</v>
      </c>
      <c r="J9" s="873"/>
      <c r="K9" s="873"/>
      <c r="L9" s="1807" t="s">
        <v>5306</v>
      </c>
    </row>
    <row r="10" spans="1:45" ht="16" thickBot="1" x14ac:dyDescent="0.25">
      <c r="B10" s="92" t="s">
        <v>5305</v>
      </c>
      <c r="C10" s="858"/>
      <c r="G10" s="1421" t="s">
        <v>5303</v>
      </c>
      <c r="I10" s="98"/>
      <c r="J10" s="1069"/>
      <c r="K10" s="1069"/>
      <c r="L10" s="1738"/>
      <c r="M10" s="100"/>
      <c r="N10" s="100"/>
      <c r="O10" s="100"/>
      <c r="P10" s="100"/>
      <c r="Q10" s="100"/>
      <c r="R10" s="100"/>
      <c r="S10" s="100"/>
      <c r="T10" s="100"/>
      <c r="U10" s="100"/>
      <c r="V10" s="100"/>
      <c r="W10" s="100"/>
      <c r="X10" s="100"/>
    </row>
    <row r="11" spans="1:45" ht="16" thickTop="1" x14ac:dyDescent="0.2">
      <c r="B11" s="92" t="s">
        <v>5307</v>
      </c>
      <c r="C11" s="858"/>
      <c r="G11" s="1421" t="s">
        <v>5303</v>
      </c>
      <c r="I11" s="115" t="s">
        <v>5307</v>
      </c>
      <c r="J11" s="1070"/>
      <c r="K11" s="1070"/>
      <c r="L11" s="1740" t="s">
        <v>5308</v>
      </c>
      <c r="M11" s="106"/>
      <c r="N11" s="106"/>
      <c r="O11" s="106"/>
      <c r="P11" s="106"/>
      <c r="Q11" s="106"/>
      <c r="R11" s="106"/>
      <c r="S11" s="106"/>
      <c r="T11" s="106"/>
      <c r="U11" s="106"/>
      <c r="V11" s="106"/>
      <c r="W11" s="106"/>
      <c r="X11" s="106"/>
    </row>
    <row r="12" spans="1:45" ht="16" thickBot="1" x14ac:dyDescent="0.25">
      <c r="B12" s="92" t="s">
        <v>5307</v>
      </c>
      <c r="C12" s="858"/>
      <c r="G12" s="1421" t="s">
        <v>5303</v>
      </c>
      <c r="I12" s="98"/>
      <c r="J12" s="1069"/>
      <c r="K12" s="1069"/>
      <c r="L12" s="1738"/>
      <c r="M12" s="100"/>
      <c r="N12" s="100"/>
      <c r="O12" s="100"/>
      <c r="P12" s="100"/>
      <c r="Q12" s="100"/>
      <c r="R12" s="100"/>
      <c r="S12" s="100"/>
      <c r="T12" s="100"/>
      <c r="U12" s="100"/>
      <c r="V12" s="100"/>
      <c r="W12" s="100"/>
      <c r="X12" s="100"/>
    </row>
    <row r="13" spans="1:45" ht="16" thickTop="1" x14ac:dyDescent="0.2">
      <c r="B13" s="92" t="s">
        <v>5309</v>
      </c>
      <c r="C13" s="858"/>
      <c r="G13" s="1421" t="s">
        <v>5303</v>
      </c>
      <c r="H13" s="1421" t="s">
        <v>3198</v>
      </c>
      <c r="I13" s="89" t="s">
        <v>5309</v>
      </c>
      <c r="J13" s="873"/>
      <c r="K13" s="873"/>
      <c r="L13" s="1807" t="s">
        <v>5310</v>
      </c>
      <c r="M13" s="1714" t="str">
        <f>IF(R13,"Mandatory","N/A")</f>
        <v>Mandatory</v>
      </c>
      <c r="P13" s="1421" t="b">
        <v>1</v>
      </c>
      <c r="Q13" s="1421" t="b">
        <v>0</v>
      </c>
      <c r="R13" s="1421" t="b">
        <v>1</v>
      </c>
      <c r="S13" s="1421" t="b">
        <v>1</v>
      </c>
      <c r="T13" s="1421" t="b">
        <v>0</v>
      </c>
      <c r="U13" s="1421" t="str">
        <f>SUBSTITUTE(SUBSTITUTE(SUBSTITUTE("dd"&amp;$B13&amp;$C13&amp;$D13&amp;$E13&amp;$F13,".","_"),"(","_"),")","")</f>
        <v>dd13_102_1</v>
      </c>
      <c r="W13" s="12"/>
      <c r="AC13" s="1421" t="b">
        <f>OR(AD13:AE13)</f>
        <v>1</v>
      </c>
      <c r="AD13" s="1421" t="b">
        <v>0</v>
      </c>
      <c r="AE13" s="1421" t="b">
        <f>AND(R13,OR(W13="Not Met",W13=""))</f>
        <v>1</v>
      </c>
      <c r="AF13" s="1421" t="b">
        <f>AND(AE13,NOT(Q13))</f>
        <v>1</v>
      </c>
      <c r="AP13" s="1421" t="str">
        <f>SUBSTITUTE(SUBSTITUTE(SUBSTITUTE("vcc"&amp;$B13&amp;$C13&amp;$D13&amp;$E13,".","_"),"(","_"),")","")</f>
        <v>vcc13_102_1</v>
      </c>
      <c r="AQ13" s="1421" t="str">
        <f>IF(LEN(W13)=0,"",W13)</f>
        <v/>
      </c>
    </row>
    <row r="14" spans="1:45" x14ac:dyDescent="0.2">
      <c r="B14" s="92" t="s">
        <v>5309</v>
      </c>
      <c r="C14" s="858"/>
      <c r="G14" s="1421" t="s">
        <v>5303</v>
      </c>
      <c r="H14" s="1421" t="s">
        <v>3198</v>
      </c>
      <c r="I14" s="89"/>
      <c r="J14" s="873"/>
      <c r="K14" s="873"/>
      <c r="L14" s="1807"/>
      <c r="M14" s="1714"/>
      <c r="R14" s="1220" t="s">
        <v>4471</v>
      </c>
      <c r="S14" s="1">
        <f ca="1">IFERROR(MATCH(W13,INDIRECT(U13),0),0)</f>
        <v>0</v>
      </c>
    </row>
    <row r="15" spans="1:45" x14ac:dyDescent="0.2">
      <c r="B15" s="92" t="s">
        <v>5309</v>
      </c>
      <c r="C15" s="858"/>
      <c r="G15" s="1421" t="s">
        <v>5303</v>
      </c>
      <c r="H15" s="1421" t="s">
        <v>3198</v>
      </c>
      <c r="I15" s="89"/>
      <c r="J15" s="873"/>
      <c r="K15" s="873"/>
      <c r="L15" s="1807"/>
      <c r="M15" s="1714"/>
    </row>
    <row r="16" spans="1:45" x14ac:dyDescent="0.2">
      <c r="B16" s="92" t="s">
        <v>5311</v>
      </c>
      <c r="C16" s="858"/>
      <c r="G16" s="1421" t="s">
        <v>5303</v>
      </c>
      <c r="H16" s="1421" t="s">
        <v>3198</v>
      </c>
      <c r="I16" s="89" t="s">
        <v>5311</v>
      </c>
      <c r="J16" s="873"/>
      <c r="K16" s="873"/>
      <c r="L16" s="1807" t="s">
        <v>5312</v>
      </c>
    </row>
    <row r="17" spans="2:45" x14ac:dyDescent="0.2">
      <c r="B17" s="92" t="s">
        <v>5311</v>
      </c>
      <c r="C17" s="858"/>
      <c r="G17" s="1421" t="s">
        <v>5303</v>
      </c>
      <c r="H17" s="1421" t="s">
        <v>3198</v>
      </c>
      <c r="I17" s="169"/>
      <c r="J17" s="1072"/>
      <c r="K17" s="1072"/>
      <c r="L17" s="1688"/>
    </row>
    <row r="18" spans="2:45" x14ac:dyDescent="0.2">
      <c r="B18" s="92" t="s">
        <v>5313</v>
      </c>
      <c r="C18" s="858"/>
      <c r="G18" s="1421" t="s">
        <v>5303</v>
      </c>
      <c r="H18" s="1421" t="s">
        <v>3198</v>
      </c>
      <c r="I18" s="860" t="s">
        <v>5313</v>
      </c>
      <c r="J18" s="1073"/>
      <c r="K18" s="1073"/>
      <c r="L18" s="1686" t="s">
        <v>5314</v>
      </c>
    </row>
    <row r="19" spans="2:45" x14ac:dyDescent="0.2">
      <c r="B19" s="92" t="s">
        <v>5313</v>
      </c>
      <c r="C19" s="858"/>
      <c r="G19" s="1421" t="s">
        <v>5303</v>
      </c>
      <c r="H19" s="1421" t="s">
        <v>3198</v>
      </c>
      <c r="I19" s="89"/>
      <c r="J19" s="873"/>
      <c r="K19" s="873"/>
      <c r="L19" s="1807"/>
    </row>
    <row r="20" spans="2:45" x14ac:dyDescent="0.2">
      <c r="B20" s="92" t="s">
        <v>5313</v>
      </c>
      <c r="C20" s="858"/>
      <c r="G20" s="1421" t="s">
        <v>5303</v>
      </c>
      <c r="H20" s="1421" t="s">
        <v>3198</v>
      </c>
      <c r="I20" s="89"/>
      <c r="J20" s="873"/>
      <c r="K20" s="873"/>
      <c r="L20" s="1807"/>
    </row>
    <row r="21" spans="2:45" x14ac:dyDescent="0.2">
      <c r="B21" s="92" t="s">
        <v>5313</v>
      </c>
      <c r="C21" s="858"/>
      <c r="G21" s="1421" t="s">
        <v>5303</v>
      </c>
      <c r="H21" s="1421" t="s">
        <v>3198</v>
      </c>
      <c r="I21" s="89"/>
      <c r="J21" s="873"/>
      <c r="K21" s="873"/>
      <c r="L21" s="1807"/>
    </row>
    <row r="22" spans="2:45" x14ac:dyDescent="0.2">
      <c r="B22" s="92" t="s">
        <v>5313</v>
      </c>
      <c r="C22" s="858"/>
      <c r="G22" s="1421" t="s">
        <v>5303</v>
      </c>
      <c r="H22" s="1421" t="s">
        <v>3198</v>
      </c>
      <c r="I22" s="169"/>
      <c r="J22" s="1072"/>
      <c r="K22" s="1072"/>
      <c r="L22" s="1688"/>
    </row>
    <row r="23" spans="2:45" x14ac:dyDescent="0.2">
      <c r="B23" s="92" t="s">
        <v>5315</v>
      </c>
      <c r="C23" s="858"/>
      <c r="G23" s="1421" t="s">
        <v>5303</v>
      </c>
      <c r="H23" s="1421" t="s">
        <v>3198</v>
      </c>
      <c r="I23" s="860" t="s">
        <v>5315</v>
      </c>
      <c r="J23" s="1073"/>
      <c r="K23" s="1073"/>
      <c r="L23" s="1686" t="s">
        <v>5316</v>
      </c>
    </row>
    <row r="24" spans="2:45" x14ac:dyDescent="0.2">
      <c r="B24" s="92" t="s">
        <v>5315</v>
      </c>
      <c r="C24" s="858"/>
      <c r="G24" s="1421" t="s">
        <v>5303</v>
      </c>
      <c r="H24" s="1421" t="s">
        <v>3198</v>
      </c>
      <c r="I24" s="89"/>
      <c r="J24" s="873"/>
      <c r="K24" s="873"/>
      <c r="L24" s="1807"/>
    </row>
    <row r="25" spans="2:45" ht="16" thickBot="1" x14ac:dyDescent="0.25">
      <c r="B25" s="92" t="s">
        <v>5315</v>
      </c>
      <c r="C25" s="858"/>
      <c r="G25" s="1421" t="s">
        <v>5303</v>
      </c>
      <c r="H25" s="1421" t="s">
        <v>3198</v>
      </c>
      <c r="I25" s="98"/>
      <c r="J25" s="1069"/>
      <c r="K25" s="1069"/>
      <c r="L25" s="1738"/>
      <c r="M25" s="100"/>
      <c r="N25" s="100"/>
      <c r="O25" s="100"/>
      <c r="P25" s="100"/>
      <c r="Q25" s="100"/>
      <c r="R25" s="100"/>
      <c r="S25" s="100"/>
      <c r="T25" s="100"/>
      <c r="U25" s="100"/>
      <c r="V25" s="100"/>
      <c r="W25" s="100"/>
      <c r="X25" s="100"/>
    </row>
    <row r="26" spans="2:45" ht="16" thickTop="1" x14ac:dyDescent="0.2">
      <c r="B26" s="92" t="s">
        <v>5317</v>
      </c>
      <c r="C26" s="858"/>
      <c r="G26" s="1421" t="s">
        <v>3199</v>
      </c>
      <c r="H26" s="1421" t="s">
        <v>3197</v>
      </c>
      <c r="I26" s="89" t="s">
        <v>5317</v>
      </c>
      <c r="J26" s="873"/>
      <c r="K26" s="873"/>
      <c r="L26" s="1807" t="s">
        <v>5318</v>
      </c>
    </row>
    <row r="27" spans="2:45" x14ac:dyDescent="0.2">
      <c r="B27" s="92" t="s">
        <v>5317</v>
      </c>
      <c r="C27" s="858"/>
      <c r="G27" s="1421" t="s">
        <v>3199</v>
      </c>
      <c r="H27" s="1421" t="s">
        <v>3197</v>
      </c>
      <c r="I27" s="89"/>
      <c r="J27" s="873"/>
      <c r="K27" s="873"/>
      <c r="L27" s="1807"/>
    </row>
    <row r="28" spans="2:45" x14ac:dyDescent="0.2">
      <c r="B28" s="92" t="s">
        <v>5319</v>
      </c>
      <c r="C28" s="858"/>
      <c r="G28" s="1421" t="s">
        <v>3199</v>
      </c>
      <c r="H28" s="1421" t="s">
        <v>3197</v>
      </c>
      <c r="I28" s="89" t="s">
        <v>5319</v>
      </c>
      <c r="J28" s="873"/>
      <c r="K28" s="873"/>
      <c r="L28" s="1807" t="s">
        <v>5320</v>
      </c>
      <c r="M28" s="1714" t="str">
        <f ca="1">IF(R28,"Mandatory","N/A")</f>
        <v>N/A</v>
      </c>
      <c r="P28" s="1421" t="b">
        <v>1</v>
      </c>
      <c r="Q28" s="1421" t="b">
        <v>1</v>
      </c>
      <c r="R28" s="1421" t="b">
        <f ca="1">S28</f>
        <v>0</v>
      </c>
      <c r="S28" s="1421" t="b">
        <f ca="1">S14=1</f>
        <v>0</v>
      </c>
      <c r="T28" s="1421" t="b">
        <f ca="1">AND(NOT(S28),W28=TRUE)</f>
        <v>0</v>
      </c>
      <c r="W28" s="27"/>
      <c r="X28" s="1600"/>
      <c r="AC28" s="1421" t="b">
        <f ca="1">OR(AD28:AE28)</f>
        <v>0</v>
      </c>
      <c r="AD28" s="1421" t="b">
        <f ca="1">T28</f>
        <v>0</v>
      </c>
      <c r="AE28" s="1421" t="b">
        <f ca="1">AND(R28,NOT(W28))</f>
        <v>0</v>
      </c>
      <c r="AP28" s="1421" t="str">
        <f>SUBSTITUTE(SUBSTITUTE(SUBSTITUTE("vcc"&amp;$B28&amp;$C28&amp;$D28&amp;$E28,".","_"),"(","_"),")","")</f>
        <v>vcc13_103_1_1</v>
      </c>
      <c r="AQ28" s="1421" t="str">
        <f>IF(LEN(W28)=0,"",W28)</f>
        <v/>
      </c>
      <c r="AR28" s="1421" t="str">
        <f>SUBSTITUTE(SUBSTITUTE(SUBSTITUTE("vcn"&amp;$B28&amp;$C28&amp;$D28&amp;$E28,".","_"),"(","_"),")","")</f>
        <v>vcn13_103_1_1</v>
      </c>
      <c r="AS28" s="1421" t="str">
        <f>IF(LEN(X28)=0,"",X28)</f>
        <v/>
      </c>
    </row>
    <row r="29" spans="2:45" x14ac:dyDescent="0.2">
      <c r="B29" s="92" t="s">
        <v>5319</v>
      </c>
      <c r="C29" s="858"/>
      <c r="G29" s="1421" t="s">
        <v>3199</v>
      </c>
      <c r="H29" s="1421" t="s">
        <v>3197</v>
      </c>
      <c r="I29" s="89"/>
      <c r="J29" s="873"/>
      <c r="K29" s="873"/>
      <c r="L29" s="1807"/>
      <c r="M29" s="1714"/>
      <c r="X29" s="1600"/>
    </row>
    <row r="30" spans="2:45" x14ac:dyDescent="0.2">
      <c r="B30" s="92" t="s">
        <v>5319</v>
      </c>
      <c r="C30" s="858"/>
      <c r="G30" s="1421" t="s">
        <v>3199</v>
      </c>
      <c r="H30" s="1421" t="s">
        <v>3197</v>
      </c>
      <c r="I30" s="89"/>
      <c r="J30" s="873"/>
      <c r="K30" s="873"/>
      <c r="L30" s="1470" t="s">
        <v>5321</v>
      </c>
    </row>
    <row r="31" spans="2:45" x14ac:dyDescent="0.2">
      <c r="B31" s="92" t="s">
        <v>5319</v>
      </c>
      <c r="C31" s="858" t="s">
        <v>254</v>
      </c>
      <c r="G31" s="1421" t="s">
        <v>3199</v>
      </c>
      <c r="H31" s="1421" t="s">
        <v>3197</v>
      </c>
      <c r="I31" s="89"/>
      <c r="J31" s="873" t="s">
        <v>254</v>
      </c>
      <c r="K31" s="873"/>
      <c r="L31" s="1808" t="s">
        <v>5322</v>
      </c>
      <c r="M31" s="1714" t="str">
        <f ca="1">IF(R31,"Mandatory","N/A")</f>
        <v>N/A</v>
      </c>
      <c r="P31" s="1421" t="b">
        <v>1</v>
      </c>
      <c r="Q31" s="1421" t="b">
        <v>1</v>
      </c>
      <c r="R31" s="1421" t="b">
        <f ca="1">S31</f>
        <v>0</v>
      </c>
      <c r="S31" s="1421" t="b">
        <f ca="1">S14=1</f>
        <v>0</v>
      </c>
      <c r="T31" s="1421" t="b">
        <v>0</v>
      </c>
      <c r="W31" s="27"/>
      <c r="X31" s="1600"/>
      <c r="AC31" s="1421" t="b">
        <f ca="1">OR(AD31:AE31)</f>
        <v>0</v>
      </c>
      <c r="AD31" s="1421" t="b">
        <v>0</v>
      </c>
      <c r="AE31" s="1421" t="b">
        <f ca="1">AND(R31,NOT(W31))</f>
        <v>0</v>
      </c>
      <c r="AP31" s="1421" t="str">
        <f>SUBSTITUTE(SUBSTITUTE(SUBSTITUTE("vcc"&amp;$B31&amp;$C31&amp;$D31&amp;$E31,".","_"),"(","_"),")","")</f>
        <v>vcc13_103_1_1_1</v>
      </c>
      <c r="AQ31" s="1421" t="str">
        <f>IF(LEN(W31)=0,"",W31)</f>
        <v/>
      </c>
      <c r="AR31" s="1421" t="str">
        <f>SUBSTITUTE(SUBSTITUTE(SUBSTITUTE("vcn"&amp;$B31&amp;$C31&amp;$D31&amp;$E31,".","_"),"(","_"),")","")</f>
        <v>vcn13_103_1_1_1</v>
      </c>
      <c r="AS31" s="1421" t="str">
        <f>IF(LEN(X31)=0,"",X31)</f>
        <v/>
      </c>
    </row>
    <row r="32" spans="2:45" x14ac:dyDescent="0.2">
      <c r="B32" s="92" t="s">
        <v>5319</v>
      </c>
      <c r="C32" s="858" t="s">
        <v>254</v>
      </c>
      <c r="G32" s="1421" t="s">
        <v>3199</v>
      </c>
      <c r="H32" s="1421" t="s">
        <v>3197</v>
      </c>
      <c r="I32" s="89"/>
      <c r="J32" s="1072"/>
      <c r="K32" s="1072"/>
      <c r="L32" s="1639"/>
      <c r="M32" s="1698"/>
      <c r="N32" s="173"/>
      <c r="O32" s="173"/>
      <c r="X32" s="1600"/>
    </row>
    <row r="33" spans="2:45" x14ac:dyDescent="0.2">
      <c r="B33" s="92" t="s">
        <v>5319</v>
      </c>
      <c r="C33" s="858" t="s">
        <v>255</v>
      </c>
      <c r="G33" s="1421" t="s">
        <v>3199</v>
      </c>
      <c r="H33" s="1421" t="s">
        <v>3197</v>
      </c>
      <c r="I33" s="89"/>
      <c r="J33" s="1073" t="s">
        <v>255</v>
      </c>
      <c r="K33" s="1073"/>
      <c r="L33" s="1633" t="s">
        <v>5323</v>
      </c>
      <c r="M33" s="1732" t="str">
        <f ca="1">IF(R33,"Mandatory","N/A")</f>
        <v>N/A</v>
      </c>
      <c r="N33" s="195"/>
      <c r="O33" s="195"/>
      <c r="P33" s="1421" t="b">
        <v>1</v>
      </c>
      <c r="Q33" s="1421" t="b">
        <v>1</v>
      </c>
      <c r="R33" s="1421" t="b">
        <f ca="1">S33</f>
        <v>0</v>
      </c>
      <c r="S33" s="1421" t="b">
        <f ca="1">S14=1</f>
        <v>0</v>
      </c>
      <c r="T33" s="1421" t="b">
        <v>0</v>
      </c>
      <c r="W33" s="27"/>
      <c r="X33" s="1600"/>
      <c r="AC33" s="1421" t="b">
        <f ca="1">OR(AD33:AE33)</f>
        <v>0</v>
      </c>
      <c r="AD33" s="1421" t="b">
        <v>0</v>
      </c>
      <c r="AE33" s="1421" t="b">
        <f ca="1">AND(R33,NOT(W33))</f>
        <v>0</v>
      </c>
      <c r="AP33" s="1421" t="str">
        <f>SUBSTITUTE(SUBSTITUTE(SUBSTITUTE("vcc"&amp;$B33&amp;$C33&amp;$D33&amp;$E33,".","_"),"(","_"),")","")</f>
        <v>vcc13_103_1_1_2</v>
      </c>
      <c r="AQ33" s="1421" t="str">
        <f>IF(LEN(W33)=0,"",W33)</f>
        <v/>
      </c>
      <c r="AR33" s="1421" t="str">
        <f>SUBSTITUTE(SUBSTITUTE(SUBSTITUTE("vcn"&amp;$B33&amp;$C33&amp;$D33&amp;$E33,".","_"),"(","_"),")","")</f>
        <v>vcn13_103_1_1_2</v>
      </c>
      <c r="AS33" s="1421" t="str">
        <f>IF(LEN(X33)=0,"",X33)</f>
        <v/>
      </c>
    </row>
    <row r="34" spans="2:45" x14ac:dyDescent="0.2">
      <c r="B34" s="92" t="s">
        <v>5319</v>
      </c>
      <c r="C34" s="858" t="s">
        <v>255</v>
      </c>
      <c r="G34" s="1421" t="s">
        <v>3199</v>
      </c>
      <c r="H34" s="1421" t="s">
        <v>3197</v>
      </c>
      <c r="I34" s="89"/>
      <c r="J34" s="1072"/>
      <c r="K34" s="1072"/>
      <c r="L34" s="1639"/>
      <c r="M34" s="1698"/>
      <c r="N34" s="173"/>
      <c r="O34" s="173"/>
      <c r="X34" s="1600"/>
    </row>
    <row r="35" spans="2:45" x14ac:dyDescent="0.2">
      <c r="B35" s="92" t="s">
        <v>5319</v>
      </c>
      <c r="C35" s="858" t="s">
        <v>256</v>
      </c>
      <c r="G35" s="1421" t="s">
        <v>3199</v>
      </c>
      <c r="H35" s="1421" t="s">
        <v>3197</v>
      </c>
      <c r="I35" s="89"/>
      <c r="J35" s="873" t="s">
        <v>256</v>
      </c>
      <c r="K35" s="873"/>
      <c r="L35" s="1808" t="s">
        <v>5324</v>
      </c>
      <c r="M35" s="1714" t="str">
        <f ca="1">IF(R35,"Mandatory","N/A")</f>
        <v>N/A</v>
      </c>
      <c r="P35" s="1421" t="b">
        <v>1</v>
      </c>
      <c r="Q35" s="1421" t="b">
        <v>1</v>
      </c>
      <c r="R35" s="1421" t="b">
        <f ca="1">S35</f>
        <v>0</v>
      </c>
      <c r="S35" s="1421" t="b">
        <f ca="1">S14=1</f>
        <v>0</v>
      </c>
      <c r="T35" s="1421" t="b">
        <v>0</v>
      </c>
      <c r="W35" s="27"/>
      <c r="X35" s="1600"/>
      <c r="AC35" s="1421" t="b">
        <f ca="1">OR(AD35:AE35)</f>
        <v>0</v>
      </c>
      <c r="AD35" s="1421" t="b">
        <v>0</v>
      </c>
      <c r="AE35" s="1421" t="b">
        <f ca="1">AND(R35,NOT(W35))</f>
        <v>0</v>
      </c>
      <c r="AP35" s="1421" t="str">
        <f>SUBSTITUTE(SUBSTITUTE(SUBSTITUTE("vcc"&amp;$B35&amp;$C35&amp;$D35&amp;$E35,".","_"),"(","_"),")","")</f>
        <v>vcc13_103_1_1_3</v>
      </c>
      <c r="AQ35" s="1421" t="str">
        <f>IF(LEN(W35)=0,"",W35)</f>
        <v/>
      </c>
      <c r="AR35" s="1421" t="str">
        <f>SUBSTITUTE(SUBSTITUTE(SUBSTITUTE("vcn"&amp;$B35&amp;$C35&amp;$D35&amp;$E35,".","_"),"(","_"),")","")</f>
        <v>vcn13_103_1_1_3</v>
      </c>
      <c r="AS35" s="1421" t="str">
        <f>IF(LEN(X35)=0,"",X35)</f>
        <v/>
      </c>
    </row>
    <row r="36" spans="2:45" x14ac:dyDescent="0.2">
      <c r="B36" s="92" t="s">
        <v>5319</v>
      </c>
      <c r="C36" s="858" t="s">
        <v>256</v>
      </c>
      <c r="G36" s="1421" t="s">
        <v>3199</v>
      </c>
      <c r="H36" s="1421" t="s">
        <v>3197</v>
      </c>
      <c r="I36" s="89"/>
      <c r="J36" s="873"/>
      <c r="K36" s="873"/>
      <c r="L36" s="1808"/>
      <c r="M36" s="1714"/>
      <c r="X36" s="1600"/>
    </row>
    <row r="37" spans="2:45" x14ac:dyDescent="0.2">
      <c r="B37" s="92" t="s">
        <v>5319</v>
      </c>
      <c r="C37" s="858" t="s">
        <v>256</v>
      </c>
      <c r="G37" s="1421" t="s">
        <v>3199</v>
      </c>
      <c r="H37" s="1421" t="s">
        <v>3197</v>
      </c>
      <c r="I37" s="169"/>
      <c r="J37" s="1072"/>
      <c r="K37" s="1072"/>
      <c r="L37" s="1639"/>
      <c r="M37" s="1698"/>
      <c r="N37" s="173"/>
      <c r="O37" s="173"/>
      <c r="X37" s="1600"/>
    </row>
    <row r="38" spans="2:45" x14ac:dyDescent="0.2">
      <c r="B38" s="92" t="s">
        <v>5325</v>
      </c>
      <c r="C38" s="858"/>
      <c r="G38" s="1421" t="s">
        <v>3199</v>
      </c>
      <c r="H38" s="1421" t="s">
        <v>3197</v>
      </c>
      <c r="I38" s="89" t="s">
        <v>5325</v>
      </c>
      <c r="J38" s="873"/>
      <c r="K38" s="873"/>
      <c r="L38" s="1807" t="s">
        <v>5326</v>
      </c>
      <c r="M38" s="1714" t="str">
        <f ca="1">IF(R38,"Mandatory","N/A")</f>
        <v>N/A</v>
      </c>
      <c r="P38" s="1421" t="b">
        <v>1</v>
      </c>
      <c r="Q38" s="1421" t="b">
        <v>1</v>
      </c>
      <c r="R38" s="1421" t="b">
        <f ca="1">S38</f>
        <v>0</v>
      </c>
      <c r="S38" s="1421" t="b">
        <f ca="1">S14=1</f>
        <v>0</v>
      </c>
      <c r="T38" s="1421" t="b">
        <f ca="1">AND(NOT(S38),W38=TRUE)</f>
        <v>0</v>
      </c>
      <c r="W38" s="27"/>
      <c r="X38" s="1600"/>
      <c r="AC38" s="1421" t="b">
        <f ca="1">OR(AD38:AE38)</f>
        <v>0</v>
      </c>
      <c r="AD38" s="1421" t="b">
        <f ca="1">T38</f>
        <v>0</v>
      </c>
      <c r="AE38" s="1421" t="b">
        <f ca="1">AND(R38,NOT(W38))</f>
        <v>0</v>
      </c>
      <c r="AP38" s="1421" t="str">
        <f>SUBSTITUTE(SUBSTITUTE(SUBSTITUTE("vcc"&amp;$B38&amp;$C38&amp;$D38&amp;$E38,".","_"),"(","_"),")","")</f>
        <v>vcc13_103_1_2</v>
      </c>
      <c r="AQ38" s="1421" t="str">
        <f>IF(LEN(W38)=0,"",W38)</f>
        <v/>
      </c>
      <c r="AR38" s="1421" t="str">
        <f>SUBSTITUTE(SUBSTITUTE(SUBSTITUTE("vcn"&amp;$B38&amp;$C38&amp;$D38&amp;$E38,".","_"),"(","_"),")","")</f>
        <v>vcn13_103_1_2</v>
      </c>
      <c r="AS38" s="1421" t="str">
        <f>IF(LEN(X38)=0,"",X38)</f>
        <v/>
      </c>
    </row>
    <row r="39" spans="2:45" x14ac:dyDescent="0.2">
      <c r="B39" s="92" t="s">
        <v>5325</v>
      </c>
      <c r="C39" s="858"/>
      <c r="G39" s="1421" t="s">
        <v>3199</v>
      </c>
      <c r="H39" s="1421" t="s">
        <v>3197</v>
      </c>
      <c r="I39" s="89"/>
      <c r="J39" s="873"/>
      <c r="K39" s="873"/>
      <c r="L39" s="1807"/>
      <c r="M39" s="1714"/>
      <c r="X39" s="1600"/>
    </row>
    <row r="40" spans="2:45" ht="16" thickBot="1" x14ac:dyDescent="0.25">
      <c r="B40" s="92" t="s">
        <v>5325</v>
      </c>
      <c r="C40" s="858"/>
      <c r="G40" s="1421" t="s">
        <v>3199</v>
      </c>
      <c r="H40" s="1421" t="s">
        <v>3197</v>
      </c>
      <c r="I40" s="98"/>
      <c r="J40" s="1069"/>
      <c r="K40" s="1069"/>
      <c r="L40" s="1738"/>
      <c r="M40" s="1726"/>
      <c r="N40" s="100"/>
      <c r="O40" s="100"/>
      <c r="P40" s="100"/>
      <c r="Q40" s="100"/>
      <c r="R40" s="100"/>
      <c r="S40" s="100"/>
      <c r="T40" s="100"/>
      <c r="U40" s="100"/>
      <c r="V40" s="100"/>
      <c r="W40" s="100"/>
      <c r="X40" s="1602"/>
    </row>
    <row r="41" spans="2:45" ht="16" thickTop="1" x14ac:dyDescent="0.2">
      <c r="B41" s="92" t="s">
        <v>5327</v>
      </c>
      <c r="C41" s="858"/>
      <c r="G41" s="1421" t="s">
        <v>3199</v>
      </c>
      <c r="H41" s="1421" t="s">
        <v>3197</v>
      </c>
      <c r="I41" s="89" t="s">
        <v>5327</v>
      </c>
      <c r="J41" s="873"/>
      <c r="K41" s="873"/>
      <c r="L41" s="1470" t="s">
        <v>5328</v>
      </c>
    </row>
    <row r="42" spans="2:45" x14ac:dyDescent="0.2">
      <c r="B42" s="92" t="s">
        <v>5329</v>
      </c>
      <c r="C42" s="858"/>
      <c r="G42" s="1421" t="s">
        <v>3199</v>
      </c>
      <c r="H42" s="1421" t="s">
        <v>3197</v>
      </c>
      <c r="I42" s="89" t="s">
        <v>5329</v>
      </c>
      <c r="J42" s="873"/>
      <c r="K42" s="873"/>
      <c r="L42" s="1470" t="s">
        <v>5330</v>
      </c>
    </row>
    <row r="43" spans="2:45" x14ac:dyDescent="0.2">
      <c r="B43" s="92" t="s">
        <v>5331</v>
      </c>
      <c r="C43" s="858"/>
      <c r="G43" s="1421" t="s">
        <v>3199</v>
      </c>
      <c r="H43" s="1421" t="s">
        <v>3198</v>
      </c>
      <c r="I43" s="89" t="s">
        <v>5331</v>
      </c>
      <c r="J43" s="873"/>
      <c r="K43" s="873"/>
      <c r="L43" s="1807" t="s">
        <v>5332</v>
      </c>
      <c r="M43" s="1714" t="str">
        <f ca="1">IF(R43,"Mandatory","N/A")</f>
        <v>N/A</v>
      </c>
      <c r="P43" s="1421" t="b">
        <v>1</v>
      </c>
      <c r="Q43" s="1421" t="b">
        <v>0</v>
      </c>
      <c r="R43" s="1421" t="b">
        <f ca="1">S43</f>
        <v>0</v>
      </c>
      <c r="S43" s="1421" t="b">
        <f ca="1">S14=1</f>
        <v>0</v>
      </c>
      <c r="T43" s="1421" t="b">
        <f ca="1">AND(NOT(S43),LEN(W43)&gt;0)</f>
        <v>0</v>
      </c>
      <c r="U43" s="1421" t="str">
        <f>SUBSTITUTE(SUBSTITUTE(SUBSTITUTE("dd"&amp;$B43&amp;$C43&amp;$D43&amp;$E43&amp;$F43,".","_"),"(","_"),")","")</f>
        <v>dd13_104_1_1</v>
      </c>
      <c r="W43" s="12"/>
      <c r="X43" s="1600"/>
      <c r="AC43" s="1421" t="b">
        <f ca="1">OR(AD43:AE43)</f>
        <v>0</v>
      </c>
      <c r="AD43" s="1421" t="b">
        <v>0</v>
      </c>
      <c r="AE43" s="1421" t="b">
        <f ca="1">AND(R43,OR(W43="Not Met",W43=""))</f>
        <v>0</v>
      </c>
      <c r="AF43" s="1421" t="b">
        <f ca="1">AND(AE43,NOT(Q43))</f>
        <v>0</v>
      </c>
      <c r="AP43" s="1421" t="str">
        <f>SUBSTITUTE(SUBSTITUTE(SUBSTITUTE("vcc"&amp;$B43&amp;$C43&amp;$D43&amp;$E43,".","_"),"(","_"),")","")</f>
        <v>vcc13_104_1_1</v>
      </c>
      <c r="AQ43" s="1421" t="str">
        <f>IF(LEN(W43)=0,"",W43)</f>
        <v/>
      </c>
      <c r="AR43" s="1421" t="str">
        <f>SUBSTITUTE(SUBSTITUTE(SUBSTITUTE("vcn"&amp;$B43&amp;$C43&amp;$D43&amp;$E43,".","_"),"(","_"),")","")</f>
        <v>vcn13_104_1_1</v>
      </c>
      <c r="AS43" s="1421" t="str">
        <f>IF(LEN(X43)=0,"",X43)</f>
        <v/>
      </c>
    </row>
    <row r="44" spans="2:45" x14ac:dyDescent="0.2">
      <c r="B44" s="92" t="s">
        <v>5331</v>
      </c>
      <c r="C44" s="858"/>
      <c r="G44" s="1421" t="s">
        <v>3199</v>
      </c>
      <c r="H44" s="1421" t="s">
        <v>3198</v>
      </c>
      <c r="I44" s="89"/>
      <c r="J44" s="873"/>
      <c r="K44" s="873"/>
      <c r="L44" s="1807"/>
      <c r="M44" s="1714"/>
      <c r="X44" s="1600"/>
    </row>
    <row r="45" spans="2:45" x14ac:dyDescent="0.2">
      <c r="B45" s="92" t="s">
        <v>5331</v>
      </c>
      <c r="C45" s="858"/>
      <c r="G45" s="1421" t="s">
        <v>3199</v>
      </c>
      <c r="H45" s="1421" t="s">
        <v>3198</v>
      </c>
      <c r="I45" s="169"/>
      <c r="J45" s="1072"/>
      <c r="K45" s="1072"/>
      <c r="L45" s="1688"/>
      <c r="M45" s="1698"/>
      <c r="N45" s="173"/>
      <c r="O45" s="173"/>
      <c r="X45" s="1600"/>
    </row>
    <row r="46" spans="2:45" x14ac:dyDescent="0.2">
      <c r="B46" s="92" t="s">
        <v>5333</v>
      </c>
      <c r="C46" s="858"/>
      <c r="G46" s="1421" t="s">
        <v>3199</v>
      </c>
      <c r="H46" s="1421" t="s">
        <v>3198</v>
      </c>
      <c r="I46" s="860" t="s">
        <v>5333</v>
      </c>
      <c r="J46" s="1073"/>
      <c r="K46" s="1073"/>
      <c r="L46" s="1686" t="s">
        <v>5334</v>
      </c>
      <c r="M46" s="1732" t="str">
        <f ca="1">IF(R46,"Mandatory","N/A")</f>
        <v>N/A</v>
      </c>
      <c r="N46" s="195"/>
      <c r="O46" s="195"/>
      <c r="P46" s="1421" t="b">
        <v>1</v>
      </c>
      <c r="Q46" s="1421" t="b">
        <v>0</v>
      </c>
      <c r="R46" s="1421" t="b">
        <f ca="1">S46</f>
        <v>0</v>
      </c>
      <c r="S46" s="1421" t="b">
        <f ca="1">S14=1</f>
        <v>0</v>
      </c>
      <c r="T46" s="1421" t="b">
        <f ca="1">AND(NOT(S46),LEN(W46)&gt;0)</f>
        <v>0</v>
      </c>
      <c r="U46" s="1421" t="str">
        <f>SUBSTITUTE(SUBSTITUTE(SUBSTITUTE("dd"&amp;$B46&amp;$C46&amp;$D46&amp;$E46&amp;$F46,".","_"),"(","_"),")","")</f>
        <v>dd13_104_1_2</v>
      </c>
      <c r="W46" s="12"/>
      <c r="X46" s="1600"/>
      <c r="AC46" s="1421" t="b">
        <f ca="1">OR(AD46:AE46)</f>
        <v>0</v>
      </c>
      <c r="AD46" s="1421" t="b">
        <v>0</v>
      </c>
      <c r="AE46" s="1421" t="b">
        <f ca="1">AND(R46,OR(W46="Not Met",W46=""))</f>
        <v>0</v>
      </c>
      <c r="AF46" s="1421" t="b">
        <f ca="1">AND(AE46,NOT(Q46))</f>
        <v>0</v>
      </c>
      <c r="AP46" s="1421" t="str">
        <f>SUBSTITUTE(SUBSTITUTE(SUBSTITUTE("vcc"&amp;$B46&amp;$C46&amp;$D46&amp;$E46,".","_"),"(","_"),")","")</f>
        <v>vcc13_104_1_2</v>
      </c>
      <c r="AQ46" s="1421" t="str">
        <f>IF(LEN(W46)=0,"",W46)</f>
        <v/>
      </c>
      <c r="AR46" s="1421" t="str">
        <f>SUBSTITUTE(SUBSTITUTE(SUBSTITUTE("vcn"&amp;$B46&amp;$C46&amp;$D46&amp;$E46,".","_"),"(","_"),")","")</f>
        <v>vcn13_104_1_2</v>
      </c>
      <c r="AS46" s="1421" t="str">
        <f>IF(LEN(X46)=0,"",X46)</f>
        <v/>
      </c>
    </row>
    <row r="47" spans="2:45" x14ac:dyDescent="0.2">
      <c r="B47" s="92" t="s">
        <v>5333</v>
      </c>
      <c r="C47" s="858"/>
      <c r="G47" s="1421" t="s">
        <v>3199</v>
      </c>
      <c r="H47" s="1421" t="s">
        <v>3198</v>
      </c>
      <c r="I47" s="169"/>
      <c r="J47" s="1072"/>
      <c r="K47" s="1072"/>
      <c r="L47" s="1688"/>
      <c r="M47" s="1698"/>
      <c r="N47" s="173"/>
      <c r="O47" s="173"/>
      <c r="X47" s="1600"/>
    </row>
    <row r="48" spans="2:45" x14ac:dyDescent="0.2">
      <c r="B48" s="92" t="s">
        <v>5335</v>
      </c>
      <c r="C48" s="858"/>
      <c r="G48" s="1421" t="s">
        <v>3199</v>
      </c>
      <c r="H48" s="1421" t="s">
        <v>3198</v>
      </c>
      <c r="I48" s="860" t="s">
        <v>5335</v>
      </c>
      <c r="J48" s="1073"/>
      <c r="K48" s="1073"/>
      <c r="L48" s="1686" t="s">
        <v>5336</v>
      </c>
      <c r="M48" s="1732" t="str">
        <f ca="1">IF(R48,"Mandatory","N/A")</f>
        <v>N/A</v>
      </c>
      <c r="N48" s="195"/>
      <c r="O48" s="195"/>
      <c r="P48" s="1421" t="b">
        <v>1</v>
      </c>
      <c r="Q48" s="1421" t="b">
        <v>0</v>
      </c>
      <c r="R48" s="1421" t="b">
        <f ca="1">S48</f>
        <v>0</v>
      </c>
      <c r="S48" s="1421" t="b">
        <f ca="1">S14=1</f>
        <v>0</v>
      </c>
      <c r="T48" s="1421" t="b">
        <f ca="1">AND(NOT(S48),LEN(W48)&gt;0)</f>
        <v>0</v>
      </c>
      <c r="U48" s="1421" t="str">
        <f>SUBSTITUTE(SUBSTITUTE(SUBSTITUTE("dd"&amp;$B48&amp;$C48&amp;$D48&amp;$E48&amp;$F48,".","_"),"(","_"),")","")</f>
        <v>dd13_104_1_3</v>
      </c>
      <c r="W48" s="12"/>
      <c r="X48" s="1600"/>
      <c r="AC48" s="1421" t="b">
        <f ca="1">OR(AD48:AE48)</f>
        <v>0</v>
      </c>
      <c r="AD48" s="1421" t="b">
        <v>0</v>
      </c>
      <c r="AE48" s="1421" t="b">
        <f ca="1">AND(R48,OR(W48="Not Met",W48=""))</f>
        <v>0</v>
      </c>
      <c r="AF48" s="1421" t="b">
        <f ca="1">AND(AE48,NOT(Q48))</f>
        <v>0</v>
      </c>
      <c r="AP48" s="1421" t="str">
        <f>SUBSTITUTE(SUBSTITUTE(SUBSTITUTE("vcc"&amp;$B48&amp;$C48&amp;$D48&amp;$E48,".","_"),"(","_"),")","")</f>
        <v>vcc13_104_1_3</v>
      </c>
      <c r="AQ48" s="1421" t="str">
        <f>IF(LEN(W48)=0,"",W48)</f>
        <v/>
      </c>
      <c r="AR48" s="1421" t="str">
        <f>SUBSTITUTE(SUBSTITUTE(SUBSTITUTE("vcn"&amp;$B48&amp;$C48&amp;$D48&amp;$E48,".","_"),"(","_"),")","")</f>
        <v>vcn13_104_1_3</v>
      </c>
      <c r="AS48" s="1421" t="str">
        <f>IF(LEN(X48)=0,"",X48)</f>
        <v/>
      </c>
    </row>
    <row r="49" spans="2:45" x14ac:dyDescent="0.2">
      <c r="B49" s="92" t="s">
        <v>5335</v>
      </c>
      <c r="C49" s="858"/>
      <c r="G49" s="1421" t="s">
        <v>3199</v>
      </c>
      <c r="H49" s="1421" t="s">
        <v>3198</v>
      </c>
      <c r="I49" s="169"/>
      <c r="J49" s="1072"/>
      <c r="K49" s="1072"/>
      <c r="L49" s="1688"/>
      <c r="M49" s="1698"/>
      <c r="N49" s="173"/>
      <c r="O49" s="173"/>
      <c r="X49" s="1600"/>
    </row>
    <row r="50" spans="2:45" ht="15" customHeight="1" x14ac:dyDescent="0.2">
      <c r="B50" s="92" t="s">
        <v>5337</v>
      </c>
      <c r="C50" s="858"/>
      <c r="G50" s="1421" t="s">
        <v>3199</v>
      </c>
      <c r="H50" s="1421" t="s">
        <v>3198</v>
      </c>
      <c r="I50" s="860" t="s">
        <v>5337</v>
      </c>
      <c r="J50" s="1073"/>
      <c r="K50" s="1073"/>
      <c r="L50" s="1686" t="s">
        <v>5338</v>
      </c>
      <c r="M50" s="1732" t="str">
        <f ca="1">IF(R50,"Mandatory","N/A")</f>
        <v>N/A</v>
      </c>
      <c r="P50" s="1421" t="b">
        <v>1</v>
      </c>
      <c r="Q50" s="1421" t="b">
        <v>0</v>
      </c>
      <c r="R50" s="1421" t="b">
        <f ca="1">S50</f>
        <v>0</v>
      </c>
      <c r="S50" s="1421" t="b">
        <f ca="1">S14=1</f>
        <v>0</v>
      </c>
      <c r="T50" s="1421" t="b">
        <f ca="1">AND(NOT(S50),LEN(W50)&gt;0)</f>
        <v>0</v>
      </c>
      <c r="U50" s="1421" t="str">
        <f>SUBSTITUTE(SUBSTITUTE(SUBSTITUTE("dd"&amp;$B50&amp;$C50&amp;$D50&amp;$E50&amp;$F50,".","_"),"(","_"),")","")</f>
        <v>dd13_104_1_4</v>
      </c>
      <c r="W50" s="12"/>
      <c r="X50" s="1600"/>
      <c r="AC50" s="1421" t="b">
        <f ca="1">OR(AD50:AE50)</f>
        <v>0</v>
      </c>
      <c r="AD50" s="1421" t="b">
        <v>0</v>
      </c>
      <c r="AE50" s="1421" t="b">
        <f ca="1">AND(R50,OR(W50="Not Met",W50=""))</f>
        <v>0</v>
      </c>
      <c r="AF50" s="1421" t="b">
        <f ca="1">AND(AE50,NOT(Q50))</f>
        <v>0</v>
      </c>
      <c r="AP50" s="1421" t="str">
        <f>SUBSTITUTE(SUBSTITUTE(SUBSTITUTE("vcc"&amp;$B50&amp;$C50&amp;$D50&amp;$E50,".","_"),"(","_"),")","")</f>
        <v>vcc13_104_1_4</v>
      </c>
      <c r="AQ50" s="1421" t="str">
        <f>IF(LEN(W50)=0,"",W50)</f>
        <v/>
      </c>
      <c r="AR50" s="1421" t="str">
        <f>SUBSTITUTE(SUBSTITUTE(SUBSTITUTE("vcn"&amp;$B50&amp;$C50&amp;$D50&amp;$E50,".","_"),"(","_"),")","")</f>
        <v>vcn13_104_1_4</v>
      </c>
      <c r="AS50" s="1421" t="str">
        <f>IF(LEN(X50)=0,"",X50)</f>
        <v/>
      </c>
    </row>
    <row r="51" spans="2:45" x14ac:dyDescent="0.2">
      <c r="B51" s="92" t="s">
        <v>5337</v>
      </c>
      <c r="C51" s="858"/>
      <c r="G51" s="1421" t="s">
        <v>3199</v>
      </c>
      <c r="H51" s="1421" t="s">
        <v>3198</v>
      </c>
      <c r="I51" s="89"/>
      <c r="J51" s="873"/>
      <c r="K51" s="873"/>
      <c r="L51" s="1807"/>
      <c r="M51" s="1714"/>
      <c r="Q51" s="1419" t="s">
        <v>5339</v>
      </c>
      <c r="R51" s="1" t="b">
        <f ca="1">IFERROR(MATCH(W50,INDIRECT(U50),0)=3,FALSE)</f>
        <v>0</v>
      </c>
      <c r="X51" s="1600"/>
      <c r="AC51" s="1421" t="b">
        <f ca="1">OR(AD51:AE51)</f>
        <v>0</v>
      </c>
      <c r="AE51" s="1" t="b">
        <f ca="1">AND(R51,LEN(X50)=0)</f>
        <v>0</v>
      </c>
    </row>
    <row r="52" spans="2:45" x14ac:dyDescent="0.2">
      <c r="B52" s="92" t="s">
        <v>5337</v>
      </c>
      <c r="C52" s="858"/>
      <c r="G52" s="1421" t="s">
        <v>3199</v>
      </c>
      <c r="H52" s="1421" t="s">
        <v>3198</v>
      </c>
      <c r="I52" s="169"/>
      <c r="J52" s="1072"/>
      <c r="K52" s="1072"/>
      <c r="L52" s="1431" t="s">
        <v>5340</v>
      </c>
      <c r="M52" s="1698"/>
      <c r="N52" s="173"/>
      <c r="O52" s="173"/>
      <c r="P52" s="173"/>
      <c r="Q52" s="173"/>
      <c r="R52" s="173"/>
      <c r="S52" s="173"/>
      <c r="T52" s="173"/>
      <c r="U52" s="173"/>
      <c r="V52" s="173"/>
      <c r="W52" s="818"/>
      <c r="X52" s="1600"/>
    </row>
    <row r="53" spans="2:45" x14ac:dyDescent="0.2">
      <c r="B53" s="92" t="s">
        <v>5341</v>
      </c>
      <c r="C53" s="858"/>
      <c r="G53" s="1421" t="s">
        <v>3199</v>
      </c>
      <c r="H53" s="1421" t="s">
        <v>3198</v>
      </c>
      <c r="I53" s="89" t="s">
        <v>5341</v>
      </c>
      <c r="J53" s="873"/>
      <c r="K53" s="873"/>
      <c r="L53" s="1807" t="s">
        <v>5342</v>
      </c>
    </row>
    <row r="54" spans="2:45" x14ac:dyDescent="0.2">
      <c r="B54" s="92" t="s">
        <v>5341</v>
      </c>
      <c r="C54" s="858"/>
      <c r="G54" s="1421" t="s">
        <v>3199</v>
      </c>
      <c r="H54" s="1421" t="s">
        <v>3198</v>
      </c>
      <c r="I54" s="89"/>
      <c r="J54" s="873"/>
      <c r="K54" s="873"/>
      <c r="L54" s="1807"/>
    </row>
    <row r="55" spans="2:45" x14ac:dyDescent="0.2">
      <c r="B55" s="92" t="s">
        <v>5341</v>
      </c>
      <c r="C55" s="858"/>
      <c r="G55" s="1421" t="s">
        <v>3199</v>
      </c>
      <c r="H55" s="1421" t="s">
        <v>3198</v>
      </c>
      <c r="I55" s="89"/>
      <c r="J55" s="873"/>
      <c r="K55" s="873"/>
      <c r="L55" s="1807"/>
    </row>
    <row r="56" spans="2:45" x14ac:dyDescent="0.2">
      <c r="B56" s="92" t="s">
        <v>5341</v>
      </c>
      <c r="C56" s="858"/>
      <c r="G56" s="1421" t="s">
        <v>3199</v>
      </c>
      <c r="H56" s="1421" t="s">
        <v>3198</v>
      </c>
      <c r="I56" s="89"/>
      <c r="J56" s="873"/>
      <c r="K56" s="873"/>
      <c r="L56" s="1807"/>
    </row>
    <row r="57" spans="2:45" x14ac:dyDescent="0.2">
      <c r="B57" s="92" t="s">
        <v>5341</v>
      </c>
      <c r="C57" s="858"/>
      <c r="G57" s="1421" t="s">
        <v>3199</v>
      </c>
      <c r="H57" s="1421" t="s">
        <v>3198</v>
      </c>
      <c r="I57" s="89"/>
      <c r="J57" s="873"/>
      <c r="K57" s="873"/>
      <c r="L57" s="1807"/>
    </row>
    <row r="58" spans="2:45" x14ac:dyDescent="0.2">
      <c r="B58" s="92" t="s">
        <v>5341</v>
      </c>
      <c r="C58" s="858"/>
      <c r="G58" s="1421" t="s">
        <v>3199</v>
      </c>
      <c r="H58" s="1421" t="s">
        <v>3198</v>
      </c>
      <c r="I58" s="89"/>
      <c r="J58" s="873"/>
      <c r="K58" s="873"/>
      <c r="L58" s="1807"/>
    </row>
    <row r="59" spans="2:45" x14ac:dyDescent="0.2">
      <c r="B59" s="92" t="s">
        <v>5341</v>
      </c>
      <c r="C59" s="858" t="s">
        <v>254</v>
      </c>
      <c r="G59" s="1421" t="s">
        <v>3199</v>
      </c>
      <c r="H59" s="1421" t="s">
        <v>3198</v>
      </c>
      <c r="I59" s="89"/>
      <c r="J59" s="1072" t="s">
        <v>254</v>
      </c>
      <c r="K59" s="1072"/>
      <c r="L59" s="1438" t="s">
        <v>5343</v>
      </c>
      <c r="M59" s="1447" t="str">
        <f ca="1">IF(R59,"Mandatory","N/A")</f>
        <v>N/A</v>
      </c>
      <c r="N59" s="173"/>
      <c r="O59" s="173"/>
      <c r="P59" s="1421" t="b">
        <v>1</v>
      </c>
      <c r="Q59" s="1421" t="b">
        <v>0</v>
      </c>
      <c r="R59" s="1421" t="b">
        <f t="shared" ref="R59:R62" ca="1" si="0">S59</f>
        <v>0</v>
      </c>
      <c r="S59" s="1421" t="b">
        <f ca="1">S14=1</f>
        <v>0</v>
      </c>
      <c r="T59" s="1421" t="b">
        <f t="shared" ref="T59:T62" ca="1" si="1">AND(NOT(S59),LEN(W59)&gt;0)</f>
        <v>0</v>
      </c>
      <c r="U59" s="1421" t="str">
        <f>SUBSTITUTE(SUBSTITUTE(SUBSTITUTE("dd"&amp;$B59&amp;$C59&amp;$D59&amp;$E59&amp;$F59,".","_"),"(","_"),")","")</f>
        <v>dd13_104_1_5_1</v>
      </c>
      <c r="W59" s="12"/>
      <c r="X59" s="1432"/>
      <c r="AC59" s="1421" t="b">
        <f ca="1">OR(AD59:AE59)</f>
        <v>0</v>
      </c>
      <c r="AD59" s="1421" t="b">
        <v>0</v>
      </c>
      <c r="AE59" s="1421" t="b">
        <f ca="1">AND(R59,OR(W59="Not Met",W59=""))</f>
        <v>0</v>
      </c>
      <c r="AF59" s="1421" t="b">
        <f ca="1">AND(AE59,NOT(Q59))</f>
        <v>0</v>
      </c>
      <c r="AP59" s="1421" t="str">
        <f>SUBSTITUTE(SUBSTITUTE(SUBSTITUTE("vcc"&amp;$B59&amp;$C59&amp;$D59&amp;$E59,".","_"),"(","_"),")","")</f>
        <v>vcc13_104_1_5_1</v>
      </c>
      <c r="AQ59" s="1421" t="str">
        <f>IF(LEN(W59)=0,"",W59)</f>
        <v/>
      </c>
      <c r="AR59" s="1421" t="str">
        <f>SUBSTITUTE(SUBSTITUTE(SUBSTITUTE("vcn"&amp;$B59&amp;$C59&amp;$D59&amp;$E59,".","_"),"(","_"),")","")</f>
        <v>vcn13_104_1_5_1</v>
      </c>
      <c r="AS59" s="1421" t="str">
        <f>IF(LEN(X59)=0,"",X59)</f>
        <v/>
      </c>
    </row>
    <row r="60" spans="2:45" x14ac:dyDescent="0.2">
      <c r="B60" s="92" t="s">
        <v>5341</v>
      </c>
      <c r="C60" s="858" t="s">
        <v>255</v>
      </c>
      <c r="G60" s="1421" t="s">
        <v>3199</v>
      </c>
      <c r="H60" s="1421" t="s">
        <v>3198</v>
      </c>
      <c r="I60" s="89"/>
      <c r="J60" s="1074" t="s">
        <v>255</v>
      </c>
      <c r="K60" s="1074"/>
      <c r="L60" s="1075" t="s">
        <v>5344</v>
      </c>
      <c r="M60" s="1471" t="str">
        <f ca="1">IF(R60,"Mandatory","N/A")</f>
        <v>N/A</v>
      </c>
      <c r="N60" s="214"/>
      <c r="O60" s="214"/>
      <c r="P60" s="1421" t="b">
        <v>1</v>
      </c>
      <c r="Q60" s="1421" t="b">
        <v>0</v>
      </c>
      <c r="R60" s="1421" t="b">
        <f t="shared" ca="1" si="0"/>
        <v>0</v>
      </c>
      <c r="S60" s="1421" t="b">
        <f ca="1">S14=1</f>
        <v>0</v>
      </c>
      <c r="T60" s="1421" t="b">
        <f t="shared" ca="1" si="1"/>
        <v>0</v>
      </c>
      <c r="U60" s="1421" t="str">
        <f>SUBSTITUTE(SUBSTITUTE(SUBSTITUTE("dd"&amp;$B60&amp;$C60&amp;$D60&amp;$E60&amp;$F60,".","_"),"(","_"),")","")</f>
        <v>dd13_104_1_5_2</v>
      </c>
      <c r="W60" s="12"/>
      <c r="X60" s="1432"/>
      <c r="AC60" s="1421" t="b">
        <f ca="1">OR(AD60:AE60)</f>
        <v>0</v>
      </c>
      <c r="AD60" s="1421" t="b">
        <v>0</v>
      </c>
      <c r="AE60" s="1421" t="b">
        <f ca="1">AND(R60,OR(W60="Not Met",W60=""))</f>
        <v>0</v>
      </c>
      <c r="AF60" s="1421" t="b">
        <f ca="1">AND(AE60,NOT(Q60))</f>
        <v>0</v>
      </c>
      <c r="AP60" s="1421" t="str">
        <f>SUBSTITUTE(SUBSTITUTE(SUBSTITUTE("vcc"&amp;$B60&amp;$C60&amp;$D60&amp;$E60,".","_"),"(","_"),")","")</f>
        <v>vcc13_104_1_5_2</v>
      </c>
      <c r="AQ60" s="1421" t="str">
        <f>IF(LEN(W60)=0,"",W60)</f>
        <v/>
      </c>
      <c r="AR60" s="1421" t="str">
        <f>SUBSTITUTE(SUBSTITUTE(SUBSTITUTE("vcn"&amp;$B60&amp;$C60&amp;$D60&amp;$E60,".","_"),"(","_"),")","")</f>
        <v>vcn13_104_1_5_2</v>
      </c>
      <c r="AS60" s="1421" t="str">
        <f>IF(LEN(X60)=0,"",X60)</f>
        <v/>
      </c>
    </row>
    <row r="61" spans="2:45" x14ac:dyDescent="0.2">
      <c r="B61" s="92" t="s">
        <v>5341</v>
      </c>
      <c r="C61" s="858" t="s">
        <v>256</v>
      </c>
      <c r="G61" s="1421" t="s">
        <v>3199</v>
      </c>
      <c r="H61" s="1421" t="s">
        <v>3198</v>
      </c>
      <c r="I61" s="89"/>
      <c r="J61" s="1074" t="s">
        <v>256</v>
      </c>
      <c r="K61" s="1074"/>
      <c r="L61" s="1075" t="s">
        <v>5345</v>
      </c>
      <c r="M61" s="1471" t="str">
        <f ca="1">IF(R61,"Mandatory","N/A")</f>
        <v>N/A</v>
      </c>
      <c r="N61" s="214"/>
      <c r="O61" s="214"/>
      <c r="P61" s="1421" t="b">
        <v>1</v>
      </c>
      <c r="Q61" s="1421" t="b">
        <v>0</v>
      </c>
      <c r="R61" s="1421" t="b">
        <f t="shared" ca="1" si="0"/>
        <v>0</v>
      </c>
      <c r="S61" s="1421" t="b">
        <f ca="1">S14=1</f>
        <v>0</v>
      </c>
      <c r="T61" s="1421" t="b">
        <f t="shared" ca="1" si="1"/>
        <v>0</v>
      </c>
      <c r="U61" s="1421" t="str">
        <f>SUBSTITUTE(SUBSTITUTE(SUBSTITUTE("dd"&amp;$B61&amp;$C61&amp;$D61&amp;$E61&amp;$F61,".","_"),"(","_"),")","")</f>
        <v>dd13_104_1_5_3</v>
      </c>
      <c r="W61" s="12"/>
      <c r="X61" s="1432"/>
      <c r="AC61" s="1421" t="b">
        <f ca="1">OR(AD61:AE61)</f>
        <v>0</v>
      </c>
      <c r="AD61" s="1421" t="b">
        <v>0</v>
      </c>
      <c r="AE61" s="1421" t="b">
        <f ca="1">AND(R61,OR(W61="Not Met",W61=""))</f>
        <v>0</v>
      </c>
      <c r="AF61" s="1421" t="b">
        <f ca="1">AND(AE61,NOT(Q61))</f>
        <v>0</v>
      </c>
      <c r="AP61" s="1421" t="str">
        <f>SUBSTITUTE(SUBSTITUTE(SUBSTITUTE("vcc"&amp;$B61&amp;$C61&amp;$D61&amp;$E61,".","_"),"(","_"),")","")</f>
        <v>vcc13_104_1_5_3</v>
      </c>
      <c r="AQ61" s="1421" t="str">
        <f>IF(LEN(W61)=0,"",W61)</f>
        <v/>
      </c>
      <c r="AR61" s="1421" t="str">
        <f>SUBSTITUTE(SUBSTITUTE(SUBSTITUTE("vcn"&amp;$B61&amp;$C61&amp;$D61&amp;$E61,".","_"),"(","_"),")","")</f>
        <v>vcn13_104_1_5_3</v>
      </c>
      <c r="AS61" s="1421" t="str">
        <f>IF(LEN(X61)=0,"",X61)</f>
        <v/>
      </c>
    </row>
    <row r="62" spans="2:45" x14ac:dyDescent="0.2">
      <c r="B62" s="92" t="s">
        <v>5341</v>
      </c>
      <c r="C62" s="858" t="s">
        <v>259</v>
      </c>
      <c r="G62" s="1421" t="s">
        <v>3199</v>
      </c>
      <c r="H62" s="1421" t="s">
        <v>3198</v>
      </c>
      <c r="I62" s="89"/>
      <c r="J62" s="1073" t="s">
        <v>259</v>
      </c>
      <c r="K62" s="1073"/>
      <c r="L62" s="1633" t="s">
        <v>5346</v>
      </c>
      <c r="M62" s="1732" t="str">
        <f ca="1">IF(R62,"Mandatory","N/A")</f>
        <v>N/A</v>
      </c>
      <c r="N62" s="195"/>
      <c r="O62" s="195"/>
      <c r="P62" s="1421" t="b">
        <v>1</v>
      </c>
      <c r="Q62" s="1421" t="b">
        <v>0</v>
      </c>
      <c r="R62" s="1421" t="b">
        <f t="shared" ca="1" si="0"/>
        <v>0</v>
      </c>
      <c r="S62" s="1421" t="b">
        <f ca="1">S14=1</f>
        <v>0</v>
      </c>
      <c r="T62" s="1421" t="b">
        <f t="shared" ca="1" si="1"/>
        <v>0</v>
      </c>
      <c r="U62" s="1421" t="str">
        <f>SUBSTITUTE(SUBSTITUTE(SUBSTITUTE("dd"&amp;$B62&amp;$C62&amp;$D62&amp;$E62&amp;$F62,".","_"),"(","_"),")","")</f>
        <v>dd13_104_1_5_4</v>
      </c>
      <c r="W62" s="12"/>
      <c r="X62" s="1600"/>
      <c r="AC62" s="1421" t="b">
        <f ca="1">OR(AD62:AE62)</f>
        <v>0</v>
      </c>
      <c r="AD62" s="1421" t="b">
        <v>0</v>
      </c>
      <c r="AE62" s="1421" t="b">
        <f ca="1">AND(R62,OR(W62="Not Met",W62=""))</f>
        <v>0</v>
      </c>
      <c r="AF62" s="1421" t="b">
        <f ca="1">AND(AE62,NOT(Q62))</f>
        <v>0</v>
      </c>
      <c r="AP62" s="1421" t="str">
        <f>SUBSTITUTE(SUBSTITUTE(SUBSTITUTE("vcc"&amp;$B62&amp;$C62&amp;$D62&amp;$E62,".","_"),"(","_"),")","")</f>
        <v>vcc13_104_1_5_4</v>
      </c>
      <c r="AQ62" s="1421" t="str">
        <f>IF(LEN(W62)=0,"",W62)</f>
        <v/>
      </c>
      <c r="AR62" s="1421" t="str">
        <f>SUBSTITUTE(SUBSTITUTE(SUBSTITUTE("vcn"&amp;$B62&amp;$C62&amp;$D62&amp;$E62,".","_"),"(","_"),")","")</f>
        <v>vcn13_104_1_5_4</v>
      </c>
      <c r="AS62" s="1421" t="str">
        <f>IF(LEN(X62)=0,"",X62)</f>
        <v/>
      </c>
    </row>
    <row r="63" spans="2:45" x14ac:dyDescent="0.2">
      <c r="B63" s="92" t="s">
        <v>5341</v>
      </c>
      <c r="C63" s="858" t="s">
        <v>259</v>
      </c>
      <c r="G63" s="1421" t="s">
        <v>3199</v>
      </c>
      <c r="H63" s="1421" t="s">
        <v>3198</v>
      </c>
      <c r="I63" s="89"/>
      <c r="J63" s="1072"/>
      <c r="K63" s="1072"/>
      <c r="L63" s="1639"/>
      <c r="M63" s="1698"/>
      <c r="N63" s="173"/>
      <c r="O63" s="173"/>
      <c r="X63" s="1600"/>
    </row>
    <row r="64" spans="2:45" x14ac:dyDescent="0.2">
      <c r="B64" s="92" t="s">
        <v>5341</v>
      </c>
      <c r="C64" s="858" t="s">
        <v>263</v>
      </c>
      <c r="G64" s="1421" t="s">
        <v>3199</v>
      </c>
      <c r="H64" s="1421" t="s">
        <v>3198</v>
      </c>
      <c r="I64" s="89"/>
      <c r="J64" s="1074" t="s">
        <v>263</v>
      </c>
      <c r="K64" s="1074"/>
      <c r="L64" s="1075" t="s">
        <v>5347</v>
      </c>
      <c r="M64" s="1471" t="str">
        <f t="shared" ref="M64:M70" ca="1" si="2">IF(R64,"Mandatory","N/A")</f>
        <v>N/A</v>
      </c>
      <c r="N64" s="214"/>
      <c r="O64" s="214"/>
      <c r="P64" s="1421" t="b">
        <v>1</v>
      </c>
      <c r="Q64" s="1421" t="b">
        <v>0</v>
      </c>
      <c r="R64" s="1421" t="b">
        <f t="shared" ref="R64:R70" ca="1" si="3">S64</f>
        <v>0</v>
      </c>
      <c r="S64" s="1421" t="b">
        <f ca="1">S14=1</f>
        <v>0</v>
      </c>
      <c r="T64" s="1421" t="b">
        <f t="shared" ref="T64:T70" ca="1" si="4">AND(NOT(S64),LEN(W64)&gt;0)</f>
        <v>0</v>
      </c>
      <c r="U64" s="1421" t="str">
        <f t="shared" ref="U64:U70" si="5">SUBSTITUTE(SUBSTITUTE(SUBSTITUTE("dd"&amp;$B64&amp;$C64&amp;$D64&amp;$E64&amp;$F64,".","_"),"(","_"),")","")</f>
        <v>dd13_104_1_5_5</v>
      </c>
      <c r="W64" s="12"/>
      <c r="X64" s="1432"/>
      <c r="AC64" s="1421" t="b">
        <f t="shared" ref="AC64:AC70" ca="1" si="6">OR(AD64:AE64)</f>
        <v>0</v>
      </c>
      <c r="AD64" s="1421" t="b">
        <v>0</v>
      </c>
      <c r="AE64" s="1421" t="b">
        <f t="shared" ref="AE64:AE70" ca="1" si="7">AND(R64,OR(W64="Not Met",W64=""))</f>
        <v>0</v>
      </c>
      <c r="AF64" s="1421" t="b">
        <f t="shared" ref="AF64:AF70" ca="1" si="8">AND(AE64,NOT(Q64))</f>
        <v>0</v>
      </c>
      <c r="AP64" s="1421" t="str">
        <f>SUBSTITUTE(SUBSTITUTE(SUBSTITUTE("vcc"&amp;$B64&amp;$C64&amp;$D64&amp;$E64,".","_"),"(","_"),")","")</f>
        <v>vcc13_104_1_5_5</v>
      </c>
      <c r="AQ64" s="1421" t="str">
        <f>IF(LEN(W64)=0,"",W64)</f>
        <v/>
      </c>
      <c r="AR64" s="1421" t="str">
        <f t="shared" ref="AR64:AR70" si="9">SUBSTITUTE(SUBSTITUTE(SUBSTITUTE("vcn"&amp;$B64&amp;$C64&amp;$D64&amp;$E64,".","_"),"(","_"),")","")</f>
        <v>vcn13_104_1_5_5</v>
      </c>
      <c r="AS64" s="1421" t="str">
        <f t="shared" ref="AS64:AS70" si="10">IF(LEN(X64)=0,"",X64)</f>
        <v/>
      </c>
    </row>
    <row r="65" spans="2:45" x14ac:dyDescent="0.2">
      <c r="B65" s="92" t="s">
        <v>5341</v>
      </c>
      <c r="C65" s="858" t="s">
        <v>264</v>
      </c>
      <c r="G65" s="1421" t="s">
        <v>3199</v>
      </c>
      <c r="H65" s="1421" t="s">
        <v>3198</v>
      </c>
      <c r="I65" s="89"/>
      <c r="J65" s="1074" t="s">
        <v>264</v>
      </c>
      <c r="K65" s="1074"/>
      <c r="L65" s="1075" t="s">
        <v>5348</v>
      </c>
      <c r="M65" s="1471" t="str">
        <f t="shared" ca="1" si="2"/>
        <v>N/A</v>
      </c>
      <c r="N65" s="214"/>
      <c r="O65" s="214"/>
      <c r="P65" s="1421" t="b">
        <v>1</v>
      </c>
      <c r="Q65" s="1421" t="b">
        <v>0</v>
      </c>
      <c r="R65" s="1421" t="b">
        <f t="shared" ca="1" si="3"/>
        <v>0</v>
      </c>
      <c r="S65" s="1421" t="b">
        <f ca="1">S14=1</f>
        <v>0</v>
      </c>
      <c r="T65" s="1421" t="b">
        <f t="shared" ca="1" si="4"/>
        <v>0</v>
      </c>
      <c r="U65" s="1421" t="str">
        <f t="shared" si="5"/>
        <v>dd13_104_1_5_6</v>
      </c>
      <c r="W65" s="12"/>
      <c r="X65" s="1432"/>
      <c r="AC65" s="1421" t="b">
        <f t="shared" ca="1" si="6"/>
        <v>0</v>
      </c>
      <c r="AD65" s="1421" t="b">
        <v>0</v>
      </c>
      <c r="AE65" s="1421" t="b">
        <f t="shared" ca="1" si="7"/>
        <v>0</v>
      </c>
      <c r="AF65" s="1421" t="b">
        <f t="shared" ca="1" si="8"/>
        <v>0</v>
      </c>
      <c r="AP65" s="1421" t="str">
        <f t="shared" ref="AP65:AP70" si="11">SUBSTITUTE(SUBSTITUTE(SUBSTITUTE("vcc"&amp;$B65&amp;$C65&amp;$D65&amp;$E65,".","_"),"(","_"),")","")</f>
        <v>vcc13_104_1_5_6</v>
      </c>
      <c r="AQ65" s="1421" t="str">
        <f t="shared" ref="AQ65:AQ70" si="12">IF(LEN(W65)=0,"",W65)</f>
        <v/>
      </c>
      <c r="AR65" s="1421" t="str">
        <f t="shared" si="9"/>
        <v>vcn13_104_1_5_6</v>
      </c>
      <c r="AS65" s="1421" t="str">
        <f t="shared" si="10"/>
        <v/>
      </c>
    </row>
    <row r="66" spans="2:45" x14ac:dyDescent="0.2">
      <c r="B66" s="92" t="s">
        <v>5341</v>
      </c>
      <c r="C66" s="858" t="s">
        <v>356</v>
      </c>
      <c r="G66" s="1421" t="s">
        <v>3199</v>
      </c>
      <c r="H66" s="1421" t="s">
        <v>3198</v>
      </c>
      <c r="I66" s="89"/>
      <c r="J66" s="1074" t="s">
        <v>356</v>
      </c>
      <c r="K66" s="1074"/>
      <c r="L66" s="1075" t="s">
        <v>5349</v>
      </c>
      <c r="M66" s="1471" t="str">
        <f t="shared" ca="1" si="2"/>
        <v>N/A</v>
      </c>
      <c r="N66" s="214"/>
      <c r="O66" s="214"/>
      <c r="P66" s="1421" t="b">
        <v>1</v>
      </c>
      <c r="Q66" s="1421" t="b">
        <v>0</v>
      </c>
      <c r="R66" s="1421" t="b">
        <f t="shared" ca="1" si="3"/>
        <v>0</v>
      </c>
      <c r="S66" s="1421" t="b">
        <f ca="1">S14=1</f>
        <v>0</v>
      </c>
      <c r="T66" s="1421" t="b">
        <f t="shared" ca="1" si="4"/>
        <v>0</v>
      </c>
      <c r="U66" s="1421" t="str">
        <f t="shared" si="5"/>
        <v>dd13_104_1_5_7</v>
      </c>
      <c r="W66" s="12"/>
      <c r="X66" s="1432"/>
      <c r="AC66" s="1421" t="b">
        <f t="shared" ca="1" si="6"/>
        <v>0</v>
      </c>
      <c r="AD66" s="1421" t="b">
        <v>0</v>
      </c>
      <c r="AE66" s="1421" t="b">
        <f t="shared" ca="1" si="7"/>
        <v>0</v>
      </c>
      <c r="AF66" s="1421" t="b">
        <f t="shared" ca="1" si="8"/>
        <v>0</v>
      </c>
      <c r="AP66" s="1421" t="str">
        <f t="shared" si="11"/>
        <v>vcc13_104_1_5_7</v>
      </c>
      <c r="AQ66" s="1421" t="str">
        <f t="shared" si="12"/>
        <v/>
      </c>
      <c r="AR66" s="1421" t="str">
        <f t="shared" si="9"/>
        <v>vcn13_104_1_5_7</v>
      </c>
      <c r="AS66" s="1421" t="str">
        <f t="shared" si="10"/>
        <v/>
      </c>
    </row>
    <row r="67" spans="2:45" x14ac:dyDescent="0.2">
      <c r="B67" s="92" t="s">
        <v>5341</v>
      </c>
      <c r="C67" s="858" t="s">
        <v>389</v>
      </c>
      <c r="G67" s="1421" t="s">
        <v>3199</v>
      </c>
      <c r="H67" s="1421" t="s">
        <v>3198</v>
      </c>
      <c r="I67" s="89"/>
      <c r="J67" s="1074" t="s">
        <v>389</v>
      </c>
      <c r="K67" s="1074"/>
      <c r="L67" s="1075" t="s">
        <v>5350</v>
      </c>
      <c r="M67" s="1471" t="str">
        <f t="shared" ca="1" si="2"/>
        <v>N/A</v>
      </c>
      <c r="N67" s="214"/>
      <c r="O67" s="214"/>
      <c r="P67" s="1421" t="b">
        <v>1</v>
      </c>
      <c r="Q67" s="1421" t="b">
        <v>0</v>
      </c>
      <c r="R67" s="1421" t="b">
        <f t="shared" ca="1" si="3"/>
        <v>0</v>
      </c>
      <c r="S67" s="1421" t="b">
        <f ca="1">S14=1</f>
        <v>0</v>
      </c>
      <c r="T67" s="1421" t="b">
        <f t="shared" ca="1" si="4"/>
        <v>0</v>
      </c>
      <c r="U67" s="1421" t="str">
        <f t="shared" si="5"/>
        <v>dd13_104_1_5_8</v>
      </c>
      <c r="W67" s="12"/>
      <c r="X67" s="1432"/>
      <c r="AC67" s="1421" t="b">
        <f t="shared" ca="1" si="6"/>
        <v>0</v>
      </c>
      <c r="AD67" s="1421" t="b">
        <v>0</v>
      </c>
      <c r="AE67" s="1421" t="b">
        <f t="shared" ca="1" si="7"/>
        <v>0</v>
      </c>
      <c r="AF67" s="1421" t="b">
        <f t="shared" ca="1" si="8"/>
        <v>0</v>
      </c>
      <c r="AP67" s="1421" t="str">
        <f t="shared" si="11"/>
        <v>vcc13_104_1_5_8</v>
      </c>
      <c r="AQ67" s="1421" t="str">
        <f t="shared" si="12"/>
        <v/>
      </c>
      <c r="AR67" s="1421" t="str">
        <f t="shared" si="9"/>
        <v>vcn13_104_1_5_8</v>
      </c>
      <c r="AS67" s="1421" t="str">
        <f t="shared" si="10"/>
        <v/>
      </c>
    </row>
    <row r="68" spans="2:45" x14ac:dyDescent="0.2">
      <c r="B68" s="92" t="s">
        <v>5341</v>
      </c>
      <c r="C68" s="858" t="s">
        <v>391</v>
      </c>
      <c r="G68" s="1421" t="s">
        <v>3199</v>
      </c>
      <c r="H68" s="1421" t="s">
        <v>3198</v>
      </c>
      <c r="I68" s="89"/>
      <c r="J68" s="1074" t="s">
        <v>391</v>
      </c>
      <c r="K68" s="1074"/>
      <c r="L68" s="1075" t="s">
        <v>5351</v>
      </c>
      <c r="M68" s="1471" t="str">
        <f t="shared" ca="1" si="2"/>
        <v>N/A</v>
      </c>
      <c r="N68" s="214"/>
      <c r="O68" s="214"/>
      <c r="P68" s="1421" t="b">
        <v>1</v>
      </c>
      <c r="Q68" s="1421" t="b">
        <v>0</v>
      </c>
      <c r="R68" s="1421" t="b">
        <f t="shared" ca="1" si="3"/>
        <v>0</v>
      </c>
      <c r="S68" s="1421" t="b">
        <f ca="1">S14=1</f>
        <v>0</v>
      </c>
      <c r="T68" s="1421" t="b">
        <f t="shared" ca="1" si="4"/>
        <v>0</v>
      </c>
      <c r="U68" s="1421" t="str">
        <f t="shared" si="5"/>
        <v>dd13_104_1_5_9</v>
      </c>
      <c r="W68" s="12"/>
      <c r="X68" s="1432"/>
      <c r="AC68" s="1421" t="b">
        <f t="shared" ca="1" si="6"/>
        <v>0</v>
      </c>
      <c r="AD68" s="1421" t="b">
        <v>0</v>
      </c>
      <c r="AE68" s="1421" t="b">
        <f t="shared" ca="1" si="7"/>
        <v>0</v>
      </c>
      <c r="AF68" s="1421" t="b">
        <f t="shared" ca="1" si="8"/>
        <v>0</v>
      </c>
      <c r="AP68" s="1421" t="str">
        <f t="shared" si="11"/>
        <v>vcc13_104_1_5_9</v>
      </c>
      <c r="AQ68" s="1421" t="str">
        <f t="shared" si="12"/>
        <v/>
      </c>
      <c r="AR68" s="1421" t="str">
        <f t="shared" si="9"/>
        <v>vcn13_104_1_5_9</v>
      </c>
      <c r="AS68" s="1421" t="str">
        <f t="shared" si="10"/>
        <v/>
      </c>
    </row>
    <row r="69" spans="2:45" x14ac:dyDescent="0.2">
      <c r="B69" s="92" t="s">
        <v>5341</v>
      </c>
      <c r="C69" s="858" t="s">
        <v>392</v>
      </c>
      <c r="G69" s="1421" t="s">
        <v>3199</v>
      </c>
      <c r="H69" s="1421" t="s">
        <v>3198</v>
      </c>
      <c r="I69" s="89"/>
      <c r="J69" s="1074" t="s">
        <v>392</v>
      </c>
      <c r="K69" s="1074"/>
      <c r="L69" s="1075" t="s">
        <v>5352</v>
      </c>
      <c r="M69" s="1471" t="str">
        <f t="shared" ca="1" si="2"/>
        <v>N/A</v>
      </c>
      <c r="N69" s="214"/>
      <c r="O69" s="214"/>
      <c r="P69" s="1421" t="b">
        <v>1</v>
      </c>
      <c r="Q69" s="1421" t="b">
        <v>0</v>
      </c>
      <c r="R69" s="1421" t="b">
        <f t="shared" ca="1" si="3"/>
        <v>0</v>
      </c>
      <c r="S69" s="1421" t="b">
        <f ca="1">S14=1</f>
        <v>0</v>
      </c>
      <c r="T69" s="1421" t="b">
        <f t="shared" ca="1" si="4"/>
        <v>0</v>
      </c>
      <c r="U69" s="1421" t="str">
        <f t="shared" si="5"/>
        <v>dd13_104_1_5_10</v>
      </c>
      <c r="W69" s="12"/>
      <c r="X69" s="1432"/>
      <c r="AC69" s="1421" t="b">
        <f t="shared" ca="1" si="6"/>
        <v>0</v>
      </c>
      <c r="AD69" s="1421" t="b">
        <v>0</v>
      </c>
      <c r="AE69" s="1421" t="b">
        <f t="shared" ca="1" si="7"/>
        <v>0</v>
      </c>
      <c r="AF69" s="1421" t="b">
        <f t="shared" ca="1" si="8"/>
        <v>0</v>
      </c>
      <c r="AP69" s="1421" t="str">
        <f t="shared" si="11"/>
        <v>vcc13_104_1_5_10</v>
      </c>
      <c r="AQ69" s="1421" t="str">
        <f t="shared" si="12"/>
        <v/>
      </c>
      <c r="AR69" s="1421" t="str">
        <f t="shared" si="9"/>
        <v>vcn13_104_1_5_10</v>
      </c>
      <c r="AS69" s="1421" t="str">
        <f t="shared" si="10"/>
        <v/>
      </c>
    </row>
    <row r="70" spans="2:45" x14ac:dyDescent="0.2">
      <c r="B70" s="92" t="s">
        <v>5341</v>
      </c>
      <c r="C70" s="858" t="s">
        <v>394</v>
      </c>
      <c r="G70" s="1421" t="s">
        <v>3199</v>
      </c>
      <c r="H70" s="1421" t="s">
        <v>3198</v>
      </c>
      <c r="I70" s="89"/>
      <c r="J70" s="1073" t="s">
        <v>394</v>
      </c>
      <c r="K70" s="1073"/>
      <c r="L70" s="1633" t="s">
        <v>5353</v>
      </c>
      <c r="M70" s="1732" t="str">
        <f t="shared" ca="1" si="2"/>
        <v>N/A</v>
      </c>
      <c r="N70" s="195"/>
      <c r="O70" s="195"/>
      <c r="P70" s="1421" t="b">
        <v>1</v>
      </c>
      <c r="Q70" s="1421" t="b">
        <v>0</v>
      </c>
      <c r="R70" s="1421" t="b">
        <f t="shared" ca="1" si="3"/>
        <v>0</v>
      </c>
      <c r="S70" s="1421" t="b">
        <f ca="1">S14=1</f>
        <v>0</v>
      </c>
      <c r="T70" s="1421" t="b">
        <f t="shared" ca="1" si="4"/>
        <v>0</v>
      </c>
      <c r="U70" s="1421" t="str">
        <f t="shared" si="5"/>
        <v>dd13_104_1_5_11</v>
      </c>
      <c r="W70" s="12"/>
      <c r="X70" s="1600"/>
      <c r="AC70" s="1421" t="b">
        <f t="shared" ca="1" si="6"/>
        <v>0</v>
      </c>
      <c r="AD70" s="1421" t="b">
        <v>0</v>
      </c>
      <c r="AE70" s="1421" t="b">
        <f t="shared" ca="1" si="7"/>
        <v>0</v>
      </c>
      <c r="AF70" s="1421" t="b">
        <f t="shared" ca="1" si="8"/>
        <v>0</v>
      </c>
      <c r="AP70" s="1421" t="str">
        <f t="shared" si="11"/>
        <v>vcc13_104_1_5_11</v>
      </c>
      <c r="AQ70" s="1421" t="str">
        <f t="shared" si="12"/>
        <v/>
      </c>
      <c r="AR70" s="1421" t="str">
        <f t="shared" si="9"/>
        <v>vcn13_104_1_5_11</v>
      </c>
      <c r="AS70" s="1421" t="str">
        <f t="shared" si="10"/>
        <v/>
      </c>
    </row>
    <row r="71" spans="2:45" x14ac:dyDescent="0.2">
      <c r="B71" s="92" t="s">
        <v>5341</v>
      </c>
      <c r="C71" s="858" t="s">
        <v>394</v>
      </c>
      <c r="G71" s="1421" t="s">
        <v>3199</v>
      </c>
      <c r="H71" s="1421" t="s">
        <v>3198</v>
      </c>
      <c r="I71" s="89"/>
      <c r="J71" s="1072"/>
      <c r="K71" s="1072"/>
      <c r="L71" s="1639"/>
      <c r="M71" s="1698"/>
      <c r="N71" s="173"/>
      <c r="O71" s="173"/>
      <c r="X71" s="1600"/>
    </row>
    <row r="72" spans="2:45" x14ac:dyDescent="0.2">
      <c r="B72" s="92" t="s">
        <v>5341</v>
      </c>
      <c r="C72" s="858" t="s">
        <v>396</v>
      </c>
      <c r="G72" s="1421" t="s">
        <v>3199</v>
      </c>
      <c r="H72" s="1421" t="s">
        <v>3198</v>
      </c>
      <c r="I72" s="169"/>
      <c r="J72" s="1072" t="s">
        <v>396</v>
      </c>
      <c r="K72" s="1072"/>
      <c r="L72" s="1438" t="s">
        <v>5354</v>
      </c>
      <c r="M72" s="1447" t="str">
        <f ca="1">IF(R72,"Mandatory","N/A")</f>
        <v>N/A</v>
      </c>
      <c r="N72" s="173"/>
      <c r="O72" s="173"/>
      <c r="P72" s="1421" t="b">
        <v>1</v>
      </c>
      <c r="Q72" s="1421" t="b">
        <v>0</v>
      </c>
      <c r="R72" s="1421" t="b">
        <f t="shared" ref="R72:R73" ca="1" si="13">S72</f>
        <v>0</v>
      </c>
      <c r="S72" s="1421" t="b">
        <f ca="1">S14=1</f>
        <v>0</v>
      </c>
      <c r="T72" s="1421" t="b">
        <f t="shared" ref="T72:T73" ca="1" si="14">AND(NOT(S72),LEN(W72)&gt;0)</f>
        <v>0</v>
      </c>
      <c r="U72" s="1421" t="str">
        <f>SUBSTITUTE(SUBSTITUTE(SUBSTITUTE("dd"&amp;$B72&amp;$C72&amp;$D72&amp;$E72&amp;$F72,".","_"),"(","_"),")","")</f>
        <v>dd13_104_1_5_12</v>
      </c>
      <c r="W72" s="12"/>
      <c r="X72" s="1432"/>
      <c r="AC72" s="1421" t="b">
        <f ca="1">OR(AD72:AE72)</f>
        <v>0</v>
      </c>
      <c r="AD72" s="1421" t="b">
        <v>0</v>
      </c>
      <c r="AE72" s="1421" t="b">
        <f ca="1">AND(R72,OR(W72="Not Met",W72=""))</f>
        <v>0</v>
      </c>
      <c r="AF72" s="1421" t="b">
        <f ca="1">AND(AE72,NOT(Q72))</f>
        <v>0</v>
      </c>
      <c r="AP72" s="1421" t="str">
        <f>SUBSTITUTE(SUBSTITUTE(SUBSTITUTE("vcc"&amp;$B72&amp;$C72&amp;$D72&amp;$E72,".","_"),"(","_"),")","")</f>
        <v>vcc13_104_1_5_12</v>
      </c>
      <c r="AQ72" s="1421" t="str">
        <f>IF(LEN(W72)=0,"",W72)</f>
        <v/>
      </c>
      <c r="AR72" s="1421" t="str">
        <f>SUBSTITUTE(SUBSTITUTE(SUBSTITUTE("vcn"&amp;$B72&amp;$C72&amp;$D72&amp;$E72,".","_"),"(","_"),")","")</f>
        <v>vcn13_104_1_5_12</v>
      </c>
      <c r="AS72" s="1421" t="str">
        <f>IF(LEN(X72)=0,"",X72)</f>
        <v/>
      </c>
    </row>
    <row r="73" spans="2:45" x14ac:dyDescent="0.2">
      <c r="B73" s="92" t="s">
        <v>5355</v>
      </c>
      <c r="C73" s="858"/>
      <c r="G73" s="1421" t="s">
        <v>3199</v>
      </c>
      <c r="H73" s="1421" t="s">
        <v>3198</v>
      </c>
      <c r="I73" s="860" t="s">
        <v>5355</v>
      </c>
      <c r="J73" s="1073"/>
      <c r="K73" s="1073"/>
      <c r="L73" s="1686" t="s">
        <v>5356</v>
      </c>
      <c r="M73" s="1732" t="str">
        <f ca="1">IF(R73,"Mandatory","N/A")</f>
        <v>N/A</v>
      </c>
      <c r="N73" s="195"/>
      <c r="O73" s="195"/>
      <c r="P73" s="1421" t="b">
        <v>1</v>
      </c>
      <c r="Q73" s="1421" t="b">
        <v>0</v>
      </c>
      <c r="R73" s="1421" t="b">
        <f t="shared" ca="1" si="13"/>
        <v>0</v>
      </c>
      <c r="S73" s="1421" t="b">
        <f ca="1">S14=1</f>
        <v>0</v>
      </c>
      <c r="T73" s="1421" t="b">
        <f t="shared" ca="1" si="14"/>
        <v>0</v>
      </c>
      <c r="U73" s="1421" t="str">
        <f>SUBSTITUTE(SUBSTITUTE(SUBSTITUTE("dd"&amp;$B73&amp;$C73&amp;$D73&amp;$E73&amp;$F73,".","_"),"(","_"),")","")</f>
        <v>dd13_104_1_6</v>
      </c>
      <c r="W73" s="12"/>
      <c r="X73" s="1600"/>
      <c r="AC73" s="1421" t="b">
        <f ca="1">OR(AD73:AE73)</f>
        <v>0</v>
      </c>
      <c r="AD73" s="1421" t="b">
        <v>0</v>
      </c>
      <c r="AE73" s="1421" t="b">
        <f ca="1">AND(R73,OR(W73="Not Met",W73=""))</f>
        <v>0</v>
      </c>
      <c r="AF73" s="1421" t="b">
        <f ca="1">AND(AE73,NOT(Q73))</f>
        <v>0</v>
      </c>
      <c r="AP73" s="1421" t="str">
        <f>SUBSTITUTE(SUBSTITUTE(SUBSTITUTE("vcc"&amp;$B73&amp;$C73&amp;$D73&amp;$E73,".","_"),"(","_"),")","")</f>
        <v>vcc13_104_1_6</v>
      </c>
      <c r="AQ73" s="1421" t="str">
        <f>IF(LEN(W73)=0,"",W73)</f>
        <v/>
      </c>
      <c r="AR73" s="1421" t="str">
        <f>SUBSTITUTE(SUBSTITUTE(SUBSTITUTE("vcn"&amp;$B73&amp;$C73&amp;$D73&amp;$E73,".","_"),"(","_"),")","")</f>
        <v>vcn13_104_1_6</v>
      </c>
      <c r="AS73" s="1421" t="str">
        <f>IF(LEN(X73)=0,"",X73)</f>
        <v/>
      </c>
    </row>
    <row r="74" spans="2:45" x14ac:dyDescent="0.2">
      <c r="B74" s="92" t="s">
        <v>5355</v>
      </c>
      <c r="C74" s="858"/>
      <c r="G74" s="1421" t="s">
        <v>3199</v>
      </c>
      <c r="H74" s="1421" t="s">
        <v>3198</v>
      </c>
      <c r="I74" s="89"/>
      <c r="J74" s="873"/>
      <c r="K74" s="873"/>
      <c r="L74" s="1807"/>
      <c r="M74" s="1714"/>
      <c r="X74" s="1600"/>
    </row>
    <row r="75" spans="2:45" x14ac:dyDescent="0.2">
      <c r="B75" s="92" t="s">
        <v>5355</v>
      </c>
      <c r="C75" s="858"/>
      <c r="G75" s="1421" t="s">
        <v>3199</v>
      </c>
      <c r="H75" s="1421" t="s">
        <v>3198</v>
      </c>
      <c r="I75" s="169"/>
      <c r="J75" s="1072"/>
      <c r="K75" s="1072"/>
      <c r="L75" s="1688"/>
      <c r="M75" s="1698"/>
      <c r="N75" s="173"/>
      <c r="O75" s="173"/>
      <c r="X75" s="1600"/>
    </row>
    <row r="76" spans="2:45" x14ac:dyDescent="0.2">
      <c r="B76" s="92" t="s">
        <v>5357</v>
      </c>
      <c r="C76" s="858"/>
      <c r="G76" s="1421" t="s">
        <v>3199</v>
      </c>
      <c r="H76" s="1421" t="s">
        <v>3198</v>
      </c>
      <c r="I76" s="860" t="s">
        <v>5357</v>
      </c>
      <c r="J76" s="1073"/>
      <c r="K76" s="1073"/>
      <c r="L76" s="1686" t="s">
        <v>5358</v>
      </c>
      <c r="M76" s="1732" t="str">
        <f ca="1">IF(R76,"Mandatory","N/A")</f>
        <v>N/A</v>
      </c>
      <c r="P76" s="1421" t="b">
        <v>1</v>
      </c>
      <c r="Q76" s="1421" t="b">
        <v>0</v>
      </c>
      <c r="R76" s="1421" t="b">
        <f ca="1">S76</f>
        <v>0</v>
      </c>
      <c r="S76" s="1421" t="b">
        <f ca="1">S14=1</f>
        <v>0</v>
      </c>
      <c r="T76" s="1421" t="b">
        <f ca="1">AND(NOT(S76),LEN(W76)&gt;0)</f>
        <v>0</v>
      </c>
      <c r="U76" s="1421" t="str">
        <f>SUBSTITUTE(SUBSTITUTE(SUBSTITUTE("dd"&amp;$B76&amp;$C76&amp;$D76&amp;$E76&amp;$F76,".","_"),"(","_"),")","")</f>
        <v>dd13_104_1_7</v>
      </c>
      <c r="W76" s="12"/>
      <c r="X76" s="1600"/>
      <c r="AC76" s="1421" t="b">
        <f ca="1">OR(AD76:AE76)</f>
        <v>0</v>
      </c>
      <c r="AD76" s="1421" t="b">
        <v>0</v>
      </c>
      <c r="AE76" s="1421" t="b">
        <f ca="1">AND(R76,OR(W76="Not Met",W76=""))</f>
        <v>0</v>
      </c>
      <c r="AF76" s="1421" t="b">
        <f ca="1">AND(AE76,NOT(Q76))</f>
        <v>0</v>
      </c>
      <c r="AP76" s="1421" t="str">
        <f>SUBSTITUTE(SUBSTITUTE(SUBSTITUTE("vcc"&amp;$B76&amp;$C76&amp;$D76&amp;$E76,".","_"),"(","_"),")","")</f>
        <v>vcc13_104_1_7</v>
      </c>
      <c r="AQ76" s="1421" t="str">
        <f>IF(LEN(W76)=0,"",W76)</f>
        <v/>
      </c>
      <c r="AR76" s="1421" t="str">
        <f>SUBSTITUTE(SUBSTITUTE(SUBSTITUTE("vcn"&amp;$B76&amp;$C76&amp;$D76&amp;$E76,".","_"),"(","_"),")","")</f>
        <v>vcn13_104_1_7</v>
      </c>
      <c r="AS76" s="1421" t="str">
        <f>IF(LEN(X76)=0,"",X76)</f>
        <v/>
      </c>
    </row>
    <row r="77" spans="2:45" x14ac:dyDescent="0.2">
      <c r="B77" s="92" t="s">
        <v>5357</v>
      </c>
      <c r="C77" s="858"/>
      <c r="G77" s="1421" t="s">
        <v>3199</v>
      </c>
      <c r="H77" s="1421" t="s">
        <v>3198</v>
      </c>
      <c r="I77" s="89"/>
      <c r="J77" s="873"/>
      <c r="K77" s="873"/>
      <c r="L77" s="1807"/>
      <c r="M77" s="1714"/>
      <c r="X77" s="1600"/>
    </row>
    <row r="78" spans="2:45" x14ac:dyDescent="0.2">
      <c r="B78" s="92" t="s">
        <v>5357</v>
      </c>
      <c r="C78" s="858"/>
      <c r="G78" s="1421" t="s">
        <v>3199</v>
      </c>
      <c r="H78" s="1421" t="s">
        <v>3198</v>
      </c>
      <c r="I78" s="89"/>
      <c r="J78" s="873"/>
      <c r="K78" s="873"/>
      <c r="L78" s="1807"/>
      <c r="M78" s="1714"/>
      <c r="X78" s="1600"/>
    </row>
    <row r="79" spans="2:45" x14ac:dyDescent="0.2">
      <c r="B79" s="92" t="s">
        <v>5357</v>
      </c>
      <c r="C79" s="858"/>
      <c r="G79" s="1421" t="s">
        <v>3199</v>
      </c>
      <c r="H79" s="1421" t="s">
        <v>3198</v>
      </c>
      <c r="I79" s="169"/>
      <c r="J79" s="1072"/>
      <c r="K79" s="1072"/>
      <c r="L79" s="1688"/>
      <c r="M79" s="1698"/>
      <c r="N79" s="173"/>
      <c r="O79" s="173"/>
      <c r="P79" s="173"/>
      <c r="Q79" s="173"/>
      <c r="R79" s="173"/>
      <c r="S79" s="173"/>
      <c r="T79" s="173"/>
      <c r="U79" s="173"/>
      <c r="V79" s="173"/>
      <c r="W79" s="818"/>
      <c r="X79" s="1600"/>
    </row>
    <row r="80" spans="2:45" x14ac:dyDescent="0.2">
      <c r="B80" s="92" t="s">
        <v>5359</v>
      </c>
      <c r="C80" s="858"/>
      <c r="G80" s="1421" t="s">
        <v>3199</v>
      </c>
      <c r="H80" s="1421" t="s">
        <v>3197</v>
      </c>
      <c r="I80" s="89" t="s">
        <v>5359</v>
      </c>
      <c r="J80" s="873"/>
      <c r="K80" s="873"/>
      <c r="L80" s="1807" t="s">
        <v>5360</v>
      </c>
    </row>
    <row r="81" spans="2:45" x14ac:dyDescent="0.2">
      <c r="B81" s="92" t="s">
        <v>5359</v>
      </c>
      <c r="C81" s="858"/>
      <c r="G81" s="1421" t="s">
        <v>3199</v>
      </c>
      <c r="H81" s="1421" t="s">
        <v>3197</v>
      </c>
      <c r="I81" s="89"/>
      <c r="J81" s="873"/>
      <c r="K81" s="873"/>
      <c r="L81" s="1807"/>
    </row>
    <row r="82" spans="2:45" x14ac:dyDescent="0.2">
      <c r="B82" s="92" t="s">
        <v>5359</v>
      </c>
      <c r="C82" s="858" t="s">
        <v>254</v>
      </c>
      <c r="G82" s="1421" t="s">
        <v>3199</v>
      </c>
      <c r="H82" s="1421" t="s">
        <v>3197</v>
      </c>
      <c r="I82" s="89"/>
      <c r="J82" s="873" t="s">
        <v>254</v>
      </c>
      <c r="K82" s="873"/>
      <c r="L82" s="1808" t="s">
        <v>5361</v>
      </c>
      <c r="M82" s="1714" t="str">
        <f ca="1">IF(R82,"Mandatory","N/A")</f>
        <v>N/A</v>
      </c>
      <c r="P82" s="1421" t="b">
        <v>1</v>
      </c>
      <c r="Q82" s="1421" t="b">
        <v>1</v>
      </c>
      <c r="R82" s="1421" t="b">
        <f ca="1">S82</f>
        <v>0</v>
      </c>
      <c r="S82" s="1421" t="b">
        <f ca="1">S14=1</f>
        <v>0</v>
      </c>
      <c r="T82" s="1421" t="b">
        <f ca="1">AND(NOT(S82),W82=TRUE)</f>
        <v>0</v>
      </c>
      <c r="W82" s="27"/>
      <c r="X82" s="1600"/>
      <c r="AC82" s="1421" t="b">
        <f ca="1">OR(AD82:AE82)</f>
        <v>0</v>
      </c>
      <c r="AD82" s="1421" t="b">
        <f ca="1">T82</f>
        <v>0</v>
      </c>
      <c r="AE82" s="1421" t="b">
        <f ca="1">AND(R82,NOT(W82))</f>
        <v>0</v>
      </c>
      <c r="AP82" s="1421" t="str">
        <f>SUBSTITUTE(SUBSTITUTE(SUBSTITUTE("vcc"&amp;$B82&amp;$C82&amp;$D82&amp;$E82,".","_"),"(","_"),")","")</f>
        <v>vcc13_104_1_8_1</v>
      </c>
      <c r="AQ82" s="1421" t="str">
        <f>IF(LEN(W82)=0,"",W82)</f>
        <v/>
      </c>
      <c r="AR82" s="1421" t="str">
        <f>SUBSTITUTE(SUBSTITUTE(SUBSTITUTE("vcn"&amp;$B82&amp;$C82&amp;$D82&amp;$E82,".","_"),"(","_"),")","")</f>
        <v>vcn13_104_1_8_1</v>
      </c>
      <c r="AS82" s="1421" t="str">
        <f>IF(LEN(X82)=0,"",X82)</f>
        <v/>
      </c>
    </row>
    <row r="83" spans="2:45" x14ac:dyDescent="0.2">
      <c r="B83" s="92" t="s">
        <v>5359</v>
      </c>
      <c r="C83" s="858" t="s">
        <v>254</v>
      </c>
      <c r="G83" s="1421" t="s">
        <v>3199</v>
      </c>
      <c r="H83" s="1421" t="s">
        <v>3197</v>
      </c>
      <c r="I83" s="89"/>
      <c r="J83" s="1072"/>
      <c r="K83" s="1072"/>
      <c r="L83" s="1639"/>
      <c r="M83" s="1698"/>
      <c r="N83" s="173"/>
      <c r="O83" s="173"/>
      <c r="X83" s="1600"/>
    </row>
    <row r="84" spans="2:45" x14ac:dyDescent="0.2">
      <c r="B84" s="92" t="s">
        <v>5359</v>
      </c>
      <c r="C84" s="858" t="s">
        <v>255</v>
      </c>
      <c r="G84" s="1421" t="s">
        <v>3199</v>
      </c>
      <c r="H84" s="1421" t="s">
        <v>3197</v>
      </c>
      <c r="I84" s="89"/>
      <c r="J84" s="1073" t="s">
        <v>255</v>
      </c>
      <c r="K84" s="1073"/>
      <c r="L84" s="1633" t="s">
        <v>5362</v>
      </c>
      <c r="M84" s="1732" t="str">
        <f ca="1">IF(R84,"Mandatory","N/A")</f>
        <v>N/A</v>
      </c>
      <c r="N84" s="195"/>
      <c r="O84" s="195"/>
      <c r="P84" s="1421" t="b">
        <v>1</v>
      </c>
      <c r="Q84" s="1421" t="b">
        <v>1</v>
      </c>
      <c r="R84" s="1421" t="b">
        <f ca="1">S84</f>
        <v>0</v>
      </c>
      <c r="S84" s="1421" t="b">
        <f ca="1">S14=1</f>
        <v>0</v>
      </c>
      <c r="T84" s="1421" t="b">
        <f ca="1">AND(NOT(S84),W84=TRUE)</f>
        <v>0</v>
      </c>
      <c r="W84" s="27"/>
      <c r="X84" s="1600"/>
      <c r="AC84" s="1421" t="b">
        <f ca="1">OR(AD84:AE84)</f>
        <v>0</v>
      </c>
      <c r="AD84" s="1421" t="b">
        <f ca="1">T84</f>
        <v>0</v>
      </c>
      <c r="AE84" s="1421" t="b">
        <f ca="1">AND(R84,NOT(W84))</f>
        <v>0</v>
      </c>
      <c r="AP84" s="1421" t="str">
        <f>SUBSTITUTE(SUBSTITUTE(SUBSTITUTE("vcc"&amp;$B84&amp;$C84&amp;$D84&amp;$E84,".","_"),"(","_"),")","")</f>
        <v>vcc13_104_1_8_2</v>
      </c>
      <c r="AQ84" s="1421" t="str">
        <f>IF(LEN(W84)=0,"",W84)</f>
        <v/>
      </c>
      <c r="AR84" s="1421" t="str">
        <f>SUBSTITUTE(SUBSTITUTE(SUBSTITUTE("vcn"&amp;$B84&amp;$C84&amp;$D84&amp;$E84,".","_"),"(","_"),")","")</f>
        <v>vcn13_104_1_8_2</v>
      </c>
      <c r="AS84" s="1421" t="str">
        <f>IF(LEN(X84)=0,"",X84)</f>
        <v/>
      </c>
    </row>
    <row r="85" spans="2:45" x14ac:dyDescent="0.2">
      <c r="B85" s="92" t="s">
        <v>5359</v>
      </c>
      <c r="C85" s="858" t="s">
        <v>255</v>
      </c>
      <c r="G85" s="1421" t="s">
        <v>3199</v>
      </c>
      <c r="H85" s="1421" t="s">
        <v>3197</v>
      </c>
      <c r="I85" s="89"/>
      <c r="J85" s="1072"/>
      <c r="K85" s="1072"/>
      <c r="L85" s="1639"/>
      <c r="M85" s="1698"/>
      <c r="N85" s="173"/>
      <c r="O85" s="173"/>
      <c r="X85" s="1600"/>
    </row>
    <row r="86" spans="2:45" x14ac:dyDescent="0.2">
      <c r="B86" s="92" t="s">
        <v>5359</v>
      </c>
      <c r="C86" s="858" t="s">
        <v>256</v>
      </c>
      <c r="G86" s="1421" t="s">
        <v>3199</v>
      </c>
      <c r="H86" s="1421" t="s">
        <v>3197</v>
      </c>
      <c r="I86" s="169"/>
      <c r="J86" s="1072" t="s">
        <v>256</v>
      </c>
      <c r="K86" s="1072"/>
      <c r="L86" s="1438" t="s">
        <v>5363</v>
      </c>
      <c r="M86" s="1447" t="str">
        <f ca="1">IF(R86,"Mandatory","N/A")</f>
        <v>N/A</v>
      </c>
      <c r="N86" s="214"/>
      <c r="O86" s="214"/>
      <c r="P86" s="1421" t="b">
        <v>1</v>
      </c>
      <c r="Q86" s="1421" t="b">
        <v>1</v>
      </c>
      <c r="R86" s="1421" t="b">
        <f ca="1">S86</f>
        <v>0</v>
      </c>
      <c r="S86" s="1421" t="b">
        <f ca="1">S14=1</f>
        <v>0</v>
      </c>
      <c r="T86" s="1421" t="b">
        <f ca="1">AND(NOT(S86),W86=TRUE)</f>
        <v>0</v>
      </c>
      <c r="W86" s="27"/>
      <c r="X86" s="1432"/>
      <c r="AC86" s="1421" t="b">
        <f ca="1">OR(AD86:AE86)</f>
        <v>0</v>
      </c>
      <c r="AD86" s="1421" t="b">
        <f ca="1">T86</f>
        <v>0</v>
      </c>
      <c r="AE86" s="1421" t="b">
        <f ca="1">AND(R86,NOT(W86))</f>
        <v>0</v>
      </c>
      <c r="AP86" s="1421" t="str">
        <f>SUBSTITUTE(SUBSTITUTE(SUBSTITUTE("vcc"&amp;$B86&amp;$C86&amp;$D86&amp;$E86,".","_"),"(","_"),")","")</f>
        <v>vcc13_104_1_8_3</v>
      </c>
      <c r="AQ86" s="1421" t="str">
        <f>IF(LEN(W86)=0,"",W86)</f>
        <v/>
      </c>
      <c r="AR86" s="1421" t="str">
        <f>SUBSTITUTE(SUBSTITUTE(SUBSTITUTE("vcn"&amp;$B86&amp;$C86&amp;$D86&amp;$E86,".","_"),"(","_"),")","")</f>
        <v>vcn13_104_1_8_3</v>
      </c>
      <c r="AS86" s="1421" t="str">
        <f>IF(LEN(X86)=0,"",X86)</f>
        <v/>
      </c>
    </row>
    <row r="87" spans="2:45" x14ac:dyDescent="0.2">
      <c r="B87" s="92" t="s">
        <v>5364</v>
      </c>
      <c r="C87" s="858"/>
      <c r="G87" s="1421" t="s">
        <v>3199</v>
      </c>
      <c r="H87" s="1421" t="s">
        <v>3198</v>
      </c>
      <c r="I87" s="89" t="s">
        <v>5364</v>
      </c>
      <c r="J87" s="873"/>
      <c r="K87" s="873"/>
      <c r="L87" s="1807" t="s">
        <v>5365</v>
      </c>
    </row>
    <row r="88" spans="2:45" x14ac:dyDescent="0.2">
      <c r="B88" s="92" t="s">
        <v>5364</v>
      </c>
      <c r="C88" s="858"/>
      <c r="G88" s="1421" t="s">
        <v>3199</v>
      </c>
      <c r="H88" s="1421" t="s">
        <v>3198</v>
      </c>
      <c r="I88" s="89"/>
      <c r="J88" s="873"/>
      <c r="K88" s="873"/>
      <c r="L88" s="1807"/>
    </row>
    <row r="89" spans="2:45" x14ac:dyDescent="0.2">
      <c r="B89" s="92" t="s">
        <v>5364</v>
      </c>
      <c r="C89" s="858" t="s">
        <v>254</v>
      </c>
      <c r="G89" s="1421" t="s">
        <v>3199</v>
      </c>
      <c r="H89" s="1421" t="s">
        <v>3198</v>
      </c>
      <c r="I89" s="89"/>
      <c r="J89" s="873" t="s">
        <v>254</v>
      </c>
      <c r="K89" s="873"/>
      <c r="L89" s="1808" t="s">
        <v>5366</v>
      </c>
      <c r="M89" s="1714" t="str">
        <f ca="1">IF(R89,"Mandatory","N/A")</f>
        <v>N/A</v>
      </c>
      <c r="P89" s="1421" t="b">
        <v>1</v>
      </c>
      <c r="Q89" s="1421" t="b">
        <v>0</v>
      </c>
      <c r="R89" s="1421" t="b">
        <f ca="1">S89</f>
        <v>0</v>
      </c>
      <c r="S89" s="1421" t="b">
        <f ca="1">S14=1</f>
        <v>0</v>
      </c>
      <c r="T89" s="1421" t="b">
        <v>0</v>
      </c>
      <c r="W89" s="27"/>
      <c r="X89" s="1600"/>
      <c r="AC89" s="1421" t="b">
        <f ca="1">OR(AD89:AE89)</f>
        <v>0</v>
      </c>
      <c r="AD89" s="1421" t="b">
        <v>0</v>
      </c>
      <c r="AE89" s="1421" t="b">
        <f ca="1">AND(R89,NOT(W89))</f>
        <v>0</v>
      </c>
      <c r="AF89" s="1421" t="b">
        <f ca="1">AND(AE89,NOT(Q89))</f>
        <v>0</v>
      </c>
      <c r="AP89" s="1421" t="str">
        <f>SUBSTITUTE(SUBSTITUTE(SUBSTITUTE("vcc"&amp;$B89&amp;$C89&amp;$D89&amp;$E89,".","_"),"(","_"),")","")</f>
        <v>vcc13_104_1_9_1</v>
      </c>
      <c r="AQ89" s="1421" t="str">
        <f>IF(LEN(W89)=0,"",W89)</f>
        <v/>
      </c>
      <c r="AR89" s="1421" t="str">
        <f>SUBSTITUTE(SUBSTITUTE(SUBSTITUTE("vcn"&amp;$B89&amp;$C89&amp;$D89&amp;$E89,".","_"),"(","_"),")","")</f>
        <v>vcn13_104_1_9_1</v>
      </c>
      <c r="AS89" s="1421" t="str">
        <f>IF(LEN(X89)=0,"",X89)</f>
        <v/>
      </c>
    </row>
    <row r="90" spans="2:45" x14ac:dyDescent="0.2">
      <c r="B90" s="92" t="s">
        <v>5364</v>
      </c>
      <c r="C90" s="858" t="s">
        <v>254</v>
      </c>
      <c r="G90" s="1421" t="s">
        <v>3199</v>
      </c>
      <c r="H90" s="1421" t="s">
        <v>3198</v>
      </c>
      <c r="I90" s="89"/>
      <c r="J90" s="1072"/>
      <c r="K90" s="1072"/>
      <c r="L90" s="1639"/>
      <c r="M90" s="1698"/>
      <c r="N90" s="173"/>
      <c r="O90" s="173"/>
      <c r="X90" s="1600"/>
    </row>
    <row r="91" spans="2:45" x14ac:dyDescent="0.2">
      <c r="B91" s="92" t="s">
        <v>5364</v>
      </c>
      <c r="C91" s="858" t="s">
        <v>255</v>
      </c>
      <c r="G91" s="1421" t="s">
        <v>3199</v>
      </c>
      <c r="H91" s="1421" t="s">
        <v>3198</v>
      </c>
      <c r="I91" s="89"/>
      <c r="J91" s="873" t="s">
        <v>255</v>
      </c>
      <c r="K91" s="873"/>
      <c r="L91" s="1808" t="s">
        <v>5367</v>
      </c>
      <c r="M91" s="1714" t="str">
        <f ca="1">IF(R91,"Mandatory","N/A")</f>
        <v>N/A</v>
      </c>
      <c r="P91" s="1421" t="b">
        <v>1</v>
      </c>
      <c r="Q91" s="1421" t="b">
        <v>0</v>
      </c>
      <c r="R91" s="1421" t="b">
        <f ca="1">S91</f>
        <v>0</v>
      </c>
      <c r="S91" s="1421" t="b">
        <f ca="1">S14=1</f>
        <v>0</v>
      </c>
      <c r="T91" s="1421" t="b">
        <v>0</v>
      </c>
      <c r="W91" s="27"/>
      <c r="X91" s="1600"/>
      <c r="AC91" s="1421" t="b">
        <f ca="1">OR(AD91:AE91)</f>
        <v>0</v>
      </c>
      <c r="AD91" s="1421" t="b">
        <v>0</v>
      </c>
      <c r="AE91" s="1421" t="b">
        <f ca="1">AND(R91,NOT(W91))</f>
        <v>0</v>
      </c>
      <c r="AF91" s="1421" t="b">
        <f ca="1">AND(AE91,NOT(Q91))</f>
        <v>0</v>
      </c>
      <c r="AP91" s="1421" t="str">
        <f>SUBSTITUTE(SUBSTITUTE(SUBSTITUTE("vcc"&amp;$B91&amp;$C91&amp;$D91&amp;$E91,".","_"),"(","_"),")","")</f>
        <v>vcc13_104_1_9_2</v>
      </c>
      <c r="AQ91" s="1421" t="str">
        <f>IF(LEN(W91)=0,"",W91)</f>
        <v/>
      </c>
      <c r="AR91" s="1421" t="str">
        <f>SUBSTITUTE(SUBSTITUTE(SUBSTITUTE("vcn"&amp;$B91&amp;$C91&amp;$D91&amp;$E91,".","_"),"(","_"),")","")</f>
        <v>vcn13_104_1_9_2</v>
      </c>
      <c r="AS91" s="1421" t="str">
        <f>IF(LEN(X91)=0,"",X91)</f>
        <v/>
      </c>
    </row>
    <row r="92" spans="2:45" ht="16" thickBot="1" x14ac:dyDescent="0.25">
      <c r="B92" s="92" t="s">
        <v>5364</v>
      </c>
      <c r="C92" s="858" t="s">
        <v>255</v>
      </c>
      <c r="G92" s="1421" t="s">
        <v>3199</v>
      </c>
      <c r="H92" s="1421" t="s">
        <v>3198</v>
      </c>
      <c r="I92" s="98"/>
      <c r="J92" s="1069"/>
      <c r="K92" s="1069"/>
      <c r="L92" s="1635"/>
      <c r="M92" s="1726"/>
      <c r="N92" s="100"/>
      <c r="O92" s="100"/>
      <c r="P92" s="100"/>
      <c r="Q92" s="100"/>
      <c r="R92" s="100"/>
      <c r="S92" s="100"/>
      <c r="T92" s="100"/>
      <c r="U92" s="100"/>
      <c r="V92" s="100"/>
      <c r="W92" s="100"/>
      <c r="X92" s="1602"/>
    </row>
    <row r="93" spans="2:45" ht="16" thickTop="1" x14ac:dyDescent="0.2">
      <c r="B93" s="92" t="s">
        <v>5368</v>
      </c>
      <c r="C93" s="858"/>
      <c r="G93" s="1421" t="s">
        <v>3199</v>
      </c>
      <c r="H93" s="1421" t="s">
        <v>3197</v>
      </c>
      <c r="I93" s="115" t="s">
        <v>5368</v>
      </c>
      <c r="J93" s="1070"/>
      <c r="K93" s="1070"/>
      <c r="L93" s="1740" t="s">
        <v>5369</v>
      </c>
      <c r="M93" s="1701" t="str">
        <f ca="1">IF(R93,"Mandatory","N/A")</f>
        <v>N/A</v>
      </c>
      <c r="N93" s="106"/>
      <c r="O93" s="106"/>
      <c r="P93" s="106" t="b">
        <v>1</v>
      </c>
      <c r="Q93" s="106" t="b">
        <v>1</v>
      </c>
      <c r="R93" s="106" t="b">
        <f ca="1">S93</f>
        <v>0</v>
      </c>
      <c r="S93" s="106" t="b">
        <f ca="1">S14=1</f>
        <v>0</v>
      </c>
      <c r="T93" s="106" t="b">
        <f ca="1">AND(NOT(S93),W93=TRUE)</f>
        <v>0</v>
      </c>
      <c r="U93" s="106"/>
      <c r="V93" s="106"/>
      <c r="W93" s="334"/>
      <c r="X93" s="1603"/>
      <c r="AC93" s="1421" t="b">
        <f ca="1">OR(AD93:AE93)</f>
        <v>0</v>
      </c>
      <c r="AD93" s="1421" t="b">
        <f ca="1">T93</f>
        <v>0</v>
      </c>
      <c r="AE93" s="1421" t="b">
        <f ca="1">AND(R93,NOT(W93))</f>
        <v>0</v>
      </c>
      <c r="AP93" s="1421" t="str">
        <f>SUBSTITUTE(SUBSTITUTE(SUBSTITUTE("vcc"&amp;$B93&amp;$C93&amp;$D93&amp;$E93,".","_"),"(","_"),")","")</f>
        <v>vcc13_104_2</v>
      </c>
      <c r="AQ93" s="1421" t="str">
        <f>IF(LEN(W93)=0,"",W93)</f>
        <v/>
      </c>
      <c r="AR93" s="1421" t="str">
        <f>SUBSTITUTE(SUBSTITUTE(SUBSTITUTE("vcn"&amp;$B93&amp;$C93&amp;$D93&amp;$E93,".","_"),"(","_"),")","")</f>
        <v>vcn13_104_2</v>
      </c>
      <c r="AS93" s="1421" t="str">
        <f>IF(LEN(X93)=0,"",X93)</f>
        <v/>
      </c>
    </row>
    <row r="94" spans="2:45" ht="16" thickBot="1" x14ac:dyDescent="0.25">
      <c r="B94" s="92" t="s">
        <v>5368</v>
      </c>
      <c r="C94" s="858"/>
      <c r="G94" s="1421" t="s">
        <v>3199</v>
      </c>
      <c r="H94" s="1421" t="s">
        <v>3197</v>
      </c>
      <c r="I94" s="98"/>
      <c r="J94" s="1069"/>
      <c r="K94" s="1069"/>
      <c r="L94" s="1738"/>
      <c r="M94" s="1726"/>
      <c r="N94" s="100"/>
      <c r="O94" s="100"/>
      <c r="P94" s="100"/>
      <c r="Q94" s="100"/>
      <c r="R94" s="100"/>
      <c r="S94" s="100"/>
      <c r="T94" s="100"/>
      <c r="U94" s="100"/>
      <c r="V94" s="100"/>
      <c r="W94" s="100"/>
      <c r="X94" s="1602"/>
    </row>
    <row r="95" spans="2:45" ht="16" thickTop="1" x14ac:dyDescent="0.2">
      <c r="B95" s="92" t="s">
        <v>5370</v>
      </c>
      <c r="C95" s="858"/>
      <c r="G95" s="1421" t="s">
        <v>5303</v>
      </c>
      <c r="H95" s="1421" t="s">
        <v>3198</v>
      </c>
      <c r="I95" s="115" t="s">
        <v>5370</v>
      </c>
      <c r="J95" s="1070"/>
      <c r="K95" s="1070"/>
      <c r="L95" s="1740" t="s">
        <v>5371</v>
      </c>
      <c r="M95" s="1701" t="str">
        <f>IF(R95,"Mandatory","N/A")</f>
        <v>Mandatory</v>
      </c>
      <c r="P95" s="1421" t="b">
        <v>1</v>
      </c>
      <c r="Q95" s="1421" t="b">
        <v>0</v>
      </c>
      <c r="R95" s="1421" t="b">
        <f>S95</f>
        <v>1</v>
      </c>
      <c r="S95" s="1421" t="b">
        <v>1</v>
      </c>
      <c r="T95" s="1421" t="b">
        <f>AND(NOT(S95),W95=TRUE)</f>
        <v>0</v>
      </c>
      <c r="W95" s="119"/>
      <c r="X95" s="1599"/>
      <c r="AC95" s="1421" t="b">
        <f>OR(AD95:AE95)</f>
        <v>1</v>
      </c>
      <c r="AD95" s="1421" t="b">
        <f>T95</f>
        <v>0</v>
      </c>
      <c r="AE95" s="1421" t="b">
        <f>AND(R95,NOT(W95))</f>
        <v>1</v>
      </c>
      <c r="AF95" s="1421" t="b">
        <f>AND(AE95,NOT(Q95))</f>
        <v>1</v>
      </c>
      <c r="AP95" s="1421" t="str">
        <f>SUBSTITUTE(SUBSTITUTE(SUBSTITUTE("vcc"&amp;$B95&amp;$C95&amp;$D95&amp;$E95,".","_"),"(","_"),")","")</f>
        <v>vcc13_104_3</v>
      </c>
      <c r="AQ95" s="1421" t="str">
        <f>IF(LEN(W95)=0,"",W95)</f>
        <v/>
      </c>
      <c r="AR95" s="1421" t="str">
        <f>SUBSTITUTE(SUBSTITUTE(SUBSTITUTE("vcn"&amp;$B95&amp;$C95&amp;$D95&amp;$E95,".","_"),"(","_"),")","")</f>
        <v>vcn13_104_3</v>
      </c>
      <c r="AS95" s="1421" t="str">
        <f>IF(LEN(X95)=0,"",X95)</f>
        <v/>
      </c>
    </row>
    <row r="96" spans="2:45" x14ac:dyDescent="0.2">
      <c r="B96" s="92" t="s">
        <v>5370</v>
      </c>
      <c r="C96" s="858"/>
      <c r="G96" s="1421" t="s">
        <v>5303</v>
      </c>
      <c r="H96" s="1421" t="s">
        <v>3198</v>
      </c>
      <c r="I96" s="89"/>
      <c r="J96" s="873"/>
      <c r="K96" s="873"/>
      <c r="L96" s="1807"/>
      <c r="M96" s="1714"/>
      <c r="X96" s="1600"/>
    </row>
    <row r="97" spans="2:45" x14ac:dyDescent="0.2">
      <c r="B97" s="92" t="s">
        <v>5370</v>
      </c>
      <c r="C97" s="858"/>
      <c r="G97" s="1421" t="s">
        <v>5303</v>
      </c>
      <c r="H97" s="1421" t="s">
        <v>3198</v>
      </c>
      <c r="I97" s="169"/>
      <c r="J97" s="1072"/>
      <c r="K97" s="1072"/>
      <c r="L97" s="1688"/>
      <c r="M97" s="1698"/>
      <c r="X97" s="1600"/>
    </row>
    <row r="98" spans="2:45" ht="15" customHeight="1" x14ac:dyDescent="0.2">
      <c r="B98" s="92" t="s">
        <v>5372</v>
      </c>
      <c r="C98" s="858"/>
      <c r="G98" s="1421" t="s">
        <v>5303</v>
      </c>
      <c r="H98" s="1421" t="s">
        <v>3197</v>
      </c>
      <c r="I98" s="169" t="s">
        <v>5372</v>
      </c>
      <c r="J98" s="1072"/>
      <c r="K98" s="1072"/>
      <c r="L98" s="1446" t="s">
        <v>5373</v>
      </c>
      <c r="M98" s="1471" t="str">
        <f>IF(R98,"Mandatory","N/A")</f>
        <v>Mandatory</v>
      </c>
      <c r="N98" s="1936">
        <f ca="1">Q98</f>
        <v>0</v>
      </c>
      <c r="O98" s="1936"/>
      <c r="P98" s="1472" t="s">
        <v>4481</v>
      </c>
      <c r="Q98" s="1473">
        <f ca="1">IF(N99="Met",1,0)+IF(N116="Met",1,0)+IF(N137="Met",1,0)+IF(N143="Met",1,0)+IF(N151="Met",1,0)+IF(N162="Met",1,0)+IF(N176="Met",1,0)+IF(N200="Met",1,0)+IF(N208="Met",1,0)+IF(N224="Met",1,0)+IF(N231="Met",1,0)+IF(N252="Met",1,0)</f>
        <v>0</v>
      </c>
      <c r="R98" s="173" t="b">
        <v>1</v>
      </c>
      <c r="S98" s="173" t="b">
        <v>1</v>
      </c>
      <c r="T98" s="173"/>
      <c r="U98" s="173"/>
      <c r="V98" s="173"/>
      <c r="W98" s="173"/>
      <c r="X98" s="173"/>
      <c r="AC98" s="1421" t="b">
        <f ca="1">OR(AD98:AE98)</f>
        <v>1</v>
      </c>
      <c r="AD98" s="1421" t="b">
        <v>0</v>
      </c>
      <c r="AE98" s="1421" t="b">
        <f ca="1">AND(R98,Q98&lt;6)</f>
        <v>1</v>
      </c>
    </row>
    <row r="99" spans="2:45" x14ac:dyDescent="0.2">
      <c r="B99" s="79">
        <v>606.1</v>
      </c>
      <c r="C99" s="23"/>
      <c r="D99" s="23"/>
      <c r="E99" s="23"/>
      <c r="F99" s="23"/>
      <c r="G99" s="1421" t="s">
        <v>5303</v>
      </c>
      <c r="H99" s="1421" t="s">
        <v>3197</v>
      </c>
      <c r="I99" s="67">
        <v>606.1</v>
      </c>
      <c r="J99" s="4"/>
      <c r="K99" s="85"/>
      <c r="L99" s="87" t="s">
        <v>5374</v>
      </c>
      <c r="N99" s="1636" t="str">
        <f ca="1">IF(MIN(8,IF(R112&gt;1,6+R112+R110-2,IF(R112+R110&gt;1,3+MIN(2,R110+R112-2),0)))&gt;0,"Met","Not Met")</f>
        <v>Not Met</v>
      </c>
      <c r="O99" s="1636"/>
    </row>
    <row r="100" spans="2:45" x14ac:dyDescent="0.2">
      <c r="B100" s="79">
        <v>606.1</v>
      </c>
      <c r="C100" s="23"/>
      <c r="D100" s="23" t="s">
        <v>121</v>
      </c>
      <c r="E100" s="23"/>
      <c r="F100" s="23"/>
      <c r="G100" s="1421" t="s">
        <v>5303</v>
      </c>
      <c r="H100" s="1421" t="s">
        <v>3197</v>
      </c>
      <c r="I100" s="67"/>
      <c r="J100" s="4"/>
      <c r="K100" s="89" t="s">
        <v>121</v>
      </c>
      <c r="L100" s="85" t="s">
        <v>5375</v>
      </c>
      <c r="N100" s="1628"/>
      <c r="O100" s="1628"/>
      <c r="P100" s="1421" t="b">
        <v>1</v>
      </c>
      <c r="Q100" s="1421" t="b">
        <v>1</v>
      </c>
      <c r="R100" s="1421" t="b">
        <v>0</v>
      </c>
      <c r="S100" s="1421" t="b">
        <f>OR(NOT(ISBLANK(W131)),NOT(ISBLANK(W132)),NOT(ISBLANK(W134)),NOT(ISBLANK(W135)))</f>
        <v>0</v>
      </c>
      <c r="T100" s="1421" t="b">
        <f>IF(AND(NOT(S100),LEN(W100)&gt;0),TRUE,FALSE)</f>
        <v>0</v>
      </c>
      <c r="U100" s="1421" t="str">
        <f t="shared" ref="U100:U107" si="15">SUBSTITUTE(SUBSTITUTE(SUBSTITUTE("dd"&amp;B100&amp;C100&amp;D100&amp;E100&amp;F100,".","_"),"(","_"),")","")</f>
        <v>dd606_1_a</v>
      </c>
      <c r="W100" s="12"/>
      <c r="X100" s="1600"/>
      <c r="AC100" s="1421" t="b">
        <f t="shared" ref="AC100:AC107" si="16">OR(AD100:AE100)</f>
        <v>0</v>
      </c>
      <c r="AD100" s="1421" t="b">
        <f t="shared" ref="AD100:AD107" si="17">T100</f>
        <v>0</v>
      </c>
      <c r="AP100" s="1421" t="str">
        <f t="shared" ref="AP100:AP107" si="18">SUBSTITUTE(SUBSTITUTE(SUBSTITUTE("vcc"&amp;$B100&amp;$C100&amp;$D100&amp;$E100,".","_"),"(","_"),")","")</f>
        <v>vcc606_1_a</v>
      </c>
      <c r="AQ100" s="1421" t="str">
        <f t="shared" ref="AQ100:AQ107" si="19">IF(LEN(W100)=0,"",W100)</f>
        <v/>
      </c>
      <c r="AR100" s="1421" t="str">
        <f>SUBSTITUTE(SUBSTITUTE(SUBSTITUTE("vcn"&amp;$B100&amp;$C100&amp;$D100&amp;$E100,".","_"),"(","_"),")","")</f>
        <v>vcn606_1_a</v>
      </c>
      <c r="AS100" s="1421" t="str">
        <f>IF(LEN(X100)=0,"",X100)</f>
        <v/>
      </c>
    </row>
    <row r="101" spans="2:45" x14ac:dyDescent="0.2">
      <c r="B101" s="79">
        <v>606.1</v>
      </c>
      <c r="C101" s="23"/>
      <c r="D101" s="23" t="s">
        <v>122</v>
      </c>
      <c r="E101" s="23"/>
      <c r="F101" s="23"/>
      <c r="G101" s="1421" t="s">
        <v>5303</v>
      </c>
      <c r="H101" s="1421" t="s">
        <v>3197</v>
      </c>
      <c r="I101" s="67"/>
      <c r="J101" s="4"/>
      <c r="K101" s="89" t="s">
        <v>122</v>
      </c>
      <c r="L101" s="85" t="s">
        <v>550</v>
      </c>
      <c r="N101" s="1628"/>
      <c r="O101" s="1628"/>
      <c r="P101" s="1421" t="b">
        <v>1</v>
      </c>
      <c r="Q101" s="1421" t="b">
        <v>1</v>
      </c>
      <c r="R101" s="1421" t="b">
        <v>0</v>
      </c>
      <c r="S101" s="1421" t="b">
        <v>1</v>
      </c>
      <c r="T101" s="1421" t="b">
        <f t="shared" ref="T101:T107" si="20">IF(AND(NOT(S101),LEN(W101)&gt;0),TRUE,FALSE)</f>
        <v>0</v>
      </c>
      <c r="U101" s="1421" t="str">
        <f t="shared" si="15"/>
        <v>dd606_1_b</v>
      </c>
      <c r="W101" s="12"/>
      <c r="X101" s="1600"/>
      <c r="AC101" s="1421" t="b">
        <f t="shared" si="16"/>
        <v>0</v>
      </c>
      <c r="AD101" s="1421" t="b">
        <f t="shared" si="17"/>
        <v>0</v>
      </c>
      <c r="AP101" s="1421" t="str">
        <f t="shared" si="18"/>
        <v>vcc606_1_b</v>
      </c>
      <c r="AQ101" s="1421" t="str">
        <f t="shared" si="19"/>
        <v/>
      </c>
    </row>
    <row r="102" spans="2:45" x14ac:dyDescent="0.2">
      <c r="B102" s="79">
        <v>606.1</v>
      </c>
      <c r="C102" s="23"/>
      <c r="D102" s="28" t="s">
        <v>123</v>
      </c>
      <c r="E102" s="23"/>
      <c r="F102" s="28"/>
      <c r="G102" s="1421" t="s">
        <v>5303</v>
      </c>
      <c r="H102" s="1421" t="s">
        <v>3197</v>
      </c>
      <c r="I102" s="67"/>
      <c r="J102" s="4"/>
      <c r="K102" s="91" t="s">
        <v>123</v>
      </c>
      <c r="L102" s="85" t="s">
        <v>551</v>
      </c>
      <c r="N102" s="1628"/>
      <c r="O102" s="1628"/>
      <c r="P102" s="1421" t="b">
        <v>1</v>
      </c>
      <c r="Q102" s="1421" t="b">
        <v>1</v>
      </c>
      <c r="R102" s="1421" t="b">
        <v>0</v>
      </c>
      <c r="S102" s="1421" t="b">
        <v>1</v>
      </c>
      <c r="T102" s="1421" t="b">
        <f t="shared" si="20"/>
        <v>0</v>
      </c>
      <c r="U102" s="1421" t="str">
        <f t="shared" si="15"/>
        <v>dd606_1_c</v>
      </c>
      <c r="W102" s="12"/>
      <c r="X102" s="1600"/>
      <c r="AC102" s="1421" t="b">
        <f t="shared" si="16"/>
        <v>0</v>
      </c>
      <c r="AD102" s="1421" t="b">
        <f t="shared" si="17"/>
        <v>0</v>
      </c>
      <c r="AP102" s="1421" t="str">
        <f t="shared" si="18"/>
        <v>vcc606_1_c</v>
      </c>
      <c r="AQ102" s="1421" t="str">
        <f t="shared" si="19"/>
        <v/>
      </c>
    </row>
    <row r="103" spans="2:45" x14ac:dyDescent="0.2">
      <c r="B103" s="79">
        <v>606.1</v>
      </c>
      <c r="C103" s="23"/>
      <c r="D103" s="23" t="s">
        <v>366</v>
      </c>
      <c r="E103" s="23"/>
      <c r="F103" s="23"/>
      <c r="G103" s="1421" t="s">
        <v>5303</v>
      </c>
      <c r="H103" s="1421" t="s">
        <v>3197</v>
      </c>
      <c r="I103" s="67"/>
      <c r="J103" s="4"/>
      <c r="K103" s="87" t="s">
        <v>366</v>
      </c>
      <c r="L103" s="85" t="s">
        <v>552</v>
      </c>
      <c r="N103" s="1628"/>
      <c r="O103" s="1628"/>
      <c r="P103" s="1421" t="b">
        <v>1</v>
      </c>
      <c r="Q103" s="1421" t="b">
        <v>1</v>
      </c>
      <c r="R103" s="1421" t="b">
        <v>0</v>
      </c>
      <c r="S103" s="1421" t="b">
        <v>1</v>
      </c>
      <c r="T103" s="1421" t="b">
        <f t="shared" si="20"/>
        <v>0</v>
      </c>
      <c r="U103" s="1421" t="str">
        <f t="shared" si="15"/>
        <v>dd606_1_d</v>
      </c>
      <c r="W103" s="12"/>
      <c r="X103" s="1600"/>
      <c r="AC103" s="1421" t="b">
        <f t="shared" si="16"/>
        <v>0</v>
      </c>
      <c r="AD103" s="1421" t="b">
        <f t="shared" si="17"/>
        <v>0</v>
      </c>
      <c r="AP103" s="1421" t="str">
        <f t="shared" si="18"/>
        <v>vcc606_1_d</v>
      </c>
      <c r="AQ103" s="1421" t="str">
        <f t="shared" si="19"/>
        <v/>
      </c>
    </row>
    <row r="104" spans="2:45" x14ac:dyDescent="0.2">
      <c r="B104" s="79">
        <v>606.1</v>
      </c>
      <c r="C104" s="23"/>
      <c r="D104" s="23" t="s">
        <v>472</v>
      </c>
      <c r="E104" s="23"/>
      <c r="F104" s="23"/>
      <c r="G104" s="1421" t="s">
        <v>5303</v>
      </c>
      <c r="H104" s="1421" t="s">
        <v>3197</v>
      </c>
      <c r="I104" s="67"/>
      <c r="J104" s="4"/>
      <c r="K104" s="89" t="s">
        <v>472</v>
      </c>
      <c r="L104" s="85" t="s">
        <v>553</v>
      </c>
      <c r="N104" s="1628"/>
      <c r="O104" s="1628"/>
      <c r="P104" s="1421" t="b">
        <v>1</v>
      </c>
      <c r="Q104" s="1421" t="b">
        <v>1</v>
      </c>
      <c r="R104" s="1421" t="b">
        <v>0</v>
      </c>
      <c r="S104" s="1421" t="b">
        <v>1</v>
      </c>
      <c r="T104" s="1421" t="b">
        <f t="shared" si="20"/>
        <v>0</v>
      </c>
      <c r="U104" s="1421" t="str">
        <f t="shared" si="15"/>
        <v>dd606_1_e</v>
      </c>
      <c r="W104" s="12"/>
      <c r="X104" s="1600"/>
      <c r="AC104" s="1421" t="b">
        <f t="shared" si="16"/>
        <v>0</v>
      </c>
      <c r="AD104" s="1421" t="b">
        <f t="shared" si="17"/>
        <v>0</v>
      </c>
      <c r="AP104" s="1421" t="str">
        <f t="shared" si="18"/>
        <v>vcc606_1_e</v>
      </c>
      <c r="AQ104" s="1421" t="str">
        <f t="shared" si="19"/>
        <v/>
      </c>
    </row>
    <row r="105" spans="2:45" x14ac:dyDescent="0.2">
      <c r="B105" s="79">
        <v>606.1</v>
      </c>
      <c r="C105" s="23"/>
      <c r="D105" s="23" t="s">
        <v>510</v>
      </c>
      <c r="E105" s="23"/>
      <c r="F105" s="23"/>
      <c r="G105" s="1421" t="s">
        <v>5303</v>
      </c>
      <c r="H105" s="1421" t="s">
        <v>3197</v>
      </c>
      <c r="I105" s="67"/>
      <c r="J105" s="4"/>
      <c r="K105" s="89" t="s">
        <v>510</v>
      </c>
      <c r="L105" s="85" t="s">
        <v>554</v>
      </c>
      <c r="N105" s="1628"/>
      <c r="O105" s="1628"/>
      <c r="P105" s="1421" t="b">
        <v>1</v>
      </c>
      <c r="Q105" s="1421" t="b">
        <v>1</v>
      </c>
      <c r="R105" s="1421" t="b">
        <v>0</v>
      </c>
      <c r="S105" s="1421" t="b">
        <v>1</v>
      </c>
      <c r="T105" s="1421" t="b">
        <f t="shared" si="20"/>
        <v>0</v>
      </c>
      <c r="U105" s="1421" t="str">
        <f t="shared" si="15"/>
        <v>dd606_1_f</v>
      </c>
      <c r="W105" s="12"/>
      <c r="X105" s="1600"/>
      <c r="AC105" s="1421" t="b">
        <f t="shared" si="16"/>
        <v>0</v>
      </c>
      <c r="AD105" s="1421" t="b">
        <f t="shared" si="17"/>
        <v>0</v>
      </c>
      <c r="AP105" s="1421" t="str">
        <f t="shared" si="18"/>
        <v>vcc606_1_f</v>
      </c>
      <c r="AQ105" s="1421" t="str">
        <f t="shared" si="19"/>
        <v/>
      </c>
    </row>
    <row r="106" spans="2:45" x14ac:dyDescent="0.2">
      <c r="B106" s="79">
        <v>606.1</v>
      </c>
      <c r="C106" s="23"/>
      <c r="D106" s="28" t="s">
        <v>512</v>
      </c>
      <c r="E106" s="23"/>
      <c r="F106" s="28"/>
      <c r="G106" s="1421" t="s">
        <v>5303</v>
      </c>
      <c r="H106" s="1421" t="s">
        <v>3197</v>
      </c>
      <c r="I106" s="67"/>
      <c r="J106" s="4"/>
      <c r="K106" s="91" t="s">
        <v>512</v>
      </c>
      <c r="L106" s="85" t="s">
        <v>555</v>
      </c>
      <c r="N106" s="1628"/>
      <c r="O106" s="1628"/>
      <c r="P106" s="1421" t="b">
        <v>1</v>
      </c>
      <c r="Q106" s="1421" t="b">
        <v>1</v>
      </c>
      <c r="R106" s="1421" t="b">
        <v>0</v>
      </c>
      <c r="S106" s="1421" t="b">
        <v>1</v>
      </c>
      <c r="T106" s="1421" t="b">
        <f t="shared" si="20"/>
        <v>0</v>
      </c>
      <c r="U106" s="1421" t="str">
        <f t="shared" si="15"/>
        <v>dd606_1_g</v>
      </c>
      <c r="W106" s="12"/>
      <c r="X106" s="1600"/>
      <c r="AC106" s="1421" t="b">
        <f t="shared" si="16"/>
        <v>0</v>
      </c>
      <c r="AD106" s="1421" t="b">
        <f t="shared" si="17"/>
        <v>0</v>
      </c>
      <c r="AP106" s="1421" t="str">
        <f t="shared" si="18"/>
        <v>vcc606_1_g</v>
      </c>
      <c r="AQ106" s="1421" t="str">
        <f t="shared" si="19"/>
        <v/>
      </c>
    </row>
    <row r="107" spans="2:45" x14ac:dyDescent="0.2">
      <c r="B107" s="79">
        <v>606.1</v>
      </c>
      <c r="C107" s="23"/>
      <c r="D107" s="23" t="s">
        <v>514</v>
      </c>
      <c r="E107" s="23"/>
      <c r="F107" s="23"/>
      <c r="G107" s="1421" t="s">
        <v>5303</v>
      </c>
      <c r="H107" s="1421" t="s">
        <v>3197</v>
      </c>
      <c r="I107" s="67"/>
      <c r="J107" s="4"/>
      <c r="K107" s="87" t="s">
        <v>514</v>
      </c>
      <c r="L107" s="1611" t="s">
        <v>556</v>
      </c>
      <c r="N107" s="1628"/>
      <c r="O107" s="1628"/>
      <c r="P107" s="1421" t="b">
        <v>1</v>
      </c>
      <c r="Q107" s="1421" t="b">
        <v>1</v>
      </c>
      <c r="R107" s="1421" t="b">
        <v>0</v>
      </c>
      <c r="S107" s="1421" t="b">
        <v>1</v>
      </c>
      <c r="T107" s="1421" t="b">
        <f t="shared" si="20"/>
        <v>0</v>
      </c>
      <c r="U107" s="1421" t="str">
        <f t="shared" si="15"/>
        <v>dd606_1_h</v>
      </c>
      <c r="W107" s="12"/>
      <c r="X107" s="1600"/>
      <c r="AC107" s="1421" t="b">
        <f t="shared" si="16"/>
        <v>0</v>
      </c>
      <c r="AD107" s="1421" t="b">
        <f t="shared" si="17"/>
        <v>0</v>
      </c>
      <c r="AE107" s="1421" t="b">
        <f>AND(NOT(ISBLANK(W107)),LEN(X100)=0)</f>
        <v>0</v>
      </c>
      <c r="AP107" s="1421" t="str">
        <f t="shared" si="18"/>
        <v>vcc606_1_h</v>
      </c>
      <c r="AQ107" s="1421" t="str">
        <f t="shared" si="19"/>
        <v/>
      </c>
    </row>
    <row r="108" spans="2:45" x14ac:dyDescent="0.2">
      <c r="B108" s="79">
        <v>606.1</v>
      </c>
      <c r="C108" s="23"/>
      <c r="D108" s="23" t="s">
        <v>514</v>
      </c>
      <c r="E108" s="23"/>
      <c r="F108" s="23"/>
      <c r="G108" s="1421" t="s">
        <v>5303</v>
      </c>
      <c r="H108" s="1421" t="s">
        <v>3197</v>
      </c>
      <c r="I108" s="67"/>
      <c r="J108" s="4"/>
      <c r="K108" s="87"/>
      <c r="L108" s="1611"/>
      <c r="N108" s="1628"/>
      <c r="O108" s="1628"/>
      <c r="X108" s="1600"/>
    </row>
    <row r="109" spans="2:45" x14ac:dyDescent="0.2">
      <c r="B109" s="79">
        <v>606.1</v>
      </c>
      <c r="C109" s="23"/>
      <c r="D109" s="23"/>
      <c r="E109" s="23"/>
      <c r="F109" s="23"/>
      <c r="G109" s="1421" t="s">
        <v>5303</v>
      </c>
      <c r="H109" s="1421" t="s">
        <v>3197</v>
      </c>
      <c r="I109" s="67"/>
      <c r="J109" s="4"/>
      <c r="K109" s="87"/>
      <c r="L109" s="1431" t="s">
        <v>679</v>
      </c>
      <c r="M109" s="1433"/>
      <c r="N109" s="1436"/>
      <c r="O109" s="1427"/>
      <c r="X109" s="1600"/>
    </row>
    <row r="110" spans="2:45" x14ac:dyDescent="0.2">
      <c r="B110" s="79">
        <v>606.1</v>
      </c>
      <c r="C110" s="23" t="s">
        <v>254</v>
      </c>
      <c r="D110" s="23"/>
      <c r="E110" s="23"/>
      <c r="F110" s="23"/>
      <c r="G110" s="1421" t="s">
        <v>5303</v>
      </c>
      <c r="H110" s="1421" t="s">
        <v>3197</v>
      </c>
      <c r="I110" s="67"/>
      <c r="J110" s="29" t="s">
        <v>254</v>
      </c>
      <c r="K110" s="85"/>
      <c r="L110" s="1611" t="s">
        <v>557</v>
      </c>
      <c r="M110" s="1937">
        <v>3</v>
      </c>
      <c r="N110" s="1436"/>
      <c r="O110" s="1427"/>
      <c r="R110" s="1">
        <f ca="1">COUNTIF(W101:W107,INDEX(INDIRECT(U100),1))+IF(AND(S100,W100=INDEX(INDIRECT(U100),1)),1,0)</f>
        <v>0</v>
      </c>
      <c r="X110" s="1600"/>
    </row>
    <row r="111" spans="2:45" x14ac:dyDescent="0.2">
      <c r="B111" s="79">
        <v>606.1</v>
      </c>
      <c r="C111" s="23" t="s">
        <v>254</v>
      </c>
      <c r="D111" s="23"/>
      <c r="E111" s="23"/>
      <c r="F111" s="23"/>
      <c r="G111" s="1421" t="s">
        <v>5303</v>
      </c>
      <c r="H111" s="1421" t="s">
        <v>3197</v>
      </c>
      <c r="I111" s="67"/>
      <c r="J111" s="213"/>
      <c r="K111" s="170"/>
      <c r="L111" s="1612"/>
      <c r="M111" s="1938"/>
      <c r="N111" s="1436"/>
      <c r="O111" s="1427"/>
      <c r="X111" s="1600"/>
    </row>
    <row r="112" spans="2:45" x14ac:dyDescent="0.2">
      <c r="B112" s="79">
        <v>606.1</v>
      </c>
      <c r="C112" s="23" t="s">
        <v>255</v>
      </c>
      <c r="D112" s="23"/>
      <c r="E112" s="23"/>
      <c r="F112" s="23"/>
      <c r="G112" s="1421" t="s">
        <v>5303</v>
      </c>
      <c r="H112" s="1421" t="s">
        <v>3197</v>
      </c>
      <c r="I112" s="67"/>
      <c r="J112" s="212" t="s">
        <v>255</v>
      </c>
      <c r="K112" s="194"/>
      <c r="L112" s="1613" t="s">
        <v>558</v>
      </c>
      <c r="M112" s="1941">
        <v>6</v>
      </c>
      <c r="N112" s="1436"/>
      <c r="O112" s="1427"/>
      <c r="R112" s="1">
        <f ca="1">COUNTIF(W101:W107,INDEX(INDIRECT(U100),2))+IF(AND(S100,W100=INDEX(INDIRECT(U100),2)),1,0)</f>
        <v>0</v>
      </c>
      <c r="X112" s="1600"/>
    </row>
    <row r="113" spans="2:24" x14ac:dyDescent="0.2">
      <c r="B113" s="79">
        <v>606.1</v>
      </c>
      <c r="C113" s="23" t="s">
        <v>255</v>
      </c>
      <c r="D113" s="23"/>
      <c r="E113" s="23"/>
      <c r="F113" s="23"/>
      <c r="G113" s="1421" t="s">
        <v>5303</v>
      </c>
      <c r="H113" s="1421" t="s">
        <v>3197</v>
      </c>
      <c r="I113" s="67"/>
      <c r="J113" s="213"/>
      <c r="K113" s="170"/>
      <c r="L113" s="1612"/>
      <c r="M113" s="1938"/>
      <c r="N113" s="1436"/>
      <c r="O113" s="1427"/>
      <c r="X113" s="1600"/>
    </row>
    <row r="114" spans="2:24" x14ac:dyDescent="0.2">
      <c r="B114" s="79">
        <v>606.1</v>
      </c>
      <c r="C114" s="23" t="s">
        <v>256</v>
      </c>
      <c r="D114" s="23"/>
      <c r="E114" s="23"/>
      <c r="F114" s="23"/>
      <c r="G114" s="1421" t="s">
        <v>5303</v>
      </c>
      <c r="H114" s="1421" t="s">
        <v>3197</v>
      </c>
      <c r="I114" s="67"/>
      <c r="J114" s="29" t="s">
        <v>256</v>
      </c>
      <c r="K114" s="85"/>
      <c r="L114" s="1611" t="s">
        <v>559</v>
      </c>
      <c r="M114" s="1942" t="s">
        <v>2626</v>
      </c>
      <c r="N114" s="1436"/>
      <c r="O114" s="1427"/>
      <c r="X114" s="1600"/>
    </row>
    <row r="115" spans="2:24" ht="16" thickBot="1" x14ac:dyDescent="0.25">
      <c r="B115" s="79">
        <v>606.1</v>
      </c>
      <c r="C115" s="23" t="s">
        <v>256</v>
      </c>
      <c r="D115" s="23"/>
      <c r="E115" s="23"/>
      <c r="F115" s="23"/>
      <c r="G115" s="1421" t="s">
        <v>5303</v>
      </c>
      <c r="H115" s="1421" t="s">
        <v>3197</v>
      </c>
      <c r="I115" s="67"/>
      <c r="J115" s="4"/>
      <c r="K115" s="85"/>
      <c r="L115" s="1611"/>
      <c r="M115" s="1942"/>
      <c r="N115" s="1436"/>
      <c r="O115" s="1427"/>
      <c r="V115" s="100"/>
      <c r="W115" s="100"/>
      <c r="X115" s="1602"/>
    </row>
    <row r="116" spans="2:24" ht="16" thickTop="1" x14ac:dyDescent="0.2">
      <c r="B116" s="79">
        <v>606.20000000000005</v>
      </c>
      <c r="C116" s="23"/>
      <c r="D116" s="23"/>
      <c r="E116" s="23"/>
      <c r="F116" s="23"/>
      <c r="G116" s="1421" t="s">
        <v>5303</v>
      </c>
      <c r="H116" s="1421" t="s">
        <v>3197</v>
      </c>
      <c r="I116" s="177">
        <v>606.20000000000005</v>
      </c>
      <c r="J116" s="178"/>
      <c r="K116" s="179"/>
      <c r="L116" s="1683" t="s">
        <v>5376</v>
      </c>
      <c r="M116" s="1425"/>
      <c r="N116" s="1685" t="str">
        <f>IF((O131+O134)&gt;0,"Met","Not Met")</f>
        <v>Not Met</v>
      </c>
      <c r="O116" s="1685"/>
      <c r="P116" s="106"/>
      <c r="Q116" s="106"/>
      <c r="R116" s="106"/>
      <c r="S116" s="106"/>
      <c r="T116" s="106"/>
      <c r="U116" s="106"/>
    </row>
    <row r="117" spans="2:24" ht="15.75" customHeight="1" x14ac:dyDescent="0.2">
      <c r="B117" s="79">
        <v>606.20000000000005</v>
      </c>
      <c r="C117" s="23"/>
      <c r="D117" s="23"/>
      <c r="E117" s="23"/>
      <c r="F117" s="23"/>
      <c r="G117" s="1421" t="s">
        <v>5303</v>
      </c>
      <c r="H117" s="1421" t="s">
        <v>3197</v>
      </c>
      <c r="I117" s="67"/>
      <c r="J117" s="4"/>
      <c r="K117" s="85"/>
      <c r="L117" s="1631"/>
      <c r="M117" s="1433"/>
      <c r="N117" s="1628"/>
      <c r="O117" s="1628"/>
    </row>
    <row r="118" spans="2:24" x14ac:dyDescent="0.2">
      <c r="B118" s="79">
        <v>606.20000000000005</v>
      </c>
      <c r="C118" s="23"/>
      <c r="D118" s="23" t="s">
        <v>121</v>
      </c>
      <c r="E118" s="23"/>
      <c r="F118" s="23"/>
      <c r="G118" s="1421" t="s">
        <v>5303</v>
      </c>
      <c r="H118" s="1421" t="s">
        <v>3197</v>
      </c>
      <c r="I118" s="67"/>
      <c r="J118" s="4"/>
      <c r="K118" s="89" t="s">
        <v>121</v>
      </c>
      <c r="L118" s="1441" t="s">
        <v>560</v>
      </c>
      <c r="M118" s="1433"/>
      <c r="N118" s="1436"/>
      <c r="O118" s="1427"/>
    </row>
    <row r="119" spans="2:24" x14ac:dyDescent="0.2">
      <c r="B119" s="79">
        <v>606.20000000000005</v>
      </c>
      <c r="C119" s="23"/>
      <c r="D119" s="23" t="s">
        <v>122</v>
      </c>
      <c r="E119" s="23"/>
      <c r="F119" s="23"/>
      <c r="G119" s="1421" t="s">
        <v>5303</v>
      </c>
      <c r="H119" s="1421" t="s">
        <v>3197</v>
      </c>
      <c r="I119" s="67"/>
      <c r="J119" s="4"/>
      <c r="K119" s="89" t="s">
        <v>122</v>
      </c>
      <c r="L119" s="1611" t="s">
        <v>561</v>
      </c>
      <c r="M119" s="1433"/>
      <c r="N119" s="1436"/>
      <c r="O119" s="1427"/>
    </row>
    <row r="120" spans="2:24" ht="15" customHeight="1" x14ac:dyDescent="0.2">
      <c r="B120" s="79">
        <v>606.20000000000005</v>
      </c>
      <c r="C120" s="23"/>
      <c r="D120" s="23" t="s">
        <v>122</v>
      </c>
      <c r="E120" s="23"/>
      <c r="F120" s="23"/>
      <c r="G120" s="1421" t="s">
        <v>5303</v>
      </c>
      <c r="H120" s="1421" t="s">
        <v>3197</v>
      </c>
      <c r="I120" s="67"/>
      <c r="J120" s="4"/>
      <c r="K120" s="89"/>
      <c r="L120" s="1611"/>
      <c r="M120" s="1433"/>
      <c r="N120" s="1436"/>
      <c r="O120" s="1427"/>
    </row>
    <row r="121" spans="2:24" x14ac:dyDescent="0.2">
      <c r="B121" s="79">
        <v>606.20000000000005</v>
      </c>
      <c r="C121" s="23"/>
      <c r="D121" s="23" t="s">
        <v>123</v>
      </c>
      <c r="E121" s="23"/>
      <c r="F121" s="23"/>
      <c r="G121" s="1421" t="s">
        <v>5303</v>
      </c>
      <c r="H121" s="1421" t="s">
        <v>3197</v>
      </c>
      <c r="I121" s="67"/>
      <c r="J121" s="4"/>
      <c r="K121" s="89" t="s">
        <v>123</v>
      </c>
      <c r="L121" s="236" t="s">
        <v>562</v>
      </c>
      <c r="M121" s="1433"/>
      <c r="N121" s="1436"/>
      <c r="O121" s="1427"/>
    </row>
    <row r="122" spans="2:24" x14ac:dyDescent="0.2">
      <c r="B122" s="79">
        <v>606.20000000000005</v>
      </c>
      <c r="C122" s="23"/>
      <c r="D122" s="28" t="s">
        <v>366</v>
      </c>
      <c r="E122" s="23"/>
      <c r="F122" s="28"/>
      <c r="G122" s="1421" t="s">
        <v>5303</v>
      </c>
      <c r="H122" s="1421" t="s">
        <v>3197</v>
      </c>
      <c r="I122" s="67"/>
      <c r="J122" s="4"/>
      <c r="K122" s="91" t="s">
        <v>366</v>
      </c>
      <c r="L122" s="236" t="s">
        <v>563</v>
      </c>
      <c r="M122" s="1433"/>
      <c r="N122" s="1436"/>
      <c r="O122" s="1427"/>
    </row>
    <row r="123" spans="2:24" x14ac:dyDescent="0.2">
      <c r="B123" s="79">
        <v>606.20000000000005</v>
      </c>
      <c r="C123" s="23"/>
      <c r="D123" s="23" t="s">
        <v>472</v>
      </c>
      <c r="E123" s="23"/>
      <c r="F123" s="23"/>
      <c r="G123" s="1421" t="s">
        <v>5303</v>
      </c>
      <c r="H123" s="1421" t="s">
        <v>3197</v>
      </c>
      <c r="I123" s="67"/>
      <c r="J123" s="4"/>
      <c r="K123" s="87" t="s">
        <v>472</v>
      </c>
      <c r="L123" s="236" t="s">
        <v>564</v>
      </c>
      <c r="M123" s="1433"/>
      <c r="N123" s="1436"/>
      <c r="O123" s="1427"/>
    </row>
    <row r="124" spans="2:24" x14ac:dyDescent="0.2">
      <c r="B124" s="79">
        <v>606.20000000000005</v>
      </c>
      <c r="C124" s="23"/>
      <c r="D124" s="23" t="s">
        <v>510</v>
      </c>
      <c r="E124" s="23"/>
      <c r="F124" s="23"/>
      <c r="G124" s="1421" t="s">
        <v>5303</v>
      </c>
      <c r="H124" s="1421" t="s">
        <v>3197</v>
      </c>
      <c r="I124" s="67"/>
      <c r="J124" s="4"/>
      <c r="K124" s="89" t="s">
        <v>510</v>
      </c>
      <c r="L124" s="1441" t="s">
        <v>565</v>
      </c>
      <c r="M124" s="1433"/>
      <c r="N124" s="1436"/>
      <c r="O124" s="1427"/>
    </row>
    <row r="125" spans="2:24" x14ac:dyDescent="0.2">
      <c r="B125" s="79">
        <v>606.20000000000005</v>
      </c>
      <c r="C125" s="23"/>
      <c r="D125" s="23" t="s">
        <v>512</v>
      </c>
      <c r="E125" s="23"/>
      <c r="F125" s="23"/>
      <c r="G125" s="1421" t="s">
        <v>5303</v>
      </c>
      <c r="H125" s="1421" t="s">
        <v>3197</v>
      </c>
      <c r="I125" s="67"/>
      <c r="J125" s="4"/>
      <c r="K125" s="89" t="s">
        <v>512</v>
      </c>
      <c r="L125" s="1441" t="s">
        <v>566</v>
      </c>
      <c r="M125" s="1433"/>
      <c r="N125" s="1436"/>
      <c r="O125" s="1427"/>
    </row>
    <row r="126" spans="2:24" x14ac:dyDescent="0.2">
      <c r="B126" s="79">
        <v>606.20000000000005</v>
      </c>
      <c r="C126" s="23"/>
      <c r="D126" s="23" t="s">
        <v>514</v>
      </c>
      <c r="E126" s="23"/>
      <c r="F126" s="23"/>
      <c r="G126" s="1421" t="s">
        <v>5303</v>
      </c>
      <c r="H126" s="1421" t="s">
        <v>3197</v>
      </c>
      <c r="I126" s="67"/>
      <c r="J126" s="4"/>
      <c r="K126" s="89" t="s">
        <v>514</v>
      </c>
      <c r="L126" s="1680" t="s">
        <v>5377</v>
      </c>
      <c r="M126" s="1433"/>
      <c r="N126" s="1436"/>
      <c r="O126" s="1427"/>
    </row>
    <row r="127" spans="2:24" ht="15" customHeight="1" x14ac:dyDescent="0.2">
      <c r="B127" s="79">
        <v>606.20000000000005</v>
      </c>
      <c r="C127" s="23"/>
      <c r="D127" s="23" t="s">
        <v>514</v>
      </c>
      <c r="E127" s="23"/>
      <c r="F127" s="23"/>
      <c r="G127" s="1421" t="s">
        <v>5303</v>
      </c>
      <c r="H127" s="1421" t="s">
        <v>3197</v>
      </c>
      <c r="I127" s="67"/>
      <c r="J127" s="4"/>
      <c r="K127" s="89"/>
      <c r="L127" s="1680"/>
      <c r="M127" s="1433"/>
      <c r="N127" s="1436"/>
      <c r="O127" s="1427"/>
    </row>
    <row r="128" spans="2:24" x14ac:dyDescent="0.2">
      <c r="B128" s="79">
        <v>606.20000000000005</v>
      </c>
      <c r="C128" s="23"/>
      <c r="D128" s="23" t="s">
        <v>514</v>
      </c>
      <c r="E128" s="23"/>
      <c r="F128" s="23"/>
      <c r="G128" s="1421" t="s">
        <v>5303</v>
      </c>
      <c r="H128" s="1421" t="s">
        <v>3197</v>
      </c>
      <c r="I128" s="67"/>
      <c r="J128" s="4"/>
      <c r="K128" s="89"/>
      <c r="L128" s="1680"/>
      <c r="M128" s="1433"/>
      <c r="N128" s="1436"/>
      <c r="O128" s="1427"/>
    </row>
    <row r="129" spans="2:45" x14ac:dyDescent="0.2">
      <c r="B129" s="79">
        <v>606.20000000000005</v>
      </c>
      <c r="C129" s="23"/>
      <c r="D129" s="23" t="s">
        <v>514</v>
      </c>
      <c r="E129" s="23"/>
      <c r="F129" s="23"/>
      <c r="G129" s="1421" t="s">
        <v>5303</v>
      </c>
      <c r="H129" s="1421" t="s">
        <v>3197</v>
      </c>
      <c r="I129" s="67"/>
      <c r="J129" s="4"/>
      <c r="K129" s="89"/>
      <c r="L129" s="1680"/>
      <c r="M129" s="1433"/>
      <c r="N129" s="1436"/>
      <c r="O129" s="1427"/>
    </row>
    <row r="130" spans="2:45" x14ac:dyDescent="0.2">
      <c r="B130" s="79">
        <v>606.20000000000005</v>
      </c>
      <c r="C130" s="23"/>
      <c r="D130" s="23" t="s">
        <v>514</v>
      </c>
      <c r="E130" s="23"/>
      <c r="F130" s="23"/>
      <c r="G130" s="1421" t="s">
        <v>5303</v>
      </c>
      <c r="H130" s="1421" t="s">
        <v>3197</v>
      </c>
      <c r="I130" s="67"/>
      <c r="J130" s="4"/>
      <c r="K130" s="89"/>
      <c r="L130" s="1680"/>
      <c r="M130" s="1433"/>
      <c r="N130" s="1436"/>
      <c r="O130" s="1427"/>
      <c r="W130" s="1421" t="s">
        <v>2627</v>
      </c>
    </row>
    <row r="131" spans="2:45" x14ac:dyDescent="0.2">
      <c r="B131" s="79">
        <v>606.20000000000005</v>
      </c>
      <c r="C131" s="23" t="s">
        <v>254</v>
      </c>
      <c r="D131" s="79" t="s">
        <v>2539</v>
      </c>
      <c r="E131" s="23"/>
      <c r="F131" s="79"/>
      <c r="G131" s="1421" t="s">
        <v>5303</v>
      </c>
      <c r="H131" s="1421" t="s">
        <v>3197</v>
      </c>
      <c r="I131" s="67"/>
      <c r="J131" s="29" t="s">
        <v>254</v>
      </c>
      <c r="K131" s="85"/>
      <c r="L131" s="1611" t="s">
        <v>5378</v>
      </c>
      <c r="M131" s="1937">
        <v>3</v>
      </c>
      <c r="N131" s="1644"/>
      <c r="O131" s="1939">
        <f>IF(AND(S131,NOT(ISBLANK(W131)),NOT(ISBLANK(W132))),M131,0)</f>
        <v>0</v>
      </c>
      <c r="P131" s="1421" t="b">
        <v>1</v>
      </c>
      <c r="Q131" s="1421" t="b">
        <v>1</v>
      </c>
      <c r="R131" s="1421" t="b">
        <v>0</v>
      </c>
      <c r="S131" s="1421" t="b">
        <v>1</v>
      </c>
      <c r="T131" s="1421" t="b">
        <f t="shared" ref="T131:T132" si="21">IF(AND(NOT(S131),LEN(W131)&gt;0),TRUE,FALSE)</f>
        <v>0</v>
      </c>
      <c r="U131" s="1421" t="str">
        <f>SUBSTITUTE(SUBSTITUTE(SUBSTITUTE("dd"&amp;B131&amp;C131&amp;D131&amp;E131&amp;F131,".","_"),"(","_"),")","")</f>
        <v>dd606_2_1a</v>
      </c>
      <c r="W131" s="12"/>
      <c r="X131" s="1432"/>
      <c r="AC131" s="1421" t="b">
        <f>OR(AD131:AE131)</f>
        <v>0</v>
      </c>
      <c r="AD131" s="1421" t="b">
        <f>T131</f>
        <v>0</v>
      </c>
      <c r="AE131" s="1421" t="b">
        <f>AND(NOT(ISBLANK(W131)),LEN(X131)=0)</f>
        <v>0</v>
      </c>
      <c r="AP131" s="1421" t="str">
        <f>SUBSTITUTE(SUBSTITUTE(SUBSTITUTE("vcc"&amp;$B131&amp;$C131&amp;$D131&amp;$E131,".","_"),"(","_"),")","")</f>
        <v>vcc606_2_1a</v>
      </c>
      <c r="AQ131" s="1421" t="str">
        <f>IF(LEN(W131)=0,"",W131)</f>
        <v/>
      </c>
      <c r="AR131" s="1421" t="str">
        <f>SUBSTITUTE(SUBSTITUTE(SUBSTITUTE("vcn"&amp;$B131&amp;$C131&amp;$D131&amp;$E131,".","_"),"(","_"),")","")</f>
        <v>vcn606_2_1a</v>
      </c>
      <c r="AS131" s="1421" t="str">
        <f>IF(LEN(X131)=0,"",X131)</f>
        <v/>
      </c>
    </row>
    <row r="132" spans="2:45" ht="15" customHeight="1" x14ac:dyDescent="0.2">
      <c r="B132" s="79">
        <v>606.20000000000005</v>
      </c>
      <c r="C132" s="23" t="s">
        <v>254</v>
      </c>
      <c r="D132" s="79" t="s">
        <v>2540</v>
      </c>
      <c r="E132" s="23"/>
      <c r="F132" s="79"/>
      <c r="G132" s="1421" t="s">
        <v>5303</v>
      </c>
      <c r="H132" s="1421" t="s">
        <v>3197</v>
      </c>
      <c r="I132" s="67"/>
      <c r="J132" s="29"/>
      <c r="K132" s="85"/>
      <c r="L132" s="1611"/>
      <c r="M132" s="1937"/>
      <c r="N132" s="1644"/>
      <c r="O132" s="1939"/>
      <c r="P132" s="1421" t="b">
        <v>1</v>
      </c>
      <c r="Q132" s="1421" t="b">
        <v>1</v>
      </c>
      <c r="R132" s="1421" t="b">
        <v>0</v>
      </c>
      <c r="S132" s="1421" t="b">
        <v>1</v>
      </c>
      <c r="T132" s="1421" t="b">
        <f t="shared" si="21"/>
        <v>0</v>
      </c>
      <c r="U132" s="1421" t="str">
        <f>SUBSTITUTE(SUBSTITUTE(SUBSTITUTE("dd"&amp;B132&amp;C132&amp;D132&amp;E132&amp;F132,".","_"),"(","_"),")","")</f>
        <v>dd606_2_1b</v>
      </c>
      <c r="W132" s="12"/>
      <c r="X132" s="1600"/>
      <c r="AC132" s="1421" t="b">
        <f>OR(AD132:AE132)</f>
        <v>0</v>
      </c>
      <c r="AD132" s="1421" t="b">
        <f>T132</f>
        <v>0</v>
      </c>
      <c r="AE132" s="1421" t="b">
        <f>AND(NOT(ISBLANK(W132)),LEN(X132)=0)</f>
        <v>0</v>
      </c>
      <c r="AP132" s="1421" t="str">
        <f>SUBSTITUTE(SUBSTITUTE(SUBSTITUTE("vcc"&amp;$B132&amp;$C132&amp;$D132&amp;$E132,".","_"),"(","_"),")","")</f>
        <v>vcc606_2_1b</v>
      </c>
      <c r="AQ132" s="1421" t="str">
        <f>IF(LEN(W132)=0,"",W132)</f>
        <v/>
      </c>
      <c r="AR132" s="1421" t="str">
        <f>SUBSTITUTE(SUBSTITUTE(SUBSTITUTE("vcn"&amp;$B132&amp;$C132&amp;$D132&amp;$E132,".","_"),"(","_"),")","")</f>
        <v>vcn606_2_1b</v>
      </c>
      <c r="AS132" s="1421" t="str">
        <f>IF(LEN(X132)=0,"",X132)</f>
        <v/>
      </c>
    </row>
    <row r="133" spans="2:45" x14ac:dyDescent="0.2">
      <c r="B133" s="79">
        <v>606.20000000000005</v>
      </c>
      <c r="C133" s="23" t="s">
        <v>254</v>
      </c>
      <c r="D133" s="79"/>
      <c r="E133" s="23"/>
      <c r="F133" s="79"/>
      <c r="G133" s="1421" t="s">
        <v>5303</v>
      </c>
      <c r="H133" s="1421" t="s">
        <v>3197</v>
      </c>
      <c r="I133" s="67"/>
      <c r="J133" s="207"/>
      <c r="K133" s="170"/>
      <c r="L133" s="1450" t="s">
        <v>2628</v>
      </c>
      <c r="M133" s="1938"/>
      <c r="N133" s="1756"/>
      <c r="O133" s="1940"/>
      <c r="X133" s="1600"/>
    </row>
    <row r="134" spans="2:45" x14ac:dyDescent="0.2">
      <c r="B134" s="79">
        <v>606.20000000000005</v>
      </c>
      <c r="C134" s="23" t="s">
        <v>255</v>
      </c>
      <c r="D134" s="79" t="s">
        <v>2539</v>
      </c>
      <c r="E134" s="23"/>
      <c r="F134" s="79"/>
      <c r="G134" s="1421" t="s">
        <v>5303</v>
      </c>
      <c r="H134" s="1421" t="s">
        <v>3197</v>
      </c>
      <c r="I134" s="67"/>
      <c r="J134" s="29" t="s">
        <v>255</v>
      </c>
      <c r="K134" s="85"/>
      <c r="L134" s="1611" t="s">
        <v>5379</v>
      </c>
      <c r="M134" s="1937">
        <v>4</v>
      </c>
      <c r="N134" s="1758"/>
      <c r="O134" s="1939">
        <f>IF(AND(S134,NOT(ISBLANK(W134)),NOT(ISBLANK(W135))),M134,0)</f>
        <v>0</v>
      </c>
      <c r="P134" s="1421" t="b">
        <v>1</v>
      </c>
      <c r="Q134" s="1421" t="b">
        <v>1</v>
      </c>
      <c r="R134" s="1421" t="b">
        <v>0</v>
      </c>
      <c r="S134" s="1421" t="b">
        <v>1</v>
      </c>
      <c r="T134" s="1421" t="b">
        <f t="shared" ref="T134:T135" si="22">IF(AND(NOT(S134),LEN(W134)&gt;0),TRUE,FALSE)</f>
        <v>0</v>
      </c>
      <c r="U134" s="1421" t="str">
        <f>SUBSTITUTE(SUBSTITUTE(SUBSTITUTE("dd"&amp;B134&amp;C134&amp;D134&amp;E134&amp;F134,".","_"),"(","_"),")","")</f>
        <v>dd606_2_2a</v>
      </c>
      <c r="W134" s="12"/>
      <c r="X134" s="1432"/>
      <c r="AC134" s="1421" t="b">
        <f>OR(AD134:AE134)</f>
        <v>0</v>
      </c>
      <c r="AD134" s="1421" t="b">
        <f>T134</f>
        <v>0</v>
      </c>
      <c r="AE134" s="1421" t="b">
        <f>AND(NOT(ISBLANK(W134)),LEN(X134)=0)</f>
        <v>0</v>
      </c>
      <c r="AP134" s="1421" t="str">
        <f>SUBSTITUTE(SUBSTITUTE(SUBSTITUTE("vcc"&amp;$B134&amp;$C134&amp;$D134&amp;$E134,".","_"),"(","_"),")","")</f>
        <v>vcc606_2_2a</v>
      </c>
      <c r="AQ134" s="1421" t="str">
        <f>IF(LEN(W134)=0,"",W134)</f>
        <v/>
      </c>
      <c r="AR134" s="1421" t="str">
        <f>SUBSTITUTE(SUBSTITUTE(SUBSTITUTE("vcn"&amp;$B134&amp;$C134&amp;$D134&amp;$E134,".","_"),"(","_"),")","")</f>
        <v>vcn606_2_2a</v>
      </c>
      <c r="AS134" s="1421" t="str">
        <f>IF(LEN(X134)=0,"",X134)</f>
        <v/>
      </c>
    </row>
    <row r="135" spans="2:45" ht="15" customHeight="1" x14ac:dyDescent="0.2">
      <c r="B135" s="79">
        <v>606.20000000000005</v>
      </c>
      <c r="C135" s="23" t="s">
        <v>255</v>
      </c>
      <c r="D135" s="79" t="s">
        <v>2540</v>
      </c>
      <c r="E135" s="23"/>
      <c r="F135" s="79"/>
      <c r="G135" s="1421" t="s">
        <v>5303</v>
      </c>
      <c r="H135" s="1421" t="s">
        <v>3197</v>
      </c>
      <c r="I135" s="67"/>
      <c r="J135" s="4"/>
      <c r="K135" s="85"/>
      <c r="L135" s="1611"/>
      <c r="M135" s="1937"/>
      <c r="N135" s="1644"/>
      <c r="O135" s="1939"/>
      <c r="P135" s="1421" t="b">
        <v>1</v>
      </c>
      <c r="Q135" s="1421" t="b">
        <v>1</v>
      </c>
      <c r="R135" s="1421" t="b">
        <v>0</v>
      </c>
      <c r="S135" s="1421" t="b">
        <v>1</v>
      </c>
      <c r="T135" s="1421" t="b">
        <f t="shared" si="22"/>
        <v>0</v>
      </c>
      <c r="U135" s="1421" t="str">
        <f>SUBSTITUTE(SUBSTITUTE(SUBSTITUTE("dd"&amp;B135&amp;C135&amp;D135&amp;E135&amp;F135,".","_"),"(","_"),")","")</f>
        <v>dd606_2_2b</v>
      </c>
      <c r="W135" s="12"/>
      <c r="X135" s="1600"/>
      <c r="AC135" s="1421" t="b">
        <f>OR(AD135:AE135)</f>
        <v>0</v>
      </c>
      <c r="AD135" s="1421" t="b">
        <f>T135</f>
        <v>0</v>
      </c>
      <c r="AE135" s="1421" t="b">
        <f>AND(NOT(ISBLANK(W135)),LEN(X135)=0)</f>
        <v>0</v>
      </c>
      <c r="AP135" s="1421" t="str">
        <f>SUBSTITUTE(SUBSTITUTE(SUBSTITUTE("vcc"&amp;$B135&amp;$C135&amp;$D135&amp;$E135,".","_"),"(","_"),")","")</f>
        <v>vcc606_2_2b</v>
      </c>
      <c r="AQ135" s="1421" t="str">
        <f>IF(LEN(W135)=0,"",W135)</f>
        <v/>
      </c>
      <c r="AR135" s="1421" t="str">
        <f>SUBSTITUTE(SUBSTITUTE(SUBSTITUTE("vcn"&amp;$B135&amp;$C135&amp;$D135&amp;$E135,".","_"),"(","_"),")","")</f>
        <v>vcn606_2_2b</v>
      </c>
      <c r="AS135" s="1421" t="str">
        <f>IF(LEN(X135)=0,"",X135)</f>
        <v/>
      </c>
    </row>
    <row r="136" spans="2:45" ht="16" thickBot="1" x14ac:dyDescent="0.25">
      <c r="B136" s="79">
        <v>606.20000000000005</v>
      </c>
      <c r="C136" s="23" t="s">
        <v>255</v>
      </c>
      <c r="D136" s="80"/>
      <c r="E136" s="23"/>
      <c r="F136" s="80"/>
      <c r="G136" s="1421" t="s">
        <v>5303</v>
      </c>
      <c r="H136" s="1421" t="s">
        <v>3197</v>
      </c>
      <c r="I136" s="67"/>
      <c r="J136" s="4"/>
      <c r="K136" s="85"/>
      <c r="L136" s="1460" t="s">
        <v>2628</v>
      </c>
      <c r="M136" s="1937"/>
      <c r="N136" s="1645"/>
      <c r="O136" s="1939"/>
      <c r="V136" s="100"/>
      <c r="W136" s="113"/>
      <c r="X136" s="1621"/>
    </row>
    <row r="137" spans="2:45" ht="16" thickTop="1" x14ac:dyDescent="0.2">
      <c r="B137" s="79">
        <v>606.29999999999995</v>
      </c>
      <c r="C137" s="858"/>
      <c r="G137" s="1421" t="s">
        <v>5303</v>
      </c>
      <c r="H137" s="1421" t="s">
        <v>3197</v>
      </c>
      <c r="I137" s="177">
        <v>606.29999999999995</v>
      </c>
      <c r="J137" s="178"/>
      <c r="K137" s="179"/>
      <c r="L137" s="1683" t="s">
        <v>5380</v>
      </c>
      <c r="M137" s="1943" t="s">
        <v>547</v>
      </c>
      <c r="N137" s="1685" t="str">
        <f ca="1">IF((IFERROR(MATCH(W137,INDIRECT(U137),0),0)*2)&gt;0, "Met", "Not Met")</f>
        <v>Not Met</v>
      </c>
      <c r="O137" s="1685"/>
      <c r="P137" s="106" t="b">
        <v>1</v>
      </c>
      <c r="Q137" s="106" t="b">
        <v>1</v>
      </c>
      <c r="R137" s="106" t="b">
        <v>0</v>
      </c>
      <c r="S137" s="106" t="b">
        <v>1</v>
      </c>
      <c r="T137" s="106" t="b">
        <f>IF(AND(NOT(S137),LEN(W137)&gt;0),TRUE,FALSE)</f>
        <v>0</v>
      </c>
      <c r="U137" s="106" t="str">
        <f>SUBSTITUTE(SUBSTITUTE(SUBSTITUTE("dd"&amp;B137&amp;C137&amp;D137&amp;E137&amp;F137,".","_"),"(","_"),")","")</f>
        <v>dd606_3</v>
      </c>
      <c r="W137" s="269"/>
      <c r="X137" s="1670"/>
      <c r="AC137" s="1421" t="b">
        <f>OR(AD137:AE137)</f>
        <v>0</v>
      </c>
      <c r="AD137" s="1421" t="b">
        <f>T137</f>
        <v>0</v>
      </c>
      <c r="AE137" s="1421" t="b">
        <f>AND(NOT(ISBLANK(W137)),LEN(X137)=0)</f>
        <v>0</v>
      </c>
      <c r="AP137" s="1421" t="str">
        <f>SUBSTITUTE(SUBSTITUTE(SUBSTITUTE("vcc"&amp;$B137&amp;$C137&amp;$D137&amp;$E137,".","_"),"(","_"),")","")</f>
        <v>vcc606_3</v>
      </c>
      <c r="AQ137" s="1421" t="str">
        <f>IF(LEN(W137)=0,"",W137)</f>
        <v/>
      </c>
      <c r="AR137" s="1421" t="str">
        <f>SUBSTITUTE(SUBSTITUTE(SUBSTITUTE("vcn"&amp;$B137&amp;$C137&amp;$D137&amp;$E137,".","_"),"(","_"),")","")</f>
        <v>vcn606_3</v>
      </c>
      <c r="AS137" s="1421" t="str">
        <f>IF(LEN(X137)=0,"",X137)</f>
        <v/>
      </c>
    </row>
    <row r="138" spans="2:45" x14ac:dyDescent="0.2">
      <c r="B138" s="79">
        <v>606.29999999999995</v>
      </c>
      <c r="C138" s="858"/>
      <c r="G138" s="1421" t="s">
        <v>5303</v>
      </c>
      <c r="H138" s="1421" t="s">
        <v>3197</v>
      </c>
      <c r="I138" s="67"/>
      <c r="J138" s="4"/>
      <c r="K138" s="85"/>
      <c r="L138" s="1631"/>
      <c r="M138" s="1937"/>
      <c r="N138" s="1628"/>
      <c r="O138" s="1628"/>
      <c r="X138" s="1632"/>
    </row>
    <row r="139" spans="2:45" x14ac:dyDescent="0.2">
      <c r="B139" s="79">
        <v>606.29999999999995</v>
      </c>
      <c r="C139" s="858"/>
      <c r="G139" s="1421" t="s">
        <v>5303</v>
      </c>
      <c r="H139" s="1421" t="s">
        <v>3197</v>
      </c>
      <c r="I139" s="67"/>
      <c r="J139" s="4"/>
      <c r="K139" s="85"/>
      <c r="L139" s="1631"/>
      <c r="M139" s="1937"/>
      <c r="N139" s="1628"/>
      <c r="O139" s="1628"/>
      <c r="X139" s="1632"/>
    </row>
    <row r="140" spans="2:45" x14ac:dyDescent="0.2">
      <c r="B140" s="79">
        <v>606.29999999999995</v>
      </c>
      <c r="C140" s="858"/>
      <c r="G140" s="1421" t="s">
        <v>5303</v>
      </c>
      <c r="H140" s="1421" t="s">
        <v>3197</v>
      </c>
      <c r="I140" s="67"/>
      <c r="J140" s="4"/>
      <c r="K140" s="85"/>
      <c r="L140" s="1631"/>
      <c r="M140" s="1937"/>
      <c r="N140" s="1628"/>
      <c r="O140" s="1628"/>
      <c r="X140" s="1632"/>
    </row>
    <row r="141" spans="2:45" x14ac:dyDescent="0.2">
      <c r="B141" s="79">
        <v>606.29999999999995</v>
      </c>
      <c r="C141" s="858"/>
      <c r="G141" s="1421" t="s">
        <v>5303</v>
      </c>
      <c r="H141" s="1421" t="s">
        <v>3197</v>
      </c>
      <c r="I141" s="67"/>
      <c r="J141" s="4"/>
      <c r="K141" s="85"/>
      <c r="L141" s="1474" t="s">
        <v>567</v>
      </c>
      <c r="M141" s="1937"/>
      <c r="N141" s="1628"/>
      <c r="O141" s="1628"/>
      <c r="X141" s="1632"/>
    </row>
    <row r="142" spans="2:45" ht="16" thickBot="1" x14ac:dyDescent="0.25">
      <c r="B142" s="79">
        <v>606.29999999999995</v>
      </c>
      <c r="C142" s="858"/>
      <c r="G142" s="1421" t="s">
        <v>5303</v>
      </c>
      <c r="H142" s="1421" t="s">
        <v>3197</v>
      </c>
      <c r="I142" s="189"/>
      <c r="J142" s="239"/>
      <c r="K142" s="99"/>
      <c r="L142" s="1451" t="s">
        <v>2632</v>
      </c>
      <c r="M142" s="1944"/>
      <c r="N142" s="1627"/>
      <c r="O142" s="1627"/>
      <c r="P142" s="100"/>
      <c r="Q142" s="100"/>
      <c r="R142" s="100"/>
      <c r="S142" s="100"/>
      <c r="T142" s="100"/>
      <c r="U142" s="100"/>
      <c r="V142" s="100"/>
      <c r="W142" s="100"/>
      <c r="X142" s="1648"/>
    </row>
    <row r="143" spans="2:45" ht="16" thickTop="1" x14ac:dyDescent="0.2">
      <c r="B143" s="79">
        <v>608.1</v>
      </c>
      <c r="C143" s="23"/>
      <c r="D143" s="23"/>
      <c r="E143" s="23"/>
      <c r="G143" s="1421" t="s">
        <v>5303</v>
      </c>
      <c r="H143" s="1421" t="s">
        <v>3197</v>
      </c>
      <c r="I143" s="67">
        <v>608.1</v>
      </c>
      <c r="J143" s="4"/>
      <c r="K143" s="85"/>
      <c r="L143" s="1631" t="s">
        <v>5381</v>
      </c>
      <c r="M143" s="1945" t="s">
        <v>2633</v>
      </c>
      <c r="N143" s="1685" t="str">
        <f ca="1">IF((IFERROR(MATCH(W143,INDIRECT(U143),0),0)*3)&gt;0, "Met", "Not Met")</f>
        <v>Not Met</v>
      </c>
      <c r="O143" s="1685"/>
      <c r="P143" s="1421" t="b">
        <v>1</v>
      </c>
      <c r="Q143" s="1421" t="b">
        <v>1</v>
      </c>
      <c r="R143" s="1421" t="b">
        <v>0</v>
      </c>
      <c r="S143" s="1421" t="b">
        <v>1</v>
      </c>
      <c r="T143" s="1421" t="b">
        <f>IF(AND(NOT(S143),LEN(W143)&gt;0),TRUE,FALSE)</f>
        <v>0</v>
      </c>
      <c r="U143" s="1421" t="str">
        <f>SUBSTITUTE(SUBSTITUTE(SUBSTITUTE("dd"&amp;B143&amp;C143&amp;D143&amp;E143&amp;F143,".","_"),"(","_"),")","")</f>
        <v>dd608_1</v>
      </c>
      <c r="W143" s="12"/>
      <c r="X143" s="1632"/>
      <c r="AC143" s="1421" t="b">
        <f>OR(AD143:AE143)</f>
        <v>0</v>
      </c>
      <c r="AD143" s="1421" t="b">
        <f>T143</f>
        <v>0</v>
      </c>
      <c r="AE143" s="1421" t="b">
        <f>AND(NOT(ISBLANK(W143)),LEN(X143)=0)</f>
        <v>0</v>
      </c>
      <c r="AP143" s="1421" t="str">
        <f>SUBSTITUTE(SUBSTITUTE(SUBSTITUTE("vcc"&amp;$B143&amp;$C143&amp;$D143&amp;$E143,".","_"),"(","_"),")","")</f>
        <v>vcc608_1</v>
      </c>
      <c r="AQ143" s="1421" t="str">
        <f>IF(LEN(W143)=0,"",W143)</f>
        <v/>
      </c>
      <c r="AR143" s="1421" t="str">
        <f>SUBSTITUTE(SUBSTITUTE(SUBSTITUTE("vcn"&amp;$B143&amp;$C143&amp;$D143&amp;$E143,".","_"),"(","_"),")","")</f>
        <v>vcn608_1</v>
      </c>
      <c r="AS143" s="1421" t="str">
        <f>IF(LEN(X143)=0,"",X143)</f>
        <v/>
      </c>
    </row>
    <row r="144" spans="2:45" x14ac:dyDescent="0.2">
      <c r="B144" s="79">
        <v>608.1</v>
      </c>
      <c r="C144" s="23"/>
      <c r="D144" s="23"/>
      <c r="E144" s="23"/>
      <c r="G144" s="1421" t="s">
        <v>5303</v>
      </c>
      <c r="H144" s="1421" t="s">
        <v>3197</v>
      </c>
      <c r="I144" s="67"/>
      <c r="J144" s="4"/>
      <c r="K144" s="85"/>
      <c r="L144" s="1631"/>
      <c r="M144" s="1945"/>
      <c r="N144" s="1628"/>
      <c r="O144" s="1628"/>
      <c r="X144" s="1632"/>
    </row>
    <row r="145" spans="2:45" x14ac:dyDescent="0.2">
      <c r="B145" s="79">
        <v>608.1</v>
      </c>
      <c r="C145" s="23"/>
      <c r="D145" s="23"/>
      <c r="E145" s="23"/>
      <c r="G145" s="1421" t="s">
        <v>5303</v>
      </c>
      <c r="H145" s="1421" t="s">
        <v>3197</v>
      </c>
      <c r="I145" s="67"/>
      <c r="J145" s="4"/>
      <c r="K145" s="85"/>
      <c r="L145" s="1631"/>
      <c r="M145" s="1945"/>
      <c r="N145" s="1628"/>
      <c r="O145" s="1628"/>
      <c r="X145" s="1632"/>
    </row>
    <row r="146" spans="2:45" x14ac:dyDescent="0.2">
      <c r="B146" s="79">
        <v>608.1</v>
      </c>
      <c r="C146" s="23" t="s">
        <v>254</v>
      </c>
      <c r="D146" s="23"/>
      <c r="E146" s="23"/>
      <c r="G146" s="1421" t="s">
        <v>5303</v>
      </c>
      <c r="H146" s="1421" t="s">
        <v>3197</v>
      </c>
      <c r="I146" s="67"/>
      <c r="J146" s="29" t="s">
        <v>254</v>
      </c>
      <c r="K146" s="85"/>
      <c r="L146" s="1611" t="s">
        <v>568</v>
      </c>
      <c r="M146" s="1945"/>
      <c r="N146" s="1628"/>
      <c r="O146" s="1628"/>
      <c r="X146" s="1632"/>
    </row>
    <row r="147" spans="2:45" x14ac:dyDescent="0.2">
      <c r="B147" s="79">
        <v>608.1</v>
      </c>
      <c r="C147" s="23" t="s">
        <v>254</v>
      </c>
      <c r="D147" s="23"/>
      <c r="E147" s="23"/>
      <c r="G147" s="1421" t="s">
        <v>5303</v>
      </c>
      <c r="H147" s="1421" t="s">
        <v>3197</v>
      </c>
      <c r="I147" s="67"/>
      <c r="J147" s="29"/>
      <c r="K147" s="85"/>
      <c r="L147" s="1611"/>
      <c r="M147" s="1945"/>
      <c r="N147" s="1628"/>
      <c r="O147" s="1628"/>
      <c r="X147" s="1632"/>
    </row>
    <row r="148" spans="2:45" x14ac:dyDescent="0.2">
      <c r="B148" s="79">
        <v>608.1</v>
      </c>
      <c r="C148" s="23" t="s">
        <v>255</v>
      </c>
      <c r="D148" s="23"/>
      <c r="E148" s="23"/>
      <c r="G148" s="1421" t="s">
        <v>5303</v>
      </c>
      <c r="H148" s="1421" t="s">
        <v>3197</v>
      </c>
      <c r="I148" s="67"/>
      <c r="J148" s="29" t="s">
        <v>255</v>
      </c>
      <c r="K148" s="85"/>
      <c r="L148" s="85" t="s">
        <v>569</v>
      </c>
      <c r="M148" s="1945"/>
      <c r="N148" s="1628"/>
      <c r="O148" s="1628"/>
      <c r="X148" s="1632"/>
    </row>
    <row r="149" spans="2:45" x14ac:dyDescent="0.2">
      <c r="B149" s="79">
        <v>608.1</v>
      </c>
      <c r="C149" s="23" t="s">
        <v>256</v>
      </c>
      <c r="D149" s="23"/>
      <c r="E149" s="23"/>
      <c r="G149" s="1421" t="s">
        <v>5303</v>
      </c>
      <c r="H149" s="1421" t="s">
        <v>3197</v>
      </c>
      <c r="I149" s="67"/>
      <c r="J149" s="29" t="s">
        <v>256</v>
      </c>
      <c r="K149" s="85"/>
      <c r="L149" s="85" t="s">
        <v>570</v>
      </c>
      <c r="M149" s="1945"/>
      <c r="N149" s="1628"/>
      <c r="O149" s="1628"/>
      <c r="X149" s="1632"/>
    </row>
    <row r="150" spans="2:45" ht="15" customHeight="1" thickBot="1" x14ac:dyDescent="0.25">
      <c r="B150" s="79">
        <v>608.1</v>
      </c>
      <c r="C150" s="23"/>
      <c r="D150" s="23"/>
      <c r="E150" s="23"/>
      <c r="G150" s="1421" t="s">
        <v>5303</v>
      </c>
      <c r="H150" s="1421" t="s">
        <v>3197</v>
      </c>
      <c r="I150" s="189"/>
      <c r="J150" s="190"/>
      <c r="K150" s="99"/>
      <c r="L150" s="1451" t="s">
        <v>5382</v>
      </c>
      <c r="M150" s="1946"/>
      <c r="N150" s="1627"/>
      <c r="O150" s="1627"/>
      <c r="P150" s="100"/>
      <c r="Q150" s="100"/>
      <c r="R150" s="100"/>
      <c r="S150" s="100"/>
      <c r="T150" s="100"/>
      <c r="U150" s="100"/>
      <c r="V150" s="100"/>
      <c r="W150" s="100"/>
      <c r="X150" s="1648"/>
    </row>
    <row r="151" spans="2:45" ht="16" thickTop="1" x14ac:dyDescent="0.2">
      <c r="B151" s="79">
        <v>609.1</v>
      </c>
      <c r="C151" s="23" t="s">
        <v>2539</v>
      </c>
      <c r="G151" s="1421" t="s">
        <v>5303</v>
      </c>
      <c r="H151" s="1421" t="s">
        <v>3197</v>
      </c>
      <c r="I151" s="67">
        <v>609.1</v>
      </c>
      <c r="J151" s="4"/>
      <c r="K151" s="85"/>
      <c r="L151" s="1631" t="s">
        <v>5383</v>
      </c>
      <c r="M151" s="1945" t="s">
        <v>5384</v>
      </c>
      <c r="N151" s="1685" t="str">
        <f ca="1">IF(MIN(10,IFERROR(MATCH(W152,INDIRECT(U152),0),0)*2+IFERROR(MATCH(W155,INDIRECT(U155),0),0))&gt;0, "Met", "Not Met")</f>
        <v>Not Met</v>
      </c>
      <c r="O151" s="1685"/>
      <c r="W151" s="1421" t="s">
        <v>2637</v>
      </c>
      <c r="X151" s="1599"/>
      <c r="AR151" s="1421" t="str">
        <f>SUBSTITUTE(SUBSTITUTE(SUBSTITUTE("vcn"&amp;$B151&amp;$C151&amp;$D151&amp;$E151,".","_"),"(","_"),")","")</f>
        <v>vcn609_1a</v>
      </c>
      <c r="AS151" s="1421" t="str">
        <f>IF(LEN(X151)=0,"",X151)</f>
        <v/>
      </c>
    </row>
    <row r="152" spans="2:45" x14ac:dyDescent="0.2">
      <c r="B152" s="79">
        <v>609.1</v>
      </c>
      <c r="C152" s="23" t="s">
        <v>2539</v>
      </c>
      <c r="G152" s="1421" t="s">
        <v>5303</v>
      </c>
      <c r="H152" s="1421" t="s">
        <v>3197</v>
      </c>
      <c r="I152" s="67"/>
      <c r="J152" s="4"/>
      <c r="K152" s="85"/>
      <c r="L152" s="1631"/>
      <c r="M152" s="1945"/>
      <c r="N152" s="1628"/>
      <c r="O152" s="1628"/>
      <c r="P152" s="1421" t="b">
        <v>1</v>
      </c>
      <c r="Q152" s="1421" t="b">
        <v>1</v>
      </c>
      <c r="R152" s="1421" t="b">
        <v>0</v>
      </c>
      <c r="S152" s="1421" t="b">
        <v>1</v>
      </c>
      <c r="T152" s="1421" t="b">
        <f>IF(AND(NOT(S152),LEN(W152)&gt;0),TRUE,FALSE)</f>
        <v>0</v>
      </c>
      <c r="U152" s="1421" t="str">
        <f>SUBSTITUTE(SUBSTITUTE(SUBSTITUTE("dd"&amp;B152&amp;C152&amp;D152&amp;E152&amp;F152,".","_"),"(","_"),")","")</f>
        <v>dd609_1a</v>
      </c>
      <c r="W152" s="12"/>
      <c r="X152" s="1600"/>
      <c r="AC152" s="1421" t="b">
        <f>OR(AD152:AE152)</f>
        <v>0</v>
      </c>
      <c r="AD152" s="1421" t="b">
        <f>T152</f>
        <v>0</v>
      </c>
      <c r="AE152" s="1421" t="b">
        <f>AND(NOT(ISBLANK(W152)),LEN(X151)=0)</f>
        <v>0</v>
      </c>
      <c r="AP152" s="1421" t="str">
        <f>SUBSTITUTE(SUBSTITUTE(SUBSTITUTE("vcc"&amp;$B152&amp;$C152&amp;$D152&amp;$E152,".","_"),"(","_"),")","")</f>
        <v>vcc609_1a</v>
      </c>
      <c r="AQ152" s="1421" t="str">
        <f>IF(LEN(W152)=0,"",W152)</f>
        <v/>
      </c>
    </row>
    <row r="153" spans="2:45" x14ac:dyDescent="0.2">
      <c r="B153" s="79">
        <v>609.1</v>
      </c>
      <c r="C153" s="23"/>
      <c r="G153" s="1421" t="s">
        <v>5303</v>
      </c>
      <c r="H153" s="1421" t="s">
        <v>3197</v>
      </c>
      <c r="I153" s="67"/>
      <c r="J153" s="4"/>
      <c r="K153" s="85"/>
      <c r="L153" s="1707" t="s">
        <v>5385</v>
      </c>
      <c r="M153" s="1945"/>
      <c r="N153" s="1628"/>
      <c r="O153" s="1628"/>
      <c r="X153" s="1600"/>
    </row>
    <row r="154" spans="2:45" x14ac:dyDescent="0.2">
      <c r="B154" s="79">
        <v>609.1</v>
      </c>
      <c r="C154" s="23" t="s">
        <v>2540</v>
      </c>
      <c r="G154" s="1421" t="s">
        <v>5303</v>
      </c>
      <c r="H154" s="1421" t="s">
        <v>3197</v>
      </c>
      <c r="I154" s="67"/>
      <c r="J154" s="4"/>
      <c r="K154" s="85"/>
      <c r="L154" s="1707"/>
      <c r="M154" s="1945"/>
      <c r="N154" s="1628"/>
      <c r="O154" s="1628"/>
      <c r="W154" s="1421" t="s">
        <v>2638</v>
      </c>
      <c r="X154" s="1621"/>
      <c r="AR154" s="1421" t="str">
        <f>SUBSTITUTE(SUBSTITUTE(SUBSTITUTE("vcn"&amp;$B154&amp;$C154&amp;$D154&amp;$E154,".","_"),"(","_"),")","")</f>
        <v>vcn609_1b</v>
      </c>
      <c r="AS154" s="1421" t="str">
        <f>IF(LEN(X154)=0,"",X154)</f>
        <v/>
      </c>
    </row>
    <row r="155" spans="2:45" x14ac:dyDescent="0.2">
      <c r="B155" s="79">
        <v>609.1</v>
      </c>
      <c r="C155" s="23" t="s">
        <v>2540</v>
      </c>
      <c r="G155" s="1421" t="s">
        <v>5303</v>
      </c>
      <c r="H155" s="1421" t="s">
        <v>3197</v>
      </c>
      <c r="I155" s="67"/>
      <c r="J155" s="4"/>
      <c r="K155" s="85"/>
      <c r="L155" s="1707"/>
      <c r="M155" s="1945"/>
      <c r="N155" s="1628"/>
      <c r="O155" s="1628"/>
      <c r="P155" s="1421" t="b">
        <v>1</v>
      </c>
      <c r="Q155" s="1421" t="b">
        <v>1</v>
      </c>
      <c r="R155" s="1421" t="b">
        <v>0</v>
      </c>
      <c r="S155" s="1421" t="b">
        <v>1</v>
      </c>
      <c r="T155" s="1421" t="b">
        <f>IF(AND(NOT(S155),LEN(W155)&gt;0),TRUE,FALSE)</f>
        <v>0</v>
      </c>
      <c r="U155" s="1421" t="str">
        <f>SUBSTITUTE(SUBSTITUTE(SUBSTITUTE("dd"&amp;B155&amp;C155&amp;D155&amp;E155&amp;F155,".","_"),"(","_"),")","")</f>
        <v>dd609_1b</v>
      </c>
      <c r="W155" s="12"/>
      <c r="X155" s="1632"/>
      <c r="AC155" s="1421" t="b">
        <f>OR(AD155:AE155)</f>
        <v>0</v>
      </c>
      <c r="AD155" s="1421" t="b">
        <f>T155</f>
        <v>0</v>
      </c>
      <c r="AE155" s="1421" t="b">
        <f>AND(NOT(ISBLANK(W155)),LEN(X154)=0)</f>
        <v>0</v>
      </c>
      <c r="AP155" s="1421" t="str">
        <f>SUBSTITUTE(SUBSTITUTE(SUBSTITUTE("vcc"&amp;$B155&amp;$C155&amp;$D155&amp;$E155,".","_"),"(","_"),")","")</f>
        <v>vcc609_1b</v>
      </c>
      <c r="AQ155" s="1421" t="str">
        <f>IF(LEN(W155)=0,"",W155)</f>
        <v/>
      </c>
    </row>
    <row r="156" spans="2:45" x14ac:dyDescent="0.2">
      <c r="B156" s="79">
        <v>609.1</v>
      </c>
      <c r="C156" s="23"/>
      <c r="G156" s="1421" t="s">
        <v>5303</v>
      </c>
      <c r="H156" s="1421" t="s">
        <v>3197</v>
      </c>
      <c r="I156" s="67"/>
      <c r="J156" s="4"/>
      <c r="K156" s="85"/>
      <c r="L156" s="1810" t="s">
        <v>5386</v>
      </c>
      <c r="M156" s="1945"/>
      <c r="N156" s="1628"/>
      <c r="O156" s="1628"/>
      <c r="X156" s="1632"/>
    </row>
    <row r="157" spans="2:45" ht="16" thickBot="1" x14ac:dyDescent="0.25">
      <c r="B157" s="79">
        <v>609.1</v>
      </c>
      <c r="C157" s="23"/>
      <c r="G157" s="1421" t="s">
        <v>5303</v>
      </c>
      <c r="H157" s="1421" t="s">
        <v>3197</v>
      </c>
      <c r="I157" s="67"/>
      <c r="J157" s="4"/>
      <c r="K157" s="85"/>
      <c r="L157" s="1811"/>
      <c r="M157" s="1945"/>
      <c r="N157" s="1627"/>
      <c r="O157" s="1627"/>
      <c r="V157" s="100"/>
      <c r="W157" s="100"/>
      <c r="X157" s="1648"/>
    </row>
    <row r="158" spans="2:45" ht="16" thickTop="1" x14ac:dyDescent="0.2">
      <c r="B158" s="79" t="s">
        <v>582</v>
      </c>
      <c r="C158" s="23"/>
      <c r="D158" s="23"/>
      <c r="E158" s="23"/>
      <c r="F158" s="23"/>
      <c r="G158" s="1421" t="s">
        <v>5303</v>
      </c>
      <c r="H158" s="1421" t="s">
        <v>3198</v>
      </c>
      <c r="I158" s="177" t="s">
        <v>582</v>
      </c>
      <c r="J158" s="178"/>
      <c r="K158" s="179"/>
      <c r="L158" s="1683" t="s">
        <v>5387</v>
      </c>
      <c r="M158" s="1943" t="s">
        <v>583</v>
      </c>
      <c r="P158" s="106"/>
      <c r="Q158" s="106"/>
      <c r="R158" s="106"/>
      <c r="S158" s="106"/>
      <c r="T158" s="106"/>
      <c r="U158" s="106"/>
    </row>
    <row r="159" spans="2:45" x14ac:dyDescent="0.2">
      <c r="B159" s="79" t="s">
        <v>582</v>
      </c>
      <c r="C159" s="23"/>
      <c r="D159" s="23"/>
      <c r="E159" s="23"/>
      <c r="F159" s="23"/>
      <c r="G159" s="1421" t="s">
        <v>5303</v>
      </c>
      <c r="H159" s="1421" t="s">
        <v>3198</v>
      </c>
      <c r="I159" s="67"/>
      <c r="J159" s="4"/>
      <c r="K159" s="85"/>
      <c r="L159" s="1631"/>
      <c r="M159" s="1937"/>
    </row>
    <row r="160" spans="2:45" x14ac:dyDescent="0.2">
      <c r="B160" s="79" t="s">
        <v>582</v>
      </c>
      <c r="C160" s="23"/>
      <c r="D160" s="23"/>
      <c r="E160" s="23"/>
      <c r="F160" s="23"/>
      <c r="G160" s="1421" t="s">
        <v>5303</v>
      </c>
      <c r="H160" s="1421" t="s">
        <v>3198</v>
      </c>
      <c r="I160" s="67"/>
      <c r="J160" s="4"/>
      <c r="K160" s="85"/>
      <c r="L160" s="1631"/>
      <c r="M160" s="1937"/>
    </row>
    <row r="161" spans="2:45" x14ac:dyDescent="0.2">
      <c r="B161" s="79" t="s">
        <v>582</v>
      </c>
      <c r="C161" s="23"/>
      <c r="D161" s="23"/>
      <c r="E161" s="23"/>
      <c r="F161" s="23"/>
      <c r="G161" s="1421" t="s">
        <v>5303</v>
      </c>
      <c r="H161" s="1421" t="s">
        <v>3198</v>
      </c>
      <c r="I161" s="219"/>
      <c r="J161" s="213"/>
      <c r="K161" s="170"/>
      <c r="L161" s="1696"/>
      <c r="M161" s="1938"/>
    </row>
    <row r="162" spans="2:45" x14ac:dyDescent="0.2">
      <c r="B162" s="79" t="s">
        <v>584</v>
      </c>
      <c r="C162" s="23"/>
      <c r="D162" s="23"/>
      <c r="E162" s="23"/>
      <c r="F162" s="23"/>
      <c r="G162" s="1421" t="s">
        <v>5303</v>
      </c>
      <c r="H162" s="1421" t="s">
        <v>3198</v>
      </c>
      <c r="I162" s="192" t="s">
        <v>584</v>
      </c>
      <c r="J162" s="193"/>
      <c r="K162" s="194"/>
      <c r="L162" s="1712" t="s">
        <v>5388</v>
      </c>
      <c r="M162" s="1947" t="s">
        <v>5389</v>
      </c>
      <c r="N162" s="1628" t="str">
        <f ca="1">IF(MIN(10,(R165+R172))&gt;0, "Met", "Not Met")</f>
        <v>Not Met</v>
      </c>
      <c r="O162" s="1628"/>
      <c r="W162" s="1554" t="s">
        <v>2652</v>
      </c>
      <c r="X162" s="1600"/>
      <c r="AR162" s="1421" t="str">
        <f>SUBSTITUTE(SUBSTITUTE(SUBSTITUTE("vcn"&amp;$B162&amp;$C162&amp;$D162&amp;$E162,".","_"),"(","_"),")","")</f>
        <v>vcn610_1_2_1</v>
      </c>
      <c r="AS162" s="1421" t="str">
        <f>IF(LEN(X162)=0,"",X162)</f>
        <v/>
      </c>
    </row>
    <row r="163" spans="2:45" x14ac:dyDescent="0.2">
      <c r="B163" s="79" t="s">
        <v>584</v>
      </c>
      <c r="C163" s="23"/>
      <c r="D163" s="23"/>
      <c r="E163" s="23"/>
      <c r="F163" s="23"/>
      <c r="G163" s="1421" t="s">
        <v>5303</v>
      </c>
      <c r="H163" s="1421" t="s">
        <v>3198</v>
      </c>
      <c r="I163" s="67"/>
      <c r="J163" s="4"/>
      <c r="K163" s="85"/>
      <c r="L163" s="1631"/>
      <c r="M163" s="1948"/>
      <c r="N163" s="1628"/>
      <c r="O163" s="1628"/>
      <c r="W163" s="1554"/>
      <c r="X163" s="1600"/>
    </row>
    <row r="164" spans="2:45" x14ac:dyDescent="0.2">
      <c r="B164" s="79" t="s">
        <v>584</v>
      </c>
      <c r="C164" s="23" t="s">
        <v>2539</v>
      </c>
      <c r="D164" s="23"/>
      <c r="E164" s="23"/>
      <c r="F164" s="23"/>
      <c r="G164" s="1421" t="s">
        <v>5303</v>
      </c>
      <c r="H164" s="1421" t="s">
        <v>3198</v>
      </c>
      <c r="I164" s="67"/>
      <c r="J164" s="4"/>
      <c r="K164" s="85"/>
      <c r="L164" s="1631"/>
      <c r="M164" s="1948"/>
      <c r="N164" s="1628"/>
      <c r="O164" s="1628"/>
      <c r="P164" s="1421" t="b">
        <v>1</v>
      </c>
      <c r="Q164" s="1421" t="b">
        <v>0</v>
      </c>
      <c r="R164" s="1421" t="b">
        <v>0</v>
      </c>
      <c r="S164" s="1421" t="b">
        <v>1</v>
      </c>
      <c r="T164" s="1421" t="b">
        <f>IF(AND(NOT(S164),LEN(W164)&gt;0),TRUE,FALSE)</f>
        <v>0</v>
      </c>
      <c r="U164" s="1421" t="str">
        <f>SUBSTITUTE(SUBSTITUTE(SUBSTITUTE("dd"&amp;B164&amp;C164&amp;D164&amp;E164&amp;F164,".","_"),"(","_"),")","")</f>
        <v>dd610_1_2_1a</v>
      </c>
      <c r="W164" s="12"/>
      <c r="X164" s="1600"/>
      <c r="AC164" s="1421" t="b">
        <f>OR(AD164:AE164)</f>
        <v>0</v>
      </c>
      <c r="AD164" s="1421" t="b">
        <f>T164</f>
        <v>0</v>
      </c>
      <c r="AE164" s="1421" t="b">
        <f>AND(NOT(ISBLANK(W164)),LEN(X162)=0)</f>
        <v>0</v>
      </c>
      <c r="AF164" s="1421" t="b">
        <f>AND(AE164,NOT(Q164))</f>
        <v>0</v>
      </c>
      <c r="AP164" s="1421" t="str">
        <f>SUBSTITUTE(SUBSTITUTE(SUBSTITUTE("vcc"&amp;$B164&amp;$C164&amp;$D164&amp;$E164,".","_"),"(","_"),")","")</f>
        <v>vcc610_1_2_1a</v>
      </c>
      <c r="AQ164" s="1421" t="str">
        <f>IF(LEN(W164)=0,"",W164)</f>
        <v/>
      </c>
    </row>
    <row r="165" spans="2:45" x14ac:dyDescent="0.2">
      <c r="B165" s="79" t="s">
        <v>584</v>
      </c>
      <c r="C165" s="23"/>
      <c r="D165" s="23" t="s">
        <v>121</v>
      </c>
      <c r="E165" s="23"/>
      <c r="F165" s="23"/>
      <c r="G165" s="1421" t="s">
        <v>5303</v>
      </c>
      <c r="H165" s="1421" t="s">
        <v>3198</v>
      </c>
      <c r="I165" s="67"/>
      <c r="J165" s="4"/>
      <c r="K165" s="89" t="s">
        <v>121</v>
      </c>
      <c r="L165" s="85" t="s">
        <v>574</v>
      </c>
      <c r="M165" s="1948"/>
      <c r="N165" s="1436"/>
      <c r="O165" s="1427"/>
      <c r="R165" s="1">
        <f ca="1">2*IFERROR(MATCH(W164,INDIRECT(U164),0),0)*S164</f>
        <v>0</v>
      </c>
      <c r="X165" s="1600"/>
    </row>
    <row r="166" spans="2:45" x14ac:dyDescent="0.2">
      <c r="B166" s="79" t="s">
        <v>584</v>
      </c>
      <c r="C166" s="23"/>
      <c r="D166" s="23" t="s">
        <v>122</v>
      </c>
      <c r="E166" s="23"/>
      <c r="F166" s="23"/>
      <c r="G166" s="1421" t="s">
        <v>5303</v>
      </c>
      <c r="H166" s="1421" t="s">
        <v>3198</v>
      </c>
      <c r="I166" s="67"/>
      <c r="J166" s="4"/>
      <c r="K166" s="89" t="s">
        <v>122</v>
      </c>
      <c r="L166" s="85" t="s">
        <v>575</v>
      </c>
      <c r="M166" s="1948"/>
      <c r="N166" s="1436"/>
      <c r="O166" s="1427"/>
      <c r="X166" s="1600"/>
    </row>
    <row r="167" spans="2:45" x14ac:dyDescent="0.2">
      <c r="B167" s="79" t="s">
        <v>584</v>
      </c>
      <c r="C167" s="23"/>
      <c r="D167" s="23" t="s">
        <v>123</v>
      </c>
      <c r="E167" s="23"/>
      <c r="F167" s="23"/>
      <c r="G167" s="1421" t="s">
        <v>5303</v>
      </c>
      <c r="H167" s="1421" t="s">
        <v>3198</v>
      </c>
      <c r="I167" s="67"/>
      <c r="J167" s="4"/>
      <c r="K167" s="89" t="s">
        <v>123</v>
      </c>
      <c r="L167" s="85" t="s">
        <v>576</v>
      </c>
      <c r="M167" s="1948"/>
      <c r="N167" s="1436"/>
      <c r="O167" s="1427"/>
      <c r="X167" s="1600"/>
    </row>
    <row r="168" spans="2:45" x14ac:dyDescent="0.2">
      <c r="B168" s="79" t="s">
        <v>584</v>
      </c>
      <c r="C168" s="23"/>
      <c r="D168" s="28" t="s">
        <v>366</v>
      </c>
      <c r="E168" s="23"/>
      <c r="F168" s="28"/>
      <c r="G168" s="1421" t="s">
        <v>5303</v>
      </c>
      <c r="H168" s="1421" t="s">
        <v>3198</v>
      </c>
      <c r="I168" s="67"/>
      <c r="J168" s="4"/>
      <c r="K168" s="91" t="s">
        <v>366</v>
      </c>
      <c r="L168" s="85" t="s">
        <v>577</v>
      </c>
      <c r="M168" s="1948"/>
      <c r="N168" s="1436"/>
      <c r="O168" s="1427"/>
      <c r="X168" s="1600"/>
    </row>
    <row r="169" spans="2:45" x14ac:dyDescent="0.2">
      <c r="B169" s="79" t="s">
        <v>584</v>
      </c>
      <c r="C169" s="23"/>
      <c r="D169" s="23" t="s">
        <v>472</v>
      </c>
      <c r="E169" s="23"/>
      <c r="F169" s="23"/>
      <c r="G169" s="1421" t="s">
        <v>5303</v>
      </c>
      <c r="H169" s="1421" t="s">
        <v>3198</v>
      </c>
      <c r="I169" s="67"/>
      <c r="J169" s="4"/>
      <c r="K169" s="87" t="s">
        <v>472</v>
      </c>
      <c r="L169" s="85" t="s">
        <v>578</v>
      </c>
      <c r="M169" s="1948"/>
      <c r="N169" s="1436"/>
      <c r="O169" s="1427"/>
      <c r="W169" s="1554" t="s">
        <v>2651</v>
      </c>
      <c r="X169" s="1600"/>
      <c r="AR169" s="1421" t="str">
        <f>SUBSTITUTE(SUBSTITUTE(SUBSTITUTE("vcn"&amp;$B169&amp;$C169&amp;$D169&amp;$E169,".","_"),"(","_"),")","")</f>
        <v>vcn610_1_2_1_e</v>
      </c>
      <c r="AS169" s="1421" t="str">
        <f>IF(LEN(X169)=0,"",X169)</f>
        <v/>
      </c>
    </row>
    <row r="170" spans="2:45" x14ac:dyDescent="0.2">
      <c r="B170" s="79" t="s">
        <v>584</v>
      </c>
      <c r="C170" s="23"/>
      <c r="D170" s="23" t="s">
        <v>510</v>
      </c>
      <c r="E170" s="23"/>
      <c r="F170" s="23"/>
      <c r="G170" s="1421" t="s">
        <v>5303</v>
      </c>
      <c r="H170" s="1421" t="s">
        <v>3198</v>
      </c>
      <c r="I170" s="67"/>
      <c r="J170" s="4"/>
      <c r="K170" s="89" t="s">
        <v>510</v>
      </c>
      <c r="L170" s="85" t="s">
        <v>579</v>
      </c>
      <c r="M170" s="1948"/>
      <c r="N170" s="1436"/>
      <c r="O170" s="1427"/>
      <c r="W170" s="1554"/>
      <c r="X170" s="1600"/>
    </row>
    <row r="171" spans="2:45" x14ac:dyDescent="0.2">
      <c r="B171" s="79" t="s">
        <v>584</v>
      </c>
      <c r="C171" s="23" t="s">
        <v>2540</v>
      </c>
      <c r="D171" s="23"/>
      <c r="E171" s="23"/>
      <c r="F171" s="23"/>
      <c r="G171" s="1421" t="s">
        <v>5303</v>
      </c>
      <c r="H171" s="1421" t="s">
        <v>3198</v>
      </c>
      <c r="I171" s="67"/>
      <c r="J171" s="4"/>
      <c r="L171" s="1707" t="s">
        <v>585</v>
      </c>
      <c r="M171" s="1948"/>
      <c r="N171" s="1436"/>
      <c r="O171" s="1427"/>
      <c r="P171" s="1421" t="b">
        <v>1</v>
      </c>
      <c r="Q171" s="1421" t="b">
        <v>0</v>
      </c>
      <c r="R171" s="1421" t="b">
        <v>0</v>
      </c>
      <c r="S171" s="1421" t="b">
        <v>1</v>
      </c>
      <c r="T171" s="1421" t="b">
        <f>IF(AND(NOT(S171),LEN(W171)&gt;0),TRUE,FALSE)</f>
        <v>0</v>
      </c>
      <c r="U171" s="1421" t="str">
        <f>SUBSTITUTE(SUBSTITUTE(SUBSTITUTE("dd"&amp;B171&amp;C171&amp;D171&amp;E171&amp;F171,".","_"),"(","_"),")","")</f>
        <v>dd610_1_2_1b</v>
      </c>
      <c r="W171" s="12"/>
      <c r="X171" s="1600"/>
      <c r="AC171" s="1421" t="b">
        <f>OR(AD171:AE171)</f>
        <v>0</v>
      </c>
      <c r="AD171" s="1421" t="b">
        <f>T171</f>
        <v>0</v>
      </c>
      <c r="AE171" s="1421" t="b">
        <f>AND(NOT(ISBLANK(W171)),LEN(X169)=0)</f>
        <v>0</v>
      </c>
      <c r="AF171" s="1421" t="b">
        <f>AND(AE171,NOT(Q171))</f>
        <v>0</v>
      </c>
      <c r="AP171" s="1421" t="str">
        <f>SUBSTITUTE(SUBSTITUTE(SUBSTITUTE("vcc"&amp;$B171&amp;$C171&amp;$D171&amp;$E171,".","_"),"(","_"),")","")</f>
        <v>vcc610_1_2_1b</v>
      </c>
      <c r="AQ171" s="1421" t="str">
        <f>IF(LEN(W171)=0,"",W171)</f>
        <v/>
      </c>
    </row>
    <row r="172" spans="2:45" x14ac:dyDescent="0.2">
      <c r="B172" s="79" t="s">
        <v>584</v>
      </c>
      <c r="C172" s="23"/>
      <c r="D172" s="23"/>
      <c r="E172" s="23"/>
      <c r="F172" s="23"/>
      <c r="G172" s="1421" t="s">
        <v>5303</v>
      </c>
      <c r="H172" s="1421" t="s">
        <v>3198</v>
      </c>
      <c r="I172" s="67"/>
      <c r="J172" s="4"/>
      <c r="K172" s="1443"/>
      <c r="L172" s="1707"/>
      <c r="M172" s="1948"/>
      <c r="N172" s="1436"/>
      <c r="O172" s="1427"/>
      <c r="R172" s="1">
        <f ca="1">3*IFERROR(MATCH(W171,INDIRECT(U171),0),0)*S171</f>
        <v>0</v>
      </c>
      <c r="X172" s="1600"/>
    </row>
    <row r="173" spans="2:45" x14ac:dyDescent="0.2">
      <c r="B173" s="79" t="s">
        <v>584</v>
      </c>
      <c r="C173" s="23"/>
      <c r="D173" s="23"/>
      <c r="E173" s="23"/>
      <c r="F173" s="23"/>
      <c r="G173" s="1421" t="s">
        <v>5303</v>
      </c>
      <c r="H173" s="1421" t="s">
        <v>3198</v>
      </c>
      <c r="I173" s="67"/>
      <c r="J173" s="4"/>
      <c r="K173" s="1443"/>
      <c r="L173" s="1707"/>
      <c r="M173" s="1948"/>
      <c r="N173" s="1436"/>
      <c r="O173" s="1427"/>
      <c r="X173" s="1600"/>
    </row>
    <row r="174" spans="2:45" x14ac:dyDescent="0.2">
      <c r="B174" s="79" t="s">
        <v>584</v>
      </c>
      <c r="C174" s="23"/>
      <c r="D174" s="23"/>
      <c r="E174" s="23"/>
      <c r="F174" s="23"/>
      <c r="G174" s="1421" t="s">
        <v>5303</v>
      </c>
      <c r="H174" s="1421" t="s">
        <v>3198</v>
      </c>
      <c r="I174" s="67"/>
      <c r="J174" s="4"/>
      <c r="K174" s="1443"/>
      <c r="L174" s="1673" t="s">
        <v>2650</v>
      </c>
      <c r="M174" s="1948"/>
      <c r="N174" s="1436"/>
      <c r="O174" s="1427"/>
      <c r="X174" s="1600"/>
    </row>
    <row r="175" spans="2:45" x14ac:dyDescent="0.2">
      <c r="B175" s="79" t="s">
        <v>584</v>
      </c>
      <c r="C175" s="23"/>
      <c r="D175" s="23"/>
      <c r="E175" s="23"/>
      <c r="F175" s="23"/>
      <c r="G175" s="1421" t="s">
        <v>5303</v>
      </c>
      <c r="H175" s="1421" t="s">
        <v>3198</v>
      </c>
      <c r="I175" s="219"/>
      <c r="J175" s="213"/>
      <c r="K175" s="1445"/>
      <c r="L175" s="1731"/>
      <c r="M175" s="1949"/>
      <c r="N175" s="1448"/>
      <c r="O175" s="1429"/>
      <c r="X175" s="1600"/>
    </row>
    <row r="176" spans="2:45" x14ac:dyDescent="0.2">
      <c r="B176" s="79" t="s">
        <v>586</v>
      </c>
      <c r="C176" s="23" t="s">
        <v>2539</v>
      </c>
      <c r="D176" s="23"/>
      <c r="E176" s="23"/>
      <c r="F176" s="23"/>
      <c r="G176" s="1421" t="s">
        <v>5303</v>
      </c>
      <c r="H176" s="1421" t="s">
        <v>3198</v>
      </c>
      <c r="I176" s="67" t="s">
        <v>586</v>
      </c>
      <c r="J176" s="4"/>
      <c r="K176" s="85"/>
      <c r="L176" s="1631" t="s">
        <v>5390</v>
      </c>
      <c r="M176" s="1950" t="s">
        <v>5391</v>
      </c>
      <c r="N176" s="1628" t="str">
        <f ca="1">IF(MIN(10,IFERROR((INDEX({3,3,6,4,4,6,8,5,5,9,9,10},MATCH(R176*4+S176*5,{8,9,10,12,13,14,15,16,17,18,19,20},0))),0))&gt;0, "Met", "Not Met")</f>
        <v>Not Met</v>
      </c>
      <c r="O176" s="1628"/>
      <c r="R176" s="1421">
        <f ca="1">COUNTIF(W177:W195,INDEX(INDIRECT(U177),1))*S177</f>
        <v>0</v>
      </c>
      <c r="S176" s="1421">
        <f ca="1">COUNTIF(W177:W195,INDEX(INDIRECT(U177),2))*S177</f>
        <v>0</v>
      </c>
      <c r="W176" s="1421" t="s">
        <v>2661</v>
      </c>
      <c r="X176" s="1600"/>
      <c r="AR176" s="1421" t="str">
        <f>SUBSTITUTE(SUBSTITUTE(SUBSTITUTE("vcn"&amp;$B176&amp;$C176&amp;$D176&amp;$E176,".","_"),"(","_"),")","")</f>
        <v>vcn610_1_2_2a</v>
      </c>
      <c r="AS176" s="1421" t="str">
        <f>IF(LEN(X176)=0,"",X176)</f>
        <v/>
      </c>
    </row>
    <row r="177" spans="2:45" x14ac:dyDescent="0.2">
      <c r="B177" s="79" t="s">
        <v>586</v>
      </c>
      <c r="C177" s="23" t="s">
        <v>2539</v>
      </c>
      <c r="D177" s="23"/>
      <c r="E177" s="23"/>
      <c r="F177" s="23"/>
      <c r="G177" s="1421" t="s">
        <v>5303</v>
      </c>
      <c r="H177" s="1421" t="s">
        <v>3198</v>
      </c>
      <c r="I177" s="67"/>
      <c r="J177" s="4"/>
      <c r="K177" s="85"/>
      <c r="L177" s="1631"/>
      <c r="M177" s="1950"/>
      <c r="N177" s="1628"/>
      <c r="O177" s="1628"/>
      <c r="P177" s="1421" t="b">
        <v>1</v>
      </c>
      <c r="Q177" s="1421" t="b">
        <v>0</v>
      </c>
      <c r="R177" s="1421" t="b">
        <v>0</v>
      </c>
      <c r="S177" s="1421" t="b">
        <v>1</v>
      </c>
      <c r="T177" s="1421" t="b">
        <f>IF(AND(NOT(S177),LEN(W177)&gt;0),TRUE,FALSE)</f>
        <v>0</v>
      </c>
      <c r="U177" s="1421" t="str">
        <f>SUBSTITUTE(SUBSTITUTE(SUBSTITUTE("dd"&amp;B177&amp;C177&amp;D177&amp;E177&amp;F177,".","_"),"(","_"),")","")</f>
        <v>dd610_1_2_2a</v>
      </c>
      <c r="W177" s="12"/>
      <c r="X177" s="1600"/>
      <c r="AC177" s="1421" t="b">
        <f>OR(AD177:AE177)</f>
        <v>0</v>
      </c>
      <c r="AD177" s="1421" t="b">
        <f>T177</f>
        <v>0</v>
      </c>
      <c r="AE177" s="1421" t="b">
        <f>AND(NOT(ISBLANK(W177)),LEN(X176)=0)</f>
        <v>0</v>
      </c>
      <c r="AF177" s="1421" t="b">
        <f>AND(AE177,NOT(Q177))</f>
        <v>0</v>
      </c>
      <c r="AP177" s="1421" t="str">
        <f>SUBSTITUTE(SUBSTITUTE(SUBSTITUTE("vcc"&amp;$B177&amp;$C177&amp;$D177&amp;$E177,".","_"),"(","_"),")","")</f>
        <v>vcc610_1_2_2a</v>
      </c>
      <c r="AQ177" s="1421" t="str">
        <f>IF(LEN(W177)=0,"",W177)</f>
        <v/>
      </c>
    </row>
    <row r="178" spans="2:45" x14ac:dyDescent="0.2">
      <c r="B178" s="79" t="s">
        <v>586</v>
      </c>
      <c r="C178" s="23"/>
      <c r="D178" s="23"/>
      <c r="E178" s="23"/>
      <c r="F178" s="23"/>
      <c r="G178" s="1421" t="s">
        <v>5303</v>
      </c>
      <c r="H178" s="1421" t="s">
        <v>3198</v>
      </c>
      <c r="I178" s="67"/>
      <c r="J178" s="4"/>
      <c r="K178" s="85"/>
      <c r="L178" s="1631"/>
      <c r="M178" s="1950"/>
      <c r="N178" s="1628"/>
      <c r="O178" s="1628"/>
      <c r="X178" s="1600"/>
    </row>
    <row r="179" spans="2:45" x14ac:dyDescent="0.2">
      <c r="B179" s="79" t="s">
        <v>586</v>
      </c>
      <c r="C179" s="23"/>
      <c r="D179" s="23"/>
      <c r="E179" s="23"/>
      <c r="F179" s="23"/>
      <c r="G179" s="1421" t="s">
        <v>5303</v>
      </c>
      <c r="H179" s="1421" t="s">
        <v>3198</v>
      </c>
      <c r="I179" s="67"/>
      <c r="J179" s="4"/>
      <c r="K179" s="85"/>
      <c r="L179" s="1631"/>
      <c r="M179" s="1950"/>
      <c r="N179" s="1628"/>
      <c r="O179" s="1628"/>
      <c r="X179" s="1600"/>
    </row>
    <row r="180" spans="2:45" x14ac:dyDescent="0.2">
      <c r="B180" s="79" t="s">
        <v>586</v>
      </c>
      <c r="C180" s="23"/>
      <c r="D180" s="23"/>
      <c r="E180" s="23"/>
      <c r="F180" s="23"/>
      <c r="G180" s="1421" t="s">
        <v>5303</v>
      </c>
      <c r="H180" s="1421" t="s">
        <v>3198</v>
      </c>
      <c r="I180" s="67"/>
      <c r="J180" s="4"/>
      <c r="K180" s="85"/>
      <c r="L180" s="1631"/>
      <c r="M180" s="1950"/>
      <c r="N180" s="1628"/>
      <c r="O180" s="1628"/>
      <c r="X180" s="1600"/>
    </row>
    <row r="181" spans="2:45" x14ac:dyDescent="0.2">
      <c r="B181" s="79" t="s">
        <v>586</v>
      </c>
      <c r="C181" s="23"/>
      <c r="D181" s="23"/>
      <c r="E181" s="23"/>
      <c r="F181" s="23"/>
      <c r="G181" s="1421" t="s">
        <v>5303</v>
      </c>
      <c r="H181" s="1421" t="s">
        <v>3198</v>
      </c>
      <c r="I181" s="67"/>
      <c r="J181" s="4"/>
      <c r="K181" s="85"/>
      <c r="L181" s="1631"/>
      <c r="M181" s="1950"/>
      <c r="N181" s="1628"/>
      <c r="O181" s="1628"/>
      <c r="X181" s="1600"/>
    </row>
    <row r="182" spans="2:45" x14ac:dyDescent="0.2">
      <c r="B182" s="79" t="s">
        <v>586</v>
      </c>
      <c r="C182" s="23" t="s">
        <v>2540</v>
      </c>
      <c r="D182" s="23"/>
      <c r="E182" s="23"/>
      <c r="F182" s="23"/>
      <c r="G182" s="1421" t="s">
        <v>5303</v>
      </c>
      <c r="H182" s="1421" t="s">
        <v>3198</v>
      </c>
      <c r="I182" s="67"/>
      <c r="J182" s="4"/>
      <c r="K182" s="85"/>
      <c r="L182" s="1631"/>
      <c r="M182" s="1950"/>
      <c r="N182" s="1628"/>
      <c r="O182" s="1628"/>
      <c r="W182" s="1421" t="s">
        <v>2662</v>
      </c>
      <c r="X182" s="1600"/>
      <c r="AR182" s="1421" t="str">
        <f>SUBSTITUTE(SUBSTITUTE(SUBSTITUTE("vcn"&amp;$B182&amp;$C182&amp;$D182&amp;$E182,".","_"),"(","_"),")","")</f>
        <v>vcn610_1_2_2b</v>
      </c>
      <c r="AS182" s="1421" t="str">
        <f>IF(LEN(X182)=0,"",X182)</f>
        <v/>
      </c>
    </row>
    <row r="183" spans="2:45" x14ac:dyDescent="0.2">
      <c r="B183" s="79" t="s">
        <v>586</v>
      </c>
      <c r="C183" s="23" t="s">
        <v>2540</v>
      </c>
      <c r="D183" s="23"/>
      <c r="E183" s="23"/>
      <c r="F183" s="23"/>
      <c r="G183" s="1421" t="s">
        <v>5303</v>
      </c>
      <c r="H183" s="1421" t="s">
        <v>3198</v>
      </c>
      <c r="I183" s="67"/>
      <c r="J183" s="4"/>
      <c r="K183" s="85"/>
      <c r="L183" s="1631"/>
      <c r="M183" s="1950"/>
      <c r="N183" s="1628"/>
      <c r="O183" s="1628"/>
      <c r="P183" s="1421" t="b">
        <v>1</v>
      </c>
      <c r="Q183" s="1421" t="b">
        <v>0</v>
      </c>
      <c r="R183" s="1421" t="b">
        <v>0</v>
      </c>
      <c r="S183" s="1421" t="b">
        <v>1</v>
      </c>
      <c r="T183" s="1421" t="b">
        <f>IF(AND(NOT(S183),LEN(W183)&gt;0),TRUE,FALSE)</f>
        <v>0</v>
      </c>
      <c r="U183" s="1421" t="str">
        <f>SUBSTITUTE(SUBSTITUTE(SUBSTITUTE("dd"&amp;B183&amp;C183&amp;D183&amp;E183&amp;F183,".","_"),"(","_"),")","")</f>
        <v>dd610_1_2_2b</v>
      </c>
      <c r="W183" s="12"/>
      <c r="X183" s="1600"/>
      <c r="AC183" s="1421" t="b">
        <f>OR(AD183:AE183)</f>
        <v>0</v>
      </c>
      <c r="AD183" s="1421" t="b">
        <f>T183</f>
        <v>0</v>
      </c>
      <c r="AE183" s="1421" t="b">
        <f>AND(NOT(ISBLANK(W183)),LEN(X182)=0)</f>
        <v>0</v>
      </c>
      <c r="AF183" s="1421" t="b">
        <f>AND(AE183,NOT(Q183))</f>
        <v>0</v>
      </c>
      <c r="AP183" s="1421" t="str">
        <f>SUBSTITUTE(SUBSTITUTE(SUBSTITUTE("vcc"&amp;$B183&amp;$C183&amp;$D183&amp;$E183,".","_"),"(","_"),")","")</f>
        <v>vcc610_1_2_2b</v>
      </c>
      <c r="AQ183" s="1421" t="str">
        <f>IF(LEN(W183)=0,"",W183)</f>
        <v/>
      </c>
    </row>
    <row r="184" spans="2:45" x14ac:dyDescent="0.2">
      <c r="B184" s="79" t="s">
        <v>586</v>
      </c>
      <c r="C184" s="23"/>
      <c r="D184" s="23" t="s">
        <v>121</v>
      </c>
      <c r="E184" s="23"/>
      <c r="F184" s="23"/>
      <c r="G184" s="1421" t="s">
        <v>5303</v>
      </c>
      <c r="H184" s="1421" t="s">
        <v>3198</v>
      </c>
      <c r="I184" s="67"/>
      <c r="J184" s="4"/>
      <c r="K184" s="89" t="s">
        <v>121</v>
      </c>
      <c r="L184" s="85" t="s">
        <v>587</v>
      </c>
      <c r="M184" s="1950"/>
      <c r="N184" s="1436"/>
      <c r="O184" s="1427"/>
      <c r="X184" s="1600"/>
    </row>
    <row r="185" spans="2:45" x14ac:dyDescent="0.2">
      <c r="B185" s="79" t="s">
        <v>586</v>
      </c>
      <c r="C185" s="23"/>
      <c r="D185" s="23" t="s">
        <v>122</v>
      </c>
      <c r="E185" s="23"/>
      <c r="F185" s="23"/>
      <c r="G185" s="1421" t="s">
        <v>5303</v>
      </c>
      <c r="H185" s="1421" t="s">
        <v>3198</v>
      </c>
      <c r="I185" s="67"/>
      <c r="J185" s="4"/>
      <c r="K185" s="89" t="s">
        <v>122</v>
      </c>
      <c r="L185" s="85" t="s">
        <v>588</v>
      </c>
      <c r="M185" s="1950"/>
      <c r="N185" s="1436"/>
      <c r="O185" s="1427"/>
      <c r="X185" s="1600"/>
    </row>
    <row r="186" spans="2:45" x14ac:dyDescent="0.2">
      <c r="B186" s="79" t="s">
        <v>586</v>
      </c>
      <c r="C186" s="23"/>
      <c r="D186" s="23" t="s">
        <v>123</v>
      </c>
      <c r="E186" s="23"/>
      <c r="F186" s="23"/>
      <c r="G186" s="1421" t="s">
        <v>5303</v>
      </c>
      <c r="H186" s="1421" t="s">
        <v>3198</v>
      </c>
      <c r="I186" s="67"/>
      <c r="J186" s="4"/>
      <c r="K186" s="89" t="s">
        <v>123</v>
      </c>
      <c r="L186" s="85" t="s">
        <v>589</v>
      </c>
      <c r="M186" s="1950"/>
      <c r="N186" s="1436"/>
      <c r="O186" s="1427"/>
      <c r="X186" s="1600"/>
    </row>
    <row r="187" spans="2:45" x14ac:dyDescent="0.2">
      <c r="B187" s="79" t="s">
        <v>586</v>
      </c>
      <c r="C187" s="23"/>
      <c r="D187" s="28" t="s">
        <v>366</v>
      </c>
      <c r="E187" s="23"/>
      <c r="F187" s="28"/>
      <c r="G187" s="1421" t="s">
        <v>5303</v>
      </c>
      <c r="H187" s="1421" t="s">
        <v>3198</v>
      </c>
      <c r="I187" s="67"/>
      <c r="J187" s="4"/>
      <c r="K187" s="91" t="s">
        <v>366</v>
      </c>
      <c r="L187" s="85" t="s">
        <v>590</v>
      </c>
      <c r="M187" s="1950"/>
      <c r="N187" s="1436"/>
      <c r="O187" s="1427"/>
      <c r="X187" s="1600"/>
    </row>
    <row r="188" spans="2:45" x14ac:dyDescent="0.2">
      <c r="B188" s="79" t="s">
        <v>586</v>
      </c>
      <c r="C188" s="23" t="s">
        <v>2541</v>
      </c>
      <c r="D188" s="23"/>
      <c r="E188" s="23"/>
      <c r="F188" s="23"/>
      <c r="G188" s="1421" t="s">
        <v>5303</v>
      </c>
      <c r="H188" s="1421" t="s">
        <v>3198</v>
      </c>
      <c r="I188" s="67"/>
      <c r="J188" s="4"/>
      <c r="K188" s="85"/>
      <c r="L188" s="1717" t="s">
        <v>591</v>
      </c>
      <c r="M188" s="1950"/>
      <c r="N188" s="1436"/>
      <c r="O188" s="1427"/>
      <c r="W188" s="1421" t="s">
        <v>2663</v>
      </c>
      <c r="X188" s="1600"/>
      <c r="AR188" s="1421" t="str">
        <f>SUBSTITUTE(SUBSTITUTE(SUBSTITUTE("vcn"&amp;$B188&amp;$C188&amp;$D188&amp;$E188,".","_"),"(","_"),")","")</f>
        <v>vcn610_1_2_2c</v>
      </c>
      <c r="AS188" s="1421" t="str">
        <f>IF(LEN(X188)=0,"",X188)</f>
        <v/>
      </c>
    </row>
    <row r="189" spans="2:45" x14ac:dyDescent="0.2">
      <c r="B189" s="79" t="s">
        <v>586</v>
      </c>
      <c r="C189" s="23" t="s">
        <v>2541</v>
      </c>
      <c r="D189" s="23"/>
      <c r="E189" s="23"/>
      <c r="F189" s="23"/>
      <c r="G189" s="1421" t="s">
        <v>5303</v>
      </c>
      <c r="H189" s="1421" t="s">
        <v>3198</v>
      </c>
      <c r="I189" s="67"/>
      <c r="J189" s="4"/>
      <c r="K189" s="85"/>
      <c r="L189" s="1717"/>
      <c r="M189" s="1950"/>
      <c r="N189" s="1436"/>
      <c r="O189" s="1427"/>
      <c r="P189" s="1421" t="b">
        <v>1</v>
      </c>
      <c r="Q189" s="1421" t="b">
        <v>0</v>
      </c>
      <c r="R189" s="1421" t="b">
        <v>0</v>
      </c>
      <c r="S189" s="1421" t="b">
        <f>(COUNTIF(W140:W156,TRUE)&lt;1)</f>
        <v>1</v>
      </c>
      <c r="T189" s="1421" t="b">
        <f>IF(AND(NOT(S189),LEN(W189)&gt;0),TRUE,FALSE)</f>
        <v>0</v>
      </c>
      <c r="U189" s="1421" t="str">
        <f>SUBSTITUTE(SUBSTITUTE(SUBSTITUTE("dd"&amp;B189&amp;C189&amp;D189&amp;E189&amp;F189,".","_"),"(","_"),")","")</f>
        <v>dd610_1_2_2c</v>
      </c>
      <c r="W189" s="12"/>
      <c r="X189" s="1600"/>
      <c r="AC189" s="1421" t="b">
        <f>OR(AD189:AE189)</f>
        <v>0</v>
      </c>
      <c r="AD189" s="1421" t="b">
        <f>T189</f>
        <v>0</v>
      </c>
      <c r="AE189" s="1421" t="b">
        <f>AND(NOT(ISBLANK(W189)),LEN(X188)=0)</f>
        <v>0</v>
      </c>
      <c r="AF189" s="1421" t="b">
        <f>AND(AE189,NOT(Q189))</f>
        <v>0</v>
      </c>
      <c r="AP189" s="1421" t="str">
        <f>SUBSTITUTE(SUBSTITUTE(SUBSTITUTE("vcc"&amp;$B189&amp;$C189&amp;$D189&amp;$E189,".","_"),"(","_"),")","")</f>
        <v>vcc610_1_2_2c</v>
      </c>
      <c r="AQ189" s="1421" t="str">
        <f>IF(LEN(W189)=0,"",W189)</f>
        <v/>
      </c>
    </row>
    <row r="190" spans="2:45" x14ac:dyDescent="0.2">
      <c r="B190" s="79" t="s">
        <v>586</v>
      </c>
      <c r="C190" s="23"/>
      <c r="D190" s="23" t="s">
        <v>121</v>
      </c>
      <c r="E190" s="23"/>
      <c r="F190" s="23"/>
      <c r="G190" s="1421" t="s">
        <v>5303</v>
      </c>
      <c r="H190" s="1421" t="s">
        <v>3198</v>
      </c>
      <c r="I190" s="67"/>
      <c r="J190" s="4"/>
      <c r="K190" s="89" t="s">
        <v>121</v>
      </c>
      <c r="L190" s="85" t="s">
        <v>574</v>
      </c>
      <c r="M190" s="1950"/>
      <c r="N190" s="1436"/>
      <c r="O190" s="1427"/>
      <c r="X190" s="1600"/>
    </row>
    <row r="191" spans="2:45" x14ac:dyDescent="0.2">
      <c r="B191" s="79" t="s">
        <v>586</v>
      </c>
      <c r="C191" s="23"/>
      <c r="D191" s="23" t="s">
        <v>122</v>
      </c>
      <c r="E191" s="23"/>
      <c r="F191" s="23"/>
      <c r="G191" s="1421" t="s">
        <v>5303</v>
      </c>
      <c r="H191" s="1421" t="s">
        <v>3198</v>
      </c>
      <c r="I191" s="67"/>
      <c r="J191" s="4"/>
      <c r="K191" s="89" t="s">
        <v>122</v>
      </c>
      <c r="L191" s="85" t="s">
        <v>575</v>
      </c>
      <c r="M191" s="1950"/>
      <c r="N191" s="1436"/>
      <c r="O191" s="1427"/>
      <c r="X191" s="1600"/>
    </row>
    <row r="192" spans="2:45" x14ac:dyDescent="0.2">
      <c r="B192" s="79" t="s">
        <v>586</v>
      </c>
      <c r="C192" s="23"/>
      <c r="D192" s="23" t="s">
        <v>123</v>
      </c>
      <c r="E192" s="23"/>
      <c r="F192" s="23"/>
      <c r="G192" s="1421" t="s">
        <v>5303</v>
      </c>
      <c r="H192" s="1421" t="s">
        <v>3198</v>
      </c>
      <c r="I192" s="67"/>
      <c r="J192" s="4"/>
      <c r="K192" s="89" t="s">
        <v>123</v>
      </c>
      <c r="L192" s="85" t="s">
        <v>576</v>
      </c>
      <c r="M192" s="1950"/>
      <c r="N192" s="1436"/>
      <c r="O192" s="1427"/>
      <c r="X192" s="1600"/>
    </row>
    <row r="193" spans="2:45" x14ac:dyDescent="0.2">
      <c r="B193" s="79" t="s">
        <v>586</v>
      </c>
      <c r="C193" s="23"/>
      <c r="D193" s="28" t="s">
        <v>366</v>
      </c>
      <c r="E193" s="23"/>
      <c r="F193" s="28"/>
      <c r="G193" s="1421" t="s">
        <v>5303</v>
      </c>
      <c r="H193" s="1421" t="s">
        <v>3198</v>
      </c>
      <c r="I193" s="67"/>
      <c r="J193" s="4"/>
      <c r="K193" s="91" t="s">
        <v>366</v>
      </c>
      <c r="L193" s="85" t="s">
        <v>577</v>
      </c>
      <c r="M193" s="1950"/>
      <c r="N193" s="1436"/>
      <c r="O193" s="1427"/>
      <c r="X193" s="1600"/>
    </row>
    <row r="194" spans="2:45" x14ac:dyDescent="0.2">
      <c r="B194" s="79" t="s">
        <v>586</v>
      </c>
      <c r="C194" s="23"/>
      <c r="D194" s="23" t="s">
        <v>472</v>
      </c>
      <c r="E194" s="23"/>
      <c r="F194" s="23"/>
      <c r="G194" s="1421" t="s">
        <v>5303</v>
      </c>
      <c r="H194" s="1421" t="s">
        <v>3198</v>
      </c>
      <c r="I194" s="67"/>
      <c r="J194" s="4"/>
      <c r="K194" s="87" t="s">
        <v>472</v>
      </c>
      <c r="L194" s="85" t="s">
        <v>578</v>
      </c>
      <c r="M194" s="1950"/>
      <c r="N194" s="1436"/>
      <c r="O194" s="1427"/>
      <c r="W194" s="1421" t="s">
        <v>2664</v>
      </c>
      <c r="X194" s="1600"/>
      <c r="AR194" s="1421" t="str">
        <f>SUBSTITUTE(SUBSTITUTE(SUBSTITUTE("vcn"&amp;$B194&amp;$C194&amp;$D194&amp;$E194,".","_"),"(","_"),")","")</f>
        <v>vcn610_1_2_2_e</v>
      </c>
      <c r="AS194" s="1421" t="str">
        <f>IF(LEN(X194)=0,"",X194)</f>
        <v/>
      </c>
    </row>
    <row r="195" spans="2:45" x14ac:dyDescent="0.2">
      <c r="B195" s="79" t="s">
        <v>586</v>
      </c>
      <c r="C195" s="23"/>
      <c r="D195" s="23" t="s">
        <v>510</v>
      </c>
      <c r="E195" s="23"/>
      <c r="F195" s="23"/>
      <c r="G195" s="1421" t="s">
        <v>5303</v>
      </c>
      <c r="H195" s="1421" t="s">
        <v>3198</v>
      </c>
      <c r="I195" s="67"/>
      <c r="J195" s="4"/>
      <c r="K195" s="89" t="s">
        <v>510</v>
      </c>
      <c r="L195" s="85" t="s">
        <v>579</v>
      </c>
      <c r="M195" s="1950"/>
      <c r="N195" s="1436"/>
      <c r="O195" s="1427"/>
      <c r="P195" s="1421" t="b">
        <v>1</v>
      </c>
      <c r="Q195" s="1421" t="b">
        <v>0</v>
      </c>
      <c r="R195" s="1421" t="b">
        <v>0</v>
      </c>
      <c r="S195" s="1421" t="b">
        <f>(COUNTIF(W140:W156,TRUE)&lt;1)</f>
        <v>1</v>
      </c>
      <c r="T195" s="1421" t="b">
        <f>IF(AND(NOT(S195),LEN(W195)&gt;0),TRUE,FALSE)</f>
        <v>0</v>
      </c>
      <c r="U195" s="1421" t="str">
        <f>SUBSTITUTE(SUBSTITUTE(SUBSTITUTE("dd"&amp;B195&amp;C195&amp;D195&amp;E195&amp;F195,".","_"),"(","_"),")","")</f>
        <v>dd610_1_2_2_f</v>
      </c>
      <c r="W195" s="12"/>
      <c r="X195" s="1600"/>
      <c r="AC195" s="1421" t="b">
        <f>OR(AD195:AE195)</f>
        <v>0</v>
      </c>
      <c r="AD195" s="1421" t="b">
        <f>T195</f>
        <v>0</v>
      </c>
      <c r="AE195" s="1421" t="b">
        <f>AND(NOT(ISBLANK(W195)),LEN(X194)=0)</f>
        <v>0</v>
      </c>
      <c r="AF195" s="1421" t="b">
        <f>AND(AE195,NOT(Q195))</f>
        <v>0</v>
      </c>
      <c r="AP195" s="1421" t="str">
        <f>SUBSTITUTE(SUBSTITUTE(SUBSTITUTE("vcc"&amp;$B195&amp;$C195&amp;$D195&amp;$E195,".","_"),"(","_"),")","")</f>
        <v>vcc610_1_2_2_f</v>
      </c>
      <c r="AQ195" s="1421" t="str">
        <f>IF(LEN(W195)=0,"",W195)</f>
        <v/>
      </c>
    </row>
    <row r="196" spans="2:45" x14ac:dyDescent="0.2">
      <c r="B196" s="79" t="s">
        <v>586</v>
      </c>
      <c r="C196" s="23"/>
      <c r="D196" s="23"/>
      <c r="E196" s="23"/>
      <c r="F196" s="23"/>
      <c r="G196" s="1421" t="s">
        <v>5303</v>
      </c>
      <c r="H196" s="1421" t="s">
        <v>3198</v>
      </c>
      <c r="I196" s="67"/>
      <c r="J196" s="4"/>
      <c r="K196" s="85"/>
      <c r="L196" s="1707" t="s">
        <v>5392</v>
      </c>
      <c r="M196" s="1950"/>
      <c r="N196" s="1436"/>
      <c r="O196" s="1427"/>
      <c r="X196" s="1600"/>
    </row>
    <row r="197" spans="2:45" x14ac:dyDescent="0.2">
      <c r="B197" s="79" t="s">
        <v>586</v>
      </c>
      <c r="C197" s="23"/>
      <c r="D197" s="23"/>
      <c r="E197" s="23"/>
      <c r="F197" s="23"/>
      <c r="G197" s="1421" t="s">
        <v>5303</v>
      </c>
      <c r="H197" s="1421" t="s">
        <v>3198</v>
      </c>
      <c r="I197" s="67"/>
      <c r="J197" s="4"/>
      <c r="K197" s="85"/>
      <c r="L197" s="1707"/>
      <c r="M197" s="1950"/>
      <c r="N197" s="1436"/>
      <c r="O197" s="1427"/>
      <c r="X197" s="1600"/>
    </row>
    <row r="198" spans="2:45" x14ac:dyDescent="0.2">
      <c r="B198" s="79" t="s">
        <v>586</v>
      </c>
      <c r="C198" s="23"/>
      <c r="D198" s="23"/>
      <c r="E198" s="23"/>
      <c r="F198" s="23"/>
      <c r="G198" s="1421" t="s">
        <v>5303</v>
      </c>
      <c r="H198" s="1421" t="s">
        <v>3198</v>
      </c>
      <c r="I198" s="67"/>
      <c r="J198" s="4"/>
      <c r="K198" s="85"/>
      <c r="L198" s="1810" t="s">
        <v>2658</v>
      </c>
      <c r="M198" s="1950"/>
      <c r="N198" s="1436"/>
      <c r="O198" s="1427"/>
      <c r="X198" s="1600"/>
    </row>
    <row r="199" spans="2:45" ht="16" thickBot="1" x14ac:dyDescent="0.25">
      <c r="B199" s="79" t="s">
        <v>586</v>
      </c>
      <c r="C199" s="23"/>
      <c r="D199" s="23"/>
      <c r="E199" s="23"/>
      <c r="F199" s="23"/>
      <c r="G199" s="1421" t="s">
        <v>5303</v>
      </c>
      <c r="H199" s="1421" t="s">
        <v>3198</v>
      </c>
      <c r="I199" s="189"/>
      <c r="J199" s="239"/>
      <c r="K199" s="99"/>
      <c r="L199" s="1812"/>
      <c r="M199" s="1951"/>
      <c r="N199" s="1437"/>
      <c r="O199" s="1428"/>
      <c r="P199" s="100"/>
      <c r="Q199" s="100"/>
      <c r="R199" s="100"/>
      <c r="S199" s="100"/>
      <c r="T199" s="100"/>
      <c r="U199" s="100"/>
      <c r="V199" s="100"/>
      <c r="W199" s="100"/>
      <c r="X199" s="1602"/>
    </row>
    <row r="200" spans="2:45" ht="16" thickTop="1" x14ac:dyDescent="0.2">
      <c r="B200" s="79" t="s">
        <v>4010</v>
      </c>
      <c r="C200" s="23"/>
      <c r="D200" s="23"/>
      <c r="E200" s="23"/>
      <c r="F200" s="23"/>
      <c r="G200" s="1421" t="s">
        <v>5303</v>
      </c>
      <c r="H200" s="1421" t="s">
        <v>3197</v>
      </c>
      <c r="I200" s="67">
        <v>612.1</v>
      </c>
      <c r="J200" s="4"/>
      <c r="K200" s="85"/>
      <c r="L200" s="1631" t="s">
        <v>5393</v>
      </c>
      <c r="M200" s="1937" t="s">
        <v>571</v>
      </c>
      <c r="N200" s="1685" t="str">
        <f ca="1">IF(IFERROR(MATCH(W200,INDIRECT(U200),0),0)&gt;0, "Met", "Not Met")</f>
        <v>Not Met</v>
      </c>
      <c r="O200" s="1685"/>
      <c r="P200" s="1421" t="b">
        <v>1</v>
      </c>
      <c r="Q200" s="1421" t="b">
        <v>1</v>
      </c>
      <c r="R200" s="1421" t="b">
        <v>0</v>
      </c>
      <c r="S200" s="1421" t="b">
        <v>1</v>
      </c>
      <c r="T200" s="1421" t="b">
        <v>0</v>
      </c>
      <c r="U200" s="106" t="str">
        <f>SUBSTITUTE(SUBSTITUTE(SUBSTITUTE("dd"&amp;B200&amp;C200&amp;D200&amp;E200&amp;F200,".","_"),"(","_"),")","")</f>
        <v>dd612_1</v>
      </c>
      <c r="V200" s="106"/>
      <c r="W200" s="188"/>
      <c r="X200" s="1603"/>
      <c r="AC200" s="1421" t="b">
        <f>OR(AD200:AE200)</f>
        <v>0</v>
      </c>
      <c r="AD200" s="1421" t="b">
        <f>T200</f>
        <v>0</v>
      </c>
      <c r="AE200" s="1421" t="b">
        <f>AND(NOT(ISBLANK(W200)),LEN(X200)=0)</f>
        <v>0</v>
      </c>
      <c r="AP200" s="1421" t="str">
        <f>SUBSTITUTE(SUBSTITUTE(SUBSTITUTE("vcc"&amp;$B200&amp;$C200&amp;$D200&amp;$E200,".","_"),"(","_"),")","")</f>
        <v>vcc612_1</v>
      </c>
      <c r="AQ200" s="1421" t="str">
        <f>IF(LEN(W200)=0,"",W200)</f>
        <v/>
      </c>
      <c r="AR200" s="1421" t="str">
        <f>SUBSTITUTE(SUBSTITUTE(SUBSTITUTE("vcn"&amp;$B200&amp;$C200&amp;$D200&amp;$E200,".","_"),"(","_"),")","")</f>
        <v>vcn612_1</v>
      </c>
      <c r="AS200" s="1421" t="str">
        <f>IF(LEN(X200)=0,"",X200)</f>
        <v/>
      </c>
    </row>
    <row r="201" spans="2:45" x14ac:dyDescent="0.2">
      <c r="B201" s="79" t="s">
        <v>4010</v>
      </c>
      <c r="C201" s="23"/>
      <c r="D201" s="23"/>
      <c r="E201" s="23"/>
      <c r="F201" s="23"/>
      <c r="G201" s="1421" t="s">
        <v>5303</v>
      </c>
      <c r="H201" s="1421" t="s">
        <v>3197</v>
      </c>
      <c r="I201" s="67"/>
      <c r="J201" s="4"/>
      <c r="K201" s="85"/>
      <c r="L201" s="1631"/>
      <c r="M201" s="1937"/>
      <c r="N201" s="1628"/>
      <c r="O201" s="1628"/>
      <c r="X201" s="1600"/>
    </row>
    <row r="202" spans="2:45" x14ac:dyDescent="0.2">
      <c r="B202" s="79" t="s">
        <v>4010</v>
      </c>
      <c r="C202" s="23"/>
      <c r="D202" s="23"/>
      <c r="E202" s="23"/>
      <c r="F202" s="23"/>
      <c r="G202" s="1421" t="s">
        <v>5303</v>
      </c>
      <c r="H202" s="1421" t="s">
        <v>3197</v>
      </c>
      <c r="I202" s="67"/>
      <c r="J202" s="4"/>
      <c r="K202" s="85"/>
      <c r="L202" s="1631"/>
      <c r="M202" s="1937"/>
      <c r="N202" s="1628"/>
      <c r="O202" s="1628"/>
      <c r="X202" s="1600"/>
    </row>
    <row r="203" spans="2:45" x14ac:dyDescent="0.2">
      <c r="B203" s="79" t="s">
        <v>4010</v>
      </c>
      <c r="C203" s="23"/>
      <c r="D203" s="23"/>
      <c r="E203" s="23"/>
      <c r="F203" s="23"/>
      <c r="G203" s="1421" t="s">
        <v>5303</v>
      </c>
      <c r="H203" s="1421" t="s">
        <v>3197</v>
      </c>
      <c r="I203" s="67"/>
      <c r="J203" s="4"/>
      <c r="K203" s="85"/>
      <c r="L203" s="1631"/>
      <c r="M203" s="1937"/>
      <c r="N203" s="1628"/>
      <c r="O203" s="1628"/>
      <c r="X203" s="1600"/>
    </row>
    <row r="204" spans="2:45" x14ac:dyDescent="0.2">
      <c r="B204" s="79" t="s">
        <v>4010</v>
      </c>
      <c r="C204" s="23"/>
      <c r="D204" s="23"/>
      <c r="E204" s="23"/>
      <c r="F204" s="23"/>
      <c r="G204" s="1421" t="s">
        <v>5303</v>
      </c>
      <c r="H204" s="1421" t="s">
        <v>3197</v>
      </c>
      <c r="I204" s="67"/>
      <c r="J204" s="4"/>
      <c r="K204" s="85"/>
      <c r="L204" s="1631"/>
      <c r="M204" s="1937"/>
      <c r="N204" s="1628"/>
      <c r="O204" s="1628"/>
      <c r="X204" s="1600"/>
    </row>
    <row r="205" spans="2:45" x14ac:dyDescent="0.2">
      <c r="B205" s="79" t="s">
        <v>4010</v>
      </c>
      <c r="C205" s="23"/>
      <c r="D205" s="23"/>
      <c r="E205" s="23"/>
      <c r="F205" s="23"/>
      <c r="G205" s="1421" t="s">
        <v>5303</v>
      </c>
      <c r="H205" s="1421" t="s">
        <v>3197</v>
      </c>
      <c r="I205" s="67"/>
      <c r="J205" s="4"/>
      <c r="K205" s="85"/>
      <c r="L205" s="303" t="s">
        <v>592</v>
      </c>
      <c r="M205" s="1937"/>
      <c r="N205" s="1628"/>
      <c r="O205" s="1628"/>
      <c r="X205" s="1600"/>
    </row>
    <row r="206" spans="2:45" x14ac:dyDescent="0.2">
      <c r="B206" s="79" t="s">
        <v>4010</v>
      </c>
      <c r="C206" s="23"/>
      <c r="D206" s="23"/>
      <c r="E206" s="23"/>
      <c r="F206" s="23"/>
      <c r="G206" s="1421" t="s">
        <v>5303</v>
      </c>
      <c r="H206" s="1421" t="s">
        <v>3197</v>
      </c>
      <c r="I206" s="67"/>
      <c r="J206" s="4"/>
      <c r="K206" s="85"/>
      <c r="L206" s="1673" t="s">
        <v>2675</v>
      </c>
      <c r="M206" s="1937"/>
      <c r="N206" s="1628"/>
      <c r="O206" s="1628"/>
      <c r="X206" s="1600"/>
    </row>
    <row r="207" spans="2:45" ht="16" thickBot="1" x14ac:dyDescent="0.25">
      <c r="B207" s="79" t="s">
        <v>4010</v>
      </c>
      <c r="C207" s="23"/>
      <c r="D207" s="23"/>
      <c r="E207" s="23"/>
      <c r="F207" s="23"/>
      <c r="G207" s="1421" t="s">
        <v>5303</v>
      </c>
      <c r="H207" s="1421" t="s">
        <v>3197</v>
      </c>
      <c r="I207" s="67"/>
      <c r="J207" s="4"/>
      <c r="K207" s="85"/>
      <c r="L207" s="1810"/>
      <c r="M207" s="1937"/>
      <c r="N207" s="1627"/>
      <c r="O207" s="1627"/>
      <c r="U207" s="100"/>
      <c r="V207" s="100"/>
      <c r="W207" s="100"/>
      <c r="X207" s="1602"/>
    </row>
    <row r="208" spans="2:45" ht="16" thickTop="1" x14ac:dyDescent="0.2">
      <c r="B208" s="79" t="s">
        <v>4011</v>
      </c>
      <c r="C208" s="23"/>
      <c r="D208" s="23"/>
      <c r="E208" s="23"/>
      <c r="G208" s="1421" t="s">
        <v>5303</v>
      </c>
      <c r="H208" s="1421" t="s">
        <v>3197</v>
      </c>
      <c r="I208" s="177">
        <v>612.20000000000005</v>
      </c>
      <c r="J208" s="178"/>
      <c r="K208" s="179"/>
      <c r="L208" s="1683" t="s">
        <v>5394</v>
      </c>
      <c r="M208" s="1943" t="s">
        <v>449</v>
      </c>
      <c r="N208" s="1685" t="str">
        <f>IF(MIN(9,M211*S211*W211+M212*S212*W212+M214*S214*W214+M216*S216*W216+M218*S218*W218+M220*S220*W220+M222*S222*W222)&gt;0, "Met", "Not Met")</f>
        <v>Not Met</v>
      </c>
      <c r="O208" s="1685"/>
      <c r="P208" s="106"/>
      <c r="Q208" s="106"/>
      <c r="R208" s="106"/>
      <c r="S208" s="106"/>
      <c r="T208" s="106"/>
    </row>
    <row r="209" spans="2:45" x14ac:dyDescent="0.2">
      <c r="B209" s="79" t="s">
        <v>4011</v>
      </c>
      <c r="C209" s="23"/>
      <c r="D209" s="23"/>
      <c r="E209" s="23"/>
      <c r="G209" s="1421" t="s">
        <v>5303</v>
      </c>
      <c r="H209" s="1421" t="s">
        <v>3197</v>
      </c>
      <c r="I209" s="67"/>
      <c r="J209" s="4"/>
      <c r="K209" s="85"/>
      <c r="L209" s="1631"/>
      <c r="M209" s="1937"/>
      <c r="N209" s="1628"/>
      <c r="O209" s="1628"/>
    </row>
    <row r="210" spans="2:45" x14ac:dyDescent="0.2">
      <c r="B210" s="79" t="s">
        <v>4011</v>
      </c>
      <c r="C210" s="23"/>
      <c r="D210" s="23"/>
      <c r="E210" s="23"/>
      <c r="G210" s="1421" t="s">
        <v>5303</v>
      </c>
      <c r="H210" s="1421" t="s">
        <v>3197</v>
      </c>
      <c r="I210" s="67"/>
      <c r="J210" s="4"/>
      <c r="K210" s="85"/>
      <c r="L210" s="1631"/>
      <c r="M210" s="1937"/>
      <c r="N210" s="1628"/>
      <c r="O210" s="1628"/>
    </row>
    <row r="211" spans="2:45" x14ac:dyDescent="0.2">
      <c r="B211" s="79" t="s">
        <v>4011</v>
      </c>
      <c r="C211" s="23" t="s">
        <v>254</v>
      </c>
      <c r="D211" s="23"/>
      <c r="E211" s="23"/>
      <c r="G211" s="1421" t="s">
        <v>5303</v>
      </c>
      <c r="H211" s="1421" t="s">
        <v>3197</v>
      </c>
      <c r="I211" s="67"/>
      <c r="J211" s="207" t="s">
        <v>254</v>
      </c>
      <c r="K211" s="170"/>
      <c r="L211" s="1438" t="s">
        <v>5395</v>
      </c>
      <c r="M211" s="1475">
        <v>3</v>
      </c>
      <c r="N211" s="1436"/>
      <c r="O211" s="1427"/>
      <c r="P211" s="1421" t="b">
        <v>1</v>
      </c>
      <c r="Q211" s="1421" t="b">
        <v>1</v>
      </c>
      <c r="R211" s="1421" t="b">
        <v>0</v>
      </c>
      <c r="S211" s="1421" t="b">
        <v>1</v>
      </c>
      <c r="T211" s="1421" t="b">
        <f t="shared" ref="T211:T212" si="23">AND(NOT(S211),W211=TRUE)</f>
        <v>0</v>
      </c>
      <c r="W211" s="27"/>
      <c r="X211" s="1432"/>
      <c r="AC211" s="1421" t="b">
        <f>OR(AD211:AE211)</f>
        <v>0</v>
      </c>
      <c r="AD211" s="1421" t="b">
        <f>T211</f>
        <v>0</v>
      </c>
      <c r="AP211" s="1421" t="str">
        <f>SUBSTITUTE(SUBSTITUTE(SUBSTITUTE("vcc"&amp;$B211&amp;$C211&amp;$D211&amp;$E211,".","_"),"(","_"),")","")</f>
        <v>vcc612_2_1</v>
      </c>
      <c r="AQ211" s="1421" t="str">
        <f>IF(LEN(W211)=0,"",W211)</f>
        <v/>
      </c>
      <c r="AR211" s="1421" t="str">
        <f>SUBSTITUTE(SUBSTITUTE(SUBSTITUTE("vcn"&amp;$B211&amp;$C211&amp;$D211&amp;$E211,".","_"),"(","_"),")","")</f>
        <v>vcn612_2_1</v>
      </c>
      <c r="AS211" s="1421" t="str">
        <f>IF(LEN(X211)=0,"",X211)</f>
        <v/>
      </c>
    </row>
    <row r="212" spans="2:45" x14ac:dyDescent="0.2">
      <c r="B212" s="79" t="s">
        <v>4011</v>
      </c>
      <c r="C212" s="23" t="s">
        <v>255</v>
      </c>
      <c r="D212" s="23"/>
      <c r="E212" s="23"/>
      <c r="G212" s="1421" t="s">
        <v>5303</v>
      </c>
      <c r="H212" s="1421" t="s">
        <v>3197</v>
      </c>
      <c r="I212" s="67"/>
      <c r="J212" s="212" t="s">
        <v>255</v>
      </c>
      <c r="K212" s="194"/>
      <c r="L212" s="1633" t="s">
        <v>4015</v>
      </c>
      <c r="M212" s="1941">
        <v>3</v>
      </c>
      <c r="N212" s="1436"/>
      <c r="O212" s="1427"/>
      <c r="P212" s="1421" t="b">
        <v>1</v>
      </c>
      <c r="Q212" s="1421" t="b">
        <v>1</v>
      </c>
      <c r="R212" s="1421" t="b">
        <v>0</v>
      </c>
      <c r="S212" s="1421" t="b">
        <v>1</v>
      </c>
      <c r="T212" s="1421" t="b">
        <f t="shared" si="23"/>
        <v>0</v>
      </c>
      <c r="W212" s="27"/>
      <c r="X212" s="1600"/>
      <c r="AC212" s="1421" t="b">
        <f>OR(AD212:AE212)</f>
        <v>0</v>
      </c>
      <c r="AD212" s="1421" t="b">
        <f>T212</f>
        <v>0</v>
      </c>
      <c r="AP212" s="1421" t="str">
        <f>SUBSTITUTE(SUBSTITUTE(SUBSTITUTE("vcc"&amp;$B212&amp;$C212&amp;$D212&amp;$E212,".","_"),"(","_"),")","")</f>
        <v>vcc612_2_2</v>
      </c>
      <c r="AQ212" s="1421" t="str">
        <f>IF(LEN(W212)=0,"",W212)</f>
        <v/>
      </c>
      <c r="AR212" s="1421" t="str">
        <f>SUBSTITUTE(SUBSTITUTE(SUBSTITUTE("vcn"&amp;$B212&amp;$C212&amp;$D212&amp;$E212,".","_"),"(","_"),")","")</f>
        <v>vcn612_2_2</v>
      </c>
      <c r="AS212" s="1421" t="str">
        <f>IF(LEN(X212)=0,"",X212)</f>
        <v/>
      </c>
    </row>
    <row r="213" spans="2:45" x14ac:dyDescent="0.2">
      <c r="B213" s="79" t="s">
        <v>4011</v>
      </c>
      <c r="C213" s="23" t="s">
        <v>255</v>
      </c>
      <c r="E213" s="23"/>
      <c r="G213" s="1421" t="s">
        <v>5303</v>
      </c>
      <c r="H213" s="1421" t="s">
        <v>3197</v>
      </c>
      <c r="J213" s="173"/>
      <c r="K213" s="173"/>
      <c r="L213" s="1639"/>
      <c r="M213" s="1938"/>
      <c r="X213" s="1600"/>
    </row>
    <row r="214" spans="2:45" x14ac:dyDescent="0.2">
      <c r="B214" s="79" t="s">
        <v>4011</v>
      </c>
      <c r="C214" s="23" t="s">
        <v>256</v>
      </c>
      <c r="D214" s="23"/>
      <c r="E214" s="23"/>
      <c r="G214" s="1421" t="s">
        <v>5303</v>
      </c>
      <c r="H214" s="1421" t="s">
        <v>3197</v>
      </c>
      <c r="I214" s="67"/>
      <c r="J214" s="212" t="s">
        <v>256</v>
      </c>
      <c r="K214" s="194"/>
      <c r="L214" s="1633" t="s">
        <v>4016</v>
      </c>
      <c r="M214" s="1941">
        <v>3</v>
      </c>
      <c r="N214" s="1436"/>
      <c r="O214" s="1427"/>
      <c r="P214" s="1421" t="b">
        <v>1</v>
      </c>
      <c r="Q214" s="1421" t="b">
        <v>1</v>
      </c>
      <c r="R214" s="1421" t="b">
        <v>0</v>
      </c>
      <c r="S214" s="1421" t="b">
        <v>1</v>
      </c>
      <c r="T214" s="1421" t="b">
        <f>AND(NOT(S214),W214=TRUE)</f>
        <v>0</v>
      </c>
      <c r="W214" s="27"/>
      <c r="X214" s="1600"/>
      <c r="AC214" s="1421" t="b">
        <f>OR(AD214:AE214)</f>
        <v>0</v>
      </c>
      <c r="AD214" s="1421" t="b">
        <f>T214</f>
        <v>0</v>
      </c>
      <c r="AP214" s="1421" t="str">
        <f>SUBSTITUTE(SUBSTITUTE(SUBSTITUTE("vcc"&amp;$B214&amp;$C214&amp;$D214&amp;$E214,".","_"),"(","_"),")","")</f>
        <v>vcc612_2_3</v>
      </c>
      <c r="AQ214" s="1421" t="str">
        <f>IF(LEN(W214)=0,"",W214)</f>
        <v/>
      </c>
      <c r="AR214" s="1421" t="str">
        <f>SUBSTITUTE(SUBSTITUTE(SUBSTITUTE("vcn"&amp;$B214&amp;$C214&amp;$D214&amp;$E214,".","_"),"(","_"),")","")</f>
        <v>vcn612_2_3</v>
      </c>
      <c r="AS214" s="1421" t="str">
        <f>IF(LEN(X214)=0,"",X214)</f>
        <v/>
      </c>
    </row>
    <row r="215" spans="2:45" x14ac:dyDescent="0.2">
      <c r="B215" s="79" t="s">
        <v>4011</v>
      </c>
      <c r="C215" s="23" t="s">
        <v>256</v>
      </c>
      <c r="E215" s="23"/>
      <c r="G215" s="1421" t="s">
        <v>5303</v>
      </c>
      <c r="H215" s="1421" t="s">
        <v>3197</v>
      </c>
      <c r="J215" s="173"/>
      <c r="K215" s="173"/>
      <c r="L215" s="1639"/>
      <c r="M215" s="1938"/>
      <c r="X215" s="1600"/>
    </row>
    <row r="216" spans="2:45" x14ac:dyDescent="0.2">
      <c r="B216" s="79" t="s">
        <v>4011</v>
      </c>
      <c r="C216" s="23" t="s">
        <v>259</v>
      </c>
      <c r="D216" s="23"/>
      <c r="E216" s="23"/>
      <c r="G216" s="1421" t="s">
        <v>5303</v>
      </c>
      <c r="H216" s="1421" t="s">
        <v>3197</v>
      </c>
      <c r="I216" s="67"/>
      <c r="J216" s="212" t="s">
        <v>259</v>
      </c>
      <c r="K216" s="194"/>
      <c r="L216" s="1633" t="s">
        <v>4017</v>
      </c>
      <c r="M216" s="1941">
        <v>3</v>
      </c>
      <c r="N216" s="1436"/>
      <c r="O216" s="1427"/>
      <c r="P216" s="1421" t="b">
        <v>1</v>
      </c>
      <c r="Q216" s="1421" t="b">
        <v>1</v>
      </c>
      <c r="R216" s="1421" t="b">
        <v>0</v>
      </c>
      <c r="S216" s="1421" t="b">
        <v>1</v>
      </c>
      <c r="T216" s="1421" t="b">
        <f>AND(NOT(S216),W216=TRUE)</f>
        <v>0</v>
      </c>
      <c r="W216" s="27"/>
      <c r="X216" s="1600"/>
      <c r="AC216" s="1421" t="b">
        <f>OR(AD216:AE216)</f>
        <v>0</v>
      </c>
      <c r="AD216" s="1421" t="b">
        <f>T216</f>
        <v>0</v>
      </c>
      <c r="AP216" s="1421" t="str">
        <f>SUBSTITUTE(SUBSTITUTE(SUBSTITUTE("vcc"&amp;$B216&amp;$C216&amp;$D216&amp;$E216,".","_"),"(","_"),")","")</f>
        <v>vcc612_2_4</v>
      </c>
      <c r="AQ216" s="1421" t="str">
        <f>IF(LEN(W216)=0,"",W216)</f>
        <v/>
      </c>
      <c r="AR216" s="1421" t="str">
        <f>SUBSTITUTE(SUBSTITUTE(SUBSTITUTE("vcn"&amp;$B216&amp;$C216&amp;$D216&amp;$E216,".","_"),"(","_"),")","")</f>
        <v>vcn612_2_4</v>
      </c>
      <c r="AS216" s="1421" t="str">
        <f>IF(LEN(X216)=0,"",X216)</f>
        <v/>
      </c>
    </row>
    <row r="217" spans="2:45" x14ac:dyDescent="0.2">
      <c r="B217" s="79" t="s">
        <v>4011</v>
      </c>
      <c r="C217" s="23" t="s">
        <v>259</v>
      </c>
      <c r="E217" s="23"/>
      <c r="G217" s="1421" t="s">
        <v>5303</v>
      </c>
      <c r="H217" s="1421" t="s">
        <v>3197</v>
      </c>
      <c r="J217" s="173"/>
      <c r="K217" s="173"/>
      <c r="L217" s="1639"/>
      <c r="M217" s="1938"/>
      <c r="X217" s="1600"/>
    </row>
    <row r="218" spans="2:45" x14ac:dyDescent="0.2">
      <c r="B218" s="79" t="s">
        <v>4011</v>
      </c>
      <c r="C218" s="23" t="s">
        <v>263</v>
      </c>
      <c r="D218" s="23"/>
      <c r="E218" s="23"/>
      <c r="G218" s="1421" t="s">
        <v>5303</v>
      </c>
      <c r="H218" s="1421" t="s">
        <v>3197</v>
      </c>
      <c r="I218" s="67"/>
      <c r="J218" s="212" t="s">
        <v>263</v>
      </c>
      <c r="K218" s="194"/>
      <c r="L218" s="1633" t="s">
        <v>4018</v>
      </c>
      <c r="M218" s="1941">
        <v>3</v>
      </c>
      <c r="N218" s="1436"/>
      <c r="O218" s="1427"/>
      <c r="P218" s="1421" t="b">
        <v>1</v>
      </c>
      <c r="Q218" s="1421" t="b">
        <v>1</v>
      </c>
      <c r="R218" s="1421" t="b">
        <v>0</v>
      </c>
      <c r="S218" s="1421" t="b">
        <v>1</v>
      </c>
      <c r="T218" s="1421" t="b">
        <f>AND(NOT(S218),W218=TRUE)</f>
        <v>0</v>
      </c>
      <c r="W218" s="27"/>
      <c r="X218" s="1600"/>
      <c r="AC218" s="1421" t="b">
        <f>OR(AD218:AE218)</f>
        <v>0</v>
      </c>
      <c r="AD218" s="1421" t="b">
        <f>T218</f>
        <v>0</v>
      </c>
      <c r="AP218" s="1421" t="str">
        <f>SUBSTITUTE(SUBSTITUTE(SUBSTITUTE("vcc"&amp;$B218&amp;$C218&amp;$D218&amp;$E218,".","_"),"(","_"),")","")</f>
        <v>vcc612_2_5</v>
      </c>
      <c r="AQ218" s="1421" t="str">
        <f>IF(LEN(W218)=0,"",W218)</f>
        <v/>
      </c>
      <c r="AR218" s="1421" t="str">
        <f>SUBSTITUTE(SUBSTITUTE(SUBSTITUTE("vcn"&amp;$B218&amp;$C218&amp;$D218&amp;$E218,".","_"),"(","_"),")","")</f>
        <v>vcn612_2_5</v>
      </c>
      <c r="AS218" s="1421" t="str">
        <f>IF(LEN(X218)=0,"",X218)</f>
        <v/>
      </c>
    </row>
    <row r="219" spans="2:45" x14ac:dyDescent="0.2">
      <c r="B219" s="79" t="s">
        <v>4011</v>
      </c>
      <c r="C219" s="23" t="s">
        <v>263</v>
      </c>
      <c r="E219" s="23"/>
      <c r="G219" s="1421" t="s">
        <v>5303</v>
      </c>
      <c r="H219" s="1421" t="s">
        <v>3197</v>
      </c>
      <c r="J219" s="173"/>
      <c r="K219" s="173"/>
      <c r="L219" s="1639"/>
      <c r="M219" s="1938"/>
      <c r="X219" s="1600"/>
    </row>
    <row r="220" spans="2:45" x14ac:dyDescent="0.2">
      <c r="B220" s="79" t="s">
        <v>4011</v>
      </c>
      <c r="C220" s="23" t="s">
        <v>264</v>
      </c>
      <c r="D220" s="23"/>
      <c r="E220" s="23"/>
      <c r="G220" s="1421" t="s">
        <v>5303</v>
      </c>
      <c r="H220" s="1421" t="s">
        <v>3197</v>
      </c>
      <c r="I220" s="67"/>
      <c r="J220" s="212" t="s">
        <v>264</v>
      </c>
      <c r="K220" s="194"/>
      <c r="L220" s="1633" t="s">
        <v>4019</v>
      </c>
      <c r="M220" s="1941">
        <v>3</v>
      </c>
      <c r="N220" s="1436"/>
      <c r="O220" s="1427"/>
      <c r="P220" s="1421" t="b">
        <v>1</v>
      </c>
      <c r="Q220" s="1421" t="b">
        <v>1</v>
      </c>
      <c r="R220" s="1421" t="b">
        <v>0</v>
      </c>
      <c r="S220" s="1421" t="b">
        <v>1</v>
      </c>
      <c r="T220" s="1421" t="b">
        <f>AND(NOT(S220),W220=TRUE)</f>
        <v>0</v>
      </c>
      <c r="W220" s="27"/>
      <c r="X220" s="1600"/>
      <c r="AC220" s="1421" t="b">
        <f>OR(AD220:AE220)</f>
        <v>0</v>
      </c>
      <c r="AD220" s="1421" t="b">
        <f>T220</f>
        <v>0</v>
      </c>
      <c r="AP220" s="1421" t="str">
        <f>SUBSTITUTE(SUBSTITUTE(SUBSTITUTE("vcc"&amp;$B220&amp;$C220&amp;$D220&amp;$E220,".","_"),"(","_"),")","")</f>
        <v>vcc612_2_6</v>
      </c>
      <c r="AQ220" s="1421" t="str">
        <f>IF(LEN(W220)=0,"",W220)</f>
        <v/>
      </c>
      <c r="AR220" s="1421" t="str">
        <f>SUBSTITUTE(SUBSTITUTE(SUBSTITUTE("vcn"&amp;$B220&amp;$C220&amp;$D220&amp;$E220,".","_"),"(","_"),")","")</f>
        <v>vcn612_2_6</v>
      </c>
      <c r="AS220" s="1421" t="str">
        <f>IF(LEN(X220)=0,"",X220)</f>
        <v/>
      </c>
    </row>
    <row r="221" spans="2:45" x14ac:dyDescent="0.2">
      <c r="B221" s="79" t="s">
        <v>4011</v>
      </c>
      <c r="C221" s="23" t="s">
        <v>264</v>
      </c>
      <c r="E221" s="23"/>
      <c r="G221" s="1421" t="s">
        <v>5303</v>
      </c>
      <c r="H221" s="1421" t="s">
        <v>3197</v>
      </c>
      <c r="J221" s="173"/>
      <c r="K221" s="173"/>
      <c r="L221" s="1639"/>
      <c r="M221" s="1938"/>
      <c r="X221" s="1600"/>
    </row>
    <row r="222" spans="2:45" x14ac:dyDescent="0.2">
      <c r="B222" s="79" t="s">
        <v>4011</v>
      </c>
      <c r="C222" s="23" t="s">
        <v>356</v>
      </c>
      <c r="D222" s="23"/>
      <c r="E222" s="23"/>
      <c r="G222" s="1421" t="s">
        <v>5303</v>
      </c>
      <c r="H222" s="1421" t="s">
        <v>3197</v>
      </c>
      <c r="I222" s="67"/>
      <c r="J222" s="29" t="s">
        <v>356</v>
      </c>
      <c r="K222" s="85"/>
      <c r="L222" s="1633" t="s">
        <v>4020</v>
      </c>
      <c r="M222" s="1941">
        <v>3</v>
      </c>
      <c r="N222" s="1436"/>
      <c r="O222" s="1427"/>
      <c r="P222" s="1421" t="b">
        <v>1</v>
      </c>
      <c r="Q222" s="1421" t="b">
        <v>1</v>
      </c>
      <c r="R222" s="1421" t="b">
        <v>0</v>
      </c>
      <c r="S222" s="1421" t="b">
        <v>1</v>
      </c>
      <c r="T222" s="1421" t="b">
        <f>AND(NOT(S222),W222=TRUE)</f>
        <v>0</v>
      </c>
      <c r="W222" s="27"/>
      <c r="X222" s="1600"/>
      <c r="AC222" s="1421" t="b">
        <f>OR(AD222:AE222)</f>
        <v>0</v>
      </c>
      <c r="AD222" s="1421" t="b">
        <f>T222</f>
        <v>0</v>
      </c>
      <c r="AP222" s="1421" t="str">
        <f>SUBSTITUTE(SUBSTITUTE(SUBSTITUTE("vcc"&amp;$B222&amp;$C222&amp;$D222&amp;$E222,".","_"),"(","_"),")","")</f>
        <v>vcc612_2_7</v>
      </c>
      <c r="AQ222" s="1421" t="str">
        <f>IF(LEN(W222)=0,"",W222)</f>
        <v/>
      </c>
      <c r="AR222" s="1421" t="str">
        <f>SUBSTITUTE(SUBSTITUTE(SUBSTITUTE("vcn"&amp;$B222&amp;$C222&amp;$D222&amp;$E222,".","_"),"(","_"),")","")</f>
        <v>vcn612_2_7</v>
      </c>
      <c r="AS222" s="1421" t="str">
        <f>IF(LEN(X222)=0,"",X222)</f>
        <v/>
      </c>
    </row>
    <row r="223" spans="2:45" ht="16" thickBot="1" x14ac:dyDescent="0.25">
      <c r="B223" s="79" t="s">
        <v>4011</v>
      </c>
      <c r="C223" s="23" t="s">
        <v>356</v>
      </c>
      <c r="D223" s="23"/>
      <c r="E223" s="23"/>
      <c r="G223" s="1421" t="s">
        <v>5303</v>
      </c>
      <c r="H223" s="1421" t="s">
        <v>3197</v>
      </c>
      <c r="I223" s="67"/>
      <c r="J223" s="29"/>
      <c r="K223" s="85"/>
      <c r="L223" s="1635"/>
      <c r="M223" s="1944"/>
      <c r="N223" s="1436"/>
      <c r="O223" s="1427"/>
      <c r="S223" s="100"/>
      <c r="U223" s="100"/>
      <c r="V223" s="100"/>
      <c r="X223" s="1621"/>
    </row>
    <row r="224" spans="2:45" ht="16" thickTop="1" x14ac:dyDescent="0.2">
      <c r="B224" s="79">
        <v>603.20000000000005</v>
      </c>
      <c r="C224" s="23"/>
      <c r="G224" s="1421" t="s">
        <v>5303</v>
      </c>
      <c r="H224" s="1421" t="s">
        <v>3197</v>
      </c>
      <c r="I224" s="177">
        <v>603.20000000000005</v>
      </c>
      <c r="J224" s="178"/>
      <c r="K224" s="179"/>
      <c r="L224" s="1683" t="s">
        <v>5396</v>
      </c>
      <c r="M224" s="1952" t="s">
        <v>2604</v>
      </c>
      <c r="N224" s="1685" t="str">
        <f>IF(MIN(9,ROUNDDOWN(W224/0.01,0))&gt;0, "Met", "Not Met")</f>
        <v>Not Met</v>
      </c>
      <c r="O224" s="1685"/>
      <c r="P224" s="106" t="b">
        <v>1</v>
      </c>
      <c r="Q224" s="106" t="b">
        <v>1</v>
      </c>
      <c r="R224" s="106" t="b">
        <v>0</v>
      </c>
      <c r="S224" s="1421" t="b">
        <v>1</v>
      </c>
      <c r="T224" s="106" t="b">
        <f>IF(AND(NOT(S224),LEN(W224)&gt;0),TRUE,FALSE)</f>
        <v>0</v>
      </c>
      <c r="W224" s="197"/>
      <c r="X224" s="1603"/>
      <c r="AC224" s="1421" t="b">
        <f>OR(AD224:AE224)</f>
        <v>0</v>
      </c>
      <c r="AD224" s="1421" t="b">
        <f>T224</f>
        <v>0</v>
      </c>
      <c r="AE224" s="1421" t="b">
        <f>AND(W224&gt;0,LEN(X224)=0)</f>
        <v>0</v>
      </c>
      <c r="AP224" s="1421" t="str">
        <f>SUBSTITUTE(SUBSTITUTE(SUBSTITUTE("vcc"&amp;$B224&amp;$C224&amp;$D224&amp;$E224,".","_"),"(","_"),")","")</f>
        <v>vcc603_2</v>
      </c>
      <c r="AQ224" s="1421" t="str">
        <f>IF(LEN(W224)=0,"",W224)</f>
        <v/>
      </c>
      <c r="AR224" s="1421" t="str">
        <f>SUBSTITUTE(SUBSTITUTE(SUBSTITUTE("vcn"&amp;$B224&amp;$C224&amp;$D224&amp;$E224,".","_"),"(","_"),")","")</f>
        <v>vcn603_2</v>
      </c>
      <c r="AS224" s="1421" t="str">
        <f>IF(LEN(X224)=0,"",X224)</f>
        <v/>
      </c>
    </row>
    <row r="225" spans="2:45" x14ac:dyDescent="0.2">
      <c r="B225" s="79">
        <v>603.20000000000005</v>
      </c>
      <c r="C225" s="23"/>
      <c r="G225" s="1421" t="s">
        <v>5303</v>
      </c>
      <c r="H225" s="1421" t="s">
        <v>3197</v>
      </c>
      <c r="I225" s="67"/>
      <c r="J225" s="4"/>
      <c r="K225" s="85"/>
      <c r="L225" s="1631"/>
      <c r="M225" s="1942"/>
      <c r="N225" s="1628"/>
      <c r="O225" s="1628"/>
      <c r="X225" s="1600"/>
    </row>
    <row r="226" spans="2:45" x14ac:dyDescent="0.2">
      <c r="B226" s="79">
        <v>603.20000000000005</v>
      </c>
      <c r="C226" s="23"/>
      <c r="G226" s="1421" t="s">
        <v>5303</v>
      </c>
      <c r="H226" s="1421" t="s">
        <v>3197</v>
      </c>
      <c r="I226" s="67"/>
      <c r="J226" s="4"/>
      <c r="K226" s="85"/>
      <c r="L226" s="1631"/>
      <c r="M226" s="1942"/>
      <c r="N226" s="1628"/>
      <c r="O226" s="1628"/>
      <c r="X226" s="1600"/>
    </row>
    <row r="227" spans="2:45" ht="15" customHeight="1" x14ac:dyDescent="0.2">
      <c r="B227" s="79">
        <v>603.20000000000005</v>
      </c>
      <c r="C227" s="23"/>
      <c r="G227" s="1421" t="s">
        <v>5303</v>
      </c>
      <c r="H227" s="1421" t="s">
        <v>3197</v>
      </c>
      <c r="I227" s="67"/>
      <c r="J227" s="4"/>
      <c r="K227" s="85"/>
      <c r="L227" s="1476" t="s">
        <v>2605</v>
      </c>
      <c r="M227" s="1942"/>
      <c r="N227" s="1628"/>
      <c r="O227" s="1628"/>
      <c r="X227" s="1600"/>
    </row>
    <row r="228" spans="2:45" x14ac:dyDescent="0.2">
      <c r="B228" s="79">
        <v>603.20000000000005</v>
      </c>
      <c r="C228" s="23"/>
      <c r="G228" s="1421" t="s">
        <v>5303</v>
      </c>
      <c r="H228" s="1421" t="s">
        <v>3197</v>
      </c>
      <c r="I228" s="67"/>
      <c r="J228" s="4"/>
      <c r="K228" s="85"/>
      <c r="L228" s="1810" t="s">
        <v>5397</v>
      </c>
      <c r="M228" s="1942"/>
      <c r="N228" s="1628"/>
      <c r="O228" s="1628"/>
      <c r="X228" s="1600"/>
    </row>
    <row r="229" spans="2:45" x14ac:dyDescent="0.2">
      <c r="B229" s="79">
        <v>603.20000000000005</v>
      </c>
      <c r="C229" s="23"/>
      <c r="G229" s="1421" t="s">
        <v>5303</v>
      </c>
      <c r="H229" s="1421" t="s">
        <v>3197</v>
      </c>
      <c r="I229" s="67"/>
      <c r="J229" s="4"/>
      <c r="K229" s="85"/>
      <c r="L229" s="1813"/>
      <c r="M229" s="1942"/>
      <c r="N229" s="1628"/>
      <c r="O229" s="1628"/>
      <c r="X229" s="1600"/>
    </row>
    <row r="230" spans="2:45" ht="16" thickBot="1" x14ac:dyDescent="0.25">
      <c r="B230" s="79">
        <v>603.20000000000005</v>
      </c>
      <c r="C230" s="23"/>
      <c r="G230" s="1421" t="s">
        <v>5303</v>
      </c>
      <c r="H230" s="1421" t="s">
        <v>3197</v>
      </c>
      <c r="I230" s="189"/>
      <c r="J230" s="239"/>
      <c r="K230" s="99"/>
      <c r="L230" s="1812"/>
      <c r="M230" s="1953"/>
      <c r="N230" s="1627"/>
      <c r="O230" s="1627"/>
      <c r="P230" s="100"/>
      <c r="Q230" s="100"/>
      <c r="R230" s="100"/>
      <c r="S230" s="100"/>
      <c r="T230" s="100"/>
      <c r="U230" s="100"/>
      <c r="V230" s="100"/>
      <c r="W230" s="113"/>
      <c r="X230" s="1602"/>
    </row>
    <row r="231" spans="2:45" ht="16" thickTop="1" x14ac:dyDescent="0.2">
      <c r="B231" s="79" t="s">
        <v>3997</v>
      </c>
      <c r="C231" s="23"/>
      <c r="D231" s="23"/>
      <c r="G231" s="1421" t="s">
        <v>5303</v>
      </c>
      <c r="H231" s="1421" t="s">
        <v>3199</v>
      </c>
      <c r="I231" s="67">
        <v>611.1</v>
      </c>
      <c r="J231" s="4"/>
      <c r="K231" s="85"/>
      <c r="L231" s="1631" t="s">
        <v>5398</v>
      </c>
      <c r="M231" s="1937">
        <v>5</v>
      </c>
      <c r="N231" s="1685" t="str">
        <f>IF(IF(W237+W247*2&gt;=10,5,0)&gt;0, "Met", "Not Met")</f>
        <v>Not Met</v>
      </c>
      <c r="O231" s="1685"/>
    </row>
    <row r="232" spans="2:45" x14ac:dyDescent="0.2">
      <c r="B232" s="79" t="s">
        <v>3997</v>
      </c>
      <c r="C232" s="23"/>
      <c r="D232" s="23"/>
      <c r="G232" s="1421" t="s">
        <v>5303</v>
      </c>
      <c r="H232" s="1421" t="s">
        <v>3199</v>
      </c>
      <c r="I232" s="67"/>
      <c r="J232" s="4"/>
      <c r="K232" s="85"/>
      <c r="L232" s="1631"/>
      <c r="M232" s="1937"/>
      <c r="N232" s="1628"/>
      <c r="O232" s="1628"/>
    </row>
    <row r="233" spans="2:45" x14ac:dyDescent="0.2">
      <c r="B233" s="79" t="s">
        <v>3997</v>
      </c>
      <c r="C233" s="23"/>
      <c r="D233" s="23"/>
      <c r="G233" s="1421" t="s">
        <v>5303</v>
      </c>
      <c r="H233" s="1421" t="s">
        <v>3199</v>
      </c>
      <c r="I233" s="67"/>
      <c r="J233" s="4"/>
      <c r="K233" s="85"/>
      <c r="L233" s="1631"/>
      <c r="M233" s="1937"/>
      <c r="N233" s="1628"/>
      <c r="O233" s="1628"/>
    </row>
    <row r="234" spans="2:45" x14ac:dyDescent="0.2">
      <c r="B234" s="79" t="s">
        <v>3997</v>
      </c>
      <c r="C234" s="23"/>
      <c r="D234" s="23"/>
      <c r="G234" s="1421" t="s">
        <v>5303</v>
      </c>
      <c r="H234" s="1421" t="s">
        <v>3199</v>
      </c>
      <c r="I234" s="67"/>
      <c r="J234" s="4"/>
      <c r="K234" s="85"/>
      <c r="L234" s="1631"/>
      <c r="M234" s="1937"/>
      <c r="N234" s="1628"/>
      <c r="O234" s="1628"/>
    </row>
    <row r="235" spans="2:45" x14ac:dyDescent="0.2">
      <c r="B235" s="79" t="s">
        <v>3997</v>
      </c>
      <c r="C235" s="23"/>
      <c r="D235" s="23"/>
      <c r="G235" s="1421" t="s">
        <v>5303</v>
      </c>
      <c r="H235" s="1421" t="s">
        <v>3199</v>
      </c>
      <c r="I235" s="219"/>
      <c r="J235" s="213"/>
      <c r="K235" s="170"/>
      <c r="L235" s="1696"/>
      <c r="M235" s="1938"/>
      <c r="N235" s="1624"/>
      <c r="O235" s="1624"/>
    </row>
    <row r="236" spans="2:45" x14ac:dyDescent="0.2">
      <c r="B236" s="79" t="s">
        <v>3998</v>
      </c>
      <c r="C236" s="23"/>
      <c r="D236" s="23"/>
      <c r="G236" s="1421" t="s">
        <v>5303</v>
      </c>
      <c r="H236" s="1421" t="s">
        <v>3199</v>
      </c>
      <c r="I236" s="67" t="s">
        <v>3998</v>
      </c>
      <c r="J236" s="4"/>
      <c r="K236" s="85"/>
      <c r="L236" s="1725" t="s">
        <v>5399</v>
      </c>
      <c r="M236" s="1433"/>
      <c r="N236" s="1436"/>
      <c r="O236" s="1427"/>
      <c r="W236" s="1421" t="s">
        <v>2676</v>
      </c>
      <c r="X236" s="1600"/>
      <c r="AR236" s="1421" t="str">
        <f>SUBSTITUTE(SUBSTITUTE(SUBSTITUTE("vcn"&amp;$B236&amp;$C236&amp;$D236&amp;$E236,".","_"),"(","_"),")","")</f>
        <v>vcn611_1_1</v>
      </c>
      <c r="AS236" s="1421" t="str">
        <f>IF(LEN(X236)=0,"",X236)</f>
        <v/>
      </c>
    </row>
    <row r="237" spans="2:45" x14ac:dyDescent="0.2">
      <c r="B237" s="79" t="s">
        <v>3998</v>
      </c>
      <c r="C237" s="23"/>
      <c r="D237" s="23"/>
      <c r="G237" s="1421" t="s">
        <v>5303</v>
      </c>
      <c r="H237" s="1421" t="s">
        <v>3199</v>
      </c>
      <c r="I237" s="67"/>
      <c r="J237" s="4"/>
      <c r="K237" s="85"/>
      <c r="L237" s="1725"/>
      <c r="M237" s="1433"/>
      <c r="N237" s="1436"/>
      <c r="O237" s="1427"/>
      <c r="P237" s="1421" t="b">
        <v>1</v>
      </c>
      <c r="Q237" s="1421" t="b">
        <v>1</v>
      </c>
      <c r="R237" s="1421" t="b">
        <v>0</v>
      </c>
      <c r="S237" s="1421" t="b">
        <v>1</v>
      </c>
      <c r="T237" s="1421" t="b">
        <f>IF(AND(NOT(S237),LEN(W237)&gt;0),TRUE,FALSE)</f>
        <v>0</v>
      </c>
      <c r="W237" s="168"/>
      <c r="X237" s="1600"/>
      <c r="AC237" s="1421" t="b">
        <f>OR(AD237:AE237)</f>
        <v>0</v>
      </c>
      <c r="AD237" s="1421" t="b">
        <f>T237</f>
        <v>0</v>
      </c>
      <c r="AE237" s="1421" t="b">
        <f>AND(W237&gt;0,LEN(X236)=0)</f>
        <v>0</v>
      </c>
      <c r="AP237" s="1421" t="str">
        <f>SUBSTITUTE(SUBSTITUTE(SUBSTITUTE("vcc"&amp;$B237&amp;$C237&amp;$D237&amp;$E237,".","_"),"(","_"),")","")</f>
        <v>vcc611_1_1</v>
      </c>
      <c r="AQ237" s="1421" t="str">
        <f>IF(LEN(W237)=0,"",W237)</f>
        <v/>
      </c>
    </row>
    <row r="238" spans="2:45" x14ac:dyDescent="0.2">
      <c r="B238" s="79" t="s">
        <v>3998</v>
      </c>
      <c r="C238" s="23"/>
      <c r="D238" s="23"/>
      <c r="G238" s="1421" t="s">
        <v>5303</v>
      </c>
      <c r="H238" s="1421" t="s">
        <v>3199</v>
      </c>
      <c r="I238" s="67"/>
      <c r="J238" s="4"/>
      <c r="K238" s="85"/>
      <c r="L238" s="1725"/>
      <c r="M238" s="1433"/>
      <c r="N238" s="1436"/>
      <c r="O238" s="1427"/>
      <c r="X238" s="1600"/>
    </row>
    <row r="239" spans="2:45" x14ac:dyDescent="0.2">
      <c r="B239" s="79" t="s">
        <v>3998</v>
      </c>
      <c r="C239" s="23"/>
      <c r="D239" s="23"/>
      <c r="G239" s="1421" t="s">
        <v>5303</v>
      </c>
      <c r="H239" s="1421" t="s">
        <v>3199</v>
      </c>
      <c r="I239" s="67"/>
      <c r="J239" s="4"/>
      <c r="K239" s="85"/>
      <c r="L239" s="1725"/>
      <c r="M239" s="1433"/>
      <c r="N239" s="1436"/>
      <c r="O239" s="1427"/>
      <c r="X239" s="1600"/>
    </row>
    <row r="240" spans="2:45" x14ac:dyDescent="0.2">
      <c r="B240" s="79" t="s">
        <v>3998</v>
      </c>
      <c r="C240" s="23"/>
      <c r="D240" s="23"/>
      <c r="G240" s="1421" t="s">
        <v>5303</v>
      </c>
      <c r="H240" s="1421" t="s">
        <v>3199</v>
      </c>
      <c r="I240" s="67"/>
      <c r="J240" s="4"/>
      <c r="K240" s="85"/>
      <c r="L240" s="1725"/>
      <c r="M240" s="1433"/>
      <c r="N240" s="1436"/>
      <c r="O240" s="1427"/>
      <c r="X240" s="1600"/>
    </row>
    <row r="241" spans="2:45" x14ac:dyDescent="0.2">
      <c r="B241" s="79" t="s">
        <v>3998</v>
      </c>
      <c r="C241" s="23"/>
      <c r="D241" s="23"/>
      <c r="G241" s="1421" t="s">
        <v>5303</v>
      </c>
      <c r="H241" s="1421" t="s">
        <v>3199</v>
      </c>
      <c r="I241" s="67"/>
      <c r="J241" s="4"/>
      <c r="K241" s="85"/>
      <c r="L241" s="1725"/>
      <c r="M241" s="1433"/>
      <c r="N241" s="1436"/>
      <c r="O241" s="1427"/>
      <c r="X241" s="1600"/>
    </row>
    <row r="242" spans="2:45" x14ac:dyDescent="0.2">
      <c r="B242" s="79" t="s">
        <v>3998</v>
      </c>
      <c r="C242" s="23"/>
      <c r="D242" s="23"/>
      <c r="G242" s="1421" t="s">
        <v>5303</v>
      </c>
      <c r="H242" s="1421" t="s">
        <v>3199</v>
      </c>
      <c r="I242" s="67"/>
      <c r="J242" s="4"/>
      <c r="K242" s="85"/>
      <c r="L242" s="1725"/>
      <c r="M242" s="1433"/>
      <c r="N242" s="1436"/>
      <c r="O242" s="1427"/>
      <c r="X242" s="1600"/>
    </row>
    <row r="243" spans="2:45" x14ac:dyDescent="0.2">
      <c r="B243" s="79" t="s">
        <v>3998</v>
      </c>
      <c r="C243" s="23"/>
      <c r="D243" s="23"/>
      <c r="G243" s="1421" t="s">
        <v>5303</v>
      </c>
      <c r="H243" s="1421" t="s">
        <v>3199</v>
      </c>
      <c r="I243" s="67"/>
      <c r="J243" s="4"/>
      <c r="K243" s="85"/>
      <c r="L243" s="1725"/>
      <c r="M243" s="1433"/>
      <c r="N243" s="1436"/>
      <c r="O243" s="1427"/>
      <c r="X243" s="1600"/>
    </row>
    <row r="244" spans="2:45" x14ac:dyDescent="0.2">
      <c r="B244" s="79" t="s">
        <v>3998</v>
      </c>
      <c r="C244" s="23"/>
      <c r="D244" s="23"/>
      <c r="G244" s="1421" t="s">
        <v>5303</v>
      </c>
      <c r="H244" s="1421" t="s">
        <v>3199</v>
      </c>
      <c r="I244" s="219"/>
      <c r="J244" s="213"/>
      <c r="K244" s="170"/>
      <c r="L244" s="1450" t="s">
        <v>2678</v>
      </c>
      <c r="M244" s="1433"/>
      <c r="N244" s="1436"/>
      <c r="O244" s="1427"/>
      <c r="X244" s="1600"/>
    </row>
    <row r="245" spans="2:45" x14ac:dyDescent="0.2">
      <c r="B245" s="79" t="s">
        <v>3999</v>
      </c>
      <c r="C245" s="23"/>
      <c r="D245" s="23"/>
      <c r="G245" s="1421" t="s">
        <v>5303</v>
      </c>
      <c r="H245" s="1421" t="s">
        <v>3199</v>
      </c>
      <c r="I245" s="67" t="s">
        <v>3999</v>
      </c>
      <c r="J245" s="4"/>
      <c r="K245" s="85"/>
      <c r="L245" s="1725" t="s">
        <v>5400</v>
      </c>
      <c r="M245" s="1433"/>
      <c r="N245" s="1436"/>
      <c r="O245" s="1427"/>
      <c r="W245" s="1554" t="s">
        <v>2677</v>
      </c>
      <c r="X245" s="1600"/>
      <c r="AR245" s="1421" t="str">
        <f>SUBSTITUTE(SUBSTITUTE(SUBSTITUTE("vcn"&amp;$B245&amp;$C245&amp;$D245&amp;$E245,".","_"),"(","_"),")","")</f>
        <v>vcn611_1_2</v>
      </c>
      <c r="AS245" s="1421" t="str">
        <f>IF(LEN(X245)=0,"",X245)</f>
        <v/>
      </c>
    </row>
    <row r="246" spans="2:45" x14ac:dyDescent="0.2">
      <c r="B246" s="79" t="s">
        <v>3999</v>
      </c>
      <c r="C246" s="23"/>
      <c r="D246" s="23"/>
      <c r="G246" s="1421" t="s">
        <v>5303</v>
      </c>
      <c r="H246" s="1421" t="s">
        <v>3199</v>
      </c>
      <c r="I246" s="67"/>
      <c r="J246" s="4"/>
      <c r="K246" s="85"/>
      <c r="L246" s="1725"/>
      <c r="M246" s="1433"/>
      <c r="N246" s="1436"/>
      <c r="O246" s="1427"/>
      <c r="W246" s="1554"/>
      <c r="X246" s="1600"/>
    </row>
    <row r="247" spans="2:45" x14ac:dyDescent="0.2">
      <c r="B247" s="79" t="s">
        <v>3999</v>
      </c>
      <c r="C247" s="23"/>
      <c r="D247" s="23"/>
      <c r="G247" s="1421" t="s">
        <v>5303</v>
      </c>
      <c r="H247" s="1421" t="s">
        <v>3199</v>
      </c>
      <c r="I247" s="67"/>
      <c r="J247" s="4"/>
      <c r="K247" s="85"/>
      <c r="L247" s="1725"/>
      <c r="M247" s="1433"/>
      <c r="N247" s="1436"/>
      <c r="O247" s="1427"/>
      <c r="P247" s="1421" t="b">
        <v>1</v>
      </c>
      <c r="Q247" s="1421" t="b">
        <v>1</v>
      </c>
      <c r="R247" s="1421" t="b">
        <v>0</v>
      </c>
      <c r="S247" s="1421" t="b">
        <v>1</v>
      </c>
      <c r="T247" s="1421" t="b">
        <f>IF(AND(NOT(S247),LEN(W247)&gt;0),TRUE,FALSE)</f>
        <v>0</v>
      </c>
      <c r="W247" s="168"/>
      <c r="X247" s="1600"/>
      <c r="AC247" s="1421" t="b">
        <f>OR(AD247:AE247)</f>
        <v>0</v>
      </c>
      <c r="AD247" s="1421" t="b">
        <f>T247</f>
        <v>0</v>
      </c>
      <c r="AE247" s="1421" t="b">
        <f>AND(W247&gt;0,LEN(X245)=0)</f>
        <v>0</v>
      </c>
      <c r="AP247" s="1421" t="str">
        <f>SUBSTITUTE(SUBSTITUTE(SUBSTITUTE("vcc"&amp;$B247&amp;$C247&amp;$D247&amp;$E247,".","_"),"(","_"),")","")</f>
        <v>vcc611_1_2</v>
      </c>
      <c r="AQ247" s="1421" t="str">
        <f>IF(LEN(W247)=0,"",W247)</f>
        <v/>
      </c>
    </row>
    <row r="248" spans="2:45" x14ac:dyDescent="0.2">
      <c r="B248" s="79" t="s">
        <v>3999</v>
      </c>
      <c r="C248" s="23"/>
      <c r="D248" s="23"/>
      <c r="G248" s="1421" t="s">
        <v>5303</v>
      </c>
      <c r="H248" s="1421" t="s">
        <v>3199</v>
      </c>
      <c r="I248" s="67"/>
      <c r="J248" s="4"/>
      <c r="K248" s="85"/>
      <c r="L248" s="1725"/>
      <c r="M248" s="1433"/>
      <c r="N248" s="1436"/>
      <c r="O248" s="1427"/>
      <c r="X248" s="1600"/>
    </row>
    <row r="249" spans="2:45" x14ac:dyDescent="0.2">
      <c r="B249" s="79" t="s">
        <v>3999</v>
      </c>
      <c r="C249" s="23"/>
      <c r="D249" s="23"/>
      <c r="G249" s="1421" t="s">
        <v>5303</v>
      </c>
      <c r="H249" s="1421" t="s">
        <v>3199</v>
      </c>
      <c r="I249" s="67"/>
      <c r="J249" s="4"/>
      <c r="K249" s="85"/>
      <c r="L249" s="1725"/>
      <c r="M249" s="1433"/>
      <c r="N249" s="1436"/>
      <c r="O249" s="1427"/>
      <c r="X249" s="1600"/>
    </row>
    <row r="250" spans="2:45" x14ac:dyDescent="0.2">
      <c r="B250" s="79" t="s">
        <v>3999</v>
      </c>
      <c r="C250" s="23"/>
      <c r="D250" s="23"/>
      <c r="G250" s="1421" t="s">
        <v>5303</v>
      </c>
      <c r="H250" s="1421" t="s">
        <v>3199</v>
      </c>
      <c r="I250" s="67"/>
      <c r="J250" s="4"/>
      <c r="K250" s="85"/>
      <c r="L250" s="1725"/>
      <c r="M250" s="1433"/>
      <c r="N250" s="1436"/>
      <c r="O250" s="1427"/>
      <c r="X250" s="1600"/>
    </row>
    <row r="251" spans="2:45" ht="16" thickBot="1" x14ac:dyDescent="0.25">
      <c r="B251" s="79" t="s">
        <v>3999</v>
      </c>
      <c r="C251" s="20"/>
      <c r="D251" s="20"/>
      <c r="G251" s="1421" t="s">
        <v>5303</v>
      </c>
      <c r="H251" s="1421" t="s">
        <v>3199</v>
      </c>
      <c r="I251" s="100"/>
      <c r="J251" s="100"/>
      <c r="K251" s="100"/>
      <c r="L251" s="1451" t="s">
        <v>2678</v>
      </c>
      <c r="M251" s="431"/>
      <c r="N251" s="1437"/>
      <c r="O251" s="1428"/>
      <c r="P251" s="100"/>
      <c r="Q251" s="100"/>
      <c r="R251" s="100"/>
      <c r="S251" s="100"/>
      <c r="T251" s="100"/>
      <c r="U251" s="100"/>
      <c r="V251" s="100"/>
      <c r="W251" s="113"/>
      <c r="X251" s="1602"/>
    </row>
    <row r="252" spans="2:45" ht="16" thickTop="1" x14ac:dyDescent="0.2">
      <c r="B252" s="79">
        <v>604.1</v>
      </c>
      <c r="C252" s="23" t="s">
        <v>2539</v>
      </c>
      <c r="G252" s="1421" t="s">
        <v>5303</v>
      </c>
      <c r="H252" s="1421" t="s">
        <v>3197</v>
      </c>
      <c r="I252" s="67">
        <v>604.1</v>
      </c>
      <c r="J252" s="4"/>
      <c r="K252" s="85"/>
      <c r="L252" s="1631" t="s">
        <v>5401</v>
      </c>
      <c r="M252" s="1942" t="s">
        <v>2607</v>
      </c>
      <c r="N252" s="1685" t="str">
        <f>IF(IFERROR(INDEX({0,1,2,3},MATCH(MIN(W255+0,W253+0),{0,0.25,0.5,0.75},1)),0)+IFERROR(INDEX({0,2,4,6},MATCH(MIN(W257+0,W259+0),{0,0.25,0.5,0.75},1)),0)&gt;0, "Met", "Not Met")</f>
        <v>Not Met</v>
      </c>
      <c r="O252" s="1685"/>
      <c r="W252" s="1421" t="s">
        <v>2608</v>
      </c>
      <c r="X252" s="1621"/>
      <c r="AR252" s="1421" t="str">
        <f>SUBSTITUTE(SUBSTITUTE(SUBSTITUTE("vcn"&amp;$B252&amp;$C252&amp;$D252&amp;$E252,".","_"),"(","_"),")","")</f>
        <v>vcn604_1a</v>
      </c>
      <c r="AS252" s="1421" t="str">
        <f>IF(LEN(X252)=0,"",X252)</f>
        <v/>
      </c>
    </row>
    <row r="253" spans="2:45" x14ac:dyDescent="0.2">
      <c r="B253" s="79">
        <v>604.1</v>
      </c>
      <c r="C253" s="23" t="s">
        <v>2539</v>
      </c>
      <c r="G253" s="1421" t="s">
        <v>5303</v>
      </c>
      <c r="H253" s="1421" t="s">
        <v>3197</v>
      </c>
      <c r="I253" s="67"/>
      <c r="J253" s="4"/>
      <c r="K253" s="85"/>
      <c r="L253" s="1631"/>
      <c r="M253" s="1942"/>
      <c r="N253" s="1628"/>
      <c r="O253" s="1628"/>
      <c r="P253" s="1421" t="b">
        <v>1</v>
      </c>
      <c r="Q253" s="1421" t="b">
        <v>1</v>
      </c>
      <c r="R253" s="1421" t="b">
        <v>0</v>
      </c>
      <c r="S253" s="1421" t="b">
        <v>1</v>
      </c>
      <c r="T253" s="1421" t="b">
        <f>IF(AND(NOT(S253),LEN(W253)&gt;0),TRUE,FALSE)</f>
        <v>0</v>
      </c>
      <c r="W253" s="164"/>
      <c r="X253" s="1599"/>
      <c r="AC253" s="1421" t="b">
        <f>OR(AD253:AE253)</f>
        <v>0</v>
      </c>
      <c r="AD253" s="1421" t="b">
        <f>T253</f>
        <v>0</v>
      </c>
      <c r="AE253" s="1421" t="b">
        <f>AND(W253&gt;0,LEN(X252)=0)</f>
        <v>0</v>
      </c>
      <c r="AP253" s="1421" t="str">
        <f>SUBSTITUTE(SUBSTITUTE(SUBSTITUTE("vcc"&amp;$B253&amp;$C253&amp;$D253&amp;$E253,".","_"),"(","_"),")","")</f>
        <v>vcc604_1a</v>
      </c>
      <c r="AQ253" s="1421" t="str">
        <f>IF(LEN(W253)=0,"",W253)</f>
        <v/>
      </c>
    </row>
    <row r="254" spans="2:45" x14ac:dyDescent="0.2">
      <c r="B254" s="79">
        <v>604.1</v>
      </c>
      <c r="C254" s="23" t="s">
        <v>2540</v>
      </c>
      <c r="G254" s="1421" t="s">
        <v>5303</v>
      </c>
      <c r="H254" s="1421" t="s">
        <v>3197</v>
      </c>
      <c r="I254" s="67"/>
      <c r="J254" s="4"/>
      <c r="K254" s="85"/>
      <c r="L254" s="1431" t="s">
        <v>2614</v>
      </c>
      <c r="M254" s="1942"/>
      <c r="N254" s="1628"/>
      <c r="O254" s="1628"/>
      <c r="W254" s="1421" t="s">
        <v>2609</v>
      </c>
      <c r="X254" s="1600"/>
      <c r="AR254" s="1421" t="str">
        <f>SUBSTITUTE(SUBSTITUTE(SUBSTITUTE("vcn"&amp;$B254&amp;$C254&amp;$D254&amp;$E254,".","_"),"(","_"),")","")</f>
        <v>vcn604_1b</v>
      </c>
      <c r="AS254" s="1421" t="str">
        <f>IF(LEN(X254)=0,"",X254)</f>
        <v/>
      </c>
    </row>
    <row r="255" spans="2:45" x14ac:dyDescent="0.2">
      <c r="B255" s="79">
        <v>604.1</v>
      </c>
      <c r="C255" s="23" t="s">
        <v>2540</v>
      </c>
      <c r="G255" s="1421" t="s">
        <v>5303</v>
      </c>
      <c r="H255" s="1421" t="s">
        <v>3197</v>
      </c>
      <c r="I255" s="67"/>
      <c r="J255" s="4"/>
      <c r="K255" s="85"/>
      <c r="L255" s="281" t="s">
        <v>2612</v>
      </c>
      <c r="M255" s="1942"/>
      <c r="N255" s="1628"/>
      <c r="O255" s="1628"/>
      <c r="P255" s="1421" t="b">
        <v>1</v>
      </c>
      <c r="Q255" s="1421" t="b">
        <v>1</v>
      </c>
      <c r="R255" s="1421" t="b">
        <v>0</v>
      </c>
      <c r="S255" s="1421" t="b">
        <v>1</v>
      </c>
      <c r="T255" s="1421" t="b">
        <f>IF(AND(NOT(S255),LEN(W255)&gt;0),TRUE,FALSE)</f>
        <v>0</v>
      </c>
      <c r="W255" s="164"/>
      <c r="X255" s="1600"/>
      <c r="AC255" s="1421" t="b">
        <f>OR(AD255:AE255)</f>
        <v>0</v>
      </c>
      <c r="AD255" s="1421" t="b">
        <f>T255</f>
        <v>0</v>
      </c>
      <c r="AE255" s="1421" t="b">
        <f>AND(W255&gt;0,LEN(X254)=0)</f>
        <v>0</v>
      </c>
      <c r="AP255" s="1421" t="str">
        <f>SUBSTITUTE(SUBSTITUTE(SUBSTITUTE("vcc"&amp;$B255&amp;$C255&amp;$D255&amp;$E255,".","_"),"(","_"),")","")</f>
        <v>vcc604_1b</v>
      </c>
      <c r="AQ255" s="1421" t="str">
        <f>IF(LEN(W255)=0,"",W255)</f>
        <v/>
      </c>
    </row>
    <row r="256" spans="2:45" x14ac:dyDescent="0.2">
      <c r="B256" s="79">
        <v>604.1</v>
      </c>
      <c r="C256" s="23" t="s">
        <v>2541</v>
      </c>
      <c r="G256" s="1421" t="s">
        <v>5303</v>
      </c>
      <c r="H256" s="1421" t="s">
        <v>3197</v>
      </c>
      <c r="I256" s="67"/>
      <c r="J256" s="4"/>
      <c r="K256" s="85"/>
      <c r="L256" s="1673" t="s">
        <v>2613</v>
      </c>
      <c r="M256" s="1942"/>
      <c r="N256" s="1628"/>
      <c r="O256" s="1628"/>
      <c r="W256" s="1421" t="s">
        <v>2611</v>
      </c>
      <c r="X256" s="1600"/>
      <c r="AR256" s="1421" t="str">
        <f>SUBSTITUTE(SUBSTITUTE(SUBSTITUTE("vcn"&amp;$B256&amp;$C256&amp;$D256&amp;$E256,".","_"),"(","_"),")","")</f>
        <v>vcn604_1c</v>
      </c>
      <c r="AS256" s="1421" t="str">
        <f>IF(LEN(X256)=0,"",X256)</f>
        <v/>
      </c>
    </row>
    <row r="257" spans="2:45" x14ac:dyDescent="0.2">
      <c r="B257" s="79">
        <v>604.1</v>
      </c>
      <c r="C257" s="23" t="s">
        <v>2541</v>
      </c>
      <c r="G257" s="1421" t="s">
        <v>5303</v>
      </c>
      <c r="H257" s="1421" t="s">
        <v>3197</v>
      </c>
      <c r="I257" s="67"/>
      <c r="J257" s="4"/>
      <c r="K257" s="85"/>
      <c r="L257" s="1673"/>
      <c r="M257" s="1942"/>
      <c r="N257" s="1628"/>
      <c r="O257" s="1628"/>
      <c r="P257" s="1421" t="b">
        <v>1</v>
      </c>
      <c r="Q257" s="1421" t="b">
        <v>1</v>
      </c>
      <c r="R257" s="1421" t="b">
        <v>0</v>
      </c>
      <c r="S257" s="1421" t="b">
        <v>1</v>
      </c>
      <c r="T257" s="1421" t="b">
        <f>IF(AND(NOT(S257),LEN(W257)&gt;0),TRUE,FALSE)</f>
        <v>0</v>
      </c>
      <c r="W257" s="164"/>
      <c r="X257" s="1600"/>
      <c r="AC257" s="1421" t="b">
        <f>OR(AD257:AE257)</f>
        <v>0</v>
      </c>
      <c r="AD257" s="1421" t="b">
        <f>T257</f>
        <v>0</v>
      </c>
      <c r="AE257" s="1421" t="b">
        <f>AND(W257&gt;0,LEN(X256)=0)</f>
        <v>0</v>
      </c>
      <c r="AP257" s="1421" t="str">
        <f>SUBSTITUTE(SUBSTITUTE(SUBSTITUTE("vcc"&amp;$B257&amp;$C257&amp;$D257&amp;$E257,".","_"),"(","_"),")","")</f>
        <v>vcc604_1c</v>
      </c>
      <c r="AQ257" s="1421" t="str">
        <f>IF(LEN(W257)=0,"",W257)</f>
        <v/>
      </c>
    </row>
    <row r="258" spans="2:45" x14ac:dyDescent="0.2">
      <c r="B258" s="79">
        <v>604.1</v>
      </c>
      <c r="C258" s="23" t="s">
        <v>2542</v>
      </c>
      <c r="G258" s="1421" t="s">
        <v>5303</v>
      </c>
      <c r="H258" s="1421" t="s">
        <v>3197</v>
      </c>
      <c r="I258" s="67"/>
      <c r="J258" s="4"/>
      <c r="K258" s="85"/>
      <c r="M258" s="1942"/>
      <c r="N258" s="1628"/>
      <c r="O258" s="1628"/>
      <c r="W258" s="1421" t="s">
        <v>2610</v>
      </c>
      <c r="X258" s="1600"/>
      <c r="AR258" s="1421" t="str">
        <f>SUBSTITUTE(SUBSTITUTE(SUBSTITUTE("vcn"&amp;$B258&amp;$C258&amp;$D258&amp;$E258,".","_"),"(","_"),")","")</f>
        <v>vcn604_1d</v>
      </c>
      <c r="AS258" s="1421" t="str">
        <f>IF(LEN(X258)=0,"",X258)</f>
        <v/>
      </c>
    </row>
    <row r="259" spans="2:45" ht="16" thickBot="1" x14ac:dyDescent="0.25">
      <c r="B259" s="79">
        <v>604.1</v>
      </c>
      <c r="C259" s="23" t="s">
        <v>2542</v>
      </c>
      <c r="G259" s="1421" t="s">
        <v>5303</v>
      </c>
      <c r="H259" s="1421" t="s">
        <v>3197</v>
      </c>
      <c r="I259" s="67"/>
      <c r="J259" s="4"/>
      <c r="K259" s="85"/>
      <c r="M259" s="1942"/>
      <c r="N259" s="1627"/>
      <c r="O259" s="1627"/>
      <c r="P259" s="1421" t="b">
        <v>1</v>
      </c>
      <c r="Q259" s="1421" t="b">
        <v>1</v>
      </c>
      <c r="R259" s="1421" t="b">
        <v>0</v>
      </c>
      <c r="S259" s="1421" t="b">
        <v>1</v>
      </c>
      <c r="T259" s="1421" t="b">
        <f>IF(AND(NOT(S259),LEN(W259)&gt;0),TRUE,FALSE)</f>
        <v>0</v>
      </c>
      <c r="W259" s="164"/>
      <c r="X259" s="1600"/>
      <c r="AC259" s="1421" t="b">
        <f>OR(AD259:AE259)</f>
        <v>0</v>
      </c>
      <c r="AD259" s="1421" t="b">
        <f>T259</f>
        <v>0</v>
      </c>
      <c r="AE259" s="1421" t="b">
        <f>AND(W259&gt;0,LEN(X258)=0)</f>
        <v>0</v>
      </c>
      <c r="AP259" s="1421" t="str">
        <f>SUBSTITUTE(SUBSTITUTE(SUBSTITUTE("vcc"&amp;$B259&amp;$C259&amp;$D259&amp;$E259,".","_"),"(","_"),")","")</f>
        <v>vcc604_1d</v>
      </c>
      <c r="AQ259" s="1421" t="str">
        <f>IF(LEN(W259)=0,"",W259)</f>
        <v/>
      </c>
    </row>
    <row r="260" spans="2:45" ht="16" thickTop="1" x14ac:dyDescent="0.2">
      <c r="B260" s="92" t="s">
        <v>5402</v>
      </c>
      <c r="C260" s="858"/>
      <c r="G260" s="1421" t="s">
        <v>3199</v>
      </c>
      <c r="H260" s="1421" t="s">
        <v>3197</v>
      </c>
      <c r="I260" s="115" t="s">
        <v>5402</v>
      </c>
      <c r="J260" s="1070"/>
      <c r="K260" s="1070"/>
      <c r="L260" s="1740" t="s">
        <v>5403</v>
      </c>
      <c r="M260" s="1701" t="str">
        <f ca="1">IF(R260,"Mandatory","N/A")</f>
        <v>N/A</v>
      </c>
      <c r="N260" s="106"/>
      <c r="O260" s="106"/>
      <c r="P260" s="106" t="b">
        <v>1</v>
      </c>
      <c r="Q260" s="106" t="b">
        <v>1</v>
      </c>
      <c r="R260" s="106" t="b">
        <f ca="1">S260</f>
        <v>0</v>
      </c>
      <c r="S260" s="106" t="b">
        <f ca="1">S14=1</f>
        <v>0</v>
      </c>
      <c r="T260" s="106" t="b">
        <f ca="1">AND(NOT(S260),W260=TRUE)</f>
        <v>0</v>
      </c>
      <c r="U260" s="106"/>
      <c r="V260" s="106"/>
      <c r="W260" s="334"/>
      <c r="X260" s="1603"/>
      <c r="AC260" s="1421" t="b">
        <f ca="1">OR(AD260:AE260)</f>
        <v>0</v>
      </c>
      <c r="AD260" s="1421" t="b">
        <f ca="1">T260</f>
        <v>0</v>
      </c>
      <c r="AE260" s="1421" t="b">
        <f ca="1">AND(R260,NOT(W260))</f>
        <v>0</v>
      </c>
      <c r="AP260" s="1421" t="str">
        <f>SUBSTITUTE(SUBSTITUTE(SUBSTITUTE("vcc"&amp;$B260&amp;$C260&amp;$D260&amp;$E260,".","_"),"(","_"),")","")</f>
        <v>vcc13_104_4</v>
      </c>
      <c r="AQ260" s="1421" t="str">
        <f>IF(LEN(W260)=0,"",W260)</f>
        <v/>
      </c>
      <c r="AR260" s="1421" t="str">
        <f>SUBSTITUTE(SUBSTITUTE(SUBSTITUTE("vcn"&amp;$B260&amp;$C260&amp;$D260&amp;$E260,".","_"),"(","_"),")","")</f>
        <v>vcn13_104_4</v>
      </c>
      <c r="AS260" s="1421" t="str">
        <f>IF(LEN(X260)=0,"",X260)</f>
        <v/>
      </c>
    </row>
    <row r="261" spans="2:45" x14ac:dyDescent="0.2">
      <c r="B261" s="92" t="s">
        <v>5402</v>
      </c>
      <c r="C261" s="858"/>
      <c r="G261" s="1421" t="s">
        <v>3199</v>
      </c>
      <c r="H261" s="1421" t="s">
        <v>3197</v>
      </c>
      <c r="I261" s="89"/>
      <c r="J261" s="873"/>
      <c r="K261" s="873"/>
      <c r="L261" s="1807"/>
      <c r="M261" s="1714"/>
      <c r="X261" s="1600"/>
    </row>
    <row r="262" spans="2:45" ht="16" thickBot="1" x14ac:dyDescent="0.25">
      <c r="B262" s="92" t="s">
        <v>5402</v>
      </c>
      <c r="C262" s="858"/>
      <c r="G262" s="1421" t="s">
        <v>3199</v>
      </c>
      <c r="H262" s="1421" t="s">
        <v>3197</v>
      </c>
      <c r="I262" s="98"/>
      <c r="J262" s="1069"/>
      <c r="K262" s="1069"/>
      <c r="L262" s="1738"/>
      <c r="M262" s="1726"/>
      <c r="N262" s="100"/>
      <c r="O262" s="100"/>
      <c r="P262" s="100"/>
      <c r="Q262" s="100"/>
      <c r="R262" s="100"/>
      <c r="S262" s="100"/>
      <c r="T262" s="100"/>
      <c r="U262" s="100"/>
      <c r="V262" s="100"/>
      <c r="W262" s="100"/>
      <c r="X262" s="1602"/>
    </row>
    <row r="263" spans="2:45" ht="16" thickTop="1" x14ac:dyDescent="0.2">
      <c r="B263" s="92" t="s">
        <v>5404</v>
      </c>
      <c r="C263" s="858"/>
      <c r="G263" s="1421" t="s">
        <v>5303</v>
      </c>
      <c r="H263" s="1421" t="s">
        <v>3197</v>
      </c>
      <c r="I263" s="89" t="s">
        <v>5404</v>
      </c>
      <c r="J263" s="873"/>
      <c r="K263" s="873"/>
      <c r="L263" s="1470" t="s">
        <v>5405</v>
      </c>
    </row>
    <row r="264" spans="2:45" x14ac:dyDescent="0.2">
      <c r="B264" s="92" t="s">
        <v>5406</v>
      </c>
      <c r="C264" s="858"/>
      <c r="G264" s="1421" t="s">
        <v>5303</v>
      </c>
      <c r="H264" s="1421" t="s">
        <v>3198</v>
      </c>
      <c r="I264" s="89" t="s">
        <v>5406</v>
      </c>
      <c r="J264" s="873"/>
      <c r="K264" s="873"/>
      <c r="L264" s="1807" t="s">
        <v>5407</v>
      </c>
      <c r="M264" s="1714" t="str">
        <f>IF(R264,"Mandatory","N/A")</f>
        <v>Mandatory</v>
      </c>
      <c r="P264" s="1421" t="b">
        <v>1</v>
      </c>
      <c r="Q264" s="1421" t="b">
        <v>0</v>
      </c>
      <c r="R264" s="1421" t="b">
        <v>1</v>
      </c>
      <c r="S264" s="1421" t="b">
        <v>1</v>
      </c>
      <c r="T264" s="1421" t="b">
        <v>0</v>
      </c>
      <c r="W264" s="27"/>
      <c r="X264" s="1600"/>
      <c r="AC264" s="1421" t="b">
        <f>OR(AD264:AE264)</f>
        <v>1</v>
      </c>
      <c r="AD264" s="1421" t="b">
        <v>0</v>
      </c>
      <c r="AE264" s="1421" t="b">
        <f>AND(R264,NOT(W264))</f>
        <v>1</v>
      </c>
      <c r="AF264" s="1421" t="b">
        <f>AND(AE264,NOT(Q264))</f>
        <v>1</v>
      </c>
      <c r="AP264" s="1421" t="str">
        <f>SUBSTITUTE(SUBSTITUTE(SUBSTITUTE("vcc"&amp;$B264&amp;$C264&amp;$D264&amp;$E264,".","_"),"(","_"),")","")</f>
        <v>vcc13_105_1</v>
      </c>
      <c r="AQ264" s="1421" t="str">
        <f>IF(LEN(W264)=0,"",W264)</f>
        <v/>
      </c>
      <c r="AR264" s="1421" t="str">
        <f>SUBSTITUTE(SUBSTITUTE(SUBSTITUTE("vcn"&amp;$B264&amp;$C264&amp;$D264&amp;$E264,".","_"),"(","_"),")","")</f>
        <v>vcn13_105_1</v>
      </c>
      <c r="AS264" s="1421" t="str">
        <f>IF(LEN(X264)=0,"",X264)</f>
        <v/>
      </c>
    </row>
    <row r="265" spans="2:45" x14ac:dyDescent="0.2">
      <c r="B265" s="92" t="s">
        <v>5406</v>
      </c>
      <c r="C265" s="858"/>
      <c r="G265" s="1421" t="s">
        <v>5303</v>
      </c>
      <c r="H265" s="1421" t="s">
        <v>3198</v>
      </c>
      <c r="I265" s="89"/>
      <c r="J265" s="873"/>
      <c r="K265" s="873"/>
      <c r="L265" s="1807"/>
      <c r="M265" s="1714"/>
      <c r="X265" s="1600"/>
    </row>
    <row r="266" spans="2:45" x14ac:dyDescent="0.2">
      <c r="B266" s="92" t="s">
        <v>5406</v>
      </c>
      <c r="C266" s="858"/>
      <c r="G266" s="1421" t="s">
        <v>5303</v>
      </c>
      <c r="H266" s="1421" t="s">
        <v>3198</v>
      </c>
      <c r="I266" s="89"/>
      <c r="J266" s="873"/>
      <c r="K266" s="873"/>
      <c r="L266" s="1807"/>
      <c r="M266" s="1714"/>
      <c r="X266" s="1600"/>
    </row>
    <row r="267" spans="2:45" x14ac:dyDescent="0.2">
      <c r="B267" s="92" t="s">
        <v>5406</v>
      </c>
      <c r="C267" s="858"/>
      <c r="G267" s="1421" t="s">
        <v>5303</v>
      </c>
      <c r="H267" s="1421" t="s">
        <v>3198</v>
      </c>
      <c r="I267" s="89"/>
      <c r="J267" s="873"/>
      <c r="K267" s="873"/>
      <c r="L267" s="1807"/>
      <c r="M267" s="1714"/>
      <c r="X267" s="1600"/>
    </row>
    <row r="268" spans="2:45" x14ac:dyDescent="0.2">
      <c r="B268" s="92" t="s">
        <v>5406</v>
      </c>
      <c r="C268" s="858"/>
      <c r="G268" s="1421" t="s">
        <v>5303</v>
      </c>
      <c r="H268" s="1421" t="s">
        <v>3198</v>
      </c>
      <c r="I268" s="89"/>
      <c r="J268" s="873"/>
      <c r="K268" s="873"/>
      <c r="L268" s="1807" t="s">
        <v>5408</v>
      </c>
    </row>
    <row r="269" spans="2:45" x14ac:dyDescent="0.2">
      <c r="B269" s="92" t="s">
        <v>5406</v>
      </c>
      <c r="C269" s="858"/>
      <c r="G269" s="1421" t="s">
        <v>5303</v>
      </c>
      <c r="H269" s="1421" t="s">
        <v>3198</v>
      </c>
      <c r="I269" s="89"/>
      <c r="J269" s="873"/>
      <c r="K269" s="873"/>
      <c r="L269" s="1807"/>
    </row>
    <row r="270" spans="2:45" x14ac:dyDescent="0.2">
      <c r="B270" s="92" t="s">
        <v>5406</v>
      </c>
      <c r="C270" s="858"/>
      <c r="G270" s="1421" t="s">
        <v>5303</v>
      </c>
      <c r="H270" s="1421" t="s">
        <v>3198</v>
      </c>
      <c r="I270" s="89"/>
      <c r="J270" s="873"/>
      <c r="K270" s="873"/>
      <c r="L270" s="1807"/>
    </row>
    <row r="271" spans="2:45" x14ac:dyDescent="0.2">
      <c r="B271" s="92" t="s">
        <v>5406</v>
      </c>
      <c r="C271" s="858"/>
      <c r="G271" s="1421" t="s">
        <v>5303</v>
      </c>
      <c r="H271" s="1421" t="s">
        <v>3198</v>
      </c>
      <c r="I271" s="89"/>
      <c r="J271" s="873"/>
      <c r="K271" s="873"/>
      <c r="L271" s="1807"/>
    </row>
    <row r="272" spans="2:45" x14ac:dyDescent="0.2">
      <c r="B272" s="92" t="s">
        <v>5406</v>
      </c>
      <c r="C272" s="858"/>
      <c r="G272" s="1421" t="s">
        <v>5303</v>
      </c>
      <c r="H272" s="1421" t="s">
        <v>3198</v>
      </c>
      <c r="I272" s="89"/>
      <c r="J272" s="873"/>
      <c r="K272" s="873"/>
      <c r="L272" s="1807"/>
    </row>
    <row r="273" spans="2:45" x14ac:dyDescent="0.2">
      <c r="B273" s="92" t="s">
        <v>5406</v>
      </c>
      <c r="C273" s="858"/>
      <c r="G273" s="1421" t="s">
        <v>5303</v>
      </c>
      <c r="H273" s="1421" t="s">
        <v>3198</v>
      </c>
      <c r="I273" s="169"/>
      <c r="J273" s="1072"/>
      <c r="K273" s="1072"/>
      <c r="L273" s="1688"/>
      <c r="M273" s="173"/>
      <c r="N273" s="173"/>
      <c r="O273" s="173"/>
    </row>
    <row r="274" spans="2:45" x14ac:dyDescent="0.2">
      <c r="B274" s="92" t="s">
        <v>5409</v>
      </c>
      <c r="C274" s="858"/>
      <c r="G274" s="1421" t="s">
        <v>5303</v>
      </c>
      <c r="H274" s="1421" t="s">
        <v>3198</v>
      </c>
      <c r="I274" s="89" t="s">
        <v>5409</v>
      </c>
      <c r="J274" s="873"/>
      <c r="K274" s="873"/>
      <c r="L274" s="1807" t="s">
        <v>5410</v>
      </c>
      <c r="M274" s="1714" t="str">
        <f>IF(R274,"Mandatory","N/A")</f>
        <v>Mandatory</v>
      </c>
      <c r="P274" s="1421" t="b">
        <v>1</v>
      </c>
      <c r="Q274" s="1421" t="b">
        <v>0</v>
      </c>
      <c r="R274" s="1421" t="b">
        <v>1</v>
      </c>
      <c r="S274" s="1421" t="b">
        <v>1</v>
      </c>
      <c r="T274" s="1421" t="b">
        <v>0</v>
      </c>
      <c r="W274" s="27"/>
      <c r="X274" s="1600"/>
      <c r="AC274" s="1421" t="b">
        <f>OR(AD274:AE274)</f>
        <v>1</v>
      </c>
      <c r="AD274" s="1421" t="b">
        <v>0</v>
      </c>
      <c r="AE274" s="1421" t="b">
        <f>AND(R274,NOT(W274))</f>
        <v>1</v>
      </c>
      <c r="AF274" s="1421" t="b">
        <f>AND(AE274,NOT(Q274))</f>
        <v>1</v>
      </c>
      <c r="AP274" s="1421" t="str">
        <f>SUBSTITUTE(SUBSTITUTE(SUBSTITUTE("vcc"&amp;$B274&amp;$C274&amp;$D274&amp;$E274,".","_"),"(","_"),")","")</f>
        <v>vcc13_105_1_1</v>
      </c>
      <c r="AQ274" s="1421" t="str">
        <f>IF(LEN(W274)=0,"",W274)</f>
        <v/>
      </c>
      <c r="AR274" s="1421" t="str">
        <f>SUBSTITUTE(SUBSTITUTE(SUBSTITUTE("vcn"&amp;$B274&amp;$C274&amp;$D274&amp;$E274,".","_"),"(","_"),")","")</f>
        <v>vcn13_105_1_1</v>
      </c>
      <c r="AS274" s="1421" t="str">
        <f>IF(LEN(X274)=0,"",X274)</f>
        <v/>
      </c>
    </row>
    <row r="275" spans="2:45" x14ac:dyDescent="0.2">
      <c r="B275" s="92" t="s">
        <v>5409</v>
      </c>
      <c r="C275" s="858"/>
      <c r="G275" s="1421" t="s">
        <v>5303</v>
      </c>
      <c r="H275" s="1421" t="s">
        <v>3198</v>
      </c>
      <c r="I275" s="89"/>
      <c r="J275" s="873"/>
      <c r="K275" s="873"/>
      <c r="L275" s="1807"/>
      <c r="M275" s="1714"/>
      <c r="X275" s="1600"/>
    </row>
    <row r="276" spans="2:45" x14ac:dyDescent="0.2">
      <c r="B276" s="92" t="s">
        <v>5409</v>
      </c>
      <c r="C276" s="858"/>
      <c r="G276" s="1421" t="s">
        <v>5303</v>
      </c>
      <c r="H276" s="1421" t="s">
        <v>3198</v>
      </c>
      <c r="I276" s="89"/>
      <c r="J276" s="873"/>
      <c r="K276" s="873"/>
      <c r="L276" s="1807"/>
      <c r="M276" s="1714"/>
      <c r="X276" s="1600"/>
    </row>
    <row r="277" spans="2:45" ht="16" thickBot="1" x14ac:dyDescent="0.25">
      <c r="B277" s="92" t="s">
        <v>5409</v>
      </c>
      <c r="C277" s="858"/>
      <c r="G277" s="1421" t="s">
        <v>5303</v>
      </c>
      <c r="H277" s="1421" t="s">
        <v>3198</v>
      </c>
      <c r="I277" s="98"/>
      <c r="J277" s="1069"/>
      <c r="K277" s="1069"/>
      <c r="L277" s="1738"/>
      <c r="M277" s="1726"/>
      <c r="N277" s="100"/>
      <c r="O277" s="100"/>
      <c r="P277" s="100"/>
      <c r="Q277" s="100"/>
      <c r="R277" s="100"/>
      <c r="S277" s="100"/>
      <c r="T277" s="100"/>
      <c r="U277" s="100"/>
      <c r="V277" s="100"/>
      <c r="W277" s="100"/>
      <c r="X277" s="1602"/>
    </row>
    <row r="278" spans="2:45" ht="15.75" customHeight="1" thickTop="1" x14ac:dyDescent="0.2">
      <c r="B278" s="92" t="s">
        <v>5411</v>
      </c>
      <c r="C278" s="858"/>
      <c r="G278" s="1421" t="s">
        <v>5303</v>
      </c>
      <c r="H278" s="1421" t="s">
        <v>3198</v>
      </c>
      <c r="I278" s="115" t="s">
        <v>5411</v>
      </c>
      <c r="J278" s="1070"/>
      <c r="K278" s="1070"/>
      <c r="L278" s="1740" t="s">
        <v>5412</v>
      </c>
      <c r="M278" s="1701" t="str">
        <f>IF(R278,"Mandatory","N/A")</f>
        <v>Mandatory</v>
      </c>
      <c r="N278" s="106"/>
      <c r="O278" s="106"/>
      <c r="P278" s="106" t="b">
        <v>1</v>
      </c>
      <c r="Q278" s="106" t="b">
        <v>0</v>
      </c>
      <c r="R278" s="106" t="b">
        <v>1</v>
      </c>
      <c r="S278" s="106" t="b">
        <v>1</v>
      </c>
      <c r="T278" s="106" t="b">
        <v>0</v>
      </c>
      <c r="U278" s="106"/>
      <c r="V278" s="106"/>
      <c r="W278" s="334"/>
      <c r="X278" s="1603"/>
      <c r="AC278" s="1421" t="b">
        <f>OR(AD278:AE278)</f>
        <v>1</v>
      </c>
      <c r="AD278" s="1421" t="b">
        <v>0</v>
      </c>
      <c r="AE278" s="1421" t="b">
        <f>AND(R278,NOT(W278))</f>
        <v>1</v>
      </c>
      <c r="AF278" s="1421" t="b">
        <f>AND(AE278,NOT(Q278))</f>
        <v>1</v>
      </c>
      <c r="AP278" s="1421" t="str">
        <f>SUBSTITUTE(SUBSTITUTE(SUBSTITUTE("vcc"&amp;$B278&amp;$C278&amp;$D278&amp;$E278,".","_"),"(","_"),")","")</f>
        <v>vcc13_105_2</v>
      </c>
      <c r="AQ278" s="1421" t="str">
        <f>IF(LEN(W278)=0,"",W278)</f>
        <v/>
      </c>
      <c r="AR278" s="1421" t="str">
        <f>SUBSTITUTE(SUBSTITUTE(SUBSTITUTE("vcn"&amp;$B278&amp;$C278&amp;$D278&amp;$E278,".","_"),"(","_"),")","")</f>
        <v>vcn13_105_2</v>
      </c>
      <c r="AS278" s="1421" t="str">
        <f>IF(LEN(X278)=0,"",X278)</f>
        <v/>
      </c>
    </row>
    <row r="279" spans="2:45" x14ac:dyDescent="0.2">
      <c r="B279" s="92" t="s">
        <v>5411</v>
      </c>
      <c r="C279" s="858"/>
      <c r="G279" s="1421" t="s">
        <v>5303</v>
      </c>
      <c r="H279" s="1421" t="s">
        <v>3198</v>
      </c>
      <c r="I279" s="89"/>
      <c r="J279" s="873"/>
      <c r="K279" s="873"/>
      <c r="L279" s="1807"/>
      <c r="M279" s="1714"/>
      <c r="X279" s="1600"/>
    </row>
    <row r="280" spans="2:45" x14ac:dyDescent="0.2">
      <c r="B280" s="92" t="s">
        <v>5411</v>
      </c>
      <c r="C280" s="858"/>
      <c r="G280" s="1421" t="s">
        <v>5303</v>
      </c>
      <c r="H280" s="1421" t="s">
        <v>3198</v>
      </c>
      <c r="I280" s="89"/>
      <c r="J280" s="873"/>
      <c r="K280" s="873"/>
      <c r="L280" s="1807"/>
      <c r="M280" s="1714"/>
      <c r="X280" s="1621"/>
    </row>
    <row r="281" spans="2:45" ht="16" thickBot="1" x14ac:dyDescent="0.25">
      <c r="B281" s="92" t="s">
        <v>5411</v>
      </c>
      <c r="C281" s="858"/>
      <c r="G281" s="1421" t="s">
        <v>5303</v>
      </c>
      <c r="H281" s="1421" t="s">
        <v>3198</v>
      </c>
      <c r="I281" s="98"/>
      <c r="J281" s="1069"/>
      <c r="K281" s="1069"/>
      <c r="L281" s="408" t="s">
        <v>5413</v>
      </c>
      <c r="M281" s="1726"/>
      <c r="N281" s="100"/>
      <c r="O281" s="100"/>
      <c r="P281" s="100"/>
      <c r="Q281" s="100"/>
      <c r="R281" s="100"/>
      <c r="S281" s="100"/>
      <c r="T281" s="100"/>
      <c r="U281" s="100"/>
      <c r="V281" s="100"/>
      <c r="W281" s="100"/>
      <c r="X281" s="1602"/>
    </row>
    <row r="282" spans="2:45" ht="16" thickTop="1" x14ac:dyDescent="0.2">
      <c r="B282" s="92" t="s">
        <v>5414</v>
      </c>
      <c r="C282" s="858"/>
      <c r="G282" s="1421" t="s">
        <v>5303</v>
      </c>
      <c r="H282" s="1421" t="s">
        <v>3198</v>
      </c>
      <c r="I282" s="89" t="s">
        <v>5414</v>
      </c>
      <c r="J282" s="873"/>
      <c r="K282" s="873"/>
      <c r="L282" s="1807" t="s">
        <v>5415</v>
      </c>
    </row>
    <row r="283" spans="2:45" x14ac:dyDescent="0.2">
      <c r="B283" s="92" t="s">
        <v>5414</v>
      </c>
      <c r="C283" s="858"/>
      <c r="G283" s="1421" t="s">
        <v>5303</v>
      </c>
      <c r="H283" s="1421" t="s">
        <v>3198</v>
      </c>
      <c r="I283" s="89"/>
      <c r="J283" s="873"/>
      <c r="K283" s="873"/>
      <c r="L283" s="1807"/>
    </row>
    <row r="284" spans="2:45" x14ac:dyDescent="0.2">
      <c r="B284" s="92" t="s">
        <v>5414</v>
      </c>
      <c r="C284" s="858"/>
      <c r="G284" s="1421" t="s">
        <v>5303</v>
      </c>
      <c r="H284" s="1421" t="s">
        <v>3198</v>
      </c>
      <c r="I284" s="89"/>
      <c r="J284" s="873"/>
      <c r="K284" s="873"/>
      <c r="L284" s="1807"/>
    </row>
    <row r="285" spans="2:45" x14ac:dyDescent="0.2">
      <c r="B285" s="92" t="s">
        <v>5414</v>
      </c>
      <c r="C285" s="858"/>
      <c r="G285" s="1421" t="s">
        <v>5303</v>
      </c>
      <c r="H285" s="1421" t="s">
        <v>3198</v>
      </c>
      <c r="I285" s="89"/>
      <c r="J285" s="873"/>
      <c r="K285" s="873"/>
      <c r="L285" s="1807"/>
    </row>
    <row r="286" spans="2:45" x14ac:dyDescent="0.2">
      <c r="B286" s="92" t="s">
        <v>5414</v>
      </c>
      <c r="C286" s="858" t="s">
        <v>254</v>
      </c>
      <c r="G286" s="1421" t="s">
        <v>5303</v>
      </c>
      <c r="H286" s="1421" t="s">
        <v>3198</v>
      </c>
      <c r="I286" s="89"/>
      <c r="J286" s="1072" t="s">
        <v>254</v>
      </c>
      <c r="K286" s="1072"/>
      <c r="L286" s="1438" t="s">
        <v>5416</v>
      </c>
      <c r="M286" s="1447" t="str">
        <f t="shared" ref="M286:M298" si="24">IF(R286,"Mandatory","N/A")</f>
        <v>Mandatory</v>
      </c>
      <c r="N286" s="173"/>
      <c r="O286" s="173"/>
      <c r="P286" s="1421" t="b">
        <v>1</v>
      </c>
      <c r="Q286" s="1421" t="b">
        <v>0</v>
      </c>
      <c r="R286" s="1421" t="b">
        <v>1</v>
      </c>
      <c r="S286" s="1421" t="b">
        <v>1</v>
      </c>
      <c r="T286" s="1421" t="b">
        <v>0</v>
      </c>
      <c r="U286" s="1421" t="str">
        <f t="shared" ref="U286:U298" si="25">SUBSTITUTE(SUBSTITUTE(SUBSTITUTE("dd"&amp;$B286&amp;$C286&amp;$D286&amp;$E286&amp;$F286,".","_"),"(","_"),")","")</f>
        <v>dd13_105_3_1</v>
      </c>
      <c r="W286" s="12"/>
      <c r="X286" s="1432"/>
      <c r="AC286" s="1421" t="b">
        <f t="shared" ref="AC286:AC298" si="26">OR(AD286:AE286)</f>
        <v>1</v>
      </c>
      <c r="AD286" s="1421" t="b">
        <v>0</v>
      </c>
      <c r="AE286" s="1421" t="b">
        <f t="shared" ref="AE286:AE297" si="27">AND(R286,OR(W286="Not Met",W286=""))</f>
        <v>1</v>
      </c>
      <c r="AF286" s="1421" t="b">
        <f t="shared" ref="AF286:AF298" si="28">AND(AE286,NOT(Q286))</f>
        <v>1</v>
      </c>
      <c r="AP286" s="1421" t="str">
        <f t="shared" ref="AP286:AP298" si="29">SUBSTITUTE(SUBSTITUTE(SUBSTITUTE("vcc"&amp;$B286&amp;$C286&amp;$D286&amp;$E286,".","_"),"(","_"),")","")</f>
        <v>vcc13_105_3_1</v>
      </c>
      <c r="AQ286" s="1421" t="str">
        <f t="shared" ref="AQ286:AQ298" si="30">IF(LEN(W286)=0,"",W286)</f>
        <v/>
      </c>
      <c r="AR286" s="1421" t="str">
        <f t="shared" ref="AR286:AR298" si="31">SUBSTITUTE(SUBSTITUTE(SUBSTITUTE("vcn"&amp;$B286&amp;$C286&amp;$D286&amp;$E286,".","_"),"(","_"),")","")</f>
        <v>vcn13_105_3_1</v>
      </c>
      <c r="AS286" s="1421" t="str">
        <f t="shared" ref="AS286:AS298" si="32">IF(LEN(X286)=0,"",X286)</f>
        <v/>
      </c>
    </row>
    <row r="287" spans="2:45" x14ac:dyDescent="0.2">
      <c r="B287" s="92" t="s">
        <v>5414</v>
      </c>
      <c r="C287" s="858" t="s">
        <v>255</v>
      </c>
      <c r="G287" s="1421" t="s">
        <v>5303</v>
      </c>
      <c r="H287" s="1421" t="s">
        <v>3198</v>
      </c>
      <c r="I287" s="89"/>
      <c r="J287" s="1074" t="s">
        <v>255</v>
      </c>
      <c r="K287" s="1074"/>
      <c r="L287" s="1075" t="s">
        <v>5417</v>
      </c>
      <c r="M287" s="1471" t="str">
        <f t="shared" si="24"/>
        <v>Mandatory</v>
      </c>
      <c r="N287" s="214"/>
      <c r="O287" s="214"/>
      <c r="P287" s="1421" t="b">
        <v>1</v>
      </c>
      <c r="Q287" s="1421" t="b">
        <v>0</v>
      </c>
      <c r="R287" s="1421" t="b">
        <v>1</v>
      </c>
      <c r="S287" s="1421" t="b">
        <v>1</v>
      </c>
      <c r="T287" s="1421" t="b">
        <v>0</v>
      </c>
      <c r="U287" s="1421" t="str">
        <f t="shared" si="25"/>
        <v>dd13_105_3_2</v>
      </c>
      <c r="W287" s="12"/>
      <c r="X287" s="1432"/>
      <c r="AC287" s="1421" t="b">
        <f t="shared" si="26"/>
        <v>1</v>
      </c>
      <c r="AD287" s="1421" t="b">
        <v>0</v>
      </c>
      <c r="AE287" s="1421" t="b">
        <f t="shared" si="27"/>
        <v>1</v>
      </c>
      <c r="AF287" s="1421" t="b">
        <f t="shared" si="28"/>
        <v>1</v>
      </c>
      <c r="AP287" s="1421" t="str">
        <f t="shared" si="29"/>
        <v>vcc13_105_3_2</v>
      </c>
      <c r="AQ287" s="1421" t="str">
        <f t="shared" si="30"/>
        <v/>
      </c>
      <c r="AR287" s="1421" t="str">
        <f t="shared" si="31"/>
        <v>vcn13_105_3_2</v>
      </c>
      <c r="AS287" s="1421" t="str">
        <f t="shared" si="32"/>
        <v/>
      </c>
    </row>
    <row r="288" spans="2:45" ht="15" customHeight="1" x14ac:dyDescent="0.2">
      <c r="B288" s="92" t="s">
        <v>5414</v>
      </c>
      <c r="C288" s="858" t="s">
        <v>256</v>
      </c>
      <c r="G288" s="1421" t="s">
        <v>5303</v>
      </c>
      <c r="H288" s="1421" t="s">
        <v>3198</v>
      </c>
      <c r="I288" s="89"/>
      <c r="J288" s="1074" t="s">
        <v>256</v>
      </c>
      <c r="K288" s="1074"/>
      <c r="L288" s="1075" t="s">
        <v>5418</v>
      </c>
      <c r="M288" s="1471" t="str">
        <f t="shared" si="24"/>
        <v>Mandatory</v>
      </c>
      <c r="N288" s="214"/>
      <c r="O288" s="214"/>
      <c r="P288" s="1421" t="b">
        <v>1</v>
      </c>
      <c r="Q288" s="1421" t="b">
        <v>0</v>
      </c>
      <c r="R288" s="1421" t="b">
        <v>1</v>
      </c>
      <c r="S288" s="1421" t="b">
        <v>1</v>
      </c>
      <c r="T288" s="1421" t="b">
        <v>0</v>
      </c>
      <c r="U288" s="1421" t="str">
        <f t="shared" si="25"/>
        <v>dd13_105_3_3</v>
      </c>
      <c r="W288" s="12"/>
      <c r="X288" s="1432"/>
      <c r="AC288" s="1421" t="b">
        <f t="shared" si="26"/>
        <v>1</v>
      </c>
      <c r="AD288" s="1421" t="b">
        <v>0</v>
      </c>
      <c r="AE288" s="1421" t="b">
        <f t="shared" si="27"/>
        <v>1</v>
      </c>
      <c r="AF288" s="1421" t="b">
        <f t="shared" si="28"/>
        <v>1</v>
      </c>
      <c r="AP288" s="1421" t="str">
        <f t="shared" si="29"/>
        <v>vcc13_105_3_3</v>
      </c>
      <c r="AQ288" s="1421" t="str">
        <f t="shared" si="30"/>
        <v/>
      </c>
      <c r="AR288" s="1421" t="str">
        <f t="shared" si="31"/>
        <v>vcn13_105_3_3</v>
      </c>
      <c r="AS288" s="1421" t="str">
        <f t="shared" si="32"/>
        <v/>
      </c>
    </row>
    <row r="289" spans="2:45" x14ac:dyDescent="0.2">
      <c r="B289" s="92" t="s">
        <v>5414</v>
      </c>
      <c r="C289" s="858" t="s">
        <v>259</v>
      </c>
      <c r="G289" s="1421" t="s">
        <v>5303</v>
      </c>
      <c r="H289" s="1421" t="s">
        <v>3198</v>
      </c>
      <c r="I289" s="89"/>
      <c r="J289" s="1074" t="s">
        <v>259</v>
      </c>
      <c r="K289" s="1074"/>
      <c r="L289" s="1075" t="s">
        <v>5419</v>
      </c>
      <c r="M289" s="1471" t="str">
        <f t="shared" si="24"/>
        <v>Mandatory</v>
      </c>
      <c r="N289" s="214"/>
      <c r="O289" s="214"/>
      <c r="P289" s="1421" t="b">
        <v>1</v>
      </c>
      <c r="Q289" s="1421" t="b">
        <v>0</v>
      </c>
      <c r="R289" s="1421" t="b">
        <v>1</v>
      </c>
      <c r="S289" s="1421" t="b">
        <v>1</v>
      </c>
      <c r="T289" s="1421" t="b">
        <v>0</v>
      </c>
      <c r="U289" s="1421" t="str">
        <f t="shared" si="25"/>
        <v>dd13_105_3_4</v>
      </c>
      <c r="W289" s="12"/>
      <c r="X289" s="1432"/>
      <c r="AC289" s="1421" t="b">
        <f t="shared" si="26"/>
        <v>1</v>
      </c>
      <c r="AD289" s="1421" t="b">
        <v>0</v>
      </c>
      <c r="AE289" s="1421" t="b">
        <f t="shared" si="27"/>
        <v>1</v>
      </c>
      <c r="AF289" s="1421" t="b">
        <f t="shared" si="28"/>
        <v>1</v>
      </c>
      <c r="AP289" s="1421" t="str">
        <f t="shared" si="29"/>
        <v>vcc13_105_3_4</v>
      </c>
      <c r="AQ289" s="1421" t="str">
        <f t="shared" si="30"/>
        <v/>
      </c>
      <c r="AR289" s="1421" t="str">
        <f t="shared" si="31"/>
        <v>vcn13_105_3_4</v>
      </c>
      <c r="AS289" s="1421" t="str">
        <f t="shared" si="32"/>
        <v/>
      </c>
    </row>
    <row r="290" spans="2:45" x14ac:dyDescent="0.2">
      <c r="B290" s="92" t="s">
        <v>5414</v>
      </c>
      <c r="C290" s="858" t="s">
        <v>263</v>
      </c>
      <c r="G290" s="1421" t="s">
        <v>5303</v>
      </c>
      <c r="H290" s="1421" t="s">
        <v>3198</v>
      </c>
      <c r="I290" s="89"/>
      <c r="J290" s="1074" t="s">
        <v>263</v>
      </c>
      <c r="K290" s="1074"/>
      <c r="L290" s="1075" t="s">
        <v>5420</v>
      </c>
      <c r="M290" s="1471" t="str">
        <f t="shared" si="24"/>
        <v>Mandatory</v>
      </c>
      <c r="N290" s="214"/>
      <c r="O290" s="214"/>
      <c r="P290" s="1421" t="b">
        <v>1</v>
      </c>
      <c r="Q290" s="1421" t="b">
        <v>0</v>
      </c>
      <c r="R290" s="1421" t="b">
        <v>1</v>
      </c>
      <c r="S290" s="1421" t="b">
        <v>1</v>
      </c>
      <c r="T290" s="1421" t="b">
        <v>0</v>
      </c>
      <c r="U290" s="1421" t="str">
        <f t="shared" si="25"/>
        <v>dd13_105_3_5</v>
      </c>
      <c r="W290" s="12"/>
      <c r="X290" s="1432"/>
      <c r="AC290" s="1421" t="b">
        <f t="shared" si="26"/>
        <v>1</v>
      </c>
      <c r="AD290" s="1421" t="b">
        <v>0</v>
      </c>
      <c r="AE290" s="1421" t="b">
        <f t="shared" si="27"/>
        <v>1</v>
      </c>
      <c r="AF290" s="1421" t="b">
        <f t="shared" si="28"/>
        <v>1</v>
      </c>
      <c r="AP290" s="1421" t="str">
        <f t="shared" si="29"/>
        <v>vcc13_105_3_5</v>
      </c>
      <c r="AQ290" s="1421" t="str">
        <f t="shared" si="30"/>
        <v/>
      </c>
      <c r="AR290" s="1421" t="str">
        <f t="shared" si="31"/>
        <v>vcn13_105_3_5</v>
      </c>
      <c r="AS290" s="1421" t="str">
        <f t="shared" si="32"/>
        <v/>
      </c>
    </row>
    <row r="291" spans="2:45" x14ac:dyDescent="0.2">
      <c r="B291" s="92" t="s">
        <v>5414</v>
      </c>
      <c r="C291" s="858" t="s">
        <v>264</v>
      </c>
      <c r="G291" s="1421" t="s">
        <v>5303</v>
      </c>
      <c r="H291" s="1421" t="s">
        <v>3198</v>
      </c>
      <c r="I291" s="89"/>
      <c r="J291" s="1074" t="s">
        <v>264</v>
      </c>
      <c r="K291" s="1074"/>
      <c r="L291" s="1075" t="s">
        <v>5421</v>
      </c>
      <c r="M291" s="1471" t="str">
        <f t="shared" si="24"/>
        <v>Mandatory</v>
      </c>
      <c r="N291" s="214"/>
      <c r="O291" s="214"/>
      <c r="P291" s="1421" t="b">
        <v>1</v>
      </c>
      <c r="Q291" s="1421" t="b">
        <v>0</v>
      </c>
      <c r="R291" s="1421" t="b">
        <v>1</v>
      </c>
      <c r="S291" s="1421" t="b">
        <v>1</v>
      </c>
      <c r="T291" s="1421" t="b">
        <v>0</v>
      </c>
      <c r="U291" s="1421" t="str">
        <f t="shared" si="25"/>
        <v>dd13_105_3_6</v>
      </c>
      <c r="W291" s="12"/>
      <c r="X291" s="1432"/>
      <c r="AC291" s="1421" t="b">
        <f t="shared" si="26"/>
        <v>1</v>
      </c>
      <c r="AD291" s="1421" t="b">
        <v>0</v>
      </c>
      <c r="AE291" s="1421" t="b">
        <f t="shared" si="27"/>
        <v>1</v>
      </c>
      <c r="AF291" s="1421" t="b">
        <f t="shared" si="28"/>
        <v>1</v>
      </c>
      <c r="AP291" s="1421" t="str">
        <f t="shared" si="29"/>
        <v>vcc13_105_3_6</v>
      </c>
      <c r="AQ291" s="1421" t="str">
        <f t="shared" si="30"/>
        <v/>
      </c>
      <c r="AR291" s="1421" t="str">
        <f t="shared" si="31"/>
        <v>vcn13_105_3_6</v>
      </c>
      <c r="AS291" s="1421" t="str">
        <f t="shared" si="32"/>
        <v/>
      </c>
    </row>
    <row r="292" spans="2:45" x14ac:dyDescent="0.2">
      <c r="B292" s="92" t="s">
        <v>5414</v>
      </c>
      <c r="C292" s="858" t="s">
        <v>356</v>
      </c>
      <c r="G292" s="1421" t="s">
        <v>5303</v>
      </c>
      <c r="H292" s="1421" t="s">
        <v>3198</v>
      </c>
      <c r="I292" s="89"/>
      <c r="J292" s="1074" t="s">
        <v>356</v>
      </c>
      <c r="K292" s="1074"/>
      <c r="L292" s="1075" t="s">
        <v>5422</v>
      </c>
      <c r="M292" s="1471" t="str">
        <f t="shared" si="24"/>
        <v>Mandatory</v>
      </c>
      <c r="N292" s="214"/>
      <c r="O292" s="214"/>
      <c r="P292" s="1421" t="b">
        <v>1</v>
      </c>
      <c r="Q292" s="1421" t="b">
        <v>0</v>
      </c>
      <c r="R292" s="1421" t="b">
        <v>1</v>
      </c>
      <c r="S292" s="1421" t="b">
        <v>1</v>
      </c>
      <c r="T292" s="1421" t="b">
        <v>0</v>
      </c>
      <c r="U292" s="1421" t="str">
        <f t="shared" si="25"/>
        <v>dd13_105_3_7</v>
      </c>
      <c r="W292" s="12"/>
      <c r="X292" s="1432"/>
      <c r="AC292" s="1421" t="b">
        <f t="shared" si="26"/>
        <v>1</v>
      </c>
      <c r="AD292" s="1421" t="b">
        <v>0</v>
      </c>
      <c r="AE292" s="1421" t="b">
        <f t="shared" si="27"/>
        <v>1</v>
      </c>
      <c r="AF292" s="1421" t="b">
        <f t="shared" si="28"/>
        <v>1</v>
      </c>
      <c r="AP292" s="1421" t="str">
        <f t="shared" si="29"/>
        <v>vcc13_105_3_7</v>
      </c>
      <c r="AQ292" s="1421" t="str">
        <f t="shared" si="30"/>
        <v/>
      </c>
      <c r="AR292" s="1421" t="str">
        <f t="shared" si="31"/>
        <v>vcn13_105_3_7</v>
      </c>
      <c r="AS292" s="1421" t="str">
        <f t="shared" si="32"/>
        <v/>
      </c>
    </row>
    <row r="293" spans="2:45" x14ac:dyDescent="0.2">
      <c r="B293" s="92" t="s">
        <v>5414</v>
      </c>
      <c r="C293" s="858" t="s">
        <v>389</v>
      </c>
      <c r="G293" s="1421" t="s">
        <v>5303</v>
      </c>
      <c r="H293" s="1421" t="s">
        <v>3198</v>
      </c>
      <c r="I293" s="89"/>
      <c r="J293" s="1074" t="s">
        <v>389</v>
      </c>
      <c r="K293" s="1074"/>
      <c r="L293" s="1075" t="s">
        <v>5423</v>
      </c>
      <c r="M293" s="1471" t="str">
        <f t="shared" si="24"/>
        <v>Mandatory</v>
      </c>
      <c r="N293" s="214"/>
      <c r="O293" s="214"/>
      <c r="P293" s="1421" t="b">
        <v>1</v>
      </c>
      <c r="Q293" s="1421" t="b">
        <v>0</v>
      </c>
      <c r="R293" s="1421" t="b">
        <v>1</v>
      </c>
      <c r="S293" s="1421" t="b">
        <v>1</v>
      </c>
      <c r="T293" s="1421" t="b">
        <v>0</v>
      </c>
      <c r="U293" s="1421" t="str">
        <f t="shared" si="25"/>
        <v>dd13_105_3_8</v>
      </c>
      <c r="W293" s="12"/>
      <c r="X293" s="1432"/>
      <c r="AC293" s="1421" t="b">
        <f t="shared" si="26"/>
        <v>1</v>
      </c>
      <c r="AD293" s="1421" t="b">
        <v>0</v>
      </c>
      <c r="AE293" s="1421" t="b">
        <f t="shared" si="27"/>
        <v>1</v>
      </c>
      <c r="AF293" s="1421" t="b">
        <f t="shared" si="28"/>
        <v>1</v>
      </c>
      <c r="AP293" s="1421" t="str">
        <f t="shared" si="29"/>
        <v>vcc13_105_3_8</v>
      </c>
      <c r="AQ293" s="1421" t="str">
        <f t="shared" si="30"/>
        <v/>
      </c>
      <c r="AR293" s="1421" t="str">
        <f t="shared" si="31"/>
        <v>vcn13_105_3_8</v>
      </c>
      <c r="AS293" s="1421" t="str">
        <f t="shared" si="32"/>
        <v/>
      </c>
    </row>
    <row r="294" spans="2:45" x14ac:dyDescent="0.2">
      <c r="B294" s="92" t="s">
        <v>5414</v>
      </c>
      <c r="C294" s="858" t="s">
        <v>391</v>
      </c>
      <c r="G294" s="1421" t="s">
        <v>5303</v>
      </c>
      <c r="H294" s="1421" t="s">
        <v>3198</v>
      </c>
      <c r="I294" s="89"/>
      <c r="J294" s="1074" t="s">
        <v>391</v>
      </c>
      <c r="K294" s="1074"/>
      <c r="L294" s="1075" t="s">
        <v>5424</v>
      </c>
      <c r="M294" s="1471" t="str">
        <f t="shared" si="24"/>
        <v>Mandatory</v>
      </c>
      <c r="N294" s="214"/>
      <c r="O294" s="214"/>
      <c r="P294" s="1421" t="b">
        <v>1</v>
      </c>
      <c r="Q294" s="1421" t="b">
        <v>0</v>
      </c>
      <c r="R294" s="1421" t="b">
        <v>1</v>
      </c>
      <c r="S294" s="1421" t="b">
        <v>1</v>
      </c>
      <c r="T294" s="1421" t="b">
        <v>0</v>
      </c>
      <c r="U294" s="1421" t="str">
        <f t="shared" si="25"/>
        <v>dd13_105_3_9</v>
      </c>
      <c r="W294" s="12"/>
      <c r="X294" s="1432"/>
      <c r="AC294" s="1421" t="b">
        <f t="shared" si="26"/>
        <v>1</v>
      </c>
      <c r="AD294" s="1421" t="b">
        <v>0</v>
      </c>
      <c r="AE294" s="1421" t="b">
        <f t="shared" si="27"/>
        <v>1</v>
      </c>
      <c r="AF294" s="1421" t="b">
        <f t="shared" si="28"/>
        <v>1</v>
      </c>
      <c r="AP294" s="1421" t="str">
        <f t="shared" si="29"/>
        <v>vcc13_105_3_9</v>
      </c>
      <c r="AQ294" s="1421" t="str">
        <f t="shared" si="30"/>
        <v/>
      </c>
      <c r="AR294" s="1421" t="str">
        <f t="shared" si="31"/>
        <v>vcn13_105_3_9</v>
      </c>
      <c r="AS294" s="1421" t="str">
        <f t="shared" si="32"/>
        <v/>
      </c>
    </row>
    <row r="295" spans="2:45" x14ac:dyDescent="0.2">
      <c r="B295" s="92" t="s">
        <v>5414</v>
      </c>
      <c r="C295" s="858" t="s">
        <v>392</v>
      </c>
      <c r="G295" s="1421" t="s">
        <v>5303</v>
      </c>
      <c r="H295" s="1421" t="s">
        <v>3198</v>
      </c>
      <c r="I295" s="89"/>
      <c r="J295" s="1074" t="s">
        <v>392</v>
      </c>
      <c r="K295" s="1074"/>
      <c r="L295" s="1075" t="s">
        <v>5425</v>
      </c>
      <c r="M295" s="1471" t="str">
        <f t="shared" si="24"/>
        <v>Mandatory</v>
      </c>
      <c r="N295" s="214"/>
      <c r="O295" s="214"/>
      <c r="P295" s="1421" t="b">
        <v>1</v>
      </c>
      <c r="Q295" s="1421" t="b">
        <v>0</v>
      </c>
      <c r="R295" s="1421" t="b">
        <v>1</v>
      </c>
      <c r="S295" s="1421" t="b">
        <v>1</v>
      </c>
      <c r="T295" s="1421" t="b">
        <v>0</v>
      </c>
      <c r="U295" s="1421" t="str">
        <f t="shared" si="25"/>
        <v>dd13_105_3_10</v>
      </c>
      <c r="W295" s="12"/>
      <c r="X295" s="1432"/>
      <c r="AC295" s="1421" t="b">
        <f t="shared" si="26"/>
        <v>1</v>
      </c>
      <c r="AD295" s="1421" t="b">
        <v>0</v>
      </c>
      <c r="AE295" s="1421" t="b">
        <f t="shared" si="27"/>
        <v>1</v>
      </c>
      <c r="AF295" s="1421" t="b">
        <f t="shared" si="28"/>
        <v>1</v>
      </c>
      <c r="AP295" s="1421" t="str">
        <f t="shared" si="29"/>
        <v>vcc13_105_3_10</v>
      </c>
      <c r="AQ295" s="1421" t="str">
        <f t="shared" si="30"/>
        <v/>
      </c>
      <c r="AR295" s="1421" t="str">
        <f t="shared" si="31"/>
        <v>vcn13_105_3_10</v>
      </c>
      <c r="AS295" s="1421" t="str">
        <f t="shared" si="32"/>
        <v/>
      </c>
    </row>
    <row r="296" spans="2:45" x14ac:dyDescent="0.2">
      <c r="B296" s="92" t="s">
        <v>5414</v>
      </c>
      <c r="C296" s="858" t="s">
        <v>394</v>
      </c>
      <c r="G296" s="1421" t="s">
        <v>5303</v>
      </c>
      <c r="H296" s="1421" t="s">
        <v>3198</v>
      </c>
      <c r="I296" s="89"/>
      <c r="J296" s="1074" t="s">
        <v>394</v>
      </c>
      <c r="K296" s="1074"/>
      <c r="L296" s="1075" t="s">
        <v>5426</v>
      </c>
      <c r="M296" s="1471" t="str">
        <f t="shared" si="24"/>
        <v>Mandatory</v>
      </c>
      <c r="N296" s="214"/>
      <c r="O296" s="214"/>
      <c r="P296" s="1421" t="b">
        <v>1</v>
      </c>
      <c r="Q296" s="1421" t="b">
        <v>0</v>
      </c>
      <c r="R296" s="1421" t="b">
        <v>1</v>
      </c>
      <c r="S296" s="1421" t="b">
        <v>1</v>
      </c>
      <c r="T296" s="1421" t="b">
        <v>0</v>
      </c>
      <c r="U296" s="1421" t="str">
        <f t="shared" si="25"/>
        <v>dd13_105_3_11</v>
      </c>
      <c r="W296" s="12"/>
      <c r="X296" s="1432"/>
      <c r="AC296" s="1421" t="b">
        <f t="shared" si="26"/>
        <v>1</v>
      </c>
      <c r="AD296" s="1421" t="b">
        <v>0</v>
      </c>
      <c r="AE296" s="1421" t="b">
        <f t="shared" si="27"/>
        <v>1</v>
      </c>
      <c r="AF296" s="1421" t="b">
        <f t="shared" si="28"/>
        <v>1</v>
      </c>
      <c r="AP296" s="1421" t="str">
        <f t="shared" si="29"/>
        <v>vcc13_105_3_11</v>
      </c>
      <c r="AQ296" s="1421" t="str">
        <f t="shared" si="30"/>
        <v/>
      </c>
      <c r="AR296" s="1421" t="str">
        <f t="shared" si="31"/>
        <v>vcn13_105_3_11</v>
      </c>
      <c r="AS296" s="1421" t="str">
        <f t="shared" si="32"/>
        <v/>
      </c>
    </row>
    <row r="297" spans="2:45" x14ac:dyDescent="0.2">
      <c r="B297" s="92" t="s">
        <v>5414</v>
      </c>
      <c r="C297" s="858" t="s">
        <v>396</v>
      </c>
      <c r="G297" s="1421" t="s">
        <v>5303</v>
      </c>
      <c r="H297" s="1421" t="s">
        <v>3198</v>
      </c>
      <c r="I297" s="169"/>
      <c r="J297" s="1072" t="s">
        <v>396</v>
      </c>
      <c r="K297" s="1072"/>
      <c r="L297" s="1438" t="s">
        <v>5427</v>
      </c>
      <c r="M297" s="1447" t="str">
        <f t="shared" si="24"/>
        <v>Mandatory</v>
      </c>
      <c r="N297" s="173"/>
      <c r="O297" s="173"/>
      <c r="P297" s="1421" t="b">
        <v>1</v>
      </c>
      <c r="Q297" s="1421" t="b">
        <v>0</v>
      </c>
      <c r="R297" s="1421" t="b">
        <v>1</v>
      </c>
      <c r="S297" s="1421" t="b">
        <v>1</v>
      </c>
      <c r="T297" s="1421" t="b">
        <v>0</v>
      </c>
      <c r="U297" s="1421" t="str">
        <f t="shared" si="25"/>
        <v>dd13_105_3_12</v>
      </c>
      <c r="W297" s="12"/>
      <c r="X297" s="1432"/>
      <c r="AC297" s="1421" t="b">
        <f t="shared" si="26"/>
        <v>1</v>
      </c>
      <c r="AD297" s="1421" t="b">
        <v>0</v>
      </c>
      <c r="AE297" s="1421" t="b">
        <f t="shared" si="27"/>
        <v>1</v>
      </c>
      <c r="AF297" s="1421" t="b">
        <f t="shared" si="28"/>
        <v>1</v>
      </c>
      <c r="AP297" s="1421" t="str">
        <f t="shared" si="29"/>
        <v>vcc13_105_3_12</v>
      </c>
      <c r="AQ297" s="1421" t="str">
        <f t="shared" si="30"/>
        <v/>
      </c>
      <c r="AR297" s="1421" t="str">
        <f t="shared" si="31"/>
        <v>vcn13_105_3_12</v>
      </c>
      <c r="AS297" s="1421" t="str">
        <f t="shared" si="32"/>
        <v/>
      </c>
    </row>
    <row r="298" spans="2:45" x14ac:dyDescent="0.2">
      <c r="B298" s="92" t="s">
        <v>5428</v>
      </c>
      <c r="C298" s="858" t="s">
        <v>3931</v>
      </c>
      <c r="G298" s="1421" t="s">
        <v>5303</v>
      </c>
      <c r="H298" s="1421" t="s">
        <v>3198</v>
      </c>
      <c r="I298" s="89" t="s">
        <v>5428</v>
      </c>
      <c r="J298" s="873"/>
      <c r="K298" s="873"/>
      <c r="L298" s="1807" t="s">
        <v>5429</v>
      </c>
      <c r="M298" s="1714" t="str">
        <f t="shared" si="24"/>
        <v>Mandatory</v>
      </c>
      <c r="P298" s="1421" t="b">
        <v>1</v>
      </c>
      <c r="Q298" s="1421" t="b">
        <v>0</v>
      </c>
      <c r="R298" s="1421" t="b">
        <v>1</v>
      </c>
      <c r="S298" s="1421" t="b">
        <v>1</v>
      </c>
      <c r="T298" s="1421" t="b">
        <v>0</v>
      </c>
      <c r="U298" s="1421" t="str">
        <f t="shared" si="25"/>
        <v>dd13_105_3_1_</v>
      </c>
      <c r="W298" s="27"/>
      <c r="X298" s="1600"/>
      <c r="AC298" s="1421" t="b">
        <f t="shared" si="26"/>
        <v>1</v>
      </c>
      <c r="AD298" s="1421" t="b">
        <v>0</v>
      </c>
      <c r="AE298" s="1421" t="b">
        <f>AND(R298,NOT(W298))</f>
        <v>1</v>
      </c>
      <c r="AF298" s="1421" t="b">
        <f t="shared" si="28"/>
        <v>1</v>
      </c>
      <c r="AP298" s="1421" t="str">
        <f t="shared" si="29"/>
        <v>vcc13_105_3_1_</v>
      </c>
      <c r="AQ298" s="1421" t="str">
        <f t="shared" si="30"/>
        <v/>
      </c>
      <c r="AR298" s="1421" t="str">
        <f t="shared" si="31"/>
        <v>vcn13_105_3_1_</v>
      </c>
      <c r="AS298" s="1421" t="str">
        <f t="shared" si="32"/>
        <v/>
      </c>
    </row>
    <row r="299" spans="2:45" x14ac:dyDescent="0.2">
      <c r="B299" s="92" t="s">
        <v>5428</v>
      </c>
      <c r="C299" s="858"/>
      <c r="G299" s="1421" t="s">
        <v>5303</v>
      </c>
      <c r="H299" s="1421" t="s">
        <v>3198</v>
      </c>
      <c r="I299" s="89"/>
      <c r="J299" s="873"/>
      <c r="K299" s="873"/>
      <c r="L299" s="1807"/>
      <c r="M299" s="1714"/>
      <c r="X299" s="1600"/>
    </row>
    <row r="300" spans="2:45" ht="16" thickBot="1" x14ac:dyDescent="0.25">
      <c r="B300" s="92" t="s">
        <v>5428</v>
      </c>
      <c r="C300" s="858"/>
      <c r="G300" s="1421" t="s">
        <v>5303</v>
      </c>
      <c r="H300" s="1421" t="s">
        <v>3198</v>
      </c>
      <c r="I300" s="98"/>
      <c r="J300" s="1069"/>
      <c r="K300" s="1069"/>
      <c r="L300" s="1738"/>
      <c r="M300" s="1726"/>
      <c r="N300" s="100"/>
      <c r="O300" s="100"/>
      <c r="P300" s="100"/>
      <c r="Q300" s="100"/>
      <c r="R300" s="100"/>
      <c r="S300" s="100"/>
      <c r="T300" s="100"/>
      <c r="U300" s="100"/>
      <c r="V300" s="100"/>
      <c r="W300" s="100"/>
      <c r="X300" s="1602"/>
    </row>
    <row r="301" spans="2:45" ht="16" thickTop="1" x14ac:dyDescent="0.2">
      <c r="B301" s="92" t="s">
        <v>5430</v>
      </c>
      <c r="C301" s="858"/>
      <c r="G301" s="1421" t="s">
        <v>3199</v>
      </c>
      <c r="H301" s="1421" t="s">
        <v>3197</v>
      </c>
      <c r="I301" s="89" t="s">
        <v>5430</v>
      </c>
      <c r="J301" s="873"/>
      <c r="K301" s="873"/>
      <c r="L301" s="1807" t="s">
        <v>5431</v>
      </c>
      <c r="M301" s="1714" t="str">
        <f ca="1">IF(R301,"Mandatory","N/A")</f>
        <v>N/A</v>
      </c>
      <c r="P301" s="1421" t="b">
        <v>1</v>
      </c>
      <c r="Q301" s="1421" t="b">
        <v>1</v>
      </c>
      <c r="R301" s="1421" t="b">
        <f ca="1">S301</f>
        <v>0</v>
      </c>
      <c r="S301" s="1421" t="b">
        <f ca="1">S14=1</f>
        <v>0</v>
      </c>
      <c r="T301" s="1421" t="b">
        <f ca="1">AND(NOT(S301),LEN(W301)&gt;0)</f>
        <v>0</v>
      </c>
      <c r="U301" s="1421" t="str">
        <f t="shared" ref="U301" si="33">SUBSTITUTE(SUBSTITUTE(SUBSTITUTE("dd"&amp;$B301&amp;$C301&amp;$D301&amp;$E301&amp;$F301,".","_"),"(","_"),")","")</f>
        <v>dd13_105_4</v>
      </c>
      <c r="W301" s="269"/>
      <c r="X301" s="1599"/>
      <c r="AC301" s="1421" t="b">
        <f ca="1">OR(AD301:AE301)</f>
        <v>0</v>
      </c>
      <c r="AD301" s="1421" t="b">
        <v>0</v>
      </c>
      <c r="AE301" s="1421" t="b">
        <f ca="1">AND(R301,OR(W301="Not Met",W301=""))</f>
        <v>0</v>
      </c>
      <c r="AP301" s="1421" t="str">
        <f>SUBSTITUTE(SUBSTITUTE(SUBSTITUTE("vcc"&amp;$B301&amp;$C301&amp;$D301&amp;$E301,".","_"),"(","_"),")","")</f>
        <v>vcc13_105_4</v>
      </c>
      <c r="AQ301" s="1421" t="str">
        <f>IF(LEN(W301)=0,"",W301)</f>
        <v/>
      </c>
      <c r="AR301" s="1421" t="str">
        <f>SUBSTITUTE(SUBSTITUTE(SUBSTITUTE("vcn"&amp;$B301&amp;$C301&amp;$D301&amp;$E301,".","_"),"(","_"),")","")</f>
        <v>vcn13_105_4</v>
      </c>
      <c r="AS301" s="1421" t="str">
        <f>IF(LEN(X301)=0,"",X301)</f>
        <v/>
      </c>
    </row>
    <row r="302" spans="2:45" x14ac:dyDescent="0.2">
      <c r="B302" s="92" t="s">
        <v>5430</v>
      </c>
      <c r="C302" s="858"/>
      <c r="G302" s="1421" t="s">
        <v>3199</v>
      </c>
      <c r="H302" s="1421" t="s">
        <v>3197</v>
      </c>
      <c r="I302" s="89"/>
      <c r="J302" s="873"/>
      <c r="K302" s="873"/>
      <c r="L302" s="1807"/>
      <c r="M302" s="1714"/>
      <c r="X302" s="1600"/>
    </row>
    <row r="303" spans="2:45" ht="16" thickBot="1" x14ac:dyDescent="0.25">
      <c r="B303" s="92" t="s">
        <v>5430</v>
      </c>
      <c r="C303" s="858"/>
      <c r="G303" s="1421" t="s">
        <v>3199</v>
      </c>
      <c r="H303" s="1421" t="s">
        <v>3197</v>
      </c>
      <c r="I303" s="98"/>
      <c r="J303" s="1069"/>
      <c r="K303" s="1069"/>
      <c r="L303" s="1738"/>
      <c r="M303" s="1726"/>
      <c r="N303" s="100"/>
      <c r="O303" s="100"/>
      <c r="P303" s="100"/>
      <c r="Q303" s="100"/>
      <c r="R303" s="100"/>
      <c r="S303" s="100"/>
      <c r="T303" s="100"/>
      <c r="U303" s="100"/>
      <c r="V303" s="100"/>
      <c r="W303" s="100"/>
      <c r="X303" s="100"/>
    </row>
    <row r="304" spans="2:45" ht="15.75" customHeight="1" thickTop="1" x14ac:dyDescent="0.2">
      <c r="B304" s="92" t="s">
        <v>5432</v>
      </c>
      <c r="C304" s="858"/>
      <c r="G304" s="1421" t="s">
        <v>5303</v>
      </c>
      <c r="H304" s="1421" t="s">
        <v>3197</v>
      </c>
      <c r="I304" s="115" t="s">
        <v>5432</v>
      </c>
      <c r="J304" s="1070"/>
      <c r="K304" s="1070"/>
      <c r="L304" s="1740" t="s">
        <v>5433</v>
      </c>
      <c r="M304" s="1701" t="str">
        <f ca="1">IF(R304,"Mandatory","N/A")</f>
        <v>N/A</v>
      </c>
      <c r="N304" s="106"/>
      <c r="O304" s="106"/>
      <c r="P304" s="106" t="b">
        <v>1</v>
      </c>
      <c r="Q304" s="106" t="b">
        <v>1</v>
      </c>
      <c r="R304" s="106" t="b">
        <f ca="1">S14=1</f>
        <v>0</v>
      </c>
      <c r="S304" s="106" t="b">
        <v>1</v>
      </c>
      <c r="T304" s="106" t="b">
        <f>AND(NOT(S304),W304=TRUE)</f>
        <v>0</v>
      </c>
      <c r="U304" s="106"/>
      <c r="V304" s="106"/>
      <c r="W304" s="334"/>
      <c r="X304" s="1603"/>
      <c r="AC304" s="1421" t="b">
        <f ca="1">OR(AD304:AE304)</f>
        <v>0</v>
      </c>
      <c r="AD304" s="1421" t="b">
        <f>T304</f>
        <v>0</v>
      </c>
      <c r="AE304" s="1421" t="b">
        <f ca="1">AND(R304,NOT(W304))</f>
        <v>0</v>
      </c>
      <c r="AP304" s="1421" t="str">
        <f>SUBSTITUTE(SUBSTITUTE(SUBSTITUTE("vcc"&amp;$B304&amp;$C304&amp;$D304&amp;$E304,".","_"),"(","_"),")","")</f>
        <v>vcc13_105_5</v>
      </c>
      <c r="AQ304" s="1421" t="str">
        <f>IF(LEN(W304)=0,"",W304)</f>
        <v/>
      </c>
      <c r="AR304" s="1421" t="str">
        <f>SUBSTITUTE(SUBSTITUTE(SUBSTITUTE("vcn"&amp;$B304&amp;$C304&amp;$D304&amp;$E304,".","_"),"(","_"),")","")</f>
        <v>vcn13_105_5</v>
      </c>
      <c r="AS304" s="1421" t="str">
        <f>IF(LEN(X304)=0,"",X304)</f>
        <v/>
      </c>
    </row>
    <row r="305" spans="2:45" x14ac:dyDescent="0.2">
      <c r="B305" s="92" t="s">
        <v>5432</v>
      </c>
      <c r="C305" s="858"/>
      <c r="G305" s="1421" t="s">
        <v>5303</v>
      </c>
      <c r="H305" s="1421" t="s">
        <v>3197</v>
      </c>
      <c r="I305" s="89"/>
      <c r="J305" s="873"/>
      <c r="K305" s="873"/>
      <c r="L305" s="1807"/>
      <c r="M305" s="1714"/>
      <c r="X305" s="1600"/>
    </row>
    <row r="306" spans="2:45" x14ac:dyDescent="0.2">
      <c r="B306" s="92" t="s">
        <v>5432</v>
      </c>
      <c r="C306" s="858"/>
      <c r="G306" s="1421" t="s">
        <v>5303</v>
      </c>
      <c r="H306" s="1421" t="s">
        <v>3197</v>
      </c>
      <c r="I306" s="89"/>
      <c r="J306" s="873"/>
      <c r="K306" s="873"/>
      <c r="L306" s="1807"/>
      <c r="M306" s="1714"/>
      <c r="X306" s="1621"/>
    </row>
    <row r="307" spans="2:45" ht="16" thickBot="1" x14ac:dyDescent="0.25">
      <c r="B307" s="92" t="s">
        <v>5432</v>
      </c>
      <c r="C307" s="858"/>
      <c r="G307" s="1421" t="s">
        <v>5303</v>
      </c>
      <c r="H307" s="1421" t="s">
        <v>3197</v>
      </c>
      <c r="I307" s="98"/>
      <c r="J307" s="1069"/>
      <c r="K307" s="1069"/>
      <c r="L307" s="1431" t="s">
        <v>5434</v>
      </c>
      <c r="M307" s="1726"/>
      <c r="N307" s="100"/>
      <c r="O307" s="100"/>
      <c r="P307" s="100"/>
      <c r="Q307" s="100"/>
      <c r="R307" s="100"/>
      <c r="S307" s="100"/>
      <c r="T307" s="100"/>
      <c r="U307" s="100"/>
      <c r="V307" s="100"/>
      <c r="W307" s="100"/>
      <c r="X307" s="1602"/>
    </row>
    <row r="308" spans="2:45" ht="15.75" customHeight="1" thickTop="1" x14ac:dyDescent="0.2">
      <c r="B308" s="92" t="s">
        <v>5435</v>
      </c>
      <c r="C308" s="858"/>
      <c r="G308" s="1421" t="s">
        <v>5303</v>
      </c>
      <c r="H308" s="1421" t="s">
        <v>3197</v>
      </c>
      <c r="I308" s="115" t="s">
        <v>5435</v>
      </c>
      <c r="J308" s="1070"/>
      <c r="K308" s="1070"/>
      <c r="L308" s="1740" t="s">
        <v>5436</v>
      </c>
      <c r="M308" s="1701" t="str">
        <f ca="1">IF(R308,"Mandatory","N/A")</f>
        <v>N/A</v>
      </c>
      <c r="N308" s="106"/>
      <c r="O308" s="106"/>
      <c r="P308" s="106" t="b">
        <v>1</v>
      </c>
      <c r="Q308" s="106" t="b">
        <v>1</v>
      </c>
      <c r="R308" s="106" t="b">
        <f ca="1">S14=1</f>
        <v>0</v>
      </c>
      <c r="S308" s="106" t="b">
        <v>1</v>
      </c>
      <c r="T308" s="106" t="b">
        <f>AND(NOT(S308),W308=TRUE)</f>
        <v>0</v>
      </c>
      <c r="U308" s="106"/>
      <c r="V308" s="106"/>
      <c r="W308" s="334"/>
      <c r="X308" s="1603"/>
      <c r="AC308" s="1421" t="b">
        <f ca="1">OR(AD308:AE308)</f>
        <v>0</v>
      </c>
      <c r="AD308" s="1421" t="b">
        <f>T308</f>
        <v>0</v>
      </c>
      <c r="AE308" s="1421" t="b">
        <f ca="1">AND(R308,NOT(W308))</f>
        <v>0</v>
      </c>
      <c r="AP308" s="1421" t="str">
        <f>SUBSTITUTE(SUBSTITUTE(SUBSTITUTE("vcc"&amp;$B308&amp;$C308&amp;$D308&amp;$E308,".","_"),"(","_"),")","")</f>
        <v>vcc13_105_6</v>
      </c>
      <c r="AQ308" s="1421" t="str">
        <f>IF(LEN(W308)=0,"",W308)</f>
        <v/>
      </c>
      <c r="AR308" s="1421" t="str">
        <f>SUBSTITUTE(SUBSTITUTE(SUBSTITUTE("vcn"&amp;$B308&amp;$C308&amp;$D308&amp;$E308,".","_"),"(","_"),")","")</f>
        <v>vcn13_105_6</v>
      </c>
      <c r="AS308" s="1421" t="str">
        <f>IF(LEN(X308)=0,"",X308)</f>
        <v/>
      </c>
    </row>
    <row r="309" spans="2:45" x14ac:dyDescent="0.2">
      <c r="B309" s="92" t="s">
        <v>5435</v>
      </c>
      <c r="C309" s="858"/>
      <c r="G309" s="1421" t="s">
        <v>5303</v>
      </c>
      <c r="H309" s="1421" t="s">
        <v>3197</v>
      </c>
      <c r="I309" s="89"/>
      <c r="J309" s="873"/>
      <c r="K309" s="873"/>
      <c r="L309" s="1807"/>
      <c r="M309" s="1714"/>
      <c r="X309" s="1632"/>
    </row>
    <row r="310" spans="2:45" ht="16" thickBot="1" x14ac:dyDescent="0.25">
      <c r="B310" s="92" t="s">
        <v>5435</v>
      </c>
      <c r="C310" s="858"/>
      <c r="G310" s="1421" t="s">
        <v>5303</v>
      </c>
      <c r="H310" s="1421" t="s">
        <v>3197</v>
      </c>
      <c r="I310" s="98"/>
      <c r="J310" s="1069"/>
      <c r="K310" s="1069"/>
      <c r="L310" s="1431" t="s">
        <v>5434</v>
      </c>
      <c r="M310" s="1726"/>
      <c r="N310" s="100"/>
      <c r="O310" s="100"/>
      <c r="P310" s="100"/>
      <c r="Q310" s="100"/>
      <c r="R310" s="100"/>
      <c r="S310" s="100"/>
      <c r="T310" s="100"/>
      <c r="U310" s="100"/>
      <c r="V310" s="100"/>
      <c r="W310" s="100"/>
      <c r="X310" s="1602"/>
    </row>
    <row r="311" spans="2:45" ht="16" thickTop="1" x14ac:dyDescent="0.2">
      <c r="B311" s="92" t="s">
        <v>5437</v>
      </c>
      <c r="C311" s="858"/>
      <c r="G311" s="1421" t="s">
        <v>3199</v>
      </c>
      <c r="H311" s="1421" t="s">
        <v>3197</v>
      </c>
      <c r="I311" s="115" t="s">
        <v>5437</v>
      </c>
      <c r="J311" s="1070"/>
      <c r="K311" s="1070"/>
      <c r="L311" s="1740" t="s">
        <v>5438</v>
      </c>
      <c r="M311" s="1701" t="str">
        <f ca="1">IF(R311,"Mandatory","N/A")</f>
        <v>N/A</v>
      </c>
      <c r="N311" s="106"/>
      <c r="O311" s="106"/>
      <c r="P311" s="106" t="b">
        <v>1</v>
      </c>
      <c r="Q311" s="106" t="b">
        <v>1</v>
      </c>
      <c r="R311" s="106" t="b">
        <f ca="1">S311</f>
        <v>0</v>
      </c>
      <c r="S311" s="106" t="b">
        <f ca="1">S14=1</f>
        <v>0</v>
      </c>
      <c r="T311" s="106" t="b">
        <f ca="1">AND(NOT(S311),W311=TRUE)</f>
        <v>0</v>
      </c>
      <c r="U311" s="106"/>
      <c r="V311" s="106"/>
      <c r="W311" s="334"/>
      <c r="X311" s="1603"/>
      <c r="AC311" s="1421" t="b">
        <f ca="1">OR(AD311:AE311)</f>
        <v>0</v>
      </c>
      <c r="AD311" s="1421" t="b">
        <f ca="1">T311</f>
        <v>0</v>
      </c>
      <c r="AE311" s="1421" t="b">
        <f ca="1">AND(R311,NOT(W311))</f>
        <v>0</v>
      </c>
      <c r="AP311" s="1421" t="str">
        <f>SUBSTITUTE(SUBSTITUTE(SUBSTITUTE("vcc"&amp;$B311&amp;$C311&amp;$D311&amp;$E311,".","_"),"(","_"),")","")</f>
        <v>vcc13_105_7</v>
      </c>
      <c r="AQ311" s="1421" t="str">
        <f>IF(LEN(W311)=0,"",W311)</f>
        <v/>
      </c>
      <c r="AR311" s="1421" t="str">
        <f>SUBSTITUTE(SUBSTITUTE(SUBSTITUTE("vcn"&amp;$B311&amp;$C311&amp;$D311&amp;$E311,".","_"),"(","_"),")","")</f>
        <v>vcn13_105_7</v>
      </c>
      <c r="AS311" s="1421" t="str">
        <f>IF(LEN(X311)=0,"",X311)</f>
        <v/>
      </c>
    </row>
    <row r="312" spans="2:45" x14ac:dyDescent="0.2">
      <c r="B312" s="92" t="s">
        <v>5437</v>
      </c>
      <c r="C312" s="858"/>
      <c r="G312" s="1421" t="s">
        <v>3199</v>
      </c>
      <c r="H312" s="1421" t="s">
        <v>3197</v>
      </c>
      <c r="I312" s="89"/>
      <c r="J312" s="873"/>
      <c r="K312" s="873"/>
      <c r="L312" s="1807"/>
      <c r="M312" s="1714"/>
      <c r="X312" s="1600"/>
    </row>
    <row r="313" spans="2:45" ht="16" thickBot="1" x14ac:dyDescent="0.25">
      <c r="B313" s="92" t="s">
        <v>5437</v>
      </c>
      <c r="C313" s="858"/>
      <c r="G313" s="1421" t="s">
        <v>3199</v>
      </c>
      <c r="H313" s="1421" t="s">
        <v>3197</v>
      </c>
      <c r="I313" s="98"/>
      <c r="J313" s="1069"/>
      <c r="K313" s="1069"/>
      <c r="L313" s="1738"/>
      <c r="M313" s="1726"/>
      <c r="N313" s="100"/>
      <c r="O313" s="100"/>
      <c r="P313" s="100"/>
      <c r="Q313" s="100"/>
      <c r="R313" s="100"/>
      <c r="S313" s="100"/>
      <c r="T313" s="100"/>
      <c r="U313" s="100"/>
      <c r="V313" s="100"/>
      <c r="W313" s="100"/>
      <c r="X313" s="1602"/>
    </row>
    <row r="314" spans="2:45" ht="16" thickTop="1" x14ac:dyDescent="0.2">
      <c r="B314" s="92" t="s">
        <v>5439</v>
      </c>
      <c r="C314" s="858"/>
      <c r="G314" s="1421" t="s">
        <v>3199</v>
      </c>
      <c r="H314" s="1421" t="s">
        <v>3197</v>
      </c>
      <c r="I314" s="89" t="s">
        <v>5439</v>
      </c>
      <c r="J314" s="873"/>
      <c r="K314" s="873"/>
      <c r="L314" s="1470" t="s">
        <v>5440</v>
      </c>
    </row>
    <row r="315" spans="2:45" x14ac:dyDescent="0.2">
      <c r="B315" s="92" t="s">
        <v>5441</v>
      </c>
      <c r="C315" s="858"/>
      <c r="G315" s="1421" t="s">
        <v>3199</v>
      </c>
      <c r="H315" s="1421" t="s">
        <v>3197</v>
      </c>
      <c r="I315" s="89" t="s">
        <v>5441</v>
      </c>
      <c r="J315" s="873"/>
      <c r="K315" s="873"/>
      <c r="L315" s="1807" t="s">
        <v>5442</v>
      </c>
      <c r="M315" s="1714" t="str">
        <f ca="1">IF(R315,"Mandatory","N/A")</f>
        <v>N/A</v>
      </c>
      <c r="P315" s="1421" t="b">
        <v>1</v>
      </c>
      <c r="Q315" s="1421" t="b">
        <v>1</v>
      </c>
      <c r="R315" s="1421" t="b">
        <f ca="1">S315</f>
        <v>0</v>
      </c>
      <c r="S315" s="1421" t="b">
        <f ca="1">S14=1</f>
        <v>0</v>
      </c>
      <c r="T315" s="1421" t="b">
        <f ca="1">AND(NOT(S315),W315=TRUE)</f>
        <v>0</v>
      </c>
      <c r="W315" s="27"/>
      <c r="X315" s="1600"/>
      <c r="AC315" s="1421" t="b">
        <f ca="1">OR(AD315:AE315)</f>
        <v>0</v>
      </c>
      <c r="AD315" s="1421" t="b">
        <f ca="1">T315</f>
        <v>0</v>
      </c>
      <c r="AE315" s="1421" t="b">
        <f ca="1">AND(R315,NOT(W315))</f>
        <v>0</v>
      </c>
      <c r="AP315" s="1421" t="str">
        <f>SUBSTITUTE(SUBSTITUTE(SUBSTITUTE("vcc"&amp;$B315&amp;$C315&amp;$D315&amp;$E315,".","_"),"(","_"),")","")</f>
        <v>vcc13_105_8_1</v>
      </c>
      <c r="AQ315" s="1421" t="str">
        <f>IF(LEN(W315)=0,"",W315)</f>
        <v/>
      </c>
      <c r="AR315" s="1421" t="str">
        <f>SUBSTITUTE(SUBSTITUTE(SUBSTITUTE("vcn"&amp;$B315&amp;$C315&amp;$D315&amp;$E315,".","_"),"(","_"),")","")</f>
        <v>vcn13_105_8_1</v>
      </c>
      <c r="AS315" s="1421" t="str">
        <f>IF(LEN(X315)=0,"",X315)</f>
        <v/>
      </c>
    </row>
    <row r="316" spans="2:45" ht="16" thickBot="1" x14ac:dyDescent="0.25">
      <c r="B316" s="92" t="s">
        <v>5441</v>
      </c>
      <c r="C316" s="858"/>
      <c r="G316" s="1421" t="s">
        <v>3199</v>
      </c>
      <c r="H316" s="1421" t="s">
        <v>3197</v>
      </c>
      <c r="I316" s="98"/>
      <c r="J316" s="1069"/>
      <c r="K316" s="1069"/>
      <c r="L316" s="1738"/>
      <c r="M316" s="1726"/>
      <c r="N316" s="100"/>
      <c r="O316" s="100"/>
      <c r="P316" s="100"/>
      <c r="Q316" s="100"/>
      <c r="R316" s="100"/>
      <c r="S316" s="100"/>
      <c r="T316" s="100"/>
      <c r="U316" s="100"/>
      <c r="V316" s="100"/>
      <c r="W316" s="100"/>
      <c r="X316" s="1602"/>
    </row>
    <row r="317" spans="2:45" ht="16" thickTop="1" x14ac:dyDescent="0.2">
      <c r="B317" s="92" t="s">
        <v>5443</v>
      </c>
      <c r="C317" s="858"/>
      <c r="G317" s="1421" t="s">
        <v>3199</v>
      </c>
      <c r="H317" s="1421" t="s">
        <v>3198</v>
      </c>
      <c r="I317" s="115" t="s">
        <v>5443</v>
      </c>
      <c r="J317" s="1070"/>
      <c r="K317" s="1070"/>
      <c r="L317" s="1740" t="s">
        <v>5444</v>
      </c>
      <c r="M317" s="1701" t="str">
        <f ca="1">IF(R317,"Mandatory","N/A")</f>
        <v>N/A</v>
      </c>
      <c r="N317" s="106"/>
      <c r="O317" s="106"/>
      <c r="P317" s="106" t="b">
        <v>1</v>
      </c>
      <c r="Q317" s="106" t="b">
        <v>0</v>
      </c>
      <c r="R317" s="106" t="b">
        <f ca="1">S317</f>
        <v>0</v>
      </c>
      <c r="S317" s="106" t="b">
        <f ca="1">S14=1</f>
        <v>0</v>
      </c>
      <c r="T317" s="106" t="b">
        <f ca="1">AND(NOT(S317),W317=TRUE)</f>
        <v>0</v>
      </c>
      <c r="U317" s="106"/>
      <c r="V317" s="106"/>
      <c r="W317" s="334"/>
      <c r="X317" s="1603"/>
      <c r="AC317" s="1421" t="b">
        <f ca="1">OR(AD317:AE317)</f>
        <v>0</v>
      </c>
      <c r="AD317" s="1421" t="b">
        <f ca="1">T317</f>
        <v>0</v>
      </c>
      <c r="AE317" s="1421" t="b">
        <f ca="1">AND(R317,NOT(W317))</f>
        <v>0</v>
      </c>
      <c r="AF317" s="1421" t="b">
        <f ca="1">AND(AE317,NOT(Q317))</f>
        <v>0</v>
      </c>
      <c r="AP317" s="1421" t="str">
        <f>SUBSTITUTE(SUBSTITUTE(SUBSTITUTE("vcc"&amp;$B317&amp;$C317&amp;$D317&amp;$E317,".","_"),"(","_"),")","")</f>
        <v>vcc13_105_9</v>
      </c>
      <c r="AQ317" s="1421" t="str">
        <f>IF(LEN(W317)=0,"",W317)</f>
        <v/>
      </c>
      <c r="AR317" s="1421" t="str">
        <f>SUBSTITUTE(SUBSTITUTE(SUBSTITUTE("vcn"&amp;$B317&amp;$C317&amp;$D317&amp;$E317,".","_"),"(","_"),")","")</f>
        <v>vcn13_105_9</v>
      </c>
      <c r="AS317" s="1421" t="str">
        <f>IF(LEN(X317)=0,"",X317)</f>
        <v/>
      </c>
    </row>
    <row r="318" spans="2:45" x14ac:dyDescent="0.2">
      <c r="B318" s="92" t="s">
        <v>5443</v>
      </c>
      <c r="C318" s="858"/>
      <c r="G318" s="1421" t="s">
        <v>3199</v>
      </c>
      <c r="H318" s="1421" t="s">
        <v>3198</v>
      </c>
      <c r="I318" s="89"/>
      <c r="J318" s="873"/>
      <c r="K318" s="873"/>
      <c r="L318" s="1807"/>
      <c r="M318" s="1714"/>
      <c r="X318" s="1600"/>
    </row>
    <row r="319" spans="2:45" x14ac:dyDescent="0.2">
      <c r="B319" s="92" t="s">
        <v>5443</v>
      </c>
      <c r="C319" s="858"/>
      <c r="G319" s="1421" t="s">
        <v>3199</v>
      </c>
      <c r="H319" s="1421" t="s">
        <v>3198</v>
      </c>
      <c r="I319" s="89"/>
      <c r="J319" s="873"/>
      <c r="K319" s="873"/>
      <c r="L319" s="1807"/>
      <c r="M319" s="1714"/>
      <c r="X319" s="1600"/>
    </row>
    <row r="320" spans="2:45" x14ac:dyDescent="0.2">
      <c r="B320" s="92" t="s">
        <v>5443</v>
      </c>
      <c r="C320" s="858"/>
      <c r="G320" s="1421" t="s">
        <v>3199</v>
      </c>
      <c r="H320" s="1421" t="s">
        <v>3198</v>
      </c>
      <c r="I320" s="89"/>
      <c r="J320" s="873"/>
      <c r="K320" s="873"/>
      <c r="L320" s="1807"/>
      <c r="M320" s="1714"/>
      <c r="X320" s="1600"/>
    </row>
    <row r="321" spans="2:45" x14ac:dyDescent="0.2">
      <c r="B321" s="92" t="s">
        <v>5443</v>
      </c>
      <c r="C321" s="858"/>
      <c r="G321" s="1421" t="s">
        <v>3199</v>
      </c>
      <c r="H321" s="1421" t="s">
        <v>3198</v>
      </c>
      <c r="I321" s="89"/>
      <c r="J321" s="873"/>
      <c r="K321" s="873"/>
      <c r="L321" s="1807"/>
      <c r="M321" s="1714"/>
      <c r="X321" s="1600"/>
    </row>
    <row r="322" spans="2:45" x14ac:dyDescent="0.2">
      <c r="B322" s="92" t="s">
        <v>5443</v>
      </c>
      <c r="C322" s="858"/>
      <c r="G322" s="1421" t="s">
        <v>3199</v>
      </c>
      <c r="H322" s="1421" t="s">
        <v>3198</v>
      </c>
      <c r="I322" s="89"/>
      <c r="J322" s="873"/>
      <c r="K322" s="873"/>
      <c r="L322" s="1807"/>
      <c r="M322" s="1714"/>
      <c r="X322" s="1600"/>
    </row>
    <row r="323" spans="2:45" ht="16" thickBot="1" x14ac:dyDescent="0.25">
      <c r="B323" s="92" t="s">
        <v>5443</v>
      </c>
      <c r="C323" s="858"/>
      <c r="G323" s="1421" t="s">
        <v>3199</v>
      </c>
      <c r="H323" s="1421" t="s">
        <v>3198</v>
      </c>
      <c r="I323" s="98"/>
      <c r="J323" s="1069"/>
      <c r="K323" s="1069"/>
      <c r="L323" s="1738"/>
      <c r="M323" s="1726"/>
      <c r="N323" s="100"/>
      <c r="O323" s="100"/>
      <c r="P323" s="100"/>
      <c r="Q323" s="100"/>
      <c r="R323" s="100"/>
      <c r="S323" s="100"/>
      <c r="T323" s="100"/>
      <c r="U323" s="100"/>
      <c r="V323" s="100"/>
      <c r="W323" s="100"/>
      <c r="X323" s="1602"/>
    </row>
    <row r="324" spans="2:45" ht="15" customHeight="1" thickTop="1" x14ac:dyDescent="0.2">
      <c r="B324" s="92" t="s">
        <v>5445</v>
      </c>
      <c r="C324" s="858"/>
      <c r="G324" s="1421" t="s">
        <v>5303</v>
      </c>
      <c r="H324" s="1421" t="s">
        <v>3198</v>
      </c>
      <c r="I324" s="115" t="s">
        <v>5445</v>
      </c>
      <c r="J324" s="1070"/>
      <c r="K324" s="1070"/>
      <c r="L324" s="1449" t="s">
        <v>5446</v>
      </c>
      <c r="M324" s="1701" t="str">
        <f>IF(R324,"Mandatory","N/A")</f>
        <v>Mandatory</v>
      </c>
      <c r="N324" s="106"/>
      <c r="O324" s="106"/>
      <c r="P324" s="106" t="b">
        <v>1</v>
      </c>
      <c r="Q324" s="106" t="b">
        <v>0</v>
      </c>
      <c r="R324" s="106" t="b">
        <v>1</v>
      </c>
      <c r="S324" s="106" t="b">
        <v>1</v>
      </c>
      <c r="T324" s="106" t="b">
        <v>0</v>
      </c>
      <c r="U324" s="1421" t="str">
        <f t="shared" ref="U324:U326" si="34">SUBSTITUTE(SUBSTITUTE(SUBSTITUTE("dd"&amp;$B324&amp;$C324&amp;$D324&amp;$E324&amp;$F324,".","_"),"(","_"),")","")</f>
        <v>dd13_105_10</v>
      </c>
      <c r="V324" s="106"/>
      <c r="W324" s="12"/>
      <c r="X324" s="1603"/>
      <c r="AC324" s="1421" t="b">
        <f>OR(AD324:AE324)</f>
        <v>1</v>
      </c>
      <c r="AD324" s="1421" t="b">
        <v>0</v>
      </c>
      <c r="AE324" s="1421" t="b">
        <f t="shared" ref="AE324" si="35">AND(R324,OR(W324="Not Met",W324=""))</f>
        <v>1</v>
      </c>
      <c r="AF324" s="1421" t="b">
        <f>AND(AE324,NOT(Q324))</f>
        <v>1</v>
      </c>
      <c r="AP324" s="1421" t="str">
        <f>SUBSTITUTE(SUBSTITUTE(SUBSTITUTE("vcc"&amp;$B324&amp;$C324&amp;$D324&amp;$E324,".","_"),"(","_"),")","")</f>
        <v>vcc13_105_10</v>
      </c>
      <c r="AQ324" s="1421" t="str">
        <f>IF(LEN(W324)=0,"",W324)</f>
        <v/>
      </c>
      <c r="AR324" s="1421" t="str">
        <f>SUBSTITUTE(SUBSTITUTE(SUBSTITUTE("vcn"&amp;$B324&amp;$C324&amp;$D324&amp;$E324,".","_"),"(","_"),")","")</f>
        <v>vcn13_105_10</v>
      </c>
      <c r="AS324" s="1421" t="str">
        <f>IF(LEN(X324)=0,"",X324)</f>
        <v/>
      </c>
    </row>
    <row r="325" spans="2:45" ht="15" customHeight="1" thickBot="1" x14ac:dyDescent="0.25">
      <c r="B325" s="92" t="s">
        <v>5445</v>
      </c>
      <c r="G325" s="1421" t="s">
        <v>5303</v>
      </c>
      <c r="H325" s="1421" t="s">
        <v>3198</v>
      </c>
      <c r="L325" s="1431" t="s">
        <v>5447</v>
      </c>
      <c r="M325" s="1726"/>
      <c r="P325" s="100"/>
      <c r="Q325" s="100"/>
      <c r="R325" s="100"/>
      <c r="S325" s="100"/>
      <c r="T325" s="100"/>
      <c r="U325" s="100"/>
      <c r="V325" s="100"/>
      <c r="W325" s="100"/>
      <c r="X325" s="1602"/>
    </row>
    <row r="326" spans="2:45" ht="16" thickTop="1" x14ac:dyDescent="0.2">
      <c r="B326" s="92" t="s">
        <v>5448</v>
      </c>
      <c r="C326" s="858"/>
      <c r="G326" s="1421" t="s">
        <v>3199</v>
      </c>
      <c r="H326" s="1421" t="s">
        <v>3197</v>
      </c>
      <c r="I326" s="115" t="s">
        <v>5448</v>
      </c>
      <c r="J326" s="1070"/>
      <c r="K326" s="1070"/>
      <c r="L326" s="1740" t="s">
        <v>5449</v>
      </c>
      <c r="M326" s="1701" t="str">
        <f ca="1">IF(R326,"Mandatory","N/A")</f>
        <v>N/A</v>
      </c>
      <c r="N326" s="106"/>
      <c r="O326" s="106"/>
      <c r="P326" s="1421" t="b">
        <v>1</v>
      </c>
      <c r="Q326" s="1421" t="b">
        <v>1</v>
      </c>
      <c r="R326" s="1421" t="b">
        <f ca="1">S326</f>
        <v>0</v>
      </c>
      <c r="S326" s="1421" t="b">
        <f ca="1">S14=1</f>
        <v>0</v>
      </c>
      <c r="T326" s="1421" t="b">
        <f ca="1">AND(NOT(S326),LEN(W326)&gt;0)</f>
        <v>0</v>
      </c>
      <c r="U326" s="1421" t="str">
        <f t="shared" si="34"/>
        <v>dd13_105_11</v>
      </c>
      <c r="W326" s="269"/>
      <c r="X326" s="1599"/>
      <c r="AC326" s="1421" t="b">
        <f ca="1">OR(AD326:AE326)</f>
        <v>0</v>
      </c>
      <c r="AD326" s="1421" t="b">
        <v>0</v>
      </c>
      <c r="AE326" s="1421" t="b">
        <f ca="1">AND(R326,OR(W326="Not Met",W326=""))</f>
        <v>0</v>
      </c>
      <c r="AP326" s="1421" t="str">
        <f>SUBSTITUTE(SUBSTITUTE(SUBSTITUTE("vcc"&amp;$B326&amp;$C326&amp;$D326&amp;$E326,".","_"),"(","_"),")","")</f>
        <v>vcc13_105_11</v>
      </c>
      <c r="AQ326" s="1421" t="str">
        <f>IF(LEN(W326)=0,"",W326)</f>
        <v/>
      </c>
      <c r="AR326" s="1421" t="str">
        <f>SUBSTITUTE(SUBSTITUTE(SUBSTITUTE("vcn"&amp;$B326&amp;$C326&amp;$D326&amp;$E326,".","_"),"(","_"),")","")</f>
        <v>vcn13_105_11</v>
      </c>
      <c r="AS326" s="1421" t="str">
        <f>IF(LEN(X326)=0,"",X326)</f>
        <v/>
      </c>
    </row>
    <row r="327" spans="2:45" x14ac:dyDescent="0.2">
      <c r="B327" s="92" t="s">
        <v>5448</v>
      </c>
      <c r="C327" s="858"/>
      <c r="G327" s="1421" t="s">
        <v>3199</v>
      </c>
      <c r="H327" s="1421" t="s">
        <v>3197</v>
      </c>
      <c r="I327" s="89"/>
      <c r="J327" s="873"/>
      <c r="K327" s="873"/>
      <c r="L327" s="1807"/>
      <c r="M327" s="1714"/>
      <c r="X327" s="1600"/>
    </row>
    <row r="328" spans="2:45" x14ac:dyDescent="0.2">
      <c r="B328" s="92" t="s">
        <v>5448</v>
      </c>
      <c r="C328" s="858"/>
      <c r="G328" s="1421" t="s">
        <v>3199</v>
      </c>
      <c r="H328" s="1421" t="s">
        <v>3197</v>
      </c>
      <c r="I328" s="89"/>
      <c r="J328" s="873"/>
      <c r="K328" s="873"/>
      <c r="L328" s="1807"/>
      <c r="M328" s="1714"/>
      <c r="X328" s="1600"/>
    </row>
    <row r="329" spans="2:45" x14ac:dyDescent="0.2">
      <c r="B329" s="92" t="s">
        <v>5448</v>
      </c>
      <c r="C329" s="858"/>
      <c r="G329" s="1421" t="s">
        <v>3199</v>
      </c>
      <c r="H329" s="1421" t="s">
        <v>3197</v>
      </c>
      <c r="I329" s="89"/>
      <c r="J329" s="873"/>
      <c r="K329" s="873"/>
      <c r="L329" s="1807"/>
      <c r="M329" s="1714"/>
      <c r="X329" s="1600"/>
    </row>
    <row r="330" spans="2:45" x14ac:dyDescent="0.2">
      <c r="B330" s="92" t="s">
        <v>5448</v>
      </c>
      <c r="C330" s="858"/>
      <c r="G330" s="1421" t="s">
        <v>3199</v>
      </c>
      <c r="H330" s="1421" t="s">
        <v>3197</v>
      </c>
      <c r="I330" s="89"/>
      <c r="J330" s="873"/>
      <c r="K330" s="873"/>
      <c r="L330" s="1807"/>
      <c r="M330" s="1714"/>
      <c r="X330" s="1600"/>
    </row>
    <row r="331" spans="2:45" x14ac:dyDescent="0.2">
      <c r="B331" s="92" t="s">
        <v>5448</v>
      </c>
      <c r="C331" s="858"/>
      <c r="G331" s="1421" t="s">
        <v>3199</v>
      </c>
      <c r="H331" s="1421" t="s">
        <v>3197</v>
      </c>
      <c r="I331" s="169"/>
      <c r="J331" s="1072"/>
      <c r="K331" s="1072"/>
      <c r="L331" s="1688"/>
      <c r="M331" s="1698"/>
      <c r="N331" s="173"/>
      <c r="O331" s="173"/>
      <c r="X331" s="1600"/>
    </row>
    <row r="332" spans="2:45" x14ac:dyDescent="0.2">
      <c r="B332" s="92" t="s">
        <v>5450</v>
      </c>
      <c r="C332" s="858"/>
      <c r="G332" s="1421" t="s">
        <v>3199</v>
      </c>
      <c r="H332" s="1421" t="s">
        <v>3197</v>
      </c>
      <c r="I332" s="860" t="s">
        <v>5450</v>
      </c>
      <c r="J332" s="1073"/>
      <c r="K332" s="1073"/>
      <c r="L332" s="1686" t="s">
        <v>5451</v>
      </c>
      <c r="M332" s="1732" t="str">
        <f ca="1">IF(R332,"Mandatory","N/A")</f>
        <v>N/A</v>
      </c>
      <c r="N332" s="195"/>
      <c r="O332" s="195"/>
      <c r="P332" s="1421" t="b">
        <v>1</v>
      </c>
      <c r="Q332" s="1421" t="b">
        <v>1</v>
      </c>
      <c r="R332" s="1421" t="b">
        <f ca="1">S332</f>
        <v>0</v>
      </c>
      <c r="S332" s="1421" t="b">
        <f ca="1">S14=1</f>
        <v>0</v>
      </c>
      <c r="T332" s="1421" t="b">
        <f ca="1">AND(NOT(S332),LEN(W332)&gt;0)</f>
        <v>0</v>
      </c>
      <c r="U332" s="1421" t="str">
        <f t="shared" ref="U332" si="36">SUBSTITUTE(SUBSTITUTE(SUBSTITUTE("dd"&amp;$B332&amp;$C332&amp;$D332&amp;$E332&amp;$F332,".","_"),"(","_"),")","")</f>
        <v>dd13_105_11_1</v>
      </c>
      <c r="W332" s="12"/>
      <c r="X332" s="1600"/>
      <c r="AC332" s="1421" t="b">
        <f ca="1">OR(AD332:AE332)</f>
        <v>0</v>
      </c>
      <c r="AD332" s="1421" t="b">
        <v>0</v>
      </c>
      <c r="AE332" s="1421" t="b">
        <f ca="1">AND(R332,OR(W332="Not Met",W332=""))</f>
        <v>0</v>
      </c>
      <c r="AP332" s="1421" t="str">
        <f>SUBSTITUTE(SUBSTITUTE(SUBSTITUTE("vcc"&amp;$B332&amp;$C332&amp;$D332&amp;$E332,".","_"),"(","_"),")","")</f>
        <v>vcc13_105_11_1</v>
      </c>
      <c r="AQ332" s="1421" t="str">
        <f>IF(LEN(W332)=0,"",W332)</f>
        <v/>
      </c>
      <c r="AR332" s="1421" t="str">
        <f>SUBSTITUTE(SUBSTITUTE(SUBSTITUTE("vcn"&amp;$B332&amp;$C332&amp;$D332&amp;$E332,".","_"),"(","_"),")","")</f>
        <v>vcn13_105_11_1</v>
      </c>
      <c r="AS332" s="1421" t="str">
        <f>IF(LEN(X332)=0,"",X332)</f>
        <v/>
      </c>
    </row>
    <row r="333" spans="2:45" x14ac:dyDescent="0.2">
      <c r="B333" s="92" t="s">
        <v>5450</v>
      </c>
      <c r="C333" s="858"/>
      <c r="G333" s="1421" t="s">
        <v>3199</v>
      </c>
      <c r="H333" s="1421" t="s">
        <v>3197</v>
      </c>
      <c r="I333" s="89"/>
      <c r="J333" s="873"/>
      <c r="K333" s="873"/>
      <c r="L333" s="1807"/>
      <c r="M333" s="1714"/>
      <c r="X333" s="1600"/>
    </row>
    <row r="334" spans="2:45" x14ac:dyDescent="0.2">
      <c r="B334" s="92" t="s">
        <v>5450</v>
      </c>
      <c r="C334" s="858"/>
      <c r="G334" s="1421" t="s">
        <v>3199</v>
      </c>
      <c r="H334" s="1421" t="s">
        <v>3197</v>
      </c>
      <c r="I334" s="89"/>
      <c r="J334" s="873"/>
      <c r="K334" s="873"/>
      <c r="L334" s="1807"/>
      <c r="M334" s="1714"/>
      <c r="X334" s="1600"/>
    </row>
    <row r="335" spans="2:45" x14ac:dyDescent="0.2">
      <c r="B335" s="92" t="s">
        <v>5450</v>
      </c>
      <c r="C335" s="858"/>
      <c r="G335" s="1421" t="s">
        <v>3199</v>
      </c>
      <c r="H335" s="1421" t="s">
        <v>3197</v>
      </c>
      <c r="I335" s="89"/>
      <c r="J335" s="873"/>
      <c r="K335" s="873"/>
      <c r="L335" s="1807"/>
      <c r="M335" s="1714"/>
      <c r="X335" s="1600"/>
    </row>
    <row r="336" spans="2:45" x14ac:dyDescent="0.2">
      <c r="B336" s="92" t="s">
        <v>5450</v>
      </c>
      <c r="C336" s="858"/>
      <c r="G336" s="1421" t="s">
        <v>3199</v>
      </c>
      <c r="H336" s="1421" t="s">
        <v>3197</v>
      </c>
      <c r="I336" s="89"/>
      <c r="J336" s="873"/>
      <c r="K336" s="873"/>
      <c r="L336" s="1807"/>
      <c r="M336" s="1714"/>
      <c r="X336" s="1600"/>
    </row>
    <row r="337" spans="2:45" x14ac:dyDescent="0.2">
      <c r="B337" s="92" t="s">
        <v>5450</v>
      </c>
      <c r="C337" s="858"/>
      <c r="G337" s="1421" t="s">
        <v>3199</v>
      </c>
      <c r="H337" s="1421" t="s">
        <v>3197</v>
      </c>
      <c r="I337" s="89"/>
      <c r="J337" s="873"/>
      <c r="K337" s="873"/>
      <c r="L337" s="1807"/>
      <c r="M337" s="1714"/>
      <c r="X337" s="1600"/>
    </row>
    <row r="338" spans="2:45" x14ac:dyDescent="0.2">
      <c r="B338" s="92" t="s">
        <v>5450</v>
      </c>
      <c r="C338" s="858"/>
      <c r="G338" s="1421" t="s">
        <v>3199</v>
      </c>
      <c r="H338" s="1421" t="s">
        <v>3197</v>
      </c>
      <c r="I338" s="169"/>
      <c r="J338" s="1072"/>
      <c r="K338" s="1072"/>
      <c r="L338" s="1688"/>
      <c r="M338" s="1698"/>
      <c r="N338" s="173"/>
      <c r="O338" s="173"/>
      <c r="X338" s="1600"/>
    </row>
    <row r="339" spans="2:45" x14ac:dyDescent="0.2">
      <c r="B339" s="92" t="s">
        <v>5452</v>
      </c>
      <c r="C339" s="858"/>
      <c r="G339" s="1421" t="s">
        <v>3199</v>
      </c>
      <c r="H339" s="1421" t="s">
        <v>3197</v>
      </c>
      <c r="I339" s="860" t="s">
        <v>5452</v>
      </c>
      <c r="J339" s="1073"/>
      <c r="K339" s="1073"/>
      <c r="L339" s="1686" t="s">
        <v>5453</v>
      </c>
      <c r="M339" s="1732" t="str">
        <f ca="1">IF(R339,"Mandatory","N/A")</f>
        <v>N/A</v>
      </c>
      <c r="N339" s="195"/>
      <c r="O339" s="195"/>
      <c r="P339" s="1421" t="b">
        <v>1</v>
      </c>
      <c r="Q339" s="1421" t="b">
        <v>1</v>
      </c>
      <c r="R339" s="1421" t="b">
        <f ca="1">S339</f>
        <v>0</v>
      </c>
      <c r="S339" s="1421" t="b">
        <f ca="1">S14=1</f>
        <v>0</v>
      </c>
      <c r="T339" s="1421" t="b">
        <f ca="1">AND(NOT(S339),LEN(W339)&gt;0)</f>
        <v>0</v>
      </c>
      <c r="U339" s="1421" t="str">
        <f t="shared" ref="U339" si="37">SUBSTITUTE(SUBSTITUTE(SUBSTITUTE("dd"&amp;$B339&amp;$C339&amp;$D339&amp;$E339&amp;$F339,".","_"),"(","_"),")","")</f>
        <v>dd13_105_11_2</v>
      </c>
      <c r="W339" s="12"/>
      <c r="X339" s="1600"/>
      <c r="AC339" s="1421" t="b">
        <f ca="1">OR(AD339:AE339)</f>
        <v>0</v>
      </c>
      <c r="AD339" s="1421" t="b">
        <v>0</v>
      </c>
      <c r="AE339" s="1421" t="b">
        <f ca="1">AND(R339,OR(W339="Not Met",W339=""))</f>
        <v>0</v>
      </c>
      <c r="AP339" s="1421" t="str">
        <f>SUBSTITUTE(SUBSTITUTE(SUBSTITUTE("vcc"&amp;$B339&amp;$C339&amp;$D339&amp;$E339,".","_"),"(","_"),")","")</f>
        <v>vcc13_105_11_2</v>
      </c>
      <c r="AQ339" s="1421" t="str">
        <f>IF(LEN(W339)=0,"",W339)</f>
        <v/>
      </c>
      <c r="AR339" s="1421" t="str">
        <f>SUBSTITUTE(SUBSTITUTE(SUBSTITUTE("vcn"&amp;$B339&amp;$C339&amp;$D339&amp;$E339,".","_"),"(","_"),")","")</f>
        <v>vcn13_105_11_2</v>
      </c>
      <c r="AS339" s="1421" t="str">
        <f>IF(LEN(X339)=0,"",X339)</f>
        <v/>
      </c>
    </row>
    <row r="340" spans="2:45" x14ac:dyDescent="0.2">
      <c r="B340" s="92" t="s">
        <v>5452</v>
      </c>
      <c r="C340" s="858"/>
      <c r="G340" s="1421" t="s">
        <v>3199</v>
      </c>
      <c r="H340" s="1421" t="s">
        <v>3197</v>
      </c>
      <c r="I340" s="89"/>
      <c r="J340" s="873"/>
      <c r="K340" s="873"/>
      <c r="L340" s="1807"/>
      <c r="M340" s="1714"/>
      <c r="X340" s="1600"/>
    </row>
    <row r="341" spans="2:45" x14ac:dyDescent="0.2">
      <c r="B341" s="92" t="s">
        <v>5452</v>
      </c>
      <c r="C341" s="858"/>
      <c r="G341" s="1421" t="s">
        <v>3199</v>
      </c>
      <c r="H341" s="1421" t="s">
        <v>3197</v>
      </c>
      <c r="I341" s="89"/>
      <c r="J341" s="873"/>
      <c r="K341" s="873"/>
      <c r="L341" s="1807"/>
      <c r="M341" s="1714"/>
      <c r="X341" s="1600"/>
    </row>
    <row r="342" spans="2:45" x14ac:dyDescent="0.2">
      <c r="B342" s="92" t="s">
        <v>5452</v>
      </c>
      <c r="C342" s="858"/>
      <c r="G342" s="1421" t="s">
        <v>3199</v>
      </c>
      <c r="H342" s="1421" t="s">
        <v>3197</v>
      </c>
      <c r="I342" s="89"/>
      <c r="J342" s="873"/>
      <c r="K342" s="873"/>
      <c r="L342" s="1807"/>
      <c r="M342" s="1714"/>
      <c r="X342" s="1600"/>
    </row>
    <row r="343" spans="2:45" x14ac:dyDescent="0.2">
      <c r="B343" s="92" t="s">
        <v>5452</v>
      </c>
      <c r="C343" s="858"/>
      <c r="G343" s="1421" t="s">
        <v>3199</v>
      </c>
      <c r="H343" s="1421" t="s">
        <v>3197</v>
      </c>
      <c r="I343" s="169"/>
      <c r="J343" s="1072"/>
      <c r="K343" s="1072"/>
      <c r="L343" s="1688"/>
      <c r="M343" s="1698"/>
      <c r="N343" s="173"/>
      <c r="O343" s="173"/>
      <c r="X343" s="1600"/>
    </row>
    <row r="344" spans="2:45" x14ac:dyDescent="0.2">
      <c r="B344" s="92" t="s">
        <v>5454</v>
      </c>
      <c r="C344" s="858"/>
      <c r="G344" s="1421" t="s">
        <v>3199</v>
      </c>
      <c r="H344" s="1421" t="s">
        <v>3197</v>
      </c>
      <c r="I344" s="89" t="s">
        <v>5454</v>
      </c>
      <c r="J344" s="873"/>
      <c r="K344" s="873"/>
      <c r="L344" s="1807" t="s">
        <v>5455</v>
      </c>
      <c r="M344" s="1714" t="str">
        <f ca="1">IF(R344,"Mandatory","N/A")</f>
        <v>N/A</v>
      </c>
      <c r="P344" s="1421" t="b">
        <v>1</v>
      </c>
      <c r="Q344" s="1421" t="b">
        <v>1</v>
      </c>
      <c r="R344" s="1421" t="b">
        <f ca="1">S344</f>
        <v>0</v>
      </c>
      <c r="S344" s="1421" t="b">
        <f ca="1">S14=1</f>
        <v>0</v>
      </c>
      <c r="T344" s="1421" t="b">
        <f ca="1">AND(NOT(S344),LEN(W344)&gt;0)</f>
        <v>0</v>
      </c>
      <c r="U344" s="1421" t="str">
        <f t="shared" ref="U344" si="38">SUBSTITUTE(SUBSTITUTE(SUBSTITUTE("dd"&amp;$B344&amp;$C344&amp;$D344&amp;$E344&amp;$F344,".","_"),"(","_"),")","")</f>
        <v>dd13_105_11_3</v>
      </c>
      <c r="W344" s="12"/>
      <c r="X344" s="1600"/>
      <c r="AC344" s="1421" t="b">
        <f ca="1">OR(AD344:AE344)</f>
        <v>0</v>
      </c>
      <c r="AD344" s="1421" t="b">
        <v>0</v>
      </c>
      <c r="AE344" s="1421" t="b">
        <f ca="1">AND(R344,OR(W344="Not Met",W344=""))</f>
        <v>0</v>
      </c>
      <c r="AP344" s="1421" t="str">
        <f>SUBSTITUTE(SUBSTITUTE(SUBSTITUTE("vcc"&amp;$B344&amp;$C344&amp;$D344&amp;$E344,".","_"),"(","_"),")","")</f>
        <v>vcc13_105_11_3</v>
      </c>
      <c r="AQ344" s="1421" t="str">
        <f>IF(LEN(W344)=0,"",W344)</f>
        <v/>
      </c>
      <c r="AR344" s="1421" t="str">
        <f>SUBSTITUTE(SUBSTITUTE(SUBSTITUTE("vcn"&amp;$B344&amp;$C344&amp;$D344&amp;$E344,".","_"),"(","_"),")","")</f>
        <v>vcn13_105_11_3</v>
      </c>
      <c r="AS344" s="1421" t="str">
        <f>IF(LEN(X344)=0,"",X344)</f>
        <v/>
      </c>
    </row>
    <row r="345" spans="2:45" x14ac:dyDescent="0.2">
      <c r="B345" s="92" t="s">
        <v>5454</v>
      </c>
      <c r="C345" s="858"/>
      <c r="G345" s="1421" t="s">
        <v>3199</v>
      </c>
      <c r="H345" s="1421" t="s">
        <v>3197</v>
      </c>
      <c r="I345" s="89"/>
      <c r="J345" s="873"/>
      <c r="K345" s="873"/>
      <c r="L345" s="1807"/>
      <c r="M345" s="1714"/>
      <c r="X345" s="1600"/>
    </row>
    <row r="346" spans="2:45" ht="16" thickBot="1" x14ac:dyDescent="0.25">
      <c r="B346" s="92" t="s">
        <v>5454</v>
      </c>
      <c r="C346" s="858"/>
      <c r="G346" s="1421" t="s">
        <v>3199</v>
      </c>
      <c r="H346" s="1421" t="s">
        <v>3197</v>
      </c>
      <c r="I346" s="98"/>
      <c r="J346" s="1069"/>
      <c r="K346" s="1069"/>
      <c r="L346" s="1738"/>
      <c r="M346" s="1726"/>
      <c r="N346" s="100"/>
      <c r="O346" s="100"/>
      <c r="P346" s="100"/>
      <c r="Q346" s="100"/>
      <c r="R346" s="100"/>
      <c r="S346" s="100"/>
      <c r="T346" s="100"/>
      <c r="U346" s="100"/>
      <c r="V346" s="100"/>
      <c r="W346" s="100"/>
      <c r="X346" s="1602"/>
    </row>
    <row r="347" spans="2:45" ht="16" thickTop="1" x14ac:dyDescent="0.2">
      <c r="B347" s="92" t="s">
        <v>5456</v>
      </c>
      <c r="C347" s="858"/>
      <c r="G347" s="1421" t="s">
        <v>3199</v>
      </c>
      <c r="H347" s="1421" t="s">
        <v>3197</v>
      </c>
      <c r="I347" s="89" t="s">
        <v>5456</v>
      </c>
      <c r="J347" s="873"/>
      <c r="K347" s="873"/>
      <c r="L347" s="1807" t="s">
        <v>5457</v>
      </c>
      <c r="M347" s="1714" t="str">
        <f ca="1">IF(R347,"Mandatory","N/A")</f>
        <v>N/A</v>
      </c>
      <c r="P347" s="1421" t="b">
        <v>1</v>
      </c>
      <c r="Q347" s="1421" t="b">
        <v>1</v>
      </c>
      <c r="R347" s="1421" t="b">
        <f ca="1">S347</f>
        <v>0</v>
      </c>
      <c r="S347" s="1421" t="b">
        <f ca="1">S14=1</f>
        <v>0</v>
      </c>
      <c r="T347" s="1421" t="b">
        <v>0</v>
      </c>
      <c r="U347" s="1421" t="str">
        <f t="shared" ref="U347" si="39">SUBSTITUTE(SUBSTITUTE(SUBSTITUTE("dd"&amp;$B347&amp;$C347&amp;$D347&amp;$E347&amp;$F347,".","_"),"(","_"),")","")</f>
        <v>dd13_105_12</v>
      </c>
      <c r="W347" s="269"/>
      <c r="X347" s="1599"/>
      <c r="AC347" s="1421" t="b">
        <f ca="1">OR(AD347:AE347)</f>
        <v>0</v>
      </c>
      <c r="AD347" s="1421" t="b">
        <v>0</v>
      </c>
      <c r="AE347" s="1421" t="b">
        <f ca="1">AND(R347,OR(W347="Not Met",W347=""))</f>
        <v>0</v>
      </c>
      <c r="AP347" s="1421" t="str">
        <f>SUBSTITUTE(SUBSTITUTE(SUBSTITUTE("vcc"&amp;$B347&amp;$C347&amp;$D347&amp;$E347,".","_"),"(","_"),")","")</f>
        <v>vcc13_105_12</v>
      </c>
      <c r="AQ347" s="1421" t="str">
        <f>IF(LEN(W347)=0,"",W347)</f>
        <v/>
      </c>
      <c r="AR347" s="1421" t="str">
        <f>SUBSTITUTE(SUBSTITUTE(SUBSTITUTE("vcn"&amp;$B347&amp;$C347&amp;$D347&amp;$E347,".","_"),"(","_"),")","")</f>
        <v>vcn13_105_12</v>
      </c>
      <c r="AS347" s="1421" t="str">
        <f>IF(LEN(X347)=0,"",X347)</f>
        <v/>
      </c>
    </row>
    <row r="348" spans="2:45" x14ac:dyDescent="0.2">
      <c r="B348" s="92" t="s">
        <v>5456</v>
      </c>
      <c r="C348" s="858"/>
      <c r="G348" s="1421" t="s">
        <v>3199</v>
      </c>
      <c r="H348" s="1421" t="s">
        <v>3197</v>
      </c>
      <c r="I348" s="89"/>
      <c r="J348" s="873"/>
      <c r="K348" s="873"/>
      <c r="L348" s="1807"/>
      <c r="M348" s="1714"/>
      <c r="X348" s="1600"/>
    </row>
    <row r="349" spans="2:45" x14ac:dyDescent="0.2">
      <c r="B349" s="92" t="s">
        <v>5458</v>
      </c>
      <c r="C349" s="858"/>
      <c r="G349" s="1421" t="s">
        <v>3199</v>
      </c>
      <c r="H349" s="1421" t="s">
        <v>3197</v>
      </c>
      <c r="I349" s="89" t="s">
        <v>5458</v>
      </c>
      <c r="J349" s="873"/>
      <c r="K349" s="873"/>
      <c r="L349" s="1807" t="s">
        <v>5459</v>
      </c>
    </row>
    <row r="350" spans="2:45" x14ac:dyDescent="0.2">
      <c r="B350" s="92" t="s">
        <v>5458</v>
      </c>
      <c r="C350" s="858"/>
      <c r="G350" s="1421" t="s">
        <v>3199</v>
      </c>
      <c r="H350" s="1421" t="s">
        <v>3197</v>
      </c>
      <c r="I350" s="169"/>
      <c r="J350" s="1072"/>
      <c r="K350" s="1072"/>
      <c r="L350" s="1688"/>
    </row>
    <row r="351" spans="2:45" x14ac:dyDescent="0.2">
      <c r="B351" s="92" t="s">
        <v>5460</v>
      </c>
      <c r="C351" s="858"/>
      <c r="G351" s="1421" t="s">
        <v>3199</v>
      </c>
      <c r="H351" s="1421" t="s">
        <v>3197</v>
      </c>
      <c r="I351" s="860" t="s">
        <v>5460</v>
      </c>
      <c r="J351" s="1073"/>
      <c r="K351" s="1073"/>
      <c r="L351" s="1686" t="s">
        <v>5461</v>
      </c>
    </row>
    <row r="352" spans="2:45" x14ac:dyDescent="0.2">
      <c r="B352" s="92" t="s">
        <v>5460</v>
      </c>
      <c r="C352" s="858"/>
      <c r="G352" s="1421" t="s">
        <v>3199</v>
      </c>
      <c r="H352" s="1421" t="s">
        <v>3197</v>
      </c>
      <c r="I352" s="169"/>
      <c r="J352" s="1072"/>
      <c r="K352" s="1072"/>
      <c r="L352" s="1688"/>
    </row>
    <row r="353" spans="2:45" ht="15" customHeight="1" x14ac:dyDescent="0.2">
      <c r="B353" s="92" t="s">
        <v>5462</v>
      </c>
      <c r="C353" s="858"/>
      <c r="G353" s="1421" t="s">
        <v>3199</v>
      </c>
      <c r="H353" s="1421" t="s">
        <v>3197</v>
      </c>
      <c r="I353" s="89" t="s">
        <v>5462</v>
      </c>
      <c r="J353" s="873"/>
      <c r="K353" s="873"/>
      <c r="L353" s="1686" t="s">
        <v>5463</v>
      </c>
      <c r="R353" s="1421" t="b">
        <f ca="1">AND(IFERROR(3=MATCH(W347,INDIRECT(U347),0),FALSE),S347)</f>
        <v>0</v>
      </c>
      <c r="S353" s="1421" t="b">
        <f ca="1">S347</f>
        <v>0</v>
      </c>
      <c r="T353" s="1421" t="b">
        <v>0</v>
      </c>
      <c r="X353" s="1600"/>
      <c r="AC353" s="1421" t="b">
        <f ca="1">OR(AD353:AE353)</f>
        <v>0</v>
      </c>
      <c r="AD353" s="1421" t="b">
        <f>T353</f>
        <v>0</v>
      </c>
      <c r="AE353" s="1421" t="b">
        <f ca="1">AND(R353=TRUE,LEN(X353)=0)</f>
        <v>0</v>
      </c>
      <c r="AR353" s="1421" t="str">
        <f>SUBSTITUTE(SUBSTITUTE(SUBSTITUTE("vcn"&amp;$B353&amp;$C353&amp;$D353&amp;$E353,".","_"),"(","_"),")","")</f>
        <v>vcn13_105_12_3</v>
      </c>
      <c r="AS353" s="1421" t="str">
        <f>IF(LEN(X353)=0,"",X353)</f>
        <v/>
      </c>
    </row>
    <row r="354" spans="2:45" x14ac:dyDescent="0.2">
      <c r="B354" s="92" t="s">
        <v>5462</v>
      </c>
      <c r="C354" s="858"/>
      <c r="G354" s="1421" t="s">
        <v>3199</v>
      </c>
      <c r="H354" s="1421" t="s">
        <v>3197</v>
      </c>
      <c r="I354" s="89"/>
      <c r="J354" s="873"/>
      <c r="K354" s="873"/>
      <c r="L354" s="1807"/>
      <c r="X354" s="1600"/>
    </row>
    <row r="355" spans="2:45" ht="16" thickBot="1" x14ac:dyDescent="0.25">
      <c r="B355" s="92" t="s">
        <v>5462</v>
      </c>
      <c r="C355" s="858"/>
      <c r="G355" s="1421" t="s">
        <v>3199</v>
      </c>
      <c r="H355" s="1421" t="s">
        <v>3197</v>
      </c>
      <c r="I355" s="98"/>
      <c r="J355" s="1069"/>
      <c r="K355" s="1069"/>
      <c r="L355" s="1451" t="s">
        <v>5464</v>
      </c>
      <c r="M355" s="100"/>
      <c r="N355" s="100"/>
      <c r="O355" s="100"/>
      <c r="P355" s="100"/>
      <c r="Q355" s="100"/>
      <c r="R355" s="100"/>
      <c r="S355" s="100"/>
      <c r="T355" s="100"/>
      <c r="U355" s="100"/>
      <c r="V355" s="100"/>
      <c r="W355" s="100"/>
      <c r="X355" s="1602"/>
    </row>
    <row r="356" spans="2:45" ht="16" thickTop="1" x14ac:dyDescent="0.2">
      <c r="B356" s="92" t="s">
        <v>5465</v>
      </c>
      <c r="C356" s="858"/>
      <c r="G356" s="1421" t="s">
        <v>3199</v>
      </c>
      <c r="H356" s="1421" t="s">
        <v>3197</v>
      </c>
      <c r="I356" s="89" t="s">
        <v>5465</v>
      </c>
      <c r="J356" s="873"/>
      <c r="K356" s="873"/>
      <c r="L356" s="1470" t="s">
        <v>5466</v>
      </c>
    </row>
    <row r="357" spans="2:45" x14ac:dyDescent="0.2">
      <c r="B357" s="92" t="s">
        <v>5467</v>
      </c>
      <c r="C357" s="858"/>
      <c r="G357" s="1421" t="s">
        <v>3199</v>
      </c>
      <c r="H357" s="1421" t="s">
        <v>3197</v>
      </c>
      <c r="I357" s="89" t="s">
        <v>5467</v>
      </c>
      <c r="J357" s="873"/>
      <c r="K357" s="873"/>
      <c r="L357" s="1807" t="s">
        <v>5468</v>
      </c>
      <c r="M357" s="1714" t="str">
        <f ca="1">IF(R357,"Mandatory","N/A")</f>
        <v>N/A</v>
      </c>
      <c r="P357" s="1421" t="b">
        <v>1</v>
      </c>
      <c r="Q357" s="1421" t="b">
        <v>1</v>
      </c>
      <c r="R357" s="1421" t="b">
        <f ca="1">S357</f>
        <v>0</v>
      </c>
      <c r="S357" s="1421" t="b">
        <f ca="1">S14=1</f>
        <v>0</v>
      </c>
      <c r="T357" s="1421" t="b">
        <f ca="1">AND(NOT(S357),W357=TRUE)</f>
        <v>0</v>
      </c>
      <c r="W357" s="27"/>
      <c r="X357" s="1600"/>
      <c r="AC357" s="1421" t="b">
        <f ca="1">OR(AD357:AE357)</f>
        <v>0</v>
      </c>
      <c r="AD357" s="1421" t="b">
        <f ca="1">T357</f>
        <v>0</v>
      </c>
      <c r="AE357" s="1421" t="b">
        <f ca="1">AND(R357,NOT(W357))</f>
        <v>0</v>
      </c>
      <c r="AP357" s="1421" t="str">
        <f>SUBSTITUTE(SUBSTITUTE(SUBSTITUTE("vcc"&amp;$B357&amp;$C357&amp;$D357&amp;$E357,".","_"),"(","_"),")","")</f>
        <v>vcc13_106_1</v>
      </c>
      <c r="AQ357" s="1421" t="str">
        <f>IF(LEN(W357)=0,"",W357)</f>
        <v/>
      </c>
      <c r="AR357" s="1421" t="str">
        <f>SUBSTITUTE(SUBSTITUTE(SUBSTITUTE("vcn"&amp;$B357&amp;$C357&amp;$D357&amp;$E357,".","_"),"(","_"),")","")</f>
        <v>vcn13_106_1</v>
      </c>
      <c r="AS357" s="1421" t="str">
        <f>IF(LEN(X357)=0,"",X357)</f>
        <v/>
      </c>
    </row>
    <row r="358" spans="2:45" x14ac:dyDescent="0.2">
      <c r="B358" s="92" t="s">
        <v>5467</v>
      </c>
      <c r="C358" s="858"/>
      <c r="G358" s="1421" t="s">
        <v>3199</v>
      </c>
      <c r="H358" s="1421" t="s">
        <v>3197</v>
      </c>
      <c r="I358" s="89"/>
      <c r="J358" s="873"/>
      <c r="K358" s="873"/>
      <c r="L358" s="1807"/>
      <c r="M358" s="1714"/>
      <c r="X358" s="1600"/>
    </row>
    <row r="359" spans="2:45" x14ac:dyDescent="0.2">
      <c r="B359" s="92" t="s">
        <v>5467</v>
      </c>
      <c r="C359" s="858"/>
      <c r="G359" s="1421" t="s">
        <v>3199</v>
      </c>
      <c r="H359" s="1421" t="s">
        <v>3197</v>
      </c>
      <c r="I359" s="89"/>
      <c r="J359" s="873"/>
      <c r="K359" s="873"/>
      <c r="L359" s="1807"/>
      <c r="M359" s="1714"/>
      <c r="X359" s="1600"/>
    </row>
    <row r="360" spans="2:45" x14ac:dyDescent="0.2">
      <c r="B360" s="92" t="s">
        <v>5467</v>
      </c>
      <c r="C360" s="858"/>
      <c r="G360" s="1421" t="s">
        <v>3199</v>
      </c>
      <c r="H360" s="1421" t="s">
        <v>3197</v>
      </c>
      <c r="I360" s="89"/>
      <c r="J360" s="873"/>
      <c r="K360" s="873"/>
      <c r="L360" s="1807"/>
    </row>
    <row r="361" spans="2:45" x14ac:dyDescent="0.2">
      <c r="B361" s="92" t="s">
        <v>5467</v>
      </c>
      <c r="C361" s="858"/>
      <c r="G361" s="1421" t="s">
        <v>3199</v>
      </c>
      <c r="H361" s="1421" t="s">
        <v>3197</v>
      </c>
      <c r="I361" s="89"/>
      <c r="J361" s="873"/>
      <c r="K361" s="873"/>
      <c r="L361" s="1807"/>
    </row>
    <row r="362" spans="2:45" x14ac:dyDescent="0.2">
      <c r="B362" s="92" t="s">
        <v>5467</v>
      </c>
      <c r="C362" s="858" t="s">
        <v>254</v>
      </c>
      <c r="G362" s="1421" t="s">
        <v>3199</v>
      </c>
      <c r="H362" s="1421" t="s">
        <v>3197</v>
      </c>
      <c r="I362" s="89"/>
      <c r="J362" s="1072" t="s">
        <v>254</v>
      </c>
      <c r="K362" s="1072"/>
      <c r="L362" s="1438" t="s">
        <v>5469</v>
      </c>
    </row>
    <row r="363" spans="2:45" x14ac:dyDescent="0.2">
      <c r="B363" s="92" t="s">
        <v>5467</v>
      </c>
      <c r="C363" s="858" t="s">
        <v>255</v>
      </c>
      <c r="G363" s="1421" t="s">
        <v>3199</v>
      </c>
      <c r="H363" s="1421" t="s">
        <v>3197</v>
      </c>
      <c r="I363" s="89"/>
      <c r="J363" s="1073" t="s">
        <v>255</v>
      </c>
      <c r="K363" s="1073"/>
      <c r="L363" s="1633" t="s">
        <v>5470</v>
      </c>
    </row>
    <row r="364" spans="2:45" x14ac:dyDescent="0.2">
      <c r="B364" s="92" t="s">
        <v>5467</v>
      </c>
      <c r="C364" s="858" t="s">
        <v>255</v>
      </c>
      <c r="G364" s="1421" t="s">
        <v>3199</v>
      </c>
      <c r="H364" s="1421" t="s">
        <v>3197</v>
      </c>
      <c r="I364" s="89"/>
      <c r="J364" s="1072"/>
      <c r="K364" s="1072"/>
      <c r="L364" s="1639"/>
    </row>
    <row r="365" spans="2:45" ht="16" thickBot="1" x14ac:dyDescent="0.25">
      <c r="B365" s="92" t="s">
        <v>5467</v>
      </c>
      <c r="C365" s="858" t="s">
        <v>256</v>
      </c>
      <c r="G365" s="1421" t="s">
        <v>3199</v>
      </c>
      <c r="H365" s="1421" t="s">
        <v>3197</v>
      </c>
      <c r="I365" s="98"/>
      <c r="J365" s="1069" t="s">
        <v>256</v>
      </c>
      <c r="K365" s="1069"/>
      <c r="L365" s="1439" t="s">
        <v>5471</v>
      </c>
      <c r="M365" s="100"/>
      <c r="N365" s="100"/>
      <c r="O365" s="100"/>
      <c r="P365" s="100"/>
      <c r="Q365" s="100"/>
      <c r="R365" s="100"/>
      <c r="S365" s="100"/>
      <c r="T365" s="100"/>
      <c r="U365" s="100"/>
      <c r="V365" s="100"/>
      <c r="W365" s="100"/>
      <c r="X365" s="100"/>
    </row>
    <row r="366" spans="2:45" ht="16" thickTop="1" x14ac:dyDescent="0.2">
      <c r="B366" s="92" t="s">
        <v>5472</v>
      </c>
      <c r="C366" s="858"/>
      <c r="G366" s="1421" t="s">
        <v>3199</v>
      </c>
      <c r="H366" s="1421" t="s">
        <v>3197</v>
      </c>
      <c r="I366" s="115" t="s">
        <v>5472</v>
      </c>
      <c r="J366" s="1070"/>
      <c r="K366" s="1070"/>
      <c r="L366" s="1740" t="s">
        <v>5473</v>
      </c>
      <c r="M366" s="1701" t="str">
        <f ca="1">IF(R366,"Mandatory","N/A")</f>
        <v>N/A</v>
      </c>
      <c r="N366" s="106"/>
      <c r="O366" s="106"/>
      <c r="P366" s="106" t="b">
        <v>1</v>
      </c>
      <c r="Q366" s="106" t="b">
        <v>1</v>
      </c>
      <c r="R366" s="106" t="b">
        <f ca="1">S366</f>
        <v>0</v>
      </c>
      <c r="S366" s="106" t="b">
        <f ca="1">S14=1</f>
        <v>0</v>
      </c>
      <c r="T366" s="106" t="b">
        <f ca="1">AND(NOT(S366),W366=TRUE)</f>
        <v>0</v>
      </c>
      <c r="U366" s="106"/>
      <c r="V366" s="106"/>
      <c r="W366" s="334"/>
      <c r="X366" s="1603"/>
      <c r="AC366" s="1421" t="b">
        <f ca="1">OR(AD366:AE366)</f>
        <v>0</v>
      </c>
      <c r="AD366" s="1421" t="b">
        <f ca="1">T366</f>
        <v>0</v>
      </c>
      <c r="AE366" s="1421" t="b">
        <f ca="1">AND(R366,NOT(W366))</f>
        <v>0</v>
      </c>
      <c r="AP366" s="1421" t="str">
        <f>SUBSTITUTE(SUBSTITUTE(SUBSTITUTE("vcc"&amp;$B366&amp;$C366&amp;$D366&amp;$E366,".","_"),"(","_"),")","")</f>
        <v>vcc13_106_2</v>
      </c>
      <c r="AQ366" s="1421" t="str">
        <f>IF(LEN(W366)=0,"",W366)</f>
        <v/>
      </c>
      <c r="AR366" s="1421" t="str">
        <f>SUBSTITUTE(SUBSTITUTE(SUBSTITUTE("vcn"&amp;$B366&amp;$C366&amp;$D366&amp;$E366,".","_"),"(","_"),")","")</f>
        <v>vcn13_106_2</v>
      </c>
      <c r="AS366" s="1421" t="str">
        <f>IF(LEN(X366)=0,"",X366)</f>
        <v/>
      </c>
    </row>
    <row r="367" spans="2:45" ht="16" thickBot="1" x14ac:dyDescent="0.25">
      <c r="B367" s="92" t="s">
        <v>5472</v>
      </c>
      <c r="C367" s="858"/>
      <c r="G367" s="1421" t="s">
        <v>3199</v>
      </c>
      <c r="H367" s="1421" t="s">
        <v>3197</v>
      </c>
      <c r="I367" s="98"/>
      <c r="J367" s="1069"/>
      <c r="K367" s="1069"/>
      <c r="L367" s="1738"/>
      <c r="M367" s="1726"/>
      <c r="N367" s="100"/>
      <c r="O367" s="100"/>
      <c r="P367" s="100"/>
      <c r="Q367" s="100"/>
      <c r="R367" s="100"/>
      <c r="S367" s="100"/>
      <c r="T367" s="100"/>
      <c r="U367" s="100"/>
      <c r="V367" s="100"/>
      <c r="W367" s="100"/>
      <c r="X367" s="1602"/>
    </row>
    <row r="368" spans="2:45" ht="16" thickTop="1" x14ac:dyDescent="0.2">
      <c r="B368" s="92" t="s">
        <v>5474</v>
      </c>
      <c r="C368" s="858"/>
      <c r="G368" s="1421" t="s">
        <v>3199</v>
      </c>
      <c r="H368" s="1421" t="s">
        <v>3199</v>
      </c>
      <c r="I368" s="89" t="s">
        <v>5474</v>
      </c>
      <c r="J368" s="873"/>
      <c r="K368" s="873"/>
      <c r="L368" s="1807" t="s">
        <v>5475</v>
      </c>
    </row>
    <row r="369" spans="2:45" x14ac:dyDescent="0.2">
      <c r="B369" s="92" t="s">
        <v>5474</v>
      </c>
      <c r="C369" s="858"/>
      <c r="G369" s="1421" t="s">
        <v>3199</v>
      </c>
      <c r="H369" s="1421" t="s">
        <v>3199</v>
      </c>
      <c r="I369" s="89"/>
      <c r="J369" s="873"/>
      <c r="K369" s="873"/>
      <c r="L369" s="1807"/>
    </row>
    <row r="370" spans="2:45" x14ac:dyDescent="0.2">
      <c r="B370" s="92" t="s">
        <v>5474</v>
      </c>
      <c r="C370" s="858"/>
      <c r="G370" s="1421" t="s">
        <v>3199</v>
      </c>
      <c r="H370" s="1421" t="s">
        <v>3199</v>
      </c>
      <c r="I370" s="89"/>
      <c r="J370" s="873"/>
      <c r="K370" s="873"/>
      <c r="L370" s="1807"/>
    </row>
    <row r="371" spans="2:45" x14ac:dyDescent="0.2">
      <c r="B371" s="92" t="s">
        <v>5474</v>
      </c>
      <c r="C371" s="858" t="s">
        <v>254</v>
      </c>
      <c r="G371" s="1421" t="s">
        <v>3199</v>
      </c>
      <c r="H371" s="1421" t="s">
        <v>3199</v>
      </c>
      <c r="I371" s="89"/>
      <c r="J371" s="873" t="s">
        <v>254</v>
      </c>
      <c r="K371" s="873"/>
      <c r="L371" s="1808" t="s">
        <v>5476</v>
      </c>
      <c r="M371" s="1714" t="str">
        <f ca="1">IF(R371,"Mandatory","N/A")</f>
        <v>N/A</v>
      </c>
      <c r="P371" s="1421" t="b">
        <v>0</v>
      </c>
      <c r="Q371" s="1421" t="b">
        <v>1</v>
      </c>
      <c r="R371" s="1421" t="b">
        <f ca="1">S371</f>
        <v>0</v>
      </c>
      <c r="S371" s="1421" t="b">
        <f ca="1">S14=1</f>
        <v>0</v>
      </c>
      <c r="T371" s="1421" t="b">
        <f ca="1">AND(NOT(S371),LEN(W371)&gt;0)</f>
        <v>0</v>
      </c>
      <c r="U371" s="1421" t="str">
        <f t="shared" ref="U371" si="40">SUBSTITUTE(SUBSTITUTE(SUBSTITUTE("dd"&amp;$B371&amp;$C371&amp;$D371&amp;$E371&amp;$F371,".","_"),"(","_"),")","")</f>
        <v>dd13_106_3_1</v>
      </c>
      <c r="W371" s="12"/>
      <c r="X371" s="1600"/>
      <c r="AC371" s="1421" t="b">
        <f ca="1">OR(AD371:AE371)</f>
        <v>0</v>
      </c>
      <c r="AD371" s="1421" t="b">
        <v>0</v>
      </c>
      <c r="AE371" s="1421" t="b">
        <f ca="1">AND(R371,OR(W371="Not Met",W371=""))</f>
        <v>0</v>
      </c>
      <c r="AP371" s="1421" t="str">
        <f>SUBSTITUTE(SUBSTITUTE(SUBSTITUTE("vcc"&amp;$B371&amp;$C371&amp;$D371&amp;$E371,".","_"),"(","_"),")","")</f>
        <v>vcc13_106_3_1</v>
      </c>
      <c r="AQ371" s="1421" t="str">
        <f>IF(LEN(W371)=0,"",W371)</f>
        <v/>
      </c>
      <c r="AR371" s="1421" t="str">
        <f>SUBSTITUTE(SUBSTITUTE(SUBSTITUTE("vcn"&amp;$B371&amp;$C371&amp;$D371&amp;$E371,".","_"),"(","_"),")","")</f>
        <v>vcn13_106_3_1</v>
      </c>
      <c r="AS371" s="1421" t="str">
        <f>IF(LEN(X371)=0,"",X371)</f>
        <v/>
      </c>
    </row>
    <row r="372" spans="2:45" x14ac:dyDescent="0.2">
      <c r="B372" s="92" t="s">
        <v>5474</v>
      </c>
      <c r="C372" s="858" t="s">
        <v>254</v>
      </c>
      <c r="G372" s="1421" t="s">
        <v>3199</v>
      </c>
      <c r="H372" s="1421" t="s">
        <v>3199</v>
      </c>
      <c r="I372" s="89"/>
      <c r="J372" s="1072"/>
      <c r="K372" s="1072"/>
      <c r="L372" s="1639"/>
      <c r="M372" s="1698"/>
      <c r="N372" s="173"/>
      <c r="O372" s="173"/>
      <c r="X372" s="1600"/>
    </row>
    <row r="373" spans="2:45" x14ac:dyDescent="0.2">
      <c r="B373" s="92" t="s">
        <v>5474</v>
      </c>
      <c r="C373" s="858" t="s">
        <v>255</v>
      </c>
      <c r="G373" s="1421" t="s">
        <v>3199</v>
      </c>
      <c r="H373" s="1421" t="s">
        <v>3199</v>
      </c>
      <c r="I373" s="89"/>
      <c r="J373" s="1073" t="s">
        <v>255</v>
      </c>
      <c r="K373" s="1073"/>
      <c r="L373" s="1633" t="s">
        <v>5477</v>
      </c>
      <c r="M373" s="1732" t="str">
        <f ca="1">IF(R373,"Mandatory","N/A")</f>
        <v>N/A</v>
      </c>
      <c r="N373" s="195"/>
      <c r="O373" s="195"/>
      <c r="P373" s="1421" t="b">
        <v>0</v>
      </c>
      <c r="Q373" s="1421" t="b">
        <v>1</v>
      </c>
      <c r="R373" s="1421" t="b">
        <f ca="1">S373</f>
        <v>0</v>
      </c>
      <c r="S373" s="1421" t="b">
        <f ca="1">S14=1</f>
        <v>0</v>
      </c>
      <c r="T373" s="1421" t="b">
        <f ca="1">AND(NOT(S373),LEN(W373)&gt;0)</f>
        <v>0</v>
      </c>
      <c r="U373" s="1421" t="str">
        <f t="shared" ref="U373" si="41">SUBSTITUTE(SUBSTITUTE(SUBSTITUTE("dd"&amp;$B373&amp;$C373&amp;$D373&amp;$E373&amp;$F373,".","_"),"(","_"),")","")</f>
        <v>dd13_106_3_2</v>
      </c>
      <c r="W373" s="12"/>
      <c r="X373" s="1600"/>
      <c r="AC373" s="1421" t="b">
        <f ca="1">OR(AD373:AE373)</f>
        <v>0</v>
      </c>
      <c r="AD373" s="1421" t="b">
        <v>0</v>
      </c>
      <c r="AE373" s="1421" t="b">
        <f ca="1">AND(R373,OR(W373="Not Met",W373=""))</f>
        <v>0</v>
      </c>
      <c r="AP373" s="1421" t="str">
        <f>SUBSTITUTE(SUBSTITUTE(SUBSTITUTE("vcc"&amp;$B373&amp;$C373&amp;$D373&amp;$E373,".","_"),"(","_"),")","")</f>
        <v>vcc13_106_3_2</v>
      </c>
      <c r="AQ373" s="1421" t="str">
        <f>IF(LEN(W373)=0,"",W373)</f>
        <v/>
      </c>
      <c r="AR373" s="1421" t="str">
        <f>SUBSTITUTE(SUBSTITUTE(SUBSTITUTE("vcn"&amp;$B373&amp;$C373&amp;$D373&amp;$E373,".","_"),"(","_"),")","")</f>
        <v>vcn13_106_3_2</v>
      </c>
      <c r="AS373" s="1421" t="str">
        <f>IF(LEN(X373)=0,"",X373)</f>
        <v/>
      </c>
    </row>
    <row r="374" spans="2:45" x14ac:dyDescent="0.2">
      <c r="B374" s="92" t="s">
        <v>5474</v>
      </c>
      <c r="C374" s="858" t="s">
        <v>255</v>
      </c>
      <c r="G374" s="1421" t="s">
        <v>3199</v>
      </c>
      <c r="H374" s="1421" t="s">
        <v>3199</v>
      </c>
      <c r="I374" s="89"/>
      <c r="J374" s="1072"/>
      <c r="K374" s="1072"/>
      <c r="L374" s="1639"/>
      <c r="M374" s="1698"/>
      <c r="N374" s="173"/>
      <c r="O374" s="173"/>
      <c r="X374" s="1600"/>
    </row>
    <row r="375" spans="2:45" x14ac:dyDescent="0.2">
      <c r="B375" s="92" t="s">
        <v>5474</v>
      </c>
      <c r="C375" s="858" t="s">
        <v>256</v>
      </c>
      <c r="G375" s="1421" t="s">
        <v>3199</v>
      </c>
      <c r="H375" s="1421" t="s">
        <v>3199</v>
      </c>
      <c r="I375" s="89"/>
      <c r="J375" s="1073" t="s">
        <v>256</v>
      </c>
      <c r="K375" s="1073"/>
      <c r="L375" s="1633" t="s">
        <v>5478</v>
      </c>
      <c r="M375" s="1732" t="str">
        <f ca="1">IF(R375,"Mandatory","N/A")</f>
        <v>N/A</v>
      </c>
      <c r="N375" s="195"/>
      <c r="O375" s="195"/>
      <c r="P375" s="1421" t="b">
        <v>0</v>
      </c>
      <c r="Q375" s="1421" t="b">
        <v>1</v>
      </c>
      <c r="R375" s="1421" t="b">
        <f ca="1">S375</f>
        <v>0</v>
      </c>
      <c r="S375" s="1421" t="b">
        <f ca="1">S14=1</f>
        <v>0</v>
      </c>
      <c r="T375" s="1421" t="b">
        <f ca="1">AND(NOT(S375),LEN(W375)&gt;0)</f>
        <v>0</v>
      </c>
      <c r="U375" s="1421" t="str">
        <f t="shared" ref="U375" si="42">SUBSTITUTE(SUBSTITUTE(SUBSTITUTE("dd"&amp;$B375&amp;$C375&amp;$D375&amp;$E375&amp;$F375,".","_"),"(","_"),")","")</f>
        <v>dd13_106_3_3</v>
      </c>
      <c r="W375" s="12"/>
      <c r="X375" s="1600"/>
      <c r="AC375" s="1421" t="b">
        <f ca="1">OR(AD375:AE375)</f>
        <v>0</v>
      </c>
      <c r="AD375" s="1421" t="b">
        <v>0</v>
      </c>
      <c r="AE375" s="1421" t="b">
        <f ca="1">AND(R375,OR(W375="Not Met",W375=""))</f>
        <v>0</v>
      </c>
      <c r="AP375" s="1421" t="str">
        <f>SUBSTITUTE(SUBSTITUTE(SUBSTITUTE("vcc"&amp;$B375&amp;$C375&amp;$D375&amp;$E375,".","_"),"(","_"),")","")</f>
        <v>vcc13_106_3_3</v>
      </c>
      <c r="AQ375" s="1421" t="str">
        <f>IF(LEN(W375)=0,"",W375)</f>
        <v/>
      </c>
      <c r="AR375" s="1421" t="str">
        <f>SUBSTITUTE(SUBSTITUTE(SUBSTITUTE("vcn"&amp;$B375&amp;$C375&amp;$D375&amp;$E375,".","_"),"(","_"),")","")</f>
        <v>vcn13_106_3_3</v>
      </c>
      <c r="AS375" s="1421" t="str">
        <f>IF(LEN(X375)=0,"",X375)</f>
        <v/>
      </c>
    </row>
    <row r="376" spans="2:45" x14ac:dyDescent="0.2">
      <c r="B376" s="92" t="s">
        <v>5474</v>
      </c>
      <c r="C376" s="858" t="s">
        <v>256</v>
      </c>
      <c r="G376" s="1421" t="s">
        <v>3199</v>
      </c>
      <c r="H376" s="1421" t="s">
        <v>3199</v>
      </c>
      <c r="I376" s="89"/>
      <c r="J376" s="1072"/>
      <c r="K376" s="1072"/>
      <c r="L376" s="1639"/>
      <c r="M376" s="1698"/>
      <c r="N376" s="173"/>
      <c r="O376" s="173"/>
      <c r="X376" s="1600"/>
    </row>
    <row r="377" spans="2:45" x14ac:dyDescent="0.2">
      <c r="B377" s="92" t="s">
        <v>5474</v>
      </c>
      <c r="C377" s="858" t="s">
        <v>259</v>
      </c>
      <c r="G377" s="1421" t="s">
        <v>3199</v>
      </c>
      <c r="H377" s="1421" t="s">
        <v>3199</v>
      </c>
      <c r="I377" s="89"/>
      <c r="J377" s="873" t="s">
        <v>259</v>
      </c>
      <c r="K377" s="873"/>
      <c r="L377" s="1808" t="s">
        <v>5479</v>
      </c>
      <c r="M377" s="1714" t="str">
        <f ca="1">IF(R377,"Mandatory","N/A")</f>
        <v>N/A</v>
      </c>
      <c r="P377" s="1421" t="b">
        <v>0</v>
      </c>
      <c r="Q377" s="1421" t="b">
        <v>1</v>
      </c>
      <c r="R377" s="1421" t="b">
        <f ca="1">S377</f>
        <v>0</v>
      </c>
      <c r="S377" s="1421" t="b">
        <f ca="1">S14=1</f>
        <v>0</v>
      </c>
      <c r="T377" s="1421" t="b">
        <f ca="1">AND(NOT(S377),LEN(W377)&gt;0)</f>
        <v>0</v>
      </c>
      <c r="U377" s="1421" t="str">
        <f t="shared" ref="U377" si="43">SUBSTITUTE(SUBSTITUTE(SUBSTITUTE("dd"&amp;$B377&amp;$C377&amp;$D377&amp;$E377&amp;$F377,".","_"),"(","_"),")","")</f>
        <v>dd13_106_3_4</v>
      </c>
      <c r="W377" s="12"/>
      <c r="X377" s="1600"/>
      <c r="AC377" s="1421" t="b">
        <f ca="1">OR(AD377:AE377)</f>
        <v>0</v>
      </c>
      <c r="AD377" s="1421" t="b">
        <v>0</v>
      </c>
      <c r="AE377" s="1421" t="b">
        <f ca="1">AND(R377,OR(W377="Not Met",W377=""))</f>
        <v>0</v>
      </c>
      <c r="AP377" s="1421" t="str">
        <f>SUBSTITUTE(SUBSTITUTE(SUBSTITUTE("vcc"&amp;$B377&amp;$C377&amp;$D377&amp;$E377,".","_"),"(","_"),")","")</f>
        <v>vcc13_106_3_4</v>
      </c>
      <c r="AQ377" s="1421" t="str">
        <f>IF(LEN(W377)=0,"",W377)</f>
        <v/>
      </c>
      <c r="AR377" s="1421" t="str">
        <f>SUBSTITUTE(SUBSTITUTE(SUBSTITUTE("vcn"&amp;$B377&amp;$C377&amp;$D377&amp;$E377,".","_"),"(","_"),")","")</f>
        <v>vcn13_106_3_4</v>
      </c>
      <c r="AS377" s="1421" t="str">
        <f>IF(LEN(X377)=0,"",X377)</f>
        <v/>
      </c>
    </row>
    <row r="378" spans="2:45" ht="16" thickBot="1" x14ac:dyDescent="0.25">
      <c r="B378" s="92" t="s">
        <v>5474</v>
      </c>
      <c r="C378" s="858" t="s">
        <v>259</v>
      </c>
      <c r="G378" s="1421" t="s">
        <v>3199</v>
      </c>
      <c r="H378" s="1421" t="s">
        <v>3199</v>
      </c>
      <c r="I378" s="98"/>
      <c r="J378" s="1069"/>
      <c r="K378" s="1069"/>
      <c r="L378" s="1635"/>
      <c r="M378" s="1726"/>
      <c r="N378" s="100"/>
      <c r="O378" s="100"/>
      <c r="P378" s="100"/>
      <c r="Q378" s="100"/>
      <c r="R378" s="100"/>
      <c r="S378" s="100"/>
      <c r="T378" s="100"/>
      <c r="U378" s="100"/>
      <c r="V378" s="100"/>
      <c r="W378" s="100"/>
      <c r="X378" s="1602"/>
    </row>
    <row r="379" spans="2:45" ht="16" thickTop="1" x14ac:dyDescent="0.2">
      <c r="B379" s="92" t="s">
        <v>5480</v>
      </c>
      <c r="C379" s="858"/>
      <c r="G379" s="1421" t="s">
        <v>3199</v>
      </c>
      <c r="H379" s="1421" t="s">
        <v>3199</v>
      </c>
      <c r="I379" s="89" t="s">
        <v>5480</v>
      </c>
      <c r="J379" s="873"/>
      <c r="K379" s="873"/>
      <c r="L379" s="1470" t="s">
        <v>5481</v>
      </c>
    </row>
    <row r="380" spans="2:45" x14ac:dyDescent="0.2">
      <c r="B380" s="92" t="s">
        <v>5482</v>
      </c>
      <c r="C380" s="858"/>
      <c r="G380" s="1421" t="s">
        <v>3199</v>
      </c>
      <c r="H380" s="1421" t="s">
        <v>3199</v>
      </c>
      <c r="I380" s="89" t="s">
        <v>5482</v>
      </c>
      <c r="J380" s="873"/>
      <c r="K380" s="873"/>
      <c r="L380" s="1807" t="s">
        <v>5483</v>
      </c>
      <c r="M380" s="1714" t="str">
        <f ca="1">IF(R380,"Mandatory","N/A")</f>
        <v>N/A</v>
      </c>
      <c r="P380" s="1421" t="b">
        <v>0</v>
      </c>
      <c r="Q380" s="1421" t="b">
        <v>1</v>
      </c>
      <c r="R380" s="1421" t="b">
        <f ca="1">S380</f>
        <v>0</v>
      </c>
      <c r="S380" s="1421" t="b">
        <f ca="1">S14=1</f>
        <v>0</v>
      </c>
      <c r="T380" s="1421" t="b">
        <f ca="1">AND(NOT(S380),LEN(W380)&gt;0)</f>
        <v>0</v>
      </c>
      <c r="U380" s="1421" t="str">
        <f t="shared" ref="U380" si="44">SUBSTITUTE(SUBSTITUTE(SUBSTITUTE("dd"&amp;$B380&amp;$C380&amp;$D380&amp;$E380&amp;$F380,".","_"),"(","_"),")","")</f>
        <v>dd13_106_4_1</v>
      </c>
      <c r="W380" s="12"/>
      <c r="X380" s="1600"/>
      <c r="AC380" s="1421" t="b">
        <f ca="1">OR(AD380:AE380)</f>
        <v>0</v>
      </c>
      <c r="AD380" s="1421" t="b">
        <v>0</v>
      </c>
      <c r="AE380" s="1421" t="b">
        <f ca="1">AND(R380,OR(W380="Not Met",W380=""))</f>
        <v>0</v>
      </c>
      <c r="AP380" s="1421" t="str">
        <f>SUBSTITUTE(SUBSTITUTE(SUBSTITUTE("vcc"&amp;$B380&amp;$C380&amp;$D380&amp;$E380,".","_"),"(","_"),")","")</f>
        <v>vcc13_106_4_1</v>
      </c>
      <c r="AQ380" s="1421" t="str">
        <f>IF(LEN(W380)=0,"",W380)</f>
        <v/>
      </c>
      <c r="AR380" s="1421" t="str">
        <f>SUBSTITUTE(SUBSTITUTE(SUBSTITUTE("vcn"&amp;$B380&amp;$C380&amp;$D380&amp;$E380,".","_"),"(","_"),")","")</f>
        <v>vcn13_106_4_1</v>
      </c>
      <c r="AS380" s="1421" t="str">
        <f>IF(LEN(X380)=0,"",X380)</f>
        <v/>
      </c>
    </row>
    <row r="381" spans="2:45" x14ac:dyDescent="0.2">
      <c r="B381" s="92" t="s">
        <v>5482</v>
      </c>
      <c r="C381" s="858"/>
      <c r="G381" s="1421" t="s">
        <v>3199</v>
      </c>
      <c r="H381" s="1421" t="s">
        <v>3199</v>
      </c>
      <c r="I381" s="89"/>
      <c r="J381" s="873"/>
      <c r="K381" s="873"/>
      <c r="L381" s="1807"/>
      <c r="M381" s="1714"/>
      <c r="X381" s="1600"/>
    </row>
    <row r="382" spans="2:45" x14ac:dyDescent="0.2">
      <c r="B382" s="92" t="s">
        <v>5482</v>
      </c>
      <c r="C382" s="858"/>
      <c r="G382" s="1421" t="s">
        <v>3199</v>
      </c>
      <c r="H382" s="1421" t="s">
        <v>3199</v>
      </c>
      <c r="I382" s="89"/>
      <c r="J382" s="873"/>
      <c r="K382" s="873"/>
      <c r="L382" s="1807"/>
      <c r="M382" s="1714"/>
      <c r="X382" s="1600"/>
    </row>
    <row r="383" spans="2:45" x14ac:dyDescent="0.2">
      <c r="B383" s="92" t="s">
        <v>5482</v>
      </c>
      <c r="C383" s="858"/>
      <c r="G383" s="1421" t="s">
        <v>3199</v>
      </c>
      <c r="H383" s="1421" t="s">
        <v>3199</v>
      </c>
      <c r="I383" s="169"/>
      <c r="J383" s="1072"/>
      <c r="K383" s="1072"/>
      <c r="L383" s="1688"/>
      <c r="M383" s="1698"/>
      <c r="N383" s="173"/>
      <c r="O383" s="173"/>
      <c r="X383" s="1600"/>
    </row>
    <row r="384" spans="2:45" x14ac:dyDescent="0.2">
      <c r="B384" s="92" t="s">
        <v>5484</v>
      </c>
      <c r="C384" s="858"/>
      <c r="G384" s="1421" t="s">
        <v>3199</v>
      </c>
      <c r="H384" s="1421" t="s">
        <v>3199</v>
      </c>
      <c r="I384" s="89" t="s">
        <v>5484</v>
      </c>
      <c r="J384" s="873"/>
      <c r="K384" s="873"/>
      <c r="L384" s="1807" t="s">
        <v>5485</v>
      </c>
      <c r="M384" s="1714" t="str">
        <f ca="1">IF(R384,"Mandatory","N/A")</f>
        <v>N/A</v>
      </c>
      <c r="P384" s="1421" t="b">
        <v>0</v>
      </c>
      <c r="Q384" s="1421" t="b">
        <v>1</v>
      </c>
      <c r="R384" s="1421" t="b">
        <f ca="1">S384</f>
        <v>0</v>
      </c>
      <c r="S384" s="1421" t="b">
        <f ca="1">S14=1</f>
        <v>0</v>
      </c>
      <c r="T384" s="1421" t="b">
        <f ca="1">AND(NOT(S384),LEN(W384)&gt;0)</f>
        <v>0</v>
      </c>
      <c r="U384" s="1421" t="str">
        <f t="shared" ref="U384" si="45">SUBSTITUTE(SUBSTITUTE(SUBSTITUTE("dd"&amp;$B384&amp;$C384&amp;$D384&amp;$E384&amp;$F384,".","_"),"(","_"),")","")</f>
        <v>dd13_106_4_2</v>
      </c>
      <c r="W384" s="12"/>
      <c r="X384" s="1600"/>
      <c r="AC384" s="1421" t="b">
        <f ca="1">OR(AD384:AE384)</f>
        <v>0</v>
      </c>
      <c r="AD384" s="1421" t="b">
        <v>0</v>
      </c>
      <c r="AE384" s="1421" t="b">
        <f ca="1">AND(R384,OR(W384="Not Met",W384=""))</f>
        <v>0</v>
      </c>
      <c r="AP384" s="1421" t="str">
        <f>SUBSTITUTE(SUBSTITUTE(SUBSTITUTE("vcc"&amp;$B384&amp;$C384&amp;$D384&amp;$E384,".","_"),"(","_"),")","")</f>
        <v>vcc13_106_4_2</v>
      </c>
      <c r="AQ384" s="1421" t="str">
        <f>IF(LEN(W384)=0,"",W384)</f>
        <v/>
      </c>
      <c r="AR384" s="1421" t="str">
        <f>SUBSTITUTE(SUBSTITUTE(SUBSTITUTE("vcn"&amp;$B384&amp;$C384&amp;$D384&amp;$E384,".","_"),"(","_"),")","")</f>
        <v>vcn13_106_4_2</v>
      </c>
      <c r="AS384" s="1421" t="str">
        <f>IF(LEN(X384)=0,"",X384)</f>
        <v/>
      </c>
    </row>
    <row r="385" spans="2:45" x14ac:dyDescent="0.2">
      <c r="B385" s="92" t="s">
        <v>5484</v>
      </c>
      <c r="C385" s="858"/>
      <c r="G385" s="1421" t="s">
        <v>3199</v>
      </c>
      <c r="H385" s="1421" t="s">
        <v>3199</v>
      </c>
      <c r="I385" s="89"/>
      <c r="J385" s="873"/>
      <c r="K385" s="873"/>
      <c r="L385" s="1807"/>
      <c r="M385" s="1714"/>
      <c r="X385" s="1600"/>
    </row>
    <row r="386" spans="2:45" x14ac:dyDescent="0.2">
      <c r="B386" s="92" t="s">
        <v>5484</v>
      </c>
      <c r="C386" s="858" t="s">
        <v>254</v>
      </c>
      <c r="G386" s="1421" t="s">
        <v>3199</v>
      </c>
      <c r="H386" s="1421" t="s">
        <v>3199</v>
      </c>
      <c r="I386" s="89"/>
      <c r="J386" s="1072" t="s">
        <v>254</v>
      </c>
      <c r="K386" s="1072"/>
      <c r="L386" s="1438" t="s">
        <v>5486</v>
      </c>
    </row>
    <row r="387" spans="2:45" x14ac:dyDescent="0.2">
      <c r="B387" s="92" t="s">
        <v>5484</v>
      </c>
      <c r="C387" s="858" t="s">
        <v>255</v>
      </c>
      <c r="G387" s="1421" t="s">
        <v>3199</v>
      </c>
      <c r="H387" s="1421" t="s">
        <v>3199</v>
      </c>
      <c r="I387" s="89"/>
      <c r="J387" s="1073" t="s">
        <v>255</v>
      </c>
      <c r="K387" s="1073"/>
      <c r="L387" s="1633" t="s">
        <v>5487</v>
      </c>
    </row>
    <row r="388" spans="2:45" x14ac:dyDescent="0.2">
      <c r="B388" s="92" t="s">
        <v>5484</v>
      </c>
      <c r="C388" s="858" t="s">
        <v>255</v>
      </c>
      <c r="G388" s="1421" t="s">
        <v>3199</v>
      </c>
      <c r="H388" s="1421" t="s">
        <v>3199</v>
      </c>
      <c r="I388" s="89"/>
      <c r="J388" s="873"/>
      <c r="K388" s="873"/>
      <c r="L388" s="1808"/>
    </row>
    <row r="389" spans="2:45" x14ac:dyDescent="0.2">
      <c r="B389" s="92" t="s">
        <v>5484</v>
      </c>
      <c r="C389" s="858" t="s">
        <v>255</v>
      </c>
      <c r="G389" s="1421" t="s">
        <v>3199</v>
      </c>
      <c r="H389" s="1421" t="s">
        <v>3199</v>
      </c>
      <c r="I389" s="89"/>
      <c r="J389" s="1072"/>
      <c r="K389" s="1072"/>
      <c r="L389" s="1639"/>
    </row>
    <row r="390" spans="2:45" x14ac:dyDescent="0.2">
      <c r="B390" s="92" t="s">
        <v>5484</v>
      </c>
      <c r="C390" s="858" t="s">
        <v>256</v>
      </c>
      <c r="G390" s="1421" t="s">
        <v>3199</v>
      </c>
      <c r="H390" s="1421" t="s">
        <v>3199</v>
      </c>
      <c r="I390" s="169"/>
      <c r="J390" s="1072" t="s">
        <v>256</v>
      </c>
      <c r="K390" s="1072"/>
      <c r="L390" s="1438" t="s">
        <v>5488</v>
      </c>
      <c r="M390" s="173"/>
      <c r="N390" s="173"/>
      <c r="O390" s="173"/>
    </row>
    <row r="391" spans="2:45" x14ac:dyDescent="0.2">
      <c r="B391" s="92" t="s">
        <v>5489</v>
      </c>
      <c r="C391" s="858"/>
      <c r="G391" s="1421" t="s">
        <v>3199</v>
      </c>
      <c r="H391" s="1421" t="s">
        <v>3199</v>
      </c>
      <c r="I391" s="860" t="s">
        <v>5489</v>
      </c>
      <c r="J391" s="1073"/>
      <c r="K391" s="1073"/>
      <c r="L391" s="1686" t="s">
        <v>5490</v>
      </c>
      <c r="M391" s="1732" t="str">
        <f ca="1">IF(R391,"Mandatory","N/A")</f>
        <v>N/A</v>
      </c>
      <c r="N391" s="195"/>
      <c r="O391" s="195"/>
      <c r="P391" s="1421" t="b">
        <v>0</v>
      </c>
      <c r="Q391" s="1421" t="b">
        <v>1</v>
      </c>
      <c r="R391" s="1421" t="b">
        <f ca="1">S391</f>
        <v>0</v>
      </c>
      <c r="S391" s="1421" t="b">
        <f ca="1">S14=1</f>
        <v>0</v>
      </c>
      <c r="T391" s="1421" t="b">
        <f ca="1">AND(NOT(S391),LEN(W391)&gt;0)</f>
        <v>0</v>
      </c>
      <c r="U391" s="1421" t="str">
        <f t="shared" ref="U391" si="46">SUBSTITUTE(SUBSTITUTE(SUBSTITUTE("dd"&amp;$B391&amp;$C391&amp;$D391&amp;$E391&amp;$F391,".","_"),"(","_"),")","")</f>
        <v>dd13_106_4_3</v>
      </c>
      <c r="W391" s="12"/>
      <c r="X391" s="1600"/>
      <c r="AC391" s="1421" t="b">
        <f ca="1">OR(AD391:AE391)</f>
        <v>0</v>
      </c>
      <c r="AD391" s="1421" t="b">
        <v>0</v>
      </c>
      <c r="AE391" s="1421" t="b">
        <f ca="1">AND(R391,OR(W391="Not Met",W391=""))</f>
        <v>0</v>
      </c>
      <c r="AP391" s="1421" t="str">
        <f>SUBSTITUTE(SUBSTITUTE(SUBSTITUTE("vcc"&amp;$B391&amp;$C391&amp;$D391&amp;$E391,".","_"),"(","_"),")","")</f>
        <v>vcc13_106_4_3</v>
      </c>
      <c r="AQ391" s="1421" t="str">
        <f>IF(LEN(W391)=0,"",W391)</f>
        <v/>
      </c>
      <c r="AR391" s="1421" t="str">
        <f>SUBSTITUTE(SUBSTITUTE(SUBSTITUTE("vcn"&amp;$B391&amp;$C391&amp;$D391&amp;$E391,".","_"),"(","_"),")","")</f>
        <v>vcn13_106_4_3</v>
      </c>
      <c r="AS391" s="1421" t="str">
        <f>IF(LEN(X391)=0,"",X391)</f>
        <v/>
      </c>
    </row>
    <row r="392" spans="2:45" x14ac:dyDescent="0.2">
      <c r="B392" s="92" t="s">
        <v>5489</v>
      </c>
      <c r="C392" s="858"/>
      <c r="G392" s="1421" t="s">
        <v>3199</v>
      </c>
      <c r="H392" s="1421" t="s">
        <v>3199</v>
      </c>
      <c r="I392" s="89"/>
      <c r="J392" s="873"/>
      <c r="K392" s="873"/>
      <c r="L392" s="1807"/>
      <c r="M392" s="1714"/>
      <c r="X392" s="1600"/>
    </row>
    <row r="393" spans="2:45" x14ac:dyDescent="0.2">
      <c r="B393" s="92" t="s">
        <v>5489</v>
      </c>
      <c r="C393" s="858"/>
      <c r="G393" s="1421" t="s">
        <v>3199</v>
      </c>
      <c r="H393" s="1421" t="s">
        <v>3199</v>
      </c>
      <c r="I393" s="169"/>
      <c r="J393" s="1072"/>
      <c r="K393" s="1072"/>
      <c r="L393" s="1688"/>
      <c r="M393" s="1698"/>
      <c r="N393" s="173"/>
      <c r="O393" s="173"/>
      <c r="X393" s="1600"/>
    </row>
    <row r="394" spans="2:45" x14ac:dyDescent="0.2">
      <c r="B394" s="92" t="s">
        <v>5491</v>
      </c>
      <c r="C394" s="858"/>
      <c r="G394" s="1421" t="s">
        <v>3199</v>
      </c>
      <c r="H394" s="1421" t="s">
        <v>3199</v>
      </c>
      <c r="I394" s="89" t="s">
        <v>5491</v>
      </c>
      <c r="J394" s="873"/>
      <c r="K394" s="873"/>
      <c r="L394" s="1807" t="s">
        <v>5492</v>
      </c>
      <c r="M394" s="1714" t="str">
        <f ca="1">IF(R394,"Mandatory","N/A")</f>
        <v>N/A</v>
      </c>
      <c r="P394" s="1421" t="b">
        <v>0</v>
      </c>
      <c r="Q394" s="1421" t="b">
        <v>1</v>
      </c>
      <c r="R394" s="1421" t="b">
        <f ca="1">S394</f>
        <v>0</v>
      </c>
      <c r="S394" s="1421" t="b">
        <f ca="1">S14=1</f>
        <v>0</v>
      </c>
      <c r="T394" s="1421" t="b">
        <f ca="1">AND(NOT(S394),LEN(W394)&gt;0)</f>
        <v>0</v>
      </c>
      <c r="U394" s="1421" t="str">
        <f t="shared" ref="U394" si="47">SUBSTITUTE(SUBSTITUTE(SUBSTITUTE("dd"&amp;$B394&amp;$C394&amp;$D394&amp;$E394&amp;$F394,".","_"),"(","_"),")","")</f>
        <v>dd13_106_4_4</v>
      </c>
      <c r="W394" s="12"/>
      <c r="X394" s="1600"/>
      <c r="AC394" s="1421" t="b">
        <f ca="1">OR(AD394:AE394)</f>
        <v>0</v>
      </c>
      <c r="AD394" s="1421" t="b">
        <v>0</v>
      </c>
      <c r="AE394" s="1421" t="b">
        <f ca="1">AND(R394,OR(W394="Not Met",W394=""))</f>
        <v>0</v>
      </c>
      <c r="AP394" s="1421" t="str">
        <f>SUBSTITUTE(SUBSTITUTE(SUBSTITUTE("vcc"&amp;$B394&amp;$C394&amp;$D394&amp;$E394,".","_"),"(","_"),")","")</f>
        <v>vcc13_106_4_4</v>
      </c>
      <c r="AQ394" s="1421" t="str">
        <f>IF(LEN(W394)=0,"",W394)</f>
        <v/>
      </c>
      <c r="AR394" s="1421" t="str">
        <f>SUBSTITUTE(SUBSTITUTE(SUBSTITUTE("vcn"&amp;$B394&amp;$C394&amp;$D394&amp;$E394,".","_"),"(","_"),")","")</f>
        <v>vcn13_106_4_4</v>
      </c>
      <c r="AS394" s="1421" t="str">
        <f>IF(LEN(X394)=0,"",X394)</f>
        <v/>
      </c>
    </row>
    <row r="395" spans="2:45" ht="16" thickBot="1" x14ac:dyDescent="0.25">
      <c r="B395" s="92" t="s">
        <v>5491</v>
      </c>
      <c r="C395" s="858"/>
      <c r="G395" s="1421" t="s">
        <v>3199</v>
      </c>
      <c r="H395" s="1421" t="s">
        <v>3199</v>
      </c>
      <c r="I395" s="98"/>
      <c r="J395" s="1069"/>
      <c r="K395" s="1069"/>
      <c r="L395" s="1738"/>
      <c r="M395" s="1726"/>
      <c r="N395" s="100"/>
      <c r="O395" s="100"/>
      <c r="P395" s="100"/>
      <c r="Q395" s="100"/>
      <c r="R395" s="100"/>
      <c r="S395" s="100"/>
      <c r="T395" s="100"/>
      <c r="U395" s="100"/>
      <c r="V395" s="100"/>
      <c r="W395" s="100"/>
      <c r="X395" s="1602"/>
    </row>
    <row r="396" spans="2:45" ht="16" thickTop="1" x14ac:dyDescent="0.2">
      <c r="B396" s="92" t="s">
        <v>5493</v>
      </c>
      <c r="C396" s="858"/>
      <c r="G396" s="1421" t="s">
        <v>3199</v>
      </c>
      <c r="H396" s="1421" t="s">
        <v>3197</v>
      </c>
      <c r="I396" s="115" t="s">
        <v>5493</v>
      </c>
      <c r="J396" s="1070"/>
      <c r="K396" s="1070"/>
      <c r="L396" s="1740" t="s">
        <v>5494</v>
      </c>
      <c r="N396" s="106"/>
      <c r="O396" s="106"/>
    </row>
    <row r="397" spans="2:45" x14ac:dyDescent="0.2">
      <c r="B397" s="92" t="s">
        <v>5493</v>
      </c>
      <c r="C397" s="858"/>
      <c r="G397" s="1421" t="s">
        <v>3199</v>
      </c>
      <c r="H397" s="1421" t="s">
        <v>3197</v>
      </c>
      <c r="I397" s="169"/>
      <c r="J397" s="1072"/>
      <c r="K397" s="1072"/>
      <c r="L397" s="1688"/>
    </row>
    <row r="398" spans="2:45" x14ac:dyDescent="0.2">
      <c r="B398" s="92" t="s">
        <v>5495</v>
      </c>
      <c r="C398" s="858"/>
      <c r="G398" s="1421" t="s">
        <v>3199</v>
      </c>
      <c r="H398" s="1421" t="s">
        <v>3199</v>
      </c>
      <c r="I398" s="860" t="s">
        <v>5495</v>
      </c>
      <c r="J398" s="1073"/>
      <c r="K398" s="1073"/>
      <c r="L398" s="1686" t="s">
        <v>5496</v>
      </c>
      <c r="M398" s="1732" t="str">
        <f ca="1">IF(R398,"Mandatory","N/A")</f>
        <v>N/A</v>
      </c>
      <c r="P398" s="1421" t="b">
        <v>0</v>
      </c>
      <c r="Q398" s="1421" t="b">
        <v>1</v>
      </c>
      <c r="R398" s="1421" t="b">
        <f ca="1">S398</f>
        <v>0</v>
      </c>
      <c r="S398" s="1421" t="b">
        <f ca="1">S14=1</f>
        <v>0</v>
      </c>
      <c r="T398" s="1421" t="b">
        <f ca="1">AND(NOT(S398),LEN(W398)&gt;0)</f>
        <v>0</v>
      </c>
      <c r="U398" s="1421" t="str">
        <f t="shared" ref="U398" si="48">SUBSTITUTE(SUBSTITUTE(SUBSTITUTE("dd"&amp;$B398&amp;$C398&amp;$D398&amp;$E398&amp;$F398,".","_"),"(","_"),")","")</f>
        <v>dd13_106_5_1</v>
      </c>
      <c r="W398" s="12"/>
      <c r="X398" s="1600"/>
      <c r="AC398" s="1421" t="b">
        <f ca="1">OR(AD398:AE398)</f>
        <v>0</v>
      </c>
      <c r="AD398" s="1421" t="b">
        <v>0</v>
      </c>
      <c r="AE398" s="1421" t="b">
        <f ca="1">AND(R398,OR(W398="Not Met",W398=""))</f>
        <v>0</v>
      </c>
      <c r="AP398" s="1421" t="str">
        <f>SUBSTITUTE(SUBSTITUTE(SUBSTITUTE("vcc"&amp;$B398&amp;$C398&amp;$D398&amp;$E398,".","_"),"(","_"),")","")</f>
        <v>vcc13_106_5_1</v>
      </c>
      <c r="AQ398" s="1421" t="str">
        <f>IF(LEN(W398)=0,"",W398)</f>
        <v/>
      </c>
      <c r="AR398" s="1421" t="str">
        <f>SUBSTITUTE(SUBSTITUTE(SUBSTITUTE("vcn"&amp;$B398&amp;$C398&amp;$D398&amp;$E398,".","_"),"(","_"),")","")</f>
        <v>vcn13_106_5_1</v>
      </c>
      <c r="AS398" s="1421" t="str">
        <f>IF(LEN(X398)=0,"",X398)</f>
        <v/>
      </c>
    </row>
    <row r="399" spans="2:45" x14ac:dyDescent="0.2">
      <c r="B399" s="92" t="s">
        <v>5495</v>
      </c>
      <c r="C399" s="858"/>
      <c r="G399" s="1421" t="s">
        <v>3199</v>
      </c>
      <c r="H399" s="1421" t="s">
        <v>3199</v>
      </c>
      <c r="I399" s="89"/>
      <c r="J399" s="873"/>
      <c r="K399" s="873"/>
      <c r="L399" s="1807"/>
      <c r="M399" s="1714"/>
      <c r="X399" s="1600"/>
    </row>
    <row r="400" spans="2:45" x14ac:dyDescent="0.2">
      <c r="B400" s="92" t="s">
        <v>5495</v>
      </c>
      <c r="C400" s="858"/>
      <c r="G400" s="1421" t="s">
        <v>3199</v>
      </c>
      <c r="H400" s="1421" t="s">
        <v>3199</v>
      </c>
      <c r="I400" s="89"/>
      <c r="J400" s="873"/>
      <c r="K400" s="873"/>
      <c r="L400" s="1807"/>
      <c r="M400" s="1714"/>
      <c r="X400" s="1600"/>
    </row>
    <row r="401" spans="2:45" x14ac:dyDescent="0.2">
      <c r="B401" s="92" t="s">
        <v>5495</v>
      </c>
      <c r="C401" s="858"/>
      <c r="G401" s="1421" t="s">
        <v>3199</v>
      </c>
      <c r="H401" s="1421" t="s">
        <v>3199</v>
      </c>
      <c r="I401" s="169"/>
      <c r="J401" s="1072"/>
      <c r="K401" s="1072"/>
      <c r="L401" s="1688"/>
      <c r="M401" s="1698"/>
      <c r="N401" s="173"/>
      <c r="O401" s="173"/>
      <c r="X401" s="1600"/>
    </row>
    <row r="402" spans="2:45" x14ac:dyDescent="0.2">
      <c r="B402" s="92" t="s">
        <v>5497</v>
      </c>
      <c r="C402" s="858"/>
      <c r="G402" s="1421" t="s">
        <v>3199</v>
      </c>
      <c r="H402" s="1421" t="s">
        <v>3199</v>
      </c>
      <c r="I402" s="860" t="s">
        <v>5497</v>
      </c>
      <c r="J402" s="1073"/>
      <c r="K402" s="1073"/>
      <c r="L402" s="1686" t="s">
        <v>5498</v>
      </c>
      <c r="M402" s="1732" t="str">
        <f ca="1">IF(R402,"Mandatory","N/A")</f>
        <v>N/A</v>
      </c>
      <c r="N402" s="195"/>
      <c r="O402" s="195"/>
      <c r="P402" s="1421" t="b">
        <v>0</v>
      </c>
      <c r="Q402" s="1421" t="b">
        <v>1</v>
      </c>
      <c r="R402" s="1421" t="b">
        <f ca="1">S402</f>
        <v>0</v>
      </c>
      <c r="S402" s="1421" t="b">
        <f ca="1">S14=1</f>
        <v>0</v>
      </c>
      <c r="T402" s="1421" t="b">
        <f ca="1">AND(NOT(S402),LEN(W402)&gt;0)</f>
        <v>0</v>
      </c>
      <c r="U402" s="1421" t="str">
        <f t="shared" ref="U402" si="49">SUBSTITUTE(SUBSTITUTE(SUBSTITUTE("dd"&amp;$B402&amp;$C402&amp;$D402&amp;$E402&amp;$F402,".","_"),"(","_"),")","")</f>
        <v>dd13_106_5_2</v>
      </c>
      <c r="W402" s="12"/>
      <c r="X402" s="1600"/>
      <c r="AC402" s="1421" t="b">
        <f ca="1">OR(AD402:AE402)</f>
        <v>0</v>
      </c>
      <c r="AD402" s="1421" t="b">
        <v>0</v>
      </c>
      <c r="AE402" s="1421" t="b">
        <f ca="1">AND(R402,OR(W402="Not Met",W402=""))</f>
        <v>0</v>
      </c>
      <c r="AP402" s="1421" t="str">
        <f>SUBSTITUTE(SUBSTITUTE(SUBSTITUTE("vcc"&amp;$B402&amp;$C402&amp;$D402&amp;$E402,".","_"),"(","_"),")","")</f>
        <v>vcc13_106_5_2</v>
      </c>
      <c r="AQ402" s="1421" t="str">
        <f>IF(LEN(W402)=0,"",W402)</f>
        <v/>
      </c>
      <c r="AR402" s="1421" t="str">
        <f>SUBSTITUTE(SUBSTITUTE(SUBSTITUTE("vcn"&amp;$B402&amp;$C402&amp;$D402&amp;$E402,".","_"),"(","_"),")","")</f>
        <v>vcn13_106_5_2</v>
      </c>
      <c r="AS402" s="1421" t="str">
        <f>IF(LEN(X402)=0,"",X402)</f>
        <v/>
      </c>
    </row>
    <row r="403" spans="2:45" x14ac:dyDescent="0.2">
      <c r="B403" s="92" t="s">
        <v>5497</v>
      </c>
      <c r="C403" s="858"/>
      <c r="G403" s="1421" t="s">
        <v>3199</v>
      </c>
      <c r="H403" s="1421" t="s">
        <v>3199</v>
      </c>
      <c r="I403" s="89"/>
      <c r="J403" s="873"/>
      <c r="K403" s="873"/>
      <c r="L403" s="1807"/>
      <c r="M403" s="1714"/>
      <c r="X403" s="1600"/>
    </row>
    <row r="404" spans="2:45" x14ac:dyDescent="0.2">
      <c r="B404" s="92" t="s">
        <v>5497</v>
      </c>
      <c r="C404" s="858"/>
      <c r="G404" s="1421" t="s">
        <v>3199</v>
      </c>
      <c r="H404" s="1421" t="s">
        <v>3199</v>
      </c>
      <c r="I404" s="169"/>
      <c r="J404" s="1072"/>
      <c r="K404" s="1072"/>
      <c r="L404" s="1688"/>
      <c r="M404" s="1698"/>
      <c r="N404" s="173"/>
      <c r="O404" s="173"/>
      <c r="X404" s="1600"/>
    </row>
    <row r="405" spans="2:45" x14ac:dyDescent="0.2">
      <c r="B405" s="92" t="s">
        <v>5499</v>
      </c>
      <c r="C405" s="858"/>
      <c r="G405" s="1421" t="s">
        <v>3199</v>
      </c>
      <c r="H405" s="1421" t="s">
        <v>3197</v>
      </c>
      <c r="I405" s="89" t="s">
        <v>5499</v>
      </c>
      <c r="J405" s="873"/>
      <c r="K405" s="873"/>
      <c r="L405" s="1807" t="s">
        <v>5500</v>
      </c>
      <c r="M405" s="1714" t="str">
        <f ca="1">IF(R405,"Mandatory","N/A")</f>
        <v>N/A</v>
      </c>
      <c r="P405" s="1421" t="b">
        <v>1</v>
      </c>
      <c r="Q405" s="1421" t="b">
        <v>1</v>
      </c>
      <c r="R405" s="1421" t="b">
        <f ca="1">S405</f>
        <v>0</v>
      </c>
      <c r="S405" s="1421" t="b">
        <f ca="1">S14=1</f>
        <v>0</v>
      </c>
      <c r="T405" s="1421" t="b">
        <f ca="1">AND(NOT(S405),LEN(W405)&gt;0)</f>
        <v>0</v>
      </c>
      <c r="U405" s="1421" t="str">
        <f t="shared" ref="U405" si="50">SUBSTITUTE(SUBSTITUTE(SUBSTITUTE("dd"&amp;$B405&amp;$C405&amp;$D405&amp;$E405&amp;$F405,".","_"),"(","_"),")","")</f>
        <v>dd13_106_5_3</v>
      </c>
      <c r="W405" s="12"/>
      <c r="X405" s="1600"/>
      <c r="AC405" s="1421" t="b">
        <f ca="1">OR(AD405:AE405)</f>
        <v>0</v>
      </c>
      <c r="AD405" s="1421" t="b">
        <v>0</v>
      </c>
      <c r="AE405" s="1421" t="b">
        <f ca="1">AND(R405,OR(W405="Not Met",W405=""))</f>
        <v>0</v>
      </c>
      <c r="AP405" s="1421" t="str">
        <f>SUBSTITUTE(SUBSTITUTE(SUBSTITUTE("vcc"&amp;$B405&amp;$C405&amp;$D405&amp;$E405,".","_"),"(","_"),")","")</f>
        <v>vcc13_106_5_3</v>
      </c>
      <c r="AQ405" s="1421" t="str">
        <f>IF(LEN(W405)=0,"",W405)</f>
        <v/>
      </c>
      <c r="AR405" s="1421" t="str">
        <f>SUBSTITUTE(SUBSTITUTE(SUBSTITUTE("vcn"&amp;$B405&amp;$C405&amp;$D405&amp;$E405,".","_"),"(","_"),")","")</f>
        <v>vcn13_106_5_3</v>
      </c>
      <c r="AS405" s="1421" t="str">
        <f>IF(LEN(X405)=0,"",X405)</f>
        <v/>
      </c>
    </row>
    <row r="406" spans="2:45" x14ac:dyDescent="0.2">
      <c r="B406" s="92" t="s">
        <v>5499</v>
      </c>
      <c r="C406" s="858"/>
      <c r="G406" s="1421" t="s">
        <v>3199</v>
      </c>
      <c r="H406" s="1421" t="s">
        <v>3197</v>
      </c>
      <c r="I406" s="89"/>
      <c r="J406" s="873"/>
      <c r="K406" s="873"/>
      <c r="L406" s="1807"/>
      <c r="M406" s="1714"/>
      <c r="X406" s="1600"/>
    </row>
    <row r="407" spans="2:45" ht="16" thickBot="1" x14ac:dyDescent="0.25">
      <c r="B407" s="92" t="s">
        <v>5499</v>
      </c>
      <c r="C407" s="858"/>
      <c r="G407" s="1421" t="s">
        <v>3199</v>
      </c>
      <c r="H407" s="1421" t="s">
        <v>3197</v>
      </c>
      <c r="I407" s="98"/>
      <c r="J407" s="1069"/>
      <c r="K407" s="1069"/>
      <c r="L407" s="1738"/>
      <c r="M407" s="1726"/>
      <c r="N407" s="100"/>
      <c r="O407" s="100"/>
      <c r="P407" s="100"/>
      <c r="Q407" s="100"/>
      <c r="R407" s="100"/>
      <c r="S407" s="100"/>
      <c r="T407" s="100"/>
      <c r="U407" s="100"/>
      <c r="V407" s="100"/>
      <c r="W407" s="100"/>
      <c r="X407" s="1602"/>
    </row>
    <row r="408" spans="2:45" ht="16" thickTop="1" x14ac:dyDescent="0.2">
      <c r="B408" s="92" t="s">
        <v>5501</v>
      </c>
      <c r="C408" s="858"/>
      <c r="G408" s="1421" t="s">
        <v>3199</v>
      </c>
      <c r="H408" s="1421" t="s">
        <v>3197</v>
      </c>
      <c r="I408" s="115" t="s">
        <v>5501</v>
      </c>
      <c r="J408" s="1070"/>
      <c r="K408" s="1070"/>
      <c r="L408" s="1740" t="s">
        <v>5502</v>
      </c>
      <c r="M408" s="1701" t="str">
        <f ca="1">IF(R408,"Mandatory","N/A")</f>
        <v>N/A</v>
      </c>
      <c r="N408" s="106"/>
      <c r="O408" s="106"/>
      <c r="P408" s="106" t="b">
        <v>1</v>
      </c>
      <c r="Q408" s="106" t="b">
        <v>1</v>
      </c>
      <c r="R408" s="106" t="b">
        <f ca="1">S408</f>
        <v>0</v>
      </c>
      <c r="S408" s="106" t="b">
        <f ca="1">S14=1</f>
        <v>0</v>
      </c>
      <c r="T408" s="106" t="b">
        <f ca="1">AND(NOT(S408),W408=TRUE)</f>
        <v>0</v>
      </c>
      <c r="U408" s="1421" t="str">
        <f t="shared" ref="U408" si="51">SUBSTITUTE(SUBSTITUTE(SUBSTITUTE("dd"&amp;$B408&amp;$C408&amp;$D408&amp;$E408&amp;$F408,".","_"),"(","_"),")","")</f>
        <v>dd13_106_6</v>
      </c>
      <c r="V408" s="106"/>
      <c r="W408" s="12"/>
      <c r="X408" s="1603"/>
      <c r="AC408" s="1421" t="b">
        <f ca="1">OR(AD408:AE408)</f>
        <v>0</v>
      </c>
      <c r="AD408" s="1421" t="b">
        <f ca="1">T408</f>
        <v>0</v>
      </c>
      <c r="AE408" s="1421" t="b">
        <f ca="1">AND(R408,OR(W408="Not Met",W408=""))</f>
        <v>0</v>
      </c>
      <c r="AP408" s="1421" t="str">
        <f>SUBSTITUTE(SUBSTITUTE(SUBSTITUTE("vcc"&amp;$B408&amp;$C408&amp;$D408&amp;$E408,".","_"),"(","_"),")","")</f>
        <v>vcc13_106_6</v>
      </c>
      <c r="AQ408" s="1421" t="str">
        <f>IF(LEN(W408)=0,"",W408)</f>
        <v/>
      </c>
      <c r="AR408" s="1421" t="str">
        <f>SUBSTITUTE(SUBSTITUTE(SUBSTITUTE("vcn"&amp;$B408&amp;$C408&amp;$D408&amp;$E408,".","_"),"(","_"),")","")</f>
        <v>vcn13_106_6</v>
      </c>
      <c r="AS408" s="1421" t="str">
        <f>IF(LEN(X408)=0,"",X408)</f>
        <v/>
      </c>
    </row>
    <row r="409" spans="2:45" x14ac:dyDescent="0.2">
      <c r="B409" s="92" t="s">
        <v>5501</v>
      </c>
      <c r="C409" s="858"/>
      <c r="G409" s="1421" t="s">
        <v>3199</v>
      </c>
      <c r="H409" s="1421" t="s">
        <v>3197</v>
      </c>
      <c r="I409" s="89"/>
      <c r="J409" s="873"/>
      <c r="K409" s="873"/>
      <c r="L409" s="1807"/>
      <c r="M409" s="1714"/>
      <c r="X409" s="1600"/>
    </row>
    <row r="410" spans="2:45" ht="16" thickBot="1" x14ac:dyDescent="0.25">
      <c r="B410" s="92" t="s">
        <v>5501</v>
      </c>
      <c r="C410" s="858"/>
      <c r="G410" s="1421" t="s">
        <v>3199</v>
      </c>
      <c r="H410" s="1421" t="s">
        <v>3197</v>
      </c>
      <c r="I410" s="98"/>
      <c r="J410" s="1069"/>
      <c r="K410" s="1069"/>
      <c r="L410" s="1738"/>
      <c r="M410" s="1726"/>
      <c r="N410" s="100"/>
      <c r="O410" s="100"/>
      <c r="P410" s="100"/>
      <c r="Q410" s="100"/>
      <c r="R410" s="100"/>
      <c r="S410" s="100"/>
      <c r="T410" s="100"/>
      <c r="U410" s="100"/>
      <c r="V410" s="100"/>
      <c r="W410" s="100"/>
      <c r="X410" s="1602"/>
    </row>
    <row r="411" spans="2:45" ht="16" thickTop="1" x14ac:dyDescent="0.2">
      <c r="B411" s="92" t="s">
        <v>5503</v>
      </c>
      <c r="C411" s="858"/>
      <c r="G411" s="1421" t="s">
        <v>3199</v>
      </c>
      <c r="H411" s="1421" t="s">
        <v>3199</v>
      </c>
      <c r="I411" s="89" t="s">
        <v>5503</v>
      </c>
      <c r="J411" s="873"/>
      <c r="K411" s="873"/>
      <c r="L411" s="1470" t="s">
        <v>5504</v>
      </c>
    </row>
    <row r="412" spans="2:45" x14ac:dyDescent="0.2">
      <c r="B412" s="92" t="s">
        <v>5505</v>
      </c>
      <c r="C412" s="858"/>
      <c r="G412" s="1421" t="s">
        <v>3199</v>
      </c>
      <c r="H412" s="1421" t="s">
        <v>3199</v>
      </c>
      <c r="I412" s="89" t="s">
        <v>5505</v>
      </c>
      <c r="J412" s="873"/>
      <c r="K412" s="873"/>
      <c r="L412" s="1807" t="s">
        <v>5506</v>
      </c>
      <c r="M412" s="1714" t="str">
        <f ca="1">IF(R412,"Mandatory","N/A")</f>
        <v>N/A</v>
      </c>
      <c r="P412" s="1421" t="b">
        <v>0</v>
      </c>
      <c r="Q412" s="1421" t="b">
        <v>1</v>
      </c>
      <c r="R412" s="1421" t="b">
        <f ca="1">S412</f>
        <v>0</v>
      </c>
      <c r="S412" s="1421" t="b">
        <f ca="1">S14=1</f>
        <v>0</v>
      </c>
      <c r="T412" s="1421" t="b">
        <f ca="1">AND(NOT(S412),W412=TRUE)</f>
        <v>0</v>
      </c>
      <c r="W412" s="27"/>
      <c r="X412" s="1600"/>
      <c r="AC412" s="1421" t="b">
        <f ca="1">OR(AD412:AE412)</f>
        <v>0</v>
      </c>
      <c r="AD412" s="1421" t="b">
        <f ca="1">T412</f>
        <v>0</v>
      </c>
      <c r="AE412" s="1421" t="b">
        <f ca="1">AND(R412,NOT(W412))</f>
        <v>0</v>
      </c>
      <c r="AP412" s="1421" t="str">
        <f>SUBSTITUTE(SUBSTITUTE(SUBSTITUTE("vcc"&amp;$B412&amp;$C412&amp;$D412&amp;$E412,".","_"),"(","_"),")","")</f>
        <v>vcc13_107_1</v>
      </c>
      <c r="AQ412" s="1421" t="str">
        <f>IF(LEN(W412)=0,"",W412)</f>
        <v/>
      </c>
      <c r="AR412" s="1421" t="str">
        <f>SUBSTITUTE(SUBSTITUTE(SUBSTITUTE("vcn"&amp;$B412&amp;$C412&amp;$D412&amp;$E412,".","_"),"(","_"),")","")</f>
        <v>vcn13_107_1</v>
      </c>
      <c r="AS412" s="1421" t="str">
        <f>IF(LEN(X412)=0,"",X412)</f>
        <v/>
      </c>
    </row>
    <row r="413" spans="2:45" x14ac:dyDescent="0.2">
      <c r="B413" s="92" t="s">
        <v>5505</v>
      </c>
      <c r="C413" s="858"/>
      <c r="G413" s="1421" t="s">
        <v>3199</v>
      </c>
      <c r="H413" s="1421" t="s">
        <v>3199</v>
      </c>
      <c r="I413" s="169"/>
      <c r="J413" s="1072"/>
      <c r="K413" s="1072"/>
      <c r="L413" s="1688"/>
      <c r="M413" s="1698"/>
      <c r="N413" s="173"/>
      <c r="O413" s="173"/>
      <c r="X413" s="1600"/>
    </row>
    <row r="414" spans="2:45" x14ac:dyDescent="0.2">
      <c r="B414" s="92" t="s">
        <v>5507</v>
      </c>
      <c r="C414" s="858"/>
      <c r="G414" s="1421" t="s">
        <v>3199</v>
      </c>
      <c r="H414" s="1421" t="s">
        <v>3199</v>
      </c>
      <c r="I414" s="89" t="s">
        <v>5507</v>
      </c>
      <c r="J414" s="873"/>
      <c r="K414" s="873"/>
      <c r="L414" s="1807" t="s">
        <v>5508</v>
      </c>
      <c r="M414" s="1714" t="str">
        <f ca="1">IF(R414,"Mandatory","N/A")</f>
        <v>N/A</v>
      </c>
      <c r="P414" s="1421" t="b">
        <v>0</v>
      </c>
      <c r="Q414" s="1421" t="b">
        <v>1</v>
      </c>
      <c r="R414" s="1421" t="b">
        <f ca="1">S414</f>
        <v>0</v>
      </c>
      <c r="S414" s="1421" t="b">
        <f ca="1">S14=1</f>
        <v>0</v>
      </c>
      <c r="T414" s="1421" t="b">
        <f ca="1">AND(NOT(S414),LEN(W414)&gt;0)</f>
        <v>0</v>
      </c>
      <c r="U414" s="1421" t="str">
        <f t="shared" ref="U414" si="52">SUBSTITUTE(SUBSTITUTE(SUBSTITUTE("dd"&amp;$B414&amp;$C414&amp;$D414&amp;$E414&amp;$F414,".","_"),"(","_"),")","")</f>
        <v>dd13_107_1_1</v>
      </c>
      <c r="W414" s="12"/>
      <c r="X414" s="1600"/>
      <c r="AC414" s="1421" t="b">
        <f ca="1">OR(AD414:AE414)</f>
        <v>0</v>
      </c>
      <c r="AD414" s="1421" t="b">
        <v>0</v>
      </c>
      <c r="AE414" s="1421" t="b">
        <f ca="1">AND(R414,OR(W414="Not Met",W414=""))</f>
        <v>0</v>
      </c>
      <c r="AP414" s="1421" t="str">
        <f>SUBSTITUTE(SUBSTITUTE(SUBSTITUTE("vcc"&amp;$B414&amp;$C414&amp;$D414&amp;$E414,".","_"),"(","_"),")","")</f>
        <v>vcc13_107_1_1</v>
      </c>
      <c r="AQ414" s="1421" t="str">
        <f>IF(LEN(W414)=0,"",W414)</f>
        <v/>
      </c>
      <c r="AR414" s="1421" t="str">
        <f>SUBSTITUTE(SUBSTITUTE(SUBSTITUTE("vcn"&amp;$B414&amp;$C414&amp;$D414&amp;$E414,".","_"),"(","_"),")","")</f>
        <v>vcn13_107_1_1</v>
      </c>
      <c r="AS414" s="1421" t="str">
        <f>IF(LEN(X414)=0,"",X414)</f>
        <v/>
      </c>
    </row>
    <row r="415" spans="2:45" x14ac:dyDescent="0.2">
      <c r="B415" s="92" t="s">
        <v>5507</v>
      </c>
      <c r="C415" s="858"/>
      <c r="G415" s="1421" t="s">
        <v>3199</v>
      </c>
      <c r="H415" s="1421" t="s">
        <v>3199</v>
      </c>
      <c r="I415" s="89"/>
      <c r="J415" s="873"/>
      <c r="K415" s="873"/>
      <c r="L415" s="1807"/>
      <c r="M415" s="1714"/>
      <c r="X415" s="1600"/>
    </row>
    <row r="416" spans="2:45" ht="15" customHeight="1" x14ac:dyDescent="0.2">
      <c r="B416" s="92" t="s">
        <v>5507</v>
      </c>
      <c r="C416" s="858" t="s">
        <v>254</v>
      </c>
      <c r="G416" s="1421" t="s">
        <v>3199</v>
      </c>
      <c r="H416" s="1421" t="s">
        <v>3199</v>
      </c>
      <c r="I416" s="89"/>
      <c r="J416" s="1072" t="s">
        <v>254</v>
      </c>
      <c r="K416" s="1072"/>
      <c r="L416" s="1438" t="s">
        <v>5509</v>
      </c>
    </row>
    <row r="417" spans="2:45" ht="16" thickBot="1" x14ac:dyDescent="0.25">
      <c r="B417" s="92" t="s">
        <v>5507</v>
      </c>
      <c r="C417" s="858" t="s">
        <v>255</v>
      </c>
      <c r="G417" s="1421" t="s">
        <v>3199</v>
      </c>
      <c r="H417" s="1421" t="s">
        <v>3199</v>
      </c>
      <c r="I417" s="98"/>
      <c r="J417" s="1069" t="s">
        <v>255</v>
      </c>
      <c r="K417" s="1069"/>
      <c r="L417" s="1439" t="s">
        <v>5510</v>
      </c>
      <c r="M417" s="100"/>
      <c r="N417" s="100"/>
      <c r="O417" s="100"/>
      <c r="P417" s="100"/>
      <c r="Q417" s="100"/>
      <c r="R417" s="100"/>
      <c r="S417" s="100"/>
      <c r="T417" s="100"/>
      <c r="U417" s="100"/>
      <c r="V417" s="100"/>
      <c r="W417" s="100"/>
      <c r="X417" s="100"/>
    </row>
    <row r="418" spans="2:45" ht="16" thickTop="1" x14ac:dyDescent="0.2">
      <c r="B418" s="92" t="s">
        <v>5511</v>
      </c>
      <c r="C418" s="858"/>
      <c r="G418" s="1421" t="s">
        <v>5303</v>
      </c>
      <c r="H418" s="1421" t="s">
        <v>3198</v>
      </c>
      <c r="I418" s="89" t="s">
        <v>5511</v>
      </c>
      <c r="J418" s="873"/>
      <c r="K418" s="873"/>
      <c r="L418" s="1470" t="s">
        <v>5512</v>
      </c>
    </row>
    <row r="419" spans="2:45" x14ac:dyDescent="0.2">
      <c r="B419" s="92" t="s">
        <v>5511</v>
      </c>
      <c r="C419" s="858" t="s">
        <v>254</v>
      </c>
      <c r="G419" s="1421" t="s">
        <v>5303</v>
      </c>
      <c r="H419" s="1421" t="s">
        <v>3198</v>
      </c>
      <c r="I419" s="89"/>
      <c r="J419" s="1072" t="s">
        <v>254</v>
      </c>
      <c r="K419" s="1072"/>
      <c r="L419" s="1438" t="s">
        <v>5513</v>
      </c>
      <c r="M419" s="1447" t="str">
        <f>IF(R419,"Mandatory","N/A")</f>
        <v>Mandatory</v>
      </c>
      <c r="N419" s="173"/>
      <c r="O419" s="173"/>
      <c r="P419" s="1421" t="b">
        <v>1</v>
      </c>
      <c r="Q419" s="1421" t="b">
        <v>0</v>
      </c>
      <c r="R419" s="1421" t="b">
        <v>1</v>
      </c>
      <c r="S419" s="1421" t="b">
        <v>1</v>
      </c>
      <c r="T419" s="1421" t="b">
        <v>0</v>
      </c>
      <c r="W419" s="27"/>
      <c r="X419" s="1432"/>
      <c r="AC419" s="1421" t="b">
        <f>OR(AD419:AE419)</f>
        <v>1</v>
      </c>
      <c r="AD419" s="1421" t="b">
        <v>0</v>
      </c>
      <c r="AE419" s="1421" t="b">
        <f>AND(R419,NOT(W419))</f>
        <v>1</v>
      </c>
      <c r="AF419" s="1421" t="b">
        <f>AND(AE419,NOT(Q419))</f>
        <v>1</v>
      </c>
      <c r="AP419" s="1421" t="str">
        <f>SUBSTITUTE(SUBSTITUTE(SUBSTITUTE("vcc"&amp;$B419&amp;$C419&amp;$D419&amp;$E419,".","_"),"(","_"),")","")</f>
        <v>vcc13_107_2_1</v>
      </c>
      <c r="AQ419" s="1421" t="str">
        <f>IF(LEN(W419)=0,"",W419)</f>
        <v/>
      </c>
      <c r="AR419" s="1421" t="str">
        <f>SUBSTITUTE(SUBSTITUTE(SUBSTITUTE("vcn"&amp;$B419&amp;$C419&amp;$D419&amp;$E419,".","_"),"(","_"),")","")</f>
        <v>vcn13_107_2_1</v>
      </c>
      <c r="AS419" s="1421" t="str">
        <f>IF(LEN(X419)=0,"",X419)</f>
        <v/>
      </c>
    </row>
    <row r="420" spans="2:45" ht="16" thickBot="1" x14ac:dyDescent="0.25">
      <c r="B420" s="92" t="s">
        <v>5511</v>
      </c>
      <c r="C420" s="858" t="s">
        <v>255</v>
      </c>
      <c r="G420" s="1421" t="s">
        <v>5303</v>
      </c>
      <c r="H420" s="1421" t="s">
        <v>3198</v>
      </c>
      <c r="I420" s="98"/>
      <c r="J420" s="1069" t="s">
        <v>255</v>
      </c>
      <c r="K420" s="1069"/>
      <c r="L420" s="1439" t="s">
        <v>5514</v>
      </c>
      <c r="M420" s="1440" t="str">
        <f>IF(R420,"Mandatory","N/A")</f>
        <v>Mandatory</v>
      </c>
      <c r="N420" s="100"/>
      <c r="O420" s="100"/>
      <c r="P420" s="100" t="b">
        <v>1</v>
      </c>
      <c r="Q420" s="100" t="b">
        <v>0</v>
      </c>
      <c r="R420" s="100" t="b">
        <v>1</v>
      </c>
      <c r="S420" s="100" t="b">
        <v>1</v>
      </c>
      <c r="T420" s="100" t="b">
        <v>0</v>
      </c>
      <c r="U420" s="100"/>
      <c r="V420" s="100"/>
      <c r="W420" s="101"/>
      <c r="X420" s="1423"/>
      <c r="AC420" s="1421" t="b">
        <f>OR(AD420:AE420)</f>
        <v>1</v>
      </c>
      <c r="AD420" s="1421" t="b">
        <v>0</v>
      </c>
      <c r="AE420" s="1421" t="b">
        <f>AND(R420,NOT(W420))</f>
        <v>1</v>
      </c>
      <c r="AF420" s="1421" t="b">
        <f>AND(AE420,NOT(Q420))</f>
        <v>1</v>
      </c>
      <c r="AP420" s="1421" t="str">
        <f>SUBSTITUTE(SUBSTITUTE(SUBSTITUTE("vcc"&amp;$B420&amp;$C420&amp;$D420&amp;$E420,".","_"),"(","_"),")","")</f>
        <v>vcc13_107_2_2</v>
      </c>
      <c r="AQ420" s="1421" t="str">
        <f>IF(LEN(W420)=0,"",W420)</f>
        <v/>
      </c>
      <c r="AR420" s="1421" t="str">
        <f>SUBSTITUTE(SUBSTITUTE(SUBSTITUTE("vcn"&amp;$B420&amp;$C420&amp;$D420&amp;$E420,".","_"),"(","_"),")","")</f>
        <v>vcn13_107_2_2</v>
      </c>
      <c r="AS420" s="1421" t="str">
        <f>IF(LEN(X420)=0,"",X420)</f>
        <v/>
      </c>
    </row>
    <row r="421" spans="2:45" ht="16" thickTop="1" x14ac:dyDescent="0.2">
      <c r="B421" s="92" t="s">
        <v>5515</v>
      </c>
      <c r="C421" s="858"/>
      <c r="G421" s="1421" t="s">
        <v>3199</v>
      </c>
      <c r="H421" s="1421" t="s">
        <v>3197</v>
      </c>
      <c r="I421" s="115" t="s">
        <v>5515</v>
      </c>
      <c r="J421" s="1070"/>
      <c r="K421" s="1070"/>
      <c r="L421" s="1740" t="s">
        <v>5516</v>
      </c>
      <c r="M421" s="1701" t="str">
        <f ca="1">IF(R421,"Mandatory","N/A")</f>
        <v>N/A</v>
      </c>
      <c r="N421" s="1954">
        <f ca="1">Q421</f>
        <v>0</v>
      </c>
      <c r="O421" s="1954"/>
      <c r="P421" s="876" t="s">
        <v>4481</v>
      </c>
      <c r="Q421" s="875">
        <f ca="1">IF(N423="Met",1,0)+IF(N442="Met",1,0)+IF(N450="Met",1,0)+IF(N471="Met",1,0)+IF(N477="Met",1,0)+IF(N498="Met",1,0)+IF(N511="Met",1,0)</f>
        <v>0</v>
      </c>
      <c r="R421" s="106" t="b">
        <f ca="1">S421</f>
        <v>0</v>
      </c>
      <c r="S421" s="106" t="b">
        <f ca="1">S14=1</f>
        <v>0</v>
      </c>
      <c r="T421" s="106"/>
      <c r="U421" s="106"/>
      <c r="V421" s="106"/>
      <c r="AC421" s="1421" t="b">
        <f ca="1">OR(AD421:AE421)</f>
        <v>0</v>
      </c>
      <c r="AD421" s="1421" t="b">
        <v>0</v>
      </c>
      <c r="AE421" s="1421" t="b">
        <f ca="1">AND(R421,Q421&lt;5)</f>
        <v>0</v>
      </c>
    </row>
    <row r="422" spans="2:45" x14ac:dyDescent="0.2">
      <c r="B422" s="92" t="s">
        <v>5515</v>
      </c>
      <c r="C422" s="858"/>
      <c r="G422" s="1421" t="s">
        <v>3199</v>
      </c>
      <c r="H422" s="1421" t="s">
        <v>3197</v>
      </c>
      <c r="I422" s="169"/>
      <c r="J422" s="1072"/>
      <c r="K422" s="1072"/>
      <c r="L422" s="1688"/>
      <c r="M422" s="1698"/>
      <c r="N422" s="1955"/>
      <c r="O422" s="1955"/>
      <c r="P422" s="173"/>
      <c r="Q422" s="173"/>
      <c r="R422" s="173"/>
      <c r="S422" s="173"/>
      <c r="T422" s="173"/>
      <c r="U422" s="173"/>
      <c r="V422" s="173"/>
      <c r="W422" s="173"/>
      <c r="X422" s="173"/>
    </row>
    <row r="423" spans="2:45" x14ac:dyDescent="0.2">
      <c r="B423" s="600">
        <v>901.4</v>
      </c>
      <c r="C423" s="23"/>
      <c r="D423" s="23"/>
      <c r="E423" s="23"/>
      <c r="F423" s="23"/>
      <c r="G423" s="1421" t="s">
        <v>3199</v>
      </c>
      <c r="H423" s="1421" t="s">
        <v>3197</v>
      </c>
      <c r="I423" s="67">
        <v>901.4</v>
      </c>
      <c r="J423" s="4"/>
      <c r="K423" s="4"/>
      <c r="L423" s="1611" t="s">
        <v>5517</v>
      </c>
      <c r="M423" s="1937" t="s">
        <v>571</v>
      </c>
      <c r="N423" s="1637" t="str">
        <f ca="1">IF((MIN(10,(IFERROR(INDEX({2,2,3,4,4},MATCH(W431,INDIRECT(U431),0)),0)+IFERROR(INDEX({2,2,3,4,4},MATCH(W432,INDIRECT(U432),0)),0)+IFERROR(INDEX({2,2,3,4,4},MATCH(W433,INDIRECT(U433),0)),0)+IFERROR(INDEX({2,2,3,4,4},MATCH(W434,INDIRECT(U434),0)),0)))*S431)&gt;0,"Met","Not Met")</f>
        <v>Not Met</v>
      </c>
      <c r="O423" s="1637"/>
    </row>
    <row r="424" spans="2:45" x14ac:dyDescent="0.2">
      <c r="B424" s="600">
        <v>901.4</v>
      </c>
      <c r="C424" s="23"/>
      <c r="D424" s="23"/>
      <c r="E424" s="23"/>
      <c r="F424" s="23"/>
      <c r="G424" s="1421" t="s">
        <v>3199</v>
      </c>
      <c r="H424" s="1421" t="s">
        <v>3197</v>
      </c>
      <c r="I424" s="161"/>
      <c r="J424" s="4"/>
      <c r="K424" s="4"/>
      <c r="L424" s="1611"/>
      <c r="M424" s="1937"/>
      <c r="N424" s="1669"/>
      <c r="O424" s="1669"/>
    </row>
    <row r="425" spans="2:45" x14ac:dyDescent="0.2">
      <c r="B425" s="600">
        <v>901.4</v>
      </c>
      <c r="C425" s="23"/>
      <c r="D425" s="23"/>
      <c r="E425" s="23"/>
      <c r="F425" s="23"/>
      <c r="G425" s="1421" t="s">
        <v>3199</v>
      </c>
      <c r="H425" s="1421" t="s">
        <v>3197</v>
      </c>
      <c r="I425" s="161"/>
      <c r="J425" s="4"/>
      <c r="K425" s="4"/>
      <c r="L425" s="1611"/>
      <c r="M425" s="1937"/>
      <c r="N425" s="1669"/>
      <c r="O425" s="1669"/>
    </row>
    <row r="426" spans="2:45" x14ac:dyDescent="0.2">
      <c r="B426" s="600">
        <v>901.4</v>
      </c>
      <c r="C426" s="23" t="s">
        <v>254</v>
      </c>
      <c r="D426" s="23"/>
      <c r="E426" s="23"/>
      <c r="F426" s="23"/>
      <c r="G426" s="1421" t="s">
        <v>3199</v>
      </c>
      <c r="H426" s="1421" t="s">
        <v>3198</v>
      </c>
      <c r="I426" s="161"/>
      <c r="J426" s="29" t="s">
        <v>254</v>
      </c>
      <c r="K426" s="4"/>
      <c r="L426" s="1611" t="s">
        <v>2705</v>
      </c>
      <c r="P426" s="1421" t="b">
        <v>1</v>
      </c>
      <c r="Q426" s="1421" t="b">
        <v>0</v>
      </c>
      <c r="R426" s="1421" t="b">
        <v>0</v>
      </c>
      <c r="S426" s="1421" t="b">
        <f ca="1">S14=1</f>
        <v>0</v>
      </c>
      <c r="T426" s="1421" t="b">
        <f ca="1">AND(NOT(S426),LEN(W426)&gt;0)</f>
        <v>0</v>
      </c>
      <c r="U426" s="1421" t="str">
        <f>SUBSTITUTE(SUBSTITUTE(SUBSTITUTE("dd"&amp;B426&amp;C426&amp;D426&amp;E426&amp;F426,".","_"),"(","_"),")","")</f>
        <v>dd901_4_1</v>
      </c>
      <c r="W426" s="12"/>
      <c r="X426" s="1600"/>
      <c r="AC426" s="1421" t="b">
        <f ca="1">OR(AD426:AE426)</f>
        <v>0</v>
      </c>
      <c r="AD426" s="1421" t="b">
        <f ca="1">T426</f>
        <v>0</v>
      </c>
      <c r="AE426" s="1421" t="b">
        <f>OR(AND(W426="N/A",LEN(X426)=0),AND(R426,OR(W426="Not Met",W426="")))</f>
        <v>0</v>
      </c>
      <c r="AF426" s="1421" t="b">
        <f>AND(AE426,NOT(Q426))</f>
        <v>0</v>
      </c>
      <c r="AP426" s="1421" t="str">
        <f>SUBSTITUTE(SUBSTITUTE(SUBSTITUTE("vcc"&amp;$B426&amp;$C426&amp;$D426&amp;$E426,".","_"),"(","_"),")","")</f>
        <v>vcc901_4_1</v>
      </c>
      <c r="AQ426" s="1421" t="str">
        <f>IF(LEN(W426)=0,"",W426)</f>
        <v/>
      </c>
      <c r="AR426" s="1421" t="str">
        <f>SUBSTITUTE(SUBSTITUTE(SUBSTITUTE("vcn"&amp;$B426&amp;$C426&amp;$D426&amp;$E426,".","_"),"(","_"),")","")</f>
        <v>vcn901_4_1</v>
      </c>
      <c r="AS426" s="1421" t="str">
        <f>IF(LEN(X426)=0,"",X426)</f>
        <v/>
      </c>
    </row>
    <row r="427" spans="2:45" x14ac:dyDescent="0.2">
      <c r="B427" s="600">
        <v>901.4</v>
      </c>
      <c r="C427" s="23" t="s">
        <v>254</v>
      </c>
      <c r="D427" s="23"/>
      <c r="E427" s="23"/>
      <c r="F427" s="23"/>
      <c r="G427" s="1421" t="s">
        <v>3199</v>
      </c>
      <c r="H427" s="1421" t="s">
        <v>3198</v>
      </c>
      <c r="I427" s="161"/>
      <c r="J427" s="4"/>
      <c r="K427" s="4"/>
      <c r="L427" s="1611"/>
      <c r="N427" s="1427"/>
      <c r="O427" s="1427"/>
      <c r="X427" s="1600"/>
    </row>
    <row r="428" spans="2:45" x14ac:dyDescent="0.2">
      <c r="B428" s="600">
        <v>901.4</v>
      </c>
      <c r="C428" s="23" t="s">
        <v>254</v>
      </c>
      <c r="D428" s="23"/>
      <c r="E428" s="23"/>
      <c r="F428" s="23"/>
      <c r="G428" s="1421" t="s">
        <v>3199</v>
      </c>
      <c r="H428" s="1421" t="s">
        <v>3198</v>
      </c>
      <c r="I428" s="161"/>
      <c r="J428" s="4"/>
      <c r="K428" s="4"/>
      <c r="L428" s="1611"/>
      <c r="N428" s="1427"/>
      <c r="O428" s="1427"/>
      <c r="X428" s="1600"/>
    </row>
    <row r="429" spans="2:45" x14ac:dyDescent="0.2">
      <c r="B429" s="600">
        <v>901.4</v>
      </c>
      <c r="C429" s="23" t="s">
        <v>254</v>
      </c>
      <c r="D429" s="23"/>
      <c r="E429" s="23"/>
      <c r="F429" s="23"/>
      <c r="G429" s="1421" t="s">
        <v>3199</v>
      </c>
      <c r="H429" s="1421" t="s">
        <v>3198</v>
      </c>
      <c r="I429" s="161"/>
      <c r="J429" s="4"/>
      <c r="K429" s="4"/>
      <c r="L429" s="1611"/>
      <c r="N429" s="1427"/>
      <c r="O429" s="1427"/>
      <c r="X429" s="1600"/>
    </row>
    <row r="430" spans="2:45" x14ac:dyDescent="0.2">
      <c r="B430" s="600">
        <v>901.4</v>
      </c>
      <c r="C430" s="23" t="s">
        <v>254</v>
      </c>
      <c r="D430" s="23"/>
      <c r="E430" s="23"/>
      <c r="F430" s="23"/>
      <c r="G430" s="1421" t="s">
        <v>3199</v>
      </c>
      <c r="H430" s="1421" t="s">
        <v>3198</v>
      </c>
      <c r="I430" s="161"/>
      <c r="J430" s="213"/>
      <c r="K430" s="213"/>
      <c r="L430" s="1450" t="s">
        <v>3194</v>
      </c>
      <c r="N430" s="1427"/>
      <c r="O430" s="1427"/>
      <c r="X430" s="1600"/>
    </row>
    <row r="431" spans="2:45" x14ac:dyDescent="0.2">
      <c r="B431" s="600">
        <v>901.4</v>
      </c>
      <c r="C431" s="23"/>
      <c r="D431" s="79" t="s">
        <v>121</v>
      </c>
      <c r="E431" s="23"/>
      <c r="F431" s="79"/>
      <c r="G431" s="1421" t="s">
        <v>3199</v>
      </c>
      <c r="H431" s="1421" t="s">
        <v>3197</v>
      </c>
      <c r="I431" s="161"/>
      <c r="J431" s="4"/>
      <c r="K431" s="4"/>
      <c r="L431" s="1441" t="s">
        <v>2923</v>
      </c>
      <c r="M431" s="1467"/>
      <c r="N431" s="1427"/>
      <c r="O431" s="1427"/>
      <c r="P431" s="1421" t="b">
        <v>1</v>
      </c>
      <c r="Q431" s="1421" t="b">
        <v>1</v>
      </c>
      <c r="R431" s="1421" t="b">
        <v>0</v>
      </c>
      <c r="S431" s="1421" t="b">
        <f ca="1">S14=1</f>
        <v>0</v>
      </c>
      <c r="T431" s="1421" t="b">
        <f ca="1">AND(NOT(S431),LEN(W431)&gt;0)</f>
        <v>0</v>
      </c>
      <c r="U431" s="1421" t="str">
        <f>SUBSTITUTE(SUBSTITUTE(SUBSTITUTE("dd"&amp;B431&amp;C431&amp;D431&amp;E431&amp;F431,".","_"),"(","_"),")","")</f>
        <v>dd901_4_a</v>
      </c>
      <c r="W431" s="12"/>
      <c r="X431" s="1600"/>
      <c r="AC431" s="1421" t="b">
        <f ca="1">OR(AD431:AE431)</f>
        <v>0</v>
      </c>
      <c r="AD431" s="1421" t="b">
        <f ca="1">T431</f>
        <v>0</v>
      </c>
      <c r="AP431" s="1421" t="str">
        <f>SUBSTITUTE(SUBSTITUTE(SUBSTITUTE("vcc"&amp;$B431&amp;$C431&amp;$D431&amp;$E431,".","_"),"(","_"),")","")</f>
        <v>vcc901_4_a</v>
      </c>
      <c r="AQ431" s="1421" t="str">
        <f>IF(LEN(W431)=0,"",W431)</f>
        <v/>
      </c>
      <c r="AR431" s="1421" t="str">
        <f>SUBSTITUTE(SUBSTITUTE(SUBSTITUTE("vcn"&amp;$B431&amp;$C431&amp;$D431&amp;$E431,".","_"),"(","_"),")","")</f>
        <v>vcn901_4_a</v>
      </c>
      <c r="AS431" s="1421" t="str">
        <f>IF(LEN(X431)=0,"",X431)</f>
        <v/>
      </c>
    </row>
    <row r="432" spans="2:45" x14ac:dyDescent="0.2">
      <c r="B432" s="600">
        <v>901.4</v>
      </c>
      <c r="C432" s="23"/>
      <c r="D432" s="79" t="s">
        <v>122</v>
      </c>
      <c r="E432" s="23"/>
      <c r="F432" s="79"/>
      <c r="G432" s="1421" t="s">
        <v>3199</v>
      </c>
      <c r="H432" s="1421" t="s">
        <v>3197</v>
      </c>
      <c r="I432" s="161"/>
      <c r="J432" s="4"/>
      <c r="K432" s="4"/>
      <c r="L432" s="1441" t="s">
        <v>2924</v>
      </c>
      <c r="M432" s="1467"/>
      <c r="N432" s="1427"/>
      <c r="O432" s="1427"/>
      <c r="P432" s="1421" t="b">
        <v>1</v>
      </c>
      <c r="Q432" s="1421" t="b">
        <v>1</v>
      </c>
      <c r="R432" s="1421" t="b">
        <v>0</v>
      </c>
      <c r="S432" s="1421" t="b">
        <f ca="1">S14=1</f>
        <v>0</v>
      </c>
      <c r="T432" s="1421" t="b">
        <f ca="1">AND(NOT(S432),LEN(W432)&gt;0)</f>
        <v>0</v>
      </c>
      <c r="U432" s="1421" t="str">
        <f>SUBSTITUTE(SUBSTITUTE(SUBSTITUTE("dd"&amp;B432&amp;C432&amp;D432&amp;E432&amp;F432,".","_"),"(","_"),")","")</f>
        <v>dd901_4_b</v>
      </c>
      <c r="W432" s="12"/>
      <c r="X432" s="1600"/>
      <c r="AC432" s="1421" t="b">
        <f ca="1">OR(AD432:AE432)</f>
        <v>0</v>
      </c>
      <c r="AD432" s="1421" t="b">
        <f ca="1">T432</f>
        <v>0</v>
      </c>
      <c r="AP432" s="1421" t="str">
        <f>SUBSTITUTE(SUBSTITUTE(SUBSTITUTE("vcc"&amp;$B432&amp;$C432&amp;$D432&amp;$E432,".","_"),"(","_"),")","")</f>
        <v>vcc901_4_b</v>
      </c>
      <c r="AQ432" s="1421" t="str">
        <f>IF(LEN(W432)=0,"",W432)</f>
        <v/>
      </c>
    </row>
    <row r="433" spans="2:45" x14ac:dyDescent="0.2">
      <c r="B433" s="600">
        <v>901.4</v>
      </c>
      <c r="C433" s="23"/>
      <c r="D433" s="79" t="s">
        <v>123</v>
      </c>
      <c r="E433" s="23"/>
      <c r="F433" s="79"/>
      <c r="G433" s="1421" t="s">
        <v>3199</v>
      </c>
      <c r="H433" s="1421" t="s">
        <v>3197</v>
      </c>
      <c r="I433" s="161"/>
      <c r="J433" s="4"/>
      <c r="K433" s="4"/>
      <c r="L433" s="1441" t="s">
        <v>2925</v>
      </c>
      <c r="M433" s="1467"/>
      <c r="N433" s="1427"/>
      <c r="O433" s="1427"/>
      <c r="P433" s="1421" t="b">
        <v>1</v>
      </c>
      <c r="Q433" s="1421" t="b">
        <v>1</v>
      </c>
      <c r="R433" s="1421" t="b">
        <v>0</v>
      </c>
      <c r="S433" s="1421" t="b">
        <f ca="1">S14=1</f>
        <v>0</v>
      </c>
      <c r="T433" s="1421" t="b">
        <f ca="1">AND(NOT(S433),LEN(W433)&gt;0)</f>
        <v>0</v>
      </c>
      <c r="U433" s="1421" t="str">
        <f>SUBSTITUTE(SUBSTITUTE(SUBSTITUTE("dd"&amp;B433&amp;C433&amp;D433&amp;E433&amp;F433,".","_"),"(","_"),")","")</f>
        <v>dd901_4_c</v>
      </c>
      <c r="W433" s="12"/>
      <c r="X433" s="1600"/>
      <c r="AC433" s="1421" t="b">
        <f ca="1">OR(AD433:AE433)</f>
        <v>0</v>
      </c>
      <c r="AD433" s="1421" t="b">
        <f ca="1">T433</f>
        <v>0</v>
      </c>
      <c r="AP433" s="1421" t="str">
        <f>SUBSTITUTE(SUBSTITUTE(SUBSTITUTE("vcc"&amp;$B433&amp;$C433&amp;$D433&amp;$E433,".","_"),"(","_"),")","")</f>
        <v>vcc901_4_c</v>
      </c>
      <c r="AQ433" s="1421" t="str">
        <f>IF(LEN(W433)=0,"",W433)</f>
        <v/>
      </c>
    </row>
    <row r="434" spans="2:45" x14ac:dyDescent="0.2">
      <c r="B434" s="600">
        <v>901.4</v>
      </c>
      <c r="C434" s="23"/>
      <c r="D434" s="79" t="s">
        <v>366</v>
      </c>
      <c r="E434" s="23"/>
      <c r="F434" s="79"/>
      <c r="G434" s="1421" t="s">
        <v>3199</v>
      </c>
      <c r="H434" s="1421" t="s">
        <v>3197</v>
      </c>
      <c r="I434" s="161"/>
      <c r="J434" s="4"/>
      <c r="K434" s="4"/>
      <c r="L434" s="1441" t="s">
        <v>2926</v>
      </c>
      <c r="M434" s="1467"/>
      <c r="N434" s="1427"/>
      <c r="O434" s="1427"/>
      <c r="P434" s="1421" t="b">
        <v>1</v>
      </c>
      <c r="Q434" s="1421" t="b">
        <v>1</v>
      </c>
      <c r="R434" s="1421" t="b">
        <v>0</v>
      </c>
      <c r="S434" s="1421" t="b">
        <f ca="1">S14=1</f>
        <v>0</v>
      </c>
      <c r="T434" s="1421" t="b">
        <f ca="1">AND(NOT(S434),LEN(W434)&gt;0)</f>
        <v>0</v>
      </c>
      <c r="U434" s="1421" t="str">
        <f>SUBSTITUTE(SUBSTITUTE(SUBSTITUTE("dd"&amp;B434&amp;C434&amp;D434&amp;E434&amp;F434,".","_"),"(","_"),")","")</f>
        <v>dd901_4_d</v>
      </c>
      <c r="W434" s="12"/>
      <c r="X434" s="1600"/>
      <c r="AC434" s="1421" t="b">
        <f ca="1">OR(AD434:AE434)</f>
        <v>0</v>
      </c>
      <c r="AD434" s="1421" t="b">
        <f ca="1">T434</f>
        <v>0</v>
      </c>
      <c r="AP434" s="1421" t="str">
        <f>SUBSTITUTE(SUBSTITUTE(SUBSTITUTE("vcc"&amp;$B434&amp;$C434&amp;$D434&amp;$E434,".","_"),"(","_"),")","")</f>
        <v>vcc901_4_d</v>
      </c>
      <c r="AQ434" s="1421" t="str">
        <f>IF(LEN(W434)=0,"",W434)</f>
        <v/>
      </c>
    </row>
    <row r="435" spans="2:45" x14ac:dyDescent="0.2">
      <c r="B435" s="600">
        <v>901.4</v>
      </c>
      <c r="C435" s="23" t="s">
        <v>255</v>
      </c>
      <c r="D435" s="23"/>
      <c r="E435" s="23"/>
      <c r="F435" s="23"/>
      <c r="G435" s="1421" t="s">
        <v>3199</v>
      </c>
      <c r="H435" s="1421" t="s">
        <v>3197</v>
      </c>
      <c r="I435" s="161"/>
      <c r="J435" s="29" t="s">
        <v>255</v>
      </c>
      <c r="K435" s="4"/>
      <c r="L435" s="1611" t="s">
        <v>2706</v>
      </c>
      <c r="M435" s="1937">
        <v>2</v>
      </c>
      <c r="N435" s="1427"/>
      <c r="O435" s="1427"/>
      <c r="X435" s="1600"/>
    </row>
    <row r="436" spans="2:45" x14ac:dyDescent="0.2">
      <c r="B436" s="600">
        <v>901.4</v>
      </c>
      <c r="C436" s="23" t="s">
        <v>255</v>
      </c>
      <c r="D436" s="23"/>
      <c r="E436" s="23"/>
      <c r="F436" s="23"/>
      <c r="G436" s="1421" t="s">
        <v>3199</v>
      </c>
      <c r="H436" s="1421" t="s">
        <v>3197</v>
      </c>
      <c r="I436" s="161"/>
      <c r="J436" s="213"/>
      <c r="K436" s="213"/>
      <c r="L436" s="1612"/>
      <c r="M436" s="1938"/>
      <c r="N436" s="1427"/>
      <c r="O436" s="1427"/>
      <c r="X436" s="1600"/>
    </row>
    <row r="437" spans="2:45" x14ac:dyDescent="0.2">
      <c r="B437" s="600">
        <v>901.4</v>
      </c>
      <c r="C437" s="23" t="s">
        <v>256</v>
      </c>
      <c r="D437" s="23"/>
      <c r="E437" s="23"/>
      <c r="F437" s="23"/>
      <c r="G437" s="1421" t="s">
        <v>3199</v>
      </c>
      <c r="H437" s="1421" t="s">
        <v>3197</v>
      </c>
      <c r="I437" s="161"/>
      <c r="J437" s="207" t="s">
        <v>256</v>
      </c>
      <c r="K437" s="213"/>
      <c r="L437" s="1430" t="s">
        <v>2707</v>
      </c>
      <c r="M437" s="1475">
        <v>2</v>
      </c>
      <c r="N437" s="1427"/>
      <c r="O437" s="1427"/>
      <c r="X437" s="1600"/>
    </row>
    <row r="438" spans="2:45" x14ac:dyDescent="0.2">
      <c r="B438" s="600">
        <v>901.4</v>
      </c>
      <c r="C438" s="23" t="s">
        <v>259</v>
      </c>
      <c r="D438" s="23"/>
      <c r="E438" s="23"/>
      <c r="F438" s="23"/>
      <c r="G438" s="1421" t="s">
        <v>3199</v>
      </c>
      <c r="H438" s="1421" t="s">
        <v>3197</v>
      </c>
      <c r="I438" s="161"/>
      <c r="J438" s="207" t="s">
        <v>259</v>
      </c>
      <c r="K438" s="213"/>
      <c r="L438" s="1430" t="s">
        <v>2708</v>
      </c>
      <c r="M438" s="1475">
        <v>3</v>
      </c>
      <c r="N438" s="1427"/>
      <c r="O438" s="1427"/>
      <c r="X438" s="1600"/>
    </row>
    <row r="439" spans="2:45" x14ac:dyDescent="0.2">
      <c r="B439" s="600">
        <v>901.4</v>
      </c>
      <c r="C439" s="23" t="s">
        <v>263</v>
      </c>
      <c r="D439" s="23"/>
      <c r="E439" s="23"/>
      <c r="F439" s="23"/>
      <c r="G439" s="1421" t="s">
        <v>3199</v>
      </c>
      <c r="H439" s="1421" t="s">
        <v>3197</v>
      </c>
      <c r="I439" s="161"/>
      <c r="J439" s="29" t="s">
        <v>263</v>
      </c>
      <c r="K439" s="4"/>
      <c r="L439" s="1611" t="s">
        <v>2709</v>
      </c>
      <c r="M439" s="1937">
        <v>4</v>
      </c>
      <c r="N439" s="1427"/>
      <c r="O439" s="1427"/>
      <c r="X439" s="1600"/>
    </row>
    <row r="440" spans="2:45" x14ac:dyDescent="0.2">
      <c r="B440" s="600">
        <v>901.4</v>
      </c>
      <c r="C440" s="23" t="s">
        <v>263</v>
      </c>
      <c r="D440" s="23"/>
      <c r="E440" s="23"/>
      <c r="F440" s="23"/>
      <c r="G440" s="1421" t="s">
        <v>3199</v>
      </c>
      <c r="H440" s="1421" t="s">
        <v>3197</v>
      </c>
      <c r="I440" s="161"/>
      <c r="J440" s="207"/>
      <c r="K440" s="213"/>
      <c r="L440" s="1612"/>
      <c r="M440" s="1938"/>
      <c r="N440" s="1427"/>
      <c r="O440" s="1427"/>
      <c r="X440" s="1600"/>
    </row>
    <row r="441" spans="2:45" ht="16" thickBot="1" x14ac:dyDescent="0.25">
      <c r="B441" s="600">
        <v>901.4</v>
      </c>
      <c r="C441" s="23" t="s">
        <v>264</v>
      </c>
      <c r="D441" s="23"/>
      <c r="E441" s="23"/>
      <c r="F441" s="23"/>
      <c r="G441" s="1421" t="s">
        <v>3199</v>
      </c>
      <c r="H441" s="1421" t="s">
        <v>3197</v>
      </c>
      <c r="I441" s="407"/>
      <c r="J441" s="190" t="s">
        <v>264</v>
      </c>
      <c r="K441" s="239"/>
      <c r="L441" s="1442" t="s">
        <v>2710</v>
      </c>
      <c r="M441" s="1477">
        <v>4</v>
      </c>
      <c r="N441" s="1428"/>
      <c r="O441" s="1428"/>
      <c r="P441" s="100"/>
      <c r="Q441" s="100"/>
      <c r="R441" s="100"/>
      <c r="S441" s="100"/>
      <c r="T441" s="100"/>
      <c r="U441" s="100"/>
      <c r="V441" s="100"/>
      <c r="W441" s="113"/>
      <c r="X441" s="1602"/>
    </row>
    <row r="442" spans="2:45" ht="16" thickTop="1" x14ac:dyDescent="0.2">
      <c r="B442" s="600">
        <v>901.5</v>
      </c>
      <c r="C442" s="23"/>
      <c r="D442" s="23"/>
      <c r="E442" s="23"/>
      <c r="F442" s="23"/>
      <c r="G442" s="1421" t="s">
        <v>3199</v>
      </c>
      <c r="H442" s="1421" t="s">
        <v>3199</v>
      </c>
      <c r="I442" s="67">
        <v>901.5</v>
      </c>
      <c r="J442" s="4"/>
      <c r="K442" s="4"/>
      <c r="L442" s="1631" t="s">
        <v>5518</v>
      </c>
      <c r="M442" s="1433"/>
      <c r="N442" s="1682" t="str">
        <f ca="1">IF((O445+O447)&gt;0,"Met","Not Met")</f>
        <v>Not Met</v>
      </c>
      <c r="O442" s="1682"/>
    </row>
    <row r="443" spans="2:45" x14ac:dyDescent="0.2">
      <c r="B443" s="600">
        <v>901.5</v>
      </c>
      <c r="C443" s="23"/>
      <c r="D443" s="23"/>
      <c r="E443" s="23"/>
      <c r="F443" s="23"/>
      <c r="G443" s="1421" t="s">
        <v>3199</v>
      </c>
      <c r="H443" s="1421" t="s">
        <v>3199</v>
      </c>
      <c r="I443" s="161"/>
      <c r="J443" s="4"/>
      <c r="K443" s="4"/>
      <c r="L443" s="1631"/>
      <c r="M443" s="1433"/>
      <c r="N443" s="1669"/>
      <c r="O443" s="1669"/>
    </row>
    <row r="444" spans="2:45" x14ac:dyDescent="0.2">
      <c r="B444" s="600">
        <v>901.5</v>
      </c>
      <c r="C444" s="23"/>
      <c r="D444" s="23"/>
      <c r="E444" s="23"/>
      <c r="F444" s="23"/>
      <c r="G444" s="1421" t="s">
        <v>3199</v>
      </c>
      <c r="H444" s="1421" t="s">
        <v>3199</v>
      </c>
      <c r="I444" s="161"/>
      <c r="J444" s="4"/>
      <c r="K444" s="4"/>
      <c r="L444" s="1443" t="s">
        <v>2711</v>
      </c>
      <c r="M444" s="1433"/>
      <c r="N444" s="1669"/>
      <c r="O444" s="1669"/>
    </row>
    <row r="445" spans="2:45" x14ac:dyDescent="0.2">
      <c r="B445" s="600">
        <v>901.5</v>
      </c>
      <c r="C445" s="23" t="s">
        <v>254</v>
      </c>
      <c r="D445" s="23"/>
      <c r="E445" s="23"/>
      <c r="F445" s="23"/>
      <c r="G445" s="1421" t="s">
        <v>3199</v>
      </c>
      <c r="H445" s="1421" t="s">
        <v>3199</v>
      </c>
      <c r="I445" s="161"/>
      <c r="J445" s="29" t="s">
        <v>254</v>
      </c>
      <c r="K445" s="4"/>
      <c r="L445" s="1611" t="s">
        <v>2712</v>
      </c>
      <c r="M445" s="1937">
        <v>5</v>
      </c>
      <c r="N445" s="1669"/>
      <c r="O445" s="1939">
        <f ca="1">M445*S445*W445</f>
        <v>0</v>
      </c>
      <c r="P445" s="1421" t="b">
        <v>0</v>
      </c>
      <c r="Q445" s="1421" t="b">
        <v>1</v>
      </c>
      <c r="R445" s="1421" t="b">
        <v>0</v>
      </c>
      <c r="S445" s="1421" t="b">
        <f ca="1">S14=1</f>
        <v>0</v>
      </c>
      <c r="T445" s="1421" t="b">
        <f ca="1">AND(NOT(S445),W445=TRUE)</f>
        <v>0</v>
      </c>
      <c r="W445" s="27"/>
      <c r="X445" s="1600"/>
      <c r="AC445" s="1421" t="b">
        <f ca="1">OR(AD445:AE445)</f>
        <v>0</v>
      </c>
      <c r="AD445" s="1421" t="b">
        <f ca="1">T445</f>
        <v>0</v>
      </c>
      <c r="AP445" s="1421" t="str">
        <f>SUBSTITUTE(SUBSTITUTE(SUBSTITUTE("vcc"&amp;$B445&amp;$C445&amp;$D445&amp;$E445,".","_"),"(","_"),")","")</f>
        <v>vcc901_5_1</v>
      </c>
      <c r="AQ445" s="1421" t="str">
        <f>IF(LEN(W445)=0,"",W445)</f>
        <v/>
      </c>
      <c r="AR445" s="1421" t="str">
        <f>SUBSTITUTE(SUBSTITUTE(SUBSTITUTE("vcn"&amp;$B445&amp;$C445&amp;$D445&amp;$E445,".","_"),"(","_"),")","")</f>
        <v>vcn901_5_1</v>
      </c>
      <c r="AS445" s="1421" t="str">
        <f>IF(LEN(X445)=0,"",X445)</f>
        <v/>
      </c>
    </row>
    <row r="446" spans="2:45" x14ac:dyDescent="0.2">
      <c r="B446" s="600">
        <v>901.5</v>
      </c>
      <c r="C446" s="23" t="s">
        <v>254</v>
      </c>
      <c r="D446" s="23"/>
      <c r="E446" s="23"/>
      <c r="F446" s="23"/>
      <c r="G446" s="1421" t="s">
        <v>3199</v>
      </c>
      <c r="H446" s="1421" t="s">
        <v>3199</v>
      </c>
      <c r="I446" s="161"/>
      <c r="J446" s="213"/>
      <c r="K446" s="213"/>
      <c r="L446" s="1612"/>
      <c r="M446" s="1938"/>
      <c r="N446" s="1620"/>
      <c r="O446" s="1940"/>
      <c r="X446" s="1600"/>
    </row>
    <row r="447" spans="2:45" x14ac:dyDescent="0.2">
      <c r="B447" s="600">
        <v>901.5</v>
      </c>
      <c r="C447" s="23" t="s">
        <v>255</v>
      </c>
      <c r="D447" s="23"/>
      <c r="E447" s="23"/>
      <c r="F447" s="23"/>
      <c r="G447" s="1421" t="s">
        <v>3199</v>
      </c>
      <c r="H447" s="1421" t="s">
        <v>3199</v>
      </c>
      <c r="I447" s="161"/>
      <c r="J447" s="29" t="s">
        <v>255</v>
      </c>
      <c r="K447" s="4"/>
      <c r="L447" s="1611" t="s">
        <v>2713</v>
      </c>
      <c r="M447" s="1937">
        <v>3</v>
      </c>
      <c r="N447" s="1669"/>
      <c r="O447" s="1939">
        <f ca="1">M447*S447*W447</f>
        <v>0</v>
      </c>
      <c r="P447" s="1421" t="b">
        <v>0</v>
      </c>
      <c r="Q447" s="1421" t="b">
        <v>1</v>
      </c>
      <c r="R447" s="1421" t="b">
        <v>0</v>
      </c>
      <c r="S447" s="1421" t="b">
        <f ca="1">S14=1</f>
        <v>0</v>
      </c>
      <c r="T447" s="1421" t="b">
        <f ca="1">AND(NOT(S447),W447=TRUE)</f>
        <v>0</v>
      </c>
      <c r="W447" s="27"/>
      <c r="X447" s="1600"/>
      <c r="AC447" s="1421" t="b">
        <f ca="1">OR(AD447:AE447)</f>
        <v>0</v>
      </c>
      <c r="AD447" s="1421" t="b">
        <f ca="1">T447</f>
        <v>0</v>
      </c>
      <c r="AP447" s="1421" t="str">
        <f>SUBSTITUTE(SUBSTITUTE(SUBSTITUTE("vcc"&amp;$B447&amp;$C447&amp;$D447&amp;$E447,".","_"),"(","_"),")","")</f>
        <v>vcc901_5_2</v>
      </c>
      <c r="AQ447" s="1421" t="str">
        <f>IF(LEN(W447)=0,"",W447)</f>
        <v/>
      </c>
      <c r="AR447" s="1421" t="str">
        <f>SUBSTITUTE(SUBSTITUTE(SUBSTITUTE("vcn"&amp;$B447&amp;$C447&amp;$D447&amp;$E447,".","_"),"(","_"),")","")</f>
        <v>vcn901_5_2</v>
      </c>
      <c r="AS447" s="1421" t="str">
        <f>IF(LEN(X447)=0,"",X447)</f>
        <v/>
      </c>
    </row>
    <row r="448" spans="2:45" x14ac:dyDescent="0.2">
      <c r="B448" s="600">
        <v>901.5</v>
      </c>
      <c r="C448" s="23" t="s">
        <v>255</v>
      </c>
      <c r="D448" s="23"/>
      <c r="E448" s="23"/>
      <c r="F448" s="23"/>
      <c r="G448" s="1421" t="s">
        <v>3199</v>
      </c>
      <c r="H448" s="1421" t="s">
        <v>3199</v>
      </c>
      <c r="I448" s="161"/>
      <c r="J448" s="4"/>
      <c r="K448" s="4"/>
      <c r="L448" s="1611"/>
      <c r="M448" s="1937"/>
      <c r="N448" s="1669"/>
      <c r="O448" s="1939"/>
      <c r="X448" s="1600"/>
    </row>
    <row r="449" spans="2:45" ht="16" thickBot="1" x14ac:dyDescent="0.25">
      <c r="B449" s="600">
        <v>901.5</v>
      </c>
      <c r="C449" s="23" t="s">
        <v>255</v>
      </c>
      <c r="D449" s="23"/>
      <c r="E449" s="23"/>
      <c r="F449" s="23"/>
      <c r="G449" s="1421" t="s">
        <v>3199</v>
      </c>
      <c r="H449" s="1421" t="s">
        <v>3199</v>
      </c>
      <c r="I449" s="407"/>
      <c r="J449" s="239"/>
      <c r="K449" s="239"/>
      <c r="L449" s="1610"/>
      <c r="M449" s="1944"/>
      <c r="N449" s="1638"/>
      <c r="O449" s="1956"/>
      <c r="P449" s="100"/>
      <c r="Q449" s="100"/>
      <c r="R449" s="100"/>
      <c r="S449" s="100"/>
      <c r="T449" s="100"/>
      <c r="U449" s="100"/>
      <c r="V449" s="100"/>
      <c r="W449" s="113"/>
      <c r="X449" s="1602"/>
    </row>
    <row r="450" spans="2:45" ht="16" thickTop="1" x14ac:dyDescent="0.2">
      <c r="B450" s="600">
        <v>901.7</v>
      </c>
      <c r="C450" s="23"/>
      <c r="D450" s="23"/>
      <c r="E450" s="23"/>
      <c r="F450" s="23"/>
      <c r="G450" s="1421" t="s">
        <v>3199</v>
      </c>
      <c r="H450" s="1421" t="s">
        <v>3199</v>
      </c>
      <c r="I450" s="67">
        <v>901.7</v>
      </c>
      <c r="J450" s="4"/>
      <c r="K450" s="4"/>
      <c r="L450" s="1631" t="s">
        <v>5519</v>
      </c>
      <c r="M450" s="1942" t="s">
        <v>2848</v>
      </c>
      <c r="N450" s="1682" t="str">
        <f>IF(MIN(8,ROUNDDOWN(W457/0.1,0)+ROUNDDOWN(W467/0.1,0)+ROUNDDOWN(W468*1.33/0.1,0))&gt;0,"Met","Not Met")</f>
        <v>Not Met</v>
      </c>
      <c r="O450" s="1682"/>
    </row>
    <row r="451" spans="2:45" x14ac:dyDescent="0.2">
      <c r="B451" s="600">
        <v>901.7</v>
      </c>
      <c r="C451" s="23"/>
      <c r="D451" s="23"/>
      <c r="E451" s="23"/>
      <c r="F451" s="23"/>
      <c r="G451" s="1421" t="s">
        <v>3199</v>
      </c>
      <c r="H451" s="1421" t="s">
        <v>3199</v>
      </c>
      <c r="I451" s="161"/>
      <c r="J451" s="4"/>
      <c r="K451" s="4"/>
      <c r="L451" s="1631"/>
      <c r="M451" s="1942"/>
      <c r="N451" s="1669"/>
      <c r="O451" s="1669"/>
    </row>
    <row r="452" spans="2:45" x14ac:dyDescent="0.2">
      <c r="B452" s="600">
        <v>901.7</v>
      </c>
      <c r="C452" s="23"/>
      <c r="D452" s="23"/>
      <c r="E452" s="23"/>
      <c r="F452" s="23"/>
      <c r="G452" s="1421" t="s">
        <v>3199</v>
      </c>
      <c r="H452" s="1421" t="s">
        <v>3199</v>
      </c>
      <c r="I452" s="161"/>
      <c r="J452" s="4"/>
      <c r="K452" s="4"/>
      <c r="L452" s="1631"/>
      <c r="M452" s="1942"/>
      <c r="N452" s="1669"/>
      <c r="O452" s="1669"/>
    </row>
    <row r="453" spans="2:45" x14ac:dyDescent="0.2">
      <c r="B453" s="600">
        <v>901.7</v>
      </c>
      <c r="C453" s="23"/>
      <c r="D453" s="23"/>
      <c r="E453" s="23"/>
      <c r="F453" s="23"/>
      <c r="G453" s="1421" t="s">
        <v>3199</v>
      </c>
      <c r="H453" s="1421" t="s">
        <v>3199</v>
      </c>
      <c r="I453" s="161"/>
      <c r="J453" s="4"/>
      <c r="K453" s="4"/>
      <c r="L453" s="1631"/>
      <c r="M453" s="1942"/>
      <c r="N453" s="1669"/>
      <c r="O453" s="1669"/>
    </row>
    <row r="454" spans="2:45" x14ac:dyDescent="0.2">
      <c r="B454" s="600">
        <v>901.7</v>
      </c>
      <c r="C454" s="23"/>
      <c r="D454" s="23"/>
      <c r="E454" s="23"/>
      <c r="F454" s="23"/>
      <c r="G454" s="1421" t="s">
        <v>3199</v>
      </c>
      <c r="H454" s="1421" t="s">
        <v>3199</v>
      </c>
      <c r="I454" s="161"/>
      <c r="J454" s="4"/>
      <c r="K454" s="4"/>
      <c r="L454" s="1631"/>
      <c r="M454" s="1942"/>
      <c r="N454" s="1669"/>
      <c r="O454" s="1669"/>
    </row>
    <row r="455" spans="2:45" x14ac:dyDescent="0.2">
      <c r="B455" s="600">
        <v>901.7</v>
      </c>
      <c r="C455" s="23"/>
      <c r="D455" s="23"/>
      <c r="E455" s="23"/>
      <c r="F455" s="23"/>
      <c r="G455" s="1421" t="s">
        <v>3199</v>
      </c>
      <c r="H455" s="1421" t="s">
        <v>3199</v>
      </c>
      <c r="I455" s="161"/>
      <c r="J455" s="4"/>
      <c r="K455" s="4"/>
      <c r="L455" s="1707" t="s">
        <v>2714</v>
      </c>
      <c r="M455" s="1942"/>
      <c r="N455" s="1669"/>
      <c r="O455" s="1669"/>
    </row>
    <row r="456" spans="2:45" x14ac:dyDescent="0.2">
      <c r="B456" s="600">
        <v>901.7</v>
      </c>
      <c r="C456" s="23"/>
      <c r="D456" s="23"/>
      <c r="E456" s="23"/>
      <c r="F456" s="23"/>
      <c r="G456" s="1421" t="s">
        <v>3199</v>
      </c>
      <c r="H456" s="1421" t="s">
        <v>3199</v>
      </c>
      <c r="I456" s="161"/>
      <c r="J456" s="4"/>
      <c r="K456" s="4"/>
      <c r="L456" s="1707"/>
      <c r="M456" s="1942"/>
      <c r="N456" s="1669"/>
      <c r="O456" s="1669"/>
      <c r="W456" s="1421" t="s">
        <v>2937</v>
      </c>
    </row>
    <row r="457" spans="2:45" x14ac:dyDescent="0.2">
      <c r="B457" s="600">
        <v>901.7</v>
      </c>
      <c r="C457" s="23" t="s">
        <v>254</v>
      </c>
      <c r="D457" s="79"/>
      <c r="E457" s="23"/>
      <c r="F457" s="79"/>
      <c r="G457" s="1421" t="s">
        <v>3199</v>
      </c>
      <c r="H457" s="1421" t="s">
        <v>3199</v>
      </c>
      <c r="I457" s="161"/>
      <c r="J457" s="29" t="s">
        <v>254</v>
      </c>
      <c r="K457" s="4"/>
      <c r="L457" s="1611" t="s">
        <v>2715</v>
      </c>
      <c r="M457" s="1433"/>
      <c r="N457" s="1427"/>
      <c r="O457" s="1427"/>
      <c r="P457" s="1421" t="b">
        <v>0</v>
      </c>
      <c r="Q457" s="1421" t="b">
        <v>1</v>
      </c>
      <c r="R457" s="1421" t="b">
        <v>0</v>
      </c>
      <c r="S457" s="1421" t="b">
        <f ca="1">S14=1</f>
        <v>0</v>
      </c>
      <c r="T457" s="1421" t="b">
        <f ca="1">OR(SUM(W457,W467,W468)&gt;1,AND(NOT(S457),LEN(W457)&gt;0))</f>
        <v>0</v>
      </c>
      <c r="W457" s="1478"/>
      <c r="X457" s="1600"/>
      <c r="AC457" s="1421" t="b">
        <f ca="1">OR(AD457:AE457)</f>
        <v>0</v>
      </c>
      <c r="AD457" s="1421" t="b">
        <f ca="1">T457</f>
        <v>0</v>
      </c>
      <c r="AP457" s="1421" t="str">
        <f>SUBSTITUTE(SUBSTITUTE(SUBSTITUTE("vcc"&amp;$B457&amp;$C457&amp;$D457&amp;$E457,".","_"),"(","_"),")","")</f>
        <v>vcc901_7_1</v>
      </c>
      <c r="AQ457" s="1421" t="str">
        <f>IF(LEN(W457)=0,"",W457)</f>
        <v/>
      </c>
      <c r="AR457" s="1421" t="str">
        <f>SUBSTITUTE(SUBSTITUTE(SUBSTITUTE("vcn"&amp;$B457&amp;$C457&amp;$D457&amp;$E457,".","_"),"(","_"),")","")</f>
        <v>vcn901_7_1</v>
      </c>
      <c r="AS457" s="1421" t="str">
        <f>IF(LEN(X457)=0,"",X457)</f>
        <v/>
      </c>
    </row>
    <row r="458" spans="2:45" x14ac:dyDescent="0.2">
      <c r="B458" s="600">
        <v>901.7</v>
      </c>
      <c r="C458" s="23" t="s">
        <v>254</v>
      </c>
      <c r="D458" s="79"/>
      <c r="E458" s="23"/>
      <c r="F458" s="79"/>
      <c r="G458" s="1421" t="s">
        <v>3199</v>
      </c>
      <c r="H458" s="1421" t="s">
        <v>3199</v>
      </c>
      <c r="I458" s="161"/>
      <c r="J458" s="4"/>
      <c r="K458" s="4"/>
      <c r="L458" s="1611"/>
      <c r="M458" s="1433"/>
      <c r="N458" s="1427"/>
      <c r="O458" s="1427"/>
      <c r="X458" s="1600"/>
    </row>
    <row r="459" spans="2:45" x14ac:dyDescent="0.2">
      <c r="B459" s="600">
        <v>901.7</v>
      </c>
      <c r="C459" s="23" t="s">
        <v>254</v>
      </c>
      <c r="D459" s="79"/>
      <c r="E459" s="23"/>
      <c r="F459" s="79"/>
      <c r="G459" s="1421" t="s">
        <v>3199</v>
      </c>
      <c r="H459" s="1421" t="s">
        <v>3199</v>
      </c>
      <c r="I459" s="161"/>
      <c r="J459" s="4"/>
      <c r="K459" s="4"/>
      <c r="L459" s="1611"/>
      <c r="M459" s="1433"/>
      <c r="N459" s="1427"/>
      <c r="O459" s="1427"/>
      <c r="X459" s="1600"/>
    </row>
    <row r="460" spans="2:45" x14ac:dyDescent="0.2">
      <c r="B460" s="600">
        <v>901.7</v>
      </c>
      <c r="C460" s="23" t="s">
        <v>254</v>
      </c>
      <c r="D460" s="79"/>
      <c r="E460" s="23"/>
      <c r="F460" s="79"/>
      <c r="G460" s="1421" t="s">
        <v>3199</v>
      </c>
      <c r="H460" s="1421" t="s">
        <v>3199</v>
      </c>
      <c r="I460" s="161"/>
      <c r="J460" s="4"/>
      <c r="K460" s="4"/>
      <c r="L460" s="1611"/>
      <c r="M460" s="1433"/>
      <c r="N460" s="1427"/>
      <c r="O460" s="1427"/>
      <c r="X460" s="1600"/>
    </row>
    <row r="461" spans="2:45" x14ac:dyDescent="0.2">
      <c r="B461" s="600">
        <v>901.7</v>
      </c>
      <c r="C461" s="23" t="s">
        <v>254</v>
      </c>
      <c r="D461" s="79" t="s">
        <v>121</v>
      </c>
      <c r="E461" s="23"/>
      <c r="F461" s="79"/>
      <c r="G461" s="1421" t="s">
        <v>3199</v>
      </c>
      <c r="H461" s="1421" t="s">
        <v>3199</v>
      </c>
      <c r="I461" s="161"/>
      <c r="J461" s="4"/>
      <c r="K461" s="29" t="s">
        <v>121</v>
      </c>
      <c r="L461" s="1441" t="s">
        <v>2716</v>
      </c>
      <c r="M461" s="1433"/>
      <c r="N461" s="1427"/>
      <c r="O461" s="1427"/>
      <c r="X461" s="1600"/>
    </row>
    <row r="462" spans="2:45" x14ac:dyDescent="0.2">
      <c r="B462" s="600">
        <v>901.7</v>
      </c>
      <c r="C462" s="23" t="s">
        <v>254</v>
      </c>
      <c r="D462" s="79" t="s">
        <v>122</v>
      </c>
      <c r="E462" s="23"/>
      <c r="F462" s="79"/>
      <c r="G462" s="1421" t="s">
        <v>3199</v>
      </c>
      <c r="H462" s="1421" t="s">
        <v>3199</v>
      </c>
      <c r="I462" s="161"/>
      <c r="J462" s="4"/>
      <c r="K462" s="29" t="s">
        <v>122</v>
      </c>
      <c r="L462" s="1441" t="s">
        <v>2717</v>
      </c>
      <c r="M462" s="1433"/>
      <c r="N462" s="1427"/>
      <c r="O462" s="1427"/>
      <c r="X462" s="1600"/>
    </row>
    <row r="463" spans="2:45" x14ac:dyDescent="0.2">
      <c r="B463" s="600">
        <v>901.7</v>
      </c>
      <c r="C463" s="23" t="s">
        <v>254</v>
      </c>
      <c r="D463" s="79" t="s">
        <v>123</v>
      </c>
      <c r="E463" s="23"/>
      <c r="F463" s="79"/>
      <c r="G463" s="1421" t="s">
        <v>3199</v>
      </c>
      <c r="H463" s="1421" t="s">
        <v>3199</v>
      </c>
      <c r="I463" s="161"/>
      <c r="J463" s="4"/>
      <c r="K463" s="29" t="s">
        <v>123</v>
      </c>
      <c r="L463" s="1441" t="s">
        <v>2718</v>
      </c>
      <c r="M463" s="1433"/>
      <c r="N463" s="1427"/>
      <c r="O463" s="1427"/>
      <c r="X463" s="1600"/>
    </row>
    <row r="464" spans="2:45" x14ac:dyDescent="0.2">
      <c r="B464" s="600">
        <v>901.7</v>
      </c>
      <c r="C464" s="23" t="s">
        <v>254</v>
      </c>
      <c r="D464" s="79" t="s">
        <v>366</v>
      </c>
      <c r="E464" s="23"/>
      <c r="F464" s="79"/>
      <c r="G464" s="1421" t="s">
        <v>3199</v>
      </c>
      <c r="H464" s="1421" t="s">
        <v>3199</v>
      </c>
      <c r="I464" s="161"/>
      <c r="J464" s="4"/>
      <c r="K464" s="29" t="s">
        <v>366</v>
      </c>
      <c r="L464" s="1441" t="s">
        <v>2719</v>
      </c>
      <c r="M464" s="1433"/>
      <c r="N464" s="1427"/>
      <c r="O464" s="1427"/>
      <c r="X464" s="1600"/>
    </row>
    <row r="465" spans="2:45" x14ac:dyDescent="0.2">
      <c r="B465" s="600">
        <v>901.7</v>
      </c>
      <c r="C465" s="23" t="s">
        <v>254</v>
      </c>
      <c r="D465" s="79" t="s">
        <v>472</v>
      </c>
      <c r="E465" s="23"/>
      <c r="F465" s="79"/>
      <c r="G465" s="1421" t="s">
        <v>3199</v>
      </c>
      <c r="H465" s="1421" t="s">
        <v>3199</v>
      </c>
      <c r="I465" s="161"/>
      <c r="J465" s="4"/>
      <c r="K465" s="29" t="s">
        <v>472</v>
      </c>
      <c r="L465" s="1441" t="s">
        <v>2720</v>
      </c>
      <c r="M465" s="1433"/>
      <c r="N465" s="1427"/>
      <c r="O465" s="1427"/>
      <c r="X465" s="1600"/>
    </row>
    <row r="466" spans="2:45" x14ac:dyDescent="0.2">
      <c r="B466" s="600">
        <v>901.7</v>
      </c>
      <c r="C466" s="23" t="s">
        <v>254</v>
      </c>
      <c r="D466" s="79" t="s">
        <v>510</v>
      </c>
      <c r="E466" s="23"/>
      <c r="F466" s="79"/>
      <c r="G466" s="1421" t="s">
        <v>3199</v>
      </c>
      <c r="H466" s="1421" t="s">
        <v>3199</v>
      </c>
      <c r="I466" s="161"/>
      <c r="J466" s="213"/>
      <c r="K466" s="207" t="s">
        <v>510</v>
      </c>
      <c r="L466" s="1430" t="s">
        <v>2721</v>
      </c>
      <c r="M466" s="1433"/>
      <c r="N466" s="1427"/>
      <c r="O466" s="1427"/>
      <c r="W466" s="1421" t="s">
        <v>2938</v>
      </c>
      <c r="X466" s="1600"/>
    </row>
    <row r="467" spans="2:45" x14ac:dyDescent="0.2">
      <c r="B467" s="600">
        <v>901.7</v>
      </c>
      <c r="C467" s="23" t="s">
        <v>255</v>
      </c>
      <c r="D467" s="79"/>
      <c r="E467" s="23"/>
      <c r="F467" s="79"/>
      <c r="G467" s="1421" t="s">
        <v>3199</v>
      </c>
      <c r="H467" s="1421" t="s">
        <v>3199</v>
      </c>
      <c r="I467" s="161"/>
      <c r="J467" s="207" t="s">
        <v>255</v>
      </c>
      <c r="K467" s="213"/>
      <c r="L467" s="1430" t="s">
        <v>3045</v>
      </c>
      <c r="M467" s="1433"/>
      <c r="N467" s="1427"/>
      <c r="O467" s="1427"/>
      <c r="P467" s="1421" t="b">
        <v>0</v>
      </c>
      <c r="Q467" s="1421" t="b">
        <v>1</v>
      </c>
      <c r="R467" s="1421" t="b">
        <v>0</v>
      </c>
      <c r="S467" s="1421" t="b">
        <f ca="1">S14=1</f>
        <v>0</v>
      </c>
      <c r="T467" s="1421" t="b">
        <f ca="1">OR(SUM(W457,W467,W468)&gt;1,AND(NOT(S467),LEN(W467)&gt;0))</f>
        <v>0</v>
      </c>
      <c r="W467" s="1478"/>
      <c r="X467" s="1600"/>
      <c r="AC467" s="1421" t="b">
        <f ca="1">OR(AD467:AE467)</f>
        <v>0</v>
      </c>
      <c r="AD467" s="1421" t="b">
        <f ca="1">T467</f>
        <v>0</v>
      </c>
      <c r="AP467" s="1421" t="str">
        <f>SUBSTITUTE(SUBSTITUTE(SUBSTITUTE("vcc"&amp;$B467&amp;$C467&amp;$D467&amp;$E467,".","_"),"(","_"),")","")</f>
        <v>vcc901_7_2</v>
      </c>
      <c r="AQ467" s="1421" t="str">
        <f>IF(LEN(W467)=0,"",W467)</f>
        <v/>
      </c>
      <c r="AR467" s="1421" t="str">
        <f>SUBSTITUTE(SUBSTITUTE(SUBSTITUTE("vcn"&amp;$B467&amp;$C467&amp;$D467&amp;$E467,".","_"),"(","_"),")","")</f>
        <v>vcn901_7_2</v>
      </c>
      <c r="AS467" s="1421" t="str">
        <f>IF(LEN(X467)=0,"",X467)</f>
        <v/>
      </c>
    </row>
    <row r="468" spans="2:45" x14ac:dyDescent="0.2">
      <c r="B468" s="600">
        <v>901.7</v>
      </c>
      <c r="C468" s="23" t="s">
        <v>256</v>
      </c>
      <c r="D468" s="79"/>
      <c r="E468" s="23"/>
      <c r="F468" s="79"/>
      <c r="G468" s="1421" t="s">
        <v>3199</v>
      </c>
      <c r="H468" s="1421" t="s">
        <v>3199</v>
      </c>
      <c r="I468" s="161"/>
      <c r="J468" s="29" t="s">
        <v>256</v>
      </c>
      <c r="K468" s="4"/>
      <c r="L468" s="1441" t="s">
        <v>2927</v>
      </c>
      <c r="M468" s="1433"/>
      <c r="N468" s="1427"/>
      <c r="O468" s="1427"/>
      <c r="P468" s="1421" t="b">
        <v>0</v>
      </c>
      <c r="Q468" s="1421" t="b">
        <v>1</v>
      </c>
      <c r="R468" s="1421" t="b">
        <v>0</v>
      </c>
      <c r="S468" s="1421" t="b">
        <f ca="1">S14=1</f>
        <v>0</v>
      </c>
      <c r="T468" s="1421" t="b">
        <f ca="1">OR(SUM(W457,W467,W468)&gt;1,AND(NOT(S468),LEN(W468)&gt;0))</f>
        <v>0</v>
      </c>
      <c r="W468" s="1478"/>
      <c r="X468" s="1600"/>
      <c r="AC468" s="1421" t="b">
        <f ca="1">OR(AD468:AE468)</f>
        <v>0</v>
      </c>
      <c r="AD468" s="1421" t="b">
        <f ca="1">T468</f>
        <v>0</v>
      </c>
      <c r="AP468" s="1421" t="str">
        <f>SUBSTITUTE(SUBSTITUTE(SUBSTITUTE("vcc"&amp;$B468&amp;$C468&amp;$D468&amp;$E468,".","_"),"(","_"),")","")</f>
        <v>vcc901_7_3</v>
      </c>
      <c r="AQ468" s="1421" t="str">
        <f>IF(LEN(W468)=0,"",W468)</f>
        <v/>
      </c>
    </row>
    <row r="469" spans="2:45" x14ac:dyDescent="0.2">
      <c r="B469" s="600">
        <v>901.7</v>
      </c>
      <c r="C469" s="23" t="s">
        <v>256</v>
      </c>
      <c r="D469" s="23"/>
      <c r="E469" s="23"/>
      <c r="F469" s="23"/>
      <c r="G469" s="1421" t="s">
        <v>3199</v>
      </c>
      <c r="H469" s="1421" t="s">
        <v>3199</v>
      </c>
      <c r="I469" s="161"/>
      <c r="J469" s="4"/>
      <c r="K469" s="4"/>
      <c r="L469" s="1707" t="s">
        <v>2722</v>
      </c>
      <c r="M469" s="1433"/>
      <c r="N469" s="1427"/>
      <c r="O469" s="1427"/>
      <c r="X469" s="1600"/>
    </row>
    <row r="470" spans="2:45" ht="16" thickBot="1" x14ac:dyDescent="0.25">
      <c r="B470" s="600">
        <v>901.7</v>
      </c>
      <c r="C470" s="23" t="s">
        <v>256</v>
      </c>
      <c r="D470" s="23"/>
      <c r="E470" s="23"/>
      <c r="F470" s="23"/>
      <c r="G470" s="1421" t="s">
        <v>3199</v>
      </c>
      <c r="H470" s="1421" t="s">
        <v>3199</v>
      </c>
      <c r="I470" s="407"/>
      <c r="J470" s="239"/>
      <c r="K470" s="239"/>
      <c r="L470" s="1706"/>
      <c r="M470" s="1426"/>
      <c r="N470" s="1428"/>
      <c r="O470" s="1428"/>
      <c r="P470" s="100"/>
      <c r="Q470" s="100"/>
      <c r="R470" s="100"/>
      <c r="S470" s="100"/>
      <c r="T470" s="100"/>
      <c r="U470" s="100"/>
      <c r="V470" s="100"/>
      <c r="W470" s="113"/>
      <c r="X470" s="1602"/>
    </row>
    <row r="471" spans="2:45" ht="16" thickTop="1" x14ac:dyDescent="0.2">
      <c r="B471" s="600">
        <v>901.8</v>
      </c>
      <c r="C471" s="23"/>
      <c r="D471" s="23"/>
      <c r="E471" s="23"/>
      <c r="F471" s="23"/>
      <c r="G471" s="1421" t="s">
        <v>3199</v>
      </c>
      <c r="H471" s="1421" t="s">
        <v>3199</v>
      </c>
      <c r="I471" s="177">
        <v>901.8</v>
      </c>
      <c r="J471" s="178"/>
      <c r="K471" s="178"/>
      <c r="L471" s="1683" t="s">
        <v>5520</v>
      </c>
      <c r="M471" s="1943">
        <v>4</v>
      </c>
      <c r="N471" s="1682" t="str">
        <f ca="1">IF((M471*S471*W471)&gt;0,"Met","Not Met")</f>
        <v>Not Met</v>
      </c>
      <c r="O471" s="1682"/>
      <c r="P471" s="1421" t="b">
        <v>0</v>
      </c>
      <c r="Q471" s="1421" t="b">
        <v>1</v>
      </c>
      <c r="R471" s="106" t="b">
        <v>0</v>
      </c>
      <c r="S471" s="106" t="b">
        <f ca="1">S14=1</f>
        <v>0</v>
      </c>
      <c r="T471" s="1421" t="b">
        <f ca="1">AND(NOT(S471),W471=TRUE)</f>
        <v>0</v>
      </c>
      <c r="U471" s="106"/>
      <c r="V471" s="106"/>
      <c r="W471" s="119"/>
      <c r="X471" s="1603"/>
      <c r="AC471" s="1421" t="b">
        <f ca="1">OR(AD471:AE471)</f>
        <v>0</v>
      </c>
      <c r="AD471" s="1421" t="b">
        <f ca="1">T471</f>
        <v>0</v>
      </c>
      <c r="AP471" s="1421" t="str">
        <f>SUBSTITUTE(SUBSTITUTE(SUBSTITUTE("vcc"&amp;$B471&amp;$C471&amp;$D471&amp;$E471,".","_"),"(","_"),")","")</f>
        <v>vcc901_8</v>
      </c>
      <c r="AQ471" s="1421" t="str">
        <f>IF(LEN(W471)=0,"",W471)</f>
        <v/>
      </c>
      <c r="AR471" s="1421" t="str">
        <f>SUBSTITUTE(SUBSTITUTE(SUBSTITUTE("vcn"&amp;$B471&amp;$C471&amp;$D471&amp;$E471,".","_"),"(","_"),")","")</f>
        <v>vcn901_8</v>
      </c>
      <c r="AS471" s="1421" t="str">
        <f>IF(LEN(X471)=0,"",X471)</f>
        <v/>
      </c>
    </row>
    <row r="472" spans="2:45" x14ac:dyDescent="0.2">
      <c r="B472" s="600">
        <v>901.8</v>
      </c>
      <c r="C472" s="23"/>
      <c r="D472" s="23"/>
      <c r="E472" s="23"/>
      <c r="F472" s="23"/>
      <c r="G472" s="1421" t="s">
        <v>3199</v>
      </c>
      <c r="H472" s="1421" t="s">
        <v>3199</v>
      </c>
      <c r="I472" s="161"/>
      <c r="J472" s="4"/>
      <c r="K472" s="4"/>
      <c r="L472" s="1631"/>
      <c r="M472" s="1937"/>
      <c r="N472" s="1669"/>
      <c r="O472" s="1669"/>
      <c r="X472" s="1600"/>
    </row>
    <row r="473" spans="2:45" x14ac:dyDescent="0.2">
      <c r="B473" s="600">
        <v>901.8</v>
      </c>
      <c r="C473" s="23"/>
      <c r="D473" s="23"/>
      <c r="E473" s="23"/>
      <c r="F473" s="23"/>
      <c r="G473" s="1421" t="s">
        <v>3199</v>
      </c>
      <c r="H473" s="1421" t="s">
        <v>3199</v>
      </c>
      <c r="I473" s="161"/>
      <c r="J473" s="4"/>
      <c r="K473" s="4"/>
      <c r="L473" s="1631"/>
      <c r="M473" s="1937"/>
      <c r="N473" s="1669"/>
      <c r="O473" s="1669"/>
      <c r="X473" s="1600"/>
    </row>
    <row r="474" spans="2:45" x14ac:dyDescent="0.2">
      <c r="B474" s="600">
        <v>901.8</v>
      </c>
      <c r="C474" s="23"/>
      <c r="D474" s="23"/>
      <c r="E474" s="23"/>
      <c r="F474" s="23"/>
      <c r="G474" s="1421" t="s">
        <v>3199</v>
      </c>
      <c r="H474" s="1421" t="s">
        <v>3199</v>
      </c>
      <c r="I474" s="161"/>
      <c r="J474" s="4"/>
      <c r="K474" s="4"/>
      <c r="L474" s="1631"/>
      <c r="M474" s="1937"/>
      <c r="N474" s="1669"/>
      <c r="O474" s="1669"/>
      <c r="X474" s="1600"/>
    </row>
    <row r="475" spans="2:45" x14ac:dyDescent="0.2">
      <c r="B475" s="600">
        <v>901.8</v>
      </c>
      <c r="C475" s="23"/>
      <c r="D475" s="23"/>
      <c r="E475" s="23"/>
      <c r="F475" s="23"/>
      <c r="G475" s="1421" t="s">
        <v>3199</v>
      </c>
      <c r="H475" s="1421" t="s">
        <v>3199</v>
      </c>
      <c r="I475" s="161"/>
      <c r="J475" s="4"/>
      <c r="K475" s="4"/>
      <c r="L475" s="1631"/>
      <c r="M475" s="1937"/>
      <c r="N475" s="1669"/>
      <c r="O475" s="1669"/>
      <c r="X475" s="1600"/>
    </row>
    <row r="476" spans="2:45" ht="16" thickBot="1" x14ac:dyDescent="0.25">
      <c r="B476" s="600">
        <v>901.8</v>
      </c>
      <c r="C476" s="23"/>
      <c r="D476" s="23"/>
      <c r="E476" s="23"/>
      <c r="F476" s="23"/>
      <c r="G476" s="1421" t="s">
        <v>3199</v>
      </c>
      <c r="H476" s="1421" t="s">
        <v>3199</v>
      </c>
      <c r="I476" s="407"/>
      <c r="J476" s="239"/>
      <c r="K476" s="239"/>
      <c r="L476" s="1630"/>
      <c r="M476" s="1944"/>
      <c r="N476" s="1638"/>
      <c r="O476" s="1638"/>
      <c r="P476" s="100"/>
      <c r="Q476" s="100"/>
      <c r="R476" s="100"/>
      <c r="S476" s="100"/>
      <c r="T476" s="100"/>
      <c r="U476" s="100"/>
      <c r="V476" s="100"/>
      <c r="W476" s="113"/>
      <c r="X476" s="1602"/>
    </row>
    <row r="477" spans="2:45" ht="16" thickTop="1" x14ac:dyDescent="0.2">
      <c r="B477" s="600">
        <v>901.9</v>
      </c>
      <c r="C477" s="23"/>
      <c r="D477" s="23"/>
      <c r="E477" s="23"/>
      <c r="F477" s="23"/>
      <c r="G477" s="1421" t="s">
        <v>3199</v>
      </c>
      <c r="H477" s="1421" t="s">
        <v>3199</v>
      </c>
      <c r="I477" s="177">
        <v>901.9</v>
      </c>
      <c r="J477" s="178"/>
      <c r="K477" s="178"/>
      <c r="L477" s="1683" t="s">
        <v>5521</v>
      </c>
      <c r="M477" s="1425"/>
      <c r="N477" s="1682" t="str">
        <f ca="1">IF((O480+O487+O492)&gt;0,"Met","Not Met")</f>
        <v>Not Met</v>
      </c>
      <c r="O477" s="1682"/>
      <c r="P477" s="106"/>
      <c r="Q477" s="106"/>
      <c r="R477" s="106"/>
      <c r="S477" s="106"/>
      <c r="T477" s="106"/>
      <c r="U477" s="106"/>
      <c r="V477" s="106"/>
      <c r="X477" s="1600"/>
      <c r="AR477" s="1421" t="str">
        <f>SUBSTITUTE(SUBSTITUTE(SUBSTITUTE("vcn"&amp;$B477&amp;$C477&amp;$D477&amp;$E477,".","_"),"(","_"),")","")</f>
        <v>vcn901_9</v>
      </c>
      <c r="AS477" s="1421" t="str">
        <f>IF(LEN(X477)=0,"",X477)</f>
        <v/>
      </c>
    </row>
    <row r="478" spans="2:45" x14ac:dyDescent="0.2">
      <c r="B478" s="600">
        <v>901.9</v>
      </c>
      <c r="C478" s="23"/>
      <c r="D478" s="23"/>
      <c r="E478" s="23"/>
      <c r="F478" s="23"/>
      <c r="G478" s="1421" t="s">
        <v>3199</v>
      </c>
      <c r="H478" s="1421" t="s">
        <v>3199</v>
      </c>
      <c r="I478" s="161"/>
      <c r="J478" s="4"/>
      <c r="K478" s="4"/>
      <c r="L478" s="1631"/>
      <c r="M478" s="1433"/>
      <c r="N478" s="1669"/>
      <c r="O478" s="1669"/>
      <c r="X478" s="1600"/>
    </row>
    <row r="479" spans="2:45" x14ac:dyDescent="0.2">
      <c r="B479" s="600">
        <v>901.9</v>
      </c>
      <c r="C479" s="23"/>
      <c r="D479" s="23"/>
      <c r="E479" s="23"/>
      <c r="F479" s="23"/>
      <c r="G479" s="1421" t="s">
        <v>3199</v>
      </c>
      <c r="H479" s="1421" t="s">
        <v>3199</v>
      </c>
      <c r="I479" s="161"/>
      <c r="J479" s="4"/>
      <c r="K479" s="4"/>
      <c r="L479" s="1631"/>
      <c r="M479" s="1433"/>
      <c r="N479" s="1669"/>
      <c r="O479" s="1669"/>
      <c r="X479" s="1600"/>
    </row>
    <row r="480" spans="2:45" x14ac:dyDescent="0.2">
      <c r="B480" s="600" t="s">
        <v>2723</v>
      </c>
      <c r="C480" s="23"/>
      <c r="D480" s="23"/>
      <c r="E480" s="23"/>
      <c r="F480" s="23"/>
      <c r="G480" s="1421" t="s">
        <v>3199</v>
      </c>
      <c r="H480" s="1421" t="s">
        <v>3199</v>
      </c>
      <c r="I480" s="67" t="s">
        <v>2723</v>
      </c>
      <c r="J480" s="4"/>
      <c r="K480" s="4"/>
      <c r="L480" s="1631" t="s">
        <v>5522</v>
      </c>
      <c r="M480" s="1937">
        <v>5</v>
      </c>
      <c r="N480" s="1669"/>
      <c r="O480" s="1939">
        <f ca="1">M480*S482*IFERROR(OR(W482,W484,W485),0)</f>
        <v>0</v>
      </c>
    </row>
    <row r="481" spans="2:45" x14ac:dyDescent="0.2">
      <c r="B481" s="600" t="s">
        <v>2723</v>
      </c>
      <c r="C481" s="23"/>
      <c r="D481" s="23"/>
      <c r="E481" s="23"/>
      <c r="F481" s="23"/>
      <c r="G481" s="1421" t="s">
        <v>3199</v>
      </c>
      <c r="H481" s="1421" t="s">
        <v>3199</v>
      </c>
      <c r="I481" s="161"/>
      <c r="J481" s="4"/>
      <c r="K481" s="4"/>
      <c r="L481" s="1631"/>
      <c r="M481" s="1937"/>
      <c r="N481" s="1669"/>
      <c r="O481" s="1939"/>
    </row>
    <row r="482" spans="2:45" x14ac:dyDescent="0.2">
      <c r="B482" s="600" t="s">
        <v>2723</v>
      </c>
      <c r="C482" s="23" t="s">
        <v>254</v>
      </c>
      <c r="D482" s="23"/>
      <c r="E482" s="23"/>
      <c r="F482" s="23"/>
      <c r="G482" s="1421" t="s">
        <v>3199</v>
      </c>
      <c r="H482" s="1421" t="s">
        <v>3199</v>
      </c>
      <c r="I482" s="161"/>
      <c r="J482" s="29" t="s">
        <v>254</v>
      </c>
      <c r="K482" s="4"/>
      <c r="L482" s="1611" t="s">
        <v>2724</v>
      </c>
      <c r="M482" s="1433"/>
      <c r="N482" s="1427"/>
      <c r="O482" s="1427"/>
      <c r="P482" s="1421" t="b">
        <v>0</v>
      </c>
      <c r="Q482" s="1421" t="b">
        <v>1</v>
      </c>
      <c r="R482" s="1421" t="b">
        <v>0</v>
      </c>
      <c r="S482" s="1421" t="b">
        <f ca="1">AND(NOT(W492),S14=1)</f>
        <v>0</v>
      </c>
      <c r="T482" s="1421" t="b">
        <f ca="1">AND(NOT(S482),W482=TRUE)</f>
        <v>0</v>
      </c>
      <c r="W482" s="27"/>
      <c r="X482" s="1600"/>
      <c r="AC482" s="1421" t="b">
        <f ca="1">OR(AD482:AE482)</f>
        <v>0</v>
      </c>
      <c r="AD482" s="1421" t="b">
        <f ca="1">T482</f>
        <v>0</v>
      </c>
      <c r="AP482" s="1421" t="str">
        <f>SUBSTITUTE(SUBSTITUTE(SUBSTITUTE("vcc"&amp;$B482&amp;$C482&amp;$D482&amp;$E482,".","_"),"(","_"),")","")</f>
        <v>vcc901_9_1_1</v>
      </c>
      <c r="AQ482" s="1421" t="str">
        <f>IF(LEN(W482)=0,"",W482)</f>
        <v/>
      </c>
      <c r="AR482" s="1421" t="str">
        <f>SUBSTITUTE(SUBSTITUTE(SUBSTITUTE("vcn"&amp;$B482&amp;$C482&amp;$D482&amp;$E482,".","_"),"(","_"),")","")</f>
        <v>vcn901_9_1_1</v>
      </c>
      <c r="AS482" s="1421" t="str">
        <f>IF(LEN(X482)=0,"",X482)</f>
        <v/>
      </c>
    </row>
    <row r="483" spans="2:45" x14ac:dyDescent="0.2">
      <c r="B483" s="600" t="s">
        <v>2723</v>
      </c>
      <c r="C483" s="23" t="s">
        <v>254</v>
      </c>
      <c r="D483" s="23"/>
      <c r="E483" s="23"/>
      <c r="F483" s="23"/>
      <c r="G483" s="1421" t="s">
        <v>3199</v>
      </c>
      <c r="H483" s="1421" t="s">
        <v>3199</v>
      </c>
      <c r="I483" s="161"/>
      <c r="J483" s="213"/>
      <c r="K483" s="213"/>
      <c r="L483" s="1612"/>
      <c r="M483" s="1433"/>
      <c r="N483" s="1427"/>
      <c r="O483" s="1427"/>
      <c r="X483" s="1600"/>
    </row>
    <row r="484" spans="2:45" x14ac:dyDescent="0.2">
      <c r="B484" s="600" t="s">
        <v>2723</v>
      </c>
      <c r="C484" s="23" t="s">
        <v>255</v>
      </c>
      <c r="D484" s="23"/>
      <c r="E484" s="23"/>
      <c r="F484" s="23"/>
      <c r="G484" s="1421" t="s">
        <v>3199</v>
      </c>
      <c r="H484" s="1421" t="s">
        <v>3199</v>
      </c>
      <c r="I484" s="161"/>
      <c r="J484" s="207" t="s">
        <v>255</v>
      </c>
      <c r="K484" s="213"/>
      <c r="L484" s="1430" t="s">
        <v>2725</v>
      </c>
      <c r="M484" s="1433"/>
      <c r="N484" s="1427"/>
      <c r="O484" s="1427"/>
      <c r="P484" s="1421" t="b">
        <v>0</v>
      </c>
      <c r="Q484" s="1421" t="b">
        <v>1</v>
      </c>
      <c r="R484" s="1421" t="b">
        <v>0</v>
      </c>
      <c r="S484" s="1421" t="b">
        <f ca="1">AND(NOT(W492),S14=1)</f>
        <v>0</v>
      </c>
      <c r="T484" s="1421" t="b">
        <f ca="1">AND(NOT(S484),W484=TRUE)</f>
        <v>0</v>
      </c>
      <c r="W484" s="27"/>
      <c r="X484" s="1432"/>
      <c r="AC484" s="1421" t="b">
        <f ca="1">OR(AD484:AE484)</f>
        <v>0</v>
      </c>
      <c r="AD484" s="1421" t="b">
        <f ca="1">T484</f>
        <v>0</v>
      </c>
      <c r="AP484" s="1421" t="str">
        <f>SUBSTITUTE(SUBSTITUTE(SUBSTITUTE("vcc"&amp;$B484&amp;$C484&amp;$D484&amp;$E484,".","_"),"(","_"),")","")</f>
        <v>vcc901_9_1_2</v>
      </c>
      <c r="AQ484" s="1421" t="str">
        <f>IF(LEN(W484)=0,"",W484)</f>
        <v/>
      </c>
      <c r="AR484" s="1421" t="str">
        <f>SUBSTITUTE(SUBSTITUTE(SUBSTITUTE("vcn"&amp;$B484&amp;$C484&amp;$D484&amp;$E484,".","_"),"(","_"),")","")</f>
        <v>vcn901_9_1_2</v>
      </c>
      <c r="AS484" s="1421" t="str">
        <f>IF(LEN(X484)=0,"",X484)</f>
        <v/>
      </c>
    </row>
    <row r="485" spans="2:45" x14ac:dyDescent="0.2">
      <c r="B485" s="600" t="s">
        <v>2723</v>
      </c>
      <c r="C485" s="23" t="s">
        <v>256</v>
      </c>
      <c r="D485" s="23"/>
      <c r="E485" s="23"/>
      <c r="F485" s="23"/>
      <c r="G485" s="1421" t="s">
        <v>3199</v>
      </c>
      <c r="H485" s="1421" t="s">
        <v>3199</v>
      </c>
      <c r="I485" s="161"/>
      <c r="J485" s="29" t="s">
        <v>256</v>
      </c>
      <c r="K485" s="4"/>
      <c r="L485" s="1441" t="s">
        <v>5523</v>
      </c>
      <c r="M485" s="1433"/>
      <c r="N485" s="1427"/>
      <c r="O485" s="1427"/>
      <c r="P485" s="1421" t="b">
        <v>0</v>
      </c>
      <c r="Q485" s="1421" t="b">
        <v>1</v>
      </c>
      <c r="R485" s="1421" t="b">
        <v>0</v>
      </c>
      <c r="S485" s="1421" t="b">
        <f ca="1">AND(NOT(W492),S14=1)</f>
        <v>0</v>
      </c>
      <c r="T485" s="1421" t="b">
        <f ca="1">AND(NOT(S485),W485=TRUE)</f>
        <v>0</v>
      </c>
      <c r="W485" s="27"/>
      <c r="X485" s="1600"/>
      <c r="AC485" s="1421" t="b">
        <f ca="1">OR(AD485:AE485)</f>
        <v>0</v>
      </c>
      <c r="AD485" s="1421" t="b">
        <f ca="1">T485</f>
        <v>0</v>
      </c>
      <c r="AP485" s="1421" t="str">
        <f>SUBSTITUTE(SUBSTITUTE(SUBSTITUTE("vcc"&amp;$B485&amp;$C485&amp;$D485&amp;$E485,".","_"),"(","_"),")","")</f>
        <v>vcc901_9_1_3</v>
      </c>
      <c r="AQ485" s="1421" t="str">
        <f>IF(LEN(W485)=0,"",W485)</f>
        <v/>
      </c>
      <c r="AR485" s="1421" t="str">
        <f>SUBSTITUTE(SUBSTITUTE(SUBSTITUTE("vcn"&amp;$B485&amp;$C485&amp;$D485&amp;$E485,".","_"),"(","_"),")","")</f>
        <v>vcn901_9_1_3</v>
      </c>
      <c r="AS485" s="1421" t="str">
        <f>IF(LEN(X485)=0,"",X485)</f>
        <v/>
      </c>
    </row>
    <row r="486" spans="2:45" x14ac:dyDescent="0.2">
      <c r="B486" s="600" t="s">
        <v>2723</v>
      </c>
      <c r="C486" s="23" t="s">
        <v>256</v>
      </c>
      <c r="D486" s="23"/>
      <c r="E486" s="23"/>
      <c r="F486" s="20"/>
      <c r="G486" s="1421" t="s">
        <v>3199</v>
      </c>
      <c r="H486" s="1421" t="s">
        <v>3199</v>
      </c>
      <c r="I486" s="173"/>
      <c r="J486" s="173"/>
      <c r="K486" s="173"/>
      <c r="L486" s="441" t="s">
        <v>5524</v>
      </c>
      <c r="M486" s="213"/>
      <c r="N486" s="213"/>
      <c r="O486" s="213"/>
      <c r="P486" s="173"/>
      <c r="Q486" s="173"/>
      <c r="R486" s="173"/>
      <c r="S486" s="173"/>
      <c r="T486" s="173"/>
      <c r="U486" s="173"/>
      <c r="V486" s="173"/>
      <c r="X486" s="1600"/>
    </row>
    <row r="487" spans="2:45" x14ac:dyDescent="0.2">
      <c r="B487" s="600" t="s">
        <v>2726</v>
      </c>
      <c r="C487" s="23"/>
      <c r="D487" s="23"/>
      <c r="E487" s="23"/>
      <c r="F487" s="23"/>
      <c r="G487" s="1421" t="s">
        <v>3199</v>
      </c>
      <c r="H487" s="1421" t="s">
        <v>3199</v>
      </c>
      <c r="I487" s="192" t="s">
        <v>2726</v>
      </c>
      <c r="J487" s="193"/>
      <c r="K487" s="193"/>
      <c r="L487" s="1712" t="s">
        <v>5525</v>
      </c>
      <c r="M487" s="1941">
        <v>1</v>
      </c>
      <c r="N487" s="1637"/>
      <c r="O487" s="1957">
        <f ca="1">M487*S487*W487</f>
        <v>0</v>
      </c>
      <c r="P487" s="1421" t="b">
        <v>0</v>
      </c>
      <c r="Q487" s="1421" t="b">
        <v>1</v>
      </c>
      <c r="R487" s="195" t="b">
        <v>0</v>
      </c>
      <c r="S487" s="195" t="b">
        <f ca="1">AND(IFERROR(OR(AND(W482,W484,W485),W492),FALSE),S14=1)</f>
        <v>0</v>
      </c>
      <c r="T487" s="1421" t="b">
        <f ca="1">AND(NOT(S487),W487=TRUE)</f>
        <v>0</v>
      </c>
      <c r="U487" s="195"/>
      <c r="V487" s="195"/>
      <c r="W487" s="27"/>
      <c r="X487" s="1600"/>
      <c r="AC487" s="1421" t="b">
        <f ca="1">OR(AD487:AE487)</f>
        <v>0</v>
      </c>
      <c r="AD487" s="1421" t="b">
        <f ca="1">T487</f>
        <v>0</v>
      </c>
      <c r="AP487" s="1421" t="str">
        <f>SUBSTITUTE(SUBSTITUTE(SUBSTITUTE("vcc"&amp;$B487&amp;$C487&amp;$D487&amp;$E487,".","_"),"(","_"),")","")</f>
        <v>vcc901_9_2</v>
      </c>
      <c r="AQ487" s="1421" t="str">
        <f>IF(LEN(W487)=0,"",W487)</f>
        <v/>
      </c>
      <c r="AR487" s="1421" t="str">
        <f>SUBSTITUTE(SUBSTITUTE(SUBSTITUTE("vcn"&amp;$B487&amp;$C487&amp;$D487&amp;$E487,".","_"),"(","_"),")","")</f>
        <v>vcn901_9_2</v>
      </c>
      <c r="AS487" s="1421" t="str">
        <f>IF(LEN(X487)=0,"",X487)</f>
        <v/>
      </c>
    </row>
    <row r="488" spans="2:45" x14ac:dyDescent="0.2">
      <c r="B488" s="600" t="s">
        <v>2726</v>
      </c>
      <c r="C488" s="23"/>
      <c r="D488" s="23"/>
      <c r="E488" s="23"/>
      <c r="F488" s="23"/>
      <c r="G488" s="1421" t="s">
        <v>3199</v>
      </c>
      <c r="H488" s="1421" t="s">
        <v>3199</v>
      </c>
      <c r="I488" s="161"/>
      <c r="J488" s="4"/>
      <c r="K488" s="4"/>
      <c r="L488" s="1631"/>
      <c r="M488" s="1937"/>
      <c r="N488" s="1669"/>
      <c r="O488" s="1939"/>
      <c r="X488" s="1600"/>
    </row>
    <row r="489" spans="2:45" x14ac:dyDescent="0.2">
      <c r="B489" s="600" t="s">
        <v>2726</v>
      </c>
      <c r="C489" s="23"/>
      <c r="D489" s="23"/>
      <c r="E489" s="23"/>
      <c r="F489" s="23"/>
      <c r="G489" s="1421" t="s">
        <v>3199</v>
      </c>
      <c r="H489" s="1421" t="s">
        <v>3199</v>
      </c>
      <c r="I489" s="161"/>
      <c r="J489" s="4"/>
      <c r="K489" s="4"/>
      <c r="L489" s="1816" t="s">
        <v>5526</v>
      </c>
      <c r="M489" s="1937"/>
      <c r="N489" s="1669"/>
      <c r="O489" s="1939"/>
      <c r="X489" s="1600"/>
    </row>
    <row r="490" spans="2:45" x14ac:dyDescent="0.2">
      <c r="B490" s="600" t="s">
        <v>2726</v>
      </c>
      <c r="C490" s="23"/>
      <c r="D490" s="23"/>
      <c r="E490" s="23"/>
      <c r="F490" s="23"/>
      <c r="G490" s="1421" t="s">
        <v>3199</v>
      </c>
      <c r="H490" s="1421" t="s">
        <v>3199</v>
      </c>
      <c r="I490" s="161"/>
      <c r="J490" s="4"/>
      <c r="K490" s="4"/>
      <c r="L490" s="1816"/>
      <c r="M490" s="1937"/>
      <c r="N490" s="1669"/>
      <c r="O490" s="1939"/>
      <c r="X490" s="1600"/>
    </row>
    <row r="491" spans="2:45" x14ac:dyDescent="0.2">
      <c r="B491" s="600" t="s">
        <v>2726</v>
      </c>
      <c r="C491" s="23"/>
      <c r="D491" s="23"/>
      <c r="E491" s="23"/>
      <c r="F491" s="23"/>
      <c r="G491" s="1421" t="s">
        <v>3199</v>
      </c>
      <c r="H491" s="1421" t="s">
        <v>3199</v>
      </c>
      <c r="I491" s="438"/>
      <c r="J491" s="213"/>
      <c r="K491" s="213"/>
      <c r="L491" s="441" t="s">
        <v>5527</v>
      </c>
      <c r="M491" s="1424"/>
      <c r="N491" s="1429"/>
      <c r="O491" s="1429"/>
      <c r="P491" s="173"/>
      <c r="Q491" s="173"/>
      <c r="R491" s="173"/>
      <c r="S491" s="173"/>
      <c r="T491" s="173"/>
      <c r="U491" s="173"/>
      <c r="V491" s="173"/>
      <c r="X491" s="1600"/>
    </row>
    <row r="492" spans="2:45" x14ac:dyDescent="0.2">
      <c r="B492" s="600" t="s">
        <v>2727</v>
      </c>
      <c r="C492" s="23"/>
      <c r="D492" s="23"/>
      <c r="E492" s="23"/>
      <c r="F492" s="23"/>
      <c r="G492" s="1421" t="s">
        <v>3199</v>
      </c>
      <c r="H492" s="1421" t="s">
        <v>3199</v>
      </c>
      <c r="I492" s="67" t="s">
        <v>2727</v>
      </c>
      <c r="J492" s="4"/>
      <c r="K492" s="4"/>
      <c r="L492" s="1631" t="s">
        <v>5528</v>
      </c>
      <c r="M492" s="1937">
        <v>8</v>
      </c>
      <c r="N492" s="1669"/>
      <c r="O492" s="1939">
        <f ca="1">M492*S492*W492</f>
        <v>0</v>
      </c>
      <c r="P492" s="1421" t="b">
        <v>0</v>
      </c>
      <c r="Q492" s="1421" t="b">
        <v>1</v>
      </c>
      <c r="R492" s="1421" t="b">
        <v>0</v>
      </c>
      <c r="S492" s="1421" t="b">
        <f ca="1">AND(NOT(W482),NOT(W484),NOT(W485),S14=1)</f>
        <v>0</v>
      </c>
      <c r="T492" s="1421" t="b">
        <f ca="1">AND(NOT(S492),W492=TRUE)</f>
        <v>0</v>
      </c>
      <c r="W492" s="27"/>
      <c r="X492" s="1599"/>
      <c r="AC492" s="1421" t="b">
        <f ca="1">OR(AD492:AE492)</f>
        <v>0</v>
      </c>
      <c r="AD492" s="1421" t="b">
        <f ca="1">T492</f>
        <v>0</v>
      </c>
      <c r="AP492" s="1421" t="str">
        <f>SUBSTITUTE(SUBSTITUTE(SUBSTITUTE("vcc"&amp;$B492&amp;$C492&amp;$D492&amp;$E492,".","_"),"(","_"),")","")</f>
        <v>vcc901_9_3</v>
      </c>
      <c r="AQ492" s="1421" t="str">
        <f>IF(LEN(W492)=0,"",W492)</f>
        <v/>
      </c>
      <c r="AR492" s="1421" t="str">
        <f>SUBSTITUTE(SUBSTITUTE(SUBSTITUTE("vcn"&amp;$B492&amp;$C492&amp;$D492&amp;$E492,".","_"),"(","_"),")","")</f>
        <v>vcn901_9_3</v>
      </c>
      <c r="AS492" s="1421" t="str">
        <f>IF(LEN(X492)=0,"",X492)</f>
        <v/>
      </c>
    </row>
    <row r="493" spans="2:45" x14ac:dyDescent="0.2">
      <c r="B493" s="600" t="s">
        <v>2727</v>
      </c>
      <c r="C493" s="23"/>
      <c r="D493" s="23"/>
      <c r="E493" s="23"/>
      <c r="F493" s="23"/>
      <c r="G493" s="1421" t="s">
        <v>3199</v>
      </c>
      <c r="H493" s="1421" t="s">
        <v>3199</v>
      </c>
      <c r="I493" s="161"/>
      <c r="J493" s="4"/>
      <c r="K493" s="4"/>
      <c r="L493" s="1631"/>
      <c r="M493" s="1937"/>
      <c r="N493" s="1669"/>
      <c r="O493" s="1939"/>
      <c r="X493" s="1600"/>
    </row>
    <row r="494" spans="2:45" x14ac:dyDescent="0.2">
      <c r="B494" s="600" t="s">
        <v>2727</v>
      </c>
      <c r="C494" s="23"/>
      <c r="D494" s="23"/>
      <c r="E494" s="23"/>
      <c r="F494" s="23"/>
      <c r="G494" s="1421" t="s">
        <v>3199</v>
      </c>
      <c r="H494" s="1421" t="s">
        <v>3199</v>
      </c>
      <c r="I494" s="161"/>
      <c r="J494" s="4"/>
      <c r="K494" s="4"/>
      <c r="L494" s="1631"/>
      <c r="M494" s="1937"/>
      <c r="N494" s="1669"/>
      <c r="O494" s="1939"/>
      <c r="X494" s="1600"/>
    </row>
    <row r="495" spans="2:45" x14ac:dyDescent="0.2">
      <c r="B495" s="600" t="s">
        <v>2727</v>
      </c>
      <c r="C495" s="23"/>
      <c r="D495" s="23"/>
      <c r="E495" s="23"/>
      <c r="F495" s="23"/>
      <c r="G495" s="1421" t="s">
        <v>3199</v>
      </c>
      <c r="H495" s="1421" t="s">
        <v>3199</v>
      </c>
      <c r="I495" s="161"/>
      <c r="J495" s="4"/>
      <c r="K495" s="4"/>
      <c r="L495" s="1631"/>
      <c r="M495" s="1937"/>
      <c r="N495" s="1669"/>
      <c r="O495" s="1939"/>
      <c r="X495" s="1600"/>
    </row>
    <row r="496" spans="2:45" x14ac:dyDescent="0.2">
      <c r="B496" s="600" t="s">
        <v>2727</v>
      </c>
      <c r="C496" s="23"/>
      <c r="D496" s="23"/>
      <c r="E496" s="23"/>
      <c r="F496" s="23"/>
      <c r="G496" s="1421" t="s">
        <v>3199</v>
      </c>
      <c r="H496" s="1421" t="s">
        <v>3199</v>
      </c>
      <c r="I496" s="161"/>
      <c r="J496" s="4"/>
      <c r="K496" s="4"/>
      <c r="L496" s="1631"/>
      <c r="M496" s="1937"/>
      <c r="N496" s="1669"/>
      <c r="O496" s="1939"/>
      <c r="X496" s="1600"/>
    </row>
    <row r="497" spans="2:45" ht="16" thickBot="1" x14ac:dyDescent="0.25">
      <c r="B497" s="600" t="s">
        <v>2727</v>
      </c>
      <c r="C497" s="23"/>
      <c r="D497" s="23"/>
      <c r="E497" s="23"/>
      <c r="F497" s="23"/>
      <c r="G497" s="1421" t="s">
        <v>3199</v>
      </c>
      <c r="H497" s="1421" t="s">
        <v>3199</v>
      </c>
      <c r="I497" s="407"/>
      <c r="J497" s="239"/>
      <c r="K497" s="239"/>
      <c r="L497" s="1630"/>
      <c r="M497" s="1944"/>
      <c r="N497" s="1638"/>
      <c r="O497" s="1956"/>
      <c r="P497" s="100"/>
      <c r="Q497" s="100"/>
      <c r="R497" s="100"/>
      <c r="S497" s="100"/>
      <c r="T497" s="100"/>
      <c r="U497" s="100"/>
      <c r="V497" s="100"/>
      <c r="W497" s="113"/>
      <c r="X497" s="1602"/>
    </row>
    <row r="498" spans="2:45" ht="16" thickTop="1" x14ac:dyDescent="0.2">
      <c r="B498" s="675" t="s">
        <v>3196</v>
      </c>
      <c r="C498" s="23"/>
      <c r="D498" s="23"/>
      <c r="E498" s="23"/>
      <c r="F498" s="23"/>
      <c r="G498" s="1421" t="s">
        <v>3199</v>
      </c>
      <c r="H498" s="1421" t="s">
        <v>3199</v>
      </c>
      <c r="I498" s="226">
        <v>901.1</v>
      </c>
      <c r="J498" s="4"/>
      <c r="K498" s="4"/>
      <c r="L498" s="1631" t="s">
        <v>5529</v>
      </c>
      <c r="M498" s="1433"/>
      <c r="N498" s="1682" t="str">
        <f ca="1">IF((IF(W507=TRUE,5,IF(W506=TRUE,5,IF(W501=TRUE,8,0)))*S501)&gt;0,"Met","Not Met")</f>
        <v>Not Met</v>
      </c>
      <c r="O498" s="1682"/>
    </row>
    <row r="499" spans="2:45" x14ac:dyDescent="0.2">
      <c r="B499" s="675" t="s">
        <v>3196</v>
      </c>
      <c r="C499" s="23"/>
      <c r="D499" s="23"/>
      <c r="E499" s="23"/>
      <c r="F499" s="23"/>
      <c r="G499" s="1421" t="s">
        <v>3199</v>
      </c>
      <c r="H499" s="1421" t="s">
        <v>3199</v>
      </c>
      <c r="I499" s="161"/>
      <c r="J499" s="4"/>
      <c r="K499" s="4"/>
      <c r="L499" s="1631"/>
      <c r="M499" s="1433"/>
      <c r="N499" s="1669"/>
      <c r="O499" s="1669"/>
    </row>
    <row r="500" spans="2:45" x14ac:dyDescent="0.2">
      <c r="B500" s="675" t="s">
        <v>3196</v>
      </c>
      <c r="C500" s="23"/>
      <c r="D500" s="23"/>
      <c r="E500" s="23"/>
      <c r="F500" s="23"/>
      <c r="G500" s="1421" t="s">
        <v>3199</v>
      </c>
      <c r="H500" s="1421" t="s">
        <v>3199</v>
      </c>
      <c r="I500" s="161"/>
      <c r="J500" s="4"/>
      <c r="K500" s="4"/>
      <c r="L500" s="1631"/>
      <c r="M500" s="1433"/>
      <c r="N500" s="1669"/>
      <c r="O500" s="1669"/>
    </row>
    <row r="501" spans="2:45" x14ac:dyDescent="0.2">
      <c r="B501" s="675" t="s">
        <v>3196</v>
      </c>
      <c r="C501" s="23" t="s">
        <v>254</v>
      </c>
      <c r="D501" s="23"/>
      <c r="E501" s="23"/>
      <c r="F501" s="23"/>
      <c r="G501" s="1421" t="s">
        <v>3199</v>
      </c>
      <c r="H501" s="1421" t="s">
        <v>3199</v>
      </c>
      <c r="I501" s="161"/>
      <c r="J501" s="29" t="s">
        <v>254</v>
      </c>
      <c r="K501" s="4"/>
      <c r="L501" s="1611" t="s">
        <v>5530</v>
      </c>
      <c r="M501" s="1937">
        <v>8</v>
      </c>
      <c r="N501" s="1427"/>
      <c r="O501" s="1427"/>
      <c r="P501" s="1421" t="b">
        <v>0</v>
      </c>
      <c r="Q501" s="1421" t="b">
        <v>1</v>
      </c>
      <c r="R501" s="1421" t="b">
        <v>0</v>
      </c>
      <c r="S501" s="1421" t="b">
        <f ca="1">S14=1</f>
        <v>0</v>
      </c>
      <c r="T501" s="1421" t="b">
        <f ca="1">AND(NOT(S501),W501=TRUE)</f>
        <v>0</v>
      </c>
      <c r="W501" s="27"/>
      <c r="X501" s="1600"/>
      <c r="AC501" s="1421" t="b">
        <f ca="1">OR(AD501:AE501)</f>
        <v>0</v>
      </c>
      <c r="AD501" s="1421" t="b">
        <f ca="1">T501</f>
        <v>0</v>
      </c>
      <c r="AP501" s="1421" t="str">
        <f>SUBSTITUTE(SUBSTITUTE(SUBSTITUTE("vcc"&amp;$B501&amp;$C501&amp;$D501&amp;$E501,".","_"),"(","_"),")","")</f>
        <v>vcc901_10_1</v>
      </c>
      <c r="AQ501" s="1421" t="str">
        <f>IF(LEN(W501)=0,"",W501)</f>
        <v/>
      </c>
      <c r="AR501" s="1421" t="str">
        <f>SUBSTITUTE(SUBSTITUTE(SUBSTITUTE("vcn"&amp;$B501&amp;$C501&amp;$D501&amp;$E501,".","_"),"(","_"),")","")</f>
        <v>vcn901_10_1</v>
      </c>
      <c r="AS501" s="1421" t="str">
        <f>IF(LEN(X501)=0,"",X501)</f>
        <v/>
      </c>
    </row>
    <row r="502" spans="2:45" x14ac:dyDescent="0.2">
      <c r="B502" s="675" t="s">
        <v>3196</v>
      </c>
      <c r="C502" s="23" t="s">
        <v>254</v>
      </c>
      <c r="D502" s="23"/>
      <c r="E502" s="23"/>
      <c r="F502" s="23"/>
      <c r="G502" s="1421" t="s">
        <v>3199</v>
      </c>
      <c r="H502" s="1421" t="s">
        <v>3199</v>
      </c>
      <c r="I502" s="161"/>
      <c r="J502" s="4"/>
      <c r="K502" s="4"/>
      <c r="L502" s="1611"/>
      <c r="M502" s="1937"/>
      <c r="N502" s="1427"/>
      <c r="O502" s="1427"/>
      <c r="X502" s="1600"/>
    </row>
    <row r="503" spans="2:45" x14ac:dyDescent="0.2">
      <c r="B503" s="675" t="s">
        <v>3196</v>
      </c>
      <c r="C503" s="23" t="s">
        <v>254</v>
      </c>
      <c r="D503" s="23"/>
      <c r="E503" s="23"/>
      <c r="F503" s="23"/>
      <c r="G503" s="1421" t="s">
        <v>3199</v>
      </c>
      <c r="H503" s="1421" t="s">
        <v>3199</v>
      </c>
      <c r="I503" s="161"/>
      <c r="J503" s="4"/>
      <c r="K503" s="4"/>
      <c r="L503" s="1611"/>
      <c r="M503" s="1937"/>
      <c r="N503" s="1427"/>
      <c r="O503" s="1427"/>
      <c r="X503" s="1600"/>
    </row>
    <row r="504" spans="2:45" x14ac:dyDescent="0.2">
      <c r="B504" s="675" t="s">
        <v>3196</v>
      </c>
      <c r="C504" s="23" t="s">
        <v>254</v>
      </c>
      <c r="D504" s="23"/>
      <c r="E504" s="23"/>
      <c r="F504" s="23"/>
      <c r="G504" s="1421" t="s">
        <v>3199</v>
      </c>
      <c r="H504" s="1421" t="s">
        <v>3199</v>
      </c>
      <c r="I504" s="161"/>
      <c r="J504" s="4"/>
      <c r="K504" s="4"/>
      <c r="L504" s="1611"/>
      <c r="M504" s="1937"/>
      <c r="N504" s="1427"/>
      <c r="O504" s="1427"/>
      <c r="X504" s="1600"/>
    </row>
    <row r="505" spans="2:45" x14ac:dyDescent="0.2">
      <c r="B505" s="675" t="s">
        <v>3196</v>
      </c>
      <c r="C505" s="23" t="s">
        <v>254</v>
      </c>
      <c r="D505" s="23"/>
      <c r="E505" s="23"/>
      <c r="F505" s="23"/>
      <c r="G505" s="1421" t="s">
        <v>3199</v>
      </c>
      <c r="H505" s="1421" t="s">
        <v>3199</v>
      </c>
      <c r="I505" s="161"/>
      <c r="J505" s="213"/>
      <c r="K505" s="213"/>
      <c r="L505" s="1612"/>
      <c r="M505" s="1938"/>
      <c r="N505" s="1427"/>
      <c r="O505" s="1427"/>
      <c r="X505" s="1600"/>
    </row>
    <row r="506" spans="2:45" x14ac:dyDescent="0.2">
      <c r="B506" s="675" t="s">
        <v>3196</v>
      </c>
      <c r="C506" s="23" t="s">
        <v>255</v>
      </c>
      <c r="D506" s="23"/>
      <c r="E506" s="23"/>
      <c r="F506" s="23"/>
      <c r="G506" s="1421" t="s">
        <v>3199</v>
      </c>
      <c r="H506" s="1421" t="s">
        <v>3199</v>
      </c>
      <c r="I506" s="161"/>
      <c r="J506" s="207" t="s">
        <v>255</v>
      </c>
      <c r="K506" s="213"/>
      <c r="L506" s="1430" t="s">
        <v>2728</v>
      </c>
      <c r="M506" s="1475">
        <v>5</v>
      </c>
      <c r="N506" s="1427"/>
      <c r="O506" s="1427"/>
      <c r="P506" s="1421" t="b">
        <v>0</v>
      </c>
      <c r="Q506" s="1421" t="b">
        <v>1</v>
      </c>
      <c r="R506" s="1421" t="b">
        <v>0</v>
      </c>
      <c r="S506" s="1421" t="b">
        <f ca="1">S14=1</f>
        <v>0</v>
      </c>
      <c r="T506" s="1421" t="b">
        <f ca="1">AND(NOT(S506),W506=TRUE)</f>
        <v>0</v>
      </c>
      <c r="W506" s="27"/>
      <c r="X506" s="1432"/>
      <c r="AC506" s="1421" t="b">
        <f ca="1">OR(AD506:AE506)</f>
        <v>0</v>
      </c>
      <c r="AD506" s="1421" t="b">
        <f ca="1">T506</f>
        <v>0</v>
      </c>
      <c r="AP506" s="1421" t="str">
        <f>SUBSTITUTE(SUBSTITUTE(SUBSTITUTE("vcc"&amp;$B506&amp;$C506&amp;$D506&amp;$E506,".","_"),"(","_"),")","")</f>
        <v>vcc901_10_2</v>
      </c>
      <c r="AQ506" s="1421" t="str">
        <f>IF(LEN(W506)=0,"",W506)</f>
        <v/>
      </c>
      <c r="AR506" s="1421" t="str">
        <f>SUBSTITUTE(SUBSTITUTE(SUBSTITUTE("vcn"&amp;$B506&amp;$C506&amp;$D506&amp;$E506,".","_"),"(","_"),")","")</f>
        <v>vcn901_10_2</v>
      </c>
      <c r="AS506" s="1421" t="str">
        <f>IF(LEN(X506)=0,"",X506)</f>
        <v/>
      </c>
    </row>
    <row r="507" spans="2:45" x14ac:dyDescent="0.2">
      <c r="B507" s="675" t="s">
        <v>3196</v>
      </c>
      <c r="C507" s="23" t="s">
        <v>256</v>
      </c>
      <c r="D507" s="23"/>
      <c r="E507" s="23"/>
      <c r="F507" s="23"/>
      <c r="G507" s="1421" t="s">
        <v>3199</v>
      </c>
      <c r="H507" s="1421" t="s">
        <v>3199</v>
      </c>
      <c r="I507" s="161"/>
      <c r="J507" s="29" t="s">
        <v>256</v>
      </c>
      <c r="K507" s="4"/>
      <c r="L507" s="1611" t="s">
        <v>5531</v>
      </c>
      <c r="M507" s="1937">
        <v>5</v>
      </c>
      <c r="N507" s="1427"/>
      <c r="O507" s="1427"/>
      <c r="P507" s="1421" t="b">
        <v>0</v>
      </c>
      <c r="Q507" s="1421" t="b">
        <v>1</v>
      </c>
      <c r="R507" s="1421" t="b">
        <v>0</v>
      </c>
      <c r="S507" s="1421" t="b">
        <f ca="1">S14=1</f>
        <v>0</v>
      </c>
      <c r="T507" s="1421" t="b">
        <f ca="1">AND(NOT(S507),W507=TRUE)</f>
        <v>0</v>
      </c>
      <c r="W507" s="27"/>
      <c r="X507" s="1600"/>
      <c r="AC507" s="1421" t="b">
        <f ca="1">OR(AD507:AE507)</f>
        <v>0</v>
      </c>
      <c r="AD507" s="1421" t="b">
        <f ca="1">T507</f>
        <v>0</v>
      </c>
      <c r="AP507" s="1421" t="str">
        <f>SUBSTITUTE(SUBSTITUTE(SUBSTITUTE("vcc"&amp;$B507&amp;$C507&amp;$D507&amp;$E507,".","_"),"(","_"),")","")</f>
        <v>vcc901_10_3</v>
      </c>
      <c r="AQ507" s="1421" t="str">
        <f>IF(LEN(W507)=0,"",W507)</f>
        <v/>
      </c>
      <c r="AR507" s="1421" t="str">
        <f>SUBSTITUTE(SUBSTITUTE(SUBSTITUTE("vcn"&amp;$B507&amp;$C507&amp;$D507&amp;$E507,".","_"),"(","_"),")","")</f>
        <v>vcn901_10_3</v>
      </c>
      <c r="AS507" s="1421" t="str">
        <f>IF(LEN(X507)=0,"",X507)</f>
        <v/>
      </c>
    </row>
    <row r="508" spans="2:45" x14ac:dyDescent="0.2">
      <c r="B508" s="675" t="s">
        <v>3196</v>
      </c>
      <c r="C508" s="23" t="s">
        <v>256</v>
      </c>
      <c r="D508" s="23"/>
      <c r="E508" s="23"/>
      <c r="F508" s="23"/>
      <c r="G508" s="1421" t="s">
        <v>3199</v>
      </c>
      <c r="H508" s="1421" t="s">
        <v>3199</v>
      </c>
      <c r="I508" s="161"/>
      <c r="J508" s="4"/>
      <c r="K508" s="4"/>
      <c r="L508" s="1611"/>
      <c r="M508" s="1937"/>
      <c r="N508" s="1427"/>
      <c r="O508" s="1427"/>
      <c r="X508" s="1600"/>
    </row>
    <row r="509" spans="2:45" x14ac:dyDescent="0.2">
      <c r="B509" s="675" t="s">
        <v>3196</v>
      </c>
      <c r="C509" s="23" t="s">
        <v>256</v>
      </c>
      <c r="D509" s="23"/>
      <c r="E509" s="23"/>
      <c r="F509" s="23"/>
      <c r="G509" s="1421" t="s">
        <v>3199</v>
      </c>
      <c r="H509" s="1421" t="s">
        <v>3199</v>
      </c>
      <c r="I509" s="161"/>
      <c r="J509" s="4"/>
      <c r="K509" s="4"/>
      <c r="L509" s="1611"/>
      <c r="M509" s="1937"/>
      <c r="N509" s="1427"/>
      <c r="O509" s="1427"/>
      <c r="X509" s="1600"/>
    </row>
    <row r="510" spans="2:45" ht="16" thickBot="1" x14ac:dyDescent="0.25">
      <c r="B510" s="675" t="s">
        <v>3196</v>
      </c>
      <c r="C510" s="23" t="s">
        <v>256</v>
      </c>
      <c r="D510" s="23"/>
      <c r="E510" s="23"/>
      <c r="F510" s="23"/>
      <c r="G510" s="1421" t="s">
        <v>3199</v>
      </c>
      <c r="H510" s="1421" t="s">
        <v>3199</v>
      </c>
      <c r="I510" s="407"/>
      <c r="J510" s="239"/>
      <c r="K510" s="239"/>
      <c r="L510" s="408" t="s">
        <v>5532</v>
      </c>
      <c r="M510" s="1426"/>
      <c r="N510" s="1428"/>
      <c r="O510" s="1428"/>
      <c r="P510" s="100"/>
      <c r="Q510" s="100"/>
      <c r="R510" s="100"/>
      <c r="S510" s="100"/>
      <c r="T510" s="100"/>
      <c r="U510" s="100"/>
      <c r="V510" s="100"/>
      <c r="W510" s="113"/>
      <c r="X510" s="1602"/>
    </row>
    <row r="511" spans="2:45" ht="16" thickTop="1" x14ac:dyDescent="0.2">
      <c r="B511" s="600">
        <v>901.11</v>
      </c>
      <c r="C511" s="23"/>
      <c r="D511" s="23"/>
      <c r="E511" s="23"/>
      <c r="F511" s="23"/>
      <c r="G511" s="1421" t="s">
        <v>3199</v>
      </c>
      <c r="H511" s="1421" t="s">
        <v>3197</v>
      </c>
      <c r="I511" s="177">
        <v>901.11</v>
      </c>
      <c r="J511" s="178"/>
      <c r="K511" s="178"/>
      <c r="L511" s="1683" t="s">
        <v>5533</v>
      </c>
      <c r="M511" s="1943">
        <v>4</v>
      </c>
      <c r="N511" s="1682" t="str">
        <f ca="1">IF((M511*S511*W511)&gt;0,"Met","Not Met")</f>
        <v>Not Met</v>
      </c>
      <c r="O511" s="1682"/>
      <c r="P511" s="1421" t="b">
        <v>1</v>
      </c>
      <c r="Q511" s="1421" t="b">
        <v>1</v>
      </c>
      <c r="R511" s="106" t="b">
        <v>0</v>
      </c>
      <c r="S511" s="106" t="b">
        <f ca="1">S14=1</f>
        <v>0</v>
      </c>
      <c r="T511" s="1421" t="b">
        <f ca="1">AND(NOT(S511),W511=TRUE)</f>
        <v>0</v>
      </c>
      <c r="U511" s="106"/>
      <c r="V511" s="106"/>
      <c r="W511" s="119"/>
      <c r="X511" s="1603"/>
      <c r="AC511" s="1421" t="b">
        <f ca="1">OR(AD511:AE511)</f>
        <v>0</v>
      </c>
      <c r="AD511" s="1421" t="b">
        <f ca="1">T511</f>
        <v>0</v>
      </c>
      <c r="AP511" s="1421" t="str">
        <f>SUBSTITUTE(SUBSTITUTE(SUBSTITUTE("vcc"&amp;$B511&amp;$C511&amp;$D511&amp;$E511,".","_"),"(","_"),")","")</f>
        <v>vcc901_11</v>
      </c>
      <c r="AQ511" s="1421" t="str">
        <f>IF(LEN(W511)=0,"",W511)</f>
        <v/>
      </c>
      <c r="AR511" s="1421" t="str">
        <f>SUBSTITUTE(SUBSTITUTE(SUBSTITUTE("vcn"&amp;$B511&amp;$C511&amp;$D511&amp;$E511,".","_"),"(","_"),")","")</f>
        <v>vcn901_11</v>
      </c>
      <c r="AS511" s="1421" t="str">
        <f>IF(LEN(X511)=0,"",X511)</f>
        <v/>
      </c>
    </row>
    <row r="512" spans="2:45" x14ac:dyDescent="0.2">
      <c r="B512" s="600">
        <v>901.11</v>
      </c>
      <c r="C512" s="23"/>
      <c r="D512" s="23"/>
      <c r="E512" s="23"/>
      <c r="F512" s="23"/>
      <c r="G512" s="1421" t="s">
        <v>3199</v>
      </c>
      <c r="H512" s="1421" t="s">
        <v>3197</v>
      </c>
      <c r="I512" s="161"/>
      <c r="J512" s="4"/>
      <c r="K512" s="4"/>
      <c r="L512" s="1631"/>
      <c r="M512" s="1937"/>
      <c r="N512" s="1669"/>
      <c r="O512" s="1669"/>
      <c r="X512" s="1600"/>
    </row>
    <row r="513" spans="2:45" x14ac:dyDescent="0.2">
      <c r="B513" s="600">
        <v>901.11</v>
      </c>
      <c r="C513" s="23"/>
      <c r="D513" s="23"/>
      <c r="E513" s="23"/>
      <c r="F513" s="23"/>
      <c r="G513" s="1421" t="s">
        <v>3199</v>
      </c>
      <c r="H513" s="1421" t="s">
        <v>3197</v>
      </c>
      <c r="I513" s="161"/>
      <c r="J513" s="4"/>
      <c r="K513" s="4"/>
      <c r="L513" s="1631"/>
      <c r="M513" s="1937"/>
      <c r="N513" s="1669"/>
      <c r="O513" s="1669"/>
      <c r="X513" s="1600"/>
    </row>
    <row r="514" spans="2:45" x14ac:dyDescent="0.2">
      <c r="B514" s="600">
        <v>901.11</v>
      </c>
      <c r="C514" s="23"/>
      <c r="D514" s="23"/>
      <c r="E514" s="23"/>
      <c r="F514" s="23"/>
      <c r="G514" s="1421" t="s">
        <v>3199</v>
      </c>
      <c r="H514" s="1421" t="s">
        <v>3197</v>
      </c>
      <c r="I514" s="161"/>
      <c r="J514" s="4"/>
      <c r="K514" s="4"/>
      <c r="L514" s="1631"/>
      <c r="M514" s="1937"/>
      <c r="N514" s="1669"/>
      <c r="O514" s="1669"/>
      <c r="X514" s="1600"/>
    </row>
    <row r="515" spans="2:45" ht="16" thickBot="1" x14ac:dyDescent="0.25">
      <c r="B515" s="600">
        <v>901.11</v>
      </c>
      <c r="C515" s="23"/>
      <c r="D515" s="23"/>
      <c r="E515" s="23"/>
      <c r="F515" s="23"/>
      <c r="G515" s="1421" t="s">
        <v>3199</v>
      </c>
      <c r="H515" s="1421" t="s">
        <v>3197</v>
      </c>
      <c r="I515" s="407"/>
      <c r="J515" s="239"/>
      <c r="K515" s="239"/>
      <c r="L515" s="1630"/>
      <c r="M515" s="1944"/>
      <c r="N515" s="1638"/>
      <c r="O515" s="1638"/>
      <c r="P515" s="100"/>
      <c r="Q515" s="100"/>
      <c r="R515" s="100"/>
      <c r="S515" s="100"/>
      <c r="T515" s="100"/>
      <c r="U515" s="100"/>
      <c r="V515" s="100"/>
      <c r="W515" s="113"/>
      <c r="X515" s="1602"/>
    </row>
    <row r="516" spans="2:45" ht="16" thickTop="1" x14ac:dyDescent="0.2">
      <c r="B516" s="92" t="s">
        <v>5534</v>
      </c>
      <c r="C516" s="858"/>
      <c r="G516" s="1421" t="s">
        <v>3199</v>
      </c>
      <c r="H516" s="1421" t="s">
        <v>3197</v>
      </c>
      <c r="I516" s="115" t="s">
        <v>5534</v>
      </c>
      <c r="J516" s="1070"/>
      <c r="K516" s="1070"/>
      <c r="L516" s="1740" t="s">
        <v>5535</v>
      </c>
      <c r="M516" s="1701" t="str">
        <f ca="1">IF(R516,"Mandatory","N/A")</f>
        <v>N/A</v>
      </c>
      <c r="N516" s="106"/>
      <c r="O516" s="106"/>
      <c r="P516" s="1421" t="b">
        <v>1</v>
      </c>
      <c r="Q516" s="1421" t="b">
        <v>1</v>
      </c>
      <c r="R516" s="1421" t="b">
        <f ca="1">S516</f>
        <v>0</v>
      </c>
      <c r="S516" s="1421" t="b">
        <f ca="1">S14=1</f>
        <v>0</v>
      </c>
      <c r="T516" s="1421" t="b">
        <f ca="1">AND(NOT(S516),LEN(W516)&gt;0)</f>
        <v>0</v>
      </c>
      <c r="U516" s="1421" t="str">
        <f t="shared" ref="U516" si="53">SUBSTITUTE(SUBSTITUTE(SUBSTITUTE("dd"&amp;$B516&amp;$C516&amp;$D516&amp;$E516&amp;$F516,".","_"),"(","_"),")","")</f>
        <v>dd13_107_4</v>
      </c>
      <c r="W516" s="269"/>
      <c r="X516" s="1599"/>
      <c r="AC516" s="1421" t="b">
        <f ca="1">OR(AD516:AE516)</f>
        <v>0</v>
      </c>
      <c r="AD516" s="1421" t="b">
        <v>0</v>
      </c>
      <c r="AE516" s="1421" t="b">
        <f ca="1">AND(R516,OR(W516="Not Met",W516=""))</f>
        <v>0</v>
      </c>
      <c r="AP516" s="1421" t="str">
        <f>SUBSTITUTE(SUBSTITUTE(SUBSTITUTE("vcc"&amp;$B516&amp;$C516&amp;$D516&amp;$E516,".","_"),"(","_"),")","")</f>
        <v>vcc13_107_4</v>
      </c>
      <c r="AQ516" s="1421" t="str">
        <f>IF(LEN(W516)=0,"",W516)</f>
        <v/>
      </c>
      <c r="AR516" s="1421" t="str">
        <f>SUBSTITUTE(SUBSTITUTE(SUBSTITUTE("vcn"&amp;$B516&amp;$C516&amp;$D516&amp;$E516,".","_"),"(","_"),")","")</f>
        <v>vcn13_107_4</v>
      </c>
      <c r="AS516" s="1421" t="str">
        <f>IF(LEN(X516)=0,"",X516)</f>
        <v/>
      </c>
    </row>
    <row r="517" spans="2:45" x14ac:dyDescent="0.2">
      <c r="B517" s="92" t="s">
        <v>5534</v>
      </c>
      <c r="C517" s="858"/>
      <c r="G517" s="1421" t="s">
        <v>3199</v>
      </c>
      <c r="H517" s="1421" t="s">
        <v>3197</v>
      </c>
      <c r="I517" s="89"/>
      <c r="J517" s="873"/>
      <c r="K517" s="873"/>
      <c r="L517" s="1807"/>
      <c r="M517" s="1714"/>
      <c r="X517" s="1600"/>
    </row>
    <row r="518" spans="2:45" x14ac:dyDescent="0.2">
      <c r="B518" s="92" t="s">
        <v>5534</v>
      </c>
      <c r="C518" s="858"/>
      <c r="G518" s="1421" t="s">
        <v>3199</v>
      </c>
      <c r="H518" s="1421" t="s">
        <v>3197</v>
      </c>
      <c r="I518" s="89"/>
      <c r="J518" s="873"/>
      <c r="K518" s="873"/>
      <c r="L518" s="1807"/>
      <c r="M518" s="1714"/>
      <c r="X518" s="1600"/>
    </row>
    <row r="519" spans="2:45" x14ac:dyDescent="0.2">
      <c r="B519" s="92" t="s">
        <v>5534</v>
      </c>
      <c r="C519" s="858"/>
      <c r="G519" s="1421" t="s">
        <v>3199</v>
      </c>
      <c r="H519" s="1421" t="s">
        <v>3197</v>
      </c>
      <c r="I519" s="169"/>
      <c r="J519" s="1072"/>
      <c r="K519" s="1072"/>
      <c r="L519" s="1688"/>
      <c r="M519" s="1698"/>
      <c r="N519" s="173"/>
      <c r="O519" s="173"/>
      <c r="X519" s="1600"/>
    </row>
    <row r="520" spans="2:45" x14ac:dyDescent="0.2">
      <c r="B520" s="92" t="s">
        <v>5536</v>
      </c>
      <c r="C520" s="858"/>
      <c r="G520" s="1421" t="s">
        <v>3199</v>
      </c>
      <c r="H520" s="1421" t="s">
        <v>3197</v>
      </c>
      <c r="I520" s="860" t="s">
        <v>5536</v>
      </c>
      <c r="J520" s="1073"/>
      <c r="K520" s="1073"/>
      <c r="L520" s="1686" t="s">
        <v>5537</v>
      </c>
      <c r="M520" s="1732" t="str">
        <f ca="1">IF(R520,"Mandatory","N/A")</f>
        <v>N/A</v>
      </c>
      <c r="N520" s="195"/>
      <c r="O520" s="195"/>
      <c r="P520" s="1421" t="b">
        <v>1</v>
      </c>
      <c r="Q520" s="1421" t="b">
        <v>1</v>
      </c>
      <c r="R520" s="1421" t="b">
        <f ca="1">S520</f>
        <v>0</v>
      </c>
      <c r="S520" s="1421" t="b">
        <f ca="1">AND(S14=1,W516="Met")</f>
        <v>0</v>
      </c>
      <c r="T520" s="1421" t="b">
        <f ca="1">AND(NOT(S520),LEN(W520)&gt;0)</f>
        <v>0</v>
      </c>
      <c r="U520" s="1421" t="str">
        <f t="shared" ref="U520" si="54">SUBSTITUTE(SUBSTITUTE(SUBSTITUTE("dd"&amp;$B520&amp;$C520&amp;$D520&amp;$E520&amp;$F520,".","_"),"(","_"),")","")</f>
        <v>dd13_107_4_1</v>
      </c>
      <c r="W520" s="12"/>
      <c r="X520" s="1600"/>
      <c r="AC520" s="1421" t="b">
        <f ca="1">OR(AD520:AE520)</f>
        <v>0</v>
      </c>
      <c r="AD520" s="1421" t="b">
        <v>0</v>
      </c>
      <c r="AE520" s="1421" t="b">
        <f ca="1">AND(R520,OR(W520="Not Met",W520=""))</f>
        <v>0</v>
      </c>
      <c r="AP520" s="1421" t="str">
        <f>SUBSTITUTE(SUBSTITUTE(SUBSTITUTE("vcc"&amp;$B520&amp;$C520&amp;$D520&amp;$E520,".","_"),"(","_"),")","")</f>
        <v>vcc13_107_4_1</v>
      </c>
      <c r="AQ520" s="1421" t="str">
        <f>IF(LEN(W520)=0,"",W520)</f>
        <v/>
      </c>
      <c r="AR520" s="1421" t="str">
        <f>SUBSTITUTE(SUBSTITUTE(SUBSTITUTE("vcn"&amp;$B520&amp;$C520&amp;$D520&amp;$E520,".","_"),"(","_"),")","")</f>
        <v>vcn13_107_4_1</v>
      </c>
      <c r="AS520" s="1421" t="str">
        <f>IF(LEN(X520)=0,"",X520)</f>
        <v/>
      </c>
    </row>
    <row r="521" spans="2:45" x14ac:dyDescent="0.2">
      <c r="B521" s="92" t="s">
        <v>5536</v>
      </c>
      <c r="C521" s="858"/>
      <c r="G521" s="1421" t="s">
        <v>3199</v>
      </c>
      <c r="H521" s="1421" t="s">
        <v>3197</v>
      </c>
      <c r="I521" s="89"/>
      <c r="J521" s="873"/>
      <c r="K521" s="873"/>
      <c r="L521" s="1807"/>
      <c r="M521" s="1714"/>
      <c r="X521" s="1600"/>
    </row>
    <row r="522" spans="2:45" x14ac:dyDescent="0.2">
      <c r="B522" s="92" t="s">
        <v>5536</v>
      </c>
      <c r="C522" s="858"/>
      <c r="G522" s="1421" t="s">
        <v>3199</v>
      </c>
      <c r="H522" s="1421" t="s">
        <v>3197</v>
      </c>
      <c r="I522" s="89"/>
      <c r="J522" s="873"/>
      <c r="K522" s="873"/>
      <c r="L522" s="1807"/>
      <c r="M522" s="1714"/>
      <c r="X522" s="1600"/>
    </row>
    <row r="523" spans="2:45" x14ac:dyDescent="0.2">
      <c r="B523" s="92" t="s">
        <v>5536</v>
      </c>
      <c r="C523" s="858"/>
      <c r="G523" s="1421" t="s">
        <v>3199</v>
      </c>
      <c r="H523" s="1421" t="s">
        <v>3197</v>
      </c>
      <c r="I523" s="89"/>
      <c r="J523" s="873"/>
      <c r="K523" s="873"/>
      <c r="L523" s="1807"/>
      <c r="M523" s="1714"/>
      <c r="X523" s="1600"/>
    </row>
    <row r="524" spans="2:45" x14ac:dyDescent="0.2">
      <c r="B524" s="92" t="s">
        <v>5536</v>
      </c>
      <c r="C524" s="858"/>
      <c r="G524" s="1421" t="s">
        <v>3199</v>
      </c>
      <c r="H524" s="1421" t="s">
        <v>3197</v>
      </c>
      <c r="I524" s="169"/>
      <c r="J524" s="1072"/>
      <c r="K524" s="1072"/>
      <c r="L524" s="1688"/>
      <c r="M524" s="1698"/>
      <c r="N524" s="173"/>
      <c r="O524" s="173"/>
      <c r="X524" s="1600"/>
    </row>
    <row r="525" spans="2:45" x14ac:dyDescent="0.2">
      <c r="B525" s="92" t="s">
        <v>5538</v>
      </c>
      <c r="C525" s="858"/>
      <c r="G525" s="1421" t="s">
        <v>3199</v>
      </c>
      <c r="H525" s="1421" t="s">
        <v>3197</v>
      </c>
      <c r="I525" s="89" t="s">
        <v>5538</v>
      </c>
      <c r="J525" s="1073"/>
      <c r="K525" s="1073"/>
      <c r="L525" s="1686" t="s">
        <v>5539</v>
      </c>
      <c r="M525" s="1732" t="str">
        <f ca="1">IF(R525,"Mandatory","N/A")</f>
        <v>N/A</v>
      </c>
      <c r="N525" s="195"/>
      <c r="O525" s="195"/>
      <c r="P525" s="1421" t="b">
        <v>1</v>
      </c>
      <c r="Q525" s="1421" t="b">
        <v>1</v>
      </c>
      <c r="R525" s="1421" t="b">
        <f ca="1">S525</f>
        <v>0</v>
      </c>
      <c r="S525" s="1421" t="b">
        <f ca="1">AND(S14=1,W516="Met")</f>
        <v>0</v>
      </c>
      <c r="T525" s="1421" t="b">
        <f ca="1">AND(NOT(S525),LEN(W525)&gt;0)</f>
        <v>0</v>
      </c>
      <c r="U525" s="1421" t="str">
        <f t="shared" ref="U525" si="55">SUBSTITUTE(SUBSTITUTE(SUBSTITUTE("dd"&amp;$B525&amp;$C525&amp;$D525&amp;$E525&amp;$F525,".","_"),"(","_"),")","")</f>
        <v>dd13_107_4_2</v>
      </c>
      <c r="W525" s="12"/>
      <c r="X525" s="1600"/>
      <c r="AC525" s="1421" t="b">
        <f ca="1">OR(AD525:AE525)</f>
        <v>0</v>
      </c>
      <c r="AD525" s="1421" t="b">
        <v>0</v>
      </c>
      <c r="AE525" s="1421" t="b">
        <f ca="1">AND(R525,OR(W525="Not Met",W525=""))</f>
        <v>0</v>
      </c>
      <c r="AP525" s="1421" t="str">
        <f>SUBSTITUTE(SUBSTITUTE(SUBSTITUTE("vcc"&amp;$B525&amp;$C525&amp;$D525&amp;$E525,".","_"),"(","_"),")","")</f>
        <v>vcc13_107_4_2</v>
      </c>
      <c r="AQ525" s="1421" t="str">
        <f>IF(LEN(W525)=0,"",W525)</f>
        <v/>
      </c>
      <c r="AR525" s="1421" t="str">
        <f>SUBSTITUTE(SUBSTITUTE(SUBSTITUTE("vcn"&amp;$B525&amp;$C525&amp;$D525&amp;$E525,".","_"),"(","_"),")","")</f>
        <v>vcn13_107_4_2</v>
      </c>
      <c r="AS525" s="1421" t="str">
        <f>IF(LEN(X525)=0,"",X525)</f>
        <v/>
      </c>
    </row>
    <row r="526" spans="2:45" x14ac:dyDescent="0.2">
      <c r="B526" s="92" t="s">
        <v>5538</v>
      </c>
      <c r="C526" s="858"/>
      <c r="G526" s="1421" t="s">
        <v>3199</v>
      </c>
      <c r="H526" s="1421" t="s">
        <v>3197</v>
      </c>
      <c r="I526" s="89"/>
      <c r="J526" s="873"/>
      <c r="K526" s="873"/>
      <c r="L526" s="1807"/>
      <c r="M526" s="1714"/>
      <c r="X526" s="1600"/>
    </row>
    <row r="527" spans="2:45" x14ac:dyDescent="0.2">
      <c r="B527" s="92" t="s">
        <v>5538</v>
      </c>
      <c r="C527" s="858"/>
      <c r="G527" s="1421" t="s">
        <v>3199</v>
      </c>
      <c r="H527" s="1421" t="s">
        <v>3197</v>
      </c>
      <c r="I527" s="89"/>
      <c r="J527" s="1072"/>
      <c r="K527" s="1072"/>
      <c r="L527" s="1688"/>
      <c r="M527" s="1698"/>
      <c r="N527" s="173"/>
      <c r="O527" s="173"/>
      <c r="X527" s="1600"/>
    </row>
    <row r="528" spans="2:45" x14ac:dyDescent="0.2">
      <c r="B528" s="92" t="s">
        <v>5538</v>
      </c>
      <c r="C528" s="858" t="s">
        <v>254</v>
      </c>
      <c r="G528" s="1421" t="s">
        <v>3199</v>
      </c>
      <c r="H528" s="1421" t="s">
        <v>3197</v>
      </c>
      <c r="I528" s="89"/>
      <c r="J528" s="873" t="s">
        <v>254</v>
      </c>
      <c r="K528" s="873"/>
      <c r="L528" s="1808" t="s">
        <v>2697</v>
      </c>
      <c r="M528" s="1714" t="str">
        <f ca="1">IF(R528,"Mandatory","N/A")</f>
        <v>N/A</v>
      </c>
      <c r="P528" s="1421" t="b">
        <v>1</v>
      </c>
      <c r="Q528" s="1421" t="b">
        <v>1</v>
      </c>
      <c r="R528" s="1421" t="b">
        <f ca="1">S528</f>
        <v>0</v>
      </c>
      <c r="S528" s="1421" t="b">
        <f ca="1">AND(S14=1,W516="Met")</f>
        <v>0</v>
      </c>
      <c r="T528" s="1421" t="b">
        <f ca="1">AND(NOT(S528),LEN(W528)&gt;0)</f>
        <v>0</v>
      </c>
      <c r="U528" s="1421" t="str">
        <f t="shared" ref="U528" si="56">SUBSTITUTE(SUBSTITUTE(SUBSTITUTE("dd"&amp;$B528&amp;$C528&amp;$D528&amp;$E528&amp;$F528,".","_"),"(","_"),")","")</f>
        <v>dd13_107_4_2_1</v>
      </c>
      <c r="W528" s="12"/>
      <c r="X528" s="1600"/>
      <c r="AC528" s="1421" t="b">
        <f ca="1">OR(AD528:AE528)</f>
        <v>0</v>
      </c>
      <c r="AD528" s="1421" t="b">
        <v>0</v>
      </c>
      <c r="AE528" s="1421" t="b">
        <f ca="1">AND(R528,OR(W528="Not Met",W528=""))</f>
        <v>0</v>
      </c>
      <c r="AP528" s="1421" t="str">
        <f>SUBSTITUTE(SUBSTITUTE(SUBSTITUTE("vcc"&amp;$B528&amp;$C528&amp;$D528&amp;$E528,".","_"),"(","_"),")","")</f>
        <v>vcc13_107_4_2_1</v>
      </c>
      <c r="AQ528" s="1421" t="str">
        <f>IF(LEN(W528)=0,"",W528)</f>
        <v/>
      </c>
      <c r="AR528" s="1421" t="str">
        <f>SUBSTITUTE(SUBSTITUTE(SUBSTITUTE("vcn"&amp;$B528&amp;$C528&amp;$D528&amp;$E528,".","_"),"(","_"),")","")</f>
        <v>vcn13_107_4_2_1</v>
      </c>
      <c r="AS528" s="1421" t="str">
        <f>IF(LEN(X528)=0,"",X528)</f>
        <v/>
      </c>
    </row>
    <row r="529" spans="2:45" x14ac:dyDescent="0.2">
      <c r="B529" s="92" t="s">
        <v>5538</v>
      </c>
      <c r="C529" s="858" t="s">
        <v>254</v>
      </c>
      <c r="G529" s="1421" t="s">
        <v>3199</v>
      </c>
      <c r="H529" s="1421" t="s">
        <v>3197</v>
      </c>
      <c r="I529" s="89"/>
      <c r="J529" s="873"/>
      <c r="K529" s="873"/>
      <c r="L529" s="1808"/>
      <c r="M529" s="1714"/>
      <c r="X529" s="1600"/>
    </row>
    <row r="530" spans="2:45" x14ac:dyDescent="0.2">
      <c r="B530" s="92" t="s">
        <v>5538</v>
      </c>
      <c r="C530" s="858" t="s">
        <v>254</v>
      </c>
      <c r="G530" s="1421" t="s">
        <v>3199</v>
      </c>
      <c r="H530" s="1421" t="s">
        <v>3197</v>
      </c>
      <c r="I530" s="89"/>
      <c r="J530" s="1072"/>
      <c r="K530" s="1072"/>
      <c r="L530" s="1639"/>
      <c r="M530" s="1698"/>
      <c r="N530" s="173"/>
      <c r="O530" s="173"/>
      <c r="X530" s="1600"/>
    </row>
    <row r="531" spans="2:45" x14ac:dyDescent="0.2">
      <c r="B531" s="92" t="s">
        <v>5538</v>
      </c>
      <c r="C531" s="858" t="s">
        <v>255</v>
      </c>
      <c r="G531" s="1421" t="s">
        <v>3199</v>
      </c>
      <c r="H531" s="1421" t="s">
        <v>3197</v>
      </c>
      <c r="I531" s="89"/>
      <c r="J531" s="1073" t="s">
        <v>255</v>
      </c>
      <c r="K531" s="1073"/>
      <c r="L531" s="1633" t="s">
        <v>5540</v>
      </c>
      <c r="M531" s="1732" t="str">
        <f ca="1">IF(R531,"Mandatory","N/A")</f>
        <v>N/A</v>
      </c>
      <c r="N531" s="195"/>
      <c r="O531" s="195"/>
      <c r="P531" s="1421" t="b">
        <v>1</v>
      </c>
      <c r="Q531" s="1421" t="b">
        <v>1</v>
      </c>
      <c r="R531" s="1421" t="b">
        <f ca="1">S531</f>
        <v>0</v>
      </c>
      <c r="S531" s="1421" t="b">
        <f ca="1">AND(S14=1,W516="Met")</f>
        <v>0</v>
      </c>
      <c r="T531" s="1421" t="b">
        <f ca="1">AND(NOT(S531),LEN(W531)&gt;0)</f>
        <v>0</v>
      </c>
      <c r="U531" s="1421" t="str">
        <f t="shared" ref="U531" si="57">SUBSTITUTE(SUBSTITUTE(SUBSTITUTE("dd"&amp;$B531&amp;$C531&amp;$D531&amp;$E531&amp;$F531,".","_"),"(","_"),")","")</f>
        <v>dd13_107_4_2_2</v>
      </c>
      <c r="W531" s="12"/>
      <c r="X531" s="1600"/>
      <c r="AC531" s="1421" t="b">
        <f ca="1">OR(AD531:AE531)</f>
        <v>0</v>
      </c>
      <c r="AD531" s="1421" t="b">
        <v>0</v>
      </c>
      <c r="AE531" s="1421" t="b">
        <f ca="1">AND(R531,OR(W531="Not Met",W531=""))</f>
        <v>0</v>
      </c>
      <c r="AP531" s="1421" t="str">
        <f>SUBSTITUTE(SUBSTITUTE(SUBSTITUTE("vcc"&amp;$B531&amp;$C531&amp;$D531&amp;$E531,".","_"),"(","_"),")","")</f>
        <v>vcc13_107_4_2_2</v>
      </c>
      <c r="AQ531" s="1421" t="str">
        <f>IF(LEN(W531)=0,"",W531)</f>
        <v/>
      </c>
      <c r="AR531" s="1421" t="str">
        <f>SUBSTITUTE(SUBSTITUTE(SUBSTITUTE("vcn"&amp;$B531&amp;$C531&amp;$D531&amp;$E531,".","_"),"(","_"),")","")</f>
        <v>vcn13_107_4_2_2</v>
      </c>
      <c r="AS531" s="1421" t="str">
        <f>IF(LEN(X531)=0,"",X531)</f>
        <v/>
      </c>
    </row>
    <row r="532" spans="2:45" x14ac:dyDescent="0.2">
      <c r="B532" s="92" t="s">
        <v>5538</v>
      </c>
      <c r="C532" s="858" t="s">
        <v>255</v>
      </c>
      <c r="G532" s="1421" t="s">
        <v>3199</v>
      </c>
      <c r="H532" s="1421" t="s">
        <v>3197</v>
      </c>
      <c r="I532" s="89"/>
      <c r="J532" s="1072"/>
      <c r="K532" s="1072"/>
      <c r="L532" s="1639"/>
      <c r="M532" s="1698"/>
      <c r="N532" s="173"/>
      <c r="O532" s="173"/>
      <c r="X532" s="1600"/>
    </row>
    <row r="533" spans="2:45" x14ac:dyDescent="0.2">
      <c r="B533" s="92" t="s">
        <v>5538</v>
      </c>
      <c r="C533" s="858" t="s">
        <v>256</v>
      </c>
      <c r="G533" s="1421" t="s">
        <v>3199</v>
      </c>
      <c r="H533" s="1421" t="s">
        <v>3197</v>
      </c>
      <c r="I533" s="89"/>
      <c r="J533" s="873" t="s">
        <v>256</v>
      </c>
      <c r="K533" s="873"/>
      <c r="L533" s="1808" t="s">
        <v>5541</v>
      </c>
      <c r="M533" s="1714" t="str">
        <f ca="1">IF(R533,"Mandatory","N/A")</f>
        <v>N/A</v>
      </c>
      <c r="P533" s="1421" t="b">
        <v>1</v>
      </c>
      <c r="Q533" s="1421" t="b">
        <v>1</v>
      </c>
      <c r="R533" s="1421" t="b">
        <f ca="1">S533</f>
        <v>0</v>
      </c>
      <c r="S533" s="1421" t="b">
        <f ca="1">AND(S14=1,W516="Met")</f>
        <v>0</v>
      </c>
      <c r="T533" s="1421" t="b">
        <f ca="1">AND(NOT(S533),LEN(W533)&gt;0)</f>
        <v>0</v>
      </c>
      <c r="U533" s="1421" t="str">
        <f t="shared" ref="U533" si="58">SUBSTITUTE(SUBSTITUTE(SUBSTITUTE("dd"&amp;$B533&amp;$C533&amp;$D533&amp;$E533&amp;$F533,".","_"),"(","_"),")","")</f>
        <v>dd13_107_4_2_3</v>
      </c>
      <c r="W533" s="12"/>
      <c r="X533" s="1600"/>
      <c r="AC533" s="1421" t="b">
        <f ca="1">OR(AD533:AE533)</f>
        <v>0</v>
      </c>
      <c r="AD533" s="1421" t="b">
        <v>0</v>
      </c>
      <c r="AE533" s="1421" t="b">
        <f ca="1">AND(R533,OR(W533="Not Met",W533=""))</f>
        <v>0</v>
      </c>
      <c r="AP533" s="1421" t="str">
        <f>SUBSTITUTE(SUBSTITUTE(SUBSTITUTE("vcc"&amp;$B533&amp;$C533&amp;$D533&amp;$E533,".","_"),"(","_"),")","")</f>
        <v>vcc13_107_4_2_3</v>
      </c>
      <c r="AQ533" s="1421" t="str">
        <f>IF(LEN(W533)=0,"",W533)</f>
        <v/>
      </c>
      <c r="AR533" s="1421" t="str">
        <f>SUBSTITUTE(SUBSTITUTE(SUBSTITUTE("vcn"&amp;$B533&amp;$C533&amp;$D533&amp;$E533,".","_"),"(","_"),")","")</f>
        <v>vcn13_107_4_2_3</v>
      </c>
      <c r="AS533" s="1421" t="str">
        <f>IF(LEN(X533)=0,"",X533)</f>
        <v/>
      </c>
    </row>
    <row r="534" spans="2:45" x14ac:dyDescent="0.2">
      <c r="B534" s="92" t="s">
        <v>5538</v>
      </c>
      <c r="C534" s="858" t="s">
        <v>256</v>
      </c>
      <c r="G534" s="1421" t="s">
        <v>3199</v>
      </c>
      <c r="H534" s="1421" t="s">
        <v>3197</v>
      </c>
      <c r="I534" s="169"/>
      <c r="J534" s="1072"/>
      <c r="K534" s="1072"/>
      <c r="L534" s="1639"/>
      <c r="M534" s="1698"/>
      <c r="N534" s="173"/>
      <c r="O534" s="173"/>
      <c r="X534" s="1600"/>
    </row>
    <row r="535" spans="2:45" x14ac:dyDescent="0.2">
      <c r="B535" s="92" t="s">
        <v>5542</v>
      </c>
      <c r="C535" s="858"/>
      <c r="G535" s="1421" t="s">
        <v>3199</v>
      </c>
      <c r="H535" s="1421" t="s">
        <v>3197</v>
      </c>
      <c r="I535" s="860" t="s">
        <v>5542</v>
      </c>
      <c r="J535" s="1073"/>
      <c r="K535" s="1073"/>
      <c r="L535" s="1686" t="s">
        <v>5543</v>
      </c>
      <c r="M535" s="1732" t="str">
        <f ca="1">IF(R535,"Mandatory","N/A")</f>
        <v>N/A</v>
      </c>
      <c r="N535" s="195"/>
      <c r="O535" s="195"/>
      <c r="P535" s="1421" t="b">
        <v>1</v>
      </c>
      <c r="Q535" s="1421" t="b">
        <v>1</v>
      </c>
      <c r="R535" s="1421" t="b">
        <f ca="1">S535</f>
        <v>0</v>
      </c>
      <c r="S535" s="1421" t="b">
        <f ca="1">AND(S14=1,W516="Met")</f>
        <v>0</v>
      </c>
      <c r="T535" s="1421" t="b">
        <f ca="1">AND(NOT(S535),LEN(W535)&gt;0)</f>
        <v>0</v>
      </c>
      <c r="U535" s="1421" t="str">
        <f t="shared" ref="U535" si="59">SUBSTITUTE(SUBSTITUTE(SUBSTITUTE("dd"&amp;$B535&amp;$C535&amp;$D535&amp;$E535&amp;$F535,".","_"),"(","_"),")","")</f>
        <v>dd13_107_4_3</v>
      </c>
      <c r="W535" s="12"/>
      <c r="X535" s="1600"/>
      <c r="AC535" s="1421" t="b">
        <f ca="1">OR(AD535:AE535)</f>
        <v>0</v>
      </c>
      <c r="AD535" s="1421" t="b">
        <v>0</v>
      </c>
      <c r="AE535" s="1421" t="b">
        <f ca="1">AND(R535,OR(W535="Not Met",W535=""))</f>
        <v>0</v>
      </c>
      <c r="AP535" s="1421" t="str">
        <f>SUBSTITUTE(SUBSTITUTE(SUBSTITUTE("vcc"&amp;$B535&amp;$C535&amp;$D535&amp;$E535,".","_"),"(","_"),")","")</f>
        <v>vcc13_107_4_3</v>
      </c>
      <c r="AQ535" s="1421" t="str">
        <f>IF(LEN(W535)=0,"",W535)</f>
        <v/>
      </c>
      <c r="AR535" s="1421" t="str">
        <f>SUBSTITUTE(SUBSTITUTE(SUBSTITUTE("vcn"&amp;$B535&amp;$C535&amp;$D535&amp;$E535,".","_"),"(","_"),")","")</f>
        <v>vcn13_107_4_3</v>
      </c>
      <c r="AS535" s="1421" t="str">
        <f>IF(LEN(X535)=0,"",X535)</f>
        <v/>
      </c>
    </row>
    <row r="536" spans="2:45" x14ac:dyDescent="0.2">
      <c r="B536" s="92" t="s">
        <v>5542</v>
      </c>
      <c r="C536" s="858"/>
      <c r="G536" s="1421" t="s">
        <v>3199</v>
      </c>
      <c r="H536" s="1421" t="s">
        <v>3197</v>
      </c>
      <c r="I536" s="89"/>
      <c r="J536" s="873"/>
      <c r="K536" s="873"/>
      <c r="L536" s="1807"/>
      <c r="M536" s="1714"/>
      <c r="X536" s="1600"/>
    </row>
    <row r="537" spans="2:45" x14ac:dyDescent="0.2">
      <c r="B537" s="92" t="s">
        <v>5542</v>
      </c>
      <c r="C537" s="858"/>
      <c r="G537" s="1421" t="s">
        <v>3199</v>
      </c>
      <c r="H537" s="1421" t="s">
        <v>3197</v>
      </c>
      <c r="I537" s="89"/>
      <c r="J537" s="873"/>
      <c r="K537" s="873"/>
      <c r="L537" s="1807"/>
      <c r="M537" s="1714"/>
      <c r="X537" s="1600"/>
    </row>
    <row r="538" spans="2:45" x14ac:dyDescent="0.2">
      <c r="B538" s="92" t="s">
        <v>5542</v>
      </c>
      <c r="C538" s="858"/>
      <c r="G538" s="1421" t="s">
        <v>3199</v>
      </c>
      <c r="H538" s="1421" t="s">
        <v>3197</v>
      </c>
      <c r="I538" s="169"/>
      <c r="J538" s="1072"/>
      <c r="K538" s="1072"/>
      <c r="L538" s="1688"/>
      <c r="M538" s="1698"/>
      <c r="N538" s="173"/>
      <c r="O538" s="173"/>
      <c r="X538" s="1600"/>
    </row>
    <row r="539" spans="2:45" x14ac:dyDescent="0.2">
      <c r="B539" s="92" t="s">
        <v>5544</v>
      </c>
      <c r="C539" s="858"/>
      <c r="G539" s="1421" t="s">
        <v>3199</v>
      </c>
      <c r="H539" s="1421" t="s">
        <v>3197</v>
      </c>
      <c r="I539" s="860" t="s">
        <v>5544</v>
      </c>
      <c r="J539" s="1073"/>
      <c r="K539" s="1073"/>
      <c r="L539" s="1686" t="s">
        <v>5545</v>
      </c>
      <c r="M539" s="1732" t="str">
        <f ca="1">IF(R539,"Mandatory","N/A")</f>
        <v>N/A</v>
      </c>
      <c r="N539" s="195"/>
      <c r="O539" s="195"/>
      <c r="P539" s="1421" t="b">
        <v>1</v>
      </c>
      <c r="Q539" s="1421" t="b">
        <v>1</v>
      </c>
      <c r="R539" s="1421" t="b">
        <f ca="1">S539</f>
        <v>0</v>
      </c>
      <c r="S539" s="1421" t="b">
        <f ca="1">AND(S14=1,W516="Met")</f>
        <v>0</v>
      </c>
      <c r="T539" s="1421" t="b">
        <f ca="1">AND(NOT(S539),LEN(W539)&gt;0)</f>
        <v>0</v>
      </c>
      <c r="U539" s="1421" t="str">
        <f t="shared" ref="U539" si="60">SUBSTITUTE(SUBSTITUTE(SUBSTITUTE("dd"&amp;$B539&amp;$C539&amp;$D539&amp;$E539&amp;$F539,".","_"),"(","_"),")","")</f>
        <v>dd13_107_4_4</v>
      </c>
      <c r="W539" s="12"/>
      <c r="X539" s="1600"/>
      <c r="AC539" s="1421" t="b">
        <f ca="1">OR(AD539:AE539)</f>
        <v>0</v>
      </c>
      <c r="AD539" s="1421" t="b">
        <v>0</v>
      </c>
      <c r="AE539" s="1421" t="b">
        <f ca="1">AND(R539,OR(W539="Not Met",W539=""))</f>
        <v>0</v>
      </c>
      <c r="AP539" s="1421" t="str">
        <f>SUBSTITUTE(SUBSTITUTE(SUBSTITUTE("vcc"&amp;$B539&amp;$C539&amp;$D539&amp;$E539,".","_"),"(","_"),")","")</f>
        <v>vcc13_107_4_4</v>
      </c>
      <c r="AQ539" s="1421" t="str">
        <f>IF(LEN(W539)=0,"",W539)</f>
        <v/>
      </c>
      <c r="AR539" s="1421" t="str">
        <f>SUBSTITUTE(SUBSTITUTE(SUBSTITUTE("vcn"&amp;$B539&amp;$C539&amp;$D539&amp;$E539,".","_"),"(","_"),")","")</f>
        <v>vcn13_107_4_4</v>
      </c>
      <c r="AS539" s="1421" t="str">
        <f>IF(LEN(X539)=0,"",X539)</f>
        <v/>
      </c>
    </row>
    <row r="540" spans="2:45" x14ac:dyDescent="0.2">
      <c r="B540" s="92" t="s">
        <v>5544</v>
      </c>
      <c r="C540" s="858"/>
      <c r="G540" s="1421" t="s">
        <v>3199</v>
      </c>
      <c r="H540" s="1421" t="s">
        <v>3197</v>
      </c>
      <c r="I540" s="89"/>
      <c r="J540" s="873"/>
      <c r="K540" s="873"/>
      <c r="L540" s="1807"/>
      <c r="M540" s="1714"/>
      <c r="X540" s="1600"/>
    </row>
    <row r="541" spans="2:45" x14ac:dyDescent="0.2">
      <c r="B541" s="92" t="s">
        <v>5544</v>
      </c>
      <c r="C541" s="858"/>
      <c r="G541" s="1421" t="s">
        <v>3199</v>
      </c>
      <c r="H541" s="1421" t="s">
        <v>3197</v>
      </c>
      <c r="I541" s="89"/>
      <c r="J541" s="873"/>
      <c r="K541" s="873"/>
      <c r="L541" s="1807"/>
      <c r="M541" s="1714"/>
      <c r="X541" s="1600"/>
    </row>
    <row r="542" spans="2:45" x14ac:dyDescent="0.2">
      <c r="B542" s="92" t="s">
        <v>5544</v>
      </c>
      <c r="C542" s="858"/>
      <c r="G542" s="1421" t="s">
        <v>3199</v>
      </c>
      <c r="H542" s="1421" t="s">
        <v>3197</v>
      </c>
      <c r="I542" s="169"/>
      <c r="J542" s="1072"/>
      <c r="K542" s="1072"/>
      <c r="L542" s="1688"/>
      <c r="M542" s="1698"/>
      <c r="N542" s="173"/>
      <c r="O542" s="173"/>
      <c r="X542" s="1600"/>
    </row>
    <row r="543" spans="2:45" x14ac:dyDescent="0.2">
      <c r="B543" s="92" t="s">
        <v>5546</v>
      </c>
      <c r="C543" s="858"/>
      <c r="G543" s="1421" t="s">
        <v>3199</v>
      </c>
      <c r="H543" s="1421" t="s">
        <v>3197</v>
      </c>
      <c r="I543" s="89" t="s">
        <v>5546</v>
      </c>
      <c r="J543" s="873"/>
      <c r="K543" s="873"/>
      <c r="L543" s="1807" t="s">
        <v>5547</v>
      </c>
      <c r="M543" s="1714" t="str">
        <f ca="1">IF(R543,"Mandatory","N/A")</f>
        <v>N/A</v>
      </c>
      <c r="P543" s="1421" t="b">
        <v>1</v>
      </c>
      <c r="Q543" s="1421" t="b">
        <v>1</v>
      </c>
      <c r="R543" s="1421" t="b">
        <f ca="1">S543</f>
        <v>0</v>
      </c>
      <c r="S543" s="1421" t="b">
        <f ca="1">AND(S14=1,W516="Met")</f>
        <v>0</v>
      </c>
      <c r="T543" s="1421" t="b">
        <f ca="1">AND(NOT(S543),W543=TRUE)</f>
        <v>0</v>
      </c>
      <c r="W543" s="27"/>
      <c r="X543" s="1600"/>
      <c r="AC543" s="1421" t="b">
        <f ca="1">OR(AD543:AE543)</f>
        <v>0</v>
      </c>
      <c r="AD543" s="1421" t="b">
        <f ca="1">T543</f>
        <v>0</v>
      </c>
      <c r="AE543" s="1421" t="b">
        <f ca="1">AND(R543,NOT(W543))</f>
        <v>0</v>
      </c>
      <c r="AP543" s="1421" t="str">
        <f>SUBSTITUTE(SUBSTITUTE(SUBSTITUTE("vcc"&amp;$B543&amp;$C543&amp;$D543&amp;$E543,".","_"),"(","_"),")","")</f>
        <v>vcc13_107_4_5</v>
      </c>
      <c r="AQ543" s="1421" t="str">
        <f>IF(LEN(W543)=0,"",W543)</f>
        <v/>
      </c>
      <c r="AR543" s="1421" t="str">
        <f>SUBSTITUTE(SUBSTITUTE(SUBSTITUTE("vcn"&amp;$B543&amp;$C543&amp;$D543&amp;$E543,".","_"),"(","_"),")","")</f>
        <v>vcn13_107_4_5</v>
      </c>
      <c r="AS543" s="1421" t="str">
        <f>IF(LEN(X543)=0,"",X543)</f>
        <v/>
      </c>
    </row>
    <row r="544" spans="2:45" ht="16" thickBot="1" x14ac:dyDescent="0.25">
      <c r="B544" s="92" t="s">
        <v>5546</v>
      </c>
      <c r="C544" s="858"/>
      <c r="G544" s="1421" t="s">
        <v>3199</v>
      </c>
      <c r="H544" s="1421" t="s">
        <v>3197</v>
      </c>
      <c r="I544" s="98"/>
      <c r="J544" s="1069"/>
      <c r="K544" s="1069"/>
      <c r="L544" s="1738"/>
      <c r="M544" s="1726"/>
      <c r="N544" s="100"/>
      <c r="O544" s="100"/>
      <c r="P544" s="100"/>
      <c r="Q544" s="100"/>
      <c r="R544" s="100"/>
      <c r="S544" s="100"/>
      <c r="T544" s="100"/>
      <c r="U544" s="100"/>
      <c r="V544" s="100"/>
      <c r="W544" s="100"/>
      <c r="X544" s="1602"/>
    </row>
    <row r="545" spans="2:45" ht="16" thickTop="1" x14ac:dyDescent="0.2">
      <c r="B545" s="92" t="s">
        <v>5548</v>
      </c>
      <c r="C545" s="858"/>
      <c r="G545" s="1421" t="s">
        <v>3199</v>
      </c>
      <c r="H545" s="1421" t="s">
        <v>3197</v>
      </c>
      <c r="I545" s="115" t="s">
        <v>5548</v>
      </c>
      <c r="J545" s="1070"/>
      <c r="K545" s="1070"/>
      <c r="L545" s="1740" t="s">
        <v>5549</v>
      </c>
      <c r="M545" s="1701" t="str">
        <f ca="1">IF(R545,"Mandatory","N/A")</f>
        <v>N/A</v>
      </c>
      <c r="N545" s="106"/>
      <c r="O545" s="106"/>
      <c r="P545" s="106" t="b">
        <v>1</v>
      </c>
      <c r="Q545" s="106" t="b">
        <v>1</v>
      </c>
      <c r="R545" s="106" t="b">
        <f ca="1">S545</f>
        <v>0</v>
      </c>
      <c r="S545" s="106" t="b">
        <f ca="1">S14=1</f>
        <v>0</v>
      </c>
      <c r="T545" s="106" t="b">
        <f ca="1">AND(NOT(S545),W545=TRUE)</f>
        <v>0</v>
      </c>
      <c r="U545" s="106"/>
      <c r="V545" s="106"/>
      <c r="W545" s="334"/>
      <c r="X545" s="1603"/>
      <c r="AC545" s="1421" t="b">
        <f ca="1">OR(AD545:AE545)</f>
        <v>0</v>
      </c>
      <c r="AD545" s="1421" t="b">
        <f ca="1">T545</f>
        <v>0</v>
      </c>
      <c r="AE545" s="1421" t="b">
        <f ca="1">AND(R545,NOT(W545))</f>
        <v>0</v>
      </c>
      <c r="AP545" s="1421" t="str">
        <f>SUBSTITUTE(SUBSTITUTE(SUBSTITUTE("vcc"&amp;$B545&amp;$C545&amp;$D545&amp;$E545,".","_"),"(","_"),")","")</f>
        <v>vcc13_107_5</v>
      </c>
      <c r="AQ545" s="1421" t="str">
        <f>IF(LEN(W545)=0,"",W545)</f>
        <v/>
      </c>
      <c r="AR545" s="1421" t="str">
        <f>SUBSTITUTE(SUBSTITUTE(SUBSTITUTE("vcn"&amp;$B545&amp;$C545&amp;$D545&amp;$E545,".","_"),"(","_"),")","")</f>
        <v>vcn13_107_5</v>
      </c>
      <c r="AS545" s="1421" t="str">
        <f>IF(LEN(X545)=0,"",X545)</f>
        <v/>
      </c>
    </row>
    <row r="546" spans="2:45" ht="16" thickBot="1" x14ac:dyDescent="0.25">
      <c r="B546" s="92" t="s">
        <v>5548</v>
      </c>
      <c r="C546" s="858"/>
      <c r="G546" s="1421" t="s">
        <v>3199</v>
      </c>
      <c r="H546" s="1421" t="s">
        <v>3197</v>
      </c>
      <c r="I546" s="98"/>
      <c r="J546" s="1069"/>
      <c r="K546" s="1069"/>
      <c r="L546" s="1738"/>
      <c r="M546" s="1726"/>
      <c r="N546" s="100"/>
      <c r="O546" s="100"/>
      <c r="P546" s="100"/>
      <c r="Q546" s="100"/>
      <c r="R546" s="100"/>
      <c r="S546" s="100"/>
      <c r="T546" s="100"/>
      <c r="U546" s="100"/>
      <c r="V546" s="100"/>
      <c r="W546" s="100"/>
      <c r="X546" s="1602"/>
    </row>
    <row r="547" spans="2:45" ht="16" thickTop="1" x14ac:dyDescent="0.2">
      <c r="B547" s="92" t="s">
        <v>5550</v>
      </c>
      <c r="C547" s="858"/>
      <c r="G547" s="1421" t="s">
        <v>5303</v>
      </c>
      <c r="H547" s="1421" t="s">
        <v>3197</v>
      </c>
      <c r="I547" s="89" t="s">
        <v>5550</v>
      </c>
      <c r="J547" s="873"/>
      <c r="K547" s="873"/>
      <c r="L547" s="1470" t="s">
        <v>5551</v>
      </c>
    </row>
    <row r="548" spans="2:45" x14ac:dyDescent="0.2">
      <c r="B548" s="92" t="s">
        <v>5550</v>
      </c>
      <c r="C548" s="858" t="s">
        <v>254</v>
      </c>
      <c r="G548" s="1421" t="s">
        <v>5303</v>
      </c>
      <c r="H548" s="1421" t="s">
        <v>3197</v>
      </c>
      <c r="I548" s="89"/>
      <c r="J548" s="873" t="s">
        <v>254</v>
      </c>
      <c r="K548" s="873"/>
      <c r="L548" s="1808" t="s">
        <v>5552</v>
      </c>
      <c r="M548" s="1714" t="str">
        <f>IF(R548,"Mandatory","N/A")</f>
        <v>Mandatory</v>
      </c>
      <c r="P548" s="1421" t="b">
        <v>1</v>
      </c>
      <c r="Q548" s="1421" t="b">
        <v>1</v>
      </c>
      <c r="R548" s="1421" t="b">
        <v>1</v>
      </c>
      <c r="S548" s="1421" t="b">
        <v>1</v>
      </c>
      <c r="T548" s="1421" t="b">
        <v>0</v>
      </c>
      <c r="U548" s="1421" t="str">
        <f t="shared" ref="U548" si="61">SUBSTITUTE(SUBSTITUTE(SUBSTITUTE("dd"&amp;$B548&amp;$C548&amp;$D548&amp;$E548&amp;$F548,".","_"),"(","_"),")","")</f>
        <v>dd13_107_6_1</v>
      </c>
      <c r="W548" s="12"/>
      <c r="X548" s="1600"/>
      <c r="AC548" s="1421" t="b">
        <f>OR(AD548:AE548)</f>
        <v>1</v>
      </c>
      <c r="AD548" s="1421" t="b">
        <v>0</v>
      </c>
      <c r="AE548" s="1421" t="b">
        <f>AND(R548,OR(W548="Not Met",W548=""))</f>
        <v>1</v>
      </c>
      <c r="AP548" s="1421" t="str">
        <f>SUBSTITUTE(SUBSTITUTE(SUBSTITUTE("vcc"&amp;$B548&amp;$C548&amp;$D548&amp;$E548,".","_"),"(","_"),")","")</f>
        <v>vcc13_107_6_1</v>
      </c>
      <c r="AQ548" s="1421" t="str">
        <f>IF(LEN(W548)=0,"",W548)</f>
        <v/>
      </c>
      <c r="AR548" s="1421" t="str">
        <f>SUBSTITUTE(SUBSTITUTE(SUBSTITUTE("vcn"&amp;$B548&amp;$C548&amp;$D548&amp;$E548,".","_"),"(","_"),")","")</f>
        <v>vcn13_107_6_1</v>
      </c>
      <c r="AS548" s="1421" t="str">
        <f>IF(LEN(X548)=0,"",X548)</f>
        <v/>
      </c>
    </row>
    <row r="549" spans="2:45" x14ac:dyDescent="0.2">
      <c r="B549" s="92" t="s">
        <v>5550</v>
      </c>
      <c r="C549" s="858" t="s">
        <v>254</v>
      </c>
      <c r="G549" s="1421" t="s">
        <v>5303</v>
      </c>
      <c r="H549" s="1421" t="s">
        <v>3197</v>
      </c>
      <c r="I549" s="89"/>
      <c r="J549" s="1072"/>
      <c r="K549" s="1072"/>
      <c r="L549" s="1639"/>
      <c r="M549" s="1698"/>
      <c r="N549" s="173"/>
      <c r="O549" s="173"/>
      <c r="X549" s="1600"/>
    </row>
    <row r="550" spans="2:45" x14ac:dyDescent="0.2">
      <c r="B550" s="92" t="s">
        <v>5550</v>
      </c>
      <c r="C550" s="858" t="s">
        <v>255</v>
      </c>
      <c r="G550" s="1421" t="s">
        <v>5303</v>
      </c>
      <c r="H550" s="1421" t="s">
        <v>3197</v>
      </c>
      <c r="I550" s="89"/>
      <c r="J550" s="873" t="s">
        <v>255</v>
      </c>
      <c r="K550" s="873"/>
      <c r="L550" s="1808" t="s">
        <v>5553</v>
      </c>
      <c r="M550" s="1714" t="str">
        <f>IF(R550,"Mandatory","N/A")</f>
        <v>Mandatory</v>
      </c>
      <c r="P550" s="1421" t="b">
        <v>1</v>
      </c>
      <c r="Q550" s="1421" t="b">
        <v>1</v>
      </c>
      <c r="R550" s="1421" t="b">
        <v>1</v>
      </c>
      <c r="S550" s="1421" t="b">
        <v>1</v>
      </c>
      <c r="T550" s="1421" t="b">
        <v>0</v>
      </c>
      <c r="U550" s="1421" t="str">
        <f t="shared" ref="U550" si="62">SUBSTITUTE(SUBSTITUTE(SUBSTITUTE("dd"&amp;$B550&amp;$C550&amp;$D550&amp;$E550&amp;$F550,".","_"),"(","_"),")","")</f>
        <v>dd13_107_6_2</v>
      </c>
      <c r="W550" s="12"/>
      <c r="X550" s="1600"/>
      <c r="AC550" s="1421" t="b">
        <f>OR(AD550:AE550)</f>
        <v>1</v>
      </c>
      <c r="AD550" s="1421" t="b">
        <v>0</v>
      </c>
      <c r="AE550" s="1421" t="b">
        <f>AND(R550,OR(W550="Not Met",W550=""))</f>
        <v>1</v>
      </c>
      <c r="AP550" s="1421" t="str">
        <f>SUBSTITUTE(SUBSTITUTE(SUBSTITUTE("vcc"&amp;$B550&amp;$C550&amp;$D550&amp;$E550,".","_"),"(","_"),")","")</f>
        <v>vcc13_107_6_2</v>
      </c>
      <c r="AQ550" s="1421" t="str">
        <f>IF(LEN(W550)=0,"",W550)</f>
        <v/>
      </c>
      <c r="AR550" s="1421" t="str">
        <f>SUBSTITUTE(SUBSTITUTE(SUBSTITUTE("vcn"&amp;$B550&amp;$C550&amp;$D550&amp;$E550,".","_"),"(","_"),")","")</f>
        <v>vcn13_107_6_2</v>
      </c>
      <c r="AS550" s="1421" t="str">
        <f>IF(LEN(X550)=0,"",X550)</f>
        <v/>
      </c>
    </row>
    <row r="551" spans="2:45" ht="16" thickBot="1" x14ac:dyDescent="0.25">
      <c r="B551" s="92" t="s">
        <v>5550</v>
      </c>
      <c r="C551" s="858" t="s">
        <v>255</v>
      </c>
      <c r="G551" s="1421" t="s">
        <v>5303</v>
      </c>
      <c r="H551" s="1421" t="s">
        <v>3197</v>
      </c>
      <c r="I551" s="98"/>
      <c r="J551" s="1069"/>
      <c r="K551" s="1069"/>
      <c r="L551" s="1635"/>
      <c r="M551" s="1726"/>
      <c r="N551" s="100"/>
      <c r="O551" s="100"/>
      <c r="P551" s="100"/>
      <c r="Q551" s="100"/>
      <c r="R551" s="100"/>
      <c r="S551" s="100"/>
      <c r="T551" s="100"/>
      <c r="U551" s="100"/>
      <c r="V551" s="100"/>
      <c r="W551" s="100"/>
      <c r="X551" s="1602"/>
    </row>
    <row r="552" spans="2:45" ht="16" thickTop="1" x14ac:dyDescent="0.2">
      <c r="B552" s="92" t="s">
        <v>5554</v>
      </c>
      <c r="C552" s="858"/>
      <c r="G552" s="1421" t="s">
        <v>3199</v>
      </c>
      <c r="H552" s="1421" t="s">
        <v>3197</v>
      </c>
      <c r="I552" s="115" t="s">
        <v>5554</v>
      </c>
      <c r="J552" s="1070"/>
      <c r="K552" s="1070"/>
      <c r="L552" s="1740" t="s">
        <v>5555</v>
      </c>
      <c r="M552" s="1701" t="str">
        <f ca="1">IF(R552,"Mandatory","N/A")</f>
        <v>N/A</v>
      </c>
      <c r="N552" s="106"/>
      <c r="O552" s="106"/>
      <c r="P552" s="106" t="b">
        <v>1</v>
      </c>
      <c r="Q552" s="106" t="b">
        <v>1</v>
      </c>
      <c r="R552" s="106" t="b">
        <f ca="1">S552</f>
        <v>0</v>
      </c>
      <c r="S552" s="106" t="b">
        <f ca="1">S14=1</f>
        <v>0</v>
      </c>
      <c r="T552" s="106" t="b">
        <f ca="1">AND(NOT(S552),W552=TRUE)</f>
        <v>0</v>
      </c>
      <c r="U552" s="106"/>
      <c r="V552" s="106"/>
      <c r="W552" s="334"/>
      <c r="X552" s="1603"/>
      <c r="AC552" s="1421" t="b">
        <f ca="1">OR(AD552:AE552)</f>
        <v>0</v>
      </c>
      <c r="AD552" s="1421" t="b">
        <f ca="1">T552</f>
        <v>0</v>
      </c>
      <c r="AE552" s="1421" t="b">
        <f ca="1">AND(R552,NOT(W552))</f>
        <v>0</v>
      </c>
      <c r="AP552" s="1421" t="str">
        <f>SUBSTITUTE(SUBSTITUTE(SUBSTITUTE("vcc"&amp;$B552&amp;$C552&amp;$D552&amp;$E552,".","_"),"(","_"),")","")</f>
        <v>vcc13_107_7</v>
      </c>
      <c r="AQ552" s="1421" t="str">
        <f>IF(LEN(W552)=0,"",W552)</f>
        <v/>
      </c>
      <c r="AR552" s="1421" t="str">
        <f>SUBSTITUTE(SUBSTITUTE(SUBSTITUTE("vcn"&amp;$B552&amp;$C552&amp;$D552&amp;$E552,".","_"),"(","_"),")","")</f>
        <v>vcn13_107_7</v>
      </c>
      <c r="AS552" s="1421" t="str">
        <f>IF(LEN(X552)=0,"",X552)</f>
        <v/>
      </c>
    </row>
    <row r="553" spans="2:45" ht="16" thickBot="1" x14ac:dyDescent="0.25">
      <c r="B553" s="92" t="s">
        <v>5554</v>
      </c>
      <c r="C553" s="858"/>
      <c r="G553" s="1421" t="s">
        <v>3199</v>
      </c>
      <c r="H553" s="1421" t="s">
        <v>3197</v>
      </c>
      <c r="I553" s="98"/>
      <c r="J553" s="1069"/>
      <c r="K553" s="1069"/>
      <c r="L553" s="1738"/>
      <c r="M553" s="1726"/>
      <c r="N553" s="100"/>
      <c r="O553" s="100"/>
      <c r="P553" s="100"/>
      <c r="Q553" s="100"/>
      <c r="R553" s="100"/>
      <c r="S553" s="100"/>
      <c r="T553" s="100"/>
      <c r="U553" s="100"/>
      <c r="V553" s="100"/>
      <c r="W553" s="100"/>
      <c r="X553" s="1602"/>
    </row>
    <row r="554" spans="2:45" ht="16" thickTop="1" x14ac:dyDescent="0.2">
      <c r="B554" s="92" t="s">
        <v>5556</v>
      </c>
      <c r="C554" s="858"/>
      <c r="G554" s="1421" t="s">
        <v>3199</v>
      </c>
      <c r="H554" s="1421" t="s">
        <v>3197</v>
      </c>
      <c r="I554" s="89" t="s">
        <v>5556</v>
      </c>
      <c r="J554" s="873"/>
      <c r="K554" s="873"/>
      <c r="L554" s="1470" t="s">
        <v>5557</v>
      </c>
    </row>
    <row r="555" spans="2:45" x14ac:dyDescent="0.2">
      <c r="B555" s="92" t="s">
        <v>5558</v>
      </c>
      <c r="C555" s="858"/>
      <c r="G555" s="1421" t="s">
        <v>3199</v>
      </c>
      <c r="H555" s="1421" t="s">
        <v>3197</v>
      </c>
      <c r="I555" s="89" t="s">
        <v>5558</v>
      </c>
      <c r="J555" s="873"/>
      <c r="K555" s="873"/>
      <c r="L555" s="1807" t="s">
        <v>5559</v>
      </c>
      <c r="M555" s="1714" t="str">
        <f ca="1">IF(R555,"Mandatory","N/A")</f>
        <v>N/A</v>
      </c>
      <c r="P555" s="1421" t="b">
        <v>1</v>
      </c>
      <c r="Q555" s="1421" t="b">
        <v>1</v>
      </c>
      <c r="R555" s="1421" t="b">
        <f ca="1">S555</f>
        <v>0</v>
      </c>
      <c r="S555" s="1421" t="b">
        <f ca="1">S14=1</f>
        <v>0</v>
      </c>
      <c r="T555" s="1421" t="b">
        <f ca="1">AND(NOT(S555),W555=TRUE)</f>
        <v>0</v>
      </c>
      <c r="W555" s="27"/>
      <c r="X555" s="1600"/>
      <c r="AC555" s="1421" t="b">
        <f ca="1">OR(AD555:AE555)</f>
        <v>0</v>
      </c>
      <c r="AD555" s="1421" t="b">
        <f ca="1">T555</f>
        <v>0</v>
      </c>
      <c r="AE555" s="1421" t="b">
        <f ca="1">AND(R555,NOT(W555))</f>
        <v>0</v>
      </c>
      <c r="AP555" s="1421" t="str">
        <f>SUBSTITUTE(SUBSTITUTE(SUBSTITUTE("vcc"&amp;$B555&amp;$C555&amp;$D555&amp;$E555,".","_"),"(","_"),")","")</f>
        <v>vcc13_107_8_1</v>
      </c>
      <c r="AQ555" s="1421" t="str">
        <f>IF(LEN(W555)=0,"",W555)</f>
        <v/>
      </c>
      <c r="AR555" s="1421" t="str">
        <f>SUBSTITUTE(SUBSTITUTE(SUBSTITUTE("vcn"&amp;$B555&amp;$C555&amp;$D555&amp;$E555,".","_"),"(","_"),")","")</f>
        <v>vcn13_107_8_1</v>
      </c>
      <c r="AS555" s="1421" t="str">
        <f>IF(LEN(X555)=0,"",X555)</f>
        <v/>
      </c>
    </row>
    <row r="556" spans="2:45" x14ac:dyDescent="0.2">
      <c r="B556" s="92" t="s">
        <v>5558</v>
      </c>
      <c r="C556" s="858"/>
      <c r="G556" s="1421" t="s">
        <v>3199</v>
      </c>
      <c r="H556" s="1421" t="s">
        <v>3197</v>
      </c>
      <c r="I556" s="169"/>
      <c r="J556" s="1072"/>
      <c r="K556" s="1072"/>
      <c r="L556" s="1688"/>
      <c r="M556" s="1698"/>
      <c r="N556" s="173"/>
      <c r="O556" s="173"/>
      <c r="P556" s="1479"/>
      <c r="Q556" s="1479"/>
      <c r="R556" s="1479"/>
      <c r="S556" s="1479"/>
      <c r="T556" s="1479"/>
      <c r="U556" s="1479"/>
      <c r="V556" s="1479"/>
      <c r="X556" s="1600"/>
    </row>
    <row r="557" spans="2:45" x14ac:dyDescent="0.2">
      <c r="B557" s="92" t="s">
        <v>5560</v>
      </c>
      <c r="C557" s="858"/>
      <c r="G557" s="1421" t="s">
        <v>3199</v>
      </c>
      <c r="H557" s="1421" t="s">
        <v>3197</v>
      </c>
      <c r="I557" s="89" t="s">
        <v>5560</v>
      </c>
      <c r="J557" s="873"/>
      <c r="K557" s="873"/>
      <c r="L557" s="1807" t="s">
        <v>5561</v>
      </c>
      <c r="M557" s="1714" t="str">
        <f ca="1">IF(R557,"Mandatory","N/A")</f>
        <v>N/A</v>
      </c>
      <c r="P557" s="1421" t="b">
        <v>1</v>
      </c>
      <c r="Q557" s="1421" t="b">
        <v>1</v>
      </c>
      <c r="R557" s="1421" t="b">
        <f ca="1">S557</f>
        <v>0</v>
      </c>
      <c r="S557" s="1421" t="b">
        <f ca="1">S14=1</f>
        <v>0</v>
      </c>
      <c r="T557" s="1421" t="b">
        <f ca="1">AND(NOT(S557),W557=TRUE)</f>
        <v>0</v>
      </c>
      <c r="W557" s="27"/>
      <c r="X557" s="1600"/>
      <c r="AC557" s="1421" t="b">
        <f ca="1">OR(AD557:AE557)</f>
        <v>0</v>
      </c>
      <c r="AD557" s="1421" t="b">
        <f ca="1">T557</f>
        <v>0</v>
      </c>
      <c r="AE557" s="1421" t="b">
        <f ca="1">AND(R557,NOT(W557))</f>
        <v>0</v>
      </c>
      <c r="AP557" s="1421" t="str">
        <f>SUBSTITUTE(SUBSTITUTE(SUBSTITUTE("vcc"&amp;$B557&amp;$C557&amp;$D557&amp;$E557,".","_"),"(","_"),")","")</f>
        <v>vcc13_107_8_2</v>
      </c>
      <c r="AQ557" s="1421" t="str">
        <f>IF(LEN(W557)=0,"",W557)</f>
        <v/>
      </c>
      <c r="AR557" s="1421" t="str">
        <f>SUBSTITUTE(SUBSTITUTE(SUBSTITUTE("vcn"&amp;$B557&amp;$C557&amp;$D557&amp;$E557,".","_"),"(","_"),")","")</f>
        <v>vcn13_107_8_2</v>
      </c>
      <c r="AS557" s="1421" t="str">
        <f>IF(LEN(X557)=0,"",X557)</f>
        <v/>
      </c>
    </row>
    <row r="558" spans="2:45" ht="16" thickBot="1" x14ac:dyDescent="0.25">
      <c r="B558" s="92" t="s">
        <v>5560</v>
      </c>
      <c r="C558" s="858"/>
      <c r="G558" s="1421" t="s">
        <v>3199</v>
      </c>
      <c r="H558" s="1421" t="s">
        <v>3197</v>
      </c>
      <c r="I558" s="98"/>
      <c r="J558" s="1069"/>
      <c r="K558" s="1069"/>
      <c r="L558" s="1738"/>
      <c r="M558" s="1726"/>
      <c r="N558" s="100"/>
      <c r="O558" s="100"/>
      <c r="P558" s="100"/>
      <c r="Q558" s="100"/>
      <c r="R558" s="100"/>
      <c r="S558" s="100"/>
      <c r="T558" s="100"/>
      <c r="U558" s="100"/>
      <c r="V558" s="100"/>
      <c r="W558" s="100"/>
      <c r="X558" s="1602"/>
    </row>
    <row r="559" spans="2:45" ht="16" thickTop="1" x14ac:dyDescent="0.2">
      <c r="B559" s="92" t="s">
        <v>5562</v>
      </c>
      <c r="C559" s="858"/>
      <c r="G559" s="1421" t="s">
        <v>5303</v>
      </c>
      <c r="H559" s="1421" t="s">
        <v>3197</v>
      </c>
      <c r="I559" s="115" t="s">
        <v>5562</v>
      </c>
      <c r="J559" s="1070"/>
      <c r="K559" s="1070"/>
      <c r="L559" s="1740" t="s">
        <v>5563</v>
      </c>
    </row>
    <row r="560" spans="2:45" x14ac:dyDescent="0.2">
      <c r="B560" s="92" t="s">
        <v>5562</v>
      </c>
      <c r="C560" s="858"/>
      <c r="G560" s="1421" t="s">
        <v>5303</v>
      </c>
      <c r="H560" s="1421" t="s">
        <v>3197</v>
      </c>
      <c r="I560" s="169"/>
      <c r="J560" s="1072"/>
      <c r="K560" s="1072"/>
      <c r="L560" s="1688"/>
      <c r="M560" s="173"/>
      <c r="N560" s="173"/>
      <c r="O560" s="173"/>
      <c r="P560" s="173"/>
      <c r="Q560" s="173"/>
      <c r="R560" s="173"/>
      <c r="S560" s="173"/>
      <c r="T560" s="173"/>
      <c r="U560" s="173"/>
      <c r="V560" s="173"/>
      <c r="X560" s="173"/>
    </row>
    <row r="561" spans="2:45" x14ac:dyDescent="0.2">
      <c r="B561" s="600" t="s">
        <v>5564</v>
      </c>
      <c r="C561" s="23"/>
      <c r="D561" s="23"/>
      <c r="E561" s="23"/>
      <c r="F561" s="23"/>
      <c r="G561" s="1421" t="s">
        <v>5303</v>
      </c>
      <c r="H561" s="1421" t="s">
        <v>3197</v>
      </c>
      <c r="I561" s="80" t="s">
        <v>5564</v>
      </c>
      <c r="J561" s="589"/>
      <c r="K561" s="589"/>
      <c r="L561" s="1817" t="s">
        <v>5565</v>
      </c>
      <c r="M561" s="1714" t="str">
        <f>IF(R561,"Mandatory","N/A")</f>
        <v>N/A</v>
      </c>
      <c r="N561" s="1427"/>
      <c r="O561" s="1427"/>
      <c r="P561" s="1421" t="b">
        <v>1</v>
      </c>
      <c r="Q561" s="1421" t="b">
        <v>0</v>
      </c>
      <c r="R561" s="1421" t="b">
        <f>S561</f>
        <v>0</v>
      </c>
      <c r="S561" s="1421" t="b">
        <f>S562= 1</f>
        <v>0</v>
      </c>
      <c r="T561" s="1421" t="b">
        <v>0</v>
      </c>
      <c r="U561" s="1421" t="str">
        <f>SUBSTITUTE(SUBSTITUTE(SUBSTITUTE("dd"&amp;B561&amp;C561&amp;D561&amp;E561&amp;F561,".","_"),"(","_"),")","")</f>
        <v>dd902_3</v>
      </c>
      <c r="W561" s="12"/>
      <c r="X561" s="1632"/>
      <c r="AC561" s="1421" t="b">
        <f>OR(AD561:AE561)</f>
        <v>0</v>
      </c>
      <c r="AD561" s="1421" t="b">
        <v>0</v>
      </c>
      <c r="AE561" s="1421" t="b">
        <f>AND(R561,OR(W561="Not Met",W561=""))</f>
        <v>0</v>
      </c>
      <c r="AF561" s="1421" t="b">
        <f>AND(AE561,NOT(Q561))</f>
        <v>0</v>
      </c>
      <c r="AP561" s="1421" t="str">
        <f>SUBSTITUTE(SUBSTITUTE(SUBSTITUTE("vcc"&amp;$B561&amp;$C561&amp;$D561&amp;$E561,".","_"),"(","_"),")","")</f>
        <v>vcc902_3</v>
      </c>
      <c r="AQ561" s="1421" t="str">
        <f>IF(LEN(W561)=0,"",W561)</f>
        <v/>
      </c>
      <c r="AR561" s="1421" t="str">
        <f>SUBSTITUTE(SUBSTITUTE(SUBSTITUTE("vcn"&amp;$B561&amp;$C561&amp;$D561&amp;$E561,".","_"),"(","_"),")","")</f>
        <v>vcn902_3</v>
      </c>
      <c r="AS561" s="1421" t="str">
        <f>IF(LEN(X561)=0,"",X561)</f>
        <v/>
      </c>
    </row>
    <row r="562" spans="2:45" x14ac:dyDescent="0.2">
      <c r="B562" s="600" t="s">
        <v>5564</v>
      </c>
      <c r="C562" s="23"/>
      <c r="D562" s="23"/>
      <c r="E562" s="23"/>
      <c r="F562" s="23"/>
      <c r="G562" s="1421" t="s">
        <v>5303</v>
      </c>
      <c r="H562" s="1421" t="s">
        <v>3197</v>
      </c>
      <c r="I562" s="589"/>
      <c r="J562" s="589"/>
      <c r="K562" s="589"/>
      <c r="L562" s="1817"/>
      <c r="M562" s="1714"/>
      <c r="N562" s="1427"/>
      <c r="O562" s="1427"/>
      <c r="R562" s="779" t="s">
        <v>4472</v>
      </c>
      <c r="S562" s="779">
        <f>'Verification Report'!BE16</f>
        <v>0</v>
      </c>
      <c r="X562" s="1632"/>
    </row>
    <row r="563" spans="2:45" x14ac:dyDescent="0.2">
      <c r="B563" s="600" t="s">
        <v>5564</v>
      </c>
      <c r="C563" s="23"/>
      <c r="D563" s="23"/>
      <c r="E563" s="23"/>
      <c r="F563" s="23"/>
      <c r="G563" s="1421" t="s">
        <v>5303</v>
      </c>
      <c r="H563" s="1421" t="s">
        <v>3197</v>
      </c>
      <c r="I563" s="589"/>
      <c r="J563" s="589"/>
      <c r="K563" s="589"/>
      <c r="L563" s="1817"/>
      <c r="M563" s="1714"/>
      <c r="N563" s="1427"/>
      <c r="O563" s="1427"/>
      <c r="X563" s="1632"/>
    </row>
    <row r="564" spans="2:45" x14ac:dyDescent="0.2">
      <c r="B564" s="600" t="s">
        <v>5564</v>
      </c>
      <c r="C564" s="23" t="s">
        <v>254</v>
      </c>
      <c r="D564" s="23"/>
      <c r="E564" s="23"/>
      <c r="F564" s="23"/>
      <c r="G564" s="1421" t="s">
        <v>5303</v>
      </c>
      <c r="H564" s="1421" t="s">
        <v>3198</v>
      </c>
      <c r="I564" s="589"/>
      <c r="J564" s="589" t="s">
        <v>254</v>
      </c>
      <c r="K564" s="589"/>
      <c r="L564" s="1480" t="s">
        <v>2756</v>
      </c>
      <c r="N564" s="1427"/>
      <c r="O564" s="1427"/>
      <c r="P564" s="1421" t="b">
        <v>1</v>
      </c>
      <c r="Q564" s="1421" t="b">
        <v>0</v>
      </c>
      <c r="R564" s="1421" t="b">
        <f ca="1">S564</f>
        <v>0</v>
      </c>
      <c r="S564" s="1421" t="b">
        <f ca="1">AND(IFERROR(MATCH(W561,INDIRECT(U561),0)&lt;3,FALSE),S562= 1)</f>
        <v>0</v>
      </c>
      <c r="T564" s="1421" t="b">
        <f ca="1">AND(NOT(S564),LEN(W564)&gt;0)</f>
        <v>0</v>
      </c>
      <c r="U564" s="1421" t="str">
        <f>SUBSTITUTE(SUBSTITUTE(SUBSTITUTE("dd"&amp;B564&amp;C564&amp;D564&amp;E564&amp;F564,".","_"),"(","_"),")","")</f>
        <v>dd902_3_1</v>
      </c>
      <c r="W564" s="12"/>
      <c r="X564" s="1632"/>
      <c r="AC564" s="1421" t="b">
        <f ca="1">OR(AD564:AE564)</f>
        <v>0</v>
      </c>
      <c r="AD564" s="1421" t="b">
        <f ca="1">T564</f>
        <v>0</v>
      </c>
      <c r="AE564" s="1421" t="b">
        <f ca="1">AND(R564,OR(W564="Not Met",W564=""))</f>
        <v>0</v>
      </c>
      <c r="AF564" s="1421" t="b">
        <f ca="1">AND(AE564,NOT(Q564))</f>
        <v>0</v>
      </c>
      <c r="AP564" s="1421" t="str">
        <f>SUBSTITUTE(SUBSTITUTE(SUBSTITUTE("vcc"&amp;$B564&amp;$C564&amp;$D564&amp;$E564,".","_"),"(","_"),")","")</f>
        <v>vcc902_3_1</v>
      </c>
      <c r="AQ564" s="1421" t="str">
        <f>IF(LEN(W564)=0,"",W564)</f>
        <v/>
      </c>
    </row>
    <row r="565" spans="2:45" x14ac:dyDescent="0.2">
      <c r="B565" s="600" t="s">
        <v>5564</v>
      </c>
      <c r="C565" s="23" t="s">
        <v>254</v>
      </c>
      <c r="D565" s="23" t="s">
        <v>121</v>
      </c>
      <c r="E565" s="23"/>
      <c r="F565" s="23"/>
      <c r="G565" s="1421" t="s">
        <v>5303</v>
      </c>
      <c r="H565" s="1421" t="s">
        <v>3198</v>
      </c>
      <c r="I565" s="589"/>
      <c r="J565" s="589"/>
      <c r="K565" s="589" t="s">
        <v>121</v>
      </c>
      <c r="L565" s="1480" t="s">
        <v>4884</v>
      </c>
      <c r="M565" s="1444" t="str">
        <f ca="1">IF(R564,"Mandatory","N/A")</f>
        <v>N/A</v>
      </c>
      <c r="N565" s="1427"/>
      <c r="O565" s="1427"/>
      <c r="X565" s="1632"/>
    </row>
    <row r="566" spans="2:45" x14ac:dyDescent="0.2">
      <c r="B566" s="600" t="s">
        <v>5564</v>
      </c>
      <c r="C566" s="23" t="s">
        <v>254</v>
      </c>
      <c r="D566" s="23" t="s">
        <v>122</v>
      </c>
      <c r="E566" s="23"/>
      <c r="F566" s="23"/>
      <c r="G566" s="1421" t="s">
        <v>5303</v>
      </c>
      <c r="H566" s="1421" t="s">
        <v>3198</v>
      </c>
      <c r="I566" s="606"/>
      <c r="J566" s="606"/>
      <c r="K566" s="606" t="s">
        <v>122</v>
      </c>
      <c r="L566" s="1481" t="s">
        <v>4885</v>
      </c>
      <c r="N566" s="1429"/>
      <c r="O566" s="1429"/>
      <c r="P566" s="173"/>
      <c r="Q566" s="173"/>
      <c r="R566" s="173"/>
      <c r="S566" s="173"/>
      <c r="T566" s="173"/>
      <c r="U566" s="173"/>
      <c r="V566" s="173"/>
      <c r="X566" s="1632"/>
    </row>
    <row r="567" spans="2:45" ht="15" customHeight="1" x14ac:dyDescent="0.2">
      <c r="B567" s="600" t="s">
        <v>4957</v>
      </c>
      <c r="C567" s="23" t="s">
        <v>3931</v>
      </c>
      <c r="D567" s="23"/>
      <c r="E567" s="600"/>
      <c r="F567" s="600"/>
      <c r="G567" s="1421" t="s">
        <v>5303</v>
      </c>
      <c r="H567" s="1421" t="s">
        <v>3198</v>
      </c>
      <c r="I567" s="589" t="s">
        <v>4957</v>
      </c>
      <c r="J567" s="589"/>
      <c r="K567" s="589"/>
      <c r="L567" s="1482" t="s">
        <v>5566</v>
      </c>
      <c r="M567" s="195"/>
      <c r="O567" s="195"/>
      <c r="P567" s="1421" t="b">
        <v>1</v>
      </c>
      <c r="Q567" s="1421" t="b">
        <v>0</v>
      </c>
      <c r="R567" s="1421" t="b">
        <v>0</v>
      </c>
      <c r="S567" s="1421" t="b">
        <f ca="1">AND(IFERROR(MATCH(W561,INDIRECT(U561),0)=3,FALSE),S562= 1)</f>
        <v>0</v>
      </c>
      <c r="T567" s="1421" t="b">
        <f ca="1">AND(NOT(S567),W567=TRUE)</f>
        <v>0</v>
      </c>
      <c r="W567" s="27"/>
      <c r="X567" s="1432"/>
      <c r="AC567" s="1421" t="b">
        <f ca="1">OR(AD567:AE567)</f>
        <v>0</v>
      </c>
      <c r="AD567" s="1421" t="b">
        <f ca="1">T567</f>
        <v>0</v>
      </c>
      <c r="AP567" s="1421" t="str">
        <f>SUBSTITUTE(SUBSTITUTE(SUBSTITUTE("vcc"&amp;$B567&amp;$C567&amp;$D567&amp;$E567,".","_"),"(","_"),")","")</f>
        <v>vcc902_3_1_</v>
      </c>
      <c r="AQ567" s="1421" t="str">
        <f>IF(LEN(W567)=0,"",W567)</f>
        <v/>
      </c>
      <c r="AR567" s="1421" t="str">
        <f>SUBSTITUTE(SUBSTITUTE(SUBSTITUTE("vcn"&amp;$B567&amp;$C567&amp;$D567&amp;$E567,".","_"),"(","_"),")","")</f>
        <v>vcn902_3_1_</v>
      </c>
      <c r="AS567" s="1421" t="str">
        <f>IF(LEN(X567)=0,"",X567)</f>
        <v/>
      </c>
    </row>
    <row r="568" spans="2:45" x14ac:dyDescent="0.2">
      <c r="B568" s="600" t="s">
        <v>5038</v>
      </c>
      <c r="C568" s="23"/>
      <c r="D568" s="23"/>
      <c r="E568" s="600"/>
      <c r="F568" s="600"/>
      <c r="G568" s="1421" t="s">
        <v>5303</v>
      </c>
      <c r="H568" s="1421" t="s">
        <v>3198</v>
      </c>
      <c r="I568" s="589" t="s">
        <v>5038</v>
      </c>
      <c r="J568" s="589"/>
      <c r="K568" s="589"/>
      <c r="L568" s="1817" t="s">
        <v>5567</v>
      </c>
    </row>
    <row r="569" spans="2:45" x14ac:dyDescent="0.2">
      <c r="B569" s="600" t="s">
        <v>5038</v>
      </c>
      <c r="C569" s="23"/>
      <c r="D569" s="23"/>
      <c r="E569" s="600"/>
      <c r="F569" s="600"/>
      <c r="G569" s="1421" t="s">
        <v>5303</v>
      </c>
      <c r="H569" s="1421" t="s">
        <v>3198</v>
      </c>
      <c r="I569" s="589"/>
      <c r="J569" s="589"/>
      <c r="K569" s="589"/>
      <c r="L569" s="1817"/>
    </row>
    <row r="570" spans="2:45" x14ac:dyDescent="0.2">
      <c r="B570" s="600" t="s">
        <v>5038</v>
      </c>
      <c r="C570" s="23"/>
      <c r="D570" s="23"/>
      <c r="E570" s="600"/>
      <c r="F570" s="600"/>
      <c r="G570" s="1421" t="s">
        <v>5303</v>
      </c>
      <c r="H570" s="1421" t="s">
        <v>3198</v>
      </c>
      <c r="I570" s="589"/>
      <c r="J570" s="589"/>
      <c r="K570" s="589"/>
      <c r="L570" s="1817"/>
    </row>
    <row r="571" spans="2:45" x14ac:dyDescent="0.2">
      <c r="B571" s="600" t="s">
        <v>5038</v>
      </c>
      <c r="C571" s="23"/>
      <c r="D571" s="23"/>
      <c r="E571" s="600"/>
      <c r="F571" s="600"/>
      <c r="G571" s="1421" t="s">
        <v>5303</v>
      </c>
      <c r="H571" s="1421" t="s">
        <v>3198</v>
      </c>
      <c r="I571" s="589"/>
      <c r="J571" s="589"/>
      <c r="K571" s="589"/>
      <c r="L571" s="1817"/>
    </row>
    <row r="572" spans="2:45" x14ac:dyDescent="0.2">
      <c r="B572" s="600" t="s">
        <v>5038</v>
      </c>
      <c r="C572" s="23"/>
      <c r="D572" s="23"/>
      <c r="E572" s="600"/>
      <c r="F572" s="600"/>
      <c r="G572" s="1421" t="s">
        <v>5303</v>
      </c>
      <c r="H572" s="1421" t="s">
        <v>3198</v>
      </c>
      <c r="I572" s="589"/>
      <c r="J572" s="589"/>
      <c r="K572" s="589"/>
      <c r="L572" s="1817"/>
    </row>
    <row r="573" spans="2:45" x14ac:dyDescent="0.2">
      <c r="B573" s="600" t="s">
        <v>5038</v>
      </c>
      <c r="C573" s="23"/>
      <c r="D573" s="23"/>
      <c r="E573" s="600"/>
      <c r="F573" s="600"/>
      <c r="G573" s="1421" t="s">
        <v>5303</v>
      </c>
      <c r="H573" s="1421" t="s">
        <v>3198</v>
      </c>
      <c r="I573" s="589"/>
      <c r="J573" s="589"/>
      <c r="K573" s="589"/>
      <c r="L573" s="1817"/>
    </row>
    <row r="574" spans="2:45" x14ac:dyDescent="0.2">
      <c r="B574" s="600" t="s">
        <v>5038</v>
      </c>
      <c r="C574" s="23"/>
      <c r="D574" s="23"/>
      <c r="E574" s="600"/>
      <c r="F574" s="600"/>
      <c r="G574" s="1421" t="s">
        <v>5303</v>
      </c>
      <c r="H574" s="1421" t="s">
        <v>3198</v>
      </c>
      <c r="I574" s="606"/>
      <c r="J574" s="606"/>
      <c r="K574" s="606"/>
      <c r="L574" s="1818"/>
    </row>
    <row r="575" spans="2:45" x14ac:dyDescent="0.2">
      <c r="B575" s="600" t="s">
        <v>5039</v>
      </c>
      <c r="C575" s="23"/>
      <c r="D575" s="23"/>
      <c r="E575" s="600"/>
      <c r="F575" s="600"/>
      <c r="G575" s="1421" t="s">
        <v>5303</v>
      </c>
      <c r="H575" s="1421" t="s">
        <v>3198</v>
      </c>
      <c r="I575" s="608" t="s">
        <v>5039</v>
      </c>
      <c r="J575" s="608"/>
      <c r="K575" s="608"/>
      <c r="L575" s="1819" t="s">
        <v>5568</v>
      </c>
    </row>
    <row r="576" spans="2:45" x14ac:dyDescent="0.2">
      <c r="B576" s="600" t="s">
        <v>5039</v>
      </c>
      <c r="C576" s="23"/>
      <c r="D576" s="23"/>
      <c r="E576" s="600"/>
      <c r="F576" s="600"/>
      <c r="G576" s="1421" t="s">
        <v>5303</v>
      </c>
      <c r="H576" s="1421" t="s">
        <v>3198</v>
      </c>
      <c r="I576" s="589"/>
      <c r="J576" s="589"/>
      <c r="K576" s="589"/>
      <c r="L576" s="1817"/>
    </row>
    <row r="577" spans="2:12" x14ac:dyDescent="0.2">
      <c r="B577" s="600" t="s">
        <v>5039</v>
      </c>
      <c r="C577" s="23"/>
      <c r="D577" s="23"/>
      <c r="E577" s="600"/>
      <c r="F577" s="600"/>
      <c r="G577" s="1421" t="s">
        <v>5303</v>
      </c>
      <c r="H577" s="1421" t="s">
        <v>3198</v>
      </c>
      <c r="I577" s="589"/>
      <c r="J577" s="589"/>
      <c r="K577" s="589"/>
      <c r="L577" s="1817"/>
    </row>
    <row r="578" spans="2:12" x14ac:dyDescent="0.2">
      <c r="B578" s="600" t="s">
        <v>5039</v>
      </c>
      <c r="C578" s="23"/>
      <c r="D578" s="23"/>
      <c r="E578" s="600"/>
      <c r="F578" s="600"/>
      <c r="G578" s="1421" t="s">
        <v>5303</v>
      </c>
      <c r="H578" s="1421" t="s">
        <v>3198</v>
      </c>
      <c r="I578" s="589"/>
      <c r="J578" s="589"/>
      <c r="K578" s="589"/>
      <c r="L578" s="1817"/>
    </row>
    <row r="579" spans="2:12" x14ac:dyDescent="0.2">
      <c r="B579" s="600" t="s">
        <v>5039</v>
      </c>
      <c r="C579" s="23"/>
      <c r="D579" s="23"/>
      <c r="E579" s="600"/>
      <c r="F579" s="600"/>
      <c r="G579" s="1421" t="s">
        <v>5303</v>
      </c>
      <c r="H579" s="1421" t="s">
        <v>3198</v>
      </c>
      <c r="I579" s="589"/>
      <c r="J579" s="589"/>
      <c r="K579" s="589"/>
      <c r="L579" s="1817"/>
    </row>
    <row r="580" spans="2:12" x14ac:dyDescent="0.2">
      <c r="B580" s="600" t="s">
        <v>5039</v>
      </c>
      <c r="C580" s="23"/>
      <c r="D580" s="23"/>
      <c r="E580" s="600"/>
      <c r="F580" s="600"/>
      <c r="G580" s="1421" t="s">
        <v>5303</v>
      </c>
      <c r="H580" s="1421" t="s">
        <v>3198</v>
      </c>
      <c r="I580" s="589"/>
      <c r="J580" s="589"/>
      <c r="K580" s="589"/>
      <c r="L580" s="1817"/>
    </row>
    <row r="581" spans="2:12" x14ac:dyDescent="0.2">
      <c r="B581" s="600" t="s">
        <v>5039</v>
      </c>
      <c r="C581" s="23"/>
      <c r="D581" s="23"/>
      <c r="E581" s="600"/>
      <c r="F581" s="600"/>
      <c r="G581" s="1421" t="s">
        <v>5303</v>
      </c>
      <c r="H581" s="1421" t="s">
        <v>3198</v>
      </c>
      <c r="I581" s="606"/>
      <c r="J581" s="606"/>
      <c r="K581" s="606"/>
      <c r="L581" s="1818"/>
    </row>
    <row r="582" spans="2:12" x14ac:dyDescent="0.2">
      <c r="B582" s="600" t="s">
        <v>5040</v>
      </c>
      <c r="C582" s="23"/>
      <c r="D582" s="23"/>
      <c r="E582" s="600"/>
      <c r="F582" s="600"/>
      <c r="G582" s="1421" t="s">
        <v>5303</v>
      </c>
      <c r="H582" s="1421" t="s">
        <v>3198</v>
      </c>
      <c r="I582" s="608" t="s">
        <v>5040</v>
      </c>
      <c r="J582" s="608"/>
      <c r="K582" s="608"/>
      <c r="L582" s="1819" t="s">
        <v>5569</v>
      </c>
    </row>
    <row r="583" spans="2:12" x14ac:dyDescent="0.2">
      <c r="B583" s="600" t="s">
        <v>5040</v>
      </c>
      <c r="C583" s="23"/>
      <c r="D583" s="23"/>
      <c r="E583" s="600"/>
      <c r="F583" s="600"/>
      <c r="G583" s="1421" t="s">
        <v>5303</v>
      </c>
      <c r="H583" s="1421" t="s">
        <v>3198</v>
      </c>
      <c r="I583" s="589"/>
      <c r="J583" s="589"/>
      <c r="K583" s="589"/>
      <c r="L583" s="1817"/>
    </row>
    <row r="584" spans="2:12" x14ac:dyDescent="0.2">
      <c r="B584" s="600" t="s">
        <v>5040</v>
      </c>
      <c r="C584" s="23"/>
      <c r="D584" s="23"/>
      <c r="E584" s="600"/>
      <c r="F584" s="600"/>
      <c r="G584" s="1421" t="s">
        <v>5303</v>
      </c>
      <c r="H584" s="1421" t="s">
        <v>3198</v>
      </c>
      <c r="I584" s="589"/>
      <c r="J584" s="589"/>
      <c r="K584" s="589"/>
      <c r="L584" s="1817"/>
    </row>
    <row r="585" spans="2:12" x14ac:dyDescent="0.2">
      <c r="B585" s="600" t="s">
        <v>5040</v>
      </c>
      <c r="C585" s="23"/>
      <c r="D585" s="23"/>
      <c r="E585" s="600"/>
      <c r="F585" s="600"/>
      <c r="G585" s="1421" t="s">
        <v>5303</v>
      </c>
      <c r="H585" s="1421" t="s">
        <v>3198</v>
      </c>
      <c r="I585" s="589"/>
      <c r="J585" s="589"/>
      <c r="K585" s="589"/>
      <c r="L585" s="1817"/>
    </row>
    <row r="586" spans="2:12" x14ac:dyDescent="0.2">
      <c r="B586" s="600" t="s">
        <v>5040</v>
      </c>
      <c r="C586" s="23"/>
      <c r="D586" s="23"/>
      <c r="E586" s="600"/>
      <c r="F586" s="600"/>
      <c r="G586" s="1421" t="s">
        <v>5303</v>
      </c>
      <c r="H586" s="1421" t="s">
        <v>3198</v>
      </c>
      <c r="I586" s="589"/>
      <c r="J586" s="589"/>
      <c r="K586" s="589"/>
      <c r="L586" s="1817"/>
    </row>
    <row r="587" spans="2:12" x14ac:dyDescent="0.2">
      <c r="B587" s="600" t="s">
        <v>5040</v>
      </c>
      <c r="C587" s="23"/>
      <c r="D587" s="23"/>
      <c r="E587" s="600"/>
      <c r="F587" s="600"/>
      <c r="G587" s="1421" t="s">
        <v>5303</v>
      </c>
      <c r="H587" s="1421" t="s">
        <v>3198</v>
      </c>
      <c r="I587" s="589"/>
      <c r="J587" s="589"/>
      <c r="K587" s="589"/>
      <c r="L587" s="1817"/>
    </row>
    <row r="588" spans="2:12" x14ac:dyDescent="0.2">
      <c r="B588" s="600" t="s">
        <v>5040</v>
      </c>
      <c r="C588" s="23"/>
      <c r="D588" s="23"/>
      <c r="E588" s="600"/>
      <c r="F588" s="600"/>
      <c r="G588" s="1421" t="s">
        <v>5303</v>
      </c>
      <c r="H588" s="1421" t="s">
        <v>3198</v>
      </c>
      <c r="I588" s="606"/>
      <c r="J588" s="606"/>
      <c r="K588" s="606"/>
      <c r="L588" s="1818"/>
    </row>
    <row r="589" spans="2:12" x14ac:dyDescent="0.2">
      <c r="B589" s="600" t="s">
        <v>5041</v>
      </c>
      <c r="C589" s="23"/>
      <c r="D589" s="23"/>
      <c r="E589" s="600"/>
      <c r="F589" s="600"/>
      <c r="G589" s="1421" t="s">
        <v>5303</v>
      </c>
      <c r="H589" s="1421" t="s">
        <v>3198</v>
      </c>
      <c r="I589" s="608" t="s">
        <v>5041</v>
      </c>
      <c r="J589" s="608"/>
      <c r="K589" s="608"/>
      <c r="L589" s="1819" t="s">
        <v>5570</v>
      </c>
    </row>
    <row r="590" spans="2:12" x14ac:dyDescent="0.2">
      <c r="B590" s="600" t="s">
        <v>5041</v>
      </c>
      <c r="C590" s="23"/>
      <c r="D590" s="23"/>
      <c r="E590" s="600"/>
      <c r="F590" s="600"/>
      <c r="G590" s="1421" t="s">
        <v>5303</v>
      </c>
      <c r="H590" s="1421" t="s">
        <v>3198</v>
      </c>
      <c r="I590" s="589"/>
      <c r="J590" s="589"/>
      <c r="K590" s="589"/>
      <c r="L590" s="1817"/>
    </row>
    <row r="591" spans="2:12" x14ac:dyDescent="0.2">
      <c r="B591" s="600" t="s">
        <v>5041</v>
      </c>
      <c r="C591" s="23"/>
      <c r="D591" s="23"/>
      <c r="E591" s="600"/>
      <c r="F591" s="600"/>
      <c r="G591" s="1421" t="s">
        <v>5303</v>
      </c>
      <c r="H591" s="1421" t="s">
        <v>3198</v>
      </c>
      <c r="I591" s="589"/>
      <c r="J591" s="589"/>
      <c r="K591" s="589"/>
      <c r="L591" s="1817"/>
    </row>
    <row r="592" spans="2:12" x14ac:dyDescent="0.2">
      <c r="B592" s="600" t="s">
        <v>5041</v>
      </c>
      <c r="C592" s="23"/>
      <c r="D592" s="23"/>
      <c r="E592" s="600"/>
      <c r="F592" s="600"/>
      <c r="G592" s="1421" t="s">
        <v>5303</v>
      </c>
      <c r="H592" s="1421" t="s">
        <v>3198</v>
      </c>
      <c r="I592" s="589"/>
      <c r="J592" s="589"/>
      <c r="K592" s="589"/>
      <c r="L592" s="1817"/>
    </row>
    <row r="593" spans="2:45" x14ac:dyDescent="0.2">
      <c r="B593" s="600" t="s">
        <v>5041</v>
      </c>
      <c r="C593" s="23"/>
      <c r="D593" s="23"/>
      <c r="E593" s="600"/>
      <c r="F593" s="600"/>
      <c r="G593" s="1421" t="s">
        <v>5303</v>
      </c>
      <c r="H593" s="1421" t="s">
        <v>3198</v>
      </c>
      <c r="I593" s="606"/>
      <c r="J593" s="606"/>
      <c r="K593" s="606"/>
      <c r="L593" s="1818"/>
    </row>
    <row r="594" spans="2:45" x14ac:dyDescent="0.2">
      <c r="B594" s="600" t="s">
        <v>5042</v>
      </c>
      <c r="C594" s="23"/>
      <c r="D594" s="23"/>
      <c r="E594" s="600"/>
      <c r="F594" s="600"/>
      <c r="G594" s="1421" t="s">
        <v>5303</v>
      </c>
      <c r="H594" s="1421" t="s">
        <v>3198</v>
      </c>
      <c r="I594" s="608" t="s">
        <v>5042</v>
      </c>
      <c r="J594" s="608"/>
      <c r="K594" s="608"/>
      <c r="L594" s="1819" t="s">
        <v>5571</v>
      </c>
    </row>
    <row r="595" spans="2:45" x14ac:dyDescent="0.2">
      <c r="B595" s="600" t="s">
        <v>5042</v>
      </c>
      <c r="C595" s="23"/>
      <c r="D595" s="23"/>
      <c r="E595" s="600"/>
      <c r="F595" s="600"/>
      <c r="G595" s="1421" t="s">
        <v>5303</v>
      </c>
      <c r="H595" s="1421" t="s">
        <v>3198</v>
      </c>
      <c r="I595" s="606"/>
      <c r="J595" s="606"/>
      <c r="K595" s="606"/>
      <c r="L595" s="1818"/>
    </row>
    <row r="596" spans="2:45" x14ac:dyDescent="0.2">
      <c r="B596" s="600" t="s">
        <v>5043</v>
      </c>
      <c r="C596" s="23"/>
      <c r="D596" s="23"/>
      <c r="E596" s="600"/>
      <c r="F596" s="600"/>
      <c r="G596" s="1421" t="s">
        <v>5303</v>
      </c>
      <c r="H596" s="1421" t="s">
        <v>3198</v>
      </c>
      <c r="I596" s="608" t="s">
        <v>5043</v>
      </c>
      <c r="J596" s="608"/>
      <c r="K596" s="608"/>
      <c r="L596" s="1819" t="s">
        <v>5572</v>
      </c>
    </row>
    <row r="597" spans="2:45" x14ac:dyDescent="0.2">
      <c r="B597" s="600" t="s">
        <v>5043</v>
      </c>
      <c r="C597" s="23"/>
      <c r="D597" s="23"/>
      <c r="E597" s="600"/>
      <c r="F597" s="600"/>
      <c r="G597" s="1421" t="s">
        <v>5303</v>
      </c>
      <c r="H597" s="1421" t="s">
        <v>3198</v>
      </c>
      <c r="I597" s="589"/>
      <c r="J597" s="589"/>
      <c r="K597" s="589"/>
      <c r="L597" s="1817"/>
    </row>
    <row r="598" spans="2:45" x14ac:dyDescent="0.2">
      <c r="B598" s="600" t="s">
        <v>5043</v>
      </c>
      <c r="C598" s="23"/>
      <c r="D598" s="23"/>
      <c r="E598" s="600"/>
      <c r="F598" s="600"/>
      <c r="G598" s="1421" t="s">
        <v>5303</v>
      </c>
      <c r="H598" s="1421" t="s">
        <v>3198</v>
      </c>
      <c r="I598" s="589"/>
      <c r="J598" s="589"/>
      <c r="K598" s="589"/>
      <c r="L598" s="1817"/>
    </row>
    <row r="599" spans="2:45" x14ac:dyDescent="0.2">
      <c r="B599" s="600" t="s">
        <v>5043</v>
      </c>
      <c r="C599" s="23"/>
      <c r="D599" s="23"/>
      <c r="E599" s="600"/>
      <c r="F599" s="600"/>
      <c r="G599" s="1421" t="s">
        <v>5303</v>
      </c>
      <c r="H599" s="1421" t="s">
        <v>3198</v>
      </c>
      <c r="I599" s="606"/>
      <c r="J599" s="606"/>
      <c r="K599" s="606"/>
      <c r="L599" s="1818"/>
    </row>
    <row r="600" spans="2:45" x14ac:dyDescent="0.2">
      <c r="B600" s="600" t="s">
        <v>5044</v>
      </c>
      <c r="C600" s="23"/>
      <c r="D600" s="23"/>
      <c r="E600" s="600"/>
      <c r="F600" s="600"/>
      <c r="G600" s="1421" t="s">
        <v>5303</v>
      </c>
      <c r="H600" s="1421" t="s">
        <v>3198</v>
      </c>
      <c r="I600" s="608" t="s">
        <v>5044</v>
      </c>
      <c r="J600" s="608"/>
      <c r="K600" s="608"/>
      <c r="L600" s="1819" t="s">
        <v>5573</v>
      </c>
    </row>
    <row r="601" spans="2:45" x14ac:dyDescent="0.2">
      <c r="B601" s="600" t="s">
        <v>5044</v>
      </c>
      <c r="C601" s="23"/>
      <c r="D601" s="23"/>
      <c r="E601" s="600"/>
      <c r="F601" s="600"/>
      <c r="G601" s="1421" t="s">
        <v>5303</v>
      </c>
      <c r="H601" s="1421" t="s">
        <v>3198</v>
      </c>
      <c r="I601" s="589"/>
      <c r="J601" s="589"/>
      <c r="K601" s="589"/>
      <c r="L601" s="1817"/>
    </row>
    <row r="602" spans="2:45" x14ac:dyDescent="0.2">
      <c r="B602" s="600" t="s">
        <v>5044</v>
      </c>
      <c r="C602" s="23"/>
      <c r="D602" s="23"/>
      <c r="E602" s="600"/>
      <c r="F602" s="600"/>
      <c r="G602" s="1421" t="s">
        <v>5303</v>
      </c>
      <c r="H602" s="1421" t="s">
        <v>3198</v>
      </c>
      <c r="I602" s="606"/>
      <c r="J602" s="606"/>
      <c r="K602" s="606"/>
      <c r="L602" s="1818"/>
      <c r="N602" s="173"/>
      <c r="U602" s="173"/>
      <c r="V602" s="173"/>
      <c r="W602" s="173"/>
      <c r="X602" s="173"/>
    </row>
    <row r="603" spans="2:45" x14ac:dyDescent="0.2">
      <c r="B603" s="600" t="s">
        <v>4958</v>
      </c>
      <c r="C603" s="23"/>
      <c r="D603" s="23"/>
      <c r="E603" s="600"/>
      <c r="F603" s="600"/>
      <c r="G603" s="1421" t="s">
        <v>5303</v>
      </c>
      <c r="H603" s="1421" t="s">
        <v>3197</v>
      </c>
      <c r="I603" s="589" t="s">
        <v>4958</v>
      </c>
      <c r="J603" s="589"/>
      <c r="K603" s="589"/>
      <c r="L603" s="1482" t="s">
        <v>5574</v>
      </c>
      <c r="M603" s="195"/>
      <c r="N603" s="195"/>
      <c r="O603" s="195"/>
      <c r="P603" s="195"/>
      <c r="Q603" s="195"/>
      <c r="R603" s="195"/>
      <c r="S603" s="195"/>
      <c r="T603" s="195"/>
    </row>
    <row r="604" spans="2:45" x14ac:dyDescent="0.2">
      <c r="B604" s="600" t="s">
        <v>4958</v>
      </c>
      <c r="C604" s="23"/>
      <c r="D604" s="23"/>
      <c r="E604" s="600"/>
      <c r="F604" s="600"/>
      <c r="G604" s="1421" t="s">
        <v>5303</v>
      </c>
      <c r="H604" s="1421" t="s">
        <v>3197</v>
      </c>
      <c r="I604" s="589"/>
      <c r="J604" s="589"/>
      <c r="K604" s="589"/>
      <c r="L604" s="1482" t="s">
        <v>5321</v>
      </c>
    </row>
    <row r="605" spans="2:45" x14ac:dyDescent="0.2">
      <c r="B605" s="600" t="s">
        <v>4958</v>
      </c>
      <c r="C605" s="23"/>
      <c r="D605" s="23"/>
      <c r="E605" s="600"/>
      <c r="F605" s="600"/>
      <c r="G605" s="1421" t="s">
        <v>5303</v>
      </c>
      <c r="H605" s="1421" t="s">
        <v>3197</v>
      </c>
      <c r="I605" s="589"/>
      <c r="J605" s="589"/>
      <c r="K605" s="589"/>
      <c r="L605" s="1820" t="s">
        <v>5575</v>
      </c>
      <c r="P605" s="1421" t="b">
        <v>1</v>
      </c>
      <c r="Q605" s="1421" t="b">
        <v>1</v>
      </c>
      <c r="R605" s="1421" t="b">
        <v>0</v>
      </c>
      <c r="S605" s="1421" t="b">
        <f ca="1">AND(IFERROR(MATCH(W561,INDIRECT(U561),0)=3,FALSE),S562= 1)</f>
        <v>0</v>
      </c>
      <c r="T605" s="1421" t="b">
        <f ca="1">AND(NOT(S605),W605=TRUE)</f>
        <v>0</v>
      </c>
      <c r="W605" s="27"/>
      <c r="AC605" s="1421" t="b">
        <f ca="1">OR(AD605:AE605)</f>
        <v>0</v>
      </c>
      <c r="AD605" s="1421" t="b">
        <f ca="1">T605</f>
        <v>0</v>
      </c>
      <c r="AP605" s="1421" t="str">
        <f>SUBSTITUTE(SUBSTITUTE(SUBSTITUTE("vcc"&amp;$B605&amp;$C605&amp;$D605&amp;$E605,".","_"),"(","_"),")","")</f>
        <v>vcc902_3_2</v>
      </c>
      <c r="AQ605" s="1421" t="str">
        <f>IF(LEN(W605)=0,"",W605)</f>
        <v/>
      </c>
    </row>
    <row r="606" spans="2:45" x14ac:dyDescent="0.2">
      <c r="B606" s="600" t="s">
        <v>4958</v>
      </c>
      <c r="C606" s="23"/>
      <c r="D606" s="23"/>
      <c r="E606" s="600"/>
      <c r="F606" s="600"/>
      <c r="G606" s="1421" t="s">
        <v>5303</v>
      </c>
      <c r="H606" s="1421" t="s">
        <v>3197</v>
      </c>
      <c r="I606" s="589"/>
      <c r="J606" s="589"/>
      <c r="K606" s="589"/>
      <c r="L606" s="1820"/>
    </row>
    <row r="607" spans="2:45" x14ac:dyDescent="0.2">
      <c r="B607" s="600" t="s">
        <v>4958</v>
      </c>
      <c r="C607" s="600" t="s">
        <v>254</v>
      </c>
      <c r="D607" s="600"/>
      <c r="E607" s="600"/>
      <c r="F607" s="600"/>
      <c r="G607" s="1421" t="s">
        <v>5303</v>
      </c>
      <c r="H607" s="1421" t="s">
        <v>3199</v>
      </c>
      <c r="I607" s="589"/>
      <c r="J607" s="589" t="s">
        <v>254</v>
      </c>
      <c r="K607" s="589"/>
      <c r="L607" s="1480" t="s">
        <v>5576</v>
      </c>
      <c r="P607" s="1421" t="b">
        <v>0</v>
      </c>
      <c r="Q607" s="1421" t="b">
        <v>1</v>
      </c>
      <c r="R607" s="1421" t="b">
        <f ca="1">AND(S607, NOT(W605=TRUE),S562= 1)</f>
        <v>0</v>
      </c>
      <c r="S607" s="1421" t="b">
        <f ca="1">AND(IFERROR(MATCH(W561,INDIRECT(U561),0)=3,FALSE),S562= 1)</f>
        <v>0</v>
      </c>
      <c r="T607" s="1421" t="b">
        <f ca="1">AND(NOT(S607),W607=TRUE)</f>
        <v>0</v>
      </c>
      <c r="W607" s="27"/>
      <c r="X607" s="1600"/>
      <c r="AC607" s="1421" t="b">
        <f ca="1">OR(AD607:AE607)</f>
        <v>0</v>
      </c>
      <c r="AD607" s="1421" t="b">
        <f ca="1">T607</f>
        <v>0</v>
      </c>
      <c r="AE607" s="1421" t="b">
        <f ca="1">AND(R607,NOT(W607))</f>
        <v>0</v>
      </c>
      <c r="AP607" s="1421" t="str">
        <f>SUBSTITUTE(SUBSTITUTE(SUBSTITUTE("vcc"&amp;$B607&amp;$C607&amp;$D607&amp;$E607,".","_"),"(","_"),")","")</f>
        <v>vcc902_3_2_1</v>
      </c>
      <c r="AQ607" s="1421" t="str">
        <f>IF(LEN(W607)=0,"",W607)</f>
        <v/>
      </c>
      <c r="AR607" s="1421" t="str">
        <f>SUBSTITUTE(SUBSTITUTE(SUBSTITUTE("vcn"&amp;$B607&amp;$C607&amp;$D607&amp;$E607,".","_"),"(","_"),")","")</f>
        <v>vcn902_3_2_1</v>
      </c>
      <c r="AS607" s="1421" t="str">
        <f>IF(LEN(X607)=0,"",X607)</f>
        <v/>
      </c>
    </row>
    <row r="608" spans="2:45" x14ac:dyDescent="0.2">
      <c r="B608" s="600" t="s">
        <v>4958</v>
      </c>
      <c r="C608" s="600" t="s">
        <v>254</v>
      </c>
      <c r="D608" s="600" t="s">
        <v>121</v>
      </c>
      <c r="E608" s="600"/>
      <c r="F608" s="600"/>
      <c r="G608" s="1421" t="s">
        <v>5303</v>
      </c>
      <c r="H608" s="1421" t="s">
        <v>3199</v>
      </c>
      <c r="I608" s="589"/>
      <c r="J608" s="589"/>
      <c r="K608" s="589" t="s">
        <v>121</v>
      </c>
      <c r="L608" s="1480" t="s">
        <v>4887</v>
      </c>
      <c r="M608" s="1452"/>
      <c r="O608" s="1436"/>
      <c r="X608" s="1600"/>
    </row>
    <row r="609" spans="2:24" x14ac:dyDescent="0.2">
      <c r="B609" s="600" t="s">
        <v>4958</v>
      </c>
      <c r="C609" s="600" t="s">
        <v>254</v>
      </c>
      <c r="D609" s="600" t="s">
        <v>122</v>
      </c>
      <c r="E609" s="600"/>
      <c r="F609" s="600"/>
      <c r="G609" s="1421" t="s">
        <v>5303</v>
      </c>
      <c r="H609" s="1421" t="s">
        <v>3199</v>
      </c>
      <c r="I609" s="589"/>
      <c r="J609" s="589"/>
      <c r="K609" s="589" t="s">
        <v>122</v>
      </c>
      <c r="L609" s="1820" t="s">
        <v>4888</v>
      </c>
      <c r="X609" s="1600"/>
    </row>
    <row r="610" spans="2:24" x14ac:dyDescent="0.2">
      <c r="B610" s="600" t="s">
        <v>4958</v>
      </c>
      <c r="C610" s="600" t="s">
        <v>254</v>
      </c>
      <c r="D610" s="600" t="s">
        <v>122</v>
      </c>
      <c r="E610" s="600"/>
      <c r="F610" s="600"/>
      <c r="G610" s="1421" t="s">
        <v>5303</v>
      </c>
      <c r="H610" s="1421" t="s">
        <v>3199</v>
      </c>
      <c r="I610" s="589"/>
      <c r="J610" s="589"/>
      <c r="K610" s="589"/>
      <c r="L610" s="1820"/>
      <c r="X610" s="1600"/>
    </row>
    <row r="611" spans="2:24" x14ac:dyDescent="0.2">
      <c r="B611" s="600" t="s">
        <v>4958</v>
      </c>
      <c r="C611" s="600" t="s">
        <v>254</v>
      </c>
      <c r="D611" s="600" t="s">
        <v>123</v>
      </c>
      <c r="E611" s="600"/>
      <c r="F611" s="600"/>
      <c r="G611" s="1421" t="s">
        <v>5303</v>
      </c>
      <c r="H611" s="1421" t="s">
        <v>3199</v>
      </c>
      <c r="K611" s="589" t="s">
        <v>123</v>
      </c>
      <c r="L611" s="1820" t="s">
        <v>4889</v>
      </c>
      <c r="X611" s="1600"/>
    </row>
    <row r="612" spans="2:24" x14ac:dyDescent="0.2">
      <c r="B612" s="600" t="s">
        <v>4958</v>
      </c>
      <c r="C612" s="600" t="s">
        <v>254</v>
      </c>
      <c r="D612" s="600" t="s">
        <v>123</v>
      </c>
      <c r="E612" s="600"/>
      <c r="F612" s="600"/>
      <c r="G612" s="1421" t="s">
        <v>5303</v>
      </c>
      <c r="H612" s="1421" t="s">
        <v>3199</v>
      </c>
      <c r="K612" s="589"/>
      <c r="L612" s="1820"/>
      <c r="X612" s="1600"/>
    </row>
    <row r="613" spans="2:24" x14ac:dyDescent="0.2">
      <c r="B613" s="600" t="s">
        <v>4958</v>
      </c>
      <c r="C613" s="600" t="s">
        <v>254</v>
      </c>
      <c r="D613" s="588" t="s">
        <v>366</v>
      </c>
      <c r="E613" s="600"/>
      <c r="F613" s="588"/>
      <c r="G613" s="1421" t="s">
        <v>5303</v>
      </c>
      <c r="H613" s="1421" t="s">
        <v>3199</v>
      </c>
      <c r="K613" s="136" t="s">
        <v>366</v>
      </c>
      <c r="L613" s="1820" t="s">
        <v>5577</v>
      </c>
      <c r="X613" s="1600"/>
    </row>
    <row r="614" spans="2:24" x14ac:dyDescent="0.2">
      <c r="B614" s="600" t="s">
        <v>4958</v>
      </c>
      <c r="C614" s="600" t="s">
        <v>254</v>
      </c>
      <c r="D614" s="588" t="s">
        <v>366</v>
      </c>
      <c r="E614" s="600"/>
      <c r="F614" s="588"/>
      <c r="G614" s="1421" t="s">
        <v>5303</v>
      </c>
      <c r="H614" s="1421" t="s">
        <v>3199</v>
      </c>
      <c r="K614" s="136"/>
      <c r="L614" s="1820"/>
      <c r="X614" s="1600"/>
    </row>
    <row r="615" spans="2:24" x14ac:dyDescent="0.2">
      <c r="B615" s="600" t="s">
        <v>4958</v>
      </c>
      <c r="C615" s="600" t="s">
        <v>254</v>
      </c>
      <c r="D615" s="588" t="s">
        <v>472</v>
      </c>
      <c r="E615" s="600"/>
      <c r="F615" s="588"/>
      <c r="G615" s="1421" t="s">
        <v>5303</v>
      </c>
      <c r="H615" s="1421" t="s">
        <v>3199</v>
      </c>
      <c r="K615" s="136" t="s">
        <v>472</v>
      </c>
      <c r="L615" s="1820" t="s">
        <v>4891</v>
      </c>
      <c r="X615" s="1600"/>
    </row>
    <row r="616" spans="2:24" x14ac:dyDescent="0.2">
      <c r="B616" s="600" t="s">
        <v>4958</v>
      </c>
      <c r="C616" s="600" t="s">
        <v>254</v>
      </c>
      <c r="D616" s="588" t="s">
        <v>472</v>
      </c>
      <c r="E616" s="600"/>
      <c r="F616" s="588"/>
      <c r="G616" s="1421" t="s">
        <v>5303</v>
      </c>
      <c r="H616" s="1421" t="s">
        <v>3199</v>
      </c>
      <c r="K616" s="136"/>
      <c r="L616" s="1820"/>
      <c r="X616" s="1600"/>
    </row>
    <row r="617" spans="2:24" x14ac:dyDescent="0.2">
      <c r="B617" s="600" t="s">
        <v>4958</v>
      </c>
      <c r="C617" s="600" t="s">
        <v>254</v>
      </c>
      <c r="D617" s="588" t="s">
        <v>472</v>
      </c>
      <c r="E617" s="600"/>
      <c r="F617" s="588"/>
      <c r="G617" s="1421" t="s">
        <v>5303</v>
      </c>
      <c r="H617" s="1421" t="s">
        <v>3199</v>
      </c>
      <c r="K617" s="136"/>
      <c r="L617" s="1820"/>
      <c r="X617" s="1600"/>
    </row>
    <row r="618" spans="2:24" x14ac:dyDescent="0.2">
      <c r="B618" s="600" t="s">
        <v>4958</v>
      </c>
      <c r="C618" s="600" t="s">
        <v>254</v>
      </c>
      <c r="D618" s="588" t="s">
        <v>510</v>
      </c>
      <c r="E618" s="600"/>
      <c r="F618" s="588"/>
      <c r="G618" s="1421" t="s">
        <v>5303</v>
      </c>
      <c r="H618" s="1421" t="s">
        <v>3199</v>
      </c>
      <c r="K618" s="136" t="s">
        <v>510</v>
      </c>
      <c r="L618" s="1820" t="s">
        <v>4892</v>
      </c>
      <c r="X618" s="1600"/>
    </row>
    <row r="619" spans="2:24" x14ac:dyDescent="0.2">
      <c r="B619" s="600" t="s">
        <v>4958</v>
      </c>
      <c r="C619" s="600" t="s">
        <v>254</v>
      </c>
      <c r="D619" s="588" t="s">
        <v>510</v>
      </c>
      <c r="E619" s="600"/>
      <c r="F619" s="588"/>
      <c r="G619" s="1421" t="s">
        <v>5303</v>
      </c>
      <c r="H619" s="1421" t="s">
        <v>3199</v>
      </c>
      <c r="K619" s="136"/>
      <c r="L619" s="1820"/>
      <c r="X619" s="1600"/>
    </row>
    <row r="620" spans="2:24" x14ac:dyDescent="0.2">
      <c r="B620" s="600" t="s">
        <v>4958</v>
      </c>
      <c r="C620" s="600" t="s">
        <v>254</v>
      </c>
      <c r="D620" s="600" t="s">
        <v>512</v>
      </c>
      <c r="E620" s="600"/>
      <c r="F620" s="600"/>
      <c r="G620" s="1421" t="s">
        <v>5303</v>
      </c>
      <c r="H620" s="1421" t="s">
        <v>3199</v>
      </c>
      <c r="K620" s="589" t="s">
        <v>512</v>
      </c>
      <c r="L620" s="1820" t="s">
        <v>4893</v>
      </c>
      <c r="X620" s="1600"/>
    </row>
    <row r="621" spans="2:24" x14ac:dyDescent="0.2">
      <c r="B621" s="600" t="s">
        <v>4958</v>
      </c>
      <c r="C621" s="600" t="s">
        <v>254</v>
      </c>
      <c r="D621" s="600" t="s">
        <v>512</v>
      </c>
      <c r="E621" s="600"/>
      <c r="F621" s="600"/>
      <c r="G621" s="1421" t="s">
        <v>5303</v>
      </c>
      <c r="H621" s="1421" t="s">
        <v>3199</v>
      </c>
      <c r="K621" s="589"/>
      <c r="L621" s="1820"/>
      <c r="X621" s="1600"/>
    </row>
    <row r="622" spans="2:24" x14ac:dyDescent="0.2">
      <c r="B622" s="600" t="s">
        <v>4958</v>
      </c>
      <c r="C622" s="600" t="s">
        <v>254</v>
      </c>
      <c r="D622" s="600" t="s">
        <v>514</v>
      </c>
      <c r="E622" s="600"/>
      <c r="F622" s="600"/>
      <c r="G622" s="1421" t="s">
        <v>5303</v>
      </c>
      <c r="H622" s="1421" t="s">
        <v>3199</v>
      </c>
      <c r="K622" s="589" t="s">
        <v>514</v>
      </c>
      <c r="L622" s="1820" t="s">
        <v>4894</v>
      </c>
      <c r="X622" s="1600"/>
    </row>
    <row r="623" spans="2:24" x14ac:dyDescent="0.2">
      <c r="B623" s="600" t="s">
        <v>4958</v>
      </c>
      <c r="C623" s="600" t="s">
        <v>254</v>
      </c>
      <c r="D623" s="600" t="s">
        <v>514</v>
      </c>
      <c r="E623" s="600"/>
      <c r="F623" s="600"/>
      <c r="G623" s="1421" t="s">
        <v>5303</v>
      </c>
      <c r="H623" s="1421" t="s">
        <v>3199</v>
      </c>
      <c r="K623" s="589"/>
      <c r="L623" s="1820"/>
      <c r="X623" s="1600"/>
    </row>
    <row r="624" spans="2:24" x14ac:dyDescent="0.2">
      <c r="B624" s="600" t="s">
        <v>4958</v>
      </c>
      <c r="C624" s="600" t="s">
        <v>254</v>
      </c>
      <c r="D624" s="600" t="s">
        <v>648</v>
      </c>
      <c r="E624" s="600"/>
      <c r="F624" s="600"/>
      <c r="G624" s="1421" t="s">
        <v>5303</v>
      </c>
      <c r="H624" s="1421" t="s">
        <v>3199</v>
      </c>
      <c r="K624" s="589" t="s">
        <v>648</v>
      </c>
      <c r="L624" s="1820" t="s">
        <v>4895</v>
      </c>
      <c r="X624" s="1600"/>
    </row>
    <row r="625" spans="2:45" x14ac:dyDescent="0.2">
      <c r="B625" s="600" t="s">
        <v>4958</v>
      </c>
      <c r="C625" s="600" t="s">
        <v>254</v>
      </c>
      <c r="D625" s="600" t="s">
        <v>648</v>
      </c>
      <c r="E625" s="600"/>
      <c r="F625" s="600"/>
      <c r="G625" s="1421" t="s">
        <v>5303</v>
      </c>
      <c r="H625" s="1421" t="s">
        <v>3199</v>
      </c>
      <c r="K625" s="589"/>
      <c r="L625" s="1820"/>
      <c r="X625" s="1600"/>
    </row>
    <row r="626" spans="2:45" x14ac:dyDescent="0.2">
      <c r="B626" s="600" t="s">
        <v>4958</v>
      </c>
      <c r="C626" s="600" t="s">
        <v>254</v>
      </c>
      <c r="D626" s="600" t="s">
        <v>648</v>
      </c>
      <c r="E626" s="600"/>
      <c r="F626" s="600"/>
      <c r="G626" s="1421" t="s">
        <v>5303</v>
      </c>
      <c r="H626" s="1421" t="s">
        <v>3199</v>
      </c>
      <c r="K626" s="589"/>
      <c r="L626" s="1820"/>
      <c r="X626" s="1600"/>
    </row>
    <row r="627" spans="2:45" x14ac:dyDescent="0.2">
      <c r="B627" s="600" t="s">
        <v>4958</v>
      </c>
      <c r="C627" s="600" t="s">
        <v>254</v>
      </c>
      <c r="D627" s="600" t="s">
        <v>649</v>
      </c>
      <c r="E627" s="600"/>
      <c r="F627" s="600"/>
      <c r="G627" s="1421" t="s">
        <v>5303</v>
      </c>
      <c r="H627" s="1421" t="s">
        <v>3199</v>
      </c>
      <c r="K627" s="589" t="s">
        <v>649</v>
      </c>
      <c r="L627" s="1820" t="s">
        <v>4896</v>
      </c>
      <c r="X627" s="1600"/>
    </row>
    <row r="628" spans="2:45" x14ac:dyDescent="0.2">
      <c r="B628" s="600" t="s">
        <v>4958</v>
      </c>
      <c r="C628" s="600" t="s">
        <v>254</v>
      </c>
      <c r="D628" s="600" t="s">
        <v>649</v>
      </c>
      <c r="E628" s="600"/>
      <c r="F628" s="600"/>
      <c r="G628" s="1421" t="s">
        <v>5303</v>
      </c>
      <c r="H628" s="1421" t="s">
        <v>3199</v>
      </c>
      <c r="J628" s="606"/>
      <c r="K628" s="606"/>
      <c r="L628" s="1958"/>
      <c r="M628" s="173"/>
      <c r="N628" s="173"/>
      <c r="O628" s="173"/>
      <c r="P628" s="173"/>
      <c r="Q628" s="173"/>
      <c r="R628" s="173"/>
      <c r="S628" s="173"/>
      <c r="T628" s="173"/>
      <c r="U628" s="173"/>
      <c r="V628" s="173"/>
      <c r="X628" s="1600"/>
    </row>
    <row r="629" spans="2:45" x14ac:dyDescent="0.2">
      <c r="B629" s="92" t="s">
        <v>5578</v>
      </c>
      <c r="C629" s="858"/>
      <c r="G629" s="1421" t="s">
        <v>3199</v>
      </c>
      <c r="H629" s="1421" t="s">
        <v>3197</v>
      </c>
      <c r="I629" s="89" t="s">
        <v>5578</v>
      </c>
      <c r="J629" s="873"/>
      <c r="K629" s="873"/>
      <c r="L629" s="1470" t="s">
        <v>5579</v>
      </c>
    </row>
    <row r="630" spans="2:45" x14ac:dyDescent="0.2">
      <c r="B630" s="92" t="s">
        <v>5580</v>
      </c>
      <c r="C630" s="858"/>
      <c r="G630" s="1421" t="s">
        <v>3199</v>
      </c>
      <c r="H630" s="1421" t="s">
        <v>3197</v>
      </c>
      <c r="I630" s="89" t="s">
        <v>5580</v>
      </c>
      <c r="J630" s="873"/>
      <c r="K630" s="873"/>
      <c r="L630" s="1807" t="s">
        <v>5581</v>
      </c>
      <c r="M630" s="1714" t="str">
        <f ca="1">IF(R630,"Mandatory","N/A")</f>
        <v>N/A</v>
      </c>
      <c r="P630" s="1421" t="b">
        <v>1</v>
      </c>
      <c r="Q630" s="1421" t="b">
        <v>1</v>
      </c>
      <c r="R630" s="1421" t="b">
        <f ca="1">S630</f>
        <v>0</v>
      </c>
      <c r="S630" s="1421" t="b">
        <f ca="1">S14=1</f>
        <v>0</v>
      </c>
      <c r="T630" s="1421" t="b">
        <f ca="1">AND(NOT(S630),W630=TRUE)</f>
        <v>0</v>
      </c>
      <c r="W630" s="27"/>
      <c r="X630" s="1600"/>
      <c r="AC630" s="1421" t="b">
        <f ca="1">OR(AD630:AE630)</f>
        <v>0</v>
      </c>
      <c r="AD630" s="1421" t="b">
        <f ca="1">T630</f>
        <v>0</v>
      </c>
      <c r="AE630" s="1421" t="b">
        <f ca="1">AND(R630,NOT(W630))</f>
        <v>0</v>
      </c>
      <c r="AP630" s="1421" t="str">
        <f>SUBSTITUTE(SUBSTITUTE(SUBSTITUTE("vcc"&amp;$B630&amp;$C630&amp;$D630&amp;$E630,".","_"),"(","_"),")","")</f>
        <v>vcc13_108_1</v>
      </c>
      <c r="AQ630" s="1421" t="str">
        <f>IF(LEN(W630)=0,"",W630)</f>
        <v/>
      </c>
      <c r="AR630" s="1421" t="str">
        <f>SUBSTITUTE(SUBSTITUTE(SUBSTITUTE("vcn"&amp;$B630&amp;$C630&amp;$D630&amp;$E630,".","_"),"(","_"),")","")</f>
        <v>vcn13_108_1</v>
      </c>
      <c r="AS630" s="1421" t="str">
        <f>IF(LEN(X630)=0,"",X630)</f>
        <v/>
      </c>
    </row>
    <row r="631" spans="2:45" x14ac:dyDescent="0.2">
      <c r="B631" s="92" t="s">
        <v>5580</v>
      </c>
      <c r="C631" s="858"/>
      <c r="G631" s="1421" t="s">
        <v>3199</v>
      </c>
      <c r="H631" s="1421" t="s">
        <v>3197</v>
      </c>
      <c r="I631" s="89"/>
      <c r="J631" s="873"/>
      <c r="K631" s="873"/>
      <c r="L631" s="1807"/>
      <c r="M631" s="1714"/>
      <c r="X631" s="1600"/>
    </row>
    <row r="632" spans="2:45" x14ac:dyDescent="0.2">
      <c r="B632" s="92" t="s">
        <v>5580</v>
      </c>
      <c r="C632" s="858"/>
      <c r="G632" s="1421" t="s">
        <v>3199</v>
      </c>
      <c r="H632" s="1421" t="s">
        <v>3197</v>
      </c>
      <c r="I632" s="89"/>
      <c r="J632" s="873"/>
      <c r="K632" s="873"/>
      <c r="L632" s="1807"/>
      <c r="M632" s="1714"/>
      <c r="X632" s="1600"/>
    </row>
    <row r="633" spans="2:45" x14ac:dyDescent="0.2">
      <c r="B633" s="92" t="s">
        <v>5580</v>
      </c>
      <c r="C633" s="858"/>
      <c r="G633" s="1421" t="s">
        <v>3199</v>
      </c>
      <c r="H633" s="1421" t="s">
        <v>3197</v>
      </c>
      <c r="I633" s="89"/>
      <c r="J633" s="873"/>
      <c r="K633" s="873"/>
      <c r="L633" s="1807"/>
      <c r="M633" s="1714"/>
      <c r="X633" s="1600"/>
    </row>
    <row r="634" spans="2:45" x14ac:dyDescent="0.2">
      <c r="B634" s="92" t="s">
        <v>5580</v>
      </c>
      <c r="C634" s="858"/>
      <c r="G634" s="1421" t="s">
        <v>3199</v>
      </c>
      <c r="H634" s="1421" t="s">
        <v>3197</v>
      </c>
      <c r="I634" s="89"/>
      <c r="J634" s="873"/>
      <c r="K634" s="873"/>
      <c r="L634" s="1807"/>
      <c r="M634" s="1714"/>
      <c r="X634" s="1600"/>
    </row>
    <row r="635" spans="2:45" x14ac:dyDescent="0.2">
      <c r="B635" s="92" t="s">
        <v>5580</v>
      </c>
      <c r="C635" s="858"/>
      <c r="G635" s="1421" t="s">
        <v>3199</v>
      </c>
      <c r="H635" s="1421" t="s">
        <v>3197</v>
      </c>
      <c r="I635" s="89"/>
      <c r="J635" s="873"/>
      <c r="K635" s="873"/>
      <c r="L635" s="1807"/>
    </row>
    <row r="636" spans="2:45" x14ac:dyDescent="0.2">
      <c r="B636" s="92" t="s">
        <v>5580</v>
      </c>
      <c r="C636" s="858" t="s">
        <v>254</v>
      </c>
      <c r="G636" s="1421" t="s">
        <v>3199</v>
      </c>
      <c r="H636" s="1421" t="s">
        <v>3197</v>
      </c>
      <c r="I636" s="89"/>
      <c r="J636" s="873" t="s">
        <v>254</v>
      </c>
      <c r="K636" s="873"/>
      <c r="L636" s="1808" t="s">
        <v>5582</v>
      </c>
    </row>
    <row r="637" spans="2:45" x14ac:dyDescent="0.2">
      <c r="B637" s="92" t="s">
        <v>5580</v>
      </c>
      <c r="C637" s="858" t="s">
        <v>254</v>
      </c>
      <c r="G637" s="1421" t="s">
        <v>3199</v>
      </c>
      <c r="H637" s="1421" t="s">
        <v>3197</v>
      </c>
      <c r="I637" s="89"/>
      <c r="J637" s="1072"/>
      <c r="K637" s="1072"/>
      <c r="L637" s="1639"/>
    </row>
    <row r="638" spans="2:45" x14ac:dyDescent="0.2">
      <c r="B638" s="92" t="s">
        <v>5580</v>
      </c>
      <c r="C638" s="858" t="s">
        <v>255</v>
      </c>
      <c r="G638" s="1421" t="s">
        <v>3199</v>
      </c>
      <c r="H638" s="1421" t="s">
        <v>3197</v>
      </c>
      <c r="I638" s="89"/>
      <c r="J638" s="1074" t="s">
        <v>255</v>
      </c>
      <c r="K638" s="1074"/>
      <c r="L638" s="1075" t="s">
        <v>5583</v>
      </c>
    </row>
    <row r="639" spans="2:45" x14ac:dyDescent="0.2">
      <c r="B639" s="92" t="s">
        <v>5580</v>
      </c>
      <c r="C639" s="858" t="s">
        <v>256</v>
      </c>
      <c r="G639" s="1421" t="s">
        <v>3199</v>
      </c>
      <c r="H639" s="1421" t="s">
        <v>3197</v>
      </c>
      <c r="I639" s="89"/>
      <c r="J639" s="1073" t="s">
        <v>256</v>
      </c>
      <c r="K639" s="1073"/>
      <c r="L639" s="1633" t="s">
        <v>5584</v>
      </c>
    </row>
    <row r="640" spans="2:45" x14ac:dyDescent="0.2">
      <c r="B640" s="92" t="s">
        <v>5580</v>
      </c>
      <c r="C640" s="858" t="s">
        <v>256</v>
      </c>
      <c r="G640" s="1421" t="s">
        <v>3199</v>
      </c>
      <c r="H640" s="1421" t="s">
        <v>3197</v>
      </c>
      <c r="I640" s="89"/>
      <c r="J640" s="1072"/>
      <c r="K640" s="1072"/>
      <c r="L640" s="1639"/>
    </row>
    <row r="641" spans="2:45" x14ac:dyDescent="0.2">
      <c r="B641" s="92" t="s">
        <v>5580</v>
      </c>
      <c r="C641" s="858" t="s">
        <v>259</v>
      </c>
      <c r="G641" s="1421" t="s">
        <v>3199</v>
      </c>
      <c r="H641" s="1421" t="s">
        <v>3197</v>
      </c>
      <c r="I641" s="89"/>
      <c r="J641" s="1074" t="s">
        <v>259</v>
      </c>
      <c r="K641" s="1074"/>
      <c r="L641" s="1075" t="s">
        <v>5585</v>
      </c>
    </row>
    <row r="642" spans="2:45" ht="16" thickBot="1" x14ac:dyDescent="0.25">
      <c r="B642" s="92" t="s">
        <v>5580</v>
      </c>
      <c r="C642" s="858" t="s">
        <v>263</v>
      </c>
      <c r="G642" s="1421" t="s">
        <v>3199</v>
      </c>
      <c r="H642" s="1421" t="s">
        <v>3197</v>
      </c>
      <c r="I642" s="98"/>
      <c r="J642" s="1069" t="s">
        <v>263</v>
      </c>
      <c r="K642" s="1069"/>
      <c r="L642" s="1439" t="s">
        <v>5586</v>
      </c>
      <c r="M642" s="100"/>
      <c r="N642" s="100"/>
      <c r="O642" s="100"/>
      <c r="P642" s="100"/>
      <c r="Q642" s="100"/>
      <c r="R642" s="100"/>
      <c r="S642" s="100"/>
      <c r="T642" s="100"/>
      <c r="U642" s="100"/>
      <c r="V642" s="100"/>
      <c r="W642" s="100"/>
      <c r="X642" s="100"/>
    </row>
    <row r="643" spans="2:45" ht="16" thickTop="1" x14ac:dyDescent="0.2">
      <c r="B643" s="92" t="s">
        <v>5587</v>
      </c>
      <c r="C643" s="858"/>
      <c r="G643" s="1421" t="s">
        <v>3199</v>
      </c>
      <c r="H643" s="1421" t="s">
        <v>3197</v>
      </c>
      <c r="I643" s="89" t="s">
        <v>5587</v>
      </c>
      <c r="J643" s="873"/>
      <c r="K643" s="873"/>
      <c r="L643" s="1807" t="s">
        <v>5588</v>
      </c>
      <c r="M643" s="1714" t="str">
        <f ca="1">IF(R643,"Mandatory","N/A")</f>
        <v>N/A</v>
      </c>
      <c r="P643" s="1421" t="b">
        <v>1</v>
      </c>
      <c r="Q643" s="1421" t="b">
        <v>1</v>
      </c>
      <c r="R643" s="1421" t="b">
        <f ca="1">S643</f>
        <v>0</v>
      </c>
      <c r="S643" s="1421" t="b">
        <f ca="1">S14=1</f>
        <v>0</v>
      </c>
      <c r="T643" s="1421" t="b">
        <f ca="1">AND(NOT(S643),W643=TRUE)</f>
        <v>0</v>
      </c>
      <c r="W643" s="119"/>
      <c r="X643" s="1599"/>
      <c r="AC643" s="1421" t="b">
        <f ca="1">OR(AD643:AE643)</f>
        <v>0</v>
      </c>
      <c r="AD643" s="1421" t="b">
        <f ca="1">T643</f>
        <v>0</v>
      </c>
      <c r="AE643" s="1421" t="b">
        <f ca="1">AND(R643,NOT(W643))</f>
        <v>0</v>
      </c>
      <c r="AP643" s="1421" t="str">
        <f>SUBSTITUTE(SUBSTITUTE(SUBSTITUTE("vcc"&amp;$B643&amp;$C643&amp;$D643&amp;$E643,".","_"),"(","_"),")","")</f>
        <v>vcc13_108_2</v>
      </c>
      <c r="AQ643" s="1421" t="str">
        <f>IF(LEN(W643)=0,"",W643)</f>
        <v/>
      </c>
      <c r="AR643" s="1421" t="str">
        <f>SUBSTITUTE(SUBSTITUTE(SUBSTITUTE("vcn"&amp;$B643&amp;$C643&amp;$D643&amp;$E643,".","_"),"(","_"),")","")</f>
        <v>vcn13_108_2</v>
      </c>
      <c r="AS643" s="1421" t="str">
        <f>IF(LEN(X643)=0,"",X643)</f>
        <v/>
      </c>
    </row>
    <row r="644" spans="2:45" x14ac:dyDescent="0.2">
      <c r="B644" s="92" t="s">
        <v>5587</v>
      </c>
      <c r="C644" s="858"/>
      <c r="G644" s="1421" t="s">
        <v>3199</v>
      </c>
      <c r="H644" s="1421" t="s">
        <v>3197</v>
      </c>
      <c r="I644" s="89"/>
      <c r="J644" s="873"/>
      <c r="K644" s="873"/>
      <c r="L644" s="1807"/>
      <c r="M644" s="1714"/>
      <c r="X644" s="1600"/>
    </row>
    <row r="645" spans="2:45" x14ac:dyDescent="0.2">
      <c r="B645" s="92" t="s">
        <v>5587</v>
      </c>
      <c r="C645" s="858"/>
      <c r="G645" s="1421" t="s">
        <v>3199</v>
      </c>
      <c r="H645" s="1421" t="s">
        <v>3197</v>
      </c>
      <c r="I645" s="89"/>
      <c r="J645" s="873"/>
      <c r="K645" s="873"/>
      <c r="L645" s="1807"/>
      <c r="M645" s="1714"/>
      <c r="X645" s="1600"/>
    </row>
    <row r="646" spans="2:45" x14ac:dyDescent="0.2">
      <c r="B646" s="92" t="s">
        <v>5587</v>
      </c>
      <c r="C646" s="858"/>
      <c r="G646" s="1421" t="s">
        <v>3199</v>
      </c>
      <c r="H646" s="1421" t="s">
        <v>3197</v>
      </c>
      <c r="I646" s="89"/>
      <c r="J646" s="873"/>
      <c r="K646" s="873"/>
      <c r="L646" s="1807"/>
      <c r="M646" s="1714"/>
      <c r="X646" s="1600"/>
    </row>
    <row r="647" spans="2:45" x14ac:dyDescent="0.2">
      <c r="B647" s="92" t="s">
        <v>5587</v>
      </c>
      <c r="C647" s="858"/>
      <c r="G647" s="1421" t="s">
        <v>3199</v>
      </c>
      <c r="H647" s="1421" t="s">
        <v>3197</v>
      </c>
      <c r="I647" s="89"/>
      <c r="J647" s="873"/>
      <c r="K647" s="873"/>
      <c r="L647" s="1807"/>
      <c r="M647" s="1714"/>
      <c r="X647" s="1600"/>
    </row>
    <row r="648" spans="2:45" x14ac:dyDescent="0.2">
      <c r="B648" s="92" t="s">
        <v>5587</v>
      </c>
      <c r="C648" s="858"/>
      <c r="G648" s="1421" t="s">
        <v>3199</v>
      </c>
      <c r="H648" s="1421" t="s">
        <v>3197</v>
      </c>
      <c r="I648" s="89"/>
      <c r="J648" s="873"/>
      <c r="K648" s="873"/>
      <c r="L648" s="1807"/>
      <c r="M648" s="1714"/>
      <c r="X648" s="1600"/>
    </row>
    <row r="649" spans="2:45" x14ac:dyDescent="0.2">
      <c r="B649" s="92" t="s">
        <v>5587</v>
      </c>
      <c r="C649" s="858" t="s">
        <v>254</v>
      </c>
      <c r="G649" s="1421" t="s">
        <v>3199</v>
      </c>
      <c r="H649" s="1421" t="s">
        <v>3197</v>
      </c>
      <c r="I649" s="89"/>
      <c r="J649" s="873" t="s">
        <v>254</v>
      </c>
      <c r="K649" s="873"/>
      <c r="L649" s="1808" t="s">
        <v>5589</v>
      </c>
    </row>
    <row r="650" spans="2:45" x14ac:dyDescent="0.2">
      <c r="B650" s="92" t="s">
        <v>5587</v>
      </c>
      <c r="C650" s="858" t="s">
        <v>254</v>
      </c>
      <c r="G650" s="1421" t="s">
        <v>3199</v>
      </c>
      <c r="H650" s="1421" t="s">
        <v>3197</v>
      </c>
      <c r="I650" s="89"/>
      <c r="J650" s="1072"/>
      <c r="K650" s="1072"/>
      <c r="L650" s="1639"/>
    </row>
    <row r="651" spans="2:45" x14ac:dyDescent="0.2">
      <c r="B651" s="92" t="s">
        <v>5587</v>
      </c>
      <c r="C651" s="858" t="s">
        <v>255</v>
      </c>
      <c r="G651" s="1421" t="s">
        <v>3199</v>
      </c>
      <c r="H651" s="1421" t="s">
        <v>3197</v>
      </c>
      <c r="I651" s="89"/>
      <c r="J651" s="873" t="s">
        <v>255</v>
      </c>
      <c r="K651" s="873"/>
      <c r="L651" s="1808" t="s">
        <v>5590</v>
      </c>
    </row>
    <row r="652" spans="2:45" x14ac:dyDescent="0.2">
      <c r="B652" s="92" t="s">
        <v>5587</v>
      </c>
      <c r="C652" s="858" t="s">
        <v>255</v>
      </c>
      <c r="G652" s="1421" t="s">
        <v>3199</v>
      </c>
      <c r="H652" s="1421" t="s">
        <v>3197</v>
      </c>
      <c r="I652" s="89"/>
      <c r="J652" s="1072"/>
      <c r="K652" s="1072"/>
      <c r="L652" s="1639"/>
    </row>
    <row r="653" spans="2:45" x14ac:dyDescent="0.2">
      <c r="B653" s="92" t="s">
        <v>5587</v>
      </c>
      <c r="C653" s="858" t="s">
        <v>256</v>
      </c>
      <c r="G653" s="1421" t="s">
        <v>3199</v>
      </c>
      <c r="H653" s="1421" t="s">
        <v>3197</v>
      </c>
      <c r="I653" s="89"/>
      <c r="J653" s="873" t="s">
        <v>256</v>
      </c>
      <c r="K653" s="873"/>
      <c r="L653" s="1808" t="s">
        <v>5591</v>
      </c>
    </row>
    <row r="654" spans="2:45" x14ac:dyDescent="0.2">
      <c r="B654" s="92" t="s">
        <v>5587</v>
      </c>
      <c r="C654" s="858" t="s">
        <v>256</v>
      </c>
      <c r="G654" s="1421" t="s">
        <v>3199</v>
      </c>
      <c r="H654" s="1421" t="s">
        <v>3197</v>
      </c>
      <c r="I654" s="89"/>
      <c r="J654" s="873"/>
      <c r="K654" s="873"/>
      <c r="L654" s="1808"/>
    </row>
    <row r="655" spans="2:45" x14ac:dyDescent="0.2">
      <c r="B655" s="92" t="s">
        <v>5587</v>
      </c>
      <c r="C655" s="858" t="s">
        <v>256</v>
      </c>
      <c r="G655" s="1421" t="s">
        <v>3199</v>
      </c>
      <c r="H655" s="1421" t="s">
        <v>3197</v>
      </c>
      <c r="I655" s="89"/>
      <c r="J655" s="873"/>
      <c r="K655" s="873"/>
      <c r="L655" s="1808"/>
    </row>
  </sheetData>
  <sheetProtection algorithmName="SHA-512" hashValue="ONKO0K2WK3tKF/wbeJqEAbiVe04TlRCaSWBUuvTZ6jF6sBdBMQiJ2gt6cUSbkisXfUjbJE3DgyWZ/09X387Zug==" saltValue="YRAXrGWea7WB4dLEcGvnlA==" spinCount="100000" sheet="1" objects="1" scenarios="1" selectLockedCells="1" autoFilter="0"/>
  <autoFilter ref="A7:H655" xr:uid="{00000000-0009-0000-0000-00000F000000}"/>
  <mergeCells count="448">
    <mergeCell ref="L649:L650"/>
    <mergeCell ref="L651:L652"/>
    <mergeCell ref="L653:L655"/>
    <mergeCell ref="L630:L635"/>
    <mergeCell ref="M630:M634"/>
    <mergeCell ref="X630:X634"/>
    <mergeCell ref="L636:L637"/>
    <mergeCell ref="L639:L640"/>
    <mergeCell ref="L643:L648"/>
    <mergeCell ref="M643:M648"/>
    <mergeCell ref="X643:X648"/>
    <mergeCell ref="X607:X628"/>
    <mergeCell ref="L609:L610"/>
    <mergeCell ref="L611:L612"/>
    <mergeCell ref="L613:L614"/>
    <mergeCell ref="L615:L617"/>
    <mergeCell ref="L618:L619"/>
    <mergeCell ref="L620:L621"/>
    <mergeCell ref="L622:L623"/>
    <mergeCell ref="L624:L626"/>
    <mergeCell ref="L627:L628"/>
    <mergeCell ref="L582:L588"/>
    <mergeCell ref="L589:L593"/>
    <mergeCell ref="L594:L595"/>
    <mergeCell ref="L596:L599"/>
    <mergeCell ref="L600:L602"/>
    <mergeCell ref="L605:L606"/>
    <mergeCell ref="L559:L560"/>
    <mergeCell ref="L561:L563"/>
    <mergeCell ref="M561:M563"/>
    <mergeCell ref="X561:X566"/>
    <mergeCell ref="L568:L574"/>
    <mergeCell ref="L575:L581"/>
    <mergeCell ref="L555:L556"/>
    <mergeCell ref="M555:M556"/>
    <mergeCell ref="X555:X556"/>
    <mergeCell ref="L557:L558"/>
    <mergeCell ref="M557:M558"/>
    <mergeCell ref="X557:X558"/>
    <mergeCell ref="L550:L551"/>
    <mergeCell ref="M550:M551"/>
    <mergeCell ref="X550:X551"/>
    <mergeCell ref="L552:L553"/>
    <mergeCell ref="M552:M553"/>
    <mergeCell ref="X552:X553"/>
    <mergeCell ref="L545:L546"/>
    <mergeCell ref="M545:M546"/>
    <mergeCell ref="X545:X546"/>
    <mergeCell ref="L548:L549"/>
    <mergeCell ref="M548:M549"/>
    <mergeCell ref="X548:X549"/>
    <mergeCell ref="L539:L542"/>
    <mergeCell ref="M539:M542"/>
    <mergeCell ref="X539:X542"/>
    <mergeCell ref="L543:L544"/>
    <mergeCell ref="M543:M544"/>
    <mergeCell ref="X543:X544"/>
    <mergeCell ref="L533:L534"/>
    <mergeCell ref="M533:M534"/>
    <mergeCell ref="X533:X534"/>
    <mergeCell ref="L535:L538"/>
    <mergeCell ref="M535:M538"/>
    <mergeCell ref="X535:X538"/>
    <mergeCell ref="L528:L530"/>
    <mergeCell ref="M528:M530"/>
    <mergeCell ref="X528:X530"/>
    <mergeCell ref="L531:L532"/>
    <mergeCell ref="M531:M532"/>
    <mergeCell ref="X531:X532"/>
    <mergeCell ref="L520:L524"/>
    <mergeCell ref="M520:M524"/>
    <mergeCell ref="X520:X524"/>
    <mergeCell ref="L525:L527"/>
    <mergeCell ref="M525:M527"/>
    <mergeCell ref="X525:X527"/>
    <mergeCell ref="L511:L515"/>
    <mergeCell ref="M511:M515"/>
    <mergeCell ref="N511:O515"/>
    <mergeCell ref="X511:X515"/>
    <mergeCell ref="L516:L519"/>
    <mergeCell ref="M516:M519"/>
    <mergeCell ref="X516:X519"/>
    <mergeCell ref="L501:L505"/>
    <mergeCell ref="M501:M505"/>
    <mergeCell ref="X501:X505"/>
    <mergeCell ref="L507:L509"/>
    <mergeCell ref="M507:M509"/>
    <mergeCell ref="X507:X510"/>
    <mergeCell ref="L492:L497"/>
    <mergeCell ref="M492:M497"/>
    <mergeCell ref="N492:N497"/>
    <mergeCell ref="O492:O497"/>
    <mergeCell ref="X492:X497"/>
    <mergeCell ref="L498:L500"/>
    <mergeCell ref="N498:O500"/>
    <mergeCell ref="L482:L483"/>
    <mergeCell ref="X482:X483"/>
    <mergeCell ref="X485:X486"/>
    <mergeCell ref="L487:L488"/>
    <mergeCell ref="M487:M490"/>
    <mergeCell ref="N487:N490"/>
    <mergeCell ref="O487:O490"/>
    <mergeCell ref="X487:X491"/>
    <mergeCell ref="L489:L490"/>
    <mergeCell ref="L477:L479"/>
    <mergeCell ref="N477:O479"/>
    <mergeCell ref="X477:X479"/>
    <mergeCell ref="L480:L481"/>
    <mergeCell ref="M480:M481"/>
    <mergeCell ref="N480:N481"/>
    <mergeCell ref="O480:O481"/>
    <mergeCell ref="X467:X470"/>
    <mergeCell ref="L469:L470"/>
    <mergeCell ref="L471:L476"/>
    <mergeCell ref="M471:M476"/>
    <mergeCell ref="N471:O476"/>
    <mergeCell ref="X471:X476"/>
    <mergeCell ref="L450:L454"/>
    <mergeCell ref="M450:M456"/>
    <mergeCell ref="N450:O456"/>
    <mergeCell ref="L455:L456"/>
    <mergeCell ref="L457:L460"/>
    <mergeCell ref="X457:X466"/>
    <mergeCell ref="X445:X446"/>
    <mergeCell ref="L447:L449"/>
    <mergeCell ref="M447:M449"/>
    <mergeCell ref="N447:N449"/>
    <mergeCell ref="O447:O449"/>
    <mergeCell ref="X447:X449"/>
    <mergeCell ref="L442:L443"/>
    <mergeCell ref="N442:O444"/>
    <mergeCell ref="L445:L446"/>
    <mergeCell ref="M445:M446"/>
    <mergeCell ref="N445:N446"/>
    <mergeCell ref="O445:O446"/>
    <mergeCell ref="L423:L425"/>
    <mergeCell ref="M423:M425"/>
    <mergeCell ref="N423:O425"/>
    <mergeCell ref="L426:L429"/>
    <mergeCell ref="X426:X430"/>
    <mergeCell ref="X431:X441"/>
    <mergeCell ref="L435:L436"/>
    <mergeCell ref="M435:M436"/>
    <mergeCell ref="L439:L440"/>
    <mergeCell ref="M439:M440"/>
    <mergeCell ref="L414:L415"/>
    <mergeCell ref="M414:M415"/>
    <mergeCell ref="X414:X415"/>
    <mergeCell ref="L421:L422"/>
    <mergeCell ref="M421:M422"/>
    <mergeCell ref="N421:O422"/>
    <mergeCell ref="L408:L410"/>
    <mergeCell ref="M408:M410"/>
    <mergeCell ref="X408:X410"/>
    <mergeCell ref="L412:L413"/>
    <mergeCell ref="M412:M413"/>
    <mergeCell ref="X412:X413"/>
    <mergeCell ref="L402:L404"/>
    <mergeCell ref="M402:M404"/>
    <mergeCell ref="X402:X404"/>
    <mergeCell ref="L405:L407"/>
    <mergeCell ref="M405:M407"/>
    <mergeCell ref="X405:X407"/>
    <mergeCell ref="L394:L395"/>
    <mergeCell ref="M394:M395"/>
    <mergeCell ref="X394:X395"/>
    <mergeCell ref="L396:L397"/>
    <mergeCell ref="L398:L401"/>
    <mergeCell ref="M398:M401"/>
    <mergeCell ref="X398:X401"/>
    <mergeCell ref="L384:L385"/>
    <mergeCell ref="M384:M385"/>
    <mergeCell ref="X384:X385"/>
    <mergeCell ref="L387:L389"/>
    <mergeCell ref="L391:L393"/>
    <mergeCell ref="M391:M393"/>
    <mergeCell ref="X391:X393"/>
    <mergeCell ref="L377:L378"/>
    <mergeCell ref="M377:M378"/>
    <mergeCell ref="X377:X378"/>
    <mergeCell ref="L380:L383"/>
    <mergeCell ref="M380:M383"/>
    <mergeCell ref="X380:X383"/>
    <mergeCell ref="L373:L374"/>
    <mergeCell ref="M373:M374"/>
    <mergeCell ref="X373:X374"/>
    <mergeCell ref="L375:L376"/>
    <mergeCell ref="M375:M376"/>
    <mergeCell ref="X375:X376"/>
    <mergeCell ref="L363:L364"/>
    <mergeCell ref="L366:L367"/>
    <mergeCell ref="M366:M367"/>
    <mergeCell ref="X366:X367"/>
    <mergeCell ref="L368:L370"/>
    <mergeCell ref="L371:L372"/>
    <mergeCell ref="M371:M372"/>
    <mergeCell ref="X371:X372"/>
    <mergeCell ref="L349:L350"/>
    <mergeCell ref="L351:L352"/>
    <mergeCell ref="L353:L354"/>
    <mergeCell ref="X353:X355"/>
    <mergeCell ref="L357:L361"/>
    <mergeCell ref="M357:M359"/>
    <mergeCell ref="X357:X359"/>
    <mergeCell ref="L344:L346"/>
    <mergeCell ref="M344:M346"/>
    <mergeCell ref="X344:X346"/>
    <mergeCell ref="L347:L348"/>
    <mergeCell ref="M347:M348"/>
    <mergeCell ref="X347:X348"/>
    <mergeCell ref="L332:L338"/>
    <mergeCell ref="M332:M338"/>
    <mergeCell ref="X332:X338"/>
    <mergeCell ref="L339:L343"/>
    <mergeCell ref="M339:M343"/>
    <mergeCell ref="X339:X343"/>
    <mergeCell ref="L317:L323"/>
    <mergeCell ref="M317:M323"/>
    <mergeCell ref="X317:X323"/>
    <mergeCell ref="M324:M325"/>
    <mergeCell ref="X324:X325"/>
    <mergeCell ref="L326:L331"/>
    <mergeCell ref="M326:M331"/>
    <mergeCell ref="X326:X331"/>
    <mergeCell ref="L311:L313"/>
    <mergeCell ref="M311:M313"/>
    <mergeCell ref="X311:X313"/>
    <mergeCell ref="L315:L316"/>
    <mergeCell ref="M315:M316"/>
    <mergeCell ref="X315:X316"/>
    <mergeCell ref="L304:L306"/>
    <mergeCell ref="M304:M307"/>
    <mergeCell ref="X304:X307"/>
    <mergeCell ref="L308:L309"/>
    <mergeCell ref="M308:M310"/>
    <mergeCell ref="X308:X310"/>
    <mergeCell ref="L282:L285"/>
    <mergeCell ref="L298:L300"/>
    <mergeCell ref="M298:M300"/>
    <mergeCell ref="X298:X300"/>
    <mergeCell ref="L301:L303"/>
    <mergeCell ref="M301:M303"/>
    <mergeCell ref="X301:X302"/>
    <mergeCell ref="L268:L273"/>
    <mergeCell ref="L274:L277"/>
    <mergeCell ref="M274:M277"/>
    <mergeCell ref="X274:X277"/>
    <mergeCell ref="L278:L280"/>
    <mergeCell ref="M278:M281"/>
    <mergeCell ref="X278:X281"/>
    <mergeCell ref="L260:L262"/>
    <mergeCell ref="M260:M262"/>
    <mergeCell ref="X260:X262"/>
    <mergeCell ref="L264:L267"/>
    <mergeCell ref="M264:M267"/>
    <mergeCell ref="X264:X267"/>
    <mergeCell ref="L252:L253"/>
    <mergeCell ref="M252:M259"/>
    <mergeCell ref="N252:O259"/>
    <mergeCell ref="X252:X253"/>
    <mergeCell ref="X254:X255"/>
    <mergeCell ref="L256:L257"/>
    <mergeCell ref="X256:X257"/>
    <mergeCell ref="X258:X259"/>
    <mergeCell ref="L231:L235"/>
    <mergeCell ref="M231:M235"/>
    <mergeCell ref="N231:O235"/>
    <mergeCell ref="L236:L243"/>
    <mergeCell ref="X236:X244"/>
    <mergeCell ref="L245:L250"/>
    <mergeCell ref="W245:W246"/>
    <mergeCell ref="X245:X251"/>
    <mergeCell ref="L222:L223"/>
    <mergeCell ref="M222:M223"/>
    <mergeCell ref="X222:X223"/>
    <mergeCell ref="L224:L226"/>
    <mergeCell ref="M224:M230"/>
    <mergeCell ref="N224:O230"/>
    <mergeCell ref="X224:X230"/>
    <mergeCell ref="L228:L230"/>
    <mergeCell ref="L218:L219"/>
    <mergeCell ref="M218:M219"/>
    <mergeCell ref="X218:X219"/>
    <mergeCell ref="L220:L221"/>
    <mergeCell ref="M220:M221"/>
    <mergeCell ref="X220:X221"/>
    <mergeCell ref="L214:L215"/>
    <mergeCell ref="M214:M215"/>
    <mergeCell ref="X214:X215"/>
    <mergeCell ref="L216:L217"/>
    <mergeCell ref="M216:M217"/>
    <mergeCell ref="X216:X217"/>
    <mergeCell ref="L208:L210"/>
    <mergeCell ref="M208:M210"/>
    <mergeCell ref="N208:O210"/>
    <mergeCell ref="L212:L213"/>
    <mergeCell ref="M212:M213"/>
    <mergeCell ref="X212:X213"/>
    <mergeCell ref="L200:L204"/>
    <mergeCell ref="M200:M207"/>
    <mergeCell ref="N200:O207"/>
    <mergeCell ref="X200:X207"/>
    <mergeCell ref="L206:L207"/>
    <mergeCell ref="X169:X175"/>
    <mergeCell ref="L171:L173"/>
    <mergeCell ref="L174:L175"/>
    <mergeCell ref="L176:L183"/>
    <mergeCell ref="M176:M199"/>
    <mergeCell ref="N176:O183"/>
    <mergeCell ref="X176:X181"/>
    <mergeCell ref="X182:X187"/>
    <mergeCell ref="L188:L189"/>
    <mergeCell ref="X188:X193"/>
    <mergeCell ref="L158:L161"/>
    <mergeCell ref="M158:M161"/>
    <mergeCell ref="L162:L164"/>
    <mergeCell ref="M162:M175"/>
    <mergeCell ref="N162:O164"/>
    <mergeCell ref="W162:W163"/>
    <mergeCell ref="X162:X168"/>
    <mergeCell ref="W169:W170"/>
    <mergeCell ref="X194:X199"/>
    <mergeCell ref="L196:L197"/>
    <mergeCell ref="L198:L199"/>
    <mergeCell ref="L143:L145"/>
    <mergeCell ref="M143:M150"/>
    <mergeCell ref="N143:O150"/>
    <mergeCell ref="X143:X150"/>
    <mergeCell ref="L146:L147"/>
    <mergeCell ref="L151:L152"/>
    <mergeCell ref="M151:M157"/>
    <mergeCell ref="N151:O157"/>
    <mergeCell ref="X151:X153"/>
    <mergeCell ref="L153:L155"/>
    <mergeCell ref="X154:X157"/>
    <mergeCell ref="L156:L157"/>
    <mergeCell ref="L134:L135"/>
    <mergeCell ref="M134:M136"/>
    <mergeCell ref="N134:N136"/>
    <mergeCell ref="O134:O136"/>
    <mergeCell ref="X135:X136"/>
    <mergeCell ref="L137:L140"/>
    <mergeCell ref="M137:M142"/>
    <mergeCell ref="N137:O142"/>
    <mergeCell ref="X137:X142"/>
    <mergeCell ref="L126:L130"/>
    <mergeCell ref="L131:L132"/>
    <mergeCell ref="M131:M133"/>
    <mergeCell ref="N131:N133"/>
    <mergeCell ref="O131:O133"/>
    <mergeCell ref="X132:X133"/>
    <mergeCell ref="M112:M113"/>
    <mergeCell ref="L114:L115"/>
    <mergeCell ref="M114:M115"/>
    <mergeCell ref="L116:L117"/>
    <mergeCell ref="N116:O117"/>
    <mergeCell ref="L119:L120"/>
    <mergeCell ref="L95:L97"/>
    <mergeCell ref="M95:M97"/>
    <mergeCell ref="X95:X97"/>
    <mergeCell ref="N98:O98"/>
    <mergeCell ref="N99:O108"/>
    <mergeCell ref="X100:X115"/>
    <mergeCell ref="L107:L108"/>
    <mergeCell ref="L110:L111"/>
    <mergeCell ref="M110:M111"/>
    <mergeCell ref="L112:L113"/>
    <mergeCell ref="L91:L92"/>
    <mergeCell ref="M91:M92"/>
    <mergeCell ref="X91:X92"/>
    <mergeCell ref="L93:L94"/>
    <mergeCell ref="M93:M94"/>
    <mergeCell ref="X93:X94"/>
    <mergeCell ref="L84:L85"/>
    <mergeCell ref="M84:M85"/>
    <mergeCell ref="X84:X85"/>
    <mergeCell ref="L87:L88"/>
    <mergeCell ref="L89:L90"/>
    <mergeCell ref="M89:M90"/>
    <mergeCell ref="X89:X90"/>
    <mergeCell ref="L76:L79"/>
    <mergeCell ref="M76:M79"/>
    <mergeCell ref="X76:X79"/>
    <mergeCell ref="L80:L81"/>
    <mergeCell ref="L82:L83"/>
    <mergeCell ref="M82:M83"/>
    <mergeCell ref="X82:X83"/>
    <mergeCell ref="L70:L71"/>
    <mergeCell ref="M70:M71"/>
    <mergeCell ref="X70:X71"/>
    <mergeCell ref="L73:L75"/>
    <mergeCell ref="M73:M75"/>
    <mergeCell ref="X73:X75"/>
    <mergeCell ref="L50:L51"/>
    <mergeCell ref="M50:M52"/>
    <mergeCell ref="X50:X52"/>
    <mergeCell ref="L53:L58"/>
    <mergeCell ref="L62:L63"/>
    <mergeCell ref="M62:M63"/>
    <mergeCell ref="X62:X63"/>
    <mergeCell ref="L46:L47"/>
    <mergeCell ref="M46:M47"/>
    <mergeCell ref="X46:X47"/>
    <mergeCell ref="L48:L49"/>
    <mergeCell ref="M48:M49"/>
    <mergeCell ref="X48:X49"/>
    <mergeCell ref="L38:L40"/>
    <mergeCell ref="M38:M40"/>
    <mergeCell ref="X38:X40"/>
    <mergeCell ref="L43:L45"/>
    <mergeCell ref="M43:M45"/>
    <mergeCell ref="X43:X45"/>
    <mergeCell ref="L33:L34"/>
    <mergeCell ref="M33:M34"/>
    <mergeCell ref="X33:X34"/>
    <mergeCell ref="L35:L37"/>
    <mergeCell ref="M35:M37"/>
    <mergeCell ref="X35:X37"/>
    <mergeCell ref="L23:L25"/>
    <mergeCell ref="L26:L27"/>
    <mergeCell ref="L28:L29"/>
    <mergeCell ref="M28:M29"/>
    <mergeCell ref="X28:X29"/>
    <mergeCell ref="L31:L32"/>
    <mergeCell ref="M31:M32"/>
    <mergeCell ref="X31:X32"/>
    <mergeCell ref="L9:L10"/>
    <mergeCell ref="L11:L12"/>
    <mergeCell ref="L13:L15"/>
    <mergeCell ref="M13:M15"/>
    <mergeCell ref="L16:L17"/>
    <mergeCell ref="L18:L22"/>
    <mergeCell ref="M6:M7"/>
    <mergeCell ref="N6:N7"/>
    <mergeCell ref="O6:O7"/>
    <mergeCell ref="W6:W7"/>
    <mergeCell ref="X6:X7"/>
    <mergeCell ref="Z6:Z7"/>
    <mergeCell ref="A1:H3"/>
    <mergeCell ref="I1:L4"/>
    <mergeCell ref="M1:O5"/>
    <mergeCell ref="W1:W3"/>
    <mergeCell ref="A4:A6"/>
    <mergeCell ref="G4:G6"/>
    <mergeCell ref="H4:H6"/>
    <mergeCell ref="I5:K5"/>
    <mergeCell ref="I6:K7"/>
    <mergeCell ref="L6:L7"/>
  </mergeCells>
  <conditionalFormatting sqref="X1">
    <cfRule type="expression" dxfId="753" priority="651">
      <formula>verStartError</formula>
    </cfRule>
  </conditionalFormatting>
  <conditionalFormatting sqref="W28">
    <cfRule type="expression" dxfId="752" priority="647">
      <formula>OR($T$28 = TRUE, AND($W$28 = TRUE, $S$28 = FALSE))</formula>
    </cfRule>
    <cfRule type="expression" dxfId="751" priority="648">
      <formula>OR($S$28 = FALSE, AND($P$28 = FALSE, ReportType &lt;&gt; "Final"), AND($Q$28 = FALSE, ReportType &lt;&gt; "Rough"))</formula>
    </cfRule>
    <cfRule type="expression" dxfId="750" priority="649">
      <formula>AND(IF($R$28,$W$28,TRUE),LEN(TRIM($W$28))&gt;0)</formula>
    </cfRule>
    <cfRule type="expression" dxfId="749" priority="650">
      <formula>AND($R$28,$S$28)</formula>
    </cfRule>
  </conditionalFormatting>
  <conditionalFormatting sqref="W31">
    <cfRule type="expression" dxfId="748" priority="643">
      <formula>OR($T$31 = TRUE, AND($W$31 = TRUE, $S$31 = FALSE))</formula>
    </cfRule>
    <cfRule type="expression" dxfId="747" priority="644">
      <formula>OR($S$31 = FALSE, AND($P$31 = FALSE, ReportType &lt;&gt; "Final"), AND($Q$31 = FALSE, ReportType &lt;&gt; "Rough"))</formula>
    </cfRule>
    <cfRule type="expression" dxfId="746" priority="645">
      <formula>AND(IF($R$31,$W$31,TRUE),LEN(TRIM($W$31))&gt;0)</formula>
    </cfRule>
    <cfRule type="expression" dxfId="745" priority="646">
      <formula>AND($R$31,$S$31)</formula>
    </cfRule>
  </conditionalFormatting>
  <conditionalFormatting sqref="W33">
    <cfRule type="expression" dxfId="744" priority="639">
      <formula>OR($T$33 = TRUE, AND($W$33 = TRUE, $S$33 = FALSE))</formula>
    </cfRule>
    <cfRule type="expression" dxfId="743" priority="640">
      <formula>OR($S$33 = FALSE, AND($P$33 = FALSE, ReportType &lt;&gt; "Final"), AND($Q$33 = FALSE, ReportType &lt;&gt; "Rough"))</formula>
    </cfRule>
    <cfRule type="expression" dxfId="742" priority="641">
      <formula>AND(IF($R$33,$W$33,TRUE),LEN(TRIM($W$33))&gt;0)</formula>
    </cfRule>
    <cfRule type="expression" dxfId="741" priority="642">
      <formula>AND($R$33,$S$33)</formula>
    </cfRule>
  </conditionalFormatting>
  <conditionalFormatting sqref="W35">
    <cfRule type="expression" dxfId="740" priority="635">
      <formula>OR($T$35 = TRUE, AND($W$35 = TRUE, $S$35 = FALSE))</formula>
    </cfRule>
    <cfRule type="expression" dxfId="739" priority="636">
      <formula>OR($S$35 = FALSE, AND($P$35 = FALSE, ReportType &lt;&gt; "Final"), AND($Q$35 = FALSE, ReportType &lt;&gt; "Rough"))</formula>
    </cfRule>
    <cfRule type="expression" dxfId="738" priority="637">
      <formula>AND(IF($R$35,$W$35,TRUE),LEN(TRIM($W$35))&gt;0)</formula>
    </cfRule>
    <cfRule type="expression" dxfId="737" priority="638">
      <formula>AND($R$35,$S$35)</formula>
    </cfRule>
  </conditionalFormatting>
  <conditionalFormatting sqref="W38">
    <cfRule type="expression" dxfId="736" priority="631">
      <formula>OR($T$38 = TRUE, AND($W$38 = TRUE, $S$38 = FALSE))</formula>
    </cfRule>
    <cfRule type="expression" dxfId="735" priority="632">
      <formula>OR($S$38 = FALSE, AND($P$38 = FALSE, ReportType &lt;&gt; "Final"), AND($Q$38 = FALSE, ReportType &lt;&gt; "Rough"))</formula>
    </cfRule>
    <cfRule type="expression" dxfId="734" priority="633">
      <formula>AND(IF($R$38,$W$38,TRUE),LEN(TRIM($W$38))&gt;0)</formula>
    </cfRule>
    <cfRule type="expression" dxfId="733" priority="634">
      <formula>AND($R$38,$S$38)</formula>
    </cfRule>
  </conditionalFormatting>
  <conditionalFormatting sqref="W82">
    <cfRule type="expression" dxfId="732" priority="627">
      <formula>OR($T$82 = TRUE, AND($W$82 = TRUE, $S$82 = FALSE))</formula>
    </cfRule>
    <cfRule type="expression" dxfId="731" priority="628">
      <formula>OR($S$82 = FALSE, AND($P$82 = FALSE, ReportType &lt;&gt; "Final"), AND($Q$82 = FALSE, ReportType &lt;&gt; "Rough"))</formula>
    </cfRule>
    <cfRule type="expression" dxfId="730" priority="629">
      <formula>AND(IF($R$82,$W$82,TRUE),LEN(TRIM($W$82))&gt;0)</formula>
    </cfRule>
    <cfRule type="expression" dxfId="729" priority="630">
      <formula>AND($R$82,$S$82)</formula>
    </cfRule>
  </conditionalFormatting>
  <conditionalFormatting sqref="W84">
    <cfRule type="expression" dxfId="728" priority="623">
      <formula>OR($T$84 = TRUE, AND($W$84 = TRUE, $S$84 = FALSE))</formula>
    </cfRule>
    <cfRule type="expression" dxfId="727" priority="624">
      <formula>OR($S$84 = FALSE, AND($P$84 = FALSE, ReportType &lt;&gt; "Final"), AND($Q$84 = FALSE, ReportType &lt;&gt; "Rough"))</formula>
    </cfRule>
    <cfRule type="expression" dxfId="726" priority="625">
      <formula>AND(IF($R$84,$W$84,TRUE),LEN(TRIM($W$84))&gt;0)</formula>
    </cfRule>
    <cfRule type="expression" dxfId="725" priority="626">
      <formula>AND($R$84,$S$84)</formula>
    </cfRule>
  </conditionalFormatting>
  <conditionalFormatting sqref="W86">
    <cfRule type="expression" dxfId="724" priority="619">
      <formula>OR($T$86 = TRUE, AND($W$86 = TRUE, $S$86 = FALSE))</formula>
    </cfRule>
    <cfRule type="expression" dxfId="723" priority="620">
      <formula>OR($S$86 = FALSE, AND($P$86 = FALSE, ReportType &lt;&gt; "Final"), AND($Q$86 = FALSE, ReportType &lt;&gt; "Rough"))</formula>
    </cfRule>
    <cfRule type="expression" dxfId="722" priority="621">
      <formula>AND(IF($R$86,$W$86,TRUE),LEN(TRIM($W$86))&gt;0)</formula>
    </cfRule>
    <cfRule type="expression" dxfId="721" priority="622">
      <formula>AND($R$86,$S$86)</formula>
    </cfRule>
  </conditionalFormatting>
  <conditionalFormatting sqref="W89">
    <cfRule type="expression" dxfId="720" priority="615">
      <formula>OR($T$89 = TRUE, AND($W$89 = TRUE, $S$89 = FALSE))</formula>
    </cfRule>
    <cfRule type="expression" dxfId="719" priority="616">
      <formula>OR($S$89 = FALSE, AND($P$89 = FALSE, ReportType &lt;&gt; "Final"), AND($Q$89 = FALSE, ReportType &lt;&gt; "Rough"))</formula>
    </cfRule>
    <cfRule type="expression" dxfId="718" priority="617">
      <formula>AND(IF($R$89,$W$89,TRUE),LEN(TRIM($W$89))&gt;0)</formula>
    </cfRule>
    <cfRule type="expression" dxfId="717" priority="618">
      <formula>AND($R$89,$S$89)</formula>
    </cfRule>
  </conditionalFormatting>
  <conditionalFormatting sqref="W91">
    <cfRule type="expression" dxfId="716" priority="611">
      <formula>OR($T$91 = TRUE, AND($W$91 = TRUE, $S$91 = FALSE))</formula>
    </cfRule>
    <cfRule type="expression" dxfId="715" priority="612">
      <formula>OR($S$91 = FALSE, AND($P$91 = FALSE, ReportType &lt;&gt; "Final"), AND($Q$91 = FALSE, ReportType &lt;&gt; "Rough"))</formula>
    </cfRule>
    <cfRule type="expression" dxfId="714" priority="613">
      <formula>AND(IF($R$91,$W$91,TRUE),LEN(TRIM($W$91))&gt;0)</formula>
    </cfRule>
    <cfRule type="expression" dxfId="713" priority="614">
      <formula>AND($R$91,$S$91)</formula>
    </cfRule>
  </conditionalFormatting>
  <conditionalFormatting sqref="W93">
    <cfRule type="expression" dxfId="712" priority="607">
      <formula>OR($T$93 = TRUE, AND($W$93 = TRUE, $S$93 = FALSE))</formula>
    </cfRule>
    <cfRule type="expression" dxfId="711" priority="608">
      <formula>OR($S$93 = FALSE, AND($P$93 = FALSE, ReportType &lt;&gt; "Final"), AND($Q$93 = FALSE, ReportType &lt;&gt; "Rough"))</formula>
    </cfRule>
    <cfRule type="expression" dxfId="710" priority="609">
      <formula>AND(IF($R$93,$W$93,TRUE),LEN(TRIM($W$93))&gt;0)</formula>
    </cfRule>
    <cfRule type="expression" dxfId="709" priority="610">
      <formula>AND($R$93,$S$93)</formula>
    </cfRule>
  </conditionalFormatting>
  <conditionalFormatting sqref="W95">
    <cfRule type="expression" dxfId="708" priority="603">
      <formula>OR($T$95 = TRUE, AND($W$95 = TRUE, $S$95 = FALSE))</formula>
    </cfRule>
    <cfRule type="expression" dxfId="707" priority="604">
      <formula>OR($S$95 = FALSE, AND($P$95 = FALSE, ReportType &lt;&gt; "Final"), AND($Q$95 = FALSE, ReportType &lt;&gt; "Rough"))</formula>
    </cfRule>
    <cfRule type="expression" dxfId="706" priority="605">
      <formula>AND(IF($R$95,$W$95,TRUE),LEN(TRIM($W$95))&gt;0)</formula>
    </cfRule>
    <cfRule type="expression" dxfId="705" priority="606">
      <formula>AND($R$95,$S$95)</formula>
    </cfRule>
  </conditionalFormatting>
  <conditionalFormatting sqref="W260">
    <cfRule type="expression" dxfId="704" priority="599">
      <formula>OR($T$260 = TRUE, AND($W$260 = TRUE, $S$260 = FALSE))</formula>
    </cfRule>
    <cfRule type="expression" dxfId="703" priority="600">
      <formula>OR($S$260 = FALSE, AND($P$260 = FALSE, ReportType &lt;&gt; "Final"), AND($Q$260 = FALSE, ReportType &lt;&gt; "Rough"))</formula>
    </cfRule>
    <cfRule type="expression" dxfId="702" priority="601">
      <formula>AND(IF($R$260,$W$260,TRUE),LEN(TRIM($W$260))&gt;0)</formula>
    </cfRule>
    <cfRule type="expression" dxfId="701" priority="602">
      <formula>AND($R$260,$S$260)</formula>
    </cfRule>
  </conditionalFormatting>
  <conditionalFormatting sqref="W264">
    <cfRule type="expression" dxfId="700" priority="595">
      <formula>OR($T$264 = TRUE, AND($W$264 = TRUE, $S$264 = FALSE))</formula>
    </cfRule>
    <cfRule type="expression" dxfId="699" priority="596">
      <formula>OR($S$264 = FALSE, AND($P$264 = FALSE, ReportType &lt;&gt; "Final"), AND($Q$264 = FALSE, ReportType &lt;&gt; "Rough"))</formula>
    </cfRule>
    <cfRule type="expression" dxfId="698" priority="597">
      <formula>AND(IF($R$264,$W$264,TRUE),LEN(TRIM($W$264))&gt;0)</formula>
    </cfRule>
    <cfRule type="expression" dxfId="697" priority="598">
      <formula>AND($R$264,$S$264)</formula>
    </cfRule>
  </conditionalFormatting>
  <conditionalFormatting sqref="W274">
    <cfRule type="expression" dxfId="696" priority="594">
      <formula>AND($R$274,$S$274)</formula>
    </cfRule>
  </conditionalFormatting>
  <conditionalFormatting sqref="W274">
    <cfRule type="expression" dxfId="695" priority="593">
      <formula>AND(IF($R$274,$W$274,TRUE),LEN(TRIM($W$274))&gt;0)</formula>
    </cfRule>
  </conditionalFormatting>
  <conditionalFormatting sqref="W274">
    <cfRule type="expression" dxfId="694" priority="592">
      <formula>OR($S$274 = FALSE, AND($P$274 = FALSE, ReportType &lt;&gt; "Final"), AND($Q$274 = FALSE, ReportType &lt;&gt; "Rough"))</formula>
    </cfRule>
  </conditionalFormatting>
  <conditionalFormatting sqref="W274">
    <cfRule type="expression" dxfId="693" priority="591">
      <formula>OR($T$274 = TRUE, AND($W$274 = TRUE, $S$274 = FALSE))</formula>
    </cfRule>
  </conditionalFormatting>
  <conditionalFormatting sqref="W278">
    <cfRule type="expression" dxfId="692" priority="590">
      <formula>AND($R$278,$S$278)</formula>
    </cfRule>
  </conditionalFormatting>
  <conditionalFormatting sqref="W278">
    <cfRule type="expression" dxfId="691" priority="589">
      <formula>AND(IF($R$278,$W$278,TRUE),LEN(TRIM($W$278))&gt;0)</formula>
    </cfRule>
  </conditionalFormatting>
  <conditionalFormatting sqref="W278">
    <cfRule type="expression" dxfId="690" priority="588">
      <formula>OR($S$278 = FALSE, AND($P$278 = FALSE, ReportType &lt;&gt; "Final"), AND($Q$278 = FALSE, ReportType &lt;&gt; "Rough"))</formula>
    </cfRule>
  </conditionalFormatting>
  <conditionalFormatting sqref="W278">
    <cfRule type="expression" dxfId="689" priority="587">
      <formula>OR($T$278 = TRUE, AND($W$278 = TRUE, $S$278 = FALSE))</formula>
    </cfRule>
  </conditionalFormatting>
  <conditionalFormatting sqref="W298">
    <cfRule type="expression" dxfId="688" priority="586">
      <formula>AND($R$298,$S$298)</formula>
    </cfRule>
  </conditionalFormatting>
  <conditionalFormatting sqref="W298">
    <cfRule type="expression" dxfId="687" priority="585">
      <formula>AND(IF($R$298,$W$298,TRUE),LEN(TRIM($W$298))&gt;0)</formula>
    </cfRule>
  </conditionalFormatting>
  <conditionalFormatting sqref="W298">
    <cfRule type="expression" dxfId="686" priority="584">
      <formula>OR($S$298 = FALSE, AND($P$298 = FALSE, ReportType &lt;&gt; "Final"), AND($Q$298 = FALSE, ReportType &lt;&gt; "Rough"))</formula>
    </cfRule>
  </conditionalFormatting>
  <conditionalFormatting sqref="W298">
    <cfRule type="expression" dxfId="685" priority="583">
      <formula>OR($T$298 = TRUE, AND($W$298 = TRUE, $S$298 = FALSE))</formula>
    </cfRule>
  </conditionalFormatting>
  <conditionalFormatting sqref="W304">
    <cfRule type="expression" dxfId="684" priority="582">
      <formula>AND($R$304,$S$304)</formula>
    </cfRule>
  </conditionalFormatting>
  <conditionalFormatting sqref="W304">
    <cfRule type="expression" dxfId="683" priority="581">
      <formula>AND(IF($R$304,$W$304,TRUE),LEN(TRIM($W$304))&gt;0)</formula>
    </cfRule>
  </conditionalFormatting>
  <conditionalFormatting sqref="W304">
    <cfRule type="expression" dxfId="682" priority="580">
      <formula>OR($S$304 = FALSE, AND($P$304 = FALSE, ReportType &lt;&gt; "Final"), AND($Q$304 = FALSE, ReportType &lt;&gt; "Rough"))</formula>
    </cfRule>
  </conditionalFormatting>
  <conditionalFormatting sqref="W304">
    <cfRule type="expression" dxfId="681" priority="579">
      <formula>OR($T$304 = TRUE, AND($W$304 = TRUE, $S$304 = FALSE))</formula>
    </cfRule>
  </conditionalFormatting>
  <conditionalFormatting sqref="W308">
    <cfRule type="expression" dxfId="680" priority="578">
      <formula>AND($R$308,$S$308)</formula>
    </cfRule>
  </conditionalFormatting>
  <conditionalFormatting sqref="W308">
    <cfRule type="expression" dxfId="679" priority="577">
      <formula>AND(IF($R$308,$W$308,TRUE),LEN(TRIM($W$308))&gt;0)</formula>
    </cfRule>
  </conditionalFormatting>
  <conditionalFormatting sqref="W308">
    <cfRule type="expression" dxfId="678" priority="576">
      <formula>OR($S$308 = FALSE, AND($P$308 = FALSE, ReportType &lt;&gt; "Final"), AND($Q$308 = FALSE, ReportType &lt;&gt; "Rough"))</formula>
    </cfRule>
  </conditionalFormatting>
  <conditionalFormatting sqref="W308">
    <cfRule type="expression" dxfId="677" priority="575">
      <formula>OR($T$308 = TRUE, AND($W$308 = TRUE, $S$308 = FALSE))</formula>
    </cfRule>
  </conditionalFormatting>
  <conditionalFormatting sqref="W311">
    <cfRule type="expression" dxfId="676" priority="574">
      <formula>AND($R$311,$S$311)</formula>
    </cfRule>
  </conditionalFormatting>
  <conditionalFormatting sqref="W311">
    <cfRule type="expression" dxfId="675" priority="573">
      <formula>AND(IF($R$311,$W$311,TRUE),LEN(TRIM($W$311))&gt;0)</formula>
    </cfRule>
  </conditionalFormatting>
  <conditionalFormatting sqref="W311">
    <cfRule type="expression" dxfId="674" priority="572">
      <formula>OR($S$311 = FALSE, AND($P$311 = FALSE, ReportType &lt;&gt; "Final"), AND($Q$311 = FALSE, ReportType &lt;&gt; "Rough"))</formula>
    </cfRule>
  </conditionalFormatting>
  <conditionalFormatting sqref="W311">
    <cfRule type="expression" dxfId="673" priority="571">
      <formula>OR($T$311 = TRUE, AND($W$311 = TRUE, $S$311 = FALSE))</formula>
    </cfRule>
  </conditionalFormatting>
  <conditionalFormatting sqref="W315">
    <cfRule type="expression" dxfId="672" priority="570">
      <formula>AND($R$315,$S$315)</formula>
    </cfRule>
  </conditionalFormatting>
  <conditionalFormatting sqref="W315">
    <cfRule type="expression" dxfId="671" priority="569">
      <formula>AND(IF($R$315,$W$315,TRUE),LEN(TRIM($W$315))&gt;0)</formula>
    </cfRule>
  </conditionalFormatting>
  <conditionalFormatting sqref="W315">
    <cfRule type="expression" dxfId="670" priority="568">
      <formula>OR($S$315 = FALSE, AND($P$315 = FALSE, ReportType &lt;&gt; "Final"), AND($Q$315 = FALSE, ReportType &lt;&gt; "Rough"))</formula>
    </cfRule>
  </conditionalFormatting>
  <conditionalFormatting sqref="W315">
    <cfRule type="expression" dxfId="669" priority="567">
      <formula>OR($T$315 = TRUE, AND($W$315 = TRUE, $S$315 = FALSE))</formula>
    </cfRule>
  </conditionalFormatting>
  <conditionalFormatting sqref="W317">
    <cfRule type="expression" dxfId="668" priority="566">
      <formula>AND($R$317,$S$317)</formula>
    </cfRule>
  </conditionalFormatting>
  <conditionalFormatting sqref="W317">
    <cfRule type="expression" dxfId="667" priority="565">
      <formula>AND(IF($R$317,$W$317,TRUE),LEN(TRIM($W$317))&gt;0)</formula>
    </cfRule>
  </conditionalFormatting>
  <conditionalFormatting sqref="W317">
    <cfRule type="expression" dxfId="666" priority="564">
      <formula>OR($S$317 = FALSE, AND($P$317 = FALSE, ReportType &lt;&gt; "Final"), AND($Q$317 = FALSE, ReportType &lt;&gt; "Rough"))</formula>
    </cfRule>
  </conditionalFormatting>
  <conditionalFormatting sqref="W317">
    <cfRule type="expression" dxfId="665" priority="563">
      <formula>OR($T$317 = TRUE, AND($W$317 = TRUE, $S$317 = FALSE))</formula>
    </cfRule>
  </conditionalFormatting>
  <conditionalFormatting sqref="W357">
    <cfRule type="expression" dxfId="664" priority="562">
      <formula>AND($R$357,$S$357)</formula>
    </cfRule>
  </conditionalFormatting>
  <conditionalFormatting sqref="W357">
    <cfRule type="expression" dxfId="663" priority="561">
      <formula>AND(IF($R$357,$W$357,TRUE),LEN(TRIM($W$357))&gt;0)</formula>
    </cfRule>
  </conditionalFormatting>
  <conditionalFormatting sqref="W357">
    <cfRule type="expression" dxfId="662" priority="560">
      <formula>OR($S$357 = FALSE, AND($P$357 = FALSE, ReportType &lt;&gt; "Final"), AND($Q$357 = FALSE, ReportType &lt;&gt; "Rough"))</formula>
    </cfRule>
  </conditionalFormatting>
  <conditionalFormatting sqref="W357">
    <cfRule type="expression" dxfId="661" priority="559">
      <formula>OR($T$357 = TRUE, AND($W$357 = TRUE, $S$357 = FALSE))</formula>
    </cfRule>
  </conditionalFormatting>
  <conditionalFormatting sqref="W366">
    <cfRule type="expression" dxfId="660" priority="558">
      <formula>AND($R$366,$S$366)</formula>
    </cfRule>
  </conditionalFormatting>
  <conditionalFormatting sqref="W366">
    <cfRule type="expression" dxfId="659" priority="557">
      <formula>AND(IF($R$366,$W$366,TRUE),LEN(TRIM($W$366))&gt;0)</formula>
    </cfRule>
  </conditionalFormatting>
  <conditionalFormatting sqref="W366">
    <cfRule type="expression" dxfId="658" priority="556">
      <formula>OR($S$366 = FALSE, AND($P$366 = FALSE, ReportType &lt;&gt; "Final"), AND($Q$366 = FALSE, ReportType &lt;&gt; "Rough"))</formula>
    </cfRule>
  </conditionalFormatting>
  <conditionalFormatting sqref="W366">
    <cfRule type="expression" dxfId="657" priority="555">
      <formula>OR($T$366 = TRUE, AND($W$366 = TRUE, $S$366 = FALSE))</formula>
    </cfRule>
  </conditionalFormatting>
  <conditionalFormatting sqref="W412">
    <cfRule type="expression" dxfId="656" priority="554">
      <formula>AND($R$412,$S$412)</formula>
    </cfRule>
  </conditionalFormatting>
  <conditionalFormatting sqref="W412">
    <cfRule type="expression" dxfId="655" priority="553">
      <formula>AND(IF($R$412,$W$412,TRUE),LEN(TRIM($W$412))&gt;0)</formula>
    </cfRule>
  </conditionalFormatting>
  <conditionalFormatting sqref="W412">
    <cfRule type="expression" dxfId="654" priority="552">
      <formula>OR($S$412 = FALSE, AND($P$412 = FALSE, ReportType &lt;&gt; "Final"), AND($Q$412 = FALSE, ReportType &lt;&gt; "Rough"))</formula>
    </cfRule>
  </conditionalFormatting>
  <conditionalFormatting sqref="W412">
    <cfRule type="expression" dxfId="653" priority="551">
      <formula>OR($T$412 = TRUE, AND($W$412 = TRUE, $S$412 = FALSE))</formula>
    </cfRule>
  </conditionalFormatting>
  <conditionalFormatting sqref="W419">
    <cfRule type="expression" dxfId="652" priority="550">
      <formula>AND($R$419,$S$419)</formula>
    </cfRule>
  </conditionalFormatting>
  <conditionalFormatting sqref="W419">
    <cfRule type="expression" dxfId="651" priority="549">
      <formula>AND(IF($R$419,$W$419,TRUE),LEN(TRIM($W$419))&gt;0)</formula>
    </cfRule>
  </conditionalFormatting>
  <conditionalFormatting sqref="W419">
    <cfRule type="expression" dxfId="650" priority="548">
      <formula>OR($S$419 = FALSE, AND($P$419 = FALSE, ReportType &lt;&gt; "Final"), AND($Q$419 = FALSE, ReportType &lt;&gt; "Rough"))</formula>
    </cfRule>
  </conditionalFormatting>
  <conditionalFormatting sqref="W419">
    <cfRule type="expression" dxfId="649" priority="547">
      <formula>OR($T$419 = TRUE, AND($W$419 = TRUE, $S$419 = FALSE))</formula>
    </cfRule>
  </conditionalFormatting>
  <conditionalFormatting sqref="W420">
    <cfRule type="expression" dxfId="648" priority="546">
      <formula>AND($R$420,$S$420)</formula>
    </cfRule>
  </conditionalFormatting>
  <conditionalFormatting sqref="W420">
    <cfRule type="expression" dxfId="647" priority="545">
      <formula>AND(IF($R$420,$W$420,TRUE),LEN(TRIM($W$420))&gt;0)</formula>
    </cfRule>
  </conditionalFormatting>
  <conditionalFormatting sqref="W420">
    <cfRule type="expression" dxfId="646" priority="544">
      <formula>OR($S$420 = FALSE, AND($P$420 = FALSE, ReportType &lt;&gt; "Final"), AND($Q$420 = FALSE, ReportType &lt;&gt; "Rough"))</formula>
    </cfRule>
  </conditionalFormatting>
  <conditionalFormatting sqref="W420">
    <cfRule type="expression" dxfId="645" priority="543">
      <formula>OR($T$420 = TRUE, AND($W$420 = TRUE, $S$420 = FALSE))</formula>
    </cfRule>
  </conditionalFormatting>
  <conditionalFormatting sqref="W543">
    <cfRule type="expression" dxfId="644" priority="542">
      <formula>AND($R$543,$S$543)</formula>
    </cfRule>
  </conditionalFormatting>
  <conditionalFormatting sqref="W543">
    <cfRule type="expression" dxfId="643" priority="541">
      <formula>AND(IF($R$543,$W$543,TRUE),LEN(TRIM($W$543))&gt;0)</formula>
    </cfRule>
  </conditionalFormatting>
  <conditionalFormatting sqref="W543">
    <cfRule type="expression" dxfId="642" priority="540">
      <formula>OR($S$543 = FALSE, AND($P$543 = FALSE, ReportType &lt;&gt; "Final"), AND($Q$543 = FALSE, ReportType &lt;&gt; "Rough"))</formula>
    </cfRule>
  </conditionalFormatting>
  <conditionalFormatting sqref="W543">
    <cfRule type="expression" dxfId="641" priority="539">
      <formula>OR($T$543 = TRUE, AND($W$543 = TRUE, $S$543 = FALSE))</formula>
    </cfRule>
  </conditionalFormatting>
  <conditionalFormatting sqref="W545">
    <cfRule type="expression" dxfId="640" priority="538">
      <formula>AND($R$545,$S$545)</formula>
    </cfRule>
  </conditionalFormatting>
  <conditionalFormatting sqref="W545">
    <cfRule type="expression" dxfId="639" priority="537">
      <formula>AND(IF($R$545,$W$545,TRUE),LEN(TRIM($W$545))&gt;0)</formula>
    </cfRule>
  </conditionalFormatting>
  <conditionalFormatting sqref="W545">
    <cfRule type="expression" dxfId="638" priority="536">
      <formula>OR($S$545 = FALSE, AND($P$545 = FALSE, ReportType &lt;&gt; "Final"), AND($Q$545 = FALSE, ReportType &lt;&gt; "Rough"))</formula>
    </cfRule>
  </conditionalFormatting>
  <conditionalFormatting sqref="W545">
    <cfRule type="expression" dxfId="637" priority="535">
      <formula>OR($T$545 = TRUE, AND($W$545 = TRUE, $S$545 = FALSE))</formula>
    </cfRule>
  </conditionalFormatting>
  <conditionalFormatting sqref="W552">
    <cfRule type="expression" dxfId="636" priority="534">
      <formula>AND($R$552,$S$552)</formula>
    </cfRule>
  </conditionalFormatting>
  <conditionalFormatting sqref="W552">
    <cfRule type="expression" dxfId="635" priority="533">
      <formula>AND(IF($R$552,$W$552,TRUE),LEN(TRIM($W$552))&gt;0)</formula>
    </cfRule>
  </conditionalFormatting>
  <conditionalFormatting sqref="W552">
    <cfRule type="expression" dxfId="634" priority="532">
      <formula>OR($S$552 = FALSE, AND($P$552 = FALSE, ReportType &lt;&gt; "Final"), AND($Q$552 = FALSE, ReportType &lt;&gt; "Rough"))</formula>
    </cfRule>
  </conditionalFormatting>
  <conditionalFormatting sqref="W552">
    <cfRule type="expression" dxfId="633" priority="531">
      <formula>OR($T$552 = TRUE, AND($W$552 = TRUE, $S$552 = FALSE))</formula>
    </cfRule>
  </conditionalFormatting>
  <conditionalFormatting sqref="W555">
    <cfRule type="expression" dxfId="632" priority="530">
      <formula>AND($R$555,$S$555)</formula>
    </cfRule>
  </conditionalFormatting>
  <conditionalFormatting sqref="W555">
    <cfRule type="expression" dxfId="631" priority="529">
      <formula>AND(IF($R$555,$W$555,TRUE),LEN(TRIM($W$555))&gt;0)</formula>
    </cfRule>
  </conditionalFormatting>
  <conditionalFormatting sqref="W555">
    <cfRule type="expression" dxfId="630" priority="528">
      <formula>OR($S$555 = FALSE, AND($P$555 = FALSE, ReportType &lt;&gt; "Final"), AND($Q$555 = FALSE, ReportType &lt;&gt; "Rough"))</formula>
    </cfRule>
  </conditionalFormatting>
  <conditionalFormatting sqref="W555">
    <cfRule type="expression" dxfId="629" priority="527">
      <formula>OR($T$555 = TRUE, AND($W$555 = TRUE, $S$555 = FALSE))</formula>
    </cfRule>
  </conditionalFormatting>
  <conditionalFormatting sqref="W557">
    <cfRule type="expression" dxfId="628" priority="526">
      <formula>AND($R$557,$S$557)</formula>
    </cfRule>
  </conditionalFormatting>
  <conditionalFormatting sqref="W557">
    <cfRule type="expression" dxfId="627" priority="525">
      <formula>AND(IF($R$557,$W$557,TRUE),LEN(TRIM($W$557))&gt;0)</formula>
    </cfRule>
  </conditionalFormatting>
  <conditionalFormatting sqref="W557">
    <cfRule type="expression" dxfId="626" priority="524">
      <formula>OR($S$557 = FALSE, AND($P$557 = FALSE, ReportType &lt;&gt; "Final"), AND($Q$557 = FALSE, ReportType &lt;&gt; "Rough"))</formula>
    </cfRule>
  </conditionalFormatting>
  <conditionalFormatting sqref="W557">
    <cfRule type="expression" dxfId="625" priority="523">
      <formula>OR($T$557 = TRUE, AND($W$557 = TRUE, $S$557 = FALSE))</formula>
    </cfRule>
  </conditionalFormatting>
  <conditionalFormatting sqref="W630">
    <cfRule type="expression" dxfId="624" priority="522">
      <formula>AND($R$630,$S$630)</formula>
    </cfRule>
  </conditionalFormatting>
  <conditionalFormatting sqref="W630">
    <cfRule type="expression" dxfId="623" priority="521">
      <formula>AND(IF($R$630,$W$630,TRUE),LEN(TRIM($W$630))&gt;0)</formula>
    </cfRule>
  </conditionalFormatting>
  <conditionalFormatting sqref="W630">
    <cfRule type="expression" dxfId="622" priority="520">
      <formula>OR($S$630 = FALSE, AND($P$630 = FALSE, ReportType &lt;&gt; "Final"), AND($Q$630 = FALSE, ReportType &lt;&gt; "Rough"))</formula>
    </cfRule>
  </conditionalFormatting>
  <conditionalFormatting sqref="W630">
    <cfRule type="expression" dxfId="621" priority="519">
      <formula>OR($T$630 = TRUE, AND($W$630 = TRUE, $S$630 = FALSE))</formula>
    </cfRule>
  </conditionalFormatting>
  <conditionalFormatting sqref="W643">
    <cfRule type="expression" dxfId="620" priority="518">
      <formula>AND($R$643,$S$643)</formula>
    </cfRule>
  </conditionalFormatting>
  <conditionalFormatting sqref="W643">
    <cfRule type="expression" dxfId="619" priority="517">
      <formula>AND(IF($R$643,$W$643,TRUE),LEN(TRIM($W$643))&gt;0)</formula>
    </cfRule>
  </conditionalFormatting>
  <conditionalFormatting sqref="W643">
    <cfRule type="expression" dxfId="618" priority="516">
      <formula>OR($S$643 = FALSE, AND($P$643 = FALSE, ReportType &lt;&gt; "Final"), AND($Q$643 = FALSE, ReportType &lt;&gt; "Rough"))</formula>
    </cfRule>
  </conditionalFormatting>
  <conditionalFormatting sqref="W643">
    <cfRule type="expression" dxfId="617" priority="515">
      <formula>OR($T$643 = TRUE, AND($W$643 = TRUE, $S$643 = FALSE))</formula>
    </cfRule>
  </conditionalFormatting>
  <conditionalFormatting sqref="W550">
    <cfRule type="expression" dxfId="616" priority="514">
      <formula>AND($R$550,$S$550)</formula>
    </cfRule>
  </conditionalFormatting>
  <conditionalFormatting sqref="W550">
    <cfRule type="expression" dxfId="615" priority="513">
      <formula>AND($W$550&lt;&gt;"Not Met",LEN(TRIM($W$550))&gt;0)</formula>
    </cfRule>
  </conditionalFormatting>
  <conditionalFormatting sqref="W550">
    <cfRule type="expression" dxfId="614" priority="512">
      <formula>OR($S$550 = FALSE, AND($P$550 = FALSE, ReportType &lt;&gt; "Final"), AND($Q$550 = FALSE, ReportType &lt;&gt; "Rough"))</formula>
    </cfRule>
  </conditionalFormatting>
  <conditionalFormatting sqref="W550">
    <cfRule type="expression" dxfId="613" priority="511">
      <formula>OR($T$550 = TRUE, AND(LEN(TRIM($W$550))&gt;0, $S$550 = FALSE))</formula>
    </cfRule>
  </conditionalFormatting>
  <conditionalFormatting sqref="W548">
    <cfRule type="expression" dxfId="612" priority="510">
      <formula>AND($R$548,$S$548)</formula>
    </cfRule>
  </conditionalFormatting>
  <conditionalFormatting sqref="W548">
    <cfRule type="expression" dxfId="611" priority="509">
      <formula>AND($W$548&lt;&gt;"Not Met",LEN(TRIM($W$548))&gt;0)</formula>
    </cfRule>
  </conditionalFormatting>
  <conditionalFormatting sqref="W548">
    <cfRule type="expression" dxfId="610" priority="508">
      <formula>OR($S$548 = FALSE, AND($P$548 = FALSE, ReportType &lt;&gt; "Final"), AND($Q$548 = FALSE, ReportType &lt;&gt; "Rough"))</formula>
    </cfRule>
  </conditionalFormatting>
  <conditionalFormatting sqref="W548">
    <cfRule type="expression" dxfId="609" priority="507">
      <formula>OR($T$548 = TRUE, AND(LEN(TRIM($W$548))&gt;0, $S$548 = FALSE))</formula>
    </cfRule>
  </conditionalFormatting>
  <conditionalFormatting sqref="W539">
    <cfRule type="expression" dxfId="608" priority="506">
      <formula>AND($R$539,$S$539)</formula>
    </cfRule>
  </conditionalFormatting>
  <conditionalFormatting sqref="W539">
    <cfRule type="expression" dxfId="607" priority="505">
      <formula>AND($W$539&lt;&gt;"Not Met",LEN(TRIM($W$539))&gt;0)</formula>
    </cfRule>
  </conditionalFormatting>
  <conditionalFormatting sqref="W539">
    <cfRule type="expression" dxfId="606" priority="504">
      <formula>OR($S$539 = FALSE, AND($P$539 = FALSE, ReportType &lt;&gt; "Final"), AND($Q$539 = FALSE, ReportType &lt;&gt; "Rough"))</formula>
    </cfRule>
  </conditionalFormatting>
  <conditionalFormatting sqref="W539">
    <cfRule type="expression" dxfId="605" priority="503">
      <formula>OR($T$539 = TRUE, AND(LEN(TRIM($W$539))&gt;0, $S$539 = FALSE))</formula>
    </cfRule>
  </conditionalFormatting>
  <conditionalFormatting sqref="W535">
    <cfRule type="expression" dxfId="604" priority="502">
      <formula>AND($R$535,$S$535)</formula>
    </cfRule>
  </conditionalFormatting>
  <conditionalFormatting sqref="W535">
    <cfRule type="expression" dxfId="603" priority="501">
      <formula>AND($W$535&lt;&gt;"Not Met",LEN(TRIM($W$535))&gt;0)</formula>
    </cfRule>
  </conditionalFormatting>
  <conditionalFormatting sqref="W535">
    <cfRule type="expression" dxfId="602" priority="500">
      <formula>OR($S$535 = FALSE, AND($P$535 = FALSE, ReportType &lt;&gt; "Final"), AND($Q$535 = FALSE, ReportType &lt;&gt; "Rough"))</formula>
    </cfRule>
  </conditionalFormatting>
  <conditionalFormatting sqref="W535">
    <cfRule type="expression" dxfId="601" priority="499">
      <formula>OR($T$535 = TRUE, AND(LEN(TRIM($W$535))&gt;0, $S$535 = FALSE))</formula>
    </cfRule>
  </conditionalFormatting>
  <conditionalFormatting sqref="W533">
    <cfRule type="expression" dxfId="600" priority="498">
      <formula>AND($R$533,$S$533)</formula>
    </cfRule>
  </conditionalFormatting>
  <conditionalFormatting sqref="W533">
    <cfRule type="expression" dxfId="599" priority="497">
      <formula>AND($W$533&lt;&gt;"Not Met",LEN(TRIM($W$533))&gt;0)</formula>
    </cfRule>
  </conditionalFormatting>
  <conditionalFormatting sqref="W533">
    <cfRule type="expression" dxfId="598" priority="496">
      <formula>OR($S$533 = FALSE, AND($P$533 = FALSE, ReportType &lt;&gt; "Final"), AND($Q$533 = FALSE, ReportType &lt;&gt; "Rough"))</formula>
    </cfRule>
  </conditionalFormatting>
  <conditionalFormatting sqref="W533">
    <cfRule type="expression" dxfId="597" priority="495">
      <formula>OR($T$533 = TRUE, AND(LEN(TRIM($W$533))&gt;0, $S$533 = FALSE))</formula>
    </cfRule>
  </conditionalFormatting>
  <conditionalFormatting sqref="W531">
    <cfRule type="expression" dxfId="596" priority="494">
      <formula>AND($R$531,$S$531)</formula>
    </cfRule>
  </conditionalFormatting>
  <conditionalFormatting sqref="W531">
    <cfRule type="expression" dxfId="595" priority="493">
      <formula>AND($W$531&lt;&gt;"Not Met",LEN(TRIM($W$531))&gt;0)</formula>
    </cfRule>
  </conditionalFormatting>
  <conditionalFormatting sqref="W531">
    <cfRule type="expression" dxfId="594" priority="492">
      <formula>OR($S$531 = FALSE, AND($P$531 = FALSE, ReportType &lt;&gt; "Final"), AND($Q$531 = FALSE, ReportType &lt;&gt; "Rough"))</formula>
    </cfRule>
  </conditionalFormatting>
  <conditionalFormatting sqref="W531">
    <cfRule type="expression" dxfId="593" priority="491">
      <formula>OR($T$531 = TRUE, AND(LEN(TRIM($W$531))&gt;0, $S$531 = FALSE))</formula>
    </cfRule>
  </conditionalFormatting>
  <conditionalFormatting sqref="W528">
    <cfRule type="expression" dxfId="592" priority="490">
      <formula>AND($R$528,$S$528)</formula>
    </cfRule>
  </conditionalFormatting>
  <conditionalFormatting sqref="W528">
    <cfRule type="expression" dxfId="591" priority="489">
      <formula>AND($W$528&lt;&gt;"Not Met",LEN(TRIM($W$528))&gt;0)</formula>
    </cfRule>
  </conditionalFormatting>
  <conditionalFormatting sqref="W528">
    <cfRule type="expression" dxfId="590" priority="488">
      <formula>OR($S$528 = FALSE, AND($P$528 = FALSE, ReportType &lt;&gt; "Final"), AND($Q$528 = FALSE, ReportType &lt;&gt; "Rough"))</formula>
    </cfRule>
  </conditionalFormatting>
  <conditionalFormatting sqref="W528">
    <cfRule type="expression" dxfId="589" priority="487">
      <formula>OR($T$528 = TRUE, AND(LEN(TRIM($W$528))&gt;0, $S$528 = FALSE))</formula>
    </cfRule>
  </conditionalFormatting>
  <conditionalFormatting sqref="W525">
    <cfRule type="expression" dxfId="588" priority="486">
      <formula>AND($R$525,$S$525)</formula>
    </cfRule>
  </conditionalFormatting>
  <conditionalFormatting sqref="W525">
    <cfRule type="expression" dxfId="587" priority="485">
      <formula>AND($W$525&lt;&gt;"Not Met",LEN(TRIM($W$525))&gt;0)</formula>
    </cfRule>
  </conditionalFormatting>
  <conditionalFormatting sqref="W525">
    <cfRule type="expression" dxfId="586" priority="484">
      <formula>OR($S$525 = FALSE, AND($P$525 = FALSE, ReportType &lt;&gt; "Final"), AND($Q$525 = FALSE, ReportType &lt;&gt; "Rough"))</formula>
    </cfRule>
  </conditionalFormatting>
  <conditionalFormatting sqref="W525">
    <cfRule type="expression" dxfId="585" priority="483">
      <formula>OR($T$525 = TRUE, AND(LEN(TRIM($W$525))&gt;0, $S$525 = FALSE))</formula>
    </cfRule>
  </conditionalFormatting>
  <conditionalFormatting sqref="W520">
    <cfRule type="expression" dxfId="584" priority="482">
      <formula>AND($R$520,$S$520)</formula>
    </cfRule>
  </conditionalFormatting>
  <conditionalFormatting sqref="W520">
    <cfRule type="expression" dxfId="583" priority="481">
      <formula>AND($W$520&lt;&gt;"Not Met",LEN(TRIM($W$520))&gt;0)</formula>
    </cfRule>
  </conditionalFormatting>
  <conditionalFormatting sqref="W520">
    <cfRule type="expression" dxfId="582" priority="480">
      <formula>OR($S$520 = FALSE, AND($P$520 = FALSE, ReportType &lt;&gt; "Final"), AND($Q$520 = FALSE, ReportType &lt;&gt; "Rough"))</formula>
    </cfRule>
  </conditionalFormatting>
  <conditionalFormatting sqref="W520">
    <cfRule type="expression" dxfId="581" priority="479">
      <formula>OR($T$520 = TRUE, AND(LEN(TRIM($W$520))&gt;0, $S$520 = FALSE))</formula>
    </cfRule>
  </conditionalFormatting>
  <conditionalFormatting sqref="W516">
    <cfRule type="expression" dxfId="580" priority="478">
      <formula>AND($R$516,$S$516)</formula>
    </cfRule>
  </conditionalFormatting>
  <conditionalFormatting sqref="W516">
    <cfRule type="expression" dxfId="579" priority="477">
      <formula>AND($W$516&lt;&gt;"Not Met",LEN(TRIM($W$516))&gt;0)</formula>
    </cfRule>
  </conditionalFormatting>
  <conditionalFormatting sqref="W516">
    <cfRule type="expression" dxfId="578" priority="476">
      <formula>OR($S$516 = FALSE, AND($P$516 = FALSE, ReportType &lt;&gt; "Final"), AND($Q$516 = FALSE, ReportType &lt;&gt; "Rough"))</formula>
    </cfRule>
  </conditionalFormatting>
  <conditionalFormatting sqref="W516">
    <cfRule type="expression" dxfId="577" priority="475">
      <formula>OR($T$516 = TRUE, AND(LEN(TRIM($W$516))&gt;0, $S$516 = FALSE))</formula>
    </cfRule>
  </conditionalFormatting>
  <conditionalFormatting sqref="W405">
    <cfRule type="expression" dxfId="576" priority="474">
      <formula>AND($R$405,$S$405)</formula>
    </cfRule>
  </conditionalFormatting>
  <conditionalFormatting sqref="W405">
    <cfRule type="expression" dxfId="575" priority="473">
      <formula>AND($W$405&lt;&gt;"Not Met",LEN(TRIM($W$405))&gt;0)</formula>
    </cfRule>
  </conditionalFormatting>
  <conditionalFormatting sqref="W405">
    <cfRule type="expression" dxfId="574" priority="472">
      <formula>OR($S$405 = FALSE, AND($P$405 = FALSE, ReportType &lt;&gt; "Final"), AND($Q$405 = FALSE, ReportType &lt;&gt; "Rough"))</formula>
    </cfRule>
  </conditionalFormatting>
  <conditionalFormatting sqref="W405">
    <cfRule type="expression" dxfId="573" priority="471">
      <formula>OR($T$405 = TRUE, AND(LEN(TRIM($W$405))&gt;0, $S$405 = FALSE))</formula>
    </cfRule>
  </conditionalFormatting>
  <conditionalFormatting sqref="W402">
    <cfRule type="expression" dxfId="572" priority="470">
      <formula>AND($R$402,$S$402)</formula>
    </cfRule>
  </conditionalFormatting>
  <conditionalFormatting sqref="W402">
    <cfRule type="expression" dxfId="571" priority="469">
      <formula>AND($W$402&lt;&gt;"Not Met",LEN(TRIM($W$402))&gt;0)</formula>
    </cfRule>
  </conditionalFormatting>
  <conditionalFormatting sqref="W402">
    <cfRule type="expression" dxfId="570" priority="468">
      <formula>OR($S$402 = FALSE, AND($P$402 = FALSE, ReportType &lt;&gt; "Final"), AND($Q$402 = FALSE, ReportType &lt;&gt; "Rough"))</formula>
    </cfRule>
  </conditionalFormatting>
  <conditionalFormatting sqref="W402">
    <cfRule type="expression" dxfId="569" priority="467">
      <formula>OR($T$402 = TRUE, AND(LEN(TRIM($W$402))&gt;0, $S$402 = FALSE))</formula>
    </cfRule>
  </conditionalFormatting>
  <conditionalFormatting sqref="W398">
    <cfRule type="expression" dxfId="568" priority="466">
      <formula>AND($R$398,$S$398)</formula>
    </cfRule>
  </conditionalFormatting>
  <conditionalFormatting sqref="W398">
    <cfRule type="expression" dxfId="567" priority="465">
      <formula>AND($W$398&lt;&gt;"Not Met",LEN(TRIM($W$398))&gt;0)</formula>
    </cfRule>
  </conditionalFormatting>
  <conditionalFormatting sqref="W398">
    <cfRule type="expression" dxfId="566" priority="464">
      <formula>OR($S$398 = FALSE, AND($P$398 = FALSE, ReportType &lt;&gt; "Final"), AND($Q$398 = FALSE, ReportType &lt;&gt; "Rough"))</formula>
    </cfRule>
  </conditionalFormatting>
  <conditionalFormatting sqref="W398">
    <cfRule type="expression" dxfId="565" priority="463">
      <formula>OR($T$398 = TRUE, AND(LEN(TRIM($W$398))&gt;0, $S$398 = FALSE))</formula>
    </cfRule>
  </conditionalFormatting>
  <conditionalFormatting sqref="W394">
    <cfRule type="expression" dxfId="564" priority="462">
      <formula>AND($R$394,$S$394)</formula>
    </cfRule>
  </conditionalFormatting>
  <conditionalFormatting sqref="W394">
    <cfRule type="expression" dxfId="563" priority="461">
      <formula>AND($W$394&lt;&gt;"Not Met",LEN(TRIM($W$394))&gt;0)</formula>
    </cfRule>
  </conditionalFormatting>
  <conditionalFormatting sqref="W394">
    <cfRule type="expression" dxfId="562" priority="460">
      <formula>OR($S$394 = FALSE, AND($P$394 = FALSE, ReportType &lt;&gt; "Final"), AND($Q$394 = FALSE, ReportType &lt;&gt; "Rough"))</formula>
    </cfRule>
  </conditionalFormatting>
  <conditionalFormatting sqref="W394">
    <cfRule type="expression" dxfId="561" priority="459">
      <formula>OR($T$394 = TRUE, AND(LEN(TRIM($W$394))&gt;0, $S$394 = FALSE))</formula>
    </cfRule>
  </conditionalFormatting>
  <conditionalFormatting sqref="W391">
    <cfRule type="expression" dxfId="560" priority="458">
      <formula>AND($R$391,$S$391)</formula>
    </cfRule>
  </conditionalFormatting>
  <conditionalFormatting sqref="W391">
    <cfRule type="expression" dxfId="559" priority="457">
      <formula>AND($W$391&lt;&gt;"Not Met",LEN(TRIM($W$391))&gt;0)</formula>
    </cfRule>
  </conditionalFormatting>
  <conditionalFormatting sqref="W391">
    <cfRule type="expression" dxfId="558" priority="456">
      <formula>OR($S$391 = FALSE, AND($P$391 = FALSE, ReportType &lt;&gt; "Final"), AND($Q$391 = FALSE, ReportType &lt;&gt; "Rough"))</formula>
    </cfRule>
  </conditionalFormatting>
  <conditionalFormatting sqref="W391">
    <cfRule type="expression" dxfId="557" priority="455">
      <formula>OR($T$391 = TRUE, AND(LEN(TRIM($W$391))&gt;0, $S$391 = FALSE))</formula>
    </cfRule>
  </conditionalFormatting>
  <conditionalFormatting sqref="W384">
    <cfRule type="expression" dxfId="556" priority="454">
      <formula>AND($R$384,$S$384)</formula>
    </cfRule>
  </conditionalFormatting>
  <conditionalFormatting sqref="W384">
    <cfRule type="expression" dxfId="555" priority="453">
      <formula>AND($W$384&lt;&gt;"Not Met",LEN(TRIM($W$384))&gt;0)</formula>
    </cfRule>
  </conditionalFormatting>
  <conditionalFormatting sqref="W384">
    <cfRule type="expression" dxfId="554" priority="452">
      <formula>OR($S$384 = FALSE, AND($P$384 = FALSE, ReportType &lt;&gt; "Final"), AND($Q$384 = FALSE, ReportType &lt;&gt; "Rough"))</formula>
    </cfRule>
  </conditionalFormatting>
  <conditionalFormatting sqref="W384">
    <cfRule type="expression" dxfId="553" priority="451">
      <formula>OR($T$384 = TRUE, AND(LEN(TRIM($W$384))&gt;0, $S$384 = FALSE))</formula>
    </cfRule>
  </conditionalFormatting>
  <conditionalFormatting sqref="W380">
    <cfRule type="expression" dxfId="552" priority="450">
      <formula>AND($R$380,$S$380)</formula>
    </cfRule>
  </conditionalFormatting>
  <conditionalFormatting sqref="W380">
    <cfRule type="expression" dxfId="551" priority="449">
      <formula>AND($W$380&lt;&gt;"Not Met",LEN(TRIM($W$380))&gt;0)</formula>
    </cfRule>
  </conditionalFormatting>
  <conditionalFormatting sqref="W380">
    <cfRule type="expression" dxfId="550" priority="448">
      <formula>OR($S$380 = FALSE, AND($P$380 = FALSE, ReportType &lt;&gt; "Final"), AND($Q$380 = FALSE, ReportType &lt;&gt; "Rough"))</formula>
    </cfRule>
  </conditionalFormatting>
  <conditionalFormatting sqref="W380">
    <cfRule type="expression" dxfId="549" priority="447">
      <formula>OR($T$380 = TRUE, AND(LEN(TRIM($W$380))&gt;0, $S$380 = FALSE))</formula>
    </cfRule>
  </conditionalFormatting>
  <conditionalFormatting sqref="W377">
    <cfRule type="expression" dxfId="548" priority="446">
      <formula>AND($R$377,$S$377)</formula>
    </cfRule>
  </conditionalFormatting>
  <conditionalFormatting sqref="W377">
    <cfRule type="expression" dxfId="547" priority="445">
      <formula>AND($W$377&lt;&gt;"Not Met",LEN(TRIM($W$377))&gt;0)</formula>
    </cfRule>
  </conditionalFormatting>
  <conditionalFormatting sqref="W377">
    <cfRule type="expression" dxfId="546" priority="444">
      <formula>OR($S$377 = FALSE, AND($P$377 = FALSE, ReportType &lt;&gt; "Final"), AND($Q$377 = FALSE, ReportType &lt;&gt; "Rough"))</formula>
    </cfRule>
  </conditionalFormatting>
  <conditionalFormatting sqref="W377">
    <cfRule type="expression" dxfId="545" priority="443">
      <formula>OR($T$377 = TRUE, AND(LEN(TRIM($W$377))&gt;0, $S$377 = FALSE))</formula>
    </cfRule>
  </conditionalFormatting>
  <conditionalFormatting sqref="W375">
    <cfRule type="expression" dxfId="544" priority="442">
      <formula>AND($R$375,$S$375)</formula>
    </cfRule>
  </conditionalFormatting>
  <conditionalFormatting sqref="W375">
    <cfRule type="expression" dxfId="543" priority="441">
      <formula>AND($W$375&lt;&gt;"Not Met",LEN(TRIM($W$375))&gt;0)</formula>
    </cfRule>
  </conditionalFormatting>
  <conditionalFormatting sqref="W375">
    <cfRule type="expression" dxfId="542" priority="440">
      <formula>OR($S$375 = FALSE, AND($P$375 = FALSE, ReportType &lt;&gt; "Final"), AND($Q$375 = FALSE, ReportType &lt;&gt; "Rough"))</formula>
    </cfRule>
  </conditionalFormatting>
  <conditionalFormatting sqref="W375">
    <cfRule type="expression" dxfId="541" priority="439">
      <formula>OR($T$375 = TRUE, AND(LEN(TRIM($W$375))&gt;0, $S$375 = FALSE))</formula>
    </cfRule>
  </conditionalFormatting>
  <conditionalFormatting sqref="W373">
    <cfRule type="expression" dxfId="540" priority="438">
      <formula>AND($R$373,$S$373)</formula>
    </cfRule>
  </conditionalFormatting>
  <conditionalFormatting sqref="W373">
    <cfRule type="expression" dxfId="539" priority="437">
      <formula>AND($W$373&lt;&gt;"Not Met",LEN(TRIM($W$373))&gt;0)</formula>
    </cfRule>
  </conditionalFormatting>
  <conditionalFormatting sqref="W373">
    <cfRule type="expression" dxfId="538" priority="436">
      <formula>OR($S$373 = FALSE, AND($P$373 = FALSE, ReportType &lt;&gt; "Final"), AND($Q$373 = FALSE, ReportType &lt;&gt; "Rough"))</formula>
    </cfRule>
  </conditionalFormatting>
  <conditionalFormatting sqref="W373">
    <cfRule type="expression" dxfId="537" priority="435">
      <formula>OR($T$373 = TRUE, AND(LEN(TRIM($W$373))&gt;0, $S$373 = FALSE))</formula>
    </cfRule>
  </conditionalFormatting>
  <conditionalFormatting sqref="W371">
    <cfRule type="expression" dxfId="536" priority="434">
      <formula>AND($R$371,$S$371)</formula>
    </cfRule>
  </conditionalFormatting>
  <conditionalFormatting sqref="W371">
    <cfRule type="expression" dxfId="535" priority="433">
      <formula>AND($W$371&lt;&gt;"Not Met",LEN(TRIM($W$371))&gt;0)</formula>
    </cfRule>
  </conditionalFormatting>
  <conditionalFormatting sqref="W371">
    <cfRule type="expression" dxfId="534" priority="432">
      <formula>OR($S$371 = FALSE, AND($P$371 = FALSE, ReportType &lt;&gt; "Final"), AND($Q$371 = FALSE, ReportType &lt;&gt; "Rough"))</formula>
    </cfRule>
  </conditionalFormatting>
  <conditionalFormatting sqref="W371">
    <cfRule type="expression" dxfId="533" priority="431">
      <formula>OR($T$371 = TRUE, AND(LEN(TRIM($W$371))&gt;0, $S$371 = FALSE))</formula>
    </cfRule>
  </conditionalFormatting>
  <conditionalFormatting sqref="W347">
    <cfRule type="expression" dxfId="532" priority="430">
      <formula>AND($R$347,$S$347)</formula>
    </cfRule>
  </conditionalFormatting>
  <conditionalFormatting sqref="W347">
    <cfRule type="expression" dxfId="531" priority="429">
      <formula>AND($W$347&lt;&gt;"Not Met",LEN(TRIM($W$347))&gt;0)</formula>
    </cfRule>
  </conditionalFormatting>
  <conditionalFormatting sqref="W347">
    <cfRule type="expression" dxfId="530" priority="428">
      <formula>OR($S$347 = FALSE, AND($P$347 = FALSE, ReportType &lt;&gt; "Final"), AND($Q$347 = FALSE, ReportType &lt;&gt; "Rough"))</formula>
    </cfRule>
  </conditionalFormatting>
  <conditionalFormatting sqref="W347">
    <cfRule type="expression" dxfId="529" priority="427">
      <formula>OR($T$347 = TRUE, AND(LEN(TRIM($W$347))&gt;0, $S$347 = FALSE))</formula>
    </cfRule>
  </conditionalFormatting>
  <conditionalFormatting sqref="W344">
    <cfRule type="expression" dxfId="528" priority="426">
      <formula>AND($R$344,$S$344)</formula>
    </cfRule>
  </conditionalFormatting>
  <conditionalFormatting sqref="W344">
    <cfRule type="expression" dxfId="527" priority="425">
      <formula>AND($W$344&lt;&gt;"Not Met",LEN(TRIM($W$344))&gt;0)</formula>
    </cfRule>
  </conditionalFormatting>
  <conditionalFormatting sqref="W344">
    <cfRule type="expression" dxfId="526" priority="424">
      <formula>OR($S$344 = FALSE, AND($P$344 = FALSE, ReportType &lt;&gt; "Final"), AND($Q$344 = FALSE, ReportType &lt;&gt; "Rough"))</formula>
    </cfRule>
  </conditionalFormatting>
  <conditionalFormatting sqref="W344">
    <cfRule type="expression" dxfId="525" priority="423">
      <formula>OR($T$344 = TRUE, AND(LEN(TRIM($W$344))&gt;0, $S$344 = FALSE))</formula>
    </cfRule>
  </conditionalFormatting>
  <conditionalFormatting sqref="W339">
    <cfRule type="expression" dxfId="524" priority="422">
      <formula>AND($R$339,$S$339)</formula>
    </cfRule>
  </conditionalFormatting>
  <conditionalFormatting sqref="W339">
    <cfRule type="expression" dxfId="523" priority="421">
      <formula>AND($W$339&lt;&gt;"Not Met",LEN(TRIM($W$339))&gt;0)</formula>
    </cfRule>
  </conditionalFormatting>
  <conditionalFormatting sqref="W339">
    <cfRule type="expression" dxfId="522" priority="420">
      <formula>OR($S$339 = FALSE, AND($P$339 = FALSE, ReportType &lt;&gt; "Final"), AND($Q$339 = FALSE, ReportType &lt;&gt; "Rough"))</formula>
    </cfRule>
  </conditionalFormatting>
  <conditionalFormatting sqref="W339">
    <cfRule type="expression" dxfId="521" priority="419">
      <formula>OR($T$339 = TRUE, AND(LEN(TRIM($W$339))&gt;0, $S$339 = FALSE))</formula>
    </cfRule>
  </conditionalFormatting>
  <conditionalFormatting sqref="W332">
    <cfRule type="expression" dxfId="520" priority="418">
      <formula>AND($R$332,$S$332)</formula>
    </cfRule>
  </conditionalFormatting>
  <conditionalFormatting sqref="W332">
    <cfRule type="expression" dxfId="519" priority="417">
      <formula>AND($W$332&lt;&gt;"Not Met",LEN(TRIM($W$332))&gt;0)</formula>
    </cfRule>
  </conditionalFormatting>
  <conditionalFormatting sqref="W332">
    <cfRule type="expression" dxfId="518" priority="416">
      <formula>OR($S$332 = FALSE, AND($P$332 = FALSE, ReportType &lt;&gt; "Final"), AND($Q$332 = FALSE, ReportType &lt;&gt; "Rough"))</formula>
    </cfRule>
  </conditionalFormatting>
  <conditionalFormatting sqref="W332">
    <cfRule type="expression" dxfId="517" priority="415">
      <formula>OR($T$332 = TRUE, AND(LEN(TRIM($W$332))&gt;0, $S$332 = FALSE))</formula>
    </cfRule>
  </conditionalFormatting>
  <conditionalFormatting sqref="W326">
    <cfRule type="expression" dxfId="516" priority="414">
      <formula>AND($R$326,$S$326)</formula>
    </cfRule>
  </conditionalFormatting>
  <conditionalFormatting sqref="W326">
    <cfRule type="expression" dxfId="515" priority="413">
      <formula>AND($W$326&lt;&gt;"Not Met",LEN(TRIM($W$326))&gt;0)</formula>
    </cfRule>
  </conditionalFormatting>
  <conditionalFormatting sqref="W326">
    <cfRule type="expression" dxfId="514" priority="412">
      <formula>OR($S$326 = FALSE, AND($P$326 = FALSE, ReportType &lt;&gt; "Final"), AND($Q$326 = FALSE, ReportType &lt;&gt; "Rough"))</formula>
    </cfRule>
  </conditionalFormatting>
  <conditionalFormatting sqref="W326">
    <cfRule type="expression" dxfId="513" priority="411">
      <formula>OR($T$326 = TRUE, AND(LEN(TRIM($W$326))&gt;0, $S$326 = FALSE))</formula>
    </cfRule>
  </conditionalFormatting>
  <conditionalFormatting sqref="W301">
    <cfRule type="expression" dxfId="512" priority="410">
      <formula>AND($R$301,$S$301)</formula>
    </cfRule>
  </conditionalFormatting>
  <conditionalFormatting sqref="W301">
    <cfRule type="expression" dxfId="511" priority="409">
      <formula>AND($W$301&lt;&gt;"Not Met",LEN(TRIM($W$301))&gt;0)</formula>
    </cfRule>
  </conditionalFormatting>
  <conditionalFormatting sqref="W301">
    <cfRule type="expression" dxfId="510" priority="408">
      <formula>OR($S$301 = FALSE, AND($P$301 = FALSE, ReportType &lt;&gt; "Final"), AND($Q$301 = FALSE, ReportType &lt;&gt; "Rough"))</formula>
    </cfRule>
  </conditionalFormatting>
  <conditionalFormatting sqref="W301">
    <cfRule type="expression" dxfId="509" priority="407">
      <formula>OR($T$301 = TRUE, AND(LEN(TRIM($W$301))&gt;0, $S$301 = FALSE))</formula>
    </cfRule>
  </conditionalFormatting>
  <conditionalFormatting sqref="W297">
    <cfRule type="expression" dxfId="508" priority="406">
      <formula>AND($R$297,$S$297)</formula>
    </cfRule>
  </conditionalFormatting>
  <conditionalFormatting sqref="W297">
    <cfRule type="expression" dxfId="507" priority="405">
      <formula>AND($W$297&lt;&gt;"Not Met",LEN(TRIM($W$297))&gt;0)</formula>
    </cfRule>
  </conditionalFormatting>
  <conditionalFormatting sqref="W297">
    <cfRule type="expression" dxfId="506" priority="404">
      <formula>OR($S$297 = FALSE, AND($P$297 = FALSE, ReportType &lt;&gt; "Final"), AND($Q$297 = FALSE, ReportType &lt;&gt; "Rough"))</formula>
    </cfRule>
  </conditionalFormatting>
  <conditionalFormatting sqref="W297">
    <cfRule type="expression" dxfId="505" priority="403">
      <formula>OR($T$297 = TRUE, AND(LEN(TRIM($W$297))&gt;0, $S$297 = FALSE))</formula>
    </cfRule>
  </conditionalFormatting>
  <conditionalFormatting sqref="W296">
    <cfRule type="expression" dxfId="504" priority="402">
      <formula>AND($R$296,$S$296)</formula>
    </cfRule>
  </conditionalFormatting>
  <conditionalFormatting sqref="W296">
    <cfRule type="expression" dxfId="503" priority="401">
      <formula>AND($W$296&lt;&gt;"Not Met",LEN(TRIM($W$296))&gt;0)</formula>
    </cfRule>
  </conditionalFormatting>
  <conditionalFormatting sqref="W296">
    <cfRule type="expression" dxfId="502" priority="400">
      <formula>OR($S$296 = FALSE, AND($P$296 = FALSE, ReportType &lt;&gt; "Final"), AND($Q$296 = FALSE, ReportType &lt;&gt; "Rough"))</formula>
    </cfRule>
  </conditionalFormatting>
  <conditionalFormatting sqref="W296">
    <cfRule type="expression" dxfId="501" priority="399">
      <formula>OR($T$296 = TRUE, AND(LEN(TRIM($W$296))&gt;0, $S$296 = FALSE))</formula>
    </cfRule>
  </conditionalFormatting>
  <conditionalFormatting sqref="W295">
    <cfRule type="expression" dxfId="500" priority="398">
      <formula>AND($R$295,$S$295)</formula>
    </cfRule>
  </conditionalFormatting>
  <conditionalFormatting sqref="W295">
    <cfRule type="expression" dxfId="499" priority="397">
      <formula>AND($W$295&lt;&gt;"Not Met",LEN(TRIM($W$295))&gt;0)</formula>
    </cfRule>
  </conditionalFormatting>
  <conditionalFormatting sqref="W295">
    <cfRule type="expression" dxfId="498" priority="396">
      <formula>OR($S$295 = FALSE, AND($P$295 = FALSE, ReportType &lt;&gt; "Final"), AND($Q$295 = FALSE, ReportType &lt;&gt; "Rough"))</formula>
    </cfRule>
  </conditionalFormatting>
  <conditionalFormatting sqref="W295">
    <cfRule type="expression" dxfId="497" priority="395">
      <formula>OR($T$295 = TRUE, AND(LEN(TRIM($W$295))&gt;0, $S$295 = FALSE))</formula>
    </cfRule>
  </conditionalFormatting>
  <conditionalFormatting sqref="W294">
    <cfRule type="expression" dxfId="496" priority="394">
      <formula>AND($R$294,$S$294)</formula>
    </cfRule>
  </conditionalFormatting>
  <conditionalFormatting sqref="W294">
    <cfRule type="expression" dxfId="495" priority="393">
      <formula>AND($W$294&lt;&gt;"Not Met",LEN(TRIM($W$294))&gt;0)</formula>
    </cfRule>
  </conditionalFormatting>
  <conditionalFormatting sqref="W294">
    <cfRule type="expression" dxfId="494" priority="392">
      <formula>OR($S$294 = FALSE, AND($P$294 = FALSE, ReportType &lt;&gt; "Final"), AND($Q$294 = FALSE, ReportType &lt;&gt; "Rough"))</formula>
    </cfRule>
  </conditionalFormatting>
  <conditionalFormatting sqref="W294">
    <cfRule type="expression" dxfId="493" priority="391">
      <formula>OR($T$294 = TRUE, AND(LEN(TRIM($W$294))&gt;0, $S$294 = FALSE))</formula>
    </cfRule>
  </conditionalFormatting>
  <conditionalFormatting sqref="W293">
    <cfRule type="expression" dxfId="492" priority="390">
      <formula>AND($R$293,$S$293)</formula>
    </cfRule>
  </conditionalFormatting>
  <conditionalFormatting sqref="W293">
    <cfRule type="expression" dxfId="491" priority="389">
      <formula>AND($W$293&lt;&gt;"Not Met",LEN(TRIM($W$293))&gt;0)</formula>
    </cfRule>
  </conditionalFormatting>
  <conditionalFormatting sqref="W293">
    <cfRule type="expression" dxfId="490" priority="388">
      <formula>OR($S$293 = FALSE, AND($P$293 = FALSE, ReportType &lt;&gt; "Final"), AND($Q$293 = FALSE, ReportType &lt;&gt; "Rough"))</formula>
    </cfRule>
  </conditionalFormatting>
  <conditionalFormatting sqref="W293">
    <cfRule type="expression" dxfId="489" priority="387">
      <formula>OR($T$293 = TRUE, AND(LEN(TRIM($W$293))&gt;0, $S$293 = FALSE))</formula>
    </cfRule>
  </conditionalFormatting>
  <conditionalFormatting sqref="W292">
    <cfRule type="expression" dxfId="488" priority="386">
      <formula>AND($R$292,$S$292)</formula>
    </cfRule>
  </conditionalFormatting>
  <conditionalFormatting sqref="W292">
    <cfRule type="expression" dxfId="487" priority="385">
      <formula>AND($W$292&lt;&gt;"Not Met",LEN(TRIM($W$292))&gt;0)</formula>
    </cfRule>
  </conditionalFormatting>
  <conditionalFormatting sqref="W292">
    <cfRule type="expression" dxfId="486" priority="384">
      <formula>OR($S$292 = FALSE, AND($P$292 = FALSE, ReportType &lt;&gt; "Final"), AND($Q$292 = FALSE, ReportType &lt;&gt; "Rough"))</formula>
    </cfRule>
  </conditionalFormatting>
  <conditionalFormatting sqref="W292">
    <cfRule type="expression" dxfId="485" priority="383">
      <formula>OR($T$292 = TRUE, AND(LEN(TRIM($W$292))&gt;0, $S$292 = FALSE))</formula>
    </cfRule>
  </conditionalFormatting>
  <conditionalFormatting sqref="W291">
    <cfRule type="expression" dxfId="484" priority="382">
      <formula>AND($R$291,$S$291)</formula>
    </cfRule>
  </conditionalFormatting>
  <conditionalFormatting sqref="W291">
    <cfRule type="expression" dxfId="483" priority="381">
      <formula>AND($W$291&lt;&gt;"Not Met",LEN(TRIM($W$291))&gt;0)</formula>
    </cfRule>
  </conditionalFormatting>
  <conditionalFormatting sqref="W291">
    <cfRule type="expression" dxfId="482" priority="380">
      <formula>OR($S$291 = FALSE, AND($P$291 = FALSE, ReportType &lt;&gt; "Final"), AND($Q$291 = FALSE, ReportType &lt;&gt; "Rough"))</formula>
    </cfRule>
  </conditionalFormatting>
  <conditionalFormatting sqref="W291">
    <cfRule type="expression" dxfId="481" priority="379">
      <formula>OR($T$291 = TRUE, AND(LEN(TRIM($W$291))&gt;0, $S$291 = FALSE))</formula>
    </cfRule>
  </conditionalFormatting>
  <conditionalFormatting sqref="W290">
    <cfRule type="expression" dxfId="480" priority="378">
      <formula>AND($R$290,$S$290)</formula>
    </cfRule>
  </conditionalFormatting>
  <conditionalFormatting sqref="W290">
    <cfRule type="expression" dxfId="479" priority="377">
      <formula>AND($W$290&lt;&gt;"Not Met",LEN(TRIM($W$290))&gt;0)</formula>
    </cfRule>
  </conditionalFormatting>
  <conditionalFormatting sqref="W290">
    <cfRule type="expression" dxfId="478" priority="376">
      <formula>OR($S$290 = FALSE, AND($P$290 = FALSE, ReportType &lt;&gt; "Final"), AND($Q$290 = FALSE, ReportType &lt;&gt; "Rough"))</formula>
    </cfRule>
  </conditionalFormatting>
  <conditionalFormatting sqref="W290">
    <cfRule type="expression" dxfId="477" priority="375">
      <formula>OR($T$290 = TRUE, AND(LEN(TRIM($W$290))&gt;0, $S$290 = FALSE))</formula>
    </cfRule>
  </conditionalFormatting>
  <conditionalFormatting sqref="W289">
    <cfRule type="expression" dxfId="476" priority="374">
      <formula>AND($R$289,$S$289)</formula>
    </cfRule>
  </conditionalFormatting>
  <conditionalFormatting sqref="W289">
    <cfRule type="expression" dxfId="475" priority="373">
      <formula>AND($W$289&lt;&gt;"Not Met",LEN(TRIM($W$289))&gt;0)</formula>
    </cfRule>
  </conditionalFormatting>
  <conditionalFormatting sqref="W289">
    <cfRule type="expression" dxfId="474" priority="372">
      <formula>OR($S$289 = FALSE, AND($P$289 = FALSE, ReportType &lt;&gt; "Final"), AND($Q$289 = FALSE, ReportType &lt;&gt; "Rough"))</formula>
    </cfRule>
  </conditionalFormatting>
  <conditionalFormatting sqref="W289">
    <cfRule type="expression" dxfId="473" priority="371">
      <formula>OR($T$289 = TRUE, AND(LEN(TRIM($W$289))&gt;0, $S$289 = FALSE))</formula>
    </cfRule>
  </conditionalFormatting>
  <conditionalFormatting sqref="W288">
    <cfRule type="expression" dxfId="472" priority="370">
      <formula>AND($R$288,$S$288)</formula>
    </cfRule>
  </conditionalFormatting>
  <conditionalFormatting sqref="W288">
    <cfRule type="expression" dxfId="471" priority="369">
      <formula>AND($W$288&lt;&gt;"Not Met",LEN(TRIM($W$288))&gt;0)</formula>
    </cfRule>
  </conditionalFormatting>
  <conditionalFormatting sqref="W288">
    <cfRule type="expression" dxfId="470" priority="368">
      <formula>OR($S$288 = FALSE, AND($P$288 = FALSE, ReportType &lt;&gt; "Final"), AND($Q$288 = FALSE, ReportType &lt;&gt; "Rough"))</formula>
    </cfRule>
  </conditionalFormatting>
  <conditionalFormatting sqref="W288">
    <cfRule type="expression" dxfId="469" priority="367">
      <formula>OR($T$288 = TRUE, AND(LEN(TRIM($W$288))&gt;0, $S$288 = FALSE))</formula>
    </cfRule>
  </conditionalFormatting>
  <conditionalFormatting sqref="W287">
    <cfRule type="expression" dxfId="468" priority="366">
      <formula>AND($R$287,$S$287)</formula>
    </cfRule>
  </conditionalFormatting>
  <conditionalFormatting sqref="W287">
    <cfRule type="expression" dxfId="467" priority="365">
      <formula>AND($W$287&lt;&gt;"Not Met",LEN(TRIM($W$287))&gt;0)</formula>
    </cfRule>
  </conditionalFormatting>
  <conditionalFormatting sqref="W287">
    <cfRule type="expression" dxfId="466" priority="364">
      <formula>OR($S$287 = FALSE, AND($P$287 = FALSE, ReportType &lt;&gt; "Final"), AND($Q$287 = FALSE, ReportType &lt;&gt; "Rough"))</formula>
    </cfRule>
  </conditionalFormatting>
  <conditionalFormatting sqref="W287">
    <cfRule type="expression" dxfId="465" priority="363">
      <formula>OR($T$287 = TRUE, AND(LEN(TRIM($W$287))&gt;0, $S$287 = FALSE))</formula>
    </cfRule>
  </conditionalFormatting>
  <conditionalFormatting sqref="W286">
    <cfRule type="expression" dxfId="464" priority="362">
      <formula>AND($R$286,$S$286)</formula>
    </cfRule>
  </conditionalFormatting>
  <conditionalFormatting sqref="W286">
    <cfRule type="expression" dxfId="463" priority="361">
      <formula>AND($W$286&lt;&gt;"Not Met",LEN(TRIM($W$286))&gt;0)</formula>
    </cfRule>
  </conditionalFormatting>
  <conditionalFormatting sqref="W286">
    <cfRule type="expression" dxfId="462" priority="360">
      <formula>OR($S$286 = FALSE, AND($P$286 = FALSE, ReportType &lt;&gt; "Final"), AND($Q$286 = FALSE, ReportType &lt;&gt; "Rough"))</formula>
    </cfRule>
  </conditionalFormatting>
  <conditionalFormatting sqref="W286">
    <cfRule type="expression" dxfId="461" priority="359">
      <formula>OR($T$286 = TRUE, AND(LEN(TRIM($W$286))&gt;0, $S$286 = FALSE))</formula>
    </cfRule>
  </conditionalFormatting>
  <conditionalFormatting sqref="W76">
    <cfRule type="expression" dxfId="460" priority="358">
      <formula>AND($R$76,$S$76)</formula>
    </cfRule>
  </conditionalFormatting>
  <conditionalFormatting sqref="W76">
    <cfRule type="expression" dxfId="459" priority="357">
      <formula>AND($W$76&lt;&gt;"Not Met",LEN(TRIM($W$76))&gt;0)</formula>
    </cfRule>
  </conditionalFormatting>
  <conditionalFormatting sqref="W76">
    <cfRule type="expression" dxfId="458" priority="356">
      <formula>OR($S$76 = FALSE, AND($P$76 = FALSE, ReportType &lt;&gt; "Final"), AND($Q$76 = FALSE, ReportType &lt;&gt; "Rough"))</formula>
    </cfRule>
  </conditionalFormatting>
  <conditionalFormatting sqref="W76">
    <cfRule type="expression" dxfId="457" priority="355">
      <formula>OR($T$76 = TRUE, AND(LEN(TRIM($W$76))&gt;0, $S$76 = FALSE))</formula>
    </cfRule>
  </conditionalFormatting>
  <conditionalFormatting sqref="W73">
    <cfRule type="expression" dxfId="456" priority="354">
      <formula>AND($R$73,$S$73)</formula>
    </cfRule>
  </conditionalFormatting>
  <conditionalFormatting sqref="W73">
    <cfRule type="expression" dxfId="455" priority="353">
      <formula>AND($W$73&lt;&gt;"Not Met",LEN(TRIM($W$73))&gt;0)</formula>
    </cfRule>
  </conditionalFormatting>
  <conditionalFormatting sqref="W73">
    <cfRule type="expression" dxfId="454" priority="352">
      <formula>OR($S$73 = FALSE, AND($P$73 = FALSE, ReportType &lt;&gt; "Final"), AND($Q$73 = FALSE, ReportType &lt;&gt; "Rough"))</formula>
    </cfRule>
  </conditionalFormatting>
  <conditionalFormatting sqref="W73">
    <cfRule type="expression" dxfId="453" priority="351">
      <formula>OR($T$73 = TRUE, AND(LEN(TRIM($W$73))&gt;0, $S$73 = FALSE))</formula>
    </cfRule>
  </conditionalFormatting>
  <conditionalFormatting sqref="W72">
    <cfRule type="expression" dxfId="452" priority="350">
      <formula>AND($R$72,$S$72)</formula>
    </cfRule>
  </conditionalFormatting>
  <conditionalFormatting sqref="W72">
    <cfRule type="expression" dxfId="451" priority="349">
      <formula>AND($W$72&lt;&gt;"Not Met",LEN(TRIM($W$72))&gt;0)</formula>
    </cfRule>
  </conditionalFormatting>
  <conditionalFormatting sqref="W72">
    <cfRule type="expression" dxfId="450" priority="348">
      <formula>OR($S$72 = FALSE, AND($P$72 = FALSE, ReportType &lt;&gt; "Final"), AND($Q$72 = FALSE, ReportType &lt;&gt; "Rough"))</formula>
    </cfRule>
  </conditionalFormatting>
  <conditionalFormatting sqref="W72">
    <cfRule type="expression" dxfId="449" priority="347">
      <formula>OR($T$72 = TRUE, AND(LEN(TRIM($W$72))&gt;0, $S$72 = FALSE))</formula>
    </cfRule>
  </conditionalFormatting>
  <conditionalFormatting sqref="W70">
    <cfRule type="expression" dxfId="448" priority="346">
      <formula>AND($R$70,$S$70)</formula>
    </cfRule>
  </conditionalFormatting>
  <conditionalFormatting sqref="W70">
    <cfRule type="expression" dxfId="447" priority="345">
      <formula>AND($W$70&lt;&gt;"Not Met",LEN(TRIM($W$70))&gt;0)</formula>
    </cfRule>
  </conditionalFormatting>
  <conditionalFormatting sqref="W70">
    <cfRule type="expression" dxfId="446" priority="344">
      <formula>OR($S$70 = FALSE, AND($P$70 = FALSE, ReportType &lt;&gt; "Final"), AND($Q$70 = FALSE, ReportType &lt;&gt; "Rough"))</formula>
    </cfRule>
  </conditionalFormatting>
  <conditionalFormatting sqref="W70">
    <cfRule type="expression" dxfId="445" priority="343">
      <formula>OR($T$70 = TRUE, AND(LEN(TRIM($W$70))&gt;0, $S$70 = FALSE))</formula>
    </cfRule>
  </conditionalFormatting>
  <conditionalFormatting sqref="W69">
    <cfRule type="expression" dxfId="444" priority="342">
      <formula>AND($R$69,$S$69)</formula>
    </cfRule>
  </conditionalFormatting>
  <conditionalFormatting sqref="W69">
    <cfRule type="expression" dxfId="443" priority="341">
      <formula>AND($W$69&lt;&gt;"Not Met",LEN(TRIM($W$69))&gt;0)</formula>
    </cfRule>
  </conditionalFormatting>
  <conditionalFormatting sqref="W69">
    <cfRule type="expression" dxfId="442" priority="340">
      <formula>OR($S$69 = FALSE, AND($P$69 = FALSE, ReportType &lt;&gt; "Final"), AND($Q$69 = FALSE, ReportType &lt;&gt; "Rough"))</formula>
    </cfRule>
  </conditionalFormatting>
  <conditionalFormatting sqref="W69">
    <cfRule type="expression" dxfId="441" priority="339">
      <formula>OR($T$69 = TRUE, AND(LEN(TRIM($W$69))&gt;0, $S$69 = FALSE))</formula>
    </cfRule>
  </conditionalFormatting>
  <conditionalFormatting sqref="W68">
    <cfRule type="expression" dxfId="440" priority="338">
      <formula>AND($R$68,$S$68)</formula>
    </cfRule>
  </conditionalFormatting>
  <conditionalFormatting sqref="W68">
    <cfRule type="expression" dxfId="439" priority="337">
      <formula>AND($W$68&lt;&gt;"Not Met",LEN(TRIM($W$68))&gt;0)</formula>
    </cfRule>
  </conditionalFormatting>
  <conditionalFormatting sqref="W68">
    <cfRule type="expression" dxfId="438" priority="336">
      <formula>OR($S$68 = FALSE, AND($P$68 = FALSE, ReportType &lt;&gt; "Final"), AND($Q$68 = FALSE, ReportType &lt;&gt; "Rough"))</formula>
    </cfRule>
  </conditionalFormatting>
  <conditionalFormatting sqref="W68">
    <cfRule type="expression" dxfId="437" priority="335">
      <formula>OR($T$68 = TRUE, AND(LEN(TRIM($W$68))&gt;0, $S$68 = FALSE))</formula>
    </cfRule>
  </conditionalFormatting>
  <conditionalFormatting sqref="W67">
    <cfRule type="expression" dxfId="436" priority="334">
      <formula>AND($R$67,$S$67)</formula>
    </cfRule>
  </conditionalFormatting>
  <conditionalFormatting sqref="W67">
    <cfRule type="expression" dxfId="435" priority="333">
      <formula>AND($W$67&lt;&gt;"Not Met",LEN(TRIM($W$67))&gt;0)</formula>
    </cfRule>
  </conditionalFormatting>
  <conditionalFormatting sqref="W67">
    <cfRule type="expression" dxfId="434" priority="332">
      <formula>OR($S$67 = FALSE, AND($P$67 = FALSE, ReportType &lt;&gt; "Final"), AND($Q$67 = FALSE, ReportType &lt;&gt; "Rough"))</formula>
    </cfRule>
  </conditionalFormatting>
  <conditionalFormatting sqref="W67">
    <cfRule type="expression" dxfId="433" priority="331">
      <formula>OR($T$67 = TRUE, AND(LEN(TRIM($W$67))&gt;0, $S$67 = FALSE))</formula>
    </cfRule>
  </conditionalFormatting>
  <conditionalFormatting sqref="W66">
    <cfRule type="expression" dxfId="432" priority="330">
      <formula>AND($R$66,$S$66)</formula>
    </cfRule>
  </conditionalFormatting>
  <conditionalFormatting sqref="W66">
    <cfRule type="expression" dxfId="431" priority="329">
      <formula>AND($W$66&lt;&gt;"Not Met",LEN(TRIM($W$66))&gt;0)</formula>
    </cfRule>
  </conditionalFormatting>
  <conditionalFormatting sqref="W66">
    <cfRule type="expression" dxfId="430" priority="328">
      <formula>OR($S$66 = FALSE, AND($P$66 = FALSE, ReportType &lt;&gt; "Final"), AND($Q$66 = FALSE, ReportType &lt;&gt; "Rough"))</formula>
    </cfRule>
  </conditionalFormatting>
  <conditionalFormatting sqref="W66">
    <cfRule type="expression" dxfId="429" priority="327">
      <formula>OR($T$66 = TRUE, AND(LEN(TRIM($W$66))&gt;0, $S$66 = FALSE))</formula>
    </cfRule>
  </conditionalFormatting>
  <conditionalFormatting sqref="W65">
    <cfRule type="expression" dxfId="428" priority="326">
      <formula>AND($R$65,$S$65)</formula>
    </cfRule>
  </conditionalFormatting>
  <conditionalFormatting sqref="W65">
    <cfRule type="expression" dxfId="427" priority="325">
      <formula>AND($W$65&lt;&gt;"Not Met",LEN(TRIM($W$65))&gt;0)</formula>
    </cfRule>
  </conditionalFormatting>
  <conditionalFormatting sqref="W65">
    <cfRule type="expression" dxfId="426" priority="324">
      <formula>OR($S$65 = FALSE, AND($P$65 = FALSE, ReportType &lt;&gt; "Final"), AND($Q$65 = FALSE, ReportType &lt;&gt; "Rough"))</formula>
    </cfRule>
  </conditionalFormatting>
  <conditionalFormatting sqref="W65">
    <cfRule type="expression" dxfId="425" priority="323">
      <formula>OR($T$65 = TRUE, AND(LEN(TRIM($W$65))&gt;0, $S$65 = FALSE))</formula>
    </cfRule>
  </conditionalFormatting>
  <conditionalFormatting sqref="W64">
    <cfRule type="expression" dxfId="424" priority="322">
      <formula>AND($R$64,$S$64)</formula>
    </cfRule>
  </conditionalFormatting>
  <conditionalFormatting sqref="W64">
    <cfRule type="expression" dxfId="423" priority="321">
      <formula>AND($W$64&lt;&gt;"Not Met",LEN(TRIM($W$64))&gt;0)</formula>
    </cfRule>
  </conditionalFormatting>
  <conditionalFormatting sqref="W64">
    <cfRule type="expression" dxfId="422" priority="320">
      <formula>OR($S$64 = FALSE, AND($P$64 = FALSE, ReportType &lt;&gt; "Final"), AND($Q$64 = FALSE, ReportType &lt;&gt; "Rough"))</formula>
    </cfRule>
  </conditionalFormatting>
  <conditionalFormatting sqref="W64">
    <cfRule type="expression" dxfId="421" priority="319">
      <formula>OR($T$64 = TRUE, AND(LEN(TRIM($W$64))&gt;0, $S$64 = FALSE))</formula>
    </cfRule>
  </conditionalFormatting>
  <conditionalFormatting sqref="W62">
    <cfRule type="expression" dxfId="420" priority="318">
      <formula>AND($R$62,$S$62)</formula>
    </cfRule>
  </conditionalFormatting>
  <conditionalFormatting sqref="W62">
    <cfRule type="expression" dxfId="419" priority="317">
      <formula>AND($W$62&lt;&gt;"Not Met",LEN(TRIM($W$62))&gt;0)</formula>
    </cfRule>
  </conditionalFormatting>
  <conditionalFormatting sqref="W62">
    <cfRule type="expression" dxfId="418" priority="316">
      <formula>OR($S$62 = FALSE, AND($P$62 = FALSE, ReportType &lt;&gt; "Final"), AND($Q$62 = FALSE, ReportType &lt;&gt; "Rough"))</formula>
    </cfRule>
  </conditionalFormatting>
  <conditionalFormatting sqref="W62">
    <cfRule type="expression" dxfId="417" priority="315">
      <formula>OR($T$62 = TRUE, AND(LEN(TRIM($W$62))&gt;0, $S$62 = FALSE))</formula>
    </cfRule>
  </conditionalFormatting>
  <conditionalFormatting sqref="W61">
    <cfRule type="expression" dxfId="416" priority="314">
      <formula>AND($R$61,$S$61)</formula>
    </cfRule>
  </conditionalFormatting>
  <conditionalFormatting sqref="W61">
    <cfRule type="expression" dxfId="415" priority="313">
      <formula>AND($W$61&lt;&gt;"Not Met",LEN(TRIM($W$61))&gt;0)</formula>
    </cfRule>
  </conditionalFormatting>
  <conditionalFormatting sqref="W61">
    <cfRule type="expression" dxfId="414" priority="312">
      <formula>OR($S$61 = FALSE, AND($P$61 = FALSE, ReportType &lt;&gt; "Final"), AND($Q$61 = FALSE, ReportType &lt;&gt; "Rough"))</formula>
    </cfRule>
  </conditionalFormatting>
  <conditionalFormatting sqref="W61">
    <cfRule type="expression" dxfId="413" priority="311">
      <formula>OR($T$61 = TRUE, AND(LEN(TRIM($W$61))&gt;0, $S$61 = FALSE))</formula>
    </cfRule>
  </conditionalFormatting>
  <conditionalFormatting sqref="W60">
    <cfRule type="expression" dxfId="412" priority="310">
      <formula>AND($R$60,$S$60)</formula>
    </cfRule>
  </conditionalFormatting>
  <conditionalFormatting sqref="W60">
    <cfRule type="expression" dxfId="411" priority="309">
      <formula>AND($W$60&lt;&gt;"Not Met",LEN(TRIM($W$60))&gt;0)</formula>
    </cfRule>
  </conditionalFormatting>
  <conditionalFormatting sqref="W60">
    <cfRule type="expression" dxfId="410" priority="308">
      <formula>OR($S$60 = FALSE, AND($P$60 = FALSE, ReportType &lt;&gt; "Final"), AND($Q$60 = FALSE, ReportType &lt;&gt; "Rough"))</formula>
    </cfRule>
  </conditionalFormatting>
  <conditionalFormatting sqref="W60">
    <cfRule type="expression" dxfId="409" priority="307">
      <formula>OR($T$60 = TRUE, AND(LEN(TRIM($W$60))&gt;0, $S$60 = FALSE))</formula>
    </cfRule>
  </conditionalFormatting>
  <conditionalFormatting sqref="W59">
    <cfRule type="expression" dxfId="408" priority="306">
      <formula>AND($R$59,$S$59)</formula>
    </cfRule>
  </conditionalFormatting>
  <conditionalFormatting sqref="W59">
    <cfRule type="expression" dxfId="407" priority="305">
      <formula>AND($W$59&lt;&gt;"Not Met",LEN(TRIM($W$59))&gt;0)</formula>
    </cfRule>
  </conditionalFormatting>
  <conditionalFormatting sqref="W59">
    <cfRule type="expression" dxfId="406" priority="304">
      <formula>OR($S$59 = FALSE, AND($P$59 = FALSE, ReportType &lt;&gt; "Final"), AND($Q$59 = FALSE, ReportType &lt;&gt; "Rough"))</formula>
    </cfRule>
  </conditionalFormatting>
  <conditionalFormatting sqref="W59">
    <cfRule type="expression" dxfId="405" priority="303">
      <formula>OR($T$59 = TRUE, AND(LEN(TRIM($W$59))&gt;0, $S$59 = FALSE))</formula>
    </cfRule>
  </conditionalFormatting>
  <conditionalFormatting sqref="W50">
    <cfRule type="expression" dxfId="404" priority="302">
      <formula>AND($R$50,$S$50)</formula>
    </cfRule>
  </conditionalFormatting>
  <conditionalFormatting sqref="W50">
    <cfRule type="expression" dxfId="403" priority="301">
      <formula>AND($W$50&lt;&gt;"Not Met",LEN(TRIM($W$50))&gt;0)</formula>
    </cfRule>
  </conditionalFormatting>
  <conditionalFormatting sqref="W50">
    <cfRule type="expression" dxfId="402" priority="300">
      <formula>OR($S$50 = FALSE, AND($P$50 = FALSE, ReportType &lt;&gt; "Final"), AND($Q$50 = FALSE, ReportType &lt;&gt; "Rough"))</formula>
    </cfRule>
  </conditionalFormatting>
  <conditionalFormatting sqref="W50">
    <cfRule type="expression" dxfId="401" priority="299">
      <formula>OR($T$50 = TRUE, AND(LEN(TRIM($W$50))&gt;0, $S$50 = FALSE))</formula>
    </cfRule>
  </conditionalFormatting>
  <conditionalFormatting sqref="W48">
    <cfRule type="expression" dxfId="400" priority="298">
      <formula>AND($R$48,$S$48)</formula>
    </cfRule>
  </conditionalFormatting>
  <conditionalFormatting sqref="W48">
    <cfRule type="expression" dxfId="399" priority="297">
      <formula>AND($W$48&lt;&gt;"Not Met",LEN(TRIM($W$48))&gt;0)</formula>
    </cfRule>
  </conditionalFormatting>
  <conditionalFormatting sqref="W48">
    <cfRule type="expression" dxfId="398" priority="296">
      <formula>OR($S$48 = FALSE, AND($P$48 = FALSE, ReportType &lt;&gt; "Final"), AND($Q$48 = FALSE, ReportType &lt;&gt; "Rough"))</formula>
    </cfRule>
  </conditionalFormatting>
  <conditionalFormatting sqref="W48">
    <cfRule type="expression" dxfId="397" priority="295">
      <formula>OR($T$48 = TRUE, AND(LEN(TRIM($W$48))&gt;0, $S$48 = FALSE))</formula>
    </cfRule>
  </conditionalFormatting>
  <conditionalFormatting sqref="W46">
    <cfRule type="expression" dxfId="396" priority="294">
      <formula>AND($R$46,$S$46)</formula>
    </cfRule>
  </conditionalFormatting>
  <conditionalFormatting sqref="W46">
    <cfRule type="expression" dxfId="395" priority="293">
      <formula>AND($W$46&lt;&gt;"Not Met",LEN(TRIM($W$46))&gt;0)</formula>
    </cfRule>
  </conditionalFormatting>
  <conditionalFormatting sqref="W46">
    <cfRule type="expression" dxfId="394" priority="292">
      <formula>OR($S$46 = FALSE, AND($P$46 = FALSE, ReportType &lt;&gt; "Final"), AND($Q$46 = FALSE, ReportType &lt;&gt; "Rough"))</formula>
    </cfRule>
  </conditionalFormatting>
  <conditionalFormatting sqref="W46">
    <cfRule type="expression" dxfId="393" priority="291">
      <formula>OR($T$46 = TRUE, AND(LEN(TRIM($W$46))&gt;0, $S$46 = FALSE))</formula>
    </cfRule>
  </conditionalFormatting>
  <conditionalFormatting sqref="W43">
    <cfRule type="expression" dxfId="392" priority="290">
      <formula>AND($R$43,$S$43)</formula>
    </cfRule>
  </conditionalFormatting>
  <conditionalFormatting sqref="W43">
    <cfRule type="expression" dxfId="391" priority="289">
      <formula>AND($W$43&lt;&gt;"Not Met",LEN(TRIM($W$43))&gt;0)</formula>
    </cfRule>
  </conditionalFormatting>
  <conditionalFormatting sqref="W43">
    <cfRule type="expression" dxfId="390" priority="288">
      <formula>OR($S$43 = FALSE, AND($P$43 = FALSE, ReportType &lt;&gt; "Final"), AND($Q$43 = FALSE, ReportType &lt;&gt; "Rough"))</formula>
    </cfRule>
  </conditionalFormatting>
  <conditionalFormatting sqref="W43">
    <cfRule type="expression" dxfId="389" priority="287">
      <formula>OR($T$43 = TRUE, AND(LEN(TRIM($W$43))&gt;0, $S$43 = FALSE))</formula>
    </cfRule>
  </conditionalFormatting>
  <conditionalFormatting sqref="W414">
    <cfRule type="expression" dxfId="388" priority="286">
      <formula>AND($R$414,$S$414)</formula>
    </cfRule>
  </conditionalFormatting>
  <conditionalFormatting sqref="W414">
    <cfRule type="expression" dxfId="387" priority="285">
      <formula>AND($W$414&lt;&gt;"Not Met",LEN(TRIM($W$414))&gt;0)</formula>
    </cfRule>
  </conditionalFormatting>
  <conditionalFormatting sqref="W414">
    <cfRule type="expression" dxfId="386" priority="284">
      <formula>OR($S$414 = FALSE, AND($P$414 = FALSE, ReportType &lt;&gt; "Final"), AND($Q$414 = FALSE, ReportType &lt;&gt; "Rough"))</formula>
    </cfRule>
  </conditionalFormatting>
  <conditionalFormatting sqref="W414">
    <cfRule type="expression" dxfId="385" priority="283">
      <formula>OR($T$414 = TRUE, AND(LEN(TRIM($W$414))&gt;0, $S$414 = FALSE))</formula>
    </cfRule>
  </conditionalFormatting>
  <conditionalFormatting sqref="W100">
    <cfRule type="expression" dxfId="384" priority="282">
      <formula>AND($R$100,$S$100)</formula>
    </cfRule>
  </conditionalFormatting>
  <conditionalFormatting sqref="W100">
    <cfRule type="expression" dxfId="383" priority="281">
      <formula>AND($W$100&lt;&gt;"Not Met",LEN(TRIM($W$100))&gt;0)</formula>
    </cfRule>
  </conditionalFormatting>
  <conditionalFormatting sqref="W100">
    <cfRule type="expression" dxfId="382" priority="280">
      <formula>OR($S$100 = FALSE, AND($P$100 = FALSE, ReportType &lt;&gt; "Final"), AND($Q$100 = FALSE, ReportType &lt;&gt; "Rough"))</formula>
    </cfRule>
  </conditionalFormatting>
  <conditionalFormatting sqref="W100">
    <cfRule type="expression" dxfId="381" priority="279">
      <formula>OR($T$100 = TRUE, AND(LEN(TRIM($W$100))&gt;0, $S$100 = FALSE))</formula>
    </cfRule>
  </conditionalFormatting>
  <conditionalFormatting sqref="W101">
    <cfRule type="expression" dxfId="380" priority="278">
      <formula>AND($R$101,$S$101)</formula>
    </cfRule>
  </conditionalFormatting>
  <conditionalFormatting sqref="W101">
    <cfRule type="expression" dxfId="379" priority="277">
      <formula>AND($W$101&lt;&gt;"Not Met",LEN(TRIM($W$101))&gt;0)</formula>
    </cfRule>
  </conditionalFormatting>
  <conditionalFormatting sqref="W101">
    <cfRule type="expression" dxfId="378" priority="276">
      <formula>OR($S$101 = FALSE, AND($P$101 = FALSE, ReportType &lt;&gt; "Final"), AND($Q$101 = FALSE, ReportType &lt;&gt; "Rough"))</formula>
    </cfRule>
  </conditionalFormatting>
  <conditionalFormatting sqref="W101">
    <cfRule type="expression" dxfId="377" priority="275">
      <formula>OR($T$101 = TRUE, AND(LEN(TRIM($W$101))&gt;0, $S$101 = FALSE))</formula>
    </cfRule>
  </conditionalFormatting>
  <conditionalFormatting sqref="W102">
    <cfRule type="expression" dxfId="376" priority="274">
      <formula>AND($R$102,$S$102)</formula>
    </cfRule>
  </conditionalFormatting>
  <conditionalFormatting sqref="W102">
    <cfRule type="expression" dxfId="375" priority="273">
      <formula>AND($W$102&lt;&gt;"Not Met",LEN(TRIM($W$102))&gt;0)</formula>
    </cfRule>
  </conditionalFormatting>
  <conditionalFormatting sqref="W102">
    <cfRule type="expression" dxfId="374" priority="272">
      <formula>OR($S$102 = FALSE, AND($P$102 = FALSE, ReportType &lt;&gt; "Final"), AND($Q$102 = FALSE, ReportType &lt;&gt; "Rough"))</formula>
    </cfRule>
  </conditionalFormatting>
  <conditionalFormatting sqref="W102">
    <cfRule type="expression" dxfId="373" priority="271">
      <formula>OR($T$102 = TRUE, AND(LEN(TRIM($W$102))&gt;0, $S$102 = FALSE))</formula>
    </cfRule>
  </conditionalFormatting>
  <conditionalFormatting sqref="W103">
    <cfRule type="expression" dxfId="372" priority="270">
      <formula>AND($R$103,$S$103)</formula>
    </cfRule>
  </conditionalFormatting>
  <conditionalFormatting sqref="W103">
    <cfRule type="expression" dxfId="371" priority="269">
      <formula>AND($W$103&lt;&gt;"Not Met",LEN(TRIM($W$103))&gt;0)</formula>
    </cfRule>
  </conditionalFormatting>
  <conditionalFormatting sqref="W103">
    <cfRule type="expression" dxfId="370" priority="268">
      <formula>OR($S$103 = FALSE, AND($P$103 = FALSE, ReportType &lt;&gt; "Final"), AND($Q$103 = FALSE, ReportType &lt;&gt; "Rough"))</formula>
    </cfRule>
  </conditionalFormatting>
  <conditionalFormatting sqref="W103">
    <cfRule type="expression" dxfId="369" priority="267">
      <formula>OR($T$103 = TRUE, AND(LEN(TRIM($W$103))&gt;0, $S$103 = FALSE))</formula>
    </cfRule>
  </conditionalFormatting>
  <conditionalFormatting sqref="W104">
    <cfRule type="expression" dxfId="368" priority="266">
      <formula>AND($R$104,$S$104)</formula>
    </cfRule>
  </conditionalFormatting>
  <conditionalFormatting sqref="W104">
    <cfRule type="expression" dxfId="367" priority="265">
      <formula>AND($W$104&lt;&gt;"Not Met",LEN(TRIM($W$104))&gt;0)</formula>
    </cfRule>
  </conditionalFormatting>
  <conditionalFormatting sqref="W104">
    <cfRule type="expression" dxfId="366" priority="264">
      <formula>OR($S$104 = FALSE, AND($P$104 = FALSE, ReportType &lt;&gt; "Final"), AND($Q$104 = FALSE, ReportType &lt;&gt; "Rough"))</formula>
    </cfRule>
  </conditionalFormatting>
  <conditionalFormatting sqref="W104">
    <cfRule type="expression" dxfId="365" priority="263">
      <formula>OR($T$104 = TRUE, AND(LEN(TRIM($W$104))&gt;0, $S$104 = FALSE))</formula>
    </cfRule>
  </conditionalFormatting>
  <conditionalFormatting sqref="W105">
    <cfRule type="expression" dxfId="364" priority="262">
      <formula>AND($R$105,$S$105)</formula>
    </cfRule>
  </conditionalFormatting>
  <conditionalFormatting sqref="W105">
    <cfRule type="expression" dxfId="363" priority="261">
      <formula>AND($W$105&lt;&gt;"Not Met",LEN(TRIM($W$105))&gt;0)</formula>
    </cfRule>
  </conditionalFormatting>
  <conditionalFormatting sqref="W105">
    <cfRule type="expression" dxfId="362" priority="260">
      <formula>OR($S$105 = FALSE, AND($P$105 = FALSE, ReportType &lt;&gt; "Final"), AND($Q$105 = FALSE, ReportType &lt;&gt; "Rough"))</formula>
    </cfRule>
  </conditionalFormatting>
  <conditionalFormatting sqref="W105">
    <cfRule type="expression" dxfId="361" priority="259">
      <formula>OR($T$105 = TRUE, AND(LEN(TRIM($W$105))&gt;0, $S$105 = FALSE))</formula>
    </cfRule>
  </conditionalFormatting>
  <conditionalFormatting sqref="W106">
    <cfRule type="expression" dxfId="360" priority="258">
      <formula>AND($R$106,$S$106)</formula>
    </cfRule>
  </conditionalFormatting>
  <conditionalFormatting sqref="W106">
    <cfRule type="expression" dxfId="359" priority="257">
      <formula>AND($W$106&lt;&gt;"Not Met",LEN(TRIM($W$106))&gt;0)</formula>
    </cfRule>
  </conditionalFormatting>
  <conditionalFormatting sqref="W106">
    <cfRule type="expression" dxfId="358" priority="256">
      <formula>OR($S$106 = FALSE, AND($P$106 = FALSE, ReportType &lt;&gt; "Final"), AND($Q$106 = FALSE, ReportType &lt;&gt; "Rough"))</formula>
    </cfRule>
  </conditionalFormatting>
  <conditionalFormatting sqref="W106">
    <cfRule type="expression" dxfId="357" priority="255">
      <formula>OR($T$106 = TRUE, AND(LEN(TRIM($W$106))&gt;0, $S$106 = FALSE))</formula>
    </cfRule>
  </conditionalFormatting>
  <conditionalFormatting sqref="W107">
    <cfRule type="expression" dxfId="356" priority="254">
      <formula>AND($R$107,$S$107)</formula>
    </cfRule>
  </conditionalFormatting>
  <conditionalFormatting sqref="W107">
    <cfRule type="expression" dxfId="355" priority="253">
      <formula>AND($W$107&lt;&gt;"Not Met",LEN(TRIM($W$107))&gt;0)</formula>
    </cfRule>
  </conditionalFormatting>
  <conditionalFormatting sqref="W107">
    <cfRule type="expression" dxfId="354" priority="252">
      <formula>OR($S$107 = FALSE, AND($P$107 = FALSE, ReportType &lt;&gt; "Final"), AND($Q$107 = FALSE, ReportType &lt;&gt; "Rough"))</formula>
    </cfRule>
  </conditionalFormatting>
  <conditionalFormatting sqref="W107">
    <cfRule type="expression" dxfId="353" priority="251">
      <formula>OR($T$107 = TRUE, AND(LEN(TRIM($W$107))&gt;0, $S$107 = FALSE))</formula>
    </cfRule>
  </conditionalFormatting>
  <conditionalFormatting sqref="X100:X115">
    <cfRule type="expression" dxfId="352" priority="250">
      <formula>NOT(ISBLANK(W107))</formula>
    </cfRule>
  </conditionalFormatting>
  <conditionalFormatting sqref="W131">
    <cfRule type="expression" dxfId="351" priority="249">
      <formula>AND($R$131,$S$131)</formula>
    </cfRule>
  </conditionalFormatting>
  <conditionalFormatting sqref="W131">
    <cfRule type="expression" dxfId="350" priority="248">
      <formula>AND($W$131&lt;&gt;"Not Met",LEN(TRIM($W$131))&gt;0)</formula>
    </cfRule>
  </conditionalFormatting>
  <conditionalFormatting sqref="W131">
    <cfRule type="expression" dxfId="349" priority="247">
      <formula>OR($S$131 = FALSE, AND($P$131 = FALSE, ReportType &lt;&gt; "Final"), AND($Q$131 = FALSE, ReportType &lt;&gt; "Rough"))</formula>
    </cfRule>
  </conditionalFormatting>
  <conditionalFormatting sqref="W131">
    <cfRule type="expression" dxfId="348" priority="246">
      <formula>OR($T$131 = TRUE, AND(LEN(TRIM($W$131))&gt;0, $S$131 = FALSE))</formula>
    </cfRule>
  </conditionalFormatting>
  <conditionalFormatting sqref="W132">
    <cfRule type="expression" dxfId="347" priority="245">
      <formula>AND($R$132,$S$132)</formula>
    </cfRule>
  </conditionalFormatting>
  <conditionalFormatting sqref="W132">
    <cfRule type="expression" dxfId="346" priority="244">
      <formula>AND($W$132&lt;&gt;"Not Met",LEN(TRIM($W$132))&gt;0)</formula>
    </cfRule>
  </conditionalFormatting>
  <conditionalFormatting sqref="W132">
    <cfRule type="expression" dxfId="345" priority="243">
      <formula>OR($S$132 = FALSE, AND($P$132 = FALSE, ReportType &lt;&gt; "Final"), AND($Q$132 = FALSE, ReportType &lt;&gt; "Rough"))</formula>
    </cfRule>
  </conditionalFormatting>
  <conditionalFormatting sqref="W132">
    <cfRule type="expression" dxfId="344" priority="242">
      <formula>OR($T$132 = TRUE, AND(LEN(TRIM($W$132))&gt;0, $S$132 = FALSE))</formula>
    </cfRule>
  </conditionalFormatting>
  <conditionalFormatting sqref="W134">
    <cfRule type="expression" dxfId="343" priority="241">
      <formula>AND($R$134,$S$134)</formula>
    </cfRule>
  </conditionalFormatting>
  <conditionalFormatting sqref="W134">
    <cfRule type="expression" dxfId="342" priority="240">
      <formula>AND($W$134&lt;&gt;"Not Met",LEN(TRIM($W$134))&gt;0)</formula>
    </cfRule>
  </conditionalFormatting>
  <conditionalFormatting sqref="W134">
    <cfRule type="expression" dxfId="341" priority="239">
      <formula>OR($S$134 = FALSE, AND($P$134 = FALSE, ReportType &lt;&gt; "Final"), AND($Q$134 = FALSE, ReportType &lt;&gt; "Rough"))</formula>
    </cfRule>
  </conditionalFormatting>
  <conditionalFormatting sqref="W134">
    <cfRule type="expression" dxfId="340" priority="238">
      <formula>OR($T$134 = TRUE, AND(LEN(TRIM($W$134))&gt;0, $S$134 = FALSE))</formula>
    </cfRule>
  </conditionalFormatting>
  <conditionalFormatting sqref="W135">
    <cfRule type="expression" dxfId="339" priority="237">
      <formula>AND($R$135,$S$135)</formula>
    </cfRule>
  </conditionalFormatting>
  <conditionalFormatting sqref="W135">
    <cfRule type="expression" dxfId="338" priority="236">
      <formula>AND($W$135&lt;&gt;"Not Met",LEN(TRIM($W$135))&gt;0)</formula>
    </cfRule>
  </conditionalFormatting>
  <conditionalFormatting sqref="W135">
    <cfRule type="expression" dxfId="337" priority="235">
      <formula>OR($S$135 = FALSE, AND($P$135 = FALSE, ReportType &lt;&gt; "Final"), AND($Q$135 = FALSE, ReportType &lt;&gt; "Rough"))</formula>
    </cfRule>
  </conditionalFormatting>
  <conditionalFormatting sqref="W135">
    <cfRule type="expression" dxfId="336" priority="234">
      <formula>OR($T$135 = TRUE, AND(LEN(TRIM($W$135))&gt;0, $S$135 = FALSE))</formula>
    </cfRule>
  </conditionalFormatting>
  <conditionalFormatting sqref="X131:X132 X134:X135">
    <cfRule type="expression" dxfId="335" priority="233">
      <formula>NOT(ISBLANK(W131))</formula>
    </cfRule>
  </conditionalFormatting>
  <conditionalFormatting sqref="X137:X142">
    <cfRule type="expression" dxfId="334" priority="232">
      <formula>NOT(ISBLANK(W137))</formula>
    </cfRule>
  </conditionalFormatting>
  <conditionalFormatting sqref="W137">
    <cfRule type="expression" dxfId="333" priority="231">
      <formula>AND($R$137,$S$137)</formula>
    </cfRule>
  </conditionalFormatting>
  <conditionalFormatting sqref="W137">
    <cfRule type="expression" dxfId="332" priority="230">
      <formula>AND($W$137&lt;&gt;"Not Met",LEN(TRIM($W$137))&gt;0)</formula>
    </cfRule>
  </conditionalFormatting>
  <conditionalFormatting sqref="W137">
    <cfRule type="expression" dxfId="331" priority="229">
      <formula>OR($S$137 = FALSE, AND($P$137 = FALSE, ReportType &lt;&gt; "Final"), AND($Q$137 = FALSE, ReportType &lt;&gt; "Rough"))</formula>
    </cfRule>
  </conditionalFormatting>
  <conditionalFormatting sqref="W137">
    <cfRule type="expression" dxfId="330" priority="228">
      <formula>OR($T$137 = TRUE, AND(LEN(TRIM($W$137))&gt;0, $S$137 = FALSE))</formula>
    </cfRule>
  </conditionalFormatting>
  <conditionalFormatting sqref="X143:X150">
    <cfRule type="expression" dxfId="329" priority="227">
      <formula>NOT(ISBLANK(W143))</formula>
    </cfRule>
  </conditionalFormatting>
  <conditionalFormatting sqref="X151:X153 X194:X199">
    <cfRule type="expression" dxfId="328" priority="226">
      <formula>NOT(ISBLANK(W152))</formula>
    </cfRule>
  </conditionalFormatting>
  <conditionalFormatting sqref="X154:X157">
    <cfRule type="expression" dxfId="327" priority="225">
      <formula>NOT(ISBLANK(W155))</formula>
    </cfRule>
  </conditionalFormatting>
  <conditionalFormatting sqref="X162:X168">
    <cfRule type="expression" dxfId="326" priority="224">
      <formula>NOT(ISBLANK(W164))</formula>
    </cfRule>
  </conditionalFormatting>
  <conditionalFormatting sqref="X169:X175">
    <cfRule type="expression" dxfId="325" priority="223">
      <formula>NOT(ISBLANK(W171))</formula>
    </cfRule>
  </conditionalFormatting>
  <conditionalFormatting sqref="X176:X181">
    <cfRule type="expression" dxfId="324" priority="222">
      <formula>NOT(ISBLANK(W177))</formula>
    </cfRule>
  </conditionalFormatting>
  <conditionalFormatting sqref="X182:X187">
    <cfRule type="expression" dxfId="323" priority="221">
      <formula>NOT(ISBLANK(W183))</formula>
    </cfRule>
  </conditionalFormatting>
  <conditionalFormatting sqref="X188:X193">
    <cfRule type="expression" dxfId="322" priority="220">
      <formula>NOT(ISBLANK(W189))</formula>
    </cfRule>
  </conditionalFormatting>
  <conditionalFormatting sqref="W164">
    <cfRule type="expression" dxfId="321" priority="219">
      <formula>AND($R$164,$S$164)</formula>
    </cfRule>
  </conditionalFormatting>
  <conditionalFormatting sqref="W164">
    <cfRule type="expression" dxfId="320" priority="218">
      <formula>AND($W$164&lt;&gt;"Not Met",LEN(TRIM($W$164))&gt;0)</formula>
    </cfRule>
  </conditionalFormatting>
  <conditionalFormatting sqref="W164">
    <cfRule type="expression" dxfId="319" priority="217">
      <formula>OR($S$164 = FALSE, AND($P$164 = FALSE, ReportType &lt;&gt; "Final"), AND($Q$164 = FALSE, ReportType &lt;&gt; "Rough"))</formula>
    </cfRule>
  </conditionalFormatting>
  <conditionalFormatting sqref="W164">
    <cfRule type="expression" dxfId="318" priority="216">
      <formula>OR($T$164 = TRUE, AND(LEN(TRIM($W$164))&gt;0, $S$164 = FALSE))</formula>
    </cfRule>
  </conditionalFormatting>
  <conditionalFormatting sqref="W171">
    <cfRule type="expression" dxfId="317" priority="215">
      <formula>AND($R$171,$S$171)</formula>
    </cfRule>
  </conditionalFormatting>
  <conditionalFormatting sqref="W171">
    <cfRule type="expression" dxfId="316" priority="214">
      <formula>AND($W$171&lt;&gt;"Not Met",LEN(TRIM($W$171))&gt;0)</formula>
    </cfRule>
  </conditionalFormatting>
  <conditionalFormatting sqref="W171">
    <cfRule type="expression" dxfId="315" priority="213">
      <formula>OR($S$171 = FALSE, AND($P$171 = FALSE, ReportType &lt;&gt; "Final"), AND($Q$171 = FALSE, ReportType &lt;&gt; "Rough"))</formula>
    </cfRule>
  </conditionalFormatting>
  <conditionalFormatting sqref="W171">
    <cfRule type="expression" dxfId="314" priority="212">
      <formula>OR($T$171 = TRUE, AND(LEN(TRIM($W$171))&gt;0, $S$171 = FALSE))</formula>
    </cfRule>
  </conditionalFormatting>
  <conditionalFormatting sqref="W177">
    <cfRule type="expression" dxfId="313" priority="211">
      <formula>AND($R$177,$S$177)</formula>
    </cfRule>
  </conditionalFormatting>
  <conditionalFormatting sqref="W177">
    <cfRule type="expression" dxfId="312" priority="210">
      <formula>AND($W$177&lt;&gt;"Not Met",LEN(TRIM($W$177))&gt;0)</formula>
    </cfRule>
  </conditionalFormatting>
  <conditionalFormatting sqref="W177">
    <cfRule type="expression" dxfId="311" priority="209">
      <formula>OR($S$177 = FALSE, AND($P$177 = FALSE, ReportType &lt;&gt; "Final"), AND($Q$177 = FALSE, ReportType &lt;&gt; "Rough"))</formula>
    </cfRule>
  </conditionalFormatting>
  <conditionalFormatting sqref="W177">
    <cfRule type="expression" dxfId="310" priority="208">
      <formula>OR($T$177 = TRUE, AND(LEN(TRIM($W$177))&gt;0, $S$177 = FALSE))</formula>
    </cfRule>
  </conditionalFormatting>
  <conditionalFormatting sqref="W183">
    <cfRule type="expression" dxfId="309" priority="207">
      <formula>AND($R$183,$S$183)</formula>
    </cfRule>
  </conditionalFormatting>
  <conditionalFormatting sqref="W183">
    <cfRule type="expression" dxfId="308" priority="206">
      <formula>AND($W$183&lt;&gt;"Not Met",LEN(TRIM($W$183))&gt;0)</formula>
    </cfRule>
  </conditionalFormatting>
  <conditionalFormatting sqref="W183">
    <cfRule type="expression" dxfId="307" priority="205">
      <formula>OR($S$183 = FALSE, AND($P$183 = FALSE, ReportType &lt;&gt; "Final"), AND($Q$183 = FALSE, ReportType &lt;&gt; "Rough"))</formula>
    </cfRule>
  </conditionalFormatting>
  <conditionalFormatting sqref="W183">
    <cfRule type="expression" dxfId="306" priority="204">
      <formula>OR($T$183 = TRUE, AND(LEN(TRIM($W$183))&gt;0, $S$183 = FALSE))</formula>
    </cfRule>
  </conditionalFormatting>
  <conditionalFormatting sqref="W189">
    <cfRule type="expression" dxfId="305" priority="203">
      <formula>AND($R$189,$S$189)</formula>
    </cfRule>
  </conditionalFormatting>
  <conditionalFormatting sqref="W189">
    <cfRule type="expression" dxfId="304" priority="202">
      <formula>AND($W$189&lt;&gt;"Not Met",LEN(TRIM($W$189))&gt;0)</formula>
    </cfRule>
  </conditionalFormatting>
  <conditionalFormatting sqref="W189">
    <cfRule type="expression" dxfId="303" priority="201">
      <formula>OR($S$189 = FALSE, AND($P$189 = FALSE, ReportType &lt;&gt; "Final"), AND($Q$189 = FALSE, ReportType &lt;&gt; "Rough"))</formula>
    </cfRule>
  </conditionalFormatting>
  <conditionalFormatting sqref="W189">
    <cfRule type="expression" dxfId="302" priority="200">
      <formula>OR($T$189 = TRUE, AND(LEN(TRIM($W$189))&gt;0, $S$189 = FALSE))</formula>
    </cfRule>
  </conditionalFormatting>
  <conditionalFormatting sqref="W195">
    <cfRule type="expression" dxfId="301" priority="199">
      <formula>AND($R$195,$S$195)</formula>
    </cfRule>
  </conditionalFormatting>
  <conditionalFormatting sqref="W195">
    <cfRule type="expression" dxfId="300" priority="198">
      <formula>AND($W$195&lt;&gt;"Not Met",LEN(TRIM($W$195))&gt;0)</formula>
    </cfRule>
  </conditionalFormatting>
  <conditionalFormatting sqref="W195">
    <cfRule type="expression" dxfId="299" priority="197">
      <formula>OR($S$195 = FALSE, AND($P$195 = FALSE, ReportType &lt;&gt; "Final"), AND($Q$195 = FALSE, ReportType &lt;&gt; "Rough"))</formula>
    </cfRule>
  </conditionalFormatting>
  <conditionalFormatting sqref="W195">
    <cfRule type="expression" dxfId="298" priority="196">
      <formula>OR($T$195 = TRUE, AND(LEN(TRIM($W$195))&gt;0, $S$195 = FALSE))</formula>
    </cfRule>
  </conditionalFormatting>
  <conditionalFormatting sqref="X200:X207">
    <cfRule type="expression" dxfId="297" priority="195">
      <formula>NOT(ISBLANK(W200))</formula>
    </cfRule>
  </conditionalFormatting>
  <conditionalFormatting sqref="W200">
    <cfRule type="expression" dxfId="296" priority="194">
      <formula>AND($R$200,$S$200)</formula>
    </cfRule>
  </conditionalFormatting>
  <conditionalFormatting sqref="W200">
    <cfRule type="expression" dxfId="295" priority="193">
      <formula>AND($W$200&lt;&gt;"Not Met",LEN(TRIM($W$200))&gt;0)</formula>
    </cfRule>
  </conditionalFormatting>
  <conditionalFormatting sqref="W200">
    <cfRule type="expression" dxfId="294" priority="192">
      <formula>OR($S$200 = FALSE, AND($P$200 = FALSE, ReportType &lt;&gt; "Final"), AND($Q$200 = FALSE, ReportType &lt;&gt; "Rough"))</formula>
    </cfRule>
  </conditionalFormatting>
  <conditionalFormatting sqref="W200">
    <cfRule type="expression" dxfId="293" priority="191">
      <formula>OR($T$200 = TRUE, AND(LEN(TRIM($W$200))&gt;0, $S$200 = FALSE))</formula>
    </cfRule>
  </conditionalFormatting>
  <conditionalFormatting sqref="W211">
    <cfRule type="expression" dxfId="292" priority="190">
      <formula>AND($R$211,$S$211)</formula>
    </cfRule>
  </conditionalFormatting>
  <conditionalFormatting sqref="W211">
    <cfRule type="expression" dxfId="291" priority="189">
      <formula>AND(IF($R$211,$W$211,TRUE),LEN(TRIM($W$211))&gt;0)</formula>
    </cfRule>
  </conditionalFormatting>
  <conditionalFormatting sqref="W211">
    <cfRule type="expression" dxfId="290" priority="188">
      <formula>OR($S$211 = FALSE, AND($P$211 = FALSE, ReportType &lt;&gt; "Final"), AND($Q$211 = FALSE, ReportType &lt;&gt; "Rough"))</formula>
    </cfRule>
  </conditionalFormatting>
  <conditionalFormatting sqref="W211">
    <cfRule type="expression" dxfId="289" priority="187">
      <formula>OR($T$211 = TRUE, AND($W$211 = TRUE, $S$211 = FALSE))</formula>
    </cfRule>
  </conditionalFormatting>
  <conditionalFormatting sqref="W212">
    <cfRule type="expression" dxfId="288" priority="186">
      <formula>AND($R$212,$S$212)</formula>
    </cfRule>
  </conditionalFormatting>
  <conditionalFormatting sqref="W212">
    <cfRule type="expression" dxfId="287" priority="185">
      <formula>AND(IF($R$212,$W$212,TRUE),LEN(TRIM($W$212))&gt;0)</formula>
    </cfRule>
  </conditionalFormatting>
  <conditionalFormatting sqref="W212">
    <cfRule type="expression" dxfId="286" priority="184">
      <formula>OR($S$212 = FALSE, AND($P$212 = FALSE, ReportType &lt;&gt; "Final"), AND($Q$212 = FALSE, ReportType &lt;&gt; "Rough"))</formula>
    </cfRule>
  </conditionalFormatting>
  <conditionalFormatting sqref="W212">
    <cfRule type="expression" dxfId="285" priority="183">
      <formula>OR($T$212 = TRUE, AND($W$212 = TRUE, $S$212 = FALSE))</formula>
    </cfRule>
  </conditionalFormatting>
  <conditionalFormatting sqref="W214">
    <cfRule type="expression" dxfId="284" priority="182">
      <formula>AND($R$214,$S$214)</formula>
    </cfRule>
  </conditionalFormatting>
  <conditionalFormatting sqref="W214">
    <cfRule type="expression" dxfId="283" priority="181">
      <formula>AND(IF($R$214,$W$214,TRUE),LEN(TRIM($W$214))&gt;0)</formula>
    </cfRule>
  </conditionalFormatting>
  <conditionalFormatting sqref="W214">
    <cfRule type="expression" dxfId="282" priority="180">
      <formula>OR($S$214 = FALSE, AND($P$214 = FALSE, ReportType &lt;&gt; "Final"), AND($Q$214 = FALSE, ReportType &lt;&gt; "Rough"))</formula>
    </cfRule>
  </conditionalFormatting>
  <conditionalFormatting sqref="W214">
    <cfRule type="expression" dxfId="281" priority="179">
      <formula>OR($T$214 = TRUE, AND($W$214 = TRUE, $S$214 = FALSE))</formula>
    </cfRule>
  </conditionalFormatting>
  <conditionalFormatting sqref="W216">
    <cfRule type="expression" dxfId="280" priority="178">
      <formula>AND($R$216,$S$216)</formula>
    </cfRule>
  </conditionalFormatting>
  <conditionalFormatting sqref="W216">
    <cfRule type="expression" dxfId="279" priority="177">
      <formula>AND(IF($R$216,$W$216,TRUE),LEN(TRIM($W$216))&gt;0)</formula>
    </cfRule>
  </conditionalFormatting>
  <conditionalFormatting sqref="W216">
    <cfRule type="expression" dxfId="278" priority="176">
      <formula>OR($S$216 = FALSE, AND($P$216 = FALSE, ReportType &lt;&gt; "Final"), AND($Q$216 = FALSE, ReportType &lt;&gt; "Rough"))</formula>
    </cfRule>
  </conditionalFormatting>
  <conditionalFormatting sqref="W216">
    <cfRule type="expression" dxfId="277" priority="175">
      <formula>OR($T$216 = TRUE, AND($W$216 = TRUE, $S$216 = FALSE))</formula>
    </cfRule>
  </conditionalFormatting>
  <conditionalFormatting sqref="W218">
    <cfRule type="expression" dxfId="276" priority="174">
      <formula>AND($R$218,$S$218)</formula>
    </cfRule>
  </conditionalFormatting>
  <conditionalFormatting sqref="W218">
    <cfRule type="expression" dxfId="275" priority="173">
      <formula>AND(IF($R$218,$W$218,TRUE),LEN(TRIM($W$218))&gt;0)</formula>
    </cfRule>
  </conditionalFormatting>
  <conditionalFormatting sqref="W218">
    <cfRule type="expression" dxfId="274" priority="172">
      <formula>OR($S$218 = FALSE, AND($P$218 = FALSE, ReportType &lt;&gt; "Final"), AND($Q$218 = FALSE, ReportType &lt;&gt; "Rough"))</formula>
    </cfRule>
  </conditionalFormatting>
  <conditionalFormatting sqref="W218">
    <cfRule type="expression" dxfId="273" priority="171">
      <formula>OR($T$218 = TRUE, AND($W$218 = TRUE, $S$218 = FALSE))</formula>
    </cfRule>
  </conditionalFormatting>
  <conditionalFormatting sqref="W220">
    <cfRule type="expression" dxfId="272" priority="170">
      <formula>AND($R$220,$S$220)</formula>
    </cfRule>
  </conditionalFormatting>
  <conditionalFormatting sqref="W220">
    <cfRule type="expression" dxfId="271" priority="169">
      <formula>AND(IF($R$220,$W$220,TRUE),LEN(TRIM($W$220))&gt;0)</formula>
    </cfRule>
  </conditionalFormatting>
  <conditionalFormatting sqref="W220">
    <cfRule type="expression" dxfId="270" priority="168">
      <formula>OR($S$220 = FALSE, AND($P$220 = FALSE, ReportType &lt;&gt; "Final"), AND($Q$220 = FALSE, ReportType &lt;&gt; "Rough"))</formula>
    </cfRule>
  </conditionalFormatting>
  <conditionalFormatting sqref="W220">
    <cfRule type="expression" dxfId="269" priority="167">
      <formula>OR($T$220 = TRUE, AND($W$220 = TRUE, $S$220 = FALSE))</formula>
    </cfRule>
  </conditionalFormatting>
  <conditionalFormatting sqref="W222">
    <cfRule type="expression" dxfId="268" priority="166">
      <formula>AND($R$222,$S$222)</formula>
    </cfRule>
  </conditionalFormatting>
  <conditionalFormatting sqref="W222">
    <cfRule type="expression" dxfId="267" priority="165">
      <formula>AND(IF($R$222,$W$222,TRUE),LEN(TRIM($W$222))&gt;0)</formula>
    </cfRule>
  </conditionalFormatting>
  <conditionalFormatting sqref="W222">
    <cfRule type="expression" dxfId="266" priority="164">
      <formula>OR($S$222 = FALSE, AND($P$222 = FALSE, ReportType &lt;&gt; "Final"), AND($Q$222 = FALSE, ReportType &lt;&gt; "Rough"))</formula>
    </cfRule>
  </conditionalFormatting>
  <conditionalFormatting sqref="W222">
    <cfRule type="expression" dxfId="265" priority="163">
      <formula>OR($T$222 = TRUE, AND($W$222 = TRUE, $S$222 = FALSE))</formula>
    </cfRule>
  </conditionalFormatting>
  <conditionalFormatting sqref="W224">
    <cfRule type="expression" dxfId="264" priority="162">
      <formula>AND(R224,S224)</formula>
    </cfRule>
  </conditionalFormatting>
  <conditionalFormatting sqref="W224">
    <cfRule type="expression" dxfId="263" priority="161">
      <formula>AND(IF(R224,W224,TRUE),LEN(TRIM(W224))&gt;0)</formula>
    </cfRule>
  </conditionalFormatting>
  <conditionalFormatting sqref="W224">
    <cfRule type="expression" dxfId="262" priority="160">
      <formula>OR(S224 = FALSE, AND(P224 = FALSE, ReportType &lt;&gt; "Final"), AND(Q224 = FALSE, ReportType &lt;&gt; "Rough"))</formula>
    </cfRule>
  </conditionalFormatting>
  <conditionalFormatting sqref="W224">
    <cfRule type="expression" dxfId="261" priority="159">
      <formula>OR(T224 = TRUE, AND(W224 = TRUE, S224 = FALSE))</formula>
    </cfRule>
  </conditionalFormatting>
  <conditionalFormatting sqref="X224:X230">
    <cfRule type="expression" dxfId="260" priority="158">
      <formula>W224&gt;0</formula>
    </cfRule>
  </conditionalFormatting>
  <conditionalFormatting sqref="X236:X244">
    <cfRule type="expression" dxfId="259" priority="157">
      <formula>W237&gt;0</formula>
    </cfRule>
  </conditionalFormatting>
  <conditionalFormatting sqref="X245:X251">
    <cfRule type="expression" dxfId="258" priority="156">
      <formula>W247&gt;0</formula>
    </cfRule>
  </conditionalFormatting>
  <conditionalFormatting sqref="W237">
    <cfRule type="expression" dxfId="257" priority="153">
      <formula>AND(R237,S237)</formula>
    </cfRule>
  </conditionalFormatting>
  <conditionalFormatting sqref="W237">
    <cfRule type="expression" dxfId="256" priority="152">
      <formula>AND(IF(R237,W237,TRUE),LEN(TRIM(W237))&gt;0)</formula>
    </cfRule>
  </conditionalFormatting>
  <conditionalFormatting sqref="W237">
    <cfRule type="expression" dxfId="255" priority="151">
      <formula>OR(T237 = TRUE, AND(W237 = TRUE, S237 = FALSE))</formula>
    </cfRule>
  </conditionalFormatting>
  <conditionalFormatting sqref="W247">
    <cfRule type="expression" dxfId="254" priority="150">
      <formula>AND(R247,S247)</formula>
    </cfRule>
  </conditionalFormatting>
  <conditionalFormatting sqref="W247">
    <cfRule type="expression" dxfId="253" priority="149">
      <formula>AND(IF(R247,W247,TRUE),LEN(TRIM(W247))&gt;0)</formula>
    </cfRule>
  </conditionalFormatting>
  <conditionalFormatting sqref="W247">
    <cfRule type="expression" dxfId="252" priority="148">
      <formula>OR(T247 = TRUE, AND(W247 = TRUE, S247 = FALSE))</formula>
    </cfRule>
  </conditionalFormatting>
  <conditionalFormatting sqref="W237">
    <cfRule type="expression" dxfId="251" priority="154">
      <formula>OR(S237 = FALSE, AND(P237 = FALSE, ReportType &lt;&gt; "Final"), AND(Q237 = FALSE, ReportType &lt;&gt; "Rough"))</formula>
    </cfRule>
  </conditionalFormatting>
  <conditionalFormatting sqref="W247">
    <cfRule type="expression" dxfId="250" priority="155">
      <formula>OR(S247 = FALSE, AND(P247 = FALSE, ReportType &lt;&gt; "Final"), AND(Q247 = FALSE, ReportType &lt;&gt; "Rough"))</formula>
    </cfRule>
  </conditionalFormatting>
  <conditionalFormatting sqref="W253">
    <cfRule type="expression" dxfId="249" priority="147">
      <formula>AND(R253,S253)</formula>
    </cfRule>
  </conditionalFormatting>
  <conditionalFormatting sqref="W253">
    <cfRule type="expression" dxfId="248" priority="146">
      <formula>AND(IF(R253,W253,TRUE),LEN(TRIM(W253))&gt;0)</formula>
    </cfRule>
  </conditionalFormatting>
  <conditionalFormatting sqref="W253">
    <cfRule type="expression" dxfId="247" priority="145">
      <formula>OR(S253 = FALSE, AND(P253 = FALSE, ReportType &lt;&gt; "Final"), AND(Q253 = FALSE, ReportType &lt;&gt; "Rough"))</formula>
    </cfRule>
  </conditionalFormatting>
  <conditionalFormatting sqref="W253">
    <cfRule type="expression" dxfId="246" priority="144">
      <formula>OR(T253 = TRUE, AND(W253 = TRUE, S253 = FALSE))</formula>
    </cfRule>
  </conditionalFormatting>
  <conditionalFormatting sqref="W255">
    <cfRule type="expression" dxfId="245" priority="143">
      <formula>AND(R255,S255)</formula>
    </cfRule>
  </conditionalFormatting>
  <conditionalFormatting sqref="W255">
    <cfRule type="expression" dxfId="244" priority="142">
      <formula>AND(IF(R255,W255,TRUE),LEN(TRIM(W255))&gt;0)</formula>
    </cfRule>
  </conditionalFormatting>
  <conditionalFormatting sqref="W255">
    <cfRule type="expression" dxfId="243" priority="141">
      <formula>OR(S255 = FALSE, AND(P255 = FALSE, ReportType &lt;&gt; "Final"), AND(Q255 = FALSE, ReportType &lt;&gt; "Rough"))</formula>
    </cfRule>
  </conditionalFormatting>
  <conditionalFormatting sqref="W255">
    <cfRule type="expression" dxfId="242" priority="140">
      <formula>OR(T255 = TRUE, AND(W255 = TRUE, S255 = FALSE))</formula>
    </cfRule>
  </conditionalFormatting>
  <conditionalFormatting sqref="W257">
    <cfRule type="expression" dxfId="241" priority="139">
      <formula>AND(R257,S257)</formula>
    </cfRule>
  </conditionalFormatting>
  <conditionalFormatting sqref="W257">
    <cfRule type="expression" dxfId="240" priority="138">
      <formula>AND(IF(R257,W257,TRUE),LEN(TRIM(W257))&gt;0)</formula>
    </cfRule>
  </conditionalFormatting>
  <conditionalFormatting sqref="W257">
    <cfRule type="expression" dxfId="239" priority="137">
      <formula>OR(S257 = FALSE, AND(P257 = FALSE, ReportType &lt;&gt; "Final"), AND(Q257 = FALSE, ReportType &lt;&gt; "Rough"))</formula>
    </cfRule>
  </conditionalFormatting>
  <conditionalFormatting sqref="W257">
    <cfRule type="expression" dxfId="238" priority="136">
      <formula>OR(T257 = TRUE, AND(W257 = TRUE, S257 = FALSE))</formula>
    </cfRule>
  </conditionalFormatting>
  <conditionalFormatting sqref="W259">
    <cfRule type="expression" dxfId="237" priority="135">
      <formula>AND(R259,S259)</formula>
    </cfRule>
  </conditionalFormatting>
  <conditionalFormatting sqref="W259">
    <cfRule type="expression" dxfId="236" priority="134">
      <formula>AND(IF(R259,W259,TRUE),LEN(TRIM(W259))&gt;0)</formula>
    </cfRule>
  </conditionalFormatting>
  <conditionalFormatting sqref="W259">
    <cfRule type="expression" dxfId="235" priority="133">
      <formula>OR(S259 = FALSE, AND(P259 = FALSE, ReportType &lt;&gt; "Final"), AND(Q259 = FALSE, ReportType &lt;&gt; "Rough"))</formula>
    </cfRule>
  </conditionalFormatting>
  <conditionalFormatting sqref="W259">
    <cfRule type="expression" dxfId="234" priority="132">
      <formula>OR(T259 = TRUE, AND(W259 = TRUE, S259 = FALSE))</formula>
    </cfRule>
  </conditionalFormatting>
  <conditionalFormatting sqref="X252 X254 X256 X258">
    <cfRule type="expression" dxfId="233" priority="131">
      <formula>W253&gt;0</formula>
    </cfRule>
  </conditionalFormatting>
  <conditionalFormatting sqref="N98">
    <cfRule type="cellIs" dxfId="232" priority="130" operator="greaterThanOrEqual">
      <formula>6</formula>
    </cfRule>
  </conditionalFormatting>
  <conditionalFormatting sqref="W152">
    <cfRule type="expression" dxfId="231" priority="126">
      <formula>OR($T$152 = TRUE, AND(LEN(TRIM($W$152))&gt;0, $S$152 = FALSE))</formula>
    </cfRule>
    <cfRule type="expression" dxfId="230" priority="127">
      <formula>OR($S$152 = FALSE, AND($P$152 = FALSE, ReportType &lt;&gt; "Final"), AND($Q$152 = FALSE, ReportType &lt;&gt; "Rough"))</formula>
    </cfRule>
    <cfRule type="expression" dxfId="229" priority="128">
      <formula>AND($W$152&lt;&gt;"Not Met",LEN(TRIM($W$152))&gt;0)</formula>
    </cfRule>
    <cfRule type="expression" dxfId="228" priority="129">
      <formula>AND($R$152,$S$152)</formula>
    </cfRule>
  </conditionalFormatting>
  <conditionalFormatting sqref="W155">
    <cfRule type="expression" dxfId="227" priority="122">
      <formula>OR($T$155 = TRUE, AND(LEN(TRIM($W$155))&gt;0, $S$155 = FALSE))</formula>
    </cfRule>
    <cfRule type="expression" dxfId="226" priority="123">
      <formula>OR($S$155 = FALSE, AND($P$155 = FALSE, ReportType &lt;&gt; "Final"), AND($Q$155 = FALSE, ReportType &lt;&gt; "Rough"))</formula>
    </cfRule>
    <cfRule type="expression" dxfId="225" priority="124">
      <formula>AND($W$155&lt;&gt;"Not Met",LEN(TRIM($W$155))&gt;0)</formula>
    </cfRule>
    <cfRule type="expression" dxfId="224" priority="125">
      <formula>AND($R$155,$S$155)</formula>
    </cfRule>
  </conditionalFormatting>
  <conditionalFormatting sqref="W143">
    <cfRule type="expression" dxfId="223" priority="118">
      <formula>OR($T$143 = TRUE, AND(LEN(TRIM($W$143))&gt;0, $S$143 = FALSE))</formula>
    </cfRule>
    <cfRule type="expression" dxfId="222" priority="119">
      <formula>OR($S$143 = FALSE, AND($P$143 = FALSE, ReportType &lt;&gt; "Final"), AND($Q$143 = FALSE, ReportType &lt;&gt; "Rough"))</formula>
    </cfRule>
    <cfRule type="expression" dxfId="221" priority="120">
      <formula>AND($W$143&lt;&gt;"Not Met",LEN(TRIM($W$143))&gt;0)</formula>
    </cfRule>
    <cfRule type="expression" dxfId="220" priority="121">
      <formula>AND($R$143,$S$143)</formula>
    </cfRule>
  </conditionalFormatting>
  <conditionalFormatting sqref="X426:X430">
    <cfRule type="expression" dxfId="219" priority="117">
      <formula>W426="N/A"</formula>
    </cfRule>
  </conditionalFormatting>
  <conditionalFormatting sqref="W426">
    <cfRule type="expression" dxfId="218" priority="116">
      <formula>AND($R$426,$S$426)</formula>
    </cfRule>
  </conditionalFormatting>
  <conditionalFormatting sqref="W426">
    <cfRule type="expression" dxfId="217" priority="115">
      <formula>AND($W$426&lt;&gt;"Not Met",LEN(TRIM($W$426))&gt;0)</formula>
    </cfRule>
  </conditionalFormatting>
  <conditionalFormatting sqref="W426">
    <cfRule type="expression" dxfId="216" priority="114">
      <formula>OR($S$426 = FALSE, AND($P$426 = FALSE, ReportType &lt;&gt; "Final"), AND($Q$426 = FALSE, ReportType &lt;&gt; "Rough"))</formula>
    </cfRule>
  </conditionalFormatting>
  <conditionalFormatting sqref="W426">
    <cfRule type="expression" dxfId="215" priority="113">
      <formula>OR($T$426 = TRUE, AND(LEN(TRIM($W$426))&gt;0, $S$426 = FALSE))</formula>
    </cfRule>
  </conditionalFormatting>
  <conditionalFormatting sqref="W431">
    <cfRule type="expression" dxfId="214" priority="112">
      <formula>AND($R$431,$S$431)</formula>
    </cfRule>
  </conditionalFormatting>
  <conditionalFormatting sqref="W431">
    <cfRule type="expression" dxfId="213" priority="111">
      <formula>AND($W$431&lt;&gt;"Not Met",LEN(TRIM($W$431))&gt;0)</formula>
    </cfRule>
  </conditionalFormatting>
  <conditionalFormatting sqref="W431">
    <cfRule type="expression" dxfId="212" priority="110">
      <formula>OR($S$431 = FALSE, AND($P$431 = FALSE, ReportType &lt;&gt; "Final"), AND($Q$431 = FALSE, ReportType &lt;&gt; "Rough"))</formula>
    </cfRule>
  </conditionalFormatting>
  <conditionalFormatting sqref="W431">
    <cfRule type="expression" dxfId="211" priority="109">
      <formula>OR($T$431 = TRUE, AND(LEN(TRIM($W$431))&gt;0, $S$431 = FALSE))</formula>
    </cfRule>
  </conditionalFormatting>
  <conditionalFormatting sqref="W432">
    <cfRule type="expression" dxfId="210" priority="108">
      <formula>AND($R$432,$S$432)</formula>
    </cfRule>
  </conditionalFormatting>
  <conditionalFormatting sqref="W432">
    <cfRule type="expression" dxfId="209" priority="107">
      <formula>AND($W$432&lt;&gt;"Not Met",LEN(TRIM($W$432))&gt;0)</formula>
    </cfRule>
  </conditionalFormatting>
  <conditionalFormatting sqref="W432">
    <cfRule type="expression" dxfId="208" priority="106">
      <formula>OR($S$432 = FALSE, AND($P$432 = FALSE, ReportType &lt;&gt; "Final"), AND($Q$432 = FALSE, ReportType &lt;&gt; "Rough"))</formula>
    </cfRule>
  </conditionalFormatting>
  <conditionalFormatting sqref="W432">
    <cfRule type="expression" dxfId="207" priority="105">
      <formula>OR($T$432 = TRUE, AND(LEN(TRIM($W$432))&gt;0, $S$432 = FALSE))</formula>
    </cfRule>
  </conditionalFormatting>
  <conditionalFormatting sqref="W433">
    <cfRule type="expression" dxfId="206" priority="104">
      <formula>AND($R$433,$S$433)</formula>
    </cfRule>
  </conditionalFormatting>
  <conditionalFormatting sqref="W433">
    <cfRule type="expression" dxfId="205" priority="103">
      <formula>AND($W$433&lt;&gt;"Not Met",LEN(TRIM($W$433))&gt;0)</formula>
    </cfRule>
  </conditionalFormatting>
  <conditionalFormatting sqref="W433">
    <cfRule type="expression" dxfId="204" priority="102">
      <formula>OR($S$433 = FALSE, AND($P$433 = FALSE, ReportType &lt;&gt; "Final"), AND($Q$433 = FALSE, ReportType &lt;&gt; "Rough"))</formula>
    </cfRule>
  </conditionalFormatting>
  <conditionalFormatting sqref="W433">
    <cfRule type="expression" dxfId="203" priority="101">
      <formula>OR($T$433 = TRUE, AND(LEN(TRIM($W$433))&gt;0, $S$433 = FALSE))</formula>
    </cfRule>
  </conditionalFormatting>
  <conditionalFormatting sqref="W434">
    <cfRule type="expression" dxfId="202" priority="100">
      <formula>AND($R$434,$S$434)</formula>
    </cfRule>
  </conditionalFormatting>
  <conditionalFormatting sqref="W434">
    <cfRule type="expression" dxfId="201" priority="99">
      <formula>AND($W$434&lt;&gt;"Not Met",LEN(TRIM($W$434))&gt;0)</formula>
    </cfRule>
  </conditionalFormatting>
  <conditionalFormatting sqref="W434">
    <cfRule type="expression" dxfId="200" priority="98">
      <formula>OR($S$434 = FALSE, AND($P$434 = FALSE, ReportType &lt;&gt; "Final"), AND($Q$434 = FALSE, ReportType &lt;&gt; "Rough"))</formula>
    </cfRule>
  </conditionalFormatting>
  <conditionalFormatting sqref="W434">
    <cfRule type="expression" dxfId="199" priority="97">
      <formula>OR($T$434 = TRUE, AND(LEN(TRIM($W$434))&gt;0, $S$434 = FALSE))</formula>
    </cfRule>
  </conditionalFormatting>
  <conditionalFormatting sqref="W445">
    <cfRule type="expression" dxfId="198" priority="96">
      <formula>AND($R$445,$S$445)</formula>
    </cfRule>
  </conditionalFormatting>
  <conditionalFormatting sqref="W445">
    <cfRule type="expression" dxfId="197" priority="95">
      <formula>AND(IF($R$445,$W$445,TRUE),LEN(TRIM($W$445))&gt;0)</formula>
    </cfRule>
  </conditionalFormatting>
  <conditionalFormatting sqref="W445">
    <cfRule type="expression" dxfId="196" priority="94">
      <formula>OR($S$445 = FALSE, AND($P$445 = FALSE, ReportType &lt;&gt; "Final"), AND($Q$445 = FALSE, ReportType &lt;&gt; "Rough"))</formula>
    </cfRule>
  </conditionalFormatting>
  <conditionalFormatting sqref="W445">
    <cfRule type="expression" dxfId="195" priority="93">
      <formula>OR($T$445 = TRUE, AND($W$445 = TRUE, $S$445 = FALSE))</formula>
    </cfRule>
  </conditionalFormatting>
  <conditionalFormatting sqref="W447">
    <cfRule type="expression" dxfId="194" priority="92">
      <formula>AND($R$447,$S$447)</formula>
    </cfRule>
  </conditionalFormatting>
  <conditionalFormatting sqref="W447">
    <cfRule type="expression" dxfId="193" priority="91">
      <formula>AND(IF($R$447,$W$447,TRUE),LEN(TRIM($W$447))&gt;0)</formula>
    </cfRule>
  </conditionalFormatting>
  <conditionalFormatting sqref="W447">
    <cfRule type="expression" dxfId="192" priority="90">
      <formula>OR($S$447 = FALSE, AND($P$447 = FALSE, ReportType &lt;&gt; "Final"), AND($Q$447 = FALSE, ReportType &lt;&gt; "Rough"))</formula>
    </cfRule>
  </conditionalFormatting>
  <conditionalFormatting sqref="W447">
    <cfRule type="expression" dxfId="191" priority="89">
      <formula>OR($T$447 = TRUE, AND($W$447 = TRUE, $S$447 = FALSE))</formula>
    </cfRule>
  </conditionalFormatting>
  <conditionalFormatting sqref="W457">
    <cfRule type="expression" dxfId="190" priority="88">
      <formula>AND(R457,S457)</formula>
    </cfRule>
  </conditionalFormatting>
  <conditionalFormatting sqref="W457">
    <cfRule type="expression" dxfId="189" priority="87">
      <formula>NOT(ISBLANK(W457))</formula>
    </cfRule>
  </conditionalFormatting>
  <conditionalFormatting sqref="W457">
    <cfRule type="expression" dxfId="188" priority="86">
      <formula>OR(S457 = FALSE, AND(P457 = FALSE, ReportType &lt;&gt; "Final"), AND(Q457 = FALSE, ReportType &lt;&gt; "Rough"))</formula>
    </cfRule>
  </conditionalFormatting>
  <conditionalFormatting sqref="W457">
    <cfRule type="expression" dxfId="187" priority="85">
      <formula>OR(T457 = TRUE, AND(W457 = TRUE, S457 = FALSE))</formula>
    </cfRule>
  </conditionalFormatting>
  <conditionalFormatting sqref="W467">
    <cfRule type="expression" dxfId="186" priority="84">
      <formula>AND(R467,S467)</formula>
    </cfRule>
  </conditionalFormatting>
  <conditionalFormatting sqref="W467">
    <cfRule type="expression" dxfId="185" priority="83">
      <formula>NOT(ISBLANK(W467))</formula>
    </cfRule>
  </conditionalFormatting>
  <conditionalFormatting sqref="W467">
    <cfRule type="expression" dxfId="184" priority="82">
      <formula>OR(S467 = FALSE, AND(P467 = FALSE, ReportType &lt;&gt; "Final"), AND(Q467 = FALSE, ReportType &lt;&gt; "Rough"))</formula>
    </cfRule>
  </conditionalFormatting>
  <conditionalFormatting sqref="W467">
    <cfRule type="expression" dxfId="183" priority="81">
      <formula>OR(T467 = TRUE, AND(W467 = TRUE, S467 = FALSE))</formula>
    </cfRule>
  </conditionalFormatting>
  <conditionalFormatting sqref="W468">
    <cfRule type="expression" dxfId="182" priority="80">
      <formula>AND(R468,S468)</formula>
    </cfRule>
  </conditionalFormatting>
  <conditionalFormatting sqref="W468">
    <cfRule type="expression" dxfId="181" priority="79">
      <formula>NOT(ISBLANK(W468))</formula>
    </cfRule>
  </conditionalFormatting>
  <conditionalFormatting sqref="W468">
    <cfRule type="expression" dxfId="180" priority="78">
      <formula>OR(S468 = FALSE, AND(P468 = FALSE, ReportType &lt;&gt; "Final"), AND(Q468 = FALSE, ReportType &lt;&gt; "Rough"))</formula>
    </cfRule>
  </conditionalFormatting>
  <conditionalFormatting sqref="W468">
    <cfRule type="expression" dxfId="179" priority="77">
      <formula>OR(T468 = TRUE, AND(W468 = TRUE, S468 = FALSE))</formula>
    </cfRule>
  </conditionalFormatting>
  <conditionalFormatting sqref="W471">
    <cfRule type="expression" dxfId="178" priority="76">
      <formula>AND($R$471,$S$471)</formula>
    </cfRule>
  </conditionalFormatting>
  <conditionalFormatting sqref="W471">
    <cfRule type="expression" dxfId="177" priority="75">
      <formula>AND(IF($R$471,$W$471,TRUE),LEN(TRIM($W$471))&gt;0)</formula>
    </cfRule>
  </conditionalFormatting>
  <conditionalFormatting sqref="W471">
    <cfRule type="expression" dxfId="176" priority="74">
      <formula>OR($S$471 = FALSE, AND($P$471 = FALSE, ReportType &lt;&gt; "Final"), AND($Q$471 = FALSE, ReportType &lt;&gt; "Rough"))</formula>
    </cfRule>
  </conditionalFormatting>
  <conditionalFormatting sqref="W471">
    <cfRule type="expression" dxfId="175" priority="73">
      <formula>OR($T$471 = TRUE, AND($W$471 = TRUE, $S$471 = FALSE))</formula>
    </cfRule>
  </conditionalFormatting>
  <conditionalFormatting sqref="W482">
    <cfRule type="expression" dxfId="174" priority="72">
      <formula>AND($R$482,$S$482)</formula>
    </cfRule>
  </conditionalFormatting>
  <conditionalFormatting sqref="W482">
    <cfRule type="expression" dxfId="173" priority="71">
      <formula>AND(IF($R$482,$W$482,TRUE),LEN(TRIM($W$482))&gt;0)</formula>
    </cfRule>
  </conditionalFormatting>
  <conditionalFormatting sqref="W482">
    <cfRule type="expression" dxfId="172" priority="70">
      <formula>OR($S$482 = FALSE, AND($P$482 = FALSE, ReportType &lt;&gt; "Final"), AND($Q$482 = FALSE, ReportType &lt;&gt; "Rough"))</formula>
    </cfRule>
  </conditionalFormatting>
  <conditionalFormatting sqref="W482">
    <cfRule type="expression" dxfId="171" priority="69">
      <formula>OR($T$482 = TRUE, AND($W$482 = TRUE, $S$482 = FALSE))</formula>
    </cfRule>
  </conditionalFormatting>
  <conditionalFormatting sqref="W484">
    <cfRule type="expression" dxfId="170" priority="68">
      <formula>AND($R$484,$S$484)</formula>
    </cfRule>
  </conditionalFormatting>
  <conditionalFormatting sqref="W484">
    <cfRule type="expression" dxfId="169" priority="67">
      <formula>AND(IF($R$484,$W$484,TRUE),LEN(TRIM($W$484))&gt;0)</formula>
    </cfRule>
  </conditionalFormatting>
  <conditionalFormatting sqref="W484">
    <cfRule type="expression" dxfId="168" priority="66">
      <formula>OR($S$484 = FALSE, AND($P$484 = FALSE, ReportType &lt;&gt; "Final"), AND($Q$484 = FALSE, ReportType &lt;&gt; "Rough"))</formula>
    </cfRule>
  </conditionalFormatting>
  <conditionalFormatting sqref="W484">
    <cfRule type="expression" dxfId="167" priority="65">
      <formula>OR($T$484 = TRUE, AND($W$484 = TRUE, $S$484 = FALSE))</formula>
    </cfRule>
  </conditionalFormatting>
  <conditionalFormatting sqref="W485">
    <cfRule type="expression" dxfId="166" priority="64">
      <formula>AND($R$485,$S$485)</formula>
    </cfRule>
  </conditionalFormatting>
  <conditionalFormatting sqref="W485">
    <cfRule type="expression" dxfId="165" priority="63">
      <formula>AND(IF($R$485,$W$485,TRUE),LEN(TRIM($W$485))&gt;0)</formula>
    </cfRule>
  </conditionalFormatting>
  <conditionalFormatting sqref="W485">
    <cfRule type="expression" dxfId="164" priority="62">
      <formula>OR($S$485 = FALSE, AND($P$485 = FALSE, ReportType &lt;&gt; "Final"), AND($Q$485 = FALSE, ReportType &lt;&gt; "Rough"))</formula>
    </cfRule>
  </conditionalFormatting>
  <conditionalFormatting sqref="W485">
    <cfRule type="expression" dxfId="163" priority="61">
      <formula>OR($T$485 = TRUE, AND($W$485 = TRUE, $S$485 = FALSE))</formula>
    </cfRule>
  </conditionalFormatting>
  <conditionalFormatting sqref="W487">
    <cfRule type="expression" dxfId="162" priority="60">
      <formula>AND($R$487,$S$487)</formula>
    </cfRule>
  </conditionalFormatting>
  <conditionalFormatting sqref="W487">
    <cfRule type="expression" dxfId="161" priority="59">
      <formula>AND(IF($R$487,$W$487,TRUE),LEN(TRIM($W$487))&gt;0)</formula>
    </cfRule>
  </conditionalFormatting>
  <conditionalFormatting sqref="W487">
    <cfRule type="expression" dxfId="160" priority="58">
      <formula>OR($S$487 = FALSE, AND($P$487 = FALSE, ReportType &lt;&gt; "Final"), AND($Q$487 = FALSE, ReportType &lt;&gt; "Rough"))</formula>
    </cfRule>
  </conditionalFormatting>
  <conditionalFormatting sqref="W487">
    <cfRule type="expression" dxfId="159" priority="57">
      <formula>OR($T$487 = TRUE, AND($W$487 = TRUE, $S$487 = FALSE))</formula>
    </cfRule>
  </conditionalFormatting>
  <conditionalFormatting sqref="W492">
    <cfRule type="expression" dxfId="158" priority="56">
      <formula>AND($R$492,$S$492)</formula>
    </cfRule>
  </conditionalFormatting>
  <conditionalFormatting sqref="W492">
    <cfRule type="expression" dxfId="157" priority="55">
      <formula>AND(IF($R$492,$W$492,TRUE),LEN(TRIM($W$492))&gt;0)</formula>
    </cfRule>
  </conditionalFormatting>
  <conditionalFormatting sqref="W492">
    <cfRule type="expression" dxfId="156" priority="54">
      <formula>OR($S$492 = FALSE, AND($P$492 = FALSE, ReportType &lt;&gt; "Final"), AND($Q$492 = FALSE, ReportType &lt;&gt; "Rough"))</formula>
    </cfRule>
  </conditionalFormatting>
  <conditionalFormatting sqref="W492">
    <cfRule type="expression" dxfId="155" priority="53">
      <formula>OR($T$492 = TRUE, AND($W$492 = TRUE, $S$492 = FALSE))</formula>
    </cfRule>
  </conditionalFormatting>
  <conditionalFormatting sqref="W501">
    <cfRule type="expression" dxfId="154" priority="52">
      <formula>AND($R$501,$S$501)</formula>
    </cfRule>
  </conditionalFormatting>
  <conditionalFormatting sqref="W501">
    <cfRule type="expression" dxfId="153" priority="51">
      <formula>AND(IF($R$501,$W$501,TRUE),LEN(TRIM($W$501))&gt;0)</formula>
    </cfRule>
  </conditionalFormatting>
  <conditionalFormatting sqref="W501">
    <cfRule type="expression" dxfId="152" priority="50">
      <formula>OR($S$501 = FALSE, AND($P$501 = FALSE, ReportType &lt;&gt; "Final"), AND($Q$501 = FALSE, ReportType &lt;&gt; "Rough"))</formula>
    </cfRule>
  </conditionalFormatting>
  <conditionalFormatting sqref="W501">
    <cfRule type="expression" dxfId="151" priority="49">
      <formula>OR($T$501 = TRUE, AND($W$501 = TRUE, $S$501 = FALSE))</formula>
    </cfRule>
  </conditionalFormatting>
  <conditionalFormatting sqref="W506">
    <cfRule type="expression" dxfId="150" priority="48">
      <formula>AND($R$506,$S$506)</formula>
    </cfRule>
  </conditionalFormatting>
  <conditionalFormatting sqref="W506">
    <cfRule type="expression" dxfId="149" priority="47">
      <formula>AND(IF($R$506,$W$506,TRUE),LEN(TRIM($W$506))&gt;0)</formula>
    </cfRule>
  </conditionalFormatting>
  <conditionalFormatting sqref="W506">
    <cfRule type="expression" dxfId="148" priority="46">
      <formula>OR($S$506 = FALSE, AND($P$506 = FALSE, ReportType &lt;&gt; "Final"), AND($Q$506 = FALSE, ReportType &lt;&gt; "Rough"))</formula>
    </cfRule>
  </conditionalFormatting>
  <conditionalFormatting sqref="W506">
    <cfRule type="expression" dxfId="147" priority="45">
      <formula>OR($T$506 = TRUE, AND($W$506 = TRUE, $S$506 = FALSE))</formula>
    </cfRule>
  </conditionalFormatting>
  <conditionalFormatting sqref="W507">
    <cfRule type="expression" dxfId="146" priority="44">
      <formula>AND($R$507,$S$507)</formula>
    </cfRule>
  </conditionalFormatting>
  <conditionalFormatting sqref="W507">
    <cfRule type="expression" dxfId="145" priority="43">
      <formula>AND(IF($R$507,$W$507,TRUE),LEN(TRIM($W$507))&gt;0)</formula>
    </cfRule>
  </conditionalFormatting>
  <conditionalFormatting sqref="W507">
    <cfRule type="expression" dxfId="144" priority="42">
      <formula>OR($S$507 = FALSE, AND($P$507 = FALSE, ReportType &lt;&gt; "Final"), AND($Q$507 = FALSE, ReportType &lt;&gt; "Rough"))</formula>
    </cfRule>
  </conditionalFormatting>
  <conditionalFormatting sqref="W507">
    <cfRule type="expression" dxfId="143" priority="41">
      <formula>OR($T$507 = TRUE, AND($W$507 = TRUE, $S$507 = FALSE))</formula>
    </cfRule>
  </conditionalFormatting>
  <conditionalFormatting sqref="W511">
    <cfRule type="expression" dxfId="142" priority="40">
      <formula>AND($R$511,$S$511)</formula>
    </cfRule>
  </conditionalFormatting>
  <conditionalFormatting sqref="W511">
    <cfRule type="expression" dxfId="141" priority="39">
      <formula>AND(IF($R$511,$W$511,TRUE),LEN(TRIM($W$511))&gt;0)</formula>
    </cfRule>
  </conditionalFormatting>
  <conditionalFormatting sqref="W511">
    <cfRule type="expression" dxfId="140" priority="38">
      <formula>OR($S$511 = FALSE, AND($P$511 = FALSE, ReportType &lt;&gt; "Final"), AND($Q$511 = FALSE, ReportType &lt;&gt; "Rough"))</formula>
    </cfRule>
  </conditionalFormatting>
  <conditionalFormatting sqref="W511">
    <cfRule type="expression" dxfId="139" priority="37">
      <formula>OR($T$511 = TRUE, AND($W$511 = TRUE, $S$511 = FALSE))</formula>
    </cfRule>
  </conditionalFormatting>
  <conditionalFormatting sqref="N421">
    <cfRule type="cellIs" dxfId="138" priority="36" operator="greaterThanOrEqual">
      <formula>5</formula>
    </cfRule>
  </conditionalFormatting>
  <conditionalFormatting sqref="W13">
    <cfRule type="expression" dxfId="137" priority="32">
      <formula>OR($T$13 = TRUE, AND(LEN(TRIM($W$13))&gt;0, $S$13 = FALSE))</formula>
    </cfRule>
    <cfRule type="expression" dxfId="136" priority="33">
      <formula>OR($S$13 = FALSE, AND($P$13 = FALSE, ReportType &lt;&gt; "Final"), AND($Q$13 = FALSE, ReportType &lt;&gt; "Rough"))</formula>
    </cfRule>
    <cfRule type="expression" dxfId="135" priority="34">
      <formula>AND($W$13&lt;&gt;"Not Met",LEN(TRIM($W$13))&gt;0)</formula>
    </cfRule>
    <cfRule type="expression" dxfId="134" priority="35">
      <formula>AND($R$13,$S$13)</formula>
    </cfRule>
  </conditionalFormatting>
  <conditionalFormatting sqref="W561">
    <cfRule type="expression" dxfId="133" priority="31">
      <formula>AND($R$561,$S$561)</formula>
    </cfRule>
  </conditionalFormatting>
  <conditionalFormatting sqref="W561">
    <cfRule type="expression" dxfId="132" priority="30">
      <formula>AND($W$561&lt;&gt;"Not Met",LEN(TRIM($W$561))&gt;0)</formula>
    </cfRule>
  </conditionalFormatting>
  <conditionalFormatting sqref="W561">
    <cfRule type="expression" dxfId="131" priority="29">
      <formula>OR($S$561 = FALSE, AND($P$561 = FALSE, ReportType &lt;&gt; "Final"), AND($Q$561 = FALSE, ReportType &lt;&gt; "Rough"))</formula>
    </cfRule>
  </conditionalFormatting>
  <conditionalFormatting sqref="W561">
    <cfRule type="expression" dxfId="130" priority="28">
      <formula>OR($T$561 = TRUE, AND(LEN(TRIM($W$561))&gt;0, $S$561 = FALSE))</formula>
    </cfRule>
  </conditionalFormatting>
  <conditionalFormatting sqref="W564">
    <cfRule type="expression" dxfId="129" priority="27">
      <formula>AND($R$564,$S$564)</formula>
    </cfRule>
  </conditionalFormatting>
  <conditionalFormatting sqref="W564">
    <cfRule type="expression" dxfId="128" priority="26">
      <formula>AND($W$564&lt;&gt;"Not Met",LEN(TRIM($W$564))&gt;0)</formula>
    </cfRule>
  </conditionalFormatting>
  <conditionalFormatting sqref="W564">
    <cfRule type="expression" dxfId="127" priority="25">
      <formula>OR($S$564 = FALSE, AND($P$564 = FALSE, ReportType &lt;&gt; "Final"), AND($Q$564 = FALSE, ReportType &lt;&gt; "Rough"))</formula>
    </cfRule>
  </conditionalFormatting>
  <conditionalFormatting sqref="W564">
    <cfRule type="expression" dxfId="126" priority="24">
      <formula>OR($T$564 = TRUE, AND(LEN(TRIM($W$564))&gt;0, $S$564 = FALSE))</formula>
    </cfRule>
  </conditionalFormatting>
  <conditionalFormatting sqref="W567">
    <cfRule type="expression" dxfId="125" priority="23">
      <formula>AND($R$567,$S$567)</formula>
    </cfRule>
  </conditionalFormatting>
  <conditionalFormatting sqref="W567">
    <cfRule type="expression" dxfId="124" priority="22">
      <formula>AND(IF($R$567,$W$567,TRUE),LEN(TRIM($W$567))&gt;0)</formula>
    </cfRule>
  </conditionalFormatting>
  <conditionalFormatting sqref="W567">
    <cfRule type="expression" dxfId="123" priority="21">
      <formula>OR($S$567 = FALSE, AND($P$567 = FALSE, ReportType &lt;&gt; "Final"), AND($Q$567 = FALSE, ReportType &lt;&gt; "Rough"))</formula>
    </cfRule>
  </conditionalFormatting>
  <conditionalFormatting sqref="W567">
    <cfRule type="expression" dxfId="122" priority="20">
      <formula>OR($T$567 = TRUE, AND($W$567 = TRUE, $S$567 = FALSE))</formula>
    </cfRule>
  </conditionalFormatting>
  <conditionalFormatting sqref="W605">
    <cfRule type="expression" dxfId="121" priority="19">
      <formula>AND($R$605,$S$605)</formula>
    </cfRule>
  </conditionalFormatting>
  <conditionalFormatting sqref="W605">
    <cfRule type="expression" dxfId="120" priority="18">
      <formula>AND(IF($R$605,$W$605,TRUE),LEN(TRIM($W$605))&gt;0)</formula>
    </cfRule>
  </conditionalFormatting>
  <conditionalFormatting sqref="W605">
    <cfRule type="expression" dxfId="119" priority="17">
      <formula>OR($S$605 = FALSE, AND($P$605 = FALSE, ReportType &lt;&gt; "Final"), AND($Q$605 = FALSE, ReportType &lt;&gt; "Rough"))</formula>
    </cfRule>
  </conditionalFormatting>
  <conditionalFormatting sqref="W605">
    <cfRule type="expression" dxfId="118" priority="16">
      <formula>OR($T$605 = TRUE, AND($W$605 = TRUE, $S$605 = FALSE))</formula>
    </cfRule>
  </conditionalFormatting>
  <conditionalFormatting sqref="W607">
    <cfRule type="expression" dxfId="117" priority="15">
      <formula>AND($R$607,$S$607)</formula>
    </cfRule>
  </conditionalFormatting>
  <conditionalFormatting sqref="W607">
    <cfRule type="expression" dxfId="116" priority="14">
      <formula>AND(IF($R$607,$W$607,TRUE),LEN(TRIM($W$607))&gt;0)</formula>
    </cfRule>
  </conditionalFormatting>
  <conditionalFormatting sqref="W607">
    <cfRule type="expression" dxfId="115" priority="13">
      <formula>OR($S$607 = FALSE, AND($P$607 = FALSE, ReportType &lt;&gt; "Final"), AND($Q$607 = FALSE, ReportType &lt;&gt; "Rough"))</formula>
    </cfRule>
  </conditionalFormatting>
  <conditionalFormatting sqref="W607">
    <cfRule type="expression" dxfId="114" priority="12">
      <formula>OR($T$607 = TRUE, AND($W$607 = TRUE, $S$607 = FALSE))</formula>
    </cfRule>
  </conditionalFormatting>
  <conditionalFormatting sqref="X3">
    <cfRule type="expression" dxfId="113" priority="652">
      <formula>$AH$2</formula>
    </cfRule>
  </conditionalFormatting>
  <conditionalFormatting sqref="X2">
    <cfRule type="expression" dxfId="112" priority="653">
      <formula>$AH$1</formula>
    </cfRule>
  </conditionalFormatting>
  <conditionalFormatting sqref="W324">
    <cfRule type="expression" dxfId="111" priority="11">
      <formula>AND($R$324,$S$324)</formula>
    </cfRule>
  </conditionalFormatting>
  <conditionalFormatting sqref="W324">
    <cfRule type="expression" dxfId="110" priority="10">
      <formula>AND($W$324&lt;&gt;"Not Met",LEN(TRIM($W$324))&gt;0)</formula>
    </cfRule>
  </conditionalFormatting>
  <conditionalFormatting sqref="W324">
    <cfRule type="expression" dxfId="109" priority="9">
      <formula>OR($S$324 = FALSE, AND($P$324 = FALSE, ReportType &lt;&gt; "Final"), AND($Q$324 = FALSE, ReportType &lt;&gt; "Rough"))</formula>
    </cfRule>
  </conditionalFormatting>
  <conditionalFormatting sqref="W324">
    <cfRule type="expression" dxfId="108" priority="8">
      <formula>OR($T$324 = TRUE, AND(LEN(TRIM($W$324))&gt;0, $S$324 = FALSE))</formula>
    </cfRule>
  </conditionalFormatting>
  <conditionalFormatting sqref="X353:X355">
    <cfRule type="expression" dxfId="107" priority="7">
      <formula>$R$353</formula>
    </cfRule>
  </conditionalFormatting>
  <conditionalFormatting sqref="X50:X52">
    <cfRule type="expression" dxfId="106" priority="6">
      <formula>R51</formula>
    </cfRule>
  </conditionalFormatting>
  <conditionalFormatting sqref="L5">
    <cfRule type="notContainsBlanks" dxfId="105" priority="5">
      <formula>LEN(TRIM(L5))&gt;0</formula>
    </cfRule>
  </conditionalFormatting>
  <conditionalFormatting sqref="W408">
    <cfRule type="expression" dxfId="104" priority="4">
      <formula>AND($R$408,$S$408)</formula>
    </cfRule>
  </conditionalFormatting>
  <conditionalFormatting sqref="W408">
    <cfRule type="expression" dxfId="103" priority="3">
      <formula>AND($W$408&lt;&gt;"Not Met",LEN(TRIM($W$408))&gt;0)</formula>
    </cfRule>
  </conditionalFormatting>
  <conditionalFormatting sqref="W408">
    <cfRule type="expression" dxfId="102" priority="2">
      <formula>OR($S$408 = FALSE, AND($P$408 = FALSE, ReportType &lt;&gt; "Final"), AND($Q$408 = FALSE, ReportType &lt;&gt; "Rough"))</formula>
    </cfRule>
  </conditionalFormatting>
  <conditionalFormatting sqref="W408">
    <cfRule type="expression" dxfId="101" priority="1">
      <formula>OR($T$408 = TRUE, AND(LEN(TRIM($W$408))&gt;0, $S$408 = FALSE))</formula>
    </cfRule>
  </conditionalFormatting>
  <dataValidations count="95">
    <dataValidation type="list" allowBlank="1" showInputMessage="1" showErrorMessage="1" error="Please use the dropdown." sqref="W408" xr:uid="{0A2BD75A-3407-4421-BBA9-24DC5F8AD535}">
      <formula1>INDIRECT($U$408)</formula1>
    </dataValidation>
    <dataValidation type="list" allowBlank="1" showInputMessage="1" showErrorMessage="1" sqref="L5" xr:uid="{9060F439-32E9-4165-A03D-CB73395433A6}">
      <formula1>"Rough, Final"</formula1>
    </dataValidation>
    <dataValidation type="list" allowBlank="1" showInputMessage="1" showErrorMessage="1" error="Please use the dropdown." sqref="W324" xr:uid="{B46C784A-E3F7-476D-980F-F4EA09AB7DA3}">
      <formula1>INDIRECT($U$324)</formula1>
    </dataValidation>
    <dataValidation type="list" allowBlank="1" showInputMessage="1" showErrorMessage="1" error="Please use the dropdown." sqref="W564" xr:uid="{FEF70E3D-ACA8-439F-AF6A-E28E8A2929DF}">
      <formula1>INDIRECT($U$564)</formula1>
    </dataValidation>
    <dataValidation type="list" allowBlank="1" showInputMessage="1" showErrorMessage="1" error="Please use the dropdown." sqref="W561" xr:uid="{ED44926A-E50E-44C1-B1BA-86D59848CAA7}">
      <formula1>INDIRECT($U$561)</formula1>
    </dataValidation>
    <dataValidation type="list" allowBlank="1" showInputMessage="1" showErrorMessage="1" error="Please use the dropdown." sqref="W13" xr:uid="{E2442587-1C8B-49E7-A727-B13A0FC4204B}">
      <formula1>INDIRECT($U$13)</formula1>
    </dataValidation>
    <dataValidation type="list" allowBlank="1" showInputMessage="1" showErrorMessage="1" error="Please use the dropdown." sqref="W434" xr:uid="{B63646BB-7C47-44AC-91F7-C60990F27C19}">
      <formula1>INDIRECT($U$434)</formula1>
    </dataValidation>
    <dataValidation type="list" allowBlank="1" showInputMessage="1" showErrorMessage="1" error="Please use the dropdown." sqref="W433" xr:uid="{06624ACA-9172-493B-B1AE-B902D3C2B4D3}">
      <formula1>INDIRECT($U$433)</formula1>
    </dataValidation>
    <dataValidation type="list" allowBlank="1" showInputMessage="1" showErrorMessage="1" error="Please use the dropdown." sqref="W432" xr:uid="{DF0C9D06-F409-421D-8CFA-84E5E25EA758}">
      <formula1>INDIRECT($U$432)</formula1>
    </dataValidation>
    <dataValidation type="list" allowBlank="1" showInputMessage="1" showErrorMessage="1" error="Please use the dropdown." sqref="W431" xr:uid="{3649F937-450D-407C-8A02-6F51F7AF9042}">
      <formula1>INDIRECT($U$431)</formula1>
    </dataValidation>
    <dataValidation type="list" allowBlank="1" showInputMessage="1" showErrorMessage="1" error="Please use the dropdown." sqref="W426" xr:uid="{08BC6533-9CD1-4890-8CC0-3A836565FCA6}">
      <formula1>INDIRECT($U$426)</formula1>
    </dataValidation>
    <dataValidation type="list" allowBlank="1" showInputMessage="1" showErrorMessage="1" error="Please use the dropdown." sqref="W143" xr:uid="{1D8F32D9-E1FB-41C9-8F6A-F65A3A62D6F6}">
      <formula1>INDIRECT($U$143)</formula1>
    </dataValidation>
    <dataValidation type="list" allowBlank="1" showInputMessage="1" showErrorMessage="1" error="Please use the dropdown." sqref="W155" xr:uid="{1AEEDF30-1EA6-49BB-8068-0D778AF9ADF7}">
      <formula1>INDIRECT($U$155)</formula1>
    </dataValidation>
    <dataValidation type="list" allowBlank="1" showInputMessage="1" showErrorMessage="1" error="Please use the dropdown." sqref="W152" xr:uid="{3B2F34DA-426E-49BE-B2EB-A34821D16966}">
      <formula1>INDIRECT($U$152)</formula1>
    </dataValidation>
    <dataValidation type="whole" allowBlank="1" showDropDown="1" showInputMessage="1" showErrorMessage="1" error="Enter a whole number" prompt="Enter number of products" sqref="W247 W237" xr:uid="{32692EB7-741C-4288-B215-3B87B151DE97}">
      <formula1>0</formula1>
      <formula2>20</formula2>
    </dataValidation>
    <dataValidation type="decimal" allowBlank="1" showDropDown="1" showInputMessage="1" showErrorMessage="1" error="Enter a percentage" prompt="Enter a percentage" sqref="W224 W253 W255 W257 W259 W457 W467:W468" xr:uid="{FDB30C95-5E37-41DF-95E0-4AC10F1B3981}">
      <formula1>0</formula1>
      <formula2>1</formula2>
    </dataValidation>
    <dataValidation type="list" allowBlank="1" showInputMessage="1" showErrorMessage="1" error="Please use the dropdown." sqref="W200" xr:uid="{AA07FF86-9444-46EA-BEEE-F4BDC59647D5}">
      <formula1>INDIRECT($U$200)</formula1>
    </dataValidation>
    <dataValidation type="list" allowBlank="1" showInputMessage="1" showErrorMessage="1" error="Please use the dropdown." sqref="W195" xr:uid="{DC0FCE9B-7D7A-4423-B762-CA36D58AE285}">
      <formula1>INDIRECT($U$195)</formula1>
    </dataValidation>
    <dataValidation type="list" allowBlank="1" showInputMessage="1" showErrorMessage="1" error="Please use the dropdown." sqref="W189" xr:uid="{C831C727-B007-4EED-842F-592CF44E0429}">
      <formula1>INDIRECT($U$189)</formula1>
    </dataValidation>
    <dataValidation type="list" allowBlank="1" showInputMessage="1" showErrorMessage="1" error="Please use the dropdown." sqref="W183" xr:uid="{13320355-2D21-4292-BBF0-AFCA9B46D0ED}">
      <formula1>INDIRECT($U$183)</formula1>
    </dataValidation>
    <dataValidation type="list" allowBlank="1" showInputMessage="1" showErrorMessage="1" error="Please use the dropdown." sqref="W177" xr:uid="{728179B8-1B10-43A8-AC37-00BD3D72EF9E}">
      <formula1>INDIRECT($U$177)</formula1>
    </dataValidation>
    <dataValidation type="list" allowBlank="1" showInputMessage="1" showErrorMessage="1" error="Please use the dropdown." sqref="W171" xr:uid="{EC1BC77F-C36F-46D2-BFEC-1CFEB9533B36}">
      <formula1>INDIRECT($U$171)</formula1>
    </dataValidation>
    <dataValidation type="list" allowBlank="1" showInputMessage="1" showErrorMessage="1" error="Please use the dropdown." sqref="W164" xr:uid="{6196C8FC-337A-47B6-90AB-1B03E694D1CA}">
      <formula1>INDIRECT($U$164)</formula1>
    </dataValidation>
    <dataValidation type="list" allowBlank="1" showInputMessage="1" showErrorMessage="1" error="Please use the dropdown." sqref="W137" xr:uid="{0F6C403F-E14E-4969-956F-AF6C934CA577}">
      <formula1>INDIRECT($U$137)</formula1>
    </dataValidation>
    <dataValidation type="list" allowBlank="1" showInputMessage="1" showErrorMessage="1" error="Please use the dropdown." sqref="W135" xr:uid="{939A92FE-C3C3-493F-9DC3-3EB788FA9883}">
      <formula1>INDIRECT($U$135)</formula1>
    </dataValidation>
    <dataValidation type="list" allowBlank="1" showInputMessage="1" showErrorMessage="1" error="Please use the dropdown." sqref="W134" xr:uid="{38887AAA-A27D-4007-B672-EB86947DC76C}">
      <formula1>INDIRECT($U$134)</formula1>
    </dataValidation>
    <dataValidation type="list" allowBlank="1" showInputMessage="1" showErrorMessage="1" error="Please use the dropdown." sqref="W132" xr:uid="{90BA44C8-8B73-4A9D-A20E-CB4AAC6E5F42}">
      <formula1>INDIRECT($U$132)</formula1>
    </dataValidation>
    <dataValidation type="list" allowBlank="1" showInputMessage="1" showErrorMessage="1" error="Please use the dropdown." sqref="W131" xr:uid="{D4EC0B12-00ED-431D-825A-0325C287C755}">
      <formula1>INDIRECT($U$131)</formula1>
    </dataValidation>
    <dataValidation type="list" allowBlank="1" showInputMessage="1" showErrorMessage="1" error="Please use the dropdown." sqref="W107" xr:uid="{5D0823B2-34B9-4288-8A4B-5DC5ACAE6DF9}">
      <formula1>INDIRECT($U$107)</formula1>
    </dataValidation>
    <dataValidation type="list" allowBlank="1" showInputMessage="1" showErrorMessage="1" error="Please use the dropdown." sqref="W106" xr:uid="{68107B40-0C8E-4EEB-B5E1-BCB6B577FEDE}">
      <formula1>INDIRECT($U$106)</formula1>
    </dataValidation>
    <dataValidation type="list" allowBlank="1" showInputMessage="1" showErrorMessage="1" error="Please use the dropdown." sqref="W105" xr:uid="{3C999CB1-BA1E-4C8C-9695-9AEDFA11EC3C}">
      <formula1>INDIRECT($U$105)</formula1>
    </dataValidation>
    <dataValidation type="list" allowBlank="1" showInputMessage="1" showErrorMessage="1" error="Please use the dropdown." sqref="W104" xr:uid="{F5CFACF9-4532-49FF-A13C-9E854311BA66}">
      <formula1>INDIRECT($U$104)</formula1>
    </dataValidation>
    <dataValidation type="list" allowBlank="1" showInputMessage="1" showErrorMessage="1" error="Please use the dropdown." sqref="W103" xr:uid="{F540EBBA-3D0B-4530-AF26-534E0E98BC3E}">
      <formula1>INDIRECT($U$103)</formula1>
    </dataValidation>
    <dataValidation type="list" allowBlank="1" showInputMessage="1" showErrorMessage="1" error="Please use the dropdown." sqref="W102" xr:uid="{AC2432A9-1E90-4AC8-8408-A8D18A9433A0}">
      <formula1>INDIRECT($U$102)</formula1>
    </dataValidation>
    <dataValidation type="list" allowBlank="1" showInputMessage="1" showErrorMessage="1" error="Please use the dropdown." sqref="W101" xr:uid="{F4250419-76E0-450B-AB27-234F19D76DD3}">
      <formula1>INDIRECT($U$101)</formula1>
    </dataValidation>
    <dataValidation type="list" allowBlank="1" showInputMessage="1" showErrorMessage="1" error="Please use the dropdown." sqref="W100" xr:uid="{39AD5ACA-9752-4306-813C-AA5626AF8A2B}">
      <formula1>INDIRECT($U$100)</formula1>
    </dataValidation>
    <dataValidation type="list" allowBlank="1" showInputMessage="1" showErrorMessage="1" error="Please use the dropdown." sqref="W414" xr:uid="{0B4268EC-C64B-4C17-A7F9-A683156D36F6}">
      <formula1>INDIRECT($U$414)</formula1>
    </dataValidation>
    <dataValidation type="list" allowBlank="1" showInputMessage="1" showErrorMessage="1" error="Please use the dropdown." sqref="W43" xr:uid="{85A72BBE-ECA5-46A7-ACD4-87D3CCA96D56}">
      <formula1>INDIRECT($U$43)</formula1>
    </dataValidation>
    <dataValidation type="list" allowBlank="1" showInputMessage="1" showErrorMessage="1" error="Please use the dropdown." sqref="W46" xr:uid="{C49B84E3-81FC-4F3A-A30A-DB5AD5BE15EA}">
      <formula1>INDIRECT($U$46)</formula1>
    </dataValidation>
    <dataValidation type="list" allowBlank="1" showInputMessage="1" showErrorMessage="1" error="Please use the dropdown." sqref="W48" xr:uid="{3EF0817A-87D2-488A-A49A-859A1219A3F6}">
      <formula1>INDIRECT($U$48)</formula1>
    </dataValidation>
    <dataValidation type="list" allowBlank="1" showInputMessage="1" showErrorMessage="1" error="Please use the dropdown." sqref="W50" xr:uid="{8E50DB44-94EF-404F-8078-6EDE36583A85}">
      <formula1>INDIRECT($U$50)</formula1>
    </dataValidation>
    <dataValidation type="list" allowBlank="1" showInputMessage="1" showErrorMessage="1" error="Please use the dropdown." sqref="W59" xr:uid="{70E12AEA-8050-47C3-8FC7-D4423C62F482}">
      <formula1>INDIRECT($U$59)</formula1>
    </dataValidation>
    <dataValidation type="list" allowBlank="1" showInputMessage="1" showErrorMessage="1" error="Please use the dropdown." sqref="W60" xr:uid="{13CFA6E7-C09B-481C-BEE8-69EF2995357A}">
      <formula1>INDIRECT($U$60)</formula1>
    </dataValidation>
    <dataValidation type="list" allowBlank="1" showInputMessage="1" showErrorMessage="1" error="Please use the dropdown." sqref="W61" xr:uid="{3F6C2B71-F668-40B8-803B-FB8D3F92A5BC}">
      <formula1>INDIRECT($U$61)</formula1>
    </dataValidation>
    <dataValidation type="list" allowBlank="1" showInputMessage="1" showErrorMessage="1" error="Please use the dropdown." sqref="W62" xr:uid="{0D9C4BFA-EBA2-4B3D-BD35-7C0D658FDFFB}">
      <formula1>INDIRECT($U$62)</formula1>
    </dataValidation>
    <dataValidation type="list" allowBlank="1" showInputMessage="1" showErrorMessage="1" error="Please use the dropdown." sqref="W64" xr:uid="{22C07D3F-93BF-4AAD-8F37-7A7AC3B5AC37}">
      <formula1>INDIRECT($U$64)</formula1>
    </dataValidation>
    <dataValidation type="list" allowBlank="1" showInputMessage="1" showErrorMessage="1" error="Please use the dropdown." sqref="W65" xr:uid="{A664EF90-6257-4E15-A498-0D34BD1DDA48}">
      <formula1>INDIRECT($U$65)</formula1>
    </dataValidation>
    <dataValidation type="list" allowBlank="1" showInputMessage="1" showErrorMessage="1" error="Please use the dropdown." sqref="W66" xr:uid="{E3F7115F-29C7-4FAC-9A7A-DA232445DA60}">
      <formula1>INDIRECT($U$66)</formula1>
    </dataValidation>
    <dataValidation type="list" allowBlank="1" showInputMessage="1" showErrorMessage="1" error="Please use the dropdown." sqref="W67" xr:uid="{2960C924-3151-4CDE-823F-919AF6F55AA9}">
      <formula1>INDIRECT($U$67)</formula1>
    </dataValidation>
    <dataValidation type="list" allowBlank="1" showInputMessage="1" showErrorMessage="1" error="Please use the dropdown." sqref="W68" xr:uid="{5F3CC9DF-4E0E-40B3-A3E7-B8C95F688548}">
      <formula1>INDIRECT($U$68)</formula1>
    </dataValidation>
    <dataValidation type="list" allowBlank="1" showInputMessage="1" showErrorMessage="1" error="Please use the dropdown." sqref="W69" xr:uid="{764AFEB8-B46D-437A-B7DF-B2CDDBDEDC1D}">
      <formula1>INDIRECT($U$69)</formula1>
    </dataValidation>
    <dataValidation type="list" allowBlank="1" showInputMessage="1" showErrorMessage="1" error="Please use the dropdown." sqref="W70" xr:uid="{4CD0E9BC-A215-4DC1-B3F7-5809EEA7EFFB}">
      <formula1>INDIRECT($U$70)</formula1>
    </dataValidation>
    <dataValidation type="list" allowBlank="1" showInputMessage="1" showErrorMessage="1" error="Please use the dropdown." sqref="W72" xr:uid="{E5E8D913-5355-4484-A6D6-FD62547A274D}">
      <formula1>INDIRECT($U$72)</formula1>
    </dataValidation>
    <dataValidation type="list" allowBlank="1" showInputMessage="1" showErrorMessage="1" error="Please use the dropdown." sqref="W73" xr:uid="{59EFB275-9CCA-45B8-825E-726846D1B386}">
      <formula1>INDIRECT($U$73)</formula1>
    </dataValidation>
    <dataValidation type="list" allowBlank="1" showInputMessage="1" showErrorMessage="1" error="Please use the dropdown." sqref="W76" xr:uid="{0A3B3C46-7226-425D-A33E-5C81F96BCB97}">
      <formula1>INDIRECT($U$76)</formula1>
    </dataValidation>
    <dataValidation type="list" allowBlank="1" showInputMessage="1" showErrorMessage="1" error="Please use the dropdown." sqref="W286" xr:uid="{63D6ABB6-B2CC-4641-9A81-BDFA9583A28B}">
      <formula1>INDIRECT($U$286)</formula1>
    </dataValidation>
    <dataValidation type="list" allowBlank="1" showInputMessage="1" showErrorMessage="1" error="Please use the dropdown." sqref="W287" xr:uid="{C7B7C555-F34A-4B06-913C-9999D2F2D0EC}">
      <formula1>INDIRECT($U$287)</formula1>
    </dataValidation>
    <dataValidation type="list" allowBlank="1" showInputMessage="1" showErrorMessage="1" error="Please use the dropdown." sqref="W288" xr:uid="{8946187B-6198-4624-AC69-30F5FCE1DC23}">
      <formula1>INDIRECT($U$288)</formula1>
    </dataValidation>
    <dataValidation type="list" allowBlank="1" showInputMessage="1" showErrorMessage="1" error="Please use the dropdown." sqref="W289" xr:uid="{EEE13BA2-5940-4EDB-A1DD-3CE84BF7CAE2}">
      <formula1>INDIRECT($U$289)</formula1>
    </dataValidation>
    <dataValidation type="list" allowBlank="1" showInputMessage="1" showErrorMessage="1" error="Please use the dropdown." sqref="W290" xr:uid="{96C85B3F-1D36-40A5-8FAD-7BA55294AF12}">
      <formula1>INDIRECT($U$290)</formula1>
    </dataValidation>
    <dataValidation type="list" allowBlank="1" showInputMessage="1" showErrorMessage="1" error="Please use the dropdown." sqref="W291" xr:uid="{C4FE4402-096D-4B1A-BB4F-55B711464059}">
      <formula1>INDIRECT($U$291)</formula1>
    </dataValidation>
    <dataValidation type="list" allowBlank="1" showInputMessage="1" showErrorMessage="1" error="Please use the dropdown." sqref="W292" xr:uid="{AAA0E090-03B1-4AAD-ACBC-86D01301F0D2}">
      <formula1>INDIRECT($U$292)</formula1>
    </dataValidation>
    <dataValidation type="list" allowBlank="1" showInputMessage="1" showErrorMessage="1" error="Please use the dropdown." sqref="W293" xr:uid="{B954F8D2-B37C-41F0-9DA8-6E918C580155}">
      <formula1>INDIRECT($U$293)</formula1>
    </dataValidation>
    <dataValidation type="list" allowBlank="1" showInputMessage="1" showErrorMessage="1" error="Please use the dropdown." sqref="W294" xr:uid="{F5318327-1E64-45D6-BF7F-6A1F792071FD}">
      <formula1>INDIRECT($U$294)</formula1>
    </dataValidation>
    <dataValidation type="list" allowBlank="1" showInputMessage="1" showErrorMessage="1" error="Please use the dropdown." sqref="W295" xr:uid="{1A159F85-7D1F-459C-88F8-79736C21FC2E}">
      <formula1>INDIRECT($U$295)</formula1>
    </dataValidation>
    <dataValidation type="list" allowBlank="1" showInputMessage="1" showErrorMessage="1" error="Please use the dropdown." sqref="W296" xr:uid="{FC20E394-316D-4392-AC40-EB94373BE75F}">
      <formula1>INDIRECT($U$296)</formula1>
    </dataValidation>
    <dataValidation type="list" allowBlank="1" showInputMessage="1" showErrorMessage="1" error="Please use the dropdown." sqref="W297" xr:uid="{F8166F1C-E142-4462-9CD7-AD8B119EADF5}">
      <formula1>INDIRECT($U$297)</formula1>
    </dataValidation>
    <dataValidation type="list" allowBlank="1" showInputMessage="1" showErrorMessage="1" error="Please use the dropdown." sqref="W301" xr:uid="{D7DD339F-C5E7-45C7-8F66-754EFC8944B7}">
      <formula1>INDIRECT($U$301)</formula1>
    </dataValidation>
    <dataValidation type="list" allowBlank="1" showInputMessage="1" showErrorMessage="1" error="Please use the dropdown." sqref="W326" xr:uid="{1E495CB9-F473-43F6-9BC1-301C866683BF}">
      <formula1>INDIRECT($U$326)</formula1>
    </dataValidation>
    <dataValidation type="list" allowBlank="1" showInputMessage="1" showErrorMessage="1" error="Please use the dropdown." sqref="W332" xr:uid="{58C92FAA-7F15-4121-839E-88A04E959216}">
      <formula1>INDIRECT($U$332)</formula1>
    </dataValidation>
    <dataValidation type="list" allowBlank="1" showInputMessage="1" showErrorMessage="1" error="Please use the dropdown." sqref="W339" xr:uid="{2CC19710-4485-4E85-A4C3-4644A111E796}">
      <formula1>INDIRECT($U$339)</formula1>
    </dataValidation>
    <dataValidation type="list" allowBlank="1" showInputMessage="1" showErrorMessage="1" error="Please use the dropdown." sqref="W344" xr:uid="{210B2492-493D-4D0D-A51E-2CB650E2BD5D}">
      <formula1>INDIRECT($U$344)</formula1>
    </dataValidation>
    <dataValidation type="list" allowBlank="1" showInputMessage="1" showErrorMessage="1" error="Please use the dropdown." sqref="W347" xr:uid="{2718D8BE-395D-4A2C-BEEB-8E18112A1375}">
      <formula1>INDIRECT($U$347)</formula1>
    </dataValidation>
    <dataValidation type="list" allowBlank="1" showInputMessage="1" showErrorMessage="1" error="Please use the dropdown." sqref="W371" xr:uid="{05E18CD4-AFE2-4610-A513-4F4160537FE1}">
      <formula1>INDIRECT($U$371)</formula1>
    </dataValidation>
    <dataValidation type="list" allowBlank="1" showInputMessage="1" showErrorMessage="1" error="Please use the dropdown." sqref="W373" xr:uid="{CA71224C-4515-40DA-81C8-C3E48B3207B9}">
      <formula1>INDIRECT($U$373)</formula1>
    </dataValidation>
    <dataValidation type="list" allowBlank="1" showInputMessage="1" showErrorMessage="1" error="Please use the dropdown." sqref="W375" xr:uid="{273467CD-238E-442C-8EE4-90CFE914A250}">
      <formula1>INDIRECT($U$375)</formula1>
    </dataValidation>
    <dataValidation type="list" allowBlank="1" showInputMessage="1" showErrorMessage="1" error="Please use the dropdown." sqref="W377" xr:uid="{B0D43E27-5A57-4CC0-9096-CA20A2F01114}">
      <formula1>INDIRECT($U$377)</formula1>
    </dataValidation>
    <dataValidation type="list" allowBlank="1" showInputMessage="1" showErrorMessage="1" error="Please use the dropdown." sqref="W380" xr:uid="{D65ABAB6-1285-4E00-B9A0-03C393718901}">
      <formula1>INDIRECT($U$380)</formula1>
    </dataValidation>
    <dataValidation type="list" allowBlank="1" showInputMessage="1" showErrorMessage="1" error="Please use the dropdown." sqref="W384" xr:uid="{9DE65523-AD87-4D09-AC00-8EFEC325343E}">
      <formula1>INDIRECT($U$384)</formula1>
    </dataValidation>
    <dataValidation type="list" allowBlank="1" showInputMessage="1" showErrorMessage="1" error="Please use the dropdown." sqref="W391" xr:uid="{1322BE91-5FCF-4CBD-A951-E3B266946EE0}">
      <formula1>INDIRECT($U$391)</formula1>
    </dataValidation>
    <dataValidation type="list" allowBlank="1" showInputMessage="1" showErrorMessage="1" error="Please use the dropdown." sqref="W394" xr:uid="{E8EDC65D-1926-4083-BFEE-1666DD83D801}">
      <formula1>INDIRECT($U$394)</formula1>
    </dataValidation>
    <dataValidation type="list" allowBlank="1" showInputMessage="1" showErrorMessage="1" error="Please use the dropdown." sqref="W398" xr:uid="{8ABD4F1A-F475-4605-A7D4-3EE9259DD852}">
      <formula1>INDIRECT($U$398)</formula1>
    </dataValidation>
    <dataValidation type="list" allowBlank="1" showInputMessage="1" showErrorMessage="1" error="Please use the dropdown." sqref="W402" xr:uid="{20F5E5DF-1330-450B-961E-E99EF74C4D18}">
      <formula1>INDIRECT($U$402)</formula1>
    </dataValidation>
    <dataValidation type="list" allowBlank="1" showInputMessage="1" showErrorMessage="1" error="Please use the dropdown." sqref="W405" xr:uid="{78EF4931-17AD-4CA0-8D08-5D7379727FFA}">
      <formula1>INDIRECT($U$405)</formula1>
    </dataValidation>
    <dataValidation type="list" allowBlank="1" showInputMessage="1" showErrorMessage="1" error="Please use the dropdown." sqref="W516" xr:uid="{F2F70808-3DD5-44A1-BFB4-462C5BB6DEC5}">
      <formula1>INDIRECT($U$516)</formula1>
    </dataValidation>
    <dataValidation type="list" allowBlank="1" showInputMessage="1" showErrorMessage="1" error="Please use the dropdown." sqref="W520" xr:uid="{388DA256-174A-4D7C-961E-EE138555904F}">
      <formula1>INDIRECT($U$520)</formula1>
    </dataValidation>
    <dataValidation type="list" allowBlank="1" showInputMessage="1" showErrorMessage="1" error="Please use the dropdown." sqref="W525" xr:uid="{B58298D2-2E83-49D8-9E2A-20CB2E5E2FD7}">
      <formula1>INDIRECT($U$525)</formula1>
    </dataValidation>
    <dataValidation type="list" allowBlank="1" showInputMessage="1" showErrorMessage="1" error="Please use the dropdown." sqref="W528" xr:uid="{B4891F01-0093-4271-92A5-851B0097C2C6}">
      <formula1>INDIRECT($U$528)</formula1>
    </dataValidation>
    <dataValidation type="list" allowBlank="1" showInputMessage="1" showErrorMessage="1" error="Please use the dropdown." sqref="W531" xr:uid="{58AA1344-4502-4024-9C2C-231D815317AD}">
      <formula1>INDIRECT($U$531)</formula1>
    </dataValidation>
    <dataValidation type="list" allowBlank="1" showInputMessage="1" showErrorMessage="1" error="Please use the dropdown." sqref="W533" xr:uid="{DAEDB134-65E0-4C61-A0B0-8954B4826B5A}">
      <formula1>INDIRECT($U$533)</formula1>
    </dataValidation>
    <dataValidation type="list" allowBlank="1" showInputMessage="1" showErrorMessage="1" error="Please use the dropdown." sqref="W535" xr:uid="{6284CDBB-9202-4540-B4EF-4498E885E19D}">
      <formula1>INDIRECT($U$535)</formula1>
    </dataValidation>
    <dataValidation type="list" allowBlank="1" showInputMessage="1" showErrorMessage="1" error="Please use the dropdown." sqref="W539" xr:uid="{68DE7891-BE19-478B-8B06-6AC4EA2A9A78}">
      <formula1>INDIRECT($U$539)</formula1>
    </dataValidation>
    <dataValidation type="list" allowBlank="1" showInputMessage="1" showErrorMessage="1" error="Please use the dropdown." sqref="W548" xr:uid="{AE5F2923-75B3-487E-8F53-03EC7EE8AEB7}">
      <formula1>INDIRECT($U$548)</formula1>
    </dataValidation>
    <dataValidation type="list" allowBlank="1" showInputMessage="1" showErrorMessage="1" error="Please use the dropdown." sqref="W550" xr:uid="{BE3A2F9B-D9AB-4E14-BBA4-F56593717E00}">
      <formula1>INDIRECT($U$550)</formula1>
    </dataValidation>
    <dataValidation type="list" allowBlank="1" showDropDown="1" showInputMessage="1" showErrorMessage="1" error="Use Checkbox" prompt="Use Checkbox" sqref="W28 W643 W630 W567 W557 W555 W552 W545 W543 W445 W412 W308 W366 W357 W605 W317 W315 W311 W607 W304 W298 W278 W274 W264 W260 W95 W93 W91 W89 W86 W84 W82 W38 W35 W33 W31 W222 W220 W218 W216 W214 W211:W212 W511 W506:W507 W501 W492 W487 W484:W485 W482 W471 W447 W419:W420" xr:uid="{DB8BC138-FD0A-44C6-BF3B-9EC1E8F5C184}">
      <formula1>TorF</formula1>
    </dataValidation>
  </dataValidations>
  <hyperlinks>
    <hyperlink ref="M162:M175" location="'Table 610.1.2.1'!A1" display="per Table 610.1.2.1           10 Max" xr:uid="{837972F7-3F58-4F28-9687-E6252806DE5C}"/>
    <hyperlink ref="M176:M199" location="'Table 610.1.2.2'!A1" display="'Table 610.1.2.2'!A1" xr:uid="{F7D58BCA-0446-4BD3-90A9-49B6ACCBD271}"/>
    <hyperlink ref="L255" location="'Table 604.1'!A1" display="See Table 604.1" xr:uid="{DF147984-449A-437A-B04B-6844EB65288D}"/>
    <hyperlink ref="L486" location="'Table 901.9.1'!A1" display="See Table 901.9.1" xr:uid="{60DD9B7C-2B72-4CBF-A68E-68EAC61B4C7A}"/>
    <hyperlink ref="L491" location="'Table 901.9.2'!A1" display="See Table 901.9.2" xr:uid="{049C3FBA-B022-4BC3-B169-75A304F23CE9}"/>
    <hyperlink ref="L510" location="'Table 901.10(3)'!A1" display="See Table 901.10(3)" xr:uid="{D56038BF-B279-4697-B25F-75764DB457C6}"/>
    <hyperlink ref="L281" r:id="rId1" location="C402.4" xr:uid="{A4B24616-49E9-483A-9FCE-1D0883EF3B6F}"/>
  </hyperlinks>
  <pageMargins left="0.7" right="0.7" top="0.75" bottom="0.75" header="0.3" footer="0.3"/>
  <pageSetup scale="64" fitToHeight="0" orientation="portrait" r:id="rId2"/>
  <drawing r:id="rId3"/>
  <legacyDrawing r:id="rId4"/>
  <mc:AlternateContent xmlns:mc="http://schemas.openxmlformats.org/markup-compatibility/2006">
    <mc:Choice Requires="x14">
      <controls>
        <mc:AlternateContent xmlns:mc="http://schemas.openxmlformats.org/markup-compatibility/2006">
          <mc:Choice Requires="x14">
            <control shapeId="96257" r:id="rId5" name="Check Box 1">
              <controlPr locked="0" defaultSize="0" autoFill="0" autoLine="0" autoPict="0">
                <anchor moveWithCells="1" sizeWithCells="1">
                  <from>
                    <xdr:col>22</xdr:col>
                    <xdr:colOff>0</xdr:colOff>
                    <xdr:row>27</xdr:row>
                    <xdr:rowOff>0</xdr:rowOff>
                  </from>
                  <to>
                    <xdr:col>22</xdr:col>
                    <xdr:colOff>177800</xdr:colOff>
                    <xdr:row>27</xdr:row>
                    <xdr:rowOff>177800</xdr:rowOff>
                  </to>
                </anchor>
              </controlPr>
            </control>
          </mc:Choice>
        </mc:AlternateContent>
        <mc:AlternateContent xmlns:mc="http://schemas.openxmlformats.org/markup-compatibility/2006">
          <mc:Choice Requires="x14">
            <control shapeId="96258" r:id="rId6" name="Check Box 2">
              <controlPr locked="0" defaultSize="0" autoFill="0" autoLine="0" autoPict="0">
                <anchor moveWithCells="1" sizeWithCells="1">
                  <from>
                    <xdr:col>22</xdr:col>
                    <xdr:colOff>0</xdr:colOff>
                    <xdr:row>30</xdr:row>
                    <xdr:rowOff>0</xdr:rowOff>
                  </from>
                  <to>
                    <xdr:col>22</xdr:col>
                    <xdr:colOff>177800</xdr:colOff>
                    <xdr:row>30</xdr:row>
                    <xdr:rowOff>177800</xdr:rowOff>
                  </to>
                </anchor>
              </controlPr>
            </control>
          </mc:Choice>
        </mc:AlternateContent>
        <mc:AlternateContent xmlns:mc="http://schemas.openxmlformats.org/markup-compatibility/2006">
          <mc:Choice Requires="x14">
            <control shapeId="96259" r:id="rId7" name="Check Box 3">
              <controlPr locked="0" defaultSize="0" autoFill="0" autoLine="0" autoPict="0">
                <anchor moveWithCells="1" sizeWithCells="1">
                  <from>
                    <xdr:col>22</xdr:col>
                    <xdr:colOff>0</xdr:colOff>
                    <xdr:row>32</xdr:row>
                    <xdr:rowOff>0</xdr:rowOff>
                  </from>
                  <to>
                    <xdr:col>22</xdr:col>
                    <xdr:colOff>177800</xdr:colOff>
                    <xdr:row>32</xdr:row>
                    <xdr:rowOff>177800</xdr:rowOff>
                  </to>
                </anchor>
              </controlPr>
            </control>
          </mc:Choice>
        </mc:AlternateContent>
        <mc:AlternateContent xmlns:mc="http://schemas.openxmlformats.org/markup-compatibility/2006">
          <mc:Choice Requires="x14">
            <control shapeId="96260" r:id="rId8" name="Check Box 4">
              <controlPr locked="0" defaultSize="0" autoFill="0" autoLine="0" autoPict="0">
                <anchor moveWithCells="1" sizeWithCells="1">
                  <from>
                    <xdr:col>22</xdr:col>
                    <xdr:colOff>0</xdr:colOff>
                    <xdr:row>34</xdr:row>
                    <xdr:rowOff>0</xdr:rowOff>
                  </from>
                  <to>
                    <xdr:col>22</xdr:col>
                    <xdr:colOff>177800</xdr:colOff>
                    <xdr:row>34</xdr:row>
                    <xdr:rowOff>177800</xdr:rowOff>
                  </to>
                </anchor>
              </controlPr>
            </control>
          </mc:Choice>
        </mc:AlternateContent>
        <mc:AlternateContent xmlns:mc="http://schemas.openxmlformats.org/markup-compatibility/2006">
          <mc:Choice Requires="x14">
            <control shapeId="96261" r:id="rId9" name="Check Box 5">
              <controlPr locked="0" defaultSize="0" autoFill="0" autoLine="0" autoPict="0">
                <anchor moveWithCells="1" sizeWithCells="1">
                  <from>
                    <xdr:col>22</xdr:col>
                    <xdr:colOff>0</xdr:colOff>
                    <xdr:row>37</xdr:row>
                    <xdr:rowOff>0</xdr:rowOff>
                  </from>
                  <to>
                    <xdr:col>22</xdr:col>
                    <xdr:colOff>177800</xdr:colOff>
                    <xdr:row>37</xdr:row>
                    <xdr:rowOff>177800</xdr:rowOff>
                  </to>
                </anchor>
              </controlPr>
            </control>
          </mc:Choice>
        </mc:AlternateContent>
        <mc:AlternateContent xmlns:mc="http://schemas.openxmlformats.org/markup-compatibility/2006">
          <mc:Choice Requires="x14">
            <control shapeId="96262" r:id="rId10" name="Check Box 6">
              <controlPr locked="0" defaultSize="0" autoFill="0" autoLine="0" autoPict="0">
                <anchor moveWithCells="1" sizeWithCells="1">
                  <from>
                    <xdr:col>22</xdr:col>
                    <xdr:colOff>0</xdr:colOff>
                    <xdr:row>81</xdr:row>
                    <xdr:rowOff>0</xdr:rowOff>
                  </from>
                  <to>
                    <xdr:col>22</xdr:col>
                    <xdr:colOff>177800</xdr:colOff>
                    <xdr:row>81</xdr:row>
                    <xdr:rowOff>177800</xdr:rowOff>
                  </to>
                </anchor>
              </controlPr>
            </control>
          </mc:Choice>
        </mc:AlternateContent>
        <mc:AlternateContent xmlns:mc="http://schemas.openxmlformats.org/markup-compatibility/2006">
          <mc:Choice Requires="x14">
            <control shapeId="96263" r:id="rId11" name="Check Box 7">
              <controlPr locked="0" defaultSize="0" autoFill="0" autoLine="0" autoPict="0">
                <anchor moveWithCells="1" sizeWithCells="1">
                  <from>
                    <xdr:col>22</xdr:col>
                    <xdr:colOff>0</xdr:colOff>
                    <xdr:row>83</xdr:row>
                    <xdr:rowOff>0</xdr:rowOff>
                  </from>
                  <to>
                    <xdr:col>22</xdr:col>
                    <xdr:colOff>177800</xdr:colOff>
                    <xdr:row>83</xdr:row>
                    <xdr:rowOff>177800</xdr:rowOff>
                  </to>
                </anchor>
              </controlPr>
            </control>
          </mc:Choice>
        </mc:AlternateContent>
        <mc:AlternateContent xmlns:mc="http://schemas.openxmlformats.org/markup-compatibility/2006">
          <mc:Choice Requires="x14">
            <control shapeId="96264" r:id="rId12" name="Check Box 8">
              <controlPr locked="0" defaultSize="0" autoFill="0" autoLine="0" autoPict="0">
                <anchor moveWithCells="1" sizeWithCells="1">
                  <from>
                    <xdr:col>22</xdr:col>
                    <xdr:colOff>0</xdr:colOff>
                    <xdr:row>85</xdr:row>
                    <xdr:rowOff>0</xdr:rowOff>
                  </from>
                  <to>
                    <xdr:col>22</xdr:col>
                    <xdr:colOff>177800</xdr:colOff>
                    <xdr:row>85</xdr:row>
                    <xdr:rowOff>177800</xdr:rowOff>
                  </to>
                </anchor>
              </controlPr>
            </control>
          </mc:Choice>
        </mc:AlternateContent>
        <mc:AlternateContent xmlns:mc="http://schemas.openxmlformats.org/markup-compatibility/2006">
          <mc:Choice Requires="x14">
            <control shapeId="96265" r:id="rId13" name="Check Box 9">
              <controlPr locked="0" defaultSize="0" autoFill="0" autoLine="0" autoPict="0">
                <anchor moveWithCells="1" sizeWithCells="1">
                  <from>
                    <xdr:col>22</xdr:col>
                    <xdr:colOff>0</xdr:colOff>
                    <xdr:row>88</xdr:row>
                    <xdr:rowOff>0</xdr:rowOff>
                  </from>
                  <to>
                    <xdr:col>22</xdr:col>
                    <xdr:colOff>177800</xdr:colOff>
                    <xdr:row>88</xdr:row>
                    <xdr:rowOff>177800</xdr:rowOff>
                  </to>
                </anchor>
              </controlPr>
            </control>
          </mc:Choice>
        </mc:AlternateContent>
        <mc:AlternateContent xmlns:mc="http://schemas.openxmlformats.org/markup-compatibility/2006">
          <mc:Choice Requires="x14">
            <control shapeId="96266" r:id="rId14" name="Check Box 10">
              <controlPr locked="0" defaultSize="0" autoFill="0" autoLine="0" autoPict="0">
                <anchor moveWithCells="1" sizeWithCells="1">
                  <from>
                    <xdr:col>22</xdr:col>
                    <xdr:colOff>0</xdr:colOff>
                    <xdr:row>90</xdr:row>
                    <xdr:rowOff>0</xdr:rowOff>
                  </from>
                  <to>
                    <xdr:col>22</xdr:col>
                    <xdr:colOff>177800</xdr:colOff>
                    <xdr:row>90</xdr:row>
                    <xdr:rowOff>177800</xdr:rowOff>
                  </to>
                </anchor>
              </controlPr>
            </control>
          </mc:Choice>
        </mc:AlternateContent>
        <mc:AlternateContent xmlns:mc="http://schemas.openxmlformats.org/markup-compatibility/2006">
          <mc:Choice Requires="x14">
            <control shapeId="96267" r:id="rId15" name="Check Box 11">
              <controlPr locked="0" defaultSize="0" autoFill="0" autoLine="0" autoPict="0">
                <anchor moveWithCells="1" sizeWithCells="1">
                  <from>
                    <xdr:col>22</xdr:col>
                    <xdr:colOff>0</xdr:colOff>
                    <xdr:row>92</xdr:row>
                    <xdr:rowOff>0</xdr:rowOff>
                  </from>
                  <to>
                    <xdr:col>22</xdr:col>
                    <xdr:colOff>177800</xdr:colOff>
                    <xdr:row>92</xdr:row>
                    <xdr:rowOff>177800</xdr:rowOff>
                  </to>
                </anchor>
              </controlPr>
            </control>
          </mc:Choice>
        </mc:AlternateContent>
        <mc:AlternateContent xmlns:mc="http://schemas.openxmlformats.org/markup-compatibility/2006">
          <mc:Choice Requires="x14">
            <control shapeId="96268" r:id="rId16" name="Check Box 12">
              <controlPr locked="0" defaultSize="0" autoFill="0" autoLine="0" autoPict="0">
                <anchor moveWithCells="1" sizeWithCells="1">
                  <from>
                    <xdr:col>22</xdr:col>
                    <xdr:colOff>0</xdr:colOff>
                    <xdr:row>94</xdr:row>
                    <xdr:rowOff>0</xdr:rowOff>
                  </from>
                  <to>
                    <xdr:col>22</xdr:col>
                    <xdr:colOff>177800</xdr:colOff>
                    <xdr:row>94</xdr:row>
                    <xdr:rowOff>177800</xdr:rowOff>
                  </to>
                </anchor>
              </controlPr>
            </control>
          </mc:Choice>
        </mc:AlternateContent>
        <mc:AlternateContent xmlns:mc="http://schemas.openxmlformats.org/markup-compatibility/2006">
          <mc:Choice Requires="x14">
            <control shapeId="96269" r:id="rId17" name="Check Box 13">
              <controlPr locked="0" defaultSize="0" autoFill="0" autoLine="0" autoPict="0">
                <anchor moveWithCells="1" sizeWithCells="1">
                  <from>
                    <xdr:col>22</xdr:col>
                    <xdr:colOff>0</xdr:colOff>
                    <xdr:row>259</xdr:row>
                    <xdr:rowOff>0</xdr:rowOff>
                  </from>
                  <to>
                    <xdr:col>22</xdr:col>
                    <xdr:colOff>177800</xdr:colOff>
                    <xdr:row>259</xdr:row>
                    <xdr:rowOff>177800</xdr:rowOff>
                  </to>
                </anchor>
              </controlPr>
            </control>
          </mc:Choice>
        </mc:AlternateContent>
        <mc:AlternateContent xmlns:mc="http://schemas.openxmlformats.org/markup-compatibility/2006">
          <mc:Choice Requires="x14">
            <control shapeId="96270" r:id="rId18" name="Check Box 14">
              <controlPr locked="0" defaultSize="0" autoFill="0" autoLine="0" autoPict="0">
                <anchor moveWithCells="1" sizeWithCells="1">
                  <from>
                    <xdr:col>22</xdr:col>
                    <xdr:colOff>0</xdr:colOff>
                    <xdr:row>263</xdr:row>
                    <xdr:rowOff>0</xdr:rowOff>
                  </from>
                  <to>
                    <xdr:col>22</xdr:col>
                    <xdr:colOff>177800</xdr:colOff>
                    <xdr:row>263</xdr:row>
                    <xdr:rowOff>177800</xdr:rowOff>
                  </to>
                </anchor>
              </controlPr>
            </control>
          </mc:Choice>
        </mc:AlternateContent>
        <mc:AlternateContent xmlns:mc="http://schemas.openxmlformats.org/markup-compatibility/2006">
          <mc:Choice Requires="x14">
            <control shapeId="96271" r:id="rId19" name="Check Box 15">
              <controlPr locked="0" defaultSize="0" autoFill="0" autoLine="0" autoPict="0">
                <anchor moveWithCells="1" sizeWithCells="1">
                  <from>
                    <xdr:col>22</xdr:col>
                    <xdr:colOff>0</xdr:colOff>
                    <xdr:row>273</xdr:row>
                    <xdr:rowOff>0</xdr:rowOff>
                  </from>
                  <to>
                    <xdr:col>22</xdr:col>
                    <xdr:colOff>177800</xdr:colOff>
                    <xdr:row>273</xdr:row>
                    <xdr:rowOff>177800</xdr:rowOff>
                  </to>
                </anchor>
              </controlPr>
            </control>
          </mc:Choice>
        </mc:AlternateContent>
        <mc:AlternateContent xmlns:mc="http://schemas.openxmlformats.org/markup-compatibility/2006">
          <mc:Choice Requires="x14">
            <control shapeId="96272" r:id="rId20" name="Check Box 16">
              <controlPr locked="0" defaultSize="0" autoFill="0" autoLine="0" autoPict="0">
                <anchor moveWithCells="1" sizeWithCells="1">
                  <from>
                    <xdr:col>22</xdr:col>
                    <xdr:colOff>0</xdr:colOff>
                    <xdr:row>277</xdr:row>
                    <xdr:rowOff>0</xdr:rowOff>
                  </from>
                  <to>
                    <xdr:col>22</xdr:col>
                    <xdr:colOff>177800</xdr:colOff>
                    <xdr:row>277</xdr:row>
                    <xdr:rowOff>177800</xdr:rowOff>
                  </to>
                </anchor>
              </controlPr>
            </control>
          </mc:Choice>
        </mc:AlternateContent>
        <mc:AlternateContent xmlns:mc="http://schemas.openxmlformats.org/markup-compatibility/2006">
          <mc:Choice Requires="x14">
            <control shapeId="96273" r:id="rId21" name="Check Box 17">
              <controlPr locked="0" defaultSize="0" autoFill="0" autoLine="0" autoPict="0">
                <anchor moveWithCells="1" sizeWithCells="1">
                  <from>
                    <xdr:col>22</xdr:col>
                    <xdr:colOff>0</xdr:colOff>
                    <xdr:row>297</xdr:row>
                    <xdr:rowOff>0</xdr:rowOff>
                  </from>
                  <to>
                    <xdr:col>22</xdr:col>
                    <xdr:colOff>177800</xdr:colOff>
                    <xdr:row>297</xdr:row>
                    <xdr:rowOff>177800</xdr:rowOff>
                  </to>
                </anchor>
              </controlPr>
            </control>
          </mc:Choice>
        </mc:AlternateContent>
        <mc:AlternateContent xmlns:mc="http://schemas.openxmlformats.org/markup-compatibility/2006">
          <mc:Choice Requires="x14">
            <control shapeId="96274" r:id="rId22" name="Check Box 18">
              <controlPr locked="0" defaultSize="0" autoFill="0" autoLine="0" autoPict="0">
                <anchor moveWithCells="1" sizeWithCells="1">
                  <from>
                    <xdr:col>22</xdr:col>
                    <xdr:colOff>0</xdr:colOff>
                    <xdr:row>303</xdr:row>
                    <xdr:rowOff>0</xdr:rowOff>
                  </from>
                  <to>
                    <xdr:col>22</xdr:col>
                    <xdr:colOff>177800</xdr:colOff>
                    <xdr:row>303</xdr:row>
                    <xdr:rowOff>177800</xdr:rowOff>
                  </to>
                </anchor>
              </controlPr>
            </control>
          </mc:Choice>
        </mc:AlternateContent>
        <mc:AlternateContent xmlns:mc="http://schemas.openxmlformats.org/markup-compatibility/2006">
          <mc:Choice Requires="x14">
            <control shapeId="96275" r:id="rId23" name="Check Box 19">
              <controlPr locked="0" defaultSize="0" autoFill="0" autoLine="0" autoPict="0">
                <anchor moveWithCells="1" sizeWithCells="1">
                  <from>
                    <xdr:col>22</xdr:col>
                    <xdr:colOff>0</xdr:colOff>
                    <xdr:row>307</xdr:row>
                    <xdr:rowOff>0</xdr:rowOff>
                  </from>
                  <to>
                    <xdr:col>22</xdr:col>
                    <xdr:colOff>177800</xdr:colOff>
                    <xdr:row>307</xdr:row>
                    <xdr:rowOff>177800</xdr:rowOff>
                  </to>
                </anchor>
              </controlPr>
            </control>
          </mc:Choice>
        </mc:AlternateContent>
        <mc:AlternateContent xmlns:mc="http://schemas.openxmlformats.org/markup-compatibility/2006">
          <mc:Choice Requires="x14">
            <control shapeId="96276" r:id="rId24" name="Check Box 20">
              <controlPr locked="0" defaultSize="0" autoFill="0" autoLine="0" autoPict="0">
                <anchor moveWithCells="1" sizeWithCells="1">
                  <from>
                    <xdr:col>22</xdr:col>
                    <xdr:colOff>0</xdr:colOff>
                    <xdr:row>310</xdr:row>
                    <xdr:rowOff>0</xdr:rowOff>
                  </from>
                  <to>
                    <xdr:col>22</xdr:col>
                    <xdr:colOff>177800</xdr:colOff>
                    <xdr:row>310</xdr:row>
                    <xdr:rowOff>177800</xdr:rowOff>
                  </to>
                </anchor>
              </controlPr>
            </control>
          </mc:Choice>
        </mc:AlternateContent>
        <mc:AlternateContent xmlns:mc="http://schemas.openxmlformats.org/markup-compatibility/2006">
          <mc:Choice Requires="x14">
            <control shapeId="96277" r:id="rId25" name="Check Box 21">
              <controlPr locked="0" defaultSize="0" autoFill="0" autoLine="0" autoPict="0">
                <anchor moveWithCells="1" sizeWithCells="1">
                  <from>
                    <xdr:col>22</xdr:col>
                    <xdr:colOff>0</xdr:colOff>
                    <xdr:row>314</xdr:row>
                    <xdr:rowOff>0</xdr:rowOff>
                  </from>
                  <to>
                    <xdr:col>22</xdr:col>
                    <xdr:colOff>177800</xdr:colOff>
                    <xdr:row>314</xdr:row>
                    <xdr:rowOff>177800</xdr:rowOff>
                  </to>
                </anchor>
              </controlPr>
            </control>
          </mc:Choice>
        </mc:AlternateContent>
        <mc:AlternateContent xmlns:mc="http://schemas.openxmlformats.org/markup-compatibility/2006">
          <mc:Choice Requires="x14">
            <control shapeId="96278" r:id="rId26" name="Check Box 22">
              <controlPr locked="0" defaultSize="0" autoFill="0" autoLine="0" autoPict="0">
                <anchor moveWithCells="1" sizeWithCells="1">
                  <from>
                    <xdr:col>22</xdr:col>
                    <xdr:colOff>0</xdr:colOff>
                    <xdr:row>316</xdr:row>
                    <xdr:rowOff>0</xdr:rowOff>
                  </from>
                  <to>
                    <xdr:col>22</xdr:col>
                    <xdr:colOff>177800</xdr:colOff>
                    <xdr:row>316</xdr:row>
                    <xdr:rowOff>177800</xdr:rowOff>
                  </to>
                </anchor>
              </controlPr>
            </control>
          </mc:Choice>
        </mc:AlternateContent>
        <mc:AlternateContent xmlns:mc="http://schemas.openxmlformats.org/markup-compatibility/2006">
          <mc:Choice Requires="x14">
            <control shapeId="96279" r:id="rId27" name="Check Box 23">
              <controlPr locked="0" defaultSize="0" autoFill="0" autoLine="0" autoPict="0">
                <anchor moveWithCells="1" sizeWithCells="1">
                  <from>
                    <xdr:col>22</xdr:col>
                    <xdr:colOff>0</xdr:colOff>
                    <xdr:row>356</xdr:row>
                    <xdr:rowOff>0</xdr:rowOff>
                  </from>
                  <to>
                    <xdr:col>22</xdr:col>
                    <xdr:colOff>177800</xdr:colOff>
                    <xdr:row>356</xdr:row>
                    <xdr:rowOff>177800</xdr:rowOff>
                  </to>
                </anchor>
              </controlPr>
            </control>
          </mc:Choice>
        </mc:AlternateContent>
        <mc:AlternateContent xmlns:mc="http://schemas.openxmlformats.org/markup-compatibility/2006">
          <mc:Choice Requires="x14">
            <control shapeId="96280" r:id="rId28" name="Check Box 24">
              <controlPr locked="0" defaultSize="0" autoFill="0" autoLine="0" autoPict="0">
                <anchor moveWithCells="1" sizeWithCells="1">
                  <from>
                    <xdr:col>22</xdr:col>
                    <xdr:colOff>0</xdr:colOff>
                    <xdr:row>365</xdr:row>
                    <xdr:rowOff>0</xdr:rowOff>
                  </from>
                  <to>
                    <xdr:col>22</xdr:col>
                    <xdr:colOff>177800</xdr:colOff>
                    <xdr:row>365</xdr:row>
                    <xdr:rowOff>177800</xdr:rowOff>
                  </to>
                </anchor>
              </controlPr>
            </control>
          </mc:Choice>
        </mc:AlternateContent>
        <mc:AlternateContent xmlns:mc="http://schemas.openxmlformats.org/markup-compatibility/2006">
          <mc:Choice Requires="x14">
            <control shapeId="96281" r:id="rId29" name="Check Box 25">
              <controlPr locked="0" defaultSize="0" autoFill="0" autoLine="0" autoPict="0">
                <anchor moveWithCells="1" sizeWithCells="1">
                  <from>
                    <xdr:col>22</xdr:col>
                    <xdr:colOff>0</xdr:colOff>
                    <xdr:row>411</xdr:row>
                    <xdr:rowOff>0</xdr:rowOff>
                  </from>
                  <to>
                    <xdr:col>22</xdr:col>
                    <xdr:colOff>177800</xdr:colOff>
                    <xdr:row>411</xdr:row>
                    <xdr:rowOff>177800</xdr:rowOff>
                  </to>
                </anchor>
              </controlPr>
            </control>
          </mc:Choice>
        </mc:AlternateContent>
        <mc:AlternateContent xmlns:mc="http://schemas.openxmlformats.org/markup-compatibility/2006">
          <mc:Choice Requires="x14">
            <control shapeId="96282" r:id="rId30" name="Check Box 26">
              <controlPr locked="0" defaultSize="0" autoFill="0" autoLine="0" autoPict="0">
                <anchor moveWithCells="1" sizeWithCells="1">
                  <from>
                    <xdr:col>22</xdr:col>
                    <xdr:colOff>0</xdr:colOff>
                    <xdr:row>418</xdr:row>
                    <xdr:rowOff>0</xdr:rowOff>
                  </from>
                  <to>
                    <xdr:col>22</xdr:col>
                    <xdr:colOff>177800</xdr:colOff>
                    <xdr:row>418</xdr:row>
                    <xdr:rowOff>177800</xdr:rowOff>
                  </to>
                </anchor>
              </controlPr>
            </control>
          </mc:Choice>
        </mc:AlternateContent>
        <mc:AlternateContent xmlns:mc="http://schemas.openxmlformats.org/markup-compatibility/2006">
          <mc:Choice Requires="x14">
            <control shapeId="96283" r:id="rId31" name="Check Box 27">
              <controlPr locked="0" defaultSize="0" autoFill="0" autoLine="0" autoPict="0">
                <anchor moveWithCells="1" sizeWithCells="1">
                  <from>
                    <xdr:col>22</xdr:col>
                    <xdr:colOff>0</xdr:colOff>
                    <xdr:row>419</xdr:row>
                    <xdr:rowOff>0</xdr:rowOff>
                  </from>
                  <to>
                    <xdr:col>22</xdr:col>
                    <xdr:colOff>177800</xdr:colOff>
                    <xdr:row>419</xdr:row>
                    <xdr:rowOff>177800</xdr:rowOff>
                  </to>
                </anchor>
              </controlPr>
            </control>
          </mc:Choice>
        </mc:AlternateContent>
        <mc:AlternateContent xmlns:mc="http://schemas.openxmlformats.org/markup-compatibility/2006">
          <mc:Choice Requires="x14">
            <control shapeId="96284" r:id="rId32" name="Check Box 28">
              <controlPr locked="0" defaultSize="0" autoFill="0" autoLine="0" autoPict="0">
                <anchor moveWithCells="1" sizeWithCells="1">
                  <from>
                    <xdr:col>22</xdr:col>
                    <xdr:colOff>0</xdr:colOff>
                    <xdr:row>542</xdr:row>
                    <xdr:rowOff>0</xdr:rowOff>
                  </from>
                  <to>
                    <xdr:col>22</xdr:col>
                    <xdr:colOff>177800</xdr:colOff>
                    <xdr:row>542</xdr:row>
                    <xdr:rowOff>177800</xdr:rowOff>
                  </to>
                </anchor>
              </controlPr>
            </control>
          </mc:Choice>
        </mc:AlternateContent>
        <mc:AlternateContent xmlns:mc="http://schemas.openxmlformats.org/markup-compatibility/2006">
          <mc:Choice Requires="x14">
            <control shapeId="96285" r:id="rId33" name="Check Box 29">
              <controlPr locked="0" defaultSize="0" autoFill="0" autoLine="0" autoPict="0">
                <anchor moveWithCells="1" sizeWithCells="1">
                  <from>
                    <xdr:col>22</xdr:col>
                    <xdr:colOff>0</xdr:colOff>
                    <xdr:row>544</xdr:row>
                    <xdr:rowOff>0</xdr:rowOff>
                  </from>
                  <to>
                    <xdr:col>22</xdr:col>
                    <xdr:colOff>177800</xdr:colOff>
                    <xdr:row>544</xdr:row>
                    <xdr:rowOff>177800</xdr:rowOff>
                  </to>
                </anchor>
              </controlPr>
            </control>
          </mc:Choice>
        </mc:AlternateContent>
        <mc:AlternateContent xmlns:mc="http://schemas.openxmlformats.org/markup-compatibility/2006">
          <mc:Choice Requires="x14">
            <control shapeId="96286" r:id="rId34" name="Check Box 30">
              <controlPr locked="0" defaultSize="0" autoFill="0" autoLine="0" autoPict="0">
                <anchor moveWithCells="1" sizeWithCells="1">
                  <from>
                    <xdr:col>22</xdr:col>
                    <xdr:colOff>0</xdr:colOff>
                    <xdr:row>551</xdr:row>
                    <xdr:rowOff>0</xdr:rowOff>
                  </from>
                  <to>
                    <xdr:col>22</xdr:col>
                    <xdr:colOff>177800</xdr:colOff>
                    <xdr:row>551</xdr:row>
                    <xdr:rowOff>177800</xdr:rowOff>
                  </to>
                </anchor>
              </controlPr>
            </control>
          </mc:Choice>
        </mc:AlternateContent>
        <mc:AlternateContent xmlns:mc="http://schemas.openxmlformats.org/markup-compatibility/2006">
          <mc:Choice Requires="x14">
            <control shapeId="96287" r:id="rId35" name="Check Box 31">
              <controlPr locked="0" defaultSize="0" autoFill="0" autoLine="0" autoPict="0">
                <anchor moveWithCells="1" sizeWithCells="1">
                  <from>
                    <xdr:col>22</xdr:col>
                    <xdr:colOff>0</xdr:colOff>
                    <xdr:row>554</xdr:row>
                    <xdr:rowOff>0</xdr:rowOff>
                  </from>
                  <to>
                    <xdr:col>22</xdr:col>
                    <xdr:colOff>177800</xdr:colOff>
                    <xdr:row>554</xdr:row>
                    <xdr:rowOff>177800</xdr:rowOff>
                  </to>
                </anchor>
              </controlPr>
            </control>
          </mc:Choice>
        </mc:AlternateContent>
        <mc:AlternateContent xmlns:mc="http://schemas.openxmlformats.org/markup-compatibility/2006">
          <mc:Choice Requires="x14">
            <control shapeId="96288" r:id="rId36" name="Check Box 32">
              <controlPr locked="0" defaultSize="0" autoFill="0" autoLine="0" autoPict="0">
                <anchor moveWithCells="1" sizeWithCells="1">
                  <from>
                    <xdr:col>22</xdr:col>
                    <xdr:colOff>0</xdr:colOff>
                    <xdr:row>556</xdr:row>
                    <xdr:rowOff>0</xdr:rowOff>
                  </from>
                  <to>
                    <xdr:col>22</xdr:col>
                    <xdr:colOff>177800</xdr:colOff>
                    <xdr:row>556</xdr:row>
                    <xdr:rowOff>177800</xdr:rowOff>
                  </to>
                </anchor>
              </controlPr>
            </control>
          </mc:Choice>
        </mc:AlternateContent>
        <mc:AlternateContent xmlns:mc="http://schemas.openxmlformats.org/markup-compatibility/2006">
          <mc:Choice Requires="x14">
            <control shapeId="96289" r:id="rId37" name="Check Box 33">
              <controlPr locked="0" defaultSize="0" autoFill="0" autoLine="0" autoPict="0">
                <anchor moveWithCells="1" sizeWithCells="1">
                  <from>
                    <xdr:col>22</xdr:col>
                    <xdr:colOff>0</xdr:colOff>
                    <xdr:row>629</xdr:row>
                    <xdr:rowOff>0</xdr:rowOff>
                  </from>
                  <to>
                    <xdr:col>22</xdr:col>
                    <xdr:colOff>177800</xdr:colOff>
                    <xdr:row>629</xdr:row>
                    <xdr:rowOff>177800</xdr:rowOff>
                  </to>
                </anchor>
              </controlPr>
            </control>
          </mc:Choice>
        </mc:AlternateContent>
        <mc:AlternateContent xmlns:mc="http://schemas.openxmlformats.org/markup-compatibility/2006">
          <mc:Choice Requires="x14">
            <control shapeId="96290" r:id="rId38" name="Check Box 34">
              <controlPr locked="0" defaultSize="0" autoFill="0" autoLine="0" autoPict="0">
                <anchor moveWithCells="1" sizeWithCells="1">
                  <from>
                    <xdr:col>22</xdr:col>
                    <xdr:colOff>0</xdr:colOff>
                    <xdr:row>642</xdr:row>
                    <xdr:rowOff>0</xdr:rowOff>
                  </from>
                  <to>
                    <xdr:col>22</xdr:col>
                    <xdr:colOff>177800</xdr:colOff>
                    <xdr:row>642</xdr:row>
                    <xdr:rowOff>177800</xdr:rowOff>
                  </to>
                </anchor>
              </controlPr>
            </control>
          </mc:Choice>
        </mc:AlternateContent>
        <mc:AlternateContent xmlns:mc="http://schemas.openxmlformats.org/markup-compatibility/2006">
          <mc:Choice Requires="x14">
            <control shapeId="96291" r:id="rId39" name="Check Box 35">
              <controlPr locked="0" defaultSize="0" autoFill="0" autoLine="0" autoPict="0">
                <anchor moveWithCells="1" sizeWithCells="1">
                  <from>
                    <xdr:col>22</xdr:col>
                    <xdr:colOff>0</xdr:colOff>
                    <xdr:row>210</xdr:row>
                    <xdr:rowOff>0</xdr:rowOff>
                  </from>
                  <to>
                    <xdr:col>22</xdr:col>
                    <xdr:colOff>177800</xdr:colOff>
                    <xdr:row>210</xdr:row>
                    <xdr:rowOff>177800</xdr:rowOff>
                  </to>
                </anchor>
              </controlPr>
            </control>
          </mc:Choice>
        </mc:AlternateContent>
        <mc:AlternateContent xmlns:mc="http://schemas.openxmlformats.org/markup-compatibility/2006">
          <mc:Choice Requires="x14">
            <control shapeId="96292" r:id="rId40" name="Check Box 36">
              <controlPr locked="0" defaultSize="0" autoFill="0" autoLine="0" autoPict="0">
                <anchor moveWithCells="1" sizeWithCells="1">
                  <from>
                    <xdr:col>22</xdr:col>
                    <xdr:colOff>0</xdr:colOff>
                    <xdr:row>211</xdr:row>
                    <xdr:rowOff>0</xdr:rowOff>
                  </from>
                  <to>
                    <xdr:col>22</xdr:col>
                    <xdr:colOff>177800</xdr:colOff>
                    <xdr:row>211</xdr:row>
                    <xdr:rowOff>177800</xdr:rowOff>
                  </to>
                </anchor>
              </controlPr>
            </control>
          </mc:Choice>
        </mc:AlternateContent>
        <mc:AlternateContent xmlns:mc="http://schemas.openxmlformats.org/markup-compatibility/2006">
          <mc:Choice Requires="x14">
            <control shapeId="96293" r:id="rId41" name="Check Box 37">
              <controlPr locked="0" defaultSize="0" autoFill="0" autoLine="0" autoPict="0">
                <anchor moveWithCells="1" sizeWithCells="1">
                  <from>
                    <xdr:col>22</xdr:col>
                    <xdr:colOff>0</xdr:colOff>
                    <xdr:row>213</xdr:row>
                    <xdr:rowOff>0</xdr:rowOff>
                  </from>
                  <to>
                    <xdr:col>22</xdr:col>
                    <xdr:colOff>177800</xdr:colOff>
                    <xdr:row>213</xdr:row>
                    <xdr:rowOff>177800</xdr:rowOff>
                  </to>
                </anchor>
              </controlPr>
            </control>
          </mc:Choice>
        </mc:AlternateContent>
        <mc:AlternateContent xmlns:mc="http://schemas.openxmlformats.org/markup-compatibility/2006">
          <mc:Choice Requires="x14">
            <control shapeId="96294" r:id="rId42" name="Check Box 38">
              <controlPr locked="0" defaultSize="0" autoFill="0" autoLine="0" autoPict="0">
                <anchor moveWithCells="1" sizeWithCells="1">
                  <from>
                    <xdr:col>22</xdr:col>
                    <xdr:colOff>0</xdr:colOff>
                    <xdr:row>215</xdr:row>
                    <xdr:rowOff>0</xdr:rowOff>
                  </from>
                  <to>
                    <xdr:col>22</xdr:col>
                    <xdr:colOff>177800</xdr:colOff>
                    <xdr:row>215</xdr:row>
                    <xdr:rowOff>177800</xdr:rowOff>
                  </to>
                </anchor>
              </controlPr>
            </control>
          </mc:Choice>
        </mc:AlternateContent>
        <mc:AlternateContent xmlns:mc="http://schemas.openxmlformats.org/markup-compatibility/2006">
          <mc:Choice Requires="x14">
            <control shapeId="96295" r:id="rId43" name="Check Box 39">
              <controlPr locked="0" defaultSize="0" autoFill="0" autoLine="0" autoPict="0">
                <anchor moveWithCells="1" sizeWithCells="1">
                  <from>
                    <xdr:col>22</xdr:col>
                    <xdr:colOff>0</xdr:colOff>
                    <xdr:row>217</xdr:row>
                    <xdr:rowOff>0</xdr:rowOff>
                  </from>
                  <to>
                    <xdr:col>22</xdr:col>
                    <xdr:colOff>177800</xdr:colOff>
                    <xdr:row>217</xdr:row>
                    <xdr:rowOff>177800</xdr:rowOff>
                  </to>
                </anchor>
              </controlPr>
            </control>
          </mc:Choice>
        </mc:AlternateContent>
        <mc:AlternateContent xmlns:mc="http://schemas.openxmlformats.org/markup-compatibility/2006">
          <mc:Choice Requires="x14">
            <control shapeId="96296" r:id="rId44" name="Check Box 40">
              <controlPr locked="0" defaultSize="0" autoFill="0" autoLine="0" autoPict="0">
                <anchor moveWithCells="1" sizeWithCells="1">
                  <from>
                    <xdr:col>22</xdr:col>
                    <xdr:colOff>0</xdr:colOff>
                    <xdr:row>219</xdr:row>
                    <xdr:rowOff>0</xdr:rowOff>
                  </from>
                  <to>
                    <xdr:col>22</xdr:col>
                    <xdr:colOff>177800</xdr:colOff>
                    <xdr:row>219</xdr:row>
                    <xdr:rowOff>177800</xdr:rowOff>
                  </to>
                </anchor>
              </controlPr>
            </control>
          </mc:Choice>
        </mc:AlternateContent>
        <mc:AlternateContent xmlns:mc="http://schemas.openxmlformats.org/markup-compatibility/2006">
          <mc:Choice Requires="x14">
            <control shapeId="96297" r:id="rId45" name="Check Box 41">
              <controlPr locked="0" defaultSize="0" autoFill="0" autoLine="0" autoPict="0">
                <anchor moveWithCells="1" sizeWithCells="1">
                  <from>
                    <xdr:col>22</xdr:col>
                    <xdr:colOff>0</xdr:colOff>
                    <xdr:row>221</xdr:row>
                    <xdr:rowOff>0</xdr:rowOff>
                  </from>
                  <to>
                    <xdr:col>22</xdr:col>
                    <xdr:colOff>177800</xdr:colOff>
                    <xdr:row>221</xdr:row>
                    <xdr:rowOff>177800</xdr:rowOff>
                  </to>
                </anchor>
              </controlPr>
            </control>
          </mc:Choice>
        </mc:AlternateContent>
        <mc:AlternateContent xmlns:mc="http://schemas.openxmlformats.org/markup-compatibility/2006">
          <mc:Choice Requires="x14">
            <control shapeId="96298" r:id="rId46" name="Check Box 42">
              <controlPr locked="0" defaultSize="0" autoFill="0" autoLine="0" autoPict="0">
                <anchor moveWithCells="1" sizeWithCells="1">
                  <from>
                    <xdr:col>22</xdr:col>
                    <xdr:colOff>0</xdr:colOff>
                    <xdr:row>444</xdr:row>
                    <xdr:rowOff>0</xdr:rowOff>
                  </from>
                  <to>
                    <xdr:col>22</xdr:col>
                    <xdr:colOff>177800</xdr:colOff>
                    <xdr:row>444</xdr:row>
                    <xdr:rowOff>177800</xdr:rowOff>
                  </to>
                </anchor>
              </controlPr>
            </control>
          </mc:Choice>
        </mc:AlternateContent>
        <mc:AlternateContent xmlns:mc="http://schemas.openxmlformats.org/markup-compatibility/2006">
          <mc:Choice Requires="x14">
            <control shapeId="96299" r:id="rId47" name="Check Box 43">
              <controlPr locked="0" defaultSize="0" autoFill="0" autoLine="0" autoPict="0">
                <anchor moveWithCells="1" sizeWithCells="1">
                  <from>
                    <xdr:col>22</xdr:col>
                    <xdr:colOff>0</xdr:colOff>
                    <xdr:row>446</xdr:row>
                    <xdr:rowOff>0</xdr:rowOff>
                  </from>
                  <to>
                    <xdr:col>22</xdr:col>
                    <xdr:colOff>177800</xdr:colOff>
                    <xdr:row>446</xdr:row>
                    <xdr:rowOff>177800</xdr:rowOff>
                  </to>
                </anchor>
              </controlPr>
            </control>
          </mc:Choice>
        </mc:AlternateContent>
        <mc:AlternateContent xmlns:mc="http://schemas.openxmlformats.org/markup-compatibility/2006">
          <mc:Choice Requires="x14">
            <control shapeId="96300" r:id="rId48" name="Check Box 44">
              <controlPr locked="0" defaultSize="0" autoFill="0" autoLine="0" autoPict="0">
                <anchor moveWithCells="1" sizeWithCells="1">
                  <from>
                    <xdr:col>22</xdr:col>
                    <xdr:colOff>0</xdr:colOff>
                    <xdr:row>470</xdr:row>
                    <xdr:rowOff>0</xdr:rowOff>
                  </from>
                  <to>
                    <xdr:col>22</xdr:col>
                    <xdr:colOff>177800</xdr:colOff>
                    <xdr:row>470</xdr:row>
                    <xdr:rowOff>177800</xdr:rowOff>
                  </to>
                </anchor>
              </controlPr>
            </control>
          </mc:Choice>
        </mc:AlternateContent>
        <mc:AlternateContent xmlns:mc="http://schemas.openxmlformats.org/markup-compatibility/2006">
          <mc:Choice Requires="x14">
            <control shapeId="96301" r:id="rId49" name="Check Box 45">
              <controlPr locked="0" defaultSize="0" autoFill="0" autoLine="0" autoPict="0">
                <anchor moveWithCells="1" sizeWithCells="1">
                  <from>
                    <xdr:col>22</xdr:col>
                    <xdr:colOff>0</xdr:colOff>
                    <xdr:row>481</xdr:row>
                    <xdr:rowOff>0</xdr:rowOff>
                  </from>
                  <to>
                    <xdr:col>22</xdr:col>
                    <xdr:colOff>177800</xdr:colOff>
                    <xdr:row>481</xdr:row>
                    <xdr:rowOff>177800</xdr:rowOff>
                  </to>
                </anchor>
              </controlPr>
            </control>
          </mc:Choice>
        </mc:AlternateContent>
        <mc:AlternateContent xmlns:mc="http://schemas.openxmlformats.org/markup-compatibility/2006">
          <mc:Choice Requires="x14">
            <control shapeId="96302" r:id="rId50" name="Check Box 46">
              <controlPr locked="0" defaultSize="0" autoFill="0" autoLine="0" autoPict="0">
                <anchor moveWithCells="1" sizeWithCells="1">
                  <from>
                    <xdr:col>22</xdr:col>
                    <xdr:colOff>0</xdr:colOff>
                    <xdr:row>483</xdr:row>
                    <xdr:rowOff>0</xdr:rowOff>
                  </from>
                  <to>
                    <xdr:col>22</xdr:col>
                    <xdr:colOff>177800</xdr:colOff>
                    <xdr:row>483</xdr:row>
                    <xdr:rowOff>177800</xdr:rowOff>
                  </to>
                </anchor>
              </controlPr>
            </control>
          </mc:Choice>
        </mc:AlternateContent>
        <mc:AlternateContent xmlns:mc="http://schemas.openxmlformats.org/markup-compatibility/2006">
          <mc:Choice Requires="x14">
            <control shapeId="96303" r:id="rId51" name="Check Box 47">
              <controlPr locked="0" defaultSize="0" autoFill="0" autoLine="0" autoPict="0">
                <anchor moveWithCells="1" sizeWithCells="1">
                  <from>
                    <xdr:col>22</xdr:col>
                    <xdr:colOff>0</xdr:colOff>
                    <xdr:row>484</xdr:row>
                    <xdr:rowOff>0</xdr:rowOff>
                  </from>
                  <to>
                    <xdr:col>22</xdr:col>
                    <xdr:colOff>177800</xdr:colOff>
                    <xdr:row>484</xdr:row>
                    <xdr:rowOff>177800</xdr:rowOff>
                  </to>
                </anchor>
              </controlPr>
            </control>
          </mc:Choice>
        </mc:AlternateContent>
        <mc:AlternateContent xmlns:mc="http://schemas.openxmlformats.org/markup-compatibility/2006">
          <mc:Choice Requires="x14">
            <control shapeId="96304" r:id="rId52" name="Check Box 48">
              <controlPr locked="0" defaultSize="0" autoFill="0" autoLine="0" autoPict="0">
                <anchor moveWithCells="1" sizeWithCells="1">
                  <from>
                    <xdr:col>22</xdr:col>
                    <xdr:colOff>0</xdr:colOff>
                    <xdr:row>486</xdr:row>
                    <xdr:rowOff>0</xdr:rowOff>
                  </from>
                  <to>
                    <xdr:col>22</xdr:col>
                    <xdr:colOff>177800</xdr:colOff>
                    <xdr:row>486</xdr:row>
                    <xdr:rowOff>177800</xdr:rowOff>
                  </to>
                </anchor>
              </controlPr>
            </control>
          </mc:Choice>
        </mc:AlternateContent>
        <mc:AlternateContent xmlns:mc="http://schemas.openxmlformats.org/markup-compatibility/2006">
          <mc:Choice Requires="x14">
            <control shapeId="96305" r:id="rId53" name="Check Box 49">
              <controlPr locked="0" defaultSize="0" autoFill="0" autoLine="0" autoPict="0">
                <anchor moveWithCells="1" sizeWithCells="1">
                  <from>
                    <xdr:col>22</xdr:col>
                    <xdr:colOff>0</xdr:colOff>
                    <xdr:row>491</xdr:row>
                    <xdr:rowOff>0</xdr:rowOff>
                  </from>
                  <to>
                    <xdr:col>22</xdr:col>
                    <xdr:colOff>177800</xdr:colOff>
                    <xdr:row>491</xdr:row>
                    <xdr:rowOff>177800</xdr:rowOff>
                  </to>
                </anchor>
              </controlPr>
            </control>
          </mc:Choice>
        </mc:AlternateContent>
        <mc:AlternateContent xmlns:mc="http://schemas.openxmlformats.org/markup-compatibility/2006">
          <mc:Choice Requires="x14">
            <control shapeId="96306" r:id="rId54" name="Check Box 50">
              <controlPr locked="0" defaultSize="0" autoFill="0" autoLine="0" autoPict="0">
                <anchor moveWithCells="1" sizeWithCells="1">
                  <from>
                    <xdr:col>22</xdr:col>
                    <xdr:colOff>0</xdr:colOff>
                    <xdr:row>500</xdr:row>
                    <xdr:rowOff>0</xdr:rowOff>
                  </from>
                  <to>
                    <xdr:col>22</xdr:col>
                    <xdr:colOff>177800</xdr:colOff>
                    <xdr:row>500</xdr:row>
                    <xdr:rowOff>177800</xdr:rowOff>
                  </to>
                </anchor>
              </controlPr>
            </control>
          </mc:Choice>
        </mc:AlternateContent>
        <mc:AlternateContent xmlns:mc="http://schemas.openxmlformats.org/markup-compatibility/2006">
          <mc:Choice Requires="x14">
            <control shapeId="96307" r:id="rId55" name="Check Box 51">
              <controlPr locked="0" defaultSize="0" autoFill="0" autoLine="0" autoPict="0">
                <anchor moveWithCells="1" sizeWithCells="1">
                  <from>
                    <xdr:col>22</xdr:col>
                    <xdr:colOff>0</xdr:colOff>
                    <xdr:row>505</xdr:row>
                    <xdr:rowOff>0</xdr:rowOff>
                  </from>
                  <to>
                    <xdr:col>22</xdr:col>
                    <xdr:colOff>177800</xdr:colOff>
                    <xdr:row>505</xdr:row>
                    <xdr:rowOff>177800</xdr:rowOff>
                  </to>
                </anchor>
              </controlPr>
            </control>
          </mc:Choice>
        </mc:AlternateContent>
        <mc:AlternateContent xmlns:mc="http://schemas.openxmlformats.org/markup-compatibility/2006">
          <mc:Choice Requires="x14">
            <control shapeId="96308" r:id="rId56" name="Check Box 52">
              <controlPr locked="0" defaultSize="0" autoFill="0" autoLine="0" autoPict="0">
                <anchor moveWithCells="1" sizeWithCells="1">
                  <from>
                    <xdr:col>22</xdr:col>
                    <xdr:colOff>0</xdr:colOff>
                    <xdr:row>506</xdr:row>
                    <xdr:rowOff>0</xdr:rowOff>
                  </from>
                  <to>
                    <xdr:col>22</xdr:col>
                    <xdr:colOff>177800</xdr:colOff>
                    <xdr:row>506</xdr:row>
                    <xdr:rowOff>177800</xdr:rowOff>
                  </to>
                </anchor>
              </controlPr>
            </control>
          </mc:Choice>
        </mc:AlternateContent>
        <mc:AlternateContent xmlns:mc="http://schemas.openxmlformats.org/markup-compatibility/2006">
          <mc:Choice Requires="x14">
            <control shapeId="96309" r:id="rId57" name="Check Box 53">
              <controlPr locked="0" defaultSize="0" autoFill="0" autoLine="0" autoPict="0">
                <anchor moveWithCells="1" sizeWithCells="1">
                  <from>
                    <xdr:col>22</xdr:col>
                    <xdr:colOff>0</xdr:colOff>
                    <xdr:row>510</xdr:row>
                    <xdr:rowOff>0</xdr:rowOff>
                  </from>
                  <to>
                    <xdr:col>22</xdr:col>
                    <xdr:colOff>177800</xdr:colOff>
                    <xdr:row>510</xdr:row>
                    <xdr:rowOff>177800</xdr:rowOff>
                  </to>
                </anchor>
              </controlPr>
            </control>
          </mc:Choice>
        </mc:AlternateContent>
        <mc:AlternateContent xmlns:mc="http://schemas.openxmlformats.org/markup-compatibility/2006">
          <mc:Choice Requires="x14">
            <control shapeId="96310" r:id="rId58" name="Check Box 54">
              <controlPr locked="0" defaultSize="0" autoFill="0" autoLine="0" autoPict="0">
                <anchor moveWithCells="1">
                  <from>
                    <xdr:col>22</xdr:col>
                    <xdr:colOff>0</xdr:colOff>
                    <xdr:row>566</xdr:row>
                    <xdr:rowOff>0</xdr:rowOff>
                  </from>
                  <to>
                    <xdr:col>22</xdr:col>
                    <xdr:colOff>177800</xdr:colOff>
                    <xdr:row>566</xdr:row>
                    <xdr:rowOff>177800</xdr:rowOff>
                  </to>
                </anchor>
              </controlPr>
            </control>
          </mc:Choice>
        </mc:AlternateContent>
        <mc:AlternateContent xmlns:mc="http://schemas.openxmlformats.org/markup-compatibility/2006">
          <mc:Choice Requires="x14">
            <control shapeId="96311" r:id="rId59" name="Check Box 55">
              <controlPr locked="0" defaultSize="0" autoFill="0" autoLine="0" autoPict="0">
                <anchor moveWithCells="1">
                  <from>
                    <xdr:col>22</xdr:col>
                    <xdr:colOff>0</xdr:colOff>
                    <xdr:row>604</xdr:row>
                    <xdr:rowOff>0</xdr:rowOff>
                  </from>
                  <to>
                    <xdr:col>22</xdr:col>
                    <xdr:colOff>177800</xdr:colOff>
                    <xdr:row>604</xdr:row>
                    <xdr:rowOff>177800</xdr:rowOff>
                  </to>
                </anchor>
              </controlPr>
            </control>
          </mc:Choice>
        </mc:AlternateContent>
        <mc:AlternateContent xmlns:mc="http://schemas.openxmlformats.org/markup-compatibility/2006">
          <mc:Choice Requires="x14">
            <control shapeId="96312" r:id="rId60" name="Check Box 56">
              <controlPr locked="0" defaultSize="0" autoFill="0" autoLine="0" autoPict="0">
                <anchor moveWithCells="1">
                  <from>
                    <xdr:col>22</xdr:col>
                    <xdr:colOff>0</xdr:colOff>
                    <xdr:row>606</xdr:row>
                    <xdr:rowOff>0</xdr:rowOff>
                  </from>
                  <to>
                    <xdr:col>22</xdr:col>
                    <xdr:colOff>177800</xdr:colOff>
                    <xdr:row>606</xdr:row>
                    <xdr:rowOff>177800</xdr:rowOff>
                  </to>
                </anchor>
              </controlPr>
            </control>
          </mc:Choice>
        </mc:AlternateContent>
      </controls>
    </mc:Choice>
  </mc:AlternateContent>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codeName="Sheet39"/>
  <dimension ref="A1:I2468"/>
  <sheetViews>
    <sheetView showGridLines="0" zoomScaleNormal="100" workbookViewId="0">
      <pane ySplit="7" topLeftCell="A8" activePane="bottomLeft" state="frozen"/>
      <selection pane="bottomLeft" activeCell="I80" sqref="I80:I81"/>
    </sheetView>
  </sheetViews>
  <sheetFormatPr baseColWidth="10" defaultColWidth="8.83203125" defaultRowHeight="15" x14ac:dyDescent="0.2"/>
  <cols>
    <col min="1" max="1" width="10.5" customWidth="1"/>
    <col min="2" max="3" width="3.83203125" customWidth="1"/>
    <col min="4" max="4" width="71.6640625" customWidth="1"/>
    <col min="6" max="6" width="21.1640625" style="1391" customWidth="1"/>
    <col min="7" max="7" width="9.1640625" style="707" customWidth="1"/>
    <col min="8" max="8" width="62.5" style="85" customWidth="1"/>
    <col min="9" max="9" width="62.5" customWidth="1"/>
    <col min="10" max="10" width="9.1640625" customWidth="1"/>
  </cols>
  <sheetData>
    <row r="1" spans="1:8" s="707" customFormat="1" x14ac:dyDescent="0.2">
      <c r="D1" s="1959" t="s">
        <v>3461</v>
      </c>
      <c r="F1" s="1391"/>
      <c r="H1" s="85"/>
    </row>
    <row r="2" spans="1:8" s="707" customFormat="1" ht="15" customHeight="1" x14ac:dyDescent="0.2">
      <c r="D2" s="1960"/>
      <c r="F2" s="1391"/>
      <c r="H2" s="85"/>
    </row>
    <row r="3" spans="1:8" s="707" customFormat="1" ht="15" customHeight="1" x14ac:dyDescent="0.2">
      <c r="D3" s="1960"/>
      <c r="F3" s="1391"/>
      <c r="H3" s="85"/>
    </row>
    <row r="4" spans="1:8" s="707" customFormat="1" x14ac:dyDescent="0.2">
      <c r="D4" s="1962" t="s">
        <v>3460</v>
      </c>
      <c r="F4" s="1391"/>
      <c r="H4" s="85"/>
    </row>
    <row r="5" spans="1:8" x14ac:dyDescent="0.2">
      <c r="D5" s="1962"/>
    </row>
    <row r="6" spans="1:8" ht="15" customHeight="1" x14ac:dyDescent="0.2">
      <c r="A6" s="1667" t="s">
        <v>247</v>
      </c>
      <c r="B6" s="1667"/>
      <c r="C6" s="1668"/>
      <c r="D6" s="1664" t="s">
        <v>291</v>
      </c>
      <c r="E6" s="1961" t="s">
        <v>300</v>
      </c>
      <c r="F6" s="1667" t="s">
        <v>251</v>
      </c>
    </row>
    <row r="7" spans="1:8" x14ac:dyDescent="0.2">
      <c r="A7" s="1667"/>
      <c r="B7" s="1667"/>
      <c r="C7" s="1668"/>
      <c r="D7" s="1665"/>
      <c r="E7" s="1961"/>
      <c r="F7" s="1667"/>
      <c r="G7" s="707" t="s">
        <v>3459</v>
      </c>
    </row>
    <row r="8" spans="1:8" ht="19" x14ac:dyDescent="0.25">
      <c r="A8" s="24" t="s">
        <v>3479</v>
      </c>
      <c r="B8" s="24"/>
      <c r="C8" s="24"/>
      <c r="D8" s="25"/>
      <c r="E8" s="25"/>
      <c r="F8" s="994"/>
      <c r="G8" s="1352" t="s">
        <v>246</v>
      </c>
    </row>
    <row r="9" spans="1:8" x14ac:dyDescent="0.2">
      <c r="A9" s="89" t="s">
        <v>3480</v>
      </c>
      <c r="B9" s="89"/>
      <c r="C9" s="89"/>
      <c r="D9" s="1631" t="s">
        <v>3768</v>
      </c>
      <c r="G9" s="1352" t="s">
        <v>246</v>
      </c>
    </row>
    <row r="10" spans="1:8" x14ac:dyDescent="0.2">
      <c r="A10" s="89"/>
      <c r="B10" s="89"/>
      <c r="C10" s="89"/>
      <c r="D10" s="1631"/>
      <c r="G10" s="1352" t="s">
        <v>246</v>
      </c>
    </row>
    <row r="11" spans="1:8" x14ac:dyDescent="0.2">
      <c r="A11" s="89"/>
      <c r="B11" s="89"/>
      <c r="C11" s="89"/>
      <c r="D11" s="1631"/>
      <c r="G11" s="1352" t="s">
        <v>246</v>
      </c>
    </row>
    <row r="12" spans="1:8" ht="19" x14ac:dyDescent="0.25">
      <c r="A12" s="90" t="s">
        <v>3481</v>
      </c>
      <c r="B12" s="90"/>
      <c r="C12" s="90"/>
      <c r="D12" s="84"/>
      <c r="E12" s="25"/>
      <c r="F12" s="994"/>
      <c r="G12" s="1352" t="s">
        <v>246</v>
      </c>
    </row>
    <row r="13" spans="1:8" x14ac:dyDescent="0.2">
      <c r="A13" s="89" t="s">
        <v>3482</v>
      </c>
      <c r="B13" s="89"/>
      <c r="C13" s="89"/>
      <c r="D13" s="1631" t="s">
        <v>3507</v>
      </c>
      <c r="G13" s="1352" t="s">
        <v>246</v>
      </c>
    </row>
    <row r="14" spans="1:8" x14ac:dyDescent="0.2">
      <c r="A14" s="89"/>
      <c r="B14" s="89"/>
      <c r="C14" s="89"/>
      <c r="D14" s="1631"/>
      <c r="G14" s="1352" t="s">
        <v>246</v>
      </c>
    </row>
    <row r="15" spans="1:8" x14ac:dyDescent="0.2">
      <c r="A15" s="89"/>
      <c r="B15" s="93" t="s">
        <v>254</v>
      </c>
      <c r="C15" s="93"/>
      <c r="D15" s="1657" t="s">
        <v>3769</v>
      </c>
      <c r="E15">
        <f>'Verification Report'!O15</f>
        <v>0</v>
      </c>
      <c r="F15" s="1341" t="str">
        <f>IF(LEN('Verification Report'!W15)=0,"",'Verification Report'!W15)</f>
        <v/>
      </c>
      <c r="G15" s="1352" t="s">
        <v>246</v>
      </c>
    </row>
    <row r="16" spans="1:8" x14ac:dyDescent="0.2">
      <c r="A16" s="89"/>
      <c r="B16" s="169"/>
      <c r="C16" s="169"/>
      <c r="D16" s="1650"/>
      <c r="G16" s="1352" t="s">
        <v>246</v>
      </c>
    </row>
    <row r="17" spans="1:7" x14ac:dyDescent="0.2">
      <c r="A17" s="89"/>
      <c r="B17" s="93" t="s">
        <v>255</v>
      </c>
      <c r="C17" s="93"/>
      <c r="D17" s="1613" t="s">
        <v>3770</v>
      </c>
      <c r="E17" s="1352">
        <f>'Verification Report'!O17</f>
        <v>3</v>
      </c>
      <c r="F17" s="1341" t="b">
        <f>IF(LEN('Verification Report'!W17)=0,"",'Verification Report'!W17)</f>
        <v>1</v>
      </c>
      <c r="G17" s="1352" t="s">
        <v>246</v>
      </c>
    </row>
    <row r="18" spans="1:7" x14ac:dyDescent="0.2">
      <c r="A18" s="89"/>
      <c r="B18" s="169"/>
      <c r="C18" s="169"/>
      <c r="D18" s="1612"/>
      <c r="G18" s="1352" t="s">
        <v>246</v>
      </c>
    </row>
    <row r="19" spans="1:7" x14ac:dyDescent="0.2">
      <c r="A19" s="89"/>
      <c r="B19" s="93" t="s">
        <v>256</v>
      </c>
      <c r="C19" s="93"/>
      <c r="D19" s="1613" t="s">
        <v>3771</v>
      </c>
      <c r="E19" s="1352">
        <f>'Verification Report'!O19</f>
        <v>0</v>
      </c>
      <c r="F19" s="1341" t="str">
        <f>IF(LEN('Verification Report'!W19)=0,"",'Verification Report'!W19)</f>
        <v/>
      </c>
      <c r="G19" s="1352" t="s">
        <v>246</v>
      </c>
    </row>
    <row r="20" spans="1:7" x14ac:dyDescent="0.2">
      <c r="A20" s="89"/>
      <c r="B20" s="93"/>
      <c r="C20" s="93"/>
      <c r="D20" s="1609"/>
      <c r="G20" s="1352" t="s">
        <v>246</v>
      </c>
    </row>
    <row r="21" spans="1:7" x14ac:dyDescent="0.2">
      <c r="A21" s="89"/>
      <c r="B21" s="93"/>
      <c r="C21" s="93"/>
      <c r="D21" s="1609"/>
      <c r="G21" s="1352" t="s">
        <v>246</v>
      </c>
    </row>
    <row r="22" spans="1:7" x14ac:dyDescent="0.2">
      <c r="A22" s="89"/>
      <c r="B22" s="93"/>
      <c r="C22" s="93"/>
      <c r="D22" s="1609"/>
      <c r="G22" s="1352" t="s">
        <v>246</v>
      </c>
    </row>
    <row r="23" spans="1:7" x14ac:dyDescent="0.2">
      <c r="A23" s="89"/>
      <c r="B23" s="93"/>
      <c r="C23" s="93"/>
      <c r="D23" s="97" t="s">
        <v>260</v>
      </c>
      <c r="G23" s="1352" t="s">
        <v>246</v>
      </c>
    </row>
    <row r="24" spans="1:7" x14ac:dyDescent="0.2">
      <c r="A24" s="89"/>
      <c r="B24" s="93"/>
      <c r="C24" s="93"/>
      <c r="D24" s="97" t="s">
        <v>261</v>
      </c>
      <c r="G24" s="1352" t="s">
        <v>246</v>
      </c>
    </row>
    <row r="25" spans="1:7" x14ac:dyDescent="0.2">
      <c r="A25" s="89"/>
      <c r="B25" s="93"/>
      <c r="C25" s="93"/>
      <c r="D25" s="97" t="s">
        <v>262</v>
      </c>
      <c r="G25" s="1352" t="s">
        <v>246</v>
      </c>
    </row>
    <row r="26" spans="1:7" x14ac:dyDescent="0.2">
      <c r="A26" s="89"/>
      <c r="B26" s="93"/>
      <c r="C26" s="93"/>
      <c r="D26" s="97" t="s">
        <v>3772</v>
      </c>
      <c r="G26" s="1352" t="s">
        <v>246</v>
      </c>
    </row>
    <row r="27" spans="1:7" x14ac:dyDescent="0.2">
      <c r="A27" s="89"/>
      <c r="B27" s="93"/>
      <c r="C27" s="93"/>
      <c r="D27" s="1367" t="s">
        <v>269</v>
      </c>
      <c r="G27" s="1352" t="s">
        <v>246</v>
      </c>
    </row>
    <row r="28" spans="1:7" x14ac:dyDescent="0.2">
      <c r="A28" s="1352"/>
      <c r="B28" s="93"/>
      <c r="C28" s="93"/>
      <c r="D28" s="1368" t="s">
        <v>101</v>
      </c>
      <c r="G28" s="1352" t="s">
        <v>246</v>
      </c>
    </row>
    <row r="29" spans="1:7" x14ac:dyDescent="0.2">
      <c r="A29" s="1352"/>
      <c r="B29" s="93"/>
      <c r="C29" s="93"/>
      <c r="D29" s="1680" t="s">
        <v>3929</v>
      </c>
      <c r="E29" s="1352">
        <f ca="1">'Verification Report'!O29</f>
        <v>0</v>
      </c>
      <c r="F29" s="1341" t="str">
        <f>IF(LEN('Verification Report'!W29)=0,"",'Verification Report'!W29)</f>
        <v/>
      </c>
      <c r="G29" s="1352" t="s">
        <v>246</v>
      </c>
    </row>
    <row r="30" spans="1:7" x14ac:dyDescent="0.2">
      <c r="A30" s="1352"/>
      <c r="B30" s="93"/>
      <c r="C30" s="93"/>
      <c r="D30" s="1680"/>
      <c r="G30" s="1352" t="s">
        <v>246</v>
      </c>
    </row>
    <row r="31" spans="1:7" x14ac:dyDescent="0.2">
      <c r="A31" s="1352"/>
      <c r="B31" s="93"/>
      <c r="C31" s="93"/>
      <c r="D31" s="1680"/>
      <c r="G31" s="1352" t="s">
        <v>246</v>
      </c>
    </row>
    <row r="32" spans="1:7" x14ac:dyDescent="0.2">
      <c r="A32" s="1352"/>
      <c r="B32" s="93"/>
      <c r="C32" s="89" t="s">
        <v>121</v>
      </c>
      <c r="D32" s="1368" t="s">
        <v>3930</v>
      </c>
      <c r="G32" s="1352" t="s">
        <v>246</v>
      </c>
    </row>
    <row r="33" spans="1:7" x14ac:dyDescent="0.2">
      <c r="A33" s="1352"/>
      <c r="B33" s="169"/>
      <c r="C33" s="169" t="s">
        <v>122</v>
      </c>
      <c r="D33" s="170" t="s">
        <v>265</v>
      </c>
      <c r="G33" s="1352" t="s">
        <v>246</v>
      </c>
    </row>
    <row r="34" spans="1:7" x14ac:dyDescent="0.2">
      <c r="A34" s="89"/>
      <c r="B34" s="93" t="s">
        <v>259</v>
      </c>
      <c r="C34" s="93"/>
      <c r="D34" s="1609" t="s">
        <v>3773</v>
      </c>
      <c r="E34" s="1352">
        <f>'Verification Report'!O34</f>
        <v>0</v>
      </c>
      <c r="F34" s="1341" t="str">
        <f>IF(LEN('Verification Report'!W34)=0,"",'Verification Report'!W34)</f>
        <v/>
      </c>
      <c r="G34" s="1352" t="s">
        <v>246</v>
      </c>
    </row>
    <row r="35" spans="1:7" x14ac:dyDescent="0.2">
      <c r="A35" s="89"/>
      <c r="B35" s="93"/>
      <c r="C35" s="93"/>
      <c r="D35" s="1609"/>
      <c r="G35" s="1352" t="s">
        <v>246</v>
      </c>
    </row>
    <row r="36" spans="1:7" x14ac:dyDescent="0.2">
      <c r="A36" s="89"/>
      <c r="B36" s="169"/>
      <c r="C36" s="169"/>
      <c r="D36" s="1612"/>
      <c r="G36" s="1352" t="s">
        <v>246</v>
      </c>
    </row>
    <row r="37" spans="1:7" x14ac:dyDescent="0.2">
      <c r="A37" s="89"/>
      <c r="B37" s="89" t="s">
        <v>263</v>
      </c>
      <c r="C37" s="89"/>
      <c r="D37" s="1613" t="s">
        <v>3774</v>
      </c>
      <c r="E37" s="1352">
        <f ca="1">'Verification Report'!O37</f>
        <v>0</v>
      </c>
      <c r="F37" s="1341" t="str">
        <f>IF(LEN('Verification Report'!W37)=0,"",'Verification Report'!W37)</f>
        <v/>
      </c>
      <c r="G37" s="1352" t="s">
        <v>246</v>
      </c>
    </row>
    <row r="38" spans="1:7" x14ac:dyDescent="0.2">
      <c r="A38" s="89"/>
      <c r="B38" s="89"/>
      <c r="C38" s="89"/>
      <c r="D38" s="1611"/>
      <c r="G38" s="1352" t="s">
        <v>246</v>
      </c>
    </row>
    <row r="39" spans="1:7" x14ac:dyDescent="0.2">
      <c r="A39" s="89"/>
      <c r="B39" s="89"/>
      <c r="C39" s="89" t="s">
        <v>121</v>
      </c>
      <c r="D39" s="85" t="s">
        <v>265</v>
      </c>
      <c r="G39" s="1352" t="s">
        <v>246</v>
      </c>
    </row>
    <row r="40" spans="1:7" x14ac:dyDescent="0.2">
      <c r="A40" s="89"/>
      <c r="B40" s="89"/>
      <c r="C40" s="89" t="s">
        <v>122</v>
      </c>
      <c r="D40" s="85" t="s">
        <v>266</v>
      </c>
      <c r="G40" s="1352" t="s">
        <v>246</v>
      </c>
    </row>
    <row r="41" spans="1:7" x14ac:dyDescent="0.2">
      <c r="A41" s="89"/>
      <c r="B41" s="89"/>
      <c r="C41" s="91" t="s">
        <v>123</v>
      </c>
      <c r="D41" s="85" t="s">
        <v>267</v>
      </c>
      <c r="G41" s="1352" t="s">
        <v>246</v>
      </c>
    </row>
    <row r="42" spans="1:7" x14ac:dyDescent="0.2">
      <c r="A42" s="1352"/>
      <c r="B42" s="89"/>
      <c r="C42" s="91" t="s">
        <v>366</v>
      </c>
      <c r="D42" s="1634" t="s">
        <v>3932</v>
      </c>
      <c r="F42" s="1341" t="str">
        <f>IF(LEN('Verification Report'!W42)=0,"",'Verification Report'!W42)</f>
        <v/>
      </c>
      <c r="G42" s="1352" t="s">
        <v>246</v>
      </c>
    </row>
    <row r="43" spans="1:7" x14ac:dyDescent="0.2">
      <c r="A43" s="1352"/>
      <c r="B43" s="89"/>
      <c r="C43" s="91"/>
      <c r="D43" s="1639"/>
      <c r="G43" s="1352" t="s">
        <v>246</v>
      </c>
    </row>
    <row r="44" spans="1:7" x14ac:dyDescent="0.2">
      <c r="A44" s="1352"/>
      <c r="B44" s="860" t="s">
        <v>264</v>
      </c>
      <c r="C44" s="217"/>
      <c r="D44" s="1633" t="s">
        <v>3933</v>
      </c>
      <c r="E44" s="1352">
        <f>'Verification Report'!O44</f>
        <v>0</v>
      </c>
      <c r="F44" s="1341" t="str">
        <f>IF(LEN('Verification Report'!W44)=0,"",'Verification Report'!W44)</f>
        <v/>
      </c>
      <c r="G44" s="1352" t="s">
        <v>246</v>
      </c>
    </row>
    <row r="45" spans="1:7" x14ac:dyDescent="0.2">
      <c r="A45" s="1352"/>
      <c r="B45" s="93"/>
      <c r="C45" s="111"/>
      <c r="D45" s="1634"/>
      <c r="G45" s="1352" t="s">
        <v>246</v>
      </c>
    </row>
    <row r="46" spans="1:7" x14ac:dyDescent="0.2">
      <c r="A46" s="1352"/>
      <c r="B46" s="93"/>
      <c r="C46" s="111"/>
      <c r="D46" s="1395" t="s">
        <v>3935</v>
      </c>
      <c r="G46" s="1352" t="s">
        <v>246</v>
      </c>
    </row>
    <row r="47" spans="1:7" x14ac:dyDescent="0.2">
      <c r="A47" s="1352"/>
      <c r="B47" s="860" t="s">
        <v>356</v>
      </c>
      <c r="C47" s="195"/>
      <c r="D47" s="1633" t="s">
        <v>3934</v>
      </c>
      <c r="E47" s="1352">
        <f>'Verification Report'!O47</f>
        <v>0</v>
      </c>
      <c r="F47" s="1341" t="str">
        <f>IF(LEN('Verification Report'!W47)=0,"",'Verification Report'!W47)</f>
        <v/>
      </c>
      <c r="G47" s="1352" t="s">
        <v>246</v>
      </c>
    </row>
    <row r="48" spans="1:7" x14ac:dyDescent="0.2">
      <c r="A48" s="1352"/>
      <c r="B48" s="93"/>
      <c r="C48" s="1391"/>
      <c r="D48" s="1634"/>
      <c r="G48" s="1352" t="s">
        <v>246</v>
      </c>
    </row>
    <row r="49" spans="1:7" x14ac:dyDescent="0.2">
      <c r="A49" s="1352"/>
      <c r="B49" s="93"/>
      <c r="C49" s="1391"/>
      <c r="D49" s="1386" t="s">
        <v>3936</v>
      </c>
      <c r="G49" s="1352" t="s">
        <v>246</v>
      </c>
    </row>
    <row r="50" spans="1:7" ht="19" x14ac:dyDescent="0.25">
      <c r="A50" s="72" t="s">
        <v>3483</v>
      </c>
      <c r="B50" s="72"/>
      <c r="C50" s="72"/>
      <c r="D50" s="72"/>
      <c r="E50" s="25"/>
      <c r="F50" s="994"/>
      <c r="G50" s="1352" t="s">
        <v>246</v>
      </c>
    </row>
    <row r="51" spans="1:7" x14ac:dyDescent="0.2">
      <c r="A51" s="136" t="s">
        <v>3484</v>
      </c>
      <c r="B51" s="92"/>
      <c r="C51" s="92"/>
      <c r="D51" s="1631" t="s">
        <v>3508</v>
      </c>
      <c r="E51" s="1352">
        <f>'Verification Report'!O51</f>
        <v>0</v>
      </c>
      <c r="F51" s="1341" t="str">
        <f>IF(LEN('Verification Report'!W51)=0,"",'Verification Report'!W51)</f>
        <v/>
      </c>
      <c r="G51" s="1352" t="s">
        <v>246</v>
      </c>
    </row>
    <row r="52" spans="1:7" x14ac:dyDescent="0.2">
      <c r="A52" s="92"/>
      <c r="B52" s="92"/>
      <c r="C52" s="92"/>
      <c r="D52" s="1631"/>
      <c r="G52" s="1352" t="s">
        <v>246</v>
      </c>
    </row>
    <row r="53" spans="1:7" x14ac:dyDescent="0.2">
      <c r="A53" s="92"/>
      <c r="B53" s="92"/>
      <c r="C53" s="92"/>
      <c r="D53" s="1631"/>
      <c r="G53" s="1352" t="s">
        <v>246</v>
      </c>
    </row>
    <row r="54" spans="1:7" x14ac:dyDescent="0.2">
      <c r="A54" s="92"/>
      <c r="B54" s="92"/>
      <c r="C54" s="92"/>
      <c r="D54" s="1631"/>
      <c r="G54" s="1352" t="s">
        <v>246</v>
      </c>
    </row>
    <row r="55" spans="1:7" ht="19" x14ac:dyDescent="0.25">
      <c r="A55" s="72" t="s">
        <v>3485</v>
      </c>
      <c r="B55" s="90"/>
      <c r="C55" s="90"/>
      <c r="D55" s="86"/>
      <c r="E55" s="25"/>
      <c r="F55" s="994"/>
      <c r="G55" s="1352" t="s">
        <v>246</v>
      </c>
    </row>
    <row r="56" spans="1:7" x14ac:dyDescent="0.2">
      <c r="A56" s="590" t="s">
        <v>3486</v>
      </c>
      <c r="B56" s="103"/>
      <c r="C56" s="103"/>
      <c r="D56" s="1629" t="s">
        <v>3509</v>
      </c>
      <c r="G56" s="1352" t="s">
        <v>246</v>
      </c>
    </row>
    <row r="57" spans="1:7" x14ac:dyDescent="0.2">
      <c r="A57" s="103"/>
      <c r="B57" s="103"/>
      <c r="C57" s="103"/>
      <c r="D57" s="1629"/>
      <c r="G57" s="1352" t="s">
        <v>246</v>
      </c>
    </row>
    <row r="58" spans="1:7" x14ac:dyDescent="0.2">
      <c r="A58" s="103"/>
      <c r="B58" s="103"/>
      <c r="C58" s="103"/>
      <c r="D58" s="1629"/>
      <c r="G58" s="1352" t="s">
        <v>246</v>
      </c>
    </row>
    <row r="59" spans="1:7" x14ac:dyDescent="0.2">
      <c r="A59" s="103"/>
      <c r="B59" s="103"/>
      <c r="C59" s="103"/>
      <c r="D59" s="1629"/>
      <c r="G59" s="1352" t="s">
        <v>246</v>
      </c>
    </row>
    <row r="60" spans="1:7" ht="16" thickBot="1" x14ac:dyDescent="0.25">
      <c r="A60" s="104"/>
      <c r="B60" s="104"/>
      <c r="C60" s="104"/>
      <c r="D60" s="105" t="s">
        <v>348</v>
      </c>
      <c r="G60" s="1352" t="s">
        <v>246</v>
      </c>
    </row>
    <row r="61" spans="1:7" ht="16" thickTop="1" x14ac:dyDescent="0.2">
      <c r="A61" s="1362" t="s">
        <v>3487</v>
      </c>
      <c r="B61" s="1362"/>
      <c r="C61" s="1362"/>
      <c r="D61" s="1646" t="s">
        <v>3510</v>
      </c>
      <c r="G61" s="1352" t="s">
        <v>246</v>
      </c>
    </row>
    <row r="62" spans="1:7" x14ac:dyDescent="0.2">
      <c r="A62" s="1363"/>
      <c r="B62" s="1363"/>
      <c r="C62" s="1363"/>
      <c r="D62" s="1647"/>
      <c r="G62" s="1352" t="s">
        <v>246</v>
      </c>
    </row>
    <row r="63" spans="1:7" x14ac:dyDescent="0.2">
      <c r="A63" s="103"/>
      <c r="B63" s="169" t="s">
        <v>254</v>
      </c>
      <c r="C63" s="172"/>
      <c r="D63" s="170" t="s">
        <v>350</v>
      </c>
      <c r="E63" s="1352">
        <f>'Verification Report'!O63</f>
        <v>0</v>
      </c>
      <c r="F63" s="1341" t="str">
        <f>IF(LEN('Verification Report'!W63)=0,"",'Verification Report'!W63)</f>
        <v/>
      </c>
      <c r="G63" s="1352" t="s">
        <v>246</v>
      </c>
    </row>
    <row r="64" spans="1:7" x14ac:dyDescent="0.2">
      <c r="A64" s="103"/>
      <c r="B64" s="93" t="s">
        <v>255</v>
      </c>
      <c r="C64" s="103"/>
      <c r="D64" s="1613" t="s">
        <v>351</v>
      </c>
      <c r="E64" s="1352">
        <f>'Verification Report'!O64</f>
        <v>0</v>
      </c>
      <c r="F64" s="1341" t="str">
        <f>IF(LEN('Verification Report'!W64)=0,"",'Verification Report'!W64)</f>
        <v/>
      </c>
      <c r="G64" s="1352" t="s">
        <v>246</v>
      </c>
    </row>
    <row r="65" spans="1:9" x14ac:dyDescent="0.2">
      <c r="A65" s="103"/>
      <c r="B65" s="169"/>
      <c r="C65" s="172"/>
      <c r="D65" s="1612"/>
      <c r="G65" s="1352" t="s">
        <v>246</v>
      </c>
    </row>
    <row r="66" spans="1:9" x14ac:dyDescent="0.2">
      <c r="A66" s="103"/>
      <c r="B66" s="93" t="s">
        <v>256</v>
      </c>
      <c r="C66" s="103"/>
      <c r="D66" s="1613" t="s">
        <v>352</v>
      </c>
      <c r="E66" s="1352">
        <f>'Verification Report'!O66</f>
        <v>0</v>
      </c>
      <c r="F66" s="1341" t="str">
        <f>IF(LEN('Verification Report'!W66)=0,"",'Verification Report'!W66)</f>
        <v/>
      </c>
      <c r="G66" s="1352" t="s">
        <v>246</v>
      </c>
    </row>
    <row r="67" spans="1:9" x14ac:dyDescent="0.2">
      <c r="A67" s="103"/>
      <c r="B67" s="169"/>
      <c r="C67" s="172"/>
      <c r="D67" s="1612"/>
      <c r="G67" s="1352" t="s">
        <v>246</v>
      </c>
    </row>
    <row r="68" spans="1:9" x14ac:dyDescent="0.2">
      <c r="A68" s="103"/>
      <c r="B68" s="860" t="s">
        <v>259</v>
      </c>
      <c r="C68" s="865"/>
      <c r="D68" s="1649" t="s">
        <v>353</v>
      </c>
      <c r="E68" s="1352">
        <f>'Verification Report'!O68</f>
        <v>0</v>
      </c>
      <c r="F68" s="1341" t="str">
        <f>IF(LEN('Verification Report'!W68)=0,"",'Verification Report'!W68)</f>
        <v/>
      </c>
      <c r="G68" s="1352" t="s">
        <v>246</v>
      </c>
    </row>
    <row r="69" spans="1:9" x14ac:dyDescent="0.2">
      <c r="A69" s="103"/>
      <c r="B69" s="169"/>
      <c r="C69" s="172"/>
      <c r="D69" s="1650"/>
      <c r="G69" s="1352" t="s">
        <v>246</v>
      </c>
    </row>
    <row r="70" spans="1:9" x14ac:dyDescent="0.2">
      <c r="A70" s="103"/>
      <c r="B70" s="169" t="s">
        <v>263</v>
      </c>
      <c r="C70" s="172"/>
      <c r="D70" s="170" t="s">
        <v>354</v>
      </c>
      <c r="E70" s="1352">
        <f>'Verification Report'!O70</f>
        <v>0</v>
      </c>
      <c r="F70" s="1341" t="str">
        <f>IF(LEN('Verification Report'!W70)=0,"",'Verification Report'!W70)</f>
        <v/>
      </c>
      <c r="G70" s="1352" t="s">
        <v>246</v>
      </c>
    </row>
    <row r="71" spans="1:9" x14ac:dyDescent="0.2">
      <c r="A71" s="103"/>
      <c r="B71" s="93" t="s">
        <v>264</v>
      </c>
      <c r="C71" s="103"/>
      <c r="D71" s="1613" t="s">
        <v>355</v>
      </c>
      <c r="E71" s="1352">
        <f>'Verification Report'!O71</f>
        <v>0</v>
      </c>
      <c r="F71" s="1341" t="str">
        <f>IF(LEN('Verification Report'!W71)=0,"",'Verification Report'!W71)</f>
        <v/>
      </c>
      <c r="G71" s="1352" t="s">
        <v>246</v>
      </c>
    </row>
    <row r="72" spans="1:9" x14ac:dyDescent="0.2">
      <c r="A72" s="103"/>
      <c r="B72" s="169"/>
      <c r="C72" s="172"/>
      <c r="D72" s="1612"/>
      <c r="G72" s="1352" t="s">
        <v>246</v>
      </c>
    </row>
    <row r="73" spans="1:9" x14ac:dyDescent="0.2">
      <c r="A73" s="103"/>
      <c r="B73" s="93" t="s">
        <v>356</v>
      </c>
      <c r="C73" s="103"/>
      <c r="D73" s="1613" t="s">
        <v>3775</v>
      </c>
      <c r="E73" s="1352">
        <f>'Verification Report'!O73</f>
        <v>0</v>
      </c>
      <c r="F73" s="1341" t="str">
        <f>IF(LEN('Verification Report'!W73)=0,"",'Verification Report'!W73)</f>
        <v/>
      </c>
      <c r="G73" s="1352" t="s">
        <v>246</v>
      </c>
    </row>
    <row r="74" spans="1:9" x14ac:dyDescent="0.2">
      <c r="A74" s="103"/>
      <c r="B74" s="93"/>
      <c r="C74" s="103"/>
      <c r="D74" s="1609"/>
      <c r="G74" s="1352" t="s">
        <v>246</v>
      </c>
    </row>
    <row r="75" spans="1:9" x14ac:dyDescent="0.2">
      <c r="A75" s="103"/>
      <c r="B75" s="860" t="s">
        <v>389</v>
      </c>
      <c r="C75" s="865"/>
      <c r="D75" s="1633" t="s">
        <v>3938</v>
      </c>
      <c r="E75" s="1352">
        <f>'Verification Report'!O75</f>
        <v>0</v>
      </c>
      <c r="F75" s="1341" t="str">
        <f>IF(LEN('Verification Report'!W75)=0,"",'Verification Report'!W75)</f>
        <v/>
      </c>
      <c r="G75" s="1352" t="s">
        <v>246</v>
      </c>
    </row>
    <row r="76" spans="1:9" x14ac:dyDescent="0.2">
      <c r="A76" s="103"/>
      <c r="B76" s="93"/>
      <c r="C76" s="103"/>
      <c r="D76" s="1634"/>
      <c r="G76" s="1352" t="s">
        <v>246</v>
      </c>
    </row>
    <row r="77" spans="1:9" x14ac:dyDescent="0.2">
      <c r="A77" s="103"/>
      <c r="B77" s="93"/>
      <c r="C77" s="103"/>
      <c r="D77" s="1634"/>
      <c r="G77" s="1352" t="s">
        <v>246</v>
      </c>
    </row>
    <row r="78" spans="1:9" x14ac:dyDescent="0.2">
      <c r="A78" s="103"/>
      <c r="B78" s="93"/>
      <c r="C78" s="103"/>
      <c r="D78" s="1634"/>
      <c r="G78" s="1352" t="s">
        <v>246</v>
      </c>
    </row>
    <row r="79" spans="1:9" ht="16" thickBot="1" x14ac:dyDescent="0.25">
      <c r="A79" s="103"/>
      <c r="B79" s="98"/>
      <c r="C79" s="104"/>
      <c r="D79" s="1635"/>
      <c r="G79" s="1352" t="s">
        <v>246</v>
      </c>
    </row>
    <row r="80" spans="1:9" ht="16" thickTop="1" x14ac:dyDescent="0.2">
      <c r="A80" s="107" t="s">
        <v>3488</v>
      </c>
      <c r="B80" s="108"/>
      <c r="C80" s="108"/>
      <c r="D80" s="125" t="s">
        <v>3511</v>
      </c>
      <c r="G80" s="1400" t="str">
        <f>IF(COUNTIF(G81:G90,"P")&gt;0,"P","NP")</f>
        <v>NP</v>
      </c>
      <c r="H80" s="1401" t="s">
        <v>5247</v>
      </c>
      <c r="I80" s="1600"/>
    </row>
    <row r="81" spans="1:9" x14ac:dyDescent="0.2">
      <c r="A81" s="102"/>
      <c r="B81" s="103"/>
      <c r="C81" s="103"/>
      <c r="D81" s="1367" t="s">
        <v>2851</v>
      </c>
      <c r="F81" s="1341" t="str">
        <f>IF(LEN('Verification Report'!W81)=0,"",'Verification Report'!W81)</f>
        <v/>
      </c>
      <c r="G81" s="1398" t="str">
        <f>IF(AND(LEN(F81)&gt;0,NOT(F81=FALSE)),"P","NP")</f>
        <v>NP</v>
      </c>
      <c r="I81" s="1600"/>
    </row>
    <row r="82" spans="1:9" x14ac:dyDescent="0.2">
      <c r="A82" s="103"/>
      <c r="B82" s="169" t="s">
        <v>254</v>
      </c>
      <c r="C82" s="172"/>
      <c r="D82" s="170" t="s">
        <v>3776</v>
      </c>
      <c r="E82" s="1352">
        <f>'Verification Report'!O82</f>
        <v>0</v>
      </c>
      <c r="F82" s="1341" t="str">
        <f>IF(LEN('Verification Report'!W82)=0,"",'Verification Report'!W82)</f>
        <v/>
      </c>
      <c r="G82" s="1352" t="s">
        <v>246</v>
      </c>
    </row>
    <row r="83" spans="1:9" x14ac:dyDescent="0.2">
      <c r="A83" s="103"/>
      <c r="B83" s="93" t="s">
        <v>255</v>
      </c>
      <c r="C83" s="103"/>
      <c r="D83" s="1613" t="s">
        <v>3777</v>
      </c>
      <c r="E83" s="1352">
        <f>'Verification Report'!O83</f>
        <v>0</v>
      </c>
      <c r="F83" s="1341" t="str">
        <f>IF(LEN('Verification Report'!W83)=0,"",'Verification Report'!W83)</f>
        <v/>
      </c>
      <c r="G83" s="1352" t="s">
        <v>246</v>
      </c>
    </row>
    <row r="84" spans="1:9" x14ac:dyDescent="0.2">
      <c r="A84" s="103"/>
      <c r="B84" s="172"/>
      <c r="C84" s="172"/>
      <c r="D84" s="1612"/>
      <c r="G84" s="1352" t="s">
        <v>246</v>
      </c>
    </row>
    <row r="85" spans="1:9" x14ac:dyDescent="0.2">
      <c r="A85" s="103"/>
      <c r="B85" s="93" t="s">
        <v>256</v>
      </c>
      <c r="C85" s="103"/>
      <c r="D85" s="1613" t="s">
        <v>3778</v>
      </c>
      <c r="E85" s="1352">
        <f ca="1">'Verification Report'!O85</f>
        <v>0</v>
      </c>
      <c r="F85" s="1341" t="str">
        <f>IF(LEN('Verification Report'!W85)=0,"",'Verification Report'!W85)</f>
        <v/>
      </c>
      <c r="G85" s="1352" t="s">
        <v>246</v>
      </c>
    </row>
    <row r="86" spans="1:9" x14ac:dyDescent="0.2">
      <c r="A86" s="103"/>
      <c r="B86" s="103"/>
      <c r="C86" s="103"/>
      <c r="D86" s="1609"/>
      <c r="G86" s="1352" t="s">
        <v>246</v>
      </c>
    </row>
    <row r="87" spans="1:9" x14ac:dyDescent="0.2">
      <c r="A87" s="103"/>
      <c r="B87" s="103"/>
      <c r="C87" s="93" t="s">
        <v>121</v>
      </c>
      <c r="D87" s="97" t="s">
        <v>629</v>
      </c>
      <c r="G87" s="1352" t="s">
        <v>246</v>
      </c>
    </row>
    <row r="88" spans="1:9" x14ac:dyDescent="0.2">
      <c r="A88" s="103"/>
      <c r="B88" s="103"/>
      <c r="C88" s="93" t="s">
        <v>122</v>
      </c>
      <c r="D88" s="97" t="s">
        <v>358</v>
      </c>
      <c r="G88" s="1352" t="s">
        <v>246</v>
      </c>
    </row>
    <row r="89" spans="1:9" x14ac:dyDescent="0.2">
      <c r="A89" s="103"/>
      <c r="B89" s="172"/>
      <c r="C89" s="174" t="s">
        <v>123</v>
      </c>
      <c r="D89" s="170" t="s">
        <v>359</v>
      </c>
      <c r="G89" s="1352" t="s">
        <v>246</v>
      </c>
    </row>
    <row r="90" spans="1:9" x14ac:dyDescent="0.2">
      <c r="A90" s="103"/>
      <c r="B90" s="93" t="s">
        <v>259</v>
      </c>
      <c r="C90" s="103"/>
      <c r="D90" s="1613" t="s">
        <v>360</v>
      </c>
      <c r="E90" s="1352">
        <f>'Verification Report'!O90</f>
        <v>0</v>
      </c>
      <c r="F90" s="1341" t="str">
        <f>IF(LEN('Verification Report'!W90)=0,"",'Verification Report'!W90)</f>
        <v/>
      </c>
      <c r="G90" s="1397" t="str">
        <f>IF(E90&gt;0,"P","NP")</f>
        <v>NP</v>
      </c>
      <c r="H90" s="1401" t="s">
        <v>5248</v>
      </c>
      <c r="I90" s="1600"/>
    </row>
    <row r="91" spans="1:9" x14ac:dyDescent="0.2">
      <c r="A91" s="103"/>
      <c r="B91" s="172"/>
      <c r="C91" s="172"/>
      <c r="D91" s="1612"/>
      <c r="G91" s="1" t="str">
        <f>G90</f>
        <v>NP</v>
      </c>
      <c r="I91" s="1600"/>
    </row>
    <row r="92" spans="1:9" ht="16" thickBot="1" x14ac:dyDescent="0.25">
      <c r="A92" s="104"/>
      <c r="B92" s="98" t="s">
        <v>263</v>
      </c>
      <c r="C92" s="104"/>
      <c r="D92" s="99" t="s">
        <v>361</v>
      </c>
      <c r="E92" s="1352">
        <f>'Verification Report'!O92</f>
        <v>0</v>
      </c>
      <c r="F92" s="1341" t="str">
        <f>IF(LEN('Verification Report'!W92)=0,"",'Verification Report'!W92)</f>
        <v/>
      </c>
      <c r="G92" s="1352" t="s">
        <v>246</v>
      </c>
    </row>
    <row r="93" spans="1:9" ht="16" thickTop="1" x14ac:dyDescent="0.2">
      <c r="A93" s="107" t="s">
        <v>3489</v>
      </c>
      <c r="B93" s="108"/>
      <c r="C93" s="108"/>
      <c r="D93" s="1683" t="s">
        <v>3779</v>
      </c>
      <c r="G93" s="1352" t="s">
        <v>246</v>
      </c>
    </row>
    <row r="94" spans="1:9" x14ac:dyDescent="0.2">
      <c r="A94" s="103"/>
      <c r="B94" s="103"/>
      <c r="C94" s="103"/>
      <c r="D94" s="1786"/>
      <c r="G94" s="1352" t="s">
        <v>246</v>
      </c>
    </row>
    <row r="95" spans="1:9" x14ac:dyDescent="0.2">
      <c r="A95" s="103"/>
      <c r="B95" s="103"/>
      <c r="C95" s="103"/>
      <c r="D95" s="1367" t="s">
        <v>3780</v>
      </c>
      <c r="G95" s="1352" t="s">
        <v>246</v>
      </c>
    </row>
    <row r="96" spans="1:9" x14ac:dyDescent="0.2">
      <c r="A96" s="103"/>
      <c r="B96" s="93" t="s">
        <v>254</v>
      </c>
      <c r="C96" s="103"/>
      <c r="D96" s="1789" t="s">
        <v>3781</v>
      </c>
      <c r="E96" s="1352">
        <f>'Verification Report'!O96</f>
        <v>0</v>
      </c>
      <c r="F96" s="1341" t="str">
        <f>IF(LEN('Verification Report'!W96)=0,"",'Verification Report'!W96)</f>
        <v/>
      </c>
      <c r="G96" s="1352" t="s">
        <v>246</v>
      </c>
    </row>
    <row r="97" spans="1:7" x14ac:dyDescent="0.2">
      <c r="A97" s="103"/>
      <c r="B97" s="169"/>
      <c r="C97" s="172"/>
      <c r="D97" s="1612"/>
      <c r="G97" s="1352" t="s">
        <v>246</v>
      </c>
    </row>
    <row r="98" spans="1:7" x14ac:dyDescent="0.2">
      <c r="A98" s="103"/>
      <c r="B98" s="93" t="s">
        <v>255</v>
      </c>
      <c r="C98" s="103"/>
      <c r="D98" s="1355" t="s">
        <v>3782</v>
      </c>
      <c r="E98" s="1352">
        <f>'Verification Report'!O98</f>
        <v>0</v>
      </c>
      <c r="G98" s="1352" t="s">
        <v>246</v>
      </c>
    </row>
    <row r="99" spans="1:7" x14ac:dyDescent="0.2">
      <c r="A99" s="103"/>
      <c r="B99" s="103"/>
      <c r="C99" s="93" t="s">
        <v>121</v>
      </c>
      <c r="D99" s="97" t="s">
        <v>363</v>
      </c>
      <c r="F99" s="1341" t="str">
        <f>IF(LEN('Verification Report'!W99)=0,"",'Verification Report'!W99)</f>
        <v/>
      </c>
      <c r="G99" s="1352" t="s">
        <v>246</v>
      </c>
    </row>
    <row r="100" spans="1:7" x14ac:dyDescent="0.2">
      <c r="A100" s="103"/>
      <c r="B100" s="103"/>
      <c r="C100" s="93" t="s">
        <v>122</v>
      </c>
      <c r="D100" s="1609" t="s">
        <v>364</v>
      </c>
      <c r="F100" s="1341" t="str">
        <f>IF(LEN('Verification Report'!W100)=0,"",'Verification Report'!W100)</f>
        <v/>
      </c>
      <c r="G100" s="1352" t="s">
        <v>246</v>
      </c>
    </row>
    <row r="101" spans="1:7" x14ac:dyDescent="0.2">
      <c r="A101" s="103"/>
      <c r="B101" s="103"/>
      <c r="C101" s="103"/>
      <c r="D101" s="1609"/>
      <c r="G101" s="1352" t="s">
        <v>246</v>
      </c>
    </row>
    <row r="102" spans="1:7" x14ac:dyDescent="0.2">
      <c r="A102" s="103"/>
      <c r="B102" s="103"/>
      <c r="C102" s="111" t="s">
        <v>123</v>
      </c>
      <c r="D102" s="97" t="s">
        <v>365</v>
      </c>
      <c r="F102" s="1341" t="str">
        <f>IF(LEN('Verification Report'!W102)=0,"",'Verification Report'!W102)</f>
        <v/>
      </c>
      <c r="G102" s="1352" t="s">
        <v>246</v>
      </c>
    </row>
    <row r="103" spans="1:7" x14ac:dyDescent="0.2">
      <c r="A103" s="103"/>
      <c r="B103" s="172"/>
      <c r="C103" s="174" t="s">
        <v>366</v>
      </c>
      <c r="D103" s="170" t="s">
        <v>367</v>
      </c>
      <c r="F103" s="1341" t="str">
        <f>IF(LEN('Verification Report'!W103)=0,"",'Verification Report'!W103)</f>
        <v/>
      </c>
      <c r="G103" s="1352" t="s">
        <v>246</v>
      </c>
    </row>
    <row r="104" spans="1:7" ht="16" thickBot="1" x14ac:dyDescent="0.25">
      <c r="A104" s="104"/>
      <c r="B104" s="98" t="s">
        <v>256</v>
      </c>
      <c r="C104" s="104"/>
      <c r="D104" s="99" t="s">
        <v>3783</v>
      </c>
      <c r="E104" s="1352">
        <f>'Verification Report'!O104</f>
        <v>0</v>
      </c>
      <c r="F104" s="1341" t="str">
        <f>IF(LEN('Verification Report'!W104)=0,"",'Verification Report'!W104)</f>
        <v/>
      </c>
      <c r="G104" s="1352" t="s">
        <v>246</v>
      </c>
    </row>
    <row r="105" spans="1:7" ht="16" thickTop="1" x14ac:dyDescent="0.2">
      <c r="A105" s="136" t="s">
        <v>3490</v>
      </c>
      <c r="B105" s="92"/>
      <c r="C105" s="92"/>
      <c r="D105" s="1683" t="s">
        <v>3512</v>
      </c>
      <c r="G105" s="1400" t="str">
        <f>IF(COUNTIF(G129,"P")&gt;0,"P","NP")</f>
        <v>NP</v>
      </c>
    </row>
    <row r="106" spans="1:7" x14ac:dyDescent="0.2">
      <c r="A106" s="92"/>
      <c r="B106" s="92"/>
      <c r="C106" s="92"/>
      <c r="D106" s="1629"/>
      <c r="G106" s="1" t="str">
        <f>G105</f>
        <v>NP</v>
      </c>
    </row>
    <row r="107" spans="1:7" x14ac:dyDescent="0.2">
      <c r="A107" s="92"/>
      <c r="B107" s="92"/>
      <c r="C107" s="92"/>
      <c r="D107" s="1629"/>
      <c r="G107" s="1" t="str">
        <f>G106</f>
        <v>NP</v>
      </c>
    </row>
    <row r="108" spans="1:7" x14ac:dyDescent="0.2">
      <c r="A108" s="92"/>
      <c r="B108" s="92"/>
      <c r="C108" s="92"/>
      <c r="D108" s="1786"/>
      <c r="G108" s="1" t="str">
        <f>G107</f>
        <v>NP</v>
      </c>
    </row>
    <row r="109" spans="1:7" x14ac:dyDescent="0.2">
      <c r="A109" s="92"/>
      <c r="B109" s="92"/>
      <c r="C109" s="92"/>
      <c r="D109" s="1810" t="s">
        <v>2538</v>
      </c>
      <c r="G109" s="1352" t="s">
        <v>246</v>
      </c>
    </row>
    <row r="110" spans="1:7" x14ac:dyDescent="0.2">
      <c r="A110" s="92"/>
      <c r="B110" s="92"/>
      <c r="C110" s="92"/>
      <c r="D110" s="1813"/>
      <c r="G110" s="1352" t="s">
        <v>246</v>
      </c>
    </row>
    <row r="111" spans="1:7" x14ac:dyDescent="0.2">
      <c r="A111" s="92"/>
      <c r="B111" s="92"/>
      <c r="C111" s="92"/>
      <c r="D111" s="1811"/>
      <c r="G111" s="1352" t="s">
        <v>246</v>
      </c>
    </row>
    <row r="112" spans="1:7" x14ac:dyDescent="0.2">
      <c r="A112" s="92"/>
      <c r="B112" s="93" t="s">
        <v>254</v>
      </c>
      <c r="C112" s="103"/>
      <c r="D112" s="1789" t="s">
        <v>369</v>
      </c>
      <c r="E112" s="1352">
        <f>'Verification Report'!O112</f>
        <v>0</v>
      </c>
      <c r="F112" s="1341" t="str">
        <f>IF(LEN('Verification Report'!W112)=0,"",'Verification Report'!W112)</f>
        <v/>
      </c>
      <c r="G112" s="1352" t="s">
        <v>246</v>
      </c>
    </row>
    <row r="113" spans="1:7" x14ac:dyDescent="0.2">
      <c r="A113" s="92"/>
      <c r="B113" s="93"/>
      <c r="C113" s="103"/>
      <c r="D113" s="1609"/>
      <c r="G113" s="1352" t="s">
        <v>246</v>
      </c>
    </row>
    <row r="114" spans="1:7" x14ac:dyDescent="0.2">
      <c r="A114" s="92"/>
      <c r="B114" s="172"/>
      <c r="C114" s="172"/>
      <c r="D114" s="1612"/>
      <c r="G114" s="1352" t="s">
        <v>246</v>
      </c>
    </row>
    <row r="115" spans="1:7" x14ac:dyDescent="0.2">
      <c r="A115" s="92"/>
      <c r="B115" s="89" t="s">
        <v>255</v>
      </c>
      <c r="C115" s="92"/>
      <c r="D115" s="1613" t="s">
        <v>370</v>
      </c>
      <c r="E115" s="1352">
        <f ca="1">'Verification Report'!O115</f>
        <v>0</v>
      </c>
      <c r="F115" s="1341" t="str">
        <f>IF(LEN('Verification Report'!W115)=0,"",'Verification Report'!W115)</f>
        <v/>
      </c>
      <c r="G115" s="1352" t="s">
        <v>246</v>
      </c>
    </row>
    <row r="116" spans="1:7" x14ac:dyDescent="0.2">
      <c r="A116" s="92"/>
      <c r="B116" s="92"/>
      <c r="C116" s="92"/>
      <c r="D116" s="1611"/>
      <c r="G116" s="1352" t="s">
        <v>246</v>
      </c>
    </row>
    <row r="117" spans="1:7" x14ac:dyDescent="0.2">
      <c r="A117" s="92"/>
      <c r="B117" s="92"/>
      <c r="C117" s="92"/>
      <c r="D117" s="1611"/>
      <c r="G117" s="1352" t="s">
        <v>246</v>
      </c>
    </row>
    <row r="118" spans="1:7" x14ac:dyDescent="0.2">
      <c r="A118" s="92"/>
      <c r="B118" s="92"/>
      <c r="C118" s="92"/>
      <c r="D118" s="1611"/>
      <c r="G118" s="1352" t="s">
        <v>246</v>
      </c>
    </row>
    <row r="119" spans="1:7" x14ac:dyDescent="0.2">
      <c r="A119" s="92"/>
      <c r="B119" s="92"/>
      <c r="C119" s="89" t="s">
        <v>121</v>
      </c>
      <c r="D119" s="85" t="s">
        <v>371</v>
      </c>
      <c r="G119" s="1352" t="s">
        <v>246</v>
      </c>
    </row>
    <row r="120" spans="1:7" x14ac:dyDescent="0.2">
      <c r="A120" s="92"/>
      <c r="B120" s="92"/>
      <c r="C120" s="89" t="s">
        <v>122</v>
      </c>
      <c r="D120" s="85" t="s">
        <v>372</v>
      </c>
      <c r="G120" s="1352" t="s">
        <v>246</v>
      </c>
    </row>
    <row r="121" spans="1:7" x14ac:dyDescent="0.2">
      <c r="A121" s="92"/>
      <c r="B121" s="172"/>
      <c r="C121" s="174" t="s">
        <v>123</v>
      </c>
      <c r="D121" s="170" t="s">
        <v>373</v>
      </c>
      <c r="G121" s="1352" t="s">
        <v>246</v>
      </c>
    </row>
    <row r="122" spans="1:7" x14ac:dyDescent="0.2">
      <c r="A122" s="103"/>
      <c r="B122" s="93" t="s">
        <v>256</v>
      </c>
      <c r="C122" s="111"/>
      <c r="D122" s="1613" t="s">
        <v>374</v>
      </c>
      <c r="E122" s="1352">
        <f ca="1">'Verification Report'!O122</f>
        <v>0</v>
      </c>
      <c r="F122" s="1341" t="str">
        <f>IF(LEN('Verification Report'!W122)=0,"",'Verification Report'!W122)</f>
        <v/>
      </c>
      <c r="G122" s="1352" t="s">
        <v>246</v>
      </c>
    </row>
    <row r="123" spans="1:7" x14ac:dyDescent="0.2">
      <c r="A123" s="103"/>
      <c r="B123" s="103"/>
      <c r="C123" s="103"/>
      <c r="D123" s="1609"/>
      <c r="G123" s="1352" t="s">
        <v>246</v>
      </c>
    </row>
    <row r="124" spans="1:7" x14ac:dyDescent="0.2">
      <c r="A124" s="103"/>
      <c r="B124" s="103"/>
      <c r="C124" s="93" t="s">
        <v>121</v>
      </c>
      <c r="D124" s="1359" t="s">
        <v>3939</v>
      </c>
      <c r="G124" s="1352" t="s">
        <v>246</v>
      </c>
    </row>
    <row r="125" spans="1:7" x14ac:dyDescent="0.2">
      <c r="A125" s="103"/>
      <c r="B125" s="103"/>
      <c r="C125" s="93" t="s">
        <v>122</v>
      </c>
      <c r="D125" s="1359" t="s">
        <v>3940</v>
      </c>
      <c r="G125" s="1352" t="s">
        <v>246</v>
      </c>
    </row>
    <row r="126" spans="1:7" x14ac:dyDescent="0.2">
      <c r="A126" s="103"/>
      <c r="B126" s="103"/>
      <c r="C126" s="111" t="s">
        <v>123</v>
      </c>
      <c r="D126" s="1359" t="s">
        <v>3941</v>
      </c>
      <c r="G126" s="1352" t="s">
        <v>246</v>
      </c>
    </row>
    <row r="127" spans="1:7" x14ac:dyDescent="0.2">
      <c r="A127" s="103"/>
      <c r="B127" s="103"/>
      <c r="C127" s="111"/>
      <c r="D127" s="1634" t="s">
        <v>3943</v>
      </c>
      <c r="E127" s="1352">
        <f ca="1">'Verification Report'!O127</f>
        <v>0</v>
      </c>
      <c r="F127" s="1341" t="str">
        <f>IF(LEN('Verification Report'!W127)=0,"",'Verification Report'!W127)</f>
        <v/>
      </c>
      <c r="G127" s="1352" t="s">
        <v>246</v>
      </c>
    </row>
    <row r="128" spans="1:7" x14ac:dyDescent="0.2">
      <c r="A128" s="103"/>
      <c r="B128" s="172"/>
      <c r="C128" s="174"/>
      <c r="D128" s="1639"/>
      <c r="G128" s="1352" t="s">
        <v>246</v>
      </c>
    </row>
    <row r="129" spans="1:9" x14ac:dyDescent="0.2">
      <c r="A129" s="103"/>
      <c r="B129" s="93" t="s">
        <v>259</v>
      </c>
      <c r="C129" s="111"/>
      <c r="D129" s="1609" t="s">
        <v>3942</v>
      </c>
      <c r="E129" s="1352">
        <f>'Verification Report'!O129</f>
        <v>0</v>
      </c>
      <c r="F129" s="1341" t="str">
        <f>IF(LEN('Verification Report'!W129)=0,"",'Verification Report'!W129)</f>
        <v/>
      </c>
      <c r="G129" s="1397" t="str">
        <f>IF(E129&gt;0,"P","NP")</f>
        <v>NP</v>
      </c>
      <c r="H129" s="1801" t="s">
        <v>5249</v>
      </c>
      <c r="I129" s="1621"/>
    </row>
    <row r="130" spans="1:9" x14ac:dyDescent="0.2">
      <c r="A130" s="103"/>
      <c r="B130" s="103"/>
      <c r="C130" s="103"/>
      <c r="D130" s="1609"/>
      <c r="G130" s="1" t="str">
        <f>G129</f>
        <v>NP</v>
      </c>
      <c r="H130" s="1801"/>
      <c r="I130" s="1632"/>
    </row>
    <row r="131" spans="1:9" ht="16" thickBot="1" x14ac:dyDescent="0.25">
      <c r="A131" s="104"/>
      <c r="B131" s="104"/>
      <c r="C131" s="112"/>
      <c r="D131" s="1610"/>
      <c r="G131" s="1" t="str">
        <f>G130</f>
        <v>NP</v>
      </c>
      <c r="I131" s="1599"/>
    </row>
    <row r="132" spans="1:9" ht="16" thickTop="1" x14ac:dyDescent="0.2">
      <c r="A132" s="136" t="s">
        <v>3491</v>
      </c>
      <c r="B132" s="92"/>
      <c r="C132" s="92"/>
      <c r="D132" s="1631" t="s">
        <v>3513</v>
      </c>
      <c r="G132" s="1400" t="str">
        <f ca="1">IF(COUNTIF(G142:G164,"P")&gt;0,"P","NP")</f>
        <v>NP</v>
      </c>
    </row>
    <row r="133" spans="1:9" x14ac:dyDescent="0.2">
      <c r="A133" s="92"/>
      <c r="B133" s="92"/>
      <c r="C133" s="92"/>
      <c r="D133" s="1786"/>
      <c r="G133" s="1" t="str">
        <f ca="1">G132</f>
        <v>NP</v>
      </c>
    </row>
    <row r="134" spans="1:9" x14ac:dyDescent="0.2">
      <c r="A134" s="92"/>
      <c r="B134" s="92"/>
      <c r="C134" s="92"/>
      <c r="D134" s="1810" t="s">
        <v>376</v>
      </c>
      <c r="F134" s="1341" t="str">
        <f>IF(LEN('Verification Report'!W134)=0,"",'Verification Report'!W134)</f>
        <v/>
      </c>
      <c r="G134" s="1352" t="s">
        <v>246</v>
      </c>
    </row>
    <row r="135" spans="1:9" x14ac:dyDescent="0.2">
      <c r="A135" s="92"/>
      <c r="B135" s="92"/>
      <c r="C135" s="92"/>
      <c r="D135" s="1811"/>
      <c r="G135" s="1352" t="s">
        <v>246</v>
      </c>
    </row>
    <row r="136" spans="1:9" x14ac:dyDescent="0.2">
      <c r="A136" s="92"/>
      <c r="B136" s="89" t="s">
        <v>254</v>
      </c>
      <c r="C136" s="92"/>
      <c r="D136" s="1789" t="s">
        <v>377</v>
      </c>
      <c r="E136" s="1352">
        <f ca="1">'Verification Report'!O136</f>
        <v>0</v>
      </c>
      <c r="F136" s="1341" t="str">
        <f>IF(LEN('Verification Report'!W136)=0,"",'Verification Report'!W136)</f>
        <v/>
      </c>
      <c r="G136" s="1352" t="s">
        <v>246</v>
      </c>
    </row>
    <row r="137" spans="1:9" x14ac:dyDescent="0.2">
      <c r="A137" s="92"/>
      <c r="B137" s="89"/>
      <c r="C137" s="92"/>
      <c r="D137" s="1611"/>
      <c r="G137" s="1352" t="s">
        <v>246</v>
      </c>
    </row>
    <row r="138" spans="1:9" x14ac:dyDescent="0.2">
      <c r="A138" s="92"/>
      <c r="B138" s="92"/>
      <c r="C138" s="89" t="s">
        <v>121</v>
      </c>
      <c r="D138" s="85" t="s">
        <v>378</v>
      </c>
      <c r="G138" s="1352" t="s">
        <v>246</v>
      </c>
    </row>
    <row r="139" spans="1:9" x14ac:dyDescent="0.2">
      <c r="A139" s="92"/>
      <c r="B139" s="92"/>
      <c r="C139" s="89" t="s">
        <v>122</v>
      </c>
      <c r="D139" s="85" t="s">
        <v>379</v>
      </c>
      <c r="G139" s="1352" t="s">
        <v>246</v>
      </c>
    </row>
    <row r="140" spans="1:9" x14ac:dyDescent="0.2">
      <c r="A140" s="92"/>
      <c r="B140" s="92"/>
      <c r="C140" s="91" t="s">
        <v>123</v>
      </c>
      <c r="D140" s="85" t="s">
        <v>380</v>
      </c>
      <c r="G140" s="1352" t="s">
        <v>246</v>
      </c>
    </row>
    <row r="141" spans="1:9" x14ac:dyDescent="0.2">
      <c r="A141" s="92"/>
      <c r="B141" s="172"/>
      <c r="C141" s="174" t="s">
        <v>366</v>
      </c>
      <c r="D141" s="170" t="s">
        <v>381</v>
      </c>
      <c r="G141" s="1352" t="s">
        <v>246</v>
      </c>
    </row>
    <row r="142" spans="1:9" x14ac:dyDescent="0.2">
      <c r="A142" s="92"/>
      <c r="B142" s="93" t="s">
        <v>255</v>
      </c>
      <c r="C142" s="103"/>
      <c r="D142" s="1613" t="s">
        <v>382</v>
      </c>
      <c r="E142" s="1352">
        <f ca="1">'Verification Report'!O142</f>
        <v>0</v>
      </c>
      <c r="F142" s="1341" t="str">
        <f>IF(LEN('Verification Report'!W142)=0,"",'Verification Report'!W142)</f>
        <v/>
      </c>
      <c r="G142" s="1397" t="str">
        <f ca="1">IF(E142&gt;0,"P","NP")</f>
        <v>NP</v>
      </c>
      <c r="H142" s="1801" t="s">
        <v>5250</v>
      </c>
      <c r="I142" s="1600"/>
    </row>
    <row r="143" spans="1:9" x14ac:dyDescent="0.2">
      <c r="A143" s="92"/>
      <c r="B143" s="172"/>
      <c r="C143" s="172"/>
      <c r="D143" s="1612"/>
      <c r="G143" s="1" t="str">
        <f ca="1">G142</f>
        <v>NP</v>
      </c>
      <c r="H143" s="1801"/>
      <c r="I143" s="1600"/>
    </row>
    <row r="144" spans="1:9" x14ac:dyDescent="0.2">
      <c r="A144" s="92"/>
      <c r="B144" s="93" t="s">
        <v>256</v>
      </c>
      <c r="C144" s="103"/>
      <c r="D144" s="1613" t="s">
        <v>3944</v>
      </c>
      <c r="E144" s="1352">
        <f ca="1">'Verification Report'!O144</f>
        <v>0</v>
      </c>
      <c r="F144" s="1341" t="str">
        <f>IF(LEN('Verification Report'!W144)=0,"",'Verification Report'!W144)</f>
        <v/>
      </c>
      <c r="G144" s="1397" t="str">
        <f ca="1">IF(E144&gt;0,"P","NP")</f>
        <v>NP</v>
      </c>
      <c r="H144" s="1401" t="s">
        <v>5251</v>
      </c>
      <c r="I144" s="1600"/>
    </row>
    <row r="145" spans="1:9" x14ac:dyDescent="0.2">
      <c r="A145" s="92"/>
      <c r="B145" s="93"/>
      <c r="C145" s="103"/>
      <c r="D145" s="1609"/>
      <c r="G145" s="1" t="str">
        <f ca="1">G144</f>
        <v>NP</v>
      </c>
      <c r="I145" s="1600"/>
    </row>
    <row r="146" spans="1:9" x14ac:dyDescent="0.2">
      <c r="A146" s="92"/>
      <c r="B146" s="172"/>
      <c r="C146" s="172"/>
      <c r="D146" s="1612"/>
      <c r="G146" s="1" t="str">
        <f ca="1">G145</f>
        <v>NP</v>
      </c>
      <c r="I146" s="1600"/>
    </row>
    <row r="147" spans="1:9" x14ac:dyDescent="0.2">
      <c r="A147" s="92"/>
      <c r="B147" s="93" t="s">
        <v>259</v>
      </c>
      <c r="C147" s="103"/>
      <c r="D147" s="1613" t="s">
        <v>3945</v>
      </c>
      <c r="E147" s="1352">
        <f ca="1">'Verification Report'!O147</f>
        <v>0</v>
      </c>
      <c r="F147" s="1341" t="str">
        <f>IF(LEN('Verification Report'!W147)=0,"",'Verification Report'!W147)</f>
        <v/>
      </c>
      <c r="G147" s="1397" t="str">
        <f ca="1">IF(E147&gt;0,"P","NP")</f>
        <v>NP</v>
      </c>
      <c r="H147" s="1401" t="s">
        <v>5251</v>
      </c>
      <c r="I147" s="1600"/>
    </row>
    <row r="148" spans="1:9" x14ac:dyDescent="0.2">
      <c r="A148" s="92"/>
      <c r="B148" s="172"/>
      <c r="C148" s="172"/>
      <c r="D148" s="1612"/>
      <c r="G148" s="1" t="str">
        <f ca="1">G147</f>
        <v>NP</v>
      </c>
      <c r="I148" s="1600"/>
    </row>
    <row r="149" spans="1:9" x14ac:dyDescent="0.2">
      <c r="A149" s="1352"/>
      <c r="B149" s="860" t="s">
        <v>263</v>
      </c>
      <c r="C149" s="865"/>
      <c r="D149" s="1649" t="s">
        <v>3946</v>
      </c>
      <c r="E149" s="1352">
        <f ca="1">'Verification Report'!O149</f>
        <v>0</v>
      </c>
      <c r="F149" s="1341" t="str">
        <f>IF(LEN('Verification Report'!W149)=0,"",'Verification Report'!W149)</f>
        <v/>
      </c>
      <c r="G149" s="1397" t="str">
        <f ca="1">IF(E149&gt;0,"P","NP")</f>
        <v>NP</v>
      </c>
      <c r="H149" s="1401" t="s">
        <v>5252</v>
      </c>
      <c r="I149" s="1600"/>
    </row>
    <row r="150" spans="1:9" x14ac:dyDescent="0.2">
      <c r="A150" s="1352"/>
      <c r="B150" s="172"/>
      <c r="C150" s="172"/>
      <c r="D150" s="1650"/>
      <c r="G150" s="1" t="str">
        <f ca="1">G149</f>
        <v>NP</v>
      </c>
      <c r="I150" s="1600"/>
    </row>
    <row r="151" spans="1:9" x14ac:dyDescent="0.2">
      <c r="A151" s="92"/>
      <c r="B151" s="89" t="s">
        <v>264</v>
      </c>
      <c r="C151" s="92"/>
      <c r="D151" s="85" t="s">
        <v>3784</v>
      </c>
      <c r="E151" s="1352">
        <f ca="1">'Verification Report'!O151</f>
        <v>0</v>
      </c>
      <c r="F151" s="1341" t="str">
        <f>IF(LEN('Verification Report'!W151)=0,"",'Verification Report'!W151)</f>
        <v/>
      </c>
      <c r="G151" s="1397" t="str">
        <f ca="1">IF(E151&gt;0,"P","NP")</f>
        <v>NP</v>
      </c>
      <c r="H151" s="1401" t="s">
        <v>5252</v>
      </c>
      <c r="I151" s="1403"/>
    </row>
    <row r="152" spans="1:9" x14ac:dyDescent="0.2">
      <c r="A152" s="92"/>
      <c r="B152" s="92"/>
      <c r="C152" s="89" t="s">
        <v>121</v>
      </c>
      <c r="D152" s="85" t="s">
        <v>383</v>
      </c>
      <c r="G152" s="1" t="str">
        <f ca="1">G151</f>
        <v>NP</v>
      </c>
    </row>
    <row r="153" spans="1:9" x14ac:dyDescent="0.2">
      <c r="A153" s="92"/>
      <c r="B153" s="92"/>
      <c r="C153" s="89" t="s">
        <v>122</v>
      </c>
      <c r="D153" s="85" t="s">
        <v>384</v>
      </c>
      <c r="G153" s="1" t="str">
        <f ca="1">G152</f>
        <v>NP</v>
      </c>
    </row>
    <row r="154" spans="1:9" x14ac:dyDescent="0.2">
      <c r="A154" s="92"/>
      <c r="B154" s="92"/>
      <c r="C154" s="91" t="s">
        <v>123</v>
      </c>
      <c r="D154" s="85" t="s">
        <v>385</v>
      </c>
      <c r="G154" s="1" t="str">
        <f ca="1">G153</f>
        <v>NP</v>
      </c>
    </row>
    <row r="155" spans="1:9" x14ac:dyDescent="0.2">
      <c r="A155" s="92"/>
      <c r="B155" s="172"/>
      <c r="C155" s="174" t="s">
        <v>366</v>
      </c>
      <c r="D155" s="170" t="s">
        <v>386</v>
      </c>
      <c r="G155" s="1" t="str">
        <f ca="1">G154</f>
        <v>NP</v>
      </c>
    </row>
    <row r="156" spans="1:9" x14ac:dyDescent="0.2">
      <c r="A156" s="92"/>
      <c r="B156" s="169" t="s">
        <v>356</v>
      </c>
      <c r="C156" s="172"/>
      <c r="D156" s="170" t="s">
        <v>387</v>
      </c>
      <c r="E156" s="1352">
        <f ca="1">'Verification Report'!O156</f>
        <v>0</v>
      </c>
      <c r="F156" s="1341" t="str">
        <f>IF(LEN('Verification Report'!W156)=0,"",'Verification Report'!W156)</f>
        <v/>
      </c>
      <c r="G156" s="1397" t="str">
        <f ca="1">IF(E156&gt;0,"P","NP")</f>
        <v>NP</v>
      </c>
      <c r="H156" s="1401" t="s">
        <v>5253</v>
      </c>
      <c r="I156" s="1403"/>
    </row>
    <row r="157" spans="1:9" x14ac:dyDescent="0.2">
      <c r="A157" s="92"/>
      <c r="B157" s="93" t="s">
        <v>389</v>
      </c>
      <c r="C157" s="103"/>
      <c r="D157" s="1613" t="s">
        <v>388</v>
      </c>
      <c r="E157" s="1352">
        <f ca="1">'Verification Report'!O157</f>
        <v>0</v>
      </c>
      <c r="F157" s="1341" t="str">
        <f>IF(LEN('Verification Report'!W157)=0,"",'Verification Report'!W157)</f>
        <v/>
      </c>
      <c r="G157" s="1397" t="str">
        <f ca="1">IF(E157&gt;0,"P","NP")</f>
        <v>NP</v>
      </c>
      <c r="H157" s="1401" t="s">
        <v>5254</v>
      </c>
      <c r="I157" s="1600"/>
    </row>
    <row r="158" spans="1:9" x14ac:dyDescent="0.2">
      <c r="A158" s="92"/>
      <c r="B158" s="103"/>
      <c r="C158" s="103"/>
      <c r="D158" s="1609"/>
      <c r="G158" s="1" t="str">
        <f ca="1">G157</f>
        <v>NP</v>
      </c>
      <c r="I158" s="1600"/>
    </row>
    <row r="159" spans="1:9" x14ac:dyDescent="0.2">
      <c r="A159" s="92"/>
      <c r="B159" s="103"/>
      <c r="C159" s="103"/>
      <c r="D159" s="1609"/>
      <c r="G159" s="1" t="str">
        <f ca="1">G158</f>
        <v>NP</v>
      </c>
      <c r="I159" s="1600"/>
    </row>
    <row r="160" spans="1:9" x14ac:dyDescent="0.2">
      <c r="A160" s="92"/>
      <c r="B160" s="103"/>
      <c r="C160" s="103"/>
      <c r="D160" s="1609"/>
      <c r="G160" s="1" t="str">
        <f ca="1">G159</f>
        <v>NP</v>
      </c>
      <c r="I160" s="1600"/>
    </row>
    <row r="161" spans="1:9" x14ac:dyDescent="0.2">
      <c r="A161" s="92"/>
      <c r="B161" s="172"/>
      <c r="C161" s="172"/>
      <c r="D161" s="1612"/>
      <c r="G161" s="1" t="str">
        <f ca="1">G160</f>
        <v>NP</v>
      </c>
      <c r="I161" s="1600"/>
    </row>
    <row r="162" spans="1:9" x14ac:dyDescent="0.2">
      <c r="A162" s="92"/>
      <c r="B162" s="93" t="s">
        <v>391</v>
      </c>
      <c r="C162" s="103"/>
      <c r="D162" s="1613" t="s">
        <v>390</v>
      </c>
      <c r="E162" s="1352">
        <f ca="1">'Verification Report'!O162</f>
        <v>0</v>
      </c>
      <c r="F162" s="1341" t="str">
        <f>IF(LEN('Verification Report'!W162)=0,"",'Verification Report'!W162)</f>
        <v/>
      </c>
      <c r="G162" s="1397" t="str">
        <f ca="1">IF(E162&gt;0,"P","NP")</f>
        <v>NP</v>
      </c>
      <c r="H162" s="1401" t="s">
        <v>5255</v>
      </c>
      <c r="I162" s="1600"/>
    </row>
    <row r="163" spans="1:9" x14ac:dyDescent="0.2">
      <c r="A163" s="92"/>
      <c r="B163" s="172"/>
      <c r="C163" s="172"/>
      <c r="D163" s="1612"/>
      <c r="G163" s="1" t="str">
        <f ca="1">G162</f>
        <v>NP</v>
      </c>
      <c r="I163" s="1600"/>
    </row>
    <row r="164" spans="1:9" x14ac:dyDescent="0.2">
      <c r="A164" s="92"/>
      <c r="B164" s="93" t="s">
        <v>392</v>
      </c>
      <c r="C164" s="103"/>
      <c r="D164" s="1613" t="s">
        <v>3785</v>
      </c>
      <c r="E164" s="1352">
        <f>'Verification Report'!O164</f>
        <v>0</v>
      </c>
      <c r="F164" s="1341" t="str">
        <f>IF(LEN('Verification Report'!W164)=0,"",'Verification Report'!W164)</f>
        <v/>
      </c>
      <c r="G164" s="1397" t="str">
        <f>IF(E164&gt;0,"P","NP")</f>
        <v>NP</v>
      </c>
      <c r="H164" s="1401" t="s">
        <v>5256</v>
      </c>
      <c r="I164" s="1600"/>
    </row>
    <row r="165" spans="1:9" x14ac:dyDescent="0.2">
      <c r="A165" s="92"/>
      <c r="B165" s="103"/>
      <c r="C165" s="103"/>
      <c r="D165" s="1609"/>
      <c r="G165" s="1" t="str">
        <f>G164</f>
        <v>NP</v>
      </c>
      <c r="I165" s="1600"/>
    </row>
    <row r="166" spans="1:9" x14ac:dyDescent="0.2">
      <c r="A166" s="92"/>
      <c r="B166" s="172"/>
      <c r="C166" s="172"/>
      <c r="D166" s="1612"/>
      <c r="G166" s="1" t="str">
        <f>G165</f>
        <v>NP</v>
      </c>
      <c r="I166" s="1600"/>
    </row>
    <row r="167" spans="1:9" x14ac:dyDescent="0.2">
      <c r="A167" s="92"/>
      <c r="B167" s="93" t="s">
        <v>394</v>
      </c>
      <c r="C167" s="103"/>
      <c r="D167" s="1613" t="s">
        <v>393</v>
      </c>
      <c r="E167" s="1352">
        <f>'Verification Report'!O167</f>
        <v>0</v>
      </c>
      <c r="F167" s="1341" t="str">
        <f>IF(LEN('Verification Report'!W167)=0,"",'Verification Report'!W167)</f>
        <v/>
      </c>
      <c r="G167" s="1352" t="s">
        <v>246</v>
      </c>
    </row>
    <row r="168" spans="1:9" x14ac:dyDescent="0.2">
      <c r="A168" s="92"/>
      <c r="B168" s="172"/>
      <c r="C168" s="172"/>
      <c r="D168" s="1612"/>
      <c r="G168" s="1352" t="s">
        <v>246</v>
      </c>
    </row>
    <row r="169" spans="1:9" x14ac:dyDescent="0.2">
      <c r="A169" s="92"/>
      <c r="B169" s="93" t="s">
        <v>396</v>
      </c>
      <c r="C169" s="103"/>
      <c r="D169" s="1613" t="s">
        <v>395</v>
      </c>
      <c r="E169" s="1352">
        <f>'Verification Report'!O169</f>
        <v>0</v>
      </c>
      <c r="F169" s="1341" t="str">
        <f>IF(LEN('Verification Report'!W169)=0,"",'Verification Report'!W169)</f>
        <v/>
      </c>
      <c r="G169" s="1352" t="s">
        <v>246</v>
      </c>
    </row>
    <row r="170" spans="1:9" x14ac:dyDescent="0.2">
      <c r="A170" s="92"/>
      <c r="B170" s="172"/>
      <c r="C170" s="172"/>
      <c r="D170" s="1612"/>
      <c r="G170" s="1352" t="s">
        <v>246</v>
      </c>
    </row>
    <row r="171" spans="1:9" x14ac:dyDescent="0.2">
      <c r="A171" s="103"/>
      <c r="B171" s="93" t="s">
        <v>2781</v>
      </c>
      <c r="C171" s="103"/>
      <c r="D171" s="1613" t="s">
        <v>397</v>
      </c>
      <c r="E171" s="1352">
        <f>'Verification Report'!O171</f>
        <v>0</v>
      </c>
      <c r="F171" s="1341" t="str">
        <f>IF(LEN('Verification Report'!W171)=0,"",'Verification Report'!W171)</f>
        <v/>
      </c>
      <c r="G171" s="1352" t="s">
        <v>246</v>
      </c>
    </row>
    <row r="172" spans="1:9" ht="16" thickBot="1" x14ac:dyDescent="0.25">
      <c r="A172" s="104"/>
      <c r="B172" s="104"/>
      <c r="C172" s="104"/>
      <c r="D172" s="1610"/>
      <c r="G172" s="1352" t="s">
        <v>246</v>
      </c>
    </row>
    <row r="173" spans="1:9" ht="16" thickTop="1" x14ac:dyDescent="0.2">
      <c r="A173" s="136" t="s">
        <v>3492</v>
      </c>
      <c r="B173" s="92"/>
      <c r="C173" s="92"/>
      <c r="D173" s="1683" t="s">
        <v>3514</v>
      </c>
      <c r="E173" s="1352">
        <f>'Verification Report'!O173</f>
        <v>0</v>
      </c>
      <c r="G173" s="1397" t="str">
        <f>IF(E173&gt;0,"P","NP")</f>
        <v>NP</v>
      </c>
      <c r="H173" s="1401" t="s">
        <v>5257</v>
      </c>
      <c r="I173" s="1600"/>
    </row>
    <row r="174" spans="1:9" x14ac:dyDescent="0.2">
      <c r="A174" s="92"/>
      <c r="B174" s="92"/>
      <c r="C174" s="92"/>
      <c r="D174" s="1631"/>
      <c r="G174" s="1" t="str">
        <f>G173</f>
        <v>NP</v>
      </c>
      <c r="I174" s="1600"/>
    </row>
    <row r="175" spans="1:9" x14ac:dyDescent="0.2">
      <c r="A175" s="92"/>
      <c r="B175" s="169" t="s">
        <v>254</v>
      </c>
      <c r="C175" s="172"/>
      <c r="D175" s="170" t="s">
        <v>399</v>
      </c>
      <c r="F175" s="1341" t="str">
        <f>IF(LEN('Verification Report'!W175)=0,"",'Verification Report'!W175)</f>
        <v/>
      </c>
      <c r="G175" s="1398" t="str">
        <f>IF(AND(LEN(F175)&gt;0,NOT(F175=FALSE)),"P","NP")</f>
        <v>NP</v>
      </c>
    </row>
    <row r="176" spans="1:9" x14ac:dyDescent="0.2">
      <c r="A176" s="92"/>
      <c r="B176" s="169" t="s">
        <v>255</v>
      </c>
      <c r="C176" s="172"/>
      <c r="D176" s="170" t="s">
        <v>400</v>
      </c>
      <c r="F176" s="1341" t="str">
        <f>IF(LEN('Verification Report'!W176)=0,"",'Verification Report'!W176)</f>
        <v/>
      </c>
      <c r="G176" s="1398" t="str">
        <f>IF(AND(LEN(F176)&gt;0,NOT(F176=FALSE)),"P","NP")</f>
        <v>NP</v>
      </c>
    </row>
    <row r="177" spans="1:9" x14ac:dyDescent="0.2">
      <c r="A177" s="92"/>
      <c r="B177" s="93" t="s">
        <v>256</v>
      </c>
      <c r="C177" s="103"/>
      <c r="D177" s="1613" t="s">
        <v>401</v>
      </c>
      <c r="F177" s="1341" t="str">
        <f>IF(LEN('Verification Report'!W177)=0,"",'Verification Report'!W177)</f>
        <v/>
      </c>
      <c r="G177" s="1398" t="str">
        <f>IF(AND(LEN(F177)&gt;0,NOT(F177=FALSE)),"P","NP")</f>
        <v>NP</v>
      </c>
    </row>
    <row r="178" spans="1:9" x14ac:dyDescent="0.2">
      <c r="A178" s="92"/>
      <c r="B178" s="172"/>
      <c r="C178" s="172"/>
      <c r="D178" s="1612"/>
      <c r="G178" s="1" t="str">
        <f>G177</f>
        <v>NP</v>
      </c>
    </row>
    <row r="179" spans="1:9" ht="16" thickBot="1" x14ac:dyDescent="0.25">
      <c r="A179" s="104"/>
      <c r="B179" s="98" t="s">
        <v>259</v>
      </c>
      <c r="C179" s="104"/>
      <c r="D179" s="99" t="s">
        <v>402</v>
      </c>
      <c r="F179" s="1341" t="str">
        <f>IF(LEN('Verification Report'!W179)=0,"",'Verification Report'!W179)</f>
        <v/>
      </c>
      <c r="G179" s="1398" t="str">
        <f>IF(AND(LEN(F179)&gt;0,NOT(F179=FALSE)),"P","NP")</f>
        <v>NP</v>
      </c>
    </row>
    <row r="180" spans="1:9" ht="16" thickTop="1" x14ac:dyDescent="0.2">
      <c r="A180" s="136" t="s">
        <v>3493</v>
      </c>
      <c r="B180" s="92"/>
      <c r="C180" s="92"/>
      <c r="D180" s="1683" t="s">
        <v>3515</v>
      </c>
      <c r="G180" s="1400" t="str">
        <f>IF(COUNTIF(G182:G184,"P")&gt;0,"P","NP")</f>
        <v>P</v>
      </c>
      <c r="H180" s="1801" t="s">
        <v>5258</v>
      </c>
      <c r="I180" s="1600"/>
    </row>
    <row r="181" spans="1:9" x14ac:dyDescent="0.2">
      <c r="A181" s="92"/>
      <c r="B181" s="92"/>
      <c r="C181" s="92"/>
      <c r="D181" s="1631"/>
      <c r="G181" s="1" t="str">
        <f>G180</f>
        <v>P</v>
      </c>
      <c r="H181" s="1801"/>
      <c r="I181" s="1600"/>
    </row>
    <row r="182" spans="1:9" x14ac:dyDescent="0.2">
      <c r="A182" s="92"/>
      <c r="B182" s="93" t="s">
        <v>254</v>
      </c>
      <c r="C182" s="103"/>
      <c r="D182" s="1609" t="s">
        <v>3786</v>
      </c>
      <c r="E182" s="1352">
        <f>'Verification Report'!O182</f>
        <v>4</v>
      </c>
      <c r="F182" s="1341" t="b">
        <f>IF(LEN('Verification Report'!W182)=0,"",'Verification Report'!W182)</f>
        <v>1</v>
      </c>
      <c r="G182" s="1397" t="str">
        <f>IF(E182&gt;0,"P","NP")</f>
        <v>P</v>
      </c>
    </row>
    <row r="183" spans="1:9" x14ac:dyDescent="0.2">
      <c r="A183" s="92"/>
      <c r="B183" s="169"/>
      <c r="C183" s="172"/>
      <c r="D183" s="1612"/>
      <c r="G183" s="1" t="str">
        <f>G182</f>
        <v>P</v>
      </c>
    </row>
    <row r="184" spans="1:9" x14ac:dyDescent="0.2">
      <c r="A184" s="103"/>
      <c r="B184" s="93" t="s">
        <v>255</v>
      </c>
      <c r="C184" s="103"/>
      <c r="D184" s="1613" t="s">
        <v>3787</v>
      </c>
      <c r="E184" s="1352">
        <f>'Verification Report'!O184</f>
        <v>0</v>
      </c>
      <c r="F184" s="1341" t="str">
        <f>IF(LEN('Verification Report'!W184)=0,"",'Verification Report'!W184)</f>
        <v/>
      </c>
      <c r="G184" s="1397" t="str">
        <f>IF(E184&gt;0,"P","NP")</f>
        <v>NP</v>
      </c>
    </row>
    <row r="185" spans="1:9" ht="16" thickBot="1" x14ac:dyDescent="0.25">
      <c r="A185" s="104"/>
      <c r="B185" s="104"/>
      <c r="C185" s="104"/>
      <c r="D185" s="1610"/>
      <c r="G185" s="1" t="str">
        <f>G184</f>
        <v>NP</v>
      </c>
    </row>
    <row r="186" spans="1:9" ht="20" thickTop="1" x14ac:dyDescent="0.25">
      <c r="A186" s="90" t="s">
        <v>3494</v>
      </c>
      <c r="B186" s="90"/>
      <c r="C186" s="90"/>
      <c r="D186" s="86"/>
      <c r="E186" s="25"/>
      <c r="F186" s="994"/>
      <c r="G186" s="1352" t="s">
        <v>246</v>
      </c>
    </row>
    <row r="187" spans="1:9" x14ac:dyDescent="0.2">
      <c r="A187" s="93" t="s">
        <v>3495</v>
      </c>
      <c r="B187" s="103"/>
      <c r="C187" s="103"/>
      <c r="D187" s="1629" t="s">
        <v>3788</v>
      </c>
      <c r="G187" s="1352" t="s">
        <v>246</v>
      </c>
    </row>
    <row r="188" spans="1:9" ht="16" thickBot="1" x14ac:dyDescent="0.25">
      <c r="A188" s="104"/>
      <c r="B188" s="104"/>
      <c r="C188" s="104"/>
      <c r="D188" s="1630"/>
      <c r="G188" s="1352" t="s">
        <v>246</v>
      </c>
    </row>
    <row r="189" spans="1:9" ht="16" thickTop="1" x14ac:dyDescent="0.2">
      <c r="A189" s="115" t="s">
        <v>3496</v>
      </c>
      <c r="B189" s="108"/>
      <c r="C189" s="108"/>
      <c r="D189" s="1683" t="s">
        <v>3789</v>
      </c>
      <c r="E189" s="1352">
        <f>'Verification Report'!O189</f>
        <v>0</v>
      </c>
      <c r="F189" s="1341" t="str">
        <f>IF(LEN('Verification Report'!W189)=0,"",'Verification Report'!W189)</f>
        <v/>
      </c>
      <c r="G189" s="1352" t="s">
        <v>246</v>
      </c>
    </row>
    <row r="190" spans="1:9" x14ac:dyDescent="0.2">
      <c r="A190" s="103"/>
      <c r="B190" s="103"/>
      <c r="C190" s="103"/>
      <c r="D190" s="1629"/>
      <c r="G190" s="1352" t="s">
        <v>246</v>
      </c>
    </row>
    <row r="191" spans="1:9" x14ac:dyDescent="0.2">
      <c r="A191" s="103"/>
      <c r="B191" s="103"/>
      <c r="C191" s="103"/>
      <c r="D191" s="1629"/>
      <c r="G191" s="1352" t="s">
        <v>246</v>
      </c>
    </row>
    <row r="192" spans="1:9" x14ac:dyDescent="0.2">
      <c r="A192" s="103"/>
      <c r="B192" s="103"/>
      <c r="C192" s="103"/>
      <c r="D192" s="1786"/>
      <c r="G192" s="1352" t="s">
        <v>246</v>
      </c>
    </row>
    <row r="193" spans="1:9" ht="16" thickBot="1" x14ac:dyDescent="0.25">
      <c r="A193" s="104"/>
      <c r="B193" s="104"/>
      <c r="C193" s="104"/>
      <c r="D193" s="1389" t="s">
        <v>3790</v>
      </c>
      <c r="G193" s="1352" t="s">
        <v>246</v>
      </c>
    </row>
    <row r="194" spans="1:9" ht="16" thickTop="1" x14ac:dyDescent="0.2">
      <c r="A194" s="89" t="s">
        <v>3497</v>
      </c>
      <c r="B194" s="92"/>
      <c r="C194" s="92"/>
      <c r="D194" s="1683" t="s">
        <v>3516</v>
      </c>
      <c r="G194" s="1400" t="str">
        <f>IF(COUNTIF(G196:I196,"P")&gt;0,"P","NP")</f>
        <v>NP</v>
      </c>
      <c r="H194" s="1401" t="s">
        <v>5259</v>
      </c>
      <c r="I194" s="1600"/>
    </row>
    <row r="195" spans="1:9" x14ac:dyDescent="0.2">
      <c r="A195" s="92"/>
      <c r="B195" s="92"/>
      <c r="C195" s="92"/>
      <c r="D195" s="1631"/>
      <c r="G195" s="1" t="str">
        <f>G194</f>
        <v>NP</v>
      </c>
      <c r="I195" s="1600"/>
    </row>
    <row r="196" spans="1:9" x14ac:dyDescent="0.2">
      <c r="A196" s="92"/>
      <c r="B196" s="169" t="s">
        <v>254</v>
      </c>
      <c r="C196" s="172"/>
      <c r="D196" s="170" t="s">
        <v>407</v>
      </c>
      <c r="E196" s="1352">
        <f>'Verification Report'!O196</f>
        <v>0</v>
      </c>
      <c r="F196" s="1341" t="str">
        <f>IF(LEN('Verification Report'!W196)=0,"",'Verification Report'!W196)</f>
        <v/>
      </c>
      <c r="G196" s="1397" t="str">
        <f>IF(E196&gt;0,"P","NP")</f>
        <v>NP</v>
      </c>
    </row>
    <row r="197" spans="1:9" x14ac:dyDescent="0.2">
      <c r="A197" s="92"/>
      <c r="B197" s="93" t="s">
        <v>255</v>
      </c>
      <c r="C197" s="103"/>
      <c r="D197" s="1613" t="s">
        <v>408</v>
      </c>
      <c r="E197" s="1352">
        <f>'Verification Report'!O197</f>
        <v>0</v>
      </c>
      <c r="F197" s="1341" t="str">
        <f>IF(LEN('Verification Report'!W197)=0,"",'Verification Report'!W197)</f>
        <v/>
      </c>
      <c r="G197" s="1352" t="s">
        <v>246</v>
      </c>
    </row>
    <row r="198" spans="1:9" x14ac:dyDescent="0.2">
      <c r="A198" s="92"/>
      <c r="B198" s="169"/>
      <c r="C198" s="172"/>
      <c r="D198" s="1612"/>
      <c r="G198" s="1352" t="s">
        <v>246</v>
      </c>
    </row>
    <row r="199" spans="1:9" x14ac:dyDescent="0.2">
      <c r="A199" s="103"/>
      <c r="B199" s="93" t="s">
        <v>256</v>
      </c>
      <c r="C199" s="103"/>
      <c r="D199" s="1613" t="s">
        <v>409</v>
      </c>
      <c r="E199" s="1352">
        <f>'Verification Report'!O199</f>
        <v>0</v>
      </c>
      <c r="F199" s="1341" t="str">
        <f>IF(LEN('Verification Report'!W199)=0,"",'Verification Report'!W199)</f>
        <v/>
      </c>
      <c r="G199" s="1352" t="s">
        <v>246</v>
      </c>
    </row>
    <row r="200" spans="1:9" ht="16" thickBot="1" x14ac:dyDescent="0.25">
      <c r="A200" s="104"/>
      <c r="B200" s="104"/>
      <c r="C200" s="104"/>
      <c r="D200" s="1610"/>
      <c r="G200" s="1352" t="s">
        <v>246</v>
      </c>
    </row>
    <row r="201" spans="1:9" ht="16" thickTop="1" x14ac:dyDescent="0.2">
      <c r="A201" s="89" t="s">
        <v>3498</v>
      </c>
      <c r="B201" s="92"/>
      <c r="C201" s="92"/>
      <c r="D201" s="1683" t="s">
        <v>3791</v>
      </c>
      <c r="G201" s="1400" t="str">
        <f>IF(COUNTIF(G204:I209,"P")&gt;0,"P","NP")</f>
        <v>NP</v>
      </c>
    </row>
    <row r="202" spans="1:9" x14ac:dyDescent="0.2">
      <c r="A202" s="92"/>
      <c r="B202" s="92"/>
      <c r="C202" s="92"/>
      <c r="D202" s="1631"/>
      <c r="G202" s="1" t="str">
        <f>G201</f>
        <v>NP</v>
      </c>
    </row>
    <row r="203" spans="1:9" x14ac:dyDescent="0.2">
      <c r="A203" s="92"/>
      <c r="B203" s="92"/>
      <c r="C203" s="92"/>
      <c r="D203" s="1631"/>
      <c r="G203" s="1" t="str">
        <f>G202</f>
        <v>NP</v>
      </c>
    </row>
    <row r="204" spans="1:9" x14ac:dyDescent="0.2">
      <c r="A204" s="92"/>
      <c r="B204" s="93" t="s">
        <v>254</v>
      </c>
      <c r="C204" s="103"/>
      <c r="D204" s="1609" t="s">
        <v>411</v>
      </c>
      <c r="E204" s="1352">
        <f>'Verification Report'!O204</f>
        <v>0</v>
      </c>
      <c r="F204" s="1341" t="str">
        <f>IF(LEN('Verification Report'!W204)=0,"",'Verification Report'!W204)</f>
        <v/>
      </c>
      <c r="G204" s="1397" t="str">
        <f>IF(E204&gt;0,"P","NP")</f>
        <v>NP</v>
      </c>
      <c r="H204" s="1401" t="s">
        <v>5260</v>
      </c>
      <c r="I204" s="1600"/>
    </row>
    <row r="205" spans="1:9" x14ac:dyDescent="0.2">
      <c r="A205" s="92"/>
      <c r="B205" s="169"/>
      <c r="C205" s="172"/>
      <c r="D205" s="1612"/>
      <c r="G205" s="1" t="str">
        <f>G204</f>
        <v>NP</v>
      </c>
      <c r="I205" s="1600"/>
    </row>
    <row r="206" spans="1:9" x14ac:dyDescent="0.2">
      <c r="A206" s="92"/>
      <c r="B206" s="169" t="s">
        <v>255</v>
      </c>
      <c r="C206" s="172"/>
      <c r="D206" s="170" t="s">
        <v>412</v>
      </c>
      <c r="E206" s="1352">
        <f>'Verification Report'!O206</f>
        <v>0</v>
      </c>
      <c r="F206" s="1341" t="str">
        <f>IF(LEN('Verification Report'!W206)=0,"",'Verification Report'!W206)</f>
        <v/>
      </c>
      <c r="G206" s="1397" t="str">
        <f>IF(E206&gt;0,"P","NP")</f>
        <v>NP</v>
      </c>
      <c r="H206" s="1401" t="s">
        <v>5260</v>
      </c>
      <c r="I206" s="1403"/>
    </row>
    <row r="207" spans="1:9" x14ac:dyDescent="0.2">
      <c r="A207" s="92"/>
      <c r="B207" s="93" t="s">
        <v>256</v>
      </c>
      <c r="C207" s="103"/>
      <c r="D207" s="1613" t="s">
        <v>413</v>
      </c>
      <c r="E207" s="1352">
        <f>'Verification Report'!O207</f>
        <v>0</v>
      </c>
      <c r="F207" s="1341" t="str">
        <f>IF(LEN('Verification Report'!W207)=0,"",'Verification Report'!W207)</f>
        <v/>
      </c>
      <c r="G207" s="1397" t="str">
        <f>IF(E207&gt;0,"P","NP")</f>
        <v>NP</v>
      </c>
      <c r="H207" s="1401" t="s">
        <v>5261</v>
      </c>
      <c r="I207" s="1600"/>
    </row>
    <row r="208" spans="1:9" x14ac:dyDescent="0.2">
      <c r="A208" s="92"/>
      <c r="B208" s="172"/>
      <c r="C208" s="172"/>
      <c r="D208" s="1612"/>
      <c r="G208" s="1" t="str">
        <f>G207</f>
        <v>NP</v>
      </c>
      <c r="I208" s="1600"/>
    </row>
    <row r="209" spans="1:9" x14ac:dyDescent="0.2">
      <c r="A209" s="92"/>
      <c r="B209" s="93" t="s">
        <v>259</v>
      </c>
      <c r="C209" s="103"/>
      <c r="D209" s="1613" t="s">
        <v>414</v>
      </c>
      <c r="E209" s="1352">
        <f>'Verification Report'!O209</f>
        <v>0</v>
      </c>
      <c r="F209" s="1341" t="str">
        <f>IF(LEN('Verification Report'!W209)=0,"",'Verification Report'!W209)</f>
        <v/>
      </c>
      <c r="G209" s="1397" t="str">
        <f>IF(E209&gt;0,"P","NP")</f>
        <v>NP</v>
      </c>
      <c r="H209" s="1401" t="s">
        <v>5262</v>
      </c>
      <c r="I209" s="1600"/>
    </row>
    <row r="210" spans="1:9" x14ac:dyDescent="0.2">
      <c r="A210" s="92"/>
      <c r="B210" s="172"/>
      <c r="C210" s="172"/>
      <c r="D210" s="1612"/>
      <c r="G210" s="1" t="str">
        <f>G209</f>
        <v>NP</v>
      </c>
      <c r="I210" s="1600"/>
    </row>
    <row r="211" spans="1:9" x14ac:dyDescent="0.2">
      <c r="A211" s="92"/>
      <c r="B211" s="93" t="s">
        <v>263</v>
      </c>
      <c r="C211" s="103"/>
      <c r="D211" s="1613" t="s">
        <v>415</v>
      </c>
      <c r="E211" s="1352">
        <f>'Verification Report'!O211</f>
        <v>0</v>
      </c>
      <c r="F211" s="1341" t="str">
        <f>IF(LEN('Verification Report'!W211)=0,"",'Verification Report'!W211)</f>
        <v/>
      </c>
      <c r="G211" s="1352" t="s">
        <v>246</v>
      </c>
    </row>
    <row r="212" spans="1:9" x14ac:dyDescent="0.2">
      <c r="A212" s="92"/>
      <c r="B212" s="103"/>
      <c r="C212" s="103"/>
      <c r="D212" s="1609"/>
      <c r="G212" s="1352" t="s">
        <v>246</v>
      </c>
    </row>
    <row r="213" spans="1:9" x14ac:dyDescent="0.2">
      <c r="A213" s="92"/>
      <c r="B213" s="103"/>
      <c r="C213" s="103"/>
      <c r="D213" s="1609"/>
      <c r="G213" s="1352" t="s">
        <v>246</v>
      </c>
    </row>
    <row r="214" spans="1:9" x14ac:dyDescent="0.2">
      <c r="A214" s="92"/>
      <c r="B214" s="172"/>
      <c r="C214" s="172"/>
      <c r="D214" s="1612"/>
      <c r="G214" s="1352" t="s">
        <v>246</v>
      </c>
    </row>
    <row r="215" spans="1:9" x14ac:dyDescent="0.2">
      <c r="A215" s="92"/>
      <c r="B215" s="93" t="s">
        <v>264</v>
      </c>
      <c r="C215" s="103"/>
      <c r="D215" s="1613" t="s">
        <v>3792</v>
      </c>
      <c r="E215" s="1352">
        <f>'Verification Report'!O215</f>
        <v>0</v>
      </c>
      <c r="F215" s="1341" t="str">
        <f>IF(LEN('Verification Report'!W215)=0,"",'Verification Report'!W215)</f>
        <v/>
      </c>
      <c r="G215" s="1352" t="s">
        <v>246</v>
      </c>
    </row>
    <row r="216" spans="1:9" x14ac:dyDescent="0.2">
      <c r="A216" s="92"/>
      <c r="B216" s="103"/>
      <c r="C216" s="103"/>
      <c r="D216" s="1609"/>
      <c r="G216" s="1352" t="s">
        <v>246</v>
      </c>
    </row>
    <row r="217" spans="1:9" x14ac:dyDescent="0.2">
      <c r="A217" s="92"/>
      <c r="B217" s="172"/>
      <c r="C217" s="172"/>
      <c r="D217" s="1612"/>
      <c r="G217" s="1352" t="s">
        <v>246</v>
      </c>
    </row>
    <row r="218" spans="1:9" x14ac:dyDescent="0.2">
      <c r="A218" s="92"/>
      <c r="B218" s="169" t="s">
        <v>356</v>
      </c>
      <c r="C218" s="172"/>
      <c r="D218" s="170" t="s">
        <v>416</v>
      </c>
      <c r="E218" s="1352">
        <f>'Verification Report'!O218</f>
        <v>0</v>
      </c>
      <c r="F218" s="1341" t="str">
        <f>IF(LEN('Verification Report'!W218)=0,"",'Verification Report'!W218)</f>
        <v/>
      </c>
      <c r="G218" s="1352" t="s">
        <v>246</v>
      </c>
    </row>
    <row r="219" spans="1:9" x14ac:dyDescent="0.2">
      <c r="A219" s="92"/>
      <c r="B219" s="93" t="s">
        <v>389</v>
      </c>
      <c r="C219" s="103"/>
      <c r="D219" s="1353" t="s">
        <v>3793</v>
      </c>
      <c r="E219" s="1352">
        <f>'Verification Report'!O219</f>
        <v>0</v>
      </c>
      <c r="G219" s="1352" t="s">
        <v>246</v>
      </c>
    </row>
    <row r="220" spans="1:9" x14ac:dyDescent="0.2">
      <c r="A220" s="92"/>
      <c r="B220" s="103"/>
      <c r="C220" s="103"/>
      <c r="D220" s="1353" t="s">
        <v>2551</v>
      </c>
      <c r="F220" s="1341" t="str">
        <f>IF(LEN('Verification Report'!W220)=0,"",'Verification Report'!W220)</f>
        <v/>
      </c>
      <c r="G220" s="1352" t="s">
        <v>246</v>
      </c>
    </row>
    <row r="221" spans="1:9" x14ac:dyDescent="0.2">
      <c r="A221" s="92"/>
      <c r="B221" s="103"/>
      <c r="C221" s="103"/>
      <c r="D221" s="1353" t="s">
        <v>2550</v>
      </c>
      <c r="F221" s="1341" t="str">
        <f>IF(LEN('Verification Report'!W221)=0,"",'Verification Report'!W221)</f>
        <v/>
      </c>
      <c r="G221" s="1352" t="s">
        <v>246</v>
      </c>
    </row>
    <row r="222" spans="1:9" x14ac:dyDescent="0.2">
      <c r="A222" s="92"/>
      <c r="B222" s="103"/>
      <c r="C222" s="103"/>
      <c r="D222" s="1353" t="s">
        <v>2549</v>
      </c>
      <c r="F222" s="1341" t="str">
        <f>IF(LEN('Verification Report'!W222)=0,"",'Verification Report'!W222)</f>
        <v/>
      </c>
      <c r="G222" s="1352" t="s">
        <v>246</v>
      </c>
    </row>
    <row r="223" spans="1:9" x14ac:dyDescent="0.2">
      <c r="A223" s="92"/>
      <c r="B223" s="103"/>
      <c r="C223" s="103"/>
      <c r="D223" s="1353" t="s">
        <v>2548</v>
      </c>
      <c r="F223" s="1341" t="str">
        <f>IF(LEN('Verification Report'!W223)=0,"",'Verification Report'!W223)</f>
        <v/>
      </c>
      <c r="G223" s="1352" t="s">
        <v>246</v>
      </c>
    </row>
    <row r="224" spans="1:9" x14ac:dyDescent="0.2">
      <c r="A224" s="92"/>
      <c r="B224" s="103"/>
      <c r="C224" s="103"/>
      <c r="D224" s="1353" t="s">
        <v>2547</v>
      </c>
      <c r="F224" s="1341" t="str">
        <f>IF(LEN('Verification Report'!W224)=0,"",'Verification Report'!W224)</f>
        <v/>
      </c>
      <c r="G224" s="1352" t="s">
        <v>246</v>
      </c>
    </row>
    <row r="225" spans="1:9" x14ac:dyDescent="0.2">
      <c r="A225" s="92"/>
      <c r="B225" s="103"/>
      <c r="C225" s="103"/>
      <c r="D225" s="1353" t="s">
        <v>2546</v>
      </c>
      <c r="F225" s="1341" t="str">
        <f>IF(LEN('Verification Report'!W225)=0,"",'Verification Report'!W225)</f>
        <v/>
      </c>
      <c r="G225" s="1352" t="s">
        <v>246</v>
      </c>
    </row>
    <row r="226" spans="1:9" x14ac:dyDescent="0.2">
      <c r="A226" s="92"/>
      <c r="B226" s="172"/>
      <c r="C226" s="172"/>
      <c r="D226" s="1387" t="s">
        <v>2545</v>
      </c>
      <c r="G226" s="1352" t="s">
        <v>246</v>
      </c>
    </row>
    <row r="227" spans="1:9" ht="19" x14ac:dyDescent="0.25">
      <c r="A227" s="72" t="s">
        <v>3499</v>
      </c>
      <c r="B227" s="72"/>
      <c r="C227" s="72"/>
      <c r="D227" s="86"/>
      <c r="E227" s="25"/>
      <c r="F227" s="994"/>
      <c r="G227" s="1352" t="s">
        <v>246</v>
      </c>
    </row>
    <row r="228" spans="1:9" x14ac:dyDescent="0.2">
      <c r="A228" s="93" t="s">
        <v>3500</v>
      </c>
      <c r="B228" s="103"/>
      <c r="C228" s="103"/>
      <c r="D228" s="1629" t="s">
        <v>3794</v>
      </c>
      <c r="G228" s="1352" t="s">
        <v>246</v>
      </c>
    </row>
    <row r="229" spans="1:9" x14ac:dyDescent="0.2">
      <c r="A229" s="103"/>
      <c r="B229" s="103"/>
      <c r="C229" s="103"/>
      <c r="D229" s="1629"/>
      <c r="G229" s="1352" t="s">
        <v>246</v>
      </c>
    </row>
    <row r="230" spans="1:9" ht="16" thickBot="1" x14ac:dyDescent="0.25">
      <c r="A230" s="104"/>
      <c r="B230" s="104"/>
      <c r="C230" s="104"/>
      <c r="D230" s="1630"/>
      <c r="G230" s="1352" t="s">
        <v>246</v>
      </c>
    </row>
    <row r="231" spans="1:9" ht="16" thickTop="1" x14ac:dyDescent="0.2">
      <c r="A231" s="89" t="s">
        <v>3501</v>
      </c>
      <c r="B231" s="92"/>
      <c r="C231" s="92"/>
      <c r="D231" s="1683" t="s">
        <v>3517</v>
      </c>
      <c r="G231" s="1400" t="str">
        <f ca="1">IF(COUNTIF(G233:I237,"P")&gt;0,"P","NP")</f>
        <v>NP</v>
      </c>
    </row>
    <row r="232" spans="1:9" x14ac:dyDescent="0.2">
      <c r="A232" s="92"/>
      <c r="B232" s="92"/>
      <c r="C232" s="92"/>
      <c r="D232" s="1631"/>
      <c r="G232" s="1" t="str">
        <f ca="1">G231</f>
        <v>NP</v>
      </c>
    </row>
    <row r="233" spans="1:9" x14ac:dyDescent="0.2">
      <c r="A233" s="92"/>
      <c r="B233" s="93" t="s">
        <v>254</v>
      </c>
      <c r="C233" s="103"/>
      <c r="D233" s="1609" t="s">
        <v>419</v>
      </c>
      <c r="E233" s="1352">
        <f>'Verification Report'!O233</f>
        <v>0</v>
      </c>
      <c r="F233" s="1341" t="str">
        <f>IF(LEN('Verification Report'!W233)=0,"",'Verification Report'!W233)</f>
        <v/>
      </c>
      <c r="G233" s="1397" t="str">
        <f>IF(E233&gt;0,"P","NP")</f>
        <v>NP</v>
      </c>
      <c r="H233" s="1401" t="s">
        <v>5263</v>
      </c>
      <c r="I233" s="1600"/>
    </row>
    <row r="234" spans="1:9" x14ac:dyDescent="0.2">
      <c r="A234" s="92"/>
      <c r="B234" s="169"/>
      <c r="C234" s="172"/>
      <c r="D234" s="1612"/>
      <c r="G234" s="1" t="str">
        <f>G233</f>
        <v>NP</v>
      </c>
      <c r="I234" s="1600"/>
    </row>
    <row r="235" spans="1:9" x14ac:dyDescent="0.2">
      <c r="A235" s="92"/>
      <c r="B235" s="169" t="s">
        <v>255</v>
      </c>
      <c r="C235" s="172"/>
      <c r="D235" s="170" t="s">
        <v>420</v>
      </c>
      <c r="E235" s="1352">
        <f ca="1">'Verification Report'!O235</f>
        <v>0</v>
      </c>
      <c r="F235" s="1341" t="str">
        <f>IF(LEN('Verification Report'!W235)=0,"",'Verification Report'!W235)</f>
        <v/>
      </c>
      <c r="G235" s="1352" t="s">
        <v>246</v>
      </c>
    </row>
    <row r="236" spans="1:9" x14ac:dyDescent="0.2">
      <c r="A236" s="92"/>
      <c r="B236" s="89" t="s">
        <v>256</v>
      </c>
      <c r="C236" s="92"/>
      <c r="D236" s="85" t="s">
        <v>421</v>
      </c>
      <c r="E236" s="1352">
        <f ca="1">'Verification Report'!O236</f>
        <v>0</v>
      </c>
      <c r="F236" s="1341" t="str">
        <f>IF(LEN('Verification Report'!W236)=0,"",'Verification Report'!W236)</f>
        <v/>
      </c>
      <c r="G236" s="1397" t="str">
        <f ca="1">IF(E236&gt;0,"P","NP")</f>
        <v>NP</v>
      </c>
      <c r="H236" s="1401" t="s">
        <v>5264</v>
      </c>
      <c r="I236" s="1403"/>
    </row>
    <row r="237" spans="1:9" x14ac:dyDescent="0.2">
      <c r="A237" s="88"/>
      <c r="B237" s="92"/>
      <c r="C237" s="89" t="s">
        <v>121</v>
      </c>
      <c r="D237" s="85" t="s">
        <v>422</v>
      </c>
      <c r="G237" s="1" t="str">
        <f ca="1">G236</f>
        <v>NP</v>
      </c>
    </row>
    <row r="238" spans="1:9" x14ac:dyDescent="0.2">
      <c r="A238" s="88"/>
      <c r="B238" s="92"/>
      <c r="C238" s="89" t="s">
        <v>122</v>
      </c>
      <c r="D238" s="85" t="s">
        <v>423</v>
      </c>
      <c r="G238" s="1" t="str">
        <f ca="1">G237</f>
        <v>NP</v>
      </c>
    </row>
    <row r="239" spans="1:9" x14ac:dyDescent="0.2">
      <c r="A239" s="1140"/>
      <c r="B239" s="172"/>
      <c r="C239" s="174" t="s">
        <v>123</v>
      </c>
      <c r="D239" s="170" t="s">
        <v>359</v>
      </c>
      <c r="G239" s="1" t="str">
        <f ca="1">G238</f>
        <v>NP</v>
      </c>
    </row>
    <row r="240" spans="1:9" x14ac:dyDescent="0.2">
      <c r="A240" s="89" t="s">
        <v>3502</v>
      </c>
      <c r="B240" s="92"/>
      <c r="C240" s="92"/>
      <c r="D240" s="87" t="s">
        <v>3795</v>
      </c>
      <c r="G240" s="1400" t="str">
        <f>IF(COUNTIF(G241:I251,"P")&gt;0,"P","NP")</f>
        <v>NP</v>
      </c>
    </row>
    <row r="241" spans="1:9" x14ac:dyDescent="0.2">
      <c r="A241" s="92"/>
      <c r="B241" s="89" t="s">
        <v>254</v>
      </c>
      <c r="C241" s="92"/>
      <c r="D241" s="1611" t="s">
        <v>425</v>
      </c>
      <c r="E241" s="1352">
        <f>'Verification Report'!O241</f>
        <v>0</v>
      </c>
      <c r="G241" s="1397" t="str">
        <f>IF(E241&gt;0,"P","NP")</f>
        <v>NP</v>
      </c>
    </row>
    <row r="242" spans="1:9" x14ac:dyDescent="0.2">
      <c r="A242" s="92"/>
      <c r="B242" s="92"/>
      <c r="C242" s="92"/>
      <c r="D242" s="1611"/>
      <c r="G242" s="1" t="str">
        <f>G241</f>
        <v>NP</v>
      </c>
    </row>
    <row r="243" spans="1:9" x14ac:dyDescent="0.2">
      <c r="A243" s="88"/>
      <c r="B243" s="92"/>
      <c r="C243" s="89" t="s">
        <v>121</v>
      </c>
      <c r="D243" s="1611" t="s">
        <v>426</v>
      </c>
      <c r="F243" s="1341" t="str">
        <f>IF(LEN('Verification Report'!W243)=0,"",'Verification Report'!W243)</f>
        <v/>
      </c>
      <c r="G243" s="1398" t="str">
        <f>IF(AND(LEN(F243)&gt;0,NOT(F243=FALSE)),"P","NP")</f>
        <v>NP</v>
      </c>
      <c r="H243" s="1401" t="s">
        <v>5265</v>
      </c>
      <c r="I243" s="1600"/>
    </row>
    <row r="244" spans="1:9" x14ac:dyDescent="0.2">
      <c r="A244" s="88"/>
      <c r="B244" s="92"/>
      <c r="C244" s="92"/>
      <c r="D244" s="1611"/>
      <c r="G244" s="1" t="str">
        <f>G243</f>
        <v>NP</v>
      </c>
      <c r="I244" s="1600"/>
    </row>
    <row r="245" spans="1:9" x14ac:dyDescent="0.2">
      <c r="A245" s="88"/>
      <c r="B245" s="92"/>
      <c r="C245" s="92"/>
      <c r="D245" s="1611"/>
      <c r="G245" s="1" t="str">
        <f>G244</f>
        <v>NP</v>
      </c>
      <c r="I245" s="1600"/>
    </row>
    <row r="246" spans="1:9" x14ac:dyDescent="0.2">
      <c r="A246" s="88"/>
      <c r="B246" s="92"/>
      <c r="C246" s="89" t="s">
        <v>122</v>
      </c>
      <c r="D246" s="1611" t="s">
        <v>427</v>
      </c>
      <c r="F246" s="1341" t="str">
        <f>IF(LEN('Verification Report'!W246)=0,"",'Verification Report'!W246)</f>
        <v/>
      </c>
      <c r="G246" s="1398" t="str">
        <f>IF(AND(LEN(F246)&gt;0,NOT(F246=FALSE)),"P","NP")</f>
        <v>NP</v>
      </c>
      <c r="I246" s="1600"/>
    </row>
    <row r="247" spans="1:9" x14ac:dyDescent="0.2">
      <c r="A247" s="88"/>
      <c r="B247" s="92"/>
      <c r="C247" s="92"/>
      <c r="D247" s="1611"/>
      <c r="G247" s="1" t="str">
        <f>G246</f>
        <v>NP</v>
      </c>
      <c r="H247" s="1401" t="s">
        <v>5266</v>
      </c>
      <c r="I247" s="1600"/>
    </row>
    <row r="248" spans="1:9" x14ac:dyDescent="0.2">
      <c r="A248" s="88"/>
      <c r="B248" s="92"/>
      <c r="C248" s="92"/>
      <c r="D248" s="1611"/>
      <c r="G248" s="1" t="str">
        <f>G247</f>
        <v>NP</v>
      </c>
      <c r="I248" s="1600"/>
    </row>
    <row r="249" spans="1:9" x14ac:dyDescent="0.2">
      <c r="A249" s="88"/>
      <c r="B249" s="92"/>
      <c r="C249" s="92"/>
      <c r="D249" s="1611"/>
      <c r="G249" s="1" t="str">
        <f>G248</f>
        <v>NP</v>
      </c>
      <c r="I249" s="1600"/>
    </row>
    <row r="250" spans="1:9" x14ac:dyDescent="0.2">
      <c r="A250" s="88"/>
      <c r="B250" s="172"/>
      <c r="C250" s="174" t="s">
        <v>123</v>
      </c>
      <c r="D250" s="170" t="s">
        <v>428</v>
      </c>
      <c r="F250" s="1341" t="str">
        <f>IF(LEN('Verification Report'!W250)=0,"",'Verification Report'!W250)</f>
        <v/>
      </c>
      <c r="G250" s="1352" t="s">
        <v>246</v>
      </c>
    </row>
    <row r="251" spans="1:9" x14ac:dyDescent="0.2">
      <c r="A251" s="103"/>
      <c r="B251" s="93" t="s">
        <v>255</v>
      </c>
      <c r="C251" s="103"/>
      <c r="D251" s="1613" t="s">
        <v>429</v>
      </c>
      <c r="E251" s="1352">
        <f>'Verification Report'!O251</f>
        <v>0</v>
      </c>
      <c r="F251" s="1341" t="str">
        <f>IF(LEN('Verification Report'!W251)=0,"",'Verification Report'!W251)</f>
        <v/>
      </c>
      <c r="G251" s="1397" t="str">
        <f>IF(E251&gt;0,"P","NP")</f>
        <v>NP</v>
      </c>
      <c r="H251" s="1401" t="s">
        <v>5267</v>
      </c>
      <c r="I251" s="1600"/>
    </row>
    <row r="252" spans="1:9" x14ac:dyDescent="0.2">
      <c r="A252" s="103"/>
      <c r="B252" s="103"/>
      <c r="C252" s="103"/>
      <c r="D252" s="1609"/>
      <c r="G252" s="1" t="str">
        <f>G251</f>
        <v>NP</v>
      </c>
      <c r="I252" s="1600"/>
    </row>
    <row r="253" spans="1:9" ht="16" thickBot="1" x14ac:dyDescent="0.25">
      <c r="A253" s="104"/>
      <c r="B253" s="104"/>
      <c r="C253" s="104"/>
      <c r="D253" s="1610"/>
      <c r="G253" s="1" t="str">
        <f>G252</f>
        <v>NP</v>
      </c>
      <c r="I253" s="1600"/>
    </row>
    <row r="254" spans="1:9" ht="16" thickTop="1" x14ac:dyDescent="0.2">
      <c r="A254" s="89" t="s">
        <v>3503</v>
      </c>
      <c r="B254" s="92"/>
      <c r="C254" s="92"/>
      <c r="D254" s="87" t="s">
        <v>3518</v>
      </c>
      <c r="E254" s="1352">
        <f ca="1">'Verification Report'!O254</f>
        <v>7</v>
      </c>
      <c r="F254" s="1341" t="str">
        <f>IF(LEN('Verification Report'!W254)=0,"",'Verification Report'!W254)</f>
        <v>(4)</v>
      </c>
      <c r="G254" s="1352" t="s">
        <v>246</v>
      </c>
    </row>
    <row r="255" spans="1:9" ht="16" x14ac:dyDescent="0.2">
      <c r="A255" s="92"/>
      <c r="B255" s="169" t="s">
        <v>254</v>
      </c>
      <c r="C255" s="172"/>
      <c r="D255" s="170" t="s">
        <v>431</v>
      </c>
      <c r="G255" s="1352" t="s">
        <v>246</v>
      </c>
    </row>
    <row r="256" spans="1:9" ht="16" x14ac:dyDescent="0.2">
      <c r="A256" s="92"/>
      <c r="B256" s="169" t="s">
        <v>255</v>
      </c>
      <c r="C256" s="172"/>
      <c r="D256" s="170" t="s">
        <v>432</v>
      </c>
      <c r="G256" s="1352" t="s">
        <v>246</v>
      </c>
    </row>
    <row r="257" spans="1:9" ht="16" x14ac:dyDescent="0.2">
      <c r="A257" s="92"/>
      <c r="B257" s="169" t="s">
        <v>256</v>
      </c>
      <c r="C257" s="172"/>
      <c r="D257" s="170" t="s">
        <v>433</v>
      </c>
      <c r="G257" s="1352" t="s">
        <v>246</v>
      </c>
    </row>
    <row r="258" spans="1:9" ht="16" x14ac:dyDescent="0.2">
      <c r="A258" s="92"/>
      <c r="B258" s="169" t="s">
        <v>259</v>
      </c>
      <c r="C258" s="172"/>
      <c r="D258" s="170" t="s">
        <v>434</v>
      </c>
      <c r="G258" s="1352" t="s">
        <v>246</v>
      </c>
    </row>
    <row r="259" spans="1:9" ht="17" thickBot="1" x14ac:dyDescent="0.25">
      <c r="A259" s="104"/>
      <c r="B259" s="98" t="s">
        <v>263</v>
      </c>
      <c r="C259" s="104"/>
      <c r="D259" s="99" t="s">
        <v>435</v>
      </c>
      <c r="G259" s="1352" t="s">
        <v>246</v>
      </c>
    </row>
    <row r="260" spans="1:9" ht="16" thickTop="1" x14ac:dyDescent="0.2">
      <c r="A260" s="69" t="s">
        <v>3504</v>
      </c>
      <c r="B260" s="69"/>
      <c r="C260" s="69"/>
      <c r="D260" s="136" t="s">
        <v>3957</v>
      </c>
      <c r="G260" s="1400" t="str">
        <f>IF(COUNTIF(G261,"P")&gt;0,"P","NP")</f>
        <v>NP</v>
      </c>
      <c r="H260" s="1801" t="s">
        <v>5268</v>
      </c>
      <c r="I260" s="1600"/>
    </row>
    <row r="261" spans="1:9" ht="16" thickBot="1" x14ac:dyDescent="0.25">
      <c r="A261" s="1082"/>
      <c r="B261" s="1082" t="s">
        <v>254</v>
      </c>
      <c r="C261" s="1082"/>
      <c r="D261" s="596" t="s">
        <v>3958</v>
      </c>
      <c r="E261" s="1352">
        <f>'Verification Report'!O261</f>
        <v>0</v>
      </c>
      <c r="F261" s="1341" t="str">
        <f>IF(LEN('Verification Report'!W261)=0,"",'Verification Report'!W261)</f>
        <v/>
      </c>
      <c r="G261" s="1397" t="str">
        <f>IF(E261&gt;0,"P","NP")</f>
        <v>NP</v>
      </c>
      <c r="H261" s="1801"/>
      <c r="I261" s="1600"/>
    </row>
    <row r="262" spans="1:9" ht="16" thickTop="1" x14ac:dyDescent="0.2">
      <c r="A262" s="69" t="s">
        <v>3505</v>
      </c>
      <c r="B262" s="69"/>
      <c r="C262" s="69"/>
      <c r="D262" s="1611" t="s">
        <v>3969</v>
      </c>
      <c r="G262" s="1352" t="s">
        <v>246</v>
      </c>
    </row>
    <row r="263" spans="1:9" x14ac:dyDescent="0.2">
      <c r="A263" s="69"/>
      <c r="B263" s="69"/>
      <c r="C263" s="69"/>
      <c r="D263" s="1611"/>
      <c r="G263" s="1352" t="s">
        <v>246</v>
      </c>
    </row>
    <row r="264" spans="1:9" x14ac:dyDescent="0.2">
      <c r="A264" s="69"/>
      <c r="B264" s="69"/>
      <c r="C264" s="430" t="s">
        <v>121</v>
      </c>
      <c r="D264" s="1609" t="s">
        <v>3959</v>
      </c>
      <c r="E264" s="1352">
        <f ca="1">'Verification Report'!O264</f>
        <v>0</v>
      </c>
      <c r="F264" s="1341" t="str">
        <f>IF(LEN('Verification Report'!W264)=0,"",'Verification Report'!W264)</f>
        <v/>
      </c>
      <c r="G264" s="1352" t="s">
        <v>246</v>
      </c>
    </row>
    <row r="265" spans="1:9" x14ac:dyDescent="0.2">
      <c r="A265" s="69"/>
      <c r="B265" s="69"/>
      <c r="C265" s="447"/>
      <c r="D265" s="1612"/>
      <c r="G265" s="1352" t="s">
        <v>246</v>
      </c>
    </row>
    <row r="266" spans="1:9" x14ac:dyDescent="0.2">
      <c r="A266" s="69"/>
      <c r="B266" s="69"/>
      <c r="C266" s="446" t="s">
        <v>122</v>
      </c>
      <c r="D266" s="1613" t="s">
        <v>3960</v>
      </c>
      <c r="E266" s="1352">
        <f ca="1">'Verification Report'!O266</f>
        <v>0</v>
      </c>
      <c r="F266" s="1341" t="str">
        <f>IF(LEN('Verification Report'!W266)=0,"",'Verification Report'!W266)</f>
        <v/>
      </c>
      <c r="G266" s="1352" t="s">
        <v>246</v>
      </c>
    </row>
    <row r="267" spans="1:9" x14ac:dyDescent="0.2">
      <c r="A267" s="69"/>
      <c r="B267" s="69"/>
      <c r="C267" s="430"/>
      <c r="D267" s="1609"/>
      <c r="G267" s="1352" t="s">
        <v>246</v>
      </c>
    </row>
    <row r="268" spans="1:9" x14ac:dyDescent="0.2">
      <c r="A268" s="69"/>
      <c r="B268" s="69"/>
      <c r="C268" s="447"/>
      <c r="D268" s="1612"/>
      <c r="G268" s="1352" t="s">
        <v>246</v>
      </c>
    </row>
    <row r="269" spans="1:9" x14ac:dyDescent="0.2">
      <c r="A269" s="430"/>
      <c r="B269" s="430"/>
      <c r="C269" s="1091" t="s">
        <v>123</v>
      </c>
      <c r="D269" s="211" t="s">
        <v>3961</v>
      </c>
      <c r="E269" s="1352">
        <f ca="1">'Verification Report'!O269</f>
        <v>0</v>
      </c>
      <c r="F269" s="1341" t="str">
        <f>IF(LEN('Verification Report'!W269)=0,"",'Verification Report'!W269)</f>
        <v/>
      </c>
      <c r="G269" s="1352" t="s">
        <v>246</v>
      </c>
    </row>
    <row r="270" spans="1:9" ht="16" thickBot="1" x14ac:dyDescent="0.25">
      <c r="A270" s="1082"/>
      <c r="B270" s="1082"/>
      <c r="C270" s="1082" t="s">
        <v>366</v>
      </c>
      <c r="D270" s="596" t="s">
        <v>3962</v>
      </c>
      <c r="E270" s="1352">
        <f ca="1">'Verification Report'!O270</f>
        <v>0</v>
      </c>
      <c r="F270" s="1341" t="str">
        <f>IF(LEN('Verification Report'!W270)=0,"",'Verification Report'!W270)</f>
        <v/>
      </c>
      <c r="G270" s="1352" t="s">
        <v>246</v>
      </c>
    </row>
    <row r="271" spans="1:9" ht="16" thickTop="1" x14ac:dyDescent="0.2">
      <c r="A271" s="429" t="s">
        <v>3506</v>
      </c>
      <c r="B271" s="429"/>
      <c r="C271" s="429"/>
      <c r="D271" s="1608" t="s">
        <v>3975</v>
      </c>
      <c r="G271" s="1352" t="s">
        <v>246</v>
      </c>
    </row>
    <row r="272" spans="1:9" x14ac:dyDescent="0.2">
      <c r="A272" s="430"/>
      <c r="B272" s="430"/>
      <c r="C272" s="430"/>
      <c r="D272" s="1609"/>
      <c r="E272" s="1352">
        <f>'Verification Report'!O272</f>
        <v>0</v>
      </c>
      <c r="F272" s="1341" t="str">
        <f>IF(LEN('Verification Report'!W272)=0,"",'Verification Report'!W272)</f>
        <v/>
      </c>
      <c r="G272" s="1352" t="s">
        <v>246</v>
      </c>
    </row>
    <row r="273" spans="1:7" x14ac:dyDescent="0.2">
      <c r="A273" s="430"/>
      <c r="B273" s="430"/>
      <c r="C273" s="430"/>
      <c r="D273" s="1609"/>
      <c r="G273" s="1352" t="s">
        <v>246</v>
      </c>
    </row>
    <row r="274" spans="1:7" x14ac:dyDescent="0.2">
      <c r="A274" s="430"/>
      <c r="B274" s="430"/>
      <c r="C274" s="430"/>
      <c r="D274" s="1609"/>
      <c r="G274" s="1352" t="s">
        <v>246</v>
      </c>
    </row>
    <row r="275" spans="1:7" x14ac:dyDescent="0.2">
      <c r="A275" s="430"/>
      <c r="B275" s="430"/>
      <c r="C275" s="430"/>
      <c r="D275" s="1609" t="s">
        <v>3976</v>
      </c>
      <c r="G275" s="1352" t="s">
        <v>246</v>
      </c>
    </row>
    <row r="276" spans="1:7" x14ac:dyDescent="0.2">
      <c r="A276" s="430"/>
      <c r="B276" s="430"/>
      <c r="C276" s="430"/>
      <c r="D276" s="1609"/>
      <c r="G276" s="1352" t="s">
        <v>246</v>
      </c>
    </row>
    <row r="277" spans="1:7" x14ac:dyDescent="0.2">
      <c r="A277" s="430"/>
      <c r="B277" s="430"/>
      <c r="C277" s="430"/>
      <c r="D277" s="1609"/>
      <c r="G277" s="1352" t="s">
        <v>246</v>
      </c>
    </row>
    <row r="278" spans="1:7" x14ac:dyDescent="0.2">
      <c r="A278" s="430"/>
      <c r="B278" s="430"/>
      <c r="C278" s="430"/>
      <c r="D278" s="1609"/>
      <c r="G278" s="1352" t="s">
        <v>246</v>
      </c>
    </row>
    <row r="279" spans="1:7" x14ac:dyDescent="0.2">
      <c r="A279" s="430"/>
      <c r="B279" s="430"/>
      <c r="C279" s="430"/>
      <c r="D279" s="1609"/>
      <c r="G279" s="1352" t="s">
        <v>246</v>
      </c>
    </row>
    <row r="280" spans="1:7" x14ac:dyDescent="0.2">
      <c r="A280" s="430"/>
      <c r="B280" s="430"/>
      <c r="C280" s="430"/>
      <c r="D280" s="1609"/>
      <c r="G280" s="1352" t="s">
        <v>246</v>
      </c>
    </row>
    <row r="281" spans="1:7" ht="16" thickBot="1" x14ac:dyDescent="0.25">
      <c r="A281" s="1082"/>
      <c r="B281" s="1082"/>
      <c r="C281" s="1082"/>
      <c r="D281" s="1610"/>
      <c r="G281" s="1352" t="s">
        <v>246</v>
      </c>
    </row>
    <row r="282" spans="1:7" ht="16" thickTop="1" x14ac:dyDescent="0.2">
      <c r="A282" s="429" t="s">
        <v>3947</v>
      </c>
      <c r="B282" s="429"/>
      <c r="C282" s="429"/>
      <c r="D282" s="1608" t="s">
        <v>3970</v>
      </c>
      <c r="E282" s="1352">
        <f ca="1">'Verification Report'!O282</f>
        <v>0</v>
      </c>
      <c r="F282" s="1341" t="str">
        <f>IF(LEN('Verification Report'!W282)=0,"",'Verification Report'!W282)</f>
        <v/>
      </c>
      <c r="G282" s="1352" t="s">
        <v>246</v>
      </c>
    </row>
    <row r="283" spans="1:7" x14ac:dyDescent="0.2">
      <c r="A283" s="430"/>
      <c r="B283" s="430"/>
      <c r="C283" s="430"/>
      <c r="D283" s="1609"/>
      <c r="G283" s="1352" t="s">
        <v>246</v>
      </c>
    </row>
    <row r="284" spans="1:7" x14ac:dyDescent="0.2">
      <c r="A284" s="430"/>
      <c r="B284" s="430"/>
      <c r="C284" s="430"/>
      <c r="D284" s="1609"/>
      <c r="G284" s="1352" t="s">
        <v>246</v>
      </c>
    </row>
    <row r="285" spans="1:7" ht="16" thickBot="1" x14ac:dyDescent="0.25">
      <c r="A285" s="1082"/>
      <c r="B285" s="1082"/>
      <c r="C285" s="1082"/>
      <c r="D285" s="1610"/>
      <c r="G285" s="1352" t="s">
        <v>246</v>
      </c>
    </row>
    <row r="286" spans="1:7" ht="17" thickTop="1" thickBot="1" x14ac:dyDescent="0.25">
      <c r="A286" s="1087" t="s">
        <v>3948</v>
      </c>
      <c r="B286" s="1087"/>
      <c r="C286" s="1087"/>
      <c r="D286" s="1088" t="s">
        <v>3971</v>
      </c>
      <c r="E286" s="1352">
        <f>'Verification Report'!O286</f>
        <v>0</v>
      </c>
      <c r="F286" s="1341" t="str">
        <f>IF(LEN('Verification Report'!W286)=0,"",'Verification Report'!W286)</f>
        <v/>
      </c>
      <c r="G286" s="1352" t="s">
        <v>246</v>
      </c>
    </row>
    <row r="287" spans="1:7" ht="16" thickTop="1" x14ac:dyDescent="0.2">
      <c r="A287" s="69" t="s">
        <v>3949</v>
      </c>
      <c r="B287" s="69"/>
      <c r="C287" s="69"/>
      <c r="D287" s="1611" t="s">
        <v>3972</v>
      </c>
      <c r="G287" s="1352" t="s">
        <v>246</v>
      </c>
    </row>
    <row r="288" spans="1:7" x14ac:dyDescent="0.2">
      <c r="A288" s="69"/>
      <c r="B288" s="69"/>
      <c r="C288" s="69"/>
      <c r="D288" s="1611"/>
      <c r="G288" s="1352" t="s">
        <v>246</v>
      </c>
    </row>
    <row r="289" spans="1:7" x14ac:dyDescent="0.2">
      <c r="A289" s="69"/>
      <c r="B289" s="69"/>
      <c r="C289" s="430" t="s">
        <v>121</v>
      </c>
      <c r="D289" s="1609" t="s">
        <v>3963</v>
      </c>
      <c r="E289" s="1352">
        <f ca="1">'Verification Report'!O289</f>
        <v>0</v>
      </c>
      <c r="F289" s="1341" t="str">
        <f>IF(LEN('Verification Report'!W289)=0,"",'Verification Report'!W289)</f>
        <v/>
      </c>
      <c r="G289" s="1352" t="s">
        <v>246</v>
      </c>
    </row>
    <row r="290" spans="1:7" x14ac:dyDescent="0.2">
      <c r="A290" s="69"/>
      <c r="B290" s="69"/>
      <c r="C290" s="430"/>
      <c r="D290" s="1609"/>
      <c r="G290" s="1352" t="s">
        <v>246</v>
      </c>
    </row>
    <row r="291" spans="1:7" x14ac:dyDescent="0.2">
      <c r="A291" s="69"/>
      <c r="B291" s="69"/>
      <c r="C291" s="447"/>
      <c r="D291" s="1612"/>
      <c r="G291" s="1352" t="s">
        <v>246</v>
      </c>
    </row>
    <row r="292" spans="1:7" x14ac:dyDescent="0.2">
      <c r="A292" s="69"/>
      <c r="B292" s="69"/>
      <c r="C292" s="1091" t="s">
        <v>122</v>
      </c>
      <c r="D292" s="211" t="s">
        <v>3964</v>
      </c>
      <c r="E292" s="1352">
        <f ca="1">'Verification Report'!O292</f>
        <v>0</v>
      </c>
      <c r="F292" s="1341" t="str">
        <f>IF(LEN('Verification Report'!W292)=0,"",'Verification Report'!W292)</f>
        <v/>
      </c>
      <c r="G292" s="1352" t="s">
        <v>246</v>
      </c>
    </row>
    <row r="293" spans="1:7" x14ac:dyDescent="0.2">
      <c r="A293" s="430"/>
      <c r="B293" s="430"/>
      <c r="C293" s="430" t="s">
        <v>123</v>
      </c>
      <c r="D293" s="1609" t="s">
        <v>3965</v>
      </c>
      <c r="E293" s="1352">
        <f ca="1">'Verification Report'!O293</f>
        <v>0</v>
      </c>
      <c r="F293" s="1341" t="str">
        <f>IF(LEN('Verification Report'!W293)=0,"",'Verification Report'!W293)</f>
        <v/>
      </c>
      <c r="G293" s="1352" t="s">
        <v>246</v>
      </c>
    </row>
    <row r="294" spans="1:7" ht="16" thickBot="1" x14ac:dyDescent="0.25">
      <c r="A294" s="1082"/>
      <c r="B294" s="1082"/>
      <c r="C294" s="1082"/>
      <c r="D294" s="1610"/>
      <c r="G294" s="1352" t="s">
        <v>246</v>
      </c>
    </row>
    <row r="295" spans="1:7" ht="16" thickTop="1" x14ac:dyDescent="0.2">
      <c r="A295" s="69" t="s">
        <v>3950</v>
      </c>
      <c r="B295" s="69"/>
      <c r="C295" s="69"/>
      <c r="D295" s="1611" t="s">
        <v>3974</v>
      </c>
      <c r="G295" s="1352" t="s">
        <v>246</v>
      </c>
    </row>
    <row r="296" spans="1:7" x14ac:dyDescent="0.2">
      <c r="A296" s="69"/>
      <c r="B296" s="69"/>
      <c r="C296" s="69"/>
      <c r="D296" s="1611"/>
      <c r="G296" s="1352" t="s">
        <v>246</v>
      </c>
    </row>
    <row r="297" spans="1:7" x14ac:dyDescent="0.2">
      <c r="A297" s="69"/>
      <c r="B297" s="69"/>
      <c r="C297" s="69"/>
      <c r="D297" s="1611"/>
      <c r="G297" s="1352" t="s">
        <v>246</v>
      </c>
    </row>
    <row r="298" spans="1:7" x14ac:dyDescent="0.2">
      <c r="A298" s="69"/>
      <c r="B298" s="69"/>
      <c r="C298" s="430" t="s">
        <v>121</v>
      </c>
      <c r="D298" s="1609" t="s">
        <v>3966</v>
      </c>
      <c r="E298" s="1352">
        <f ca="1">'Verification Report'!O298</f>
        <v>0</v>
      </c>
      <c r="F298" s="1341" t="str">
        <f>IF(LEN('Verification Report'!W298)=0,"",'Verification Report'!W298)</f>
        <v/>
      </c>
      <c r="G298" s="1352" t="s">
        <v>246</v>
      </c>
    </row>
    <row r="299" spans="1:7" x14ac:dyDescent="0.2">
      <c r="A299" s="69"/>
      <c r="B299" s="69"/>
      <c r="C299" s="447"/>
      <c r="D299" s="1612"/>
      <c r="G299" s="1352" t="s">
        <v>246</v>
      </c>
    </row>
    <row r="300" spans="1:7" x14ac:dyDescent="0.2">
      <c r="A300" s="69"/>
      <c r="B300" s="69"/>
      <c r="C300" s="446" t="s">
        <v>122</v>
      </c>
      <c r="D300" s="1613" t="s">
        <v>3967</v>
      </c>
      <c r="E300" s="1352">
        <f ca="1">'Verification Report'!O300</f>
        <v>0</v>
      </c>
      <c r="F300" s="1341" t="str">
        <f>IF(LEN('Verification Report'!W300)=0,"",'Verification Report'!W300)</f>
        <v/>
      </c>
      <c r="G300" s="1352" t="s">
        <v>246</v>
      </c>
    </row>
    <row r="301" spans="1:7" x14ac:dyDescent="0.2">
      <c r="A301" s="69"/>
      <c r="B301" s="69"/>
      <c r="C301" s="447"/>
      <c r="D301" s="1612"/>
      <c r="G301" s="1352" t="s">
        <v>246</v>
      </c>
    </row>
    <row r="302" spans="1:7" x14ac:dyDescent="0.2">
      <c r="A302" s="430"/>
      <c r="B302" s="430"/>
      <c r="C302" s="430" t="s">
        <v>123</v>
      </c>
      <c r="D302" s="1609" t="s">
        <v>3968</v>
      </c>
      <c r="E302" s="1352">
        <f ca="1">'Verification Report'!O302</f>
        <v>0</v>
      </c>
      <c r="F302" s="1341" t="str">
        <f>IF(LEN('Verification Report'!W302)=0,"",'Verification Report'!W302)</f>
        <v/>
      </c>
      <c r="G302" s="1352" t="s">
        <v>246</v>
      </c>
    </row>
    <row r="303" spans="1:7" ht="16" thickBot="1" x14ac:dyDescent="0.25">
      <c r="A303" s="1082"/>
      <c r="B303" s="1082"/>
      <c r="C303" s="1082"/>
      <c r="D303" s="1610"/>
      <c r="G303" s="1352" t="s">
        <v>246</v>
      </c>
    </row>
    <row r="304" spans="1:7" ht="16" thickTop="1" x14ac:dyDescent="0.2">
      <c r="A304" s="69" t="s">
        <v>3951</v>
      </c>
      <c r="B304" s="69"/>
      <c r="C304" s="69"/>
      <c r="D304" s="1611" t="s">
        <v>3973</v>
      </c>
      <c r="E304" s="1352">
        <f>'Verification Report'!O304</f>
        <v>0</v>
      </c>
      <c r="F304" s="1341" t="str">
        <f>IF(LEN('Verification Report'!W304)=0,"",'Verification Report'!W304)</f>
        <v/>
      </c>
      <c r="G304" s="1352" t="s">
        <v>246</v>
      </c>
    </row>
    <row r="305" spans="1:9" x14ac:dyDescent="0.2">
      <c r="A305" s="69"/>
      <c r="B305" s="69"/>
      <c r="C305" s="69"/>
      <c r="D305" s="1611"/>
      <c r="G305" s="1352" t="s">
        <v>246</v>
      </c>
    </row>
    <row r="306" spans="1:9" x14ac:dyDescent="0.2">
      <c r="A306" s="69"/>
      <c r="B306" s="69"/>
      <c r="C306" s="69"/>
      <c r="D306" s="1611"/>
      <c r="G306" s="1352" t="s">
        <v>246</v>
      </c>
    </row>
    <row r="307" spans="1:9" ht="19" x14ac:dyDescent="0.25">
      <c r="A307" s="24" t="s">
        <v>3519</v>
      </c>
      <c r="B307" s="24"/>
      <c r="C307" s="24"/>
      <c r="D307" s="25"/>
      <c r="E307" s="25"/>
      <c r="F307" s="994"/>
      <c r="G307" s="1352" t="s">
        <v>246</v>
      </c>
    </row>
    <row r="308" spans="1:9" x14ac:dyDescent="0.2">
      <c r="A308" s="80" t="s">
        <v>3520</v>
      </c>
      <c r="B308" s="29"/>
      <c r="C308" s="89"/>
      <c r="D308" s="1631" t="s">
        <v>3636</v>
      </c>
      <c r="G308" s="1352" t="s">
        <v>246</v>
      </c>
    </row>
    <row r="309" spans="1:9" x14ac:dyDescent="0.2">
      <c r="A309" s="67"/>
      <c r="B309" s="4"/>
      <c r="C309" s="85"/>
      <c r="D309" s="1631"/>
      <c r="G309" s="1352" t="s">
        <v>246</v>
      </c>
    </row>
    <row r="310" spans="1:9" x14ac:dyDescent="0.2">
      <c r="A310" s="67"/>
      <c r="B310" s="4"/>
      <c r="C310" s="85"/>
      <c r="D310" s="1631"/>
      <c r="G310" s="1352" t="s">
        <v>246</v>
      </c>
    </row>
    <row r="311" spans="1:9" ht="16" thickBot="1" x14ac:dyDescent="0.25">
      <c r="A311" s="67"/>
      <c r="B311" s="4"/>
      <c r="C311" s="85"/>
      <c r="D311" s="1631"/>
      <c r="G311" s="1352" t="s">
        <v>246</v>
      </c>
    </row>
    <row r="312" spans="1:9" ht="16" thickTop="1" x14ac:dyDescent="0.2">
      <c r="A312" s="177" t="s">
        <v>3521</v>
      </c>
      <c r="B312" s="178"/>
      <c r="C312" s="179"/>
      <c r="D312" s="1683" t="s">
        <v>3980</v>
      </c>
      <c r="E312" s="1352">
        <f>'Verification Report'!O312</f>
        <v>9</v>
      </c>
      <c r="G312" s="1397" t="str">
        <f>IF(E312&gt;0,"P","NP")</f>
        <v>P</v>
      </c>
      <c r="H312" s="1801" t="s">
        <v>5269</v>
      </c>
      <c r="I312" s="1600"/>
    </row>
    <row r="313" spans="1:9" x14ac:dyDescent="0.2">
      <c r="A313" s="130"/>
      <c r="B313" s="129"/>
      <c r="C313" s="97"/>
      <c r="D313" s="1629"/>
      <c r="G313" s="1" t="str">
        <f>G312</f>
        <v>P</v>
      </c>
      <c r="H313" s="1801"/>
      <c r="I313" s="1600"/>
    </row>
    <row r="314" spans="1:9" x14ac:dyDescent="0.2">
      <c r="A314" s="130"/>
      <c r="B314" s="129"/>
      <c r="C314" s="97"/>
      <c r="D314" s="1629"/>
      <c r="G314" s="1" t="str">
        <f>G313</f>
        <v>P</v>
      </c>
      <c r="I314" s="1600"/>
    </row>
    <row r="315" spans="1:9" x14ac:dyDescent="0.2">
      <c r="A315" s="130"/>
      <c r="B315" s="129"/>
      <c r="C315" s="97"/>
      <c r="D315" s="1629"/>
      <c r="G315" s="1" t="str">
        <f>G314</f>
        <v>P</v>
      </c>
      <c r="I315" s="1600"/>
    </row>
    <row r="316" spans="1:9" ht="16" x14ac:dyDescent="0.2">
      <c r="A316" s="130"/>
      <c r="B316" s="207" t="s">
        <v>254</v>
      </c>
      <c r="C316" s="170"/>
      <c r="D316" s="208" t="s">
        <v>443</v>
      </c>
      <c r="G316" s="1352" t="s">
        <v>246</v>
      </c>
    </row>
    <row r="317" spans="1:9" ht="16" x14ac:dyDescent="0.2">
      <c r="A317" s="130"/>
      <c r="B317" s="209" t="s">
        <v>255</v>
      </c>
      <c r="C317" s="210"/>
      <c r="D317" s="211" t="s">
        <v>444</v>
      </c>
      <c r="G317" s="1352" t="s">
        <v>246</v>
      </c>
    </row>
    <row r="318" spans="1:9" ht="16" x14ac:dyDescent="0.2">
      <c r="A318" s="130"/>
      <c r="B318" s="209" t="s">
        <v>256</v>
      </c>
      <c r="C318" s="210"/>
      <c r="D318" s="211" t="s">
        <v>445</v>
      </c>
      <c r="G318" s="1352" t="s">
        <v>246</v>
      </c>
    </row>
    <row r="319" spans="1:9" ht="16" x14ac:dyDescent="0.2">
      <c r="A319" s="130"/>
      <c r="B319" s="209" t="s">
        <v>259</v>
      </c>
      <c r="C319" s="210"/>
      <c r="D319" s="211" t="s">
        <v>446</v>
      </c>
      <c r="G319" s="1352" t="s">
        <v>246</v>
      </c>
    </row>
    <row r="320" spans="1:9" ht="16" x14ac:dyDescent="0.2">
      <c r="A320" s="130"/>
      <c r="B320" s="209" t="s">
        <v>263</v>
      </c>
      <c r="C320" s="210"/>
      <c r="D320" s="211" t="s">
        <v>447</v>
      </c>
      <c r="G320" s="1352" t="s">
        <v>246</v>
      </c>
    </row>
    <row r="321" spans="1:7" ht="16" x14ac:dyDescent="0.2">
      <c r="A321" s="130"/>
      <c r="B321" s="180" t="s">
        <v>264</v>
      </c>
      <c r="C321" s="97"/>
      <c r="D321" s="609" t="s">
        <v>448</v>
      </c>
      <c r="G321" s="1352" t="s">
        <v>246</v>
      </c>
    </row>
    <row r="322" spans="1:7" x14ac:dyDescent="0.2">
      <c r="A322" s="130"/>
      <c r="B322" s="129"/>
      <c r="C322" s="97"/>
      <c r="D322" s="1629" t="s">
        <v>3796</v>
      </c>
      <c r="G322" s="1352" t="s">
        <v>246</v>
      </c>
    </row>
    <row r="323" spans="1:7" x14ac:dyDescent="0.2">
      <c r="A323" s="130"/>
      <c r="B323" s="129"/>
      <c r="C323" s="97"/>
      <c r="D323" s="1629"/>
      <c r="G323" s="1352" t="s">
        <v>246</v>
      </c>
    </row>
    <row r="324" spans="1:7" x14ac:dyDescent="0.2">
      <c r="A324" s="130"/>
      <c r="B324" s="129"/>
      <c r="C324" s="1352"/>
      <c r="D324" s="1673" t="s">
        <v>3044</v>
      </c>
      <c r="G324" s="1352" t="s">
        <v>246</v>
      </c>
    </row>
    <row r="325" spans="1:7" ht="16" thickBot="1" x14ac:dyDescent="0.25">
      <c r="A325" s="130"/>
      <c r="B325" s="129"/>
      <c r="C325" s="459"/>
      <c r="D325" s="1673"/>
      <c r="G325" s="1352" t="s">
        <v>246</v>
      </c>
    </row>
    <row r="326" spans="1:7" ht="16" thickTop="1" x14ac:dyDescent="0.2">
      <c r="A326" s="177" t="s">
        <v>3522</v>
      </c>
      <c r="B326" s="178"/>
      <c r="C326" s="179"/>
      <c r="D326" s="1683" t="s">
        <v>3842</v>
      </c>
      <c r="G326" s="1352" t="s">
        <v>246</v>
      </c>
    </row>
    <row r="327" spans="1:7" x14ac:dyDescent="0.2">
      <c r="A327" s="130"/>
      <c r="B327" s="129"/>
      <c r="C327" s="97"/>
      <c r="D327" s="1629"/>
      <c r="G327" s="1352" t="s">
        <v>246</v>
      </c>
    </row>
    <row r="328" spans="1:7" x14ac:dyDescent="0.2">
      <c r="A328" s="130"/>
      <c r="B328" s="129"/>
      <c r="C328" s="97"/>
      <c r="D328" s="1705" t="s">
        <v>3814</v>
      </c>
      <c r="G328" s="1352" t="s">
        <v>246</v>
      </c>
    </row>
    <row r="329" spans="1:7" x14ac:dyDescent="0.2">
      <c r="A329" s="130"/>
      <c r="B329" s="129"/>
      <c r="C329" s="97"/>
      <c r="D329" s="1705"/>
      <c r="G329" s="1352" t="s">
        <v>246</v>
      </c>
    </row>
    <row r="330" spans="1:7" x14ac:dyDescent="0.2">
      <c r="A330" s="67"/>
      <c r="B330" s="180" t="s">
        <v>254</v>
      </c>
      <c r="C330" s="97"/>
      <c r="D330" s="1609" t="s">
        <v>450</v>
      </c>
      <c r="E330" s="1352">
        <f>'Verification Report'!O330</f>
        <v>0</v>
      </c>
      <c r="F330" s="1341" t="str">
        <f>IF(LEN('Verification Report'!W330)=0,"",'Verification Report'!W330)</f>
        <v/>
      </c>
      <c r="G330" s="1352" t="s">
        <v>246</v>
      </c>
    </row>
    <row r="331" spans="1:7" x14ac:dyDescent="0.2">
      <c r="A331" s="67"/>
      <c r="B331" s="129"/>
      <c r="C331" s="97"/>
      <c r="D331" s="1609"/>
      <c r="G331" s="1352" t="s">
        <v>246</v>
      </c>
    </row>
    <row r="332" spans="1:7" x14ac:dyDescent="0.2">
      <c r="A332" s="67"/>
      <c r="B332" s="213"/>
      <c r="C332" s="170"/>
      <c r="D332" s="1612"/>
      <c r="G332" s="1352" t="s">
        <v>246</v>
      </c>
    </row>
    <row r="333" spans="1:7" x14ac:dyDescent="0.2">
      <c r="A333" s="67"/>
      <c r="B333" s="180" t="s">
        <v>255</v>
      </c>
      <c r="C333" s="97"/>
      <c r="D333" s="1609" t="s">
        <v>451</v>
      </c>
      <c r="E333" s="1352">
        <f>'Verification Report'!O333</f>
        <v>0</v>
      </c>
      <c r="F333" s="1341" t="str">
        <f>IF(LEN('Verification Report'!W333)=0,"",'Verification Report'!W333)</f>
        <v/>
      </c>
      <c r="G333" s="1352" t="s">
        <v>246</v>
      </c>
    </row>
    <row r="334" spans="1:7" x14ac:dyDescent="0.2">
      <c r="A334" s="67"/>
      <c r="B334" s="129"/>
      <c r="C334" s="97"/>
      <c r="D334" s="1609"/>
      <c r="G334" s="1352" t="s">
        <v>246</v>
      </c>
    </row>
    <row r="335" spans="1:7" x14ac:dyDescent="0.2">
      <c r="A335" s="67"/>
      <c r="B335" s="213"/>
      <c r="C335" s="170"/>
      <c r="D335" s="1612"/>
      <c r="G335" s="1352" t="s">
        <v>246</v>
      </c>
    </row>
    <row r="336" spans="1:7" ht="16" thickBot="1" x14ac:dyDescent="0.25">
      <c r="A336" s="67"/>
      <c r="B336" s="29" t="s">
        <v>256</v>
      </c>
      <c r="C336" s="85"/>
      <c r="D336" s="85" t="s">
        <v>452</v>
      </c>
      <c r="E336" s="1352">
        <f>'Verification Report'!O336</f>
        <v>0</v>
      </c>
      <c r="F336" s="1341" t="str">
        <f>IF(LEN('Verification Report'!W336)=0,"",'Verification Report'!W336)</f>
        <v/>
      </c>
      <c r="G336" s="1352" t="s">
        <v>246</v>
      </c>
    </row>
    <row r="337" spans="1:7" ht="16" thickTop="1" x14ac:dyDescent="0.2">
      <c r="A337" s="177" t="s">
        <v>3523</v>
      </c>
      <c r="B337" s="178"/>
      <c r="C337" s="179"/>
      <c r="D337" s="1683" t="s">
        <v>3798</v>
      </c>
      <c r="G337" s="1352" t="s">
        <v>246</v>
      </c>
    </row>
    <row r="338" spans="1:7" x14ac:dyDescent="0.2">
      <c r="A338" s="130"/>
      <c r="B338" s="129"/>
      <c r="C338" s="97"/>
      <c r="D338" s="1629"/>
      <c r="G338" s="1352" t="s">
        <v>246</v>
      </c>
    </row>
    <row r="339" spans="1:7" x14ac:dyDescent="0.2">
      <c r="A339" s="130"/>
      <c r="B339" s="129"/>
      <c r="C339" s="97"/>
      <c r="D339" s="1629"/>
      <c r="G339" s="1352" t="s">
        <v>246</v>
      </c>
    </row>
    <row r="340" spans="1:7" x14ac:dyDescent="0.2">
      <c r="A340" s="130"/>
      <c r="B340" s="129"/>
      <c r="C340" s="97"/>
      <c r="D340" s="1705" t="s">
        <v>3815</v>
      </c>
      <c r="G340" s="1352" t="s">
        <v>246</v>
      </c>
    </row>
    <row r="341" spans="1:7" x14ac:dyDescent="0.2">
      <c r="A341" s="130"/>
      <c r="B341" s="129"/>
      <c r="C341" s="97"/>
      <c r="D341" s="1705"/>
      <c r="G341" s="1352" t="s">
        <v>246</v>
      </c>
    </row>
    <row r="342" spans="1:7" x14ac:dyDescent="0.2">
      <c r="A342" s="67"/>
      <c r="B342" s="207" t="s">
        <v>254</v>
      </c>
      <c r="C342" s="170"/>
      <c r="D342" s="170" t="s">
        <v>453</v>
      </c>
      <c r="E342" s="1352">
        <f>'Verification Report'!O342</f>
        <v>0</v>
      </c>
      <c r="F342" s="1341" t="str">
        <f>IF(LEN('Verification Report'!W342)=0,"",'Verification Report'!W342)</f>
        <v/>
      </c>
      <c r="G342" s="1352" t="s">
        <v>246</v>
      </c>
    </row>
    <row r="343" spans="1:7" x14ac:dyDescent="0.2">
      <c r="A343" s="67"/>
      <c r="B343" s="209" t="s">
        <v>255</v>
      </c>
      <c r="C343" s="210"/>
      <c r="D343" s="210" t="s">
        <v>454</v>
      </c>
      <c r="E343" s="1352">
        <f>'Verification Report'!O343</f>
        <v>0</v>
      </c>
      <c r="F343" s="1341" t="str">
        <f>IF(LEN('Verification Report'!W343)=0,"",'Verification Report'!W343)</f>
        <v/>
      </c>
      <c r="G343" s="1352" t="s">
        <v>246</v>
      </c>
    </row>
    <row r="344" spans="1:7" x14ac:dyDescent="0.2">
      <c r="A344" s="67"/>
      <c r="B344" s="209" t="s">
        <v>256</v>
      </c>
      <c r="C344" s="210"/>
      <c r="D344" s="210" t="s">
        <v>455</v>
      </c>
      <c r="E344" s="1352">
        <f>'Verification Report'!O344</f>
        <v>0</v>
      </c>
      <c r="F344" s="1341" t="str">
        <f>IF(LEN('Verification Report'!W344)=0,"",'Verification Report'!W344)</f>
        <v/>
      </c>
      <c r="G344" s="1352" t="s">
        <v>246</v>
      </c>
    </row>
    <row r="345" spans="1:7" x14ac:dyDescent="0.2">
      <c r="A345" s="67"/>
      <c r="B345" s="209" t="s">
        <v>259</v>
      </c>
      <c r="C345" s="210"/>
      <c r="D345" s="210" t="s">
        <v>456</v>
      </c>
      <c r="E345" s="1352">
        <f>'Verification Report'!O345</f>
        <v>0</v>
      </c>
      <c r="F345" s="1341" t="str">
        <f>IF(LEN('Verification Report'!W345)=0,"",'Verification Report'!W345)</f>
        <v/>
      </c>
      <c r="G345" s="1352" t="s">
        <v>246</v>
      </c>
    </row>
    <row r="346" spans="1:7" ht="16" thickBot="1" x14ac:dyDescent="0.25">
      <c r="A346" s="67"/>
      <c r="B346" s="29" t="s">
        <v>263</v>
      </c>
      <c r="C346" s="85"/>
      <c r="D346" s="85" t="s">
        <v>457</v>
      </c>
      <c r="E346" s="1352">
        <f>'Verification Report'!O346</f>
        <v>0</v>
      </c>
      <c r="F346" s="1341" t="str">
        <f>IF(LEN('Verification Report'!W346)=0,"",'Verification Report'!W346)</f>
        <v/>
      </c>
      <c r="G346" s="1352" t="s">
        <v>246</v>
      </c>
    </row>
    <row r="347" spans="1:7" ht="16" thickTop="1" x14ac:dyDescent="0.2">
      <c r="A347" s="177" t="s">
        <v>3524</v>
      </c>
      <c r="B347" s="178"/>
      <c r="C347" s="179"/>
      <c r="D347" s="1683" t="s">
        <v>3799</v>
      </c>
      <c r="E347" s="1352">
        <f>'Verification Report'!O347</f>
        <v>0</v>
      </c>
      <c r="F347" s="1341" t="str">
        <f>IF(LEN('Verification Report'!W347)=0,"",'Verification Report'!W347)</f>
        <v/>
      </c>
      <c r="G347" s="1352" t="s">
        <v>246</v>
      </c>
    </row>
    <row r="348" spans="1:7" x14ac:dyDescent="0.2">
      <c r="A348" s="130"/>
      <c r="B348" s="129"/>
      <c r="C348" s="97"/>
      <c r="D348" s="1629"/>
      <c r="G348" s="1352" t="s">
        <v>246</v>
      </c>
    </row>
    <row r="349" spans="1:7" ht="16" thickBot="1" x14ac:dyDescent="0.25">
      <c r="A349" s="130"/>
      <c r="B349" s="129"/>
      <c r="C349" s="97"/>
      <c r="D349" s="1629"/>
      <c r="G349" s="1352" t="s">
        <v>246</v>
      </c>
    </row>
    <row r="350" spans="1:7" ht="16" thickTop="1" x14ac:dyDescent="0.2">
      <c r="A350" s="107" t="s">
        <v>3525</v>
      </c>
      <c r="B350" s="178"/>
      <c r="C350" s="179"/>
      <c r="D350" s="1683" t="s">
        <v>3635</v>
      </c>
      <c r="G350" s="1352" t="s">
        <v>246</v>
      </c>
    </row>
    <row r="351" spans="1:7" x14ac:dyDescent="0.2">
      <c r="A351" s="130"/>
      <c r="B351" s="129"/>
      <c r="C351" s="97"/>
      <c r="D351" s="1629"/>
      <c r="G351" s="1352" t="s">
        <v>246</v>
      </c>
    </row>
    <row r="352" spans="1:7" x14ac:dyDescent="0.2">
      <c r="A352" s="130"/>
      <c r="B352" s="129"/>
      <c r="C352" s="97"/>
      <c r="D352" s="1629"/>
      <c r="G352" s="1352" t="s">
        <v>246</v>
      </c>
    </row>
    <row r="353" spans="1:9" x14ac:dyDescent="0.2">
      <c r="A353" s="130"/>
      <c r="B353" s="129"/>
      <c r="C353" s="97"/>
      <c r="D353" s="1705" t="s">
        <v>3816</v>
      </c>
      <c r="G353" s="1352" t="s">
        <v>246</v>
      </c>
    </row>
    <row r="354" spans="1:9" x14ac:dyDescent="0.2">
      <c r="A354" s="130"/>
      <c r="B354" s="129"/>
      <c r="C354" s="97"/>
      <c r="D354" s="1705"/>
      <c r="G354" s="1352" t="s">
        <v>246</v>
      </c>
    </row>
    <row r="355" spans="1:9" x14ac:dyDescent="0.2">
      <c r="A355" s="67"/>
      <c r="B355" s="207" t="s">
        <v>254</v>
      </c>
      <c r="C355" s="170"/>
      <c r="D355" s="170" t="s">
        <v>459</v>
      </c>
      <c r="E355" s="1352">
        <f>'Verification Report'!O355</f>
        <v>0</v>
      </c>
      <c r="F355" s="1341" t="str">
        <f>IF(LEN('Verification Report'!W355)=0,"",'Verification Report'!W355)</f>
        <v/>
      </c>
      <c r="G355" s="1352" t="s">
        <v>246</v>
      </c>
    </row>
    <row r="356" spans="1:9" x14ac:dyDescent="0.2">
      <c r="A356" s="67"/>
      <c r="B356" s="209" t="s">
        <v>255</v>
      </c>
      <c r="C356" s="210"/>
      <c r="D356" s="210" t="s">
        <v>460</v>
      </c>
      <c r="E356" s="1352">
        <f>'Verification Report'!O356</f>
        <v>0</v>
      </c>
      <c r="F356" s="1341" t="str">
        <f>IF(LEN('Verification Report'!W356)=0,"",'Verification Report'!W356)</f>
        <v/>
      </c>
      <c r="G356" s="1352" t="s">
        <v>246</v>
      </c>
    </row>
    <row r="357" spans="1:9" x14ac:dyDescent="0.2">
      <c r="A357" s="67"/>
      <c r="B357" s="209" t="s">
        <v>256</v>
      </c>
      <c r="C357" s="210"/>
      <c r="D357" s="210" t="s">
        <v>461</v>
      </c>
      <c r="E357" s="1352">
        <f>'Verification Report'!O357</f>
        <v>0</v>
      </c>
      <c r="F357" s="1341" t="str">
        <f>IF(LEN('Verification Report'!W357)=0,"",'Verification Report'!W357)</f>
        <v/>
      </c>
      <c r="G357" s="1352" t="s">
        <v>246</v>
      </c>
    </row>
    <row r="358" spans="1:9" ht="16" thickBot="1" x14ac:dyDescent="0.25">
      <c r="A358" s="67"/>
      <c r="B358" s="209" t="s">
        <v>259</v>
      </c>
      <c r="C358" s="210"/>
      <c r="D358" s="210" t="s">
        <v>3800</v>
      </c>
      <c r="E358" s="1352">
        <f>'Verification Report'!O358</f>
        <v>0</v>
      </c>
      <c r="F358" s="1341" t="str">
        <f>IF(LEN('Verification Report'!W358)=0,"",'Verification Report'!W358)</f>
        <v/>
      </c>
      <c r="G358" s="1352" t="s">
        <v>246</v>
      </c>
    </row>
    <row r="359" spans="1:9" ht="16" thickTop="1" x14ac:dyDescent="0.2">
      <c r="A359" s="177" t="s">
        <v>3526</v>
      </c>
      <c r="B359" s="178"/>
      <c r="C359" s="179"/>
      <c r="D359" s="1683" t="s">
        <v>3634</v>
      </c>
      <c r="E359" s="1352">
        <f ca="1">'Verification Report'!O359</f>
        <v>4</v>
      </c>
      <c r="G359" s="1397" t="str">
        <f ca="1">IF(E359&gt;0,"P","NP")</f>
        <v>P</v>
      </c>
      <c r="H359" s="1401" t="s">
        <v>5270</v>
      </c>
      <c r="I359" s="1600"/>
    </row>
    <row r="360" spans="1:9" x14ac:dyDescent="0.2">
      <c r="A360" s="130"/>
      <c r="B360" s="129"/>
      <c r="C360" s="97"/>
      <c r="D360" s="1629"/>
      <c r="F360" s="1341" t="str">
        <f ca="1">IF(LEN('Verification Report'!W360)=0,"",'Verification Report'!W360)</f>
        <v>2 story bldg.</v>
      </c>
      <c r="G360" s="1" t="str">
        <f ca="1">G359</f>
        <v>P</v>
      </c>
      <c r="I360" s="1600"/>
    </row>
    <row r="361" spans="1:9" x14ac:dyDescent="0.2">
      <c r="A361" s="130"/>
      <c r="B361" s="129"/>
      <c r="C361" s="97"/>
      <c r="D361" s="1629"/>
      <c r="G361" s="1" t="str">
        <f ca="1">G360</f>
        <v>P</v>
      </c>
      <c r="I361" s="1600"/>
    </row>
    <row r="362" spans="1:9" x14ac:dyDescent="0.2">
      <c r="A362" s="130"/>
      <c r="B362" s="207" t="s">
        <v>254</v>
      </c>
      <c r="C362" s="170"/>
      <c r="D362" s="170" t="s">
        <v>463</v>
      </c>
      <c r="G362" s="1352" t="s">
        <v>246</v>
      </c>
    </row>
    <row r="363" spans="1:9" ht="16" thickBot="1" x14ac:dyDescent="0.25">
      <c r="A363" s="130"/>
      <c r="B363" s="180" t="s">
        <v>255</v>
      </c>
      <c r="C363" s="97"/>
      <c r="D363" s="97" t="s">
        <v>464</v>
      </c>
      <c r="G363" s="1352" t="s">
        <v>246</v>
      </c>
    </row>
    <row r="364" spans="1:9" ht="16" thickTop="1" x14ac:dyDescent="0.2">
      <c r="A364" s="177" t="s">
        <v>3527</v>
      </c>
      <c r="B364" s="178"/>
      <c r="C364" s="179"/>
      <c r="D364" s="1683" t="s">
        <v>3633</v>
      </c>
      <c r="E364" s="1352">
        <f ca="1">'Verification Report'!O364</f>
        <v>7</v>
      </c>
      <c r="G364" s="1352" t="s">
        <v>246</v>
      </c>
    </row>
    <row r="365" spans="1:9" x14ac:dyDescent="0.2">
      <c r="A365" s="130"/>
      <c r="B365" s="129"/>
      <c r="C365" s="97"/>
      <c r="D365" s="1629"/>
      <c r="G365" s="1352" t="s">
        <v>246</v>
      </c>
    </row>
    <row r="366" spans="1:9" x14ac:dyDescent="0.2">
      <c r="A366" s="130"/>
      <c r="B366" s="129"/>
      <c r="C366" s="97"/>
      <c r="D366" s="185" t="s">
        <v>473</v>
      </c>
      <c r="G366" s="1352" t="s">
        <v>246</v>
      </c>
    </row>
    <row r="367" spans="1:9" x14ac:dyDescent="0.2">
      <c r="A367" s="130"/>
      <c r="B367" s="129"/>
      <c r="C367" s="169" t="s">
        <v>121</v>
      </c>
      <c r="D367" s="170" t="s">
        <v>466</v>
      </c>
      <c r="F367" s="1341" t="str">
        <f>IF(LEN('Verification Report'!W367)=0,"",'Verification Report'!W367)</f>
        <v/>
      </c>
      <c r="G367" s="1352" t="s">
        <v>246</v>
      </c>
    </row>
    <row r="368" spans="1:9" x14ac:dyDescent="0.2">
      <c r="A368" s="130"/>
      <c r="B368" s="129"/>
      <c r="C368" s="216" t="s">
        <v>122</v>
      </c>
      <c r="D368" s="210" t="s">
        <v>467</v>
      </c>
      <c r="F368" s="1341" t="str">
        <f>IF(LEN('Verification Report'!W368)=0,"",'Verification Report'!W368)</f>
        <v/>
      </c>
      <c r="G368" s="1352" t="s">
        <v>246</v>
      </c>
    </row>
    <row r="369" spans="1:7" x14ac:dyDescent="0.2">
      <c r="A369" s="130"/>
      <c r="B369" s="129"/>
      <c r="C369" s="217" t="s">
        <v>123</v>
      </c>
      <c r="D369" s="1720" t="s">
        <v>468</v>
      </c>
      <c r="F369" s="1341" t="str">
        <f>IF(LEN('Verification Report'!W369)=0,"",'Verification Report'!W369)</f>
        <v>90% or more</v>
      </c>
      <c r="G369" s="1352" t="s">
        <v>246</v>
      </c>
    </row>
    <row r="370" spans="1:7" x14ac:dyDescent="0.2">
      <c r="A370" s="130"/>
      <c r="B370" s="129"/>
      <c r="C370" s="97"/>
      <c r="D370" s="1721"/>
      <c r="G370" s="1352" t="s">
        <v>246</v>
      </c>
    </row>
    <row r="371" spans="1:7" x14ac:dyDescent="0.2">
      <c r="A371" s="130"/>
      <c r="B371" s="129"/>
      <c r="C371" s="97"/>
      <c r="D371" s="186" t="s">
        <v>469</v>
      </c>
      <c r="G371" s="1352" t="s">
        <v>246</v>
      </c>
    </row>
    <row r="372" spans="1:7" x14ac:dyDescent="0.2">
      <c r="A372" s="130"/>
      <c r="B372" s="129"/>
      <c r="C372" s="170"/>
      <c r="D372" s="1354" t="s">
        <v>470</v>
      </c>
      <c r="G372" s="1352" t="s">
        <v>246</v>
      </c>
    </row>
    <row r="373" spans="1:7" x14ac:dyDescent="0.2">
      <c r="A373" s="130"/>
      <c r="B373" s="129"/>
      <c r="C373" s="218" t="s">
        <v>366</v>
      </c>
      <c r="D373" s="1613" t="s">
        <v>471</v>
      </c>
      <c r="F373" s="1341" t="str">
        <f>IF(LEN('Verification Report'!W373)=0,"",'Verification Report'!W373)</f>
        <v/>
      </c>
      <c r="G373" s="1352" t="s">
        <v>246</v>
      </c>
    </row>
    <row r="374" spans="1:7" x14ac:dyDescent="0.2">
      <c r="A374" s="130"/>
      <c r="B374" s="129"/>
      <c r="C374" s="170"/>
      <c r="D374" s="1612"/>
      <c r="G374" s="1352" t="s">
        <v>246</v>
      </c>
    </row>
    <row r="375" spans="1:7" x14ac:dyDescent="0.2">
      <c r="A375" s="130"/>
      <c r="B375" s="129"/>
      <c r="C375" s="218" t="s">
        <v>472</v>
      </c>
      <c r="D375" s="1613" t="s">
        <v>3801</v>
      </c>
      <c r="F375" s="1341" t="str">
        <f>IF(LEN('Verification Report'!W375)=0,"",'Verification Report'!W375)</f>
        <v>50% to less than 90%</v>
      </c>
      <c r="G375" s="1352" t="s">
        <v>246</v>
      </c>
    </row>
    <row r="376" spans="1:7" x14ac:dyDescent="0.2">
      <c r="A376" s="130"/>
      <c r="B376" s="129"/>
      <c r="C376" s="170"/>
      <c r="D376" s="1612"/>
      <c r="G376" s="1352" t="s">
        <v>246</v>
      </c>
    </row>
    <row r="377" spans="1:7" x14ac:dyDescent="0.2">
      <c r="A377" s="130"/>
      <c r="B377" s="180" t="s">
        <v>254</v>
      </c>
      <c r="C377" s="97"/>
      <c r="D377" s="1649" t="s">
        <v>3802</v>
      </c>
      <c r="G377" s="1352" t="s">
        <v>246</v>
      </c>
    </row>
    <row r="378" spans="1:7" x14ac:dyDescent="0.2">
      <c r="A378" s="130"/>
      <c r="B378" s="207"/>
      <c r="C378" s="97"/>
      <c r="D378" s="1650"/>
      <c r="G378" s="1352" t="s">
        <v>246</v>
      </c>
    </row>
    <row r="379" spans="1:7" x14ac:dyDescent="0.2">
      <c r="A379" s="130"/>
      <c r="B379" s="180" t="s">
        <v>255</v>
      </c>
      <c r="C379" s="195"/>
      <c r="D379" s="1649" t="s">
        <v>3803</v>
      </c>
      <c r="G379" s="1352" t="s">
        <v>246</v>
      </c>
    </row>
    <row r="380" spans="1:7" x14ac:dyDescent="0.2">
      <c r="A380" s="130"/>
      <c r="B380" s="173"/>
      <c r="C380" s="170"/>
      <c r="D380" s="1650"/>
      <c r="G380" s="1352" t="s">
        <v>246</v>
      </c>
    </row>
    <row r="381" spans="1:7" x14ac:dyDescent="0.2">
      <c r="A381" s="130"/>
      <c r="B381" s="180" t="s">
        <v>256</v>
      </c>
      <c r="C381" s="97"/>
      <c r="D381" s="1657" t="s">
        <v>3804</v>
      </c>
      <c r="G381" s="1352" t="s">
        <v>246</v>
      </c>
    </row>
    <row r="382" spans="1:7" ht="16" thickBot="1" x14ac:dyDescent="0.25">
      <c r="A382" s="130"/>
      <c r="B382" s="180"/>
      <c r="C382" s="97"/>
      <c r="D382" s="1713"/>
      <c r="G382" s="1352" t="s">
        <v>246</v>
      </c>
    </row>
    <row r="383" spans="1:7" ht="16" thickTop="1" x14ac:dyDescent="0.2">
      <c r="A383" s="177" t="s">
        <v>3528</v>
      </c>
      <c r="B383" s="178"/>
      <c r="C383" s="179"/>
      <c r="D383" s="1683" t="s">
        <v>3805</v>
      </c>
      <c r="E383" s="1352">
        <f>'Verification Report'!O383</f>
        <v>0</v>
      </c>
      <c r="F383" s="1341" t="str">
        <f>IF(LEN('Verification Report'!W383)=0,"",'Verification Report'!W383)</f>
        <v/>
      </c>
      <c r="G383" s="1352" t="s">
        <v>246</v>
      </c>
    </row>
    <row r="384" spans="1:7" x14ac:dyDescent="0.2">
      <c r="A384" s="130"/>
      <c r="B384" s="129"/>
      <c r="C384" s="97"/>
      <c r="D384" s="1629"/>
      <c r="G384" s="1352" t="s">
        <v>246</v>
      </c>
    </row>
    <row r="385" spans="1:7" x14ac:dyDescent="0.2">
      <c r="A385" s="130"/>
      <c r="B385" s="129"/>
      <c r="C385" s="97"/>
      <c r="D385" s="1629"/>
      <c r="G385" s="1352" t="s">
        <v>246</v>
      </c>
    </row>
    <row r="386" spans="1:7" x14ac:dyDescent="0.2">
      <c r="A386" s="130"/>
      <c r="B386" s="129"/>
      <c r="C386" s="97"/>
      <c r="D386" s="1629"/>
      <c r="G386" s="1352" t="s">
        <v>246</v>
      </c>
    </row>
    <row r="387" spans="1:7" x14ac:dyDescent="0.2">
      <c r="A387" s="130"/>
      <c r="B387" s="129"/>
      <c r="C387" s="97"/>
      <c r="D387" s="1629"/>
      <c r="G387" s="1352" t="s">
        <v>246</v>
      </c>
    </row>
    <row r="388" spans="1:7" x14ac:dyDescent="0.2">
      <c r="A388" s="130"/>
      <c r="B388" s="129"/>
      <c r="C388" s="97"/>
      <c r="D388" s="1702" t="s">
        <v>676</v>
      </c>
      <c r="G388" s="1352" t="s">
        <v>246</v>
      </c>
    </row>
    <row r="389" spans="1:7" x14ac:dyDescent="0.2">
      <c r="A389" s="130"/>
      <c r="B389" s="129"/>
      <c r="C389" s="97"/>
      <c r="D389" s="1702"/>
      <c r="G389" s="1352" t="s">
        <v>246</v>
      </c>
    </row>
    <row r="390" spans="1:7" x14ac:dyDescent="0.2">
      <c r="A390" s="130"/>
      <c r="B390" s="129"/>
      <c r="C390" s="97"/>
      <c r="D390" s="1689"/>
      <c r="G390" s="1352" t="s">
        <v>246</v>
      </c>
    </row>
    <row r="391" spans="1:7" ht="19" x14ac:dyDescent="0.25">
      <c r="A391" s="72" t="s">
        <v>3529</v>
      </c>
      <c r="B391" s="72"/>
      <c r="C391" s="72"/>
      <c r="D391" s="81"/>
      <c r="E391" s="25"/>
      <c r="F391" s="994"/>
      <c r="G391" s="1352" t="s">
        <v>246</v>
      </c>
    </row>
    <row r="392" spans="1:7" x14ac:dyDescent="0.2">
      <c r="A392" s="80" t="s">
        <v>3530</v>
      </c>
      <c r="B392" s="4"/>
      <c r="C392" s="85"/>
      <c r="D392" s="1631" t="s">
        <v>3632</v>
      </c>
      <c r="G392" s="1352" t="s">
        <v>246</v>
      </c>
    </row>
    <row r="393" spans="1:7" ht="16" thickBot="1" x14ac:dyDescent="0.25">
      <c r="A393" s="67"/>
      <c r="B393" s="4"/>
      <c r="C393" s="85"/>
      <c r="D393" s="1631"/>
      <c r="G393" s="1352" t="s">
        <v>246</v>
      </c>
    </row>
    <row r="394" spans="1:7" ht="17" thickTop="1" thickBot="1" x14ac:dyDescent="0.25">
      <c r="A394" s="177" t="s">
        <v>3531</v>
      </c>
      <c r="B394" s="178"/>
      <c r="C394" s="179"/>
      <c r="D394" s="125" t="s">
        <v>3631</v>
      </c>
      <c r="G394" s="1352" t="s">
        <v>246</v>
      </c>
    </row>
    <row r="395" spans="1:7" ht="16" thickTop="1" x14ac:dyDescent="0.2">
      <c r="A395" s="177" t="s">
        <v>3532</v>
      </c>
      <c r="B395" s="178"/>
      <c r="C395" s="179"/>
      <c r="D395" s="125" t="s">
        <v>3630</v>
      </c>
      <c r="G395" s="1352" t="s">
        <v>246</v>
      </c>
    </row>
    <row r="396" spans="1:7" x14ac:dyDescent="0.2">
      <c r="A396" s="130" t="s">
        <v>3533</v>
      </c>
      <c r="B396" s="129"/>
      <c r="C396" s="97"/>
      <c r="D396" s="1629" t="s">
        <v>3629</v>
      </c>
      <c r="F396" s="1341" t="str">
        <f>IF(LEN('Verification Report'!W396)=0,"",'Verification Report'!W396)</f>
        <v>N/A</v>
      </c>
      <c r="G396" s="1352" t="s">
        <v>246</v>
      </c>
    </row>
    <row r="397" spans="1:7" x14ac:dyDescent="0.2">
      <c r="A397" s="130"/>
      <c r="B397" s="129"/>
      <c r="C397" s="97"/>
      <c r="D397" s="1629"/>
      <c r="G397" s="1352" t="s">
        <v>246</v>
      </c>
    </row>
    <row r="398" spans="1:7" x14ac:dyDescent="0.2">
      <c r="A398" s="130"/>
      <c r="B398" s="129"/>
      <c r="C398" s="97"/>
      <c r="D398" s="1629"/>
      <c r="G398" s="1352" t="s">
        <v>246</v>
      </c>
    </row>
    <row r="399" spans="1:7" x14ac:dyDescent="0.2">
      <c r="A399" s="219"/>
      <c r="B399" s="213"/>
      <c r="C399" s="170"/>
      <c r="D399" s="1379" t="s">
        <v>3817</v>
      </c>
      <c r="G399" s="1352" t="s">
        <v>246</v>
      </c>
    </row>
    <row r="400" spans="1:7" x14ac:dyDescent="0.2">
      <c r="A400" s="67" t="s">
        <v>3534</v>
      </c>
      <c r="B400" s="4"/>
      <c r="C400" s="85"/>
      <c r="D400" s="1631" t="s">
        <v>3806</v>
      </c>
      <c r="E400" s="1352">
        <f>'Verification Report'!O400</f>
        <v>0</v>
      </c>
      <c r="F400" s="1341" t="str">
        <f>IF(LEN('Verification Report'!W400)=0,"",'Verification Report'!W400)</f>
        <v/>
      </c>
      <c r="G400" s="1352" t="s">
        <v>246</v>
      </c>
    </row>
    <row r="401" spans="1:7" x14ac:dyDescent="0.2">
      <c r="A401" s="67"/>
      <c r="B401" s="4"/>
      <c r="C401" s="85"/>
      <c r="D401" s="1631"/>
      <c r="G401" s="1352" t="s">
        <v>246</v>
      </c>
    </row>
    <row r="402" spans="1:7" ht="16" thickBot="1" x14ac:dyDescent="0.25">
      <c r="A402" s="67"/>
      <c r="B402" s="4"/>
      <c r="C402" s="85"/>
      <c r="D402" s="1631"/>
      <c r="G402" s="1352" t="s">
        <v>246</v>
      </c>
    </row>
    <row r="403" spans="1:7" ht="16" thickTop="1" x14ac:dyDescent="0.2">
      <c r="A403" s="177" t="s">
        <v>3535</v>
      </c>
      <c r="B403" s="178"/>
      <c r="C403" s="179"/>
      <c r="D403" s="1683" t="s">
        <v>3807</v>
      </c>
      <c r="E403" s="1352">
        <f>'Verification Report'!O403</f>
        <v>0</v>
      </c>
      <c r="G403" s="1352" t="s">
        <v>246</v>
      </c>
    </row>
    <row r="404" spans="1:7" x14ac:dyDescent="0.2">
      <c r="A404" s="130"/>
      <c r="B404" s="129"/>
      <c r="C404" s="97"/>
      <c r="D404" s="1629"/>
      <c r="G404" s="1352" t="s">
        <v>246</v>
      </c>
    </row>
    <row r="405" spans="1:7" x14ac:dyDescent="0.2">
      <c r="A405" s="130"/>
      <c r="B405" s="129"/>
      <c r="C405" s="97"/>
      <c r="D405" s="1629"/>
      <c r="G405" s="1352" t="s">
        <v>246</v>
      </c>
    </row>
    <row r="406" spans="1:7" x14ac:dyDescent="0.2">
      <c r="A406" s="130"/>
      <c r="B406" s="207" t="s">
        <v>254</v>
      </c>
      <c r="C406" s="170"/>
      <c r="D406" s="170" t="s">
        <v>478</v>
      </c>
      <c r="F406" s="1341" t="str">
        <f>IF(LEN('Verification Report'!W406)=0,"",'Verification Report'!W406)</f>
        <v/>
      </c>
      <c r="G406" s="1352" t="s">
        <v>246</v>
      </c>
    </row>
    <row r="407" spans="1:7" ht="16" thickBot="1" x14ac:dyDescent="0.25">
      <c r="A407" s="189"/>
      <c r="B407" s="190" t="s">
        <v>255</v>
      </c>
      <c r="C407" s="99"/>
      <c r="D407" s="99" t="s">
        <v>479</v>
      </c>
      <c r="F407" s="1341" t="str">
        <f>IF(LEN('Verification Report'!W407)=0,"",'Verification Report'!W407)</f>
        <v/>
      </c>
      <c r="G407" s="1352" t="s">
        <v>246</v>
      </c>
    </row>
    <row r="408" spans="1:7" ht="16" thickTop="1" x14ac:dyDescent="0.2">
      <c r="A408" s="177" t="s">
        <v>3536</v>
      </c>
      <c r="B408" s="178"/>
      <c r="C408" s="179"/>
      <c r="D408" s="125" t="s">
        <v>3628</v>
      </c>
      <c r="G408" s="1352" t="s">
        <v>246</v>
      </c>
    </row>
    <row r="409" spans="1:7" x14ac:dyDescent="0.2">
      <c r="A409" s="130" t="s">
        <v>3537</v>
      </c>
      <c r="B409" s="129"/>
      <c r="C409" s="97"/>
      <c r="D409" s="1629" t="s">
        <v>3627</v>
      </c>
      <c r="F409" s="1341" t="str">
        <f>IF(LEN('Verification Report'!W409)=0,"",'Verification Report'!W409)</f>
        <v/>
      </c>
      <c r="G409" s="1352" t="s">
        <v>246</v>
      </c>
    </row>
    <row r="410" spans="1:7" x14ac:dyDescent="0.2">
      <c r="A410" s="130"/>
      <c r="B410" s="129"/>
      <c r="C410" s="97"/>
      <c r="D410" s="1629"/>
      <c r="G410" s="1352" t="s">
        <v>246</v>
      </c>
    </row>
    <row r="411" spans="1:7" x14ac:dyDescent="0.2">
      <c r="A411" s="219"/>
      <c r="B411" s="213"/>
      <c r="C411" s="170"/>
      <c r="D411" s="1379" t="s">
        <v>3818</v>
      </c>
      <c r="G411" s="1352" t="s">
        <v>246</v>
      </c>
    </row>
    <row r="412" spans="1:7" x14ac:dyDescent="0.2">
      <c r="A412" s="67" t="s">
        <v>3538</v>
      </c>
      <c r="B412" s="4"/>
      <c r="C412" s="85"/>
      <c r="D412" s="1631" t="s">
        <v>3808</v>
      </c>
      <c r="E412" s="1352">
        <f>'Verification Report'!O412</f>
        <v>0</v>
      </c>
      <c r="F412" s="1341" t="str">
        <f>IF(LEN('Verification Report'!W412)=0,"",'Verification Report'!W412)</f>
        <v/>
      </c>
      <c r="G412" s="1352" t="s">
        <v>246</v>
      </c>
    </row>
    <row r="413" spans="1:7" x14ac:dyDescent="0.2">
      <c r="A413" s="67"/>
      <c r="B413" s="4"/>
      <c r="C413" s="85"/>
      <c r="D413" s="1631"/>
      <c r="G413" s="1352" t="s">
        <v>246</v>
      </c>
    </row>
    <row r="414" spans="1:7" ht="16" thickBot="1" x14ac:dyDescent="0.25">
      <c r="A414" s="67"/>
      <c r="B414" s="4"/>
      <c r="C414" s="85"/>
      <c r="D414" s="1631"/>
      <c r="G414" s="1352" t="s">
        <v>246</v>
      </c>
    </row>
    <row r="415" spans="1:7" ht="16" thickTop="1" x14ac:dyDescent="0.2">
      <c r="A415" s="177" t="s">
        <v>3539</v>
      </c>
      <c r="B415" s="178"/>
      <c r="C415" s="179"/>
      <c r="D415" s="125" t="s">
        <v>3626</v>
      </c>
      <c r="G415" s="1352" t="s">
        <v>246</v>
      </c>
    </row>
    <row r="416" spans="1:7" x14ac:dyDescent="0.2">
      <c r="A416" s="67" t="s">
        <v>3540</v>
      </c>
      <c r="B416" s="4"/>
      <c r="C416" s="85"/>
      <c r="D416" s="1631" t="s">
        <v>3809</v>
      </c>
      <c r="G416" s="1352" t="s">
        <v>246</v>
      </c>
    </row>
    <row r="417" spans="1:7" x14ac:dyDescent="0.2">
      <c r="A417" s="67"/>
      <c r="B417" s="4"/>
      <c r="C417" s="85"/>
      <c r="D417" s="1631"/>
      <c r="G417" s="1352" t="s">
        <v>246</v>
      </c>
    </row>
    <row r="418" spans="1:7" x14ac:dyDescent="0.2">
      <c r="A418" s="67"/>
      <c r="B418" s="4"/>
      <c r="C418" s="85"/>
      <c r="D418" s="1631"/>
      <c r="G418" s="1352" t="s">
        <v>246</v>
      </c>
    </row>
    <row r="419" spans="1:7" x14ac:dyDescent="0.2">
      <c r="A419" s="67"/>
      <c r="B419" s="4"/>
      <c r="C419" s="85"/>
      <c r="D419" s="1631"/>
      <c r="G419" s="1352" t="s">
        <v>246</v>
      </c>
    </row>
    <row r="420" spans="1:7" x14ac:dyDescent="0.2">
      <c r="A420" s="67"/>
      <c r="B420" s="180" t="s">
        <v>254</v>
      </c>
      <c r="C420" s="97"/>
      <c r="D420" s="1609" t="s">
        <v>485</v>
      </c>
      <c r="E420" s="1352">
        <f>'Verification Report'!O420</f>
        <v>0</v>
      </c>
      <c r="F420" s="1341" t="str">
        <f>IF(LEN('Verification Report'!W420)=0,"",'Verification Report'!W420)</f>
        <v/>
      </c>
      <c r="G420" s="1352" t="s">
        <v>246</v>
      </c>
    </row>
    <row r="421" spans="1:7" x14ac:dyDescent="0.2">
      <c r="A421" s="67"/>
      <c r="B421" s="213"/>
      <c r="C421" s="170"/>
      <c r="D421" s="1612"/>
      <c r="G421" s="1352" t="s">
        <v>246</v>
      </c>
    </row>
    <row r="422" spans="1:7" x14ac:dyDescent="0.2">
      <c r="A422" s="130"/>
      <c r="B422" s="180" t="s">
        <v>255</v>
      </c>
      <c r="C422" s="97"/>
      <c r="D422" s="97" t="s">
        <v>486</v>
      </c>
      <c r="F422" s="1341" t="str">
        <f>IF(LEN('Verification Report'!W422)=0,"",'Verification Report'!W422)</f>
        <v/>
      </c>
      <c r="G422" s="1352" t="s">
        <v>246</v>
      </c>
    </row>
    <row r="423" spans="1:7" x14ac:dyDescent="0.2">
      <c r="A423" s="219"/>
      <c r="B423" s="207"/>
      <c r="C423" s="170"/>
      <c r="D423" s="1379" t="s">
        <v>3819</v>
      </c>
      <c r="G423" s="1352" t="s">
        <v>246</v>
      </c>
    </row>
    <row r="424" spans="1:7" x14ac:dyDescent="0.2">
      <c r="A424" s="67" t="s">
        <v>3541</v>
      </c>
      <c r="B424" s="4"/>
      <c r="C424" s="85"/>
      <c r="D424" s="1631" t="s">
        <v>3810</v>
      </c>
      <c r="G424" s="1352" t="s">
        <v>246</v>
      </c>
    </row>
    <row r="425" spans="1:7" x14ac:dyDescent="0.2">
      <c r="A425" s="67"/>
      <c r="B425" s="4"/>
      <c r="C425" s="85"/>
      <c r="D425" s="1631"/>
      <c r="G425" s="1352" t="s">
        <v>246</v>
      </c>
    </row>
    <row r="426" spans="1:7" x14ac:dyDescent="0.2">
      <c r="A426" s="67"/>
      <c r="B426" s="4"/>
      <c r="C426" s="85"/>
      <c r="D426" s="1631"/>
      <c r="G426" s="1352" t="s">
        <v>246</v>
      </c>
    </row>
    <row r="427" spans="1:7" x14ac:dyDescent="0.2">
      <c r="A427" s="67"/>
      <c r="B427" s="4"/>
      <c r="C427" s="85"/>
      <c r="D427" s="1631"/>
      <c r="G427" s="1352" t="s">
        <v>246</v>
      </c>
    </row>
    <row r="428" spans="1:7" x14ac:dyDescent="0.2">
      <c r="A428" s="67"/>
      <c r="B428" s="4"/>
      <c r="C428" s="85"/>
      <c r="D428" s="1631"/>
      <c r="G428" s="1352" t="s">
        <v>246</v>
      </c>
    </row>
    <row r="429" spans="1:7" x14ac:dyDescent="0.2">
      <c r="A429" s="67"/>
      <c r="B429" s="180" t="s">
        <v>254</v>
      </c>
      <c r="C429" s="97"/>
      <c r="D429" s="1609" t="s">
        <v>2591</v>
      </c>
      <c r="E429" s="1352">
        <f>'Verification Report'!O429</f>
        <v>0</v>
      </c>
      <c r="F429" s="1341" t="str">
        <f>IF(LEN('Verification Report'!W429)=0,"",'Verification Report'!W429)</f>
        <v/>
      </c>
      <c r="G429" s="1352" t="s">
        <v>246</v>
      </c>
    </row>
    <row r="430" spans="1:7" x14ac:dyDescent="0.2">
      <c r="A430" s="67"/>
      <c r="B430" s="213"/>
      <c r="C430" s="170"/>
      <c r="D430" s="1612"/>
      <c r="G430" s="1352" t="s">
        <v>246</v>
      </c>
    </row>
    <row r="431" spans="1:7" x14ac:dyDescent="0.2">
      <c r="A431" s="67"/>
      <c r="B431" s="29" t="s">
        <v>255</v>
      </c>
      <c r="C431" s="85"/>
      <c r="D431" s="1611" t="s">
        <v>2592</v>
      </c>
      <c r="F431" s="1341" t="str">
        <f>IF(LEN('Verification Report'!W431)=0,"",'Verification Report'!W431)</f>
        <v/>
      </c>
      <c r="G431" s="1352" t="s">
        <v>246</v>
      </c>
    </row>
    <row r="432" spans="1:7" x14ac:dyDescent="0.2">
      <c r="A432" s="67"/>
      <c r="B432" s="4"/>
      <c r="C432" s="85"/>
      <c r="D432" s="1611"/>
      <c r="G432" s="1352" t="s">
        <v>246</v>
      </c>
    </row>
    <row r="433" spans="1:7" x14ac:dyDescent="0.2">
      <c r="A433" s="67"/>
      <c r="B433" s="4"/>
      <c r="C433" s="85"/>
      <c r="D433" s="1707" t="s">
        <v>3820</v>
      </c>
      <c r="G433" s="1352" t="s">
        <v>246</v>
      </c>
    </row>
    <row r="434" spans="1:7" ht="16" thickBot="1" x14ac:dyDescent="0.25">
      <c r="A434" s="67"/>
      <c r="B434" s="4"/>
      <c r="C434" s="85"/>
      <c r="D434" s="1706"/>
      <c r="G434" s="1352" t="s">
        <v>246</v>
      </c>
    </row>
    <row r="435" spans="1:7" ht="16" thickTop="1" x14ac:dyDescent="0.2">
      <c r="A435" s="177" t="s">
        <v>3542</v>
      </c>
      <c r="B435" s="178"/>
      <c r="C435" s="179"/>
      <c r="D435" s="107" t="s">
        <v>3625</v>
      </c>
      <c r="G435" s="1352" t="s">
        <v>246</v>
      </c>
    </row>
    <row r="436" spans="1:7" x14ac:dyDescent="0.2">
      <c r="A436" s="67"/>
      <c r="B436" s="4"/>
      <c r="C436" s="85"/>
      <c r="D436" s="1396" t="s">
        <v>2583</v>
      </c>
      <c r="F436" s="1341" t="str">
        <f>IF(LEN('Verification Report'!W436)=0,"",'Verification Report'!W436)</f>
        <v/>
      </c>
      <c r="G436" s="1352" t="s">
        <v>246</v>
      </c>
    </row>
    <row r="437" spans="1:7" x14ac:dyDescent="0.2">
      <c r="A437" s="67"/>
      <c r="B437" s="180" t="s">
        <v>254</v>
      </c>
      <c r="C437" s="97"/>
      <c r="D437" s="1609" t="s">
        <v>489</v>
      </c>
      <c r="E437" s="1352">
        <f ca="1">'Verification Report'!O437</f>
        <v>0</v>
      </c>
      <c r="F437" s="1341" t="str">
        <f>IF(LEN('Verification Report'!W437)=0,"",'Verification Report'!W437)</f>
        <v/>
      </c>
      <c r="G437" s="1352" t="s">
        <v>246</v>
      </c>
    </row>
    <row r="438" spans="1:7" x14ac:dyDescent="0.2">
      <c r="A438" s="67"/>
      <c r="B438" s="213"/>
      <c r="C438" s="170"/>
      <c r="D438" s="1612"/>
      <c r="G438" s="1352" t="s">
        <v>246</v>
      </c>
    </row>
    <row r="439" spans="1:7" x14ac:dyDescent="0.2">
      <c r="A439" s="67"/>
      <c r="B439" s="29" t="s">
        <v>255</v>
      </c>
      <c r="C439" s="85"/>
      <c r="D439" s="1611" t="s">
        <v>490</v>
      </c>
      <c r="E439" s="1352">
        <f ca="1">'Verification Report'!O439</f>
        <v>0</v>
      </c>
      <c r="F439" s="1341" t="str">
        <f>IF(LEN('Verification Report'!W439)=0,"",'Verification Report'!W439)</f>
        <v/>
      </c>
      <c r="G439" s="1352" t="s">
        <v>246</v>
      </c>
    </row>
    <row r="440" spans="1:7" x14ac:dyDescent="0.2">
      <c r="A440" s="67"/>
      <c r="B440" s="4"/>
      <c r="C440" s="85"/>
      <c r="D440" s="1611"/>
      <c r="G440" s="1352" t="s">
        <v>246</v>
      </c>
    </row>
    <row r="441" spans="1:7" ht="16" thickBot="1" x14ac:dyDescent="0.25">
      <c r="A441" s="67"/>
      <c r="B441" s="4"/>
      <c r="C441" s="85"/>
      <c r="D441" s="1611"/>
      <c r="G441" s="1352" t="s">
        <v>246</v>
      </c>
    </row>
    <row r="442" spans="1:7" ht="16" thickTop="1" x14ac:dyDescent="0.2">
      <c r="A442" s="177" t="s">
        <v>3543</v>
      </c>
      <c r="B442" s="178"/>
      <c r="C442" s="179"/>
      <c r="D442" s="1683" t="s">
        <v>3624</v>
      </c>
      <c r="G442" s="1352" t="s">
        <v>246</v>
      </c>
    </row>
    <row r="443" spans="1:7" x14ac:dyDescent="0.2">
      <c r="A443" s="130"/>
      <c r="B443" s="129"/>
      <c r="C443" s="97"/>
      <c r="D443" s="1629"/>
      <c r="G443" s="1352" t="s">
        <v>246</v>
      </c>
    </row>
    <row r="444" spans="1:7" x14ac:dyDescent="0.2">
      <c r="A444" s="67"/>
      <c r="B444" s="4"/>
      <c r="C444" s="85"/>
      <c r="D444" s="1396" t="s">
        <v>2583</v>
      </c>
      <c r="G444" s="1352" t="s">
        <v>246</v>
      </c>
    </row>
    <row r="445" spans="1:7" x14ac:dyDescent="0.2">
      <c r="A445" s="67"/>
      <c r="B445" s="180" t="s">
        <v>254</v>
      </c>
      <c r="C445" s="97"/>
      <c r="D445" s="1609" t="s">
        <v>492</v>
      </c>
      <c r="E445" s="1352">
        <f ca="1">'Verification Report'!O445</f>
        <v>0</v>
      </c>
      <c r="F445" s="1341" t="str">
        <f>IF(LEN('Verification Report'!W445)=0,"",'Verification Report'!W445)</f>
        <v/>
      </c>
      <c r="G445" s="1352" t="s">
        <v>246</v>
      </c>
    </row>
    <row r="446" spans="1:7" x14ac:dyDescent="0.2">
      <c r="A446" s="67"/>
      <c r="B446" s="129"/>
      <c r="C446" s="97"/>
      <c r="D446" s="1609"/>
      <c r="G446" s="1352" t="s">
        <v>246</v>
      </c>
    </row>
    <row r="447" spans="1:7" x14ac:dyDescent="0.2">
      <c r="A447" s="67"/>
      <c r="B447" s="129"/>
      <c r="C447" s="97"/>
      <c r="D447" s="1609"/>
      <c r="G447" s="1352" t="s">
        <v>246</v>
      </c>
    </row>
    <row r="448" spans="1:7" x14ac:dyDescent="0.2">
      <c r="A448" s="67"/>
      <c r="B448" s="213"/>
      <c r="C448" s="170"/>
      <c r="D448" s="1612"/>
      <c r="G448" s="1352" t="s">
        <v>246</v>
      </c>
    </row>
    <row r="449" spans="1:7" x14ac:dyDescent="0.2">
      <c r="A449" s="67"/>
      <c r="B449" s="212" t="s">
        <v>255</v>
      </c>
      <c r="C449" s="194"/>
      <c r="D449" s="1613" t="s">
        <v>493</v>
      </c>
      <c r="E449" s="1352">
        <f ca="1">'Verification Report'!O449</f>
        <v>0</v>
      </c>
      <c r="F449" s="1341" t="str">
        <f>IF(LEN('Verification Report'!W449)=0,"",'Verification Report'!W449)</f>
        <v/>
      </c>
      <c r="G449" s="1352" t="s">
        <v>246</v>
      </c>
    </row>
    <row r="450" spans="1:7" x14ac:dyDescent="0.2">
      <c r="A450" s="67"/>
      <c r="B450" s="129"/>
      <c r="C450" s="97"/>
      <c r="D450" s="1609"/>
      <c r="G450" s="1352" t="s">
        <v>246</v>
      </c>
    </row>
    <row r="451" spans="1:7" x14ac:dyDescent="0.2">
      <c r="A451" s="67"/>
      <c r="B451" s="129"/>
      <c r="C451" s="97"/>
      <c r="D451" s="1609"/>
      <c r="G451" s="1352" t="s">
        <v>246</v>
      </c>
    </row>
    <row r="452" spans="1:7" x14ac:dyDescent="0.2">
      <c r="A452" s="67"/>
      <c r="B452" s="213"/>
      <c r="C452" s="170"/>
      <c r="D452" s="1612"/>
      <c r="G452" s="1352" t="s">
        <v>246</v>
      </c>
    </row>
    <row r="453" spans="1:7" x14ac:dyDescent="0.2">
      <c r="A453" s="67"/>
      <c r="B453" s="29" t="s">
        <v>256</v>
      </c>
      <c r="C453" s="85"/>
      <c r="D453" s="1611" t="s">
        <v>494</v>
      </c>
      <c r="E453" s="1352">
        <f ca="1">'Verification Report'!O453</f>
        <v>0</v>
      </c>
      <c r="F453" s="1341" t="str">
        <f>IF(LEN('Verification Report'!W453)=0,"",'Verification Report'!W453)</f>
        <v/>
      </c>
      <c r="G453" s="1352" t="s">
        <v>246</v>
      </c>
    </row>
    <row r="454" spans="1:7" x14ac:dyDescent="0.2">
      <c r="A454" s="67"/>
      <c r="B454" s="4"/>
      <c r="C454" s="85"/>
      <c r="D454" s="1611"/>
      <c r="G454" s="1352" t="s">
        <v>246</v>
      </c>
    </row>
    <row r="455" spans="1:7" ht="16" thickBot="1" x14ac:dyDescent="0.25">
      <c r="A455" s="67"/>
      <c r="B455" s="4"/>
      <c r="C455" s="85"/>
      <c r="D455" s="1611"/>
      <c r="G455" s="1352" t="s">
        <v>246</v>
      </c>
    </row>
    <row r="456" spans="1:7" ht="16" thickTop="1" x14ac:dyDescent="0.2">
      <c r="A456" s="177" t="s">
        <v>3544</v>
      </c>
      <c r="B456" s="178"/>
      <c r="C456" s="179"/>
      <c r="D456" s="125" t="s">
        <v>3623</v>
      </c>
      <c r="G456" s="1352" t="s">
        <v>246</v>
      </c>
    </row>
    <row r="457" spans="1:7" x14ac:dyDescent="0.2">
      <c r="A457" s="67" t="s">
        <v>3545</v>
      </c>
      <c r="B457" s="4"/>
      <c r="C457" s="85"/>
      <c r="D457" s="87" t="s">
        <v>3622</v>
      </c>
      <c r="G457" s="1352" t="s">
        <v>246</v>
      </c>
    </row>
    <row r="458" spans="1:7" x14ac:dyDescent="0.2">
      <c r="A458" s="67"/>
      <c r="B458" s="180" t="s">
        <v>254</v>
      </c>
      <c r="C458" s="97"/>
      <c r="D458" s="1609" t="s">
        <v>497</v>
      </c>
      <c r="E458" s="1352">
        <f>'Verification Report'!O458</f>
        <v>2</v>
      </c>
      <c r="F458" s="1341" t="b">
        <f>IF(LEN('Verification Report'!W458)=0,"",'Verification Report'!W458)</f>
        <v>1</v>
      </c>
      <c r="G458" s="1352" t="s">
        <v>246</v>
      </c>
    </row>
    <row r="459" spans="1:7" x14ac:dyDescent="0.2">
      <c r="A459" s="67"/>
      <c r="B459" s="213"/>
      <c r="C459" s="170"/>
      <c r="D459" s="1612"/>
      <c r="G459" s="1352" t="s">
        <v>246</v>
      </c>
    </row>
    <row r="460" spans="1:7" x14ac:dyDescent="0.2">
      <c r="A460" s="67"/>
      <c r="B460" s="180" t="s">
        <v>255</v>
      </c>
      <c r="C460" s="97"/>
      <c r="D460" s="1609" t="s">
        <v>498</v>
      </c>
      <c r="E460" s="1352">
        <f>'Verification Report'!O460</f>
        <v>0</v>
      </c>
      <c r="F460" s="1341" t="str">
        <f>IF(LEN('Verification Report'!W460)=0,"",'Verification Report'!W460)</f>
        <v>N/A</v>
      </c>
      <c r="G460" s="1352" t="s">
        <v>246</v>
      </c>
    </row>
    <row r="461" spans="1:7" x14ac:dyDescent="0.2">
      <c r="A461" s="67"/>
      <c r="B461" s="129"/>
      <c r="C461" s="97"/>
      <c r="D461" s="1609"/>
      <c r="G461" s="1352" t="s">
        <v>246</v>
      </c>
    </row>
    <row r="462" spans="1:7" x14ac:dyDescent="0.2">
      <c r="A462" s="67"/>
      <c r="B462" s="213"/>
      <c r="C462" s="170"/>
      <c r="D462" s="1382" t="s">
        <v>678</v>
      </c>
      <c r="G462" s="1352" t="s">
        <v>246</v>
      </c>
    </row>
    <row r="463" spans="1:7" x14ac:dyDescent="0.2">
      <c r="A463" s="130"/>
      <c r="B463" s="180" t="s">
        <v>256</v>
      </c>
      <c r="C463" s="97"/>
      <c r="D463" s="1609" t="s">
        <v>499</v>
      </c>
      <c r="E463" s="1352">
        <f>'Verification Report'!O463</f>
        <v>0</v>
      </c>
      <c r="F463" s="1341" t="str">
        <f>IF(LEN('Verification Report'!W463)=0,"",'Verification Report'!W463)</f>
        <v/>
      </c>
      <c r="G463" s="1352" t="s">
        <v>246</v>
      </c>
    </row>
    <row r="464" spans="1:7" x14ac:dyDescent="0.2">
      <c r="A464" s="219"/>
      <c r="B464" s="213"/>
      <c r="C464" s="170"/>
      <c r="D464" s="1612"/>
      <c r="G464" s="1352" t="s">
        <v>246</v>
      </c>
    </row>
    <row r="465" spans="1:9" x14ac:dyDescent="0.2">
      <c r="A465" s="192" t="s">
        <v>3546</v>
      </c>
      <c r="B465" s="193"/>
      <c r="C465" s="194"/>
      <c r="D465" s="1712" t="s">
        <v>3621</v>
      </c>
      <c r="E465" s="1352">
        <f>'Verification Report'!O465</f>
        <v>0</v>
      </c>
      <c r="F465" s="1341" t="str">
        <f>IF(LEN('Verification Report'!W465)=0,"",'Verification Report'!W465)</f>
        <v/>
      </c>
      <c r="G465" s="1352" t="s">
        <v>246</v>
      </c>
    </row>
    <row r="466" spans="1:9" x14ac:dyDescent="0.2">
      <c r="A466" s="219"/>
      <c r="B466" s="213"/>
      <c r="C466" s="170"/>
      <c r="D466" s="1696"/>
      <c r="G466" s="1352" t="s">
        <v>246</v>
      </c>
    </row>
    <row r="467" spans="1:9" x14ac:dyDescent="0.2">
      <c r="A467" s="67" t="s">
        <v>3547</v>
      </c>
      <c r="B467" s="4"/>
      <c r="C467" s="85"/>
      <c r="D467" s="1631" t="s">
        <v>3620</v>
      </c>
      <c r="E467" s="1352">
        <f>'Verification Report'!O467</f>
        <v>0</v>
      </c>
      <c r="F467" s="1341" t="str">
        <f>IF(LEN('Verification Report'!W467)=0,"",'Verification Report'!W467)</f>
        <v/>
      </c>
      <c r="G467" s="1352" t="s">
        <v>246</v>
      </c>
    </row>
    <row r="468" spans="1:9" x14ac:dyDescent="0.2">
      <c r="A468" s="67"/>
      <c r="B468" s="4"/>
      <c r="C468" s="85"/>
      <c r="D468" s="1631"/>
      <c r="G468" s="1352" t="s">
        <v>246</v>
      </c>
    </row>
    <row r="469" spans="1:9" x14ac:dyDescent="0.2">
      <c r="A469" s="67"/>
      <c r="B469" s="4"/>
      <c r="C469" s="85"/>
      <c r="D469" s="1631"/>
      <c r="G469" s="1352" t="s">
        <v>246</v>
      </c>
    </row>
    <row r="470" spans="1:9" ht="16" thickBot="1" x14ac:dyDescent="0.25">
      <c r="A470" s="67"/>
      <c r="B470" s="4"/>
      <c r="C470" s="85"/>
      <c r="D470" s="1631"/>
      <c r="G470" s="1352" t="s">
        <v>246</v>
      </c>
    </row>
    <row r="471" spans="1:9" ht="16" thickTop="1" x14ac:dyDescent="0.2">
      <c r="A471" s="177" t="s">
        <v>3548</v>
      </c>
      <c r="B471" s="178"/>
      <c r="C471" s="179"/>
      <c r="D471" s="1683" t="s">
        <v>3811</v>
      </c>
      <c r="F471" s="1341" t="str">
        <f>IF(LEN('Verification Report'!W471)=0,"",'Verification Report'!W471)</f>
        <v>N/A</v>
      </c>
      <c r="G471" s="1398" t="str">
        <f>IF(AND(LEN(F471)&gt;0,NOT(F471=FALSE)),"P","NP")</f>
        <v>P</v>
      </c>
      <c r="H471" s="1401" t="s">
        <v>5271</v>
      </c>
      <c r="I471" s="1600"/>
    </row>
    <row r="472" spans="1:9" x14ac:dyDescent="0.2">
      <c r="A472" s="130"/>
      <c r="B472" s="129"/>
      <c r="C472" s="97"/>
      <c r="D472" s="1629"/>
      <c r="G472" s="1" t="str">
        <f>G471</f>
        <v>P</v>
      </c>
      <c r="I472" s="1600"/>
    </row>
    <row r="473" spans="1:9" x14ac:dyDescent="0.2">
      <c r="A473" s="130"/>
      <c r="B473" s="129"/>
      <c r="C473" s="97"/>
      <c r="D473" s="1629"/>
      <c r="G473" s="1" t="str">
        <f>G472</f>
        <v>P</v>
      </c>
      <c r="I473" s="1600"/>
    </row>
    <row r="474" spans="1:9" ht="16" thickBot="1" x14ac:dyDescent="0.25">
      <c r="A474" s="130"/>
      <c r="B474" s="129"/>
      <c r="C474" s="97"/>
      <c r="D474" s="1372" t="s">
        <v>678</v>
      </c>
      <c r="G474" s="1352" t="s">
        <v>246</v>
      </c>
    </row>
    <row r="475" spans="1:9" ht="16" thickTop="1" x14ac:dyDescent="0.2">
      <c r="A475" s="177" t="s">
        <v>3549</v>
      </c>
      <c r="B475" s="178"/>
      <c r="C475" s="179"/>
      <c r="D475" s="1683" t="s">
        <v>3619</v>
      </c>
      <c r="G475" s="1399" t="str">
        <f>IF(OR(LEN(F483)&gt;0),"P","NP")</f>
        <v>P</v>
      </c>
      <c r="H475" s="1401" t="s">
        <v>5272</v>
      </c>
      <c r="I475" s="1600"/>
    </row>
    <row r="476" spans="1:9" x14ac:dyDescent="0.2">
      <c r="A476" s="130"/>
      <c r="B476" s="129"/>
      <c r="C476" s="97"/>
      <c r="D476" s="1629"/>
      <c r="G476" s="1" t="str">
        <f>G475</f>
        <v>P</v>
      </c>
      <c r="I476" s="1600"/>
    </row>
    <row r="477" spans="1:9" x14ac:dyDescent="0.2">
      <c r="A477" s="130"/>
      <c r="B477" s="129"/>
      <c r="C477" s="97"/>
      <c r="D477" s="1629"/>
      <c r="G477" s="1" t="str">
        <f>G476</f>
        <v>P</v>
      </c>
      <c r="I477" s="1600"/>
    </row>
    <row r="478" spans="1:9" x14ac:dyDescent="0.2">
      <c r="A478" s="130"/>
      <c r="B478" s="129"/>
      <c r="C478" s="97"/>
      <c r="D478" s="1629"/>
      <c r="G478" s="1" t="str">
        <f>G477</f>
        <v>P</v>
      </c>
      <c r="I478" s="1600"/>
    </row>
    <row r="479" spans="1:9" x14ac:dyDescent="0.2">
      <c r="A479" s="130"/>
      <c r="B479" s="129"/>
      <c r="C479" s="97"/>
      <c r="D479" s="1629"/>
      <c r="G479" s="1" t="str">
        <f>G478</f>
        <v>P</v>
      </c>
      <c r="I479" s="1600"/>
    </row>
    <row r="480" spans="1:9" x14ac:dyDescent="0.2">
      <c r="A480" s="130"/>
      <c r="B480" s="129"/>
      <c r="C480" s="97"/>
      <c r="D480" s="1705" t="s">
        <v>3821</v>
      </c>
      <c r="G480" s="1352" t="s">
        <v>246</v>
      </c>
    </row>
    <row r="481" spans="1:7" x14ac:dyDescent="0.2">
      <c r="A481" s="130"/>
      <c r="B481" s="129"/>
      <c r="C481" s="97"/>
      <c r="D481" s="1705"/>
      <c r="G481" s="1352" t="s">
        <v>246</v>
      </c>
    </row>
    <row r="482" spans="1:7" x14ac:dyDescent="0.2">
      <c r="A482" s="130"/>
      <c r="B482" s="129"/>
      <c r="C482" s="97"/>
      <c r="D482" s="1705"/>
      <c r="G482" s="1352" t="s">
        <v>246</v>
      </c>
    </row>
    <row r="483" spans="1:7" x14ac:dyDescent="0.2">
      <c r="A483" s="67"/>
      <c r="B483" s="180" t="s">
        <v>254</v>
      </c>
      <c r="C483" s="97"/>
      <c r="D483" s="97" t="s">
        <v>504</v>
      </c>
      <c r="F483" s="1341" t="str">
        <f>IF(LEN('Verification Report'!W483)=0,"",'Verification Report'!W483)</f>
        <v>Met</v>
      </c>
      <c r="G483" s="1352" t="s">
        <v>246</v>
      </c>
    </row>
    <row r="484" spans="1:7" x14ac:dyDescent="0.2">
      <c r="A484" s="67"/>
      <c r="B484" s="129"/>
      <c r="C484" s="93" t="s">
        <v>121</v>
      </c>
      <c r="D484" s="97" t="s">
        <v>505</v>
      </c>
      <c r="G484" s="1352" t="s">
        <v>246</v>
      </c>
    </row>
    <row r="485" spans="1:7" x14ac:dyDescent="0.2">
      <c r="A485" s="67"/>
      <c r="B485" s="129"/>
      <c r="C485" s="93" t="s">
        <v>122</v>
      </c>
      <c r="D485" s="97" t="s">
        <v>506</v>
      </c>
      <c r="G485" s="1352" t="s">
        <v>246</v>
      </c>
    </row>
    <row r="486" spans="1:7" x14ac:dyDescent="0.2">
      <c r="A486" s="67"/>
      <c r="B486" s="129"/>
      <c r="C486" s="111" t="s">
        <v>123</v>
      </c>
      <c r="D486" s="97" t="s">
        <v>507</v>
      </c>
      <c r="G486" s="1352" t="s">
        <v>246</v>
      </c>
    </row>
    <row r="487" spans="1:7" x14ac:dyDescent="0.2">
      <c r="A487" s="67"/>
      <c r="B487" s="129"/>
      <c r="C487" s="187" t="s">
        <v>366</v>
      </c>
      <c r="D487" s="1609" t="s">
        <v>508</v>
      </c>
      <c r="G487" s="1352" t="s">
        <v>246</v>
      </c>
    </row>
    <row r="488" spans="1:7" x14ac:dyDescent="0.2">
      <c r="A488" s="67"/>
      <c r="B488" s="129"/>
      <c r="C488" s="97"/>
      <c r="D488" s="1609"/>
      <c r="G488" s="1352" t="s">
        <v>246</v>
      </c>
    </row>
    <row r="489" spans="1:7" x14ac:dyDescent="0.2">
      <c r="A489" s="67"/>
      <c r="B489" s="129"/>
      <c r="C489" s="187" t="s">
        <v>472</v>
      </c>
      <c r="D489" s="97" t="s">
        <v>509</v>
      </c>
      <c r="G489" s="1352" t="s">
        <v>246</v>
      </c>
    </row>
    <row r="490" spans="1:7" x14ac:dyDescent="0.2">
      <c r="A490" s="67"/>
      <c r="B490" s="129"/>
      <c r="C490" s="111" t="s">
        <v>510</v>
      </c>
      <c r="D490" s="97" t="s">
        <v>511</v>
      </c>
      <c r="G490" s="1352" t="s">
        <v>246</v>
      </c>
    </row>
    <row r="491" spans="1:7" x14ac:dyDescent="0.2">
      <c r="A491" s="67"/>
      <c r="B491" s="129"/>
      <c r="C491" s="187" t="s">
        <v>512</v>
      </c>
      <c r="D491" s="97" t="s">
        <v>513</v>
      </c>
      <c r="G491" s="1352" t="s">
        <v>246</v>
      </c>
    </row>
    <row r="492" spans="1:7" x14ac:dyDescent="0.2">
      <c r="A492" s="67"/>
      <c r="B492" s="129"/>
      <c r="C492" s="187" t="s">
        <v>514</v>
      </c>
      <c r="D492" s="97" t="s">
        <v>515</v>
      </c>
      <c r="G492" s="1352" t="s">
        <v>246</v>
      </c>
    </row>
    <row r="493" spans="1:7" x14ac:dyDescent="0.2">
      <c r="A493" s="67"/>
      <c r="B493" s="129"/>
      <c r="C493" s="187"/>
      <c r="D493" s="1705" t="s">
        <v>3822</v>
      </c>
      <c r="G493" s="1352" t="s">
        <v>246</v>
      </c>
    </row>
    <row r="494" spans="1:7" x14ac:dyDescent="0.2">
      <c r="A494" s="67"/>
      <c r="B494" s="213"/>
      <c r="C494" s="221"/>
      <c r="D494" s="1710"/>
      <c r="G494" s="1352" t="s">
        <v>246</v>
      </c>
    </row>
    <row r="495" spans="1:7" x14ac:dyDescent="0.2">
      <c r="A495" s="67"/>
      <c r="B495" s="180" t="s">
        <v>255</v>
      </c>
      <c r="C495" s="97"/>
      <c r="D495" s="1609" t="s">
        <v>516</v>
      </c>
      <c r="E495" s="1352">
        <f>'Verification Report'!O495</f>
        <v>0</v>
      </c>
      <c r="F495" s="1341" t="str">
        <f>IF(LEN('Verification Report'!W495)=0,"",'Verification Report'!W495)</f>
        <v/>
      </c>
      <c r="G495" s="1352" t="s">
        <v>246</v>
      </c>
    </row>
    <row r="496" spans="1:7" x14ac:dyDescent="0.2">
      <c r="A496" s="67"/>
      <c r="B496" s="129"/>
      <c r="C496" s="97"/>
      <c r="D496" s="1609"/>
      <c r="G496" s="1352" t="s">
        <v>246</v>
      </c>
    </row>
    <row r="497" spans="1:9" x14ac:dyDescent="0.2">
      <c r="A497" s="67"/>
      <c r="B497" s="213"/>
      <c r="C497" s="170"/>
      <c r="D497" s="1612"/>
      <c r="G497" s="1352" t="s">
        <v>246</v>
      </c>
    </row>
    <row r="498" spans="1:9" x14ac:dyDescent="0.2">
      <c r="A498" s="67"/>
      <c r="B498" s="209" t="s">
        <v>256</v>
      </c>
      <c r="C498" s="210"/>
      <c r="D498" s="210" t="s">
        <v>517</v>
      </c>
      <c r="E498" s="1352">
        <f>'Verification Report'!O498</f>
        <v>0</v>
      </c>
      <c r="F498" s="1341" t="str">
        <f>IF(LEN('Verification Report'!W498)=0,"",'Verification Report'!W498)</f>
        <v/>
      </c>
      <c r="G498" s="1352" t="s">
        <v>246</v>
      </c>
    </row>
    <row r="499" spans="1:9" x14ac:dyDescent="0.2">
      <c r="A499" s="67"/>
      <c r="B499" s="212" t="s">
        <v>259</v>
      </c>
      <c r="C499" s="194"/>
      <c r="D499" s="1613" t="s">
        <v>518</v>
      </c>
      <c r="E499" s="1352">
        <f>'Verification Report'!O499</f>
        <v>0</v>
      </c>
      <c r="F499" s="1341" t="str">
        <f>IF(LEN('Verification Report'!W499)=0,"",'Verification Report'!W499)</f>
        <v/>
      </c>
      <c r="G499" s="1352" t="s">
        <v>246</v>
      </c>
    </row>
    <row r="500" spans="1:9" x14ac:dyDescent="0.2">
      <c r="A500" s="67"/>
      <c r="B500" s="129"/>
      <c r="C500" s="97"/>
      <c r="D500" s="1609"/>
      <c r="G500" s="1352" t="s">
        <v>246</v>
      </c>
    </row>
    <row r="501" spans="1:9" x14ac:dyDescent="0.2">
      <c r="A501" s="67"/>
      <c r="B501" s="129"/>
      <c r="C501" s="97"/>
      <c r="D501" s="1609"/>
      <c r="G501" s="1352" t="s">
        <v>246</v>
      </c>
    </row>
    <row r="502" spans="1:9" x14ac:dyDescent="0.2">
      <c r="A502" s="67"/>
      <c r="B502" s="213"/>
      <c r="C502" s="170"/>
      <c r="D502" s="1612"/>
      <c r="G502" s="1352" t="s">
        <v>246</v>
      </c>
    </row>
    <row r="503" spans="1:9" x14ac:dyDescent="0.2">
      <c r="A503" s="67"/>
      <c r="B503" s="29" t="s">
        <v>263</v>
      </c>
      <c r="C503" s="85"/>
      <c r="D503" s="85" t="s">
        <v>519</v>
      </c>
      <c r="E503" s="1352">
        <f ca="1">'Verification Report'!O503</f>
        <v>0</v>
      </c>
      <c r="F503" s="1341" t="str">
        <f>IF(LEN('Verification Report'!W503)=0,"",'Verification Report'!W503)</f>
        <v/>
      </c>
      <c r="G503" s="1352" t="s">
        <v>246</v>
      </c>
    </row>
    <row r="504" spans="1:9" x14ac:dyDescent="0.2">
      <c r="A504" s="67"/>
      <c r="B504" s="4"/>
      <c r="C504" s="93" t="s">
        <v>121</v>
      </c>
      <c r="D504" s="1609" t="s">
        <v>520</v>
      </c>
      <c r="G504" s="1352" t="s">
        <v>246</v>
      </c>
    </row>
    <row r="505" spans="1:9" x14ac:dyDescent="0.2">
      <c r="A505" s="67"/>
      <c r="B505" s="4"/>
      <c r="C505" s="93"/>
      <c r="D505" s="1609"/>
      <c r="G505" s="1352" t="s">
        <v>246</v>
      </c>
    </row>
    <row r="506" spans="1:9" x14ac:dyDescent="0.2">
      <c r="A506" s="67"/>
      <c r="B506" s="4"/>
      <c r="C506" s="169"/>
      <c r="D506" s="1612"/>
      <c r="G506" s="1352" t="s">
        <v>246</v>
      </c>
    </row>
    <row r="507" spans="1:9" x14ac:dyDescent="0.2">
      <c r="A507" s="67"/>
      <c r="B507" s="129"/>
      <c r="C507" s="93" t="s">
        <v>122</v>
      </c>
      <c r="D507" s="1609" t="s">
        <v>521</v>
      </c>
      <c r="G507" s="1352" t="s">
        <v>246</v>
      </c>
    </row>
    <row r="508" spans="1:9" x14ac:dyDescent="0.2">
      <c r="A508" s="67"/>
      <c r="B508" s="213"/>
      <c r="C508" s="170"/>
      <c r="D508" s="1612"/>
      <c r="G508" s="1352" t="s">
        <v>246</v>
      </c>
    </row>
    <row r="509" spans="1:9" x14ac:dyDescent="0.2">
      <c r="A509" s="67"/>
      <c r="B509" s="212" t="s">
        <v>264</v>
      </c>
      <c r="C509" s="194"/>
      <c r="D509" s="1613" t="s">
        <v>522</v>
      </c>
      <c r="E509" s="1352">
        <f>'Verification Report'!O509</f>
        <v>0</v>
      </c>
      <c r="F509" s="1341" t="str">
        <f>IF(LEN('Verification Report'!W509)=0,"",'Verification Report'!W509)</f>
        <v/>
      </c>
      <c r="G509" s="1352" t="s">
        <v>246</v>
      </c>
    </row>
    <row r="510" spans="1:9" x14ac:dyDescent="0.2">
      <c r="A510" s="67"/>
      <c r="B510" s="213"/>
      <c r="C510" s="170"/>
      <c r="D510" s="1612"/>
      <c r="G510" s="1352" t="s">
        <v>246</v>
      </c>
    </row>
    <row r="511" spans="1:9" ht="16" thickBot="1" x14ac:dyDescent="0.25">
      <c r="A511" s="67"/>
      <c r="B511" s="29" t="s">
        <v>356</v>
      </c>
      <c r="C511" s="85"/>
      <c r="D511" s="85" t="s">
        <v>523</v>
      </c>
      <c r="E511" s="1352">
        <f>'Verification Report'!O511</f>
        <v>0</v>
      </c>
      <c r="F511" s="1341" t="str">
        <f>IF(LEN('Verification Report'!W511)=0,"",'Verification Report'!W511)</f>
        <v/>
      </c>
      <c r="G511" s="1352" t="s">
        <v>246</v>
      </c>
    </row>
    <row r="512" spans="1:9" ht="16" thickTop="1" x14ac:dyDescent="0.2">
      <c r="A512" s="177" t="s">
        <v>3550</v>
      </c>
      <c r="B512" s="178"/>
      <c r="C512" s="179"/>
      <c r="D512" s="1683" t="s">
        <v>3618</v>
      </c>
      <c r="E512" s="1352">
        <f ca="1">'Verification Report'!O512</f>
        <v>2</v>
      </c>
      <c r="G512" s="1397" t="str">
        <f ca="1">IF(E512&gt;0,"P","NP")</f>
        <v>P</v>
      </c>
      <c r="H512" s="1801" t="s">
        <v>5273</v>
      </c>
      <c r="I512" s="1600"/>
    </row>
    <row r="513" spans="1:9" x14ac:dyDescent="0.2">
      <c r="A513" s="130"/>
      <c r="B513" s="129"/>
      <c r="C513" s="97"/>
      <c r="D513" s="1629"/>
      <c r="F513" s="1341" t="str">
        <f>IF(LEN('Verification Report'!W513)=0,"",'Verification Report'!W513)</f>
        <v>1 exterior door</v>
      </c>
      <c r="G513" s="1" t="str">
        <f ca="1">G512</f>
        <v>P</v>
      </c>
      <c r="H513" s="1801"/>
      <c r="I513" s="1600"/>
    </row>
    <row r="514" spans="1:9" x14ac:dyDescent="0.2">
      <c r="A514" s="130"/>
      <c r="B514" s="129"/>
      <c r="C514" s="97"/>
      <c r="D514" s="1629"/>
      <c r="G514" s="1" t="str">
        <f ca="1">G513</f>
        <v>P</v>
      </c>
      <c r="I514" s="1600"/>
    </row>
    <row r="515" spans="1:9" x14ac:dyDescent="0.2">
      <c r="A515" s="130"/>
      <c r="B515" s="129"/>
      <c r="C515" s="97"/>
      <c r="D515" s="1629"/>
      <c r="G515" s="1" t="str">
        <f ca="1">G514</f>
        <v>P</v>
      </c>
      <c r="I515" s="1600"/>
    </row>
    <row r="516" spans="1:9" x14ac:dyDescent="0.2">
      <c r="A516" s="130"/>
      <c r="B516" s="129"/>
      <c r="C516" s="97"/>
      <c r="D516" s="1629"/>
      <c r="G516" s="1" t="str">
        <f ca="1">G515</f>
        <v>P</v>
      </c>
      <c r="I516" s="1600"/>
    </row>
    <row r="517" spans="1:9" x14ac:dyDescent="0.2">
      <c r="A517" s="130"/>
      <c r="B517" s="129"/>
      <c r="C517" s="97"/>
      <c r="D517" s="1629"/>
      <c r="G517" s="1" t="str">
        <f ca="1">G516</f>
        <v>P</v>
      </c>
      <c r="I517" s="1600"/>
    </row>
    <row r="518" spans="1:9" x14ac:dyDescent="0.2">
      <c r="A518" s="130"/>
      <c r="B518" s="129"/>
      <c r="C518" s="97"/>
      <c r="D518" s="1376" t="str">
        <f>"This Project's Climate Zone: "&amp;AY315</f>
        <v xml:space="preserve">This Project's Climate Zone: </v>
      </c>
      <c r="G518" s="1352" t="s">
        <v>246</v>
      </c>
    </row>
    <row r="519" spans="1:9" x14ac:dyDescent="0.2">
      <c r="A519" s="130"/>
      <c r="B519" s="129"/>
      <c r="C519" s="93" t="s">
        <v>121</v>
      </c>
      <c r="D519" s="97" t="s">
        <v>525</v>
      </c>
      <c r="G519" s="1352" t="s">
        <v>246</v>
      </c>
    </row>
    <row r="520" spans="1:9" x14ac:dyDescent="0.2">
      <c r="A520" s="130"/>
      <c r="B520" s="129"/>
      <c r="C520" s="93" t="s">
        <v>122</v>
      </c>
      <c r="D520" s="97" t="s">
        <v>526</v>
      </c>
      <c r="G520" s="1352" t="s">
        <v>246</v>
      </c>
    </row>
    <row r="521" spans="1:9" x14ac:dyDescent="0.2">
      <c r="A521" s="130"/>
      <c r="B521" s="129"/>
      <c r="C521" s="111" t="s">
        <v>123</v>
      </c>
      <c r="D521" s="97" t="s">
        <v>527</v>
      </c>
      <c r="G521" s="1352" t="s">
        <v>246</v>
      </c>
    </row>
    <row r="522" spans="1:9" x14ac:dyDescent="0.2">
      <c r="A522" s="130"/>
      <c r="B522" s="129"/>
      <c r="C522" s="187" t="s">
        <v>366</v>
      </c>
      <c r="D522" s="97" t="s">
        <v>528</v>
      </c>
      <c r="G522" s="1352" t="s">
        <v>246</v>
      </c>
    </row>
    <row r="523" spans="1:9" x14ac:dyDescent="0.2">
      <c r="A523" s="130"/>
      <c r="B523" s="129"/>
      <c r="C523" s="187"/>
      <c r="D523" s="1702" t="s">
        <v>2600</v>
      </c>
      <c r="G523" s="1352" t="s">
        <v>246</v>
      </c>
    </row>
    <row r="524" spans="1:9" ht="16" thickBot="1" x14ac:dyDescent="0.25">
      <c r="A524" s="130"/>
      <c r="B524" s="129"/>
      <c r="C524" s="187"/>
      <c r="D524" s="1689"/>
      <c r="G524" s="1352" t="s">
        <v>246</v>
      </c>
    </row>
    <row r="525" spans="1:9" ht="16" thickTop="1" x14ac:dyDescent="0.2">
      <c r="A525" s="177" t="s">
        <v>3551</v>
      </c>
      <c r="B525" s="178"/>
      <c r="C525" s="179"/>
      <c r="D525" s="1683" t="s">
        <v>3617</v>
      </c>
      <c r="F525" s="1341" t="str">
        <f>IF(LEN('Verification Report'!W525)=0,"",'Verification Report'!W525)</f>
        <v>N/A</v>
      </c>
      <c r="G525" s="1352" t="s">
        <v>246</v>
      </c>
    </row>
    <row r="526" spans="1:9" x14ac:dyDescent="0.2">
      <c r="A526" s="130"/>
      <c r="B526" s="129"/>
      <c r="C526" s="97"/>
      <c r="D526" s="1629"/>
      <c r="G526" s="1352" t="s">
        <v>246</v>
      </c>
    </row>
    <row r="527" spans="1:9" x14ac:dyDescent="0.2">
      <c r="A527" s="130"/>
      <c r="B527" s="129"/>
      <c r="C527" s="97"/>
      <c r="D527" s="1705" t="s">
        <v>3823</v>
      </c>
      <c r="G527" s="1352" t="s">
        <v>246</v>
      </c>
    </row>
    <row r="528" spans="1:9" ht="16" thickBot="1" x14ac:dyDescent="0.25">
      <c r="A528" s="130"/>
      <c r="B528" s="129"/>
      <c r="C528" s="97"/>
      <c r="D528" s="1706"/>
      <c r="G528" s="1352" t="s">
        <v>246</v>
      </c>
    </row>
    <row r="529" spans="1:9" ht="16" thickTop="1" x14ac:dyDescent="0.2">
      <c r="A529" s="177" t="s">
        <v>3552</v>
      </c>
      <c r="B529" s="178"/>
      <c r="C529" s="179"/>
      <c r="D529" s="1683" t="s">
        <v>3616</v>
      </c>
      <c r="E529" s="1352">
        <f ca="1">'Verification Report'!O529</f>
        <v>4</v>
      </c>
      <c r="F529" s="1341" t="b">
        <f>IF(LEN('Verification Report'!W529)=0,"",'Verification Report'!W529)</f>
        <v>1</v>
      </c>
      <c r="G529" s="1397" t="str">
        <f ca="1">IF(E529&gt;0,"P","NP")</f>
        <v>P</v>
      </c>
      <c r="H529" s="1401" t="s">
        <v>5274</v>
      </c>
      <c r="I529" s="1600"/>
    </row>
    <row r="530" spans="1:9" x14ac:dyDescent="0.2">
      <c r="A530" s="130"/>
      <c r="B530" s="129"/>
      <c r="C530" s="97"/>
      <c r="D530" s="1629"/>
      <c r="G530" s="1" t="str">
        <f ca="1">G529</f>
        <v>P</v>
      </c>
      <c r="I530" s="1600"/>
    </row>
    <row r="531" spans="1:9" ht="16" thickBot="1" x14ac:dyDescent="0.25">
      <c r="A531" s="130"/>
      <c r="B531" s="129"/>
      <c r="C531" s="97"/>
      <c r="D531" s="280" t="s">
        <v>2585</v>
      </c>
      <c r="G531" s="1352" t="s">
        <v>246</v>
      </c>
    </row>
    <row r="532" spans="1:9" ht="16" thickTop="1" x14ac:dyDescent="0.2">
      <c r="A532" s="177" t="s">
        <v>3553</v>
      </c>
      <c r="B532" s="178"/>
      <c r="C532" s="179"/>
      <c r="D532" s="1683" t="s">
        <v>3615</v>
      </c>
      <c r="F532" s="1341" t="str">
        <f>IF(LEN('Verification Report'!W532)=0,"",'Verification Report'!W532)</f>
        <v>N/A</v>
      </c>
      <c r="G532" s="1352" t="s">
        <v>246</v>
      </c>
    </row>
    <row r="533" spans="1:9" x14ac:dyDescent="0.2">
      <c r="A533" s="130"/>
      <c r="B533" s="129"/>
      <c r="C533" s="97"/>
      <c r="D533" s="1629"/>
      <c r="G533" s="1352" t="s">
        <v>246</v>
      </c>
    </row>
    <row r="534" spans="1:9" x14ac:dyDescent="0.2">
      <c r="A534" s="130"/>
      <c r="B534" s="129"/>
      <c r="C534" s="97"/>
      <c r="D534" s="1629"/>
      <c r="G534" s="1352" t="s">
        <v>246</v>
      </c>
    </row>
    <row r="535" spans="1:9" ht="16" thickBot="1" x14ac:dyDescent="0.25">
      <c r="A535" s="130"/>
      <c r="B535" s="129"/>
      <c r="C535" s="97"/>
      <c r="D535" s="1629"/>
      <c r="G535" s="1352" t="s">
        <v>246</v>
      </c>
    </row>
    <row r="536" spans="1:9" ht="16" thickTop="1" x14ac:dyDescent="0.2">
      <c r="A536" s="177" t="s">
        <v>3554</v>
      </c>
      <c r="B536" s="178"/>
      <c r="C536" s="179"/>
      <c r="D536" s="1683" t="s">
        <v>3614</v>
      </c>
      <c r="G536" s="1399" t="str">
        <f>IF(OR(LEN(F538)&gt;0,LEN(F540)&gt;0,LEN(F541)&gt;0),"P","NP")</f>
        <v>P</v>
      </c>
      <c r="H536" s="1401" t="s">
        <v>5275</v>
      </c>
      <c r="I536" s="1600"/>
    </row>
    <row r="537" spans="1:9" x14ac:dyDescent="0.2">
      <c r="A537" s="130"/>
      <c r="B537" s="129"/>
      <c r="C537" s="97"/>
      <c r="D537" s="1629"/>
      <c r="G537" s="1" t="str">
        <f>G536</f>
        <v>P</v>
      </c>
      <c r="I537" s="1600"/>
    </row>
    <row r="538" spans="1:9" x14ac:dyDescent="0.2">
      <c r="A538" s="67"/>
      <c r="B538" s="180" t="s">
        <v>254</v>
      </c>
      <c r="C538" s="97"/>
      <c r="D538" s="1609" t="s">
        <v>533</v>
      </c>
      <c r="E538" s="1352">
        <f>'Verification Report'!O538</f>
        <v>1</v>
      </c>
      <c r="F538" s="1341" t="str">
        <f>IF(LEN('Verification Report'!W538)=0,"",'Verification Report'!W538)</f>
        <v>Met</v>
      </c>
      <c r="G538" s="1352" t="s">
        <v>246</v>
      </c>
    </row>
    <row r="539" spans="1:9" x14ac:dyDescent="0.2">
      <c r="A539" s="67"/>
      <c r="B539" s="213"/>
      <c r="C539" s="170"/>
      <c r="D539" s="1612"/>
      <c r="G539" s="1352" t="s">
        <v>246</v>
      </c>
    </row>
    <row r="540" spans="1:9" x14ac:dyDescent="0.2">
      <c r="A540" s="67"/>
      <c r="B540" s="209" t="s">
        <v>255</v>
      </c>
      <c r="C540" s="210"/>
      <c r="D540" s="210" t="s">
        <v>534</v>
      </c>
      <c r="E540" s="1352">
        <f>'Verification Report'!O540</f>
        <v>2</v>
      </c>
      <c r="F540" s="1341" t="b">
        <f>IF(LEN('Verification Report'!W540)=0,"",'Verification Report'!W540)</f>
        <v>1</v>
      </c>
      <c r="G540" s="1352" t="s">
        <v>246</v>
      </c>
    </row>
    <row r="541" spans="1:9" ht="16" thickBot="1" x14ac:dyDescent="0.25">
      <c r="A541" s="67"/>
      <c r="B541" s="29" t="s">
        <v>256</v>
      </c>
      <c r="C541" s="85"/>
      <c r="D541" s="85" t="s">
        <v>535</v>
      </c>
      <c r="E541" s="1352">
        <f>'Verification Report'!O541</f>
        <v>2</v>
      </c>
      <c r="F541" s="1341" t="b">
        <f>IF(LEN('Verification Report'!W541)=0,"",'Verification Report'!W541)</f>
        <v>1</v>
      </c>
      <c r="G541" s="1352" t="s">
        <v>246</v>
      </c>
    </row>
    <row r="542" spans="1:9" ht="16" thickTop="1" x14ac:dyDescent="0.2">
      <c r="A542" s="177" t="s">
        <v>3982</v>
      </c>
      <c r="B542" s="178"/>
      <c r="C542" s="179"/>
      <c r="D542" s="1683" t="s">
        <v>3983</v>
      </c>
      <c r="E542" s="1352">
        <f>'Verification Report'!O542</f>
        <v>0</v>
      </c>
      <c r="F542" s="1341" t="str">
        <f>IF(LEN('Verification Report'!W542)=0,"",'Verification Report'!W542)</f>
        <v/>
      </c>
      <c r="G542" s="1352" t="s">
        <v>246</v>
      </c>
    </row>
    <row r="543" spans="1:9" x14ac:dyDescent="0.2">
      <c r="A543" s="130"/>
      <c r="B543" s="129"/>
      <c r="C543" s="97"/>
      <c r="D543" s="1629"/>
      <c r="G543" s="1352" t="s">
        <v>246</v>
      </c>
    </row>
    <row r="544" spans="1:9" ht="16" thickBot="1" x14ac:dyDescent="0.25">
      <c r="A544" s="130"/>
      <c r="B544" s="129"/>
      <c r="C544" s="97"/>
      <c r="D544" s="1372" t="s">
        <v>3984</v>
      </c>
      <c r="G544" s="1352" t="s">
        <v>246</v>
      </c>
    </row>
    <row r="545" spans="1:9" ht="16" thickTop="1" x14ac:dyDescent="0.2">
      <c r="A545" s="177" t="s">
        <v>3555</v>
      </c>
      <c r="B545" s="178"/>
      <c r="C545" s="179"/>
      <c r="D545" s="1683" t="s">
        <v>3613</v>
      </c>
      <c r="E545" s="1352">
        <f>'Verification Report'!O545</f>
        <v>0</v>
      </c>
      <c r="G545" s="1397" t="str">
        <f>IF(E545&gt;0,"P","NP")</f>
        <v>NP</v>
      </c>
    </row>
    <row r="546" spans="1:9" x14ac:dyDescent="0.2">
      <c r="A546" s="130"/>
      <c r="B546" s="129"/>
      <c r="C546" s="97"/>
      <c r="D546" s="1629"/>
      <c r="G546" s="1" t="str">
        <f>G545</f>
        <v>NP</v>
      </c>
    </row>
    <row r="547" spans="1:9" x14ac:dyDescent="0.2">
      <c r="A547" s="130"/>
      <c r="B547" s="129"/>
      <c r="C547" s="97"/>
      <c r="D547" s="1629"/>
      <c r="G547" s="1" t="str">
        <f>G546</f>
        <v>NP</v>
      </c>
    </row>
    <row r="548" spans="1:9" x14ac:dyDescent="0.2">
      <c r="A548" s="130"/>
      <c r="B548" s="129"/>
      <c r="C548" s="97"/>
      <c r="D548" s="1629"/>
      <c r="G548" s="1" t="str">
        <f>G547</f>
        <v>NP</v>
      </c>
    </row>
    <row r="549" spans="1:9" x14ac:dyDescent="0.2">
      <c r="A549" s="67"/>
      <c r="B549" s="180" t="s">
        <v>254</v>
      </c>
      <c r="C549" s="97"/>
      <c r="D549" s="1657" t="s">
        <v>536</v>
      </c>
      <c r="F549" s="1341" t="str">
        <f>IF(LEN('Verification Report'!W549)=0,"",'Verification Report'!W549)</f>
        <v/>
      </c>
      <c r="G549" s="1352" t="s">
        <v>246</v>
      </c>
    </row>
    <row r="550" spans="1:9" x14ac:dyDescent="0.2">
      <c r="A550" s="67"/>
      <c r="B550" s="207"/>
      <c r="C550" s="170"/>
      <c r="D550" s="1650"/>
      <c r="G550" s="1352" t="s">
        <v>246</v>
      </c>
    </row>
    <row r="551" spans="1:9" x14ac:dyDescent="0.2">
      <c r="A551" s="67"/>
      <c r="B551" s="209" t="s">
        <v>255</v>
      </c>
      <c r="C551" s="210"/>
      <c r="D551" s="210" t="s">
        <v>537</v>
      </c>
      <c r="F551" s="1341" t="str">
        <f>IF(LEN('Verification Report'!W551)=0,"",'Verification Report'!W551)</f>
        <v/>
      </c>
      <c r="G551" s="1398" t="str">
        <f>IF(AND(LEN(F551)&gt;0,NOT(F551=FALSE)),"P","NP")</f>
        <v>NP</v>
      </c>
      <c r="H551" s="1401" t="s">
        <v>5276</v>
      </c>
      <c r="I551" s="1403"/>
    </row>
    <row r="552" spans="1:9" x14ac:dyDescent="0.2">
      <c r="A552" s="67"/>
      <c r="B552" s="29" t="s">
        <v>256</v>
      </c>
      <c r="C552" s="85"/>
      <c r="D552" s="1611" t="s">
        <v>538</v>
      </c>
      <c r="F552" s="1341" t="str">
        <f>IF(LEN('Verification Report'!W552)=0,"",'Verification Report'!W552)</f>
        <v/>
      </c>
      <c r="G552" s="1352" t="s">
        <v>246</v>
      </c>
    </row>
    <row r="553" spans="1:9" x14ac:dyDescent="0.2">
      <c r="A553" s="67"/>
      <c r="B553" s="4"/>
      <c r="C553" s="85"/>
      <c r="D553" s="1611"/>
      <c r="G553" s="1352" t="s">
        <v>246</v>
      </c>
    </row>
    <row r="554" spans="1:9" ht="16" thickBot="1" x14ac:dyDescent="0.25">
      <c r="A554" s="67"/>
      <c r="B554" s="4"/>
      <c r="C554" s="85"/>
      <c r="D554" s="1611"/>
      <c r="G554" s="1352" t="s">
        <v>246</v>
      </c>
    </row>
    <row r="555" spans="1:9" ht="16" thickTop="1" x14ac:dyDescent="0.2">
      <c r="A555" s="177" t="s">
        <v>3556</v>
      </c>
      <c r="B555" s="178"/>
      <c r="C555" s="179"/>
      <c r="D555" s="1683" t="s">
        <v>3612</v>
      </c>
      <c r="E555" s="1352">
        <f>'Verification Report'!O555</f>
        <v>0</v>
      </c>
      <c r="F555" s="1341" t="str">
        <f>IF(LEN('Verification Report'!W555)=0,"",'Verification Report'!W555)</f>
        <v/>
      </c>
      <c r="G555" s="1397" t="str">
        <f>IF(E555&gt;0,"P","NP")</f>
        <v>NP</v>
      </c>
      <c r="H555" s="1401" t="s">
        <v>5277</v>
      </c>
      <c r="I555" s="1600"/>
    </row>
    <row r="556" spans="1:9" x14ac:dyDescent="0.2">
      <c r="A556" s="130"/>
      <c r="B556" s="129"/>
      <c r="C556" s="97"/>
      <c r="D556" s="1629"/>
      <c r="G556" s="1" t="str">
        <f>G555</f>
        <v>NP</v>
      </c>
      <c r="I556" s="1600"/>
    </row>
    <row r="557" spans="1:9" ht="16" thickBot="1" x14ac:dyDescent="0.25">
      <c r="A557" s="130"/>
      <c r="B557" s="129"/>
      <c r="C557" s="97"/>
      <c r="D557" s="1629"/>
      <c r="G557" s="1" t="str">
        <f>G556</f>
        <v>NP</v>
      </c>
      <c r="I557" s="1600"/>
    </row>
    <row r="558" spans="1:9" ht="16" thickTop="1" x14ac:dyDescent="0.2">
      <c r="A558" s="177" t="s">
        <v>3557</v>
      </c>
      <c r="B558" s="178"/>
      <c r="C558" s="179"/>
      <c r="D558" s="125" t="s">
        <v>3611</v>
      </c>
      <c r="G558" s="1352" t="s">
        <v>246</v>
      </c>
    </row>
    <row r="559" spans="1:9" x14ac:dyDescent="0.2">
      <c r="A559" s="130" t="s">
        <v>3558</v>
      </c>
      <c r="B559" s="129"/>
      <c r="C559" s="97"/>
      <c r="D559" s="1629" t="s">
        <v>3610</v>
      </c>
      <c r="F559" s="1341" t="str">
        <f>IF(LEN('Verification Report'!W559)=0,"",'Verification Report'!W559)</f>
        <v>Met</v>
      </c>
      <c r="G559" s="1398" t="str">
        <f>IF(AND(LEN(F559)&gt;0,NOT(F559=FALSE)),"P","NP")</f>
        <v>P</v>
      </c>
      <c r="H559" s="1401" t="s">
        <v>5278</v>
      </c>
      <c r="I559" s="1600"/>
    </row>
    <row r="560" spans="1:9" x14ac:dyDescent="0.2">
      <c r="A560" s="130"/>
      <c r="B560" s="129"/>
      <c r="C560" s="97"/>
      <c r="D560" s="1629"/>
      <c r="G560" s="1" t="str">
        <f>G559</f>
        <v>P</v>
      </c>
      <c r="I560" s="1600"/>
    </row>
    <row r="561" spans="1:9" x14ac:dyDescent="0.2">
      <c r="A561" s="130"/>
      <c r="B561" s="129"/>
      <c r="C561" s="97"/>
      <c r="D561" s="1629"/>
      <c r="G561" s="1" t="str">
        <f>G560</f>
        <v>P</v>
      </c>
      <c r="I561" s="1600"/>
    </row>
    <row r="562" spans="1:9" x14ac:dyDescent="0.2">
      <c r="A562" s="130"/>
      <c r="B562" s="129"/>
      <c r="C562" s="97"/>
      <c r="D562" s="1629"/>
      <c r="G562" s="1" t="str">
        <f>G561</f>
        <v>P</v>
      </c>
      <c r="I562" s="1600"/>
    </row>
    <row r="563" spans="1:9" x14ac:dyDescent="0.2">
      <c r="A563" s="219"/>
      <c r="B563" s="213"/>
      <c r="C563" s="170"/>
      <c r="D563" s="1696"/>
      <c r="G563" s="1" t="str">
        <f>G562</f>
        <v>P</v>
      </c>
      <c r="I563" s="1600"/>
    </row>
    <row r="564" spans="1:9" x14ac:dyDescent="0.2">
      <c r="A564" s="130" t="s">
        <v>3559</v>
      </c>
      <c r="B564" s="129"/>
      <c r="C564" s="97"/>
      <c r="D564" s="1629" t="s">
        <v>3609</v>
      </c>
      <c r="E564" s="1352">
        <f>'Verification Report'!O564</f>
        <v>0</v>
      </c>
      <c r="F564" s="1341" t="str">
        <f>IF(LEN('Verification Report'!W564)=0,"",'Verification Report'!W564)</f>
        <v/>
      </c>
      <c r="G564" s="1397" t="str">
        <f>IF(E564&gt;0,"P","NP")</f>
        <v>NP</v>
      </c>
      <c r="H564" s="1401" t="s">
        <v>5278</v>
      </c>
      <c r="I564" s="1600"/>
    </row>
    <row r="565" spans="1:9" x14ac:dyDescent="0.2">
      <c r="A565" s="219"/>
      <c r="B565" s="213"/>
      <c r="C565" s="170"/>
      <c r="D565" s="1696"/>
      <c r="G565" s="1" t="str">
        <f>G564</f>
        <v>NP</v>
      </c>
      <c r="I565" s="1600"/>
    </row>
    <row r="566" spans="1:9" x14ac:dyDescent="0.2">
      <c r="A566" s="67" t="s">
        <v>3560</v>
      </c>
      <c r="B566" s="4"/>
      <c r="C566" s="85"/>
      <c r="D566" s="1699" t="s">
        <v>3608</v>
      </c>
      <c r="E566" s="1352">
        <f>'Verification Report'!O566</f>
        <v>0</v>
      </c>
      <c r="F566" s="1341" t="str">
        <f>IF(LEN('Verification Report'!W566)=0,"",'Verification Report'!W566)</f>
        <v/>
      </c>
      <c r="G566" s="1397" t="str">
        <f>IF(E566&gt;0,"P","NP")</f>
        <v>NP</v>
      </c>
      <c r="H566" s="1401" t="s">
        <v>5279</v>
      </c>
      <c r="I566" s="1600"/>
    </row>
    <row r="567" spans="1:9" x14ac:dyDescent="0.2">
      <c r="A567" s="1352"/>
      <c r="B567" s="1352"/>
      <c r="C567" s="1352"/>
      <c r="D567" s="1700"/>
      <c r="G567" s="1" t="str">
        <f>G566</f>
        <v>NP</v>
      </c>
      <c r="I567" s="1600"/>
    </row>
    <row r="568" spans="1:9" ht="19" x14ac:dyDescent="0.25">
      <c r="A568" s="72" t="s">
        <v>3561</v>
      </c>
      <c r="B568" s="25"/>
      <c r="C568" s="84"/>
      <c r="D568" s="81"/>
      <c r="E568" s="25"/>
      <c r="F568" s="994"/>
      <c r="G568" s="1352" t="s">
        <v>246</v>
      </c>
    </row>
    <row r="569" spans="1:9" x14ac:dyDescent="0.2">
      <c r="A569" s="589" t="s">
        <v>3562</v>
      </c>
      <c r="B569" s="4"/>
      <c r="C569" s="85"/>
      <c r="D569" s="1631" t="s">
        <v>3607</v>
      </c>
      <c r="G569" s="1352" t="s">
        <v>246</v>
      </c>
    </row>
    <row r="570" spans="1:9" ht="16" thickBot="1" x14ac:dyDescent="0.25">
      <c r="A570" s="67"/>
      <c r="B570" s="4"/>
      <c r="C570" s="85"/>
      <c r="D570" s="1631"/>
      <c r="G570" s="1352" t="s">
        <v>246</v>
      </c>
    </row>
    <row r="571" spans="1:9" ht="16" thickTop="1" x14ac:dyDescent="0.2">
      <c r="A571" s="177" t="s">
        <v>3563</v>
      </c>
      <c r="B571" s="178"/>
      <c r="C571" s="179"/>
      <c r="D571" s="1683" t="s">
        <v>3606</v>
      </c>
      <c r="E571" s="1352">
        <f>'Verification Report'!O571</f>
        <v>12</v>
      </c>
      <c r="F571" s="1341">
        <f>IF(LEN('Verification Report'!W571)=0,"",'Verification Report'!W571)</f>
        <v>10000</v>
      </c>
      <c r="G571" s="1352" t="s">
        <v>246</v>
      </c>
    </row>
    <row r="572" spans="1:9" x14ac:dyDescent="0.2">
      <c r="A572" s="130"/>
      <c r="B572" s="129"/>
      <c r="C572" s="97"/>
      <c r="D572" s="1629"/>
      <c r="G572" s="1352" t="s">
        <v>246</v>
      </c>
    </row>
    <row r="573" spans="1:9" ht="16" x14ac:dyDescent="0.2">
      <c r="A573" s="130"/>
      <c r="B573" s="129"/>
      <c r="C573" s="97"/>
      <c r="D573" s="185" t="s">
        <v>542</v>
      </c>
      <c r="G573" s="1352" t="s">
        <v>246</v>
      </c>
    </row>
    <row r="574" spans="1:9" x14ac:dyDescent="0.2">
      <c r="A574" s="130"/>
      <c r="B574" s="129"/>
      <c r="C574" s="97"/>
      <c r="D574" s="1810" t="s">
        <v>3812</v>
      </c>
      <c r="G574" s="1352" t="s">
        <v>246</v>
      </c>
    </row>
    <row r="575" spans="1:9" x14ac:dyDescent="0.2">
      <c r="A575" s="130"/>
      <c r="B575" s="129"/>
      <c r="C575" s="97"/>
      <c r="D575" s="1813"/>
      <c r="G575" s="1352" t="s">
        <v>246</v>
      </c>
    </row>
    <row r="576" spans="1:9" ht="16" thickBot="1" x14ac:dyDescent="0.25">
      <c r="A576" s="130"/>
      <c r="B576" s="129"/>
      <c r="C576" s="97"/>
      <c r="D576" s="1813"/>
      <c r="G576" s="1352" t="s">
        <v>246</v>
      </c>
    </row>
    <row r="577" spans="1:7" ht="16" thickTop="1" x14ac:dyDescent="0.2">
      <c r="A577" s="177" t="s">
        <v>3564</v>
      </c>
      <c r="B577" s="178"/>
      <c r="C577" s="179"/>
      <c r="D577" s="1683" t="s">
        <v>3605</v>
      </c>
      <c r="E577" s="1352">
        <f>'Verification Report'!O577</f>
        <v>0</v>
      </c>
      <c r="F577" s="1341" t="str">
        <f>IF(LEN('Verification Report'!W577)=0,"",'Verification Report'!W577)</f>
        <v/>
      </c>
      <c r="G577" s="1352" t="s">
        <v>246</v>
      </c>
    </row>
    <row r="578" spans="1:7" x14ac:dyDescent="0.2">
      <c r="A578" s="130"/>
      <c r="B578" s="129"/>
      <c r="C578" s="97"/>
      <c r="D578" s="1629"/>
      <c r="G578" s="1352" t="s">
        <v>246</v>
      </c>
    </row>
    <row r="579" spans="1:7" x14ac:dyDescent="0.2">
      <c r="A579" s="130"/>
      <c r="B579" s="129"/>
      <c r="C579" s="97"/>
      <c r="D579" s="1629"/>
      <c r="G579" s="1352" t="s">
        <v>246</v>
      </c>
    </row>
    <row r="580" spans="1:7" x14ac:dyDescent="0.2">
      <c r="A580" s="130"/>
      <c r="B580" s="129"/>
      <c r="C580" s="97"/>
      <c r="D580" s="1393" t="s">
        <v>2605</v>
      </c>
      <c r="G580" s="1352" t="s">
        <v>246</v>
      </c>
    </row>
    <row r="581" spans="1:7" x14ac:dyDescent="0.2">
      <c r="A581" s="130"/>
      <c r="B581" s="129"/>
      <c r="C581" s="97"/>
      <c r="D581" s="1810" t="s">
        <v>3812</v>
      </c>
      <c r="G581" s="1352" t="s">
        <v>246</v>
      </c>
    </row>
    <row r="582" spans="1:7" x14ac:dyDescent="0.2">
      <c r="A582" s="130"/>
      <c r="B582" s="129"/>
      <c r="C582" s="97"/>
      <c r="D582" s="1813"/>
      <c r="G582" s="1352" t="s">
        <v>246</v>
      </c>
    </row>
    <row r="583" spans="1:7" ht="16" thickBot="1" x14ac:dyDescent="0.25">
      <c r="A583" s="130"/>
      <c r="B583" s="129"/>
      <c r="C583" s="97"/>
      <c r="D583" s="1813"/>
      <c r="G583" s="1352" t="s">
        <v>246</v>
      </c>
    </row>
    <row r="584" spans="1:7" ht="16" thickTop="1" x14ac:dyDescent="0.2">
      <c r="A584" s="177" t="s">
        <v>3565</v>
      </c>
      <c r="B584" s="178"/>
      <c r="C584" s="179"/>
      <c r="D584" s="1683" t="s">
        <v>3604</v>
      </c>
      <c r="E584" s="1352">
        <f>'Verification Report'!O584</f>
        <v>0</v>
      </c>
      <c r="F584" s="1341" t="str">
        <f>IF(LEN('Verification Report'!W584)=0,"",'Verification Report'!W584)</f>
        <v/>
      </c>
      <c r="G584" s="1352" t="s">
        <v>246</v>
      </c>
    </row>
    <row r="585" spans="1:7" x14ac:dyDescent="0.2">
      <c r="A585" s="130"/>
      <c r="B585" s="129"/>
      <c r="C585" s="97"/>
      <c r="D585" s="1629"/>
      <c r="G585" s="1352" t="s">
        <v>246</v>
      </c>
    </row>
    <row r="586" spans="1:7" x14ac:dyDescent="0.2">
      <c r="A586" s="130"/>
      <c r="B586" s="129"/>
      <c r="C586" s="97"/>
      <c r="D586" s="1376" t="s">
        <v>2602</v>
      </c>
      <c r="G586" s="1352" t="s">
        <v>246</v>
      </c>
    </row>
    <row r="587" spans="1:7" ht="19" x14ac:dyDescent="0.25">
      <c r="A587" s="14" t="s">
        <v>3566</v>
      </c>
      <c r="B587" s="25"/>
      <c r="C587" s="84"/>
      <c r="D587" s="81"/>
      <c r="E587" s="25"/>
      <c r="F587" s="994"/>
      <c r="G587" s="1352" t="s">
        <v>246</v>
      </c>
    </row>
    <row r="588" spans="1:7" x14ac:dyDescent="0.2">
      <c r="A588" s="67" t="s">
        <v>3567</v>
      </c>
      <c r="B588" s="4"/>
      <c r="C588" s="85"/>
      <c r="D588" s="1631" t="s">
        <v>3603</v>
      </c>
      <c r="E588" s="1352">
        <f>'Verification Report'!O588</f>
        <v>0</v>
      </c>
      <c r="G588" s="1352" t="s">
        <v>246</v>
      </c>
    </row>
    <row r="589" spans="1:7" x14ac:dyDescent="0.2">
      <c r="A589" s="67"/>
      <c r="B589" s="4"/>
      <c r="C589" s="85"/>
      <c r="D589" s="1631"/>
      <c r="F589" s="1341" t="str">
        <f>IF(LEN('Verification Report'!W589)=0,"",'Verification Report'!W589)</f>
        <v/>
      </c>
      <c r="G589" s="1352" t="s">
        <v>246</v>
      </c>
    </row>
    <row r="590" spans="1:7" x14ac:dyDescent="0.2">
      <c r="A590" s="67"/>
      <c r="B590" s="4"/>
      <c r="C590" s="85"/>
      <c r="D590" s="1367" t="s">
        <v>2614</v>
      </c>
      <c r="G590" s="1352" t="s">
        <v>246</v>
      </c>
    </row>
    <row r="591" spans="1:7" x14ac:dyDescent="0.2">
      <c r="A591" s="67"/>
      <c r="B591" s="4"/>
      <c r="C591" s="85"/>
      <c r="D591" s="281" t="s">
        <v>2612</v>
      </c>
      <c r="F591" s="1341" t="str">
        <f>IF(LEN('Verification Report'!W591)=0,"",'Verification Report'!W591)</f>
        <v/>
      </c>
      <c r="G591" s="1352" t="s">
        <v>246</v>
      </c>
    </row>
    <row r="592" spans="1:7" x14ac:dyDescent="0.2">
      <c r="A592" s="67"/>
      <c r="B592" s="4"/>
      <c r="C592" s="85"/>
      <c r="D592" s="1673" t="s">
        <v>2613</v>
      </c>
      <c r="G592" s="1352" t="s">
        <v>246</v>
      </c>
    </row>
    <row r="593" spans="1:7" x14ac:dyDescent="0.2">
      <c r="A593" s="67"/>
      <c r="B593" s="4"/>
      <c r="C593" s="85"/>
      <c r="D593" s="1673"/>
      <c r="F593" s="1341" t="str">
        <f>IF(LEN('Verification Report'!W593)=0,"",'Verification Report'!W593)</f>
        <v/>
      </c>
      <c r="G593" s="1352" t="s">
        <v>246</v>
      </c>
    </row>
    <row r="594" spans="1:7" x14ac:dyDescent="0.2">
      <c r="A594" s="67"/>
      <c r="B594" s="4"/>
      <c r="C594" s="85"/>
      <c r="D594" s="1352"/>
      <c r="G594" s="1352" t="s">
        <v>246</v>
      </c>
    </row>
    <row r="595" spans="1:7" x14ac:dyDescent="0.2">
      <c r="A595" s="67"/>
      <c r="B595" s="4"/>
      <c r="C595" s="85"/>
      <c r="D595" s="1352"/>
      <c r="F595" s="1341" t="str">
        <f>IF(LEN('Verification Report'!W595)=0,"",'Verification Report'!W595)</f>
        <v/>
      </c>
      <c r="G595" s="1352" t="s">
        <v>246</v>
      </c>
    </row>
    <row r="596" spans="1:7" ht="19" x14ac:dyDescent="0.25">
      <c r="A596" s="14" t="s">
        <v>3568</v>
      </c>
      <c r="B596" s="25"/>
      <c r="C596" s="84"/>
      <c r="D596" s="72"/>
      <c r="E596" s="25"/>
      <c r="F596" s="994"/>
      <c r="G596" s="1352" t="s">
        <v>246</v>
      </c>
    </row>
    <row r="597" spans="1:7" ht="16" thickBot="1" x14ac:dyDescent="0.25">
      <c r="A597" s="80" t="s">
        <v>3569</v>
      </c>
      <c r="B597" s="4"/>
      <c r="C597" s="85"/>
      <c r="D597" s="1357" t="s">
        <v>3985</v>
      </c>
      <c r="G597" s="1352" t="s">
        <v>246</v>
      </c>
    </row>
    <row r="598" spans="1:7" ht="16" thickTop="1" x14ac:dyDescent="0.2">
      <c r="A598" s="777" t="s">
        <v>3570</v>
      </c>
      <c r="B598" s="178"/>
      <c r="C598" s="179"/>
      <c r="D598" s="1683" t="s">
        <v>3827</v>
      </c>
      <c r="F598" s="1341" t="b">
        <f>IF(LEN('Verification Report'!W598)=0,"",'Verification Report'!W598)</f>
        <v>1</v>
      </c>
      <c r="G598" s="1352" t="s">
        <v>246</v>
      </c>
    </row>
    <row r="599" spans="1:7" x14ac:dyDescent="0.2">
      <c r="A599" s="130"/>
      <c r="B599" s="129"/>
      <c r="C599" s="97"/>
      <c r="D599" s="1629"/>
      <c r="G599" s="1352" t="s">
        <v>246</v>
      </c>
    </row>
    <row r="600" spans="1:7" ht="16" thickBot="1" x14ac:dyDescent="0.25">
      <c r="A600" s="130"/>
      <c r="B600" s="129"/>
      <c r="C600" s="97"/>
      <c r="D600" s="1630"/>
      <c r="G600" s="1352" t="s">
        <v>246</v>
      </c>
    </row>
    <row r="601" spans="1:7" ht="16" thickTop="1" x14ac:dyDescent="0.2">
      <c r="A601" s="177" t="s">
        <v>3571</v>
      </c>
      <c r="B601" s="178"/>
      <c r="C601" s="179"/>
      <c r="D601" s="1683" t="s">
        <v>3987</v>
      </c>
      <c r="E601" s="1352">
        <f>'Verification Report'!O601</f>
        <v>0</v>
      </c>
      <c r="F601" s="1341" t="str">
        <f>IF(LEN('Verification Report'!W601)=0,"",'Verification Report'!W601)</f>
        <v/>
      </c>
      <c r="G601" s="1352" t="s">
        <v>246</v>
      </c>
    </row>
    <row r="602" spans="1:7" x14ac:dyDescent="0.2">
      <c r="A602" s="130"/>
      <c r="B602" s="129"/>
      <c r="C602" s="97"/>
      <c r="D602" s="1629"/>
      <c r="G602" s="1352" t="s">
        <v>246</v>
      </c>
    </row>
    <row r="603" spans="1:7" x14ac:dyDescent="0.2">
      <c r="A603" s="130"/>
      <c r="B603" s="129"/>
      <c r="C603" s="97"/>
      <c r="D603" s="1629"/>
      <c r="G603" s="1352" t="s">
        <v>246</v>
      </c>
    </row>
    <row r="604" spans="1:7" x14ac:dyDescent="0.2">
      <c r="A604" s="130"/>
      <c r="B604" s="129"/>
      <c r="C604" s="97"/>
      <c r="D604" s="1629"/>
      <c r="G604" s="1352" t="s">
        <v>246</v>
      </c>
    </row>
    <row r="605" spans="1:7" x14ac:dyDescent="0.2">
      <c r="A605" s="130"/>
      <c r="B605" s="129"/>
      <c r="C605" s="97"/>
      <c r="D605" s="1629"/>
      <c r="G605" s="1352" t="s">
        <v>246</v>
      </c>
    </row>
    <row r="606" spans="1:7" x14ac:dyDescent="0.2">
      <c r="A606" s="130"/>
      <c r="B606" s="129"/>
      <c r="C606" s="97"/>
      <c r="D606" s="1629"/>
      <c r="G606" s="1352" t="s">
        <v>246</v>
      </c>
    </row>
    <row r="607" spans="1:7" x14ac:dyDescent="0.2">
      <c r="A607" s="130"/>
      <c r="B607" s="129"/>
      <c r="C607" s="97"/>
      <c r="D607" s="1609" t="s">
        <v>3988</v>
      </c>
      <c r="G607" s="1352" t="s">
        <v>246</v>
      </c>
    </row>
    <row r="608" spans="1:7" x14ac:dyDescent="0.2">
      <c r="A608" s="130"/>
      <c r="B608" s="129"/>
      <c r="C608" s="97"/>
      <c r="D608" s="1609"/>
      <c r="G608" s="1352" t="s">
        <v>246</v>
      </c>
    </row>
    <row r="609" spans="1:7" x14ac:dyDescent="0.2">
      <c r="A609" s="130"/>
      <c r="B609" s="129"/>
      <c r="C609" s="97"/>
      <c r="D609" s="1609"/>
      <c r="G609" s="1352" t="s">
        <v>246</v>
      </c>
    </row>
    <row r="610" spans="1:7" x14ac:dyDescent="0.2">
      <c r="A610" s="130"/>
      <c r="B610" s="129"/>
      <c r="C610" s="97"/>
      <c r="D610" s="1609"/>
      <c r="G610" s="1352" t="s">
        <v>246</v>
      </c>
    </row>
    <row r="611" spans="1:7" x14ac:dyDescent="0.2">
      <c r="A611" s="130"/>
      <c r="B611" s="129"/>
      <c r="C611" s="97"/>
      <c r="D611" s="1384" t="s">
        <v>543</v>
      </c>
      <c r="G611" s="1352" t="s">
        <v>246</v>
      </c>
    </row>
    <row r="612" spans="1:7" x14ac:dyDescent="0.2">
      <c r="A612" s="130"/>
      <c r="B612" s="180" t="s">
        <v>254</v>
      </c>
      <c r="C612" s="97"/>
      <c r="D612" s="1609" t="s">
        <v>3989</v>
      </c>
      <c r="G612" s="1352" t="s">
        <v>246</v>
      </c>
    </row>
    <row r="613" spans="1:7" x14ac:dyDescent="0.2">
      <c r="A613" s="130"/>
      <c r="B613" s="129"/>
      <c r="C613" s="97"/>
      <c r="D613" s="1609"/>
      <c r="G613" s="1352" t="s">
        <v>246</v>
      </c>
    </row>
    <row r="614" spans="1:7" x14ac:dyDescent="0.2">
      <c r="A614" s="130"/>
      <c r="B614" s="180" t="s">
        <v>255</v>
      </c>
      <c r="C614" s="97"/>
      <c r="D614" s="1609" t="s">
        <v>544</v>
      </c>
      <c r="F614" s="1341" t="str">
        <f>IF(LEN('Verification Report'!W614)=0,"",'Verification Report'!W614)</f>
        <v/>
      </c>
      <c r="G614" s="1352" t="s">
        <v>246</v>
      </c>
    </row>
    <row r="615" spans="1:7" ht="16" thickBot="1" x14ac:dyDescent="0.25">
      <c r="A615" s="130"/>
      <c r="B615" s="129"/>
      <c r="C615" s="97"/>
      <c r="D615" s="1609"/>
      <c r="G615" s="1352" t="s">
        <v>246</v>
      </c>
    </row>
    <row r="616" spans="1:7" ht="16" thickTop="1" x14ac:dyDescent="0.2">
      <c r="A616" s="177" t="s">
        <v>3572</v>
      </c>
      <c r="B616" s="178"/>
      <c r="C616" s="179"/>
      <c r="D616" s="1683" t="s">
        <v>3826</v>
      </c>
      <c r="E616" s="1352">
        <f>'Verification Report'!O616</f>
        <v>0</v>
      </c>
      <c r="F616" s="1341" t="str">
        <f>IF(LEN('Verification Report'!W616)=0,"",'Verification Report'!W616)</f>
        <v/>
      </c>
      <c r="G616" s="1352" t="s">
        <v>246</v>
      </c>
    </row>
    <row r="617" spans="1:7" x14ac:dyDescent="0.2">
      <c r="A617" s="130"/>
      <c r="B617" s="129"/>
      <c r="C617" s="97"/>
      <c r="D617" s="1629"/>
      <c r="G617" s="1352" t="s">
        <v>246</v>
      </c>
    </row>
    <row r="618" spans="1:7" x14ac:dyDescent="0.2">
      <c r="A618" s="130"/>
      <c r="B618" s="129"/>
      <c r="C618" s="93" t="s">
        <v>121</v>
      </c>
      <c r="D618" s="1609" t="s">
        <v>545</v>
      </c>
      <c r="G618" s="1352" t="s">
        <v>246</v>
      </c>
    </row>
    <row r="619" spans="1:7" x14ac:dyDescent="0.2">
      <c r="A619" s="130"/>
      <c r="B619" s="129"/>
      <c r="C619" s="97"/>
      <c r="D619" s="1609"/>
      <c r="G619" s="1352" t="s">
        <v>246</v>
      </c>
    </row>
    <row r="620" spans="1:7" x14ac:dyDescent="0.2">
      <c r="A620" s="130"/>
      <c r="B620" s="129"/>
      <c r="C620" s="170"/>
      <c r="D620" s="1612"/>
      <c r="G620" s="1352" t="s">
        <v>246</v>
      </c>
    </row>
    <row r="621" spans="1:7" x14ac:dyDescent="0.2">
      <c r="A621" s="130"/>
      <c r="B621" s="129"/>
      <c r="C621" s="216" t="s">
        <v>122</v>
      </c>
      <c r="D621" s="210" t="s">
        <v>546</v>
      </c>
      <c r="G621" s="1352" t="s">
        <v>246</v>
      </c>
    </row>
    <row r="622" spans="1:7" x14ac:dyDescent="0.2">
      <c r="A622" s="130"/>
      <c r="B622" s="129"/>
      <c r="C622" s="111" t="s">
        <v>123</v>
      </c>
      <c r="D622" s="1609" t="s">
        <v>3829</v>
      </c>
      <c r="G622" s="1352" t="s">
        <v>246</v>
      </c>
    </row>
    <row r="623" spans="1:7" x14ac:dyDescent="0.2">
      <c r="A623" s="130"/>
      <c r="B623" s="129"/>
      <c r="C623" s="187"/>
      <c r="D623" s="1609"/>
      <c r="G623" s="1352" t="s">
        <v>246</v>
      </c>
    </row>
    <row r="624" spans="1:7" ht="16" thickBot="1" x14ac:dyDescent="0.25">
      <c r="A624" s="130"/>
      <c r="B624" s="129"/>
      <c r="C624" s="97"/>
      <c r="D624" s="1609"/>
      <c r="G624" s="1352" t="s">
        <v>246</v>
      </c>
    </row>
    <row r="625" spans="1:7" ht="16" thickTop="1" x14ac:dyDescent="0.2">
      <c r="A625" s="177" t="s">
        <v>3824</v>
      </c>
      <c r="B625" s="178"/>
      <c r="C625" s="179"/>
      <c r="D625" s="1683" t="s">
        <v>3825</v>
      </c>
      <c r="E625" s="1352">
        <f>'Verification Report'!O625</f>
        <v>0</v>
      </c>
      <c r="G625" s="1352" t="s">
        <v>246</v>
      </c>
    </row>
    <row r="626" spans="1:7" x14ac:dyDescent="0.2">
      <c r="A626" s="130"/>
      <c r="B626" s="129"/>
      <c r="C626" s="97"/>
      <c r="D626" s="1629"/>
      <c r="G626" s="1352" t="s">
        <v>246</v>
      </c>
    </row>
    <row r="627" spans="1:7" x14ac:dyDescent="0.2">
      <c r="A627" s="67"/>
      <c r="B627" s="207" t="s">
        <v>254</v>
      </c>
      <c r="C627" s="170"/>
      <c r="D627" s="170" t="s">
        <v>548</v>
      </c>
      <c r="G627" s="1352" t="s">
        <v>246</v>
      </c>
    </row>
    <row r="628" spans="1:7" x14ac:dyDescent="0.2">
      <c r="A628" s="67"/>
      <c r="B628" s="29" t="s">
        <v>255</v>
      </c>
      <c r="C628" s="85"/>
      <c r="D628" s="85" t="s">
        <v>549</v>
      </c>
      <c r="G628" s="1352" t="s">
        <v>246</v>
      </c>
    </row>
    <row r="629" spans="1:7" x14ac:dyDescent="0.2">
      <c r="A629" s="67"/>
      <c r="B629" s="4"/>
      <c r="C629" s="169" t="s">
        <v>121</v>
      </c>
      <c r="D629" s="170" t="s">
        <v>2615</v>
      </c>
      <c r="F629" s="1341" t="str">
        <f>IF(LEN('Verification Report'!W629)=0,"",'Verification Report'!W629)</f>
        <v/>
      </c>
      <c r="G629" s="1352" t="s">
        <v>246</v>
      </c>
    </row>
    <row r="630" spans="1:7" x14ac:dyDescent="0.2">
      <c r="A630" s="67"/>
      <c r="B630" s="4"/>
      <c r="C630" s="216" t="s">
        <v>122</v>
      </c>
      <c r="D630" s="210" t="s">
        <v>2616</v>
      </c>
      <c r="F630" s="1341" t="str">
        <f>IF(LEN('Verification Report'!W630)=0,"",'Verification Report'!W630)</f>
        <v/>
      </c>
      <c r="G630" s="1352" t="s">
        <v>246</v>
      </c>
    </row>
    <row r="631" spans="1:7" x14ac:dyDescent="0.2">
      <c r="A631" s="67"/>
      <c r="B631" s="4"/>
      <c r="C631" s="222" t="s">
        <v>123</v>
      </c>
      <c r="D631" s="210" t="s">
        <v>2617</v>
      </c>
      <c r="F631" s="1341" t="str">
        <f>IF(LEN('Verification Report'!W631)=0,"",'Verification Report'!W631)</f>
        <v/>
      </c>
      <c r="G631" s="1352" t="s">
        <v>246</v>
      </c>
    </row>
    <row r="632" spans="1:7" x14ac:dyDescent="0.2">
      <c r="A632" s="67"/>
      <c r="B632" s="4"/>
      <c r="C632" s="223" t="s">
        <v>366</v>
      </c>
      <c r="D632" s="210" t="s">
        <v>2618</v>
      </c>
      <c r="F632" s="1341" t="str">
        <f>IF(LEN('Verification Report'!W632)=0,"",'Verification Report'!W632)</f>
        <v/>
      </c>
      <c r="G632" s="1352" t="s">
        <v>246</v>
      </c>
    </row>
    <row r="633" spans="1:7" x14ac:dyDescent="0.2">
      <c r="A633" s="67"/>
      <c r="B633" s="4"/>
      <c r="C633" s="216" t="s">
        <v>472</v>
      </c>
      <c r="D633" s="210" t="s">
        <v>2619</v>
      </c>
      <c r="F633" s="1341" t="str">
        <f>IF(LEN('Verification Report'!W633)=0,"",'Verification Report'!W633)</f>
        <v/>
      </c>
      <c r="G633" s="1352" t="s">
        <v>246</v>
      </c>
    </row>
    <row r="634" spans="1:7" x14ac:dyDescent="0.2">
      <c r="A634" s="67"/>
      <c r="B634" s="4"/>
      <c r="C634" s="216" t="s">
        <v>510</v>
      </c>
      <c r="D634" s="210" t="s">
        <v>2620</v>
      </c>
      <c r="F634" s="1341" t="str">
        <f>IF(LEN('Verification Report'!W634)=0,"",'Verification Report'!W634)</f>
        <v/>
      </c>
      <c r="G634" s="1352" t="s">
        <v>246</v>
      </c>
    </row>
    <row r="635" spans="1:7" x14ac:dyDescent="0.2">
      <c r="A635" s="67"/>
      <c r="B635" s="4"/>
      <c r="C635" s="222" t="s">
        <v>512</v>
      </c>
      <c r="D635" s="210" t="s">
        <v>2621</v>
      </c>
      <c r="F635" s="1341" t="str">
        <f>IF(LEN('Verification Report'!W635)=0,"",'Verification Report'!W635)</f>
        <v/>
      </c>
      <c r="G635" s="1352" t="s">
        <v>246</v>
      </c>
    </row>
    <row r="636" spans="1:7" x14ac:dyDescent="0.2">
      <c r="A636" s="67"/>
      <c r="B636" s="1352"/>
      <c r="C636" s="223" t="s">
        <v>514</v>
      </c>
      <c r="D636" s="210" t="s">
        <v>2622</v>
      </c>
      <c r="F636" s="1341" t="str">
        <f>IF(LEN('Verification Report'!W636)=0,"",'Verification Report'!W636)</f>
        <v/>
      </c>
      <c r="G636" s="1352" t="s">
        <v>246</v>
      </c>
    </row>
    <row r="637" spans="1:7" x14ac:dyDescent="0.2">
      <c r="A637" s="67"/>
      <c r="B637" s="1352"/>
      <c r="C637" s="87" t="s">
        <v>648</v>
      </c>
      <c r="D637" s="85" t="s">
        <v>2622</v>
      </c>
      <c r="F637" s="1341" t="str">
        <f>IF(LEN('Verification Report'!W637)=0,"",'Verification Report'!W637)</f>
        <v/>
      </c>
      <c r="G637" s="1352" t="s">
        <v>246</v>
      </c>
    </row>
    <row r="638" spans="1:7" x14ac:dyDescent="0.2">
      <c r="A638" s="67"/>
      <c r="B638" s="1352"/>
      <c r="C638" s="87"/>
      <c r="D638" s="1367" t="s">
        <v>2623</v>
      </c>
      <c r="G638" s="1352" t="s">
        <v>246</v>
      </c>
    </row>
    <row r="639" spans="1:7" ht="19" x14ac:dyDescent="0.25">
      <c r="A639" s="14" t="s">
        <v>3573</v>
      </c>
      <c r="B639" s="25"/>
      <c r="C639" s="84"/>
      <c r="D639" s="81"/>
      <c r="E639" s="25"/>
      <c r="F639" s="994"/>
      <c r="G639" s="1352" t="s">
        <v>246</v>
      </c>
    </row>
    <row r="640" spans="1:7" ht="16" thickBot="1" x14ac:dyDescent="0.25">
      <c r="A640" s="80" t="s">
        <v>3574</v>
      </c>
      <c r="B640" s="4"/>
      <c r="C640" s="85"/>
      <c r="D640" s="87" t="s">
        <v>3602</v>
      </c>
      <c r="G640" s="1352" t="s">
        <v>246</v>
      </c>
    </row>
    <row r="641" spans="1:7" ht="16" thickTop="1" x14ac:dyDescent="0.2">
      <c r="A641" s="177" t="s">
        <v>3575</v>
      </c>
      <c r="B641" s="178"/>
      <c r="C641" s="179"/>
      <c r="D641" s="125" t="s">
        <v>3601</v>
      </c>
      <c r="E641" s="1352">
        <f ca="1">'Verification Report'!O641</f>
        <v>0</v>
      </c>
      <c r="G641" s="1352" t="s">
        <v>246</v>
      </c>
    </row>
    <row r="642" spans="1:7" x14ac:dyDescent="0.2">
      <c r="A642" s="130"/>
      <c r="B642" s="129"/>
      <c r="C642" s="93" t="s">
        <v>121</v>
      </c>
      <c r="D642" s="97" t="s">
        <v>3813</v>
      </c>
      <c r="F642" s="1341" t="str">
        <f>IF(LEN('Verification Report'!W642)=0,"",'Verification Report'!W642)</f>
        <v/>
      </c>
      <c r="G642" s="1352" t="s">
        <v>246</v>
      </c>
    </row>
    <row r="643" spans="1:7" x14ac:dyDescent="0.2">
      <c r="A643" s="130"/>
      <c r="B643" s="129"/>
      <c r="C643" s="93" t="s">
        <v>122</v>
      </c>
      <c r="D643" s="97" t="s">
        <v>550</v>
      </c>
      <c r="F643" s="1341" t="str">
        <f>IF(LEN('Verification Report'!W643)=0,"",'Verification Report'!W643)</f>
        <v/>
      </c>
      <c r="G643" s="1352" t="s">
        <v>246</v>
      </c>
    </row>
    <row r="644" spans="1:7" x14ac:dyDescent="0.2">
      <c r="A644" s="130"/>
      <c r="B644" s="129"/>
      <c r="C644" s="111" t="s">
        <v>123</v>
      </c>
      <c r="D644" s="97" t="s">
        <v>551</v>
      </c>
      <c r="F644" s="1341" t="str">
        <f>IF(LEN('Verification Report'!W644)=0,"",'Verification Report'!W644)</f>
        <v/>
      </c>
      <c r="G644" s="1352" t="s">
        <v>246</v>
      </c>
    </row>
    <row r="645" spans="1:7" x14ac:dyDescent="0.2">
      <c r="A645" s="130"/>
      <c r="B645" s="129"/>
      <c r="C645" s="187" t="s">
        <v>366</v>
      </c>
      <c r="D645" s="97" t="s">
        <v>552</v>
      </c>
      <c r="F645" s="1341" t="str">
        <f>IF(LEN('Verification Report'!W645)=0,"",'Verification Report'!W645)</f>
        <v/>
      </c>
      <c r="G645" s="1352" t="s">
        <v>246</v>
      </c>
    </row>
    <row r="646" spans="1:7" x14ac:dyDescent="0.2">
      <c r="A646" s="130"/>
      <c r="B646" s="129"/>
      <c r="C646" s="93" t="s">
        <v>472</v>
      </c>
      <c r="D646" s="97" t="s">
        <v>553</v>
      </c>
      <c r="F646" s="1341" t="str">
        <f>IF(LEN('Verification Report'!W646)=0,"",'Verification Report'!W646)</f>
        <v/>
      </c>
      <c r="G646" s="1352" t="s">
        <v>246</v>
      </c>
    </row>
    <row r="647" spans="1:7" x14ac:dyDescent="0.2">
      <c r="A647" s="130"/>
      <c r="B647" s="129"/>
      <c r="C647" s="93" t="s">
        <v>510</v>
      </c>
      <c r="D647" s="97" t="s">
        <v>554</v>
      </c>
      <c r="F647" s="1341" t="str">
        <f>IF(LEN('Verification Report'!W647)=0,"",'Verification Report'!W647)</f>
        <v/>
      </c>
      <c r="G647" s="1352" t="s">
        <v>246</v>
      </c>
    </row>
    <row r="648" spans="1:7" x14ac:dyDescent="0.2">
      <c r="A648" s="130"/>
      <c r="B648" s="129"/>
      <c r="C648" s="111" t="s">
        <v>512</v>
      </c>
      <c r="D648" s="97" t="s">
        <v>555</v>
      </c>
      <c r="F648" s="1341" t="str">
        <f>IF(LEN('Verification Report'!W648)=0,"",'Verification Report'!W648)</f>
        <v/>
      </c>
      <c r="G648" s="1352" t="s">
        <v>246</v>
      </c>
    </row>
    <row r="649" spans="1:7" x14ac:dyDescent="0.2">
      <c r="A649" s="130"/>
      <c r="B649" s="129"/>
      <c r="C649" s="187" t="s">
        <v>514</v>
      </c>
      <c r="D649" s="1609" t="s">
        <v>556</v>
      </c>
      <c r="F649" s="1341" t="str">
        <f>IF(LEN('Verification Report'!W649)=0,"",'Verification Report'!W649)</f>
        <v/>
      </c>
      <c r="G649" s="1352" t="s">
        <v>246</v>
      </c>
    </row>
    <row r="650" spans="1:7" x14ac:dyDescent="0.2">
      <c r="A650" s="130"/>
      <c r="B650" s="129"/>
      <c r="C650" s="187"/>
      <c r="D650" s="1609"/>
      <c r="G650" s="1352" t="s">
        <v>246</v>
      </c>
    </row>
    <row r="651" spans="1:7" x14ac:dyDescent="0.2">
      <c r="A651" s="130"/>
      <c r="B651" s="129"/>
      <c r="C651" s="187"/>
      <c r="D651" s="1386" t="s">
        <v>679</v>
      </c>
      <c r="G651" s="1352" t="s">
        <v>246</v>
      </c>
    </row>
    <row r="652" spans="1:7" x14ac:dyDescent="0.2">
      <c r="A652" s="130"/>
      <c r="B652" s="180" t="s">
        <v>254</v>
      </c>
      <c r="C652" s="97"/>
      <c r="D652" s="1609" t="s">
        <v>557</v>
      </c>
      <c r="G652" s="1352" t="s">
        <v>246</v>
      </c>
    </row>
    <row r="653" spans="1:7" x14ac:dyDescent="0.2">
      <c r="A653" s="130"/>
      <c r="B653" s="213"/>
      <c r="C653" s="170"/>
      <c r="D653" s="1612"/>
      <c r="G653" s="1352" t="s">
        <v>246</v>
      </c>
    </row>
    <row r="654" spans="1:7" x14ac:dyDescent="0.2">
      <c r="A654" s="130"/>
      <c r="B654" s="212" t="s">
        <v>255</v>
      </c>
      <c r="C654" s="194"/>
      <c r="D654" s="1613" t="s">
        <v>558</v>
      </c>
      <c r="G654" s="1352" t="s">
        <v>246</v>
      </c>
    </row>
    <row r="655" spans="1:7" x14ac:dyDescent="0.2">
      <c r="A655" s="130"/>
      <c r="B655" s="213"/>
      <c r="C655" s="170"/>
      <c r="D655" s="1612"/>
      <c r="G655" s="1352" t="s">
        <v>246</v>
      </c>
    </row>
    <row r="656" spans="1:7" x14ac:dyDescent="0.2">
      <c r="A656" s="130"/>
      <c r="B656" s="180" t="s">
        <v>256</v>
      </c>
      <c r="C656" s="97"/>
      <c r="D656" s="1609" t="s">
        <v>559</v>
      </c>
      <c r="G656" s="1352" t="s">
        <v>246</v>
      </c>
    </row>
    <row r="657" spans="1:7" ht="16" thickBot="1" x14ac:dyDescent="0.25">
      <c r="A657" s="130"/>
      <c r="B657" s="129"/>
      <c r="C657" s="97"/>
      <c r="D657" s="1609"/>
      <c r="G657" s="1352" t="s">
        <v>246</v>
      </c>
    </row>
    <row r="658" spans="1:7" ht="16" thickTop="1" x14ac:dyDescent="0.2">
      <c r="A658" s="177" t="s">
        <v>3576</v>
      </c>
      <c r="B658" s="178"/>
      <c r="C658" s="179"/>
      <c r="D658" s="1683" t="s">
        <v>3600</v>
      </c>
      <c r="G658" s="1352" t="s">
        <v>246</v>
      </c>
    </row>
    <row r="659" spans="1:7" x14ac:dyDescent="0.2">
      <c r="A659" s="130"/>
      <c r="B659" s="129"/>
      <c r="C659" s="97"/>
      <c r="D659" s="1629"/>
      <c r="G659" s="1352" t="s">
        <v>246</v>
      </c>
    </row>
    <row r="660" spans="1:7" x14ac:dyDescent="0.2">
      <c r="A660" s="67"/>
      <c r="B660" s="4"/>
      <c r="C660" s="89" t="s">
        <v>121</v>
      </c>
      <c r="D660" s="85" t="s">
        <v>560</v>
      </c>
      <c r="G660" s="1352" t="s">
        <v>246</v>
      </c>
    </row>
    <row r="661" spans="1:7" x14ac:dyDescent="0.2">
      <c r="A661" s="67"/>
      <c r="B661" s="4"/>
      <c r="C661" s="89" t="s">
        <v>122</v>
      </c>
      <c r="D661" s="1611" t="s">
        <v>561</v>
      </c>
      <c r="G661" s="1352" t="s">
        <v>246</v>
      </c>
    </row>
    <row r="662" spans="1:7" x14ac:dyDescent="0.2">
      <c r="A662" s="67"/>
      <c r="B662" s="4"/>
      <c r="C662" s="89"/>
      <c r="D662" s="1611"/>
      <c r="G662" s="1352" t="s">
        <v>246</v>
      </c>
    </row>
    <row r="663" spans="1:7" x14ac:dyDescent="0.2">
      <c r="A663" s="67"/>
      <c r="B663" s="4"/>
      <c r="C663" s="89" t="s">
        <v>123</v>
      </c>
      <c r="D663" s="153" t="s">
        <v>562</v>
      </c>
      <c r="G663" s="1352" t="s">
        <v>246</v>
      </c>
    </row>
    <row r="664" spans="1:7" x14ac:dyDescent="0.2">
      <c r="A664" s="67"/>
      <c r="B664" s="4"/>
      <c r="C664" s="91" t="s">
        <v>366</v>
      </c>
      <c r="D664" s="153" t="s">
        <v>563</v>
      </c>
      <c r="G664" s="1352" t="s">
        <v>246</v>
      </c>
    </row>
    <row r="665" spans="1:7" x14ac:dyDescent="0.2">
      <c r="A665" s="67"/>
      <c r="B665" s="4"/>
      <c r="C665" s="87" t="s">
        <v>472</v>
      </c>
      <c r="D665" s="153" t="s">
        <v>564</v>
      </c>
      <c r="G665" s="1352" t="s">
        <v>246</v>
      </c>
    </row>
    <row r="666" spans="1:7" x14ac:dyDescent="0.2">
      <c r="A666" s="67"/>
      <c r="B666" s="4"/>
      <c r="C666" s="89" t="s">
        <v>510</v>
      </c>
      <c r="D666" s="85" t="s">
        <v>565</v>
      </c>
      <c r="G666" s="1352" t="s">
        <v>246</v>
      </c>
    </row>
    <row r="667" spans="1:7" x14ac:dyDescent="0.2">
      <c r="A667" s="67"/>
      <c r="B667" s="4"/>
      <c r="C667" s="89" t="s">
        <v>512</v>
      </c>
      <c r="D667" s="85" t="s">
        <v>566</v>
      </c>
      <c r="G667" s="1352" t="s">
        <v>246</v>
      </c>
    </row>
    <row r="668" spans="1:7" x14ac:dyDescent="0.2">
      <c r="A668" s="1352"/>
      <c r="B668" s="1352"/>
      <c r="C668" s="89" t="s">
        <v>514</v>
      </c>
      <c r="D668" s="1717" t="s">
        <v>3990</v>
      </c>
      <c r="G668" s="1352" t="s">
        <v>246</v>
      </c>
    </row>
    <row r="669" spans="1:7" x14ac:dyDescent="0.2">
      <c r="A669" s="1352"/>
      <c r="B669" s="1352"/>
      <c r="C669" s="89"/>
      <c r="D669" s="1717"/>
      <c r="G669" s="1352" t="s">
        <v>246</v>
      </c>
    </row>
    <row r="670" spans="1:7" x14ac:dyDescent="0.2">
      <c r="A670" s="1352"/>
      <c r="B670" s="1352"/>
      <c r="C670" s="89"/>
      <c r="D670" s="1717"/>
      <c r="G670" s="1352" t="s">
        <v>246</v>
      </c>
    </row>
    <row r="671" spans="1:7" x14ac:dyDescent="0.2">
      <c r="A671" s="1352"/>
      <c r="B671" s="1352"/>
      <c r="C671" s="89"/>
      <c r="D671" s="1717"/>
      <c r="G671" s="1352" t="s">
        <v>246</v>
      </c>
    </row>
    <row r="672" spans="1:7" x14ac:dyDescent="0.2">
      <c r="A672" s="1352"/>
      <c r="B672" s="1352"/>
      <c r="C672" s="89"/>
      <c r="D672" s="1717"/>
      <c r="G672" s="1352" t="s">
        <v>246</v>
      </c>
    </row>
    <row r="673" spans="1:7" x14ac:dyDescent="0.2">
      <c r="A673" s="67"/>
      <c r="B673" s="180" t="s">
        <v>254</v>
      </c>
      <c r="C673" s="97"/>
      <c r="D673" s="1609" t="s">
        <v>3992</v>
      </c>
      <c r="E673" s="1352">
        <f>'Verification Report'!O673</f>
        <v>0</v>
      </c>
      <c r="F673" s="1341" t="str">
        <f>IF(LEN('Verification Report'!W673)=0,"",'Verification Report'!W673)</f>
        <v/>
      </c>
      <c r="G673" s="1352" t="s">
        <v>246</v>
      </c>
    </row>
    <row r="674" spans="1:7" x14ac:dyDescent="0.2">
      <c r="A674" s="67"/>
      <c r="B674" s="180"/>
      <c r="C674" s="97"/>
      <c r="D674" s="1609"/>
      <c r="F674" s="1341" t="str">
        <f>IF(LEN('Verification Report'!W674)=0,"",'Verification Report'!W674)</f>
        <v/>
      </c>
      <c r="G674" s="1352" t="s">
        <v>246</v>
      </c>
    </row>
    <row r="675" spans="1:7" x14ac:dyDescent="0.2">
      <c r="A675" s="67"/>
      <c r="B675" s="207"/>
      <c r="C675" s="170"/>
      <c r="D675" s="1387" t="s">
        <v>2628</v>
      </c>
      <c r="G675" s="1352" t="s">
        <v>246</v>
      </c>
    </row>
    <row r="676" spans="1:7" x14ac:dyDescent="0.2">
      <c r="A676" s="67"/>
      <c r="B676" s="29" t="s">
        <v>255</v>
      </c>
      <c r="C676" s="85"/>
      <c r="D676" s="1611" t="s">
        <v>3993</v>
      </c>
      <c r="E676" s="1352">
        <f>'Verification Report'!O676</f>
        <v>0</v>
      </c>
      <c r="F676" s="1341" t="str">
        <f>IF(LEN('Verification Report'!W676)=0,"",'Verification Report'!W676)</f>
        <v/>
      </c>
      <c r="G676" s="1352" t="s">
        <v>246</v>
      </c>
    </row>
    <row r="677" spans="1:7" x14ac:dyDescent="0.2">
      <c r="A677" s="67"/>
      <c r="B677" s="4"/>
      <c r="C677" s="85"/>
      <c r="D677" s="1611"/>
      <c r="F677" s="1341" t="str">
        <f>IF(LEN('Verification Report'!W677)=0,"",'Verification Report'!W677)</f>
        <v/>
      </c>
      <c r="G677" s="1352" t="s">
        <v>246</v>
      </c>
    </row>
    <row r="678" spans="1:7" ht="16" thickBot="1" x14ac:dyDescent="0.25">
      <c r="A678" s="67"/>
      <c r="B678" s="4"/>
      <c r="C678" s="85"/>
      <c r="D678" s="1395" t="s">
        <v>2628</v>
      </c>
      <c r="G678" s="1352" t="s">
        <v>246</v>
      </c>
    </row>
    <row r="679" spans="1:7" ht="16" thickTop="1" x14ac:dyDescent="0.2">
      <c r="A679" s="177" t="s">
        <v>3577</v>
      </c>
      <c r="B679" s="178"/>
      <c r="C679" s="179"/>
      <c r="D679" s="1683" t="s">
        <v>3599</v>
      </c>
      <c r="E679" s="1352">
        <f ca="1">'Verification Report'!O679</f>
        <v>0</v>
      </c>
      <c r="F679" s="1341" t="str">
        <f>IF(LEN('Verification Report'!W679)=0,"",'Verification Report'!W679)</f>
        <v/>
      </c>
      <c r="G679" s="1352" t="s">
        <v>246</v>
      </c>
    </row>
    <row r="680" spans="1:7" x14ac:dyDescent="0.2">
      <c r="A680" s="130"/>
      <c r="B680" s="129"/>
      <c r="C680" s="97"/>
      <c r="D680" s="1629"/>
      <c r="G680" s="1352" t="s">
        <v>246</v>
      </c>
    </row>
    <row r="681" spans="1:7" x14ac:dyDescent="0.2">
      <c r="A681" s="130"/>
      <c r="B681" s="129"/>
      <c r="C681" s="97"/>
      <c r="D681" s="1629"/>
      <c r="G681" s="1352" t="s">
        <v>246</v>
      </c>
    </row>
    <row r="682" spans="1:7" x14ac:dyDescent="0.2">
      <c r="A682" s="130"/>
      <c r="B682" s="129"/>
      <c r="C682" s="97"/>
      <c r="D682" s="1629"/>
      <c r="G682" s="1352" t="s">
        <v>246</v>
      </c>
    </row>
    <row r="683" spans="1:7" x14ac:dyDescent="0.2">
      <c r="A683" s="130"/>
      <c r="B683" s="129"/>
      <c r="C683" s="97"/>
      <c r="D683" s="185" t="s">
        <v>567</v>
      </c>
      <c r="G683" s="1352" t="s">
        <v>246</v>
      </c>
    </row>
    <row r="684" spans="1:7" x14ac:dyDescent="0.2">
      <c r="A684" s="130"/>
      <c r="B684" s="129"/>
      <c r="C684" s="97"/>
      <c r="D684" s="1386" t="s">
        <v>2632</v>
      </c>
      <c r="G684" s="1352" t="s">
        <v>246</v>
      </c>
    </row>
    <row r="685" spans="1:7" ht="19" x14ac:dyDescent="0.25">
      <c r="A685" s="14" t="s">
        <v>3578</v>
      </c>
      <c r="B685" s="25"/>
      <c r="C685" s="84"/>
      <c r="D685" s="81"/>
      <c r="E685" s="25"/>
      <c r="F685" s="994"/>
      <c r="G685" s="1352" t="s">
        <v>246</v>
      </c>
    </row>
    <row r="686" spans="1:7" x14ac:dyDescent="0.2">
      <c r="A686" s="67" t="s">
        <v>3579</v>
      </c>
      <c r="B686" s="4"/>
      <c r="C686" s="85"/>
      <c r="D686" s="1631" t="s">
        <v>3598</v>
      </c>
      <c r="G686" s="1352" t="s">
        <v>246</v>
      </c>
    </row>
    <row r="687" spans="1:7" x14ac:dyDescent="0.2">
      <c r="A687" s="67"/>
      <c r="B687" s="4"/>
      <c r="C687" s="85"/>
      <c r="D687" s="1631"/>
      <c r="G687" s="1352" t="s">
        <v>246</v>
      </c>
    </row>
    <row r="688" spans="1:7" x14ac:dyDescent="0.2">
      <c r="A688" s="67"/>
      <c r="B688" s="180" t="s">
        <v>254</v>
      </c>
      <c r="C688" s="97"/>
      <c r="D688" s="1609" t="s">
        <v>5079</v>
      </c>
      <c r="E688" s="1352">
        <f>'Verification Report'!O688</f>
        <v>0</v>
      </c>
      <c r="F688" s="1341" t="str">
        <f>IF(LEN('Verification Report'!W688)=0,"",'Verification Report'!W688)</f>
        <v/>
      </c>
      <c r="G688" s="1352" t="s">
        <v>246</v>
      </c>
    </row>
    <row r="689" spans="1:7" x14ac:dyDescent="0.2">
      <c r="A689" s="67"/>
      <c r="B689" s="180"/>
      <c r="C689" s="97"/>
      <c r="D689" s="1609"/>
      <c r="G689" s="1352" t="s">
        <v>246</v>
      </c>
    </row>
    <row r="690" spans="1:7" x14ac:dyDescent="0.2">
      <c r="A690" s="67"/>
      <c r="B690" s="180"/>
      <c r="C690" s="97"/>
      <c r="D690" s="1609"/>
      <c r="G690" s="1352" t="s">
        <v>246</v>
      </c>
    </row>
    <row r="691" spans="1:7" x14ac:dyDescent="0.2">
      <c r="A691" s="67"/>
      <c r="B691" s="180"/>
      <c r="C691" s="97"/>
      <c r="D691" s="1609"/>
      <c r="G691" s="1352" t="s">
        <v>246</v>
      </c>
    </row>
    <row r="692" spans="1:7" x14ac:dyDescent="0.2">
      <c r="A692" s="67"/>
      <c r="B692" s="207"/>
      <c r="C692" s="170"/>
      <c r="D692" s="1612"/>
      <c r="G692" s="1352" t="s">
        <v>246</v>
      </c>
    </row>
    <row r="693" spans="1:7" x14ac:dyDescent="0.2">
      <c r="A693" s="67"/>
      <c r="B693" s="29" t="s">
        <v>255</v>
      </c>
      <c r="C693" s="85"/>
      <c r="D693" s="1649" t="s">
        <v>3994</v>
      </c>
      <c r="E693" s="1352">
        <f>'Verification Report'!O693</f>
        <v>0</v>
      </c>
      <c r="F693" s="1341" t="str">
        <f>IF(LEN('Verification Report'!W693)=0,"",'Verification Report'!W693)</f>
        <v/>
      </c>
      <c r="G693" s="1352" t="s">
        <v>246</v>
      </c>
    </row>
    <row r="694" spans="1:7" x14ac:dyDescent="0.2">
      <c r="A694" s="67"/>
      <c r="B694" s="29"/>
      <c r="C694" s="85"/>
      <c r="D694" s="1717"/>
      <c r="G694" s="1352" t="s">
        <v>246</v>
      </c>
    </row>
    <row r="695" spans="1:7" x14ac:dyDescent="0.2">
      <c r="A695" s="67"/>
      <c r="B695" s="29"/>
      <c r="C695" s="85"/>
      <c r="D695" s="1717"/>
      <c r="G695" s="1352" t="s">
        <v>246</v>
      </c>
    </row>
    <row r="696" spans="1:7" x14ac:dyDescent="0.2">
      <c r="A696" s="67"/>
      <c r="B696" s="29"/>
      <c r="C696" s="85"/>
      <c r="D696" s="1717"/>
      <c r="G696" s="1352" t="s">
        <v>246</v>
      </c>
    </row>
    <row r="697" spans="1:7" x14ac:dyDescent="0.2">
      <c r="A697" s="67"/>
      <c r="B697" s="29"/>
      <c r="C697" s="85"/>
      <c r="D697" s="1717"/>
      <c r="G697" s="1352" t="s">
        <v>246</v>
      </c>
    </row>
    <row r="698" spans="1:7" ht="16" thickBot="1" x14ac:dyDescent="0.25">
      <c r="A698" s="67"/>
      <c r="B698" s="29"/>
      <c r="C698" s="85"/>
      <c r="D698" s="1713"/>
      <c r="G698" s="1352" t="s">
        <v>246</v>
      </c>
    </row>
    <row r="699" spans="1:7" ht="16" thickTop="1" x14ac:dyDescent="0.2">
      <c r="A699" s="177" t="s">
        <v>3580</v>
      </c>
      <c r="B699" s="178"/>
      <c r="C699" s="179"/>
      <c r="D699" s="1683" t="s">
        <v>3597</v>
      </c>
      <c r="E699" s="1352">
        <f>'Verification Report'!O699</f>
        <v>0</v>
      </c>
      <c r="F699" s="1341" t="str">
        <f>IF(LEN('Verification Report'!W699)=0,"",'Verification Report'!W699)</f>
        <v/>
      </c>
      <c r="G699" s="1352" t="s">
        <v>246</v>
      </c>
    </row>
    <row r="700" spans="1:7" x14ac:dyDescent="0.2">
      <c r="A700" s="130"/>
      <c r="B700" s="129"/>
      <c r="C700" s="97"/>
      <c r="D700" s="1629"/>
      <c r="G700" s="1352" t="s">
        <v>246</v>
      </c>
    </row>
    <row r="701" spans="1:7" ht="19" x14ac:dyDescent="0.25">
      <c r="A701" s="14" t="s">
        <v>3581</v>
      </c>
      <c r="B701" s="25"/>
      <c r="C701" s="84"/>
      <c r="D701" s="81"/>
      <c r="E701" s="25"/>
      <c r="F701" s="994"/>
      <c r="G701" s="1352" t="s">
        <v>246</v>
      </c>
    </row>
    <row r="702" spans="1:7" x14ac:dyDescent="0.2">
      <c r="A702" s="67" t="s">
        <v>3582</v>
      </c>
      <c r="B702" s="4"/>
      <c r="C702" s="85"/>
      <c r="D702" s="1631" t="s">
        <v>3596</v>
      </c>
      <c r="E702" s="1352">
        <f ca="1">'Verification Report'!O702</f>
        <v>0</v>
      </c>
      <c r="F702" s="1341" t="str">
        <f>IF(LEN('Verification Report'!W702)=0,"",'Verification Report'!W702)</f>
        <v/>
      </c>
      <c r="G702" s="1352" t="s">
        <v>246</v>
      </c>
    </row>
    <row r="703" spans="1:7" x14ac:dyDescent="0.2">
      <c r="A703" s="67"/>
      <c r="B703" s="4"/>
      <c r="C703" s="85"/>
      <c r="D703" s="1631"/>
      <c r="G703" s="1352" t="s">
        <v>246</v>
      </c>
    </row>
    <row r="704" spans="1:7" x14ac:dyDescent="0.2">
      <c r="A704" s="67"/>
      <c r="B704" s="4"/>
      <c r="C704" s="85"/>
      <c r="D704" s="1631"/>
      <c r="G704" s="1352" t="s">
        <v>246</v>
      </c>
    </row>
    <row r="705" spans="1:7" x14ac:dyDescent="0.2">
      <c r="A705" s="67"/>
      <c r="B705" s="29" t="s">
        <v>254</v>
      </c>
      <c r="C705" s="85"/>
      <c r="D705" s="1611" t="s">
        <v>568</v>
      </c>
      <c r="G705" s="1352" t="s">
        <v>246</v>
      </c>
    </row>
    <row r="706" spans="1:7" x14ac:dyDescent="0.2">
      <c r="A706" s="67"/>
      <c r="B706" s="29"/>
      <c r="C706" s="85"/>
      <c r="D706" s="1611"/>
      <c r="G706" s="1352" t="s">
        <v>246</v>
      </c>
    </row>
    <row r="707" spans="1:7" x14ac:dyDescent="0.2">
      <c r="A707" s="67"/>
      <c r="B707" s="29" t="s">
        <v>255</v>
      </c>
      <c r="C707" s="85"/>
      <c r="D707" s="85" t="s">
        <v>569</v>
      </c>
      <c r="G707" s="1352" t="s">
        <v>246</v>
      </c>
    </row>
    <row r="708" spans="1:7" x14ac:dyDescent="0.2">
      <c r="A708" s="67"/>
      <c r="B708" s="29" t="s">
        <v>256</v>
      </c>
      <c r="C708" s="85"/>
      <c r="D708" s="85" t="s">
        <v>570</v>
      </c>
      <c r="G708" s="1352" t="s">
        <v>246</v>
      </c>
    </row>
    <row r="709" spans="1:7" x14ac:dyDescent="0.2">
      <c r="A709" s="67"/>
      <c r="B709" s="29"/>
      <c r="C709" s="85"/>
      <c r="D709" s="1689" t="s">
        <v>3844</v>
      </c>
      <c r="G709" s="1352" t="s">
        <v>246</v>
      </c>
    </row>
    <row r="710" spans="1:7" x14ac:dyDescent="0.2">
      <c r="A710" s="1352"/>
      <c r="B710" s="1352"/>
      <c r="C710" s="1352"/>
      <c r="D710" s="1723"/>
      <c r="G710" s="1352" t="s">
        <v>246</v>
      </c>
    </row>
    <row r="711" spans="1:7" ht="19" x14ac:dyDescent="0.25">
      <c r="A711" s="14" t="s">
        <v>3583</v>
      </c>
      <c r="B711" s="25"/>
      <c r="C711" s="84"/>
      <c r="D711" s="81"/>
      <c r="E711" s="25"/>
      <c r="F711" s="994"/>
      <c r="G711" s="1352" t="s">
        <v>246</v>
      </c>
    </row>
    <row r="712" spans="1:7" x14ac:dyDescent="0.2">
      <c r="A712" s="67" t="s">
        <v>3584</v>
      </c>
      <c r="B712" s="4"/>
      <c r="C712" s="85"/>
      <c r="D712" s="1631" t="s">
        <v>3595</v>
      </c>
      <c r="E712" s="1352">
        <f ca="1">'Verification Report'!O712</f>
        <v>0</v>
      </c>
      <c r="G712" s="1352" t="s">
        <v>246</v>
      </c>
    </row>
    <row r="713" spans="1:7" x14ac:dyDescent="0.2">
      <c r="A713" s="67"/>
      <c r="B713" s="4"/>
      <c r="C713" s="85"/>
      <c r="D713" s="1631"/>
      <c r="G713" s="1352" t="s">
        <v>246</v>
      </c>
    </row>
    <row r="714" spans="1:7" x14ac:dyDescent="0.2">
      <c r="A714" s="67"/>
      <c r="B714" s="29" t="s">
        <v>254</v>
      </c>
      <c r="C714" s="85"/>
      <c r="D714" s="4" t="s">
        <v>5064</v>
      </c>
      <c r="F714" s="1341" t="str">
        <f>IF(LEN('Verification Report'!W714)=0,"",'Verification Report'!W714)</f>
        <v/>
      </c>
      <c r="G714" s="1352" t="s">
        <v>246</v>
      </c>
    </row>
    <row r="715" spans="1:7" x14ac:dyDescent="0.2">
      <c r="A715" s="67"/>
      <c r="B715" s="29"/>
      <c r="C715" s="85"/>
      <c r="D715" s="4"/>
      <c r="G715" s="1352" t="s">
        <v>246</v>
      </c>
    </row>
    <row r="716" spans="1:7" x14ac:dyDescent="0.2">
      <c r="A716" s="67"/>
      <c r="B716" s="29" t="s">
        <v>255</v>
      </c>
      <c r="C716" s="85"/>
      <c r="D716" s="4" t="s">
        <v>5065</v>
      </c>
      <c r="F716" s="1341" t="str">
        <f>IF(LEN('Verification Report'!W716)=0,"",'Verification Report'!W716)</f>
        <v/>
      </c>
      <c r="G716" s="1352" t="s">
        <v>246</v>
      </c>
    </row>
    <row r="717" spans="1:7" x14ac:dyDescent="0.2">
      <c r="A717" s="67"/>
      <c r="B717" s="29"/>
      <c r="C717" s="85"/>
      <c r="D717" s="4"/>
      <c r="G717" s="1352" t="s">
        <v>246</v>
      </c>
    </row>
    <row r="718" spans="1:7" x14ac:dyDescent="0.2">
      <c r="A718" s="67"/>
      <c r="B718" s="4"/>
      <c r="C718" s="85"/>
      <c r="D718" s="1707" t="s">
        <v>5063</v>
      </c>
      <c r="G718" s="1352" t="s">
        <v>246</v>
      </c>
    </row>
    <row r="719" spans="1:7" x14ac:dyDescent="0.2">
      <c r="A719" s="67"/>
      <c r="B719" s="4"/>
      <c r="C719" s="85"/>
      <c r="D719" s="1707"/>
      <c r="G719" s="1352" t="s">
        <v>246</v>
      </c>
    </row>
    <row r="720" spans="1:7" x14ac:dyDescent="0.2">
      <c r="A720" s="67"/>
      <c r="B720" s="4"/>
      <c r="C720" s="85"/>
      <c r="D720" s="1707"/>
      <c r="G720" s="1352" t="s">
        <v>246</v>
      </c>
    </row>
    <row r="721" spans="1:7" x14ac:dyDescent="0.2">
      <c r="A721" s="67"/>
      <c r="B721" s="4"/>
      <c r="C721" s="85"/>
      <c r="D721" s="1810" t="s">
        <v>3843</v>
      </c>
      <c r="G721" s="1352" t="s">
        <v>246</v>
      </c>
    </row>
    <row r="722" spans="1:7" x14ac:dyDescent="0.2">
      <c r="A722" s="67"/>
      <c r="B722" s="4"/>
      <c r="C722" s="85"/>
      <c r="D722" s="1811"/>
      <c r="G722" s="1352" t="s">
        <v>246</v>
      </c>
    </row>
    <row r="723" spans="1:7" ht="19" x14ac:dyDescent="0.25">
      <c r="A723" s="14" t="s">
        <v>3585</v>
      </c>
      <c r="B723" s="25"/>
      <c r="C723" s="84"/>
      <c r="D723" s="81"/>
      <c r="E723" s="25"/>
      <c r="F723" s="994"/>
      <c r="G723" s="1352" t="s">
        <v>246</v>
      </c>
    </row>
    <row r="724" spans="1:7" x14ac:dyDescent="0.2">
      <c r="A724" s="67" t="s">
        <v>3586</v>
      </c>
      <c r="B724" s="4"/>
      <c r="C724" s="85"/>
      <c r="D724" s="1631" t="s">
        <v>3830</v>
      </c>
      <c r="G724" s="1352" t="s">
        <v>246</v>
      </c>
    </row>
    <row r="725" spans="1:7" x14ac:dyDescent="0.2">
      <c r="A725" s="67"/>
      <c r="B725" s="4"/>
      <c r="C725" s="85"/>
      <c r="D725" s="1631"/>
      <c r="G725" s="1352" t="s">
        <v>246</v>
      </c>
    </row>
    <row r="726" spans="1:7" x14ac:dyDescent="0.2">
      <c r="A726" s="67"/>
      <c r="B726" s="4"/>
      <c r="C726" s="85"/>
      <c r="D726" s="1631"/>
      <c r="G726" s="1352" t="s">
        <v>246</v>
      </c>
    </row>
    <row r="727" spans="1:7" x14ac:dyDescent="0.2">
      <c r="A727" s="67"/>
      <c r="B727" s="4"/>
      <c r="C727" s="85"/>
      <c r="D727" s="1631"/>
      <c r="G727" s="1352" t="s">
        <v>246</v>
      </c>
    </row>
    <row r="728" spans="1:7" x14ac:dyDescent="0.2">
      <c r="A728" s="67"/>
      <c r="B728" s="4"/>
      <c r="C728" s="85"/>
      <c r="D728" s="1631"/>
      <c r="G728" s="1352" t="s">
        <v>246</v>
      </c>
    </row>
    <row r="729" spans="1:7" x14ac:dyDescent="0.2">
      <c r="A729" s="67"/>
      <c r="B729" s="4"/>
      <c r="C729" s="85"/>
      <c r="D729" s="1631"/>
      <c r="G729" s="1352" t="s">
        <v>246</v>
      </c>
    </row>
    <row r="730" spans="1:7" ht="16" thickBot="1" x14ac:dyDescent="0.25">
      <c r="A730" s="67"/>
      <c r="B730" s="4"/>
      <c r="C730" s="85"/>
      <c r="D730" s="1387" t="s">
        <v>5077</v>
      </c>
      <c r="G730" s="1352" t="s">
        <v>246</v>
      </c>
    </row>
    <row r="731" spans="1:7" ht="16" thickTop="1" x14ac:dyDescent="0.2">
      <c r="A731" s="177" t="s">
        <v>3587</v>
      </c>
      <c r="B731" s="178"/>
      <c r="C731" s="179"/>
      <c r="D731" s="1683" t="s">
        <v>3594</v>
      </c>
      <c r="G731" s="1352" t="s">
        <v>246</v>
      </c>
    </row>
    <row r="732" spans="1:7" x14ac:dyDescent="0.2">
      <c r="A732" s="130"/>
      <c r="B732" s="129"/>
      <c r="C732" s="97"/>
      <c r="D732" s="1629"/>
      <c r="G732" s="1352" t="s">
        <v>246</v>
      </c>
    </row>
    <row r="733" spans="1:7" x14ac:dyDescent="0.2">
      <c r="A733" s="67"/>
      <c r="B733" s="180" t="s">
        <v>254</v>
      </c>
      <c r="C733" s="97"/>
      <c r="D733" s="1609" t="s">
        <v>573</v>
      </c>
      <c r="E733" s="1352">
        <f>'Verification Report'!O733</f>
        <v>0</v>
      </c>
      <c r="F733" s="1341" t="str">
        <f>IF(LEN('Verification Report'!W733)=0,"",'Verification Report'!W733)</f>
        <v/>
      </c>
      <c r="G733" s="1352" t="s">
        <v>246</v>
      </c>
    </row>
    <row r="734" spans="1:7" x14ac:dyDescent="0.2">
      <c r="A734" s="67"/>
      <c r="B734" s="129"/>
      <c r="C734" s="97"/>
      <c r="D734" s="1609"/>
      <c r="G734" s="1352" t="s">
        <v>246</v>
      </c>
    </row>
    <row r="735" spans="1:7" x14ac:dyDescent="0.2">
      <c r="A735" s="67"/>
      <c r="B735" s="129"/>
      <c r="C735" s="97"/>
      <c r="D735" s="1609"/>
      <c r="G735" s="1352" t="s">
        <v>246</v>
      </c>
    </row>
    <row r="736" spans="1:7" x14ac:dyDescent="0.2">
      <c r="A736" s="67"/>
      <c r="B736" s="129"/>
      <c r="C736" s="93" t="s">
        <v>121</v>
      </c>
      <c r="D736" s="97" t="s">
        <v>574</v>
      </c>
      <c r="G736" s="1352" t="s">
        <v>246</v>
      </c>
    </row>
    <row r="737" spans="1:7" x14ac:dyDescent="0.2">
      <c r="A737" s="67"/>
      <c r="B737" s="129"/>
      <c r="C737" s="93" t="s">
        <v>122</v>
      </c>
      <c r="D737" s="97" t="s">
        <v>575</v>
      </c>
      <c r="G737" s="1352" t="s">
        <v>246</v>
      </c>
    </row>
    <row r="738" spans="1:7" x14ac:dyDescent="0.2">
      <c r="A738" s="67"/>
      <c r="B738" s="129"/>
      <c r="C738" s="93" t="s">
        <v>123</v>
      </c>
      <c r="D738" s="97" t="s">
        <v>576</v>
      </c>
      <c r="G738" s="1352" t="s">
        <v>246</v>
      </c>
    </row>
    <row r="739" spans="1:7" x14ac:dyDescent="0.2">
      <c r="A739" s="67"/>
      <c r="B739" s="129"/>
      <c r="C739" s="111" t="s">
        <v>366</v>
      </c>
      <c r="D739" s="97" t="s">
        <v>577</v>
      </c>
      <c r="G739" s="1352" t="s">
        <v>246</v>
      </c>
    </row>
    <row r="740" spans="1:7" x14ac:dyDescent="0.2">
      <c r="A740" s="67"/>
      <c r="B740" s="129"/>
      <c r="C740" s="187" t="s">
        <v>472</v>
      </c>
      <c r="D740" s="97" t="s">
        <v>578</v>
      </c>
      <c r="G740" s="1352" t="s">
        <v>246</v>
      </c>
    </row>
    <row r="741" spans="1:7" x14ac:dyDescent="0.2">
      <c r="A741" s="67"/>
      <c r="B741" s="213"/>
      <c r="C741" s="169" t="s">
        <v>510</v>
      </c>
      <c r="D741" s="170" t="s">
        <v>579</v>
      </c>
      <c r="G741" s="1352" t="s">
        <v>246</v>
      </c>
    </row>
    <row r="742" spans="1:7" x14ac:dyDescent="0.2">
      <c r="A742" s="67"/>
      <c r="B742" s="212" t="s">
        <v>255</v>
      </c>
      <c r="C742" s="194"/>
      <c r="D742" s="1613" t="s">
        <v>580</v>
      </c>
      <c r="E742" s="1352">
        <f>'Verification Report'!O742</f>
        <v>0</v>
      </c>
      <c r="F742" s="1341" t="str">
        <f>IF(LEN('Verification Report'!W742)=0,"",'Verification Report'!W742)</f>
        <v/>
      </c>
      <c r="G742" s="1352" t="s">
        <v>246</v>
      </c>
    </row>
    <row r="743" spans="1:7" x14ac:dyDescent="0.2">
      <c r="A743" s="67"/>
      <c r="B743" s="129"/>
      <c r="C743" s="97"/>
      <c r="D743" s="1609"/>
      <c r="G743" s="1352" t="s">
        <v>246</v>
      </c>
    </row>
    <row r="744" spans="1:7" x14ac:dyDescent="0.2">
      <c r="A744" s="67"/>
      <c r="B744" s="129"/>
      <c r="C744" s="97"/>
      <c r="D744" s="1609"/>
      <c r="G744" s="1352" t="s">
        <v>246</v>
      </c>
    </row>
    <row r="745" spans="1:7" x14ac:dyDescent="0.2">
      <c r="A745" s="67"/>
      <c r="B745" s="129"/>
      <c r="C745" s="97"/>
      <c r="D745" s="1609"/>
      <c r="G745" s="1352" t="s">
        <v>246</v>
      </c>
    </row>
    <row r="746" spans="1:7" x14ac:dyDescent="0.2">
      <c r="A746" s="67"/>
      <c r="B746" s="129"/>
      <c r="C746" s="97"/>
      <c r="D746" s="1609"/>
      <c r="G746" s="1352" t="s">
        <v>246</v>
      </c>
    </row>
    <row r="747" spans="1:7" x14ac:dyDescent="0.2">
      <c r="A747" s="67"/>
      <c r="B747" s="129"/>
      <c r="C747" s="97"/>
      <c r="D747" s="1609"/>
      <c r="G747" s="1352" t="s">
        <v>246</v>
      </c>
    </row>
    <row r="748" spans="1:7" x14ac:dyDescent="0.2">
      <c r="A748" s="67"/>
      <c r="B748" s="213"/>
      <c r="C748" s="170"/>
      <c r="D748" s="1612"/>
      <c r="G748" s="1352" t="s">
        <v>246</v>
      </c>
    </row>
    <row r="749" spans="1:7" x14ac:dyDescent="0.2">
      <c r="A749" s="67"/>
      <c r="B749" s="29" t="s">
        <v>256</v>
      </c>
      <c r="C749" s="85"/>
      <c r="D749" s="1611" t="s">
        <v>581</v>
      </c>
      <c r="E749" s="1352">
        <f>'Verification Report'!O749</f>
        <v>0</v>
      </c>
      <c r="F749" s="1341" t="str">
        <f>IF(LEN('Verification Report'!W749)=0,"",'Verification Report'!W749)</f>
        <v/>
      </c>
      <c r="G749" s="1352" t="s">
        <v>246</v>
      </c>
    </row>
    <row r="750" spans="1:7" ht="16" thickBot="1" x14ac:dyDescent="0.25">
      <c r="A750" s="67"/>
      <c r="B750" s="4"/>
      <c r="C750" s="85"/>
      <c r="D750" s="1611"/>
      <c r="G750" s="1352" t="s">
        <v>246</v>
      </c>
    </row>
    <row r="751" spans="1:7" ht="16" thickTop="1" x14ac:dyDescent="0.2">
      <c r="A751" s="177" t="s">
        <v>3588</v>
      </c>
      <c r="B751" s="178"/>
      <c r="C751" s="179"/>
      <c r="D751" s="1683" t="s">
        <v>3593</v>
      </c>
      <c r="E751" s="1352">
        <f ca="1">'Verification Report'!O751</f>
        <v>0</v>
      </c>
      <c r="G751" s="1352" t="s">
        <v>246</v>
      </c>
    </row>
    <row r="752" spans="1:7" x14ac:dyDescent="0.2">
      <c r="A752" s="130"/>
      <c r="B752" s="129"/>
      <c r="C752" s="97"/>
      <c r="D752" s="1629"/>
      <c r="G752" s="1352" t="s">
        <v>246</v>
      </c>
    </row>
    <row r="753" spans="1:7" x14ac:dyDescent="0.2">
      <c r="A753" s="130"/>
      <c r="B753" s="129"/>
      <c r="C753" s="97"/>
      <c r="D753" s="1629"/>
      <c r="G753" s="1352" t="s">
        <v>246</v>
      </c>
    </row>
    <row r="754" spans="1:7" x14ac:dyDescent="0.2">
      <c r="A754" s="219"/>
      <c r="B754" s="213"/>
      <c r="C754" s="170"/>
      <c r="D754" s="1696"/>
      <c r="G754" s="1352" t="s">
        <v>246</v>
      </c>
    </row>
    <row r="755" spans="1:7" x14ac:dyDescent="0.2">
      <c r="A755" s="192" t="s">
        <v>3589</v>
      </c>
      <c r="B755" s="193"/>
      <c r="C755" s="194"/>
      <c r="D755" s="1712" t="s">
        <v>3592</v>
      </c>
      <c r="F755" s="1724"/>
      <c r="G755" s="1352" t="s">
        <v>246</v>
      </c>
    </row>
    <row r="756" spans="1:7" x14ac:dyDescent="0.2">
      <c r="A756" s="130"/>
      <c r="B756" s="129"/>
      <c r="C756" s="97"/>
      <c r="D756" s="1629"/>
      <c r="F756" s="1724"/>
      <c r="G756" s="1352" t="s">
        <v>246</v>
      </c>
    </row>
    <row r="757" spans="1:7" x14ac:dyDescent="0.2">
      <c r="A757" s="130"/>
      <c r="B757" s="129"/>
      <c r="C757" s="97"/>
      <c r="D757" s="1629"/>
      <c r="F757" s="1341" t="str">
        <f>IF(LEN('Verification Report'!W757)=0,"",'Verification Report'!W757)</f>
        <v/>
      </c>
      <c r="G757" s="1352" t="s">
        <v>246</v>
      </c>
    </row>
    <row r="758" spans="1:7" x14ac:dyDescent="0.2">
      <c r="A758" s="130"/>
      <c r="B758" s="129"/>
      <c r="C758" s="93" t="s">
        <v>121</v>
      </c>
      <c r="D758" s="97" t="s">
        <v>574</v>
      </c>
      <c r="G758" s="1352" t="s">
        <v>246</v>
      </c>
    </row>
    <row r="759" spans="1:7" x14ac:dyDescent="0.2">
      <c r="A759" s="130"/>
      <c r="B759" s="129"/>
      <c r="C759" s="93" t="s">
        <v>122</v>
      </c>
      <c r="D759" s="97" t="s">
        <v>575</v>
      </c>
      <c r="G759" s="1352" t="s">
        <v>246</v>
      </c>
    </row>
    <row r="760" spans="1:7" x14ac:dyDescent="0.2">
      <c r="A760" s="130"/>
      <c r="B760" s="129"/>
      <c r="C760" s="93" t="s">
        <v>123</v>
      </c>
      <c r="D760" s="97" t="s">
        <v>576</v>
      </c>
      <c r="G760" s="1352" t="s">
        <v>246</v>
      </c>
    </row>
    <row r="761" spans="1:7" x14ac:dyDescent="0.2">
      <c r="A761" s="130"/>
      <c r="B761" s="129"/>
      <c r="C761" s="111" t="s">
        <v>366</v>
      </c>
      <c r="D761" s="97" t="s">
        <v>577</v>
      </c>
      <c r="G761" s="1352" t="s">
        <v>246</v>
      </c>
    </row>
    <row r="762" spans="1:7" x14ac:dyDescent="0.2">
      <c r="A762" s="130"/>
      <c r="B762" s="129"/>
      <c r="C762" s="187" t="s">
        <v>472</v>
      </c>
      <c r="D762" s="97" t="s">
        <v>578</v>
      </c>
      <c r="F762" s="1724"/>
      <c r="G762" s="1352" t="s">
        <v>246</v>
      </c>
    </row>
    <row r="763" spans="1:7" x14ac:dyDescent="0.2">
      <c r="A763" s="130"/>
      <c r="B763" s="129"/>
      <c r="C763" s="93" t="s">
        <v>510</v>
      </c>
      <c r="D763" s="97" t="s">
        <v>579</v>
      </c>
      <c r="F763" s="1724"/>
      <c r="G763" s="1352" t="s">
        <v>246</v>
      </c>
    </row>
    <row r="764" spans="1:7" x14ac:dyDescent="0.2">
      <c r="A764" s="130"/>
      <c r="B764" s="129"/>
      <c r="C764" s="1391"/>
      <c r="D764" s="1705" t="s">
        <v>585</v>
      </c>
      <c r="F764" s="1341" t="str">
        <f>IF(LEN('Verification Report'!W764)=0,"",'Verification Report'!W764)</f>
        <v/>
      </c>
      <c r="G764" s="1352" t="s">
        <v>246</v>
      </c>
    </row>
    <row r="765" spans="1:7" x14ac:dyDescent="0.2">
      <c r="A765" s="130"/>
      <c r="B765" s="129"/>
      <c r="C765" s="1377"/>
      <c r="D765" s="1705"/>
      <c r="G765" s="1352" t="s">
        <v>246</v>
      </c>
    </row>
    <row r="766" spans="1:7" x14ac:dyDescent="0.2">
      <c r="A766" s="130"/>
      <c r="B766" s="129"/>
      <c r="C766" s="1377"/>
      <c r="D766" s="1705"/>
      <c r="G766" s="1352" t="s">
        <v>246</v>
      </c>
    </row>
    <row r="767" spans="1:7" x14ac:dyDescent="0.2">
      <c r="A767" s="130"/>
      <c r="B767" s="129"/>
      <c r="C767" s="1377"/>
      <c r="D767" s="1730" t="s">
        <v>2650</v>
      </c>
      <c r="G767" s="1352" t="s">
        <v>246</v>
      </c>
    </row>
    <row r="768" spans="1:7" x14ac:dyDescent="0.2">
      <c r="A768" s="219"/>
      <c r="B768" s="213"/>
      <c r="C768" s="1379"/>
      <c r="D768" s="1731"/>
      <c r="G768" s="1352" t="s">
        <v>246</v>
      </c>
    </row>
    <row r="769" spans="1:7" x14ac:dyDescent="0.2">
      <c r="A769" s="67" t="s">
        <v>3590</v>
      </c>
      <c r="B769" s="4"/>
      <c r="C769" s="85"/>
      <c r="D769" s="1631" t="s">
        <v>3834</v>
      </c>
      <c r="G769" s="1352" t="s">
        <v>246</v>
      </c>
    </row>
    <row r="770" spans="1:7" x14ac:dyDescent="0.2">
      <c r="A770" s="67"/>
      <c r="B770" s="4"/>
      <c r="C770" s="85"/>
      <c r="D770" s="1631"/>
      <c r="F770" s="1341" t="str">
        <f>IF(LEN('Verification Report'!W770)=0,"",'Verification Report'!W770)</f>
        <v/>
      </c>
      <c r="G770" s="1352" t="s">
        <v>246</v>
      </c>
    </row>
    <row r="771" spans="1:7" x14ac:dyDescent="0.2">
      <c r="A771" s="67"/>
      <c r="B771" s="4"/>
      <c r="C771" s="85"/>
      <c r="D771" s="1631"/>
      <c r="G771" s="1352" t="s">
        <v>246</v>
      </c>
    </row>
    <row r="772" spans="1:7" x14ac:dyDescent="0.2">
      <c r="A772" s="67"/>
      <c r="B772" s="4"/>
      <c r="C772" s="85"/>
      <c r="D772" s="1631"/>
      <c r="G772" s="1352" t="s">
        <v>246</v>
      </c>
    </row>
    <row r="773" spans="1:7" x14ac:dyDescent="0.2">
      <c r="A773" s="67"/>
      <c r="B773" s="4"/>
      <c r="C773" s="85"/>
      <c r="D773" s="1631"/>
      <c r="G773" s="1352" t="s">
        <v>246</v>
      </c>
    </row>
    <row r="774" spans="1:7" x14ac:dyDescent="0.2">
      <c r="A774" s="67"/>
      <c r="B774" s="4"/>
      <c r="C774" s="85"/>
      <c r="D774" s="1631"/>
      <c r="G774" s="1352" t="s">
        <v>246</v>
      </c>
    </row>
    <row r="775" spans="1:7" x14ac:dyDescent="0.2">
      <c r="A775" s="67"/>
      <c r="B775" s="4"/>
      <c r="C775" s="85"/>
      <c r="D775" s="1631"/>
      <c r="G775" s="1352" t="s">
        <v>246</v>
      </c>
    </row>
    <row r="776" spans="1:7" x14ac:dyDescent="0.2">
      <c r="A776" s="67"/>
      <c r="B776" s="4"/>
      <c r="C776" s="85"/>
      <c r="D776" s="1631"/>
      <c r="F776" s="1341" t="str">
        <f>IF(LEN('Verification Report'!W776)=0,"",'Verification Report'!W776)</f>
        <v/>
      </c>
      <c r="G776" s="1352" t="s">
        <v>246</v>
      </c>
    </row>
    <row r="777" spans="1:7" x14ac:dyDescent="0.2">
      <c r="A777" s="67"/>
      <c r="B777" s="4"/>
      <c r="C777" s="89" t="s">
        <v>121</v>
      </c>
      <c r="D777" s="85" t="s">
        <v>587</v>
      </c>
      <c r="G777" s="1352" t="s">
        <v>246</v>
      </c>
    </row>
    <row r="778" spans="1:7" x14ac:dyDescent="0.2">
      <c r="A778" s="67"/>
      <c r="B778" s="4"/>
      <c r="C778" s="89" t="s">
        <v>122</v>
      </c>
      <c r="D778" s="85" t="s">
        <v>588</v>
      </c>
      <c r="G778" s="1352" t="s">
        <v>246</v>
      </c>
    </row>
    <row r="779" spans="1:7" x14ac:dyDescent="0.2">
      <c r="A779" s="67"/>
      <c r="B779" s="4"/>
      <c r="C779" s="89" t="s">
        <v>123</v>
      </c>
      <c r="D779" s="85" t="s">
        <v>589</v>
      </c>
      <c r="G779" s="1352" t="s">
        <v>246</v>
      </c>
    </row>
    <row r="780" spans="1:7" x14ac:dyDescent="0.2">
      <c r="A780" s="67"/>
      <c r="B780" s="4"/>
      <c r="C780" s="91" t="s">
        <v>366</v>
      </c>
      <c r="D780" s="85" t="s">
        <v>590</v>
      </c>
      <c r="G780" s="1352" t="s">
        <v>246</v>
      </c>
    </row>
    <row r="781" spans="1:7" x14ac:dyDescent="0.2">
      <c r="A781" s="67"/>
      <c r="B781" s="4"/>
      <c r="C781" s="85"/>
      <c r="D781" s="1717" t="s">
        <v>591</v>
      </c>
      <c r="G781" s="1352" t="s">
        <v>246</v>
      </c>
    </row>
    <row r="782" spans="1:7" x14ac:dyDescent="0.2">
      <c r="A782" s="67"/>
      <c r="B782" s="4"/>
      <c r="C782" s="85"/>
      <c r="D782" s="1717"/>
      <c r="F782" s="1341" t="str">
        <f>IF(LEN('Verification Report'!W782)=0,"",'Verification Report'!W782)</f>
        <v/>
      </c>
      <c r="G782" s="1352" t="s">
        <v>246</v>
      </c>
    </row>
    <row r="783" spans="1:7" x14ac:dyDescent="0.2">
      <c r="A783" s="67"/>
      <c r="B783" s="4"/>
      <c r="C783" s="89" t="s">
        <v>121</v>
      </c>
      <c r="D783" s="85" t="s">
        <v>574</v>
      </c>
      <c r="G783" s="1352" t="s">
        <v>246</v>
      </c>
    </row>
    <row r="784" spans="1:7" x14ac:dyDescent="0.2">
      <c r="A784" s="67"/>
      <c r="B784" s="4"/>
      <c r="C784" s="89" t="s">
        <v>122</v>
      </c>
      <c r="D784" s="85" t="s">
        <v>575</v>
      </c>
      <c r="G784" s="1352" t="s">
        <v>246</v>
      </c>
    </row>
    <row r="785" spans="1:7" x14ac:dyDescent="0.2">
      <c r="A785" s="67"/>
      <c r="B785" s="4"/>
      <c r="C785" s="89" t="s">
        <v>123</v>
      </c>
      <c r="D785" s="85" t="s">
        <v>576</v>
      </c>
      <c r="G785" s="1352" t="s">
        <v>246</v>
      </c>
    </row>
    <row r="786" spans="1:7" x14ac:dyDescent="0.2">
      <c r="A786" s="67"/>
      <c r="B786" s="4"/>
      <c r="C786" s="91" t="s">
        <v>366</v>
      </c>
      <c r="D786" s="85" t="s">
        <v>577</v>
      </c>
      <c r="G786" s="1352" t="s">
        <v>246</v>
      </c>
    </row>
    <row r="787" spans="1:7" x14ac:dyDescent="0.2">
      <c r="A787" s="67"/>
      <c r="B787" s="4"/>
      <c r="C787" s="87" t="s">
        <v>472</v>
      </c>
      <c r="D787" s="85" t="s">
        <v>578</v>
      </c>
      <c r="G787" s="1352" t="s">
        <v>246</v>
      </c>
    </row>
    <row r="788" spans="1:7" x14ac:dyDescent="0.2">
      <c r="A788" s="67"/>
      <c r="B788" s="4"/>
      <c r="C788" s="89" t="s">
        <v>510</v>
      </c>
      <c r="D788" s="85" t="s">
        <v>579</v>
      </c>
      <c r="F788" s="1341" t="str">
        <f>IF(LEN('Verification Report'!W788)=0,"",'Verification Report'!W788)</f>
        <v/>
      </c>
      <c r="G788" s="1352" t="s">
        <v>246</v>
      </c>
    </row>
    <row r="789" spans="1:7" x14ac:dyDescent="0.2">
      <c r="A789" s="67"/>
      <c r="B789" s="4"/>
      <c r="C789" s="85"/>
      <c r="D789" s="1707" t="s">
        <v>3836</v>
      </c>
      <c r="G789" s="1352" t="s">
        <v>246</v>
      </c>
    </row>
    <row r="790" spans="1:7" x14ac:dyDescent="0.2">
      <c r="A790" s="67"/>
      <c r="B790" s="4"/>
      <c r="C790" s="85"/>
      <c r="D790" s="1794"/>
      <c r="G790" s="1352" t="s">
        <v>246</v>
      </c>
    </row>
    <row r="791" spans="1:7" x14ac:dyDescent="0.2">
      <c r="A791" s="67"/>
      <c r="B791" s="4"/>
      <c r="C791" s="85"/>
      <c r="D791" s="1810" t="s">
        <v>2658</v>
      </c>
      <c r="G791" s="1352" t="s">
        <v>246</v>
      </c>
    </row>
    <row r="792" spans="1:7" x14ac:dyDescent="0.2">
      <c r="A792" s="67"/>
      <c r="B792" s="4"/>
      <c r="C792" s="85"/>
      <c r="D792" s="1811"/>
      <c r="G792" s="1352" t="s">
        <v>246</v>
      </c>
    </row>
    <row r="793" spans="1:7" ht="19" x14ac:dyDescent="0.25">
      <c r="A793" s="1142" t="s">
        <v>5032</v>
      </c>
      <c r="B793" s="1143"/>
      <c r="C793" s="1144"/>
      <c r="D793" s="1145"/>
      <c r="E793" s="25"/>
      <c r="F793" s="994"/>
      <c r="G793" s="1352" t="s">
        <v>246</v>
      </c>
    </row>
    <row r="794" spans="1:7" x14ac:dyDescent="0.2">
      <c r="A794" s="130" t="s">
        <v>3591</v>
      </c>
      <c r="B794" s="129"/>
      <c r="C794" s="97"/>
      <c r="D794" s="1629" t="s">
        <v>4000</v>
      </c>
      <c r="E794" s="1352">
        <f>'Verification Report'!O794</f>
        <v>0</v>
      </c>
      <c r="G794" s="1352" t="s">
        <v>246</v>
      </c>
    </row>
    <row r="795" spans="1:7" x14ac:dyDescent="0.2">
      <c r="A795" s="130"/>
      <c r="B795" s="129"/>
      <c r="C795" s="97"/>
      <c r="D795" s="1629"/>
      <c r="G795" s="1352" t="s">
        <v>246</v>
      </c>
    </row>
    <row r="796" spans="1:7" x14ac:dyDescent="0.2">
      <c r="A796" s="130"/>
      <c r="B796" s="129"/>
      <c r="C796" s="97"/>
      <c r="D796" s="1629"/>
      <c r="G796" s="1352" t="s">
        <v>246</v>
      </c>
    </row>
    <row r="797" spans="1:7" x14ac:dyDescent="0.2">
      <c r="A797" s="130"/>
      <c r="B797" s="129"/>
      <c r="C797" s="97"/>
      <c r="D797" s="1629"/>
      <c r="G797" s="1352" t="s">
        <v>246</v>
      </c>
    </row>
    <row r="798" spans="1:7" x14ac:dyDescent="0.2">
      <c r="A798" s="219"/>
      <c r="B798" s="213"/>
      <c r="C798" s="170"/>
      <c r="D798" s="1696"/>
      <c r="G798" s="1352" t="s">
        <v>246</v>
      </c>
    </row>
    <row r="799" spans="1:7" x14ac:dyDescent="0.2">
      <c r="A799" s="67" t="s">
        <v>3995</v>
      </c>
      <c r="B799" s="4"/>
      <c r="C799" s="85"/>
      <c r="D799" s="1725" t="s">
        <v>4001</v>
      </c>
      <c r="G799" s="1352" t="s">
        <v>246</v>
      </c>
    </row>
    <row r="800" spans="1:7" x14ac:dyDescent="0.2">
      <c r="A800" s="67"/>
      <c r="B800" s="4"/>
      <c r="C800" s="85"/>
      <c r="D800" s="1725"/>
      <c r="F800" s="1341" t="str">
        <f>IF(LEN('Verification Report'!W800)=0,"",'Verification Report'!W800)</f>
        <v/>
      </c>
      <c r="G800" s="1352" t="s">
        <v>246</v>
      </c>
    </row>
    <row r="801" spans="1:7" x14ac:dyDescent="0.2">
      <c r="A801" s="67"/>
      <c r="B801" s="4"/>
      <c r="C801" s="85"/>
      <c r="D801" s="1725"/>
      <c r="G801" s="1352" t="s">
        <v>246</v>
      </c>
    </row>
    <row r="802" spans="1:7" x14ac:dyDescent="0.2">
      <c r="A802" s="67"/>
      <c r="B802" s="4"/>
      <c r="C802" s="85"/>
      <c r="D802" s="1725"/>
      <c r="G802" s="1352" t="s">
        <v>246</v>
      </c>
    </row>
    <row r="803" spans="1:7" x14ac:dyDescent="0.2">
      <c r="A803" s="67"/>
      <c r="B803" s="4"/>
      <c r="C803" s="85"/>
      <c r="D803" s="1725"/>
      <c r="G803" s="1352" t="s">
        <v>246</v>
      </c>
    </row>
    <row r="804" spans="1:7" x14ac:dyDescent="0.2">
      <c r="A804" s="67"/>
      <c r="B804" s="4"/>
      <c r="C804" s="85"/>
      <c r="D804" s="1725"/>
      <c r="G804" s="1352" t="s">
        <v>246</v>
      </c>
    </row>
    <row r="805" spans="1:7" x14ac:dyDescent="0.2">
      <c r="A805" s="67"/>
      <c r="B805" s="4"/>
      <c r="C805" s="85"/>
      <c r="D805" s="1725"/>
      <c r="G805" s="1352" t="s">
        <v>246</v>
      </c>
    </row>
    <row r="806" spans="1:7" x14ac:dyDescent="0.2">
      <c r="A806" s="67"/>
      <c r="B806" s="4"/>
      <c r="C806" s="85"/>
      <c r="D806" s="1725"/>
      <c r="G806" s="1352" t="s">
        <v>246</v>
      </c>
    </row>
    <row r="807" spans="1:7" x14ac:dyDescent="0.2">
      <c r="A807" s="67"/>
      <c r="B807" s="4"/>
      <c r="C807" s="85"/>
      <c r="D807" s="1725"/>
      <c r="G807" s="1352" t="s">
        <v>246</v>
      </c>
    </row>
    <row r="808" spans="1:7" x14ac:dyDescent="0.2">
      <c r="A808" s="219"/>
      <c r="B808" s="213"/>
      <c r="C808" s="170"/>
      <c r="D808" s="1382" t="s">
        <v>2678</v>
      </c>
      <c r="G808" s="1352" t="s">
        <v>246</v>
      </c>
    </row>
    <row r="809" spans="1:7" x14ac:dyDescent="0.2">
      <c r="A809" s="130" t="s">
        <v>3996</v>
      </c>
      <c r="B809" s="129"/>
      <c r="C809" s="97"/>
      <c r="D809" s="1647" t="s">
        <v>4002</v>
      </c>
      <c r="F809" s="1724"/>
      <c r="G809" s="1352" t="s">
        <v>246</v>
      </c>
    </row>
    <row r="810" spans="1:7" x14ac:dyDescent="0.2">
      <c r="A810" s="130"/>
      <c r="B810" s="129"/>
      <c r="C810" s="97"/>
      <c r="D810" s="1647"/>
      <c r="F810" s="1724"/>
      <c r="G810" s="1352" t="s">
        <v>246</v>
      </c>
    </row>
    <row r="811" spans="1:7" x14ac:dyDescent="0.2">
      <c r="A811" s="130"/>
      <c r="B811" s="129"/>
      <c r="C811" s="97"/>
      <c r="D811" s="1647"/>
      <c r="F811" s="1341" t="str">
        <f>IF(LEN('Verification Report'!W811)=0,"",'Verification Report'!W811)</f>
        <v/>
      </c>
      <c r="G811" s="1352" t="s">
        <v>246</v>
      </c>
    </row>
    <row r="812" spans="1:7" x14ac:dyDescent="0.2">
      <c r="A812" s="130"/>
      <c r="B812" s="129"/>
      <c r="C812" s="97"/>
      <c r="D812" s="1647"/>
      <c r="G812" s="1352" t="s">
        <v>246</v>
      </c>
    </row>
    <row r="813" spans="1:7" x14ac:dyDescent="0.2">
      <c r="A813" s="130"/>
      <c r="B813" s="129"/>
      <c r="C813" s="97"/>
      <c r="D813" s="1647"/>
      <c r="G813" s="1352" t="s">
        <v>246</v>
      </c>
    </row>
    <row r="814" spans="1:7" x14ac:dyDescent="0.2">
      <c r="A814" s="130"/>
      <c r="B814" s="129"/>
      <c r="C814" s="97"/>
      <c r="D814" s="1647"/>
      <c r="G814" s="1352" t="s">
        <v>246</v>
      </c>
    </row>
    <row r="815" spans="1:7" ht="16" thickBot="1" x14ac:dyDescent="0.25">
      <c r="A815" s="100"/>
      <c r="B815" s="100"/>
      <c r="C815" s="100"/>
      <c r="D815" s="316" t="s">
        <v>2678</v>
      </c>
      <c r="G815" s="1352" t="s">
        <v>246</v>
      </c>
    </row>
    <row r="816" spans="1:7" ht="20" thickTop="1" x14ac:dyDescent="0.25">
      <c r="A816" s="14" t="s">
        <v>4003</v>
      </c>
      <c r="B816" s="25"/>
      <c r="C816" s="84"/>
      <c r="D816" s="233"/>
      <c r="E816" s="25"/>
      <c r="F816" s="994"/>
      <c r="G816" s="1352" t="s">
        <v>246</v>
      </c>
    </row>
    <row r="817" spans="1:7" x14ac:dyDescent="0.2">
      <c r="A817" s="67" t="s">
        <v>4004</v>
      </c>
      <c r="B817" s="4"/>
      <c r="C817" s="85"/>
      <c r="D817" s="1631" t="s">
        <v>4005</v>
      </c>
      <c r="E817" s="1352">
        <f ca="1">'Verification Report'!O817</f>
        <v>0</v>
      </c>
      <c r="F817" s="1341" t="str">
        <f>IF(LEN('Verification Report'!W817)=0,"",'Verification Report'!W817)</f>
        <v/>
      </c>
      <c r="G817" s="1352" t="s">
        <v>246</v>
      </c>
    </row>
    <row r="818" spans="1:7" x14ac:dyDescent="0.2">
      <c r="A818" s="67"/>
      <c r="B818" s="4"/>
      <c r="C818" s="85"/>
      <c r="D818" s="1631"/>
      <c r="G818" s="1352" t="s">
        <v>246</v>
      </c>
    </row>
    <row r="819" spans="1:7" x14ac:dyDescent="0.2">
      <c r="A819" s="67"/>
      <c r="B819" s="4"/>
      <c r="C819" s="85"/>
      <c r="D819" s="1631"/>
      <c r="G819" s="1352" t="s">
        <v>246</v>
      </c>
    </row>
    <row r="820" spans="1:7" x14ac:dyDescent="0.2">
      <c r="A820" s="67"/>
      <c r="B820" s="4"/>
      <c r="C820" s="85"/>
      <c r="D820" s="1631"/>
      <c r="G820" s="1352" t="s">
        <v>246</v>
      </c>
    </row>
    <row r="821" spans="1:7" x14ac:dyDescent="0.2">
      <c r="A821" s="67"/>
      <c r="B821" s="4"/>
      <c r="C821" s="85"/>
      <c r="D821" s="1631"/>
      <c r="G821" s="1352" t="s">
        <v>246</v>
      </c>
    </row>
    <row r="822" spans="1:7" x14ac:dyDescent="0.2">
      <c r="A822" s="67"/>
      <c r="B822" s="4"/>
      <c r="C822" s="85"/>
      <c r="D822" s="154" t="s">
        <v>592</v>
      </c>
      <c r="G822" s="1352" t="s">
        <v>246</v>
      </c>
    </row>
    <row r="823" spans="1:7" x14ac:dyDescent="0.2">
      <c r="A823" s="67"/>
      <c r="B823" s="4"/>
      <c r="C823" s="85"/>
      <c r="D823" s="1673" t="s">
        <v>2675</v>
      </c>
      <c r="G823" s="1352" t="s">
        <v>246</v>
      </c>
    </row>
    <row r="824" spans="1:7" ht="16" thickBot="1" x14ac:dyDescent="0.25">
      <c r="A824" s="67"/>
      <c r="B824" s="4"/>
      <c r="C824" s="85"/>
      <c r="D824" s="1810"/>
      <c r="G824" s="1352" t="s">
        <v>246</v>
      </c>
    </row>
    <row r="825" spans="1:7" ht="16" thickTop="1" x14ac:dyDescent="0.2">
      <c r="A825" s="177" t="s">
        <v>4006</v>
      </c>
      <c r="B825" s="178"/>
      <c r="C825" s="179"/>
      <c r="D825" s="1683" t="s">
        <v>4013</v>
      </c>
      <c r="E825" s="1352">
        <f>'Verification Report'!O825</f>
        <v>0</v>
      </c>
      <c r="G825" s="1352" t="s">
        <v>246</v>
      </c>
    </row>
    <row r="826" spans="1:7" x14ac:dyDescent="0.2">
      <c r="A826" s="130"/>
      <c r="B826" s="129"/>
      <c r="C826" s="97"/>
      <c r="D826" s="1629"/>
      <c r="G826" s="1352" t="s">
        <v>246</v>
      </c>
    </row>
    <row r="827" spans="1:7" x14ac:dyDescent="0.2">
      <c r="A827" s="130"/>
      <c r="B827" s="129"/>
      <c r="C827" s="97"/>
      <c r="D827" s="1629"/>
      <c r="G827" s="1352" t="s">
        <v>246</v>
      </c>
    </row>
    <row r="828" spans="1:7" x14ac:dyDescent="0.2">
      <c r="A828" s="67"/>
      <c r="B828" s="207" t="s">
        <v>254</v>
      </c>
      <c r="C828" s="170"/>
      <c r="D828" s="170" t="s">
        <v>4014</v>
      </c>
      <c r="F828" s="1341" t="str">
        <f>IF(LEN('Verification Report'!W828)=0,"",'Verification Report'!W828)</f>
        <v/>
      </c>
      <c r="G828" s="1352" t="s">
        <v>246</v>
      </c>
    </row>
    <row r="829" spans="1:7" x14ac:dyDescent="0.2">
      <c r="A829" s="67"/>
      <c r="B829" s="212" t="s">
        <v>255</v>
      </c>
      <c r="C829" s="194"/>
      <c r="D829" s="1649" t="s">
        <v>4015</v>
      </c>
      <c r="F829" s="1341" t="str">
        <f>IF(LEN('Verification Report'!W829)=0,"",'Verification Report'!W829)</f>
        <v/>
      </c>
      <c r="G829" s="1352" t="s">
        <v>246</v>
      </c>
    </row>
    <row r="830" spans="1:7" x14ac:dyDescent="0.2">
      <c r="A830" s="67"/>
      <c r="B830" s="207"/>
      <c r="C830" s="170"/>
      <c r="D830" s="1650"/>
      <c r="G830" s="1352" t="s">
        <v>246</v>
      </c>
    </row>
    <row r="831" spans="1:7" x14ac:dyDescent="0.2">
      <c r="A831" s="67"/>
      <c r="B831" s="212" t="s">
        <v>256</v>
      </c>
      <c r="C831" s="194"/>
      <c r="D831" s="1649" t="s">
        <v>4016</v>
      </c>
      <c r="F831" s="1341" t="str">
        <f>IF(LEN('Verification Report'!W831)=0,"",'Verification Report'!W831)</f>
        <v/>
      </c>
      <c r="G831" s="1352" t="s">
        <v>246</v>
      </c>
    </row>
    <row r="832" spans="1:7" x14ac:dyDescent="0.2">
      <c r="A832" s="67"/>
      <c r="B832" s="207"/>
      <c r="C832" s="170"/>
      <c r="D832" s="1650"/>
      <c r="G832" s="1352" t="s">
        <v>246</v>
      </c>
    </row>
    <row r="833" spans="1:9" x14ac:dyDescent="0.2">
      <c r="A833" s="67"/>
      <c r="B833" s="212" t="s">
        <v>259</v>
      </c>
      <c r="C833" s="194"/>
      <c r="D833" s="1649" t="s">
        <v>4017</v>
      </c>
      <c r="F833" s="1341" t="str">
        <f>IF(LEN('Verification Report'!W833)=0,"",'Verification Report'!W833)</f>
        <v/>
      </c>
      <c r="G833" s="1352" t="s">
        <v>246</v>
      </c>
    </row>
    <row r="834" spans="1:9" x14ac:dyDescent="0.2">
      <c r="A834" s="67"/>
      <c r="B834" s="207"/>
      <c r="C834" s="170"/>
      <c r="D834" s="1650"/>
      <c r="G834" s="1352" t="s">
        <v>246</v>
      </c>
    </row>
    <row r="835" spans="1:9" x14ac:dyDescent="0.2">
      <c r="A835" s="67"/>
      <c r="B835" s="212" t="s">
        <v>263</v>
      </c>
      <c r="C835" s="194"/>
      <c r="D835" s="1649" t="s">
        <v>4018</v>
      </c>
      <c r="F835" s="1341" t="str">
        <f>IF(LEN('Verification Report'!W835)=0,"",'Verification Report'!W835)</f>
        <v/>
      </c>
      <c r="G835" s="1352" t="s">
        <v>246</v>
      </c>
    </row>
    <row r="836" spans="1:9" x14ac:dyDescent="0.2">
      <c r="A836" s="67"/>
      <c r="B836" s="207"/>
      <c r="C836" s="170"/>
      <c r="D836" s="1650"/>
      <c r="G836" s="1352" t="s">
        <v>246</v>
      </c>
    </row>
    <row r="837" spans="1:9" x14ac:dyDescent="0.2">
      <c r="A837" s="67"/>
      <c r="B837" s="212" t="s">
        <v>264</v>
      </c>
      <c r="C837" s="194"/>
      <c r="D837" s="1649" t="s">
        <v>4019</v>
      </c>
      <c r="F837" s="1341" t="str">
        <f>IF(LEN('Verification Report'!W837)=0,"",'Verification Report'!W837)</f>
        <v/>
      </c>
      <c r="G837" s="1352" t="s">
        <v>246</v>
      </c>
    </row>
    <row r="838" spans="1:9" x14ac:dyDescent="0.2">
      <c r="A838" s="67"/>
      <c r="B838" s="180"/>
      <c r="C838" s="97"/>
      <c r="D838" s="1650"/>
      <c r="G838" s="1352" t="s">
        <v>246</v>
      </c>
    </row>
    <row r="839" spans="1:9" x14ac:dyDescent="0.2">
      <c r="A839" s="67"/>
      <c r="B839" s="212" t="s">
        <v>356</v>
      </c>
      <c r="C839" s="194"/>
      <c r="D839" s="1613" t="s">
        <v>4020</v>
      </c>
      <c r="F839" s="1341" t="str">
        <f>IF(LEN('Verification Report'!W839)=0,"",'Verification Report'!W839)</f>
        <v/>
      </c>
      <c r="G839" s="1352" t="s">
        <v>246</v>
      </c>
    </row>
    <row r="840" spans="1:9" ht="16" thickBot="1" x14ac:dyDescent="0.25">
      <c r="A840" s="67"/>
      <c r="B840" s="29"/>
      <c r="C840" s="85"/>
      <c r="D840" s="1610"/>
      <c r="G840" s="1352" t="s">
        <v>246</v>
      </c>
    </row>
    <row r="841" spans="1:9" ht="16" thickTop="1" x14ac:dyDescent="0.2">
      <c r="A841" s="177" t="s">
        <v>4007</v>
      </c>
      <c r="B841" s="199"/>
      <c r="C841" s="179"/>
      <c r="D841" s="1683" t="s">
        <v>4008</v>
      </c>
      <c r="E841" s="1352">
        <f ca="1">'Verification Report'!O841</f>
        <v>0</v>
      </c>
      <c r="G841" s="1397" t="str">
        <f ca="1">IF(E841&gt;0,"P","NP")</f>
        <v>NP</v>
      </c>
    </row>
    <row r="842" spans="1:9" x14ac:dyDescent="0.2">
      <c r="A842" s="130"/>
      <c r="B842" s="129"/>
      <c r="C842" s="97"/>
      <c r="D842" s="1629"/>
      <c r="G842" s="1" t="str">
        <f ca="1">G841</f>
        <v>NP</v>
      </c>
    </row>
    <row r="843" spans="1:9" x14ac:dyDescent="0.2">
      <c r="A843" s="67"/>
      <c r="B843" s="180" t="s">
        <v>254</v>
      </c>
      <c r="C843" s="97"/>
      <c r="D843" s="1609" t="s">
        <v>593</v>
      </c>
      <c r="F843" s="1341" t="str">
        <f>IF(LEN('Verification Report'!W843)=0,"",'Verification Report'!W843)</f>
        <v/>
      </c>
      <c r="G843" s="1398" t="str">
        <f>IF(AND(LEN(F843)&gt;0,NOT(F843=FALSE)),"P","NP")</f>
        <v>NP</v>
      </c>
      <c r="H843" s="1401" t="s">
        <v>5280</v>
      </c>
      <c r="I843" s="1600"/>
    </row>
    <row r="844" spans="1:9" x14ac:dyDescent="0.2">
      <c r="A844" s="67"/>
      <c r="B844" s="129"/>
      <c r="C844" s="97"/>
      <c r="D844" s="1609"/>
      <c r="G844" s="1" t="str">
        <f>G843</f>
        <v>NP</v>
      </c>
      <c r="I844" s="1600"/>
    </row>
    <row r="845" spans="1:9" x14ac:dyDescent="0.2">
      <c r="A845" s="67"/>
      <c r="B845" s="129"/>
      <c r="C845" s="97"/>
      <c r="D845" s="1609"/>
      <c r="G845" s="1" t="str">
        <f>G844</f>
        <v>NP</v>
      </c>
      <c r="I845" s="1600"/>
    </row>
    <row r="846" spans="1:9" x14ac:dyDescent="0.2">
      <c r="A846" s="67"/>
      <c r="B846" s="129"/>
      <c r="C846" s="97"/>
      <c r="D846" s="1609"/>
      <c r="G846" s="1" t="str">
        <f>G845</f>
        <v>NP</v>
      </c>
      <c r="I846" s="1600"/>
    </row>
    <row r="847" spans="1:9" x14ac:dyDescent="0.2">
      <c r="A847" s="67"/>
      <c r="B847" s="213"/>
      <c r="C847" s="170"/>
      <c r="D847" s="1612"/>
      <c r="G847" s="1" t="str">
        <f>G846</f>
        <v>NP</v>
      </c>
      <c r="I847" s="1600"/>
    </row>
    <row r="848" spans="1:9" x14ac:dyDescent="0.2">
      <c r="A848" s="67"/>
      <c r="B848" s="212" t="s">
        <v>255</v>
      </c>
      <c r="C848" s="194"/>
      <c r="D848" s="1613" t="s">
        <v>594</v>
      </c>
      <c r="F848" s="1341" t="str">
        <f>IF(LEN('Verification Report'!W848)=0,"",'Verification Report'!W848)</f>
        <v/>
      </c>
      <c r="G848" s="1352" t="s">
        <v>246</v>
      </c>
    </row>
    <row r="849" spans="1:7" x14ac:dyDescent="0.2">
      <c r="A849" s="67"/>
      <c r="B849" s="129"/>
      <c r="C849" s="97"/>
      <c r="D849" s="1609"/>
      <c r="G849" s="1352" t="s">
        <v>246</v>
      </c>
    </row>
    <row r="850" spans="1:7" x14ac:dyDescent="0.2">
      <c r="A850" s="67"/>
      <c r="B850" s="129"/>
      <c r="C850" s="97"/>
      <c r="D850" s="1609"/>
      <c r="G850" s="1352" t="s">
        <v>246</v>
      </c>
    </row>
    <row r="851" spans="1:7" x14ac:dyDescent="0.2">
      <c r="A851" s="67"/>
      <c r="B851" s="213"/>
      <c r="C851" s="170"/>
      <c r="D851" s="1612"/>
      <c r="G851" s="1352" t="s">
        <v>246</v>
      </c>
    </row>
    <row r="852" spans="1:7" x14ac:dyDescent="0.2">
      <c r="A852" s="67"/>
      <c r="B852" s="212" t="s">
        <v>256</v>
      </c>
      <c r="C852" s="194"/>
      <c r="D852" s="1613" t="s">
        <v>595</v>
      </c>
      <c r="F852" s="1341" t="str">
        <f>IF(LEN('Verification Report'!W852)=0,"",'Verification Report'!W852)</f>
        <v/>
      </c>
      <c r="G852" s="1352" t="s">
        <v>246</v>
      </c>
    </row>
    <row r="853" spans="1:7" x14ac:dyDescent="0.2">
      <c r="A853" s="67"/>
      <c r="B853" s="213"/>
      <c r="C853" s="170"/>
      <c r="D853" s="1612"/>
      <c r="G853" s="1352" t="s">
        <v>246</v>
      </c>
    </row>
    <row r="854" spans="1:7" x14ac:dyDescent="0.2">
      <c r="A854" s="67"/>
      <c r="B854" s="212" t="s">
        <v>259</v>
      </c>
      <c r="C854" s="194"/>
      <c r="D854" s="1613" t="s">
        <v>596</v>
      </c>
      <c r="F854" s="1341" t="str">
        <f>IF(LEN('Verification Report'!W854)=0,"",'Verification Report'!W854)</f>
        <v/>
      </c>
      <c r="G854" s="1352" t="s">
        <v>246</v>
      </c>
    </row>
    <row r="855" spans="1:7" x14ac:dyDescent="0.2">
      <c r="A855" s="67"/>
      <c r="B855" s="213"/>
      <c r="C855" s="170"/>
      <c r="D855" s="1612"/>
      <c r="G855" s="1352" t="s">
        <v>246</v>
      </c>
    </row>
    <row r="856" spans="1:7" x14ac:dyDescent="0.2">
      <c r="A856" s="67"/>
      <c r="B856" s="209" t="s">
        <v>263</v>
      </c>
      <c r="C856" s="210"/>
      <c r="D856" s="210" t="s">
        <v>597</v>
      </c>
      <c r="F856" s="1341" t="str">
        <f>IF(LEN('Verification Report'!W856)=0,"",'Verification Report'!W856)</f>
        <v/>
      </c>
      <c r="G856" s="1352" t="s">
        <v>246</v>
      </c>
    </row>
    <row r="857" spans="1:7" x14ac:dyDescent="0.2">
      <c r="A857" s="67"/>
      <c r="B857" s="209" t="s">
        <v>264</v>
      </c>
      <c r="C857" s="210"/>
      <c r="D857" s="210" t="s">
        <v>598</v>
      </c>
      <c r="F857" s="1341" t="str">
        <f>IF(LEN('Verification Report'!W857)=0,"",'Verification Report'!W857)</f>
        <v/>
      </c>
      <c r="G857" s="1352" t="s">
        <v>246</v>
      </c>
    </row>
    <row r="858" spans="1:7" x14ac:dyDescent="0.2">
      <c r="A858" s="67"/>
      <c r="B858" s="212" t="s">
        <v>356</v>
      </c>
      <c r="C858" s="194"/>
      <c r="D858" s="1613" t="s">
        <v>599</v>
      </c>
      <c r="F858" s="1341" t="str">
        <f>IF(LEN('Verification Report'!W858)=0,"",'Verification Report'!W858)</f>
        <v/>
      </c>
      <c r="G858" s="1352" t="s">
        <v>246</v>
      </c>
    </row>
    <row r="859" spans="1:7" x14ac:dyDescent="0.2">
      <c r="A859" s="67"/>
      <c r="B859" s="129"/>
      <c r="C859" s="97"/>
      <c r="D859" s="1609"/>
      <c r="G859" s="1352" t="s">
        <v>246</v>
      </c>
    </row>
    <row r="860" spans="1:7" x14ac:dyDescent="0.2">
      <c r="A860" s="67"/>
      <c r="B860" s="129"/>
      <c r="C860" s="97"/>
      <c r="D860" s="1609"/>
      <c r="G860" s="1352" t="s">
        <v>246</v>
      </c>
    </row>
    <row r="861" spans="1:7" x14ac:dyDescent="0.2">
      <c r="A861" s="67"/>
      <c r="B861" s="213"/>
      <c r="C861" s="170"/>
      <c r="D861" s="1612"/>
      <c r="G861" s="1352" t="s">
        <v>246</v>
      </c>
    </row>
    <row r="862" spans="1:7" x14ac:dyDescent="0.2">
      <c r="A862" s="67"/>
      <c r="B862" s="212" t="s">
        <v>389</v>
      </c>
      <c r="C862" s="194"/>
      <c r="D862" s="1613" t="s">
        <v>600</v>
      </c>
      <c r="F862" s="1341" t="str">
        <f>IF(LEN('Verification Report'!W862)=0,"",'Verification Report'!W862)</f>
        <v/>
      </c>
      <c r="G862" s="1352" t="s">
        <v>246</v>
      </c>
    </row>
    <row r="863" spans="1:7" x14ac:dyDescent="0.2">
      <c r="A863" s="67"/>
      <c r="B863" s="213"/>
      <c r="C863" s="170"/>
      <c r="D863" s="1612"/>
      <c r="G863" s="1352" t="s">
        <v>246</v>
      </c>
    </row>
    <row r="864" spans="1:7" x14ac:dyDescent="0.2">
      <c r="A864" s="67"/>
      <c r="B864" s="29" t="s">
        <v>391</v>
      </c>
      <c r="C864" s="85"/>
      <c r="D864" s="1613" t="s">
        <v>4022</v>
      </c>
      <c r="F864" s="1341" t="str">
        <f>IF(LEN('Verification Report'!W864)=0,"",'Verification Report'!W864)</f>
        <v/>
      </c>
      <c r="G864" s="1352" t="s">
        <v>246</v>
      </c>
    </row>
    <row r="865" spans="1:7" x14ac:dyDescent="0.2">
      <c r="A865" s="67"/>
      <c r="B865" s="4"/>
      <c r="C865" s="85"/>
      <c r="D865" s="1611"/>
      <c r="G865" s="1352" t="s">
        <v>246</v>
      </c>
    </row>
    <row r="866" spans="1:7" x14ac:dyDescent="0.2">
      <c r="A866" s="1352"/>
      <c r="B866" s="1352"/>
      <c r="C866" s="1352"/>
      <c r="D866" s="1611"/>
      <c r="G866" s="1352" t="s">
        <v>246</v>
      </c>
    </row>
    <row r="867" spans="1:7" ht="19" x14ac:dyDescent="0.25">
      <c r="A867" s="1254" t="s">
        <v>5086</v>
      </c>
      <c r="B867" s="994"/>
      <c r="C867" s="1255"/>
      <c r="D867" s="1256"/>
      <c r="E867" s="25"/>
      <c r="F867" s="994"/>
      <c r="G867" s="1352" t="s">
        <v>246</v>
      </c>
    </row>
    <row r="868" spans="1:7" x14ac:dyDescent="0.2">
      <c r="A868" s="130" t="s">
        <v>4028</v>
      </c>
      <c r="B868" s="129"/>
      <c r="C868" s="97"/>
      <c r="D868" s="1629" t="s">
        <v>4029</v>
      </c>
      <c r="E868" s="1352">
        <f ca="1">'Verification Report'!O868</f>
        <v>0</v>
      </c>
      <c r="F868" s="1341" t="str">
        <f>IF(LEN('Verification Report'!W868)=0,"",'Verification Report'!W868)</f>
        <v/>
      </c>
      <c r="G868" s="1352" t="s">
        <v>246</v>
      </c>
    </row>
    <row r="869" spans="1:7" x14ac:dyDescent="0.2">
      <c r="A869" s="130"/>
      <c r="B869" s="129"/>
      <c r="C869" s="97"/>
      <c r="D869" s="1629"/>
      <c r="G869" s="1352" t="s">
        <v>246</v>
      </c>
    </row>
    <row r="870" spans="1:7" x14ac:dyDescent="0.2">
      <c r="A870" s="130"/>
      <c r="B870" s="129"/>
      <c r="C870" s="97"/>
      <c r="D870" s="1629"/>
      <c r="G870" s="1352" t="s">
        <v>246</v>
      </c>
    </row>
    <row r="871" spans="1:7" x14ac:dyDescent="0.2">
      <c r="A871" s="67"/>
      <c r="B871" s="4"/>
      <c r="C871" s="85"/>
      <c r="D871" s="1629"/>
      <c r="G871" s="1352" t="s">
        <v>246</v>
      </c>
    </row>
    <row r="872" spans="1:7" x14ac:dyDescent="0.2">
      <c r="A872" s="67"/>
      <c r="B872" s="4"/>
      <c r="C872" s="85"/>
      <c r="D872" s="1629"/>
      <c r="G872" s="1352" t="s">
        <v>246</v>
      </c>
    </row>
    <row r="873" spans="1:7" x14ac:dyDescent="0.2">
      <c r="A873" s="589"/>
      <c r="B873" s="858"/>
      <c r="C873" s="93" t="s">
        <v>121</v>
      </c>
      <c r="D873" s="1687" t="s">
        <v>4037</v>
      </c>
      <c r="G873" s="1352" t="s">
        <v>246</v>
      </c>
    </row>
    <row r="874" spans="1:7" x14ac:dyDescent="0.2">
      <c r="A874" s="600"/>
      <c r="B874" s="858"/>
      <c r="C874" s="173"/>
      <c r="D874" s="1688"/>
      <c r="G874" s="1352" t="s">
        <v>246</v>
      </c>
    </row>
    <row r="875" spans="1:7" x14ac:dyDescent="0.2">
      <c r="A875" s="589"/>
      <c r="B875" s="858"/>
      <c r="C875" s="860" t="s">
        <v>122</v>
      </c>
      <c r="D875" s="1686" t="s">
        <v>4038</v>
      </c>
      <c r="G875" s="1352" t="s">
        <v>246</v>
      </c>
    </row>
    <row r="876" spans="1:7" x14ac:dyDescent="0.2">
      <c r="A876" s="600"/>
      <c r="B876" s="858"/>
      <c r="C876" s="1391"/>
      <c r="D876" s="1687"/>
      <c r="G876" s="1352" t="s">
        <v>246</v>
      </c>
    </row>
    <row r="877" spans="1:7" x14ac:dyDescent="0.2">
      <c r="A877" s="600"/>
      <c r="B877" s="858"/>
      <c r="C877" s="1391"/>
      <c r="D877" s="1687"/>
      <c r="G877" s="1352" t="s">
        <v>246</v>
      </c>
    </row>
    <row r="878" spans="1:7" x14ac:dyDescent="0.2">
      <c r="A878" s="600"/>
      <c r="B878" s="858"/>
      <c r="C878" s="173"/>
      <c r="D878" s="1688"/>
      <c r="G878" s="1352" t="s">
        <v>246</v>
      </c>
    </row>
    <row r="879" spans="1:7" x14ac:dyDescent="0.2">
      <c r="A879" s="589"/>
      <c r="B879" s="858"/>
      <c r="C879" s="216" t="s">
        <v>123</v>
      </c>
      <c r="D879" s="1094" t="s">
        <v>4039</v>
      </c>
      <c r="G879" s="1352" t="s">
        <v>246</v>
      </c>
    </row>
    <row r="880" spans="1:7" x14ac:dyDescent="0.2">
      <c r="A880" s="589"/>
      <c r="B880" s="858"/>
      <c r="C880" s="222" t="s">
        <v>366</v>
      </c>
      <c r="D880" s="1094" t="s">
        <v>4040</v>
      </c>
      <c r="G880" s="1352" t="s">
        <v>246</v>
      </c>
    </row>
    <row r="881" spans="1:7" x14ac:dyDescent="0.2">
      <c r="A881" s="589"/>
      <c r="B881" s="858"/>
      <c r="C881" s="223" t="s">
        <v>472</v>
      </c>
      <c r="D881" s="1094" t="s">
        <v>4041</v>
      </c>
      <c r="G881" s="1352" t="s">
        <v>246</v>
      </c>
    </row>
    <row r="882" spans="1:7" x14ac:dyDescent="0.2">
      <c r="A882" s="589"/>
      <c r="B882" s="858"/>
      <c r="C882" s="89" t="s">
        <v>510</v>
      </c>
      <c r="D882" s="1370" t="s">
        <v>4042</v>
      </c>
      <c r="G882" s="1352" t="s">
        <v>246</v>
      </c>
    </row>
    <row r="883" spans="1:7" ht="19" x14ac:dyDescent="0.25">
      <c r="A883" s="24" t="s">
        <v>3637</v>
      </c>
      <c r="B883" s="24"/>
      <c r="C883" s="24"/>
      <c r="D883" s="25"/>
      <c r="E883" s="25"/>
      <c r="F883" s="994"/>
      <c r="G883" s="1352" t="s">
        <v>246</v>
      </c>
    </row>
    <row r="884" spans="1:7" ht="16" thickBot="1" x14ac:dyDescent="0.25">
      <c r="A884" s="1082" t="s">
        <v>4045</v>
      </c>
      <c r="B884" s="239"/>
      <c r="C884" s="239"/>
      <c r="D884" s="596" t="s">
        <v>4044</v>
      </c>
      <c r="F884" s="1341" t="str">
        <f ca="1">IF(LEN('Verification Report'!W884)=0,"",'Verification Report'!W884)</f>
        <v>Reduction Path</v>
      </c>
      <c r="G884" s="1352" t="s">
        <v>246</v>
      </c>
    </row>
    <row r="885" spans="1:7" ht="16" thickTop="1" x14ac:dyDescent="0.2">
      <c r="A885" s="130" t="s">
        <v>3638</v>
      </c>
      <c r="B885" s="1366"/>
      <c r="C885" s="1366"/>
      <c r="D885" s="1384" t="s">
        <v>3658</v>
      </c>
      <c r="G885" s="1352" t="s">
        <v>246</v>
      </c>
    </row>
    <row r="886" spans="1:7" x14ac:dyDescent="0.2">
      <c r="A886" s="192" t="s">
        <v>3845</v>
      </c>
      <c r="B886" s="1364"/>
      <c r="C886" s="1364"/>
      <c r="D886" s="1712" t="s">
        <v>4052</v>
      </c>
      <c r="F886" s="1341" t="b">
        <f>IF(LEN('Verification Report'!W886)=0,"",'Verification Report'!W886)</f>
        <v>1</v>
      </c>
      <c r="G886" s="1352" t="s">
        <v>246</v>
      </c>
    </row>
    <row r="887" spans="1:7" x14ac:dyDescent="0.2">
      <c r="A887" s="129"/>
      <c r="B887" s="1366"/>
      <c r="C887" s="1366"/>
      <c r="D887" s="1629"/>
      <c r="G887" s="1352" t="s">
        <v>246</v>
      </c>
    </row>
    <row r="888" spans="1:7" x14ac:dyDescent="0.2">
      <c r="A888" s="129"/>
      <c r="B888" s="1366"/>
      <c r="C888" s="1366"/>
      <c r="D888" s="1629"/>
      <c r="G888" s="1352" t="s">
        <v>246</v>
      </c>
    </row>
    <row r="889" spans="1:7" x14ac:dyDescent="0.2">
      <c r="A889" s="129"/>
      <c r="B889" s="1366"/>
      <c r="C889" s="1366"/>
      <c r="D889" s="1629"/>
      <c r="G889" s="1352" t="s">
        <v>246</v>
      </c>
    </row>
    <row r="890" spans="1:7" x14ac:dyDescent="0.2">
      <c r="A890" s="129"/>
      <c r="B890" s="1366"/>
      <c r="C890" s="1366"/>
      <c r="D890" s="1629"/>
      <c r="G890" s="1352" t="s">
        <v>246</v>
      </c>
    </row>
    <row r="891" spans="1:7" x14ac:dyDescent="0.2">
      <c r="A891" s="130"/>
      <c r="B891" s="1366"/>
      <c r="C891" s="1366"/>
      <c r="D891" s="1629"/>
      <c r="G891" s="1352" t="s">
        <v>246</v>
      </c>
    </row>
    <row r="892" spans="1:7" x14ac:dyDescent="0.2">
      <c r="A892" s="219" t="s">
        <v>3639</v>
      </c>
      <c r="B892" s="1365"/>
      <c r="C892" s="1365"/>
      <c r="D892" s="1385" t="s">
        <v>3657</v>
      </c>
      <c r="G892" s="1352" t="s">
        <v>246</v>
      </c>
    </row>
    <row r="893" spans="1:7" x14ac:dyDescent="0.2">
      <c r="A893" s="192" t="s">
        <v>3640</v>
      </c>
      <c r="B893" s="1364"/>
      <c r="C893" s="1364"/>
      <c r="D893" s="1712" t="s">
        <v>3847</v>
      </c>
      <c r="F893" s="1341" t="b">
        <f>IF(LEN('Verification Report'!W893)=0,"",'Verification Report'!W893)</f>
        <v>1</v>
      </c>
      <c r="G893" s="1352" t="s">
        <v>246</v>
      </c>
    </row>
    <row r="894" spans="1:7" x14ac:dyDescent="0.2">
      <c r="A894" s="129"/>
      <c r="B894" s="1366"/>
      <c r="C894" s="1366"/>
      <c r="D894" s="1629"/>
      <c r="G894" s="1352" t="s">
        <v>246</v>
      </c>
    </row>
    <row r="895" spans="1:7" x14ac:dyDescent="0.2">
      <c r="A895" s="213"/>
      <c r="B895" s="1365"/>
      <c r="C895" s="1365"/>
      <c r="D895" s="1696"/>
      <c r="G895" s="1352" t="s">
        <v>246</v>
      </c>
    </row>
    <row r="896" spans="1:7" x14ac:dyDescent="0.2">
      <c r="A896" s="446" t="s">
        <v>3641</v>
      </c>
      <c r="B896" s="1364"/>
      <c r="C896" s="1364"/>
      <c r="D896" s="1712" t="s">
        <v>3849</v>
      </c>
      <c r="F896" s="1341" t="str">
        <f>IF(LEN('Verification Report'!W896)=0,"",'Verification Report'!W896)</f>
        <v>No Radiant or Hydronic</v>
      </c>
      <c r="G896" s="1352" t="s">
        <v>246</v>
      </c>
    </row>
    <row r="897" spans="1:7" x14ac:dyDescent="0.2">
      <c r="A897" s="129"/>
      <c r="B897" s="1366"/>
      <c r="C897" s="1366"/>
      <c r="D897" s="1629"/>
      <c r="G897" s="1352" t="s">
        <v>246</v>
      </c>
    </row>
    <row r="898" spans="1:7" x14ac:dyDescent="0.2">
      <c r="A898" s="129"/>
      <c r="B898" s="1366"/>
      <c r="C898" s="1366"/>
      <c r="D898" s="1629"/>
      <c r="G898" s="1352" t="s">
        <v>246</v>
      </c>
    </row>
    <row r="899" spans="1:7" x14ac:dyDescent="0.2">
      <c r="A899" s="129"/>
      <c r="B899" s="1366"/>
      <c r="C899" s="1366"/>
      <c r="D899" s="1629"/>
      <c r="G899" s="1352" t="s">
        <v>246</v>
      </c>
    </row>
    <row r="900" spans="1:7" x14ac:dyDescent="0.2">
      <c r="A900" s="213"/>
      <c r="B900" s="1365"/>
      <c r="C900" s="1365"/>
      <c r="D900" s="1696"/>
      <c r="G900" s="1352" t="s">
        <v>246</v>
      </c>
    </row>
    <row r="901" spans="1:7" x14ac:dyDescent="0.2">
      <c r="A901" s="446" t="s">
        <v>3642</v>
      </c>
      <c r="B901" s="1364"/>
      <c r="C901" s="1364"/>
      <c r="D901" s="1374" t="s">
        <v>3656</v>
      </c>
      <c r="G901" s="1352" t="s">
        <v>246</v>
      </c>
    </row>
    <row r="902" spans="1:7" x14ac:dyDescent="0.2">
      <c r="A902" s="430" t="s">
        <v>3643</v>
      </c>
      <c r="B902" s="1366"/>
      <c r="C902" s="1366"/>
      <c r="D902" s="1629" t="s">
        <v>3850</v>
      </c>
      <c r="F902" s="1341" t="b">
        <f>IF(LEN('Verification Report'!W902)=0,"",'Verification Report'!W902)</f>
        <v>1</v>
      </c>
      <c r="G902" s="1352" t="s">
        <v>246</v>
      </c>
    </row>
    <row r="903" spans="1:7" x14ac:dyDescent="0.2">
      <c r="A903" s="430"/>
      <c r="B903" s="1366"/>
      <c r="C903" s="1366"/>
      <c r="D903" s="1629"/>
      <c r="G903" s="1352" t="s">
        <v>246</v>
      </c>
    </row>
    <row r="904" spans="1:7" x14ac:dyDescent="0.2">
      <c r="A904" s="447"/>
      <c r="B904" s="1365"/>
      <c r="C904" s="1365"/>
      <c r="D904" s="1696"/>
      <c r="G904" s="1352" t="s">
        <v>246</v>
      </c>
    </row>
    <row r="905" spans="1:7" x14ac:dyDescent="0.2">
      <c r="A905" s="446" t="s">
        <v>3644</v>
      </c>
      <c r="B905" s="1364"/>
      <c r="C905" s="1364"/>
      <c r="D905" s="1699" t="s">
        <v>3851</v>
      </c>
      <c r="F905" s="1341" t="b">
        <f>IF(LEN('Verification Report'!W905)=0,"",'Verification Report'!W905)</f>
        <v>1</v>
      </c>
      <c r="G905" s="1352" t="s">
        <v>246</v>
      </c>
    </row>
    <row r="906" spans="1:7" x14ac:dyDescent="0.2">
      <c r="A906" s="1391"/>
      <c r="B906" s="1391"/>
      <c r="C906" s="1391"/>
      <c r="D906" s="1728"/>
      <c r="G906" s="1352" t="s">
        <v>246</v>
      </c>
    </row>
    <row r="907" spans="1:7" x14ac:dyDescent="0.2">
      <c r="A907" s="173"/>
      <c r="B907" s="173"/>
      <c r="C907" s="173"/>
      <c r="D907" s="1729"/>
      <c r="G907" s="1352" t="s">
        <v>246</v>
      </c>
    </row>
    <row r="908" spans="1:7" x14ac:dyDescent="0.2">
      <c r="A908" s="430" t="s">
        <v>3645</v>
      </c>
      <c r="B908" s="1366"/>
      <c r="C908" s="1366"/>
      <c r="D908" s="1629" t="s">
        <v>3852</v>
      </c>
      <c r="F908" s="1341" t="b">
        <f>IF(LEN('Verification Report'!W908)=0,"",'Verification Report'!W908)</f>
        <v>1</v>
      </c>
      <c r="G908" s="1352" t="s">
        <v>246</v>
      </c>
    </row>
    <row r="909" spans="1:7" x14ac:dyDescent="0.2">
      <c r="A909" s="447"/>
      <c r="B909" s="1365"/>
      <c r="C909" s="1365"/>
      <c r="D909" s="1696"/>
      <c r="G909" s="1352" t="s">
        <v>246</v>
      </c>
    </row>
    <row r="910" spans="1:7" x14ac:dyDescent="0.2">
      <c r="A910" s="446" t="s">
        <v>3646</v>
      </c>
      <c r="B910" s="1364"/>
      <c r="C910" s="1364"/>
      <c r="D910" s="1374" t="s">
        <v>3655</v>
      </c>
      <c r="G910" s="1352" t="s">
        <v>246</v>
      </c>
    </row>
    <row r="911" spans="1:7" x14ac:dyDescent="0.2">
      <c r="A911" s="69" t="s">
        <v>3647</v>
      </c>
      <c r="B911" s="1381"/>
      <c r="C911" s="1381"/>
      <c r="D911" s="1631" t="s">
        <v>3853</v>
      </c>
      <c r="G911" s="1352" t="s">
        <v>246</v>
      </c>
    </row>
    <row r="912" spans="1:7" x14ac:dyDescent="0.2">
      <c r="A912" s="4"/>
      <c r="B912" s="1381"/>
      <c r="C912" s="1381"/>
      <c r="D912" s="1631"/>
      <c r="F912" s="1341" t="str">
        <f>IF(LEN('Verification Report'!W912)=0,"",'Verification Report'!W912)</f>
        <v/>
      </c>
      <c r="G912" s="1352" t="s">
        <v>246</v>
      </c>
    </row>
    <row r="913" spans="1:7" x14ac:dyDescent="0.2">
      <c r="A913" s="4"/>
      <c r="B913" s="1381"/>
      <c r="C913" s="1381"/>
      <c r="D913" s="1631"/>
      <c r="G913" s="1352" t="s">
        <v>246</v>
      </c>
    </row>
    <row r="914" spans="1:7" x14ac:dyDescent="0.2">
      <c r="A914" s="4"/>
      <c r="B914" s="1381"/>
      <c r="C914" s="1381"/>
      <c r="D914" s="1631"/>
      <c r="G914" s="1352" t="s">
        <v>246</v>
      </c>
    </row>
    <row r="915" spans="1:7" x14ac:dyDescent="0.2">
      <c r="A915" s="4"/>
      <c r="B915" s="1381"/>
      <c r="C915" s="1381"/>
      <c r="D915" s="1631"/>
      <c r="G915" s="1352" t="s">
        <v>246</v>
      </c>
    </row>
    <row r="916" spans="1:7" x14ac:dyDescent="0.2">
      <c r="A916" s="4"/>
      <c r="B916" s="1381"/>
      <c r="C916" s="234" t="s">
        <v>121</v>
      </c>
      <c r="D916" s="1381" t="s">
        <v>641</v>
      </c>
      <c r="F916" s="1341" t="str">
        <f>IF(LEN('Verification Report'!W916)=0,"",'Verification Report'!W916)</f>
        <v>Met</v>
      </c>
      <c r="G916" s="1352" t="s">
        <v>246</v>
      </c>
    </row>
    <row r="917" spans="1:7" x14ac:dyDescent="0.2">
      <c r="A917" s="4"/>
      <c r="B917" s="1381"/>
      <c r="C917" s="234" t="s">
        <v>122</v>
      </c>
      <c r="D917" s="1381" t="s">
        <v>642</v>
      </c>
      <c r="F917" s="1341" t="str">
        <f>IF(LEN('Verification Report'!W917)=0,"",'Verification Report'!W917)</f>
        <v>Met</v>
      </c>
      <c r="G917" s="1352" t="s">
        <v>246</v>
      </c>
    </row>
    <row r="918" spans="1:7" x14ac:dyDescent="0.2">
      <c r="A918" s="4"/>
      <c r="B918" s="1381"/>
      <c r="C918" s="235" t="s">
        <v>123</v>
      </c>
      <c r="D918" s="1381" t="s">
        <v>643</v>
      </c>
      <c r="F918" s="1341" t="str">
        <f>IF(LEN('Verification Report'!W918)=0,"",'Verification Report'!W918)</f>
        <v>Met</v>
      </c>
      <c r="G918" s="1352" t="s">
        <v>246</v>
      </c>
    </row>
    <row r="919" spans="1:7" x14ac:dyDescent="0.2">
      <c r="A919" s="4"/>
      <c r="B919" s="1381"/>
      <c r="C919" s="1375" t="s">
        <v>366</v>
      </c>
      <c r="D919" s="1381" t="s">
        <v>644</v>
      </c>
      <c r="F919" s="1341" t="str">
        <f>IF(LEN('Verification Report'!W919)=0,"",'Verification Report'!W919)</f>
        <v>Met</v>
      </c>
      <c r="G919" s="1352" t="s">
        <v>246</v>
      </c>
    </row>
    <row r="920" spans="1:7" x14ac:dyDescent="0.2">
      <c r="A920" s="4"/>
      <c r="B920" s="1381"/>
      <c r="C920" s="1375" t="s">
        <v>472</v>
      </c>
      <c r="D920" s="1381" t="s">
        <v>645</v>
      </c>
      <c r="F920" s="1341" t="str">
        <f>IF(LEN('Verification Report'!W920)=0,"",'Verification Report'!W920)</f>
        <v>Met</v>
      </c>
      <c r="G920" s="1352" t="s">
        <v>246</v>
      </c>
    </row>
    <row r="921" spans="1:7" x14ac:dyDescent="0.2">
      <c r="A921" s="4"/>
      <c r="B921" s="1381"/>
      <c r="C921" s="235" t="s">
        <v>510</v>
      </c>
      <c r="D921" s="1381" t="s">
        <v>646</v>
      </c>
      <c r="F921" s="1341" t="str">
        <f>IF(LEN('Verification Report'!W921)=0,"",'Verification Report'!W921)</f>
        <v>N/A</v>
      </c>
      <c r="G921" s="1352" t="s">
        <v>246</v>
      </c>
    </row>
    <row r="922" spans="1:7" x14ac:dyDescent="0.2">
      <c r="A922" s="4"/>
      <c r="B922" s="1381"/>
      <c r="C922" s="1375" t="s">
        <v>512</v>
      </c>
      <c r="D922" s="1381" t="s">
        <v>4054</v>
      </c>
      <c r="F922" s="1341" t="str">
        <f>IF(LEN('Verification Report'!W922)=0,"",'Verification Report'!W922)</f>
        <v>Met</v>
      </c>
      <c r="G922" s="1352" t="s">
        <v>246</v>
      </c>
    </row>
    <row r="923" spans="1:7" x14ac:dyDescent="0.2">
      <c r="A923" s="4"/>
      <c r="B923" s="1381"/>
      <c r="C923" s="1375" t="s">
        <v>514</v>
      </c>
      <c r="D923" s="1381" t="s">
        <v>647</v>
      </c>
      <c r="F923" s="1341" t="str">
        <f>IF(LEN('Verification Report'!W923)=0,"",'Verification Report'!W923)</f>
        <v>N/A</v>
      </c>
      <c r="G923" s="1352" t="s">
        <v>246</v>
      </c>
    </row>
    <row r="924" spans="1:7" x14ac:dyDescent="0.2">
      <c r="A924" s="4"/>
      <c r="B924" s="1381"/>
      <c r="C924" s="1375" t="s">
        <v>648</v>
      </c>
      <c r="D924" s="1381" t="s">
        <v>4055</v>
      </c>
      <c r="F924" s="1341" t="str">
        <f>IF(LEN('Verification Report'!W924)=0,"",'Verification Report'!W924)</f>
        <v>Met</v>
      </c>
      <c r="G924" s="1352" t="s">
        <v>246</v>
      </c>
    </row>
    <row r="925" spans="1:7" x14ac:dyDescent="0.2">
      <c r="A925" s="4"/>
      <c r="B925" s="1381"/>
      <c r="C925" s="1375" t="s">
        <v>649</v>
      </c>
      <c r="D925" s="1381" t="s">
        <v>650</v>
      </c>
      <c r="F925" s="1341" t="str">
        <f>IF(LEN('Verification Report'!W925)=0,"",'Verification Report'!W925)</f>
        <v>Met</v>
      </c>
      <c r="G925" s="1352" t="s">
        <v>246</v>
      </c>
    </row>
    <row r="926" spans="1:7" x14ac:dyDescent="0.2">
      <c r="A926" s="4"/>
      <c r="B926" s="1381"/>
      <c r="C926" s="1375" t="s">
        <v>651</v>
      </c>
      <c r="D926" s="1381" t="s">
        <v>5080</v>
      </c>
      <c r="F926" s="1341" t="str">
        <f>IF(LEN('Verification Report'!W926)=0,"",'Verification Report'!W926)</f>
        <v>Met</v>
      </c>
      <c r="G926" s="1352" t="s">
        <v>246</v>
      </c>
    </row>
    <row r="927" spans="1:7" x14ac:dyDescent="0.2">
      <c r="A927" s="129"/>
      <c r="B927" s="1366"/>
      <c r="C927" s="1384" t="s">
        <v>652</v>
      </c>
      <c r="D927" s="1366" t="s">
        <v>4056</v>
      </c>
      <c r="F927" s="1341" t="str">
        <f>IF(LEN('Verification Report'!W927)=0,"",'Verification Report'!W927)</f>
        <v>N/A</v>
      </c>
      <c r="G927" s="1352" t="s">
        <v>246</v>
      </c>
    </row>
    <row r="928" spans="1:7" x14ac:dyDescent="0.2">
      <c r="A928" s="213"/>
      <c r="B928" s="1365"/>
      <c r="C928" s="1385" t="s">
        <v>4053</v>
      </c>
      <c r="D928" s="1365" t="s">
        <v>653</v>
      </c>
      <c r="F928" s="1341" t="str">
        <f>IF(LEN('Verification Report'!W928)=0,"",'Verification Report'!W928)</f>
        <v>Met</v>
      </c>
      <c r="G928" s="1352" t="s">
        <v>246</v>
      </c>
    </row>
    <row r="929" spans="1:7" x14ac:dyDescent="0.2">
      <c r="A929" s="69" t="s">
        <v>3648</v>
      </c>
      <c r="B929" s="1381"/>
      <c r="C929" s="1381"/>
      <c r="D929" s="1631" t="s">
        <v>4057</v>
      </c>
      <c r="G929" s="1352" t="s">
        <v>246</v>
      </c>
    </row>
    <row r="930" spans="1:7" x14ac:dyDescent="0.2">
      <c r="A930" s="4"/>
      <c r="B930" s="1381"/>
      <c r="C930" s="1381"/>
      <c r="D930" s="1631"/>
      <c r="F930" s="1341" t="str">
        <f>IF(LEN('Verification Report'!W930)=0,"",'Verification Report'!W930)</f>
        <v/>
      </c>
      <c r="G930" s="1352" t="s">
        <v>246</v>
      </c>
    </row>
    <row r="931" spans="1:7" x14ac:dyDescent="0.2">
      <c r="A931" s="4"/>
      <c r="B931" s="1381"/>
      <c r="C931" s="1381"/>
      <c r="D931" s="1631"/>
      <c r="G931" s="1352" t="s">
        <v>246</v>
      </c>
    </row>
    <row r="932" spans="1:7" x14ac:dyDescent="0.2">
      <c r="A932" s="4"/>
      <c r="B932" s="1381"/>
      <c r="C932" s="1381"/>
      <c r="D932" s="1631"/>
      <c r="G932" s="1352" t="s">
        <v>246</v>
      </c>
    </row>
    <row r="933" spans="1:7" x14ac:dyDescent="0.2">
      <c r="A933" s="4"/>
      <c r="B933" s="234" t="s">
        <v>254</v>
      </c>
      <c r="C933" s="1381"/>
      <c r="D933" s="1631" t="s">
        <v>655</v>
      </c>
      <c r="F933" s="1341">
        <f>IF(LEN('Verification Report'!W933)=0,"",'Verification Report'!W933)</f>
        <v>7</v>
      </c>
      <c r="G933" s="1352" t="s">
        <v>246</v>
      </c>
    </row>
    <row r="934" spans="1:7" x14ac:dyDescent="0.2">
      <c r="A934" s="4"/>
      <c r="B934" s="1381"/>
      <c r="C934" s="1381"/>
      <c r="D934" s="1631"/>
      <c r="G934" s="1352" t="s">
        <v>246</v>
      </c>
    </row>
    <row r="935" spans="1:7" x14ac:dyDescent="0.2">
      <c r="A935" s="4"/>
      <c r="B935" s="1381"/>
      <c r="C935" s="1381"/>
      <c r="D935" s="1631"/>
      <c r="G935" s="1352" t="s">
        <v>246</v>
      </c>
    </row>
    <row r="936" spans="1:7" x14ac:dyDescent="0.2">
      <c r="A936" s="4"/>
      <c r="B936" s="1381"/>
      <c r="C936" s="1381"/>
      <c r="D936" s="1631"/>
      <c r="F936" s="1341">
        <f>IF(LEN('Verification Report'!W936)=0,"",'Verification Report'!W936)</f>
        <v>1</v>
      </c>
      <c r="G936" s="1352" t="s">
        <v>246</v>
      </c>
    </row>
    <row r="937" spans="1:7" x14ac:dyDescent="0.2">
      <c r="A937" s="4"/>
      <c r="B937" s="1381"/>
      <c r="C937" s="1381"/>
      <c r="D937" s="1631"/>
      <c r="G937" s="1352" t="s">
        <v>246</v>
      </c>
    </row>
    <row r="938" spans="1:7" x14ac:dyDescent="0.2">
      <c r="A938" s="1352"/>
      <c r="B938" s="1352"/>
      <c r="C938" s="1352"/>
      <c r="D938" s="1673" t="s">
        <v>4058</v>
      </c>
      <c r="G938" s="1352" t="s">
        <v>246</v>
      </c>
    </row>
    <row r="939" spans="1:7" x14ac:dyDescent="0.2">
      <c r="A939" s="1352"/>
      <c r="B939" s="1352"/>
      <c r="C939" s="1352"/>
      <c r="D939" s="1673"/>
      <c r="G939" s="1352" t="s">
        <v>246</v>
      </c>
    </row>
    <row r="940" spans="1:7" x14ac:dyDescent="0.2">
      <c r="A940" s="1352"/>
      <c r="B940" s="1352"/>
      <c r="C940" s="1352"/>
      <c r="D940" s="1673"/>
      <c r="G940" s="1352" t="s">
        <v>246</v>
      </c>
    </row>
    <row r="941" spans="1:7" x14ac:dyDescent="0.2">
      <c r="A941" s="4"/>
      <c r="B941" s="1381"/>
      <c r="C941" s="234" t="s">
        <v>121</v>
      </c>
      <c r="D941" s="1381" t="s">
        <v>656</v>
      </c>
      <c r="G941" s="1352" t="s">
        <v>246</v>
      </c>
    </row>
    <row r="942" spans="1:7" x14ac:dyDescent="0.2">
      <c r="A942" s="4"/>
      <c r="B942" s="1381"/>
      <c r="C942" s="234" t="s">
        <v>122</v>
      </c>
      <c r="D942" s="1611" t="s">
        <v>657</v>
      </c>
      <c r="G942" s="1352" t="s">
        <v>246</v>
      </c>
    </row>
    <row r="943" spans="1:7" x14ac:dyDescent="0.2">
      <c r="A943" s="4"/>
      <c r="B943" s="1381"/>
      <c r="C943" s="234"/>
      <c r="D943" s="1611"/>
      <c r="G943" s="1352" t="s">
        <v>246</v>
      </c>
    </row>
    <row r="944" spans="1:7" x14ac:dyDescent="0.2">
      <c r="A944" s="4"/>
      <c r="B944" s="1381"/>
      <c r="C944" s="235" t="s">
        <v>123</v>
      </c>
      <c r="D944" s="1381" t="s">
        <v>658</v>
      </c>
      <c r="G944" s="1352" t="s">
        <v>246</v>
      </c>
    </row>
    <row r="945" spans="1:7" x14ac:dyDescent="0.2">
      <c r="A945" s="4"/>
      <c r="B945" s="1381"/>
      <c r="C945" s="1375" t="s">
        <v>366</v>
      </c>
      <c r="D945" s="1611" t="s">
        <v>659</v>
      </c>
      <c r="G945" s="1352" t="s">
        <v>246</v>
      </c>
    </row>
    <row r="946" spans="1:7" x14ac:dyDescent="0.2">
      <c r="A946" s="4"/>
      <c r="B946" s="1381"/>
      <c r="C946" s="1375"/>
      <c r="D946" s="1611"/>
      <c r="G946" s="1352" t="s">
        <v>246</v>
      </c>
    </row>
    <row r="947" spans="1:7" x14ac:dyDescent="0.2">
      <c r="A947" s="4"/>
      <c r="B947" s="1381"/>
      <c r="C947" s="1375" t="s">
        <v>472</v>
      </c>
      <c r="D947" s="1381" t="s">
        <v>660</v>
      </c>
      <c r="G947" s="1352" t="s">
        <v>246</v>
      </c>
    </row>
    <row r="948" spans="1:7" x14ac:dyDescent="0.2">
      <c r="A948" s="4"/>
      <c r="B948" s="1381"/>
      <c r="C948" s="235" t="s">
        <v>510</v>
      </c>
      <c r="D948" s="1381" t="s">
        <v>661</v>
      </c>
      <c r="G948" s="1352" t="s">
        <v>246</v>
      </c>
    </row>
    <row r="949" spans="1:7" x14ac:dyDescent="0.2">
      <c r="A949" s="4"/>
      <c r="B949" s="1381"/>
      <c r="C949" s="1375" t="s">
        <v>512</v>
      </c>
      <c r="D949" s="1381" t="s">
        <v>662</v>
      </c>
      <c r="G949" s="1352" t="s">
        <v>246</v>
      </c>
    </row>
    <row r="950" spans="1:7" x14ac:dyDescent="0.2">
      <c r="A950" s="4"/>
      <c r="B950" s="1366"/>
      <c r="C950" s="448"/>
      <c r="D950" s="1730" t="s">
        <v>4059</v>
      </c>
      <c r="G950" s="1352" t="s">
        <v>246</v>
      </c>
    </row>
    <row r="951" spans="1:7" x14ac:dyDescent="0.2">
      <c r="A951" s="4"/>
      <c r="B951" s="1365"/>
      <c r="C951" s="449"/>
      <c r="D951" s="1731"/>
      <c r="G951" s="1352" t="s">
        <v>246</v>
      </c>
    </row>
    <row r="952" spans="1:7" x14ac:dyDescent="0.2">
      <c r="A952" s="129"/>
      <c r="B952" s="436" t="s">
        <v>255</v>
      </c>
      <c r="C952" s="1366"/>
      <c r="D952" s="1629" t="s">
        <v>3854</v>
      </c>
      <c r="F952" s="1341" t="b">
        <f>IF(LEN('Verification Report'!W952)=0,"",'Verification Report'!W952)</f>
        <v>1</v>
      </c>
      <c r="G952" s="1352" t="s">
        <v>246</v>
      </c>
    </row>
    <row r="953" spans="1:7" x14ac:dyDescent="0.2">
      <c r="A953" s="129"/>
      <c r="B953" s="1366"/>
      <c r="C953" s="1366"/>
      <c r="D953" s="1629"/>
      <c r="G953" s="1352" t="s">
        <v>246</v>
      </c>
    </row>
    <row r="954" spans="1:7" x14ac:dyDescent="0.2">
      <c r="A954" s="213"/>
      <c r="B954" s="1365"/>
      <c r="C954" s="1365"/>
      <c r="D954" s="441" t="s">
        <v>3855</v>
      </c>
      <c r="G954" s="1352" t="s">
        <v>246</v>
      </c>
    </row>
    <row r="955" spans="1:7" x14ac:dyDescent="0.2">
      <c r="A955" s="69" t="s">
        <v>3649</v>
      </c>
      <c r="B955" s="1381"/>
      <c r="C955" s="1381"/>
      <c r="D955" s="1699" t="s">
        <v>4060</v>
      </c>
      <c r="F955" s="1341" t="b">
        <f>IF(LEN('Verification Report'!W955)=0,"",'Verification Report'!W955)</f>
        <v>1</v>
      </c>
      <c r="G955" s="1352" t="s">
        <v>246</v>
      </c>
    </row>
    <row r="956" spans="1:7" x14ac:dyDescent="0.2">
      <c r="A956" s="4"/>
      <c r="B956" s="1352"/>
      <c r="C956" s="1352"/>
      <c r="D956" s="1700"/>
      <c r="G956" s="1352" t="s">
        <v>246</v>
      </c>
    </row>
    <row r="957" spans="1:7" x14ac:dyDescent="0.2">
      <c r="A957" s="4"/>
      <c r="B957" s="1352"/>
      <c r="C957" s="1352"/>
      <c r="D957" s="1700"/>
      <c r="G957" s="1352" t="s">
        <v>246</v>
      </c>
    </row>
    <row r="958" spans="1:7" x14ac:dyDescent="0.2">
      <c r="A958" s="4"/>
      <c r="B958" s="444"/>
      <c r="C958" s="1365"/>
      <c r="D958" s="1729"/>
      <c r="G958" s="1352" t="s">
        <v>246</v>
      </c>
    </row>
    <row r="959" spans="1:7" x14ac:dyDescent="0.2">
      <c r="A959" s="4"/>
      <c r="B959" s="451" t="s">
        <v>254</v>
      </c>
      <c r="C959" s="311"/>
      <c r="D959" s="311" t="s">
        <v>664</v>
      </c>
      <c r="G959" s="1352" t="s">
        <v>246</v>
      </c>
    </row>
    <row r="960" spans="1:7" x14ac:dyDescent="0.2">
      <c r="A960" s="4"/>
      <c r="B960" s="450" t="s">
        <v>255</v>
      </c>
      <c r="C960" s="1364"/>
      <c r="D960" s="1613" t="s">
        <v>665</v>
      </c>
      <c r="G960" s="1352" t="s">
        <v>246</v>
      </c>
    </row>
    <row r="961" spans="1:7" x14ac:dyDescent="0.2">
      <c r="A961" s="4"/>
      <c r="B961" s="436"/>
      <c r="C961" s="1366"/>
      <c r="D961" s="1609"/>
      <c r="G961" s="1352" t="s">
        <v>246</v>
      </c>
    </row>
    <row r="962" spans="1:7" x14ac:dyDescent="0.2">
      <c r="A962" s="4"/>
      <c r="B962" s="436"/>
      <c r="C962" s="1366"/>
      <c r="D962" s="1609"/>
      <c r="G962" s="1352" t="s">
        <v>246</v>
      </c>
    </row>
    <row r="963" spans="1:7" x14ac:dyDescent="0.2">
      <c r="A963" s="4"/>
      <c r="B963" s="444"/>
      <c r="C963" s="1365"/>
      <c r="D963" s="1612"/>
      <c r="G963" s="1352" t="s">
        <v>246</v>
      </c>
    </row>
    <row r="964" spans="1:7" x14ac:dyDescent="0.2">
      <c r="A964" s="4"/>
      <c r="B964" s="436" t="s">
        <v>256</v>
      </c>
      <c r="C964" s="1366"/>
      <c r="D964" s="1609" t="s">
        <v>666</v>
      </c>
      <c r="G964" s="1352" t="s">
        <v>246</v>
      </c>
    </row>
    <row r="965" spans="1:7" x14ac:dyDescent="0.2">
      <c r="A965" s="4"/>
      <c r="B965" s="444"/>
      <c r="C965" s="1365"/>
      <c r="D965" s="1612"/>
      <c r="G965" s="1352" t="s">
        <v>246</v>
      </c>
    </row>
    <row r="966" spans="1:7" x14ac:dyDescent="0.2">
      <c r="A966" s="4"/>
      <c r="B966" s="450" t="s">
        <v>259</v>
      </c>
      <c r="C966" s="1364"/>
      <c r="D966" s="1613" t="s">
        <v>667</v>
      </c>
      <c r="G966" s="1352" t="s">
        <v>246</v>
      </c>
    </row>
    <row r="967" spans="1:7" x14ac:dyDescent="0.2">
      <c r="A967" s="4"/>
      <c r="B967" s="436"/>
      <c r="C967" s="1366"/>
      <c r="D967" s="1609"/>
      <c r="G967" s="1352" t="s">
        <v>246</v>
      </c>
    </row>
    <row r="968" spans="1:7" x14ac:dyDescent="0.2">
      <c r="A968" s="4"/>
      <c r="B968" s="444"/>
      <c r="C968" s="1365"/>
      <c r="D968" s="1612"/>
      <c r="G968" s="1352" t="s">
        <v>246</v>
      </c>
    </row>
    <row r="969" spans="1:7" x14ac:dyDescent="0.2">
      <c r="A969" s="4"/>
      <c r="B969" s="450" t="s">
        <v>263</v>
      </c>
      <c r="C969" s="1364"/>
      <c r="D969" s="1613" t="s">
        <v>668</v>
      </c>
      <c r="G969" s="1352" t="s">
        <v>246</v>
      </c>
    </row>
    <row r="970" spans="1:7" x14ac:dyDescent="0.2">
      <c r="A970" s="4"/>
      <c r="B970" s="444"/>
      <c r="C970" s="1365"/>
      <c r="D970" s="1612"/>
      <c r="G970" s="1352" t="s">
        <v>246</v>
      </c>
    </row>
    <row r="971" spans="1:7" x14ac:dyDescent="0.2">
      <c r="A971" s="4"/>
      <c r="B971" s="451" t="s">
        <v>264</v>
      </c>
      <c r="C971" s="311"/>
      <c r="D971" s="311" t="s">
        <v>669</v>
      </c>
      <c r="G971" s="1352" t="s">
        <v>246</v>
      </c>
    </row>
    <row r="972" spans="1:7" x14ac:dyDescent="0.2">
      <c r="A972" s="4"/>
      <c r="B972" s="451" t="s">
        <v>356</v>
      </c>
      <c r="C972" s="311"/>
      <c r="D972" s="311" t="s">
        <v>670</v>
      </c>
      <c r="G972" s="1352" t="s">
        <v>246</v>
      </c>
    </row>
    <row r="973" spans="1:7" x14ac:dyDescent="0.2">
      <c r="A973" s="4"/>
      <c r="B973" s="450" t="s">
        <v>389</v>
      </c>
      <c r="C973" s="1364"/>
      <c r="D973" s="1613" t="s">
        <v>671</v>
      </c>
      <c r="G973" s="1352" t="s">
        <v>246</v>
      </c>
    </row>
    <row r="974" spans="1:7" x14ac:dyDescent="0.2">
      <c r="A974" s="4"/>
      <c r="B974" s="436"/>
      <c r="C974" s="1366"/>
      <c r="D974" s="1609"/>
      <c r="G974" s="1352" t="s">
        <v>246</v>
      </c>
    </row>
    <row r="975" spans="1:7" x14ac:dyDescent="0.2">
      <c r="A975" s="4"/>
      <c r="B975" s="444"/>
      <c r="C975" s="1365"/>
      <c r="D975" s="1612"/>
      <c r="G975" s="1352" t="s">
        <v>246</v>
      </c>
    </row>
    <row r="976" spans="1:7" x14ac:dyDescent="0.2">
      <c r="A976" s="129"/>
      <c r="B976" s="436" t="s">
        <v>391</v>
      </c>
      <c r="C976" s="1366"/>
      <c r="D976" s="1609" t="s">
        <v>4061</v>
      </c>
      <c r="G976" s="1352" t="s">
        <v>246</v>
      </c>
    </row>
    <row r="977" spans="1:7" x14ac:dyDescent="0.2">
      <c r="A977" s="213"/>
      <c r="B977" s="444"/>
      <c r="C977" s="1365"/>
      <c r="D977" s="1612"/>
      <c r="G977" s="1352" t="s">
        <v>246</v>
      </c>
    </row>
    <row r="978" spans="1:7" x14ac:dyDescent="0.2">
      <c r="A978" s="192" t="s">
        <v>3650</v>
      </c>
      <c r="B978" s="1364"/>
      <c r="C978" s="1364"/>
      <c r="D978" s="1712" t="s">
        <v>3858</v>
      </c>
      <c r="G978" s="1352" t="s">
        <v>246</v>
      </c>
    </row>
    <row r="979" spans="1:7" x14ac:dyDescent="0.2">
      <c r="A979" s="130"/>
      <c r="B979" s="1366"/>
      <c r="C979" s="1366"/>
      <c r="D979" s="1629"/>
      <c r="G979" s="1352" t="s">
        <v>246</v>
      </c>
    </row>
    <row r="980" spans="1:7" x14ac:dyDescent="0.2">
      <c r="A980" s="219"/>
      <c r="B980" s="1365"/>
      <c r="C980" s="1365"/>
      <c r="D980" s="1696"/>
      <c r="G980" s="1352" t="s">
        <v>246</v>
      </c>
    </row>
    <row r="981" spans="1:7" x14ac:dyDescent="0.2">
      <c r="A981" s="192" t="s">
        <v>3651</v>
      </c>
      <c r="B981" s="1364"/>
      <c r="C981" s="1364"/>
      <c r="D981" s="1712" t="s">
        <v>4062</v>
      </c>
      <c r="F981" s="1341" t="str">
        <f>IF(LEN('Verification Report'!W981)=0,"",'Verification Report'!W981)</f>
        <v>Met</v>
      </c>
      <c r="G981" s="1352" t="s">
        <v>246</v>
      </c>
    </row>
    <row r="982" spans="1:7" x14ac:dyDescent="0.2">
      <c r="A982" s="129"/>
      <c r="B982" s="1366"/>
      <c r="C982" s="1366"/>
      <c r="D982" s="1629"/>
      <c r="G982" s="1352" t="s">
        <v>246</v>
      </c>
    </row>
    <row r="983" spans="1:7" x14ac:dyDescent="0.2">
      <c r="A983" s="129"/>
      <c r="B983" s="1366"/>
      <c r="C983" s="1366"/>
      <c r="D983" s="1629"/>
      <c r="G983" s="1352" t="s">
        <v>246</v>
      </c>
    </row>
    <row r="984" spans="1:7" x14ac:dyDescent="0.2">
      <c r="A984" s="129"/>
      <c r="B984" s="1366"/>
      <c r="C984" s="1366"/>
      <c r="D984" s="1629"/>
      <c r="G984" s="1352" t="s">
        <v>246</v>
      </c>
    </row>
    <row r="985" spans="1:7" x14ac:dyDescent="0.2">
      <c r="A985" s="129"/>
      <c r="B985" s="1366"/>
      <c r="C985" s="1366"/>
      <c r="D985" s="1629"/>
      <c r="G985" s="1352" t="s">
        <v>246</v>
      </c>
    </row>
    <row r="986" spans="1:7" x14ac:dyDescent="0.2">
      <c r="A986" s="129"/>
      <c r="B986" s="1366"/>
      <c r="C986" s="1366"/>
      <c r="D986" s="1629"/>
      <c r="G986" s="1352" t="s">
        <v>246</v>
      </c>
    </row>
    <row r="987" spans="1:7" x14ac:dyDescent="0.2">
      <c r="A987" s="129"/>
      <c r="B987" s="1366"/>
      <c r="C987" s="1366"/>
      <c r="D987" s="1629"/>
      <c r="G987" s="1352" t="s">
        <v>246</v>
      </c>
    </row>
    <row r="988" spans="1:7" x14ac:dyDescent="0.2">
      <c r="A988" s="129"/>
      <c r="B988" s="1366"/>
      <c r="C988" s="1366"/>
      <c r="D988" s="1629" t="s">
        <v>4063</v>
      </c>
      <c r="G988" s="1352" t="s">
        <v>246</v>
      </c>
    </row>
    <row r="989" spans="1:7" x14ac:dyDescent="0.2">
      <c r="A989" s="129"/>
      <c r="B989" s="1366"/>
      <c r="C989" s="1366"/>
      <c r="D989" s="1629"/>
      <c r="G989" s="1352" t="s">
        <v>246</v>
      </c>
    </row>
    <row r="990" spans="1:7" x14ac:dyDescent="0.2">
      <c r="A990" s="213"/>
      <c r="B990" s="1365"/>
      <c r="C990" s="1365"/>
      <c r="D990" s="1696"/>
      <c r="G990" s="1352" t="s">
        <v>246</v>
      </c>
    </row>
    <row r="991" spans="1:7" x14ac:dyDescent="0.2">
      <c r="A991" s="192" t="s">
        <v>3652</v>
      </c>
      <c r="B991" s="1364"/>
      <c r="C991" s="1364"/>
      <c r="D991" s="1712" t="s">
        <v>4862</v>
      </c>
      <c r="F991" s="1341" t="str">
        <f>IF(LEN('Verification Report'!W991)=0,"",'Verification Report'!W991)</f>
        <v>Met</v>
      </c>
      <c r="G991" s="1352" t="s">
        <v>246</v>
      </c>
    </row>
    <row r="992" spans="1:7" x14ac:dyDescent="0.2">
      <c r="A992" s="129"/>
      <c r="B992" s="1366"/>
      <c r="C992" s="1366"/>
      <c r="D992" s="1629"/>
      <c r="G992" s="1352" t="s">
        <v>246</v>
      </c>
    </row>
    <row r="993" spans="1:7" x14ac:dyDescent="0.2">
      <c r="A993" s="129"/>
      <c r="B993" s="1366"/>
      <c r="C993" s="1366"/>
      <c r="D993" s="1629"/>
      <c r="G993" s="1352" t="s">
        <v>246</v>
      </c>
    </row>
    <row r="994" spans="1:7" x14ac:dyDescent="0.2">
      <c r="A994" s="129"/>
      <c r="B994" s="1366"/>
      <c r="C994" s="1366"/>
      <c r="D994" s="1629"/>
      <c r="G994" s="1352" t="s">
        <v>246</v>
      </c>
    </row>
    <row r="995" spans="1:7" x14ac:dyDescent="0.2">
      <c r="A995" s="129"/>
      <c r="B995" s="1366"/>
      <c r="C995" s="1366"/>
      <c r="D995" s="1629"/>
      <c r="G995" s="1352" t="s">
        <v>246</v>
      </c>
    </row>
    <row r="996" spans="1:7" x14ac:dyDescent="0.2">
      <c r="A996" s="129"/>
      <c r="B996" s="1366"/>
      <c r="C996" s="1366"/>
      <c r="D996" s="1629"/>
      <c r="G996" s="1352" t="s">
        <v>246</v>
      </c>
    </row>
    <row r="997" spans="1:7" x14ac:dyDescent="0.2">
      <c r="A997" s="213"/>
      <c r="B997" s="1365"/>
      <c r="C997" s="1365"/>
      <c r="D997" s="1696"/>
      <c r="G997" s="1352" t="s">
        <v>246</v>
      </c>
    </row>
    <row r="998" spans="1:7" x14ac:dyDescent="0.2">
      <c r="A998" s="67" t="s">
        <v>3653</v>
      </c>
      <c r="B998" s="1381"/>
      <c r="C998" s="1381"/>
      <c r="D998" s="1631" t="s">
        <v>4065</v>
      </c>
      <c r="F998" s="1341" t="b">
        <f>IF(LEN('Verification Report'!W998)=0,"",'Verification Report'!W998)</f>
        <v>1</v>
      </c>
      <c r="G998" s="1352" t="s">
        <v>246</v>
      </c>
    </row>
    <row r="999" spans="1:7" x14ac:dyDescent="0.2">
      <c r="A999" s="213"/>
      <c r="B999" s="1365"/>
      <c r="C999" s="1365"/>
      <c r="D999" s="1631"/>
      <c r="G999" s="1352" t="s">
        <v>246</v>
      </c>
    </row>
    <row r="1000" spans="1:7" x14ac:dyDescent="0.2">
      <c r="A1000" s="67" t="s">
        <v>3654</v>
      </c>
      <c r="B1000" s="1381"/>
      <c r="C1000" s="1381"/>
      <c r="D1000" s="1699" t="s">
        <v>4863</v>
      </c>
      <c r="F1000" s="1341" t="str">
        <f>IF(LEN('Verification Report'!W1000)=0,"",'Verification Report'!W1000)</f>
        <v/>
      </c>
      <c r="G1000" s="1352" t="s">
        <v>246</v>
      </c>
    </row>
    <row r="1001" spans="1:7" x14ac:dyDescent="0.2">
      <c r="A1001" s="67"/>
      <c r="B1001" s="1381"/>
      <c r="C1001" s="1381"/>
      <c r="D1001" s="1728"/>
      <c r="G1001" s="1352" t="s">
        <v>246</v>
      </c>
    </row>
    <row r="1002" spans="1:7" x14ac:dyDescent="0.2">
      <c r="A1002" s="67"/>
      <c r="B1002" s="1381"/>
      <c r="C1002" s="1381"/>
      <c r="D1002" s="1700"/>
      <c r="G1002" s="1352" t="s">
        <v>246</v>
      </c>
    </row>
    <row r="1003" spans="1:7" x14ac:dyDescent="0.2">
      <c r="A1003" s="192" t="s">
        <v>3859</v>
      </c>
      <c r="B1003" s="1364"/>
      <c r="C1003" s="1364"/>
      <c r="D1003" s="1699" t="s">
        <v>3866</v>
      </c>
      <c r="F1003" s="1341" t="str">
        <f>IF(LEN('Verification Report'!W1003)=0,"",'Verification Report'!W1003)</f>
        <v>Met</v>
      </c>
      <c r="G1003" s="1352" t="s">
        <v>246</v>
      </c>
    </row>
    <row r="1004" spans="1:7" x14ac:dyDescent="0.2">
      <c r="A1004" s="130"/>
      <c r="B1004" s="1366"/>
      <c r="C1004" s="1366"/>
      <c r="D1004" s="1728"/>
      <c r="G1004" s="1352" t="s">
        <v>246</v>
      </c>
    </row>
    <row r="1005" spans="1:7" x14ac:dyDescent="0.2">
      <c r="A1005" s="130"/>
      <c r="B1005" s="1366"/>
      <c r="C1005" s="1366"/>
      <c r="D1005" s="1728"/>
      <c r="G1005" s="1352" t="s">
        <v>246</v>
      </c>
    </row>
    <row r="1006" spans="1:7" x14ac:dyDescent="0.2">
      <c r="A1006" s="219"/>
      <c r="B1006" s="1365"/>
      <c r="C1006" s="1365"/>
      <c r="D1006" s="441" t="s">
        <v>5089</v>
      </c>
      <c r="G1006" s="1352" t="s">
        <v>246</v>
      </c>
    </row>
    <row r="1007" spans="1:7" x14ac:dyDescent="0.2">
      <c r="A1007" s="67" t="s">
        <v>3860</v>
      </c>
      <c r="B1007" s="1381"/>
      <c r="C1007" s="1381"/>
      <c r="D1007" s="1699" t="s">
        <v>3865</v>
      </c>
      <c r="F1007" s="1341" t="str">
        <f>IF(LEN('Verification Report'!W1007)=0,"",'Verification Report'!W1007)</f>
        <v>Met</v>
      </c>
      <c r="G1007" s="1352" t="s">
        <v>246</v>
      </c>
    </row>
    <row r="1008" spans="1:7" x14ac:dyDescent="0.2">
      <c r="A1008" s="67"/>
      <c r="B1008" s="1381"/>
      <c r="C1008" s="1381"/>
      <c r="D1008" s="1728"/>
      <c r="G1008" s="1352" t="s">
        <v>246</v>
      </c>
    </row>
    <row r="1009" spans="1:8" x14ac:dyDescent="0.2">
      <c r="A1009" s="67"/>
      <c r="B1009" s="1381"/>
      <c r="C1009" s="1381"/>
      <c r="D1009" s="1728"/>
      <c r="G1009" s="1352" t="s">
        <v>246</v>
      </c>
      <c r="H1009" s="1352"/>
    </row>
    <row r="1010" spans="1:8" ht="16" thickBot="1" x14ac:dyDescent="0.25">
      <c r="A1010" s="67"/>
      <c r="B1010" s="1381"/>
      <c r="C1010" s="1381"/>
      <c r="D1010" s="1728"/>
      <c r="G1010" s="1352" t="s">
        <v>246</v>
      </c>
      <c r="H1010" s="1352"/>
    </row>
    <row r="1011" spans="1:8" ht="16" thickTop="1" x14ac:dyDescent="0.2">
      <c r="A1011" s="177" t="s">
        <v>4049</v>
      </c>
      <c r="B1011" s="437"/>
      <c r="C1011" s="437"/>
      <c r="D1011" s="1608" t="s">
        <v>4048</v>
      </c>
      <c r="G1011" s="1352" t="s">
        <v>246</v>
      </c>
      <c r="H1011" s="1352"/>
    </row>
    <row r="1012" spans="1:8" x14ac:dyDescent="0.2">
      <c r="A1012" s="130"/>
      <c r="B1012" s="1366"/>
      <c r="C1012" s="1366"/>
      <c r="D1012" s="1609"/>
      <c r="G1012" s="1352" t="s">
        <v>246</v>
      </c>
      <c r="H1012" s="1352"/>
    </row>
    <row r="1013" spans="1:8" x14ac:dyDescent="0.2">
      <c r="A1013" s="130"/>
      <c r="B1013" s="1366"/>
      <c r="C1013" s="1366"/>
      <c r="D1013" s="1609"/>
      <c r="G1013" s="1352" t="s">
        <v>246</v>
      </c>
      <c r="H1013" s="1352"/>
    </row>
    <row r="1014" spans="1:8" x14ac:dyDescent="0.2">
      <c r="A1014" s="129"/>
      <c r="B1014" s="1366"/>
      <c r="C1014" s="1366"/>
      <c r="D1014" s="870" t="s">
        <v>5010</v>
      </c>
      <c r="G1014" s="1352" t="s">
        <v>246</v>
      </c>
      <c r="H1014" s="1352"/>
    </row>
    <row r="1015" spans="1:8" x14ac:dyDescent="0.2">
      <c r="A1015" s="130"/>
      <c r="B1015" s="1366"/>
      <c r="C1015" s="1366"/>
      <c r="D1015" s="1609" t="s">
        <v>4050</v>
      </c>
      <c r="G1015" s="1352" t="s">
        <v>246</v>
      </c>
    </row>
    <row r="1016" spans="1:8" x14ac:dyDescent="0.2">
      <c r="A1016" s="130"/>
      <c r="B1016" s="1366"/>
      <c r="C1016" s="1366"/>
      <c r="D1016" s="1609"/>
      <c r="G1016" s="1352" t="s">
        <v>246</v>
      </c>
    </row>
    <row r="1017" spans="1:8" x14ac:dyDescent="0.2">
      <c r="A1017" s="130"/>
      <c r="B1017" s="1366"/>
      <c r="C1017" s="1366"/>
      <c r="D1017" s="1609"/>
      <c r="G1017" s="1352" t="s">
        <v>246</v>
      </c>
    </row>
    <row r="1018" spans="1:8" x14ac:dyDescent="0.2">
      <c r="A1018" s="130"/>
      <c r="B1018" s="1366"/>
      <c r="C1018" s="1366"/>
      <c r="D1018" s="1609"/>
      <c r="G1018" s="1352" t="s">
        <v>246</v>
      </c>
    </row>
    <row r="1019" spans="1:8" x14ac:dyDescent="0.2">
      <c r="A1019" s="1391"/>
      <c r="B1019" s="1391"/>
      <c r="C1019" s="1391"/>
      <c r="D1019" s="1609"/>
      <c r="G1019" s="1352" t="s">
        <v>246</v>
      </c>
    </row>
    <row r="1020" spans="1:8" x14ac:dyDescent="0.2">
      <c r="A1020" s="1391"/>
      <c r="B1020" s="1391"/>
      <c r="C1020" s="1391"/>
      <c r="D1020" s="1733" t="s">
        <v>3470</v>
      </c>
      <c r="F1020" s="1341">
        <f>IF(LEN('Verification Report'!W1020)=0,"",'Verification Report'!W1020)</f>
        <v>0.39600000000000002</v>
      </c>
      <c r="G1020" s="1352" t="s">
        <v>246</v>
      </c>
    </row>
    <row r="1021" spans="1:8" x14ac:dyDescent="0.2">
      <c r="A1021" s="1391"/>
      <c r="B1021" s="1391"/>
      <c r="C1021" s="1391"/>
      <c r="D1021" s="1733"/>
      <c r="G1021" s="1352" t="s">
        <v>246</v>
      </c>
    </row>
    <row r="1022" spans="1:8" x14ac:dyDescent="0.2">
      <c r="A1022" s="1391"/>
      <c r="B1022" s="1391"/>
      <c r="C1022" s="1391"/>
      <c r="D1022" s="1609" t="s">
        <v>3471</v>
      </c>
      <c r="G1022" s="1352" t="s">
        <v>246</v>
      </c>
    </row>
    <row r="1023" spans="1:8" x14ac:dyDescent="0.2">
      <c r="A1023" s="1391"/>
      <c r="B1023" s="1391"/>
      <c r="C1023" s="1391"/>
      <c r="D1023" s="1609"/>
      <c r="G1023" s="1352" t="s">
        <v>246</v>
      </c>
    </row>
    <row r="1024" spans="1:8" x14ac:dyDescent="0.2">
      <c r="A1024" s="1391"/>
      <c r="B1024" s="1391"/>
      <c r="C1024" s="1391"/>
      <c r="D1024" s="1609"/>
      <c r="G1024" s="1352" t="s">
        <v>246</v>
      </c>
    </row>
    <row r="1025" spans="1:7" x14ac:dyDescent="0.2">
      <c r="A1025" s="1391"/>
      <c r="B1025" s="1391"/>
      <c r="C1025" s="1391"/>
      <c r="D1025" s="1609"/>
      <c r="G1025" s="1352" t="s">
        <v>246</v>
      </c>
    </row>
    <row r="1026" spans="1:7" x14ac:dyDescent="0.2">
      <c r="A1026" s="1391"/>
      <c r="B1026" s="1391"/>
      <c r="C1026" s="1391"/>
      <c r="D1026" s="1609"/>
      <c r="G1026" s="1352" t="s">
        <v>246</v>
      </c>
    </row>
    <row r="1027" spans="1:7" x14ac:dyDescent="0.2">
      <c r="A1027" s="1391"/>
      <c r="B1027" s="1391"/>
      <c r="C1027" s="1391"/>
      <c r="D1027" s="1609" t="s">
        <v>5011</v>
      </c>
      <c r="G1027" s="1352" t="s">
        <v>246</v>
      </c>
    </row>
    <row r="1028" spans="1:7" x14ac:dyDescent="0.2">
      <c r="A1028" s="1391"/>
      <c r="B1028" s="1391"/>
      <c r="C1028" s="1391"/>
      <c r="D1028" s="1609"/>
      <c r="G1028" s="1352" t="s">
        <v>246</v>
      </c>
    </row>
    <row r="1029" spans="1:7" x14ac:dyDescent="0.2">
      <c r="A1029" s="1391"/>
      <c r="B1029" s="1391"/>
      <c r="C1029" s="1391"/>
      <c r="D1029" s="1609"/>
      <c r="G1029" s="1352" t="s">
        <v>246</v>
      </c>
    </row>
    <row r="1030" spans="1:7" x14ac:dyDescent="0.2">
      <c r="A1030" s="1391"/>
      <c r="B1030" s="1391"/>
      <c r="C1030" s="1391"/>
      <c r="D1030" s="1609"/>
      <c r="G1030" s="1352" t="s">
        <v>246</v>
      </c>
    </row>
    <row r="1031" spans="1:7" x14ac:dyDescent="0.2">
      <c r="A1031" s="1391"/>
      <c r="B1031" s="1391"/>
      <c r="C1031" s="1391"/>
      <c r="D1031" s="1609"/>
      <c r="G1031" s="1352" t="s">
        <v>246</v>
      </c>
    </row>
    <row r="1032" spans="1:7" ht="19" x14ac:dyDescent="0.25">
      <c r="A1032" s="25" t="s">
        <v>4509</v>
      </c>
      <c r="B1032" s="25"/>
      <c r="C1032" s="25"/>
      <c r="D1032" s="25"/>
      <c r="E1032" s="25"/>
      <c r="F1032" s="994"/>
      <c r="G1032" s="1352" t="s">
        <v>246</v>
      </c>
    </row>
    <row r="1033" spans="1:7" x14ac:dyDescent="0.2">
      <c r="A1033" s="608" t="s">
        <v>4067</v>
      </c>
      <c r="B1033" s="608"/>
      <c r="C1033" s="608"/>
      <c r="D1033" s="1369" t="s">
        <v>4068</v>
      </c>
      <c r="E1033" s="1352">
        <f>'Verification Report'!O1033</f>
        <v>0</v>
      </c>
      <c r="G1033" s="1352" t="s">
        <v>246</v>
      </c>
    </row>
    <row r="1034" spans="1:7" x14ac:dyDescent="0.2">
      <c r="A1034" s="590" t="s">
        <v>4069</v>
      </c>
      <c r="B1034" s="590"/>
      <c r="C1034" s="590"/>
      <c r="D1034" s="1687" t="s">
        <v>5085</v>
      </c>
      <c r="F1034" s="1341" t="str">
        <f>IF(LEN('Verification Report'!W1034)=0,"",'Verification Report'!W1034)</f>
        <v/>
      </c>
      <c r="G1034" s="1352" t="s">
        <v>246</v>
      </c>
    </row>
    <row r="1035" spans="1:7" x14ac:dyDescent="0.2">
      <c r="A1035" s="590"/>
      <c r="B1035" s="590"/>
      <c r="C1035" s="590"/>
      <c r="D1035" s="1687"/>
      <c r="G1035" s="1352" t="s">
        <v>246</v>
      </c>
    </row>
    <row r="1036" spans="1:7" x14ac:dyDescent="0.2">
      <c r="A1036" s="590"/>
      <c r="B1036" s="590"/>
      <c r="C1036" s="590"/>
      <c r="D1036" s="1367" t="s">
        <v>4468</v>
      </c>
      <c r="G1036" s="1352" t="s">
        <v>246</v>
      </c>
    </row>
    <row r="1037" spans="1:7" x14ac:dyDescent="0.2">
      <c r="A1037" s="590" t="s">
        <v>4070</v>
      </c>
      <c r="B1037" s="590"/>
      <c r="C1037" s="590"/>
      <c r="D1037" s="1687" t="s">
        <v>4071</v>
      </c>
      <c r="G1037" s="1352" t="s">
        <v>246</v>
      </c>
    </row>
    <row r="1038" spans="1:7" x14ac:dyDescent="0.2">
      <c r="A1038" s="590"/>
      <c r="B1038" s="590"/>
      <c r="C1038" s="590"/>
      <c r="D1038" s="1687"/>
      <c r="G1038" s="1352" t="s">
        <v>246</v>
      </c>
    </row>
    <row r="1039" spans="1:7" x14ac:dyDescent="0.2">
      <c r="A1039" s="590"/>
      <c r="B1039" s="590"/>
      <c r="C1039" s="590"/>
      <c r="D1039" s="1687"/>
      <c r="G1039" s="1352" t="s">
        <v>246</v>
      </c>
    </row>
    <row r="1040" spans="1:7" x14ac:dyDescent="0.2">
      <c r="A1040" s="590"/>
      <c r="B1040" s="590"/>
      <c r="C1040" s="590"/>
      <c r="D1040" s="1687"/>
      <c r="G1040" s="1352" t="s">
        <v>246</v>
      </c>
    </row>
    <row r="1041" spans="1:7" x14ac:dyDescent="0.2">
      <c r="A1041" s="590"/>
      <c r="B1041" s="590"/>
      <c r="C1041" s="590"/>
      <c r="D1041" s="1687"/>
      <c r="G1041" s="1352" t="s">
        <v>246</v>
      </c>
    </row>
    <row r="1042" spans="1:7" x14ac:dyDescent="0.2">
      <c r="A1042" s="606"/>
      <c r="B1042" s="606"/>
      <c r="C1042" s="606"/>
      <c r="D1042" s="1688"/>
      <c r="G1042" s="1352" t="s">
        <v>246</v>
      </c>
    </row>
    <row r="1043" spans="1:7" x14ac:dyDescent="0.2">
      <c r="A1043" s="590" t="s">
        <v>4072</v>
      </c>
      <c r="B1043" s="590"/>
      <c r="C1043" s="590"/>
      <c r="D1043" s="1687" t="s">
        <v>4073</v>
      </c>
      <c r="G1043" s="1352" t="s">
        <v>246</v>
      </c>
    </row>
    <row r="1044" spans="1:7" x14ac:dyDescent="0.2">
      <c r="A1044" s="590"/>
      <c r="B1044" s="590"/>
      <c r="C1044" s="590"/>
      <c r="D1044" s="1687"/>
      <c r="G1044" s="1352" t="s">
        <v>246</v>
      </c>
    </row>
    <row r="1045" spans="1:7" x14ac:dyDescent="0.2">
      <c r="A1045" s="606"/>
      <c r="B1045" s="606"/>
      <c r="C1045" s="606"/>
      <c r="D1045" s="1688"/>
      <c r="G1045" s="1352" t="s">
        <v>246</v>
      </c>
    </row>
    <row r="1046" spans="1:7" x14ac:dyDescent="0.2">
      <c r="A1046" s="608" t="s">
        <v>4074</v>
      </c>
      <c r="B1046" s="608"/>
      <c r="C1046" s="608"/>
      <c r="D1046" s="1686" t="s">
        <v>4469</v>
      </c>
      <c r="F1046" s="1341" t="str">
        <f>IF(LEN('Verification Report'!W1046)=0,"",'Verification Report'!W1046)</f>
        <v/>
      </c>
      <c r="G1046" s="1352" t="s">
        <v>246</v>
      </c>
    </row>
    <row r="1047" spans="1:7" x14ac:dyDescent="0.2">
      <c r="A1047" s="590"/>
      <c r="B1047" s="590"/>
      <c r="C1047" s="590"/>
      <c r="D1047" s="1687"/>
      <c r="G1047" s="1352" t="s">
        <v>246</v>
      </c>
    </row>
    <row r="1048" spans="1:7" x14ac:dyDescent="0.2">
      <c r="A1048" s="606"/>
      <c r="B1048" s="606"/>
      <c r="C1048" s="606"/>
      <c r="D1048" s="1387" t="s">
        <v>4470</v>
      </c>
      <c r="G1048" s="1352" t="s">
        <v>246</v>
      </c>
    </row>
    <row r="1049" spans="1:7" x14ac:dyDescent="0.2">
      <c r="A1049" s="608" t="s">
        <v>4075</v>
      </c>
      <c r="B1049" s="608"/>
      <c r="C1049" s="608"/>
      <c r="D1049" s="1686" t="s">
        <v>4076</v>
      </c>
      <c r="F1049" s="1341" t="str">
        <f>IF(LEN('Verification Report'!W1049)=0,"",'Verification Report'!W1049)</f>
        <v/>
      </c>
      <c r="G1049" s="1352" t="s">
        <v>246</v>
      </c>
    </row>
    <row r="1050" spans="1:7" ht="16" thickBot="1" x14ac:dyDescent="0.25">
      <c r="A1050" s="594"/>
      <c r="B1050" s="594"/>
      <c r="C1050" s="594"/>
      <c r="D1050" s="1738"/>
      <c r="G1050" s="1352" t="s">
        <v>246</v>
      </c>
    </row>
    <row r="1051" spans="1:7" ht="16" thickTop="1" x14ac:dyDescent="0.2">
      <c r="A1051" s="589" t="s">
        <v>4077</v>
      </c>
      <c r="B1051" s="589"/>
      <c r="C1051" s="589"/>
      <c r="D1051" s="1370" t="s">
        <v>4078</v>
      </c>
      <c r="G1051" s="1352" t="s">
        <v>246</v>
      </c>
    </row>
    <row r="1052" spans="1:7" x14ac:dyDescent="0.2">
      <c r="A1052" s="590" t="s">
        <v>4079</v>
      </c>
      <c r="B1052" s="590"/>
      <c r="C1052" s="590"/>
      <c r="D1052" s="1687" t="s">
        <v>4080</v>
      </c>
      <c r="E1052" s="1352">
        <f>'Verification Report'!O1052</f>
        <v>0</v>
      </c>
      <c r="F1052" s="1341" t="str">
        <f>IF(LEN('Verification Report'!W1052)=0,"",'Verification Report'!W1052)</f>
        <v/>
      </c>
      <c r="G1052" s="1352" t="s">
        <v>246</v>
      </c>
    </row>
    <row r="1053" spans="1:7" x14ac:dyDescent="0.2">
      <c r="A1053" s="590"/>
      <c r="B1053" s="590"/>
      <c r="C1053" s="590"/>
      <c r="D1053" s="1687"/>
      <c r="G1053" s="1352" t="s">
        <v>246</v>
      </c>
    </row>
    <row r="1054" spans="1:7" x14ac:dyDescent="0.2">
      <c r="A1054" s="590"/>
      <c r="B1054" s="590"/>
      <c r="C1054" s="590"/>
      <c r="D1054" s="1687"/>
      <c r="F1054" s="1341" t="str">
        <f>IF(LEN('Verification Report'!W1054)=0,"",'Verification Report'!W1054)</f>
        <v/>
      </c>
      <c r="G1054" s="1352" t="s">
        <v>246</v>
      </c>
    </row>
    <row r="1055" spans="1:7" x14ac:dyDescent="0.2">
      <c r="A1055" s="590"/>
      <c r="B1055" s="590"/>
      <c r="C1055" s="590"/>
      <c r="D1055" s="1687"/>
      <c r="G1055" s="1352" t="s">
        <v>246</v>
      </c>
    </row>
    <row r="1056" spans="1:7" x14ac:dyDescent="0.2">
      <c r="A1056" s="590"/>
      <c r="B1056" s="590"/>
      <c r="C1056" s="590"/>
      <c r="D1056" s="1687"/>
      <c r="G1056" s="1352" t="s">
        <v>246</v>
      </c>
    </row>
    <row r="1057" spans="1:7" x14ac:dyDescent="0.2">
      <c r="A1057" s="590"/>
      <c r="B1057" s="590"/>
      <c r="C1057" s="590"/>
      <c r="D1057" s="1687"/>
      <c r="G1057" s="1352" t="s">
        <v>246</v>
      </c>
    </row>
    <row r="1058" spans="1:7" x14ac:dyDescent="0.2">
      <c r="A1058" s="606"/>
      <c r="B1058" s="606"/>
      <c r="C1058" s="606"/>
      <c r="D1058" s="441" t="s">
        <v>4835</v>
      </c>
      <c r="G1058" s="1352" t="s">
        <v>246</v>
      </c>
    </row>
    <row r="1059" spans="1:7" x14ac:dyDescent="0.2">
      <c r="A1059" s="608" t="s">
        <v>4081</v>
      </c>
      <c r="B1059" s="608"/>
      <c r="C1059" s="608"/>
      <c r="D1059" s="1686" t="s">
        <v>4082</v>
      </c>
      <c r="E1059" s="1352">
        <f>'Verification Report'!O1059</f>
        <v>0</v>
      </c>
      <c r="G1059" s="1352" t="s">
        <v>246</v>
      </c>
    </row>
    <row r="1060" spans="1:7" x14ac:dyDescent="0.2">
      <c r="A1060" s="606"/>
      <c r="B1060" s="606"/>
      <c r="C1060" s="606"/>
      <c r="D1060" s="1688"/>
      <c r="F1060" s="1341" t="str">
        <f>IF(LEN('Verification Report'!W1060)=0,"",'Verification Report'!W1060)</f>
        <v/>
      </c>
      <c r="G1060" s="1352" t="s">
        <v>246</v>
      </c>
    </row>
    <row r="1061" spans="1:7" x14ac:dyDescent="0.2">
      <c r="A1061" s="608" t="s">
        <v>4083</v>
      </c>
      <c r="B1061" s="608"/>
      <c r="C1061" s="608"/>
      <c r="D1061" s="1686" t="s">
        <v>4084</v>
      </c>
      <c r="E1061" s="1352">
        <f ca="1">'Verification Report'!O1061</f>
        <v>0</v>
      </c>
      <c r="F1061" s="1341" t="str">
        <f>IF(LEN('Verification Report'!W1061)=0,"",'Verification Report'!W1061)</f>
        <v/>
      </c>
      <c r="G1061" s="1352" t="s">
        <v>246</v>
      </c>
    </row>
    <row r="1062" spans="1:7" x14ac:dyDescent="0.2">
      <c r="A1062" s="590"/>
      <c r="B1062" s="590"/>
      <c r="C1062" s="590"/>
      <c r="D1062" s="1687"/>
      <c r="G1062" s="1352" t="s">
        <v>246</v>
      </c>
    </row>
    <row r="1063" spans="1:7" x14ac:dyDescent="0.2">
      <c r="A1063" s="590"/>
      <c r="B1063" s="590"/>
      <c r="C1063" s="590"/>
      <c r="D1063" s="1687"/>
      <c r="G1063" s="1352" t="s">
        <v>246</v>
      </c>
    </row>
    <row r="1064" spans="1:7" x14ac:dyDescent="0.2">
      <c r="A1064" s="606"/>
      <c r="B1064" s="606"/>
      <c r="C1064" s="606"/>
      <c r="D1064" s="1688"/>
      <c r="G1064" s="1352" t="s">
        <v>246</v>
      </c>
    </row>
    <row r="1065" spans="1:7" x14ac:dyDescent="0.2">
      <c r="A1065" s="608" t="s">
        <v>4085</v>
      </c>
      <c r="B1065" s="608"/>
      <c r="C1065" s="608"/>
      <c r="D1065" s="1686" t="s">
        <v>4086</v>
      </c>
      <c r="E1065" s="1352">
        <f ca="1">'Verification Report'!O1065</f>
        <v>0</v>
      </c>
      <c r="G1065" s="1352" t="s">
        <v>246</v>
      </c>
    </row>
    <row r="1066" spans="1:7" x14ac:dyDescent="0.2">
      <c r="A1066" s="590"/>
      <c r="B1066" s="590"/>
      <c r="C1066" s="590"/>
      <c r="D1066" s="1687"/>
      <c r="F1066" s="1349"/>
      <c r="G1066" s="1352" t="s">
        <v>246</v>
      </c>
    </row>
    <row r="1067" spans="1:7" x14ac:dyDescent="0.2">
      <c r="A1067" s="590"/>
      <c r="B1067" s="590"/>
      <c r="C1067" s="590"/>
      <c r="D1067" s="1687"/>
      <c r="G1067" s="1352" t="s">
        <v>246</v>
      </c>
    </row>
    <row r="1068" spans="1:7" x14ac:dyDescent="0.2">
      <c r="A1068" s="606"/>
      <c r="B1068" s="606"/>
      <c r="C1068" s="606"/>
      <c r="D1068" s="1688"/>
      <c r="G1068" s="1352" t="s">
        <v>246</v>
      </c>
    </row>
    <row r="1069" spans="1:7" x14ac:dyDescent="0.2">
      <c r="A1069" s="589" t="s">
        <v>4087</v>
      </c>
      <c r="B1069" s="589"/>
      <c r="C1069" s="589"/>
      <c r="D1069" s="1370" t="s">
        <v>4088</v>
      </c>
      <c r="G1069" s="1352" t="s">
        <v>246</v>
      </c>
    </row>
    <row r="1070" spans="1:7" x14ac:dyDescent="0.2">
      <c r="A1070" s="589" t="s">
        <v>4089</v>
      </c>
      <c r="B1070" s="589"/>
      <c r="C1070" s="589"/>
      <c r="D1070" s="1687" t="s">
        <v>4090</v>
      </c>
      <c r="F1070" s="1341" t="str">
        <f>IF(LEN('Verification Report'!W1070)=0,"",'Verification Report'!W1070)</f>
        <v/>
      </c>
      <c r="G1070" s="1352" t="s">
        <v>246</v>
      </c>
    </row>
    <row r="1071" spans="1:7" x14ac:dyDescent="0.2">
      <c r="A1071" s="589"/>
      <c r="B1071" s="589"/>
      <c r="C1071" s="589"/>
      <c r="D1071" s="1687"/>
      <c r="G1071" s="1352" t="s">
        <v>246</v>
      </c>
    </row>
    <row r="1072" spans="1:7" x14ac:dyDescent="0.2">
      <c r="A1072" s="589"/>
      <c r="B1072" s="589"/>
      <c r="C1072" s="589"/>
      <c r="D1072" s="1687"/>
      <c r="G1072" s="1352" t="s">
        <v>246</v>
      </c>
    </row>
    <row r="1073" spans="1:7" x14ac:dyDescent="0.2">
      <c r="A1073" s="589"/>
      <c r="B1073" s="589"/>
      <c r="C1073" s="589"/>
      <c r="D1073" s="1687"/>
      <c r="G1073" s="1352" t="s">
        <v>246</v>
      </c>
    </row>
    <row r="1074" spans="1:7" x14ac:dyDescent="0.2">
      <c r="A1074" s="589"/>
      <c r="B1074" s="589"/>
      <c r="C1074" s="589"/>
      <c r="D1074" s="1687"/>
      <c r="G1074" s="1352" t="s">
        <v>246</v>
      </c>
    </row>
    <row r="1075" spans="1:7" x14ac:dyDescent="0.2">
      <c r="A1075" s="589"/>
      <c r="B1075" s="589"/>
      <c r="C1075" s="589"/>
      <c r="D1075" s="1687"/>
      <c r="G1075" s="1352" t="s">
        <v>246</v>
      </c>
    </row>
    <row r="1076" spans="1:7" x14ac:dyDescent="0.2">
      <c r="A1076" s="589"/>
      <c r="B1076" s="589"/>
      <c r="C1076" s="589"/>
      <c r="D1076" s="1687"/>
      <c r="G1076" s="1352" t="s">
        <v>246</v>
      </c>
    </row>
    <row r="1077" spans="1:7" x14ac:dyDescent="0.2">
      <c r="A1077" s="590" t="s">
        <v>4091</v>
      </c>
      <c r="B1077" s="590"/>
      <c r="C1077" s="590"/>
      <c r="D1077" s="1687" t="s">
        <v>4092</v>
      </c>
      <c r="F1077" s="1341" t="str">
        <f>IF(LEN('Verification Report'!W1077)=0,"",'Verification Report'!W1077)</f>
        <v/>
      </c>
      <c r="G1077" s="1352" t="s">
        <v>246</v>
      </c>
    </row>
    <row r="1078" spans="1:7" x14ac:dyDescent="0.2">
      <c r="A1078" s="590"/>
      <c r="B1078" s="590"/>
      <c r="C1078" s="590"/>
      <c r="D1078" s="1687"/>
      <c r="G1078" s="1352" t="s">
        <v>246</v>
      </c>
    </row>
    <row r="1079" spans="1:7" x14ac:dyDescent="0.2">
      <c r="A1079" s="590"/>
      <c r="B1079" s="590"/>
      <c r="C1079" s="590"/>
      <c r="D1079" s="1687"/>
      <c r="G1079" s="1352" t="s">
        <v>246</v>
      </c>
    </row>
    <row r="1080" spans="1:7" x14ac:dyDescent="0.2">
      <c r="A1080" s="590"/>
      <c r="B1080" s="590"/>
      <c r="C1080" s="590"/>
      <c r="D1080" s="1687"/>
      <c r="G1080" s="1352" t="s">
        <v>246</v>
      </c>
    </row>
    <row r="1081" spans="1:7" x14ac:dyDescent="0.2">
      <c r="A1081" s="590"/>
      <c r="B1081" s="590"/>
      <c r="C1081" s="590"/>
      <c r="D1081" s="1687"/>
      <c r="G1081" s="1352" t="s">
        <v>246</v>
      </c>
    </row>
    <row r="1082" spans="1:7" x14ac:dyDescent="0.2">
      <c r="A1082" s="590"/>
      <c r="B1082" s="590"/>
      <c r="C1082" s="590"/>
      <c r="D1082" s="1687"/>
      <c r="G1082" s="1352" t="s">
        <v>246</v>
      </c>
    </row>
    <row r="1083" spans="1:7" x14ac:dyDescent="0.2">
      <c r="A1083" s="590"/>
      <c r="B1083" s="590"/>
      <c r="C1083" s="590"/>
      <c r="D1083" s="1687"/>
      <c r="G1083" s="1352" t="s">
        <v>246</v>
      </c>
    </row>
    <row r="1084" spans="1:7" x14ac:dyDescent="0.2">
      <c r="A1084" s="590"/>
      <c r="B1084" s="590"/>
      <c r="C1084" s="590"/>
      <c r="D1084" s="1687"/>
      <c r="G1084" s="1352" t="s">
        <v>246</v>
      </c>
    </row>
    <row r="1085" spans="1:7" x14ac:dyDescent="0.2">
      <c r="A1085" s="606"/>
      <c r="B1085" s="606"/>
      <c r="C1085" s="606"/>
      <c r="D1085" s="441" t="s">
        <v>5089</v>
      </c>
      <c r="G1085" s="1352" t="s">
        <v>246</v>
      </c>
    </row>
    <row r="1086" spans="1:7" x14ac:dyDescent="0.2">
      <c r="A1086" s="589" t="s">
        <v>4093</v>
      </c>
      <c r="B1086" s="589"/>
      <c r="C1086" s="589"/>
      <c r="D1086" s="1687" t="s">
        <v>4839</v>
      </c>
      <c r="E1086" s="1352">
        <f ca="1">'Verification Report'!O1086</f>
        <v>0</v>
      </c>
      <c r="F1086" s="1341" t="str">
        <f>IF(LEN('Verification Report'!W1086)=0,"",'Verification Report'!W1086)</f>
        <v/>
      </c>
      <c r="G1086" s="1352" t="s">
        <v>246</v>
      </c>
    </row>
    <row r="1087" spans="1:7" x14ac:dyDescent="0.2">
      <c r="A1087" s="589"/>
      <c r="B1087" s="589"/>
      <c r="C1087" s="589"/>
      <c r="D1087" s="1687"/>
      <c r="G1087" s="1352" t="s">
        <v>246</v>
      </c>
    </row>
    <row r="1088" spans="1:7" x14ac:dyDescent="0.2">
      <c r="A1088" s="589"/>
      <c r="B1088" s="589"/>
      <c r="C1088" s="589"/>
      <c r="D1088" s="1687"/>
      <c r="G1088" s="1352" t="s">
        <v>246</v>
      </c>
    </row>
    <row r="1089" spans="1:7" x14ac:dyDescent="0.2">
      <c r="A1089" s="589"/>
      <c r="B1089" s="589"/>
      <c r="C1089" s="589"/>
      <c r="D1089" s="1687"/>
      <c r="G1089" s="1352" t="s">
        <v>246</v>
      </c>
    </row>
    <row r="1090" spans="1:7" x14ac:dyDescent="0.2">
      <c r="A1090" s="589"/>
      <c r="B1090" s="589"/>
      <c r="C1090" s="589"/>
      <c r="D1090" s="1687"/>
      <c r="G1090" s="1352" t="s">
        <v>246</v>
      </c>
    </row>
    <row r="1091" spans="1:7" x14ac:dyDescent="0.2">
      <c r="A1091" s="589"/>
      <c r="B1091" s="589"/>
      <c r="C1091" s="606" t="s">
        <v>121</v>
      </c>
      <c r="D1091" s="1361" t="s">
        <v>4841</v>
      </c>
      <c r="G1091" s="1352" t="s">
        <v>246</v>
      </c>
    </row>
    <row r="1092" spans="1:7" x14ac:dyDescent="0.2">
      <c r="A1092" s="589"/>
      <c r="B1092" s="589"/>
      <c r="C1092" s="607" t="s">
        <v>122</v>
      </c>
      <c r="D1092" s="1075" t="s">
        <v>4842</v>
      </c>
      <c r="G1092" s="1352" t="s">
        <v>246</v>
      </c>
    </row>
    <row r="1093" spans="1:7" x14ac:dyDescent="0.2">
      <c r="A1093" s="589"/>
      <c r="B1093" s="589"/>
      <c r="C1093" s="589" t="s">
        <v>123</v>
      </c>
      <c r="D1093" s="1359" t="s">
        <v>4843</v>
      </c>
      <c r="G1093" s="1352" t="s">
        <v>246</v>
      </c>
    </row>
    <row r="1094" spans="1:7" x14ac:dyDescent="0.2">
      <c r="A1094" s="589"/>
      <c r="B1094" s="589"/>
      <c r="C1094" s="589"/>
      <c r="D1094" s="1634" t="s">
        <v>4840</v>
      </c>
      <c r="G1094" s="1352" t="s">
        <v>246</v>
      </c>
    </row>
    <row r="1095" spans="1:7" x14ac:dyDescent="0.2">
      <c r="A1095" s="589"/>
      <c r="B1095" s="589"/>
      <c r="C1095" s="589"/>
      <c r="D1095" s="1634"/>
      <c r="G1095" s="1352" t="s">
        <v>246</v>
      </c>
    </row>
    <row r="1096" spans="1:7" x14ac:dyDescent="0.2">
      <c r="A1096" s="590" t="s">
        <v>4094</v>
      </c>
      <c r="B1096" s="590"/>
      <c r="C1096" s="590"/>
      <c r="D1096" s="1687" t="s">
        <v>4095</v>
      </c>
      <c r="F1096" s="1341" t="str">
        <f>IF(LEN('Verification Report'!W1096)=0,"",'Verification Report'!W1096)</f>
        <v/>
      </c>
      <c r="G1096" s="1352" t="s">
        <v>246</v>
      </c>
    </row>
    <row r="1097" spans="1:7" x14ac:dyDescent="0.2">
      <c r="A1097" s="590"/>
      <c r="B1097" s="590"/>
      <c r="C1097" s="590"/>
      <c r="D1097" s="1687"/>
      <c r="G1097" s="1352" t="s">
        <v>246</v>
      </c>
    </row>
    <row r="1098" spans="1:7" x14ac:dyDescent="0.2">
      <c r="A1098" s="590"/>
      <c r="B1098" s="590"/>
      <c r="C1098" s="590"/>
      <c r="D1098" s="1687"/>
      <c r="G1098" s="1352" t="s">
        <v>246</v>
      </c>
    </row>
    <row r="1099" spans="1:7" x14ac:dyDescent="0.2">
      <c r="A1099" s="590"/>
      <c r="B1099" s="590"/>
      <c r="C1099" s="590"/>
      <c r="D1099" s="1687"/>
      <c r="G1099" s="1352" t="s">
        <v>246</v>
      </c>
    </row>
    <row r="1100" spans="1:7" x14ac:dyDescent="0.2">
      <c r="A1100" s="590"/>
      <c r="B1100" s="590"/>
      <c r="C1100" s="590"/>
      <c r="D1100" s="1687"/>
      <c r="G1100" s="1352" t="s">
        <v>246</v>
      </c>
    </row>
    <row r="1101" spans="1:7" x14ac:dyDescent="0.2">
      <c r="A1101" s="590"/>
      <c r="B1101" s="590"/>
      <c r="C1101" s="590"/>
      <c r="D1101" s="1687"/>
      <c r="G1101" s="1352" t="s">
        <v>246</v>
      </c>
    </row>
    <row r="1102" spans="1:7" x14ac:dyDescent="0.2">
      <c r="A1102" s="590"/>
      <c r="B1102" s="590"/>
      <c r="C1102" s="590"/>
      <c r="D1102" s="1687"/>
      <c r="G1102" s="1352" t="s">
        <v>246</v>
      </c>
    </row>
    <row r="1103" spans="1:7" x14ac:dyDescent="0.2">
      <c r="A1103" s="590"/>
      <c r="B1103" s="590"/>
      <c r="C1103" s="590"/>
      <c r="D1103" s="1687"/>
      <c r="G1103" s="1352" t="s">
        <v>246</v>
      </c>
    </row>
    <row r="1104" spans="1:7" ht="16" thickBot="1" x14ac:dyDescent="0.25">
      <c r="A1104" s="594"/>
      <c r="B1104" s="594"/>
      <c r="C1104" s="594"/>
      <c r="D1104" s="1738"/>
      <c r="G1104" s="1352" t="s">
        <v>246</v>
      </c>
    </row>
    <row r="1105" spans="1:7" ht="16" thickTop="1" x14ac:dyDescent="0.2">
      <c r="A1105" s="589" t="s">
        <v>4096</v>
      </c>
      <c r="B1105" s="589"/>
      <c r="C1105" s="589"/>
      <c r="D1105" s="1370" t="s">
        <v>4097</v>
      </c>
      <c r="G1105" s="1352" t="s">
        <v>246</v>
      </c>
    </row>
    <row r="1106" spans="1:7" x14ac:dyDescent="0.2">
      <c r="A1106" s="589" t="s">
        <v>4098</v>
      </c>
      <c r="B1106" s="589"/>
      <c r="C1106" s="589"/>
      <c r="D1106" s="1687" t="s">
        <v>4099</v>
      </c>
      <c r="G1106" s="1352" t="s">
        <v>246</v>
      </c>
    </row>
    <row r="1107" spans="1:7" x14ac:dyDescent="0.2">
      <c r="A1107" s="589"/>
      <c r="B1107" s="589"/>
      <c r="C1107" s="589"/>
      <c r="D1107" s="1687"/>
      <c r="F1107" s="1341" t="str">
        <f>IF(LEN('Verification Report'!W1107)=0,"",'Verification Report'!W1107)</f>
        <v/>
      </c>
      <c r="G1107" s="1352" t="s">
        <v>246</v>
      </c>
    </row>
    <row r="1108" spans="1:7" x14ac:dyDescent="0.2">
      <c r="A1108" s="589"/>
      <c r="B1108" s="589"/>
      <c r="C1108" s="589"/>
      <c r="D1108" s="1687"/>
      <c r="G1108" s="1352" t="s">
        <v>246</v>
      </c>
    </row>
    <row r="1109" spans="1:7" x14ac:dyDescent="0.2">
      <c r="A1109" s="589"/>
      <c r="B1109" s="589"/>
      <c r="C1109" s="589"/>
      <c r="D1109" s="1687"/>
      <c r="G1109" s="1352" t="s">
        <v>246</v>
      </c>
    </row>
    <row r="1110" spans="1:7" x14ac:dyDescent="0.2">
      <c r="A1110" s="589"/>
      <c r="B1110" s="589"/>
      <c r="C1110" s="589"/>
      <c r="D1110" s="1687"/>
      <c r="G1110" s="1352" t="s">
        <v>246</v>
      </c>
    </row>
    <row r="1111" spans="1:7" x14ac:dyDescent="0.2">
      <c r="A1111" s="589"/>
      <c r="B1111" s="589"/>
      <c r="C1111" s="589"/>
      <c r="D1111" s="1687"/>
      <c r="G1111" s="1352" t="s">
        <v>246</v>
      </c>
    </row>
    <row r="1112" spans="1:7" x14ac:dyDescent="0.2">
      <c r="A1112" s="589"/>
      <c r="B1112" s="589"/>
      <c r="C1112" s="589"/>
      <c r="D1112" s="1687"/>
      <c r="G1112" s="1352" t="s">
        <v>246</v>
      </c>
    </row>
    <row r="1113" spans="1:7" x14ac:dyDescent="0.2">
      <c r="A1113" s="589"/>
      <c r="B1113" s="589"/>
      <c r="C1113" s="589"/>
      <c r="D1113" s="1687"/>
      <c r="F1113" s="1341" t="str">
        <f>IF(LEN('Verification Report'!W1113)=0,"",'Verification Report'!W1113)</f>
        <v/>
      </c>
      <c r="G1113" s="1352" t="s">
        <v>246</v>
      </c>
    </row>
    <row r="1114" spans="1:7" ht="17" x14ac:dyDescent="0.2">
      <c r="A1114" s="589"/>
      <c r="B1114" s="589"/>
      <c r="C1114" s="589"/>
      <c r="D1114" s="1359" t="s">
        <v>4100</v>
      </c>
      <c r="G1114" s="1352" t="s">
        <v>246</v>
      </c>
    </row>
    <row r="1115" spans="1:7" x14ac:dyDescent="0.2">
      <c r="A1115" s="589"/>
      <c r="B1115" s="589"/>
      <c r="C1115" s="589"/>
      <c r="D1115" s="1390" t="s">
        <v>4101</v>
      </c>
      <c r="G1115" s="1352" t="s">
        <v>246</v>
      </c>
    </row>
    <row r="1116" spans="1:7" x14ac:dyDescent="0.2">
      <c r="A1116" s="589"/>
      <c r="B1116" s="589"/>
      <c r="C1116" s="589"/>
      <c r="D1116" s="1359" t="s">
        <v>4102</v>
      </c>
      <c r="G1116" s="1352" t="s">
        <v>246</v>
      </c>
    </row>
    <row r="1117" spans="1:7" x14ac:dyDescent="0.2">
      <c r="A1117" s="589"/>
      <c r="B1117" s="589"/>
      <c r="C1117" s="589"/>
      <c r="D1117" s="1359" t="s">
        <v>4103</v>
      </c>
      <c r="G1117" s="1352" t="s">
        <v>246</v>
      </c>
    </row>
    <row r="1118" spans="1:7" x14ac:dyDescent="0.2">
      <c r="A1118" s="606"/>
      <c r="B1118" s="606"/>
      <c r="C1118" s="606"/>
      <c r="D1118" s="1392" t="s">
        <v>4104</v>
      </c>
      <c r="G1118" s="1352" t="s">
        <v>246</v>
      </c>
    </row>
    <row r="1119" spans="1:7" x14ac:dyDescent="0.2">
      <c r="A1119" s="608" t="s">
        <v>4105</v>
      </c>
      <c r="B1119" s="608"/>
      <c r="C1119" s="608"/>
      <c r="D1119" s="1686" t="s">
        <v>4106</v>
      </c>
      <c r="E1119" s="1352">
        <f ca="1">'Verification Report'!O1119</f>
        <v>0</v>
      </c>
      <c r="F1119" s="1341" t="str">
        <f>IF(LEN('Verification Report'!W1119)=0,"",'Verification Report'!W1119)</f>
        <v/>
      </c>
      <c r="G1119" s="1352" t="s">
        <v>246</v>
      </c>
    </row>
    <row r="1120" spans="1:7" x14ac:dyDescent="0.2">
      <c r="A1120" s="590"/>
      <c r="B1120" s="590"/>
      <c r="C1120" s="590"/>
      <c r="D1120" s="1687"/>
      <c r="G1120" s="1352" t="s">
        <v>246</v>
      </c>
    </row>
    <row r="1121" spans="1:7" x14ac:dyDescent="0.2">
      <c r="A1121" s="590"/>
      <c r="B1121" s="590"/>
      <c r="C1121" s="590"/>
      <c r="D1121" s="1687"/>
      <c r="G1121" s="1352" t="s">
        <v>246</v>
      </c>
    </row>
    <row r="1122" spans="1:7" x14ac:dyDescent="0.2">
      <c r="A1122" s="590"/>
      <c r="B1122" s="590"/>
      <c r="C1122" s="590"/>
      <c r="D1122" s="1687"/>
      <c r="G1122" s="1352" t="s">
        <v>246</v>
      </c>
    </row>
    <row r="1123" spans="1:7" x14ac:dyDescent="0.2">
      <c r="A1123" s="606"/>
      <c r="B1123" s="606"/>
      <c r="C1123" s="606"/>
      <c r="D1123" s="1688"/>
      <c r="G1123" s="1352" t="s">
        <v>246</v>
      </c>
    </row>
    <row r="1124" spans="1:7" x14ac:dyDescent="0.2">
      <c r="A1124" s="589" t="s">
        <v>4107</v>
      </c>
      <c r="B1124" s="589"/>
      <c r="C1124" s="589"/>
      <c r="D1124" s="1370" t="s">
        <v>4108</v>
      </c>
      <c r="G1124" s="1352" t="s">
        <v>246</v>
      </c>
    </row>
    <row r="1125" spans="1:7" x14ac:dyDescent="0.2">
      <c r="A1125" s="589"/>
      <c r="B1125" s="589" t="s">
        <v>254</v>
      </c>
      <c r="C1125" s="589"/>
      <c r="D1125" s="1359" t="s">
        <v>4405</v>
      </c>
      <c r="E1125" s="1352">
        <f ca="1">'Verification Report'!O1125</f>
        <v>0</v>
      </c>
      <c r="G1125" s="1352" t="s">
        <v>246</v>
      </c>
    </row>
    <row r="1126" spans="1:7" x14ac:dyDescent="0.2">
      <c r="A1126" s="589"/>
      <c r="B1126" s="589"/>
      <c r="C1126" s="589"/>
      <c r="D1126" s="1359" t="s">
        <v>4109</v>
      </c>
      <c r="F1126" s="1341" t="str">
        <f>IF(LEN('Verification Report'!W1126)=0,"",'Verification Report'!W1126)</f>
        <v/>
      </c>
      <c r="G1126" s="1352" t="s">
        <v>246</v>
      </c>
    </row>
    <row r="1127" spans="1:7" x14ac:dyDescent="0.2">
      <c r="A1127" s="589"/>
      <c r="B1127" s="589"/>
      <c r="C1127" s="589"/>
      <c r="D1127" s="1359" t="s">
        <v>4110</v>
      </c>
      <c r="G1127" s="1352" t="s">
        <v>246</v>
      </c>
    </row>
    <row r="1128" spans="1:7" x14ac:dyDescent="0.2">
      <c r="A1128" s="589"/>
      <c r="B1128" s="589"/>
      <c r="C1128" s="589"/>
      <c r="D1128" s="1359" t="s">
        <v>4111</v>
      </c>
      <c r="G1128" s="1352" t="s">
        <v>246</v>
      </c>
    </row>
    <row r="1129" spans="1:7" x14ac:dyDescent="0.2">
      <c r="A1129" s="589"/>
      <c r="B1129" s="589"/>
      <c r="C1129" s="589"/>
      <c r="D1129" s="1359" t="s">
        <v>4112</v>
      </c>
      <c r="G1129" s="1352" t="s">
        <v>246</v>
      </c>
    </row>
    <row r="1130" spans="1:7" x14ac:dyDescent="0.2">
      <c r="A1130" s="589"/>
      <c r="B1130" s="606"/>
      <c r="C1130" s="606"/>
      <c r="D1130" s="1361" t="s">
        <v>4113</v>
      </c>
      <c r="G1130" s="1352" t="s">
        <v>246</v>
      </c>
    </row>
    <row r="1131" spans="1:7" x14ac:dyDescent="0.2">
      <c r="A1131" s="589"/>
      <c r="B1131" s="589" t="s">
        <v>255</v>
      </c>
      <c r="C1131" s="589"/>
      <c r="D1131" s="1359" t="s">
        <v>4406</v>
      </c>
      <c r="E1131" s="1352">
        <f ca="1">'Verification Report'!O1131</f>
        <v>0</v>
      </c>
      <c r="G1131" s="1352" t="s">
        <v>246</v>
      </c>
    </row>
    <row r="1132" spans="1:7" x14ac:dyDescent="0.2">
      <c r="A1132" s="589"/>
      <c r="B1132" s="589"/>
      <c r="C1132" s="589"/>
      <c r="D1132" s="1359" t="s">
        <v>4114</v>
      </c>
      <c r="F1132" s="1341" t="str">
        <f>IF(LEN('Verification Report'!W1132)=0,"",'Verification Report'!W1132)</f>
        <v/>
      </c>
      <c r="G1132" s="1352" t="s">
        <v>246</v>
      </c>
    </row>
    <row r="1133" spans="1:7" x14ac:dyDescent="0.2">
      <c r="A1133" s="589"/>
      <c r="B1133" s="606"/>
      <c r="C1133" s="606"/>
      <c r="D1133" s="1361" t="s">
        <v>4109</v>
      </c>
      <c r="G1133" s="1352" t="s">
        <v>246</v>
      </c>
    </row>
    <row r="1134" spans="1:7" x14ac:dyDescent="0.2">
      <c r="A1134" s="589"/>
      <c r="B1134" s="589" t="s">
        <v>256</v>
      </c>
      <c r="C1134" s="589"/>
      <c r="D1134" s="1359" t="s">
        <v>4407</v>
      </c>
      <c r="E1134" s="1352">
        <f ca="1">'Verification Report'!O1134</f>
        <v>0</v>
      </c>
      <c r="G1134" s="1352" t="s">
        <v>246</v>
      </c>
    </row>
    <row r="1135" spans="1:7" x14ac:dyDescent="0.2">
      <c r="A1135" s="589"/>
      <c r="B1135" s="589"/>
      <c r="C1135" s="589"/>
      <c r="D1135" s="1359" t="s">
        <v>4114</v>
      </c>
      <c r="F1135" s="1341" t="str">
        <f>IF(LEN('Verification Report'!W1135)=0,"",'Verification Report'!W1135)</f>
        <v/>
      </c>
      <c r="G1135" s="1352" t="s">
        <v>246</v>
      </c>
    </row>
    <row r="1136" spans="1:7" x14ac:dyDescent="0.2">
      <c r="A1136" s="589"/>
      <c r="B1136" s="589"/>
      <c r="C1136" s="589"/>
      <c r="D1136" s="1359" t="s">
        <v>4109</v>
      </c>
      <c r="G1136" s="1352" t="s">
        <v>246</v>
      </c>
    </row>
    <row r="1137" spans="1:7" x14ac:dyDescent="0.2">
      <c r="A1137" s="589"/>
      <c r="B1137" s="589"/>
      <c r="C1137" s="589"/>
      <c r="D1137" s="1359" t="s">
        <v>4111</v>
      </c>
      <c r="G1137" s="1352" t="s">
        <v>246</v>
      </c>
    </row>
    <row r="1138" spans="1:7" x14ac:dyDescent="0.2">
      <c r="A1138" s="589"/>
      <c r="B1138" s="606"/>
      <c r="C1138" s="606"/>
      <c r="D1138" s="1361" t="s">
        <v>4112</v>
      </c>
      <c r="G1138" s="1352" t="s">
        <v>246</v>
      </c>
    </row>
    <row r="1139" spans="1:7" x14ac:dyDescent="0.2">
      <c r="A1139" s="589"/>
      <c r="B1139" s="589" t="s">
        <v>259</v>
      </c>
      <c r="C1139" s="589"/>
      <c r="D1139" s="1359" t="s">
        <v>4408</v>
      </c>
      <c r="E1139" s="1352">
        <f ca="1">'Verification Report'!O1139</f>
        <v>0</v>
      </c>
      <c r="G1139" s="1352" t="s">
        <v>246</v>
      </c>
    </row>
    <row r="1140" spans="1:7" x14ac:dyDescent="0.2">
      <c r="A1140" s="589"/>
      <c r="B1140" s="589"/>
      <c r="C1140" s="589"/>
      <c r="D1140" s="1359" t="s">
        <v>4114</v>
      </c>
      <c r="F1140" s="1341" t="str">
        <f>IF(LEN('Verification Report'!W1140)=0,"",'Verification Report'!W1140)</f>
        <v/>
      </c>
      <c r="G1140" s="1352" t="s">
        <v>246</v>
      </c>
    </row>
    <row r="1141" spans="1:7" x14ac:dyDescent="0.2">
      <c r="A1141" s="606"/>
      <c r="B1141" s="606"/>
      <c r="C1141" s="606"/>
      <c r="D1141" s="1361" t="s">
        <v>4109</v>
      </c>
      <c r="G1141" s="1352" t="s">
        <v>246</v>
      </c>
    </row>
    <row r="1142" spans="1:7" x14ac:dyDescent="0.2">
      <c r="A1142" s="589" t="s">
        <v>4115</v>
      </c>
      <c r="B1142" s="589"/>
      <c r="C1142" s="589"/>
      <c r="D1142" s="1687" t="s">
        <v>4116</v>
      </c>
      <c r="G1142" s="1352" t="s">
        <v>246</v>
      </c>
    </row>
    <row r="1143" spans="1:7" x14ac:dyDescent="0.2">
      <c r="A1143" s="589"/>
      <c r="B1143" s="589"/>
      <c r="C1143" s="589"/>
      <c r="D1143" s="1687"/>
      <c r="G1143" s="1352" t="s">
        <v>246</v>
      </c>
    </row>
    <row r="1144" spans="1:7" x14ac:dyDescent="0.2">
      <c r="A1144" s="589"/>
      <c r="B1144" s="589"/>
      <c r="C1144" s="589"/>
      <c r="D1144" s="1687"/>
      <c r="G1144" s="1352" t="s">
        <v>246</v>
      </c>
    </row>
    <row r="1145" spans="1:7" x14ac:dyDescent="0.2">
      <c r="A1145" s="589"/>
      <c r="B1145" s="589" t="s">
        <v>254</v>
      </c>
      <c r="C1145" s="589"/>
      <c r="D1145" s="1359" t="s">
        <v>4117</v>
      </c>
      <c r="E1145" s="1352">
        <f ca="1">'Verification Report'!O1145</f>
        <v>0</v>
      </c>
      <c r="G1145" s="1352" t="s">
        <v>246</v>
      </c>
    </row>
    <row r="1146" spans="1:7" x14ac:dyDescent="0.2">
      <c r="A1146" s="589"/>
      <c r="B1146" s="589"/>
      <c r="C1146" s="589"/>
      <c r="D1146" s="1359" t="s">
        <v>4118</v>
      </c>
      <c r="F1146" s="1341" t="str">
        <f>IF(LEN('Verification Report'!W1146)=0,"",'Verification Report'!W1146)</f>
        <v/>
      </c>
      <c r="G1146" s="1352" t="s">
        <v>246</v>
      </c>
    </row>
    <row r="1147" spans="1:7" x14ac:dyDescent="0.2">
      <c r="A1147" s="589"/>
      <c r="B1147" s="589"/>
      <c r="C1147" s="589"/>
      <c r="D1147" s="1359" t="s">
        <v>4119</v>
      </c>
      <c r="G1147" s="1352" t="s">
        <v>246</v>
      </c>
    </row>
    <row r="1148" spans="1:7" x14ac:dyDescent="0.2">
      <c r="A1148" s="589"/>
      <c r="B1148" s="589"/>
      <c r="C1148" s="589"/>
      <c r="D1148" s="1359" t="s">
        <v>4120</v>
      </c>
      <c r="G1148" s="1352" t="s">
        <v>246</v>
      </c>
    </row>
    <row r="1149" spans="1:7" x14ac:dyDescent="0.2">
      <c r="A1149" s="589"/>
      <c r="B1149" s="590"/>
      <c r="C1149" s="590"/>
      <c r="D1149" s="1359" t="s">
        <v>4121</v>
      </c>
      <c r="G1149" s="1352" t="s">
        <v>246</v>
      </c>
    </row>
    <row r="1150" spans="1:7" x14ac:dyDescent="0.2">
      <c r="A1150" s="589"/>
      <c r="B1150" s="606"/>
      <c r="C1150" s="606"/>
      <c r="D1150" s="1361" t="s">
        <v>4122</v>
      </c>
      <c r="G1150" s="1352" t="s">
        <v>246</v>
      </c>
    </row>
    <row r="1151" spans="1:7" x14ac:dyDescent="0.2">
      <c r="A1151" s="589"/>
      <c r="B1151" s="590" t="s">
        <v>255</v>
      </c>
      <c r="C1151" s="590"/>
      <c r="D1151" s="1359" t="s">
        <v>4514</v>
      </c>
      <c r="E1151" s="1352">
        <f ca="1">'Verification Report'!O1151</f>
        <v>0</v>
      </c>
      <c r="F1151" s="1341" t="str">
        <f>IF(LEN('Verification Report'!W1151)=0,"",'Verification Report'!W1151)</f>
        <v/>
      </c>
      <c r="G1151" s="1352" t="s">
        <v>246</v>
      </c>
    </row>
    <row r="1152" spans="1:7" x14ac:dyDescent="0.2">
      <c r="A1152" s="589"/>
      <c r="B1152" s="606"/>
      <c r="C1152" s="606"/>
      <c r="D1152" s="1361"/>
      <c r="G1152" s="1352" t="s">
        <v>246</v>
      </c>
    </row>
    <row r="1153" spans="1:7" x14ac:dyDescent="0.2">
      <c r="A1153" s="606"/>
      <c r="B1153" s="606" t="s">
        <v>256</v>
      </c>
      <c r="C1153" s="606"/>
      <c r="D1153" s="1361" t="s">
        <v>4123</v>
      </c>
      <c r="E1153" s="1352">
        <f ca="1">'Verification Report'!O1153</f>
        <v>0</v>
      </c>
      <c r="F1153" s="1341" t="str">
        <f>IF(LEN('Verification Report'!W1153)=0,"",'Verification Report'!W1153)</f>
        <v/>
      </c>
      <c r="G1153" s="1352" t="s">
        <v>246</v>
      </c>
    </row>
    <row r="1154" spans="1:7" x14ac:dyDescent="0.2">
      <c r="A1154" s="589" t="s">
        <v>4124</v>
      </c>
      <c r="B1154" s="589"/>
      <c r="C1154" s="589"/>
      <c r="D1154" s="1687" t="s">
        <v>4125</v>
      </c>
      <c r="G1154" s="1352" t="s">
        <v>246</v>
      </c>
    </row>
    <row r="1155" spans="1:7" x14ac:dyDescent="0.2">
      <c r="A1155" s="589"/>
      <c r="B1155" s="589"/>
      <c r="C1155" s="589"/>
      <c r="D1155" s="1687"/>
      <c r="G1155" s="1352" t="s">
        <v>246</v>
      </c>
    </row>
    <row r="1156" spans="1:7" x14ac:dyDescent="0.2">
      <c r="A1156" s="589"/>
      <c r="B1156" s="589"/>
      <c r="C1156" s="589"/>
      <c r="D1156" s="1687"/>
      <c r="G1156" s="1352" t="s">
        <v>246</v>
      </c>
    </row>
    <row r="1157" spans="1:7" x14ac:dyDescent="0.2">
      <c r="A1157" s="589"/>
      <c r="B1157" s="589" t="s">
        <v>254</v>
      </c>
      <c r="C1157" s="589"/>
      <c r="D1157" s="1359" t="s">
        <v>4126</v>
      </c>
      <c r="E1157" s="1352">
        <f ca="1">'Verification Report'!O1157</f>
        <v>0</v>
      </c>
      <c r="G1157" s="1352" t="s">
        <v>246</v>
      </c>
    </row>
    <row r="1158" spans="1:7" x14ac:dyDescent="0.2">
      <c r="A1158" s="589"/>
      <c r="B1158" s="589"/>
      <c r="C1158" s="589"/>
      <c r="D1158" s="1359" t="s">
        <v>4127</v>
      </c>
      <c r="F1158" s="1341" t="str">
        <f>IF(LEN('Verification Report'!W1158)=0,"",'Verification Report'!W1158)</f>
        <v/>
      </c>
      <c r="G1158" s="1352" t="s">
        <v>246</v>
      </c>
    </row>
    <row r="1159" spans="1:7" x14ac:dyDescent="0.2">
      <c r="A1159" s="589"/>
      <c r="B1159" s="589"/>
      <c r="C1159" s="589"/>
      <c r="D1159" s="1359" t="s">
        <v>4128</v>
      </c>
      <c r="G1159" s="1352" t="s">
        <v>246</v>
      </c>
    </row>
    <row r="1160" spans="1:7" x14ac:dyDescent="0.2">
      <c r="A1160" s="589"/>
      <c r="B1160" s="589"/>
      <c r="C1160" s="589"/>
      <c r="D1160" s="1359" t="s">
        <v>4129</v>
      </c>
      <c r="G1160" s="1352" t="s">
        <v>246</v>
      </c>
    </row>
    <row r="1161" spans="1:7" x14ac:dyDescent="0.2">
      <c r="A1161" s="589"/>
      <c r="B1161" s="589"/>
      <c r="C1161" s="589"/>
      <c r="D1161" s="1359" t="s">
        <v>4130</v>
      </c>
      <c r="G1161" s="1352" t="s">
        <v>246</v>
      </c>
    </row>
    <row r="1162" spans="1:7" x14ac:dyDescent="0.2">
      <c r="A1162" s="589"/>
      <c r="B1162" s="589"/>
      <c r="C1162" s="606"/>
      <c r="D1162" s="1361" t="s">
        <v>4131</v>
      </c>
      <c r="G1162" s="1352" t="s">
        <v>246</v>
      </c>
    </row>
    <row r="1163" spans="1:7" x14ac:dyDescent="0.2">
      <c r="A1163" s="589"/>
      <c r="B1163" s="590"/>
      <c r="C1163" s="590" t="s">
        <v>4132</v>
      </c>
      <c r="D1163" s="1634" t="s">
        <v>4133</v>
      </c>
      <c r="E1163" s="1352">
        <f ca="1">'Verification Report'!O1163</f>
        <v>0</v>
      </c>
      <c r="F1163" s="1341" t="str">
        <f>IF(LEN('Verification Report'!W1163)=0,"",'Verification Report'!W1163)</f>
        <v/>
      </c>
      <c r="G1163" s="1352" t="s">
        <v>246</v>
      </c>
    </row>
    <row r="1164" spans="1:7" x14ac:dyDescent="0.2">
      <c r="A1164" s="589"/>
      <c r="B1164" s="606"/>
      <c r="C1164" s="606"/>
      <c r="D1164" s="1639"/>
      <c r="G1164" s="1352" t="s">
        <v>246</v>
      </c>
    </row>
    <row r="1165" spans="1:7" x14ac:dyDescent="0.2">
      <c r="A1165" s="606"/>
      <c r="B1165" s="606" t="s">
        <v>255</v>
      </c>
      <c r="C1165" s="606"/>
      <c r="D1165" s="1361" t="s">
        <v>4134</v>
      </c>
      <c r="E1165" s="1352">
        <f ca="1">'Verification Report'!O1165</f>
        <v>0</v>
      </c>
      <c r="F1165" s="1341" t="str">
        <f>IF(LEN('Verification Report'!W1165)=0,"",'Verification Report'!W1165)</f>
        <v/>
      </c>
      <c r="G1165" s="1352" t="s">
        <v>246</v>
      </c>
    </row>
    <row r="1166" spans="1:7" x14ac:dyDescent="0.2">
      <c r="A1166" s="608" t="s">
        <v>4135</v>
      </c>
      <c r="B1166" s="608"/>
      <c r="C1166" s="608"/>
      <c r="D1166" s="1686" t="s">
        <v>4136</v>
      </c>
      <c r="E1166" s="1352">
        <f ca="1">'Verification Report'!O1166</f>
        <v>0</v>
      </c>
      <c r="F1166" s="1341" t="str">
        <f>IF(LEN('Verification Report'!W1166)=0,"",'Verification Report'!W1166)</f>
        <v/>
      </c>
      <c r="G1166" s="1352" t="s">
        <v>246</v>
      </c>
    </row>
    <row r="1167" spans="1:7" x14ac:dyDescent="0.2">
      <c r="A1167" s="590"/>
      <c r="B1167" s="590"/>
      <c r="C1167" s="590"/>
      <c r="D1167" s="1687"/>
      <c r="G1167" s="1352" t="s">
        <v>246</v>
      </c>
    </row>
    <row r="1168" spans="1:7" x14ac:dyDescent="0.2">
      <c r="A1168" s="606"/>
      <c r="B1168" s="606"/>
      <c r="C1168" s="606"/>
      <c r="D1168" s="1688"/>
      <c r="G1168" s="1352" t="s">
        <v>246</v>
      </c>
    </row>
    <row r="1169" spans="1:7" x14ac:dyDescent="0.2">
      <c r="A1169" s="589" t="s">
        <v>4137</v>
      </c>
      <c r="B1169" s="589"/>
      <c r="C1169" s="589"/>
      <c r="D1169" s="1687" t="s">
        <v>4138</v>
      </c>
      <c r="E1169" s="1352">
        <f ca="1">'Verification Report'!O1169</f>
        <v>0</v>
      </c>
      <c r="G1169" s="1352" t="s">
        <v>246</v>
      </c>
    </row>
    <row r="1170" spans="1:7" x14ac:dyDescent="0.2">
      <c r="A1170" s="589"/>
      <c r="B1170" s="589"/>
      <c r="C1170" s="589"/>
      <c r="D1170" s="1687"/>
      <c r="F1170" s="1341" t="str">
        <f>IF(LEN('Verification Report'!W1170)=0,"",'Verification Report'!W1170)</f>
        <v/>
      </c>
      <c r="G1170" s="1352" t="s">
        <v>246</v>
      </c>
    </row>
    <row r="1171" spans="1:7" x14ac:dyDescent="0.2">
      <c r="A1171" s="589"/>
      <c r="B1171" s="589"/>
      <c r="C1171" s="589"/>
      <c r="D1171" s="1687"/>
      <c r="G1171" s="1352" t="s">
        <v>246</v>
      </c>
    </row>
    <row r="1172" spans="1:7" x14ac:dyDescent="0.2">
      <c r="A1172" s="589"/>
      <c r="B1172" s="589"/>
      <c r="C1172" s="589"/>
      <c r="D1172" s="1687"/>
      <c r="G1172" s="1352" t="s">
        <v>246</v>
      </c>
    </row>
    <row r="1173" spans="1:7" x14ac:dyDescent="0.2">
      <c r="A1173" s="589"/>
      <c r="B1173" s="589"/>
      <c r="C1173" s="589"/>
      <c r="D1173" s="1359" t="s">
        <v>4139</v>
      </c>
      <c r="G1173" s="1352" t="s">
        <v>246</v>
      </c>
    </row>
    <row r="1174" spans="1:7" x14ac:dyDescent="0.2">
      <c r="A1174" s="589"/>
      <c r="B1174" s="589"/>
      <c r="C1174" s="589"/>
      <c r="D1174" s="1359" t="s">
        <v>4140</v>
      </c>
      <c r="G1174" s="1352" t="s">
        <v>246</v>
      </c>
    </row>
    <row r="1175" spans="1:7" x14ac:dyDescent="0.2">
      <c r="A1175" s="606"/>
      <c r="B1175" s="606"/>
      <c r="C1175" s="606"/>
      <c r="D1175" s="1361" t="s">
        <v>4141</v>
      </c>
      <c r="G1175" s="1352" t="s">
        <v>246</v>
      </c>
    </row>
    <row r="1176" spans="1:7" x14ac:dyDescent="0.2">
      <c r="A1176" s="589" t="s">
        <v>4142</v>
      </c>
      <c r="B1176" s="589"/>
      <c r="C1176" s="589"/>
      <c r="D1176" s="1687" t="s">
        <v>4143</v>
      </c>
      <c r="E1176" s="1352">
        <f ca="1">'Verification Report'!O1176</f>
        <v>0</v>
      </c>
      <c r="F1176" s="1341" t="str">
        <f>IF(LEN('Verification Report'!W1176)=0,"",'Verification Report'!W1176)</f>
        <v/>
      </c>
      <c r="G1176" s="1352" t="s">
        <v>246</v>
      </c>
    </row>
    <row r="1177" spans="1:7" x14ac:dyDescent="0.2">
      <c r="A1177" s="589"/>
      <c r="B1177" s="589"/>
      <c r="C1177" s="589"/>
      <c r="D1177" s="1687"/>
      <c r="G1177" s="1352" t="s">
        <v>246</v>
      </c>
    </row>
    <row r="1178" spans="1:7" x14ac:dyDescent="0.2">
      <c r="A1178" s="589"/>
      <c r="B1178" s="589"/>
      <c r="C1178" s="589"/>
      <c r="D1178" s="1687"/>
      <c r="F1178" s="1341" t="str">
        <f>IF(LEN('Verification Report'!W1178)=0,"",'Verification Report'!W1178)</f>
        <v/>
      </c>
      <c r="G1178" s="1352" t="s">
        <v>246</v>
      </c>
    </row>
    <row r="1179" spans="1:7" x14ac:dyDescent="0.2">
      <c r="A1179" s="589"/>
      <c r="B1179" s="589"/>
      <c r="C1179" s="589"/>
      <c r="D1179" s="1687"/>
      <c r="G1179" s="1352" t="s">
        <v>246</v>
      </c>
    </row>
    <row r="1180" spans="1:7" x14ac:dyDescent="0.2">
      <c r="A1180" s="589"/>
      <c r="B1180" s="589"/>
      <c r="C1180" s="589"/>
      <c r="D1180" s="1687"/>
      <c r="G1180" s="1352" t="s">
        <v>246</v>
      </c>
    </row>
    <row r="1181" spans="1:7" x14ac:dyDescent="0.2">
      <c r="A1181" s="589"/>
      <c r="B1181" s="589"/>
      <c r="C1181" s="589"/>
      <c r="D1181" s="1687"/>
      <c r="G1181" s="1352" t="s">
        <v>246</v>
      </c>
    </row>
    <row r="1182" spans="1:7" x14ac:dyDescent="0.2">
      <c r="A1182" s="606"/>
      <c r="B1182" s="606"/>
      <c r="C1182" s="606"/>
      <c r="D1182" s="1387" t="s">
        <v>4844</v>
      </c>
      <c r="G1182" s="1352" t="s">
        <v>246</v>
      </c>
    </row>
    <row r="1183" spans="1:7" x14ac:dyDescent="0.2">
      <c r="A1183" s="590" t="s">
        <v>4144</v>
      </c>
      <c r="B1183" s="590"/>
      <c r="C1183" s="590"/>
      <c r="D1183" s="1687" t="s">
        <v>4145</v>
      </c>
      <c r="E1183" s="1352">
        <f ca="1">'Verification Report'!O1183</f>
        <v>0</v>
      </c>
      <c r="F1183" s="1341" t="str">
        <f>IF(LEN('Verification Report'!W1183)=0,"",'Verification Report'!W1183)</f>
        <v/>
      </c>
      <c r="G1183" s="1352" t="s">
        <v>246</v>
      </c>
    </row>
    <row r="1184" spans="1:7" x14ac:dyDescent="0.2">
      <c r="A1184" s="590"/>
      <c r="B1184" s="590"/>
      <c r="C1184" s="590"/>
      <c r="D1184" s="1687"/>
      <c r="G1184" s="1352" t="s">
        <v>246</v>
      </c>
    </row>
    <row r="1185" spans="1:7" x14ac:dyDescent="0.2">
      <c r="A1185" s="1391"/>
      <c r="B1185" s="1391"/>
      <c r="C1185" s="1391"/>
      <c r="D1185" s="1730" t="s">
        <v>4845</v>
      </c>
      <c r="G1185" s="1352" t="s">
        <v>246</v>
      </c>
    </row>
    <row r="1186" spans="1:7" ht="16" thickBot="1" x14ac:dyDescent="0.25">
      <c r="A1186" s="100"/>
      <c r="B1186" s="100"/>
      <c r="C1186" s="100"/>
      <c r="D1186" s="1739"/>
      <c r="G1186" s="1352" t="s">
        <v>246</v>
      </c>
    </row>
    <row r="1187" spans="1:7" ht="16" thickTop="1" x14ac:dyDescent="0.2">
      <c r="A1187" s="589" t="s">
        <v>4146</v>
      </c>
      <c r="B1187" s="589"/>
      <c r="C1187" s="589"/>
      <c r="D1187" s="1370" t="s">
        <v>4147</v>
      </c>
      <c r="G1187" s="1352" t="s">
        <v>246</v>
      </c>
    </row>
    <row r="1188" spans="1:7" x14ac:dyDescent="0.2">
      <c r="A1188" s="590" t="s">
        <v>4148</v>
      </c>
      <c r="B1188" s="590"/>
      <c r="C1188" s="590"/>
      <c r="D1188" s="1370" t="s">
        <v>4149</v>
      </c>
      <c r="E1188" s="1352">
        <f ca="1">'Verification Report'!O1188</f>
        <v>0</v>
      </c>
      <c r="F1188" s="1341" t="str">
        <f>IF(LEN('Verification Report'!W1188)=0,"",'Verification Report'!W1188)</f>
        <v/>
      </c>
      <c r="G1188" s="1352" t="s">
        <v>246</v>
      </c>
    </row>
    <row r="1189" spans="1:7" x14ac:dyDescent="0.2">
      <c r="A1189" s="607" t="s">
        <v>4150</v>
      </c>
      <c r="B1189" s="607"/>
      <c r="C1189" s="607"/>
      <c r="D1189" s="1094" t="s">
        <v>4151</v>
      </c>
      <c r="E1189" s="1352">
        <f ca="1">'Verification Report'!O1189</f>
        <v>0</v>
      </c>
      <c r="F1189" s="1341" t="str">
        <f>IF(LEN('Verification Report'!W1189)=0,"",'Verification Report'!W1189)</f>
        <v/>
      </c>
      <c r="G1189" s="1352" t="s">
        <v>246</v>
      </c>
    </row>
    <row r="1190" spans="1:7" x14ac:dyDescent="0.2">
      <c r="A1190" s="589" t="s">
        <v>4152</v>
      </c>
      <c r="B1190" s="589"/>
      <c r="C1190" s="589"/>
      <c r="D1190" s="1370" t="s">
        <v>4153</v>
      </c>
      <c r="E1190" s="1352">
        <f ca="1">'Verification Report'!O1190</f>
        <v>0</v>
      </c>
      <c r="G1190" s="1352" t="s">
        <v>246</v>
      </c>
    </row>
    <row r="1191" spans="1:7" x14ac:dyDescent="0.2">
      <c r="A1191" s="589"/>
      <c r="B1191" s="589" t="s">
        <v>254</v>
      </c>
      <c r="C1191" s="589"/>
      <c r="D1191" s="1359" t="s">
        <v>4154</v>
      </c>
      <c r="F1191" s="1341" t="str">
        <f>IF(LEN('Verification Report'!W1191)=0,"",'Verification Report'!W1191)</f>
        <v/>
      </c>
      <c r="G1191" s="1352" t="s">
        <v>246</v>
      </c>
    </row>
    <row r="1192" spans="1:7" x14ac:dyDescent="0.2">
      <c r="A1192" s="589"/>
      <c r="B1192" s="589" t="s">
        <v>255</v>
      </c>
      <c r="C1192" s="589"/>
      <c r="D1192" s="1634" t="s">
        <v>4155</v>
      </c>
      <c r="F1192" s="1341" t="str">
        <f>IF(LEN('Verification Report'!W1192)=0,"",'Verification Report'!W1192)</f>
        <v/>
      </c>
      <c r="G1192" s="1352" t="s">
        <v>246</v>
      </c>
    </row>
    <row r="1193" spans="1:7" x14ac:dyDescent="0.2">
      <c r="A1193" s="589"/>
      <c r="B1193" s="589"/>
      <c r="C1193" s="589"/>
      <c r="D1193" s="1634"/>
      <c r="G1193" s="1352" t="s">
        <v>246</v>
      </c>
    </row>
    <row r="1194" spans="1:7" x14ac:dyDescent="0.2">
      <c r="A1194" s="606"/>
      <c r="B1194" s="606" t="s">
        <v>256</v>
      </c>
      <c r="C1194" s="606"/>
      <c r="D1194" s="1361" t="s">
        <v>4156</v>
      </c>
      <c r="F1194" s="1341" t="str">
        <f>IF(LEN('Verification Report'!W1194)=0,"",'Verification Report'!W1194)</f>
        <v/>
      </c>
      <c r="G1194" s="1352" t="s">
        <v>246</v>
      </c>
    </row>
    <row r="1195" spans="1:7" x14ac:dyDescent="0.2">
      <c r="A1195" s="590" t="s">
        <v>4157</v>
      </c>
      <c r="B1195" s="590"/>
      <c r="C1195" s="590"/>
      <c r="D1195" s="1687" t="s">
        <v>4158</v>
      </c>
      <c r="E1195" s="1352">
        <f ca="1">'Verification Report'!O1195</f>
        <v>0</v>
      </c>
      <c r="F1195" s="1341" t="str">
        <f>IF(LEN('Verification Report'!W1195)=0,"",'Verification Report'!W1195)</f>
        <v/>
      </c>
      <c r="G1195" s="1352" t="s">
        <v>246</v>
      </c>
    </row>
    <row r="1196" spans="1:7" x14ac:dyDescent="0.2">
      <c r="A1196" s="590"/>
      <c r="B1196" s="590"/>
      <c r="C1196" s="590"/>
      <c r="D1196" s="1687"/>
      <c r="G1196" s="1352" t="s">
        <v>246</v>
      </c>
    </row>
    <row r="1197" spans="1:7" x14ac:dyDescent="0.2">
      <c r="A1197" s="590"/>
      <c r="B1197" s="590"/>
      <c r="C1197" s="590"/>
      <c r="D1197" s="1687"/>
      <c r="F1197" s="1341" t="str">
        <f>IF(LEN('Verification Report'!W1197)=0,"",'Verification Report'!W1197)</f>
        <v/>
      </c>
      <c r="G1197" s="1352" t="s">
        <v>246</v>
      </c>
    </row>
    <row r="1198" spans="1:7" x14ac:dyDescent="0.2">
      <c r="A1198" s="590"/>
      <c r="B1198" s="590"/>
      <c r="C1198" s="590"/>
      <c r="D1198" s="1687"/>
      <c r="G1198" s="1352" t="s">
        <v>246</v>
      </c>
    </row>
    <row r="1199" spans="1:7" x14ac:dyDescent="0.2">
      <c r="A1199" s="590"/>
      <c r="B1199" s="590"/>
      <c r="C1199" s="590"/>
      <c r="D1199" s="1687"/>
      <c r="F1199" s="1341" t="str">
        <f>IF(LEN('Verification Report'!W1199)=0,"",'Verification Report'!W1199)</f>
        <v/>
      </c>
      <c r="G1199" s="1352" t="s">
        <v>246</v>
      </c>
    </row>
    <row r="1200" spans="1:7" x14ac:dyDescent="0.2">
      <c r="A1200" s="590"/>
      <c r="B1200" s="590"/>
      <c r="C1200" s="590"/>
      <c r="D1200" s="1687"/>
      <c r="G1200" s="1352" t="s">
        <v>246</v>
      </c>
    </row>
    <row r="1201" spans="1:7" x14ac:dyDescent="0.2">
      <c r="A1201" s="590"/>
      <c r="B1201" s="606" t="s">
        <v>254</v>
      </c>
      <c r="C1201" s="606"/>
      <c r="D1201" s="1361" t="s">
        <v>4159</v>
      </c>
      <c r="G1201" s="1352" t="s">
        <v>246</v>
      </c>
    </row>
    <row r="1202" spans="1:7" x14ac:dyDescent="0.2">
      <c r="A1202" s="590"/>
      <c r="B1202" s="607" t="s">
        <v>255</v>
      </c>
      <c r="C1202" s="607"/>
      <c r="D1202" s="1075" t="s">
        <v>5081</v>
      </c>
      <c r="G1202" s="1352" t="s">
        <v>246</v>
      </c>
    </row>
    <row r="1203" spans="1:7" ht="16" thickBot="1" x14ac:dyDescent="0.25">
      <c r="A1203" s="594"/>
      <c r="B1203" s="594" t="s">
        <v>256</v>
      </c>
      <c r="C1203" s="594"/>
      <c r="D1203" s="1360" t="s">
        <v>4160</v>
      </c>
      <c r="G1203" s="1352" t="s">
        <v>246</v>
      </c>
    </row>
    <row r="1204" spans="1:7" ht="16" thickTop="1" x14ac:dyDescent="0.2">
      <c r="A1204" s="589" t="s">
        <v>4161</v>
      </c>
      <c r="B1204" s="589"/>
      <c r="C1204" s="589"/>
      <c r="D1204" s="1370" t="s">
        <v>4162</v>
      </c>
      <c r="G1204" s="1352" t="s">
        <v>246</v>
      </c>
    </row>
    <row r="1205" spans="1:7" x14ac:dyDescent="0.2">
      <c r="A1205" s="589" t="s">
        <v>4163</v>
      </c>
      <c r="B1205" s="589"/>
      <c r="C1205" s="589"/>
      <c r="D1205" s="1687" t="s">
        <v>4164</v>
      </c>
      <c r="G1205" s="1352" t="s">
        <v>246</v>
      </c>
    </row>
    <row r="1206" spans="1:7" x14ac:dyDescent="0.2">
      <c r="A1206" s="589"/>
      <c r="B1206" s="589"/>
      <c r="C1206" s="589"/>
      <c r="D1206" s="1687"/>
      <c r="F1206" s="1341" t="str">
        <f>IF(LEN('Verification Report'!W1206)=0,"",'Verification Report'!W1206)</f>
        <v/>
      </c>
      <c r="G1206" s="1352" t="s">
        <v>246</v>
      </c>
    </row>
    <row r="1207" spans="1:7" x14ac:dyDescent="0.2">
      <c r="A1207" s="589"/>
      <c r="B1207" s="589"/>
      <c r="C1207" s="589"/>
      <c r="D1207" s="1687"/>
      <c r="G1207" s="1352" t="s">
        <v>246</v>
      </c>
    </row>
    <row r="1208" spans="1:7" x14ac:dyDescent="0.2">
      <c r="A1208" s="589"/>
      <c r="B1208" s="589"/>
      <c r="C1208" s="589"/>
      <c r="D1208" s="1687"/>
      <c r="F1208" s="1341" t="str">
        <f>IF(LEN('Verification Report'!W1208)=0,"",'Verification Report'!W1208)</f>
        <v/>
      </c>
      <c r="G1208" s="1352" t="s">
        <v>246</v>
      </c>
    </row>
    <row r="1209" spans="1:7" x14ac:dyDescent="0.2">
      <c r="A1209" s="589"/>
      <c r="B1209" s="589"/>
      <c r="C1209" s="589"/>
      <c r="D1209" s="1687"/>
      <c r="G1209" s="1352" t="s">
        <v>246</v>
      </c>
    </row>
    <row r="1210" spans="1:7" x14ac:dyDescent="0.2">
      <c r="A1210" s="589"/>
      <c r="B1210" s="589"/>
      <c r="C1210" s="589"/>
      <c r="D1210" s="1687"/>
      <c r="G1210" s="1352" t="s">
        <v>246</v>
      </c>
    </row>
    <row r="1211" spans="1:7" x14ac:dyDescent="0.2">
      <c r="A1211" s="589"/>
      <c r="B1211" s="589"/>
      <c r="C1211" s="589"/>
      <c r="D1211" s="1687"/>
      <c r="G1211" s="1352" t="s">
        <v>246</v>
      </c>
    </row>
    <row r="1212" spans="1:7" x14ac:dyDescent="0.2">
      <c r="A1212" s="589"/>
      <c r="B1212" s="589" t="s">
        <v>254</v>
      </c>
      <c r="C1212" s="589"/>
      <c r="D1212" s="1359" t="s">
        <v>4165</v>
      </c>
      <c r="G1212" s="1352" t="s">
        <v>246</v>
      </c>
    </row>
    <row r="1213" spans="1:7" x14ac:dyDescent="0.2">
      <c r="A1213" s="589"/>
      <c r="B1213" s="589"/>
      <c r="C1213" s="590" t="s">
        <v>121</v>
      </c>
      <c r="D1213" s="1634" t="s">
        <v>4166</v>
      </c>
      <c r="G1213" s="1352" t="s">
        <v>246</v>
      </c>
    </row>
    <row r="1214" spans="1:7" x14ac:dyDescent="0.2">
      <c r="A1214" s="589"/>
      <c r="B1214" s="589"/>
      <c r="C1214" s="590"/>
      <c r="D1214" s="1634"/>
      <c r="E1214" s="1352">
        <f ca="1">'Verification Report'!O1214</f>
        <v>0</v>
      </c>
      <c r="G1214" s="1352" t="s">
        <v>246</v>
      </c>
    </row>
    <row r="1215" spans="1:7" x14ac:dyDescent="0.2">
      <c r="A1215" s="589"/>
      <c r="B1215" s="589"/>
      <c r="C1215" s="102"/>
      <c r="D1215" s="1359" t="s">
        <v>5091</v>
      </c>
      <c r="G1215" s="1352" t="s">
        <v>246</v>
      </c>
    </row>
    <row r="1216" spans="1:7" x14ac:dyDescent="0.2">
      <c r="A1216" s="589"/>
      <c r="B1216" s="589"/>
      <c r="C1216" s="591"/>
      <c r="D1216" s="1361" t="s">
        <v>5092</v>
      </c>
      <c r="G1216" s="1352" t="s">
        <v>246</v>
      </c>
    </row>
    <row r="1217" spans="1:7" x14ac:dyDescent="0.2">
      <c r="A1217" s="589"/>
      <c r="B1217" s="589"/>
      <c r="C1217" s="608" t="s">
        <v>122</v>
      </c>
      <c r="D1217" s="1633" t="s">
        <v>4167</v>
      </c>
      <c r="E1217" s="1352">
        <f ca="1">'Verification Report'!O1217</f>
        <v>0</v>
      </c>
      <c r="G1217" s="1352" t="s">
        <v>246</v>
      </c>
    </row>
    <row r="1218" spans="1:7" x14ac:dyDescent="0.2">
      <c r="A1218" s="589"/>
      <c r="B1218" s="589"/>
      <c r="C1218" s="606"/>
      <c r="D1218" s="1639"/>
      <c r="G1218" s="1352" t="s">
        <v>246</v>
      </c>
    </row>
    <row r="1219" spans="1:7" x14ac:dyDescent="0.2">
      <c r="A1219" s="589"/>
      <c r="B1219" s="589"/>
      <c r="C1219" s="608" t="s">
        <v>123</v>
      </c>
      <c r="D1219" s="1358" t="s">
        <v>4168</v>
      </c>
      <c r="E1219" s="1352">
        <f ca="1">'Verification Report'!O1219</f>
        <v>0</v>
      </c>
      <c r="G1219" s="1352" t="s">
        <v>246</v>
      </c>
    </row>
    <row r="1220" spans="1:7" x14ac:dyDescent="0.2">
      <c r="A1220" s="589"/>
      <c r="B1220" s="589"/>
      <c r="C1220" s="590"/>
      <c r="D1220" s="1359" t="s">
        <v>4169</v>
      </c>
      <c r="G1220" s="1352" t="s">
        <v>246</v>
      </c>
    </row>
    <row r="1221" spans="1:7" x14ac:dyDescent="0.2">
      <c r="A1221" s="589"/>
      <c r="B1221" s="589"/>
      <c r="C1221" s="591"/>
      <c r="D1221" s="1361" t="s">
        <v>4170</v>
      </c>
      <c r="G1221" s="1352" t="s">
        <v>246</v>
      </c>
    </row>
    <row r="1222" spans="1:7" x14ac:dyDescent="0.2">
      <c r="A1222" s="589"/>
      <c r="B1222" s="589"/>
      <c r="C1222" s="608" t="s">
        <v>366</v>
      </c>
      <c r="D1222" s="1633" t="s">
        <v>4171</v>
      </c>
      <c r="E1222" s="1352">
        <f ca="1">'Verification Report'!O1222</f>
        <v>0</v>
      </c>
      <c r="G1222" s="1352" t="s">
        <v>246</v>
      </c>
    </row>
    <row r="1223" spans="1:7" x14ac:dyDescent="0.2">
      <c r="A1223" s="589"/>
      <c r="B1223" s="589"/>
      <c r="C1223" s="590"/>
      <c r="D1223" s="1634"/>
      <c r="G1223" s="1352" t="s">
        <v>246</v>
      </c>
    </row>
    <row r="1224" spans="1:7" x14ac:dyDescent="0.2">
      <c r="A1224" s="589"/>
      <c r="B1224" s="589"/>
      <c r="C1224" s="590"/>
      <c r="D1224" s="1634"/>
      <c r="G1224" s="1352" t="s">
        <v>246</v>
      </c>
    </row>
    <row r="1225" spans="1:7" x14ac:dyDescent="0.2">
      <c r="A1225" s="589"/>
      <c r="B1225" s="589"/>
      <c r="C1225" s="102"/>
      <c r="D1225" s="1359" t="s">
        <v>4172</v>
      </c>
      <c r="G1225" s="1352" t="s">
        <v>246</v>
      </c>
    </row>
    <row r="1226" spans="1:7" x14ac:dyDescent="0.2">
      <c r="A1226" s="589"/>
      <c r="B1226" s="589"/>
      <c r="C1226" s="606"/>
      <c r="D1226" s="1361" t="s">
        <v>4170</v>
      </c>
      <c r="G1226" s="1352" t="s">
        <v>246</v>
      </c>
    </row>
    <row r="1227" spans="1:7" x14ac:dyDescent="0.2">
      <c r="A1227" s="589"/>
      <c r="B1227" s="589"/>
      <c r="C1227" s="589" t="s">
        <v>472</v>
      </c>
      <c r="D1227" s="1634" t="s">
        <v>4173</v>
      </c>
      <c r="E1227" s="1352">
        <f ca="1">'Verification Report'!O1227</f>
        <v>0</v>
      </c>
      <c r="G1227" s="1352" t="s">
        <v>246</v>
      </c>
    </row>
    <row r="1228" spans="1:7" x14ac:dyDescent="0.2">
      <c r="A1228" s="589"/>
      <c r="B1228" s="589"/>
      <c r="C1228" s="589"/>
      <c r="D1228" s="1634"/>
      <c r="G1228" s="1352" t="s">
        <v>246</v>
      </c>
    </row>
    <row r="1229" spans="1:7" x14ac:dyDescent="0.2">
      <c r="A1229" s="589"/>
      <c r="B1229" s="589"/>
      <c r="C1229" s="589"/>
      <c r="D1229" s="1359" t="s">
        <v>5093</v>
      </c>
      <c r="G1229" s="1352" t="s">
        <v>246</v>
      </c>
    </row>
    <row r="1230" spans="1:7" x14ac:dyDescent="0.2">
      <c r="A1230" s="589"/>
      <c r="B1230" s="606"/>
      <c r="C1230" s="606"/>
      <c r="D1230" s="1361" t="s">
        <v>5094</v>
      </c>
      <c r="G1230" s="1352" t="s">
        <v>246</v>
      </c>
    </row>
    <row r="1231" spans="1:7" x14ac:dyDescent="0.2">
      <c r="A1231" s="589"/>
      <c r="B1231" s="589" t="s">
        <v>255</v>
      </c>
      <c r="C1231" s="589"/>
      <c r="D1231" s="1359" t="s">
        <v>4174</v>
      </c>
      <c r="G1231" s="1352" t="s">
        <v>246</v>
      </c>
    </row>
    <row r="1232" spans="1:7" x14ac:dyDescent="0.2">
      <c r="A1232" s="589"/>
      <c r="B1232" s="589"/>
      <c r="C1232" s="589" t="s">
        <v>121</v>
      </c>
      <c r="D1232" s="1634" t="s">
        <v>4175</v>
      </c>
      <c r="E1232" s="1352">
        <f ca="1">'Verification Report'!O1232</f>
        <v>0</v>
      </c>
      <c r="G1232" s="1352" t="s">
        <v>246</v>
      </c>
    </row>
    <row r="1233" spans="1:7" x14ac:dyDescent="0.2">
      <c r="A1233" s="589"/>
      <c r="B1233" s="589"/>
      <c r="C1233" s="589"/>
      <c r="D1233" s="1634"/>
      <c r="G1233" s="1352" t="s">
        <v>246</v>
      </c>
    </row>
    <row r="1234" spans="1:7" x14ac:dyDescent="0.2">
      <c r="A1234" s="589"/>
      <c r="B1234" s="589"/>
      <c r="C1234" s="136"/>
      <c r="D1234" s="1359" t="s">
        <v>5095</v>
      </c>
      <c r="G1234" s="1352" t="s">
        <v>246</v>
      </c>
    </row>
    <row r="1235" spans="1:7" x14ac:dyDescent="0.2">
      <c r="A1235" s="589"/>
      <c r="B1235" s="589"/>
      <c r="C1235" s="136"/>
      <c r="D1235" s="1359" t="s">
        <v>5096</v>
      </c>
      <c r="G1235" s="1352" t="s">
        <v>246</v>
      </c>
    </row>
    <row r="1236" spans="1:7" x14ac:dyDescent="0.2">
      <c r="A1236" s="589"/>
      <c r="B1236" s="589"/>
      <c r="C1236" s="136"/>
      <c r="D1236" s="1359" t="s">
        <v>5097</v>
      </c>
      <c r="G1236" s="1352" t="s">
        <v>246</v>
      </c>
    </row>
    <row r="1237" spans="1:7" x14ac:dyDescent="0.2">
      <c r="A1237" s="589"/>
      <c r="B1237" s="589"/>
      <c r="C1237" s="136"/>
      <c r="D1237" s="97" t="s">
        <v>5098</v>
      </c>
      <c r="G1237" s="1352" t="s">
        <v>246</v>
      </c>
    </row>
    <row r="1238" spans="1:7" x14ac:dyDescent="0.2">
      <c r="A1238" s="589"/>
      <c r="B1238" s="589"/>
      <c r="C1238" s="136"/>
      <c r="D1238" s="97" t="s">
        <v>5099</v>
      </c>
      <c r="G1238" s="1352" t="s">
        <v>246</v>
      </c>
    </row>
    <row r="1239" spans="1:7" x14ac:dyDescent="0.2">
      <c r="A1239" s="589"/>
      <c r="B1239" s="589"/>
      <c r="C1239" s="102"/>
      <c r="D1239" s="1359" t="s">
        <v>5100</v>
      </c>
      <c r="G1239" s="1352" t="s">
        <v>246</v>
      </c>
    </row>
    <row r="1240" spans="1:7" x14ac:dyDescent="0.2">
      <c r="A1240" s="589"/>
      <c r="B1240" s="589"/>
      <c r="C1240" s="591"/>
      <c r="D1240" s="170" t="s">
        <v>5101</v>
      </c>
      <c r="G1240" s="1352" t="s">
        <v>246</v>
      </c>
    </row>
    <row r="1241" spans="1:7" x14ac:dyDescent="0.2">
      <c r="A1241" s="589"/>
      <c r="B1241" s="589"/>
      <c r="C1241" s="589" t="s">
        <v>122</v>
      </c>
      <c r="D1241" s="1634" t="s">
        <v>4176</v>
      </c>
      <c r="E1241" s="1352">
        <f ca="1">'Verification Report'!O1241</f>
        <v>0</v>
      </c>
      <c r="G1241" s="1352" t="s">
        <v>246</v>
      </c>
    </row>
    <row r="1242" spans="1:7" x14ac:dyDescent="0.2">
      <c r="A1242" s="589"/>
      <c r="B1242" s="589"/>
      <c r="C1242" s="589"/>
      <c r="D1242" s="1634"/>
      <c r="G1242" s="1352" t="s">
        <v>246</v>
      </c>
    </row>
    <row r="1243" spans="1:7" x14ac:dyDescent="0.2">
      <c r="A1243" s="589"/>
      <c r="B1243" s="589"/>
      <c r="C1243" s="136"/>
      <c r="D1243" s="97" t="s">
        <v>5099</v>
      </c>
      <c r="G1243" s="1352" t="s">
        <v>246</v>
      </c>
    </row>
    <row r="1244" spans="1:7" x14ac:dyDescent="0.2">
      <c r="A1244" s="589"/>
      <c r="B1244" s="589"/>
      <c r="C1244" s="589"/>
      <c r="D1244" s="97" t="s">
        <v>5100</v>
      </c>
      <c r="G1244" s="1352" t="s">
        <v>246</v>
      </c>
    </row>
    <row r="1245" spans="1:7" x14ac:dyDescent="0.2">
      <c r="A1245" s="589"/>
      <c r="B1245" s="589"/>
      <c r="C1245" s="136"/>
      <c r="D1245" s="1359" t="s">
        <v>5102</v>
      </c>
      <c r="G1245" s="1352" t="s">
        <v>246</v>
      </c>
    </row>
    <row r="1246" spans="1:7" x14ac:dyDescent="0.2">
      <c r="A1246" s="589"/>
      <c r="B1246" s="589"/>
      <c r="C1246" s="591"/>
      <c r="D1246" s="170" t="s">
        <v>5103</v>
      </c>
      <c r="G1246" s="1352" t="s">
        <v>246</v>
      </c>
    </row>
    <row r="1247" spans="1:7" x14ac:dyDescent="0.2">
      <c r="A1247" s="589"/>
      <c r="B1247" s="589"/>
      <c r="C1247" s="608" t="s">
        <v>123</v>
      </c>
      <c r="D1247" s="1633" t="s">
        <v>4177</v>
      </c>
      <c r="E1247" s="1352">
        <f ca="1">'Verification Report'!O1247</f>
        <v>0</v>
      </c>
      <c r="G1247" s="1352" t="s">
        <v>246</v>
      </c>
    </row>
    <row r="1248" spans="1:7" x14ac:dyDescent="0.2">
      <c r="A1248" s="589"/>
      <c r="B1248" s="589"/>
      <c r="C1248" s="606"/>
      <c r="D1248" s="1639"/>
      <c r="G1248" s="1352" t="s">
        <v>246</v>
      </c>
    </row>
    <row r="1249" spans="1:7" x14ac:dyDescent="0.2">
      <c r="A1249" s="589"/>
      <c r="B1249" s="589"/>
      <c r="C1249" s="608" t="s">
        <v>366</v>
      </c>
      <c r="D1249" s="1633" t="s">
        <v>4178</v>
      </c>
      <c r="E1249" s="1352">
        <f ca="1">'Verification Report'!O1249</f>
        <v>0</v>
      </c>
      <c r="G1249" s="1352" t="s">
        <v>246</v>
      </c>
    </row>
    <row r="1250" spans="1:7" x14ac:dyDescent="0.2">
      <c r="A1250" s="589"/>
      <c r="B1250" s="589"/>
      <c r="C1250" s="606"/>
      <c r="D1250" s="1639"/>
      <c r="G1250" s="1352" t="s">
        <v>246</v>
      </c>
    </row>
    <row r="1251" spans="1:7" x14ac:dyDescent="0.2">
      <c r="A1251" s="589"/>
      <c r="B1251" s="590"/>
      <c r="C1251" s="590" t="s">
        <v>472</v>
      </c>
      <c r="D1251" s="1634" t="s">
        <v>4179</v>
      </c>
      <c r="E1251" s="1352">
        <f ca="1">'Verification Report'!O1251</f>
        <v>0</v>
      </c>
      <c r="G1251" s="1352" t="s">
        <v>246</v>
      </c>
    </row>
    <row r="1252" spans="1:7" x14ac:dyDescent="0.2">
      <c r="A1252" s="589"/>
      <c r="B1252" s="606"/>
      <c r="C1252" s="606"/>
      <c r="D1252" s="1639"/>
      <c r="G1252" s="1352" t="s">
        <v>246</v>
      </c>
    </row>
    <row r="1253" spans="1:7" x14ac:dyDescent="0.2">
      <c r="A1253" s="606"/>
      <c r="B1253" s="606" t="s">
        <v>256</v>
      </c>
      <c r="C1253" s="606"/>
      <c r="D1253" s="1361" t="s">
        <v>4180</v>
      </c>
      <c r="E1253" s="1352">
        <f ca="1">'Verification Report'!O1253</f>
        <v>0</v>
      </c>
      <c r="G1253" s="1352" t="s">
        <v>246</v>
      </c>
    </row>
    <row r="1254" spans="1:7" x14ac:dyDescent="0.2">
      <c r="A1254" s="608" t="s">
        <v>4181</v>
      </c>
      <c r="B1254" s="608"/>
      <c r="C1254" s="608"/>
      <c r="D1254" s="1686" t="s">
        <v>4182</v>
      </c>
      <c r="E1254" s="1352">
        <f ca="1">'Verification Report'!O1254</f>
        <v>0</v>
      </c>
      <c r="F1254" s="1341" t="str">
        <f>IF(LEN('Verification Report'!W1254)=0,"",'Verification Report'!W1254)</f>
        <v/>
      </c>
      <c r="G1254" s="1352" t="s">
        <v>246</v>
      </c>
    </row>
    <row r="1255" spans="1:7" x14ac:dyDescent="0.2">
      <c r="A1255" s="606"/>
      <c r="B1255" s="606"/>
      <c r="C1255" s="606"/>
      <c r="D1255" s="1688"/>
      <c r="G1255" s="1352" t="s">
        <v>246</v>
      </c>
    </row>
    <row r="1256" spans="1:7" x14ac:dyDescent="0.2">
      <c r="A1256" s="608" t="s">
        <v>4183</v>
      </c>
      <c r="B1256" s="608"/>
      <c r="C1256" s="608"/>
      <c r="D1256" s="1369" t="s">
        <v>4184</v>
      </c>
      <c r="E1256" s="1352">
        <f ca="1">'Verification Report'!O1256</f>
        <v>0</v>
      </c>
      <c r="F1256" s="1341" t="str">
        <f>IF(LEN('Verification Report'!W1256)=0,"",'Verification Report'!W1256)</f>
        <v/>
      </c>
      <c r="G1256" s="1352" t="s">
        <v>246</v>
      </c>
    </row>
    <row r="1257" spans="1:7" x14ac:dyDescent="0.2">
      <c r="A1257" s="606"/>
      <c r="B1257" s="606"/>
      <c r="C1257" s="606"/>
      <c r="D1257" s="1371"/>
      <c r="G1257" s="1352" t="s">
        <v>246</v>
      </c>
    </row>
    <row r="1258" spans="1:7" x14ac:dyDescent="0.2">
      <c r="A1258" s="608" t="s">
        <v>4185</v>
      </c>
      <c r="B1258" s="608"/>
      <c r="C1258" s="608"/>
      <c r="D1258" s="1686" t="s">
        <v>4186</v>
      </c>
      <c r="E1258" s="1352">
        <f ca="1">'Verification Report'!O1258</f>
        <v>0</v>
      </c>
      <c r="F1258" s="1341" t="str">
        <f>IF(LEN('Verification Report'!W1258)=0,"",'Verification Report'!W1258)</f>
        <v/>
      </c>
      <c r="G1258" s="1352" t="s">
        <v>246</v>
      </c>
    </row>
    <row r="1259" spans="1:7" x14ac:dyDescent="0.2">
      <c r="A1259" s="606"/>
      <c r="B1259" s="606"/>
      <c r="C1259" s="606"/>
      <c r="D1259" s="1688"/>
      <c r="G1259" s="1352" t="s">
        <v>246</v>
      </c>
    </row>
    <row r="1260" spans="1:7" x14ac:dyDescent="0.2">
      <c r="A1260" s="589" t="s">
        <v>4187</v>
      </c>
      <c r="B1260" s="589"/>
      <c r="C1260" s="589"/>
      <c r="D1260" s="1687" t="s">
        <v>4188</v>
      </c>
      <c r="F1260" s="1341" t="str">
        <f>IF(LEN('Verification Report'!W1260)=0,"",'Verification Report'!W1260)</f>
        <v/>
      </c>
      <c r="G1260" s="1352" t="s">
        <v>246</v>
      </c>
    </row>
    <row r="1261" spans="1:7" x14ac:dyDescent="0.2">
      <c r="A1261" s="589"/>
      <c r="B1261" s="589"/>
      <c r="C1261" s="589"/>
      <c r="D1261" s="1687"/>
      <c r="G1261" s="1352" t="s">
        <v>246</v>
      </c>
    </row>
    <row r="1262" spans="1:7" x14ac:dyDescent="0.2">
      <c r="A1262" s="589"/>
      <c r="B1262" s="589"/>
      <c r="C1262" s="589"/>
      <c r="D1262" s="1687"/>
      <c r="F1262" s="1341" t="str">
        <f>IF(LEN('Verification Report'!W1262)=0,"",'Verification Report'!W1262)</f>
        <v/>
      </c>
      <c r="G1262" s="1352" t="s">
        <v>246</v>
      </c>
    </row>
    <row r="1263" spans="1:7" x14ac:dyDescent="0.2">
      <c r="A1263" s="589"/>
      <c r="B1263" s="589"/>
      <c r="C1263" s="589"/>
      <c r="D1263" s="1687"/>
      <c r="G1263" s="1352" t="s">
        <v>246</v>
      </c>
    </row>
    <row r="1264" spans="1:7" x14ac:dyDescent="0.2">
      <c r="A1264" s="589"/>
      <c r="B1264" s="589"/>
      <c r="C1264" s="589" t="s">
        <v>121</v>
      </c>
      <c r="D1264" s="1634" t="s">
        <v>4189</v>
      </c>
      <c r="E1264" s="1352">
        <f ca="1">'Verification Report'!O1264</f>
        <v>0</v>
      </c>
      <c r="G1264" s="1352" t="s">
        <v>246</v>
      </c>
    </row>
    <row r="1265" spans="1:7" x14ac:dyDescent="0.2">
      <c r="A1265" s="589"/>
      <c r="B1265" s="589"/>
      <c r="C1265" s="589"/>
      <c r="D1265" s="1634"/>
      <c r="G1265" s="1352" t="s">
        <v>246</v>
      </c>
    </row>
    <row r="1266" spans="1:7" x14ac:dyDescent="0.2">
      <c r="A1266" s="589"/>
      <c r="B1266" s="589"/>
      <c r="C1266" s="136"/>
      <c r="D1266" s="1359" t="s">
        <v>4190</v>
      </c>
      <c r="G1266" s="1352" t="s">
        <v>246</v>
      </c>
    </row>
    <row r="1267" spans="1:7" x14ac:dyDescent="0.2">
      <c r="A1267" s="589"/>
      <c r="B1267" s="589"/>
      <c r="C1267" s="136"/>
      <c r="D1267" s="1359" t="s">
        <v>4191</v>
      </c>
      <c r="G1267" s="1352" t="s">
        <v>246</v>
      </c>
    </row>
    <row r="1268" spans="1:7" x14ac:dyDescent="0.2">
      <c r="A1268" s="589"/>
      <c r="B1268" s="589"/>
      <c r="C1268" s="136"/>
      <c r="D1268" s="1359" t="s">
        <v>4192</v>
      </c>
      <c r="G1268" s="1352" t="s">
        <v>246</v>
      </c>
    </row>
    <row r="1269" spans="1:7" x14ac:dyDescent="0.2">
      <c r="A1269" s="589"/>
      <c r="B1269" s="589"/>
      <c r="C1269" s="136"/>
      <c r="D1269" s="1359" t="s">
        <v>4193</v>
      </c>
      <c r="G1269" s="1352" t="s">
        <v>246</v>
      </c>
    </row>
    <row r="1270" spans="1:7" x14ac:dyDescent="0.2">
      <c r="A1270" s="589"/>
      <c r="B1270" s="589"/>
      <c r="C1270" s="591"/>
      <c r="D1270" s="1361" t="s">
        <v>4194</v>
      </c>
      <c r="G1270" s="1352" t="s">
        <v>246</v>
      </c>
    </row>
    <row r="1271" spans="1:7" x14ac:dyDescent="0.2">
      <c r="A1271" s="589"/>
      <c r="B1271" s="589"/>
      <c r="C1271" s="589" t="s">
        <v>122</v>
      </c>
      <c r="D1271" s="1634" t="s">
        <v>4195</v>
      </c>
      <c r="E1271" s="1352">
        <f ca="1">'Verification Report'!O1271</f>
        <v>0</v>
      </c>
      <c r="G1271" s="1352" t="s">
        <v>246</v>
      </c>
    </row>
    <row r="1272" spans="1:7" x14ac:dyDescent="0.2">
      <c r="A1272" s="589"/>
      <c r="B1272" s="589"/>
      <c r="C1272" s="136"/>
      <c r="D1272" s="1634"/>
      <c r="G1272" s="1352" t="s">
        <v>246</v>
      </c>
    </row>
    <row r="1273" spans="1:7" x14ac:dyDescent="0.2">
      <c r="A1273" s="589"/>
      <c r="B1273" s="589"/>
      <c r="C1273" s="136"/>
      <c r="D1273" s="1359" t="s">
        <v>4190</v>
      </c>
      <c r="G1273" s="1352" t="s">
        <v>246</v>
      </c>
    </row>
    <row r="1274" spans="1:7" x14ac:dyDescent="0.2">
      <c r="A1274" s="589"/>
      <c r="B1274" s="589"/>
      <c r="C1274" s="589"/>
      <c r="D1274" s="1359" t="s">
        <v>4191</v>
      </c>
      <c r="G1274" s="1352" t="s">
        <v>246</v>
      </c>
    </row>
    <row r="1275" spans="1:7" x14ac:dyDescent="0.2">
      <c r="A1275" s="589"/>
      <c r="B1275" s="589"/>
      <c r="C1275" s="589"/>
      <c r="D1275" s="1359" t="s">
        <v>4192</v>
      </c>
      <c r="G1275" s="1352" t="s">
        <v>246</v>
      </c>
    </row>
    <row r="1276" spans="1:7" x14ac:dyDescent="0.2">
      <c r="A1276" s="589"/>
      <c r="B1276" s="589"/>
      <c r="C1276" s="589"/>
      <c r="D1276" s="1359" t="s">
        <v>4193</v>
      </c>
      <c r="G1276" s="1352" t="s">
        <v>246</v>
      </c>
    </row>
    <row r="1277" spans="1:7" ht="16" thickBot="1" x14ac:dyDescent="0.25">
      <c r="A1277" s="594"/>
      <c r="B1277" s="594"/>
      <c r="C1277" s="594"/>
      <c r="D1277" s="1360" t="s">
        <v>4194</v>
      </c>
      <c r="G1277" s="1352" t="s">
        <v>246</v>
      </c>
    </row>
    <row r="1278" spans="1:7" ht="16" thickTop="1" x14ac:dyDescent="0.2">
      <c r="A1278" s="589" t="s">
        <v>4196</v>
      </c>
      <c r="B1278" s="589"/>
      <c r="C1278" s="589"/>
      <c r="D1278" s="1370" t="s">
        <v>4197</v>
      </c>
      <c r="G1278" s="1352" t="s">
        <v>246</v>
      </c>
    </row>
    <row r="1279" spans="1:7" x14ac:dyDescent="0.2">
      <c r="A1279" s="589" t="s">
        <v>4198</v>
      </c>
      <c r="B1279" s="589"/>
      <c r="C1279" s="589"/>
      <c r="D1279" s="1687" t="s">
        <v>4199</v>
      </c>
      <c r="G1279" s="1352" t="s">
        <v>246</v>
      </c>
    </row>
    <row r="1280" spans="1:7" x14ac:dyDescent="0.2">
      <c r="A1280" s="589"/>
      <c r="B1280" s="589"/>
      <c r="C1280" s="589"/>
      <c r="D1280" s="1687"/>
      <c r="G1280" s="1352" t="s">
        <v>246</v>
      </c>
    </row>
    <row r="1281" spans="1:7" ht="15" customHeight="1" x14ac:dyDescent="0.2">
      <c r="A1281" s="589"/>
      <c r="B1281" s="590" t="s">
        <v>254</v>
      </c>
      <c r="C1281" s="590"/>
      <c r="D1281" s="1634" t="s">
        <v>5637</v>
      </c>
      <c r="E1281" s="1352">
        <f ca="1">'Verification Report'!O1281</f>
        <v>0</v>
      </c>
      <c r="F1281" s="1341" t="str">
        <f>IF(LEN('Verification Report'!W1281)=0,"",'Verification Report'!W1281)</f>
        <v/>
      </c>
      <c r="G1281" s="1352" t="s">
        <v>246</v>
      </c>
    </row>
    <row r="1282" spans="1:7" x14ac:dyDescent="0.2">
      <c r="A1282" s="589"/>
      <c r="B1282" s="606"/>
      <c r="C1282" s="606"/>
      <c r="D1282" s="1639"/>
      <c r="G1282" s="1352" t="s">
        <v>246</v>
      </c>
    </row>
    <row r="1283" spans="1:7" x14ac:dyDescent="0.2">
      <c r="A1283" s="589"/>
      <c r="B1283" s="608" t="s">
        <v>255</v>
      </c>
      <c r="C1283" s="608"/>
      <c r="D1283" s="1633" t="s">
        <v>4200</v>
      </c>
      <c r="E1283" s="1352">
        <f ca="1">'Verification Report'!O1283</f>
        <v>0</v>
      </c>
      <c r="F1283" s="1341" t="str">
        <f>IF(LEN('Verification Report'!W1283)=0,"",'Verification Report'!W1283)</f>
        <v/>
      </c>
      <c r="G1283" s="1352" t="s">
        <v>246</v>
      </c>
    </row>
    <row r="1284" spans="1:7" x14ac:dyDescent="0.2">
      <c r="A1284" s="589"/>
      <c r="B1284" s="606"/>
      <c r="C1284" s="606"/>
      <c r="D1284" s="1639"/>
      <c r="G1284" s="1352" t="s">
        <v>246</v>
      </c>
    </row>
    <row r="1285" spans="1:7" x14ac:dyDescent="0.2">
      <c r="A1285" s="590"/>
      <c r="B1285" s="590" t="s">
        <v>256</v>
      </c>
      <c r="C1285" s="590"/>
      <c r="D1285" s="1634" t="s">
        <v>4201</v>
      </c>
      <c r="E1285" s="1352">
        <f ca="1">'Verification Report'!O1285</f>
        <v>0</v>
      </c>
      <c r="F1285" s="1341" t="str">
        <f>IF(LEN('Verification Report'!W1285)=0,"",'Verification Report'!W1285)</f>
        <v/>
      </c>
      <c r="G1285" s="1352" t="s">
        <v>246</v>
      </c>
    </row>
    <row r="1286" spans="1:7" x14ac:dyDescent="0.2">
      <c r="A1286" s="606"/>
      <c r="B1286" s="606"/>
      <c r="C1286" s="606"/>
      <c r="D1286" s="1639"/>
      <c r="G1286" s="1352" t="s">
        <v>246</v>
      </c>
    </row>
    <row r="1287" spans="1:7" x14ac:dyDescent="0.2">
      <c r="A1287" s="589" t="s">
        <v>4202</v>
      </c>
      <c r="B1287" s="589"/>
      <c r="C1287" s="589"/>
      <c r="D1287" s="1370" t="s">
        <v>4203</v>
      </c>
      <c r="G1287" s="1352" t="s">
        <v>246</v>
      </c>
    </row>
    <row r="1288" spans="1:7" x14ac:dyDescent="0.2">
      <c r="A1288" s="589"/>
      <c r="B1288" s="606" t="s">
        <v>254</v>
      </c>
      <c r="C1288" s="606"/>
      <c r="D1288" s="1361" t="s">
        <v>4204</v>
      </c>
      <c r="E1288" s="1352">
        <f ca="1">'Verification Report'!O1288</f>
        <v>0</v>
      </c>
      <c r="F1288" s="1341" t="str">
        <f>IF(LEN('Verification Report'!W1288)=0,"",'Verification Report'!W1288)</f>
        <v/>
      </c>
      <c r="G1288" s="1352" t="s">
        <v>246</v>
      </c>
    </row>
    <row r="1289" spans="1:7" x14ac:dyDescent="0.2">
      <c r="A1289" s="589"/>
      <c r="B1289" s="607" t="s">
        <v>255</v>
      </c>
      <c r="C1289" s="607"/>
      <c r="D1289" s="1075" t="s">
        <v>4205</v>
      </c>
      <c r="E1289" s="1352">
        <f ca="1">'Verification Report'!O1289</f>
        <v>0</v>
      </c>
      <c r="F1289" s="1341" t="str">
        <f>IF(LEN('Verification Report'!W1289)=0,"",'Verification Report'!W1289)</f>
        <v/>
      </c>
      <c r="G1289" s="1352" t="s">
        <v>246</v>
      </c>
    </row>
    <row r="1290" spans="1:7" x14ac:dyDescent="0.2">
      <c r="A1290" s="590"/>
      <c r="B1290" s="590" t="s">
        <v>256</v>
      </c>
      <c r="C1290" s="590"/>
      <c r="D1290" s="1359" t="s">
        <v>4206</v>
      </c>
      <c r="E1290" s="1352">
        <f ca="1">'Verification Report'!O1290</f>
        <v>0</v>
      </c>
      <c r="F1290" s="1341" t="str">
        <f>IF(LEN('Verification Report'!W1290)=0,"",'Verification Report'!W1290)</f>
        <v/>
      </c>
      <c r="G1290" s="1352" t="s">
        <v>246</v>
      </c>
    </row>
    <row r="1291" spans="1:7" ht="16" thickBot="1" x14ac:dyDescent="0.25">
      <c r="A1291" s="100"/>
      <c r="B1291" s="100"/>
      <c r="C1291" s="100"/>
      <c r="D1291" s="1389" t="s">
        <v>4846</v>
      </c>
      <c r="G1291" s="1352" t="s">
        <v>246</v>
      </c>
    </row>
    <row r="1292" spans="1:7" ht="16" thickTop="1" x14ac:dyDescent="0.2">
      <c r="A1292" s="589" t="s">
        <v>4207</v>
      </c>
      <c r="B1292" s="589"/>
      <c r="C1292" s="589"/>
      <c r="D1292" s="1370" t="s">
        <v>4208</v>
      </c>
      <c r="G1292" s="1352" t="s">
        <v>246</v>
      </c>
    </row>
    <row r="1293" spans="1:7" x14ac:dyDescent="0.2">
      <c r="A1293" s="589" t="s">
        <v>4209</v>
      </c>
      <c r="B1293" s="589"/>
      <c r="C1293" s="589"/>
      <c r="D1293" s="1687" t="s">
        <v>4210</v>
      </c>
      <c r="E1293" s="1352">
        <f ca="1">'Verification Report'!O1293</f>
        <v>0</v>
      </c>
      <c r="F1293" s="1341" t="str">
        <f>IF(LEN('Verification Report'!W1293)=0,"",'Verification Report'!W1293)</f>
        <v/>
      </c>
      <c r="G1293" s="1352" t="s">
        <v>246</v>
      </c>
    </row>
    <row r="1294" spans="1:7" x14ac:dyDescent="0.2">
      <c r="A1294" s="589"/>
      <c r="B1294" s="589"/>
      <c r="C1294" s="589"/>
      <c r="D1294" s="1687"/>
      <c r="G1294" s="1352" t="s">
        <v>246</v>
      </c>
    </row>
    <row r="1295" spans="1:7" x14ac:dyDescent="0.2">
      <c r="A1295" s="589"/>
      <c r="B1295" s="590" t="s">
        <v>254</v>
      </c>
      <c r="C1295" s="590"/>
      <c r="D1295" s="1634" t="s">
        <v>4211</v>
      </c>
      <c r="G1295" s="1352" t="s">
        <v>246</v>
      </c>
    </row>
    <row r="1296" spans="1:7" x14ac:dyDescent="0.2">
      <c r="A1296" s="589"/>
      <c r="B1296" s="606"/>
      <c r="C1296" s="606"/>
      <c r="D1296" s="1639"/>
      <c r="G1296" s="1352" t="s">
        <v>246</v>
      </c>
    </row>
    <row r="1297" spans="1:7" x14ac:dyDescent="0.2">
      <c r="A1297" s="589"/>
      <c r="B1297" s="608" t="s">
        <v>255</v>
      </c>
      <c r="C1297" s="608"/>
      <c r="D1297" s="1633" t="s">
        <v>4212</v>
      </c>
      <c r="G1297" s="1352" t="s">
        <v>246</v>
      </c>
    </row>
    <row r="1298" spans="1:7" x14ac:dyDescent="0.2">
      <c r="A1298" s="589"/>
      <c r="B1298" s="590"/>
      <c r="C1298" s="590"/>
      <c r="D1298" s="1634"/>
      <c r="G1298" s="1352" t="s">
        <v>246</v>
      </c>
    </row>
    <row r="1299" spans="1:7" x14ac:dyDescent="0.2">
      <c r="A1299" s="589"/>
      <c r="B1299" s="606"/>
      <c r="C1299" s="606"/>
      <c r="D1299" s="1639"/>
      <c r="G1299" s="1352" t="s">
        <v>246</v>
      </c>
    </row>
    <row r="1300" spans="1:7" x14ac:dyDescent="0.2">
      <c r="A1300" s="589"/>
      <c r="B1300" s="608" t="s">
        <v>256</v>
      </c>
      <c r="C1300" s="608"/>
      <c r="D1300" s="1633" t="s">
        <v>4213</v>
      </c>
      <c r="G1300" s="1352" t="s">
        <v>246</v>
      </c>
    </row>
    <row r="1301" spans="1:7" x14ac:dyDescent="0.2">
      <c r="A1301" s="589"/>
      <c r="B1301" s="606"/>
      <c r="C1301" s="606"/>
      <c r="D1301" s="1639"/>
      <c r="G1301" s="1352" t="s">
        <v>246</v>
      </c>
    </row>
    <row r="1302" spans="1:7" x14ac:dyDescent="0.2">
      <c r="A1302" s="589"/>
      <c r="B1302" s="608" t="s">
        <v>259</v>
      </c>
      <c r="C1302" s="608"/>
      <c r="D1302" s="1633" t="s">
        <v>4214</v>
      </c>
      <c r="G1302" s="1352" t="s">
        <v>246</v>
      </c>
    </row>
    <row r="1303" spans="1:7" x14ac:dyDescent="0.2">
      <c r="A1303" s="589"/>
      <c r="B1303" s="606"/>
      <c r="C1303" s="606"/>
      <c r="D1303" s="1639"/>
      <c r="G1303" s="1352" t="s">
        <v>246</v>
      </c>
    </row>
    <row r="1304" spans="1:7" x14ac:dyDescent="0.2">
      <c r="A1304" s="589"/>
      <c r="B1304" s="608" t="s">
        <v>263</v>
      </c>
      <c r="C1304" s="608"/>
      <c r="D1304" s="1633" t="s">
        <v>4215</v>
      </c>
      <c r="G1304" s="1352" t="s">
        <v>246</v>
      </c>
    </row>
    <row r="1305" spans="1:7" x14ac:dyDescent="0.2">
      <c r="A1305" s="589"/>
      <c r="B1305" s="606"/>
      <c r="C1305" s="606"/>
      <c r="D1305" s="1639"/>
      <c r="G1305" s="1352" t="s">
        <v>246</v>
      </c>
    </row>
    <row r="1306" spans="1:7" x14ac:dyDescent="0.2">
      <c r="A1306" s="589"/>
      <c r="B1306" s="589" t="s">
        <v>264</v>
      </c>
      <c r="C1306" s="589"/>
      <c r="D1306" s="1359" t="s">
        <v>4216</v>
      </c>
      <c r="G1306" s="1352" t="s">
        <v>246</v>
      </c>
    </row>
    <row r="1307" spans="1:7" x14ac:dyDescent="0.2">
      <c r="A1307" s="589"/>
      <c r="B1307" s="589"/>
      <c r="C1307" s="589" t="s">
        <v>121</v>
      </c>
      <c r="D1307" s="1359" t="s">
        <v>4217</v>
      </c>
      <c r="G1307" s="1352" t="s">
        <v>246</v>
      </c>
    </row>
    <row r="1308" spans="1:7" x14ac:dyDescent="0.2">
      <c r="A1308" s="589"/>
      <c r="B1308" s="589"/>
      <c r="C1308" s="589" t="s">
        <v>122</v>
      </c>
      <c r="D1308" s="1359" t="s">
        <v>4218</v>
      </c>
      <c r="G1308" s="1352" t="s">
        <v>246</v>
      </c>
    </row>
    <row r="1309" spans="1:7" x14ac:dyDescent="0.2">
      <c r="A1309" s="589"/>
      <c r="B1309" s="590"/>
      <c r="C1309" s="590" t="s">
        <v>123</v>
      </c>
      <c r="D1309" s="1634" t="s">
        <v>4219</v>
      </c>
      <c r="G1309" s="1352" t="s">
        <v>246</v>
      </c>
    </row>
    <row r="1310" spans="1:7" x14ac:dyDescent="0.2">
      <c r="A1310" s="589"/>
      <c r="B1310" s="606"/>
      <c r="C1310" s="606"/>
      <c r="D1310" s="1639"/>
      <c r="G1310" s="1352" t="s">
        <v>246</v>
      </c>
    </row>
    <row r="1311" spans="1:7" x14ac:dyDescent="0.2">
      <c r="A1311" s="589"/>
      <c r="B1311" s="608" t="s">
        <v>356</v>
      </c>
      <c r="C1311" s="608"/>
      <c r="D1311" s="1633" t="s">
        <v>4220</v>
      </c>
      <c r="G1311" s="1352" t="s">
        <v>246</v>
      </c>
    </row>
    <row r="1312" spans="1:7" x14ac:dyDescent="0.2">
      <c r="A1312" s="589"/>
      <c r="B1312" s="606"/>
      <c r="C1312" s="606"/>
      <c r="D1312" s="1639"/>
      <c r="G1312" s="1352" t="s">
        <v>246</v>
      </c>
    </row>
    <row r="1313" spans="1:9" x14ac:dyDescent="0.2">
      <c r="A1313" s="589"/>
      <c r="B1313" s="607" t="s">
        <v>389</v>
      </c>
      <c r="C1313" s="607"/>
      <c r="D1313" s="1075" t="s">
        <v>4221</v>
      </c>
      <c r="G1313" s="1352" t="s">
        <v>246</v>
      </c>
    </row>
    <row r="1314" spans="1:9" x14ac:dyDescent="0.2">
      <c r="A1314" s="589"/>
      <c r="B1314" s="589" t="s">
        <v>391</v>
      </c>
      <c r="C1314" s="589"/>
      <c r="D1314" s="1359" t="s">
        <v>4222</v>
      </c>
      <c r="G1314" s="1352" t="s">
        <v>246</v>
      </c>
    </row>
    <row r="1315" spans="1:9" x14ac:dyDescent="0.2">
      <c r="A1315" s="590"/>
      <c r="B1315" s="590"/>
      <c r="C1315" s="590"/>
      <c r="D1315" s="1730" t="s">
        <v>4847</v>
      </c>
      <c r="G1315" s="1352" t="s">
        <v>246</v>
      </c>
    </row>
    <row r="1316" spans="1:9" x14ac:dyDescent="0.2">
      <c r="A1316" s="590"/>
      <c r="B1316" s="590"/>
      <c r="C1316" s="590"/>
      <c r="D1316" s="1730"/>
      <c r="G1316" s="1352" t="s">
        <v>246</v>
      </c>
    </row>
    <row r="1317" spans="1:9" x14ac:dyDescent="0.2">
      <c r="A1317" s="590"/>
      <c r="B1317" s="590"/>
      <c r="C1317" s="590"/>
      <c r="D1317" s="1730"/>
      <c r="G1317" s="1352" t="s">
        <v>246</v>
      </c>
    </row>
    <row r="1318" spans="1:9" x14ac:dyDescent="0.2">
      <c r="A1318" s="590"/>
      <c r="B1318" s="590"/>
      <c r="C1318" s="590"/>
      <c r="D1318" s="1730"/>
      <c r="G1318" s="1352" t="s">
        <v>246</v>
      </c>
    </row>
    <row r="1319" spans="1:9" x14ac:dyDescent="0.2">
      <c r="A1319" s="590"/>
      <c r="B1319" s="590"/>
      <c r="C1319" s="590"/>
      <c r="D1319" s="1730"/>
      <c r="G1319" s="1352" t="s">
        <v>246</v>
      </c>
    </row>
    <row r="1320" spans="1:9" x14ac:dyDescent="0.2">
      <c r="A1320" s="606"/>
      <c r="B1320" s="606"/>
      <c r="C1320" s="606"/>
      <c r="D1320" s="1731"/>
      <c r="G1320" s="1352" t="s">
        <v>246</v>
      </c>
    </row>
    <row r="1321" spans="1:9" x14ac:dyDescent="0.2">
      <c r="A1321" s="608" t="s">
        <v>4223</v>
      </c>
      <c r="B1321" s="608"/>
      <c r="C1321" s="608"/>
      <c r="D1321" s="1686" t="s">
        <v>4224</v>
      </c>
      <c r="E1321" s="1352">
        <f ca="1">'Verification Report'!O1321</f>
        <v>0</v>
      </c>
      <c r="F1321" s="1341" t="str">
        <f>IF(LEN('Verification Report'!W1321)=0,"",'Verification Report'!W1321)</f>
        <v/>
      </c>
      <c r="G1321" s="1397" t="str">
        <f ca="1">IF(E1321&gt;0,"P","NP")</f>
        <v>NP</v>
      </c>
      <c r="H1321" s="1401" t="s">
        <v>5281</v>
      </c>
      <c r="I1321" s="1600"/>
    </row>
    <row r="1322" spans="1:9" x14ac:dyDescent="0.2">
      <c r="A1322" s="606"/>
      <c r="B1322" s="606"/>
      <c r="C1322" s="606"/>
      <c r="D1322" s="1688"/>
      <c r="G1322" s="1" t="str">
        <f ca="1">G1321</f>
        <v>NP</v>
      </c>
      <c r="I1322" s="1600"/>
    </row>
    <row r="1323" spans="1:9" x14ac:dyDescent="0.2">
      <c r="A1323" s="589" t="s">
        <v>4225</v>
      </c>
      <c r="B1323" s="589"/>
      <c r="C1323" s="589"/>
      <c r="D1323" s="1687" t="s">
        <v>4226</v>
      </c>
      <c r="E1323" s="1352">
        <f ca="1">'Verification Report'!O1323</f>
        <v>0</v>
      </c>
      <c r="G1323" s="1397" t="str">
        <f ca="1">IF(E1323&gt;0,"P","NP")</f>
        <v>NP</v>
      </c>
    </row>
    <row r="1324" spans="1:9" x14ac:dyDescent="0.2">
      <c r="A1324" s="589"/>
      <c r="B1324" s="589"/>
      <c r="C1324" s="589"/>
      <c r="D1324" s="1687"/>
      <c r="G1324" s="1" t="str">
        <f ca="1">G1323</f>
        <v>NP</v>
      </c>
    </row>
    <row r="1325" spans="1:9" x14ac:dyDescent="0.2">
      <c r="A1325" s="589"/>
      <c r="B1325" s="589"/>
      <c r="C1325" s="589"/>
      <c r="D1325" s="1390" t="s">
        <v>4227</v>
      </c>
      <c r="G1325" s="1352" t="s">
        <v>246</v>
      </c>
    </row>
    <row r="1326" spans="1:9" x14ac:dyDescent="0.2">
      <c r="A1326" s="589"/>
      <c r="B1326" s="589"/>
      <c r="C1326" s="589"/>
      <c r="D1326" s="1390" t="s">
        <v>4228</v>
      </c>
      <c r="G1326" s="1352" t="s">
        <v>246</v>
      </c>
    </row>
    <row r="1327" spans="1:9" x14ac:dyDescent="0.2">
      <c r="A1327" s="589"/>
      <c r="B1327" s="589" t="s">
        <v>254</v>
      </c>
      <c r="C1327" s="589"/>
      <c r="D1327" s="1634" t="s">
        <v>4229</v>
      </c>
      <c r="G1327" s="1400" t="str">
        <f>IF(COUNTIF(G1329:I1333,"P")&gt;0,"P","NP")</f>
        <v>NP</v>
      </c>
      <c r="H1327" s="1401" t="s">
        <v>5282</v>
      </c>
      <c r="I1327" s="1600"/>
    </row>
    <row r="1328" spans="1:9" x14ac:dyDescent="0.2">
      <c r="A1328" s="589"/>
      <c r="B1328" s="589"/>
      <c r="C1328" s="589"/>
      <c r="D1328" s="1634"/>
      <c r="G1328" s="1" t="str">
        <f>G1327</f>
        <v>NP</v>
      </c>
      <c r="I1328" s="1600"/>
    </row>
    <row r="1329" spans="1:9" x14ac:dyDescent="0.2">
      <c r="A1329" s="589"/>
      <c r="B1329" s="589"/>
      <c r="C1329" s="589" t="s">
        <v>121</v>
      </c>
      <c r="D1329" s="1634" t="s">
        <v>4230</v>
      </c>
      <c r="F1329" s="1341" t="str">
        <f>IF(LEN('Verification Report'!W1329)=0,"",'Verification Report'!W1329)</f>
        <v/>
      </c>
      <c r="G1329" s="1398" t="str">
        <f>IF(AND(LEN(F1329)&gt;0,NOT(F1329=FALSE)),"P","NP")</f>
        <v>NP</v>
      </c>
    </row>
    <row r="1330" spans="1:9" x14ac:dyDescent="0.2">
      <c r="A1330" s="589"/>
      <c r="B1330" s="589"/>
      <c r="C1330" s="589"/>
      <c r="D1330" s="1634"/>
      <c r="G1330" s="1" t="str">
        <f>G1329</f>
        <v>NP</v>
      </c>
    </row>
    <row r="1331" spans="1:9" x14ac:dyDescent="0.2">
      <c r="A1331" s="589"/>
      <c r="B1331" s="589"/>
      <c r="C1331" s="589" t="s">
        <v>122</v>
      </c>
      <c r="D1331" s="1359" t="s">
        <v>4231</v>
      </c>
      <c r="F1331" s="1341" t="str">
        <f>IF(LEN('Verification Report'!W1331)=0,"",'Verification Report'!W1331)</f>
        <v/>
      </c>
      <c r="G1331" s="1398" t="str">
        <f>IF(AND(LEN(F1331)&gt;0,NOT(F1331=FALSE)),"P","NP")</f>
        <v>NP</v>
      </c>
    </row>
    <row r="1332" spans="1:9" x14ac:dyDescent="0.2">
      <c r="A1332" s="589"/>
      <c r="B1332" s="589"/>
      <c r="C1332" s="589" t="s">
        <v>123</v>
      </c>
      <c r="D1332" s="1359" t="s">
        <v>4232</v>
      </c>
      <c r="F1332" s="1341" t="str">
        <f>IF(LEN('Verification Report'!W1332)=0,"",'Verification Report'!W1332)</f>
        <v/>
      </c>
      <c r="G1332" s="1398" t="str">
        <f>IF(AND(LEN(F1332)&gt;0,NOT(F1332=FALSE)),"P","NP")</f>
        <v>NP</v>
      </c>
    </row>
    <row r="1333" spans="1:9" x14ac:dyDescent="0.2">
      <c r="A1333" s="589"/>
      <c r="B1333" s="590"/>
      <c r="C1333" s="590" t="s">
        <v>366</v>
      </c>
      <c r="D1333" s="1634" t="s">
        <v>4233</v>
      </c>
      <c r="F1333" s="1341" t="str">
        <f>IF(LEN('Verification Report'!W1333)=0,"",'Verification Report'!W1333)</f>
        <v/>
      </c>
      <c r="G1333" s="1398" t="str">
        <f>IF(AND(LEN(F1333)&gt;0,NOT(F1333=FALSE)),"P","NP")</f>
        <v>NP</v>
      </c>
    </row>
    <row r="1334" spans="1:9" x14ac:dyDescent="0.2">
      <c r="A1334" s="589"/>
      <c r="B1334" s="606"/>
      <c r="C1334" s="606"/>
      <c r="D1334" s="1639"/>
      <c r="G1334" s="1" t="str">
        <f>G1333</f>
        <v>NP</v>
      </c>
    </row>
    <row r="1335" spans="1:9" x14ac:dyDescent="0.2">
      <c r="A1335" s="589"/>
      <c r="B1335" s="608" t="s">
        <v>255</v>
      </c>
      <c r="C1335" s="608"/>
      <c r="D1335" s="1633" t="s">
        <v>4234</v>
      </c>
      <c r="F1335" s="1341" t="str">
        <f>IF(LEN('Verification Report'!W1335)=0,"",'Verification Report'!W1335)</f>
        <v/>
      </c>
      <c r="G1335" s="1398" t="str">
        <f>IF(AND(LEN(F1335)&gt;0,NOT(F1335=FALSE)),"P","NP")</f>
        <v>NP</v>
      </c>
      <c r="H1335" s="1401" t="s">
        <v>5283</v>
      </c>
      <c r="I1335" s="1600"/>
    </row>
    <row r="1336" spans="1:9" x14ac:dyDescent="0.2">
      <c r="A1336" s="589"/>
      <c r="B1336" s="606"/>
      <c r="C1336" s="606"/>
      <c r="D1336" s="1639"/>
      <c r="G1336" s="1" t="str">
        <f>G1335</f>
        <v>NP</v>
      </c>
      <c r="I1336" s="1600"/>
    </row>
    <row r="1337" spans="1:9" x14ac:dyDescent="0.2">
      <c r="A1337" s="589"/>
      <c r="B1337" s="608" t="s">
        <v>256</v>
      </c>
      <c r="C1337" s="608"/>
      <c r="D1337" s="1633" t="s">
        <v>4235</v>
      </c>
      <c r="F1337" s="1341" t="str">
        <f>IF(LEN('Verification Report'!W1337)=0,"",'Verification Report'!W1337)</f>
        <v/>
      </c>
      <c r="G1337" s="1352" t="s">
        <v>246</v>
      </c>
    </row>
    <row r="1338" spans="1:9" x14ac:dyDescent="0.2">
      <c r="A1338" s="589"/>
      <c r="B1338" s="606"/>
      <c r="C1338" s="606"/>
      <c r="D1338" s="1639"/>
      <c r="G1338" s="1352" t="s">
        <v>246</v>
      </c>
    </row>
    <row r="1339" spans="1:9" x14ac:dyDescent="0.2">
      <c r="A1339" s="589"/>
      <c r="B1339" s="608" t="s">
        <v>259</v>
      </c>
      <c r="C1339" s="608"/>
      <c r="D1339" s="1633" t="s">
        <v>4236</v>
      </c>
      <c r="F1339" s="1341" t="str">
        <f>IF(LEN('Verification Report'!W1339)=0,"",'Verification Report'!W1339)</f>
        <v/>
      </c>
      <c r="G1339" s="1352" t="s">
        <v>246</v>
      </c>
    </row>
    <row r="1340" spans="1:9" x14ac:dyDescent="0.2">
      <c r="A1340" s="589"/>
      <c r="B1340" s="606"/>
      <c r="C1340" s="606"/>
      <c r="D1340" s="1639"/>
      <c r="G1340" s="1352" t="s">
        <v>246</v>
      </c>
    </row>
    <row r="1341" spans="1:9" x14ac:dyDescent="0.2">
      <c r="A1341" s="589"/>
      <c r="B1341" s="589" t="s">
        <v>263</v>
      </c>
      <c r="C1341" s="589"/>
      <c r="D1341" s="1634" t="s">
        <v>4237</v>
      </c>
      <c r="G1341" s="1352" t="s">
        <v>246</v>
      </c>
    </row>
    <row r="1342" spans="1:9" x14ac:dyDescent="0.2">
      <c r="A1342" s="589"/>
      <c r="B1342" s="589"/>
      <c r="C1342" s="589"/>
      <c r="D1342" s="1634"/>
      <c r="G1342" s="1352" t="s">
        <v>246</v>
      </c>
    </row>
    <row r="1343" spans="1:9" x14ac:dyDescent="0.2">
      <c r="A1343" s="589"/>
      <c r="B1343" s="589"/>
      <c r="C1343" s="589"/>
      <c r="D1343" s="1634"/>
      <c r="G1343" s="1352" t="s">
        <v>246</v>
      </c>
    </row>
    <row r="1344" spans="1:9" x14ac:dyDescent="0.2">
      <c r="A1344" s="589"/>
      <c r="B1344" s="589"/>
      <c r="C1344" s="589" t="s">
        <v>121</v>
      </c>
      <c r="D1344" s="1634" t="s">
        <v>4238</v>
      </c>
      <c r="F1344" s="1341" t="str">
        <f>IF(LEN('Verification Report'!W1344)=0,"",'Verification Report'!W1344)</f>
        <v/>
      </c>
      <c r="G1344" s="1352" t="s">
        <v>246</v>
      </c>
    </row>
    <row r="1345" spans="1:7" x14ac:dyDescent="0.2">
      <c r="A1345" s="589"/>
      <c r="B1345" s="589"/>
      <c r="C1345" s="589"/>
      <c r="D1345" s="1634"/>
      <c r="G1345" s="1352" t="s">
        <v>246</v>
      </c>
    </row>
    <row r="1346" spans="1:7" x14ac:dyDescent="0.2">
      <c r="A1346" s="589"/>
      <c r="B1346" s="590"/>
      <c r="C1346" s="590" t="s">
        <v>122</v>
      </c>
      <c r="D1346" s="1634" t="s">
        <v>4239</v>
      </c>
      <c r="F1346" s="1341" t="str">
        <f>IF(LEN('Verification Report'!W1346)=0,"",'Verification Report'!W1346)</f>
        <v/>
      </c>
      <c r="G1346" s="1352" t="s">
        <v>246</v>
      </c>
    </row>
    <row r="1347" spans="1:7" x14ac:dyDescent="0.2">
      <c r="A1347" s="589"/>
      <c r="B1347" s="606"/>
      <c r="C1347" s="606"/>
      <c r="D1347" s="1639"/>
      <c r="G1347" s="1352" t="s">
        <v>246</v>
      </c>
    </row>
    <row r="1348" spans="1:7" x14ac:dyDescent="0.2">
      <c r="A1348" s="590"/>
      <c r="B1348" s="590" t="s">
        <v>264</v>
      </c>
      <c r="C1348" s="590"/>
      <c r="D1348" s="1634" t="s">
        <v>4240</v>
      </c>
      <c r="F1348" s="1341" t="str">
        <f>IF(LEN('Verification Report'!W1348)=0,"",'Verification Report'!W1348)</f>
        <v/>
      </c>
      <c r="G1348" s="1352" t="s">
        <v>246</v>
      </c>
    </row>
    <row r="1349" spans="1:7" x14ac:dyDescent="0.2">
      <c r="A1349" s="606"/>
      <c r="B1349" s="606"/>
      <c r="C1349" s="606"/>
      <c r="D1349" s="1639"/>
      <c r="G1349" s="1352" t="s">
        <v>246</v>
      </c>
    </row>
    <row r="1350" spans="1:7" x14ac:dyDescent="0.2">
      <c r="A1350" s="589" t="s">
        <v>4241</v>
      </c>
      <c r="B1350" s="589"/>
      <c r="C1350" s="589"/>
      <c r="D1350" s="1687" t="s">
        <v>4242</v>
      </c>
      <c r="E1350" s="1352">
        <f ca="1">'Verification Report'!O1350</f>
        <v>0</v>
      </c>
      <c r="F1350" s="1341" t="str">
        <f>IF(LEN('Verification Report'!W1350)=0,"",'Verification Report'!W1350)</f>
        <v/>
      </c>
      <c r="G1350" s="1352" t="s">
        <v>246</v>
      </c>
    </row>
    <row r="1351" spans="1:7" x14ac:dyDescent="0.2">
      <c r="A1351" s="589"/>
      <c r="B1351" s="589"/>
      <c r="C1351" s="589"/>
      <c r="D1351" s="1687"/>
      <c r="G1351" s="1352" t="s">
        <v>246</v>
      </c>
    </row>
    <row r="1352" spans="1:7" x14ac:dyDescent="0.2">
      <c r="A1352" s="589"/>
      <c r="B1352" s="589"/>
      <c r="C1352" s="589"/>
      <c r="D1352" s="1687"/>
      <c r="G1352" s="1352" t="s">
        <v>246</v>
      </c>
    </row>
    <row r="1353" spans="1:7" x14ac:dyDescent="0.2">
      <c r="A1353" s="589"/>
      <c r="B1353" s="590" t="s">
        <v>254</v>
      </c>
      <c r="C1353" s="590"/>
      <c r="D1353" s="1634" t="s">
        <v>4243</v>
      </c>
      <c r="G1353" s="1352" t="s">
        <v>246</v>
      </c>
    </row>
    <row r="1354" spans="1:7" x14ac:dyDescent="0.2">
      <c r="A1354" s="589"/>
      <c r="B1354" s="606"/>
      <c r="C1354" s="606"/>
      <c r="D1354" s="1639"/>
      <c r="G1354" s="1352" t="s">
        <v>246</v>
      </c>
    </row>
    <row r="1355" spans="1:7" x14ac:dyDescent="0.2">
      <c r="A1355" s="589"/>
      <c r="B1355" s="589" t="s">
        <v>255</v>
      </c>
      <c r="C1355" s="589"/>
      <c r="D1355" s="1634" t="s">
        <v>4244</v>
      </c>
      <c r="G1355" s="1352" t="s">
        <v>246</v>
      </c>
    </row>
    <row r="1356" spans="1:7" x14ac:dyDescent="0.2">
      <c r="A1356" s="589"/>
      <c r="B1356" s="589"/>
      <c r="C1356" s="589"/>
      <c r="D1356" s="1634"/>
      <c r="G1356" s="1352" t="s">
        <v>246</v>
      </c>
    </row>
    <row r="1357" spans="1:7" x14ac:dyDescent="0.2">
      <c r="A1357" s="589"/>
      <c r="B1357" s="589"/>
      <c r="C1357" s="589" t="s">
        <v>121</v>
      </c>
      <c r="D1357" s="1634" t="s">
        <v>4245</v>
      </c>
      <c r="G1357" s="1352" t="s">
        <v>246</v>
      </c>
    </row>
    <row r="1358" spans="1:7" x14ac:dyDescent="0.2">
      <c r="A1358" s="589"/>
      <c r="B1358" s="589"/>
      <c r="C1358" s="589"/>
      <c r="D1358" s="1634"/>
      <c r="G1358" s="1352" t="s">
        <v>246</v>
      </c>
    </row>
    <row r="1359" spans="1:7" x14ac:dyDescent="0.2">
      <c r="A1359" s="589"/>
      <c r="B1359" s="589"/>
      <c r="C1359" s="589"/>
      <c r="D1359" s="1634"/>
      <c r="G1359" s="1352" t="s">
        <v>246</v>
      </c>
    </row>
    <row r="1360" spans="1:7" x14ac:dyDescent="0.2">
      <c r="A1360" s="589"/>
      <c r="B1360" s="589"/>
      <c r="C1360" s="589" t="s">
        <v>122</v>
      </c>
      <c r="D1360" s="1634" t="s">
        <v>4246</v>
      </c>
      <c r="G1360" s="1352" t="s">
        <v>246</v>
      </c>
    </row>
    <row r="1361" spans="1:7" x14ac:dyDescent="0.2">
      <c r="A1361" s="589"/>
      <c r="B1361" s="589"/>
      <c r="C1361" s="589"/>
      <c r="D1361" s="1634"/>
      <c r="G1361" s="1352" t="s">
        <v>246</v>
      </c>
    </row>
    <row r="1362" spans="1:7" x14ac:dyDescent="0.2">
      <c r="A1362" s="589"/>
      <c r="B1362" s="589"/>
      <c r="C1362" s="873" t="s">
        <v>648</v>
      </c>
      <c r="D1362" s="1634" t="s">
        <v>4247</v>
      </c>
      <c r="G1362" s="1352" t="s">
        <v>246</v>
      </c>
    </row>
    <row r="1363" spans="1:7" x14ac:dyDescent="0.2">
      <c r="A1363" s="589"/>
      <c r="B1363" s="589"/>
      <c r="C1363" s="873"/>
      <c r="D1363" s="1634"/>
      <c r="G1363" s="1352" t="s">
        <v>246</v>
      </c>
    </row>
    <row r="1364" spans="1:7" x14ac:dyDescent="0.2">
      <c r="A1364" s="589"/>
      <c r="B1364" s="589"/>
      <c r="C1364" s="873" t="s">
        <v>4248</v>
      </c>
      <c r="D1364" s="1634" t="s">
        <v>4249</v>
      </c>
      <c r="G1364" s="1352" t="s">
        <v>246</v>
      </c>
    </row>
    <row r="1365" spans="1:7" x14ac:dyDescent="0.2">
      <c r="A1365" s="589"/>
      <c r="B1365" s="589"/>
      <c r="C1365" s="873"/>
      <c r="D1365" s="1634"/>
      <c r="G1365" s="1352" t="s">
        <v>246</v>
      </c>
    </row>
    <row r="1366" spans="1:7" x14ac:dyDescent="0.2">
      <c r="A1366" s="589"/>
      <c r="B1366" s="589"/>
      <c r="C1366" s="873" t="s">
        <v>4250</v>
      </c>
      <c r="D1366" s="1634" t="s">
        <v>4251</v>
      </c>
      <c r="G1366" s="1352" t="s">
        <v>246</v>
      </c>
    </row>
    <row r="1367" spans="1:7" x14ac:dyDescent="0.2">
      <c r="A1367" s="589"/>
      <c r="B1367" s="589"/>
      <c r="C1367" s="589"/>
      <c r="D1367" s="1634"/>
      <c r="G1367" s="1352" t="s">
        <v>246</v>
      </c>
    </row>
    <row r="1368" spans="1:7" x14ac:dyDescent="0.2">
      <c r="A1368" s="589"/>
      <c r="B1368" s="590"/>
      <c r="C1368" s="590" t="s">
        <v>123</v>
      </c>
      <c r="D1368" s="1634" t="s">
        <v>4252</v>
      </c>
      <c r="G1368" s="1352" t="s">
        <v>246</v>
      </c>
    </row>
    <row r="1369" spans="1:7" x14ac:dyDescent="0.2">
      <c r="A1369" s="589"/>
      <c r="B1369" s="590"/>
      <c r="C1369" s="590"/>
      <c r="D1369" s="1634"/>
      <c r="G1369" s="1352" t="s">
        <v>246</v>
      </c>
    </row>
    <row r="1370" spans="1:7" x14ac:dyDescent="0.2">
      <c r="A1370" s="589"/>
      <c r="B1370" s="606"/>
      <c r="C1370" s="606"/>
      <c r="D1370" s="1639"/>
      <c r="G1370" s="1352" t="s">
        <v>246</v>
      </c>
    </row>
    <row r="1371" spans="1:7" x14ac:dyDescent="0.2">
      <c r="A1371" s="589"/>
      <c r="B1371" s="589" t="s">
        <v>256</v>
      </c>
      <c r="C1371" s="589"/>
      <c r="D1371" s="1634" t="s">
        <v>4253</v>
      </c>
      <c r="G1371" s="1352" t="s">
        <v>246</v>
      </c>
    </row>
    <row r="1372" spans="1:7" x14ac:dyDescent="0.2">
      <c r="A1372" s="589"/>
      <c r="B1372" s="589"/>
      <c r="C1372" s="589"/>
      <c r="D1372" s="1634"/>
      <c r="G1372" s="1352" t="s">
        <v>246</v>
      </c>
    </row>
    <row r="1373" spans="1:7" ht="19" x14ac:dyDescent="0.25">
      <c r="A1373" s="1004" t="s">
        <v>4254</v>
      </c>
      <c r="B1373" s="81"/>
      <c r="C1373" s="81"/>
      <c r="D1373" s="1004"/>
      <c r="E1373" s="25"/>
      <c r="F1373" s="994"/>
      <c r="G1373" s="1352" t="s">
        <v>246</v>
      </c>
    </row>
    <row r="1374" spans="1:7" ht="19" x14ac:dyDescent="0.25">
      <c r="A1374" s="1352"/>
      <c r="B1374" s="1352"/>
      <c r="C1374" s="1352"/>
      <c r="D1374" s="1215" t="s">
        <v>5023</v>
      </c>
      <c r="G1374" s="1352" t="s">
        <v>246</v>
      </c>
    </row>
    <row r="1375" spans="1:7" x14ac:dyDescent="0.2">
      <c r="A1375" s="589" t="s">
        <v>4255</v>
      </c>
      <c r="B1375" s="589"/>
      <c r="C1375" s="589"/>
      <c r="D1375" s="1370" t="s">
        <v>4256</v>
      </c>
      <c r="G1375" s="1352" t="s">
        <v>246</v>
      </c>
    </row>
    <row r="1376" spans="1:7" x14ac:dyDescent="0.2">
      <c r="A1376" s="589" t="s">
        <v>4257</v>
      </c>
      <c r="B1376" s="589"/>
      <c r="C1376" s="589"/>
      <c r="D1376" s="1687" t="s">
        <v>4258</v>
      </c>
      <c r="G1376" s="1352" t="s">
        <v>246</v>
      </c>
    </row>
    <row r="1377" spans="1:9" x14ac:dyDescent="0.2">
      <c r="A1377" s="589"/>
      <c r="B1377" s="589"/>
      <c r="C1377" s="589"/>
      <c r="D1377" s="1687"/>
      <c r="G1377" s="1352" t="s">
        <v>246</v>
      </c>
    </row>
    <row r="1378" spans="1:9" x14ac:dyDescent="0.2">
      <c r="A1378" s="589"/>
      <c r="B1378" s="589"/>
      <c r="C1378" s="589"/>
      <c r="D1378" s="1687"/>
      <c r="G1378" s="1352" t="s">
        <v>246</v>
      </c>
    </row>
    <row r="1379" spans="1:9" x14ac:dyDescent="0.2">
      <c r="A1379" s="589" t="s">
        <v>4259</v>
      </c>
      <c r="B1379" s="589"/>
      <c r="C1379" s="589"/>
      <c r="D1379" s="1687" t="s">
        <v>4260</v>
      </c>
      <c r="E1379" s="1352">
        <f ca="1">'Verification Report'!O1379</f>
        <v>0</v>
      </c>
      <c r="F1379" s="1341" t="str">
        <f>IF(LEN('Verification Report'!W1379)=0,"",'Verification Report'!W1379)</f>
        <v/>
      </c>
      <c r="G1379" s="1352" t="s">
        <v>246</v>
      </c>
    </row>
    <row r="1380" spans="1:9" x14ac:dyDescent="0.2">
      <c r="A1380" s="589"/>
      <c r="B1380" s="589"/>
      <c r="C1380" s="589"/>
      <c r="D1380" s="1687"/>
      <c r="G1380" s="1352" t="s">
        <v>246</v>
      </c>
    </row>
    <row r="1381" spans="1:9" x14ac:dyDescent="0.2">
      <c r="A1381" s="589"/>
      <c r="B1381" s="606" t="s">
        <v>254</v>
      </c>
      <c r="C1381" s="606"/>
      <c r="D1381" s="1361" t="s">
        <v>4261</v>
      </c>
      <c r="G1381" s="1352" t="s">
        <v>246</v>
      </c>
    </row>
    <row r="1382" spans="1:9" x14ac:dyDescent="0.2">
      <c r="A1382" s="606"/>
      <c r="B1382" s="606" t="s">
        <v>255</v>
      </c>
      <c r="C1382" s="606"/>
      <c r="D1382" s="1361" t="s">
        <v>4262</v>
      </c>
      <c r="G1382" s="1352" t="s">
        <v>246</v>
      </c>
    </row>
    <row r="1383" spans="1:9" x14ac:dyDescent="0.2">
      <c r="A1383" s="590" t="s">
        <v>4263</v>
      </c>
      <c r="B1383" s="590"/>
      <c r="C1383" s="590"/>
      <c r="D1383" s="1687" t="s">
        <v>4264</v>
      </c>
      <c r="E1383" s="1352">
        <f ca="1">'Verification Report'!O1383</f>
        <v>0</v>
      </c>
      <c r="F1383" s="1341" t="str">
        <f>IF(LEN('Verification Report'!W1383)=0,"",'Verification Report'!W1383)</f>
        <v/>
      </c>
      <c r="G1383" s="1397" t="str">
        <f ca="1">IF(E1383&gt;0,"P","NP")</f>
        <v>NP</v>
      </c>
      <c r="H1383" s="1402" t="s">
        <v>5284</v>
      </c>
      <c r="I1383" s="1600"/>
    </row>
    <row r="1384" spans="1:9" x14ac:dyDescent="0.2">
      <c r="A1384" s="590"/>
      <c r="B1384" s="590"/>
      <c r="C1384" s="590"/>
      <c r="D1384" s="1687"/>
      <c r="G1384" s="1" t="str">
        <f ca="1">G1383</f>
        <v>NP</v>
      </c>
      <c r="I1384" s="1600"/>
    </row>
    <row r="1385" spans="1:9" x14ac:dyDescent="0.2">
      <c r="A1385" s="606"/>
      <c r="B1385" s="606"/>
      <c r="C1385" s="606"/>
      <c r="D1385" s="1688"/>
      <c r="G1385" s="1" t="str">
        <f ca="1">G1384</f>
        <v>NP</v>
      </c>
      <c r="I1385" s="1600"/>
    </row>
    <row r="1386" spans="1:9" x14ac:dyDescent="0.2">
      <c r="A1386" s="589" t="s">
        <v>4265</v>
      </c>
      <c r="B1386" s="589"/>
      <c r="C1386" s="589"/>
      <c r="D1386" s="1370" t="s">
        <v>4266</v>
      </c>
      <c r="G1386" s="1352" t="s">
        <v>246</v>
      </c>
    </row>
    <row r="1387" spans="1:9" x14ac:dyDescent="0.2">
      <c r="A1387" s="589"/>
      <c r="B1387" s="589" t="s">
        <v>254</v>
      </c>
      <c r="C1387" s="589"/>
      <c r="D1387" s="1634" t="s">
        <v>4267</v>
      </c>
      <c r="E1387" s="1352">
        <f ca="1">'Verification Report'!O1387</f>
        <v>0</v>
      </c>
      <c r="F1387" s="1341" t="str">
        <f>IF(LEN('Verification Report'!W1387)=0,"",'Verification Report'!W1387)</f>
        <v/>
      </c>
      <c r="G1387" s="1352" t="s">
        <v>246</v>
      </c>
    </row>
    <row r="1388" spans="1:9" x14ac:dyDescent="0.2">
      <c r="A1388" s="589"/>
      <c r="B1388" s="589"/>
      <c r="C1388" s="589"/>
      <c r="D1388" s="1634"/>
      <c r="G1388" s="1352" t="s">
        <v>246</v>
      </c>
    </row>
    <row r="1389" spans="1:9" x14ac:dyDescent="0.2">
      <c r="A1389" s="589"/>
      <c r="B1389" s="589"/>
      <c r="C1389" s="606" t="s">
        <v>121</v>
      </c>
      <c r="D1389" s="1361" t="s">
        <v>4261</v>
      </c>
      <c r="G1389" s="1352" t="s">
        <v>246</v>
      </c>
    </row>
    <row r="1390" spans="1:9" x14ac:dyDescent="0.2">
      <c r="A1390" s="589"/>
      <c r="B1390" s="606"/>
      <c r="C1390" s="606" t="s">
        <v>122</v>
      </c>
      <c r="D1390" s="1361" t="s">
        <v>4262</v>
      </c>
      <c r="G1390" s="1352" t="s">
        <v>246</v>
      </c>
    </row>
    <row r="1391" spans="1:9" x14ac:dyDescent="0.2">
      <c r="A1391" s="589"/>
      <c r="B1391" s="589" t="s">
        <v>255</v>
      </c>
      <c r="C1391" s="589"/>
      <c r="D1391" s="1634" t="s">
        <v>4268</v>
      </c>
      <c r="E1391" s="1352">
        <f ca="1">'Verification Report'!O1391</f>
        <v>0</v>
      </c>
      <c r="F1391" s="1341" t="str">
        <f>IF(LEN('Verification Report'!W1391)=0,"",'Verification Report'!W1391)</f>
        <v/>
      </c>
      <c r="G1391" s="1352" t="s">
        <v>246</v>
      </c>
    </row>
    <row r="1392" spans="1:9" x14ac:dyDescent="0.2">
      <c r="A1392" s="589"/>
      <c r="B1392" s="589"/>
      <c r="C1392" s="589"/>
      <c r="D1392" s="1634"/>
      <c r="G1392" s="1352" t="s">
        <v>246</v>
      </c>
    </row>
    <row r="1393" spans="1:7" x14ac:dyDescent="0.2">
      <c r="A1393" s="589"/>
      <c r="B1393" s="589"/>
      <c r="C1393" s="589"/>
      <c r="D1393" s="1634"/>
      <c r="G1393" s="1352" t="s">
        <v>246</v>
      </c>
    </row>
    <row r="1394" spans="1:7" x14ac:dyDescent="0.2">
      <c r="A1394" s="589"/>
      <c r="B1394" s="589"/>
      <c r="C1394" s="589" t="s">
        <v>121</v>
      </c>
      <c r="D1394" s="1359" t="s">
        <v>4269</v>
      </c>
      <c r="G1394" s="1352" t="s">
        <v>246</v>
      </c>
    </row>
    <row r="1395" spans="1:7" x14ac:dyDescent="0.2">
      <c r="A1395" s="606"/>
      <c r="B1395" s="606"/>
      <c r="C1395" s="606" t="s">
        <v>122</v>
      </c>
      <c r="D1395" s="1361" t="s">
        <v>4270</v>
      </c>
      <c r="G1395" s="1352" t="s">
        <v>246</v>
      </c>
    </row>
    <row r="1396" spans="1:7" x14ac:dyDescent="0.2">
      <c r="A1396" s="589" t="s">
        <v>4271</v>
      </c>
      <c r="B1396" s="589"/>
      <c r="C1396" s="589"/>
      <c r="D1396" s="1687" t="s">
        <v>4272</v>
      </c>
      <c r="E1396" s="1352">
        <f ca="1">'Verification Report'!O1396</f>
        <v>0</v>
      </c>
      <c r="F1396" s="1341" t="str">
        <f>IF(LEN('Verification Report'!W1396)=0,"",'Verification Report'!W1396)</f>
        <v/>
      </c>
      <c r="G1396" s="1352" t="s">
        <v>246</v>
      </c>
    </row>
    <row r="1397" spans="1:7" x14ac:dyDescent="0.2">
      <c r="A1397" s="589"/>
      <c r="B1397" s="589"/>
      <c r="C1397" s="589"/>
      <c r="D1397" s="1687"/>
      <c r="G1397" s="1352" t="s">
        <v>246</v>
      </c>
    </row>
    <row r="1398" spans="1:7" x14ac:dyDescent="0.2">
      <c r="A1398" s="589"/>
      <c r="B1398" s="589"/>
      <c r="C1398" s="589"/>
      <c r="D1398" s="1687"/>
      <c r="G1398" s="1352" t="s">
        <v>246</v>
      </c>
    </row>
    <row r="1399" spans="1:7" x14ac:dyDescent="0.2">
      <c r="A1399" s="589"/>
      <c r="B1399" s="606" t="s">
        <v>254</v>
      </c>
      <c r="C1399" s="606"/>
      <c r="D1399" s="1361" t="s">
        <v>4269</v>
      </c>
      <c r="G1399" s="1352" t="s">
        <v>246</v>
      </c>
    </row>
    <row r="1400" spans="1:7" x14ac:dyDescent="0.2">
      <c r="A1400" s="606"/>
      <c r="B1400" s="606" t="s">
        <v>255</v>
      </c>
      <c r="C1400" s="606"/>
      <c r="D1400" s="1361" t="s">
        <v>4273</v>
      </c>
      <c r="G1400" s="1352" t="s">
        <v>246</v>
      </c>
    </row>
    <row r="1401" spans="1:7" x14ac:dyDescent="0.2">
      <c r="A1401" s="608" t="s">
        <v>4274</v>
      </c>
      <c r="B1401" s="608"/>
      <c r="C1401" s="608"/>
      <c r="D1401" s="1686" t="s">
        <v>4275</v>
      </c>
      <c r="E1401" s="1352">
        <f ca="1">'Verification Report'!O1401</f>
        <v>0</v>
      </c>
      <c r="F1401" s="1341" t="str">
        <f>IF(LEN('Verification Report'!W1401)=0,"",'Verification Report'!W1401)</f>
        <v/>
      </c>
      <c r="G1401" s="1352" t="s">
        <v>246</v>
      </c>
    </row>
    <row r="1402" spans="1:7" x14ac:dyDescent="0.2">
      <c r="A1402" s="590"/>
      <c r="B1402" s="590"/>
      <c r="C1402" s="590"/>
      <c r="D1402" s="1687"/>
      <c r="G1402" s="1352" t="s">
        <v>246</v>
      </c>
    </row>
    <row r="1403" spans="1:7" x14ac:dyDescent="0.2">
      <c r="A1403" s="606"/>
      <c r="B1403" s="606"/>
      <c r="C1403" s="606"/>
      <c r="D1403" s="1688"/>
      <c r="G1403" s="1352" t="s">
        <v>246</v>
      </c>
    </row>
    <row r="1404" spans="1:7" x14ac:dyDescent="0.2">
      <c r="A1404" s="608" t="s">
        <v>4276</v>
      </c>
      <c r="B1404" s="608"/>
      <c r="C1404" s="608"/>
      <c r="D1404" s="1686" t="s">
        <v>4277</v>
      </c>
      <c r="E1404" s="1352">
        <f ca="1">'Verification Report'!O1404</f>
        <v>0</v>
      </c>
      <c r="F1404" s="1341" t="str">
        <f>IF(LEN('Verification Report'!W1404)=0,"",'Verification Report'!W1404)</f>
        <v/>
      </c>
      <c r="G1404" s="1352" t="s">
        <v>246</v>
      </c>
    </row>
    <row r="1405" spans="1:7" x14ac:dyDescent="0.2">
      <c r="A1405" s="606"/>
      <c r="B1405" s="606"/>
      <c r="C1405" s="606"/>
      <c r="D1405" s="1688"/>
      <c r="G1405" s="1352" t="s">
        <v>246</v>
      </c>
    </row>
    <row r="1406" spans="1:7" x14ac:dyDescent="0.2">
      <c r="A1406" s="590" t="s">
        <v>4278</v>
      </c>
      <c r="B1406" s="590"/>
      <c r="C1406" s="590"/>
      <c r="D1406" s="1687" t="s">
        <v>4279</v>
      </c>
      <c r="E1406" s="1352">
        <f>'Verification Report'!O1406</f>
        <v>0</v>
      </c>
      <c r="G1406" s="1352" t="s">
        <v>246</v>
      </c>
    </row>
    <row r="1407" spans="1:7" x14ac:dyDescent="0.2">
      <c r="A1407" s="590"/>
      <c r="B1407" s="590"/>
      <c r="C1407" s="590"/>
      <c r="D1407" s="1687"/>
      <c r="F1407" s="1341" t="str">
        <f>IF(LEN('Verification Report'!W1407)=0,"",'Verification Report'!W1407)</f>
        <v/>
      </c>
      <c r="G1407" s="1352" t="s">
        <v>246</v>
      </c>
    </row>
    <row r="1408" spans="1:7" ht="16" thickBot="1" x14ac:dyDescent="0.25">
      <c r="A1408" s="594"/>
      <c r="B1408" s="594"/>
      <c r="C1408" s="594"/>
      <c r="D1408" s="1738"/>
      <c r="F1408" s="1350"/>
      <c r="G1408" s="1352" t="s">
        <v>246</v>
      </c>
    </row>
    <row r="1409" spans="1:7" ht="17" thickTop="1" thickBot="1" x14ac:dyDescent="0.25">
      <c r="A1409" s="605" t="s">
        <v>4280</v>
      </c>
      <c r="B1409" s="605"/>
      <c r="C1409" s="605"/>
      <c r="D1409" s="1101" t="s">
        <v>4281</v>
      </c>
      <c r="E1409" s="1352">
        <f ca="1">'Verification Report'!O1409</f>
        <v>0</v>
      </c>
      <c r="F1409" s="1341" t="str">
        <f>IF(LEN('Verification Report'!W1409)=0,"",'Verification Report'!W1409)</f>
        <v/>
      </c>
      <c r="G1409" s="1352" t="s">
        <v>246</v>
      </c>
    </row>
    <row r="1410" spans="1:7" ht="16" thickTop="1" x14ac:dyDescent="0.2">
      <c r="A1410" s="603" t="s">
        <v>4282</v>
      </c>
      <c r="B1410" s="603"/>
      <c r="C1410" s="603"/>
      <c r="D1410" s="1740" t="s">
        <v>4283</v>
      </c>
      <c r="E1410" s="1352">
        <f ca="1">'Verification Report'!O1410</f>
        <v>0</v>
      </c>
      <c r="F1410" s="1341" t="str">
        <f>IF(LEN('Verification Report'!W1410)=0,"",'Verification Report'!W1410)</f>
        <v/>
      </c>
      <c r="G1410" s="1352" t="s">
        <v>246</v>
      </c>
    </row>
    <row r="1411" spans="1:7" x14ac:dyDescent="0.2">
      <c r="A1411" s="590"/>
      <c r="B1411" s="590"/>
      <c r="C1411" s="590"/>
      <c r="D1411" s="1687"/>
      <c r="G1411" s="1352" t="s">
        <v>246</v>
      </c>
    </row>
    <row r="1412" spans="1:7" ht="16" thickBot="1" x14ac:dyDescent="0.25">
      <c r="A1412" s="594"/>
      <c r="B1412" s="594"/>
      <c r="C1412" s="594"/>
      <c r="D1412" s="1738"/>
      <c r="G1412" s="1352" t="s">
        <v>246</v>
      </c>
    </row>
    <row r="1413" spans="1:7" ht="16" thickTop="1" x14ac:dyDescent="0.2">
      <c r="A1413" s="589" t="s">
        <v>4284</v>
      </c>
      <c r="B1413" s="589"/>
      <c r="C1413" s="589"/>
      <c r="D1413" s="1370" t="s">
        <v>4285</v>
      </c>
      <c r="G1413" s="1352" t="s">
        <v>246</v>
      </c>
    </row>
    <row r="1414" spans="1:7" x14ac:dyDescent="0.2">
      <c r="A1414" s="589" t="s">
        <v>4286</v>
      </c>
      <c r="B1414" s="589"/>
      <c r="C1414" s="589"/>
      <c r="D1414" s="1370" t="s">
        <v>4287</v>
      </c>
      <c r="G1414" s="1352" t="s">
        <v>246</v>
      </c>
    </row>
    <row r="1415" spans="1:7" x14ac:dyDescent="0.2">
      <c r="A1415" s="589"/>
      <c r="B1415" s="590" t="s">
        <v>254</v>
      </c>
      <c r="C1415" s="590"/>
      <c r="D1415" s="1634" t="s">
        <v>4288</v>
      </c>
      <c r="E1415" s="1352">
        <f ca="1">'Verification Report'!O1415</f>
        <v>0</v>
      </c>
      <c r="F1415" s="1341" t="str">
        <f>IF(LEN('Verification Report'!W1415)=0,"",'Verification Report'!W1415)</f>
        <v/>
      </c>
      <c r="G1415" s="1352" t="s">
        <v>246</v>
      </c>
    </row>
    <row r="1416" spans="1:7" x14ac:dyDescent="0.2">
      <c r="A1416" s="589"/>
      <c r="B1416" s="590"/>
      <c r="C1416" s="590"/>
      <c r="D1416" s="1634"/>
      <c r="G1416" s="1352" t="s">
        <v>246</v>
      </c>
    </row>
    <row r="1417" spans="1:7" x14ac:dyDescent="0.2">
      <c r="A1417" s="589"/>
      <c r="B1417" s="606"/>
      <c r="C1417" s="606"/>
      <c r="D1417" s="1639"/>
      <c r="G1417" s="1352" t="s">
        <v>246</v>
      </c>
    </row>
    <row r="1418" spans="1:7" x14ac:dyDescent="0.2">
      <c r="A1418" s="590"/>
      <c r="B1418" s="590" t="s">
        <v>255</v>
      </c>
      <c r="C1418" s="590"/>
      <c r="D1418" s="1634" t="s">
        <v>4289</v>
      </c>
      <c r="E1418" s="1352">
        <f ca="1">'Verification Report'!O1418</f>
        <v>0</v>
      </c>
      <c r="F1418" s="1341" t="str">
        <f>IF(LEN('Verification Report'!W1418)=0,"",'Verification Report'!W1418)</f>
        <v/>
      </c>
      <c r="G1418" s="1352" t="s">
        <v>246</v>
      </c>
    </row>
    <row r="1419" spans="1:7" x14ac:dyDescent="0.2">
      <c r="A1419" s="606"/>
      <c r="B1419" s="606"/>
      <c r="C1419" s="606"/>
      <c r="D1419" s="1639"/>
      <c r="G1419" s="1352" t="s">
        <v>246</v>
      </c>
    </row>
    <row r="1420" spans="1:7" x14ac:dyDescent="0.2">
      <c r="A1420" s="589" t="s">
        <v>4290</v>
      </c>
      <c r="B1420" s="589"/>
      <c r="C1420" s="589"/>
      <c r="D1420" s="1687" t="s">
        <v>4291</v>
      </c>
      <c r="E1420" s="1352">
        <f ca="1">'Verification Report'!O1420</f>
        <v>0</v>
      </c>
      <c r="F1420" s="1341" t="str">
        <f>IF(LEN('Verification Report'!W1420)=0,"",'Verification Report'!W1420)</f>
        <v/>
      </c>
      <c r="G1420" s="1352" t="s">
        <v>246</v>
      </c>
    </row>
    <row r="1421" spans="1:7" x14ac:dyDescent="0.2">
      <c r="A1421" s="589"/>
      <c r="B1421" s="589"/>
      <c r="C1421" s="589"/>
      <c r="D1421" s="1687"/>
      <c r="G1421" s="1352" t="s">
        <v>246</v>
      </c>
    </row>
    <row r="1422" spans="1:7" x14ac:dyDescent="0.2">
      <c r="A1422" s="589"/>
      <c r="B1422" s="606" t="s">
        <v>254</v>
      </c>
      <c r="C1422" s="606"/>
      <c r="D1422" s="1361" t="s">
        <v>4292</v>
      </c>
      <c r="G1422" s="1352" t="s">
        <v>246</v>
      </c>
    </row>
    <row r="1423" spans="1:7" x14ac:dyDescent="0.2">
      <c r="A1423" s="589"/>
      <c r="B1423" s="607" t="s">
        <v>255</v>
      </c>
      <c r="C1423" s="607"/>
      <c r="D1423" s="1075" t="s">
        <v>4293</v>
      </c>
      <c r="G1423" s="1352" t="s">
        <v>246</v>
      </c>
    </row>
    <row r="1424" spans="1:7" x14ac:dyDescent="0.2">
      <c r="A1424" s="589"/>
      <c r="B1424" s="607" t="s">
        <v>256</v>
      </c>
      <c r="C1424" s="607"/>
      <c r="D1424" s="1075" t="s">
        <v>4294</v>
      </c>
      <c r="G1424" s="1352" t="s">
        <v>246</v>
      </c>
    </row>
    <row r="1425" spans="1:7" x14ac:dyDescent="0.2">
      <c r="A1425" s="589"/>
      <c r="B1425" s="607" t="s">
        <v>259</v>
      </c>
      <c r="C1425" s="607"/>
      <c r="D1425" s="1075" t="s">
        <v>4295</v>
      </c>
      <c r="G1425" s="1352" t="s">
        <v>246</v>
      </c>
    </row>
    <row r="1426" spans="1:7" x14ac:dyDescent="0.2">
      <c r="A1426" s="589"/>
      <c r="B1426" s="607" t="s">
        <v>263</v>
      </c>
      <c r="C1426" s="607"/>
      <c r="D1426" s="1075" t="s">
        <v>4296</v>
      </c>
      <c r="G1426" s="1352" t="s">
        <v>246</v>
      </c>
    </row>
    <row r="1427" spans="1:7" x14ac:dyDescent="0.2">
      <c r="A1427" s="606"/>
      <c r="B1427" s="606" t="s">
        <v>264</v>
      </c>
      <c r="C1427" s="606"/>
      <c r="D1427" s="1361" t="s">
        <v>4297</v>
      </c>
      <c r="G1427" s="1352" t="s">
        <v>246</v>
      </c>
    </row>
    <row r="1428" spans="1:7" x14ac:dyDescent="0.2">
      <c r="A1428" s="589" t="s">
        <v>4502</v>
      </c>
      <c r="B1428" s="589"/>
      <c r="C1428" s="589"/>
      <c r="D1428" s="1370" t="s">
        <v>4298</v>
      </c>
      <c r="G1428" s="1352" t="s">
        <v>246</v>
      </c>
    </row>
    <row r="1429" spans="1:7" x14ac:dyDescent="0.2">
      <c r="A1429" s="589"/>
      <c r="B1429" s="590" t="s">
        <v>254</v>
      </c>
      <c r="C1429" s="590"/>
      <c r="D1429" s="1634" t="s">
        <v>4299</v>
      </c>
      <c r="E1429" s="1352">
        <f ca="1">'Verification Report'!O1429</f>
        <v>0</v>
      </c>
      <c r="F1429" s="1341" t="str">
        <f>IF(LEN('Verification Report'!W1429)=0,"",'Verification Report'!W1429)</f>
        <v/>
      </c>
      <c r="G1429" s="1352" t="s">
        <v>246</v>
      </c>
    </row>
    <row r="1430" spans="1:7" x14ac:dyDescent="0.2">
      <c r="A1430" s="589"/>
      <c r="B1430" s="606"/>
      <c r="C1430" s="606"/>
      <c r="D1430" s="1639"/>
      <c r="G1430" s="1352" t="s">
        <v>246</v>
      </c>
    </row>
    <row r="1431" spans="1:7" ht="16" thickBot="1" x14ac:dyDescent="0.25">
      <c r="A1431" s="594"/>
      <c r="B1431" s="594" t="s">
        <v>255</v>
      </c>
      <c r="C1431" s="594"/>
      <c r="D1431" s="1360" t="s">
        <v>4300</v>
      </c>
      <c r="E1431" s="1352">
        <f ca="1">'Verification Report'!O1431</f>
        <v>0</v>
      </c>
      <c r="F1431" s="1341" t="str">
        <f>IF(LEN('Verification Report'!W1431)=0,"",'Verification Report'!W1431)</f>
        <v/>
      </c>
      <c r="G1431" s="1352" t="s">
        <v>246</v>
      </c>
    </row>
    <row r="1432" spans="1:7" ht="16" thickTop="1" x14ac:dyDescent="0.2">
      <c r="A1432" s="589" t="s">
        <v>4301</v>
      </c>
      <c r="B1432" s="589"/>
      <c r="C1432" s="589"/>
      <c r="D1432" s="1370" t="s">
        <v>4302</v>
      </c>
      <c r="G1432" s="1352" t="s">
        <v>246</v>
      </c>
    </row>
    <row r="1433" spans="1:7" x14ac:dyDescent="0.2">
      <c r="A1433" s="589" t="s">
        <v>4303</v>
      </c>
      <c r="B1433" s="589"/>
      <c r="C1433" s="589"/>
      <c r="D1433" s="1687" t="s">
        <v>4304</v>
      </c>
      <c r="E1433" s="1352">
        <f ca="1">'Verification Report'!O1433</f>
        <v>0</v>
      </c>
      <c r="F1433" s="1751"/>
      <c r="G1433" s="1352" t="s">
        <v>246</v>
      </c>
    </row>
    <row r="1434" spans="1:7" x14ac:dyDescent="0.2">
      <c r="A1434" s="589"/>
      <c r="B1434" s="589"/>
      <c r="C1434" s="589"/>
      <c r="D1434" s="1687"/>
      <c r="F1434" s="1751"/>
      <c r="G1434" s="1352" t="s">
        <v>246</v>
      </c>
    </row>
    <row r="1435" spans="1:7" x14ac:dyDescent="0.2">
      <c r="A1435" s="589"/>
      <c r="B1435" s="589"/>
      <c r="C1435" s="589"/>
      <c r="D1435" s="1687"/>
      <c r="F1435" s="1751"/>
      <c r="G1435" s="1352" t="s">
        <v>246</v>
      </c>
    </row>
    <row r="1436" spans="1:7" x14ac:dyDescent="0.2">
      <c r="A1436" s="589"/>
      <c r="B1436" s="589"/>
      <c r="C1436" s="589"/>
      <c r="D1436" s="1687"/>
      <c r="F1436" s="1751"/>
      <c r="G1436" s="1352" t="s">
        <v>246</v>
      </c>
    </row>
    <row r="1437" spans="1:7" x14ac:dyDescent="0.2">
      <c r="A1437" s="589"/>
      <c r="B1437" s="589"/>
      <c r="C1437" s="589"/>
      <c r="D1437" s="1687"/>
      <c r="F1437" s="1751"/>
      <c r="G1437" s="1352" t="s">
        <v>246</v>
      </c>
    </row>
    <row r="1438" spans="1:7" x14ac:dyDescent="0.2">
      <c r="A1438" s="589"/>
      <c r="B1438" s="589"/>
      <c r="C1438" s="589"/>
      <c r="D1438" s="1687"/>
      <c r="F1438" s="1751"/>
      <c r="G1438" s="1352" t="s">
        <v>246</v>
      </c>
    </row>
    <row r="1439" spans="1:7" x14ac:dyDescent="0.2">
      <c r="A1439" s="589"/>
      <c r="B1439" s="589" t="s">
        <v>254</v>
      </c>
      <c r="C1439" s="589"/>
      <c r="D1439" s="1359" t="s">
        <v>4305</v>
      </c>
      <c r="G1439" s="1352" t="s">
        <v>246</v>
      </c>
    </row>
    <row r="1440" spans="1:7" x14ac:dyDescent="0.2">
      <c r="A1440" s="589"/>
      <c r="B1440" s="589" t="s">
        <v>255</v>
      </c>
      <c r="C1440" s="589"/>
      <c r="D1440" s="1359" t="s">
        <v>4306</v>
      </c>
      <c r="G1440" s="1352" t="s">
        <v>246</v>
      </c>
    </row>
    <row r="1441" spans="1:7" x14ac:dyDescent="0.2">
      <c r="A1441" s="589"/>
      <c r="B1441" s="589" t="s">
        <v>256</v>
      </c>
      <c r="C1441" s="589"/>
      <c r="D1441" s="1359" t="s">
        <v>4307</v>
      </c>
      <c r="G1441" s="1352" t="s">
        <v>246</v>
      </c>
    </row>
    <row r="1442" spans="1:7" x14ac:dyDescent="0.2">
      <c r="A1442" s="590"/>
      <c r="B1442" s="590" t="s">
        <v>259</v>
      </c>
      <c r="C1442" s="590"/>
      <c r="D1442" s="1634" t="s">
        <v>4308</v>
      </c>
      <c r="G1442" s="1352" t="s">
        <v>246</v>
      </c>
    </row>
    <row r="1443" spans="1:7" x14ac:dyDescent="0.2">
      <c r="A1443" s="606"/>
      <c r="B1443" s="606"/>
      <c r="C1443" s="606"/>
      <c r="D1443" s="1639"/>
      <c r="G1443" s="1352" t="s">
        <v>246</v>
      </c>
    </row>
    <row r="1444" spans="1:7" x14ac:dyDescent="0.2">
      <c r="A1444" s="589" t="s">
        <v>4309</v>
      </c>
      <c r="B1444" s="589"/>
      <c r="C1444" s="589"/>
      <c r="D1444" s="1370" t="s">
        <v>4310</v>
      </c>
      <c r="G1444" s="1352" t="s">
        <v>246</v>
      </c>
    </row>
    <row r="1445" spans="1:7" x14ac:dyDescent="0.2">
      <c r="A1445" s="589" t="s">
        <v>4311</v>
      </c>
      <c r="B1445" s="589"/>
      <c r="C1445" s="589"/>
      <c r="D1445" s="1687" t="s">
        <v>4312</v>
      </c>
      <c r="G1445" s="1352" t="s">
        <v>246</v>
      </c>
    </row>
    <row r="1446" spans="1:7" x14ac:dyDescent="0.2">
      <c r="A1446" s="589"/>
      <c r="B1446" s="589"/>
      <c r="C1446" s="589"/>
      <c r="D1446" s="1687"/>
      <c r="G1446" s="1352" t="s">
        <v>246</v>
      </c>
    </row>
    <row r="1447" spans="1:7" x14ac:dyDescent="0.2">
      <c r="A1447" s="589"/>
      <c r="B1447" s="589"/>
      <c r="C1447" s="589"/>
      <c r="D1447" s="1687"/>
      <c r="G1447" s="1352" t="s">
        <v>246</v>
      </c>
    </row>
    <row r="1448" spans="1:7" x14ac:dyDescent="0.2">
      <c r="A1448" s="589"/>
      <c r="B1448" s="589"/>
      <c r="C1448" s="589"/>
      <c r="D1448" s="1687"/>
      <c r="G1448" s="1352" t="s">
        <v>246</v>
      </c>
    </row>
    <row r="1449" spans="1:7" x14ac:dyDescent="0.2">
      <c r="A1449" s="589"/>
      <c r="B1449" s="589"/>
      <c r="C1449" s="589"/>
      <c r="D1449" s="1687"/>
      <c r="G1449" s="1352" t="s">
        <v>246</v>
      </c>
    </row>
    <row r="1450" spans="1:7" x14ac:dyDescent="0.2">
      <c r="A1450" s="589"/>
      <c r="B1450" s="590" t="s">
        <v>254</v>
      </c>
      <c r="C1450" s="590"/>
      <c r="D1450" s="1359" t="s">
        <v>4313</v>
      </c>
      <c r="E1450" s="1352">
        <f>'Verification Report'!O1450</f>
        <v>0</v>
      </c>
      <c r="F1450" s="1341" t="str">
        <f>IF(LEN('Verification Report'!W1450)=0,"",'Verification Report'!W1450)</f>
        <v/>
      </c>
      <c r="G1450" s="1352" t="s">
        <v>246</v>
      </c>
    </row>
    <row r="1451" spans="1:7" x14ac:dyDescent="0.2">
      <c r="A1451" s="589"/>
      <c r="B1451" s="590"/>
      <c r="C1451" s="590"/>
      <c r="D1451" s="1359"/>
      <c r="G1451" s="1352" t="s">
        <v>246</v>
      </c>
    </row>
    <row r="1452" spans="1:7" x14ac:dyDescent="0.2">
      <c r="A1452" s="589"/>
      <c r="B1452" s="606"/>
      <c r="C1452" s="606"/>
      <c r="D1452" s="1361"/>
      <c r="F1452" s="1341" t="str">
        <f>IF(LEN('Verification Report'!W1452)=0,"",'Verification Report'!W1452)</f>
        <v/>
      </c>
      <c r="G1452" s="1352" t="s">
        <v>246</v>
      </c>
    </row>
    <row r="1453" spans="1:7" x14ac:dyDescent="0.2">
      <c r="A1453" s="589"/>
      <c r="B1453" s="589" t="s">
        <v>255</v>
      </c>
      <c r="C1453" s="589"/>
      <c r="D1453" s="1359" t="s">
        <v>4314</v>
      </c>
      <c r="E1453" s="1352">
        <f ca="1">'Verification Report'!O1453</f>
        <v>0</v>
      </c>
      <c r="F1453" s="1341" t="str">
        <f>IF(LEN('Verification Report'!W1453)=0,"",'Verification Report'!W1453)</f>
        <v/>
      </c>
      <c r="G1453" s="1352" t="s">
        <v>246</v>
      </c>
    </row>
    <row r="1454" spans="1:7" x14ac:dyDescent="0.2">
      <c r="A1454" s="590"/>
      <c r="B1454" s="590"/>
      <c r="C1454" s="590"/>
      <c r="D1454" s="1730" t="s">
        <v>4848</v>
      </c>
      <c r="G1454" s="1352" t="s">
        <v>246</v>
      </c>
    </row>
    <row r="1455" spans="1:7" x14ac:dyDescent="0.2">
      <c r="A1455" s="606"/>
      <c r="B1455" s="606"/>
      <c r="C1455" s="606"/>
      <c r="D1455" s="1731"/>
      <c r="G1455" s="1352" t="s">
        <v>246</v>
      </c>
    </row>
    <row r="1456" spans="1:7" x14ac:dyDescent="0.2">
      <c r="A1456" s="589" t="s">
        <v>4315</v>
      </c>
      <c r="B1456" s="589"/>
      <c r="C1456" s="589"/>
      <c r="D1456" s="1687" t="s">
        <v>4316</v>
      </c>
      <c r="G1456" s="1352" t="s">
        <v>246</v>
      </c>
    </row>
    <row r="1457" spans="1:7" x14ac:dyDescent="0.2">
      <c r="A1457" s="589"/>
      <c r="B1457" s="589"/>
      <c r="C1457" s="589"/>
      <c r="D1457" s="1687"/>
      <c r="G1457" s="1352" t="s">
        <v>246</v>
      </c>
    </row>
    <row r="1458" spans="1:7" x14ac:dyDescent="0.2">
      <c r="A1458" s="589"/>
      <c r="B1458" s="589"/>
      <c r="C1458" s="589"/>
      <c r="D1458" s="1687"/>
      <c r="G1458" s="1352" t="s">
        <v>246</v>
      </c>
    </row>
    <row r="1459" spans="1:7" x14ac:dyDescent="0.2">
      <c r="A1459" s="589"/>
      <c r="B1459" s="590" t="s">
        <v>254</v>
      </c>
      <c r="C1459" s="590"/>
      <c r="D1459" s="1634" t="s">
        <v>4317</v>
      </c>
      <c r="E1459" s="1352">
        <f ca="1">'Verification Report'!O1459</f>
        <v>0</v>
      </c>
      <c r="F1459" s="1341" t="str">
        <f>IF(LEN('Verification Report'!W1459)=0,"",'Verification Report'!W1459)</f>
        <v/>
      </c>
      <c r="G1459" s="1352" t="s">
        <v>246</v>
      </c>
    </row>
    <row r="1460" spans="1:7" x14ac:dyDescent="0.2">
      <c r="A1460" s="589"/>
      <c r="B1460" s="606"/>
      <c r="C1460" s="606"/>
      <c r="D1460" s="1639"/>
      <c r="G1460" s="1352" t="s">
        <v>246</v>
      </c>
    </row>
    <row r="1461" spans="1:7" x14ac:dyDescent="0.2">
      <c r="A1461" s="589"/>
      <c r="B1461" s="589" t="s">
        <v>255</v>
      </c>
      <c r="C1461" s="589"/>
      <c r="D1461" s="1359" t="s">
        <v>4318</v>
      </c>
      <c r="E1461" s="1352">
        <f ca="1">'Verification Report'!O1461</f>
        <v>0</v>
      </c>
      <c r="F1461" s="1341" t="str">
        <f>IF(LEN('Verification Report'!W1461)=0,"",'Verification Report'!W1461)</f>
        <v/>
      </c>
      <c r="G1461" s="1352" t="s">
        <v>246</v>
      </c>
    </row>
    <row r="1462" spans="1:7" x14ac:dyDescent="0.2">
      <c r="A1462" s="1391"/>
      <c r="B1462" s="1391"/>
      <c r="C1462" s="1391"/>
      <c r="D1462" s="1730" t="s">
        <v>4849</v>
      </c>
      <c r="G1462" s="1352" t="s">
        <v>246</v>
      </c>
    </row>
    <row r="1463" spans="1:7" x14ac:dyDescent="0.2">
      <c r="A1463" s="173"/>
      <c r="B1463" s="173"/>
      <c r="C1463" s="173"/>
      <c r="D1463" s="1731"/>
      <c r="G1463" s="1352" t="s">
        <v>246</v>
      </c>
    </row>
    <row r="1464" spans="1:7" x14ac:dyDescent="0.2">
      <c r="A1464" s="589" t="s">
        <v>4319</v>
      </c>
      <c r="B1464" s="589"/>
      <c r="C1464" s="589"/>
      <c r="D1464" s="1687" t="s">
        <v>4320</v>
      </c>
      <c r="E1464" s="1352">
        <f ca="1">'Verification Report'!O1464</f>
        <v>0</v>
      </c>
      <c r="F1464" s="1341" t="str">
        <f>IF(LEN('Verification Report'!W1464)=0,"",'Verification Report'!W1464)</f>
        <v/>
      </c>
      <c r="G1464" s="1352" t="s">
        <v>246</v>
      </c>
    </row>
    <row r="1465" spans="1:7" x14ac:dyDescent="0.2">
      <c r="A1465" s="589"/>
      <c r="B1465" s="589"/>
      <c r="C1465" s="589"/>
      <c r="D1465" s="1687"/>
      <c r="G1465" s="1352" t="s">
        <v>246</v>
      </c>
    </row>
    <row r="1466" spans="1:7" x14ac:dyDescent="0.2">
      <c r="A1466" s="589"/>
      <c r="B1466" s="589"/>
      <c r="C1466" s="589"/>
      <c r="D1466" s="1687"/>
      <c r="G1466" s="1352" t="s">
        <v>246</v>
      </c>
    </row>
    <row r="1467" spans="1:7" x14ac:dyDescent="0.2">
      <c r="A1467" s="589"/>
      <c r="B1467" s="606" t="s">
        <v>254</v>
      </c>
      <c r="C1467" s="606"/>
      <c r="D1467" s="1361" t="s">
        <v>4321</v>
      </c>
      <c r="G1467" s="1352" t="s">
        <v>246</v>
      </c>
    </row>
    <row r="1468" spans="1:7" x14ac:dyDescent="0.2">
      <c r="A1468" s="590"/>
      <c r="B1468" s="590" t="s">
        <v>255</v>
      </c>
      <c r="C1468" s="590"/>
      <c r="D1468" s="1634" t="s">
        <v>4322</v>
      </c>
      <c r="G1468" s="1352" t="s">
        <v>246</v>
      </c>
    </row>
    <row r="1469" spans="1:7" x14ac:dyDescent="0.2">
      <c r="A1469" s="606"/>
      <c r="B1469" s="606"/>
      <c r="C1469" s="606"/>
      <c r="D1469" s="1639"/>
      <c r="G1469" s="1352" t="s">
        <v>246</v>
      </c>
    </row>
    <row r="1470" spans="1:7" x14ac:dyDescent="0.2">
      <c r="A1470" s="589" t="s">
        <v>4323</v>
      </c>
      <c r="B1470" s="589"/>
      <c r="C1470" s="589"/>
      <c r="D1470" s="1687" t="s">
        <v>4324</v>
      </c>
      <c r="E1470" s="1352">
        <f ca="1">'Verification Report'!O1470</f>
        <v>0</v>
      </c>
      <c r="F1470" s="1341" t="str">
        <f>IF(LEN('Verification Report'!W1470)=0,"",'Verification Report'!W1470)</f>
        <v/>
      </c>
      <c r="G1470" s="1352" t="s">
        <v>246</v>
      </c>
    </row>
    <row r="1471" spans="1:7" x14ac:dyDescent="0.2">
      <c r="A1471" s="589"/>
      <c r="B1471" s="589"/>
      <c r="C1471" s="589"/>
      <c r="D1471" s="1687"/>
      <c r="G1471" s="1352" t="s">
        <v>246</v>
      </c>
    </row>
    <row r="1472" spans="1:7" x14ac:dyDescent="0.2">
      <c r="A1472" s="589"/>
      <c r="B1472" s="589"/>
      <c r="C1472" s="589"/>
      <c r="D1472" s="1687"/>
      <c r="F1472" s="1341" t="str">
        <f>IF(LEN('Verification Report'!W1472)=0,"",'Verification Report'!W1472)</f>
        <v/>
      </c>
      <c r="G1472" s="1352" t="s">
        <v>246</v>
      </c>
    </row>
    <row r="1473" spans="1:7" x14ac:dyDescent="0.2">
      <c r="A1473" s="589"/>
      <c r="B1473" s="589"/>
      <c r="C1473" s="589" t="s">
        <v>121</v>
      </c>
      <c r="D1473" s="1359" t="s">
        <v>4325</v>
      </c>
      <c r="G1473" s="1352" t="s">
        <v>246</v>
      </c>
    </row>
    <row r="1474" spans="1:7" x14ac:dyDescent="0.2">
      <c r="A1474" s="589"/>
      <c r="B1474" s="589"/>
      <c r="C1474" s="589" t="s">
        <v>122</v>
      </c>
      <c r="D1474" s="1359" t="s">
        <v>4326</v>
      </c>
      <c r="G1474" s="1352" t="s">
        <v>246</v>
      </c>
    </row>
    <row r="1475" spans="1:7" x14ac:dyDescent="0.2">
      <c r="A1475" s="589"/>
      <c r="B1475" s="589"/>
      <c r="C1475" s="589" t="s">
        <v>123</v>
      </c>
      <c r="D1475" s="1359" t="s">
        <v>4327</v>
      </c>
      <c r="G1475" s="1352" t="s">
        <v>246</v>
      </c>
    </row>
    <row r="1476" spans="1:7" x14ac:dyDescent="0.2">
      <c r="A1476" s="589"/>
      <c r="B1476" s="589"/>
      <c r="C1476" s="589" t="s">
        <v>366</v>
      </c>
      <c r="D1476" s="1359" t="s">
        <v>4328</v>
      </c>
      <c r="G1476" s="1352" t="s">
        <v>246</v>
      </c>
    </row>
    <row r="1477" spans="1:7" x14ac:dyDescent="0.2">
      <c r="A1477" s="589"/>
      <c r="B1477" s="589"/>
      <c r="C1477" s="589" t="s">
        <v>472</v>
      </c>
      <c r="D1477" s="1359" t="s">
        <v>4329</v>
      </c>
      <c r="G1477" s="1352" t="s">
        <v>246</v>
      </c>
    </row>
    <row r="1478" spans="1:7" x14ac:dyDescent="0.2">
      <c r="A1478" s="589"/>
      <c r="B1478" s="589"/>
      <c r="C1478" s="589" t="s">
        <v>510</v>
      </c>
      <c r="D1478" s="1359" t="s">
        <v>4330</v>
      </c>
      <c r="G1478" s="1352" t="s">
        <v>246</v>
      </c>
    </row>
    <row r="1479" spans="1:7" x14ac:dyDescent="0.2">
      <c r="A1479" s="590"/>
      <c r="B1479" s="590"/>
      <c r="C1479" s="590" t="s">
        <v>512</v>
      </c>
      <c r="D1479" s="1634" t="s">
        <v>4331</v>
      </c>
      <c r="G1479" s="1352" t="s">
        <v>246</v>
      </c>
    </row>
    <row r="1480" spans="1:7" x14ac:dyDescent="0.2">
      <c r="A1480" s="606"/>
      <c r="B1480" s="606"/>
      <c r="C1480" s="606"/>
      <c r="D1480" s="1639"/>
      <c r="G1480" s="1352" t="s">
        <v>246</v>
      </c>
    </row>
    <row r="1481" spans="1:7" x14ac:dyDescent="0.2">
      <c r="A1481" s="589" t="s">
        <v>4332</v>
      </c>
      <c r="B1481" s="589"/>
      <c r="C1481" s="589"/>
      <c r="D1481" s="1370" t="s">
        <v>4333</v>
      </c>
      <c r="G1481" s="1352" t="s">
        <v>246</v>
      </c>
    </row>
    <row r="1482" spans="1:7" x14ac:dyDescent="0.2">
      <c r="A1482" s="590" t="s">
        <v>4334</v>
      </c>
      <c r="B1482" s="590"/>
      <c r="C1482" s="590"/>
      <c r="D1482" s="1687" t="s">
        <v>4335</v>
      </c>
      <c r="E1482" s="1352">
        <f ca="1">'Verification Report'!O1482</f>
        <v>0</v>
      </c>
      <c r="F1482" s="1341" t="str">
        <f>IF(LEN('Verification Report'!W1482)=0,"",'Verification Report'!W1482)</f>
        <v/>
      </c>
      <c r="G1482" s="1352" t="s">
        <v>246</v>
      </c>
    </row>
    <row r="1483" spans="1:7" x14ac:dyDescent="0.2">
      <c r="A1483" s="606"/>
      <c r="B1483" s="606"/>
      <c r="C1483" s="606"/>
      <c r="D1483" s="1688"/>
      <c r="G1483" s="1352" t="s">
        <v>246</v>
      </c>
    </row>
    <row r="1484" spans="1:7" x14ac:dyDescent="0.2">
      <c r="A1484" s="590" t="s">
        <v>4336</v>
      </c>
      <c r="B1484" s="590"/>
      <c r="C1484" s="590"/>
      <c r="D1484" s="1687" t="s">
        <v>4337</v>
      </c>
      <c r="E1484" s="1352">
        <f ca="1">'Verification Report'!O1484</f>
        <v>0</v>
      </c>
      <c r="F1484" s="1341" t="str">
        <f>IF(LEN('Verification Report'!W1484)=0,"",'Verification Report'!W1484)</f>
        <v/>
      </c>
      <c r="G1484" s="1352" t="s">
        <v>246</v>
      </c>
    </row>
    <row r="1485" spans="1:7" ht="16" thickBot="1" x14ac:dyDescent="0.25">
      <c r="A1485" s="594"/>
      <c r="B1485" s="594"/>
      <c r="C1485" s="594"/>
      <c r="D1485" s="1738"/>
      <c r="G1485" s="1352" t="s">
        <v>246</v>
      </c>
    </row>
    <row r="1486" spans="1:7" ht="16" thickTop="1" x14ac:dyDescent="0.2">
      <c r="A1486" s="589" t="s">
        <v>4338</v>
      </c>
      <c r="B1486" s="589"/>
      <c r="C1486" s="589"/>
      <c r="D1486" s="1687" t="s">
        <v>4339</v>
      </c>
      <c r="E1486" s="1352">
        <f ca="1">'Verification Report'!O1486</f>
        <v>0</v>
      </c>
      <c r="F1486" s="1341" t="str">
        <f>IF(LEN('Verification Report'!W1486)=0,"",'Verification Report'!W1486)</f>
        <v/>
      </c>
      <c r="G1486" s="1352" t="s">
        <v>246</v>
      </c>
    </row>
    <row r="1487" spans="1:7" x14ac:dyDescent="0.2">
      <c r="A1487" s="589"/>
      <c r="B1487" s="589"/>
      <c r="C1487" s="589"/>
      <c r="D1487" s="1687"/>
      <c r="G1487" s="1352" t="s">
        <v>246</v>
      </c>
    </row>
    <row r="1488" spans="1:7" x14ac:dyDescent="0.2">
      <c r="A1488" s="589"/>
      <c r="B1488" s="589"/>
      <c r="C1488" s="589"/>
      <c r="D1488" s="1687"/>
      <c r="G1488" s="1352" t="s">
        <v>246</v>
      </c>
    </row>
    <row r="1489" spans="1:7" x14ac:dyDescent="0.2">
      <c r="A1489" s="589"/>
      <c r="B1489" s="589"/>
      <c r="C1489" s="589"/>
      <c r="D1489" s="1687"/>
      <c r="G1489" s="1352" t="s">
        <v>246</v>
      </c>
    </row>
    <row r="1490" spans="1:7" ht="19" x14ac:dyDescent="0.25">
      <c r="A1490" s="1004" t="s">
        <v>4340</v>
      </c>
      <c r="B1490" s="81"/>
      <c r="C1490" s="81"/>
      <c r="D1490" s="1004"/>
      <c r="E1490" s="25"/>
      <c r="F1490" s="994"/>
      <c r="G1490" s="1352" t="s">
        <v>246</v>
      </c>
    </row>
    <row r="1491" spans="1:7" x14ac:dyDescent="0.2">
      <c r="A1491" s="589" t="s">
        <v>4341</v>
      </c>
      <c r="B1491" s="589"/>
      <c r="C1491" s="589"/>
      <c r="D1491" s="1687" t="s">
        <v>4342</v>
      </c>
      <c r="E1491" s="1352">
        <f ca="1">'Verification Report'!O1491</f>
        <v>0</v>
      </c>
      <c r="G1491" s="1352" t="s">
        <v>246</v>
      </c>
    </row>
    <row r="1492" spans="1:7" x14ac:dyDescent="0.2">
      <c r="A1492" s="589"/>
      <c r="B1492" s="589"/>
      <c r="C1492" s="589"/>
      <c r="D1492" s="1687"/>
      <c r="G1492" s="1352" t="s">
        <v>246</v>
      </c>
    </row>
    <row r="1493" spans="1:7" x14ac:dyDescent="0.2">
      <c r="A1493" s="589"/>
      <c r="B1493" s="606" t="s">
        <v>254</v>
      </c>
      <c r="C1493" s="606"/>
      <c r="D1493" s="1361" t="s">
        <v>4343</v>
      </c>
      <c r="F1493" s="1341" t="str">
        <f>IF(LEN('Verification Report'!W1493)=0,"",'Verification Report'!W1493)</f>
        <v/>
      </c>
      <c r="G1493" s="1352" t="s">
        <v>246</v>
      </c>
    </row>
    <row r="1494" spans="1:7" x14ac:dyDescent="0.2">
      <c r="A1494" s="589"/>
      <c r="B1494" s="606" t="s">
        <v>255</v>
      </c>
      <c r="C1494" s="606"/>
      <c r="D1494" s="1361" t="s">
        <v>4344</v>
      </c>
      <c r="F1494" s="1341" t="str">
        <f>IF(LEN('Verification Report'!W1494)=0,"",'Verification Report'!W1494)</f>
        <v/>
      </c>
      <c r="G1494" s="1352" t="s">
        <v>246</v>
      </c>
    </row>
    <row r="1495" spans="1:7" x14ac:dyDescent="0.2">
      <c r="A1495" s="589"/>
      <c r="B1495" s="606" t="s">
        <v>256</v>
      </c>
      <c r="C1495" s="606"/>
      <c r="D1495" s="1361" t="s">
        <v>4345</v>
      </c>
      <c r="F1495" s="1341" t="str">
        <f>IF(LEN('Verification Report'!W1495)=0,"",'Verification Report'!W1495)</f>
        <v/>
      </c>
      <c r="G1495" s="1352" t="s">
        <v>246</v>
      </c>
    </row>
    <row r="1496" spans="1:7" x14ac:dyDescent="0.2">
      <c r="A1496" s="589"/>
      <c r="B1496" s="590" t="s">
        <v>259</v>
      </c>
      <c r="C1496" s="590"/>
      <c r="D1496" s="1634" t="s">
        <v>4346</v>
      </c>
      <c r="F1496" s="1341" t="str">
        <f>IF(LEN('Verification Report'!W1496)=0,"",'Verification Report'!W1496)</f>
        <v/>
      </c>
      <c r="G1496" s="1352" t="s">
        <v>246</v>
      </c>
    </row>
    <row r="1497" spans="1:7" x14ac:dyDescent="0.2">
      <c r="A1497" s="589"/>
      <c r="B1497" s="606"/>
      <c r="C1497" s="606"/>
      <c r="D1497" s="1639"/>
      <c r="G1497" s="1352" t="s">
        <v>246</v>
      </c>
    </row>
    <row r="1498" spans="1:7" ht="16" thickBot="1" x14ac:dyDescent="0.25">
      <c r="A1498" s="594"/>
      <c r="B1498" s="594" t="s">
        <v>263</v>
      </c>
      <c r="C1498" s="594"/>
      <c r="D1498" s="1360" t="s">
        <v>4347</v>
      </c>
      <c r="F1498" s="1341" t="str">
        <f>IF(LEN('Verification Report'!W1498)=0,"",'Verification Report'!W1498)</f>
        <v/>
      </c>
      <c r="G1498" s="1352" t="s">
        <v>246</v>
      </c>
    </row>
    <row r="1499" spans="1:7" ht="16" thickTop="1" x14ac:dyDescent="0.2">
      <c r="A1499" s="589" t="s">
        <v>4348</v>
      </c>
      <c r="B1499" s="589"/>
      <c r="C1499" s="589"/>
      <c r="D1499" s="1687" t="s">
        <v>4349</v>
      </c>
      <c r="G1499" s="1352" t="s">
        <v>246</v>
      </c>
    </row>
    <row r="1500" spans="1:7" x14ac:dyDescent="0.2">
      <c r="A1500" s="589"/>
      <c r="B1500" s="589"/>
      <c r="C1500" s="589"/>
      <c r="D1500" s="1687"/>
      <c r="G1500" s="1352" t="s">
        <v>246</v>
      </c>
    </row>
    <row r="1501" spans="1:7" x14ac:dyDescent="0.2">
      <c r="A1501" s="589"/>
      <c r="B1501" s="590" t="s">
        <v>254</v>
      </c>
      <c r="C1501" s="590"/>
      <c r="D1501" s="1634" t="s">
        <v>4350</v>
      </c>
      <c r="E1501" s="1352">
        <f ca="1">'Verification Report'!O1501</f>
        <v>0</v>
      </c>
      <c r="F1501" s="1341" t="str">
        <f>IF(LEN('Verification Report'!W1501)=0,"",'Verification Report'!W1501)</f>
        <v/>
      </c>
      <c r="G1501" s="1352" t="s">
        <v>246</v>
      </c>
    </row>
    <row r="1502" spans="1:7" x14ac:dyDescent="0.2">
      <c r="A1502" s="589"/>
      <c r="B1502" s="590"/>
      <c r="C1502" s="590"/>
      <c r="D1502" s="1634"/>
      <c r="G1502" s="1352" t="s">
        <v>246</v>
      </c>
    </row>
    <row r="1503" spans="1:7" x14ac:dyDescent="0.2">
      <c r="A1503" s="589"/>
      <c r="B1503" s="590"/>
      <c r="C1503" s="590"/>
      <c r="D1503" s="1634"/>
      <c r="G1503" s="1352" t="s">
        <v>246</v>
      </c>
    </row>
    <row r="1504" spans="1:7" x14ac:dyDescent="0.2">
      <c r="A1504" s="589"/>
      <c r="B1504" s="590"/>
      <c r="C1504" s="590"/>
      <c r="D1504" s="1634"/>
      <c r="G1504" s="1352" t="s">
        <v>246</v>
      </c>
    </row>
    <row r="1505" spans="1:7" x14ac:dyDescent="0.2">
      <c r="A1505" s="589"/>
      <c r="B1505" s="606"/>
      <c r="C1505" s="606"/>
      <c r="D1505" s="1639"/>
      <c r="G1505" s="1352" t="s">
        <v>246</v>
      </c>
    </row>
    <row r="1506" spans="1:7" x14ac:dyDescent="0.2">
      <c r="A1506" s="590"/>
      <c r="B1506" s="590" t="s">
        <v>255</v>
      </c>
      <c r="C1506" s="590"/>
      <c r="D1506" s="1634" t="s">
        <v>4351</v>
      </c>
      <c r="E1506" s="1352">
        <f ca="1">'Verification Report'!O1506</f>
        <v>0</v>
      </c>
      <c r="F1506" s="1341" t="str">
        <f>IF(LEN('Verification Report'!W1506)=0,"",'Verification Report'!W1506)</f>
        <v/>
      </c>
      <c r="G1506" s="1352" t="s">
        <v>246</v>
      </c>
    </row>
    <row r="1507" spans="1:7" x14ac:dyDescent="0.2">
      <c r="A1507" s="590"/>
      <c r="B1507" s="590"/>
      <c r="C1507" s="590"/>
      <c r="D1507" s="1634"/>
      <c r="G1507" s="1352" t="s">
        <v>246</v>
      </c>
    </row>
    <row r="1508" spans="1:7" x14ac:dyDescent="0.2">
      <c r="A1508" s="590"/>
      <c r="B1508" s="590"/>
      <c r="C1508" s="590"/>
      <c r="D1508" s="1634"/>
      <c r="G1508" s="1352" t="s">
        <v>246</v>
      </c>
    </row>
    <row r="1509" spans="1:7" x14ac:dyDescent="0.2">
      <c r="A1509" s="590"/>
      <c r="B1509" s="590"/>
      <c r="C1509" s="590" t="s">
        <v>121</v>
      </c>
      <c r="D1509" s="1634" t="s">
        <v>4352</v>
      </c>
      <c r="G1509" s="1352" t="s">
        <v>246</v>
      </c>
    </row>
    <row r="1510" spans="1:7" x14ac:dyDescent="0.2">
      <c r="A1510" s="590"/>
      <c r="B1510" s="590"/>
      <c r="C1510" s="606"/>
      <c r="D1510" s="1639"/>
      <c r="G1510" s="1352" t="s">
        <v>246</v>
      </c>
    </row>
    <row r="1511" spans="1:7" x14ac:dyDescent="0.2">
      <c r="A1511" s="590"/>
      <c r="B1511" s="590"/>
      <c r="C1511" s="590" t="s">
        <v>122</v>
      </c>
      <c r="D1511" s="1634" t="s">
        <v>4353</v>
      </c>
      <c r="G1511" s="1352" t="s">
        <v>246</v>
      </c>
    </row>
    <row r="1512" spans="1:7" ht="16" thickBot="1" x14ac:dyDescent="0.25">
      <c r="A1512" s="594"/>
      <c r="B1512" s="594"/>
      <c r="C1512" s="594"/>
      <c r="D1512" s="1635"/>
      <c r="G1512" s="1352" t="s">
        <v>246</v>
      </c>
    </row>
    <row r="1513" spans="1:7" ht="16" thickTop="1" x14ac:dyDescent="0.2">
      <c r="A1513" s="589" t="s">
        <v>4354</v>
      </c>
      <c r="B1513" s="589"/>
      <c r="C1513" s="589"/>
      <c r="D1513" s="1687" t="s">
        <v>4355</v>
      </c>
      <c r="E1513" s="1352">
        <f ca="1">'Verification Report'!O1513</f>
        <v>0</v>
      </c>
      <c r="G1513" s="1352" t="s">
        <v>246</v>
      </c>
    </row>
    <row r="1514" spans="1:7" x14ac:dyDescent="0.2">
      <c r="A1514" s="589"/>
      <c r="B1514" s="589"/>
      <c r="C1514" s="589"/>
      <c r="D1514" s="1687"/>
      <c r="G1514" s="1352" t="s">
        <v>246</v>
      </c>
    </row>
    <row r="1515" spans="1:7" x14ac:dyDescent="0.2">
      <c r="A1515" s="589"/>
      <c r="B1515" s="589"/>
      <c r="C1515" s="589"/>
      <c r="D1515" s="1359" t="s">
        <v>4362</v>
      </c>
      <c r="G1515" s="1352" t="s">
        <v>246</v>
      </c>
    </row>
    <row r="1516" spans="1:7" x14ac:dyDescent="0.2">
      <c r="A1516" s="589"/>
      <c r="B1516" s="589"/>
      <c r="C1516" s="589"/>
      <c r="D1516" s="1359" t="s">
        <v>4363</v>
      </c>
      <c r="G1516" s="1352" t="s">
        <v>246</v>
      </c>
    </row>
    <row r="1517" spans="1:7" x14ac:dyDescent="0.2">
      <c r="A1517" s="589"/>
      <c r="B1517" s="589" t="s">
        <v>254</v>
      </c>
      <c r="C1517" s="589"/>
      <c r="D1517" s="1359" t="s">
        <v>4204</v>
      </c>
      <c r="F1517" s="1341" t="str">
        <f>IF(LEN('Verification Report'!W1517)=0,"",'Verification Report'!W1517)</f>
        <v/>
      </c>
      <c r="G1517" s="1352" t="s">
        <v>246</v>
      </c>
    </row>
    <row r="1518" spans="1:7" x14ac:dyDescent="0.2">
      <c r="A1518" s="589"/>
      <c r="B1518" s="589" t="s">
        <v>255</v>
      </c>
      <c r="C1518" s="589"/>
      <c r="D1518" s="1359" t="s">
        <v>4356</v>
      </c>
      <c r="F1518" s="1341" t="str">
        <f>IF(LEN('Verification Report'!W1518)=0,"",'Verification Report'!W1518)</f>
        <v/>
      </c>
      <c r="G1518" s="1352" t="s">
        <v>246</v>
      </c>
    </row>
    <row r="1519" spans="1:7" x14ac:dyDescent="0.2">
      <c r="A1519" s="589"/>
      <c r="B1519" s="589" t="s">
        <v>256</v>
      </c>
      <c r="C1519" s="589"/>
      <c r="D1519" s="1359" t="s">
        <v>674</v>
      </c>
      <c r="F1519" s="1341" t="str">
        <f>IF(LEN('Verification Report'!W1519)=0,"",'Verification Report'!W1519)</f>
        <v/>
      </c>
      <c r="G1519" s="1352" t="s">
        <v>246</v>
      </c>
    </row>
    <row r="1520" spans="1:7" x14ac:dyDescent="0.2">
      <c r="A1520" s="589"/>
      <c r="B1520" s="589" t="s">
        <v>259</v>
      </c>
      <c r="C1520" s="589"/>
      <c r="D1520" s="1359" t="s">
        <v>4357</v>
      </c>
      <c r="F1520" s="1341" t="str">
        <f>IF(LEN('Verification Report'!W1520)=0,"",'Verification Report'!W1520)</f>
        <v/>
      </c>
      <c r="G1520" s="1352" t="s">
        <v>246</v>
      </c>
    </row>
    <row r="1521" spans="1:7" x14ac:dyDescent="0.2">
      <c r="A1521" s="589"/>
      <c r="B1521" s="589" t="s">
        <v>263</v>
      </c>
      <c r="C1521" s="589"/>
      <c r="D1521" s="1359" t="s">
        <v>4358</v>
      </c>
      <c r="F1521" s="1341" t="str">
        <f>IF(LEN('Verification Report'!W1521)=0,"",'Verification Report'!W1521)</f>
        <v/>
      </c>
      <c r="G1521" s="1352" t="s">
        <v>246</v>
      </c>
    </row>
    <row r="1522" spans="1:7" x14ac:dyDescent="0.2">
      <c r="A1522" s="589"/>
      <c r="B1522" s="589" t="s">
        <v>264</v>
      </c>
      <c r="C1522" s="589"/>
      <c r="D1522" s="1359" t="s">
        <v>4359</v>
      </c>
      <c r="F1522" s="1341" t="str">
        <f>IF(LEN('Verification Report'!W1522)=0,"",'Verification Report'!W1522)</f>
        <v/>
      </c>
      <c r="G1522" s="1352" t="s">
        <v>246</v>
      </c>
    </row>
    <row r="1523" spans="1:7" x14ac:dyDescent="0.2">
      <c r="A1523" s="589"/>
      <c r="B1523" s="589" t="s">
        <v>356</v>
      </c>
      <c r="C1523" s="589"/>
      <c r="D1523" s="1359" t="s">
        <v>4360</v>
      </c>
      <c r="F1523" s="1341" t="str">
        <f>IF(LEN('Verification Report'!W1523)=0,"",'Verification Report'!W1523)</f>
        <v/>
      </c>
      <c r="G1523" s="1352" t="s">
        <v>246</v>
      </c>
    </row>
    <row r="1524" spans="1:7" x14ac:dyDescent="0.2">
      <c r="A1524" s="589"/>
      <c r="B1524" s="589" t="s">
        <v>389</v>
      </c>
      <c r="C1524" s="589"/>
      <c r="D1524" s="1359" t="s">
        <v>4361</v>
      </c>
      <c r="F1524" s="1341" t="str">
        <f>IF(LEN('Verification Report'!W1524)=0,"",'Verification Report'!W1524)</f>
        <v/>
      </c>
      <c r="G1524" s="1352" t="s">
        <v>246</v>
      </c>
    </row>
    <row r="1525" spans="1:7" x14ac:dyDescent="0.2">
      <c r="A1525" s="589"/>
      <c r="B1525" s="589"/>
      <c r="C1525" s="589"/>
      <c r="D1525" s="1745" t="s">
        <v>4364</v>
      </c>
      <c r="G1525" s="1352" t="s">
        <v>246</v>
      </c>
    </row>
    <row r="1526" spans="1:7" x14ac:dyDescent="0.2">
      <c r="A1526" s="589"/>
      <c r="B1526" s="589"/>
      <c r="C1526" s="589"/>
      <c r="D1526" s="1745"/>
      <c r="G1526" s="1352" t="s">
        <v>246</v>
      </c>
    </row>
    <row r="1527" spans="1:7" x14ac:dyDescent="0.2">
      <c r="A1527" s="590"/>
      <c r="B1527" s="590"/>
      <c r="C1527" s="590"/>
      <c r="D1527" s="1745" t="s">
        <v>4851</v>
      </c>
      <c r="G1527" s="1352" t="s">
        <v>246</v>
      </c>
    </row>
    <row r="1528" spans="1:7" ht="16" thickBot="1" x14ac:dyDescent="0.25">
      <c r="A1528" s="594"/>
      <c r="B1528" s="594"/>
      <c r="C1528" s="594"/>
      <c r="D1528" s="1746"/>
      <c r="G1528" s="1352" t="s">
        <v>246</v>
      </c>
    </row>
    <row r="1529" spans="1:7" ht="16" thickTop="1" x14ac:dyDescent="0.2">
      <c r="A1529" s="589" t="s">
        <v>4365</v>
      </c>
      <c r="B1529" s="589"/>
      <c r="C1529" s="589"/>
      <c r="D1529" s="1370" t="s">
        <v>4366</v>
      </c>
      <c r="G1529" s="1352" t="s">
        <v>246</v>
      </c>
    </row>
    <row r="1530" spans="1:7" x14ac:dyDescent="0.2">
      <c r="A1530" s="589" t="s">
        <v>4367</v>
      </c>
      <c r="B1530" s="589"/>
      <c r="C1530" s="589"/>
      <c r="D1530" s="1370" t="s">
        <v>4368</v>
      </c>
      <c r="G1530" s="1352" t="s">
        <v>246</v>
      </c>
    </row>
    <row r="1531" spans="1:7" x14ac:dyDescent="0.2">
      <c r="A1531" s="589"/>
      <c r="B1531" s="590" t="s">
        <v>254</v>
      </c>
      <c r="C1531" s="590"/>
      <c r="D1531" s="1634" t="s">
        <v>4369</v>
      </c>
      <c r="E1531" s="1352">
        <f ca="1">'Verification Report'!O1531</f>
        <v>0</v>
      </c>
      <c r="F1531" s="1341" t="str">
        <f>IF(LEN('Verification Report'!W1531)=0,"",'Verification Report'!W1531)</f>
        <v/>
      </c>
      <c r="G1531" s="1352" t="s">
        <v>246</v>
      </c>
    </row>
    <row r="1532" spans="1:7" x14ac:dyDescent="0.2">
      <c r="A1532" s="589"/>
      <c r="B1532" s="606"/>
      <c r="C1532" s="606"/>
      <c r="D1532" s="1639"/>
      <c r="G1532" s="1352" t="s">
        <v>246</v>
      </c>
    </row>
    <row r="1533" spans="1:7" x14ac:dyDescent="0.2">
      <c r="A1533" s="590"/>
      <c r="B1533" s="590" t="s">
        <v>255</v>
      </c>
      <c r="C1533" s="590"/>
      <c r="D1533" s="1634" t="s">
        <v>4370</v>
      </c>
      <c r="E1533" s="1352">
        <f ca="1">'Verification Report'!O1533</f>
        <v>0</v>
      </c>
      <c r="F1533" s="1341" t="str">
        <f>IF(LEN('Verification Report'!W1533)=0,"",'Verification Report'!W1533)</f>
        <v/>
      </c>
      <c r="G1533" s="1352" t="s">
        <v>246</v>
      </c>
    </row>
    <row r="1534" spans="1:7" x14ac:dyDescent="0.2">
      <c r="A1534" s="606"/>
      <c r="B1534" s="606"/>
      <c r="C1534" s="606"/>
      <c r="D1534" s="1639"/>
      <c r="G1534" s="1352" t="s">
        <v>246</v>
      </c>
    </row>
    <row r="1535" spans="1:7" x14ac:dyDescent="0.2">
      <c r="A1535" s="590" t="s">
        <v>4371</v>
      </c>
      <c r="B1535" s="590"/>
      <c r="C1535" s="590"/>
      <c r="D1535" s="1687" t="s">
        <v>4372</v>
      </c>
      <c r="E1535" s="1352">
        <f ca="1">'Verification Report'!O1535</f>
        <v>0</v>
      </c>
      <c r="F1535" s="1341" t="str">
        <f>IF(LEN('Verification Report'!W1535)=0,"",'Verification Report'!W1535)</f>
        <v/>
      </c>
      <c r="G1535" s="1352" t="s">
        <v>246</v>
      </c>
    </row>
    <row r="1536" spans="1:7" ht="16" thickBot="1" x14ac:dyDescent="0.25">
      <c r="A1536" s="594"/>
      <c r="B1536" s="594"/>
      <c r="C1536" s="594"/>
      <c r="D1536" s="1738"/>
      <c r="G1536" s="1352" t="s">
        <v>246</v>
      </c>
    </row>
    <row r="1537" spans="1:9" ht="16" thickTop="1" x14ac:dyDescent="0.2">
      <c r="A1537" s="589" t="s">
        <v>4373</v>
      </c>
      <c r="B1537" s="589"/>
      <c r="C1537" s="589"/>
      <c r="D1537" s="1370" t="s">
        <v>4374</v>
      </c>
      <c r="G1537" s="1400" t="str">
        <f ca="1">IF(COUNTIF(G1540,"P")&gt;0,"P","NP")</f>
        <v>NP</v>
      </c>
    </row>
    <row r="1538" spans="1:9" x14ac:dyDescent="0.2">
      <c r="A1538" s="589"/>
      <c r="B1538" s="590" t="s">
        <v>254</v>
      </c>
      <c r="C1538" s="590"/>
      <c r="D1538" s="1359" t="s">
        <v>4375</v>
      </c>
      <c r="E1538" s="1352">
        <f ca="1">'Verification Report'!O1538</f>
        <v>0</v>
      </c>
      <c r="F1538" s="1341" t="str">
        <f>IF(LEN('Verification Report'!W1538)=0,"",'Verification Report'!W1538)</f>
        <v/>
      </c>
      <c r="G1538" s="1352" t="s">
        <v>246</v>
      </c>
    </row>
    <row r="1539" spans="1:9" x14ac:dyDescent="0.2">
      <c r="A1539" s="589"/>
      <c r="B1539" s="606"/>
      <c r="C1539" s="606"/>
      <c r="D1539" s="1361"/>
      <c r="G1539" s="1352" t="s">
        <v>246</v>
      </c>
    </row>
    <row r="1540" spans="1:9" x14ac:dyDescent="0.2">
      <c r="A1540" s="589"/>
      <c r="B1540" s="590" t="s">
        <v>255</v>
      </c>
      <c r="C1540" s="590"/>
      <c r="D1540" s="1359" t="s">
        <v>4376</v>
      </c>
      <c r="E1540" s="1352">
        <f ca="1">'Verification Report'!O1540</f>
        <v>0</v>
      </c>
      <c r="F1540" s="1341" t="str">
        <f>IF(LEN('Verification Report'!W1540)=0,"",'Verification Report'!W1540)</f>
        <v/>
      </c>
      <c r="G1540" s="1397" t="str">
        <f ca="1">IF(E1540&gt;0,"P","NP")</f>
        <v>NP</v>
      </c>
      <c r="H1540" s="1401" t="s">
        <v>5285</v>
      </c>
      <c r="I1540" s="1600"/>
    </row>
    <row r="1541" spans="1:9" x14ac:dyDescent="0.2">
      <c r="A1541" s="589"/>
      <c r="B1541" s="606"/>
      <c r="C1541" s="606"/>
      <c r="D1541" s="1361"/>
      <c r="F1541" s="470"/>
      <c r="G1541" s="1" t="str">
        <f ca="1">G1540</f>
        <v>NP</v>
      </c>
      <c r="I1541" s="1600"/>
    </row>
    <row r="1542" spans="1:9" x14ac:dyDescent="0.2">
      <c r="A1542" s="589"/>
      <c r="B1542" s="589" t="s">
        <v>256</v>
      </c>
      <c r="C1542" s="589"/>
      <c r="D1542" s="1634" t="s">
        <v>4377</v>
      </c>
      <c r="E1542" s="1352">
        <f ca="1">'Verification Report'!O1542</f>
        <v>0</v>
      </c>
      <c r="F1542" s="1341" t="str">
        <f>IF(LEN('Verification Report'!W1542)=0,"",'Verification Report'!W1542)</f>
        <v/>
      </c>
      <c r="G1542" s="1352" t="s">
        <v>246</v>
      </c>
    </row>
    <row r="1543" spans="1:9" x14ac:dyDescent="0.2">
      <c r="A1543" s="589"/>
      <c r="B1543" s="589"/>
      <c r="C1543" s="589"/>
      <c r="D1543" s="1634"/>
      <c r="G1543" s="1352" t="s">
        <v>246</v>
      </c>
    </row>
    <row r="1544" spans="1:9" x14ac:dyDescent="0.2">
      <c r="A1544" s="589"/>
      <c r="B1544" s="589"/>
      <c r="C1544" s="589"/>
      <c r="D1544" s="1727" t="s">
        <v>5068</v>
      </c>
      <c r="G1544" s="1352" t="s">
        <v>246</v>
      </c>
    </row>
    <row r="1545" spans="1:9" x14ac:dyDescent="0.2">
      <c r="A1545" s="589"/>
      <c r="B1545" s="589"/>
      <c r="C1545" s="589"/>
      <c r="D1545" s="1727"/>
      <c r="G1545" s="1352" t="s">
        <v>246</v>
      </c>
    </row>
    <row r="1546" spans="1:9" x14ac:dyDescent="0.2">
      <c r="A1546" s="589"/>
      <c r="B1546" s="589"/>
      <c r="C1546" s="589"/>
      <c r="D1546" s="1727"/>
      <c r="G1546" s="1352" t="s">
        <v>246</v>
      </c>
    </row>
    <row r="1547" spans="1:9" x14ac:dyDescent="0.2">
      <c r="A1547" s="589"/>
      <c r="B1547" s="589"/>
      <c r="C1547" s="589"/>
      <c r="D1547" s="1727"/>
      <c r="G1547" s="1352" t="s">
        <v>246</v>
      </c>
    </row>
    <row r="1548" spans="1:9" x14ac:dyDescent="0.2">
      <c r="A1548" s="589"/>
      <c r="B1548" s="589"/>
      <c r="C1548" s="589"/>
      <c r="D1548" s="1727"/>
      <c r="G1548" s="1352" t="s">
        <v>246</v>
      </c>
    </row>
    <row r="1549" spans="1:9" x14ac:dyDescent="0.2">
      <c r="A1549" s="589"/>
      <c r="B1549" s="589"/>
      <c r="C1549" s="589"/>
      <c r="D1549" s="1727"/>
      <c r="G1549" s="1352" t="s">
        <v>246</v>
      </c>
    </row>
    <row r="1550" spans="1:9" x14ac:dyDescent="0.2">
      <c r="A1550" s="590"/>
      <c r="B1550" s="590"/>
      <c r="C1550" s="590"/>
      <c r="D1550" s="1743" t="s">
        <v>4378</v>
      </c>
      <c r="G1550" s="1352" t="s">
        <v>246</v>
      </c>
    </row>
    <row r="1551" spans="1:9" ht="16" thickBot="1" x14ac:dyDescent="0.25">
      <c r="A1551" s="594"/>
      <c r="B1551" s="594"/>
      <c r="C1551" s="594"/>
      <c r="D1551" s="1744"/>
      <c r="G1551" s="1352" t="s">
        <v>246</v>
      </c>
    </row>
    <row r="1552" spans="1:9" ht="16" thickTop="1" x14ac:dyDescent="0.2">
      <c r="A1552" s="603" t="s">
        <v>4379</v>
      </c>
      <c r="B1552" s="603"/>
      <c r="C1552" s="603"/>
      <c r="D1552" s="1740" t="s">
        <v>4380</v>
      </c>
      <c r="E1552" s="1352">
        <f ca="1">'Verification Report'!O1552</f>
        <v>0</v>
      </c>
      <c r="F1552" s="1341" t="str">
        <f>IF(LEN('Verification Report'!W1552)=0,"",'Verification Report'!W1552)</f>
        <v/>
      </c>
      <c r="G1552" s="1397" t="str">
        <f ca="1">IF(E1552&gt;0,"P","NP")</f>
        <v>NP</v>
      </c>
      <c r="H1552" s="1401" t="s">
        <v>5264</v>
      </c>
      <c r="I1552" s="1600"/>
    </row>
    <row r="1553" spans="1:9" ht="16" thickBot="1" x14ac:dyDescent="0.25">
      <c r="A1553" s="594"/>
      <c r="B1553" s="594"/>
      <c r="C1553" s="594"/>
      <c r="D1553" s="1738"/>
      <c r="G1553" s="1" t="str">
        <f ca="1">G1552</f>
        <v>NP</v>
      </c>
      <c r="I1553" s="1600"/>
    </row>
    <row r="1554" spans="1:9" ht="16" thickTop="1" x14ac:dyDescent="0.2">
      <c r="A1554" s="589" t="s">
        <v>4381</v>
      </c>
      <c r="B1554" s="589"/>
      <c r="C1554" s="589"/>
      <c r="D1554" s="1687" t="s">
        <v>4852</v>
      </c>
      <c r="G1554" s="1352" t="s">
        <v>246</v>
      </c>
    </row>
    <row r="1555" spans="1:9" x14ac:dyDescent="0.2">
      <c r="A1555" s="589"/>
      <c r="B1555" s="589"/>
      <c r="C1555" s="589"/>
      <c r="D1555" s="1687"/>
      <c r="G1555" s="1352" t="s">
        <v>246</v>
      </c>
    </row>
    <row r="1556" spans="1:9" x14ac:dyDescent="0.2">
      <c r="A1556" s="589"/>
      <c r="B1556" s="589"/>
      <c r="C1556" s="589"/>
      <c r="D1556" s="1687"/>
      <c r="G1556" s="1352" t="s">
        <v>246</v>
      </c>
    </row>
    <row r="1557" spans="1:9" x14ac:dyDescent="0.2">
      <c r="A1557" s="589"/>
      <c r="B1557" s="589"/>
      <c r="C1557" s="589"/>
      <c r="D1557" s="1687"/>
      <c r="G1557" s="1352" t="s">
        <v>246</v>
      </c>
    </row>
    <row r="1558" spans="1:9" x14ac:dyDescent="0.2">
      <c r="A1558" s="589"/>
      <c r="B1558" s="606" t="s">
        <v>254</v>
      </c>
      <c r="C1558" s="606"/>
      <c r="D1558" s="1361" t="s">
        <v>4382</v>
      </c>
      <c r="E1558" s="1352">
        <f ca="1">'Verification Report'!O1558</f>
        <v>0</v>
      </c>
      <c r="F1558" s="1341" t="str">
        <f>IF(LEN('Verification Report'!W1558)=0,"",'Verification Report'!W1558)</f>
        <v/>
      </c>
      <c r="G1558" s="1352" t="s">
        <v>246</v>
      </c>
    </row>
    <row r="1559" spans="1:9" ht="16" thickBot="1" x14ac:dyDescent="0.25">
      <c r="A1559" s="594"/>
      <c r="B1559" s="594" t="s">
        <v>255</v>
      </c>
      <c r="C1559" s="594"/>
      <c r="D1559" s="1360" t="s">
        <v>4383</v>
      </c>
      <c r="E1559" s="1352">
        <f ca="1">'Verification Report'!O1559</f>
        <v>0</v>
      </c>
      <c r="F1559" s="1341" t="str">
        <f>IF(LEN('Verification Report'!W1559)=0,"",'Verification Report'!W1559)</f>
        <v/>
      </c>
      <c r="G1559" s="1352" t="s">
        <v>246</v>
      </c>
    </row>
    <row r="1560" spans="1:9" ht="16" thickTop="1" x14ac:dyDescent="0.2">
      <c r="A1560" s="603" t="s">
        <v>4384</v>
      </c>
      <c r="B1560" s="603"/>
      <c r="C1560" s="603"/>
      <c r="D1560" s="1740" t="s">
        <v>4385</v>
      </c>
      <c r="E1560" s="1352">
        <f ca="1">'Verification Report'!O1560</f>
        <v>0</v>
      </c>
      <c r="F1560" s="1341" t="str">
        <f>IF(LEN('Verification Report'!W1560)=0,"",'Verification Report'!W1560)</f>
        <v/>
      </c>
      <c r="G1560" s="1352" t="s">
        <v>246</v>
      </c>
    </row>
    <row r="1561" spans="1:9" x14ac:dyDescent="0.2">
      <c r="A1561" s="590"/>
      <c r="B1561" s="590"/>
      <c r="C1561" s="590"/>
      <c r="D1561" s="1687"/>
      <c r="G1561" s="1352" t="s">
        <v>246</v>
      </c>
    </row>
    <row r="1562" spans="1:9" ht="16" thickBot="1" x14ac:dyDescent="0.25">
      <c r="A1562" s="594"/>
      <c r="B1562" s="594"/>
      <c r="C1562" s="594"/>
      <c r="D1562" s="1738"/>
      <c r="G1562" s="1352" t="s">
        <v>246</v>
      </c>
    </row>
    <row r="1563" spans="1:9" ht="16" thickTop="1" x14ac:dyDescent="0.2">
      <c r="A1563" s="603" t="s">
        <v>4386</v>
      </c>
      <c r="B1563" s="603"/>
      <c r="C1563" s="603"/>
      <c r="D1563" s="1740" t="s">
        <v>4387</v>
      </c>
      <c r="E1563" s="1352">
        <f ca="1">'Verification Report'!O1563</f>
        <v>0</v>
      </c>
      <c r="F1563" s="1341" t="str">
        <f>IF(LEN('Verification Report'!W1563)=0,"",'Verification Report'!W1563)</f>
        <v/>
      </c>
      <c r="G1563" s="1352" t="s">
        <v>246</v>
      </c>
    </row>
    <row r="1564" spans="1:9" x14ac:dyDescent="0.2">
      <c r="A1564" s="590"/>
      <c r="B1564" s="590"/>
      <c r="C1564" s="590"/>
      <c r="D1564" s="1687"/>
      <c r="G1564" s="1352" t="s">
        <v>246</v>
      </c>
    </row>
    <row r="1565" spans="1:9" x14ac:dyDescent="0.2">
      <c r="A1565" s="590"/>
      <c r="B1565" s="590"/>
      <c r="C1565" s="590"/>
      <c r="D1565" s="1687"/>
      <c r="G1565" s="1352" t="s">
        <v>246</v>
      </c>
    </row>
    <row r="1566" spans="1:9" x14ac:dyDescent="0.2">
      <c r="A1566" s="590"/>
      <c r="B1566" s="590"/>
      <c r="C1566" s="590"/>
      <c r="D1566" s="1687"/>
      <c r="G1566" s="1352" t="s">
        <v>246</v>
      </c>
    </row>
    <row r="1567" spans="1:9" ht="16" thickBot="1" x14ac:dyDescent="0.25">
      <c r="A1567" s="594"/>
      <c r="B1567" s="594"/>
      <c r="C1567" s="594"/>
      <c r="D1567" s="1738"/>
      <c r="G1567" s="1352" t="s">
        <v>246</v>
      </c>
    </row>
    <row r="1568" spans="1:9" ht="16" thickTop="1" x14ac:dyDescent="0.2">
      <c r="A1568" s="603" t="s">
        <v>4388</v>
      </c>
      <c r="B1568" s="603"/>
      <c r="C1568" s="603"/>
      <c r="D1568" s="1740" t="s">
        <v>4853</v>
      </c>
      <c r="E1568" s="1352">
        <f ca="1">'Verification Report'!O1568</f>
        <v>0</v>
      </c>
      <c r="F1568" s="1341" t="str">
        <f>IF(LEN('Verification Report'!W1568)=0,"",'Verification Report'!W1568)</f>
        <v/>
      </c>
      <c r="G1568" s="1352" t="s">
        <v>246</v>
      </c>
    </row>
    <row r="1569" spans="1:7" x14ac:dyDescent="0.2">
      <c r="A1569" s="590"/>
      <c r="B1569" s="590"/>
      <c r="C1569" s="590"/>
      <c r="D1569" s="1687"/>
      <c r="G1569" s="1352" t="s">
        <v>246</v>
      </c>
    </row>
    <row r="1570" spans="1:7" x14ac:dyDescent="0.2">
      <c r="A1570" s="590"/>
      <c r="B1570" s="590"/>
      <c r="C1570" s="590"/>
      <c r="D1570" s="1687"/>
      <c r="G1570" s="1352" t="s">
        <v>246</v>
      </c>
    </row>
    <row r="1571" spans="1:7" x14ac:dyDescent="0.2">
      <c r="A1571" s="590"/>
      <c r="B1571" s="590"/>
      <c r="C1571" s="590"/>
      <c r="D1571" s="1687"/>
      <c r="G1571" s="1352" t="s">
        <v>246</v>
      </c>
    </row>
    <row r="1572" spans="1:7" ht="16" thickBot="1" x14ac:dyDescent="0.25">
      <c r="A1572" s="594"/>
      <c r="B1572" s="594"/>
      <c r="C1572" s="594"/>
      <c r="D1572" s="1738"/>
      <c r="G1572" s="1352" t="s">
        <v>246</v>
      </c>
    </row>
    <row r="1573" spans="1:7" ht="16" thickTop="1" x14ac:dyDescent="0.2">
      <c r="A1573" s="603" t="s">
        <v>4389</v>
      </c>
      <c r="B1573" s="603"/>
      <c r="C1573" s="603"/>
      <c r="D1573" s="1740" t="s">
        <v>4390</v>
      </c>
      <c r="E1573" s="1352">
        <f ca="1">'Verification Report'!O1573</f>
        <v>0</v>
      </c>
      <c r="F1573" s="1341" t="str">
        <f>IF(LEN('Verification Report'!W1573)=0,"",'Verification Report'!W1573)</f>
        <v/>
      </c>
      <c r="G1573" s="1352" t="s">
        <v>246</v>
      </c>
    </row>
    <row r="1574" spans="1:7" ht="16" thickBot="1" x14ac:dyDescent="0.25">
      <c r="A1574" s="594"/>
      <c r="B1574" s="594"/>
      <c r="C1574" s="594"/>
      <c r="D1574" s="1738"/>
      <c r="G1574" s="1352" t="s">
        <v>246</v>
      </c>
    </row>
    <row r="1575" spans="1:7" ht="16" thickTop="1" x14ac:dyDescent="0.2">
      <c r="A1575" s="603" t="s">
        <v>4391</v>
      </c>
      <c r="B1575" s="603"/>
      <c r="C1575" s="603"/>
      <c r="D1575" s="1740" t="s">
        <v>4392</v>
      </c>
      <c r="E1575" s="1352">
        <f ca="1">'Verification Report'!O1575</f>
        <v>0</v>
      </c>
      <c r="F1575" s="1341" t="str">
        <f>IF(LEN('Verification Report'!W1575)=0,"",'Verification Report'!W1575)</f>
        <v/>
      </c>
      <c r="G1575" s="1352" t="s">
        <v>246</v>
      </c>
    </row>
    <row r="1576" spans="1:7" x14ac:dyDescent="0.2">
      <c r="A1576" s="590"/>
      <c r="B1576" s="590"/>
      <c r="C1576" s="590"/>
      <c r="D1576" s="1687"/>
      <c r="G1576" s="1352" t="s">
        <v>246</v>
      </c>
    </row>
    <row r="1577" spans="1:7" x14ac:dyDescent="0.2">
      <c r="A1577" s="590"/>
      <c r="B1577" s="590"/>
      <c r="C1577" s="590"/>
      <c r="D1577" s="1687"/>
      <c r="G1577" s="1352" t="s">
        <v>246</v>
      </c>
    </row>
    <row r="1578" spans="1:7" ht="16" thickBot="1" x14ac:dyDescent="0.25">
      <c r="A1578" s="594"/>
      <c r="B1578" s="594"/>
      <c r="C1578" s="594"/>
      <c r="D1578" s="1738"/>
      <c r="G1578" s="1352" t="s">
        <v>246</v>
      </c>
    </row>
    <row r="1579" spans="1:7" ht="16" thickTop="1" x14ac:dyDescent="0.2">
      <c r="A1579" s="603" t="s">
        <v>4393</v>
      </c>
      <c r="B1579" s="603"/>
      <c r="C1579" s="603"/>
      <c r="D1579" s="1740" t="s">
        <v>4394</v>
      </c>
      <c r="E1579" s="1352">
        <f ca="1">'Verification Report'!O1579</f>
        <v>0</v>
      </c>
      <c r="F1579" s="1341" t="str">
        <f>IF(LEN('Verification Report'!W1579)=0,"",'Verification Report'!W1579)</f>
        <v/>
      </c>
      <c r="G1579" s="1352" t="s">
        <v>246</v>
      </c>
    </row>
    <row r="1580" spans="1:7" x14ac:dyDescent="0.2">
      <c r="A1580" s="590"/>
      <c r="B1580" s="590"/>
      <c r="C1580" s="590"/>
      <c r="D1580" s="1687"/>
      <c r="G1580" s="1352" t="s">
        <v>246</v>
      </c>
    </row>
    <row r="1581" spans="1:7" x14ac:dyDescent="0.2">
      <c r="A1581" s="590"/>
      <c r="B1581" s="606" t="s">
        <v>254</v>
      </c>
      <c r="C1581" s="606"/>
      <c r="D1581" s="1361" t="s">
        <v>4395</v>
      </c>
      <c r="G1581" s="1352" t="s">
        <v>246</v>
      </c>
    </row>
    <row r="1582" spans="1:7" ht="16" thickBot="1" x14ac:dyDescent="0.25">
      <c r="A1582" s="594"/>
      <c r="B1582" s="594" t="s">
        <v>255</v>
      </c>
      <c r="C1582" s="594"/>
      <c r="D1582" s="1360" t="s">
        <v>4396</v>
      </c>
      <c r="G1582" s="1352" t="s">
        <v>246</v>
      </c>
    </row>
    <row r="1583" spans="1:7" ht="16" thickTop="1" x14ac:dyDescent="0.2">
      <c r="A1583" s="589" t="s">
        <v>4397</v>
      </c>
      <c r="B1583" s="589"/>
      <c r="C1583" s="589"/>
      <c r="D1583" s="1370" t="s">
        <v>4398</v>
      </c>
      <c r="G1583" s="1352" t="s">
        <v>246</v>
      </c>
    </row>
    <row r="1584" spans="1:7" x14ac:dyDescent="0.2">
      <c r="A1584" s="590"/>
      <c r="B1584" s="590" t="s">
        <v>254</v>
      </c>
      <c r="C1584" s="590"/>
      <c r="D1584" s="1634" t="s">
        <v>4399</v>
      </c>
      <c r="E1584" s="1352">
        <f ca="1">'Verification Report'!O1584</f>
        <v>0</v>
      </c>
      <c r="F1584" s="1341" t="str">
        <f>IF(LEN('Verification Report'!W1584)=0,"",'Verification Report'!W1584)</f>
        <v/>
      </c>
      <c r="G1584" s="1352" t="s">
        <v>246</v>
      </c>
    </row>
    <row r="1585" spans="1:7" x14ac:dyDescent="0.2">
      <c r="A1585" s="590"/>
      <c r="B1585" s="590"/>
      <c r="C1585" s="590"/>
      <c r="D1585" s="1634"/>
      <c r="G1585" s="1352" t="s">
        <v>246</v>
      </c>
    </row>
    <row r="1586" spans="1:7" x14ac:dyDescent="0.2">
      <c r="A1586" s="590"/>
      <c r="B1586" s="590"/>
      <c r="C1586" s="590"/>
      <c r="D1586" s="1634"/>
      <c r="G1586" s="1352" t="s">
        <v>246</v>
      </c>
    </row>
    <row r="1587" spans="1:7" x14ac:dyDescent="0.2">
      <c r="A1587" s="590"/>
      <c r="B1587" s="606"/>
      <c r="C1587" s="606"/>
      <c r="D1587" s="1639"/>
      <c r="G1587" s="1352" t="s">
        <v>246</v>
      </c>
    </row>
    <row r="1588" spans="1:7" x14ac:dyDescent="0.2">
      <c r="A1588" s="590"/>
      <c r="B1588" s="590" t="s">
        <v>255</v>
      </c>
      <c r="C1588" s="590"/>
      <c r="D1588" s="1634" t="s">
        <v>4400</v>
      </c>
      <c r="E1588" s="1352">
        <f ca="1">'Verification Report'!O1588</f>
        <v>0</v>
      </c>
      <c r="F1588" s="1341" t="str">
        <f>IF(LEN('Verification Report'!W1588)=0,"",'Verification Report'!W1588)</f>
        <v/>
      </c>
      <c r="G1588" s="1352" t="s">
        <v>246</v>
      </c>
    </row>
    <row r="1589" spans="1:7" ht="16" thickBot="1" x14ac:dyDescent="0.25">
      <c r="A1589" s="594"/>
      <c r="B1589" s="594"/>
      <c r="C1589" s="594"/>
      <c r="D1589" s="1635"/>
      <c r="G1589" s="1352" t="s">
        <v>246</v>
      </c>
    </row>
    <row r="1590" spans="1:7" ht="16" thickTop="1" x14ac:dyDescent="0.2">
      <c r="A1590" s="589" t="s">
        <v>4401</v>
      </c>
      <c r="B1590" s="589"/>
      <c r="C1590" s="589"/>
      <c r="D1590" s="1687" t="s">
        <v>4402</v>
      </c>
      <c r="G1590" s="1352" t="s">
        <v>246</v>
      </c>
    </row>
    <row r="1591" spans="1:7" x14ac:dyDescent="0.2">
      <c r="A1591" s="589"/>
      <c r="B1591" s="589"/>
      <c r="C1591" s="589"/>
      <c r="D1591" s="1687"/>
      <c r="G1591" s="1352" t="s">
        <v>246</v>
      </c>
    </row>
    <row r="1592" spans="1:7" x14ac:dyDescent="0.2">
      <c r="A1592" s="589"/>
      <c r="B1592" s="589"/>
      <c r="C1592" s="589"/>
      <c r="D1592" s="1687"/>
      <c r="G1592" s="1352" t="s">
        <v>246</v>
      </c>
    </row>
    <row r="1593" spans="1:7" x14ac:dyDescent="0.2">
      <c r="A1593" s="589"/>
      <c r="B1593" s="606" t="s">
        <v>254</v>
      </c>
      <c r="C1593" s="606"/>
      <c r="D1593" s="1361" t="s">
        <v>4403</v>
      </c>
      <c r="E1593" s="1352">
        <f ca="1">'Verification Report'!O1593</f>
        <v>0</v>
      </c>
      <c r="F1593" s="1341" t="str">
        <f>IF(LEN('Verification Report'!W1593)=0,"",'Verification Report'!W1593)</f>
        <v/>
      </c>
      <c r="G1593" s="1352" t="s">
        <v>246</v>
      </c>
    </row>
    <row r="1594" spans="1:7" x14ac:dyDescent="0.2">
      <c r="A1594" s="589"/>
      <c r="B1594" s="589" t="s">
        <v>255</v>
      </c>
      <c r="C1594" s="589"/>
      <c r="D1594" s="1359" t="s">
        <v>4404</v>
      </c>
      <c r="E1594" s="1352">
        <f ca="1">'Verification Report'!O1594</f>
        <v>0</v>
      </c>
      <c r="F1594" s="1341" t="str">
        <f>IF(LEN('Verification Report'!W1594)=0,"",'Verification Report'!W1594)</f>
        <v/>
      </c>
      <c r="G1594" s="1352" t="s">
        <v>246</v>
      </c>
    </row>
    <row r="1595" spans="1:7" ht="19" x14ac:dyDescent="0.25">
      <c r="A1595" s="24" t="s">
        <v>4515</v>
      </c>
      <c r="B1595" s="24"/>
      <c r="C1595" s="24"/>
      <c r="D1595" s="25"/>
      <c r="E1595" s="25"/>
      <c r="F1595" s="994"/>
      <c r="G1595" s="1352" t="s">
        <v>246</v>
      </c>
    </row>
    <row r="1596" spans="1:7" x14ac:dyDescent="0.2">
      <c r="A1596" s="590" t="s">
        <v>4516</v>
      </c>
      <c r="B1596" s="1068"/>
      <c r="C1596" s="1068"/>
      <c r="D1596" s="1687" t="s">
        <v>4517</v>
      </c>
      <c r="G1596" s="1352" t="s">
        <v>246</v>
      </c>
    </row>
    <row r="1597" spans="1:7" x14ac:dyDescent="0.2">
      <c r="A1597" s="1391"/>
      <c r="B1597" s="1391"/>
      <c r="C1597" s="1391"/>
      <c r="D1597" s="1687"/>
      <c r="G1597" s="1352" t="s">
        <v>246</v>
      </c>
    </row>
    <row r="1598" spans="1:7" ht="16" thickBot="1" x14ac:dyDescent="0.25">
      <c r="A1598" s="100"/>
      <c r="B1598" s="100"/>
      <c r="C1598" s="100"/>
      <c r="D1598" s="1738"/>
      <c r="G1598" s="1352" t="s">
        <v>246</v>
      </c>
    </row>
    <row r="1599" spans="1:7" ht="16" thickTop="1" x14ac:dyDescent="0.2">
      <c r="A1599" s="603" t="s">
        <v>4518</v>
      </c>
      <c r="B1599" s="1070"/>
      <c r="C1599" s="1070"/>
      <c r="D1599" s="1740" t="s">
        <v>5008</v>
      </c>
      <c r="F1599" s="1341" t="str">
        <f ca="1">IF(LEN('Verification Report'!W1599)=0,"",'Verification Report'!W1599)</f>
        <v>Prescriptive Path</v>
      </c>
      <c r="G1599" s="1352" t="s">
        <v>246</v>
      </c>
    </row>
    <row r="1600" spans="1:7" x14ac:dyDescent="0.2">
      <c r="A1600" s="590"/>
      <c r="B1600" s="1068"/>
      <c r="C1600" s="1068"/>
      <c r="D1600" s="1687"/>
      <c r="G1600" s="1352" t="s">
        <v>246</v>
      </c>
    </row>
    <row r="1601" spans="1:7" x14ac:dyDescent="0.2">
      <c r="A1601" s="590"/>
      <c r="B1601" s="1068"/>
      <c r="C1601" s="1068"/>
      <c r="D1601" s="1687"/>
      <c r="G1601" s="1352" t="s">
        <v>246</v>
      </c>
    </row>
    <row r="1602" spans="1:7" x14ac:dyDescent="0.2">
      <c r="A1602" s="590"/>
      <c r="B1602" s="1068"/>
      <c r="C1602" s="1068"/>
      <c r="D1602" s="1687"/>
      <c r="G1602" s="1352" t="s">
        <v>246</v>
      </c>
    </row>
    <row r="1603" spans="1:7" x14ac:dyDescent="0.2">
      <c r="A1603" s="590"/>
      <c r="B1603" s="1068"/>
      <c r="C1603" s="1068"/>
      <c r="D1603" s="1687"/>
      <c r="G1603" s="1352" t="s">
        <v>246</v>
      </c>
    </row>
    <row r="1604" spans="1:7" ht="16" thickBot="1" x14ac:dyDescent="0.25">
      <c r="A1604" s="594"/>
      <c r="B1604" s="1069"/>
      <c r="C1604" s="1069"/>
      <c r="D1604" s="1738"/>
      <c r="G1604" s="1352" t="s">
        <v>246</v>
      </c>
    </row>
    <row r="1605" spans="1:7" ht="16" thickTop="1" x14ac:dyDescent="0.2">
      <c r="A1605" s="589" t="s">
        <v>4698</v>
      </c>
      <c r="B1605" s="69"/>
      <c r="C1605" s="69"/>
      <c r="D1605" s="1611" t="s">
        <v>4697</v>
      </c>
      <c r="G1605" s="1352" t="s">
        <v>246</v>
      </c>
    </row>
    <row r="1606" spans="1:7" x14ac:dyDescent="0.2">
      <c r="A1606" s="1352"/>
      <c r="B1606" s="1352"/>
      <c r="C1606" s="1352"/>
      <c r="D1606" s="1611"/>
      <c r="G1606" s="1352" t="s">
        <v>246</v>
      </c>
    </row>
    <row r="1607" spans="1:7" x14ac:dyDescent="0.2">
      <c r="A1607" s="1352"/>
      <c r="B1607" s="1352"/>
      <c r="C1607" s="1352"/>
      <c r="D1607" s="1611"/>
      <c r="G1607" s="1352" t="s">
        <v>246</v>
      </c>
    </row>
    <row r="1608" spans="1:7" x14ac:dyDescent="0.2">
      <c r="A1608" s="1352"/>
      <c r="B1608" s="1352"/>
      <c r="C1608" s="1352"/>
      <c r="D1608" s="870" t="s">
        <v>5006</v>
      </c>
      <c r="G1608" s="1352" t="s">
        <v>246</v>
      </c>
    </row>
    <row r="1609" spans="1:7" x14ac:dyDescent="0.2">
      <c r="A1609" s="1352"/>
      <c r="B1609" s="1352"/>
      <c r="C1609" s="1352"/>
      <c r="D1609" s="1611" t="s">
        <v>4696</v>
      </c>
      <c r="G1609" s="1352" t="s">
        <v>246</v>
      </c>
    </row>
    <row r="1610" spans="1:7" x14ac:dyDescent="0.2">
      <c r="A1610" s="1352"/>
      <c r="B1610" s="1352"/>
      <c r="C1610" s="1352"/>
      <c r="D1610" s="1611"/>
      <c r="G1610" s="1352" t="s">
        <v>246</v>
      </c>
    </row>
    <row r="1611" spans="1:7" x14ac:dyDescent="0.2">
      <c r="A1611" s="1352"/>
      <c r="B1611" s="1352"/>
      <c r="C1611" s="1352"/>
      <c r="D1611" s="1611"/>
      <c r="G1611" s="1352" t="s">
        <v>246</v>
      </c>
    </row>
    <row r="1612" spans="1:7" x14ac:dyDescent="0.2">
      <c r="A1612" s="1352"/>
      <c r="B1612" s="1352"/>
      <c r="C1612" s="1352"/>
      <c r="D1612" s="1611"/>
      <c r="F1612" s="1348"/>
      <c r="G1612" s="1352" t="s">
        <v>246</v>
      </c>
    </row>
    <row r="1613" spans="1:7" x14ac:dyDescent="0.2">
      <c r="A1613" s="1352"/>
      <c r="B1613" s="1352"/>
      <c r="C1613" s="1352"/>
      <c r="D1613" s="1759" t="s">
        <v>3472</v>
      </c>
      <c r="F1613" s="1341" t="str">
        <f>IF(LEN('Verification Report'!W1613)=0,"",'Verification Report'!W1613)</f>
        <v/>
      </c>
      <c r="G1613" s="1352" t="s">
        <v>246</v>
      </c>
    </row>
    <row r="1614" spans="1:7" x14ac:dyDescent="0.2">
      <c r="A1614" s="1352"/>
      <c r="B1614" s="1352"/>
      <c r="C1614" s="1352"/>
      <c r="D1614" s="1759"/>
      <c r="G1614" s="1352" t="s">
        <v>246</v>
      </c>
    </row>
    <row r="1615" spans="1:7" x14ac:dyDescent="0.2">
      <c r="A1615" s="1352"/>
      <c r="B1615" s="1352"/>
      <c r="C1615" s="1352"/>
      <c r="D1615" s="1611" t="s">
        <v>3473</v>
      </c>
      <c r="G1615" s="1352" t="s">
        <v>246</v>
      </c>
    </row>
    <row r="1616" spans="1:7" x14ac:dyDescent="0.2">
      <c r="A1616" s="1352"/>
      <c r="B1616" s="1352"/>
      <c r="C1616" s="1352"/>
      <c r="D1616" s="1611"/>
      <c r="G1616" s="1352" t="s">
        <v>246</v>
      </c>
    </row>
    <row r="1617" spans="1:7" x14ac:dyDescent="0.2">
      <c r="A1617" s="1352"/>
      <c r="B1617" s="1352"/>
      <c r="C1617" s="1352"/>
      <c r="D1617" s="1611"/>
      <c r="G1617" s="1352" t="s">
        <v>246</v>
      </c>
    </row>
    <row r="1618" spans="1:7" x14ac:dyDescent="0.2">
      <c r="A1618" s="1352"/>
      <c r="B1618" s="1352"/>
      <c r="C1618" s="1352"/>
      <c r="D1618" s="1611"/>
      <c r="G1618" s="1352" t="s">
        <v>246</v>
      </c>
    </row>
    <row r="1619" spans="1:7" x14ac:dyDescent="0.2">
      <c r="A1619" s="1352"/>
      <c r="B1619" s="1352"/>
      <c r="C1619" s="1352"/>
      <c r="D1619" s="1611"/>
      <c r="G1619" s="1352" t="s">
        <v>246</v>
      </c>
    </row>
    <row r="1620" spans="1:7" x14ac:dyDescent="0.2">
      <c r="A1620" s="1352"/>
      <c r="B1620" s="1352"/>
      <c r="C1620" s="1352"/>
      <c r="D1620" s="1611"/>
      <c r="G1620" s="1352" t="s">
        <v>246</v>
      </c>
    </row>
    <row r="1621" spans="1:7" x14ac:dyDescent="0.2">
      <c r="A1621" s="1352"/>
      <c r="B1621" s="1352"/>
      <c r="C1621" s="1352"/>
      <c r="D1621" s="1611" t="s">
        <v>5007</v>
      </c>
      <c r="G1621" s="1352" t="s">
        <v>246</v>
      </c>
    </row>
    <row r="1622" spans="1:7" x14ac:dyDescent="0.2">
      <c r="A1622" s="1352"/>
      <c r="B1622" s="1352"/>
      <c r="C1622" s="1352"/>
      <c r="D1622" s="1611"/>
      <c r="G1622" s="1352" t="s">
        <v>246</v>
      </c>
    </row>
    <row r="1623" spans="1:7" x14ac:dyDescent="0.2">
      <c r="A1623" s="1352"/>
      <c r="B1623" s="1352"/>
      <c r="C1623" s="1352"/>
      <c r="D1623" s="1611"/>
      <c r="G1623" s="1352" t="s">
        <v>246</v>
      </c>
    </row>
    <row r="1624" spans="1:7" x14ac:dyDescent="0.2">
      <c r="A1624" s="1352"/>
      <c r="B1624" s="1352"/>
      <c r="C1624" s="1352"/>
      <c r="D1624" s="1611"/>
      <c r="G1624" s="1352" t="s">
        <v>246</v>
      </c>
    </row>
    <row r="1625" spans="1:7" ht="19" x14ac:dyDescent="0.25">
      <c r="A1625" s="1004" t="s">
        <v>4519</v>
      </c>
      <c r="B1625" s="1003"/>
      <c r="C1625" s="1003"/>
      <c r="D1625" s="1004"/>
      <c r="E1625" s="25"/>
      <c r="F1625" s="994"/>
      <c r="G1625" s="1352" t="s">
        <v>246</v>
      </c>
    </row>
    <row r="1626" spans="1:7" x14ac:dyDescent="0.2">
      <c r="A1626" s="589" t="s">
        <v>4520</v>
      </c>
      <c r="B1626" s="873"/>
      <c r="C1626" s="873"/>
      <c r="D1626" s="1687" t="s">
        <v>4857</v>
      </c>
      <c r="E1626" s="1352">
        <f ca="1">'Verification Report'!O1626</f>
        <v>0</v>
      </c>
      <c r="G1626" s="1352" t="s">
        <v>246</v>
      </c>
    </row>
    <row r="1627" spans="1:7" x14ac:dyDescent="0.2">
      <c r="A1627" s="589"/>
      <c r="B1627" s="873"/>
      <c r="C1627" s="873"/>
      <c r="D1627" s="1687"/>
      <c r="F1627" s="1341" t="str">
        <f>IF(LEN('Verification Report'!W1627)=0,"",'Verification Report'!W1627)</f>
        <v/>
      </c>
      <c r="G1627" s="1352" t="s">
        <v>246</v>
      </c>
    </row>
    <row r="1628" spans="1:7" x14ac:dyDescent="0.2">
      <c r="A1628" s="589"/>
      <c r="B1628" s="873"/>
      <c r="C1628" s="873"/>
      <c r="D1628" s="1687"/>
      <c r="G1628" s="1352" t="s">
        <v>246</v>
      </c>
    </row>
    <row r="1629" spans="1:7" x14ac:dyDescent="0.2">
      <c r="A1629" s="589"/>
      <c r="B1629" s="873"/>
      <c r="C1629" s="873"/>
      <c r="D1629" s="1687"/>
      <c r="G1629" s="1352" t="s">
        <v>246</v>
      </c>
    </row>
    <row r="1630" spans="1:7" x14ac:dyDescent="0.2">
      <c r="A1630" s="589"/>
      <c r="B1630" s="873"/>
      <c r="C1630" s="873"/>
      <c r="D1630" s="1687"/>
      <c r="G1630" s="1352" t="s">
        <v>246</v>
      </c>
    </row>
    <row r="1631" spans="1:7" x14ac:dyDescent="0.2">
      <c r="A1631" s="589"/>
      <c r="B1631" s="873"/>
      <c r="C1631" s="873"/>
      <c r="D1631" s="1687"/>
      <c r="G1631" s="1352" t="s">
        <v>246</v>
      </c>
    </row>
    <row r="1632" spans="1:7" x14ac:dyDescent="0.2">
      <c r="A1632" s="589"/>
      <c r="B1632" s="873"/>
      <c r="C1632" s="873"/>
      <c r="D1632" s="1687"/>
      <c r="G1632" s="1352" t="s">
        <v>246</v>
      </c>
    </row>
    <row r="1633" spans="1:7" x14ac:dyDescent="0.2">
      <c r="A1633" s="589"/>
      <c r="B1633" s="873"/>
      <c r="C1633" s="873"/>
      <c r="D1633" s="1687"/>
      <c r="G1633" s="1352" t="s">
        <v>246</v>
      </c>
    </row>
    <row r="1634" spans="1:7" x14ac:dyDescent="0.2">
      <c r="A1634" s="589"/>
      <c r="B1634" s="873"/>
      <c r="C1634" s="873"/>
      <c r="D1634" s="1687"/>
      <c r="G1634" s="1352" t="s">
        <v>246</v>
      </c>
    </row>
    <row r="1635" spans="1:7" x14ac:dyDescent="0.2">
      <c r="A1635" s="589"/>
      <c r="B1635" s="873"/>
      <c r="C1635" s="873"/>
      <c r="D1635" s="1687"/>
      <c r="G1635" s="1352" t="s">
        <v>246</v>
      </c>
    </row>
    <row r="1636" spans="1:7" x14ac:dyDescent="0.2">
      <c r="A1636" s="589"/>
      <c r="B1636" s="873"/>
      <c r="C1636" s="873"/>
      <c r="D1636" s="1687"/>
      <c r="G1636" s="1352" t="s">
        <v>246</v>
      </c>
    </row>
    <row r="1637" spans="1:7" x14ac:dyDescent="0.2">
      <c r="A1637" s="589"/>
      <c r="B1637" s="1068" t="s">
        <v>254</v>
      </c>
      <c r="C1637" s="1068"/>
      <c r="D1637" s="1634" t="s">
        <v>4521</v>
      </c>
      <c r="G1637" s="1352" t="s">
        <v>246</v>
      </c>
    </row>
    <row r="1638" spans="1:7" x14ac:dyDescent="0.2">
      <c r="A1638" s="589"/>
      <c r="B1638" s="1072"/>
      <c r="C1638" s="1072"/>
      <c r="D1638" s="1639"/>
      <c r="G1638" s="1352" t="s">
        <v>246</v>
      </c>
    </row>
    <row r="1639" spans="1:7" x14ac:dyDescent="0.2">
      <c r="A1639" s="589"/>
      <c r="B1639" s="873" t="s">
        <v>255</v>
      </c>
      <c r="C1639" s="1073"/>
      <c r="D1639" s="1633" t="s">
        <v>4522</v>
      </c>
      <c r="G1639" s="1352" t="s">
        <v>246</v>
      </c>
    </row>
    <row r="1640" spans="1:7" x14ac:dyDescent="0.2">
      <c r="A1640" s="589"/>
      <c r="B1640" s="1072"/>
      <c r="C1640" s="1072"/>
      <c r="D1640" s="1639"/>
      <c r="G1640" s="1352" t="s">
        <v>246</v>
      </c>
    </row>
    <row r="1641" spans="1:7" x14ac:dyDescent="0.2">
      <c r="A1641" s="589"/>
      <c r="B1641" s="873" t="s">
        <v>256</v>
      </c>
      <c r="C1641" s="1073"/>
      <c r="D1641" s="1633" t="s">
        <v>4523</v>
      </c>
      <c r="G1641" s="1352" t="s">
        <v>246</v>
      </c>
    </row>
    <row r="1642" spans="1:7" x14ac:dyDescent="0.2">
      <c r="A1642" s="589"/>
      <c r="B1642" s="1072"/>
      <c r="C1642" s="1072"/>
      <c r="D1642" s="1639"/>
      <c r="G1642" s="1352" t="s">
        <v>246</v>
      </c>
    </row>
    <row r="1643" spans="1:7" x14ac:dyDescent="0.2">
      <c r="A1643" s="589"/>
      <c r="B1643" s="873" t="s">
        <v>259</v>
      </c>
      <c r="C1643" s="873"/>
      <c r="D1643" s="1634" t="s">
        <v>4524</v>
      </c>
      <c r="G1643" s="1352" t="s">
        <v>246</v>
      </c>
    </row>
    <row r="1644" spans="1:7" x14ac:dyDescent="0.2">
      <c r="A1644" s="589"/>
      <c r="B1644" s="873"/>
      <c r="C1644" s="873"/>
      <c r="D1644" s="1634"/>
      <c r="G1644" s="1352" t="s">
        <v>246</v>
      </c>
    </row>
    <row r="1645" spans="1:7" x14ac:dyDescent="0.2">
      <c r="A1645" s="589"/>
      <c r="B1645" s="873"/>
      <c r="C1645" s="873"/>
      <c r="D1645" s="1634"/>
      <c r="G1645" s="1352" t="s">
        <v>246</v>
      </c>
    </row>
    <row r="1646" spans="1:7" x14ac:dyDescent="0.2">
      <c r="A1646" s="589"/>
      <c r="B1646" s="873"/>
      <c r="C1646" s="1068" t="s">
        <v>121</v>
      </c>
      <c r="D1646" s="1634" t="s">
        <v>4525</v>
      </c>
      <c r="G1646" s="1352" t="s">
        <v>246</v>
      </c>
    </row>
    <row r="1647" spans="1:7" x14ac:dyDescent="0.2">
      <c r="A1647" s="589"/>
      <c r="B1647" s="1072"/>
      <c r="C1647" s="1072"/>
      <c r="D1647" s="1639"/>
      <c r="G1647" s="1352" t="s">
        <v>246</v>
      </c>
    </row>
    <row r="1648" spans="1:7" x14ac:dyDescent="0.2">
      <c r="A1648" s="589"/>
      <c r="B1648" s="1073" t="s">
        <v>263</v>
      </c>
      <c r="C1648" s="1073"/>
      <c r="D1648" s="1633" t="s">
        <v>4526</v>
      </c>
      <c r="G1648" s="1352" t="s">
        <v>246</v>
      </c>
    </row>
    <row r="1649" spans="1:7" x14ac:dyDescent="0.2">
      <c r="A1649" s="589"/>
      <c r="B1649" s="1068"/>
      <c r="C1649" s="1068"/>
      <c r="D1649" s="1634"/>
      <c r="G1649" s="1352" t="s">
        <v>246</v>
      </c>
    </row>
    <row r="1650" spans="1:7" x14ac:dyDescent="0.2">
      <c r="A1650" s="589"/>
      <c r="B1650" s="1068"/>
      <c r="C1650" s="1068"/>
      <c r="D1650" s="1634"/>
      <c r="G1650" s="1352" t="s">
        <v>246</v>
      </c>
    </row>
    <row r="1651" spans="1:7" x14ac:dyDescent="0.2">
      <c r="A1651" s="589"/>
      <c r="B1651" s="1068"/>
      <c r="C1651" s="1068"/>
      <c r="D1651" s="1634"/>
      <c r="G1651" s="1352" t="s">
        <v>246</v>
      </c>
    </row>
    <row r="1652" spans="1:7" x14ac:dyDescent="0.2">
      <c r="A1652" s="589"/>
      <c r="B1652" s="1072"/>
      <c r="C1652" s="1072"/>
      <c r="D1652" s="1639"/>
      <c r="G1652" s="1352" t="s">
        <v>246</v>
      </c>
    </row>
    <row r="1653" spans="1:7" x14ac:dyDescent="0.2">
      <c r="A1653" s="590"/>
      <c r="B1653" s="1068" t="s">
        <v>264</v>
      </c>
      <c r="C1653" s="1068"/>
      <c r="D1653" s="1634" t="s">
        <v>4527</v>
      </c>
      <c r="E1653" s="1352">
        <f ca="1">'Verification Report'!O1653</f>
        <v>0</v>
      </c>
      <c r="F1653" s="1341" t="str">
        <f>IF(LEN('Verification Report'!W1653)=0,"",'Verification Report'!W1653)</f>
        <v/>
      </c>
      <c r="G1653" s="1352" t="s">
        <v>246</v>
      </c>
    </row>
    <row r="1654" spans="1:7" x14ac:dyDescent="0.2">
      <c r="A1654" s="590"/>
      <c r="B1654" s="1068"/>
      <c r="C1654" s="1068"/>
      <c r="D1654" s="1634"/>
      <c r="G1654" s="1352" t="s">
        <v>246</v>
      </c>
    </row>
    <row r="1655" spans="1:7" ht="16" thickBot="1" x14ac:dyDescent="0.25">
      <c r="A1655" s="594"/>
      <c r="B1655" s="1069"/>
      <c r="C1655" s="1069"/>
      <c r="D1655" s="1635"/>
      <c r="G1655" s="1352" t="s">
        <v>246</v>
      </c>
    </row>
    <row r="1656" spans="1:7" ht="16" thickTop="1" x14ac:dyDescent="0.2">
      <c r="A1656" s="589" t="s">
        <v>4528</v>
      </c>
      <c r="B1656" s="873"/>
      <c r="C1656" s="873"/>
      <c r="D1656" s="1687" t="s">
        <v>4529</v>
      </c>
      <c r="G1656" s="1352" t="s">
        <v>246</v>
      </c>
    </row>
    <row r="1657" spans="1:7" x14ac:dyDescent="0.2">
      <c r="A1657" s="589"/>
      <c r="B1657" s="873"/>
      <c r="C1657" s="873"/>
      <c r="D1657" s="1687"/>
      <c r="G1657" s="1352" t="s">
        <v>246</v>
      </c>
    </row>
    <row r="1658" spans="1:7" x14ac:dyDescent="0.2">
      <c r="A1658" s="589"/>
      <c r="B1658" s="1072" t="s">
        <v>254</v>
      </c>
      <c r="C1658" s="1072"/>
      <c r="D1658" s="1361" t="s">
        <v>5082</v>
      </c>
      <c r="E1658" s="1352">
        <f ca="1">'Verification Report'!O1658</f>
        <v>0</v>
      </c>
      <c r="F1658" s="1341" t="b">
        <f>IF(LEN('Verification Report'!W1658)=0,"",'Verification Report'!W1658)</f>
        <v>0</v>
      </c>
      <c r="G1658" s="1352" t="s">
        <v>246</v>
      </c>
    </row>
    <row r="1659" spans="1:7" x14ac:dyDescent="0.2">
      <c r="A1659" s="590"/>
      <c r="B1659" s="1074" t="s">
        <v>255</v>
      </c>
      <c r="C1659" s="1074"/>
      <c r="D1659" s="1075" t="s">
        <v>4530</v>
      </c>
      <c r="E1659" s="1352">
        <f ca="1">'Verification Report'!O1659</f>
        <v>0</v>
      </c>
      <c r="F1659" s="1341" t="str">
        <f>IF(LEN('Verification Report'!W1659)=0,"",'Verification Report'!W1659)</f>
        <v/>
      </c>
      <c r="G1659" s="1352" t="s">
        <v>246</v>
      </c>
    </row>
    <row r="1660" spans="1:7" x14ac:dyDescent="0.2">
      <c r="A1660" s="590"/>
      <c r="B1660" s="1068" t="s">
        <v>256</v>
      </c>
      <c r="C1660" s="1068"/>
      <c r="D1660" s="1359" t="s">
        <v>4531</v>
      </c>
      <c r="G1660" s="1352" t="s">
        <v>246</v>
      </c>
    </row>
    <row r="1661" spans="1:7" x14ac:dyDescent="0.2">
      <c r="A1661" s="590"/>
      <c r="B1661" s="1068"/>
      <c r="C1661" s="1068"/>
      <c r="D1661" s="1730" t="s">
        <v>4861</v>
      </c>
      <c r="G1661" s="1352" t="s">
        <v>246</v>
      </c>
    </row>
    <row r="1662" spans="1:7" ht="16" thickBot="1" x14ac:dyDescent="0.25">
      <c r="A1662" s="594"/>
      <c r="B1662" s="1069"/>
      <c r="C1662" s="1069"/>
      <c r="D1662" s="1739"/>
      <c r="G1662" s="1352" t="s">
        <v>246</v>
      </c>
    </row>
    <row r="1663" spans="1:7" ht="16" thickTop="1" x14ac:dyDescent="0.2">
      <c r="A1663" s="589" t="s">
        <v>4532</v>
      </c>
      <c r="B1663" s="873"/>
      <c r="C1663" s="873"/>
      <c r="D1663" s="1370" t="s">
        <v>4533</v>
      </c>
      <c r="G1663" s="1352" t="s">
        <v>246</v>
      </c>
    </row>
    <row r="1664" spans="1:7" x14ac:dyDescent="0.2">
      <c r="A1664" s="589"/>
      <c r="B1664" s="873" t="s">
        <v>254</v>
      </c>
      <c r="C1664" s="873"/>
      <c r="D1664" s="1359" t="s">
        <v>4534</v>
      </c>
      <c r="G1664" s="1352" t="s">
        <v>246</v>
      </c>
    </row>
    <row r="1665" spans="1:7" x14ac:dyDescent="0.2">
      <c r="A1665" s="589"/>
      <c r="B1665" s="873"/>
      <c r="C1665" s="1068" t="s">
        <v>121</v>
      </c>
      <c r="D1665" s="1634" t="s">
        <v>4535</v>
      </c>
      <c r="E1665" s="1352">
        <f ca="1">'Verification Report'!O1665</f>
        <v>0</v>
      </c>
      <c r="F1665" s="1341" t="str">
        <f>IF(LEN('Verification Report'!W1665)=0,"",'Verification Report'!W1665)</f>
        <v/>
      </c>
      <c r="G1665" s="1352" t="s">
        <v>246</v>
      </c>
    </row>
    <row r="1666" spans="1:7" x14ac:dyDescent="0.2">
      <c r="A1666" s="589"/>
      <c r="B1666" s="873"/>
      <c r="C1666" s="1072"/>
      <c r="D1666" s="1639"/>
      <c r="G1666" s="1352" t="s">
        <v>246</v>
      </c>
    </row>
    <row r="1667" spans="1:7" x14ac:dyDescent="0.2">
      <c r="A1667" s="589"/>
      <c r="B1667" s="1068"/>
      <c r="C1667" s="1068" t="s">
        <v>122</v>
      </c>
      <c r="D1667" s="1634" t="s">
        <v>4536</v>
      </c>
      <c r="E1667" s="1352">
        <f ca="1">'Verification Report'!O1667</f>
        <v>0</v>
      </c>
      <c r="F1667" s="1341" t="str">
        <f>IF(LEN('Verification Report'!W1667)=0,"",'Verification Report'!W1667)</f>
        <v/>
      </c>
      <c r="G1667" s="1352" t="s">
        <v>246</v>
      </c>
    </row>
    <row r="1668" spans="1:7" x14ac:dyDescent="0.2">
      <c r="A1668" s="589"/>
      <c r="B1668" s="1068"/>
      <c r="C1668" s="1068"/>
      <c r="D1668" s="1634"/>
      <c r="G1668" s="1352" t="s">
        <v>246</v>
      </c>
    </row>
    <row r="1669" spans="1:7" x14ac:dyDescent="0.2">
      <c r="A1669" s="589"/>
      <c r="B1669" s="1068"/>
      <c r="C1669" s="1068"/>
      <c r="D1669" s="1634"/>
      <c r="G1669" s="1352" t="s">
        <v>246</v>
      </c>
    </row>
    <row r="1670" spans="1:7" x14ac:dyDescent="0.2">
      <c r="A1670" s="589"/>
      <c r="B1670" s="1072"/>
      <c r="C1670" s="1072"/>
      <c r="D1670" s="1639"/>
      <c r="G1670" s="1352" t="s">
        <v>246</v>
      </c>
    </row>
    <row r="1671" spans="1:7" x14ac:dyDescent="0.2">
      <c r="A1671" s="589"/>
      <c r="B1671" s="873" t="s">
        <v>255</v>
      </c>
      <c r="C1671" s="873"/>
      <c r="D1671" s="1634" t="s">
        <v>4537</v>
      </c>
      <c r="G1671" s="1352" t="s">
        <v>246</v>
      </c>
    </row>
    <row r="1672" spans="1:7" x14ac:dyDescent="0.2">
      <c r="A1672" s="589"/>
      <c r="B1672" s="873"/>
      <c r="C1672" s="873"/>
      <c r="D1672" s="1634"/>
      <c r="G1672" s="1352" t="s">
        <v>246</v>
      </c>
    </row>
    <row r="1673" spans="1:7" x14ac:dyDescent="0.2">
      <c r="A1673" s="589"/>
      <c r="B1673" s="873"/>
      <c r="C1673" s="873"/>
      <c r="D1673" s="1634"/>
      <c r="G1673" s="1352" t="s">
        <v>246</v>
      </c>
    </row>
    <row r="1674" spans="1:7" x14ac:dyDescent="0.2">
      <c r="A1674" s="589"/>
      <c r="B1674" s="873"/>
      <c r="C1674" s="1068" t="s">
        <v>121</v>
      </c>
      <c r="D1674" s="1634" t="s">
        <v>4535</v>
      </c>
      <c r="E1674" s="1352">
        <f ca="1">'Verification Report'!O1674</f>
        <v>0</v>
      </c>
      <c r="F1674" s="1341" t="str">
        <f>IF(LEN('Verification Report'!W1674)=0,"",'Verification Report'!W1674)</f>
        <v/>
      </c>
      <c r="G1674" s="1352" t="s">
        <v>246</v>
      </c>
    </row>
    <row r="1675" spans="1:7" x14ac:dyDescent="0.2">
      <c r="A1675" s="589"/>
      <c r="B1675" s="873"/>
      <c r="C1675" s="1072"/>
      <c r="D1675" s="1639"/>
      <c r="G1675" s="1352" t="s">
        <v>246</v>
      </c>
    </row>
    <row r="1676" spans="1:7" x14ac:dyDescent="0.2">
      <c r="A1676" s="590"/>
      <c r="B1676" s="1068"/>
      <c r="C1676" s="1068" t="s">
        <v>122</v>
      </c>
      <c r="D1676" s="1634" t="s">
        <v>4536</v>
      </c>
      <c r="E1676" s="1352">
        <f ca="1">'Verification Report'!O1676</f>
        <v>0</v>
      </c>
      <c r="F1676" s="1341" t="str">
        <f>IF(LEN('Verification Report'!W1676)=0,"",'Verification Report'!W1676)</f>
        <v/>
      </c>
      <c r="G1676" s="1352" t="s">
        <v>246</v>
      </c>
    </row>
    <row r="1677" spans="1:7" x14ac:dyDescent="0.2">
      <c r="A1677" s="590"/>
      <c r="B1677" s="1068"/>
      <c r="C1677" s="1068"/>
      <c r="D1677" s="1634"/>
      <c r="G1677" s="1352" t="s">
        <v>246</v>
      </c>
    </row>
    <row r="1678" spans="1:7" x14ac:dyDescent="0.2">
      <c r="A1678" s="590"/>
      <c r="B1678" s="1068"/>
      <c r="C1678" s="1068"/>
      <c r="D1678" s="1634"/>
      <c r="G1678" s="1352" t="s">
        <v>246</v>
      </c>
    </row>
    <row r="1679" spans="1:7" ht="16" thickBot="1" x14ac:dyDescent="0.25">
      <c r="A1679" s="594"/>
      <c r="B1679" s="1069"/>
      <c r="C1679" s="1069"/>
      <c r="D1679" s="1635"/>
      <c r="G1679" s="1352" t="s">
        <v>246</v>
      </c>
    </row>
    <row r="1680" spans="1:7" ht="16" thickTop="1" x14ac:dyDescent="0.2">
      <c r="A1680" s="589" t="s">
        <v>4643</v>
      </c>
      <c r="B1680" s="873"/>
      <c r="C1680" s="873"/>
      <c r="D1680" s="1370" t="s">
        <v>4538</v>
      </c>
      <c r="G1680" s="1352" t="s">
        <v>246</v>
      </c>
    </row>
    <row r="1681" spans="1:7" x14ac:dyDescent="0.2">
      <c r="A1681" s="589"/>
      <c r="B1681" s="873" t="s">
        <v>254</v>
      </c>
      <c r="C1681" s="873"/>
      <c r="D1681" s="1634" t="s">
        <v>4539</v>
      </c>
      <c r="E1681" s="1352">
        <f ca="1">'Verification Report'!O1681</f>
        <v>4</v>
      </c>
      <c r="F1681" s="1341" t="str">
        <f>IF(LEN('Verification Report'!W1681)=0,"",'Verification Report'!W1681)</f>
        <v>1 compartment</v>
      </c>
      <c r="G1681" s="1352" t="s">
        <v>246</v>
      </c>
    </row>
    <row r="1682" spans="1:7" x14ac:dyDescent="0.2">
      <c r="A1682" s="589"/>
      <c r="B1682" s="873"/>
      <c r="C1682" s="873"/>
      <c r="D1682" s="1634"/>
      <c r="G1682" s="1352" t="s">
        <v>246</v>
      </c>
    </row>
    <row r="1683" spans="1:7" x14ac:dyDescent="0.2">
      <c r="A1683" s="589"/>
      <c r="B1683" s="873"/>
      <c r="C1683" s="873"/>
      <c r="D1683" s="1634"/>
      <c r="G1683" s="1352" t="s">
        <v>246</v>
      </c>
    </row>
    <row r="1684" spans="1:7" x14ac:dyDescent="0.2">
      <c r="A1684" s="589"/>
      <c r="B1684" s="873"/>
      <c r="C1684" s="873"/>
      <c r="D1684" s="1634"/>
      <c r="G1684" s="1352" t="s">
        <v>246</v>
      </c>
    </row>
    <row r="1685" spans="1:7" x14ac:dyDescent="0.2">
      <c r="A1685" s="589"/>
      <c r="B1685" s="873"/>
      <c r="C1685" s="873"/>
      <c r="D1685" s="1634"/>
      <c r="G1685" s="1352" t="s">
        <v>246</v>
      </c>
    </row>
    <row r="1686" spans="1:7" x14ac:dyDescent="0.2">
      <c r="A1686" s="589"/>
      <c r="B1686" s="873"/>
      <c r="C1686" s="873"/>
      <c r="D1686" s="1634"/>
      <c r="G1686" s="1352" t="s">
        <v>246</v>
      </c>
    </row>
    <row r="1687" spans="1:7" x14ac:dyDescent="0.2">
      <c r="A1687" s="589"/>
      <c r="B1687" s="873"/>
      <c r="C1687" s="873"/>
      <c r="D1687" s="1634"/>
      <c r="G1687" s="1352" t="s">
        <v>246</v>
      </c>
    </row>
    <row r="1688" spans="1:7" x14ac:dyDescent="0.2">
      <c r="A1688" s="589"/>
      <c r="B1688" s="873"/>
      <c r="C1688" s="873"/>
      <c r="D1688" s="1634"/>
      <c r="G1688" s="1352" t="s">
        <v>246</v>
      </c>
    </row>
    <row r="1689" spans="1:7" x14ac:dyDescent="0.2">
      <c r="A1689" s="589"/>
      <c r="B1689" s="1068"/>
      <c r="C1689" s="1068"/>
      <c r="D1689" s="1745" t="s">
        <v>4540</v>
      </c>
      <c r="G1689" s="1352" t="s">
        <v>246</v>
      </c>
    </row>
    <row r="1690" spans="1:7" x14ac:dyDescent="0.2">
      <c r="A1690" s="589"/>
      <c r="B1690" s="1068"/>
      <c r="C1690" s="1068"/>
      <c r="D1690" s="1745"/>
      <c r="G1690" s="1352" t="s">
        <v>246</v>
      </c>
    </row>
    <row r="1691" spans="1:7" x14ac:dyDescent="0.2">
      <c r="A1691" s="589"/>
      <c r="B1691" s="1072"/>
      <c r="C1691" s="1072"/>
      <c r="D1691" s="1760"/>
      <c r="G1691" s="1352" t="s">
        <v>246</v>
      </c>
    </row>
    <row r="1692" spans="1:7" x14ac:dyDescent="0.2">
      <c r="A1692" s="589"/>
      <c r="B1692" s="873" t="s">
        <v>255</v>
      </c>
      <c r="C1692" s="873"/>
      <c r="D1692" s="1634" t="s">
        <v>4858</v>
      </c>
      <c r="E1692" s="1352">
        <f ca="1">'Verification Report'!O1692</f>
        <v>0</v>
      </c>
      <c r="F1692" s="1341" t="str">
        <f>IF(LEN('Verification Report'!W1692)=0,"",'Verification Report'!W1692)</f>
        <v/>
      </c>
      <c r="G1692" s="1352" t="s">
        <v>246</v>
      </c>
    </row>
    <row r="1693" spans="1:7" x14ac:dyDescent="0.2">
      <c r="A1693" s="589"/>
      <c r="B1693" s="873"/>
      <c r="C1693" s="873"/>
      <c r="D1693" s="1634"/>
      <c r="G1693" s="1352" t="s">
        <v>246</v>
      </c>
    </row>
    <row r="1694" spans="1:7" x14ac:dyDescent="0.2">
      <c r="A1694" s="589"/>
      <c r="B1694" s="873"/>
      <c r="C1694" s="873"/>
      <c r="D1694" s="1634"/>
      <c r="G1694" s="1352" t="s">
        <v>246</v>
      </c>
    </row>
    <row r="1695" spans="1:7" x14ac:dyDescent="0.2">
      <c r="A1695" s="589"/>
      <c r="B1695" s="873"/>
      <c r="C1695" s="1072" t="s">
        <v>121</v>
      </c>
      <c r="D1695" s="1361" t="s">
        <v>4541</v>
      </c>
      <c r="G1695" s="1352" t="s">
        <v>246</v>
      </c>
    </row>
    <row r="1696" spans="1:7" x14ac:dyDescent="0.2">
      <c r="A1696" s="589"/>
      <c r="B1696" s="1072"/>
      <c r="C1696" s="1072" t="s">
        <v>122</v>
      </c>
      <c r="D1696" s="1361" t="s">
        <v>4542</v>
      </c>
      <c r="G1696" s="1352" t="s">
        <v>246</v>
      </c>
    </row>
    <row r="1697" spans="1:7" x14ac:dyDescent="0.2">
      <c r="A1697" s="590"/>
      <c r="B1697" s="1068" t="s">
        <v>256</v>
      </c>
      <c r="C1697" s="1068"/>
      <c r="D1697" s="1634" t="s">
        <v>4543</v>
      </c>
      <c r="E1697" s="1352">
        <f ca="1">'Verification Report'!O1697</f>
        <v>0</v>
      </c>
      <c r="F1697" s="1341" t="str">
        <f>IF(LEN('Verification Report'!W1697)=0,"",'Verification Report'!W1697)</f>
        <v/>
      </c>
      <c r="G1697" s="1352" t="s">
        <v>246</v>
      </c>
    </row>
    <row r="1698" spans="1:7" x14ac:dyDescent="0.2">
      <c r="A1698" s="590"/>
      <c r="B1698" s="1068"/>
      <c r="C1698" s="1068"/>
      <c r="D1698" s="1634"/>
      <c r="G1698" s="1352" t="s">
        <v>246</v>
      </c>
    </row>
    <row r="1699" spans="1:7" ht="16" thickBot="1" x14ac:dyDescent="0.25">
      <c r="A1699" s="594"/>
      <c r="B1699" s="1069"/>
      <c r="C1699" s="1069"/>
      <c r="D1699" s="1635"/>
      <c r="G1699" s="1352" t="s">
        <v>246</v>
      </c>
    </row>
    <row r="1700" spans="1:7" ht="16" thickTop="1" x14ac:dyDescent="0.2">
      <c r="A1700" s="589" t="s">
        <v>4544</v>
      </c>
      <c r="B1700" s="873"/>
      <c r="C1700" s="873"/>
      <c r="D1700" s="1370" t="s">
        <v>4545</v>
      </c>
      <c r="G1700" s="1352" t="s">
        <v>246</v>
      </c>
    </row>
    <row r="1701" spans="1:7" x14ac:dyDescent="0.2">
      <c r="A1701" s="589" t="s">
        <v>4546</v>
      </c>
      <c r="B1701" s="873"/>
      <c r="C1701" s="873"/>
      <c r="D1701" s="1687" t="s">
        <v>4547</v>
      </c>
      <c r="E1701" s="1352">
        <f ca="1">'Verification Report'!O1701</f>
        <v>4</v>
      </c>
      <c r="F1701" s="1341" t="str">
        <f>IF(LEN('Verification Report'!W1701)=0,"",'Verification Report'!W1701)</f>
        <v>2 fixtures</v>
      </c>
      <c r="G1701" s="1352" t="s">
        <v>246</v>
      </c>
    </row>
    <row r="1702" spans="1:7" x14ac:dyDescent="0.2">
      <c r="A1702" s="589"/>
      <c r="B1702" s="873"/>
      <c r="C1702" s="873"/>
      <c r="D1702" s="1687"/>
      <c r="G1702" s="1352" t="s">
        <v>246</v>
      </c>
    </row>
    <row r="1703" spans="1:7" x14ac:dyDescent="0.2">
      <c r="A1703" s="589"/>
      <c r="B1703" s="873"/>
      <c r="C1703" s="873"/>
      <c r="D1703" s="1687"/>
      <c r="F1703" s="1341" t="str">
        <f>IF(LEN('Verification Report'!W1703)=0,"",'Verification Report'!W1703)</f>
        <v>(2)</v>
      </c>
      <c r="G1703" s="1352" t="s">
        <v>246</v>
      </c>
    </row>
    <row r="1704" spans="1:7" x14ac:dyDescent="0.2">
      <c r="A1704" s="589"/>
      <c r="B1704" s="1068" t="s">
        <v>254</v>
      </c>
      <c r="C1704" s="1068"/>
      <c r="D1704" s="1359" t="s">
        <v>4548</v>
      </c>
      <c r="G1704" s="1352" t="s">
        <v>246</v>
      </c>
    </row>
    <row r="1705" spans="1:7" x14ac:dyDescent="0.2">
      <c r="A1705" s="589"/>
      <c r="B1705" s="1068"/>
      <c r="C1705" s="1068"/>
      <c r="D1705" s="1745" t="s">
        <v>4549</v>
      </c>
      <c r="G1705" s="1352" t="s">
        <v>246</v>
      </c>
    </row>
    <row r="1706" spans="1:7" x14ac:dyDescent="0.2">
      <c r="A1706" s="589"/>
      <c r="B1706" s="1068"/>
      <c r="C1706" s="1068"/>
      <c r="D1706" s="1745"/>
      <c r="G1706" s="1352" t="s">
        <v>246</v>
      </c>
    </row>
    <row r="1707" spans="1:7" x14ac:dyDescent="0.2">
      <c r="A1707" s="589"/>
      <c r="B1707" s="1072"/>
      <c r="C1707" s="1072"/>
      <c r="D1707" s="1760"/>
      <c r="G1707" s="1352" t="s">
        <v>246</v>
      </c>
    </row>
    <row r="1708" spans="1:7" x14ac:dyDescent="0.2">
      <c r="A1708" s="589"/>
      <c r="B1708" s="1074" t="s">
        <v>255</v>
      </c>
      <c r="C1708" s="1074"/>
      <c r="D1708" s="1075" t="s">
        <v>4550</v>
      </c>
      <c r="G1708" s="1352" t="s">
        <v>246</v>
      </c>
    </row>
    <row r="1709" spans="1:7" x14ac:dyDescent="0.2">
      <c r="A1709" s="589"/>
      <c r="B1709" s="1074" t="s">
        <v>256</v>
      </c>
      <c r="C1709" s="1074"/>
      <c r="D1709" s="1075" t="s">
        <v>4551</v>
      </c>
      <c r="G1709" s="1352" t="s">
        <v>246</v>
      </c>
    </row>
    <row r="1710" spans="1:7" x14ac:dyDescent="0.2">
      <c r="A1710" s="589"/>
      <c r="B1710" s="1073" t="s">
        <v>259</v>
      </c>
      <c r="C1710" s="1073"/>
      <c r="D1710" s="1633" t="s">
        <v>4552</v>
      </c>
      <c r="G1710" s="1352" t="s">
        <v>246</v>
      </c>
    </row>
    <row r="1711" spans="1:7" x14ac:dyDescent="0.2">
      <c r="A1711" s="589"/>
      <c r="B1711" s="1072"/>
      <c r="C1711" s="1072"/>
      <c r="D1711" s="1639"/>
      <c r="G1711" s="1352" t="s">
        <v>246</v>
      </c>
    </row>
    <row r="1712" spans="1:7" x14ac:dyDescent="0.2">
      <c r="A1712" s="606"/>
      <c r="B1712" s="1072" t="s">
        <v>263</v>
      </c>
      <c r="C1712" s="1072"/>
      <c r="D1712" s="1361" t="s">
        <v>4553</v>
      </c>
      <c r="G1712" s="1352" t="s">
        <v>246</v>
      </c>
    </row>
    <row r="1713" spans="1:7" x14ac:dyDescent="0.2">
      <c r="A1713" s="589" t="s">
        <v>4554</v>
      </c>
      <c r="B1713" s="873"/>
      <c r="C1713" s="873"/>
      <c r="D1713" s="1687" t="s">
        <v>4555</v>
      </c>
      <c r="E1713" s="1352">
        <f ca="1">'Verification Report'!O1713</f>
        <v>3</v>
      </c>
      <c r="F1713" s="1341" t="str">
        <f>IF(LEN('Verification Report'!W1713)=0,"",'Verification Report'!W1713)</f>
        <v>(1)</v>
      </c>
      <c r="G1713" s="1352" t="s">
        <v>246</v>
      </c>
    </row>
    <row r="1714" spans="1:7" x14ac:dyDescent="0.2">
      <c r="A1714" s="589"/>
      <c r="B1714" s="873"/>
      <c r="C1714" s="873"/>
      <c r="D1714" s="1687"/>
      <c r="G1714" s="1352" t="s">
        <v>246</v>
      </c>
    </row>
    <row r="1715" spans="1:7" x14ac:dyDescent="0.2">
      <c r="A1715" s="589"/>
      <c r="B1715" s="873"/>
      <c r="C1715" s="873"/>
      <c r="D1715" s="1687"/>
      <c r="G1715" s="1352" t="s">
        <v>246</v>
      </c>
    </row>
    <row r="1716" spans="1:7" x14ac:dyDescent="0.2">
      <c r="A1716" s="589"/>
      <c r="B1716" s="1072" t="s">
        <v>254</v>
      </c>
      <c r="C1716" s="1072"/>
      <c r="D1716" s="1361" t="s">
        <v>4556</v>
      </c>
      <c r="G1716" s="1352" t="s">
        <v>246</v>
      </c>
    </row>
    <row r="1717" spans="1:7" x14ac:dyDescent="0.2">
      <c r="A1717" s="606"/>
      <c r="B1717" s="1072" t="s">
        <v>255</v>
      </c>
      <c r="C1717" s="1072"/>
      <c r="D1717" s="1361" t="s">
        <v>4557</v>
      </c>
      <c r="G1717" s="1352" t="s">
        <v>246</v>
      </c>
    </row>
    <row r="1718" spans="1:7" x14ac:dyDescent="0.2">
      <c r="A1718" s="590" t="s">
        <v>4558</v>
      </c>
      <c r="B1718" s="1068"/>
      <c r="C1718" s="1068"/>
      <c r="D1718" s="1687" t="s">
        <v>4559</v>
      </c>
      <c r="E1718" s="1352">
        <f ca="1">'Verification Report'!O1718</f>
        <v>0</v>
      </c>
      <c r="F1718" s="1341" t="str">
        <f>IF(LEN('Verification Report'!W1718)=0,"",'Verification Report'!W1718)</f>
        <v/>
      </c>
      <c r="G1718" s="1352" t="s">
        <v>246</v>
      </c>
    </row>
    <row r="1719" spans="1:7" x14ac:dyDescent="0.2">
      <c r="A1719" s="606"/>
      <c r="B1719" s="1072"/>
      <c r="C1719" s="1072"/>
      <c r="D1719" s="1688"/>
      <c r="G1719" s="1352" t="s">
        <v>246</v>
      </c>
    </row>
    <row r="1720" spans="1:7" x14ac:dyDescent="0.2">
      <c r="A1720" s="589" t="s">
        <v>4560</v>
      </c>
      <c r="B1720" s="873"/>
      <c r="C1720" s="873"/>
      <c r="D1720" s="1687" t="s">
        <v>4854</v>
      </c>
      <c r="G1720" s="1352" t="s">
        <v>246</v>
      </c>
    </row>
    <row r="1721" spans="1:7" x14ac:dyDescent="0.2">
      <c r="A1721" s="589"/>
      <c r="B1721" s="873"/>
      <c r="C1721" s="873"/>
      <c r="D1721" s="1687"/>
      <c r="G1721" s="1352" t="s">
        <v>246</v>
      </c>
    </row>
    <row r="1722" spans="1:7" x14ac:dyDescent="0.2">
      <c r="A1722" s="589"/>
      <c r="B1722" s="1068" t="s">
        <v>254</v>
      </c>
      <c r="C1722" s="1068"/>
      <c r="D1722" s="1634" t="s">
        <v>4703</v>
      </c>
      <c r="G1722" s="1352" t="s">
        <v>246</v>
      </c>
    </row>
    <row r="1723" spans="1:7" x14ac:dyDescent="0.2">
      <c r="A1723" s="589"/>
      <c r="B1723" s="1072"/>
      <c r="C1723" s="1072"/>
      <c r="D1723" s="1639"/>
      <c r="G1723" s="1352" t="s">
        <v>246</v>
      </c>
    </row>
    <row r="1724" spans="1:7" x14ac:dyDescent="0.2">
      <c r="A1724" s="589"/>
      <c r="B1724" s="1073" t="s">
        <v>255</v>
      </c>
      <c r="C1724" s="1073"/>
      <c r="D1724" s="1633" t="s">
        <v>5083</v>
      </c>
      <c r="E1724" s="1352">
        <f ca="1">'Verification Report'!O1724</f>
        <v>4</v>
      </c>
      <c r="F1724" s="1341" t="str">
        <f>IF(LEN('Verification Report'!W1724)=0,"",'Verification Report'!W1724)</f>
        <v>2 fixtures</v>
      </c>
      <c r="G1724" s="1352" t="s">
        <v>246</v>
      </c>
    </row>
    <row r="1725" spans="1:7" x14ac:dyDescent="0.2">
      <c r="A1725" s="589"/>
      <c r="B1725" s="1068"/>
      <c r="C1725" s="1068"/>
      <c r="D1725" s="1634"/>
      <c r="G1725" s="1352" t="s">
        <v>246</v>
      </c>
    </row>
    <row r="1726" spans="1:7" x14ac:dyDescent="0.2">
      <c r="A1726" s="589"/>
      <c r="B1726" s="1068"/>
      <c r="C1726" s="1068"/>
      <c r="D1726" s="1634"/>
      <c r="G1726" s="1352" t="s">
        <v>246</v>
      </c>
    </row>
    <row r="1727" spans="1:7" x14ac:dyDescent="0.2">
      <c r="A1727" s="589"/>
      <c r="B1727" s="1068"/>
      <c r="C1727" s="1068"/>
      <c r="D1727" s="1634"/>
      <c r="G1727" s="1352" t="s">
        <v>246</v>
      </c>
    </row>
    <row r="1728" spans="1:7" x14ac:dyDescent="0.2">
      <c r="A1728" s="589"/>
      <c r="B1728" s="1068"/>
      <c r="C1728" s="1068"/>
      <c r="D1728" s="1634"/>
      <c r="G1728" s="1352" t="s">
        <v>246</v>
      </c>
    </row>
    <row r="1729" spans="1:7" x14ac:dyDescent="0.2">
      <c r="A1729" s="589"/>
      <c r="B1729" s="1068"/>
      <c r="C1729" s="1068"/>
      <c r="D1729" s="1634"/>
      <c r="G1729" s="1352" t="s">
        <v>246</v>
      </c>
    </row>
    <row r="1730" spans="1:7" x14ac:dyDescent="0.2">
      <c r="A1730" s="589"/>
      <c r="B1730" s="1072"/>
      <c r="C1730" s="1072"/>
      <c r="D1730" s="1639"/>
      <c r="G1730" s="1352" t="s">
        <v>246</v>
      </c>
    </row>
    <row r="1731" spans="1:7" x14ac:dyDescent="0.2">
      <c r="A1731" s="589"/>
      <c r="B1731" s="1072" t="s">
        <v>256</v>
      </c>
      <c r="C1731" s="1072"/>
      <c r="D1731" s="1361" t="s">
        <v>4855</v>
      </c>
      <c r="E1731" s="1352">
        <f ca="1">'Verification Report'!O1731</f>
        <v>7</v>
      </c>
      <c r="F1731" s="1341" t="b">
        <f>IF(LEN('Verification Report'!W1731)=0,"",'Verification Report'!W1731)</f>
        <v>1</v>
      </c>
      <c r="G1731" s="1352" t="s">
        <v>246</v>
      </c>
    </row>
    <row r="1732" spans="1:7" x14ac:dyDescent="0.2">
      <c r="A1732" s="589"/>
      <c r="B1732" s="873" t="s">
        <v>259</v>
      </c>
      <c r="C1732" s="873"/>
      <c r="D1732" s="1634" t="s">
        <v>4856</v>
      </c>
      <c r="G1732" s="1352" t="s">
        <v>246</v>
      </c>
    </row>
    <row r="1733" spans="1:7" x14ac:dyDescent="0.2">
      <c r="A1733" s="589"/>
      <c r="B1733" s="873"/>
      <c r="C1733" s="873"/>
      <c r="D1733" s="1634"/>
      <c r="G1733" s="1352" t="s">
        <v>246</v>
      </c>
    </row>
    <row r="1734" spans="1:7" x14ac:dyDescent="0.2">
      <c r="A1734" s="589"/>
      <c r="B1734" s="873"/>
      <c r="C1734" s="1068" t="s">
        <v>121</v>
      </c>
      <c r="D1734" s="1634" t="s">
        <v>4561</v>
      </c>
      <c r="E1734" s="1352">
        <f ca="1">'Verification Report'!O1734</f>
        <v>0</v>
      </c>
      <c r="F1734" s="1341" t="str">
        <f>IF(LEN('Verification Report'!W1734)=0,"",'Verification Report'!W1734)</f>
        <v/>
      </c>
      <c r="G1734" s="1352" t="s">
        <v>246</v>
      </c>
    </row>
    <row r="1735" spans="1:7" x14ac:dyDescent="0.2">
      <c r="A1735" s="589"/>
      <c r="B1735" s="873"/>
      <c r="C1735" s="1068"/>
      <c r="D1735" s="1634"/>
      <c r="G1735" s="1352" t="s">
        <v>246</v>
      </c>
    </row>
    <row r="1736" spans="1:7" x14ac:dyDescent="0.2">
      <c r="A1736" s="589"/>
      <c r="B1736" s="873"/>
      <c r="C1736" s="1068"/>
      <c r="D1736" s="1634"/>
      <c r="G1736" s="1352" t="s">
        <v>246</v>
      </c>
    </row>
    <row r="1737" spans="1:7" x14ac:dyDescent="0.2">
      <c r="A1737" s="589"/>
      <c r="B1737" s="873"/>
      <c r="C1737" s="1072"/>
      <c r="D1737" s="1639"/>
      <c r="G1737" s="1352" t="s">
        <v>246</v>
      </c>
    </row>
    <row r="1738" spans="1:7" x14ac:dyDescent="0.2">
      <c r="A1738" s="589"/>
      <c r="B1738" s="873"/>
      <c r="C1738" s="1073" t="s">
        <v>122</v>
      </c>
      <c r="D1738" s="1633" t="s">
        <v>4562</v>
      </c>
      <c r="E1738" s="1352">
        <f ca="1">'Verification Report'!O1738</f>
        <v>0</v>
      </c>
      <c r="F1738" s="1341" t="str">
        <f>IF(LEN('Verification Report'!W1738)=0,"",'Verification Report'!W1738)</f>
        <v/>
      </c>
      <c r="G1738" s="1352" t="s">
        <v>246</v>
      </c>
    </row>
    <row r="1739" spans="1:7" x14ac:dyDescent="0.2">
      <c r="A1739" s="589"/>
      <c r="B1739" s="873"/>
      <c r="C1739" s="1072"/>
      <c r="D1739" s="1639"/>
      <c r="G1739" s="1352" t="s">
        <v>246</v>
      </c>
    </row>
    <row r="1740" spans="1:7" x14ac:dyDescent="0.2">
      <c r="A1740" s="590"/>
      <c r="B1740" s="1068"/>
      <c r="C1740" s="1068" t="s">
        <v>123</v>
      </c>
      <c r="D1740" s="1634" t="s">
        <v>4563</v>
      </c>
      <c r="E1740" s="1352">
        <f ca="1">'Verification Report'!O1740</f>
        <v>0</v>
      </c>
      <c r="F1740" s="1341" t="str">
        <f>IF(LEN('Verification Report'!W1740)=0,"",'Verification Report'!W1740)</f>
        <v/>
      </c>
      <c r="G1740" s="1352" t="s">
        <v>246</v>
      </c>
    </row>
    <row r="1741" spans="1:7" ht="16" thickBot="1" x14ac:dyDescent="0.25">
      <c r="A1741" s="594"/>
      <c r="B1741" s="1069"/>
      <c r="C1741" s="1069"/>
      <c r="D1741" s="1635"/>
      <c r="G1741" s="1352" t="s">
        <v>246</v>
      </c>
    </row>
    <row r="1742" spans="1:7" ht="16" thickTop="1" x14ac:dyDescent="0.2">
      <c r="A1742" s="589" t="s">
        <v>4564</v>
      </c>
      <c r="B1742" s="873"/>
      <c r="C1742" s="873"/>
      <c r="D1742" s="1370" t="s">
        <v>4565</v>
      </c>
      <c r="G1742" s="1352" t="s">
        <v>246</v>
      </c>
    </row>
    <row r="1743" spans="1:7" x14ac:dyDescent="0.2">
      <c r="A1743" s="589" t="s">
        <v>4566</v>
      </c>
      <c r="B1743" s="873"/>
      <c r="C1743" s="873"/>
      <c r="D1743" s="1687" t="s">
        <v>4567</v>
      </c>
      <c r="F1743" s="1341" t="str">
        <f>IF(LEN('Verification Report'!W1743)=0,"",'Verification Report'!W1743)</f>
        <v>N/A</v>
      </c>
      <c r="G1743" s="1352" t="s">
        <v>246</v>
      </c>
    </row>
    <row r="1744" spans="1:7" x14ac:dyDescent="0.2">
      <c r="A1744" s="589"/>
      <c r="B1744" s="873"/>
      <c r="C1744" s="873"/>
      <c r="D1744" s="1687"/>
      <c r="G1744" s="1352" t="s">
        <v>246</v>
      </c>
    </row>
    <row r="1745" spans="1:7" x14ac:dyDescent="0.2">
      <c r="A1745" s="608" t="s">
        <v>4568</v>
      </c>
      <c r="B1745" s="1073"/>
      <c r="C1745" s="1073"/>
      <c r="D1745" s="1686" t="s">
        <v>4569</v>
      </c>
      <c r="E1745" s="1352">
        <f ca="1">'Verification Report'!O1745</f>
        <v>0</v>
      </c>
      <c r="F1745" s="1341" t="str">
        <f>IF(LEN('Verification Report'!W1745)=0,"",'Verification Report'!W1745)</f>
        <v/>
      </c>
      <c r="G1745" s="1352" t="s">
        <v>246</v>
      </c>
    </row>
    <row r="1746" spans="1:7" x14ac:dyDescent="0.2">
      <c r="A1746" s="590"/>
      <c r="B1746" s="1068"/>
      <c r="C1746" s="1068"/>
      <c r="D1746" s="1687"/>
      <c r="G1746" s="1352" t="s">
        <v>246</v>
      </c>
    </row>
    <row r="1747" spans="1:7" x14ac:dyDescent="0.2">
      <c r="A1747" s="606"/>
      <c r="B1747" s="1072"/>
      <c r="C1747" s="1072"/>
      <c r="D1747" s="1688"/>
      <c r="G1747" s="1352" t="s">
        <v>246</v>
      </c>
    </row>
    <row r="1748" spans="1:7" x14ac:dyDescent="0.2">
      <c r="A1748" s="589" t="s">
        <v>4570</v>
      </c>
      <c r="B1748" s="873"/>
      <c r="C1748" s="873"/>
      <c r="D1748" s="1370" t="s">
        <v>4571</v>
      </c>
      <c r="G1748" s="1352" t="s">
        <v>246</v>
      </c>
    </row>
    <row r="1749" spans="1:7" x14ac:dyDescent="0.2">
      <c r="A1749" s="589"/>
      <c r="B1749" s="1072" t="s">
        <v>254</v>
      </c>
      <c r="C1749" s="1072"/>
      <c r="D1749" s="1361" t="s">
        <v>4572</v>
      </c>
      <c r="E1749" s="1352">
        <f ca="1">'Verification Report'!O1749</f>
        <v>0</v>
      </c>
      <c r="F1749" s="1341" t="str">
        <f>IF(LEN('Verification Report'!W1749)=0,"",'Verification Report'!W1749)</f>
        <v/>
      </c>
      <c r="G1749" s="1352" t="s">
        <v>246</v>
      </c>
    </row>
    <row r="1750" spans="1:7" x14ac:dyDescent="0.2">
      <c r="A1750" s="589"/>
      <c r="B1750" s="1074" t="s">
        <v>255</v>
      </c>
      <c r="C1750" s="1074"/>
      <c r="D1750" s="1075" t="s">
        <v>4573</v>
      </c>
      <c r="E1750" s="1352">
        <f ca="1">'Verification Report'!O1750</f>
        <v>0</v>
      </c>
      <c r="F1750" s="1341" t="str">
        <f>IF(LEN('Verification Report'!W1750)=0,"",'Verification Report'!W1750)</f>
        <v/>
      </c>
      <c r="G1750" s="1352" t="s">
        <v>246</v>
      </c>
    </row>
    <row r="1751" spans="1:7" x14ac:dyDescent="0.2">
      <c r="A1751" s="590"/>
      <c r="B1751" s="1073" t="s">
        <v>256</v>
      </c>
      <c r="C1751" s="1073"/>
      <c r="D1751" s="1633" t="s">
        <v>4574</v>
      </c>
      <c r="E1751" s="1352">
        <f ca="1">'Verification Report'!O1751</f>
        <v>0</v>
      </c>
      <c r="F1751" s="1341" t="str">
        <f>IF(LEN('Verification Report'!W1751)=0,"",'Verification Report'!W1751)</f>
        <v/>
      </c>
      <c r="G1751" s="1352" t="s">
        <v>246</v>
      </c>
    </row>
    <row r="1752" spans="1:7" x14ac:dyDescent="0.2">
      <c r="A1752" s="606"/>
      <c r="B1752" s="1072"/>
      <c r="C1752" s="1072"/>
      <c r="D1752" s="1639"/>
      <c r="G1752" s="1352" t="s">
        <v>246</v>
      </c>
    </row>
    <row r="1753" spans="1:7" x14ac:dyDescent="0.2">
      <c r="A1753" s="589" t="s">
        <v>4575</v>
      </c>
      <c r="B1753" s="873"/>
      <c r="C1753" s="873"/>
      <c r="D1753" s="1687" t="s">
        <v>4576</v>
      </c>
      <c r="G1753" s="1352" t="s">
        <v>246</v>
      </c>
    </row>
    <row r="1754" spans="1:7" x14ac:dyDescent="0.2">
      <c r="A1754" s="589"/>
      <c r="B1754" s="873"/>
      <c r="C1754" s="873"/>
      <c r="D1754" s="1687"/>
      <c r="G1754" s="1352" t="s">
        <v>246</v>
      </c>
    </row>
    <row r="1755" spans="1:7" x14ac:dyDescent="0.2">
      <c r="A1755" s="589"/>
      <c r="B1755" s="1068" t="s">
        <v>254</v>
      </c>
      <c r="C1755" s="1068"/>
      <c r="D1755" s="1634" t="s">
        <v>4577</v>
      </c>
      <c r="E1755" s="1352">
        <f ca="1">'Verification Report'!O1755</f>
        <v>0</v>
      </c>
      <c r="F1755" s="1341" t="str">
        <f>IF(LEN('Verification Report'!W1755)=0,"",'Verification Report'!W1755)</f>
        <v/>
      </c>
      <c r="G1755" s="1352" t="s">
        <v>246</v>
      </c>
    </row>
    <row r="1756" spans="1:7" x14ac:dyDescent="0.2">
      <c r="A1756" s="589"/>
      <c r="B1756" s="1072"/>
      <c r="C1756" s="1072"/>
      <c r="D1756" s="1639"/>
      <c r="G1756" s="1352" t="s">
        <v>246</v>
      </c>
    </row>
    <row r="1757" spans="1:7" x14ac:dyDescent="0.2">
      <c r="A1757" s="590"/>
      <c r="B1757" s="1068" t="s">
        <v>255</v>
      </c>
      <c r="C1757" s="1068"/>
      <c r="D1757" s="1634" t="s">
        <v>4578</v>
      </c>
      <c r="E1757" s="1352">
        <f ca="1">'Verification Report'!O1757</f>
        <v>0</v>
      </c>
      <c r="F1757" s="1341" t="str">
        <f>IF(LEN('Verification Report'!W1757)=0,"",'Verification Report'!W1757)</f>
        <v/>
      </c>
      <c r="G1757" s="1352" t="s">
        <v>246</v>
      </c>
    </row>
    <row r="1758" spans="1:7" x14ac:dyDescent="0.2">
      <c r="A1758" s="606"/>
      <c r="B1758" s="1072"/>
      <c r="C1758" s="1072"/>
      <c r="D1758" s="1639"/>
      <c r="G1758" s="1352" t="s">
        <v>246</v>
      </c>
    </row>
    <row r="1759" spans="1:7" x14ac:dyDescent="0.2">
      <c r="A1759" s="589" t="s">
        <v>4579</v>
      </c>
      <c r="B1759" s="873"/>
      <c r="C1759" s="873"/>
      <c r="D1759" s="1370" t="s">
        <v>4580</v>
      </c>
      <c r="G1759" s="1352" t="s">
        <v>246</v>
      </c>
    </row>
    <row r="1760" spans="1:7" x14ac:dyDescent="0.2">
      <c r="A1760" s="589"/>
      <c r="B1760" s="873"/>
      <c r="C1760" s="873"/>
      <c r="D1760" s="1390" t="s">
        <v>4581</v>
      </c>
      <c r="G1760" s="1352" t="s">
        <v>246</v>
      </c>
    </row>
    <row r="1761" spans="1:7" x14ac:dyDescent="0.2">
      <c r="A1761" s="589"/>
      <c r="B1761" s="1068" t="s">
        <v>254</v>
      </c>
      <c r="C1761" s="1068"/>
      <c r="D1761" s="1634" t="s">
        <v>4582</v>
      </c>
      <c r="E1761" s="1352">
        <f ca="1">'Verification Report'!O1761</f>
        <v>0</v>
      </c>
      <c r="F1761" s="1341" t="str">
        <f>IF(LEN('Verification Report'!W1761)=0,"",'Verification Report'!W1761)</f>
        <v/>
      </c>
      <c r="G1761" s="1352" t="s">
        <v>246</v>
      </c>
    </row>
    <row r="1762" spans="1:7" x14ac:dyDescent="0.2">
      <c r="A1762" s="589"/>
      <c r="B1762" s="1072"/>
      <c r="C1762" s="1072"/>
      <c r="D1762" s="1639"/>
      <c r="G1762" s="1352" t="s">
        <v>246</v>
      </c>
    </row>
    <row r="1763" spans="1:7" x14ac:dyDescent="0.2">
      <c r="A1763" s="589"/>
      <c r="B1763" s="1073" t="s">
        <v>255</v>
      </c>
      <c r="C1763" s="1073"/>
      <c r="D1763" s="1633" t="s">
        <v>4583</v>
      </c>
      <c r="E1763" s="1352">
        <f ca="1">'Verification Report'!O1763</f>
        <v>0</v>
      </c>
      <c r="F1763" s="1341" t="str">
        <f>IF(LEN('Verification Report'!W1763)=0,"",'Verification Report'!W1763)</f>
        <v/>
      </c>
      <c r="G1763" s="1352" t="s">
        <v>246</v>
      </c>
    </row>
    <row r="1764" spans="1:7" x14ac:dyDescent="0.2">
      <c r="A1764" s="589"/>
      <c r="B1764" s="1072"/>
      <c r="C1764" s="1072"/>
      <c r="D1764" s="1639"/>
      <c r="G1764" s="1352" t="s">
        <v>246</v>
      </c>
    </row>
    <row r="1765" spans="1:7" x14ac:dyDescent="0.2">
      <c r="A1765" s="589"/>
      <c r="B1765" s="1074" t="s">
        <v>256</v>
      </c>
      <c r="C1765" s="1074"/>
      <c r="D1765" s="1075" t="s">
        <v>4584</v>
      </c>
      <c r="E1765" s="1352">
        <f ca="1">'Verification Report'!O1765</f>
        <v>0</v>
      </c>
      <c r="F1765" s="1341" t="str">
        <f>IF(LEN('Verification Report'!W1765)=0,"",'Verification Report'!W1765)</f>
        <v/>
      </c>
      <c r="G1765" s="1352" t="s">
        <v>246</v>
      </c>
    </row>
    <row r="1766" spans="1:7" x14ac:dyDescent="0.2">
      <c r="A1766" s="589"/>
      <c r="B1766" s="1073" t="s">
        <v>259</v>
      </c>
      <c r="C1766" s="1073"/>
      <c r="D1766" s="1633" t="s">
        <v>4585</v>
      </c>
      <c r="E1766" s="1352">
        <f ca="1">'Verification Report'!O1766</f>
        <v>0</v>
      </c>
      <c r="F1766" s="1341" t="str">
        <f>IF(LEN('Verification Report'!W1766)=0,"",'Verification Report'!W1766)</f>
        <v/>
      </c>
      <c r="G1766" s="1352" t="s">
        <v>246</v>
      </c>
    </row>
    <row r="1767" spans="1:7" x14ac:dyDescent="0.2">
      <c r="A1767" s="589"/>
      <c r="B1767" s="1072"/>
      <c r="C1767" s="1072"/>
      <c r="D1767" s="1639"/>
      <c r="G1767" s="1352" t="s">
        <v>246</v>
      </c>
    </row>
    <row r="1768" spans="1:7" x14ac:dyDescent="0.2">
      <c r="A1768" s="590"/>
      <c r="B1768" s="1068" t="s">
        <v>263</v>
      </c>
      <c r="C1768" s="1068"/>
      <c r="D1768" s="1634" t="s">
        <v>4586</v>
      </c>
      <c r="E1768" s="1352">
        <f ca="1">'Verification Report'!O1768</f>
        <v>0</v>
      </c>
      <c r="F1768" s="1341" t="str">
        <f>IF(LEN('Verification Report'!W1768)=0,"",'Verification Report'!W1768)</f>
        <v/>
      </c>
      <c r="G1768" s="1352" t="s">
        <v>246</v>
      </c>
    </row>
    <row r="1769" spans="1:7" ht="16" thickBot="1" x14ac:dyDescent="0.25">
      <c r="A1769" s="594"/>
      <c r="B1769" s="1069"/>
      <c r="C1769" s="1069"/>
      <c r="D1769" s="1635"/>
      <c r="G1769" s="1352" t="s">
        <v>246</v>
      </c>
    </row>
    <row r="1770" spans="1:7" ht="16" thickTop="1" x14ac:dyDescent="0.2">
      <c r="A1770" s="589" t="s">
        <v>4587</v>
      </c>
      <c r="B1770" s="873"/>
      <c r="C1770" s="873"/>
      <c r="D1770" s="1687" t="s">
        <v>4588</v>
      </c>
      <c r="G1770" s="1352" t="s">
        <v>246</v>
      </c>
    </row>
    <row r="1771" spans="1:7" x14ac:dyDescent="0.2">
      <c r="A1771" s="589"/>
      <c r="B1771" s="873"/>
      <c r="C1771" s="873"/>
      <c r="D1771" s="1687"/>
      <c r="G1771" s="1352" t="s">
        <v>246</v>
      </c>
    </row>
    <row r="1772" spans="1:7" x14ac:dyDescent="0.2">
      <c r="A1772" s="589" t="s">
        <v>4589</v>
      </c>
      <c r="B1772" s="873"/>
      <c r="C1772" s="873"/>
      <c r="D1772" s="1370" t="s">
        <v>4590</v>
      </c>
      <c r="E1772" s="1352">
        <f ca="1">'Verification Report'!O1772</f>
        <v>0</v>
      </c>
      <c r="F1772" s="1341" t="str">
        <f>IF(LEN('Verification Report'!W1772)=0,"",'Verification Report'!W1772)</f>
        <v/>
      </c>
      <c r="G1772" s="1352" t="s">
        <v>246</v>
      </c>
    </row>
    <row r="1773" spans="1:7" x14ac:dyDescent="0.2">
      <c r="A1773" s="589"/>
      <c r="B1773" s="1072" t="s">
        <v>254</v>
      </c>
      <c r="C1773" s="1072"/>
      <c r="D1773" s="1361" t="s">
        <v>4591</v>
      </c>
      <c r="G1773" s="1352" t="s">
        <v>246</v>
      </c>
    </row>
    <row r="1774" spans="1:7" x14ac:dyDescent="0.2">
      <c r="A1774" s="589"/>
      <c r="B1774" s="873" t="s">
        <v>255</v>
      </c>
      <c r="C1774" s="873"/>
      <c r="D1774" s="1633" t="s">
        <v>4592</v>
      </c>
      <c r="G1774" s="1352" t="s">
        <v>246</v>
      </c>
    </row>
    <row r="1775" spans="1:7" x14ac:dyDescent="0.2">
      <c r="A1775" s="589"/>
      <c r="B1775" s="873"/>
      <c r="C1775" s="873"/>
      <c r="D1775" s="1634"/>
      <c r="G1775" s="1352" t="s">
        <v>246</v>
      </c>
    </row>
    <row r="1776" spans="1:7" x14ac:dyDescent="0.2">
      <c r="A1776" s="589"/>
      <c r="B1776" s="873"/>
      <c r="C1776" s="1072" t="s">
        <v>121</v>
      </c>
      <c r="D1776" s="1361" t="s">
        <v>4593</v>
      </c>
      <c r="G1776" s="1352" t="s">
        <v>246</v>
      </c>
    </row>
    <row r="1777" spans="1:7" x14ac:dyDescent="0.2">
      <c r="A1777" s="589"/>
      <c r="B1777" s="873"/>
      <c r="C1777" s="1074" t="s">
        <v>122</v>
      </c>
      <c r="D1777" s="1075" t="s">
        <v>4594</v>
      </c>
      <c r="G1777" s="1352" t="s">
        <v>246</v>
      </c>
    </row>
    <row r="1778" spans="1:7" x14ac:dyDescent="0.2">
      <c r="A1778" s="589"/>
      <c r="B1778" s="873"/>
      <c r="C1778" s="1073" t="s">
        <v>123</v>
      </c>
      <c r="D1778" s="1633" t="s">
        <v>4595</v>
      </c>
      <c r="G1778" s="1352" t="s">
        <v>246</v>
      </c>
    </row>
    <row r="1779" spans="1:7" x14ac:dyDescent="0.2">
      <c r="A1779" s="589"/>
      <c r="B1779" s="873"/>
      <c r="C1779" s="1072"/>
      <c r="D1779" s="1639"/>
      <c r="G1779" s="1352" t="s">
        <v>246</v>
      </c>
    </row>
    <row r="1780" spans="1:7" x14ac:dyDescent="0.2">
      <c r="A1780" s="590"/>
      <c r="B1780" s="1068"/>
      <c r="C1780" s="1068" t="s">
        <v>366</v>
      </c>
      <c r="D1780" s="1634" t="s">
        <v>4596</v>
      </c>
      <c r="G1780" s="1352" t="s">
        <v>246</v>
      </c>
    </row>
    <row r="1781" spans="1:7" x14ac:dyDescent="0.2">
      <c r="A1781" s="590"/>
      <c r="B1781" s="1068"/>
      <c r="C1781" s="1068"/>
      <c r="D1781" s="1634"/>
      <c r="G1781" s="1352" t="s">
        <v>246</v>
      </c>
    </row>
    <row r="1782" spans="1:7" x14ac:dyDescent="0.2">
      <c r="A1782" s="606"/>
      <c r="B1782" s="1072"/>
      <c r="C1782" s="1072"/>
      <c r="D1782" s="1639"/>
      <c r="G1782" s="1352" t="s">
        <v>246</v>
      </c>
    </row>
    <row r="1783" spans="1:7" x14ac:dyDescent="0.2">
      <c r="A1783" s="589" t="s">
        <v>4597</v>
      </c>
      <c r="B1783" s="873"/>
      <c r="C1783" s="873"/>
      <c r="D1783" s="1687" t="s">
        <v>4598</v>
      </c>
      <c r="E1783" s="1352">
        <f ca="1">'Verification Report'!O1783</f>
        <v>0</v>
      </c>
      <c r="G1783" s="1352" t="s">
        <v>246</v>
      </c>
    </row>
    <row r="1784" spans="1:7" x14ac:dyDescent="0.2">
      <c r="A1784" s="589"/>
      <c r="B1784" s="873"/>
      <c r="C1784" s="873"/>
      <c r="D1784" s="1687"/>
      <c r="G1784" s="1352" t="s">
        <v>246</v>
      </c>
    </row>
    <row r="1785" spans="1:7" x14ac:dyDescent="0.2">
      <c r="A1785" s="589"/>
      <c r="B1785" s="873"/>
      <c r="C1785" s="873"/>
      <c r="D1785" s="1687"/>
      <c r="G1785" s="1352" t="s">
        <v>246</v>
      </c>
    </row>
    <row r="1786" spans="1:7" x14ac:dyDescent="0.2">
      <c r="A1786" s="589"/>
      <c r="B1786" s="1068" t="s">
        <v>254</v>
      </c>
      <c r="C1786" s="1068"/>
      <c r="D1786" s="1634" t="s">
        <v>4599</v>
      </c>
      <c r="F1786" s="1341" t="str">
        <f>IF(LEN('Verification Report'!W1786)=0,"",'Verification Report'!W1786)</f>
        <v/>
      </c>
      <c r="G1786" s="1352" t="s">
        <v>246</v>
      </c>
    </row>
    <row r="1787" spans="1:7" x14ac:dyDescent="0.2">
      <c r="A1787" s="589"/>
      <c r="B1787" s="1072"/>
      <c r="C1787" s="1072"/>
      <c r="D1787" s="1639"/>
      <c r="G1787" s="1352" t="s">
        <v>246</v>
      </c>
    </row>
    <row r="1788" spans="1:7" x14ac:dyDescent="0.2">
      <c r="A1788" s="589"/>
      <c r="B1788" s="873" t="s">
        <v>255</v>
      </c>
      <c r="C1788" s="873"/>
      <c r="D1788" s="1634" t="s">
        <v>4600</v>
      </c>
      <c r="F1788" s="1341" t="str">
        <f>IF(LEN('Verification Report'!W1788)=0,"",'Verification Report'!W1788)</f>
        <v/>
      </c>
      <c r="G1788" s="1352" t="s">
        <v>246</v>
      </c>
    </row>
    <row r="1789" spans="1:7" x14ac:dyDescent="0.2">
      <c r="A1789" s="589"/>
      <c r="B1789" s="873"/>
      <c r="C1789" s="873"/>
      <c r="D1789" s="1634"/>
      <c r="G1789" s="1352" t="s">
        <v>246</v>
      </c>
    </row>
    <row r="1790" spans="1:7" x14ac:dyDescent="0.2">
      <c r="A1790" s="589"/>
      <c r="B1790" s="873"/>
      <c r="C1790" s="873"/>
      <c r="D1790" s="1634"/>
      <c r="G1790" s="1352" t="s">
        <v>246</v>
      </c>
    </row>
    <row r="1791" spans="1:7" x14ac:dyDescent="0.2">
      <c r="A1791" s="589"/>
      <c r="B1791" s="873"/>
      <c r="C1791" s="873"/>
      <c r="D1791" s="1634"/>
      <c r="G1791" s="1352" t="s">
        <v>246</v>
      </c>
    </row>
    <row r="1792" spans="1:7" x14ac:dyDescent="0.2">
      <c r="A1792" s="589"/>
      <c r="B1792" s="873"/>
      <c r="C1792" s="590" t="s">
        <v>121</v>
      </c>
      <c r="D1792" s="1634" t="s">
        <v>4601</v>
      </c>
      <c r="G1792" s="1352" t="s">
        <v>246</v>
      </c>
    </row>
    <row r="1793" spans="1:7" x14ac:dyDescent="0.2">
      <c r="A1793" s="589"/>
      <c r="B1793" s="873"/>
      <c r="C1793" s="590"/>
      <c r="D1793" s="1634"/>
      <c r="G1793" s="1352" t="s">
        <v>246</v>
      </c>
    </row>
    <row r="1794" spans="1:7" x14ac:dyDescent="0.2">
      <c r="A1794" s="589"/>
      <c r="B1794" s="873"/>
      <c r="C1794" s="590"/>
      <c r="D1794" s="1634"/>
      <c r="G1794" s="1352" t="s">
        <v>246</v>
      </c>
    </row>
    <row r="1795" spans="1:7" x14ac:dyDescent="0.2">
      <c r="A1795" s="589"/>
      <c r="B1795" s="873"/>
      <c r="C1795" s="590" t="s">
        <v>122</v>
      </c>
      <c r="D1795" s="1634" t="s">
        <v>4602</v>
      </c>
      <c r="G1795" s="1352" t="s">
        <v>246</v>
      </c>
    </row>
    <row r="1796" spans="1:7" x14ac:dyDescent="0.2">
      <c r="A1796" s="589"/>
      <c r="B1796" s="873"/>
      <c r="C1796" s="590"/>
      <c r="D1796" s="1634"/>
      <c r="G1796" s="1352" t="s">
        <v>246</v>
      </c>
    </row>
    <row r="1797" spans="1:7" x14ac:dyDescent="0.2">
      <c r="A1797" s="589"/>
      <c r="B1797" s="873"/>
      <c r="C1797" s="590" t="s">
        <v>123</v>
      </c>
      <c r="D1797" s="1359" t="s">
        <v>4603</v>
      </c>
      <c r="G1797" s="1352" t="s">
        <v>246</v>
      </c>
    </row>
    <row r="1798" spans="1:7" x14ac:dyDescent="0.2">
      <c r="A1798" s="589"/>
      <c r="B1798" s="873"/>
      <c r="C1798" s="873" t="s">
        <v>648</v>
      </c>
      <c r="D1798" s="1634" t="s">
        <v>4604</v>
      </c>
      <c r="G1798" s="1352" t="s">
        <v>246</v>
      </c>
    </row>
    <row r="1799" spans="1:7" x14ac:dyDescent="0.2">
      <c r="A1799" s="589"/>
      <c r="B1799" s="873"/>
      <c r="C1799" s="873"/>
      <c r="D1799" s="1634"/>
      <c r="G1799" s="1352" t="s">
        <v>246</v>
      </c>
    </row>
    <row r="1800" spans="1:7" x14ac:dyDescent="0.2">
      <c r="A1800" s="589"/>
      <c r="B1800" s="873"/>
      <c r="C1800" s="873"/>
      <c r="D1800" s="1634"/>
      <c r="G1800" s="1352" t="s">
        <v>246</v>
      </c>
    </row>
    <row r="1801" spans="1:7" x14ac:dyDescent="0.2">
      <c r="A1801" s="589"/>
      <c r="B1801" s="873"/>
      <c r="C1801" s="873"/>
      <c r="D1801" s="1634"/>
      <c r="G1801" s="1352" t="s">
        <v>246</v>
      </c>
    </row>
    <row r="1802" spans="1:7" x14ac:dyDescent="0.2">
      <c r="A1802" s="589"/>
      <c r="B1802" s="873"/>
      <c r="C1802" s="873" t="s">
        <v>4248</v>
      </c>
      <c r="D1802" s="1359" t="s">
        <v>4605</v>
      </c>
      <c r="G1802" s="1352" t="s">
        <v>246</v>
      </c>
    </row>
    <row r="1803" spans="1:7" x14ac:dyDescent="0.2">
      <c r="A1803" s="589"/>
      <c r="B1803" s="873"/>
      <c r="C1803" s="873" t="s">
        <v>4250</v>
      </c>
      <c r="D1803" s="1359" t="s">
        <v>4606</v>
      </c>
      <c r="G1803" s="1352" t="s">
        <v>246</v>
      </c>
    </row>
    <row r="1804" spans="1:7" x14ac:dyDescent="0.2">
      <c r="A1804" s="589"/>
      <c r="B1804" s="873"/>
      <c r="C1804" s="873" t="s">
        <v>366</v>
      </c>
      <c r="D1804" s="1634" t="s">
        <v>4607</v>
      </c>
      <c r="G1804" s="1352" t="s">
        <v>246</v>
      </c>
    </row>
    <row r="1805" spans="1:7" x14ac:dyDescent="0.2">
      <c r="A1805" s="589"/>
      <c r="B1805" s="873"/>
      <c r="C1805" s="873"/>
      <c r="D1805" s="1634"/>
      <c r="G1805" s="1352" t="s">
        <v>246</v>
      </c>
    </row>
    <row r="1806" spans="1:7" x14ac:dyDescent="0.2">
      <c r="A1806" s="589"/>
      <c r="B1806" s="873"/>
      <c r="C1806" s="873" t="s">
        <v>472</v>
      </c>
      <c r="D1806" s="1634" t="s">
        <v>4608</v>
      </c>
      <c r="G1806" s="1352" t="s">
        <v>246</v>
      </c>
    </row>
    <row r="1807" spans="1:7" x14ac:dyDescent="0.2">
      <c r="A1807" s="589"/>
      <c r="B1807" s="873"/>
      <c r="C1807" s="873"/>
      <c r="D1807" s="1634"/>
      <c r="G1807" s="1352" t="s">
        <v>246</v>
      </c>
    </row>
    <row r="1808" spans="1:7" x14ac:dyDescent="0.2">
      <c r="A1808" s="589"/>
      <c r="B1808" s="873"/>
      <c r="C1808" s="873" t="s">
        <v>510</v>
      </c>
      <c r="D1808" s="1359" t="s">
        <v>4609</v>
      </c>
      <c r="G1808" s="1352" t="s">
        <v>246</v>
      </c>
    </row>
    <row r="1809" spans="1:7" x14ac:dyDescent="0.2">
      <c r="A1809" s="590"/>
      <c r="B1809" s="1068"/>
      <c r="C1809" s="1068" t="s">
        <v>512</v>
      </c>
      <c r="D1809" s="1634" t="s">
        <v>4610</v>
      </c>
      <c r="G1809" s="1352" t="s">
        <v>246</v>
      </c>
    </row>
    <row r="1810" spans="1:7" ht="16" thickBot="1" x14ac:dyDescent="0.25">
      <c r="A1810" s="594"/>
      <c r="B1810" s="1069"/>
      <c r="C1810" s="1069"/>
      <c r="D1810" s="1635"/>
      <c r="G1810" s="1352" t="s">
        <v>246</v>
      </c>
    </row>
    <row r="1811" spans="1:7" ht="16" thickTop="1" x14ac:dyDescent="0.2">
      <c r="A1811" s="590" t="s">
        <v>4611</v>
      </c>
      <c r="B1811" s="1068"/>
      <c r="C1811" s="1068"/>
      <c r="D1811" s="1687" t="s">
        <v>4612</v>
      </c>
      <c r="E1811" s="1352">
        <f ca="1">'Verification Report'!O1811</f>
        <v>0</v>
      </c>
      <c r="F1811" s="1341" t="str">
        <f>IF(LEN('Verification Report'!W1811)=0,"",'Verification Report'!W1811)</f>
        <v/>
      </c>
      <c r="G1811" s="1352" t="s">
        <v>246</v>
      </c>
    </row>
    <row r="1812" spans="1:7" ht="16" thickBot="1" x14ac:dyDescent="0.25">
      <c r="A1812" s="594"/>
      <c r="B1812" s="1069"/>
      <c r="C1812" s="1069"/>
      <c r="D1812" s="1738"/>
      <c r="G1812" s="1352" t="s">
        <v>246</v>
      </c>
    </row>
    <row r="1813" spans="1:7" ht="16" thickTop="1" x14ac:dyDescent="0.2">
      <c r="A1813" s="1076" t="s">
        <v>4613</v>
      </c>
      <c r="B1813" s="1077"/>
      <c r="C1813" s="1077"/>
      <c r="D1813" s="1078" t="s">
        <v>4614</v>
      </c>
      <c r="G1813" s="1352" t="s">
        <v>246</v>
      </c>
    </row>
    <row r="1814" spans="1:7" x14ac:dyDescent="0.2">
      <c r="A1814" s="589" t="s">
        <v>4615</v>
      </c>
      <c r="B1814" s="873"/>
      <c r="C1814" s="873"/>
      <c r="D1814" s="1687" t="s">
        <v>4616</v>
      </c>
      <c r="E1814" s="1352">
        <f ca="1">'Verification Report'!O1814</f>
        <v>0</v>
      </c>
      <c r="F1814" s="1341" t="str">
        <f>IF(LEN('Verification Report'!W1814)=0,"",'Verification Report'!W1814)</f>
        <v/>
      </c>
      <c r="G1814" s="1352" t="s">
        <v>246</v>
      </c>
    </row>
    <row r="1815" spans="1:7" x14ac:dyDescent="0.2">
      <c r="A1815" s="589"/>
      <c r="B1815" s="873"/>
      <c r="C1815" s="873"/>
      <c r="D1815" s="1687"/>
      <c r="G1815" s="1352" t="s">
        <v>246</v>
      </c>
    </row>
    <row r="1816" spans="1:7" x14ac:dyDescent="0.2">
      <c r="A1816" s="589"/>
      <c r="B1816" s="873"/>
      <c r="C1816" s="873"/>
      <c r="D1816" s="1687"/>
      <c r="G1816" s="1352" t="s">
        <v>246</v>
      </c>
    </row>
    <row r="1817" spans="1:7" x14ac:dyDescent="0.2">
      <c r="A1817" s="589"/>
      <c r="B1817" s="873"/>
      <c r="C1817" s="873"/>
      <c r="D1817" s="1687"/>
      <c r="G1817" s="1352" t="s">
        <v>246</v>
      </c>
    </row>
    <row r="1818" spans="1:7" x14ac:dyDescent="0.2">
      <c r="A1818" s="589"/>
      <c r="B1818" s="873"/>
      <c r="C1818" s="873"/>
      <c r="D1818" s="1687"/>
      <c r="G1818" s="1352" t="s">
        <v>246</v>
      </c>
    </row>
    <row r="1819" spans="1:7" x14ac:dyDescent="0.2">
      <c r="A1819" s="589"/>
      <c r="B1819" s="873"/>
      <c r="C1819" s="873"/>
      <c r="D1819" s="1687"/>
      <c r="G1819" s="1352" t="s">
        <v>246</v>
      </c>
    </row>
    <row r="1820" spans="1:7" x14ac:dyDescent="0.2">
      <c r="A1820" s="589"/>
      <c r="B1820" s="1072" t="s">
        <v>254</v>
      </c>
      <c r="C1820" s="1072"/>
      <c r="D1820" s="1361" t="s">
        <v>4617</v>
      </c>
      <c r="G1820" s="1352" t="s">
        <v>246</v>
      </c>
    </row>
    <row r="1821" spans="1:7" x14ac:dyDescent="0.2">
      <c r="A1821" s="606"/>
      <c r="B1821" s="1072" t="s">
        <v>255</v>
      </c>
      <c r="C1821" s="1072"/>
      <c r="D1821" s="1361" t="s">
        <v>4618</v>
      </c>
      <c r="G1821" s="1352" t="s">
        <v>246</v>
      </c>
    </row>
    <row r="1822" spans="1:7" x14ac:dyDescent="0.2">
      <c r="A1822" s="589" t="s">
        <v>4619</v>
      </c>
      <c r="B1822" s="873"/>
      <c r="C1822" s="873"/>
      <c r="D1822" s="1687" t="s">
        <v>4620</v>
      </c>
      <c r="E1822" s="1352">
        <f ca="1">'Verification Report'!O1822</f>
        <v>0</v>
      </c>
      <c r="F1822" s="1341" t="str">
        <f>IF(LEN('Verification Report'!W1822)=0,"",'Verification Report'!W1822)</f>
        <v/>
      </c>
      <c r="G1822" s="1352" t="s">
        <v>246</v>
      </c>
    </row>
    <row r="1823" spans="1:7" x14ac:dyDescent="0.2">
      <c r="A1823" s="589"/>
      <c r="B1823" s="873"/>
      <c r="C1823" s="873"/>
      <c r="D1823" s="1687"/>
      <c r="G1823" s="1352" t="s">
        <v>246</v>
      </c>
    </row>
    <row r="1824" spans="1:7" x14ac:dyDescent="0.2">
      <c r="A1824" s="589"/>
      <c r="B1824" s="873"/>
      <c r="C1824" s="873"/>
      <c r="D1824" s="1687"/>
      <c r="G1824" s="1352" t="s">
        <v>246</v>
      </c>
    </row>
    <row r="1825" spans="1:7" x14ac:dyDescent="0.2">
      <c r="A1825" s="589"/>
      <c r="B1825" s="1072" t="s">
        <v>254</v>
      </c>
      <c r="C1825" s="1072"/>
      <c r="D1825" s="1361" t="s">
        <v>4621</v>
      </c>
      <c r="G1825" s="1352" t="s">
        <v>246</v>
      </c>
    </row>
    <row r="1826" spans="1:7" ht="16" thickBot="1" x14ac:dyDescent="0.25">
      <c r="A1826" s="594"/>
      <c r="B1826" s="1069" t="s">
        <v>255</v>
      </c>
      <c r="C1826" s="1069"/>
      <c r="D1826" s="1360" t="s">
        <v>4622</v>
      </c>
      <c r="G1826" s="1352" t="s">
        <v>246</v>
      </c>
    </row>
    <row r="1827" spans="1:7" ht="16" thickTop="1" x14ac:dyDescent="0.2">
      <c r="A1827" s="1076" t="s">
        <v>4623</v>
      </c>
      <c r="B1827" s="1077"/>
      <c r="C1827" s="1077"/>
      <c r="D1827" s="1078" t="s">
        <v>4624</v>
      </c>
      <c r="G1827" s="1352" t="s">
        <v>246</v>
      </c>
    </row>
    <row r="1828" spans="1:7" x14ac:dyDescent="0.2">
      <c r="A1828" s="589" t="s">
        <v>4625</v>
      </c>
      <c r="B1828" s="873"/>
      <c r="C1828" s="873"/>
      <c r="D1828" s="1687" t="s">
        <v>4626</v>
      </c>
      <c r="F1828" s="1341" t="str">
        <f>IF(LEN('Verification Report'!W1828)=0,"",'Verification Report'!W1828)</f>
        <v/>
      </c>
      <c r="G1828" s="1352" t="s">
        <v>246</v>
      </c>
    </row>
    <row r="1829" spans="1:7" x14ac:dyDescent="0.2">
      <c r="A1829" s="589"/>
      <c r="B1829" s="873"/>
      <c r="C1829" s="873"/>
      <c r="D1829" s="1687"/>
      <c r="G1829" s="1352" t="s">
        <v>246</v>
      </c>
    </row>
    <row r="1830" spans="1:7" x14ac:dyDescent="0.2">
      <c r="A1830" s="589"/>
      <c r="B1830" s="873"/>
      <c r="C1830" s="873"/>
      <c r="D1830" s="1687"/>
      <c r="G1830" s="1352" t="s">
        <v>246</v>
      </c>
    </row>
    <row r="1831" spans="1:7" x14ac:dyDescent="0.2">
      <c r="A1831" s="589"/>
      <c r="B1831" s="873" t="s">
        <v>254</v>
      </c>
      <c r="C1831" s="873"/>
      <c r="D1831" s="1359" t="s">
        <v>4627</v>
      </c>
      <c r="E1831" s="1352">
        <f ca="1">'Verification Report'!O1831</f>
        <v>0</v>
      </c>
      <c r="F1831" s="1341" t="str">
        <f>IF(LEN('Verification Report'!W1831)=0,"",'Verification Report'!W1831)</f>
        <v/>
      </c>
      <c r="G1831" s="1352" t="s">
        <v>246</v>
      </c>
    </row>
    <row r="1832" spans="1:7" ht="19" x14ac:dyDescent="0.25">
      <c r="A1832" s="1004" t="s">
        <v>4628</v>
      </c>
      <c r="B1832" s="1003"/>
      <c r="C1832" s="1003"/>
      <c r="D1832" s="1004"/>
      <c r="E1832" s="25"/>
      <c r="F1832" s="994"/>
      <c r="G1832" s="1352" t="s">
        <v>246</v>
      </c>
    </row>
    <row r="1833" spans="1:7" x14ac:dyDescent="0.2">
      <c r="A1833" s="589" t="s">
        <v>4629</v>
      </c>
      <c r="B1833" s="873"/>
      <c r="C1833" s="873"/>
      <c r="D1833" s="1687" t="s">
        <v>4859</v>
      </c>
      <c r="E1833" s="1352">
        <f ca="1">'Verification Report'!O1833</f>
        <v>0</v>
      </c>
      <c r="G1833" s="1352" t="s">
        <v>246</v>
      </c>
    </row>
    <row r="1834" spans="1:7" x14ac:dyDescent="0.2">
      <c r="A1834" s="589"/>
      <c r="B1834" s="873"/>
      <c r="C1834" s="873"/>
      <c r="D1834" s="1687"/>
      <c r="G1834" s="1352" t="s">
        <v>246</v>
      </c>
    </row>
    <row r="1835" spans="1:7" x14ac:dyDescent="0.2">
      <c r="A1835" s="589"/>
      <c r="B1835" s="873"/>
      <c r="C1835" s="873"/>
      <c r="D1835" s="1687"/>
      <c r="G1835" s="1352" t="s">
        <v>246</v>
      </c>
    </row>
    <row r="1836" spans="1:7" x14ac:dyDescent="0.2">
      <c r="A1836" s="589"/>
      <c r="B1836" s="873"/>
      <c r="C1836" s="873"/>
      <c r="D1836" s="1687"/>
      <c r="G1836" s="1352" t="s">
        <v>246</v>
      </c>
    </row>
    <row r="1837" spans="1:7" x14ac:dyDescent="0.2">
      <c r="A1837" s="590"/>
      <c r="B1837" s="1068" t="s">
        <v>254</v>
      </c>
      <c r="C1837" s="1068"/>
      <c r="D1837" s="1634" t="s">
        <v>4630</v>
      </c>
      <c r="F1837" s="1341" t="str">
        <f>IF(LEN('Verification Report'!W1837)=0,"",'Verification Report'!W1837)</f>
        <v/>
      </c>
      <c r="G1837" s="1352" t="s">
        <v>246</v>
      </c>
    </row>
    <row r="1838" spans="1:7" x14ac:dyDescent="0.2">
      <c r="A1838" s="590"/>
      <c r="B1838" s="1072"/>
      <c r="C1838" s="1072"/>
      <c r="D1838" s="1639"/>
      <c r="G1838" s="1352" t="s">
        <v>246</v>
      </c>
    </row>
    <row r="1839" spans="1:7" ht="16" thickBot="1" x14ac:dyDescent="0.25">
      <c r="A1839" s="594"/>
      <c r="B1839" s="1069" t="s">
        <v>255</v>
      </c>
      <c r="C1839" s="1069"/>
      <c r="D1839" s="1360" t="s">
        <v>4631</v>
      </c>
      <c r="F1839" s="1341" t="str">
        <f>IF(LEN('Verification Report'!W1839)=0,"",'Verification Report'!W1839)</f>
        <v/>
      </c>
      <c r="G1839" s="1352" t="s">
        <v>246</v>
      </c>
    </row>
    <row r="1840" spans="1:7" ht="16" thickTop="1" x14ac:dyDescent="0.2">
      <c r="A1840" s="590" t="s">
        <v>4632</v>
      </c>
      <c r="B1840" s="1068"/>
      <c r="C1840" s="1068"/>
      <c r="D1840" s="1687" t="s">
        <v>4633</v>
      </c>
      <c r="E1840" s="1352">
        <f>'Verification Report'!O1840</f>
        <v>0</v>
      </c>
      <c r="G1840" s="1352" t="s">
        <v>246</v>
      </c>
    </row>
    <row r="1841" spans="1:7" x14ac:dyDescent="0.2">
      <c r="A1841" s="590"/>
      <c r="B1841" s="1068"/>
      <c r="C1841" s="1068"/>
      <c r="D1841" s="1687"/>
      <c r="F1841" s="1341" t="str">
        <f>IF(LEN('Verification Report'!W1841)=0,"",'Verification Report'!W1841)</f>
        <v/>
      </c>
      <c r="G1841" s="1352" t="s">
        <v>246</v>
      </c>
    </row>
    <row r="1842" spans="1:7" ht="16" thickBot="1" x14ac:dyDescent="0.25">
      <c r="A1842" s="594"/>
      <c r="B1842" s="1069"/>
      <c r="C1842" s="1069"/>
      <c r="D1842" s="1738"/>
      <c r="G1842" s="1352" t="s">
        <v>246</v>
      </c>
    </row>
    <row r="1843" spans="1:7" ht="16" thickTop="1" x14ac:dyDescent="0.2">
      <c r="A1843" s="589" t="s">
        <v>4634</v>
      </c>
      <c r="B1843" s="873"/>
      <c r="C1843" s="873"/>
      <c r="D1843" s="1687" t="s">
        <v>4635</v>
      </c>
      <c r="E1843" s="1352">
        <f ca="1">'Verification Report'!O1843</f>
        <v>0</v>
      </c>
      <c r="F1843" s="1341" t="str">
        <f>IF(LEN('Verification Report'!W1843)=0,"",'Verification Report'!W1843)</f>
        <v/>
      </c>
      <c r="G1843" s="1352" t="s">
        <v>246</v>
      </c>
    </row>
    <row r="1844" spans="1:7" x14ac:dyDescent="0.2">
      <c r="A1844" s="589"/>
      <c r="B1844" s="873"/>
      <c r="C1844" s="873"/>
      <c r="D1844" s="1687"/>
      <c r="G1844" s="1352" t="s">
        <v>246</v>
      </c>
    </row>
    <row r="1845" spans="1:7" x14ac:dyDescent="0.2">
      <c r="A1845" s="589"/>
      <c r="B1845" s="873"/>
      <c r="C1845" s="873"/>
      <c r="D1845" s="1687"/>
      <c r="G1845" s="1352" t="s">
        <v>246</v>
      </c>
    </row>
    <row r="1846" spans="1:7" x14ac:dyDescent="0.2">
      <c r="A1846" s="590"/>
      <c r="B1846" s="1072" t="s">
        <v>254</v>
      </c>
      <c r="C1846" s="1072"/>
      <c r="D1846" s="1361" t="s">
        <v>4636</v>
      </c>
      <c r="G1846" s="1352" t="s">
        <v>246</v>
      </c>
    </row>
    <row r="1847" spans="1:7" ht="16" thickBot="1" x14ac:dyDescent="0.25">
      <c r="A1847" s="594"/>
      <c r="B1847" s="1069" t="s">
        <v>255</v>
      </c>
      <c r="C1847" s="1069"/>
      <c r="D1847" s="1360" t="s">
        <v>4637</v>
      </c>
      <c r="G1847" s="1352" t="s">
        <v>246</v>
      </c>
    </row>
    <row r="1848" spans="1:7" ht="16" thickTop="1" x14ac:dyDescent="0.2">
      <c r="A1848" s="590" t="s">
        <v>4638</v>
      </c>
      <c r="B1848" s="1068"/>
      <c r="C1848" s="1068"/>
      <c r="D1848" s="1687" t="s">
        <v>4639</v>
      </c>
      <c r="E1848" s="1352">
        <f ca="1">'Verification Report'!O1848</f>
        <v>0</v>
      </c>
      <c r="F1848" s="1341" t="str">
        <f>IF(LEN('Verification Report'!W1848)=0,"",'Verification Report'!W1848)</f>
        <v/>
      </c>
      <c r="G1848" s="1352" t="s">
        <v>246</v>
      </c>
    </row>
    <row r="1849" spans="1:7" x14ac:dyDescent="0.2">
      <c r="A1849" s="590"/>
      <c r="B1849" s="1068"/>
      <c r="C1849" s="1068"/>
      <c r="D1849" s="1687"/>
      <c r="G1849" s="1352" t="s">
        <v>246</v>
      </c>
    </row>
    <row r="1850" spans="1:7" ht="16" thickBot="1" x14ac:dyDescent="0.25">
      <c r="A1850" s="594"/>
      <c r="B1850" s="1069"/>
      <c r="C1850" s="1069"/>
      <c r="D1850" s="1738"/>
      <c r="G1850" s="1352" t="s">
        <v>246</v>
      </c>
    </row>
    <row r="1851" spans="1:7" ht="16" thickTop="1" x14ac:dyDescent="0.2">
      <c r="A1851" s="590" t="s">
        <v>4640</v>
      </c>
      <c r="B1851" s="1068"/>
      <c r="C1851" s="1068"/>
      <c r="D1851" s="1687" t="s">
        <v>4641</v>
      </c>
      <c r="E1851" s="1352">
        <f ca="1">'Verification Report'!O1851</f>
        <v>0</v>
      </c>
      <c r="F1851" s="1341" t="str">
        <f>IF(LEN('Verification Report'!W1851)=0,"",'Verification Report'!W1851)</f>
        <v/>
      </c>
      <c r="G1851" s="1352" t="s">
        <v>246</v>
      </c>
    </row>
    <row r="1852" spans="1:7" ht="16" thickBot="1" x14ac:dyDescent="0.25">
      <c r="A1852" s="594"/>
      <c r="B1852" s="1069"/>
      <c r="C1852" s="1069"/>
      <c r="D1852" s="1738"/>
      <c r="G1852" s="1352" t="s">
        <v>246</v>
      </c>
    </row>
    <row r="1853" spans="1:7" ht="16" thickTop="1" x14ac:dyDescent="0.2">
      <c r="A1853" s="589" t="s">
        <v>4642</v>
      </c>
      <c r="B1853" s="873"/>
      <c r="C1853" s="873"/>
      <c r="D1853" s="1687" t="s">
        <v>4860</v>
      </c>
      <c r="E1853" s="1352">
        <f ca="1">'Verification Report'!O1853</f>
        <v>0</v>
      </c>
      <c r="F1853" s="1341" t="str">
        <f>IF(LEN('Verification Report'!W1853)=0,"",'Verification Report'!W1853)</f>
        <v/>
      </c>
      <c r="G1853" s="1352" t="s">
        <v>246</v>
      </c>
    </row>
    <row r="1854" spans="1:7" x14ac:dyDescent="0.2">
      <c r="A1854" s="589"/>
      <c r="B1854" s="873"/>
      <c r="C1854" s="873"/>
      <c r="D1854" s="1687"/>
      <c r="G1854" s="1352" t="s">
        <v>246</v>
      </c>
    </row>
    <row r="1855" spans="1:7" x14ac:dyDescent="0.2">
      <c r="A1855" s="589"/>
      <c r="B1855" s="873"/>
      <c r="C1855" s="873"/>
      <c r="D1855" s="1687"/>
      <c r="G1855" s="1352" t="s">
        <v>246</v>
      </c>
    </row>
    <row r="1856" spans="1:7" ht="19" x14ac:dyDescent="0.25">
      <c r="A1856" s="24" t="s">
        <v>3659</v>
      </c>
      <c r="B1856" s="24"/>
      <c r="C1856" s="24"/>
      <c r="D1856" s="25"/>
      <c r="E1856" s="25"/>
      <c r="F1856" s="994"/>
      <c r="G1856" s="1352" t="s">
        <v>246</v>
      </c>
    </row>
    <row r="1857" spans="1:7" x14ac:dyDescent="0.2">
      <c r="A1857" s="821" t="s">
        <v>3660</v>
      </c>
      <c r="B1857" s="4"/>
      <c r="C1857" s="4"/>
      <c r="D1857" s="1375" t="s">
        <v>3748</v>
      </c>
      <c r="G1857" s="1352" t="s">
        <v>246</v>
      </c>
    </row>
    <row r="1858" spans="1:7" x14ac:dyDescent="0.2">
      <c r="A1858" s="237" t="s">
        <v>3661</v>
      </c>
      <c r="B1858" s="129"/>
      <c r="C1858" s="129"/>
      <c r="D1858" s="1384" t="s">
        <v>3747</v>
      </c>
      <c r="G1858" s="1352" t="s">
        <v>246</v>
      </c>
    </row>
    <row r="1859" spans="1:7" x14ac:dyDescent="0.2">
      <c r="A1859" s="237" t="s">
        <v>3662</v>
      </c>
      <c r="B1859" s="129"/>
      <c r="C1859" s="129"/>
      <c r="D1859" s="1629" t="s">
        <v>3746</v>
      </c>
      <c r="E1859" s="1352">
        <f>'Verification Report'!O1859</f>
        <v>0</v>
      </c>
      <c r="F1859" s="1341" t="str">
        <f>IF(LEN('Verification Report'!W1859)=0,"",'Verification Report'!W1859)</f>
        <v/>
      </c>
      <c r="G1859" s="1352" t="s">
        <v>246</v>
      </c>
    </row>
    <row r="1860" spans="1:7" x14ac:dyDescent="0.2">
      <c r="A1860" s="406"/>
      <c r="B1860" s="129"/>
      <c r="C1860" s="129"/>
      <c r="D1860" s="1629"/>
      <c r="G1860" s="1352" t="s">
        <v>246</v>
      </c>
    </row>
    <row r="1861" spans="1:7" x14ac:dyDescent="0.2">
      <c r="A1861" s="406"/>
      <c r="B1861" s="129"/>
      <c r="C1861" s="129"/>
      <c r="D1861" s="1629"/>
      <c r="G1861" s="1352" t="s">
        <v>246</v>
      </c>
    </row>
    <row r="1862" spans="1:7" x14ac:dyDescent="0.2">
      <c r="A1862" s="406"/>
      <c r="B1862" s="129"/>
      <c r="C1862" s="129"/>
      <c r="D1862" s="1629"/>
      <c r="G1862" s="1352" t="s">
        <v>246</v>
      </c>
    </row>
    <row r="1863" spans="1:7" x14ac:dyDescent="0.2">
      <c r="A1863" s="406"/>
      <c r="B1863" s="129"/>
      <c r="C1863" s="129"/>
      <c r="D1863" s="1772" t="s">
        <v>2850</v>
      </c>
      <c r="G1863" s="1352" t="s">
        <v>246</v>
      </c>
    </row>
    <row r="1864" spans="1:7" x14ac:dyDescent="0.2">
      <c r="A1864" s="438"/>
      <c r="B1864" s="213"/>
      <c r="C1864" s="213"/>
      <c r="D1864" s="1773"/>
      <c r="G1864" s="1352" t="s">
        <v>246</v>
      </c>
    </row>
    <row r="1865" spans="1:7" x14ac:dyDescent="0.2">
      <c r="A1865" s="192" t="s">
        <v>3663</v>
      </c>
      <c r="B1865" s="193"/>
      <c r="C1865" s="193"/>
      <c r="D1865" s="1712" t="s">
        <v>3745</v>
      </c>
      <c r="E1865" s="1352">
        <f>'Verification Report'!O1865</f>
        <v>0</v>
      </c>
      <c r="F1865" s="1341" t="str">
        <f>IF(LEN('Verification Report'!W1865)=0,"",'Verification Report'!W1865)</f>
        <v/>
      </c>
      <c r="G1865" s="1352" t="s">
        <v>246</v>
      </c>
    </row>
    <row r="1866" spans="1:7" x14ac:dyDescent="0.2">
      <c r="A1866" s="406"/>
      <c r="B1866" s="129"/>
      <c r="C1866" s="129"/>
      <c r="D1866" s="1629"/>
      <c r="G1866" s="1352" t="s">
        <v>246</v>
      </c>
    </row>
    <row r="1867" spans="1:7" x14ac:dyDescent="0.2">
      <c r="A1867" s="438"/>
      <c r="B1867" s="213"/>
      <c r="C1867" s="213"/>
      <c r="D1867" s="1387" t="s">
        <v>2936</v>
      </c>
      <c r="G1867" s="1352" t="s">
        <v>246</v>
      </c>
    </row>
    <row r="1868" spans="1:7" x14ac:dyDescent="0.2">
      <c r="A1868" s="67" t="s">
        <v>3664</v>
      </c>
      <c r="B1868" s="4"/>
      <c r="C1868" s="4"/>
      <c r="D1868" s="1631" t="s">
        <v>3744</v>
      </c>
      <c r="G1868" s="1352" t="s">
        <v>246</v>
      </c>
    </row>
    <row r="1869" spans="1:7" x14ac:dyDescent="0.2">
      <c r="A1869" s="161"/>
      <c r="B1869" s="4"/>
      <c r="C1869" s="4"/>
      <c r="D1869" s="1631"/>
      <c r="G1869" s="1352" t="s">
        <v>246</v>
      </c>
    </row>
    <row r="1870" spans="1:7" x14ac:dyDescent="0.2">
      <c r="A1870" s="161"/>
      <c r="B1870" s="29" t="s">
        <v>254</v>
      </c>
      <c r="C1870" s="4"/>
      <c r="D1870" s="1381" t="s">
        <v>2685</v>
      </c>
      <c r="E1870" s="1352">
        <f ca="1">'Verification Report'!O1870</f>
        <v>0</v>
      </c>
      <c r="F1870" s="1341" t="str">
        <f>IF(LEN('Verification Report'!W1870)=0,"",'Verification Report'!W1870)</f>
        <v/>
      </c>
      <c r="G1870" s="1352" t="s">
        <v>246</v>
      </c>
    </row>
    <row r="1871" spans="1:7" x14ac:dyDescent="0.2">
      <c r="A1871" s="161"/>
      <c r="B1871" s="29"/>
      <c r="C1871" s="29" t="s">
        <v>121</v>
      </c>
      <c r="D1871" s="1381" t="s">
        <v>2686</v>
      </c>
      <c r="G1871" s="1352" t="s">
        <v>246</v>
      </c>
    </row>
    <row r="1872" spans="1:7" x14ac:dyDescent="0.2">
      <c r="A1872" s="161"/>
      <c r="B1872" s="207"/>
      <c r="C1872" s="207" t="s">
        <v>122</v>
      </c>
      <c r="D1872" s="1365" t="s">
        <v>2687</v>
      </c>
      <c r="G1872" s="1352" t="s">
        <v>246</v>
      </c>
    </row>
    <row r="1873" spans="1:9" x14ac:dyDescent="0.2">
      <c r="A1873" s="406"/>
      <c r="B1873" s="180" t="s">
        <v>255</v>
      </c>
      <c r="C1873" s="129"/>
      <c r="D1873" s="1366" t="s">
        <v>2688</v>
      </c>
      <c r="E1873" s="1352">
        <f ca="1">'Verification Report'!O1873</f>
        <v>0</v>
      </c>
      <c r="F1873" s="1341" t="str">
        <f>IF(LEN('Verification Report'!W1873)=0,"",'Verification Report'!W1873)</f>
        <v/>
      </c>
      <c r="G1873" s="1352" t="s">
        <v>246</v>
      </c>
    </row>
    <row r="1874" spans="1:9" x14ac:dyDescent="0.2">
      <c r="A1874" s="406"/>
      <c r="B1874" s="129"/>
      <c r="C1874" s="180" t="s">
        <v>121</v>
      </c>
      <c r="D1874" s="1366" t="s">
        <v>2689</v>
      </c>
      <c r="G1874" s="1352" t="s">
        <v>246</v>
      </c>
    </row>
    <row r="1875" spans="1:9" x14ac:dyDescent="0.2">
      <c r="A1875" s="438"/>
      <c r="B1875" s="213"/>
      <c r="C1875" s="207" t="s">
        <v>122</v>
      </c>
      <c r="D1875" s="1365" t="s">
        <v>2690</v>
      </c>
      <c r="G1875" s="1352" t="s">
        <v>246</v>
      </c>
    </row>
    <row r="1876" spans="1:9" x14ac:dyDescent="0.2">
      <c r="A1876" s="130" t="s">
        <v>3665</v>
      </c>
      <c r="B1876" s="129"/>
      <c r="C1876" s="129"/>
      <c r="D1876" s="1629" t="s">
        <v>4954</v>
      </c>
      <c r="F1876" s="1341" t="str">
        <f>IF(LEN('Verification Report'!W1876)=0,"",'Verification Report'!W1876)</f>
        <v>N/A</v>
      </c>
      <c r="G1876" s="1352" t="s">
        <v>246</v>
      </c>
    </row>
    <row r="1877" spans="1:9" x14ac:dyDescent="0.2">
      <c r="A1877" s="406"/>
      <c r="B1877" s="129"/>
      <c r="C1877" s="129"/>
      <c r="D1877" s="1629"/>
      <c r="G1877" s="1352" t="s">
        <v>246</v>
      </c>
    </row>
    <row r="1878" spans="1:9" x14ac:dyDescent="0.2">
      <c r="A1878" s="406"/>
      <c r="B1878" s="129"/>
      <c r="C1878" s="129"/>
      <c r="D1878" s="1629"/>
      <c r="G1878" s="1352" t="s">
        <v>246</v>
      </c>
    </row>
    <row r="1879" spans="1:9" x14ac:dyDescent="0.2">
      <c r="A1879" s="406"/>
      <c r="B1879" s="129"/>
      <c r="C1879" s="129"/>
      <c r="D1879" s="1629"/>
      <c r="G1879" s="1352" t="s">
        <v>246</v>
      </c>
    </row>
    <row r="1880" spans="1:9" x14ac:dyDescent="0.2">
      <c r="A1880" s="438"/>
      <c r="B1880" s="213"/>
      <c r="C1880" s="213"/>
      <c r="D1880" s="1696"/>
      <c r="G1880" s="1352" t="s">
        <v>246</v>
      </c>
    </row>
    <row r="1881" spans="1:9" x14ac:dyDescent="0.2">
      <c r="A1881" s="130" t="s">
        <v>3666</v>
      </c>
      <c r="B1881" s="129"/>
      <c r="C1881" s="129"/>
      <c r="D1881" s="1629" t="s">
        <v>3743</v>
      </c>
      <c r="E1881" s="1352">
        <f>'Verification Report'!O1881</f>
        <v>0</v>
      </c>
      <c r="F1881" s="1341" t="str">
        <f>IF(LEN('Verification Report'!W1881)=0,"",'Verification Report'!W1881)</f>
        <v/>
      </c>
      <c r="G1881" s="1352" t="s">
        <v>246</v>
      </c>
    </row>
    <row r="1882" spans="1:9" x14ac:dyDescent="0.2">
      <c r="A1882" s="406"/>
      <c r="B1882" s="129"/>
      <c r="C1882" s="129"/>
      <c r="D1882" s="1629"/>
      <c r="G1882" s="1352" t="s">
        <v>246</v>
      </c>
    </row>
    <row r="1883" spans="1:9" x14ac:dyDescent="0.2">
      <c r="A1883" s="438"/>
      <c r="B1883" s="213"/>
      <c r="C1883" s="213"/>
      <c r="D1883" s="1696"/>
      <c r="G1883" s="1352" t="s">
        <v>246</v>
      </c>
    </row>
    <row r="1884" spans="1:9" x14ac:dyDescent="0.2">
      <c r="A1884" s="130" t="s">
        <v>3667</v>
      </c>
      <c r="B1884" s="129"/>
      <c r="C1884" s="129"/>
      <c r="D1884" s="1384" t="s">
        <v>3742</v>
      </c>
      <c r="E1884" s="1352">
        <f ca="1">'Verification Report'!O1884</f>
        <v>5</v>
      </c>
      <c r="F1884" s="1341" t="str">
        <f>IF(LEN('Verification Report'!W1884)=0,"",'Verification Report'!W1884)</f>
        <v>(2)</v>
      </c>
      <c r="G1884" s="1352" t="s">
        <v>246</v>
      </c>
    </row>
    <row r="1885" spans="1:9" x14ac:dyDescent="0.2">
      <c r="A1885" s="406"/>
      <c r="B1885" s="207" t="s">
        <v>254</v>
      </c>
      <c r="C1885" s="213"/>
      <c r="D1885" s="1365" t="s">
        <v>2694</v>
      </c>
      <c r="G1885" s="1352" t="s">
        <v>246</v>
      </c>
    </row>
    <row r="1886" spans="1:9" ht="16" thickBot="1" x14ac:dyDescent="0.25">
      <c r="A1886" s="407"/>
      <c r="B1886" s="190" t="s">
        <v>255</v>
      </c>
      <c r="C1886" s="239"/>
      <c r="D1886" s="1380" t="s">
        <v>2695</v>
      </c>
      <c r="G1886" s="1352" t="s">
        <v>246</v>
      </c>
    </row>
    <row r="1887" spans="1:9" ht="16" thickTop="1" x14ac:dyDescent="0.2">
      <c r="A1887" s="177" t="s">
        <v>3668</v>
      </c>
      <c r="B1887" s="178"/>
      <c r="C1887" s="178"/>
      <c r="D1887" s="1394" t="s">
        <v>3741</v>
      </c>
      <c r="G1887" s="1400" t="str">
        <f>IF(COUNTIF(G1888,"P")&gt;0,"P","NP")</f>
        <v>NP</v>
      </c>
    </row>
    <row r="1888" spans="1:9" x14ac:dyDescent="0.2">
      <c r="A1888" s="67" t="s">
        <v>3669</v>
      </c>
      <c r="B1888" s="4"/>
      <c r="C1888" s="4"/>
      <c r="D1888" s="1631" t="s">
        <v>3899</v>
      </c>
      <c r="G1888" s="1400" t="str">
        <f>IF(COUNTIF(G1890:I1900,"P")&gt;0,"P","NP")</f>
        <v>NP</v>
      </c>
      <c r="I1888" s="1600"/>
    </row>
    <row r="1889" spans="1:9" x14ac:dyDescent="0.2">
      <c r="A1889" s="161"/>
      <c r="B1889" s="4"/>
      <c r="C1889" s="4"/>
      <c r="D1889" s="1631"/>
      <c r="G1889" s="1" t="str">
        <f>G1888</f>
        <v>NP</v>
      </c>
      <c r="H1889" s="1401" t="s">
        <v>5286</v>
      </c>
      <c r="I1889" s="1600"/>
    </row>
    <row r="1890" spans="1:9" x14ac:dyDescent="0.2">
      <c r="A1890" s="161"/>
      <c r="B1890" s="180" t="s">
        <v>254</v>
      </c>
      <c r="C1890" s="129"/>
      <c r="D1890" s="1609" t="s">
        <v>2697</v>
      </c>
      <c r="E1890" s="1352">
        <f>'Verification Report'!O1890</f>
        <v>0</v>
      </c>
      <c r="F1890" s="1341" t="str">
        <f>IF(LEN('Verification Report'!W1890)=0,"",'Verification Report'!W1890)</f>
        <v/>
      </c>
      <c r="G1890" s="1397" t="str">
        <f>IF(E1890&gt;0,"P","NP")</f>
        <v>NP</v>
      </c>
    </row>
    <row r="1891" spans="1:9" x14ac:dyDescent="0.2">
      <c r="A1891" s="161"/>
      <c r="B1891" s="129"/>
      <c r="C1891" s="129"/>
      <c r="D1891" s="1609"/>
      <c r="G1891" s="1" t="str">
        <f>G1890</f>
        <v>NP</v>
      </c>
    </row>
    <row r="1892" spans="1:9" x14ac:dyDescent="0.2">
      <c r="A1892" s="161"/>
      <c r="B1892" s="213"/>
      <c r="C1892" s="213"/>
      <c r="D1892" s="1612"/>
      <c r="G1892" s="1" t="str">
        <f>G1891</f>
        <v>NP</v>
      </c>
    </row>
    <row r="1893" spans="1:9" x14ac:dyDescent="0.2">
      <c r="A1893" s="161"/>
      <c r="B1893" s="180" t="s">
        <v>255</v>
      </c>
      <c r="C1893" s="129"/>
      <c r="D1893" s="1609" t="s">
        <v>4866</v>
      </c>
      <c r="E1893" s="1352">
        <f>'Verification Report'!O1893</f>
        <v>0</v>
      </c>
      <c r="F1893" s="1341" t="str">
        <f>IF(LEN('Verification Report'!W1893)=0,"",'Verification Report'!W1893)</f>
        <v/>
      </c>
      <c r="G1893" s="1397" t="str">
        <f>IF(E1893&gt;0,"P","NP")</f>
        <v>NP</v>
      </c>
    </row>
    <row r="1894" spans="1:9" x14ac:dyDescent="0.2">
      <c r="A1894" s="161"/>
      <c r="B1894" s="207"/>
      <c r="C1894" s="213"/>
      <c r="D1894" s="1612"/>
      <c r="G1894" s="1" t="str">
        <f>G1893</f>
        <v>NP</v>
      </c>
    </row>
    <row r="1895" spans="1:9" x14ac:dyDescent="0.2">
      <c r="A1895" s="161"/>
      <c r="B1895" s="180" t="s">
        <v>256</v>
      </c>
      <c r="C1895" s="129"/>
      <c r="D1895" s="1609" t="s">
        <v>2698</v>
      </c>
      <c r="E1895" s="1352">
        <f>'Verification Report'!O1895</f>
        <v>0</v>
      </c>
      <c r="F1895" s="1341" t="str">
        <f>IF(LEN('Verification Report'!W1895)=0,"",'Verification Report'!W1895)</f>
        <v/>
      </c>
      <c r="G1895" s="1397" t="str">
        <f>IF(E1895&gt;0,"P","NP")</f>
        <v>NP</v>
      </c>
    </row>
    <row r="1896" spans="1:9" x14ac:dyDescent="0.2">
      <c r="A1896" s="161"/>
      <c r="B1896" s="180"/>
      <c r="C1896" s="129"/>
      <c r="D1896" s="1609"/>
      <c r="G1896" s="1" t="str">
        <f>G1895</f>
        <v>NP</v>
      </c>
    </row>
    <row r="1897" spans="1:9" x14ac:dyDescent="0.2">
      <c r="A1897" s="161"/>
      <c r="B1897" s="207"/>
      <c r="C1897" s="213"/>
      <c r="D1897" s="1612"/>
      <c r="G1897" s="1" t="str">
        <f>G1896</f>
        <v>NP</v>
      </c>
    </row>
    <row r="1898" spans="1:9" x14ac:dyDescent="0.2">
      <c r="A1898" s="161"/>
      <c r="B1898" s="180" t="s">
        <v>259</v>
      </c>
      <c r="C1898" s="129"/>
      <c r="D1898" s="1657" t="s">
        <v>2699</v>
      </c>
      <c r="E1898" s="1352">
        <f>'Verification Report'!O1898</f>
        <v>0</v>
      </c>
      <c r="F1898" s="1341" t="str">
        <f>IF(LEN('Verification Report'!W1898)=0,"",'Verification Report'!W1898)</f>
        <v/>
      </c>
      <c r="G1898" s="1397" t="str">
        <f>IF(E1898&gt;0,"P","NP")</f>
        <v>NP</v>
      </c>
    </row>
    <row r="1899" spans="1:9" x14ac:dyDescent="0.2">
      <c r="A1899" s="161"/>
      <c r="B1899" s="207"/>
      <c r="C1899" s="213"/>
      <c r="D1899" s="1650"/>
      <c r="G1899" s="1" t="str">
        <f>G1898</f>
        <v>NP</v>
      </c>
    </row>
    <row r="1900" spans="1:9" x14ac:dyDescent="0.2">
      <c r="A1900" s="406"/>
      <c r="B1900" s="180" t="s">
        <v>263</v>
      </c>
      <c r="C1900" s="129"/>
      <c r="D1900" s="1609" t="s">
        <v>2700</v>
      </c>
      <c r="E1900" s="1352">
        <f>'Verification Report'!O1900</f>
        <v>0</v>
      </c>
      <c r="F1900" s="1341" t="str">
        <f>IF(LEN('Verification Report'!W1900)=0,"",'Verification Report'!W1900)</f>
        <v/>
      </c>
      <c r="G1900" s="1397" t="str">
        <f>IF(E1900&gt;0,"P","NP")</f>
        <v>NP</v>
      </c>
    </row>
    <row r="1901" spans="1:9" x14ac:dyDescent="0.2">
      <c r="A1901" s="438"/>
      <c r="B1901" s="207"/>
      <c r="C1901" s="213"/>
      <c r="D1901" s="1612"/>
      <c r="G1901" s="1" t="str">
        <f>G1900</f>
        <v>NP</v>
      </c>
    </row>
    <row r="1902" spans="1:9" ht="16" thickBot="1" x14ac:dyDescent="0.25">
      <c r="A1902" s="189" t="s">
        <v>3670</v>
      </c>
      <c r="B1902" s="239"/>
      <c r="C1902" s="239"/>
      <c r="D1902" s="439" t="s">
        <v>3740</v>
      </c>
      <c r="E1902" s="1352">
        <f>'Verification Report'!O1902</f>
        <v>6</v>
      </c>
      <c r="F1902" s="1341" t="b">
        <f>IF(LEN('Verification Report'!W1902)=0,"",'Verification Report'!W1902)</f>
        <v>1</v>
      </c>
      <c r="G1902" s="1397" t="str">
        <f>IF(E1902&gt;0,"P","NP")</f>
        <v>P</v>
      </c>
      <c r="H1902" s="1401" t="s">
        <v>5286</v>
      </c>
      <c r="I1902" s="1403"/>
    </row>
    <row r="1903" spans="1:9" ht="16" thickTop="1" x14ac:dyDescent="0.2">
      <c r="A1903" s="67" t="s">
        <v>3671</v>
      </c>
      <c r="B1903" s="4"/>
      <c r="C1903" s="4"/>
      <c r="D1903" s="1375" t="s">
        <v>3739</v>
      </c>
      <c r="G1903" s="1400" t="str">
        <f ca="1">IF(COUNTIF(G1904,"P")&gt;0,"P","NP")</f>
        <v>P</v>
      </c>
      <c r="H1903" s="1401" t="s">
        <v>5287</v>
      </c>
      <c r="I1903" s="1403"/>
    </row>
    <row r="1904" spans="1:9" x14ac:dyDescent="0.2">
      <c r="A1904" s="161"/>
      <c r="B1904" s="29" t="s">
        <v>254</v>
      </c>
      <c r="C1904" s="4"/>
      <c r="D1904" s="1381" t="s">
        <v>2702</v>
      </c>
      <c r="G1904" s="1400" t="str">
        <f ca="1">IF(COUNTIF(G1905:I1915,"P")&gt;0,"P","NP")</f>
        <v>P</v>
      </c>
    </row>
    <row r="1905" spans="1:9" x14ac:dyDescent="0.2">
      <c r="A1905" s="161"/>
      <c r="B1905" s="4"/>
      <c r="C1905" s="180" t="s">
        <v>121</v>
      </c>
      <c r="D1905" s="1609" t="s">
        <v>3906</v>
      </c>
      <c r="E1905" s="1352">
        <f>'Verification Report'!O1905</f>
        <v>0</v>
      </c>
      <c r="F1905" s="1341" t="str">
        <f>IF(LEN('Verification Report'!W1905)=0,"",'Verification Report'!W1905)</f>
        <v/>
      </c>
      <c r="G1905" s="1397" t="str">
        <f>IF(E1905&gt;0,"P","NP")</f>
        <v>NP</v>
      </c>
    </row>
    <row r="1906" spans="1:9" x14ac:dyDescent="0.2">
      <c r="A1906" s="161"/>
      <c r="B1906" s="4"/>
      <c r="C1906" s="207"/>
      <c r="D1906" s="1612"/>
      <c r="G1906" s="1" t="str">
        <f>G1905</f>
        <v>NP</v>
      </c>
    </row>
    <row r="1907" spans="1:9" x14ac:dyDescent="0.2">
      <c r="A1907" s="161"/>
      <c r="B1907" s="4"/>
      <c r="C1907" s="180" t="s">
        <v>122</v>
      </c>
      <c r="D1907" s="1609" t="s">
        <v>3907</v>
      </c>
      <c r="E1907" s="1352">
        <f>'Verification Report'!O1907</f>
        <v>0</v>
      </c>
      <c r="F1907" s="1341" t="str">
        <f>IF(LEN('Verification Report'!W1907)=0,"",'Verification Report'!W1907)</f>
        <v/>
      </c>
      <c r="G1907" s="1397" t="str">
        <f>IF(E1907&gt;0,"P","NP")</f>
        <v>NP</v>
      </c>
    </row>
    <row r="1908" spans="1:9" x14ac:dyDescent="0.2">
      <c r="A1908" s="161"/>
      <c r="B1908" s="4"/>
      <c r="C1908" s="213"/>
      <c r="D1908" s="1612"/>
      <c r="G1908" s="1" t="str">
        <f>G1907</f>
        <v>NP</v>
      </c>
    </row>
    <row r="1909" spans="1:9" x14ac:dyDescent="0.2">
      <c r="A1909" s="161"/>
      <c r="B1909" s="129"/>
      <c r="C1909" s="180" t="s">
        <v>123</v>
      </c>
      <c r="D1909" s="1609" t="s">
        <v>2703</v>
      </c>
      <c r="E1909" s="1352">
        <f ca="1">'Verification Report'!O1909</f>
        <v>0</v>
      </c>
      <c r="F1909" s="1341" t="str">
        <f>IF(LEN('Verification Report'!W1909)=0,"",'Verification Report'!W1909)</f>
        <v/>
      </c>
      <c r="G1909" s="1397" t="str">
        <f ca="1">IF(E1909&gt;0,"P","NP")</f>
        <v>NP</v>
      </c>
    </row>
    <row r="1910" spans="1:9" x14ac:dyDescent="0.2">
      <c r="A1910" s="161"/>
      <c r="B1910" s="129"/>
      <c r="C1910" s="129"/>
      <c r="D1910" s="1609"/>
      <c r="G1910" s="1" t="str">
        <f ca="1">G1909</f>
        <v>NP</v>
      </c>
    </row>
    <row r="1911" spans="1:9" x14ac:dyDescent="0.2">
      <c r="A1911" s="161"/>
      <c r="B1911" s="129"/>
      <c r="C1911" s="129"/>
      <c r="D1911" s="1609"/>
      <c r="G1911" s="1" t="str">
        <f ca="1">G1910</f>
        <v>NP</v>
      </c>
    </row>
    <row r="1912" spans="1:9" x14ac:dyDescent="0.2">
      <c r="A1912" s="161"/>
      <c r="B1912" s="129"/>
      <c r="C1912" s="129"/>
      <c r="D1912" s="1609"/>
      <c r="G1912" s="1" t="str">
        <f ca="1">G1911</f>
        <v>NP</v>
      </c>
    </row>
    <row r="1913" spans="1:9" x14ac:dyDescent="0.2">
      <c r="A1913" s="161"/>
      <c r="B1913" s="129"/>
      <c r="C1913" s="129"/>
      <c r="D1913" s="1609"/>
      <c r="G1913" s="1" t="str">
        <f ca="1">G1912</f>
        <v>NP</v>
      </c>
    </row>
    <row r="1914" spans="1:9" x14ac:dyDescent="0.2">
      <c r="A1914" s="161"/>
      <c r="B1914" s="213"/>
      <c r="C1914" s="213"/>
      <c r="D1914" s="1612"/>
      <c r="G1914" s="1" t="str">
        <f ca="1">G1913</f>
        <v>NP</v>
      </c>
    </row>
    <row r="1915" spans="1:9" ht="15" customHeight="1" thickBot="1" x14ac:dyDescent="0.25">
      <c r="A1915" s="407"/>
      <c r="B1915" s="190" t="s">
        <v>255</v>
      </c>
      <c r="C1915" s="239"/>
      <c r="D1915" s="1380" t="s">
        <v>2704</v>
      </c>
      <c r="E1915" s="1352">
        <f>'Verification Report'!O1915</f>
        <v>10</v>
      </c>
      <c r="F1915" s="1341" t="b">
        <f>IF(LEN('Verification Report'!W1915)=0,"",'Verification Report'!W1915)</f>
        <v>1</v>
      </c>
      <c r="G1915" s="1397" t="str">
        <f>IF(E1915&gt;0,"P","NP")</f>
        <v>P</v>
      </c>
      <c r="H1915" s="1401" t="s">
        <v>5287</v>
      </c>
      <c r="I1915" s="1403"/>
    </row>
    <row r="1916" spans="1:9" ht="16" thickTop="1" x14ac:dyDescent="0.2">
      <c r="A1916" s="67" t="s">
        <v>3672</v>
      </c>
      <c r="B1916" s="4"/>
      <c r="C1916" s="4"/>
      <c r="D1916" s="1611" t="s">
        <v>3896</v>
      </c>
      <c r="E1916" s="1352">
        <f ca="1">'Verification Report'!O1916</f>
        <v>0</v>
      </c>
      <c r="G1916" s="1352" t="s">
        <v>246</v>
      </c>
    </row>
    <row r="1917" spans="1:9" x14ac:dyDescent="0.2">
      <c r="A1917" s="161"/>
      <c r="B1917" s="4"/>
      <c r="C1917" s="4"/>
      <c r="D1917" s="1611"/>
      <c r="G1917" s="1352" t="s">
        <v>246</v>
      </c>
    </row>
    <row r="1918" spans="1:9" x14ac:dyDescent="0.2">
      <c r="A1918" s="161"/>
      <c r="B1918" s="4"/>
      <c r="C1918" s="4"/>
      <c r="D1918" s="1611"/>
      <c r="G1918" s="1352" t="s">
        <v>246</v>
      </c>
    </row>
    <row r="1919" spans="1:9" x14ac:dyDescent="0.2">
      <c r="A1919" s="161"/>
      <c r="B1919" s="4"/>
      <c r="C1919" s="4"/>
      <c r="D1919" s="1611"/>
      <c r="G1919" s="1352" t="s">
        <v>246</v>
      </c>
    </row>
    <row r="1920" spans="1:9" x14ac:dyDescent="0.2">
      <c r="A1920" s="161"/>
      <c r="B1920" s="180" t="s">
        <v>254</v>
      </c>
      <c r="C1920" s="129"/>
      <c r="D1920" s="1609" t="s">
        <v>2705</v>
      </c>
      <c r="F1920" s="1341" t="str">
        <f>IF(LEN('Verification Report'!W1920)=0,"",'Verification Report'!W1920)</f>
        <v>N/A</v>
      </c>
      <c r="G1920" s="1352" t="s">
        <v>246</v>
      </c>
    </row>
    <row r="1921" spans="1:7" x14ac:dyDescent="0.2">
      <c r="A1921" s="161"/>
      <c r="B1921" s="129"/>
      <c r="C1921" s="129"/>
      <c r="D1921" s="1609"/>
      <c r="G1921" s="1352" t="s">
        <v>246</v>
      </c>
    </row>
    <row r="1922" spans="1:7" x14ac:dyDescent="0.2">
      <c r="A1922" s="161"/>
      <c r="B1922" s="129"/>
      <c r="C1922" s="129"/>
      <c r="D1922" s="1609"/>
      <c r="G1922" s="1352" t="s">
        <v>246</v>
      </c>
    </row>
    <row r="1923" spans="1:7" x14ac:dyDescent="0.2">
      <c r="A1923" s="161"/>
      <c r="B1923" s="129"/>
      <c r="C1923" s="129"/>
      <c r="D1923" s="1609"/>
      <c r="G1923" s="1352" t="s">
        <v>246</v>
      </c>
    </row>
    <row r="1924" spans="1:7" x14ac:dyDescent="0.2">
      <c r="A1924" s="161"/>
      <c r="B1924" s="213"/>
      <c r="C1924" s="213"/>
      <c r="D1924" s="1387" t="s">
        <v>3194</v>
      </c>
      <c r="G1924" s="1352" t="s">
        <v>246</v>
      </c>
    </row>
    <row r="1925" spans="1:7" x14ac:dyDescent="0.2">
      <c r="A1925" s="406"/>
      <c r="B1925" s="129"/>
      <c r="C1925" s="129"/>
      <c r="D1925" s="1366" t="s">
        <v>2923</v>
      </c>
      <c r="F1925" s="1341" t="str">
        <f>IF(LEN('Verification Report'!W1925)=0,"",'Verification Report'!W1925)</f>
        <v/>
      </c>
      <c r="G1925" s="1352" t="s">
        <v>246</v>
      </c>
    </row>
    <row r="1926" spans="1:7" x14ac:dyDescent="0.2">
      <c r="A1926" s="406"/>
      <c r="B1926" s="129"/>
      <c r="C1926" s="129"/>
      <c r="D1926" s="1366" t="s">
        <v>2924</v>
      </c>
      <c r="F1926" s="1341" t="str">
        <f>IF(LEN('Verification Report'!W1926)=0,"",'Verification Report'!W1926)</f>
        <v/>
      </c>
      <c r="G1926" s="1352" t="s">
        <v>246</v>
      </c>
    </row>
    <row r="1927" spans="1:7" x14ac:dyDescent="0.2">
      <c r="A1927" s="406"/>
      <c r="B1927" s="129"/>
      <c r="C1927" s="129"/>
      <c r="D1927" s="1366" t="s">
        <v>2925</v>
      </c>
      <c r="F1927" s="1341" t="str">
        <f>IF(LEN('Verification Report'!W1927)=0,"",'Verification Report'!W1927)</f>
        <v/>
      </c>
      <c r="G1927" s="1352" t="s">
        <v>246</v>
      </c>
    </row>
    <row r="1928" spans="1:7" x14ac:dyDescent="0.2">
      <c r="A1928" s="406"/>
      <c r="B1928" s="129"/>
      <c r="C1928" s="129"/>
      <c r="D1928" s="1366" t="s">
        <v>2926</v>
      </c>
      <c r="F1928" s="1341" t="str">
        <f>IF(LEN('Verification Report'!W1928)=0,"",'Verification Report'!W1928)</f>
        <v/>
      </c>
      <c r="G1928" s="1352" t="s">
        <v>246</v>
      </c>
    </row>
    <row r="1929" spans="1:7" x14ac:dyDescent="0.2">
      <c r="A1929" s="406"/>
      <c r="B1929" s="180" t="s">
        <v>255</v>
      </c>
      <c r="C1929" s="129"/>
      <c r="D1929" s="1609" t="s">
        <v>2706</v>
      </c>
      <c r="G1929" s="1352" t="s">
        <v>246</v>
      </c>
    </row>
    <row r="1930" spans="1:7" x14ac:dyDescent="0.2">
      <c r="A1930" s="406"/>
      <c r="B1930" s="213"/>
      <c r="C1930" s="213"/>
      <c r="D1930" s="1612"/>
      <c r="G1930" s="1352" t="s">
        <v>246</v>
      </c>
    </row>
    <row r="1931" spans="1:7" x14ac:dyDescent="0.2">
      <c r="A1931" s="406"/>
      <c r="B1931" s="207" t="s">
        <v>256</v>
      </c>
      <c r="C1931" s="213"/>
      <c r="D1931" s="1365" t="s">
        <v>2707</v>
      </c>
      <c r="G1931" s="1352" t="s">
        <v>246</v>
      </c>
    </row>
    <row r="1932" spans="1:7" x14ac:dyDescent="0.2">
      <c r="A1932" s="406"/>
      <c r="B1932" s="207" t="s">
        <v>259</v>
      </c>
      <c r="C1932" s="213"/>
      <c r="D1932" s="1365" t="s">
        <v>2708</v>
      </c>
      <c r="G1932" s="1352" t="s">
        <v>246</v>
      </c>
    </row>
    <row r="1933" spans="1:7" x14ac:dyDescent="0.2">
      <c r="A1933" s="406"/>
      <c r="B1933" s="180" t="s">
        <v>263</v>
      </c>
      <c r="C1933" s="129"/>
      <c r="D1933" s="1609" t="s">
        <v>2709</v>
      </c>
      <c r="G1933" s="1352" t="s">
        <v>246</v>
      </c>
    </row>
    <row r="1934" spans="1:7" x14ac:dyDescent="0.2">
      <c r="A1934" s="406"/>
      <c r="B1934" s="207"/>
      <c r="C1934" s="213"/>
      <c r="D1934" s="1612"/>
      <c r="G1934" s="1352" t="s">
        <v>246</v>
      </c>
    </row>
    <row r="1935" spans="1:7" ht="16" thickBot="1" x14ac:dyDescent="0.25">
      <c r="A1935" s="407"/>
      <c r="B1935" s="190" t="s">
        <v>264</v>
      </c>
      <c r="C1935" s="239"/>
      <c r="D1935" s="1380" t="s">
        <v>2710</v>
      </c>
      <c r="G1935" s="1352" t="s">
        <v>246</v>
      </c>
    </row>
    <row r="1936" spans="1:7" ht="16" thickTop="1" x14ac:dyDescent="0.2">
      <c r="A1936" s="67" t="s">
        <v>3673</v>
      </c>
      <c r="B1936" s="4"/>
      <c r="C1936" s="4"/>
      <c r="D1936" s="1631" t="s">
        <v>3895</v>
      </c>
      <c r="G1936" s="1352" t="s">
        <v>246</v>
      </c>
    </row>
    <row r="1937" spans="1:8" x14ac:dyDescent="0.2">
      <c r="A1937" s="161"/>
      <c r="B1937" s="4"/>
      <c r="C1937" s="4"/>
      <c r="D1937" s="1631"/>
      <c r="G1937" s="1352" t="s">
        <v>246</v>
      </c>
    </row>
    <row r="1938" spans="1:8" x14ac:dyDescent="0.2">
      <c r="A1938" s="161"/>
      <c r="B1938" s="4"/>
      <c r="C1938" s="4"/>
      <c r="D1938" s="1378" t="s">
        <v>2711</v>
      </c>
      <c r="G1938" s="1352" t="s">
        <v>246</v>
      </c>
    </row>
    <row r="1939" spans="1:8" x14ac:dyDescent="0.2">
      <c r="A1939" s="161"/>
      <c r="B1939" s="180" t="s">
        <v>254</v>
      </c>
      <c r="C1939" s="129"/>
      <c r="D1939" s="1609" t="s">
        <v>2712</v>
      </c>
      <c r="E1939" s="1352">
        <f>'Verification Report'!O1939</f>
        <v>0</v>
      </c>
      <c r="F1939" s="1341" t="str">
        <f>IF(LEN('Verification Report'!W1939)=0,"",'Verification Report'!W1939)</f>
        <v/>
      </c>
      <c r="G1939" s="1352" t="s">
        <v>246</v>
      </c>
      <c r="H1939" s="1352"/>
    </row>
    <row r="1940" spans="1:8" x14ac:dyDescent="0.2">
      <c r="A1940" s="161"/>
      <c r="B1940" s="213"/>
      <c r="C1940" s="213"/>
      <c r="D1940" s="1612"/>
      <c r="G1940" s="1352" t="s">
        <v>246</v>
      </c>
      <c r="H1940" s="1352"/>
    </row>
    <row r="1941" spans="1:8" x14ac:dyDescent="0.2">
      <c r="A1941" s="406"/>
      <c r="B1941" s="180" t="s">
        <v>255</v>
      </c>
      <c r="C1941" s="129"/>
      <c r="D1941" s="1609" t="s">
        <v>2713</v>
      </c>
      <c r="E1941" s="1352">
        <f>'Verification Report'!O1941</f>
        <v>0</v>
      </c>
      <c r="F1941" s="1341" t="str">
        <f>IF(LEN('Verification Report'!W1941)=0,"",'Verification Report'!W1941)</f>
        <v/>
      </c>
      <c r="G1941" s="1352" t="s">
        <v>246</v>
      </c>
      <c r="H1941" s="1352"/>
    </row>
    <row r="1942" spans="1:8" x14ac:dyDescent="0.2">
      <c r="A1942" s="406"/>
      <c r="B1942" s="129"/>
      <c r="C1942" s="129"/>
      <c r="D1942" s="1609"/>
      <c r="G1942" s="1352" t="s">
        <v>246</v>
      </c>
      <c r="H1942" s="1352"/>
    </row>
    <row r="1943" spans="1:8" ht="16" thickBot="1" x14ac:dyDescent="0.25">
      <c r="A1943" s="407"/>
      <c r="B1943" s="239"/>
      <c r="C1943" s="239"/>
      <c r="D1943" s="1610"/>
      <c r="G1943" s="1352" t="s">
        <v>246</v>
      </c>
      <c r="H1943" s="1352"/>
    </row>
    <row r="1944" spans="1:8" ht="16" thickTop="1" x14ac:dyDescent="0.2">
      <c r="A1944" s="177" t="s">
        <v>3674</v>
      </c>
      <c r="B1944" s="178"/>
      <c r="C1944" s="178"/>
      <c r="D1944" s="1683" t="s">
        <v>3738</v>
      </c>
      <c r="F1944" s="1341" t="b">
        <f>IF(LEN('Verification Report'!W1944)=0,"",'Verification Report'!W1944)</f>
        <v>1</v>
      </c>
      <c r="G1944" s="1352" t="s">
        <v>246</v>
      </c>
      <c r="H1944" s="1352"/>
    </row>
    <row r="1945" spans="1:8" ht="16" thickBot="1" x14ac:dyDescent="0.25">
      <c r="A1945" s="407"/>
      <c r="B1945" s="239"/>
      <c r="C1945" s="239"/>
      <c r="D1945" s="1630"/>
      <c r="G1945" s="1352" t="s">
        <v>246</v>
      </c>
      <c r="H1945" s="1352"/>
    </row>
    <row r="1946" spans="1:8" ht="16" thickTop="1" x14ac:dyDescent="0.2">
      <c r="A1946" s="67" t="s">
        <v>3675</v>
      </c>
      <c r="B1946" s="4"/>
      <c r="C1946" s="4"/>
      <c r="D1946" s="1631" t="s">
        <v>3737</v>
      </c>
      <c r="E1946" s="1352">
        <f>'Verification Report'!O1946</f>
        <v>5</v>
      </c>
      <c r="G1946" s="1352" t="s">
        <v>246</v>
      </c>
      <c r="H1946" s="1352"/>
    </row>
    <row r="1947" spans="1:8" x14ac:dyDescent="0.2">
      <c r="A1947" s="161"/>
      <c r="B1947" s="4"/>
      <c r="C1947" s="4"/>
      <c r="D1947" s="1631"/>
      <c r="G1947" s="1352" t="s">
        <v>246</v>
      </c>
      <c r="H1947" s="1352"/>
    </row>
    <row r="1948" spans="1:8" x14ac:dyDescent="0.2">
      <c r="A1948" s="161"/>
      <c r="B1948" s="4"/>
      <c r="C1948" s="4"/>
      <c r="D1948" s="1631"/>
      <c r="G1948" s="1352" t="s">
        <v>246</v>
      </c>
      <c r="H1948" s="1352"/>
    </row>
    <row r="1949" spans="1:8" x14ac:dyDescent="0.2">
      <c r="A1949" s="161"/>
      <c r="B1949" s="4"/>
      <c r="C1949" s="4"/>
      <c r="D1949" s="1631"/>
      <c r="G1949" s="1352" t="s">
        <v>246</v>
      </c>
      <c r="H1949" s="1352"/>
    </row>
    <row r="1950" spans="1:8" x14ac:dyDescent="0.2">
      <c r="A1950" s="161"/>
      <c r="B1950" s="4"/>
      <c r="C1950" s="4"/>
      <c r="D1950" s="1631"/>
      <c r="G1950" s="1352" t="s">
        <v>246</v>
      </c>
      <c r="H1950" s="1352"/>
    </row>
    <row r="1951" spans="1:8" x14ac:dyDescent="0.2">
      <c r="A1951" s="161"/>
      <c r="B1951" s="4"/>
      <c r="C1951" s="4"/>
      <c r="D1951" s="1707" t="s">
        <v>2714</v>
      </c>
      <c r="G1951" s="1352" t="s">
        <v>246</v>
      </c>
      <c r="H1951" s="1352"/>
    </row>
    <row r="1952" spans="1:8" x14ac:dyDescent="0.2">
      <c r="A1952" s="161"/>
      <c r="B1952" s="4"/>
      <c r="C1952" s="4"/>
      <c r="D1952" s="1707"/>
      <c r="G1952" s="1352" t="s">
        <v>246</v>
      </c>
      <c r="H1952" s="1352"/>
    </row>
    <row r="1953" spans="1:8" x14ac:dyDescent="0.2">
      <c r="A1953" s="161"/>
      <c r="B1953" s="29" t="s">
        <v>254</v>
      </c>
      <c r="C1953" s="4"/>
      <c r="D1953" s="1611" t="s">
        <v>2715</v>
      </c>
      <c r="F1953" s="1341">
        <f>IF(LEN('Verification Report'!W1953)=0,"",'Verification Report'!W1953)</f>
        <v>0.5</v>
      </c>
      <c r="G1953" s="1352" t="s">
        <v>246</v>
      </c>
      <c r="H1953" s="1352"/>
    </row>
    <row r="1954" spans="1:8" x14ac:dyDescent="0.2">
      <c r="A1954" s="161"/>
      <c r="B1954" s="4"/>
      <c r="C1954" s="4"/>
      <c r="D1954" s="1611"/>
      <c r="G1954" s="1352" t="s">
        <v>246</v>
      </c>
      <c r="H1954" s="1352"/>
    </row>
    <row r="1955" spans="1:8" x14ac:dyDescent="0.2">
      <c r="A1955" s="161"/>
      <c r="B1955" s="4"/>
      <c r="C1955" s="4"/>
      <c r="D1955" s="1611"/>
      <c r="G1955" s="1352" t="s">
        <v>246</v>
      </c>
      <c r="H1955" s="1352"/>
    </row>
    <row r="1956" spans="1:8" x14ac:dyDescent="0.2">
      <c r="A1956" s="161"/>
      <c r="B1956" s="4"/>
      <c r="C1956" s="4"/>
      <c r="D1956" s="1611"/>
      <c r="G1956" s="1352" t="s">
        <v>246</v>
      </c>
      <c r="H1956" s="1352"/>
    </row>
    <row r="1957" spans="1:8" x14ac:dyDescent="0.2">
      <c r="A1957" s="161"/>
      <c r="B1957" s="4"/>
      <c r="C1957" s="29" t="s">
        <v>121</v>
      </c>
      <c r="D1957" s="1381" t="s">
        <v>2716</v>
      </c>
      <c r="G1957" s="1352" t="s">
        <v>246</v>
      </c>
      <c r="H1957" s="1352"/>
    </row>
    <row r="1958" spans="1:8" x14ac:dyDescent="0.2">
      <c r="A1958" s="161"/>
      <c r="B1958" s="4"/>
      <c r="C1958" s="29" t="s">
        <v>122</v>
      </c>
      <c r="D1958" s="1381" t="s">
        <v>2717</v>
      </c>
      <c r="G1958" s="1352" t="s">
        <v>246</v>
      </c>
      <c r="H1958" s="1352"/>
    </row>
    <row r="1959" spans="1:8" x14ac:dyDescent="0.2">
      <c r="A1959" s="161"/>
      <c r="B1959" s="4"/>
      <c r="C1959" s="29" t="s">
        <v>123</v>
      </c>
      <c r="D1959" s="1381" t="s">
        <v>2718</v>
      </c>
      <c r="G1959" s="1352" t="s">
        <v>246</v>
      </c>
      <c r="H1959" s="1352"/>
    </row>
    <row r="1960" spans="1:8" x14ac:dyDescent="0.2">
      <c r="A1960" s="161"/>
      <c r="B1960" s="4"/>
      <c r="C1960" s="29" t="s">
        <v>366</v>
      </c>
      <c r="D1960" s="1381" t="s">
        <v>2719</v>
      </c>
      <c r="G1960" s="1352" t="s">
        <v>246</v>
      </c>
      <c r="H1960" s="1352"/>
    </row>
    <row r="1961" spans="1:8" x14ac:dyDescent="0.2">
      <c r="A1961" s="161"/>
      <c r="B1961" s="4"/>
      <c r="C1961" s="29" t="s">
        <v>472</v>
      </c>
      <c r="D1961" s="1381" t="s">
        <v>2720</v>
      </c>
      <c r="G1961" s="1352" t="s">
        <v>246</v>
      </c>
      <c r="H1961" s="1352"/>
    </row>
    <row r="1962" spans="1:8" x14ac:dyDescent="0.2">
      <c r="A1962" s="161"/>
      <c r="B1962" s="129"/>
      <c r="C1962" s="180" t="s">
        <v>510</v>
      </c>
      <c r="D1962" s="1366" t="s">
        <v>2721</v>
      </c>
      <c r="G1962" s="1352" t="s">
        <v>246</v>
      </c>
      <c r="H1962" s="1352"/>
    </row>
    <row r="1963" spans="1:8" x14ac:dyDescent="0.2">
      <c r="A1963" s="161"/>
      <c r="B1963" s="213"/>
      <c r="C1963" s="207" t="s">
        <v>512</v>
      </c>
      <c r="D1963" s="1365" t="s">
        <v>3898</v>
      </c>
      <c r="G1963" s="1352" t="s">
        <v>246</v>
      </c>
      <c r="H1963" s="1352"/>
    </row>
    <row r="1964" spans="1:8" x14ac:dyDescent="0.2">
      <c r="A1964" s="406"/>
      <c r="B1964" s="207" t="s">
        <v>255</v>
      </c>
      <c r="C1964" s="213"/>
      <c r="D1964" s="1365" t="s">
        <v>3045</v>
      </c>
      <c r="F1964" s="1341" t="str">
        <f>IF(LEN('Verification Report'!W1964)=0,"",'Verification Report'!W1964)</f>
        <v/>
      </c>
      <c r="G1964" s="1352" t="s">
        <v>246</v>
      </c>
      <c r="H1964" s="1352"/>
    </row>
    <row r="1965" spans="1:8" x14ac:dyDescent="0.2">
      <c r="A1965" s="406"/>
      <c r="B1965" s="180" t="s">
        <v>256</v>
      </c>
      <c r="C1965" s="129"/>
      <c r="D1965" s="1366" t="s">
        <v>2927</v>
      </c>
      <c r="F1965" s="1341" t="str">
        <f>IF(LEN('Verification Report'!W1965)=0,"",'Verification Report'!W1965)</f>
        <v/>
      </c>
      <c r="G1965" s="1352" t="s">
        <v>246</v>
      </c>
      <c r="H1965" s="1352"/>
    </row>
    <row r="1966" spans="1:8" x14ac:dyDescent="0.2">
      <c r="A1966" s="406"/>
      <c r="B1966" s="129"/>
      <c r="C1966" s="129"/>
      <c r="D1966" s="1705" t="s">
        <v>2722</v>
      </c>
      <c r="G1966" s="1352" t="s">
        <v>246</v>
      </c>
    </row>
    <row r="1967" spans="1:8" ht="16" thickBot="1" x14ac:dyDescent="0.25">
      <c r="A1967" s="407"/>
      <c r="B1967" s="239"/>
      <c r="C1967" s="239"/>
      <c r="D1967" s="1706"/>
      <c r="G1967" s="1352" t="s">
        <v>246</v>
      </c>
    </row>
    <row r="1968" spans="1:8" ht="16" thickTop="1" x14ac:dyDescent="0.2">
      <c r="A1968" s="177" t="s">
        <v>3676</v>
      </c>
      <c r="B1968" s="178"/>
      <c r="C1968" s="178"/>
      <c r="D1968" s="1683" t="s">
        <v>3894</v>
      </c>
      <c r="E1968" s="1352">
        <f>'Verification Report'!O1968</f>
        <v>0</v>
      </c>
      <c r="F1968" s="1341" t="str">
        <f>IF(LEN('Verification Report'!W1968)=0,"",'Verification Report'!W1968)</f>
        <v/>
      </c>
      <c r="G1968" s="1352" t="s">
        <v>246</v>
      </c>
    </row>
    <row r="1969" spans="1:7" x14ac:dyDescent="0.2">
      <c r="A1969" s="406"/>
      <c r="B1969" s="129"/>
      <c r="C1969" s="129"/>
      <c r="D1969" s="1629"/>
      <c r="G1969" s="1352" t="s">
        <v>246</v>
      </c>
    </row>
    <row r="1970" spans="1:7" x14ac:dyDescent="0.2">
      <c r="A1970" s="406"/>
      <c r="B1970" s="129"/>
      <c r="C1970" s="129"/>
      <c r="D1970" s="1629"/>
      <c r="G1970" s="1352" t="s">
        <v>246</v>
      </c>
    </row>
    <row r="1971" spans="1:7" x14ac:dyDescent="0.2">
      <c r="A1971" s="406"/>
      <c r="B1971" s="129"/>
      <c r="C1971" s="129"/>
      <c r="D1971" s="1629"/>
      <c r="G1971" s="1352" t="s">
        <v>246</v>
      </c>
    </row>
    <row r="1972" spans="1:7" x14ac:dyDescent="0.2">
      <c r="A1972" s="406"/>
      <c r="B1972" s="129"/>
      <c r="C1972" s="129"/>
      <c r="D1972" s="1629"/>
      <c r="G1972" s="1352" t="s">
        <v>246</v>
      </c>
    </row>
    <row r="1973" spans="1:7" ht="16" thickBot="1" x14ac:dyDescent="0.25">
      <c r="A1973" s="407"/>
      <c r="B1973" s="239"/>
      <c r="C1973" s="239"/>
      <c r="D1973" s="1630"/>
      <c r="G1973" s="1352" t="s">
        <v>246</v>
      </c>
    </row>
    <row r="1974" spans="1:7" ht="16" thickTop="1" x14ac:dyDescent="0.2">
      <c r="A1974" s="177" t="s">
        <v>3677</v>
      </c>
      <c r="B1974" s="178"/>
      <c r="C1974" s="178"/>
      <c r="D1974" s="1683" t="s">
        <v>3893</v>
      </c>
      <c r="G1974" s="1352" t="s">
        <v>246</v>
      </c>
    </row>
    <row r="1975" spans="1:7" x14ac:dyDescent="0.2">
      <c r="A1975" s="406"/>
      <c r="B1975" s="129"/>
      <c r="C1975" s="129"/>
      <c r="D1975" s="1629"/>
      <c r="G1975" s="1352" t="s">
        <v>246</v>
      </c>
    </row>
    <row r="1976" spans="1:7" x14ac:dyDescent="0.2">
      <c r="A1976" s="406"/>
      <c r="B1976" s="129"/>
      <c r="C1976" s="129"/>
      <c r="D1976" s="1629"/>
      <c r="G1976" s="1352" t="s">
        <v>246</v>
      </c>
    </row>
    <row r="1977" spans="1:7" x14ac:dyDescent="0.2">
      <c r="A1977" s="406"/>
      <c r="B1977" s="129"/>
      <c r="C1977" s="129"/>
      <c r="D1977" s="1629"/>
      <c r="G1977" s="1352" t="s">
        <v>246</v>
      </c>
    </row>
    <row r="1978" spans="1:7" x14ac:dyDescent="0.2">
      <c r="A1978" s="67" t="s">
        <v>3678</v>
      </c>
      <c r="B1978" s="4"/>
      <c r="C1978" s="4"/>
      <c r="D1978" s="1631" t="s">
        <v>3736</v>
      </c>
      <c r="E1978" s="1352">
        <f>'Verification Report'!O1978</f>
        <v>5</v>
      </c>
      <c r="G1978" s="1352" t="s">
        <v>246</v>
      </c>
    </row>
    <row r="1979" spans="1:7" x14ac:dyDescent="0.2">
      <c r="A1979" s="161"/>
      <c r="B1979" s="4"/>
      <c r="C1979" s="4"/>
      <c r="D1979" s="1631"/>
      <c r="G1979" s="1352" t="s">
        <v>246</v>
      </c>
    </row>
    <row r="1980" spans="1:7" x14ac:dyDescent="0.2">
      <c r="A1980" s="161"/>
      <c r="B1980" s="180" t="s">
        <v>254</v>
      </c>
      <c r="C1980" s="129"/>
      <c r="D1980" s="1609" t="s">
        <v>2724</v>
      </c>
      <c r="F1980" s="1341" t="str">
        <f>IF(LEN('Verification Report'!W1980)=0,"",'Verification Report'!W1980)</f>
        <v/>
      </c>
      <c r="G1980" s="1352" t="s">
        <v>246</v>
      </c>
    </row>
    <row r="1981" spans="1:7" x14ac:dyDescent="0.2">
      <c r="A1981" s="161"/>
      <c r="B1981" s="213"/>
      <c r="C1981" s="213"/>
      <c r="D1981" s="1612"/>
      <c r="G1981" s="1352" t="s">
        <v>246</v>
      </c>
    </row>
    <row r="1982" spans="1:7" x14ac:dyDescent="0.2">
      <c r="A1982" s="161"/>
      <c r="B1982" s="207" t="s">
        <v>255</v>
      </c>
      <c r="C1982" s="213"/>
      <c r="D1982" s="1365" t="s">
        <v>2725</v>
      </c>
      <c r="F1982" s="1341" t="str">
        <f>IF(LEN('Verification Report'!W1982)=0,"",'Verification Report'!W1982)</f>
        <v/>
      </c>
      <c r="G1982" s="1352" t="s">
        <v>246</v>
      </c>
    </row>
    <row r="1983" spans="1:7" x14ac:dyDescent="0.2">
      <c r="A1983" s="406"/>
      <c r="B1983" s="180" t="s">
        <v>256</v>
      </c>
      <c r="C1983" s="129"/>
      <c r="D1983" s="1366" t="s">
        <v>3879</v>
      </c>
      <c r="F1983" s="1341" t="b">
        <f>IF(LEN('Verification Report'!W1983)=0,"",'Verification Report'!W1983)</f>
        <v>1</v>
      </c>
      <c r="G1983" s="1352" t="s">
        <v>246</v>
      </c>
    </row>
    <row r="1984" spans="1:7" x14ac:dyDescent="0.2">
      <c r="A1984" s="173"/>
      <c r="B1984" s="173"/>
      <c r="C1984" s="173"/>
      <c r="D1984" s="441" t="s">
        <v>3882</v>
      </c>
      <c r="G1984" s="1352" t="s">
        <v>246</v>
      </c>
    </row>
    <row r="1985" spans="1:7" x14ac:dyDescent="0.2">
      <c r="A1985" s="192" t="s">
        <v>3679</v>
      </c>
      <c r="B1985" s="193"/>
      <c r="C1985" s="193"/>
      <c r="D1985" s="1712" t="s">
        <v>3735</v>
      </c>
      <c r="E1985" s="1352">
        <f>'Verification Report'!O1985</f>
        <v>0</v>
      </c>
      <c r="F1985" s="1341" t="str">
        <f>IF(LEN('Verification Report'!W1985)=0,"",'Verification Report'!W1985)</f>
        <v/>
      </c>
      <c r="G1985" s="1352" t="s">
        <v>246</v>
      </c>
    </row>
    <row r="1986" spans="1:7" x14ac:dyDescent="0.2">
      <c r="A1986" s="406"/>
      <c r="B1986" s="129"/>
      <c r="C1986" s="129"/>
      <c r="D1986" s="1629"/>
      <c r="G1986" s="1352" t="s">
        <v>246</v>
      </c>
    </row>
    <row r="1987" spans="1:7" x14ac:dyDescent="0.2">
      <c r="A1987" s="406"/>
      <c r="B1987" s="129"/>
      <c r="C1987" s="129"/>
      <c r="D1987" s="1772" t="s">
        <v>3880</v>
      </c>
      <c r="G1987" s="1352" t="s">
        <v>246</v>
      </c>
    </row>
    <row r="1988" spans="1:7" x14ac:dyDescent="0.2">
      <c r="A1988" s="406"/>
      <c r="B1988" s="129"/>
      <c r="C1988" s="129"/>
      <c r="D1988" s="1772"/>
      <c r="G1988" s="1352" t="s">
        <v>246</v>
      </c>
    </row>
    <row r="1989" spans="1:7" x14ac:dyDescent="0.2">
      <c r="A1989" s="438"/>
      <c r="B1989" s="213"/>
      <c r="C1989" s="213"/>
      <c r="D1989" s="441" t="s">
        <v>3881</v>
      </c>
      <c r="G1989" s="1352" t="s">
        <v>246</v>
      </c>
    </row>
    <row r="1990" spans="1:7" x14ac:dyDescent="0.2">
      <c r="A1990" s="130" t="s">
        <v>3680</v>
      </c>
      <c r="B1990" s="129"/>
      <c r="C1990" s="129"/>
      <c r="D1990" s="1629" t="s">
        <v>3734</v>
      </c>
      <c r="E1990" s="1352">
        <f>'Verification Report'!O1990</f>
        <v>0</v>
      </c>
      <c r="F1990" s="1341" t="str">
        <f>IF(LEN('Verification Report'!W1990)=0,"",'Verification Report'!W1990)</f>
        <v/>
      </c>
      <c r="G1990" s="1352" t="s">
        <v>246</v>
      </c>
    </row>
    <row r="1991" spans="1:7" x14ac:dyDescent="0.2">
      <c r="A1991" s="406"/>
      <c r="B1991" s="129"/>
      <c r="C1991" s="129"/>
      <c r="D1991" s="1629"/>
      <c r="G1991" s="1352" t="s">
        <v>246</v>
      </c>
    </row>
    <row r="1992" spans="1:7" x14ac:dyDescent="0.2">
      <c r="A1992" s="406"/>
      <c r="B1992" s="129"/>
      <c r="C1992" s="129"/>
      <c r="D1992" s="1629"/>
      <c r="G1992" s="1352" t="s">
        <v>246</v>
      </c>
    </row>
    <row r="1993" spans="1:7" x14ac:dyDescent="0.2">
      <c r="A1993" s="406"/>
      <c r="B1993" s="129"/>
      <c r="C1993" s="129"/>
      <c r="D1993" s="1629"/>
      <c r="G1993" s="1352" t="s">
        <v>246</v>
      </c>
    </row>
    <row r="1994" spans="1:7" x14ac:dyDescent="0.2">
      <c r="A1994" s="406"/>
      <c r="B1994" s="129"/>
      <c r="C1994" s="129"/>
      <c r="D1994" s="1629"/>
      <c r="G1994" s="1352" t="s">
        <v>246</v>
      </c>
    </row>
    <row r="1995" spans="1:7" x14ac:dyDescent="0.2">
      <c r="A1995" s="406"/>
      <c r="B1995" s="129"/>
      <c r="C1995" s="129"/>
      <c r="D1995" s="1629"/>
      <c r="G1995" s="1352" t="s">
        <v>246</v>
      </c>
    </row>
    <row r="1996" spans="1:7" x14ac:dyDescent="0.2">
      <c r="A1996" s="192" t="s">
        <v>3909</v>
      </c>
      <c r="B1996" s="193"/>
      <c r="C1996" s="193"/>
      <c r="D1996" s="1712" t="s">
        <v>3910</v>
      </c>
      <c r="F1996" s="1341" t="str">
        <f>IF(LEN('Verification Report'!W1996)=0,"",'Verification Report'!W1996)</f>
        <v>N/A</v>
      </c>
      <c r="G1996" s="1352" t="s">
        <v>246</v>
      </c>
    </row>
    <row r="1997" spans="1:7" x14ac:dyDescent="0.2">
      <c r="A1997" s="406"/>
      <c r="B1997" s="129"/>
      <c r="C1997" s="129"/>
      <c r="D1997" s="1629"/>
      <c r="G1997" s="1352" t="s">
        <v>246</v>
      </c>
    </row>
    <row r="1998" spans="1:7" ht="16" thickBot="1" x14ac:dyDescent="0.25">
      <c r="A1998" s="407"/>
      <c r="B1998" s="239"/>
      <c r="C1998" s="239"/>
      <c r="D1998" s="1630"/>
      <c r="G1998" s="1352" t="s">
        <v>246</v>
      </c>
    </row>
    <row r="1999" spans="1:7" ht="16" thickTop="1" x14ac:dyDescent="0.2">
      <c r="A1999" s="226" t="s">
        <v>3681</v>
      </c>
      <c r="B1999" s="4"/>
      <c r="C1999" s="4"/>
      <c r="D1999" s="1631" t="s">
        <v>3902</v>
      </c>
      <c r="E1999" s="1352">
        <f>'Verification Report'!O1999</f>
        <v>0</v>
      </c>
      <c r="G1999" s="1352" t="s">
        <v>246</v>
      </c>
    </row>
    <row r="2000" spans="1:7" x14ac:dyDescent="0.2">
      <c r="A2000" s="161"/>
      <c r="B2000" s="4"/>
      <c r="C2000" s="4"/>
      <c r="D2000" s="1631"/>
      <c r="G2000" s="1352" t="s">
        <v>246</v>
      </c>
    </row>
    <row r="2001" spans="1:7" x14ac:dyDescent="0.2">
      <c r="A2001" s="161"/>
      <c r="B2001" s="4"/>
      <c r="C2001" s="4"/>
      <c r="D2001" s="1631"/>
      <c r="G2001" s="1352" t="s">
        <v>246</v>
      </c>
    </row>
    <row r="2002" spans="1:7" x14ac:dyDescent="0.2">
      <c r="A2002" s="161"/>
      <c r="B2002" s="4"/>
      <c r="C2002" s="4"/>
      <c r="D2002" s="1631"/>
      <c r="G2002" s="1352" t="s">
        <v>246</v>
      </c>
    </row>
    <row r="2003" spans="1:7" x14ac:dyDescent="0.2">
      <c r="A2003" s="161"/>
      <c r="B2003" s="180" t="s">
        <v>254</v>
      </c>
      <c r="C2003" s="129"/>
      <c r="D2003" s="1609" t="s">
        <v>3903</v>
      </c>
      <c r="F2003" s="1341" t="str">
        <f>IF(LEN('Verification Report'!W2003)=0,"",'Verification Report'!W2003)</f>
        <v/>
      </c>
      <c r="G2003" s="1352" t="s">
        <v>246</v>
      </c>
    </row>
    <row r="2004" spans="1:7" x14ac:dyDescent="0.2">
      <c r="A2004" s="161"/>
      <c r="B2004" s="129"/>
      <c r="C2004" s="129"/>
      <c r="D2004" s="1609"/>
      <c r="G2004" s="1352" t="s">
        <v>246</v>
      </c>
    </row>
    <row r="2005" spans="1:7" x14ac:dyDescent="0.2">
      <c r="A2005" s="161"/>
      <c r="B2005" s="129"/>
      <c r="C2005" s="129"/>
      <c r="D2005" s="1609"/>
      <c r="G2005" s="1352" t="s">
        <v>246</v>
      </c>
    </row>
    <row r="2006" spans="1:7" x14ac:dyDescent="0.2">
      <c r="A2006" s="161"/>
      <c r="B2006" s="129"/>
      <c r="C2006" s="129"/>
      <c r="D2006" s="1609"/>
      <c r="G2006" s="1352" t="s">
        <v>246</v>
      </c>
    </row>
    <row r="2007" spans="1:7" x14ac:dyDescent="0.2">
      <c r="A2007" s="161"/>
      <c r="B2007" s="213"/>
      <c r="C2007" s="213"/>
      <c r="D2007" s="1612"/>
      <c r="G2007" s="1352" t="s">
        <v>246</v>
      </c>
    </row>
    <row r="2008" spans="1:7" x14ac:dyDescent="0.2">
      <c r="A2008" s="161"/>
      <c r="B2008" s="207" t="s">
        <v>255</v>
      </c>
      <c r="C2008" s="213"/>
      <c r="D2008" s="1365" t="s">
        <v>2728</v>
      </c>
      <c r="F2008" s="1341" t="str">
        <f>IF(LEN('Verification Report'!W2008)=0,"",'Verification Report'!W2008)</f>
        <v/>
      </c>
      <c r="G2008" s="1352" t="s">
        <v>246</v>
      </c>
    </row>
    <row r="2009" spans="1:7" x14ac:dyDescent="0.2">
      <c r="A2009" s="406"/>
      <c r="B2009" s="180" t="s">
        <v>256</v>
      </c>
      <c r="C2009" s="129"/>
      <c r="D2009" s="1609" t="s">
        <v>3875</v>
      </c>
      <c r="F2009" s="1341" t="str">
        <f>IF(LEN('Verification Report'!W2009)=0,"",'Verification Report'!W2009)</f>
        <v/>
      </c>
      <c r="G2009" s="1352" t="s">
        <v>246</v>
      </c>
    </row>
    <row r="2010" spans="1:7" x14ac:dyDescent="0.2">
      <c r="A2010" s="406"/>
      <c r="B2010" s="129"/>
      <c r="C2010" s="129"/>
      <c r="D2010" s="1609"/>
      <c r="G2010" s="1352" t="s">
        <v>246</v>
      </c>
    </row>
    <row r="2011" spans="1:7" x14ac:dyDescent="0.2">
      <c r="A2011" s="406"/>
      <c r="B2011" s="129"/>
      <c r="C2011" s="129"/>
      <c r="D2011" s="1609"/>
      <c r="G2011" s="1352" t="s">
        <v>246</v>
      </c>
    </row>
    <row r="2012" spans="1:7" ht="16" thickBot="1" x14ac:dyDescent="0.25">
      <c r="A2012" s="407"/>
      <c r="B2012" s="239"/>
      <c r="C2012" s="239"/>
      <c r="D2012" s="408" t="s">
        <v>3878</v>
      </c>
      <c r="G2012" s="1352" t="s">
        <v>246</v>
      </c>
    </row>
    <row r="2013" spans="1:7" ht="16" thickTop="1" x14ac:dyDescent="0.2">
      <c r="A2013" s="177" t="s">
        <v>3682</v>
      </c>
      <c r="B2013" s="178"/>
      <c r="C2013" s="178"/>
      <c r="D2013" s="1683" t="s">
        <v>3897</v>
      </c>
      <c r="E2013" s="1352">
        <f>'Verification Report'!O2013</f>
        <v>0</v>
      </c>
      <c r="F2013" s="1341" t="str">
        <f>IF(LEN('Verification Report'!W2013)=0,"",'Verification Report'!W2013)</f>
        <v/>
      </c>
      <c r="G2013" s="1352" t="s">
        <v>246</v>
      </c>
    </row>
    <row r="2014" spans="1:7" x14ac:dyDescent="0.2">
      <c r="A2014" s="406"/>
      <c r="B2014" s="129"/>
      <c r="C2014" s="129"/>
      <c r="D2014" s="1629"/>
      <c r="G2014" s="1352" t="s">
        <v>246</v>
      </c>
    </row>
    <row r="2015" spans="1:7" x14ac:dyDescent="0.2">
      <c r="A2015" s="406"/>
      <c r="B2015" s="129"/>
      <c r="C2015" s="129"/>
      <c r="D2015" s="1629"/>
      <c r="G2015" s="1352" t="s">
        <v>246</v>
      </c>
    </row>
    <row r="2016" spans="1:7" x14ac:dyDescent="0.2">
      <c r="A2016" s="406"/>
      <c r="B2016" s="129"/>
      <c r="C2016" s="129"/>
      <c r="D2016" s="1629"/>
      <c r="G2016" s="1352" t="s">
        <v>246</v>
      </c>
    </row>
    <row r="2017" spans="1:9" ht="16" thickBot="1" x14ac:dyDescent="0.25">
      <c r="A2017" s="407"/>
      <c r="B2017" s="239"/>
      <c r="C2017" s="239"/>
      <c r="D2017" s="1630"/>
      <c r="G2017" s="1352" t="s">
        <v>246</v>
      </c>
    </row>
    <row r="2018" spans="1:9" ht="16" thickTop="1" x14ac:dyDescent="0.2">
      <c r="A2018" s="177" t="s">
        <v>3683</v>
      </c>
      <c r="B2018" s="1352"/>
      <c r="C2018" s="1352"/>
      <c r="D2018" s="1687" t="s">
        <v>4867</v>
      </c>
      <c r="E2018" s="1352">
        <f ca="1">'Verification Report'!O2018</f>
        <v>0</v>
      </c>
      <c r="F2018" s="1341" t="str">
        <f>IF(LEN('Verification Report'!W2018)=0,"",'Verification Report'!W2018)</f>
        <v/>
      </c>
      <c r="G2018" s="1352" t="s">
        <v>246</v>
      </c>
    </row>
    <row r="2019" spans="1:9" x14ac:dyDescent="0.2">
      <c r="A2019" s="1352"/>
      <c r="B2019" s="1352"/>
      <c r="C2019" s="1352"/>
      <c r="D2019" s="1687"/>
      <c r="G2019" s="1352" t="s">
        <v>246</v>
      </c>
    </row>
    <row r="2020" spans="1:9" x14ac:dyDescent="0.2">
      <c r="A2020" s="1352"/>
      <c r="B2020" s="1352"/>
      <c r="C2020" s="1352"/>
      <c r="D2020" s="1687"/>
      <c r="G2020" s="1352" t="s">
        <v>246</v>
      </c>
    </row>
    <row r="2021" spans="1:9" x14ac:dyDescent="0.2">
      <c r="A2021" s="1352"/>
      <c r="B2021" s="1352"/>
      <c r="C2021" s="1352"/>
      <c r="D2021" s="1687"/>
      <c r="G2021" s="1352" t="s">
        <v>246</v>
      </c>
    </row>
    <row r="2022" spans="1:9" x14ac:dyDescent="0.2">
      <c r="A2022" s="1352"/>
      <c r="B2022" s="1352"/>
      <c r="C2022" s="1352"/>
      <c r="D2022" s="1687"/>
      <c r="G2022" s="1352" t="s">
        <v>246</v>
      </c>
    </row>
    <row r="2023" spans="1:9" ht="16" thickBot="1" x14ac:dyDescent="0.25">
      <c r="A2023" s="1352"/>
      <c r="B2023" s="1352"/>
      <c r="C2023" s="1352"/>
      <c r="D2023" s="1687"/>
      <c r="G2023" s="1352" t="s">
        <v>246</v>
      </c>
    </row>
    <row r="2024" spans="1:9" ht="16" thickTop="1" x14ac:dyDescent="0.2">
      <c r="A2024" s="177" t="s">
        <v>3684</v>
      </c>
      <c r="B2024" s="178"/>
      <c r="C2024" s="178"/>
      <c r="D2024" s="1683" t="s">
        <v>4872</v>
      </c>
      <c r="F2024" s="1341" t="str">
        <f>IF(LEN('Verification Report'!W2024)=0,"",'Verification Report'!W2024)</f>
        <v>Met</v>
      </c>
      <c r="G2024" s="1352" t="s">
        <v>246</v>
      </c>
    </row>
    <row r="2025" spans="1:9" ht="16" thickBot="1" x14ac:dyDescent="0.25">
      <c r="A2025" s="407"/>
      <c r="B2025" s="239"/>
      <c r="C2025" s="239"/>
      <c r="D2025" s="1630"/>
      <c r="G2025" s="1352" t="s">
        <v>246</v>
      </c>
    </row>
    <row r="2026" spans="1:9" ht="16" thickTop="1" x14ac:dyDescent="0.2">
      <c r="A2026" s="177" t="s">
        <v>3685</v>
      </c>
      <c r="B2026" s="178"/>
      <c r="C2026" s="178"/>
      <c r="D2026" s="1683" t="s">
        <v>4871</v>
      </c>
      <c r="E2026" s="1352">
        <f ca="1">'Verification Report'!O2026</f>
        <v>0</v>
      </c>
      <c r="G2026" s="1397" t="str">
        <f ca="1">IF(E2026&gt;0,"P","NP")</f>
        <v>NP</v>
      </c>
    </row>
    <row r="2027" spans="1:9" x14ac:dyDescent="0.2">
      <c r="A2027" s="406"/>
      <c r="B2027" s="129"/>
      <c r="C2027" s="129"/>
      <c r="D2027" s="1629"/>
      <c r="G2027" s="1" t="str">
        <f ca="1">G2026</f>
        <v>NP</v>
      </c>
    </row>
    <row r="2028" spans="1:9" ht="15" customHeight="1" x14ac:dyDescent="0.2">
      <c r="A2028" s="406"/>
      <c r="B2028" s="207" t="s">
        <v>254</v>
      </c>
      <c r="C2028" s="213"/>
      <c r="D2028" s="1365" t="s">
        <v>2729</v>
      </c>
      <c r="F2028" s="1341" t="str">
        <f>IF(LEN('Verification Report'!W2028)=0,"",'Verification Report'!W2028)</f>
        <v/>
      </c>
      <c r="G2028" s="1398" t="str">
        <f>IF(AND(LEN(F2028)&gt;0,NOT(F2028=FALSE)),"P","NP")</f>
        <v>NP</v>
      </c>
      <c r="H2028" s="1401" t="s">
        <v>5288</v>
      </c>
      <c r="I2028" s="1403"/>
    </row>
    <row r="2029" spans="1:9" ht="15.75" customHeight="1" thickBot="1" x14ac:dyDescent="0.25">
      <c r="A2029" s="407"/>
      <c r="B2029" s="190" t="s">
        <v>255</v>
      </c>
      <c r="C2029" s="239"/>
      <c r="D2029" s="1380" t="s">
        <v>2730</v>
      </c>
      <c r="F2029" s="1341" t="str">
        <f>IF(LEN('Verification Report'!W2029)=0,"",'Verification Report'!W2029)</f>
        <v/>
      </c>
      <c r="G2029" s="1352" t="s">
        <v>246</v>
      </c>
    </row>
    <row r="2030" spans="1:9" ht="16" thickTop="1" x14ac:dyDescent="0.2">
      <c r="A2030" s="67" t="s">
        <v>3900</v>
      </c>
      <c r="B2030" s="4"/>
      <c r="C2030" s="4"/>
      <c r="D2030" s="1631" t="s">
        <v>4870</v>
      </c>
      <c r="G2030" s="1352" t="s">
        <v>246</v>
      </c>
    </row>
    <row r="2031" spans="1:9" x14ac:dyDescent="0.2">
      <c r="A2031" s="161"/>
      <c r="B2031" s="4"/>
      <c r="C2031" s="4"/>
      <c r="D2031" s="1631"/>
      <c r="G2031" s="1352" t="s">
        <v>246</v>
      </c>
    </row>
    <row r="2032" spans="1:9" x14ac:dyDescent="0.2">
      <c r="A2032" s="161"/>
      <c r="B2032" s="180" t="s">
        <v>254</v>
      </c>
      <c r="C2032" s="129"/>
      <c r="D2032" s="1609" t="s">
        <v>2731</v>
      </c>
      <c r="E2032" s="1352">
        <f ca="1">'Verification Report'!O2032</f>
        <v>0</v>
      </c>
      <c r="F2032" s="1341" t="str">
        <f>IF(LEN('Verification Report'!W2032)=0,"",'Verification Report'!W2032)</f>
        <v/>
      </c>
      <c r="G2032" s="1352" t="s">
        <v>246</v>
      </c>
    </row>
    <row r="2033" spans="1:7" x14ac:dyDescent="0.2">
      <c r="A2033" s="161"/>
      <c r="B2033" s="213"/>
      <c r="C2033" s="213"/>
      <c r="D2033" s="1612"/>
      <c r="G2033" s="1352" t="s">
        <v>246</v>
      </c>
    </row>
    <row r="2034" spans="1:7" x14ac:dyDescent="0.2">
      <c r="A2034" s="161"/>
      <c r="B2034" s="29" t="s">
        <v>255</v>
      </c>
      <c r="C2034" s="4"/>
      <c r="D2034" s="1611" t="s">
        <v>2732</v>
      </c>
      <c r="E2034" s="1352">
        <f ca="1">'Verification Report'!O2034</f>
        <v>0</v>
      </c>
      <c r="F2034" s="1341" t="str">
        <f>IF(LEN('Verification Report'!W2034)=0,"",'Verification Report'!W2034)</f>
        <v/>
      </c>
      <c r="G2034" s="1352" t="s">
        <v>246</v>
      </c>
    </row>
    <row r="2035" spans="1:7" ht="16" thickBot="1" x14ac:dyDescent="0.25">
      <c r="A2035" s="161"/>
      <c r="B2035" s="4"/>
      <c r="C2035" s="4"/>
      <c r="D2035" s="1611"/>
      <c r="G2035" s="1352" t="s">
        <v>246</v>
      </c>
    </row>
    <row r="2036" spans="1:7" ht="16" thickTop="1" x14ac:dyDescent="0.2">
      <c r="A2036" s="177" t="s">
        <v>4868</v>
      </c>
      <c r="B2036" s="178"/>
      <c r="C2036" s="178"/>
      <c r="D2036" s="1683" t="s">
        <v>4869</v>
      </c>
      <c r="F2036" s="1341" t="b">
        <f>IF(LEN('Verification Report'!W2036)=0,"",'Verification Report'!W2036)</f>
        <v>1</v>
      </c>
      <c r="G2036" s="1352" t="s">
        <v>246</v>
      </c>
    </row>
    <row r="2037" spans="1:7" x14ac:dyDescent="0.2">
      <c r="A2037" s="438"/>
      <c r="B2037" s="213"/>
      <c r="C2037" s="213"/>
      <c r="D2037" s="1696"/>
      <c r="G2037" s="1352" t="s">
        <v>246</v>
      </c>
    </row>
    <row r="2038" spans="1:7" ht="19" x14ac:dyDescent="0.25">
      <c r="A2038" s="14" t="s">
        <v>3686</v>
      </c>
      <c r="B2038" s="25"/>
      <c r="C2038" s="25"/>
      <c r="D2038" s="86"/>
      <c r="E2038" s="25"/>
      <c r="F2038" s="994"/>
      <c r="G2038" s="1352" t="s">
        <v>246</v>
      </c>
    </row>
    <row r="2039" spans="1:7" ht="16" thickBot="1" x14ac:dyDescent="0.25">
      <c r="A2039" s="404" t="s">
        <v>3687</v>
      </c>
      <c r="B2039" s="239"/>
      <c r="C2039" s="239"/>
      <c r="D2039" s="1388" t="s">
        <v>3733</v>
      </c>
      <c r="G2039" s="1352" t="s">
        <v>246</v>
      </c>
    </row>
    <row r="2040" spans="1:7" ht="16" thickTop="1" x14ac:dyDescent="0.2">
      <c r="A2040" s="67" t="s">
        <v>3688</v>
      </c>
      <c r="B2040" s="4"/>
      <c r="C2040" s="4"/>
      <c r="D2040" s="1375" t="s">
        <v>3732</v>
      </c>
      <c r="G2040" s="1352" t="s">
        <v>246</v>
      </c>
    </row>
    <row r="2041" spans="1:7" x14ac:dyDescent="0.2">
      <c r="A2041" s="67" t="s">
        <v>3689</v>
      </c>
      <c r="B2041" s="4"/>
      <c r="C2041" s="4"/>
      <c r="D2041" s="1375" t="s">
        <v>3731</v>
      </c>
      <c r="G2041" s="1352" t="s">
        <v>246</v>
      </c>
    </row>
    <row r="2042" spans="1:7" x14ac:dyDescent="0.2">
      <c r="A2042" s="161"/>
      <c r="B2042" s="29" t="s">
        <v>254</v>
      </c>
      <c r="C2042" s="4"/>
      <c r="D2042" s="1611" t="s">
        <v>2733</v>
      </c>
      <c r="F2042" s="1341" t="b">
        <f>IF(LEN('Verification Report'!W2042)=0,"",'Verification Report'!W2042)</f>
        <v>1</v>
      </c>
      <c r="G2042" s="1352" t="s">
        <v>246</v>
      </c>
    </row>
    <row r="2043" spans="1:7" x14ac:dyDescent="0.2">
      <c r="A2043" s="161"/>
      <c r="B2043" s="4"/>
      <c r="C2043" s="4"/>
      <c r="D2043" s="1611"/>
      <c r="G2043" s="1352" t="s">
        <v>246</v>
      </c>
    </row>
    <row r="2044" spans="1:7" x14ac:dyDescent="0.2">
      <c r="A2044" s="161"/>
      <c r="B2044" s="180"/>
      <c r="C2044" s="180" t="s">
        <v>121</v>
      </c>
      <c r="D2044" s="1609" t="s">
        <v>2928</v>
      </c>
      <c r="E2044" s="1352">
        <f>'Verification Report'!O2044</f>
        <v>0</v>
      </c>
      <c r="F2044" s="1341" t="str">
        <f>IF(LEN('Verification Report'!W2044)=0,"",'Verification Report'!W2044)</f>
        <v/>
      </c>
      <c r="G2044" s="1352" t="s">
        <v>246</v>
      </c>
    </row>
    <row r="2045" spans="1:7" x14ac:dyDescent="0.2">
      <c r="A2045" s="161"/>
      <c r="B2045" s="207"/>
      <c r="C2045" s="213"/>
      <c r="D2045" s="1612"/>
      <c r="G2045" s="1352" t="s">
        <v>246</v>
      </c>
    </row>
    <row r="2046" spans="1:7" x14ac:dyDescent="0.2">
      <c r="A2046" s="161"/>
      <c r="B2046" s="180" t="s">
        <v>255</v>
      </c>
      <c r="C2046" s="129"/>
      <c r="D2046" s="1609" t="s">
        <v>2734</v>
      </c>
      <c r="F2046" s="1341" t="str">
        <f>IF(LEN('Verification Report'!W2046)=0,"",'Verification Report'!W2046)</f>
        <v>Met</v>
      </c>
      <c r="G2046" s="1352" t="s">
        <v>246</v>
      </c>
    </row>
    <row r="2047" spans="1:7" x14ac:dyDescent="0.2">
      <c r="A2047" s="161"/>
      <c r="B2047" s="207"/>
      <c r="C2047" s="213"/>
      <c r="D2047" s="1612"/>
      <c r="G2047" s="1352" t="s">
        <v>246</v>
      </c>
    </row>
    <row r="2048" spans="1:7" x14ac:dyDescent="0.2">
      <c r="A2048" s="406"/>
      <c r="B2048" s="180" t="s">
        <v>256</v>
      </c>
      <c r="C2048" s="129"/>
      <c r="D2048" s="1609" t="s">
        <v>2735</v>
      </c>
      <c r="E2048" s="1352">
        <f>'Verification Report'!O2048</f>
        <v>0</v>
      </c>
      <c r="F2048" s="1341" t="str">
        <f>IF(LEN('Verification Report'!W2048)=0,"",'Verification Report'!W2048)</f>
        <v/>
      </c>
      <c r="G2048" s="1352" t="s">
        <v>246</v>
      </c>
    </row>
    <row r="2049" spans="1:7" x14ac:dyDescent="0.2">
      <c r="A2049" s="406"/>
      <c r="B2049" s="180"/>
      <c r="C2049" s="129"/>
      <c r="D2049" s="1609"/>
      <c r="G2049" s="1352" t="s">
        <v>246</v>
      </c>
    </row>
    <row r="2050" spans="1:7" x14ac:dyDescent="0.2">
      <c r="A2050" s="438"/>
      <c r="B2050" s="213"/>
      <c r="C2050" s="213"/>
      <c r="D2050" s="1612"/>
      <c r="G2050" s="1352" t="s">
        <v>246</v>
      </c>
    </row>
    <row r="2051" spans="1:7" x14ac:dyDescent="0.2">
      <c r="A2051" s="192" t="s">
        <v>3690</v>
      </c>
      <c r="B2051" s="193"/>
      <c r="C2051" s="193"/>
      <c r="D2051" s="1712" t="s">
        <v>3730</v>
      </c>
      <c r="E2051" s="1352">
        <f>'Verification Report'!O2051</f>
        <v>0</v>
      </c>
      <c r="G2051" s="1352" t="s">
        <v>246</v>
      </c>
    </row>
    <row r="2052" spans="1:7" x14ac:dyDescent="0.2">
      <c r="A2052" s="406"/>
      <c r="B2052" s="129"/>
      <c r="C2052" s="129"/>
      <c r="D2052" s="1629"/>
      <c r="F2052" s="1341" t="str">
        <f>IF(LEN('Verification Report'!W2052)=0,"",'Verification Report'!W2052)</f>
        <v/>
      </c>
      <c r="G2052" s="1352" t="s">
        <v>246</v>
      </c>
    </row>
    <row r="2053" spans="1:7" x14ac:dyDescent="0.2">
      <c r="A2053" s="406"/>
      <c r="B2053" s="207" t="s">
        <v>254</v>
      </c>
      <c r="C2053" s="213"/>
      <c r="D2053" s="1365" t="s">
        <v>2738</v>
      </c>
      <c r="G2053" s="1352" t="s">
        <v>246</v>
      </c>
    </row>
    <row r="2054" spans="1:7" x14ac:dyDescent="0.2">
      <c r="A2054" s="438"/>
      <c r="B2054" s="207" t="s">
        <v>255</v>
      </c>
      <c r="C2054" s="213"/>
      <c r="D2054" s="1365" t="s">
        <v>2739</v>
      </c>
      <c r="F2054" s="1341" t="str">
        <f>IF(LEN('Verification Report'!W2054)=0,"",'Verification Report'!W2054)</f>
        <v/>
      </c>
      <c r="G2054" s="1352" t="s">
        <v>246</v>
      </c>
    </row>
    <row r="2055" spans="1:7" x14ac:dyDescent="0.2">
      <c r="A2055" s="192" t="s">
        <v>3691</v>
      </c>
      <c r="B2055" s="193"/>
      <c r="C2055" s="193"/>
      <c r="D2055" s="1712" t="s">
        <v>3729</v>
      </c>
      <c r="E2055" s="1352">
        <f>'Verification Report'!O2055</f>
        <v>0</v>
      </c>
      <c r="F2055" s="1341" t="str">
        <f>IF(LEN('Verification Report'!W2055)=0,"",'Verification Report'!W2055)</f>
        <v/>
      </c>
      <c r="G2055" s="1352" t="s">
        <v>246</v>
      </c>
    </row>
    <row r="2056" spans="1:7" x14ac:dyDescent="0.2">
      <c r="A2056" s="406"/>
      <c r="B2056" s="129"/>
      <c r="C2056" s="129"/>
      <c r="D2056" s="1629"/>
      <c r="G2056" s="1352" t="s">
        <v>246</v>
      </c>
    </row>
    <row r="2057" spans="1:7" x14ac:dyDescent="0.2">
      <c r="A2057" s="406"/>
      <c r="B2057" s="129"/>
      <c r="C2057" s="180" t="s">
        <v>121</v>
      </c>
      <c r="D2057" s="1366" t="s">
        <v>2741</v>
      </c>
      <c r="G2057" s="1352" t="s">
        <v>246</v>
      </c>
    </row>
    <row r="2058" spans="1:7" x14ac:dyDescent="0.2">
      <c r="A2058" s="438"/>
      <c r="B2058" s="213"/>
      <c r="C2058" s="207" t="s">
        <v>122</v>
      </c>
      <c r="D2058" s="1365" t="s">
        <v>2742</v>
      </c>
      <c r="G2058" s="1352" t="s">
        <v>246</v>
      </c>
    </row>
    <row r="2059" spans="1:7" x14ac:dyDescent="0.2">
      <c r="A2059" s="192" t="s">
        <v>3692</v>
      </c>
      <c r="B2059" s="193"/>
      <c r="C2059" s="193"/>
      <c r="D2059" s="1374" t="s">
        <v>3728</v>
      </c>
      <c r="E2059" s="1352">
        <f>'Verification Report'!O2059</f>
        <v>0</v>
      </c>
      <c r="G2059" s="1352" t="s">
        <v>246</v>
      </c>
    </row>
    <row r="2060" spans="1:7" x14ac:dyDescent="0.2">
      <c r="A2060" s="406"/>
      <c r="B2060" s="180" t="s">
        <v>254</v>
      </c>
      <c r="C2060" s="129"/>
      <c r="D2060" s="1366" t="s">
        <v>2931</v>
      </c>
      <c r="G2060" s="1352" t="s">
        <v>246</v>
      </c>
    </row>
    <row r="2061" spans="1:7" x14ac:dyDescent="0.2">
      <c r="A2061" s="406"/>
      <c r="B2061" s="207"/>
      <c r="C2061" s="213"/>
      <c r="D2061" s="1379" t="s">
        <v>2744</v>
      </c>
      <c r="F2061" s="1341" t="str">
        <f>IF(LEN('Verification Report'!W2061)=0,"",'Verification Report'!W2061)</f>
        <v/>
      </c>
      <c r="G2061" s="1352" t="s">
        <v>246</v>
      </c>
    </row>
    <row r="2062" spans="1:7" x14ac:dyDescent="0.2">
      <c r="A2062" s="406"/>
      <c r="B2062" s="180" t="s">
        <v>255</v>
      </c>
      <c r="C2062" s="129"/>
      <c r="D2062" s="1366" t="s">
        <v>2745</v>
      </c>
      <c r="G2062" s="1352" t="s">
        <v>246</v>
      </c>
    </row>
    <row r="2063" spans="1:7" x14ac:dyDescent="0.2">
      <c r="A2063" s="438"/>
      <c r="B2063" s="213"/>
      <c r="C2063" s="213"/>
      <c r="D2063" s="1379" t="s">
        <v>2744</v>
      </c>
      <c r="F2063" s="1341" t="str">
        <f>IF(LEN('Verification Report'!W2063)=0,"",'Verification Report'!W2063)</f>
        <v/>
      </c>
      <c r="G2063" s="1352" t="s">
        <v>246</v>
      </c>
    </row>
    <row r="2064" spans="1:7" x14ac:dyDescent="0.2">
      <c r="A2064" s="67" t="s">
        <v>3693</v>
      </c>
      <c r="B2064" s="4"/>
      <c r="C2064" s="4"/>
      <c r="D2064" s="1631" t="s">
        <v>3727</v>
      </c>
      <c r="E2064" s="1352">
        <f>'Verification Report'!O2064</f>
        <v>0</v>
      </c>
      <c r="G2064" s="1352" t="s">
        <v>246</v>
      </c>
    </row>
    <row r="2065" spans="1:7" x14ac:dyDescent="0.2">
      <c r="A2065" s="161"/>
      <c r="B2065" s="4"/>
      <c r="C2065" s="4"/>
      <c r="D2065" s="1631"/>
      <c r="G2065" s="1352" t="s">
        <v>246</v>
      </c>
    </row>
    <row r="2066" spans="1:7" x14ac:dyDescent="0.2">
      <c r="A2066" s="161"/>
      <c r="B2066" s="180" t="s">
        <v>254</v>
      </c>
      <c r="C2066" s="129"/>
      <c r="D2066" s="1609" t="s">
        <v>4874</v>
      </c>
      <c r="F2066" s="1341" t="str">
        <f>IF(LEN('Verification Report'!W2066)=0,"",'Verification Report'!W2066)</f>
        <v/>
      </c>
      <c r="G2066" s="1352" t="s">
        <v>246</v>
      </c>
    </row>
    <row r="2067" spans="1:7" x14ac:dyDescent="0.2">
      <c r="A2067" s="161"/>
      <c r="B2067" s="207"/>
      <c r="C2067" s="213"/>
      <c r="D2067" s="1612"/>
      <c r="G2067" s="1352" t="s">
        <v>246</v>
      </c>
    </row>
    <row r="2068" spans="1:7" x14ac:dyDescent="0.2">
      <c r="A2068" s="161"/>
      <c r="B2068" s="180" t="s">
        <v>255</v>
      </c>
      <c r="C2068" s="129"/>
      <c r="D2068" s="1609" t="s">
        <v>2747</v>
      </c>
      <c r="F2068" s="1341" t="str">
        <f>IF(LEN('Verification Report'!W2068)=0,"",'Verification Report'!W2068)</f>
        <v/>
      </c>
      <c r="G2068" s="1352" t="s">
        <v>246</v>
      </c>
    </row>
    <row r="2069" spans="1:7" x14ac:dyDescent="0.2">
      <c r="A2069" s="161"/>
      <c r="B2069" s="213"/>
      <c r="C2069" s="213"/>
      <c r="D2069" s="1612"/>
      <c r="G2069" s="1352" t="s">
        <v>246</v>
      </c>
    </row>
    <row r="2070" spans="1:7" x14ac:dyDescent="0.2">
      <c r="A2070" s="406"/>
      <c r="B2070" s="180" t="s">
        <v>256</v>
      </c>
      <c r="C2070" s="129"/>
      <c r="D2070" s="1609" t="s">
        <v>2748</v>
      </c>
      <c r="F2070" s="1341" t="str">
        <f>IF(LEN('Verification Report'!W2070)=0,"",'Verification Report'!W2070)</f>
        <v/>
      </c>
      <c r="G2070" s="1352" t="s">
        <v>246</v>
      </c>
    </row>
    <row r="2071" spans="1:7" x14ac:dyDescent="0.2">
      <c r="A2071" s="406"/>
      <c r="B2071" s="129"/>
      <c r="C2071" s="129"/>
      <c r="D2071" s="1609"/>
      <c r="G2071" s="1352" t="s">
        <v>246</v>
      </c>
    </row>
    <row r="2072" spans="1:7" ht="16" thickBot="1" x14ac:dyDescent="0.25">
      <c r="A2072" s="407"/>
      <c r="B2072" s="239"/>
      <c r="C2072" s="239"/>
      <c r="D2072" s="1610"/>
      <c r="G2072" s="1352" t="s">
        <v>246</v>
      </c>
    </row>
    <row r="2073" spans="1:7" ht="16" thickTop="1" x14ac:dyDescent="0.2">
      <c r="A2073" s="130" t="s">
        <v>4875</v>
      </c>
      <c r="B2073" s="129"/>
      <c r="C2073" s="129"/>
      <c r="D2073" s="1608" t="s">
        <v>4876</v>
      </c>
      <c r="E2073" s="1352">
        <f>'Verification Report'!O2073</f>
        <v>0</v>
      </c>
      <c r="F2073" s="1341" t="str">
        <f>IF(LEN('Verification Report'!W2073)=0,"",'Verification Report'!W2073)</f>
        <v/>
      </c>
      <c r="G2073" s="1352" t="s">
        <v>246</v>
      </c>
    </row>
    <row r="2074" spans="1:7" x14ac:dyDescent="0.2">
      <c r="A2074" s="406"/>
      <c r="B2074" s="129"/>
      <c r="C2074" s="129"/>
      <c r="D2074" s="1609"/>
      <c r="G2074" s="1352" t="s">
        <v>246</v>
      </c>
    </row>
    <row r="2075" spans="1:7" ht="16" thickBot="1" x14ac:dyDescent="0.25">
      <c r="A2075" s="406"/>
      <c r="B2075" s="129"/>
      <c r="C2075" s="129"/>
      <c r="D2075" s="1610"/>
      <c r="G2075" s="1352" t="s">
        <v>246</v>
      </c>
    </row>
    <row r="2076" spans="1:7" ht="16" thickTop="1" x14ac:dyDescent="0.2">
      <c r="A2076" s="177" t="s">
        <v>3694</v>
      </c>
      <c r="B2076" s="178"/>
      <c r="C2076" s="178"/>
      <c r="D2076" s="1394" t="s">
        <v>3726</v>
      </c>
      <c r="G2076" s="1352" t="s">
        <v>246</v>
      </c>
    </row>
    <row r="2077" spans="1:7" x14ac:dyDescent="0.2">
      <c r="A2077" s="130" t="s">
        <v>3695</v>
      </c>
      <c r="B2077" s="129"/>
      <c r="C2077" s="129"/>
      <c r="D2077" s="1629" t="s">
        <v>3874</v>
      </c>
      <c r="E2077" s="1352">
        <f ca="1">'Verification Report'!O2077</f>
        <v>0</v>
      </c>
      <c r="F2077" s="1341" t="str">
        <f>IF(LEN('Verification Report'!W2077)=0,"",'Verification Report'!W2077)</f>
        <v/>
      </c>
      <c r="G2077" s="1352" t="s">
        <v>246</v>
      </c>
    </row>
    <row r="2078" spans="1:7" x14ac:dyDescent="0.2">
      <c r="A2078" s="406"/>
      <c r="B2078" s="129"/>
      <c r="C2078" s="129"/>
      <c r="D2078" s="1629"/>
      <c r="G2078" s="1352" t="s">
        <v>246</v>
      </c>
    </row>
    <row r="2079" spans="1:7" x14ac:dyDescent="0.2">
      <c r="A2079" s="406"/>
      <c r="B2079" s="129"/>
      <c r="C2079" s="129"/>
      <c r="D2079" s="1629"/>
      <c r="G2079" s="1352" t="s">
        <v>246</v>
      </c>
    </row>
    <row r="2080" spans="1:7" x14ac:dyDescent="0.2">
      <c r="A2080" s="406"/>
      <c r="B2080" s="129"/>
      <c r="C2080" s="129"/>
      <c r="D2080" s="1629"/>
      <c r="G2080" s="1352" t="s">
        <v>246</v>
      </c>
    </row>
    <row r="2081" spans="1:7" x14ac:dyDescent="0.2">
      <c r="A2081" s="406"/>
      <c r="B2081" s="180" t="s">
        <v>254</v>
      </c>
      <c r="C2081" s="129"/>
      <c r="D2081" s="1657" t="s">
        <v>2749</v>
      </c>
      <c r="G2081" s="1352" t="s">
        <v>246</v>
      </c>
    </row>
    <row r="2082" spans="1:7" x14ac:dyDescent="0.2">
      <c r="A2082" s="406"/>
      <c r="B2082" s="207"/>
      <c r="C2082" s="213"/>
      <c r="D2082" s="1650"/>
      <c r="G2082" s="1352" t="s">
        <v>246</v>
      </c>
    </row>
    <row r="2083" spans="1:7" x14ac:dyDescent="0.2">
      <c r="A2083" s="406"/>
      <c r="B2083" s="180" t="s">
        <v>255</v>
      </c>
      <c r="C2083" s="129"/>
      <c r="D2083" s="1609" t="s">
        <v>2750</v>
      </c>
      <c r="G2083" s="1352" t="s">
        <v>246</v>
      </c>
    </row>
    <row r="2084" spans="1:7" x14ac:dyDescent="0.2">
      <c r="A2084" s="406"/>
      <c r="B2084" s="213"/>
      <c r="C2084" s="213"/>
      <c r="D2084" s="1612"/>
      <c r="G2084" s="1352" t="s">
        <v>246</v>
      </c>
    </row>
    <row r="2085" spans="1:7" x14ac:dyDescent="0.2">
      <c r="A2085" s="406"/>
      <c r="B2085" s="207" t="s">
        <v>256</v>
      </c>
      <c r="C2085" s="213"/>
      <c r="D2085" s="1365" t="s">
        <v>2751</v>
      </c>
      <c r="G2085" s="1352" t="s">
        <v>246</v>
      </c>
    </row>
    <row r="2086" spans="1:7" x14ac:dyDescent="0.2">
      <c r="A2086" s="406"/>
      <c r="B2086" s="207" t="s">
        <v>259</v>
      </c>
      <c r="C2086" s="213"/>
      <c r="D2086" s="1365" t="s">
        <v>2752</v>
      </c>
      <c r="G2086" s="1352" t="s">
        <v>246</v>
      </c>
    </row>
    <row r="2087" spans="1:7" x14ac:dyDescent="0.2">
      <c r="A2087" s="438"/>
      <c r="B2087" s="180" t="s">
        <v>263</v>
      </c>
      <c r="C2087" s="129"/>
      <c r="D2087" s="1366" t="s">
        <v>4878</v>
      </c>
      <c r="G2087" s="1352" t="s">
        <v>246</v>
      </c>
    </row>
    <row r="2088" spans="1:7" x14ac:dyDescent="0.2">
      <c r="A2088" s="192" t="s">
        <v>3696</v>
      </c>
      <c r="B2088" s="193"/>
      <c r="C2088" s="193"/>
      <c r="D2088" s="1712" t="s">
        <v>4955</v>
      </c>
      <c r="E2088" s="1352">
        <f ca="1">'Verification Report'!O2088</f>
        <v>0</v>
      </c>
      <c r="F2088" s="1341" t="str">
        <f>IF(LEN('Verification Report'!W2088)=0,"",'Verification Report'!W2088)</f>
        <v/>
      </c>
      <c r="G2088" s="1352" t="s">
        <v>246</v>
      </c>
    </row>
    <row r="2089" spans="1:7" x14ac:dyDescent="0.2">
      <c r="A2089" s="438"/>
      <c r="B2089" s="213"/>
      <c r="C2089" s="213"/>
      <c r="D2089" s="1696"/>
      <c r="G2089" s="1352" t="s">
        <v>246</v>
      </c>
    </row>
    <row r="2090" spans="1:7" x14ac:dyDescent="0.2">
      <c r="A2090" s="192" t="s">
        <v>3697</v>
      </c>
      <c r="B2090" s="193"/>
      <c r="C2090" s="193"/>
      <c r="D2090" s="1712" t="s">
        <v>3725</v>
      </c>
      <c r="E2090" s="1352">
        <f>'Verification Report'!O2090</f>
        <v>0</v>
      </c>
      <c r="F2090" s="1341" t="str">
        <f>IF(LEN('Verification Report'!W2090)=0,"",'Verification Report'!W2090)</f>
        <v/>
      </c>
      <c r="G2090" s="1352" t="s">
        <v>246</v>
      </c>
    </row>
    <row r="2091" spans="1:7" x14ac:dyDescent="0.2">
      <c r="A2091" s="406"/>
      <c r="B2091" s="129"/>
      <c r="C2091" s="129"/>
      <c r="D2091" s="1629"/>
      <c r="G2091" s="1352" t="s">
        <v>246</v>
      </c>
    </row>
    <row r="2092" spans="1:7" x14ac:dyDescent="0.2">
      <c r="A2092" s="438"/>
      <c r="B2092" s="213"/>
      <c r="C2092" s="213"/>
      <c r="D2092" s="1696"/>
      <c r="G2092" s="1352" t="s">
        <v>246</v>
      </c>
    </row>
    <row r="2093" spans="1:7" x14ac:dyDescent="0.2">
      <c r="A2093" s="192" t="s">
        <v>3698</v>
      </c>
      <c r="B2093" s="193"/>
      <c r="C2093" s="193"/>
      <c r="D2093" s="1712" t="s">
        <v>3724</v>
      </c>
      <c r="E2093" s="1352">
        <f>'Verification Report'!O2093</f>
        <v>0</v>
      </c>
      <c r="F2093" s="1341" t="str">
        <f>IF(LEN('Verification Report'!W2093)=0,"",'Verification Report'!W2093)</f>
        <v/>
      </c>
      <c r="G2093" s="1352" t="s">
        <v>246</v>
      </c>
    </row>
    <row r="2094" spans="1:7" x14ac:dyDescent="0.2">
      <c r="A2094" s="406"/>
      <c r="B2094" s="129"/>
      <c r="C2094" s="129"/>
      <c r="D2094" s="1629"/>
      <c r="G2094" s="1352" t="s">
        <v>246</v>
      </c>
    </row>
    <row r="2095" spans="1:7" x14ac:dyDescent="0.2">
      <c r="A2095" s="438"/>
      <c r="B2095" s="213"/>
      <c r="C2095" s="213"/>
      <c r="D2095" s="1696"/>
      <c r="G2095" s="1352" t="s">
        <v>246</v>
      </c>
    </row>
    <row r="2096" spans="1:7" x14ac:dyDescent="0.2">
      <c r="A2096" s="589" t="s">
        <v>4880</v>
      </c>
      <c r="B2096" s="858"/>
      <c r="C2096" s="858"/>
      <c r="D2096" s="1687" t="s">
        <v>4881</v>
      </c>
      <c r="E2096" s="1352">
        <f>'Verification Report'!O2096</f>
        <v>3</v>
      </c>
      <c r="F2096" s="1341" t="b">
        <f>IF(LEN('Verification Report'!W2096)=0,"",'Verification Report'!W2096)</f>
        <v>1</v>
      </c>
      <c r="G2096" s="1352" t="s">
        <v>246</v>
      </c>
    </row>
    <row r="2097" spans="1:7" ht="16" thickBot="1" x14ac:dyDescent="0.25">
      <c r="A2097" s="600"/>
      <c r="B2097" s="858"/>
      <c r="C2097" s="858"/>
      <c r="D2097" s="1738"/>
      <c r="G2097" s="1352" t="s">
        <v>246</v>
      </c>
    </row>
    <row r="2098" spans="1:7" ht="16" thickTop="1" x14ac:dyDescent="0.2">
      <c r="A2098" s="177" t="s">
        <v>3699</v>
      </c>
      <c r="B2098" s="178"/>
      <c r="C2098" s="178"/>
      <c r="D2098" s="1687" t="s">
        <v>5062</v>
      </c>
      <c r="F2098" s="1341" t="str">
        <f>IF(LEN('Verification Report'!W2098)=0,"",'Verification Report'!W2098)</f>
        <v>N/A</v>
      </c>
      <c r="G2098" s="1352" t="s">
        <v>246</v>
      </c>
    </row>
    <row r="2099" spans="1:7" x14ac:dyDescent="0.2">
      <c r="A2099" s="130"/>
      <c r="B2099" s="129"/>
      <c r="C2099" s="129"/>
      <c r="D2099" s="1687"/>
      <c r="G2099" s="1352" t="s">
        <v>246</v>
      </c>
    </row>
    <row r="2100" spans="1:7" x14ac:dyDescent="0.2">
      <c r="A2100" s="130"/>
      <c r="B2100" s="129"/>
      <c r="C2100" s="129"/>
      <c r="D2100" s="1687"/>
      <c r="G2100" s="1352" t="s">
        <v>246</v>
      </c>
    </row>
    <row r="2101" spans="1:7" x14ac:dyDescent="0.2">
      <c r="A2101" s="130"/>
      <c r="B2101" s="129"/>
      <c r="C2101" s="129"/>
      <c r="D2101" s="1687"/>
      <c r="G2101" s="1352" t="s">
        <v>246</v>
      </c>
    </row>
    <row r="2102" spans="1:7" x14ac:dyDescent="0.2">
      <c r="A2102" s="406"/>
      <c r="B2102" s="129"/>
      <c r="C2102" s="129"/>
      <c r="D2102" s="1687"/>
      <c r="G2102" s="1352" t="s">
        <v>246</v>
      </c>
    </row>
    <row r="2103" spans="1:7" x14ac:dyDescent="0.2">
      <c r="A2103" s="406"/>
      <c r="B2103" s="180" t="s">
        <v>254</v>
      </c>
      <c r="C2103" s="129"/>
      <c r="D2103" s="1366" t="s">
        <v>2756</v>
      </c>
      <c r="E2103" s="1352">
        <f ca="1">'Verification Report'!O2103</f>
        <v>0</v>
      </c>
      <c r="G2103" s="1352" t="s">
        <v>246</v>
      </c>
    </row>
    <row r="2104" spans="1:7" x14ac:dyDescent="0.2">
      <c r="A2104" s="406"/>
      <c r="B2104" s="129"/>
      <c r="C2104" s="180" t="s">
        <v>121</v>
      </c>
      <c r="D2104" s="1366" t="s">
        <v>2757</v>
      </c>
      <c r="G2104" s="1352" t="s">
        <v>246</v>
      </c>
    </row>
    <row r="2105" spans="1:7" x14ac:dyDescent="0.2">
      <c r="A2105" s="406"/>
      <c r="B2105" s="213"/>
      <c r="C2105" s="207" t="s">
        <v>122</v>
      </c>
      <c r="D2105" s="1365" t="s">
        <v>2758</v>
      </c>
      <c r="G2105" s="1352" t="s">
        <v>246</v>
      </c>
    </row>
    <row r="2106" spans="1:7" x14ac:dyDescent="0.2">
      <c r="A2106" s="406"/>
      <c r="B2106" s="180" t="s">
        <v>255</v>
      </c>
      <c r="C2106" s="129"/>
      <c r="D2106" s="1366" t="s">
        <v>2759</v>
      </c>
      <c r="E2106" s="1352">
        <f ca="1">'Verification Report'!O2106</f>
        <v>0</v>
      </c>
      <c r="G2106" s="1352" t="s">
        <v>246</v>
      </c>
    </row>
    <row r="2107" spans="1:7" x14ac:dyDescent="0.2">
      <c r="A2107" s="406"/>
      <c r="B2107" s="129"/>
      <c r="C2107" s="180" t="s">
        <v>121</v>
      </c>
      <c r="D2107" s="1366" t="s">
        <v>2760</v>
      </c>
      <c r="G2107" s="1352" t="s">
        <v>246</v>
      </c>
    </row>
    <row r="2108" spans="1:7" x14ac:dyDescent="0.2">
      <c r="A2108" s="1352"/>
      <c r="B2108" s="1352"/>
      <c r="C2108" s="180" t="s">
        <v>122</v>
      </c>
      <c r="D2108" s="1366" t="s">
        <v>4885</v>
      </c>
      <c r="G2108" s="1352" t="s">
        <v>246</v>
      </c>
    </row>
    <row r="2109" spans="1:7" x14ac:dyDescent="0.2">
      <c r="A2109" s="608" t="s">
        <v>4897</v>
      </c>
      <c r="B2109" s="1073"/>
      <c r="C2109" s="1073"/>
      <c r="D2109" s="1686" t="s">
        <v>5052</v>
      </c>
      <c r="G2109" s="1352" t="s">
        <v>246</v>
      </c>
    </row>
    <row r="2110" spans="1:7" x14ac:dyDescent="0.2">
      <c r="A2110" s="590"/>
      <c r="B2110" s="1068"/>
      <c r="C2110" s="1068"/>
      <c r="D2110" s="1687"/>
      <c r="G2110" s="1352" t="s">
        <v>246</v>
      </c>
    </row>
    <row r="2111" spans="1:7" x14ac:dyDescent="0.2">
      <c r="A2111" s="589" t="s">
        <v>5051</v>
      </c>
      <c r="B2111" s="873"/>
      <c r="C2111" s="873"/>
      <c r="D2111" s="1687" t="s">
        <v>5053</v>
      </c>
      <c r="G2111" s="1352" t="s">
        <v>246</v>
      </c>
    </row>
    <row r="2112" spans="1:7" x14ac:dyDescent="0.2">
      <c r="A2112" s="589"/>
      <c r="B2112" s="873"/>
      <c r="C2112" s="873"/>
      <c r="D2112" s="1687"/>
      <c r="G2112" s="1352" t="s">
        <v>246</v>
      </c>
    </row>
    <row r="2113" spans="1:7" x14ac:dyDescent="0.2">
      <c r="A2113" s="589"/>
      <c r="B2113" s="873"/>
      <c r="C2113" s="873"/>
      <c r="D2113" s="1687"/>
      <c r="G2113" s="1352" t="s">
        <v>246</v>
      </c>
    </row>
    <row r="2114" spans="1:7" x14ac:dyDescent="0.2">
      <c r="A2114" s="589"/>
      <c r="B2114" s="873"/>
      <c r="C2114" s="873"/>
      <c r="D2114" s="1687"/>
      <c r="G2114" s="1352" t="s">
        <v>246</v>
      </c>
    </row>
    <row r="2115" spans="1:7" x14ac:dyDescent="0.2">
      <c r="A2115" s="589"/>
      <c r="B2115" s="873"/>
      <c r="C2115" s="873"/>
      <c r="D2115" s="1687"/>
      <c r="G2115" s="1352" t="s">
        <v>246</v>
      </c>
    </row>
    <row r="2116" spans="1:7" x14ac:dyDescent="0.2">
      <c r="A2116" s="589"/>
      <c r="B2116" s="873"/>
      <c r="C2116" s="873"/>
      <c r="D2116" s="1687"/>
      <c r="G2116" s="1352" t="s">
        <v>246</v>
      </c>
    </row>
    <row r="2117" spans="1:7" x14ac:dyDescent="0.2">
      <c r="A2117" s="589"/>
      <c r="B2117" s="873"/>
      <c r="C2117" s="873"/>
      <c r="D2117" s="1687"/>
      <c r="G2117" s="1352" t="s">
        <v>246</v>
      </c>
    </row>
    <row r="2118" spans="1:7" x14ac:dyDescent="0.2">
      <c r="A2118" s="608" t="s">
        <v>5050</v>
      </c>
      <c r="B2118" s="1073"/>
      <c r="C2118" s="1073"/>
      <c r="D2118" s="1686" t="s">
        <v>5054</v>
      </c>
      <c r="G2118" s="1352" t="s">
        <v>246</v>
      </c>
    </row>
    <row r="2119" spans="1:7" x14ac:dyDescent="0.2">
      <c r="A2119" s="590"/>
      <c r="B2119" s="1068"/>
      <c r="C2119" s="1068"/>
      <c r="D2119" s="1687"/>
      <c r="G2119" s="1352" t="s">
        <v>246</v>
      </c>
    </row>
    <row r="2120" spans="1:7" x14ac:dyDescent="0.2">
      <c r="A2120" s="590"/>
      <c r="B2120" s="1068"/>
      <c r="C2120" s="1068"/>
      <c r="D2120" s="1687"/>
      <c r="G2120" s="1352" t="s">
        <v>246</v>
      </c>
    </row>
    <row r="2121" spans="1:7" x14ac:dyDescent="0.2">
      <c r="A2121" s="590"/>
      <c r="B2121" s="1068"/>
      <c r="C2121" s="1068"/>
      <c r="D2121" s="1687"/>
      <c r="G2121" s="1352" t="s">
        <v>246</v>
      </c>
    </row>
    <row r="2122" spans="1:7" x14ac:dyDescent="0.2">
      <c r="A2122" s="590"/>
      <c r="B2122" s="1068"/>
      <c r="C2122" s="1068"/>
      <c r="D2122" s="1687"/>
      <c r="G2122" s="1352" t="s">
        <v>246</v>
      </c>
    </row>
    <row r="2123" spans="1:7" x14ac:dyDescent="0.2">
      <c r="A2123" s="590"/>
      <c r="B2123" s="1068"/>
      <c r="C2123" s="1068"/>
      <c r="D2123" s="1687"/>
      <c r="G2123" s="1352" t="s">
        <v>246</v>
      </c>
    </row>
    <row r="2124" spans="1:7" x14ac:dyDescent="0.2">
      <c r="A2124" s="590"/>
      <c r="B2124" s="1068"/>
      <c r="C2124" s="1068"/>
      <c r="D2124" s="1687"/>
      <c r="G2124" s="1352" t="s">
        <v>246</v>
      </c>
    </row>
    <row r="2125" spans="1:7" x14ac:dyDescent="0.2">
      <c r="A2125" s="608" t="s">
        <v>5049</v>
      </c>
      <c r="B2125" s="1073"/>
      <c r="C2125" s="1073"/>
      <c r="D2125" s="1686" t="s">
        <v>5055</v>
      </c>
      <c r="G2125" s="1352" t="s">
        <v>246</v>
      </c>
    </row>
    <row r="2126" spans="1:7" x14ac:dyDescent="0.2">
      <c r="A2126" s="590"/>
      <c r="B2126" s="1068"/>
      <c r="C2126" s="1068"/>
      <c r="D2126" s="1687"/>
      <c r="G2126" s="1352" t="s">
        <v>246</v>
      </c>
    </row>
    <row r="2127" spans="1:7" x14ac:dyDescent="0.2">
      <c r="A2127" s="590"/>
      <c r="B2127" s="1068"/>
      <c r="C2127" s="1068"/>
      <c r="D2127" s="1687"/>
      <c r="G2127" s="1352" t="s">
        <v>246</v>
      </c>
    </row>
    <row r="2128" spans="1:7" x14ac:dyDescent="0.2">
      <c r="A2128" s="590"/>
      <c r="B2128" s="1068"/>
      <c r="C2128" s="1068"/>
      <c r="D2128" s="1687"/>
      <c r="G2128" s="1352" t="s">
        <v>246</v>
      </c>
    </row>
    <row r="2129" spans="1:7" x14ac:dyDescent="0.2">
      <c r="A2129" s="590"/>
      <c r="B2129" s="1068"/>
      <c r="C2129" s="1068"/>
      <c r="D2129" s="1687"/>
      <c r="G2129" s="1352" t="s">
        <v>246</v>
      </c>
    </row>
    <row r="2130" spans="1:7" x14ac:dyDescent="0.2">
      <c r="A2130" s="590"/>
      <c r="B2130" s="1068"/>
      <c r="C2130" s="1068"/>
      <c r="D2130" s="1687"/>
      <c r="G2130" s="1352" t="s">
        <v>246</v>
      </c>
    </row>
    <row r="2131" spans="1:7" x14ac:dyDescent="0.2">
      <c r="A2131" s="608" t="s">
        <v>5048</v>
      </c>
      <c r="B2131" s="1073"/>
      <c r="C2131" s="1073"/>
      <c r="D2131" s="1686" t="s">
        <v>5056</v>
      </c>
      <c r="G2131" s="1352" t="s">
        <v>246</v>
      </c>
    </row>
    <row r="2132" spans="1:7" x14ac:dyDescent="0.2">
      <c r="A2132" s="590"/>
      <c r="B2132" s="1068"/>
      <c r="C2132" s="1068"/>
      <c r="D2132" s="1687"/>
      <c r="G2132" s="1352" t="s">
        <v>246</v>
      </c>
    </row>
    <row r="2133" spans="1:7" x14ac:dyDescent="0.2">
      <c r="A2133" s="590"/>
      <c r="B2133" s="1068"/>
      <c r="C2133" s="1068"/>
      <c r="D2133" s="1687"/>
      <c r="G2133" s="1352" t="s">
        <v>246</v>
      </c>
    </row>
    <row r="2134" spans="1:7" x14ac:dyDescent="0.2">
      <c r="A2134" s="590"/>
      <c r="B2134" s="1068"/>
      <c r="C2134" s="1068"/>
      <c r="D2134" s="1687"/>
      <c r="G2134" s="1352" t="s">
        <v>246</v>
      </c>
    </row>
    <row r="2135" spans="1:7" x14ac:dyDescent="0.2">
      <c r="A2135" s="590"/>
      <c r="B2135" s="1068"/>
      <c r="C2135" s="1068"/>
      <c r="D2135" s="1687"/>
      <c r="G2135" s="1352" t="s">
        <v>246</v>
      </c>
    </row>
    <row r="2136" spans="1:7" x14ac:dyDescent="0.2">
      <c r="A2136" s="608" t="s">
        <v>5047</v>
      </c>
      <c r="B2136" s="1073"/>
      <c r="C2136" s="1073"/>
      <c r="D2136" s="1686" t="s">
        <v>5057</v>
      </c>
      <c r="G2136" s="1352" t="s">
        <v>246</v>
      </c>
    </row>
    <row r="2137" spans="1:7" x14ac:dyDescent="0.2">
      <c r="A2137" s="590"/>
      <c r="B2137" s="1068"/>
      <c r="C2137" s="1068"/>
      <c r="D2137" s="1687"/>
      <c r="G2137" s="1352" t="s">
        <v>246</v>
      </c>
    </row>
    <row r="2138" spans="1:7" x14ac:dyDescent="0.2">
      <c r="A2138" s="608" t="s">
        <v>5046</v>
      </c>
      <c r="B2138" s="1073"/>
      <c r="C2138" s="1073"/>
      <c r="D2138" s="1686" t="s">
        <v>5058</v>
      </c>
      <c r="G2138" s="1352" t="s">
        <v>246</v>
      </c>
    </row>
    <row r="2139" spans="1:7" x14ac:dyDescent="0.2">
      <c r="A2139" s="590"/>
      <c r="B2139" s="1068"/>
      <c r="C2139" s="1068"/>
      <c r="D2139" s="1687"/>
      <c r="G2139" s="1352" t="s">
        <v>246</v>
      </c>
    </row>
    <row r="2140" spans="1:7" x14ac:dyDescent="0.2">
      <c r="A2140" s="590"/>
      <c r="B2140" s="1068"/>
      <c r="C2140" s="1068"/>
      <c r="D2140" s="1687"/>
      <c r="G2140" s="1352" t="s">
        <v>246</v>
      </c>
    </row>
    <row r="2141" spans="1:7" x14ac:dyDescent="0.2">
      <c r="A2141" s="590"/>
      <c r="B2141" s="1068"/>
      <c r="C2141" s="1068"/>
      <c r="D2141" s="1687"/>
      <c r="G2141" s="1352" t="s">
        <v>246</v>
      </c>
    </row>
    <row r="2142" spans="1:7" x14ac:dyDescent="0.2">
      <c r="A2142" s="608" t="s">
        <v>5045</v>
      </c>
      <c r="B2142" s="1073"/>
      <c r="C2142" s="1073"/>
      <c r="D2142" s="1686" t="s">
        <v>5059</v>
      </c>
      <c r="G2142" s="1352" t="s">
        <v>246</v>
      </c>
    </row>
    <row r="2143" spans="1:7" x14ac:dyDescent="0.2">
      <c r="A2143" s="590"/>
      <c r="B2143" s="1068"/>
      <c r="C2143" s="1068"/>
      <c r="D2143" s="1687"/>
      <c r="G2143" s="1352" t="s">
        <v>246</v>
      </c>
    </row>
    <row r="2144" spans="1:7" x14ac:dyDescent="0.2">
      <c r="A2144" s="590"/>
      <c r="B2144" s="1068"/>
      <c r="C2144" s="1068"/>
      <c r="D2144" s="1687"/>
      <c r="G2144" s="1352" t="s">
        <v>246</v>
      </c>
    </row>
    <row r="2145" spans="1:7" x14ac:dyDescent="0.2">
      <c r="A2145" s="608" t="s">
        <v>4883</v>
      </c>
      <c r="B2145" s="1073"/>
      <c r="C2145" s="1073"/>
      <c r="D2145" s="1686" t="s">
        <v>5060</v>
      </c>
      <c r="G2145" s="1352" t="s">
        <v>246</v>
      </c>
    </row>
    <row r="2146" spans="1:7" x14ac:dyDescent="0.2">
      <c r="A2146" s="590"/>
      <c r="B2146" s="1068"/>
      <c r="C2146" s="1068"/>
      <c r="D2146" s="1687"/>
      <c r="G2146" s="1352" t="s">
        <v>246</v>
      </c>
    </row>
    <row r="2147" spans="1:7" x14ac:dyDescent="0.2">
      <c r="A2147" s="590"/>
      <c r="B2147" s="1068"/>
      <c r="C2147" s="1068"/>
      <c r="D2147" s="1687"/>
      <c r="F2147" s="1341" t="str">
        <f>IF(LEN('Verification Report'!W2147)=0,"",'Verification Report'!W2147)</f>
        <v/>
      </c>
      <c r="G2147" s="1352" t="s">
        <v>246</v>
      </c>
    </row>
    <row r="2148" spans="1:7" x14ac:dyDescent="0.2">
      <c r="A2148" s="590"/>
      <c r="B2148" s="1068"/>
      <c r="C2148" s="1068"/>
      <c r="D2148" s="1687"/>
      <c r="G2148" s="1352" t="s">
        <v>246</v>
      </c>
    </row>
    <row r="2149" spans="1:7" x14ac:dyDescent="0.2">
      <c r="A2149" s="589"/>
      <c r="B2149" s="873" t="s">
        <v>254</v>
      </c>
      <c r="C2149" s="873"/>
      <c r="D2149" s="1634" t="s">
        <v>4995</v>
      </c>
      <c r="E2149" s="1352">
        <f ca="1">'Verification Report'!O2149</f>
        <v>0</v>
      </c>
      <c r="F2149" s="1341" t="str">
        <f>IF(LEN('Verification Report'!W2149)=0,"",'Verification Report'!W2149)</f>
        <v/>
      </c>
      <c r="G2149" s="1352" t="s">
        <v>246</v>
      </c>
    </row>
    <row r="2150" spans="1:7" x14ac:dyDescent="0.2">
      <c r="A2150" s="589"/>
      <c r="B2150" s="873"/>
      <c r="C2150" s="873"/>
      <c r="D2150" s="1634"/>
      <c r="G2150" s="1352" t="s">
        <v>246</v>
      </c>
    </row>
    <row r="2151" spans="1:7" x14ac:dyDescent="0.2">
      <c r="A2151" s="589"/>
      <c r="B2151" s="873"/>
      <c r="C2151" s="873" t="s">
        <v>121</v>
      </c>
      <c r="D2151" s="1359" t="s">
        <v>4887</v>
      </c>
      <c r="G2151" s="1352" t="s">
        <v>246</v>
      </c>
    </row>
    <row r="2152" spans="1:7" x14ac:dyDescent="0.2">
      <c r="A2152" s="589"/>
      <c r="B2152" s="873"/>
      <c r="C2152" s="873" t="s">
        <v>122</v>
      </c>
      <c r="D2152" s="1634" t="s">
        <v>4888</v>
      </c>
      <c r="G2152" s="1352" t="s">
        <v>246</v>
      </c>
    </row>
    <row r="2153" spans="1:7" x14ac:dyDescent="0.2">
      <c r="A2153" s="589"/>
      <c r="B2153" s="873"/>
      <c r="C2153" s="873"/>
      <c r="D2153" s="1634"/>
      <c r="G2153" s="1352" t="s">
        <v>246</v>
      </c>
    </row>
    <row r="2154" spans="1:7" x14ac:dyDescent="0.2">
      <c r="A2154" s="589"/>
      <c r="B2154" s="873"/>
      <c r="C2154" s="873" t="s">
        <v>123</v>
      </c>
      <c r="D2154" s="1634" t="s">
        <v>4889</v>
      </c>
      <c r="G2154" s="1352" t="s">
        <v>246</v>
      </c>
    </row>
    <row r="2155" spans="1:7" x14ac:dyDescent="0.2">
      <c r="A2155" s="589"/>
      <c r="B2155" s="873"/>
      <c r="C2155" s="873"/>
      <c r="D2155" s="1634"/>
      <c r="G2155" s="1352" t="s">
        <v>246</v>
      </c>
    </row>
    <row r="2156" spans="1:7" x14ac:dyDescent="0.2">
      <c r="A2156" s="589"/>
      <c r="B2156" s="873"/>
      <c r="C2156" s="873" t="s">
        <v>366</v>
      </c>
      <c r="D2156" s="1634" t="s">
        <v>4890</v>
      </c>
      <c r="G2156" s="1352" t="s">
        <v>246</v>
      </c>
    </row>
    <row r="2157" spans="1:7" x14ac:dyDescent="0.2">
      <c r="A2157" s="589"/>
      <c r="B2157" s="873"/>
      <c r="C2157" s="873"/>
      <c r="D2157" s="1634"/>
      <c r="G2157" s="1352" t="s">
        <v>246</v>
      </c>
    </row>
    <row r="2158" spans="1:7" x14ac:dyDescent="0.2">
      <c r="A2158" s="589"/>
      <c r="B2158" s="873"/>
      <c r="C2158" s="873" t="s">
        <v>472</v>
      </c>
      <c r="D2158" s="1634" t="s">
        <v>4891</v>
      </c>
      <c r="G2158" s="1352" t="s">
        <v>246</v>
      </c>
    </row>
    <row r="2159" spans="1:7" x14ac:dyDescent="0.2">
      <c r="A2159" s="589"/>
      <c r="B2159" s="873"/>
      <c r="C2159" s="873"/>
      <c r="D2159" s="1634"/>
      <c r="G2159" s="1352" t="s">
        <v>246</v>
      </c>
    </row>
    <row r="2160" spans="1:7" x14ac:dyDescent="0.2">
      <c r="A2160" s="589"/>
      <c r="B2160" s="873"/>
      <c r="C2160" s="873"/>
      <c r="D2160" s="1634"/>
      <c r="G2160" s="1352" t="s">
        <v>246</v>
      </c>
    </row>
    <row r="2161" spans="1:7" x14ac:dyDescent="0.2">
      <c r="A2161" s="589"/>
      <c r="B2161" s="873"/>
      <c r="C2161" s="873" t="s">
        <v>510</v>
      </c>
      <c r="D2161" s="1634" t="s">
        <v>4892</v>
      </c>
      <c r="G2161" s="1352" t="s">
        <v>246</v>
      </c>
    </row>
    <row r="2162" spans="1:7" x14ac:dyDescent="0.2">
      <c r="A2162" s="589"/>
      <c r="B2162" s="873"/>
      <c r="C2162" s="873"/>
      <c r="D2162" s="1634"/>
      <c r="G2162" s="1352" t="s">
        <v>246</v>
      </c>
    </row>
    <row r="2163" spans="1:7" x14ac:dyDescent="0.2">
      <c r="A2163" s="589"/>
      <c r="B2163" s="873"/>
      <c r="C2163" s="873" t="s">
        <v>512</v>
      </c>
      <c r="D2163" s="1634" t="s">
        <v>4893</v>
      </c>
      <c r="G2163" s="1352" t="s">
        <v>246</v>
      </c>
    </row>
    <row r="2164" spans="1:7" x14ac:dyDescent="0.2">
      <c r="A2164" s="589"/>
      <c r="B2164" s="873"/>
      <c r="C2164" s="873"/>
      <c r="D2164" s="1634"/>
      <c r="G2164" s="1352" t="s">
        <v>246</v>
      </c>
    </row>
    <row r="2165" spans="1:7" x14ac:dyDescent="0.2">
      <c r="A2165" s="589"/>
      <c r="B2165" s="873"/>
      <c r="C2165" s="873" t="s">
        <v>514</v>
      </c>
      <c r="D2165" s="1634" t="s">
        <v>4894</v>
      </c>
      <c r="G2165" s="1352" t="s">
        <v>246</v>
      </c>
    </row>
    <row r="2166" spans="1:7" x14ac:dyDescent="0.2">
      <c r="A2166" s="589"/>
      <c r="B2166" s="873"/>
      <c r="C2166" s="873"/>
      <c r="D2166" s="1634"/>
      <c r="G2166" s="1352" t="s">
        <v>246</v>
      </c>
    </row>
    <row r="2167" spans="1:7" x14ac:dyDescent="0.2">
      <c r="A2167" s="589"/>
      <c r="B2167" s="873"/>
      <c r="C2167" s="873" t="s">
        <v>648</v>
      </c>
      <c r="D2167" s="1634" t="s">
        <v>4895</v>
      </c>
      <c r="G2167" s="1352" t="s">
        <v>246</v>
      </c>
    </row>
    <row r="2168" spans="1:7" x14ac:dyDescent="0.2">
      <c r="A2168" s="589"/>
      <c r="B2168" s="873"/>
      <c r="C2168" s="873"/>
      <c r="D2168" s="1634"/>
      <c r="G2168" s="1352" t="s">
        <v>246</v>
      </c>
    </row>
    <row r="2169" spans="1:7" x14ac:dyDescent="0.2">
      <c r="A2169" s="589"/>
      <c r="B2169" s="873"/>
      <c r="C2169" s="873"/>
      <c r="D2169" s="1634"/>
      <c r="G2169" s="1352" t="s">
        <v>246</v>
      </c>
    </row>
    <row r="2170" spans="1:7" x14ac:dyDescent="0.2">
      <c r="A2170" s="589"/>
      <c r="B2170" s="873"/>
      <c r="C2170" s="873" t="s">
        <v>649</v>
      </c>
      <c r="D2170" s="1634" t="s">
        <v>4896</v>
      </c>
      <c r="G2170" s="1352" t="s">
        <v>246</v>
      </c>
    </row>
    <row r="2171" spans="1:7" x14ac:dyDescent="0.2">
      <c r="A2171" s="589"/>
      <c r="B2171" s="873"/>
      <c r="C2171" s="873"/>
      <c r="D2171" s="1634"/>
      <c r="G2171" s="1352" t="s">
        <v>246</v>
      </c>
    </row>
    <row r="2172" spans="1:7" x14ac:dyDescent="0.2">
      <c r="A2172" s="590"/>
      <c r="B2172" s="1073" t="s">
        <v>255</v>
      </c>
      <c r="C2172" s="1073"/>
      <c r="D2172" s="1633" t="s">
        <v>5061</v>
      </c>
      <c r="E2172" s="1352">
        <f ca="1">'Verification Report'!O2172</f>
        <v>0</v>
      </c>
      <c r="F2172" s="1341" t="str">
        <f>IF(LEN('Verification Report'!W2172)=0,"",'Verification Report'!W2172)</f>
        <v/>
      </c>
      <c r="G2172" s="1352" t="s">
        <v>246</v>
      </c>
    </row>
    <row r="2173" spans="1:7" ht="16" thickBot="1" x14ac:dyDescent="0.25">
      <c r="A2173" s="594"/>
      <c r="B2173" s="1069"/>
      <c r="C2173" s="1069"/>
      <c r="D2173" s="1635"/>
      <c r="G2173" s="1352" t="s">
        <v>246</v>
      </c>
    </row>
    <row r="2174" spans="1:7" ht="16" thickTop="1" x14ac:dyDescent="0.2">
      <c r="A2174" s="67" t="s">
        <v>3700</v>
      </c>
      <c r="B2174" s="4"/>
      <c r="C2174" s="4"/>
      <c r="D2174" s="1631" t="s">
        <v>3723</v>
      </c>
      <c r="E2174" s="1352">
        <f>'Verification Report'!O2174</f>
        <v>0</v>
      </c>
      <c r="G2174" s="1352" t="s">
        <v>246</v>
      </c>
    </row>
    <row r="2175" spans="1:7" x14ac:dyDescent="0.2">
      <c r="A2175" s="161"/>
      <c r="B2175" s="4"/>
      <c r="C2175" s="4"/>
      <c r="D2175" s="1631"/>
      <c r="G2175" s="1352" t="s">
        <v>246</v>
      </c>
    </row>
    <row r="2176" spans="1:7" x14ac:dyDescent="0.2">
      <c r="A2176" s="161"/>
      <c r="B2176" s="180" t="s">
        <v>254</v>
      </c>
      <c r="C2176" s="129"/>
      <c r="D2176" s="1609" t="s">
        <v>2761</v>
      </c>
      <c r="F2176" s="1341" t="str">
        <f>IF(LEN('Verification Report'!W2176)=0,"",'Verification Report'!W2176)</f>
        <v/>
      </c>
      <c r="G2176" s="1352" t="s">
        <v>246</v>
      </c>
    </row>
    <row r="2177" spans="1:7" x14ac:dyDescent="0.2">
      <c r="A2177" s="161"/>
      <c r="B2177" s="207"/>
      <c r="C2177" s="213"/>
      <c r="D2177" s="1612"/>
      <c r="G2177" s="1352" t="s">
        <v>246</v>
      </c>
    </row>
    <row r="2178" spans="1:7" x14ac:dyDescent="0.2">
      <c r="A2178" s="406"/>
      <c r="B2178" s="180" t="s">
        <v>255</v>
      </c>
      <c r="C2178" s="129"/>
      <c r="D2178" s="1609" t="s">
        <v>2762</v>
      </c>
      <c r="F2178" s="1341" t="str">
        <f>IF(LEN('Verification Report'!W2178)=0,"",'Verification Report'!W2178)</f>
        <v/>
      </c>
      <c r="G2178" s="1352" t="s">
        <v>246</v>
      </c>
    </row>
    <row r="2179" spans="1:7" x14ac:dyDescent="0.2">
      <c r="A2179" s="406"/>
      <c r="B2179" s="129"/>
      <c r="C2179" s="129"/>
      <c r="D2179" s="1609"/>
      <c r="G2179" s="1352" t="s">
        <v>246</v>
      </c>
    </row>
    <row r="2180" spans="1:7" x14ac:dyDescent="0.2">
      <c r="A2180" s="406"/>
      <c r="B2180" s="213"/>
      <c r="C2180" s="213"/>
      <c r="D2180" s="1612"/>
      <c r="G2180" s="1352" t="s">
        <v>246</v>
      </c>
    </row>
    <row r="2181" spans="1:7" x14ac:dyDescent="0.2">
      <c r="A2181" s="1352"/>
      <c r="B2181" s="590" t="s">
        <v>256</v>
      </c>
      <c r="C2181" s="1111"/>
      <c r="D2181" s="1634" t="s">
        <v>4899</v>
      </c>
      <c r="F2181" s="1341" t="str">
        <f>IF(LEN('Verification Report'!W2181)=0,"",'Verification Report'!W2181)</f>
        <v/>
      </c>
      <c r="G2181" s="1352" t="s">
        <v>246</v>
      </c>
    </row>
    <row r="2182" spans="1:7" x14ac:dyDescent="0.2">
      <c r="A2182" s="1352"/>
      <c r="B2182" s="1111"/>
      <c r="C2182" s="1111"/>
      <c r="D2182" s="1634"/>
      <c r="G2182" s="1352" t="s">
        <v>246</v>
      </c>
    </row>
    <row r="2183" spans="1:7" ht="16" thickBot="1" x14ac:dyDescent="0.25">
      <c r="A2183" s="1352"/>
      <c r="B2183" s="1112"/>
      <c r="C2183" s="1112"/>
      <c r="D2183" s="1635"/>
      <c r="G2183" s="1352" t="s">
        <v>246</v>
      </c>
    </row>
    <row r="2184" spans="1:7" ht="16" thickTop="1" x14ac:dyDescent="0.2">
      <c r="A2184" s="177" t="s">
        <v>3701</v>
      </c>
      <c r="B2184" s="178"/>
      <c r="C2184" s="178"/>
      <c r="D2184" s="1796" t="s">
        <v>3722</v>
      </c>
      <c r="E2184" s="1352">
        <f>'Verification Report'!O2184</f>
        <v>0</v>
      </c>
      <c r="F2184" s="1341" t="str">
        <f>IF(LEN('Verification Report'!W2184)=0,"",'Verification Report'!W2184)</f>
        <v/>
      </c>
      <c r="G2184" s="1352" t="s">
        <v>246</v>
      </c>
    </row>
    <row r="2185" spans="1:7" ht="16" thickBot="1" x14ac:dyDescent="0.25">
      <c r="A2185" s="189"/>
      <c r="B2185" s="239"/>
      <c r="C2185" s="239"/>
      <c r="D2185" s="1737"/>
      <c r="G2185" s="1352" t="s">
        <v>246</v>
      </c>
    </row>
    <row r="2186" spans="1:7" ht="16" thickTop="1" x14ac:dyDescent="0.2">
      <c r="A2186" s="67" t="s">
        <v>3702</v>
      </c>
      <c r="B2186" s="4"/>
      <c r="C2186" s="4"/>
      <c r="D2186" s="1631" t="s">
        <v>3873</v>
      </c>
      <c r="F2186" s="1341" t="b">
        <f>IF(LEN('Verification Report'!W2186)=0,"",'Verification Report'!W2186)</f>
        <v>1</v>
      </c>
      <c r="G2186" s="1352" t="s">
        <v>246</v>
      </c>
    </row>
    <row r="2187" spans="1:7" x14ac:dyDescent="0.2">
      <c r="A2187" s="161"/>
      <c r="B2187" s="4"/>
      <c r="C2187" s="4"/>
      <c r="D2187" s="1631"/>
      <c r="G2187" s="1352" t="s">
        <v>246</v>
      </c>
    </row>
    <row r="2188" spans="1:7" ht="19" x14ac:dyDescent="0.25">
      <c r="A2188" s="14" t="s">
        <v>3703</v>
      </c>
      <c r="B2188" s="25"/>
      <c r="C2188" s="25"/>
      <c r="D2188" s="86"/>
      <c r="E2188" s="25"/>
      <c r="F2188" s="994"/>
      <c r="G2188" s="1352" t="s">
        <v>246</v>
      </c>
    </row>
    <row r="2189" spans="1:7" ht="16" thickBot="1" x14ac:dyDescent="0.25">
      <c r="A2189" s="820" t="s">
        <v>3704</v>
      </c>
      <c r="B2189" s="239"/>
      <c r="C2189" s="239"/>
      <c r="D2189" s="1388" t="s">
        <v>3721</v>
      </c>
      <c r="G2189" s="1352" t="s">
        <v>246</v>
      </c>
    </row>
    <row r="2190" spans="1:7" ht="16" thickTop="1" x14ac:dyDescent="0.2">
      <c r="A2190" s="405" t="s">
        <v>3705</v>
      </c>
      <c r="B2190" s="178"/>
      <c r="C2190" s="178"/>
      <c r="D2190" s="1394" t="s">
        <v>3720</v>
      </c>
      <c r="E2190" s="1352">
        <f ca="1">'Verification Report'!O2190</f>
        <v>0</v>
      </c>
      <c r="F2190" s="1341" t="str">
        <f>IF(LEN('Verification Report'!W2190)=0,"",'Verification Report'!W2190)</f>
        <v/>
      </c>
      <c r="G2190" s="1352" t="s">
        <v>246</v>
      </c>
    </row>
    <row r="2191" spans="1:7" x14ac:dyDescent="0.2">
      <c r="A2191" s="406"/>
      <c r="B2191" s="180" t="s">
        <v>254</v>
      </c>
      <c r="C2191" s="129"/>
      <c r="D2191" s="1609" t="s">
        <v>2934</v>
      </c>
      <c r="G2191" s="1352" t="s">
        <v>246</v>
      </c>
    </row>
    <row r="2192" spans="1:7" x14ac:dyDescent="0.2">
      <c r="A2192" s="406"/>
      <c r="B2192" s="207"/>
      <c r="C2192" s="213"/>
      <c r="D2192" s="1696"/>
      <c r="G2192" s="1352" t="s">
        <v>246</v>
      </c>
    </row>
    <row r="2193" spans="1:7" ht="16" thickBot="1" x14ac:dyDescent="0.25">
      <c r="A2193" s="407"/>
      <c r="B2193" s="190" t="s">
        <v>255</v>
      </c>
      <c r="C2193" s="239"/>
      <c r="D2193" s="1380" t="s">
        <v>2935</v>
      </c>
      <c r="G2193" s="1352" t="s">
        <v>246</v>
      </c>
    </row>
    <row r="2194" spans="1:7" ht="16" thickTop="1" x14ac:dyDescent="0.2">
      <c r="A2194" s="177" t="s">
        <v>3706</v>
      </c>
      <c r="B2194" s="178"/>
      <c r="C2194" s="178"/>
      <c r="D2194" s="1394" t="s">
        <v>3719</v>
      </c>
      <c r="E2194" s="1352">
        <f ca="1">'Verification Report'!O2194</f>
        <v>0</v>
      </c>
      <c r="F2194" s="1341" t="str">
        <f>IF(LEN('Verification Report'!W2194)=0,"",'Verification Report'!W2194)</f>
        <v/>
      </c>
      <c r="G2194" s="1352" t="s">
        <v>246</v>
      </c>
    </row>
    <row r="2195" spans="1:7" x14ac:dyDescent="0.2">
      <c r="A2195" s="406"/>
      <c r="B2195" s="207" t="s">
        <v>254</v>
      </c>
      <c r="C2195" s="213"/>
      <c r="D2195" s="1365" t="s">
        <v>2763</v>
      </c>
      <c r="G2195" s="1352" t="s">
        <v>246</v>
      </c>
    </row>
    <row r="2196" spans="1:7" x14ac:dyDescent="0.2">
      <c r="A2196" s="406"/>
      <c r="B2196" s="180" t="s">
        <v>255</v>
      </c>
      <c r="C2196" s="129"/>
      <c r="D2196" s="1609" t="s">
        <v>2764</v>
      </c>
      <c r="G2196" s="1352" t="s">
        <v>246</v>
      </c>
    </row>
    <row r="2197" spans="1:7" ht="16" thickBot="1" x14ac:dyDescent="0.25">
      <c r="A2197" s="407"/>
      <c r="B2197" s="239"/>
      <c r="C2197" s="239"/>
      <c r="D2197" s="1610"/>
      <c r="G2197" s="1352" t="s">
        <v>246</v>
      </c>
    </row>
    <row r="2198" spans="1:7" ht="16" thickTop="1" x14ac:dyDescent="0.2">
      <c r="A2198" s="67" t="s">
        <v>3707</v>
      </c>
      <c r="B2198" s="4"/>
      <c r="C2198" s="4"/>
      <c r="D2198" s="1631" t="s">
        <v>3718</v>
      </c>
      <c r="E2198" s="1352">
        <f>'Verification Report'!O2198</f>
        <v>0</v>
      </c>
      <c r="G2198" s="1352" t="s">
        <v>246</v>
      </c>
    </row>
    <row r="2199" spans="1:7" x14ac:dyDescent="0.2">
      <c r="A2199" s="161"/>
      <c r="B2199" s="4"/>
      <c r="C2199" s="4"/>
      <c r="D2199" s="1631"/>
      <c r="G2199" s="1352" t="s">
        <v>246</v>
      </c>
    </row>
    <row r="2200" spans="1:7" x14ac:dyDescent="0.2">
      <c r="A2200" s="161"/>
      <c r="B2200" s="207" t="s">
        <v>254</v>
      </c>
      <c r="C2200" s="173"/>
      <c r="D2200" s="1365" t="s">
        <v>2765</v>
      </c>
      <c r="F2200" s="1341" t="str">
        <f>IF(LEN('Verification Report'!W2200)=0,"",'Verification Report'!W2200)</f>
        <v/>
      </c>
      <c r="G2200" s="1352" t="s">
        <v>246</v>
      </c>
    </row>
    <row r="2201" spans="1:7" x14ac:dyDescent="0.2">
      <c r="A2201" s="161"/>
      <c r="B2201" s="29" t="s">
        <v>255</v>
      </c>
      <c r="C2201" s="1352"/>
      <c r="D2201" s="1717" t="s">
        <v>2766</v>
      </c>
      <c r="F2201" s="1341" t="str">
        <f>IF(LEN('Verification Report'!W2201)=0,"",'Verification Report'!W2201)</f>
        <v/>
      </c>
      <c r="G2201" s="1352" t="s">
        <v>246</v>
      </c>
    </row>
    <row r="2202" spans="1:7" x14ac:dyDescent="0.2">
      <c r="A2202" s="161"/>
      <c r="B2202" s="4"/>
      <c r="C2202" s="29"/>
      <c r="D2202" s="1717"/>
      <c r="G2202" s="1352" t="s">
        <v>246</v>
      </c>
    </row>
    <row r="2203" spans="1:7" ht="19" x14ac:dyDescent="0.25">
      <c r="A2203" s="14" t="s">
        <v>3708</v>
      </c>
      <c r="B2203" s="25"/>
      <c r="C2203" s="25"/>
      <c r="D2203" s="86"/>
      <c r="E2203" s="25"/>
      <c r="F2203" s="994"/>
      <c r="G2203" s="1352" t="s">
        <v>246</v>
      </c>
    </row>
    <row r="2204" spans="1:7" x14ac:dyDescent="0.2">
      <c r="A2204" s="819">
        <v>11.904</v>
      </c>
      <c r="B2204" s="129"/>
      <c r="C2204" s="129"/>
      <c r="D2204" s="1629" t="s">
        <v>3717</v>
      </c>
      <c r="G2204" s="1352" t="s">
        <v>246</v>
      </c>
    </row>
    <row r="2205" spans="1:7" ht="16" thickBot="1" x14ac:dyDescent="0.25">
      <c r="A2205" s="407"/>
      <c r="B2205" s="239"/>
      <c r="C2205" s="239"/>
      <c r="D2205" s="1630"/>
      <c r="G2205" s="1352" t="s">
        <v>246</v>
      </c>
    </row>
    <row r="2206" spans="1:7" ht="16" thickTop="1" x14ac:dyDescent="0.2">
      <c r="A2206" s="405" t="s">
        <v>3710</v>
      </c>
      <c r="B2206" s="178"/>
      <c r="C2206" s="178"/>
      <c r="D2206" s="1683" t="s">
        <v>3871</v>
      </c>
      <c r="E2206" s="1352">
        <f>'Verification Report'!O2206</f>
        <v>0</v>
      </c>
      <c r="F2206" s="1341" t="str">
        <f>IF(LEN('Verification Report'!W2206)=0,"",'Verification Report'!W2206)</f>
        <v/>
      </c>
      <c r="G2206" s="1352" t="s">
        <v>246</v>
      </c>
    </row>
    <row r="2207" spans="1:7" x14ac:dyDescent="0.2">
      <c r="A2207" s="406"/>
      <c r="B2207" s="129"/>
      <c r="C2207" s="129"/>
      <c r="D2207" s="1629"/>
      <c r="G2207" s="1352" t="s">
        <v>246</v>
      </c>
    </row>
    <row r="2208" spans="1:7" x14ac:dyDescent="0.2">
      <c r="A2208" s="406"/>
      <c r="B2208" s="129"/>
      <c r="C2208" s="129"/>
      <c r="D2208" s="1629"/>
      <c r="G2208" s="1352" t="s">
        <v>246</v>
      </c>
    </row>
    <row r="2209" spans="1:7" x14ac:dyDescent="0.2">
      <c r="A2209" s="406"/>
      <c r="B2209" s="129"/>
      <c r="C2209" s="129"/>
      <c r="D2209" s="1629"/>
      <c r="G2209" s="1352" t="s">
        <v>246</v>
      </c>
    </row>
    <row r="2210" spans="1:7" ht="16" thickBot="1" x14ac:dyDescent="0.25">
      <c r="A2210" s="407"/>
      <c r="B2210" s="239"/>
      <c r="C2210" s="239"/>
      <c r="D2210" s="1630"/>
      <c r="G2210" s="1352" t="s">
        <v>246</v>
      </c>
    </row>
    <row r="2211" spans="1:7" ht="16" thickTop="1" x14ac:dyDescent="0.2">
      <c r="A2211" s="177" t="s">
        <v>3711</v>
      </c>
      <c r="B2211" s="178"/>
      <c r="C2211" s="178"/>
      <c r="D2211" s="1683" t="s">
        <v>3872</v>
      </c>
      <c r="E2211" s="1352">
        <f>'Verification Report'!O2211</f>
        <v>0</v>
      </c>
      <c r="F2211" s="1341" t="str">
        <f>IF(LEN('Verification Report'!W2211)=0,"",'Verification Report'!W2211)</f>
        <v/>
      </c>
      <c r="G2211" s="1352" t="s">
        <v>246</v>
      </c>
    </row>
    <row r="2212" spans="1:7" x14ac:dyDescent="0.2">
      <c r="A2212" s="406"/>
      <c r="B2212" s="129"/>
      <c r="C2212" s="129"/>
      <c r="D2212" s="1629"/>
      <c r="G2212" s="1352" t="s">
        <v>246</v>
      </c>
    </row>
    <row r="2213" spans="1:7" ht="16" thickBot="1" x14ac:dyDescent="0.25">
      <c r="A2213" s="407"/>
      <c r="B2213" s="239"/>
      <c r="C2213" s="239"/>
      <c r="D2213" s="1630"/>
      <c r="G2213" s="1352" t="s">
        <v>246</v>
      </c>
    </row>
    <row r="2214" spans="1:7" ht="16" thickTop="1" x14ac:dyDescent="0.2">
      <c r="A2214" s="589" t="s">
        <v>4900</v>
      </c>
      <c r="B2214" s="873"/>
      <c r="C2214" s="858"/>
      <c r="D2214" s="1687" t="s">
        <v>4901</v>
      </c>
      <c r="G2214" s="1352" t="s">
        <v>246</v>
      </c>
    </row>
    <row r="2215" spans="1:7" x14ac:dyDescent="0.2">
      <c r="A2215" s="589"/>
      <c r="B2215" s="873"/>
      <c r="C2215" s="858"/>
      <c r="D2215" s="1687"/>
      <c r="G2215" s="1352" t="s">
        <v>246</v>
      </c>
    </row>
    <row r="2216" spans="1:7" x14ac:dyDescent="0.2">
      <c r="A2216" s="589"/>
      <c r="B2216" s="1068" t="s">
        <v>254</v>
      </c>
      <c r="C2216" s="1111"/>
      <c r="D2216" s="1634" t="s">
        <v>4902</v>
      </c>
      <c r="F2216" s="1341" t="b">
        <f>IF(LEN('Verification Report'!W2216)=0,"",'Verification Report'!W2216)</f>
        <v>1</v>
      </c>
      <c r="G2216" s="1352" t="s">
        <v>246</v>
      </c>
    </row>
    <row r="2217" spans="1:7" x14ac:dyDescent="0.2">
      <c r="A2217" s="589"/>
      <c r="B2217" s="1068"/>
      <c r="C2217" s="1111"/>
      <c r="D2217" s="1634"/>
      <c r="G2217" s="1352" t="s">
        <v>246</v>
      </c>
    </row>
    <row r="2218" spans="1:7" x14ac:dyDescent="0.2">
      <c r="A2218" s="589"/>
      <c r="B2218" s="1068"/>
      <c r="C2218" s="1111"/>
      <c r="D2218" s="1634"/>
      <c r="G2218" s="1352" t="s">
        <v>246</v>
      </c>
    </row>
    <row r="2219" spans="1:7" x14ac:dyDescent="0.2">
      <c r="A2219" s="589"/>
      <c r="B2219" s="1068"/>
      <c r="C2219" s="1111"/>
      <c r="D2219" s="1634"/>
      <c r="G2219" s="1352" t="s">
        <v>246</v>
      </c>
    </row>
    <row r="2220" spans="1:7" x14ac:dyDescent="0.2">
      <c r="A2220" s="589"/>
      <c r="B2220" s="1068"/>
      <c r="C2220" s="1111"/>
      <c r="D2220" s="1634"/>
      <c r="G2220" s="1352" t="s">
        <v>246</v>
      </c>
    </row>
    <row r="2221" spans="1:7" x14ac:dyDescent="0.2">
      <c r="A2221" s="589"/>
      <c r="B2221" s="1068"/>
      <c r="C2221" s="1111"/>
      <c r="D2221" s="1634"/>
      <c r="G2221" s="1352" t="s">
        <v>246</v>
      </c>
    </row>
    <row r="2222" spans="1:7" x14ac:dyDescent="0.2">
      <c r="A2222" s="589"/>
      <c r="B2222" s="1072"/>
      <c r="C2222" s="1118"/>
      <c r="D2222" s="1639"/>
      <c r="G2222" s="1352" t="s">
        <v>246</v>
      </c>
    </row>
    <row r="2223" spans="1:7" x14ac:dyDescent="0.2">
      <c r="A2223" s="589"/>
      <c r="B2223" s="873" t="s">
        <v>255</v>
      </c>
      <c r="C2223" s="858"/>
      <c r="D2223" s="1634" t="s">
        <v>4903</v>
      </c>
      <c r="F2223" s="1341" t="b">
        <f>IF(LEN('Verification Report'!W2223)=0,"",'Verification Report'!W2223)</f>
        <v>1</v>
      </c>
      <c r="G2223" s="1352" t="s">
        <v>246</v>
      </c>
    </row>
    <row r="2224" spans="1:7" x14ac:dyDescent="0.2">
      <c r="A2224" s="600"/>
      <c r="B2224" s="858"/>
      <c r="C2224" s="858"/>
      <c r="D2224" s="1634"/>
      <c r="G2224" s="1352" t="s">
        <v>246</v>
      </c>
    </row>
    <row r="2225" spans="1:7" x14ac:dyDescent="0.2">
      <c r="A2225" s="600"/>
      <c r="B2225" s="858"/>
      <c r="C2225" s="858"/>
      <c r="D2225" s="1634"/>
      <c r="G2225" s="1352" t="s">
        <v>246</v>
      </c>
    </row>
    <row r="2226" spans="1:7" ht="19" x14ac:dyDescent="0.25">
      <c r="A2226" s="14" t="s">
        <v>3712</v>
      </c>
      <c r="B2226" s="25"/>
      <c r="C2226" s="25"/>
      <c r="D2226" s="86"/>
      <c r="E2226" s="25"/>
      <c r="F2226" s="994"/>
      <c r="G2226" s="1352" t="s">
        <v>246</v>
      </c>
    </row>
    <row r="2227" spans="1:7" x14ac:dyDescent="0.2">
      <c r="A2227" s="130" t="s">
        <v>3713</v>
      </c>
      <c r="B2227" s="129"/>
      <c r="C2227" s="129"/>
      <c r="D2227" s="1629" t="s">
        <v>3716</v>
      </c>
      <c r="E2227" s="1352">
        <f>'Verification Report'!O2227</f>
        <v>0</v>
      </c>
      <c r="F2227" s="1341" t="str">
        <f>IF(LEN('Verification Report'!W2227)=0,"",'Verification Report'!W2227)</f>
        <v/>
      </c>
      <c r="G2227" s="1352" t="s">
        <v>246</v>
      </c>
    </row>
    <row r="2228" spans="1:7" x14ac:dyDescent="0.2">
      <c r="A2228" s="406"/>
      <c r="B2228" s="129"/>
      <c r="C2228" s="129"/>
      <c r="D2228" s="1629"/>
      <c r="G2228" s="1352" t="s">
        <v>246</v>
      </c>
    </row>
    <row r="2229" spans="1:7" x14ac:dyDescent="0.2">
      <c r="A2229" s="406"/>
      <c r="B2229" s="129"/>
      <c r="C2229" s="129"/>
      <c r="D2229" s="1629"/>
      <c r="G2229" s="1352" t="s">
        <v>246</v>
      </c>
    </row>
    <row r="2230" spans="1:7" x14ac:dyDescent="0.2">
      <c r="A2230" s="406"/>
      <c r="B2230" s="129"/>
      <c r="C2230" s="129"/>
      <c r="D2230" s="1629"/>
      <c r="G2230" s="1352" t="s">
        <v>246</v>
      </c>
    </row>
    <row r="2231" spans="1:7" ht="16" thickBot="1" x14ac:dyDescent="0.25">
      <c r="A2231" s="407"/>
      <c r="B2231" s="239"/>
      <c r="C2231" s="239"/>
      <c r="D2231" s="1630"/>
      <c r="G2231" s="1352" t="s">
        <v>246</v>
      </c>
    </row>
    <row r="2232" spans="1:7" ht="16" thickTop="1" x14ac:dyDescent="0.2">
      <c r="A2232" s="177" t="s">
        <v>3714</v>
      </c>
      <c r="B2232" s="178"/>
      <c r="C2232" s="178"/>
      <c r="D2232" s="1683" t="s">
        <v>3715</v>
      </c>
      <c r="E2232" s="1352">
        <f>'Verification Report'!O2232</f>
        <v>0</v>
      </c>
      <c r="F2232" s="1341" t="str">
        <f>IF(LEN('Verification Report'!W2232)=0,"",'Verification Report'!W2232)</f>
        <v/>
      </c>
      <c r="G2232" s="1352" t="s">
        <v>246</v>
      </c>
    </row>
    <row r="2233" spans="1:7" ht="16" thickBot="1" x14ac:dyDescent="0.25">
      <c r="A2233" s="407"/>
      <c r="B2233" s="239"/>
      <c r="C2233" s="239"/>
      <c r="D2233" s="1630"/>
      <c r="G2233" s="1352" t="s">
        <v>246</v>
      </c>
    </row>
    <row r="2234" spans="1:7" ht="16" thickTop="1" x14ac:dyDescent="0.2">
      <c r="A2234" s="589" t="s">
        <v>4904</v>
      </c>
      <c r="B2234" s="873"/>
      <c r="C2234" s="858"/>
      <c r="D2234" s="1370" t="s">
        <v>4905</v>
      </c>
      <c r="E2234" s="1352">
        <f>'Verification Report'!O2234</f>
        <v>0</v>
      </c>
      <c r="G2234" s="1352" t="s">
        <v>246</v>
      </c>
    </row>
    <row r="2235" spans="1:7" x14ac:dyDescent="0.2">
      <c r="A2235" s="589"/>
      <c r="B2235" s="1072" t="s">
        <v>254</v>
      </c>
      <c r="C2235" s="1118"/>
      <c r="D2235" s="1361" t="s">
        <v>4906</v>
      </c>
      <c r="F2235" s="1341" t="str">
        <f>IF(LEN('Verification Report'!W2235)=0,"",'Verification Report'!W2235)</f>
        <v/>
      </c>
      <c r="G2235" s="1352" t="s">
        <v>246</v>
      </c>
    </row>
    <row r="2236" spans="1:7" x14ac:dyDescent="0.2">
      <c r="A2236" s="590"/>
      <c r="B2236" s="1068" t="s">
        <v>255</v>
      </c>
      <c r="C2236" s="1111"/>
      <c r="D2236" s="1634" t="s">
        <v>4907</v>
      </c>
      <c r="F2236" s="1341" t="str">
        <f>IF(LEN('Verification Report'!W2236)=0,"",'Verification Report'!W2236)</f>
        <v/>
      </c>
      <c r="G2236" s="1352" t="s">
        <v>246</v>
      </c>
    </row>
    <row r="2237" spans="1:7" ht="16" thickBot="1" x14ac:dyDescent="0.25">
      <c r="A2237" s="594"/>
      <c r="B2237" s="1069"/>
      <c r="C2237" s="1112"/>
      <c r="D2237" s="1635"/>
      <c r="G2237" s="1352" t="s">
        <v>246</v>
      </c>
    </row>
    <row r="2238" spans="1:7" ht="16" thickTop="1" x14ac:dyDescent="0.2">
      <c r="A2238" s="589" t="s">
        <v>4908</v>
      </c>
      <c r="B2238" s="873"/>
      <c r="C2238" s="858"/>
      <c r="D2238" s="1687" t="s">
        <v>4909</v>
      </c>
      <c r="E2238" s="1352">
        <f ca="1">'Verification Report'!O2238</f>
        <v>0</v>
      </c>
      <c r="F2238" s="1341" t="str">
        <f>IF(LEN('Verification Report'!W2238)=0,"",'Verification Report'!W2238)</f>
        <v/>
      </c>
      <c r="G2238" s="1352" t="s">
        <v>246</v>
      </c>
    </row>
    <row r="2239" spans="1:7" x14ac:dyDescent="0.2">
      <c r="A2239" s="589"/>
      <c r="B2239" s="873"/>
      <c r="C2239" s="858"/>
      <c r="D2239" s="1687"/>
      <c r="G2239" s="1352" t="s">
        <v>246</v>
      </c>
    </row>
    <row r="2240" spans="1:7" x14ac:dyDescent="0.2">
      <c r="A2240" s="589"/>
      <c r="B2240" s="873"/>
      <c r="C2240" s="858"/>
      <c r="D2240" s="1687"/>
      <c r="G2240" s="1352" t="s">
        <v>246</v>
      </c>
    </row>
    <row r="2241" spans="1:7" x14ac:dyDescent="0.2">
      <c r="A2241" s="589"/>
      <c r="B2241" s="873"/>
      <c r="C2241" s="858"/>
      <c r="D2241" s="1383" t="s">
        <v>5075</v>
      </c>
      <c r="G2241" s="1352" t="s">
        <v>246</v>
      </c>
    </row>
    <row r="2242" spans="1:7" ht="16" thickBot="1" x14ac:dyDescent="0.25">
      <c r="A2242" s="594"/>
      <c r="B2242" s="1069"/>
      <c r="C2242" s="1112"/>
      <c r="D2242" s="1246" t="s">
        <v>5076</v>
      </c>
      <c r="G2242" s="1352" t="s">
        <v>246</v>
      </c>
    </row>
    <row r="2243" spans="1:7" ht="16" thickTop="1" x14ac:dyDescent="0.2">
      <c r="A2243" s="603" t="s">
        <v>4910</v>
      </c>
      <c r="B2243" s="1070"/>
      <c r="C2243" s="1119"/>
      <c r="D2243" s="1740" t="s">
        <v>4911</v>
      </c>
      <c r="E2243" s="1352">
        <f>'Verification Report'!O2243</f>
        <v>0</v>
      </c>
      <c r="F2243" s="1341" t="str">
        <f>IF(LEN('Verification Report'!W2243)=0,"",'Verification Report'!W2243)</f>
        <v/>
      </c>
      <c r="G2243" s="1352" t="s">
        <v>246</v>
      </c>
    </row>
    <row r="2244" spans="1:7" x14ac:dyDescent="0.2">
      <c r="A2244" s="590"/>
      <c r="B2244" s="1068"/>
      <c r="C2244" s="1111"/>
      <c r="D2244" s="1687"/>
      <c r="G2244" s="1352" t="s">
        <v>246</v>
      </c>
    </row>
    <row r="2245" spans="1:7" x14ac:dyDescent="0.2">
      <c r="A2245" s="590"/>
      <c r="B2245" s="1068"/>
      <c r="C2245" s="1111"/>
      <c r="D2245" s="1687"/>
      <c r="G2245" s="1352" t="s">
        <v>246</v>
      </c>
    </row>
    <row r="2246" spans="1:7" ht="16" thickBot="1" x14ac:dyDescent="0.25">
      <c r="A2246" s="594"/>
      <c r="B2246" s="1069"/>
      <c r="C2246" s="1112"/>
      <c r="D2246" s="1738"/>
      <c r="G2246" s="1352" t="s">
        <v>246</v>
      </c>
    </row>
    <row r="2247" spans="1:7" ht="16" thickTop="1" x14ac:dyDescent="0.2">
      <c r="A2247" s="589" t="s">
        <v>4912</v>
      </c>
      <c r="B2247" s="873"/>
      <c r="C2247" s="858"/>
      <c r="D2247" s="1687" t="s">
        <v>4913</v>
      </c>
      <c r="E2247" s="1352">
        <f ca="1">'Verification Report'!O2247</f>
        <v>0</v>
      </c>
      <c r="F2247" s="1341" t="str">
        <f>IF(LEN('Verification Report'!W2247)=0,"",'Verification Report'!W2247)</f>
        <v/>
      </c>
      <c r="G2247" s="1352" t="s">
        <v>246</v>
      </c>
    </row>
    <row r="2248" spans="1:7" x14ac:dyDescent="0.2">
      <c r="A2248" s="589"/>
      <c r="B2248" s="873"/>
      <c r="C2248" s="858"/>
      <c r="D2248" s="1687"/>
      <c r="G2248" s="1352" t="s">
        <v>246</v>
      </c>
    </row>
    <row r="2249" spans="1:7" x14ac:dyDescent="0.2">
      <c r="A2249" s="589"/>
      <c r="B2249" s="1068" t="s">
        <v>254</v>
      </c>
      <c r="C2249" s="1111"/>
      <c r="D2249" s="1634" t="s">
        <v>4915</v>
      </c>
      <c r="G2249" s="1352" t="s">
        <v>246</v>
      </c>
    </row>
    <row r="2250" spans="1:7" x14ac:dyDescent="0.2">
      <c r="A2250" s="589"/>
      <c r="B2250" s="1072"/>
      <c r="C2250" s="1118"/>
      <c r="D2250" s="1639"/>
      <c r="G2250" s="1352" t="s">
        <v>246</v>
      </c>
    </row>
    <row r="2251" spans="1:7" x14ac:dyDescent="0.2">
      <c r="A2251" s="589"/>
      <c r="B2251" s="1073" t="s">
        <v>255</v>
      </c>
      <c r="C2251" s="1120"/>
      <c r="D2251" s="1633" t="s">
        <v>4916</v>
      </c>
      <c r="G2251" s="1352" t="s">
        <v>246</v>
      </c>
    </row>
    <row r="2252" spans="1:7" x14ac:dyDescent="0.2">
      <c r="A2252" s="589"/>
      <c r="B2252" s="1068"/>
      <c r="C2252" s="1111"/>
      <c r="D2252" s="1634"/>
      <c r="G2252" s="1352" t="s">
        <v>246</v>
      </c>
    </row>
    <row r="2253" spans="1:7" x14ac:dyDescent="0.2">
      <c r="A2253" s="589"/>
      <c r="B2253" s="1072"/>
      <c r="C2253" s="1118"/>
      <c r="D2253" s="1639"/>
      <c r="G2253" s="1352" t="s">
        <v>246</v>
      </c>
    </row>
    <row r="2254" spans="1:7" x14ac:dyDescent="0.2">
      <c r="A2254" s="589"/>
      <c r="B2254" s="873" t="s">
        <v>256</v>
      </c>
      <c r="C2254" s="858"/>
      <c r="D2254" s="1634" t="s">
        <v>4917</v>
      </c>
      <c r="G2254" s="1352" t="s">
        <v>246</v>
      </c>
    </row>
    <row r="2255" spans="1:7" x14ac:dyDescent="0.2">
      <c r="A2255" s="600"/>
      <c r="B2255" s="858"/>
      <c r="C2255" s="858"/>
      <c r="D2255" s="1634"/>
      <c r="G2255" s="1352" t="s">
        <v>246</v>
      </c>
    </row>
    <row r="2256" spans="1:7" ht="19" x14ac:dyDescent="0.25">
      <c r="A2256" s="24" t="s">
        <v>3749</v>
      </c>
      <c r="B2256" s="24"/>
      <c r="C2256" s="24"/>
      <c r="D2256" s="25"/>
      <c r="E2256" s="25"/>
      <c r="F2256" s="994"/>
      <c r="G2256" s="1352" t="s">
        <v>246</v>
      </c>
    </row>
    <row r="2257" spans="1:7" x14ac:dyDescent="0.2">
      <c r="A2257" s="819">
        <v>11.100099999999999</v>
      </c>
      <c r="B2257" s="129"/>
      <c r="C2257" s="129"/>
      <c r="D2257" s="1629" t="s">
        <v>3767</v>
      </c>
      <c r="G2257" s="1352" t="s">
        <v>246</v>
      </c>
    </row>
    <row r="2258" spans="1:7" ht="16" thickBot="1" x14ac:dyDescent="0.25">
      <c r="A2258" s="239"/>
      <c r="B2258" s="239"/>
      <c r="C2258" s="239"/>
      <c r="D2258" s="1630"/>
      <c r="G2258" s="1352" t="s">
        <v>246</v>
      </c>
    </row>
    <row r="2259" spans="1:7" ht="16" thickTop="1" x14ac:dyDescent="0.2">
      <c r="A2259" s="136" t="s">
        <v>3751</v>
      </c>
      <c r="B2259" s="4"/>
      <c r="C2259" s="4"/>
      <c r="D2259" s="1631" t="s">
        <v>3766</v>
      </c>
      <c r="E2259" s="1352">
        <f>'Verification Report'!O2259</f>
        <v>0</v>
      </c>
      <c r="G2259" s="1352" t="s">
        <v>246</v>
      </c>
    </row>
    <row r="2260" spans="1:7" x14ac:dyDescent="0.2">
      <c r="A2260" s="4"/>
      <c r="B2260" s="4"/>
      <c r="C2260" s="4"/>
      <c r="D2260" s="1631"/>
      <c r="G2260" s="1352" t="s">
        <v>246</v>
      </c>
    </row>
    <row r="2261" spans="1:7" x14ac:dyDescent="0.2">
      <c r="A2261" s="4"/>
      <c r="B2261" s="4"/>
      <c r="C2261" s="4"/>
      <c r="D2261" s="227" t="s">
        <v>2846</v>
      </c>
      <c r="G2261" s="1352" t="s">
        <v>246</v>
      </c>
    </row>
    <row r="2262" spans="1:7" x14ac:dyDescent="0.2">
      <c r="A2262" s="4"/>
      <c r="B2262" s="207" t="s">
        <v>254</v>
      </c>
      <c r="C2262" s="213"/>
      <c r="D2262" s="1365" t="s">
        <v>2767</v>
      </c>
      <c r="F2262" s="1341" t="str">
        <f>IF(LEN('Verification Report'!W2262)=0,"",'Verification Report'!W2262)</f>
        <v/>
      </c>
      <c r="G2262" s="1352" t="s">
        <v>246</v>
      </c>
    </row>
    <row r="2263" spans="1:7" x14ac:dyDescent="0.2">
      <c r="A2263" s="4"/>
      <c r="B2263" s="209" t="s">
        <v>255</v>
      </c>
      <c r="C2263" s="242"/>
      <c r="D2263" s="311" t="s">
        <v>2768</v>
      </c>
      <c r="F2263" s="1341" t="str">
        <f>IF(LEN('Verification Report'!W2263)=0,"",'Verification Report'!W2263)</f>
        <v/>
      </c>
      <c r="G2263" s="1352" t="s">
        <v>246</v>
      </c>
    </row>
    <row r="2264" spans="1:7" x14ac:dyDescent="0.2">
      <c r="A2264" s="4"/>
      <c r="B2264" s="212" t="s">
        <v>256</v>
      </c>
      <c r="C2264" s="193"/>
      <c r="D2264" s="1613" t="s">
        <v>3911</v>
      </c>
      <c r="F2264" s="1341" t="str">
        <f>IF(LEN('Verification Report'!W2264)=0,"",'Verification Report'!W2264)</f>
        <v/>
      </c>
      <c r="G2264" s="1352" t="s">
        <v>246</v>
      </c>
    </row>
    <row r="2265" spans="1:7" x14ac:dyDescent="0.2">
      <c r="A2265" s="4"/>
      <c r="B2265" s="180"/>
      <c r="C2265" s="129"/>
      <c r="D2265" s="1609"/>
      <c r="G2265" s="1352" t="s">
        <v>246</v>
      </c>
    </row>
    <row r="2266" spans="1:7" x14ac:dyDescent="0.2">
      <c r="A2266" s="4"/>
      <c r="B2266" s="180"/>
      <c r="C2266" s="129"/>
      <c r="D2266" s="1609"/>
      <c r="G2266" s="1352" t="s">
        <v>246</v>
      </c>
    </row>
    <row r="2267" spans="1:7" x14ac:dyDescent="0.2">
      <c r="A2267" s="4"/>
      <c r="B2267" s="207"/>
      <c r="C2267" s="213"/>
      <c r="D2267" s="1612"/>
      <c r="G2267" s="1352" t="s">
        <v>246</v>
      </c>
    </row>
    <row r="2268" spans="1:7" x14ac:dyDescent="0.2">
      <c r="A2268" s="4"/>
      <c r="B2268" s="209" t="s">
        <v>259</v>
      </c>
      <c r="C2268" s="242"/>
      <c r="D2268" s="311" t="s">
        <v>2769</v>
      </c>
      <c r="F2268" s="1341" t="str">
        <f>IF(LEN('Verification Report'!W2268)=0,"",'Verification Report'!W2268)</f>
        <v/>
      </c>
      <c r="G2268" s="1352" t="s">
        <v>246</v>
      </c>
    </row>
    <row r="2269" spans="1:7" x14ac:dyDescent="0.2">
      <c r="A2269" s="4"/>
      <c r="B2269" s="209" t="s">
        <v>263</v>
      </c>
      <c r="C2269" s="242"/>
      <c r="D2269" s="311" t="s">
        <v>2770</v>
      </c>
      <c r="F2269" s="1341" t="str">
        <f>IF(LEN('Verification Report'!W2269)=0,"",'Verification Report'!W2269)</f>
        <v/>
      </c>
      <c r="G2269" s="1352" t="s">
        <v>246</v>
      </c>
    </row>
    <row r="2270" spans="1:7" x14ac:dyDescent="0.2">
      <c r="A2270" s="4"/>
      <c r="B2270" s="212" t="s">
        <v>264</v>
      </c>
      <c r="C2270" s="193"/>
      <c r="D2270" s="1613" t="s">
        <v>2771</v>
      </c>
      <c r="F2270" s="1341" t="str">
        <f>IF(LEN('Verification Report'!W2270)=0,"",'Verification Report'!W2270)</f>
        <v/>
      </c>
      <c r="G2270" s="1352" t="s">
        <v>246</v>
      </c>
    </row>
    <row r="2271" spans="1:7" x14ac:dyDescent="0.2">
      <c r="A2271" s="4"/>
      <c r="B2271" s="207"/>
      <c r="C2271" s="213"/>
      <c r="D2271" s="1612"/>
      <c r="G2271" s="1352" t="s">
        <v>246</v>
      </c>
    </row>
    <row r="2272" spans="1:7" x14ac:dyDescent="0.2">
      <c r="A2272" s="4"/>
      <c r="B2272" s="212" t="s">
        <v>356</v>
      </c>
      <c r="C2272" s="193"/>
      <c r="D2272" s="1613" t="s">
        <v>2772</v>
      </c>
      <c r="F2272" s="1341" t="str">
        <f>IF(LEN('Verification Report'!W2272)=0,"",'Verification Report'!W2272)</f>
        <v/>
      </c>
      <c r="G2272" s="1352" t="s">
        <v>246</v>
      </c>
    </row>
    <row r="2273" spans="1:7" x14ac:dyDescent="0.2">
      <c r="A2273" s="4"/>
      <c r="B2273" s="207"/>
      <c r="C2273" s="213"/>
      <c r="D2273" s="1612"/>
      <c r="G2273" s="1352" t="s">
        <v>246</v>
      </c>
    </row>
    <row r="2274" spans="1:7" x14ac:dyDescent="0.2">
      <c r="A2274" s="4"/>
      <c r="B2274" s="209" t="s">
        <v>389</v>
      </c>
      <c r="C2274" s="242"/>
      <c r="D2274" s="311" t="s">
        <v>2773</v>
      </c>
      <c r="F2274" s="1341" t="str">
        <f>IF(LEN('Verification Report'!W2274)=0,"",'Verification Report'!W2274)</f>
        <v/>
      </c>
      <c r="G2274" s="1352" t="s">
        <v>246</v>
      </c>
    </row>
    <row r="2275" spans="1:7" x14ac:dyDescent="0.2">
      <c r="A2275" s="4"/>
      <c r="B2275" s="29" t="s">
        <v>391</v>
      </c>
      <c r="C2275" s="4"/>
      <c r="D2275" s="1649" t="s">
        <v>2774</v>
      </c>
      <c r="F2275" s="1341" t="str">
        <f>IF(LEN('Verification Report'!W2275)=0,"",'Verification Report'!W2275)</f>
        <v/>
      </c>
      <c r="G2275" s="1352" t="s">
        <v>246</v>
      </c>
    </row>
    <row r="2276" spans="1:7" x14ac:dyDescent="0.2">
      <c r="A2276" s="4"/>
      <c r="B2276" s="29"/>
      <c r="C2276" s="4"/>
      <c r="D2276" s="1650"/>
      <c r="G2276" s="1352" t="s">
        <v>246</v>
      </c>
    </row>
    <row r="2277" spans="1:7" x14ac:dyDescent="0.2">
      <c r="A2277" s="4"/>
      <c r="B2277" s="209" t="s">
        <v>392</v>
      </c>
      <c r="C2277" s="242"/>
      <c r="D2277" s="311" t="s">
        <v>2775</v>
      </c>
      <c r="F2277" s="1341" t="str">
        <f>IF(LEN('Verification Report'!W2277)=0,"",'Verification Report'!W2277)</f>
        <v/>
      </c>
      <c r="G2277" s="1352" t="s">
        <v>246</v>
      </c>
    </row>
    <row r="2278" spans="1:7" x14ac:dyDescent="0.2">
      <c r="A2278" s="4"/>
      <c r="B2278" s="29" t="s">
        <v>394</v>
      </c>
      <c r="C2278" s="4"/>
      <c r="D2278" s="1381" t="s">
        <v>2776</v>
      </c>
      <c r="F2278" s="1341" t="str">
        <f>IF(LEN('Verification Report'!W2278)=0,"",'Verification Report'!W2278)</f>
        <v/>
      </c>
      <c r="G2278" s="1352" t="s">
        <v>246</v>
      </c>
    </row>
    <row r="2279" spans="1:7" x14ac:dyDescent="0.2">
      <c r="A2279" s="4"/>
      <c r="B2279" s="212" t="s">
        <v>396</v>
      </c>
      <c r="C2279" s="193"/>
      <c r="D2279" s="1613" t="s">
        <v>2777</v>
      </c>
      <c r="F2279" s="1341" t="str">
        <f>IF(LEN('Verification Report'!W2279)=0,"",'Verification Report'!W2279)</f>
        <v/>
      </c>
      <c r="G2279" s="1352" t="s">
        <v>246</v>
      </c>
    </row>
    <row r="2280" spans="1:7" x14ac:dyDescent="0.2">
      <c r="A2280" s="4"/>
      <c r="B2280" s="129"/>
      <c r="C2280" s="129"/>
      <c r="D2280" s="1609"/>
      <c r="G2280" s="1352" t="s">
        <v>246</v>
      </c>
    </row>
    <row r="2281" spans="1:7" x14ac:dyDescent="0.2">
      <c r="A2281" s="4"/>
      <c r="B2281" s="129"/>
      <c r="C2281" s="180" t="s">
        <v>121</v>
      </c>
      <c r="D2281" s="1366" t="s">
        <v>2778</v>
      </c>
      <c r="G2281" s="1352" t="s">
        <v>246</v>
      </c>
    </row>
    <row r="2282" spans="1:7" x14ac:dyDescent="0.2">
      <c r="A2282" s="4"/>
      <c r="B2282" s="129"/>
      <c r="C2282" s="180" t="s">
        <v>122</v>
      </c>
      <c r="D2282" s="1366" t="s">
        <v>2779</v>
      </c>
      <c r="G2282" s="1352" t="s">
        <v>246</v>
      </c>
    </row>
    <row r="2283" spans="1:7" x14ac:dyDescent="0.2">
      <c r="A2283" s="4"/>
      <c r="B2283" s="129"/>
      <c r="C2283" s="180" t="s">
        <v>123</v>
      </c>
      <c r="D2283" s="1609" t="s">
        <v>2780</v>
      </c>
      <c r="G2283" s="1352" t="s">
        <v>246</v>
      </c>
    </row>
    <row r="2284" spans="1:7" x14ac:dyDescent="0.2">
      <c r="A2284" s="4"/>
      <c r="B2284" s="213"/>
      <c r="C2284" s="213"/>
      <c r="D2284" s="1612"/>
      <c r="G2284" s="1352" t="s">
        <v>246</v>
      </c>
    </row>
    <row r="2285" spans="1:7" x14ac:dyDescent="0.2">
      <c r="A2285" s="4"/>
      <c r="B2285" s="212" t="s">
        <v>2781</v>
      </c>
      <c r="C2285" s="193"/>
      <c r="D2285" s="1613" t="s">
        <v>2782</v>
      </c>
      <c r="F2285" s="1341" t="str">
        <f>IF(LEN('Verification Report'!W2285)=0,"",'Verification Report'!W2285)</f>
        <v/>
      </c>
      <c r="G2285" s="1352" t="s">
        <v>246</v>
      </c>
    </row>
    <row r="2286" spans="1:7" x14ac:dyDescent="0.2">
      <c r="A2286" s="4"/>
      <c r="B2286" s="129"/>
      <c r="C2286" s="129"/>
      <c r="D2286" s="1609"/>
      <c r="G2286" s="1352" t="s">
        <v>246</v>
      </c>
    </row>
    <row r="2287" spans="1:7" x14ac:dyDescent="0.2">
      <c r="A2287" s="4"/>
      <c r="B2287" s="129"/>
      <c r="C2287" s="129"/>
      <c r="D2287" s="1609"/>
      <c r="G2287" s="1352" t="s">
        <v>246</v>
      </c>
    </row>
    <row r="2288" spans="1:7" x14ac:dyDescent="0.2">
      <c r="A2288" s="4"/>
      <c r="B2288" s="213"/>
      <c r="C2288" s="213"/>
      <c r="D2288" s="1612"/>
      <c r="G2288" s="1352" t="s">
        <v>246</v>
      </c>
    </row>
    <row r="2289" spans="1:7" x14ac:dyDescent="0.2">
      <c r="A2289" s="4"/>
      <c r="B2289" s="212" t="s">
        <v>2783</v>
      </c>
      <c r="C2289" s="193"/>
      <c r="D2289" s="1613" t="s">
        <v>2784</v>
      </c>
      <c r="F2289" s="1341" t="str">
        <f>IF(LEN('Verification Report'!W2289)=0,"",'Verification Report'!W2289)</f>
        <v/>
      </c>
      <c r="G2289" s="1352" t="s">
        <v>246</v>
      </c>
    </row>
    <row r="2290" spans="1:7" x14ac:dyDescent="0.2">
      <c r="A2290" s="4"/>
      <c r="B2290" s="213"/>
      <c r="C2290" s="213"/>
      <c r="D2290" s="1612"/>
      <c r="G2290" s="1352" t="s">
        <v>246</v>
      </c>
    </row>
    <row r="2291" spans="1:7" x14ac:dyDescent="0.2">
      <c r="A2291" s="4"/>
      <c r="B2291" s="212" t="s">
        <v>2785</v>
      </c>
      <c r="C2291" s="193"/>
      <c r="D2291" s="1613" t="s">
        <v>2786</v>
      </c>
      <c r="F2291" s="1341" t="str">
        <f>IF(LEN('Verification Report'!W2291)=0,"",'Verification Report'!W2291)</f>
        <v/>
      </c>
      <c r="G2291" s="1352" t="s">
        <v>246</v>
      </c>
    </row>
    <row r="2292" spans="1:7" x14ac:dyDescent="0.2">
      <c r="A2292" s="4"/>
      <c r="B2292" s="213"/>
      <c r="C2292" s="213"/>
      <c r="D2292" s="1612"/>
      <c r="G2292" s="1352" t="s">
        <v>246</v>
      </c>
    </row>
    <row r="2293" spans="1:7" x14ac:dyDescent="0.2">
      <c r="A2293" s="4"/>
      <c r="B2293" s="209" t="s">
        <v>2787</v>
      </c>
      <c r="C2293" s="242"/>
      <c r="D2293" s="311" t="s">
        <v>2788</v>
      </c>
      <c r="F2293" s="1341" t="str">
        <f>IF(LEN('Verification Report'!W2293)=0,"",'Verification Report'!W2293)</f>
        <v/>
      </c>
      <c r="G2293" s="1352" t="s">
        <v>246</v>
      </c>
    </row>
    <row r="2294" spans="1:7" x14ac:dyDescent="0.2">
      <c r="A2294" s="4"/>
      <c r="B2294" s="212" t="s">
        <v>2789</v>
      </c>
      <c r="C2294" s="193"/>
      <c r="D2294" s="1649" t="s">
        <v>2790</v>
      </c>
      <c r="F2294" s="1341" t="str">
        <f>IF(LEN('Verification Report'!W2294)=0,"",'Verification Report'!W2294)</f>
        <v/>
      </c>
      <c r="G2294" s="1352" t="s">
        <v>246</v>
      </c>
    </row>
    <row r="2295" spans="1:7" x14ac:dyDescent="0.2">
      <c r="A2295" s="4"/>
      <c r="B2295" s="207"/>
      <c r="C2295" s="213"/>
      <c r="D2295" s="1650"/>
      <c r="G2295" s="1352" t="s">
        <v>246</v>
      </c>
    </row>
    <row r="2296" spans="1:7" x14ac:dyDescent="0.2">
      <c r="A2296" s="4"/>
      <c r="B2296" s="212" t="s">
        <v>2791</v>
      </c>
      <c r="C2296" s="193"/>
      <c r="D2296" s="1613" t="s">
        <v>2792</v>
      </c>
      <c r="F2296" s="1341" t="str">
        <f>IF(LEN('Verification Report'!W2296)=0,"",'Verification Report'!W2296)</f>
        <v/>
      </c>
      <c r="G2296" s="1352" t="s">
        <v>246</v>
      </c>
    </row>
    <row r="2297" spans="1:7" x14ac:dyDescent="0.2">
      <c r="A2297" s="4"/>
      <c r="B2297" s="213"/>
      <c r="C2297" s="213"/>
      <c r="D2297" s="1612"/>
      <c r="G2297" s="1352" t="s">
        <v>246</v>
      </c>
    </row>
    <row r="2298" spans="1:7" x14ac:dyDescent="0.2">
      <c r="A2298" s="4"/>
      <c r="B2298" s="209" t="s">
        <v>2793</v>
      </c>
      <c r="C2298" s="242"/>
      <c r="D2298" s="311" t="s">
        <v>2794</v>
      </c>
      <c r="F2298" s="1341" t="str">
        <f>IF(LEN('Verification Report'!W2298)=0,"",'Verification Report'!W2298)</f>
        <v/>
      </c>
      <c r="G2298" s="1352" t="s">
        <v>246</v>
      </c>
    </row>
    <row r="2299" spans="1:7" x14ac:dyDescent="0.2">
      <c r="A2299" s="4"/>
      <c r="B2299" s="212" t="s">
        <v>2795</v>
      </c>
      <c r="C2299" s="193"/>
      <c r="D2299" s="1613" t="s">
        <v>2796</v>
      </c>
      <c r="F2299" s="1341" t="str">
        <f>IF(LEN('Verification Report'!W2299)=0,"",'Verification Report'!W2299)</f>
        <v/>
      </c>
      <c r="G2299" s="1352" t="s">
        <v>246</v>
      </c>
    </row>
    <row r="2300" spans="1:7" x14ac:dyDescent="0.2">
      <c r="A2300" s="4"/>
      <c r="B2300" s="213"/>
      <c r="C2300" s="213"/>
      <c r="D2300" s="1612"/>
      <c r="G2300" s="1352" t="s">
        <v>246</v>
      </c>
    </row>
    <row r="2301" spans="1:7" x14ac:dyDescent="0.2">
      <c r="A2301" s="4"/>
      <c r="B2301" s="212" t="s">
        <v>2797</v>
      </c>
      <c r="C2301" s="193"/>
      <c r="D2301" s="1613" t="s">
        <v>2798</v>
      </c>
      <c r="F2301" s="1341" t="str">
        <f>IF(LEN('Verification Report'!W2301)=0,"",'Verification Report'!W2301)</f>
        <v/>
      </c>
      <c r="G2301" s="1352" t="s">
        <v>246</v>
      </c>
    </row>
    <row r="2302" spans="1:7" x14ac:dyDescent="0.2">
      <c r="A2302" s="4"/>
      <c r="B2302" s="213"/>
      <c r="C2302" s="213"/>
      <c r="D2302" s="1612"/>
      <c r="G2302" s="1352" t="s">
        <v>246</v>
      </c>
    </row>
    <row r="2303" spans="1:7" x14ac:dyDescent="0.2">
      <c r="A2303" s="4"/>
      <c r="B2303" s="212" t="s">
        <v>2799</v>
      </c>
      <c r="C2303" s="193"/>
      <c r="D2303" s="1613" t="s">
        <v>2800</v>
      </c>
      <c r="F2303" s="1341" t="str">
        <f>IF(LEN('Verification Report'!W2303)=0,"",'Verification Report'!W2303)</f>
        <v/>
      </c>
      <c r="G2303" s="1352" t="s">
        <v>246</v>
      </c>
    </row>
    <row r="2304" spans="1:7" x14ac:dyDescent="0.2">
      <c r="A2304" s="4"/>
      <c r="B2304" s="213"/>
      <c r="C2304" s="213"/>
      <c r="D2304" s="1612"/>
      <c r="G2304" s="1352" t="s">
        <v>246</v>
      </c>
    </row>
    <row r="2305" spans="1:7" x14ac:dyDescent="0.2">
      <c r="A2305" s="4"/>
      <c r="B2305" s="212" t="s">
        <v>2801</v>
      </c>
      <c r="C2305" s="193"/>
      <c r="D2305" s="1613" t="s">
        <v>3905</v>
      </c>
      <c r="F2305" s="1341" t="str">
        <f>IF(LEN('Verification Report'!W2305)=0,"",'Verification Report'!W2305)</f>
        <v/>
      </c>
      <c r="G2305" s="1352" t="s">
        <v>246</v>
      </c>
    </row>
    <row r="2306" spans="1:7" x14ac:dyDescent="0.2">
      <c r="A2306" s="4"/>
      <c r="B2306" s="213"/>
      <c r="C2306" s="213"/>
      <c r="D2306" s="1612"/>
      <c r="G2306" s="1352" t="s">
        <v>246</v>
      </c>
    </row>
    <row r="2307" spans="1:7" x14ac:dyDescent="0.2">
      <c r="A2307" s="4"/>
      <c r="B2307" s="209" t="s">
        <v>2803</v>
      </c>
      <c r="C2307" s="242"/>
      <c r="D2307" s="311" t="s">
        <v>2802</v>
      </c>
      <c r="F2307" s="1341" t="str">
        <f>IF(LEN('Verification Report'!W2307)=0,"",'Verification Report'!W2307)</f>
        <v/>
      </c>
      <c r="G2307" s="1352" t="s">
        <v>246</v>
      </c>
    </row>
    <row r="2308" spans="1:7" ht="16" thickBot="1" x14ac:dyDescent="0.25">
      <c r="A2308" s="239"/>
      <c r="B2308" s="190" t="s">
        <v>3904</v>
      </c>
      <c r="C2308" s="239"/>
      <c r="D2308" s="736" t="s">
        <v>2804</v>
      </c>
      <c r="F2308" s="1341" t="str">
        <f>IF(LEN('Verification Report'!W2308)=0,"",'Verification Report'!W2308)</f>
        <v/>
      </c>
      <c r="G2308" s="1352" t="s">
        <v>246</v>
      </c>
    </row>
    <row r="2309" spans="1:7" ht="16" thickTop="1" x14ac:dyDescent="0.2">
      <c r="A2309" s="67" t="s">
        <v>3752</v>
      </c>
      <c r="B2309" s="4"/>
      <c r="C2309" s="4"/>
      <c r="D2309" s="1631" t="s">
        <v>3765</v>
      </c>
      <c r="E2309" s="1352">
        <f>'Verification Report'!O2309</f>
        <v>0</v>
      </c>
      <c r="F2309" s="1341" t="str">
        <f>IF(LEN('Verification Report'!W2309)=0,"",'Verification Report'!W2309)</f>
        <v/>
      </c>
      <c r="G2309" s="1352" t="s">
        <v>246</v>
      </c>
    </row>
    <row r="2310" spans="1:7" x14ac:dyDescent="0.2">
      <c r="A2310" s="4"/>
      <c r="B2310" s="4"/>
      <c r="C2310" s="4"/>
      <c r="D2310" s="1631"/>
      <c r="G2310" s="1352" t="s">
        <v>246</v>
      </c>
    </row>
    <row r="2311" spans="1:7" x14ac:dyDescent="0.2">
      <c r="A2311" s="4"/>
      <c r="B2311" s="4"/>
      <c r="C2311" s="4"/>
      <c r="D2311" s="1631"/>
      <c r="G2311" s="1352" t="s">
        <v>246</v>
      </c>
    </row>
    <row r="2312" spans="1:7" x14ac:dyDescent="0.2">
      <c r="A2312" s="4"/>
      <c r="B2312" s="4"/>
      <c r="C2312" s="4"/>
      <c r="D2312" s="1631"/>
      <c r="G2312" s="1352" t="s">
        <v>246</v>
      </c>
    </row>
    <row r="2313" spans="1:7" x14ac:dyDescent="0.2">
      <c r="A2313" s="4"/>
      <c r="B2313" s="180" t="s">
        <v>254</v>
      </c>
      <c r="C2313" s="129"/>
      <c r="D2313" s="1319" t="s">
        <v>2805</v>
      </c>
      <c r="G2313" s="1352" t="s">
        <v>246</v>
      </c>
    </row>
    <row r="2314" spans="1:7" x14ac:dyDescent="0.2">
      <c r="A2314" s="4"/>
      <c r="B2314" s="180" t="s">
        <v>255</v>
      </c>
      <c r="C2314" s="129"/>
      <c r="D2314" s="1319" t="s">
        <v>2806</v>
      </c>
      <c r="G2314" s="1352" t="s">
        <v>246</v>
      </c>
    </row>
    <row r="2315" spans="1:7" x14ac:dyDescent="0.2">
      <c r="A2315" s="4"/>
      <c r="B2315" s="180" t="s">
        <v>256</v>
      </c>
      <c r="C2315" s="129"/>
      <c r="D2315" s="1319" t="s">
        <v>2807</v>
      </c>
      <c r="G2315" s="1352" t="s">
        <v>246</v>
      </c>
    </row>
    <row r="2316" spans="1:7" x14ac:dyDescent="0.2">
      <c r="A2316" s="4"/>
      <c r="B2316" s="180" t="s">
        <v>259</v>
      </c>
      <c r="C2316" s="129"/>
      <c r="D2316" s="1319" t="s">
        <v>2808</v>
      </c>
      <c r="G2316" s="1352" t="s">
        <v>246</v>
      </c>
    </row>
    <row r="2317" spans="1:7" x14ac:dyDescent="0.2">
      <c r="A2317" s="4"/>
      <c r="B2317" s="180" t="s">
        <v>263</v>
      </c>
      <c r="C2317" s="129"/>
      <c r="D2317" s="1319" t="s">
        <v>2809</v>
      </c>
      <c r="G2317" s="1352" t="s">
        <v>246</v>
      </c>
    </row>
    <row r="2318" spans="1:7" x14ac:dyDescent="0.2">
      <c r="A2318" s="4"/>
      <c r="B2318" s="180" t="s">
        <v>264</v>
      </c>
      <c r="C2318" s="129"/>
      <c r="D2318" s="1319" t="s">
        <v>2810</v>
      </c>
      <c r="G2318" s="1352" t="s">
        <v>246</v>
      </c>
    </row>
    <row r="2319" spans="1:7" x14ac:dyDescent="0.2">
      <c r="A2319" s="4"/>
      <c r="B2319" s="29" t="s">
        <v>356</v>
      </c>
      <c r="C2319" s="4"/>
      <c r="D2319" s="1316" t="s">
        <v>2811</v>
      </c>
      <c r="G2319" s="1352" t="s">
        <v>246</v>
      </c>
    </row>
    <row r="2320" spans="1:7" x14ac:dyDescent="0.2">
      <c r="A2320" s="4"/>
      <c r="B2320" s="29" t="s">
        <v>389</v>
      </c>
      <c r="C2320" s="4"/>
      <c r="D2320" s="1316" t="s">
        <v>4922</v>
      </c>
      <c r="G2320" s="1352" t="s">
        <v>246</v>
      </c>
    </row>
    <row r="2321" spans="1:7" ht="19" x14ac:dyDescent="0.25">
      <c r="A2321" s="14" t="s">
        <v>3753</v>
      </c>
      <c r="B2321" s="25"/>
      <c r="C2321" s="25"/>
      <c r="D2321" s="232"/>
      <c r="E2321" s="25"/>
      <c r="F2321" s="994"/>
      <c r="G2321" s="1352" t="s">
        <v>246</v>
      </c>
    </row>
    <row r="2322" spans="1:7" x14ac:dyDescent="0.2">
      <c r="A2322" s="237" t="s">
        <v>3754</v>
      </c>
      <c r="B2322" s="129"/>
      <c r="C2322" s="129"/>
      <c r="D2322" s="1629" t="s">
        <v>3764</v>
      </c>
      <c r="G2322" s="1352" t="s">
        <v>246</v>
      </c>
    </row>
    <row r="2323" spans="1:7" x14ac:dyDescent="0.2">
      <c r="A2323" s="129"/>
      <c r="B2323" s="129"/>
      <c r="C2323" s="129"/>
      <c r="D2323" s="1629"/>
      <c r="G2323" s="1352" t="s">
        <v>246</v>
      </c>
    </row>
    <row r="2324" spans="1:7" x14ac:dyDescent="0.2">
      <c r="A2324" s="129"/>
      <c r="B2324" s="129"/>
      <c r="C2324" s="129"/>
      <c r="D2324" s="1629"/>
      <c r="G2324" s="1352" t="s">
        <v>246</v>
      </c>
    </row>
    <row r="2325" spans="1:7" x14ac:dyDescent="0.2">
      <c r="A2325" s="129"/>
      <c r="B2325" s="129"/>
      <c r="C2325" s="129"/>
      <c r="D2325" s="1629"/>
      <c r="G2325" s="1352" t="s">
        <v>246</v>
      </c>
    </row>
    <row r="2326" spans="1:7" x14ac:dyDescent="0.2">
      <c r="A2326" s="129"/>
      <c r="B2326" s="129"/>
      <c r="C2326" s="129"/>
      <c r="D2326" s="1629"/>
      <c r="G2326" s="1352" t="s">
        <v>246</v>
      </c>
    </row>
    <row r="2327" spans="1:7" ht="16" thickBot="1" x14ac:dyDescent="0.25">
      <c r="A2327" s="239"/>
      <c r="B2327" s="239"/>
      <c r="C2327" s="239"/>
      <c r="D2327" s="1630"/>
      <c r="G2327" s="1352" t="s">
        <v>246</v>
      </c>
    </row>
    <row r="2328" spans="1:7" ht="16" thickTop="1" x14ac:dyDescent="0.2">
      <c r="A2328" s="67" t="s">
        <v>3755</v>
      </c>
      <c r="B2328" s="4"/>
      <c r="C2328" s="4"/>
      <c r="D2328" s="1631" t="s">
        <v>3870</v>
      </c>
      <c r="E2328" s="1352">
        <f>'Verification Report'!O2328</f>
        <v>1</v>
      </c>
      <c r="G2328" s="1352" t="s">
        <v>246</v>
      </c>
    </row>
    <row r="2329" spans="1:7" x14ac:dyDescent="0.2">
      <c r="A2329" s="4"/>
      <c r="B2329" s="4"/>
      <c r="C2329" s="4"/>
      <c r="D2329" s="1631"/>
      <c r="G2329" s="1352" t="s">
        <v>246</v>
      </c>
    </row>
    <row r="2330" spans="1:7" x14ac:dyDescent="0.2">
      <c r="A2330" s="4"/>
      <c r="B2330" s="4"/>
      <c r="C2330" s="4"/>
      <c r="D2330" s="229" t="s">
        <v>2847</v>
      </c>
      <c r="G2330" s="1352" t="s">
        <v>246</v>
      </c>
    </row>
    <row r="2331" spans="1:7" x14ac:dyDescent="0.2">
      <c r="A2331" s="4"/>
      <c r="B2331" s="29" t="s">
        <v>254</v>
      </c>
      <c r="C2331" s="4"/>
      <c r="D2331" s="1611" t="s">
        <v>2812</v>
      </c>
      <c r="F2331" s="1341" t="b">
        <f>IF(LEN('Verification Report'!W2331)=0,"",'Verification Report'!W2331)</f>
        <v>1</v>
      </c>
      <c r="G2331" s="1352" t="s">
        <v>246</v>
      </c>
    </row>
    <row r="2332" spans="1:7" x14ac:dyDescent="0.2">
      <c r="A2332" s="4"/>
      <c r="B2332" s="29"/>
      <c r="C2332" s="4"/>
      <c r="D2332" s="1611"/>
      <c r="G2332" s="1352" t="s">
        <v>246</v>
      </c>
    </row>
    <row r="2333" spans="1:7" x14ac:dyDescent="0.2">
      <c r="A2333" s="4"/>
      <c r="B2333" s="29"/>
      <c r="C2333" s="4"/>
      <c r="D2333" s="1611"/>
      <c r="G2333" s="1352" t="s">
        <v>246</v>
      </c>
    </row>
    <row r="2334" spans="1:7" x14ac:dyDescent="0.2">
      <c r="A2334" s="4"/>
      <c r="B2334" s="212" t="s">
        <v>255</v>
      </c>
      <c r="C2334" s="193"/>
      <c r="D2334" s="1613" t="s">
        <v>2813</v>
      </c>
      <c r="F2334" s="1341" t="b">
        <f>IF(LEN('Verification Report'!W2334)=0,"",'Verification Report'!W2334)</f>
        <v>1</v>
      </c>
      <c r="G2334" s="1352" t="s">
        <v>246</v>
      </c>
    </row>
    <row r="2335" spans="1:7" x14ac:dyDescent="0.2">
      <c r="A2335" s="4"/>
      <c r="B2335" s="180"/>
      <c r="C2335" s="129"/>
      <c r="D2335" s="1609"/>
      <c r="G2335" s="1352" t="s">
        <v>246</v>
      </c>
    </row>
    <row r="2336" spans="1:7" x14ac:dyDescent="0.2">
      <c r="A2336" s="4"/>
      <c r="B2336" s="207"/>
      <c r="C2336" s="213"/>
      <c r="D2336" s="1612"/>
      <c r="G2336" s="1352" t="s">
        <v>246</v>
      </c>
    </row>
    <row r="2337" spans="1:7" x14ac:dyDescent="0.2">
      <c r="A2337" s="4"/>
      <c r="B2337" s="29" t="s">
        <v>256</v>
      </c>
      <c r="C2337" s="4"/>
      <c r="D2337" s="1611" t="s">
        <v>2814</v>
      </c>
      <c r="F2337" s="1341" t="b">
        <f>IF(LEN('Verification Report'!W2337)=0,"",'Verification Report'!W2337)</f>
        <v>1</v>
      </c>
      <c r="G2337" s="1352" t="s">
        <v>246</v>
      </c>
    </row>
    <row r="2338" spans="1:7" x14ac:dyDescent="0.2">
      <c r="A2338" s="4"/>
      <c r="B2338" s="29"/>
      <c r="C2338" s="4"/>
      <c r="D2338" s="1611"/>
      <c r="G2338" s="1352" t="s">
        <v>246</v>
      </c>
    </row>
    <row r="2339" spans="1:7" x14ac:dyDescent="0.2">
      <c r="A2339" s="4"/>
      <c r="B2339" s="209" t="s">
        <v>259</v>
      </c>
      <c r="C2339" s="242"/>
      <c r="D2339" s="311" t="s">
        <v>2815</v>
      </c>
      <c r="F2339" s="1341" t="str">
        <f>IF(LEN('Verification Report'!W2339)=0,"",'Verification Report'!W2339)</f>
        <v/>
      </c>
      <c r="G2339" s="1352" t="s">
        <v>246</v>
      </c>
    </row>
    <row r="2340" spans="1:7" x14ac:dyDescent="0.2">
      <c r="A2340" s="4"/>
      <c r="B2340" s="29" t="s">
        <v>263</v>
      </c>
      <c r="C2340" s="4"/>
      <c r="D2340" s="1611" t="s">
        <v>2816</v>
      </c>
      <c r="F2340" s="1341" t="str">
        <f>IF(LEN('Verification Report'!W2340)=0,"",'Verification Report'!W2340)</f>
        <v/>
      </c>
      <c r="G2340" s="1352" t="s">
        <v>246</v>
      </c>
    </row>
    <row r="2341" spans="1:7" x14ac:dyDescent="0.2">
      <c r="A2341" s="4"/>
      <c r="B2341" s="29"/>
      <c r="C2341" s="4"/>
      <c r="D2341" s="1611"/>
      <c r="G2341" s="1352" t="s">
        <v>246</v>
      </c>
    </row>
    <row r="2342" spans="1:7" x14ac:dyDescent="0.2">
      <c r="A2342" s="4"/>
      <c r="B2342" s="209" t="s">
        <v>264</v>
      </c>
      <c r="C2342" s="242"/>
      <c r="D2342" s="311" t="s">
        <v>2776</v>
      </c>
      <c r="F2342" s="1341" t="b">
        <f>IF(LEN('Verification Report'!W2342)=0,"",'Verification Report'!W2342)</f>
        <v>1</v>
      </c>
      <c r="G2342" s="1352" t="s">
        <v>246</v>
      </c>
    </row>
    <row r="2343" spans="1:7" x14ac:dyDescent="0.2">
      <c r="A2343" s="4"/>
      <c r="B2343" s="209" t="s">
        <v>356</v>
      </c>
      <c r="C2343" s="242"/>
      <c r="D2343" s="311" t="s">
        <v>2817</v>
      </c>
      <c r="F2343" s="1341" t="b">
        <f>IF(LEN('Verification Report'!W2343)=0,"",'Verification Report'!W2343)</f>
        <v>1</v>
      </c>
      <c r="G2343" s="1352" t="s">
        <v>246</v>
      </c>
    </row>
    <row r="2344" spans="1:7" x14ac:dyDescent="0.2">
      <c r="A2344" s="129"/>
      <c r="B2344" s="180" t="s">
        <v>389</v>
      </c>
      <c r="C2344" s="129"/>
      <c r="D2344" s="1609" t="s">
        <v>2818</v>
      </c>
      <c r="F2344" s="1341" t="str">
        <f>IF(LEN('Verification Report'!W2344)=0,"",'Verification Report'!W2344)</f>
        <v/>
      </c>
      <c r="G2344" s="1352" t="s">
        <v>246</v>
      </c>
    </row>
    <row r="2345" spans="1:7" ht="16" thickBot="1" x14ac:dyDescent="0.25">
      <c r="A2345" s="239"/>
      <c r="B2345" s="239"/>
      <c r="C2345" s="239"/>
      <c r="D2345" s="1610"/>
      <c r="G2345" s="1352" t="s">
        <v>246</v>
      </c>
    </row>
    <row r="2346" spans="1:7" ht="16" thickTop="1" x14ac:dyDescent="0.2">
      <c r="A2346" s="136" t="s">
        <v>3756</v>
      </c>
      <c r="B2346" s="4"/>
      <c r="C2346" s="4"/>
      <c r="D2346" s="1631" t="s">
        <v>3869</v>
      </c>
      <c r="E2346" s="1352">
        <f>'Verification Report'!O2346</f>
        <v>4</v>
      </c>
      <c r="G2346" s="1352" t="s">
        <v>246</v>
      </c>
    </row>
    <row r="2347" spans="1:7" x14ac:dyDescent="0.2">
      <c r="A2347" s="4"/>
      <c r="B2347" s="4"/>
      <c r="C2347" s="4"/>
      <c r="D2347" s="1631"/>
      <c r="G2347" s="1352" t="s">
        <v>246</v>
      </c>
    </row>
    <row r="2348" spans="1:7" x14ac:dyDescent="0.2">
      <c r="A2348" s="4"/>
      <c r="B2348" s="4"/>
      <c r="C2348" s="4"/>
      <c r="D2348" s="1631"/>
      <c r="G2348" s="1352" t="s">
        <v>246</v>
      </c>
    </row>
    <row r="2349" spans="1:7" x14ac:dyDescent="0.2">
      <c r="A2349" s="4"/>
      <c r="B2349" s="4"/>
      <c r="C2349" s="4"/>
      <c r="D2349" s="230" t="s">
        <v>2847</v>
      </c>
      <c r="G2349" s="1352" t="s">
        <v>246</v>
      </c>
    </row>
    <row r="2350" spans="1:7" x14ac:dyDescent="0.2">
      <c r="A2350" s="4"/>
      <c r="B2350" s="180" t="s">
        <v>254</v>
      </c>
      <c r="C2350" s="129"/>
      <c r="D2350" s="1609" t="s">
        <v>2819</v>
      </c>
      <c r="F2350" s="1341" t="b">
        <f>IF(LEN('Verification Report'!W2350)=0,"",'Verification Report'!W2350)</f>
        <v>1</v>
      </c>
      <c r="G2350" s="1352" t="s">
        <v>246</v>
      </c>
    </row>
    <row r="2351" spans="1:7" x14ac:dyDescent="0.2">
      <c r="A2351" s="4"/>
      <c r="B2351" s="207"/>
      <c r="C2351" s="213"/>
      <c r="D2351" s="1612"/>
      <c r="G2351" s="1352" t="s">
        <v>246</v>
      </c>
    </row>
    <row r="2352" spans="1:7" x14ac:dyDescent="0.2">
      <c r="A2352" s="4"/>
      <c r="B2352" s="212" t="s">
        <v>255</v>
      </c>
      <c r="C2352" s="193"/>
      <c r="D2352" s="1613" t="s">
        <v>2820</v>
      </c>
      <c r="F2352" s="1341" t="b">
        <f>IF(LEN('Verification Report'!W2352)=0,"",'Verification Report'!W2352)</f>
        <v>1</v>
      </c>
      <c r="G2352" s="1352" t="s">
        <v>246</v>
      </c>
    </row>
    <row r="2353" spans="1:7" x14ac:dyDescent="0.2">
      <c r="A2353" s="4"/>
      <c r="B2353" s="180"/>
      <c r="C2353" s="129"/>
      <c r="D2353" s="1609"/>
      <c r="G2353" s="1352" t="s">
        <v>246</v>
      </c>
    </row>
    <row r="2354" spans="1:7" x14ac:dyDescent="0.2">
      <c r="A2354" s="4"/>
      <c r="B2354" s="207"/>
      <c r="C2354" s="213"/>
      <c r="D2354" s="1612"/>
      <c r="G2354" s="1352" t="s">
        <v>246</v>
      </c>
    </row>
    <row r="2355" spans="1:7" x14ac:dyDescent="0.2">
      <c r="A2355" s="4"/>
      <c r="B2355" s="212" t="s">
        <v>256</v>
      </c>
      <c r="C2355" s="193"/>
      <c r="D2355" s="1613" t="s">
        <v>2792</v>
      </c>
      <c r="F2355" s="1341" t="b">
        <f>IF(LEN('Verification Report'!W2355)=0,"",'Verification Report'!W2355)</f>
        <v>1</v>
      </c>
      <c r="G2355" s="1352" t="s">
        <v>246</v>
      </c>
    </row>
    <row r="2356" spans="1:7" x14ac:dyDescent="0.2">
      <c r="A2356" s="4"/>
      <c r="B2356" s="213"/>
      <c r="C2356" s="213"/>
      <c r="D2356" s="1612"/>
      <c r="G2356" s="1352" t="s">
        <v>246</v>
      </c>
    </row>
    <row r="2357" spans="1:7" x14ac:dyDescent="0.2">
      <c r="A2357" s="4"/>
      <c r="B2357" s="29" t="s">
        <v>259</v>
      </c>
      <c r="C2357" s="4"/>
      <c r="D2357" s="1611" t="s">
        <v>2821</v>
      </c>
      <c r="F2357" s="1341" t="b">
        <f>IF(LEN('Verification Report'!W2357)=0,"",'Verification Report'!W2357)</f>
        <v>1</v>
      </c>
      <c r="G2357" s="1352" t="s">
        <v>246</v>
      </c>
    </row>
    <row r="2358" spans="1:7" x14ac:dyDescent="0.2">
      <c r="A2358" s="4"/>
      <c r="B2358" s="4"/>
      <c r="C2358" s="4"/>
      <c r="D2358" s="1611"/>
      <c r="G2358" s="1352" t="s">
        <v>246</v>
      </c>
    </row>
    <row r="2359" spans="1:7" x14ac:dyDescent="0.2">
      <c r="A2359" s="4"/>
      <c r="B2359" s="4"/>
      <c r="C2359" s="4"/>
      <c r="D2359" s="1611"/>
      <c r="G2359" s="1352" t="s">
        <v>246</v>
      </c>
    </row>
    <row r="2360" spans="1:7" x14ac:dyDescent="0.2">
      <c r="A2360" s="4"/>
      <c r="B2360" s="212" t="s">
        <v>263</v>
      </c>
      <c r="C2360" s="193"/>
      <c r="D2360" s="1613" t="s">
        <v>2822</v>
      </c>
      <c r="F2360" s="1341" t="b">
        <f>IF(LEN('Verification Report'!W2360)=0,"",'Verification Report'!W2360)</f>
        <v>1</v>
      </c>
      <c r="G2360" s="1352" t="s">
        <v>246</v>
      </c>
    </row>
    <row r="2361" spans="1:7" x14ac:dyDescent="0.2">
      <c r="A2361" s="4"/>
      <c r="B2361" s="207"/>
      <c r="C2361" s="213"/>
      <c r="D2361" s="1612"/>
      <c r="G2361" s="1352" t="s">
        <v>246</v>
      </c>
    </row>
    <row r="2362" spans="1:7" x14ac:dyDescent="0.2">
      <c r="A2362" s="4"/>
      <c r="B2362" s="29" t="s">
        <v>264</v>
      </c>
      <c r="C2362" s="4"/>
      <c r="D2362" s="1381" t="s">
        <v>2775</v>
      </c>
      <c r="F2362" s="1341" t="b">
        <f>IF(LEN('Verification Report'!W2362)=0,"",'Verification Report'!W2362)</f>
        <v>1</v>
      </c>
      <c r="G2362" s="1352" t="s">
        <v>246</v>
      </c>
    </row>
    <row r="2363" spans="1:7" x14ac:dyDescent="0.2">
      <c r="A2363" s="4"/>
      <c r="B2363" s="212" t="s">
        <v>356</v>
      </c>
      <c r="C2363" s="193"/>
      <c r="D2363" s="1613" t="s">
        <v>2823</v>
      </c>
      <c r="F2363" s="1341" t="b">
        <f>IF(LEN('Verification Report'!W2363)=0,"",'Verification Report'!W2363)</f>
        <v>1</v>
      </c>
      <c r="G2363" s="1352" t="s">
        <v>246</v>
      </c>
    </row>
    <row r="2364" spans="1:7" x14ac:dyDescent="0.2">
      <c r="A2364" s="4"/>
      <c r="B2364" s="213"/>
      <c r="C2364" s="213"/>
      <c r="D2364" s="1612"/>
      <c r="G2364" s="1352" t="s">
        <v>246</v>
      </c>
    </row>
    <row r="2365" spans="1:7" x14ac:dyDescent="0.2">
      <c r="A2365" s="4"/>
      <c r="B2365" s="29" t="s">
        <v>389</v>
      </c>
      <c r="C2365" s="4"/>
      <c r="D2365" s="1717" t="s">
        <v>2790</v>
      </c>
      <c r="F2365" s="1341" t="b">
        <f>IF(LEN('Verification Report'!W2365)=0,"",'Verification Report'!W2365)</f>
        <v>1</v>
      </c>
      <c r="G2365" s="1352" t="s">
        <v>246</v>
      </c>
    </row>
    <row r="2366" spans="1:7" x14ac:dyDescent="0.2">
      <c r="A2366" s="4"/>
      <c r="B2366" s="29"/>
      <c r="C2366" s="4"/>
      <c r="D2366" s="1717"/>
      <c r="G2366" s="1352" t="s">
        <v>246</v>
      </c>
    </row>
    <row r="2367" spans="1:7" x14ac:dyDescent="0.2">
      <c r="A2367" s="4"/>
      <c r="B2367" s="212" t="s">
        <v>391</v>
      </c>
      <c r="C2367" s="193"/>
      <c r="D2367" s="1364" t="s">
        <v>2824</v>
      </c>
      <c r="F2367" s="1341" t="b">
        <f>IF(LEN('Verification Report'!W2367)=0,"",'Verification Report'!W2367)</f>
        <v>1</v>
      </c>
      <c r="G2367" s="1352" t="s">
        <v>246</v>
      </c>
    </row>
    <row r="2368" spans="1:7" x14ac:dyDescent="0.2">
      <c r="A2368" s="4"/>
      <c r="B2368" s="212" t="s">
        <v>392</v>
      </c>
      <c r="C2368" s="193"/>
      <c r="D2368" s="1613" t="s">
        <v>2825</v>
      </c>
      <c r="F2368" s="1341" t="b">
        <f>IF(LEN('Verification Report'!W2368)=0,"",'Verification Report'!W2368)</f>
        <v>1</v>
      </c>
      <c r="G2368" s="1352" t="s">
        <v>246</v>
      </c>
    </row>
    <row r="2369" spans="1:7" x14ac:dyDescent="0.2">
      <c r="A2369" s="4"/>
      <c r="B2369" s="180"/>
      <c r="C2369" s="129"/>
      <c r="D2369" s="1609"/>
      <c r="G2369" s="1352" t="s">
        <v>246</v>
      </c>
    </row>
    <row r="2370" spans="1:7" x14ac:dyDescent="0.2">
      <c r="A2370" s="4"/>
      <c r="B2370" s="207"/>
      <c r="C2370" s="213"/>
      <c r="D2370" s="1612"/>
      <c r="G2370" s="1352" t="s">
        <v>246</v>
      </c>
    </row>
    <row r="2371" spans="1:7" x14ac:dyDescent="0.2">
      <c r="A2371" s="129"/>
      <c r="B2371" s="180" t="s">
        <v>394</v>
      </c>
      <c r="C2371" s="129"/>
      <c r="D2371" s="1657" t="s">
        <v>2826</v>
      </c>
      <c r="F2371" s="1341" t="str">
        <f>IF(LEN('Verification Report'!W2371)=0,"",'Verification Report'!W2371)</f>
        <v/>
      </c>
      <c r="G2371" s="1352" t="s">
        <v>246</v>
      </c>
    </row>
    <row r="2372" spans="1:7" ht="16" thickBot="1" x14ac:dyDescent="0.25">
      <c r="A2372" s="239"/>
      <c r="B2372" s="190"/>
      <c r="C2372" s="239"/>
      <c r="D2372" s="1713"/>
      <c r="G2372" s="1352" t="s">
        <v>246</v>
      </c>
    </row>
    <row r="2373" spans="1:7" ht="16" thickTop="1" x14ac:dyDescent="0.2">
      <c r="A2373" s="136" t="s">
        <v>3757</v>
      </c>
      <c r="B2373" s="4"/>
      <c r="C2373" s="4"/>
      <c r="D2373" s="1631" t="s">
        <v>3868</v>
      </c>
      <c r="E2373" s="1352">
        <f>'Verification Report'!O2373</f>
        <v>4</v>
      </c>
      <c r="G2373" s="1352" t="s">
        <v>246</v>
      </c>
    </row>
    <row r="2374" spans="1:7" x14ac:dyDescent="0.2">
      <c r="A2374" s="4"/>
      <c r="B2374" s="4"/>
      <c r="C2374" s="4"/>
      <c r="D2374" s="1631"/>
      <c r="G2374" s="1352" t="s">
        <v>246</v>
      </c>
    </row>
    <row r="2375" spans="1:7" x14ac:dyDescent="0.2">
      <c r="A2375" s="4"/>
      <c r="B2375" s="4"/>
      <c r="C2375" s="4"/>
      <c r="D2375" s="1631"/>
      <c r="G2375" s="1352" t="s">
        <v>246</v>
      </c>
    </row>
    <row r="2376" spans="1:7" x14ac:dyDescent="0.2">
      <c r="A2376" s="4"/>
      <c r="B2376" s="4"/>
      <c r="C2376" s="4"/>
      <c r="D2376" s="230" t="s">
        <v>2847</v>
      </c>
      <c r="G2376" s="1352" t="s">
        <v>246</v>
      </c>
    </row>
    <row r="2377" spans="1:7" x14ac:dyDescent="0.2">
      <c r="A2377" s="4"/>
      <c r="B2377" s="180" t="s">
        <v>254</v>
      </c>
      <c r="C2377" s="129"/>
      <c r="D2377" s="1609" t="s">
        <v>2827</v>
      </c>
      <c r="F2377" s="1341" t="b">
        <f>IF(LEN('Verification Report'!W2377)=0,"",'Verification Report'!W2377)</f>
        <v>1</v>
      </c>
      <c r="G2377" s="1352" t="s">
        <v>246</v>
      </c>
    </row>
    <row r="2378" spans="1:7" x14ac:dyDescent="0.2">
      <c r="A2378" s="4"/>
      <c r="B2378" s="207"/>
      <c r="C2378" s="213"/>
      <c r="D2378" s="1612"/>
      <c r="G2378" s="1352" t="s">
        <v>246</v>
      </c>
    </row>
    <row r="2379" spans="1:7" x14ac:dyDescent="0.2">
      <c r="A2379" s="4"/>
      <c r="B2379" s="212" t="s">
        <v>255</v>
      </c>
      <c r="C2379" s="193"/>
      <c r="D2379" s="1613" t="s">
        <v>2782</v>
      </c>
      <c r="F2379" s="1341" t="b">
        <f>IF(LEN('Verification Report'!W2379)=0,"",'Verification Report'!W2379)</f>
        <v>1</v>
      </c>
      <c r="G2379" s="1352" t="s">
        <v>246</v>
      </c>
    </row>
    <row r="2380" spans="1:7" x14ac:dyDescent="0.2">
      <c r="A2380" s="4"/>
      <c r="B2380" s="129"/>
      <c r="C2380" s="129"/>
      <c r="D2380" s="1609"/>
      <c r="G2380" s="1352" t="s">
        <v>246</v>
      </c>
    </row>
    <row r="2381" spans="1:7" x14ac:dyDescent="0.2">
      <c r="A2381" s="4"/>
      <c r="B2381" s="129"/>
      <c r="C2381" s="129"/>
      <c r="D2381" s="1609"/>
      <c r="G2381" s="1352" t="s">
        <v>246</v>
      </c>
    </row>
    <row r="2382" spans="1:7" x14ac:dyDescent="0.2">
      <c r="A2382" s="4"/>
      <c r="B2382" s="213"/>
      <c r="C2382" s="213"/>
      <c r="D2382" s="1612"/>
      <c r="G2382" s="1352" t="s">
        <v>246</v>
      </c>
    </row>
    <row r="2383" spans="1:7" x14ac:dyDescent="0.2">
      <c r="A2383" s="4"/>
      <c r="B2383" s="212" t="s">
        <v>256</v>
      </c>
      <c r="C2383" s="193"/>
      <c r="D2383" s="1317" t="s">
        <v>2828</v>
      </c>
      <c r="F2383" s="1341" t="b">
        <f>IF(LEN('Verification Report'!W2383)=0,"",'Verification Report'!W2383)</f>
        <v>1</v>
      </c>
      <c r="G2383" s="1352" t="s">
        <v>246</v>
      </c>
    </row>
    <row r="2384" spans="1:7" x14ac:dyDescent="0.2">
      <c r="A2384" s="4"/>
      <c r="B2384" s="129"/>
      <c r="C2384" s="180" t="s">
        <v>121</v>
      </c>
      <c r="D2384" s="1319" t="s">
        <v>2829</v>
      </c>
      <c r="G2384" s="1352" t="s">
        <v>246</v>
      </c>
    </row>
    <row r="2385" spans="1:7" x14ac:dyDescent="0.2">
      <c r="A2385" s="4"/>
      <c r="B2385" s="129"/>
      <c r="C2385" s="180" t="s">
        <v>122</v>
      </c>
      <c r="D2385" s="1319" t="s">
        <v>2830</v>
      </c>
      <c r="G2385" s="1352" t="s">
        <v>246</v>
      </c>
    </row>
    <row r="2386" spans="1:7" x14ac:dyDescent="0.2">
      <c r="A2386" s="4"/>
      <c r="B2386" s="129"/>
      <c r="C2386" s="180" t="s">
        <v>123</v>
      </c>
      <c r="D2386" s="1319" t="s">
        <v>2831</v>
      </c>
      <c r="G2386" s="1352" t="s">
        <v>246</v>
      </c>
    </row>
    <row r="2387" spans="1:7" x14ac:dyDescent="0.2">
      <c r="A2387" s="4"/>
      <c r="B2387" s="129"/>
      <c r="C2387" s="180" t="s">
        <v>366</v>
      </c>
      <c r="D2387" s="1319" t="s">
        <v>2832</v>
      </c>
      <c r="G2387" s="1352" t="s">
        <v>246</v>
      </c>
    </row>
    <row r="2388" spans="1:7" x14ac:dyDescent="0.2">
      <c r="A2388" s="4"/>
      <c r="B2388" s="129"/>
      <c r="C2388" s="180" t="s">
        <v>472</v>
      </c>
      <c r="D2388" s="1319" t="s">
        <v>2833</v>
      </c>
      <c r="G2388" s="1352" t="s">
        <v>246</v>
      </c>
    </row>
    <row r="2389" spans="1:7" x14ac:dyDescent="0.2">
      <c r="A2389" s="4"/>
      <c r="B2389" s="213"/>
      <c r="C2389" s="207" t="s">
        <v>510</v>
      </c>
      <c r="D2389" s="1318" t="s">
        <v>2834</v>
      </c>
      <c r="G2389" s="1352" t="s">
        <v>246</v>
      </c>
    </row>
    <row r="2390" spans="1:7" x14ac:dyDescent="0.2">
      <c r="A2390" s="4"/>
      <c r="B2390" s="29" t="s">
        <v>259</v>
      </c>
      <c r="C2390" s="4"/>
      <c r="D2390" s="1611" t="s">
        <v>2786</v>
      </c>
      <c r="F2390" s="1341" t="b">
        <f>IF(LEN('Verification Report'!W2390)=0,"",'Verification Report'!W2390)</f>
        <v>1</v>
      </c>
      <c r="G2390" s="1352" t="s">
        <v>246</v>
      </c>
    </row>
    <row r="2391" spans="1:7" x14ac:dyDescent="0.2">
      <c r="A2391" s="4"/>
      <c r="B2391" s="4"/>
      <c r="C2391" s="4"/>
      <c r="D2391" s="1611"/>
      <c r="G2391" s="1352" t="s">
        <v>246</v>
      </c>
    </row>
    <row r="2392" spans="1:7" x14ac:dyDescent="0.2">
      <c r="A2392" s="4"/>
      <c r="B2392" s="209" t="s">
        <v>263</v>
      </c>
      <c r="C2392" s="242"/>
      <c r="D2392" s="243" t="s">
        <v>2788</v>
      </c>
      <c r="F2392" s="1341" t="b">
        <f>IF(LEN('Verification Report'!W2392)=0,"",'Verification Report'!W2392)</f>
        <v>1</v>
      </c>
      <c r="G2392" s="1352" t="s">
        <v>246</v>
      </c>
    </row>
    <row r="2393" spans="1:7" x14ac:dyDescent="0.2">
      <c r="A2393" s="4"/>
      <c r="B2393" s="29" t="s">
        <v>264</v>
      </c>
      <c r="C2393" s="4"/>
      <c r="D2393" s="1611" t="s">
        <v>2835</v>
      </c>
      <c r="F2393" s="1341" t="b">
        <f>IF(LEN('Verification Report'!W2393)=0,"",'Verification Report'!W2393)</f>
        <v>1</v>
      </c>
      <c r="G2393" s="1352" t="s">
        <v>246</v>
      </c>
    </row>
    <row r="2394" spans="1:7" x14ac:dyDescent="0.2">
      <c r="A2394" s="4"/>
      <c r="B2394" s="29"/>
      <c r="C2394" s="4"/>
      <c r="D2394" s="1611"/>
      <c r="G2394" s="1352" t="s">
        <v>246</v>
      </c>
    </row>
    <row r="2395" spans="1:7" x14ac:dyDescent="0.2">
      <c r="A2395" s="4"/>
      <c r="B2395" s="209" t="s">
        <v>356</v>
      </c>
      <c r="C2395" s="242"/>
      <c r="D2395" s="243" t="s">
        <v>2794</v>
      </c>
      <c r="F2395" s="1341" t="b">
        <f>IF(LEN('Verification Report'!W2395)=0,"",'Verification Report'!W2395)</f>
        <v>1</v>
      </c>
      <c r="G2395" s="1352" t="s">
        <v>246</v>
      </c>
    </row>
    <row r="2396" spans="1:7" x14ac:dyDescent="0.2">
      <c r="A2396" s="4"/>
      <c r="B2396" s="29" t="s">
        <v>389</v>
      </c>
      <c r="C2396" s="4"/>
      <c r="D2396" s="1316" t="s">
        <v>2836</v>
      </c>
      <c r="F2396" s="1341" t="b">
        <f>IF(LEN('Verification Report'!W2396)=0,"",'Verification Report'!W2396)</f>
        <v>1</v>
      </c>
      <c r="G2396" s="1352" t="s">
        <v>246</v>
      </c>
    </row>
    <row r="2397" spans="1:7" x14ac:dyDescent="0.2">
      <c r="A2397" s="4"/>
      <c r="B2397" s="209" t="s">
        <v>391</v>
      </c>
      <c r="C2397" s="242"/>
      <c r="D2397" s="243" t="s">
        <v>2837</v>
      </c>
      <c r="F2397" s="1341" t="b">
        <f>IF(LEN('Verification Report'!W2397)=0,"",'Verification Report'!W2397)</f>
        <v>1</v>
      </c>
      <c r="G2397" s="1352" t="s">
        <v>246</v>
      </c>
    </row>
    <row r="2398" spans="1:7" x14ac:dyDescent="0.2">
      <c r="A2398" s="129"/>
      <c r="B2398" s="209" t="s">
        <v>392</v>
      </c>
      <c r="C2398" s="242"/>
      <c r="D2398" s="243" t="s">
        <v>2838</v>
      </c>
      <c r="F2398" s="1341" t="b">
        <f>IF(LEN('Verification Report'!W2398)=0,"",'Verification Report'!W2398)</f>
        <v>1</v>
      </c>
      <c r="G2398" s="1352" t="s">
        <v>246</v>
      </c>
    </row>
    <row r="2399" spans="1:7" x14ac:dyDescent="0.2">
      <c r="A2399" s="1391"/>
      <c r="B2399" s="1068" t="s">
        <v>394</v>
      </c>
      <c r="C2399" s="1111"/>
      <c r="D2399" s="1634" t="s">
        <v>4923</v>
      </c>
      <c r="F2399" s="1341" t="b">
        <f>IF(LEN('Verification Report'!W2399)=0,"",'Verification Report'!W2399)</f>
        <v>1</v>
      </c>
      <c r="G2399" s="1352" t="s">
        <v>246</v>
      </c>
    </row>
    <row r="2400" spans="1:7" ht="16" thickBot="1" x14ac:dyDescent="0.25">
      <c r="A2400" s="100"/>
      <c r="B2400" s="1112"/>
      <c r="C2400" s="1112"/>
      <c r="D2400" s="1635"/>
      <c r="G2400" s="1352" t="s">
        <v>246</v>
      </c>
    </row>
    <row r="2401" spans="1:7" ht="16" thickTop="1" x14ac:dyDescent="0.2">
      <c r="A2401" s="136" t="s">
        <v>3758</v>
      </c>
      <c r="B2401" s="4"/>
      <c r="C2401" s="4"/>
      <c r="D2401" s="1631" t="s">
        <v>3867</v>
      </c>
      <c r="E2401" s="1352">
        <f>'Verification Report'!O2401</f>
        <v>8</v>
      </c>
      <c r="F2401" s="1341" t="b">
        <f>IF(LEN('Verification Report'!W2401)=0,"",'Verification Report'!W2401)</f>
        <v>1</v>
      </c>
      <c r="G2401" s="1352" t="s">
        <v>246</v>
      </c>
    </row>
    <row r="2402" spans="1:7" x14ac:dyDescent="0.2">
      <c r="A2402" s="4"/>
      <c r="B2402" s="4"/>
      <c r="C2402" s="4"/>
      <c r="D2402" s="1631"/>
      <c r="G2402" s="1352" t="s">
        <v>246</v>
      </c>
    </row>
    <row r="2403" spans="1:7" x14ac:dyDescent="0.2">
      <c r="A2403" s="4"/>
      <c r="B2403" s="4"/>
      <c r="C2403" s="4"/>
      <c r="D2403" s="1631"/>
      <c r="G2403" s="1352" t="s">
        <v>246</v>
      </c>
    </row>
    <row r="2404" spans="1:7" x14ac:dyDescent="0.2">
      <c r="A2404" s="4"/>
      <c r="B2404" s="4"/>
      <c r="C2404" s="4"/>
      <c r="D2404" s="1631"/>
      <c r="G2404" s="1352" t="s">
        <v>246</v>
      </c>
    </row>
    <row r="2405" spans="1:7" x14ac:dyDescent="0.2">
      <c r="A2405" s="4"/>
      <c r="B2405" s="4"/>
      <c r="C2405" s="4"/>
      <c r="D2405" s="1631"/>
      <c r="G2405" s="1352" t="s">
        <v>246</v>
      </c>
    </row>
    <row r="2406" spans="1:7" x14ac:dyDescent="0.2">
      <c r="A2406" s="4"/>
      <c r="B2406" s="29" t="s">
        <v>254</v>
      </c>
      <c r="C2406" s="4"/>
      <c r="D2406" s="1316" t="s">
        <v>2829</v>
      </c>
      <c r="G2406" s="1352" t="s">
        <v>246</v>
      </c>
    </row>
    <row r="2407" spans="1:7" x14ac:dyDescent="0.2">
      <c r="A2407" s="4"/>
      <c r="B2407" s="29" t="s">
        <v>255</v>
      </c>
      <c r="C2407" s="4"/>
      <c r="D2407" s="1316" t="s">
        <v>2830</v>
      </c>
      <c r="G2407" s="1352" t="s">
        <v>246</v>
      </c>
    </row>
    <row r="2408" spans="1:7" x14ac:dyDescent="0.2">
      <c r="A2408" s="4"/>
      <c r="B2408" s="29" t="s">
        <v>256</v>
      </c>
      <c r="C2408" s="4"/>
      <c r="D2408" s="1316" t="s">
        <v>2831</v>
      </c>
      <c r="G2408" s="1352" t="s">
        <v>246</v>
      </c>
    </row>
    <row r="2409" spans="1:7" x14ac:dyDescent="0.2">
      <c r="A2409" s="4"/>
      <c r="B2409" s="29" t="s">
        <v>259</v>
      </c>
      <c r="C2409" s="4"/>
      <c r="D2409" s="1316" t="s">
        <v>2839</v>
      </c>
      <c r="G2409" s="1352" t="s">
        <v>246</v>
      </c>
    </row>
    <row r="2410" spans="1:7" x14ac:dyDescent="0.2">
      <c r="A2410" s="4"/>
      <c r="B2410" s="29" t="s">
        <v>263</v>
      </c>
      <c r="C2410" s="4"/>
      <c r="D2410" s="1316" t="s">
        <v>2840</v>
      </c>
      <c r="G2410" s="1352" t="s">
        <v>246</v>
      </c>
    </row>
    <row r="2411" spans="1:7" x14ac:dyDescent="0.2">
      <c r="A2411" s="4"/>
      <c r="B2411" s="29" t="s">
        <v>264</v>
      </c>
      <c r="C2411" s="4"/>
      <c r="D2411" s="1316" t="s">
        <v>2834</v>
      </c>
      <c r="G2411" s="1352" t="s">
        <v>246</v>
      </c>
    </row>
    <row r="2412" spans="1:7" x14ac:dyDescent="0.2">
      <c r="A2412" s="4"/>
      <c r="B2412" s="29" t="s">
        <v>356</v>
      </c>
      <c r="C2412" s="4"/>
      <c r="D2412" s="1316" t="s">
        <v>2841</v>
      </c>
      <c r="G2412" s="1352" t="s">
        <v>246</v>
      </c>
    </row>
    <row r="2413" spans="1:7" ht="16" thickBot="1" x14ac:dyDescent="0.25">
      <c r="A2413" s="239"/>
      <c r="B2413" s="190" t="s">
        <v>389</v>
      </c>
      <c r="C2413" s="239"/>
      <c r="D2413" s="1320" t="s">
        <v>4924</v>
      </c>
      <c r="G2413" s="1352" t="s">
        <v>246</v>
      </c>
    </row>
    <row r="2414" spans="1:7" ht="16" thickTop="1" x14ac:dyDescent="0.2">
      <c r="A2414" s="589" t="s">
        <v>4925</v>
      </c>
      <c r="B2414" s="873"/>
      <c r="C2414" s="873"/>
      <c r="D2414" s="1687" t="s">
        <v>4926</v>
      </c>
      <c r="E2414" s="1352">
        <f>'Verification Report'!O2414</f>
        <v>4</v>
      </c>
      <c r="G2414" s="1352" t="s">
        <v>246</v>
      </c>
    </row>
    <row r="2415" spans="1:7" x14ac:dyDescent="0.2">
      <c r="A2415" s="589"/>
      <c r="B2415" s="873"/>
      <c r="C2415" s="873"/>
      <c r="D2415" s="1687"/>
      <c r="G2415" s="1352" t="s">
        <v>246</v>
      </c>
    </row>
    <row r="2416" spans="1:7" x14ac:dyDescent="0.2">
      <c r="A2416" s="589"/>
      <c r="B2416" s="873" t="s">
        <v>254</v>
      </c>
      <c r="C2416" s="873"/>
      <c r="D2416" s="1359" t="s">
        <v>4927</v>
      </c>
      <c r="F2416" s="1341" t="b">
        <f>IF(LEN('Verification Report'!W2416)=0,"",'Verification Report'!W2416)</f>
        <v>1</v>
      </c>
      <c r="G2416" s="1352" t="s">
        <v>246</v>
      </c>
    </row>
    <row r="2417" spans="1:7" x14ac:dyDescent="0.2">
      <c r="A2417" s="589"/>
      <c r="B2417" s="873" t="s">
        <v>255</v>
      </c>
      <c r="C2417" s="873"/>
      <c r="D2417" s="1359" t="s">
        <v>4928</v>
      </c>
      <c r="F2417" s="1341" t="b">
        <f>IF(LEN('Verification Report'!W2417)=0,"",'Verification Report'!W2417)</f>
        <v>1</v>
      </c>
      <c r="G2417" s="1352" t="s">
        <v>246</v>
      </c>
    </row>
    <row r="2418" spans="1:7" x14ac:dyDescent="0.2">
      <c r="A2418" s="589"/>
      <c r="B2418" s="873" t="s">
        <v>256</v>
      </c>
      <c r="C2418" s="873"/>
      <c r="D2418" s="1634" t="s">
        <v>4929</v>
      </c>
      <c r="F2418" s="1341" t="b">
        <f>IF(LEN('Verification Report'!W2418)=0,"",'Verification Report'!W2418)</f>
        <v>1</v>
      </c>
      <c r="G2418" s="1352" t="s">
        <v>246</v>
      </c>
    </row>
    <row r="2419" spans="1:7" x14ac:dyDescent="0.2">
      <c r="A2419" s="589"/>
      <c r="B2419" s="873"/>
      <c r="C2419" s="873"/>
      <c r="D2419" s="1634"/>
      <c r="G2419" s="1352" t="s">
        <v>246</v>
      </c>
    </row>
    <row r="2420" spans="1:7" x14ac:dyDescent="0.2">
      <c r="A2420" s="589"/>
      <c r="B2420" s="873" t="s">
        <v>259</v>
      </c>
      <c r="C2420" s="873"/>
      <c r="D2420" s="1359" t="s">
        <v>4930</v>
      </c>
      <c r="F2420" s="1341" t="b">
        <f>IF(LEN('Verification Report'!W2420)=0,"",'Verification Report'!W2420)</f>
        <v>1</v>
      </c>
      <c r="G2420" s="1352" t="s">
        <v>246</v>
      </c>
    </row>
    <row r="2421" spans="1:7" x14ac:dyDescent="0.2">
      <c r="A2421" s="589"/>
      <c r="B2421" s="873" t="s">
        <v>263</v>
      </c>
      <c r="C2421" s="873"/>
      <c r="D2421" s="1359" t="s">
        <v>4931</v>
      </c>
      <c r="F2421" s="1341" t="b">
        <f>IF(LEN('Verification Report'!W2421)=0,"",'Verification Report'!W2421)</f>
        <v>1</v>
      </c>
      <c r="G2421" s="1352" t="s">
        <v>246</v>
      </c>
    </row>
    <row r="2422" spans="1:7" x14ac:dyDescent="0.2">
      <c r="A2422" s="589"/>
      <c r="B2422" s="873" t="s">
        <v>264</v>
      </c>
      <c r="C2422" s="873"/>
      <c r="D2422" s="1359" t="s">
        <v>4932</v>
      </c>
      <c r="F2422" s="1341" t="b">
        <f>IF(LEN('Verification Report'!W2422)=0,"",'Verification Report'!W2422)</f>
        <v>1</v>
      </c>
      <c r="G2422" s="1352" t="s">
        <v>246</v>
      </c>
    </row>
    <row r="2423" spans="1:7" x14ac:dyDescent="0.2">
      <c r="A2423" s="589"/>
      <c r="B2423" s="873" t="s">
        <v>356</v>
      </c>
      <c r="C2423" s="873"/>
      <c r="D2423" s="1359" t="s">
        <v>4933</v>
      </c>
      <c r="F2423" s="1341" t="b">
        <f>IF(LEN('Verification Report'!W2423)=0,"",'Verification Report'!W2423)</f>
        <v>1</v>
      </c>
      <c r="G2423" s="1352" t="s">
        <v>246</v>
      </c>
    </row>
    <row r="2424" spans="1:7" x14ac:dyDescent="0.2">
      <c r="A2424" s="589"/>
      <c r="B2424" s="873" t="s">
        <v>389</v>
      </c>
      <c r="C2424" s="873"/>
      <c r="D2424" s="1359" t="s">
        <v>4934</v>
      </c>
      <c r="F2424" s="1341" t="b">
        <f>IF(LEN('Verification Report'!W2424)=0,"",'Verification Report'!W2424)</f>
        <v>1</v>
      </c>
      <c r="G2424" s="1352" t="s">
        <v>246</v>
      </c>
    </row>
    <row r="2425" spans="1:7" ht="16" thickBot="1" x14ac:dyDescent="0.25">
      <c r="A2425" s="594"/>
      <c r="B2425" s="1069" t="s">
        <v>391</v>
      </c>
      <c r="C2425" s="1069"/>
      <c r="D2425" s="1360" t="s">
        <v>4935</v>
      </c>
      <c r="F2425" s="1341" t="b">
        <f>IF(LEN('Verification Report'!W2425)=0,"",'Verification Report'!W2425)</f>
        <v>1</v>
      </c>
      <c r="G2425" s="1352" t="s">
        <v>246</v>
      </c>
    </row>
    <row r="2426" spans="1:7" ht="16" thickTop="1" x14ac:dyDescent="0.2">
      <c r="A2426" s="589" t="s">
        <v>4936</v>
      </c>
      <c r="B2426" s="873"/>
      <c r="C2426" s="873"/>
      <c r="D2426" s="1687" t="s">
        <v>4937</v>
      </c>
      <c r="E2426" s="1352">
        <f>'Verification Report'!O2426</f>
        <v>0</v>
      </c>
      <c r="G2426" s="1352" t="s">
        <v>246</v>
      </c>
    </row>
    <row r="2427" spans="1:7" x14ac:dyDescent="0.2">
      <c r="A2427" s="589"/>
      <c r="B2427" s="873"/>
      <c r="C2427" s="873"/>
      <c r="D2427" s="1687"/>
      <c r="G2427" s="1352" t="s">
        <v>246</v>
      </c>
    </row>
    <row r="2428" spans="1:7" x14ac:dyDescent="0.2">
      <c r="A2428" s="589"/>
      <c r="B2428" s="873"/>
      <c r="C2428" s="873"/>
      <c r="D2428" s="1687"/>
      <c r="G2428" s="1352" t="s">
        <v>246</v>
      </c>
    </row>
    <row r="2429" spans="1:7" x14ac:dyDescent="0.2">
      <c r="A2429" s="589"/>
      <c r="B2429" s="873"/>
      <c r="C2429" s="873"/>
      <c r="D2429" s="1687"/>
      <c r="G2429" s="1352" t="s">
        <v>246</v>
      </c>
    </row>
    <row r="2430" spans="1:7" x14ac:dyDescent="0.2">
      <c r="A2430" s="589"/>
      <c r="B2430" s="873" t="s">
        <v>254</v>
      </c>
      <c r="C2430" s="873"/>
      <c r="D2430" s="1359" t="s">
        <v>4938</v>
      </c>
      <c r="F2430" s="1341" t="str">
        <f>IF(LEN('Verification Report'!W2430)=0,"",'Verification Report'!W2430)</f>
        <v/>
      </c>
      <c r="G2430" s="1352" t="s">
        <v>246</v>
      </c>
    </row>
    <row r="2431" spans="1:7" x14ac:dyDescent="0.2">
      <c r="A2431" s="589"/>
      <c r="B2431" s="873" t="s">
        <v>255</v>
      </c>
      <c r="C2431" s="873"/>
      <c r="D2431" s="1359" t="s">
        <v>4939</v>
      </c>
      <c r="F2431" s="1341" t="str">
        <f>IF(LEN('Verification Report'!W2431)=0,"",'Verification Report'!W2431)</f>
        <v/>
      </c>
      <c r="G2431" s="1352" t="s">
        <v>246</v>
      </c>
    </row>
    <row r="2432" spans="1:7" x14ac:dyDescent="0.2">
      <c r="A2432" s="589"/>
      <c r="B2432" s="873" t="s">
        <v>256</v>
      </c>
      <c r="C2432" s="873"/>
      <c r="D2432" s="1359" t="s">
        <v>4940</v>
      </c>
      <c r="F2432" s="1341" t="str">
        <f>IF(LEN('Verification Report'!W2432)=0,"",'Verification Report'!W2432)</f>
        <v/>
      </c>
      <c r="G2432" s="1352" t="s">
        <v>246</v>
      </c>
    </row>
    <row r="2433" spans="1:7" x14ac:dyDescent="0.2">
      <c r="A2433" s="589"/>
      <c r="B2433" s="873" t="s">
        <v>259</v>
      </c>
      <c r="C2433" s="873"/>
      <c r="D2433" s="1359" t="s">
        <v>4941</v>
      </c>
      <c r="F2433" s="1341" t="str">
        <f>IF(LEN('Verification Report'!W2433)=0,"",'Verification Report'!W2433)</f>
        <v/>
      </c>
      <c r="G2433" s="1352" t="s">
        <v>246</v>
      </c>
    </row>
    <row r="2434" spans="1:7" x14ac:dyDescent="0.2">
      <c r="A2434" s="589"/>
      <c r="B2434" s="873" t="s">
        <v>263</v>
      </c>
      <c r="C2434" s="873"/>
      <c r="D2434" s="1359" t="s">
        <v>4942</v>
      </c>
      <c r="F2434" s="1341" t="str">
        <f>IF(LEN('Verification Report'!W2434)=0,"",'Verification Report'!W2434)</f>
        <v/>
      </c>
      <c r="G2434" s="1352" t="s">
        <v>246</v>
      </c>
    </row>
    <row r="2435" spans="1:7" x14ac:dyDescent="0.2">
      <c r="A2435" s="589"/>
      <c r="B2435" s="873" t="s">
        <v>264</v>
      </c>
      <c r="C2435" s="873"/>
      <c r="D2435" s="1359" t="s">
        <v>2829</v>
      </c>
      <c r="F2435" s="1341" t="str">
        <f>IF(LEN('Verification Report'!W2435)=0,"",'Verification Report'!W2435)</f>
        <v/>
      </c>
      <c r="G2435" s="1352" t="s">
        <v>246</v>
      </c>
    </row>
    <row r="2436" spans="1:7" x14ac:dyDescent="0.2">
      <c r="A2436" s="589"/>
      <c r="B2436" s="873" t="s">
        <v>356</v>
      </c>
      <c r="C2436" s="873"/>
      <c r="D2436" s="1359" t="s">
        <v>4943</v>
      </c>
      <c r="F2436" s="1341" t="str">
        <f>IF(LEN('Verification Report'!W2436)=0,"",'Verification Report'!W2436)</f>
        <v/>
      </c>
      <c r="G2436" s="1352" t="s">
        <v>246</v>
      </c>
    </row>
    <row r="2437" spans="1:7" ht="19" x14ac:dyDescent="0.25">
      <c r="A2437" s="72" t="s">
        <v>3759</v>
      </c>
      <c r="B2437" s="25"/>
      <c r="C2437" s="25"/>
      <c r="D2437" s="232"/>
      <c r="E2437" s="25"/>
      <c r="F2437" s="994"/>
      <c r="G2437" s="1352" t="s">
        <v>246</v>
      </c>
    </row>
    <row r="2438" spans="1:7" x14ac:dyDescent="0.2">
      <c r="A2438" s="590" t="s">
        <v>3760</v>
      </c>
      <c r="B2438" s="129"/>
      <c r="C2438" s="129"/>
      <c r="D2438" s="1629" t="s">
        <v>3763</v>
      </c>
      <c r="G2438" s="1352" t="s">
        <v>246</v>
      </c>
    </row>
    <row r="2439" spans="1:7" x14ac:dyDescent="0.2">
      <c r="A2439" s="579"/>
      <c r="B2439" s="129"/>
      <c r="C2439" s="129"/>
      <c r="D2439" s="1629"/>
      <c r="G2439" s="1352" t="s">
        <v>246</v>
      </c>
    </row>
    <row r="2440" spans="1:7" ht="16" thickBot="1" x14ac:dyDescent="0.25">
      <c r="A2440" s="580"/>
      <c r="B2440" s="239"/>
      <c r="C2440" s="239"/>
      <c r="D2440" s="1630"/>
      <c r="G2440" s="1352" t="s">
        <v>246</v>
      </c>
    </row>
    <row r="2441" spans="1:7" ht="16" thickTop="1" x14ac:dyDescent="0.2">
      <c r="A2441" s="136" t="s">
        <v>3761</v>
      </c>
      <c r="B2441" s="4"/>
      <c r="C2441" s="4"/>
      <c r="D2441" s="231" t="s">
        <v>3762</v>
      </c>
      <c r="E2441" s="1352">
        <f>'Verification Report'!O2441</f>
        <v>0</v>
      </c>
      <c r="G2441" s="1352" t="s">
        <v>246</v>
      </c>
    </row>
    <row r="2442" spans="1:7" x14ac:dyDescent="0.2">
      <c r="A2442" s="711"/>
      <c r="B2442" s="180" t="s">
        <v>254</v>
      </c>
      <c r="C2442" s="129"/>
      <c r="D2442" s="1629" t="s">
        <v>2843</v>
      </c>
      <c r="F2442" s="1341" t="str">
        <f>IF(LEN('Verification Report'!W2442)=0,"",'Verification Report'!W2442)</f>
        <v/>
      </c>
      <c r="G2442" s="1352" t="s">
        <v>246</v>
      </c>
    </row>
    <row r="2443" spans="1:7" x14ac:dyDescent="0.2">
      <c r="A2443" s="711"/>
      <c r="B2443" s="207"/>
      <c r="C2443" s="213"/>
      <c r="D2443" s="1696"/>
      <c r="G2443" s="1352" t="s">
        <v>246</v>
      </c>
    </row>
    <row r="2444" spans="1:7" x14ac:dyDescent="0.2">
      <c r="A2444" s="711"/>
      <c r="B2444" s="212" t="s">
        <v>255</v>
      </c>
      <c r="C2444" s="193"/>
      <c r="D2444" s="1712" t="s">
        <v>2844</v>
      </c>
      <c r="F2444" s="1341" t="str">
        <f>IF(LEN('Verification Report'!W2444)=0,"",'Verification Report'!W2444)</f>
        <v/>
      </c>
      <c r="G2444" s="1352" t="s">
        <v>246</v>
      </c>
    </row>
    <row r="2445" spans="1:7" x14ac:dyDescent="0.2">
      <c r="A2445" s="711"/>
      <c r="B2445" s="180"/>
      <c r="C2445" s="129"/>
      <c r="D2445" s="1629"/>
      <c r="G2445" s="1352" t="s">
        <v>246</v>
      </c>
    </row>
    <row r="2446" spans="1:7" x14ac:dyDescent="0.2">
      <c r="A2446" s="711"/>
      <c r="B2446" s="207"/>
      <c r="C2446" s="213"/>
      <c r="D2446" s="1696"/>
      <c r="G2446" s="1352" t="s">
        <v>246</v>
      </c>
    </row>
    <row r="2447" spans="1:7" x14ac:dyDescent="0.2">
      <c r="A2447" s="711"/>
      <c r="B2447" s="29" t="s">
        <v>256</v>
      </c>
      <c r="C2447" s="4"/>
      <c r="D2447" s="1631" t="s">
        <v>2845</v>
      </c>
      <c r="F2447" s="1341" t="str">
        <f>IF(LEN('Verification Report'!W2447)=0,"",'Verification Report'!W2447)</f>
        <v/>
      </c>
      <c r="G2447" s="1352" t="s">
        <v>246</v>
      </c>
    </row>
    <row r="2448" spans="1:7" x14ac:dyDescent="0.2">
      <c r="A2448" s="711"/>
      <c r="B2448" s="4"/>
      <c r="C2448" s="4"/>
      <c r="D2448" s="1631"/>
      <c r="G2448" s="1352" t="s">
        <v>246</v>
      </c>
    </row>
    <row r="2449" spans="1:7" x14ac:dyDescent="0.2">
      <c r="A2449" s="711"/>
      <c r="B2449" s="4"/>
      <c r="C2449" s="4"/>
      <c r="D2449" s="1631"/>
      <c r="G2449" s="1352" t="s">
        <v>246</v>
      </c>
    </row>
    <row r="2450" spans="1:7" ht="19" x14ac:dyDescent="0.25">
      <c r="A2450" s="72" t="s">
        <v>4952</v>
      </c>
      <c r="B2450" s="25"/>
      <c r="C2450" s="25"/>
      <c r="D2450" s="232"/>
      <c r="E2450" s="25"/>
      <c r="F2450" s="994"/>
      <c r="G2450" s="1352" t="s">
        <v>246</v>
      </c>
    </row>
    <row r="2451" spans="1:7" x14ac:dyDescent="0.2">
      <c r="A2451" s="589" t="s">
        <v>4947</v>
      </c>
      <c r="B2451" s="873"/>
      <c r="C2451" s="858"/>
      <c r="D2451" s="1370" t="s">
        <v>4948</v>
      </c>
      <c r="G2451" s="1352" t="s">
        <v>246</v>
      </c>
    </row>
    <row r="2452" spans="1:7" x14ac:dyDescent="0.2">
      <c r="A2452" s="589"/>
      <c r="B2452" s="873" t="s">
        <v>254</v>
      </c>
      <c r="C2452" s="858"/>
      <c r="D2452" s="1634" t="s">
        <v>4949</v>
      </c>
      <c r="E2452" s="1352">
        <f>'Verification Report'!O2452</f>
        <v>0</v>
      </c>
      <c r="F2452" s="1341" t="str">
        <f>IF(LEN('Verification Report'!W2452)=0,"",'Verification Report'!W2452)</f>
        <v/>
      </c>
      <c r="G2452" s="1352" t="s">
        <v>246</v>
      </c>
    </row>
    <row r="2453" spans="1:7" x14ac:dyDescent="0.2">
      <c r="A2453" s="589"/>
      <c r="B2453" s="873"/>
      <c r="C2453" s="858"/>
      <c r="D2453" s="1634"/>
      <c r="G2453" s="1352" t="s">
        <v>246</v>
      </c>
    </row>
    <row r="2454" spans="1:7" x14ac:dyDescent="0.2">
      <c r="A2454" s="589"/>
      <c r="B2454" s="873"/>
      <c r="C2454" s="858"/>
      <c r="D2454" s="1634"/>
      <c r="G2454" s="1352" t="s">
        <v>246</v>
      </c>
    </row>
    <row r="2455" spans="1:7" x14ac:dyDescent="0.2">
      <c r="A2455" s="589"/>
      <c r="B2455" s="873" t="s">
        <v>255</v>
      </c>
      <c r="C2455" s="858"/>
      <c r="D2455" s="1634" t="s">
        <v>4950</v>
      </c>
      <c r="E2455" s="1352">
        <f>'Verification Report'!O2455</f>
        <v>0</v>
      </c>
      <c r="F2455" s="1341" t="str">
        <f>IF(LEN('Verification Report'!W2455)=0,"",'Verification Report'!W2455)</f>
        <v/>
      </c>
      <c r="G2455" s="1352" t="s">
        <v>246</v>
      </c>
    </row>
    <row r="2456" spans="1:7" x14ac:dyDescent="0.2">
      <c r="A2456" s="589"/>
      <c r="B2456" s="873"/>
      <c r="C2456" s="858"/>
      <c r="D2456" s="1634"/>
      <c r="G2456" s="1352" t="s">
        <v>246</v>
      </c>
    </row>
    <row r="2457" spans="1:7" x14ac:dyDescent="0.2">
      <c r="A2457" s="589"/>
      <c r="B2457" s="873"/>
      <c r="C2457" s="858"/>
      <c r="D2457" s="1634"/>
      <c r="G2457" s="1352" t="s">
        <v>246</v>
      </c>
    </row>
    <row r="2458" spans="1:7" x14ac:dyDescent="0.2">
      <c r="A2458" s="589"/>
      <c r="B2458" s="873"/>
      <c r="C2458" s="858"/>
      <c r="D2458" s="1634"/>
      <c r="G2458" s="1352" t="s">
        <v>246</v>
      </c>
    </row>
    <row r="2459" spans="1:7" x14ac:dyDescent="0.2">
      <c r="A2459" s="589"/>
      <c r="B2459" s="873" t="s">
        <v>256</v>
      </c>
      <c r="C2459" s="858"/>
      <c r="D2459" s="1634" t="s">
        <v>4951</v>
      </c>
      <c r="E2459" s="1352">
        <f>'Verification Report'!O2459</f>
        <v>2</v>
      </c>
      <c r="F2459" s="1890"/>
      <c r="G2459" s="1352" t="s">
        <v>246</v>
      </c>
    </row>
    <row r="2460" spans="1:7" x14ac:dyDescent="0.2">
      <c r="A2460" s="600"/>
      <c r="B2460" s="858"/>
      <c r="C2460" s="858"/>
      <c r="D2460" s="1634"/>
      <c r="F2460" s="1890"/>
      <c r="G2460" s="1352" t="s">
        <v>246</v>
      </c>
    </row>
    <row r="2461" spans="1:7" x14ac:dyDescent="0.2">
      <c r="A2461" s="600"/>
      <c r="B2461" s="858"/>
      <c r="C2461" s="858"/>
      <c r="D2461" s="1634"/>
      <c r="F2461" s="1890"/>
      <c r="G2461" s="1352" t="s">
        <v>246</v>
      </c>
    </row>
    <row r="2462" spans="1:7" x14ac:dyDescent="0.2">
      <c r="A2462" s="600"/>
      <c r="B2462" s="858"/>
      <c r="C2462" s="858"/>
      <c r="D2462" s="1634"/>
      <c r="F2462" s="1890"/>
      <c r="G2462" s="1352" t="s">
        <v>246</v>
      </c>
    </row>
    <row r="2463" spans="1:7" x14ac:dyDescent="0.2">
      <c r="A2463" s="600"/>
      <c r="B2463" s="858"/>
      <c r="C2463" s="858"/>
      <c r="D2463" s="1634"/>
      <c r="F2463" s="1890"/>
      <c r="G2463" s="1352" t="s">
        <v>246</v>
      </c>
    </row>
    <row r="2464" spans="1:7" x14ac:dyDescent="0.2">
      <c r="A2464" s="600"/>
      <c r="B2464" s="858"/>
      <c r="C2464" s="858"/>
      <c r="D2464" s="1634"/>
      <c r="F2464" s="1890"/>
      <c r="G2464" s="1352" t="s">
        <v>246</v>
      </c>
    </row>
    <row r="2465" spans="1:7" x14ac:dyDescent="0.2">
      <c r="A2465" s="600"/>
      <c r="B2465" s="858"/>
      <c r="C2465" s="858"/>
      <c r="D2465" s="1634"/>
      <c r="F2465" s="1890"/>
      <c r="G2465" s="1352" t="s">
        <v>246</v>
      </c>
    </row>
    <row r="2466" spans="1:7" x14ac:dyDescent="0.2">
      <c r="A2466" s="600"/>
      <c r="B2466" s="858"/>
      <c r="C2466" s="858"/>
      <c r="D2466" s="1634"/>
      <c r="F2466" s="1890"/>
      <c r="G2466" s="1352" t="s">
        <v>246</v>
      </c>
    </row>
    <row r="2467" spans="1:7" x14ac:dyDescent="0.2">
      <c r="A2467" s="600"/>
      <c r="B2467" s="858"/>
      <c r="C2467" s="858"/>
      <c r="D2467" s="1634"/>
      <c r="F2467" s="1890"/>
      <c r="G2467" s="1352" t="s">
        <v>246</v>
      </c>
    </row>
    <row r="2468" spans="1:7" x14ac:dyDescent="0.2">
      <c r="A2468" s="600"/>
      <c r="B2468" s="858"/>
      <c r="C2468" s="858"/>
      <c r="D2468" s="1634"/>
      <c r="F2468" s="1890"/>
      <c r="G2468" s="1352" t="s">
        <v>246</v>
      </c>
    </row>
  </sheetData>
  <sheetProtection algorithmName="SHA-512" hashValue="PcIMuDZCkuT5ZC3Pzk8nyak/C5TbIZcp6nYSv2BZ2BHdF5bxXvhaoxLYJCMFkLc9OF6VOQAgK6LQ0IYcCBjhvg==" saltValue="mmWYQggW/LsaqUd1pz08Sw==" spinCount="100000" sheet="1" objects="1" scenarios="1" selectLockedCells="1"/>
  <autoFilter ref="G7:G2468" xr:uid="{00000000-0009-0000-0000-000010000000}"/>
  <mergeCells count="684">
    <mergeCell ref="A6:C7"/>
    <mergeCell ref="D6:D7"/>
    <mergeCell ref="D122:D123"/>
    <mergeCell ref="D115:D118"/>
    <mergeCell ref="D127:D128"/>
    <mergeCell ref="D129:D131"/>
    <mergeCell ref="D9:D11"/>
    <mergeCell ref="D13:D14"/>
    <mergeCell ref="D15:D16"/>
    <mergeCell ref="D17:D18"/>
    <mergeCell ref="D19:D22"/>
    <mergeCell ref="D29:D31"/>
    <mergeCell ref="D34:D36"/>
    <mergeCell ref="D37:D38"/>
    <mergeCell ref="D42:D43"/>
    <mergeCell ref="D44:D45"/>
    <mergeCell ref="D47:D48"/>
    <mergeCell ref="D51:D54"/>
    <mergeCell ref="D56:D59"/>
    <mergeCell ref="D61:D62"/>
    <mergeCell ref="D64:D65"/>
    <mergeCell ref="D93:D94"/>
    <mergeCell ref="D96:D97"/>
    <mergeCell ref="D100:D101"/>
    <mergeCell ref="D4:D5"/>
    <mergeCell ref="D333:D335"/>
    <mergeCell ref="D337:D339"/>
    <mergeCell ref="D340:D341"/>
    <mergeCell ref="D246:D249"/>
    <mergeCell ref="D251:D253"/>
    <mergeCell ref="D262:D263"/>
    <mergeCell ref="D264:D265"/>
    <mergeCell ref="D266:D268"/>
    <mergeCell ref="D271:D274"/>
    <mergeCell ref="D275:D281"/>
    <mergeCell ref="D282:D285"/>
    <mergeCell ref="D66:D67"/>
    <mergeCell ref="D68:D69"/>
    <mergeCell ref="D71:D72"/>
    <mergeCell ref="D171:D172"/>
    <mergeCell ref="D173:D174"/>
    <mergeCell ref="D184:D185"/>
    <mergeCell ref="D187:D188"/>
    <mergeCell ref="D157:D161"/>
    <mergeCell ref="D162:D163"/>
    <mergeCell ref="D164:D166"/>
    <mergeCell ref="D169:D170"/>
    <mergeCell ref="D207:D208"/>
    <mergeCell ref="D429:D430"/>
    <mergeCell ref="D431:D432"/>
    <mergeCell ref="D437:D438"/>
    <mergeCell ref="D439:D441"/>
    <mergeCell ref="D105:D108"/>
    <mergeCell ref="D109:D111"/>
    <mergeCell ref="D112:D114"/>
    <mergeCell ref="D73:D74"/>
    <mergeCell ref="D75:D79"/>
    <mergeCell ref="D142:D143"/>
    <mergeCell ref="D132:D133"/>
    <mergeCell ref="D134:D135"/>
    <mergeCell ref="D136:D137"/>
    <mergeCell ref="D83:D84"/>
    <mergeCell ref="D85:D86"/>
    <mergeCell ref="D90:D91"/>
    <mergeCell ref="D197:D198"/>
    <mergeCell ref="D199:D200"/>
    <mergeCell ref="D189:D192"/>
    <mergeCell ref="D194:D195"/>
    <mergeCell ref="D167:D168"/>
    <mergeCell ref="D144:D146"/>
    <mergeCell ref="D147:D148"/>
    <mergeCell ref="D149:D150"/>
    <mergeCell ref="D529:D530"/>
    <mergeCell ref="D532:D535"/>
    <mergeCell ref="D536:D537"/>
    <mergeCell ref="D538:D539"/>
    <mergeCell ref="D467:D470"/>
    <mergeCell ref="D471:D473"/>
    <mergeCell ref="D475:D479"/>
    <mergeCell ref="D480:D482"/>
    <mergeCell ref="D379:D380"/>
    <mergeCell ref="D381:D382"/>
    <mergeCell ref="D383:D387"/>
    <mergeCell ref="D388:D390"/>
    <mergeCell ref="D392:D393"/>
    <mergeCell ref="D396:D398"/>
    <mergeCell ref="D400:D402"/>
    <mergeCell ref="D403:D405"/>
    <mergeCell ref="D409:D410"/>
    <mergeCell ref="D465:D466"/>
    <mergeCell ref="D463:D464"/>
    <mergeCell ref="D433:D434"/>
    <mergeCell ref="D412:D414"/>
    <mergeCell ref="D416:D419"/>
    <mergeCell ref="D420:D421"/>
    <mergeCell ref="D424:D428"/>
    <mergeCell ref="D614:D615"/>
    <mergeCell ref="D616:D617"/>
    <mergeCell ref="D618:D620"/>
    <mergeCell ref="D622:D624"/>
    <mergeCell ref="D442:D443"/>
    <mergeCell ref="D445:D448"/>
    <mergeCell ref="D449:D452"/>
    <mergeCell ref="D453:D455"/>
    <mergeCell ref="D569:D570"/>
    <mergeCell ref="D571:D572"/>
    <mergeCell ref="D574:D576"/>
    <mergeCell ref="D577:D579"/>
    <mergeCell ref="D507:D508"/>
    <mergeCell ref="D499:D502"/>
    <mergeCell ref="D504:D506"/>
    <mergeCell ref="D509:D510"/>
    <mergeCell ref="D512:D517"/>
    <mergeCell ref="D487:D488"/>
    <mergeCell ref="D493:D494"/>
    <mergeCell ref="D495:D497"/>
    <mergeCell ref="D549:D550"/>
    <mergeCell ref="D523:D524"/>
    <mergeCell ref="D525:D526"/>
    <mergeCell ref="D527:D528"/>
    <mergeCell ref="D843:D847"/>
    <mergeCell ref="D848:D851"/>
    <mergeCell ref="D852:D853"/>
    <mergeCell ref="D854:D855"/>
    <mergeCell ref="D858:D861"/>
    <mergeCell ref="D862:D863"/>
    <mergeCell ref="D864:D866"/>
    <mergeCell ref="D868:D872"/>
    <mergeCell ref="D581:D583"/>
    <mergeCell ref="D724:D729"/>
    <mergeCell ref="D731:D732"/>
    <mergeCell ref="D686:D687"/>
    <mergeCell ref="D654:D655"/>
    <mergeCell ref="D656:D657"/>
    <mergeCell ref="D658:D659"/>
    <mergeCell ref="D661:D662"/>
    <mergeCell ref="D668:D672"/>
    <mergeCell ref="D673:D674"/>
    <mergeCell ref="D676:D677"/>
    <mergeCell ref="D679:D682"/>
    <mergeCell ref="D688:D692"/>
    <mergeCell ref="D693:D698"/>
    <mergeCell ref="D699:D700"/>
    <mergeCell ref="D702:D704"/>
    <mergeCell ref="D839:D840"/>
    <mergeCell ref="D841:D842"/>
    <mergeCell ref="D831:D832"/>
    <mergeCell ref="D829:D830"/>
    <mergeCell ref="D833:D834"/>
    <mergeCell ref="D835:D836"/>
    <mergeCell ref="D837:D838"/>
    <mergeCell ref="D733:D735"/>
    <mergeCell ref="D742:D748"/>
    <mergeCell ref="D749:D750"/>
    <mergeCell ref="D751:D754"/>
    <mergeCell ref="D755:D757"/>
    <mergeCell ref="D764:D766"/>
    <mergeCell ref="D767:D768"/>
    <mergeCell ref="D769:D776"/>
    <mergeCell ref="D791:D792"/>
    <mergeCell ref="D794:D798"/>
    <mergeCell ref="D799:D807"/>
    <mergeCell ref="D809:D814"/>
    <mergeCell ref="D817:D821"/>
    <mergeCell ref="D823:D824"/>
    <mergeCell ref="D825:D827"/>
    <mergeCell ref="D873:D874"/>
    <mergeCell ref="D978:D980"/>
    <mergeCell ref="D945:D946"/>
    <mergeCell ref="D929:D932"/>
    <mergeCell ref="D933:D937"/>
    <mergeCell ref="D938:D940"/>
    <mergeCell ref="D942:D943"/>
    <mergeCell ref="D886:D891"/>
    <mergeCell ref="D893:D895"/>
    <mergeCell ref="D896:D900"/>
    <mergeCell ref="D902:D904"/>
    <mergeCell ref="D905:D907"/>
    <mergeCell ref="D908:D909"/>
    <mergeCell ref="D911:D915"/>
    <mergeCell ref="D976:D977"/>
    <mergeCell ref="D969:D970"/>
    <mergeCell ref="D960:D963"/>
    <mergeCell ref="D950:D951"/>
    <mergeCell ref="D952:D953"/>
    <mergeCell ref="D955:D958"/>
    <mergeCell ref="D964:D965"/>
    <mergeCell ref="D966:D968"/>
    <mergeCell ref="D973:D975"/>
    <mergeCell ref="D875:D878"/>
    <mergeCell ref="D981:D987"/>
    <mergeCell ref="D988:D990"/>
    <mergeCell ref="D991:D997"/>
    <mergeCell ref="D998:D999"/>
    <mergeCell ref="D1000:D1002"/>
    <mergeCell ref="D1003:D1005"/>
    <mergeCell ref="D1007:D1010"/>
    <mergeCell ref="D1011:D1013"/>
    <mergeCell ref="D1015:D1019"/>
    <mergeCell ref="D1061:D1064"/>
    <mergeCell ref="D1065:D1068"/>
    <mergeCell ref="D1070:D1076"/>
    <mergeCell ref="D1077:D1084"/>
    <mergeCell ref="D1086:D1090"/>
    <mergeCell ref="D1094:D1095"/>
    <mergeCell ref="D1020:D1021"/>
    <mergeCell ref="D1022:D1026"/>
    <mergeCell ref="D1027:D1031"/>
    <mergeCell ref="D1034:D1035"/>
    <mergeCell ref="D1037:D1042"/>
    <mergeCell ref="D1043:D1045"/>
    <mergeCell ref="D1046:D1047"/>
    <mergeCell ref="D1049:D1050"/>
    <mergeCell ref="D1052:D1057"/>
    <mergeCell ref="D1059:D1060"/>
    <mergeCell ref="D1163:D1164"/>
    <mergeCell ref="D1166:D1168"/>
    <mergeCell ref="D1169:D1172"/>
    <mergeCell ref="D1176:D1181"/>
    <mergeCell ref="D1183:D1184"/>
    <mergeCell ref="D1185:D1186"/>
    <mergeCell ref="D1142:D1144"/>
    <mergeCell ref="D1154:D1156"/>
    <mergeCell ref="D1096:D1104"/>
    <mergeCell ref="D1106:D1113"/>
    <mergeCell ref="D1119:D1123"/>
    <mergeCell ref="D1:D3"/>
    <mergeCell ref="F6:F7"/>
    <mergeCell ref="E6:E7"/>
    <mergeCell ref="D1285:D1286"/>
    <mergeCell ref="D1258:D1259"/>
    <mergeCell ref="D1260:D1263"/>
    <mergeCell ref="D1264:D1265"/>
    <mergeCell ref="D1271:D1272"/>
    <mergeCell ref="D1279:D1280"/>
    <mergeCell ref="D1281:D1282"/>
    <mergeCell ref="D1283:D1284"/>
    <mergeCell ref="D1222:D1224"/>
    <mergeCell ref="D1227:D1228"/>
    <mergeCell ref="D1232:D1233"/>
    <mergeCell ref="D1241:D1242"/>
    <mergeCell ref="D1247:D1248"/>
    <mergeCell ref="D1249:D1250"/>
    <mergeCell ref="D1251:D1252"/>
    <mergeCell ref="D1254:D1255"/>
    <mergeCell ref="D1217:D1218"/>
    <mergeCell ref="D1192:D1193"/>
    <mergeCell ref="D1195:D1200"/>
    <mergeCell ref="D1205:D1211"/>
    <mergeCell ref="D1213:D1214"/>
    <mergeCell ref="D201:D203"/>
    <mergeCell ref="D182:D183"/>
    <mergeCell ref="D180:D181"/>
    <mergeCell ref="D177:D178"/>
    <mergeCell ref="D287:D288"/>
    <mergeCell ref="D289:D291"/>
    <mergeCell ref="D204:D205"/>
    <mergeCell ref="D209:D210"/>
    <mergeCell ref="D211:D214"/>
    <mergeCell ref="D215:D217"/>
    <mergeCell ref="D228:D230"/>
    <mergeCell ref="D231:D232"/>
    <mergeCell ref="D233:D234"/>
    <mergeCell ref="D241:D242"/>
    <mergeCell ref="D243:D245"/>
    <mergeCell ref="D293:D294"/>
    <mergeCell ref="D295:D297"/>
    <mergeCell ref="D298:D299"/>
    <mergeCell ref="D300:D301"/>
    <mergeCell ref="D302:D303"/>
    <mergeCell ref="D304:D306"/>
    <mergeCell ref="D308:D311"/>
    <mergeCell ref="D458:D459"/>
    <mergeCell ref="D460:D461"/>
    <mergeCell ref="D377:D378"/>
    <mergeCell ref="D369:D370"/>
    <mergeCell ref="D373:D374"/>
    <mergeCell ref="D347:D349"/>
    <mergeCell ref="D350:D352"/>
    <mergeCell ref="D353:D354"/>
    <mergeCell ref="D359:D361"/>
    <mergeCell ref="D364:D365"/>
    <mergeCell ref="D375:D376"/>
    <mergeCell ref="D312:D315"/>
    <mergeCell ref="D322:D323"/>
    <mergeCell ref="D324:D325"/>
    <mergeCell ref="D326:D327"/>
    <mergeCell ref="D328:D329"/>
    <mergeCell ref="D330:D332"/>
    <mergeCell ref="D542:D543"/>
    <mergeCell ref="D545:D548"/>
    <mergeCell ref="D552:D554"/>
    <mergeCell ref="D555:D557"/>
    <mergeCell ref="D559:D563"/>
    <mergeCell ref="D564:D565"/>
    <mergeCell ref="D566:D567"/>
    <mergeCell ref="D781:D782"/>
    <mergeCell ref="D789:D790"/>
    <mergeCell ref="D705:D706"/>
    <mergeCell ref="D709:D710"/>
    <mergeCell ref="D712:D713"/>
    <mergeCell ref="D718:D720"/>
    <mergeCell ref="D721:D722"/>
    <mergeCell ref="D625:D626"/>
    <mergeCell ref="D649:D650"/>
    <mergeCell ref="D652:D653"/>
    <mergeCell ref="D584:D585"/>
    <mergeCell ref="D588:D589"/>
    <mergeCell ref="D592:D593"/>
    <mergeCell ref="D598:D600"/>
    <mergeCell ref="D601:D606"/>
    <mergeCell ref="D607:D610"/>
    <mergeCell ref="D612:D613"/>
    <mergeCell ref="D1293:D1294"/>
    <mergeCell ref="D1295:D1296"/>
    <mergeCell ref="D1297:D1299"/>
    <mergeCell ref="D1300:D1301"/>
    <mergeCell ref="D1302:D1303"/>
    <mergeCell ref="D1304:D1305"/>
    <mergeCell ref="D1309:D1310"/>
    <mergeCell ref="D1311:D1312"/>
    <mergeCell ref="D1315:D1320"/>
    <mergeCell ref="D1321:D1322"/>
    <mergeCell ref="D1323:D1324"/>
    <mergeCell ref="D1327:D1328"/>
    <mergeCell ref="D1329:D1330"/>
    <mergeCell ref="D1333:D1334"/>
    <mergeCell ref="D1335:D1336"/>
    <mergeCell ref="D1337:D1338"/>
    <mergeCell ref="D1339:D1340"/>
    <mergeCell ref="D1341:D1343"/>
    <mergeCell ref="D1344:D1345"/>
    <mergeCell ref="D1346:D1347"/>
    <mergeCell ref="D1348:D1349"/>
    <mergeCell ref="D1350:D1352"/>
    <mergeCell ref="D1353:D1354"/>
    <mergeCell ref="D1355:D1356"/>
    <mergeCell ref="D1357:D1359"/>
    <mergeCell ref="D1360:D1361"/>
    <mergeCell ref="D1362:D1363"/>
    <mergeCell ref="D1364:D1365"/>
    <mergeCell ref="D1366:D1367"/>
    <mergeCell ref="D1368:D1370"/>
    <mergeCell ref="D1371:D1372"/>
    <mergeCell ref="D1376:D1378"/>
    <mergeCell ref="D1379:D1380"/>
    <mergeCell ref="D1383:D1385"/>
    <mergeCell ref="D1387:D1388"/>
    <mergeCell ref="D1391:D1393"/>
    <mergeCell ref="D1396:D1398"/>
    <mergeCell ref="D1401:D1403"/>
    <mergeCell ref="D1404:D1405"/>
    <mergeCell ref="D1406:D1408"/>
    <mergeCell ref="D1410:D1412"/>
    <mergeCell ref="D1415:D1417"/>
    <mergeCell ref="D1418:D1419"/>
    <mergeCell ref="D1420:D1421"/>
    <mergeCell ref="D1429:D1430"/>
    <mergeCell ref="D1433:D1438"/>
    <mergeCell ref="D1442:D1443"/>
    <mergeCell ref="D1445:D1449"/>
    <mergeCell ref="D1454:D1455"/>
    <mergeCell ref="D1456:D1458"/>
    <mergeCell ref="D1459:D1460"/>
    <mergeCell ref="D1462:D1463"/>
    <mergeCell ref="D1464:D1466"/>
    <mergeCell ref="D1468:D1469"/>
    <mergeCell ref="D1470:D1472"/>
    <mergeCell ref="D1479:D1480"/>
    <mergeCell ref="D1482:D1483"/>
    <mergeCell ref="D1484:D1485"/>
    <mergeCell ref="D1486:D1489"/>
    <mergeCell ref="D1491:D1492"/>
    <mergeCell ref="D1496:D1497"/>
    <mergeCell ref="D1499:D1500"/>
    <mergeCell ref="D1501:D1505"/>
    <mergeCell ref="D1506:D1508"/>
    <mergeCell ref="D1509:D1510"/>
    <mergeCell ref="D1511:D1512"/>
    <mergeCell ref="D1513:D1514"/>
    <mergeCell ref="D1525:D1526"/>
    <mergeCell ref="D1527:D1528"/>
    <mergeCell ref="D1531:D1532"/>
    <mergeCell ref="D1533:D1534"/>
    <mergeCell ref="D1535:D1536"/>
    <mergeCell ref="D1542:D1543"/>
    <mergeCell ref="D1544:D1549"/>
    <mergeCell ref="D1550:D1551"/>
    <mergeCell ref="D1552:D1553"/>
    <mergeCell ref="D1554:D1557"/>
    <mergeCell ref="D1560:D1562"/>
    <mergeCell ref="D1563:D1567"/>
    <mergeCell ref="D1568:D1572"/>
    <mergeCell ref="D1573:D1574"/>
    <mergeCell ref="D1575:D1578"/>
    <mergeCell ref="D1579:D1580"/>
    <mergeCell ref="D1584:D1587"/>
    <mergeCell ref="D1588:D1589"/>
    <mergeCell ref="D1590:D1592"/>
    <mergeCell ref="D1596:D1598"/>
    <mergeCell ref="D1599:D1604"/>
    <mergeCell ref="D1605:D1607"/>
    <mergeCell ref="D1609:D1612"/>
    <mergeCell ref="D1613:D1614"/>
    <mergeCell ref="D1615:D1620"/>
    <mergeCell ref="D1621:D1624"/>
    <mergeCell ref="D1626:D1636"/>
    <mergeCell ref="D1637:D1638"/>
    <mergeCell ref="D1639:D1640"/>
    <mergeCell ref="D1641:D1642"/>
    <mergeCell ref="D1643:D1645"/>
    <mergeCell ref="D1646:D1647"/>
    <mergeCell ref="D1648:D1652"/>
    <mergeCell ref="D1653:D1655"/>
    <mergeCell ref="D1656:D1657"/>
    <mergeCell ref="D1661:D1662"/>
    <mergeCell ref="D1665:D1666"/>
    <mergeCell ref="D1667:D1670"/>
    <mergeCell ref="D1671:D1673"/>
    <mergeCell ref="D1674:D1675"/>
    <mergeCell ref="D1676:D1679"/>
    <mergeCell ref="D1681:D1688"/>
    <mergeCell ref="D1689:D1691"/>
    <mergeCell ref="D1692:D1694"/>
    <mergeCell ref="D1697:D1699"/>
    <mergeCell ref="D1701:D1703"/>
    <mergeCell ref="D1705:D1707"/>
    <mergeCell ref="D1710:D1711"/>
    <mergeCell ref="D1713:D1715"/>
    <mergeCell ref="D1718:D1719"/>
    <mergeCell ref="D1720:D1721"/>
    <mergeCell ref="D1722:D1723"/>
    <mergeCell ref="D1724:D1730"/>
    <mergeCell ref="D1732:D1733"/>
    <mergeCell ref="D1734:D1737"/>
    <mergeCell ref="D1738:D1739"/>
    <mergeCell ref="D1740:D1741"/>
    <mergeCell ref="D1743:D1744"/>
    <mergeCell ref="D1745:D1747"/>
    <mergeCell ref="D1751:D1752"/>
    <mergeCell ref="D1753:D1754"/>
    <mergeCell ref="D1755:D1756"/>
    <mergeCell ref="D1757:D1758"/>
    <mergeCell ref="D1761:D1762"/>
    <mergeCell ref="D1763:D1764"/>
    <mergeCell ref="D1766:D1767"/>
    <mergeCell ref="D1768:D1769"/>
    <mergeCell ref="D1770:D1771"/>
    <mergeCell ref="D1774:D1775"/>
    <mergeCell ref="D1778:D1779"/>
    <mergeCell ref="D1780:D1782"/>
    <mergeCell ref="D1783:D1785"/>
    <mergeCell ref="D1786:D1787"/>
    <mergeCell ref="D1788:D1791"/>
    <mergeCell ref="D1792:D1794"/>
    <mergeCell ref="D1795:D1796"/>
    <mergeCell ref="D1798:D1801"/>
    <mergeCell ref="D1804:D1805"/>
    <mergeCell ref="D1806:D1807"/>
    <mergeCell ref="D1809:D1810"/>
    <mergeCell ref="D1811:D1812"/>
    <mergeCell ref="D1814:D1819"/>
    <mergeCell ref="D1822:D1824"/>
    <mergeCell ref="D1828:D1830"/>
    <mergeCell ref="D1833:D1836"/>
    <mergeCell ref="D1837:D1838"/>
    <mergeCell ref="D1840:D1842"/>
    <mergeCell ref="D1843:D1845"/>
    <mergeCell ref="D1848:D1850"/>
    <mergeCell ref="D1851:D1852"/>
    <mergeCell ref="D1853:D1855"/>
    <mergeCell ref="D1859:D1862"/>
    <mergeCell ref="D1863:D1864"/>
    <mergeCell ref="D1865:D1866"/>
    <mergeCell ref="D1868:D1869"/>
    <mergeCell ref="D1876:D1880"/>
    <mergeCell ref="D1881:D1883"/>
    <mergeCell ref="D1888:D1889"/>
    <mergeCell ref="D1890:D1892"/>
    <mergeCell ref="D1893:D1894"/>
    <mergeCell ref="D1895:D1897"/>
    <mergeCell ref="D1898:D1899"/>
    <mergeCell ref="D1900:D1901"/>
    <mergeCell ref="D1905:D1906"/>
    <mergeCell ref="D1907:D1908"/>
    <mergeCell ref="D1909:D1914"/>
    <mergeCell ref="D1916:D1919"/>
    <mergeCell ref="D1920:D1923"/>
    <mergeCell ref="D1929:D1930"/>
    <mergeCell ref="D1933:D1934"/>
    <mergeCell ref="D1936:D1937"/>
    <mergeCell ref="D1939:D1940"/>
    <mergeCell ref="D1941:D1943"/>
    <mergeCell ref="D1944:D1945"/>
    <mergeCell ref="D1946:D1950"/>
    <mergeCell ref="D1951:D1952"/>
    <mergeCell ref="D1953:D1956"/>
    <mergeCell ref="D1966:D1967"/>
    <mergeCell ref="D1968:D1973"/>
    <mergeCell ref="D1974:D1977"/>
    <mergeCell ref="D1978:D1979"/>
    <mergeCell ref="D1980:D1981"/>
    <mergeCell ref="D1985:D1986"/>
    <mergeCell ref="D1987:D1988"/>
    <mergeCell ref="D1990:D1995"/>
    <mergeCell ref="D1996:D1998"/>
    <mergeCell ref="D1999:D2002"/>
    <mergeCell ref="D2003:D2007"/>
    <mergeCell ref="D2009:D2011"/>
    <mergeCell ref="D2013:D2017"/>
    <mergeCell ref="D2018:D2023"/>
    <mergeCell ref="D2024:D2025"/>
    <mergeCell ref="D2026:D2027"/>
    <mergeCell ref="D2030:D2031"/>
    <mergeCell ref="D2032:D2033"/>
    <mergeCell ref="D2034:D2035"/>
    <mergeCell ref="D2036:D2037"/>
    <mergeCell ref="D2042:D2043"/>
    <mergeCell ref="D2044:D2045"/>
    <mergeCell ref="D2046:D2047"/>
    <mergeCell ref="D2048:D2050"/>
    <mergeCell ref="D2051:D2052"/>
    <mergeCell ref="D2055:D2056"/>
    <mergeCell ref="D2064:D2065"/>
    <mergeCell ref="D2066:D2067"/>
    <mergeCell ref="D2068:D2069"/>
    <mergeCell ref="D2070:D2072"/>
    <mergeCell ref="D2073:D2075"/>
    <mergeCell ref="D2077:D2080"/>
    <mergeCell ref="D2081:D2082"/>
    <mergeCell ref="D2083:D2084"/>
    <mergeCell ref="D2088:D2089"/>
    <mergeCell ref="D2090:D2092"/>
    <mergeCell ref="D2093:D2095"/>
    <mergeCell ref="D2096:D2097"/>
    <mergeCell ref="D2098:D2102"/>
    <mergeCell ref="D2109:D2110"/>
    <mergeCell ref="D2111:D2117"/>
    <mergeCell ref="D2118:D2124"/>
    <mergeCell ref="D2125:D2130"/>
    <mergeCell ref="D2131:D2135"/>
    <mergeCell ref="D2136:D2137"/>
    <mergeCell ref="D2138:D2141"/>
    <mergeCell ref="D2142:D2144"/>
    <mergeCell ref="D2145:D2148"/>
    <mergeCell ref="D2149:D2150"/>
    <mergeCell ref="D2152:D2153"/>
    <mergeCell ref="D2154:D2155"/>
    <mergeCell ref="D2156:D2157"/>
    <mergeCell ref="D2158:D2160"/>
    <mergeCell ref="D2161:D2162"/>
    <mergeCell ref="D2163:D2164"/>
    <mergeCell ref="D2165:D2166"/>
    <mergeCell ref="D2167:D2169"/>
    <mergeCell ref="D2170:D2171"/>
    <mergeCell ref="D2172:D2173"/>
    <mergeCell ref="D2174:D2175"/>
    <mergeCell ref="D2176:D2177"/>
    <mergeCell ref="D2178:D2180"/>
    <mergeCell ref="D2181:D2183"/>
    <mergeCell ref="D2184:D2185"/>
    <mergeCell ref="D2186:D2187"/>
    <mergeCell ref="D2191:D2192"/>
    <mergeCell ref="D2196:D2197"/>
    <mergeCell ref="D2198:D2199"/>
    <mergeCell ref="D2201:D2202"/>
    <mergeCell ref="D2204:D2205"/>
    <mergeCell ref="D2206:D2210"/>
    <mergeCell ref="D2211:D2213"/>
    <mergeCell ref="D2214:D2215"/>
    <mergeCell ref="D2216:D2222"/>
    <mergeCell ref="D2223:D2225"/>
    <mergeCell ref="D2227:D2231"/>
    <mergeCell ref="D2232:D2233"/>
    <mergeCell ref="D2236:D2237"/>
    <mergeCell ref="D2238:D2240"/>
    <mergeCell ref="D2243:D2246"/>
    <mergeCell ref="D2247:D2248"/>
    <mergeCell ref="D2249:D2250"/>
    <mergeCell ref="D2251:D2253"/>
    <mergeCell ref="D2254:D2255"/>
    <mergeCell ref="D2257:D2258"/>
    <mergeCell ref="D2259:D2260"/>
    <mergeCell ref="D2264:D2267"/>
    <mergeCell ref="D2270:D2271"/>
    <mergeCell ref="D2272:D2273"/>
    <mergeCell ref="D2275:D2276"/>
    <mergeCell ref="D2279:D2280"/>
    <mergeCell ref="D2283:D2284"/>
    <mergeCell ref="D2285:D2288"/>
    <mergeCell ref="D2289:D2290"/>
    <mergeCell ref="D2291:D2292"/>
    <mergeCell ref="D2294:D2295"/>
    <mergeCell ref="D2296:D2297"/>
    <mergeCell ref="D2299:D2300"/>
    <mergeCell ref="D2301:D2302"/>
    <mergeCell ref="D2303:D2304"/>
    <mergeCell ref="D2305:D2306"/>
    <mergeCell ref="D2309:D2312"/>
    <mergeCell ref="D2322:D2327"/>
    <mergeCell ref="D2328:D2329"/>
    <mergeCell ref="D2331:D2333"/>
    <mergeCell ref="D2334:D2336"/>
    <mergeCell ref="D2337:D2338"/>
    <mergeCell ref="D2340:D2341"/>
    <mergeCell ref="D2344:D2345"/>
    <mergeCell ref="D2346:D2348"/>
    <mergeCell ref="D2350:D2351"/>
    <mergeCell ref="D2352:D2354"/>
    <mergeCell ref="D2355:D2356"/>
    <mergeCell ref="D2442:D2443"/>
    <mergeCell ref="D2357:D2359"/>
    <mergeCell ref="D2360:D2361"/>
    <mergeCell ref="D2363:D2364"/>
    <mergeCell ref="D2365:D2366"/>
    <mergeCell ref="D2368:D2370"/>
    <mergeCell ref="D2371:D2372"/>
    <mergeCell ref="D2373:D2375"/>
    <mergeCell ref="D2377:D2378"/>
    <mergeCell ref="D2379:D2382"/>
    <mergeCell ref="D2444:D2446"/>
    <mergeCell ref="D2447:D2449"/>
    <mergeCell ref="D2452:D2454"/>
    <mergeCell ref="D2455:D2458"/>
    <mergeCell ref="D2459:D2468"/>
    <mergeCell ref="H129:H130"/>
    <mergeCell ref="H142:H143"/>
    <mergeCell ref="H180:H181"/>
    <mergeCell ref="H260:H261"/>
    <mergeCell ref="H312:H313"/>
    <mergeCell ref="H512:H513"/>
    <mergeCell ref="F755:F756"/>
    <mergeCell ref="F762:F763"/>
    <mergeCell ref="F809:F810"/>
    <mergeCell ref="F1433:F1438"/>
    <mergeCell ref="F2459:F2468"/>
    <mergeCell ref="D2390:D2391"/>
    <mergeCell ref="D2393:D2394"/>
    <mergeCell ref="D2399:D2400"/>
    <mergeCell ref="D2401:D2405"/>
    <mergeCell ref="D2414:D2415"/>
    <mergeCell ref="D2418:D2419"/>
    <mergeCell ref="D2426:D2429"/>
    <mergeCell ref="D2438:D2440"/>
    <mergeCell ref="I80:I81"/>
    <mergeCell ref="I90:I91"/>
    <mergeCell ref="I129:I131"/>
    <mergeCell ref="I1888:I1889"/>
    <mergeCell ref="I1552:I1553"/>
    <mergeCell ref="I1540:I1541"/>
    <mergeCell ref="I1383:I1385"/>
    <mergeCell ref="I1335:I1336"/>
    <mergeCell ref="I1327:I1328"/>
    <mergeCell ref="I1321:I1322"/>
    <mergeCell ref="I843:I847"/>
    <mergeCell ref="I566:I567"/>
    <mergeCell ref="I564:I565"/>
    <mergeCell ref="I559:I563"/>
    <mergeCell ref="I555:I557"/>
    <mergeCell ref="I536:I537"/>
    <mergeCell ref="I529:I530"/>
    <mergeCell ref="I512:I517"/>
    <mergeCell ref="I475:I479"/>
    <mergeCell ref="I471:I473"/>
    <mergeCell ref="I359:I361"/>
    <mergeCell ref="I312:I315"/>
    <mergeCell ref="I260:I261"/>
    <mergeCell ref="I173:I174"/>
    <mergeCell ref="I164:I166"/>
    <mergeCell ref="I162:I163"/>
    <mergeCell ref="I157:I161"/>
    <mergeCell ref="I149:I150"/>
    <mergeCell ref="I147:I148"/>
    <mergeCell ref="I144:I146"/>
    <mergeCell ref="I142:I143"/>
    <mergeCell ref="I251:I253"/>
    <mergeCell ref="I246:I249"/>
    <mergeCell ref="I243:I245"/>
    <mergeCell ref="I233:I234"/>
    <mergeCell ref="I209:I210"/>
    <mergeCell ref="I207:I208"/>
    <mergeCell ref="I204:I205"/>
    <mergeCell ref="I194:I195"/>
    <mergeCell ref="I180:I181"/>
  </mergeCells>
  <conditionalFormatting sqref="I80">
    <cfRule type="notContainsBlanks" dxfId="100" priority="50">
      <formula>LEN(TRIM(I80))&gt;0</formula>
    </cfRule>
  </conditionalFormatting>
  <conditionalFormatting sqref="I90">
    <cfRule type="notContainsBlanks" dxfId="99" priority="49">
      <formula>LEN(TRIM(I90))&gt;0</formula>
    </cfRule>
  </conditionalFormatting>
  <conditionalFormatting sqref="I129">
    <cfRule type="notContainsBlanks" dxfId="98" priority="48">
      <formula>LEN(TRIM(I129))&gt;0</formula>
    </cfRule>
  </conditionalFormatting>
  <conditionalFormatting sqref="I2028">
    <cfRule type="notContainsBlanks" dxfId="97" priority="1">
      <formula>LEN(TRIM(I2028))&gt;0</formula>
    </cfRule>
  </conditionalFormatting>
  <conditionalFormatting sqref="I142">
    <cfRule type="notContainsBlanks" dxfId="96" priority="46">
      <formula>LEN(TRIM(I142))&gt;0</formula>
    </cfRule>
  </conditionalFormatting>
  <conditionalFormatting sqref="I144">
    <cfRule type="notContainsBlanks" dxfId="95" priority="45">
      <formula>LEN(TRIM(I144))&gt;0</formula>
    </cfRule>
  </conditionalFormatting>
  <conditionalFormatting sqref="I147">
    <cfRule type="notContainsBlanks" dxfId="94" priority="44">
      <formula>LEN(TRIM(I147))&gt;0</formula>
    </cfRule>
  </conditionalFormatting>
  <conditionalFormatting sqref="I149">
    <cfRule type="notContainsBlanks" dxfId="93" priority="43">
      <formula>LEN(TRIM(I149))&gt;0</formula>
    </cfRule>
  </conditionalFormatting>
  <conditionalFormatting sqref="I151">
    <cfRule type="notContainsBlanks" dxfId="92" priority="42">
      <formula>LEN(TRIM(I151))&gt;0</formula>
    </cfRule>
  </conditionalFormatting>
  <conditionalFormatting sqref="I156">
    <cfRule type="notContainsBlanks" dxfId="91" priority="41">
      <formula>LEN(TRIM(I156))&gt;0</formula>
    </cfRule>
  </conditionalFormatting>
  <conditionalFormatting sqref="I157">
    <cfRule type="notContainsBlanks" dxfId="90" priority="40">
      <formula>LEN(TRIM(I157))&gt;0</formula>
    </cfRule>
  </conditionalFormatting>
  <conditionalFormatting sqref="I162">
    <cfRule type="notContainsBlanks" dxfId="89" priority="39">
      <formula>LEN(TRIM(I162))&gt;0</formula>
    </cfRule>
  </conditionalFormatting>
  <conditionalFormatting sqref="I164">
    <cfRule type="notContainsBlanks" dxfId="88" priority="38">
      <formula>LEN(TRIM(I164))&gt;0</formula>
    </cfRule>
  </conditionalFormatting>
  <conditionalFormatting sqref="I173">
    <cfRule type="notContainsBlanks" dxfId="87" priority="37">
      <formula>LEN(TRIM(I173))&gt;0</formula>
    </cfRule>
  </conditionalFormatting>
  <conditionalFormatting sqref="I180">
    <cfRule type="notContainsBlanks" dxfId="86" priority="36">
      <formula>LEN(TRIM(I180))&gt;0</formula>
    </cfRule>
  </conditionalFormatting>
  <conditionalFormatting sqref="I194">
    <cfRule type="notContainsBlanks" dxfId="85" priority="35">
      <formula>LEN(TRIM(I194))&gt;0</formula>
    </cfRule>
  </conditionalFormatting>
  <conditionalFormatting sqref="I204">
    <cfRule type="notContainsBlanks" dxfId="84" priority="34">
      <formula>LEN(TRIM(I204))&gt;0</formula>
    </cfRule>
  </conditionalFormatting>
  <conditionalFormatting sqref="I206">
    <cfRule type="notContainsBlanks" dxfId="83" priority="33">
      <formula>LEN(TRIM(I206))&gt;0</formula>
    </cfRule>
  </conditionalFormatting>
  <conditionalFormatting sqref="I207">
    <cfRule type="notContainsBlanks" dxfId="82" priority="32">
      <formula>LEN(TRIM(I207))&gt;0</formula>
    </cfRule>
  </conditionalFormatting>
  <conditionalFormatting sqref="I209">
    <cfRule type="notContainsBlanks" dxfId="81" priority="31">
      <formula>LEN(TRIM(I209))&gt;0</formula>
    </cfRule>
  </conditionalFormatting>
  <conditionalFormatting sqref="I233">
    <cfRule type="notContainsBlanks" dxfId="80" priority="30">
      <formula>LEN(TRIM(I233))&gt;0</formula>
    </cfRule>
  </conditionalFormatting>
  <conditionalFormatting sqref="I236">
    <cfRule type="notContainsBlanks" dxfId="79" priority="29">
      <formula>LEN(TRIM(I236))&gt;0</formula>
    </cfRule>
  </conditionalFormatting>
  <conditionalFormatting sqref="I243">
    <cfRule type="notContainsBlanks" dxfId="78" priority="28">
      <formula>LEN(TRIM(I243))&gt;0</formula>
    </cfRule>
  </conditionalFormatting>
  <conditionalFormatting sqref="I251">
    <cfRule type="notContainsBlanks" dxfId="77" priority="26">
      <formula>LEN(TRIM(I251))&gt;0</formula>
    </cfRule>
  </conditionalFormatting>
  <conditionalFormatting sqref="I260">
    <cfRule type="notContainsBlanks" dxfId="76" priority="25">
      <formula>LEN(TRIM(I260))&gt;0</formula>
    </cfRule>
  </conditionalFormatting>
  <conditionalFormatting sqref="I312">
    <cfRule type="notContainsBlanks" dxfId="75" priority="24">
      <formula>LEN(TRIM(I312))&gt;0</formula>
    </cfRule>
  </conditionalFormatting>
  <conditionalFormatting sqref="I359">
    <cfRule type="notContainsBlanks" dxfId="74" priority="23">
      <formula>LEN(TRIM(I359))&gt;0</formula>
    </cfRule>
  </conditionalFormatting>
  <conditionalFormatting sqref="I471">
    <cfRule type="notContainsBlanks" dxfId="73" priority="22">
      <formula>LEN(TRIM(I471))&gt;0</formula>
    </cfRule>
  </conditionalFormatting>
  <conditionalFormatting sqref="I475">
    <cfRule type="notContainsBlanks" dxfId="72" priority="21">
      <formula>LEN(TRIM(I475))&gt;0</formula>
    </cfRule>
  </conditionalFormatting>
  <conditionalFormatting sqref="I512">
    <cfRule type="notContainsBlanks" dxfId="71" priority="20">
      <formula>LEN(TRIM(I512))&gt;0</formula>
    </cfRule>
  </conditionalFormatting>
  <conditionalFormatting sqref="I529">
    <cfRule type="notContainsBlanks" dxfId="70" priority="19">
      <formula>LEN(TRIM(I529))&gt;0</formula>
    </cfRule>
  </conditionalFormatting>
  <conditionalFormatting sqref="I536">
    <cfRule type="notContainsBlanks" dxfId="69" priority="18">
      <formula>LEN(TRIM(I536))&gt;0</formula>
    </cfRule>
  </conditionalFormatting>
  <conditionalFormatting sqref="I551">
    <cfRule type="notContainsBlanks" dxfId="68" priority="17">
      <formula>LEN(TRIM(I551))&gt;0</formula>
    </cfRule>
  </conditionalFormatting>
  <conditionalFormatting sqref="I555">
    <cfRule type="notContainsBlanks" dxfId="67" priority="16">
      <formula>LEN(TRIM(I555))&gt;0</formula>
    </cfRule>
  </conditionalFormatting>
  <conditionalFormatting sqref="I559">
    <cfRule type="notContainsBlanks" dxfId="66" priority="15">
      <formula>LEN(TRIM(I559))&gt;0</formula>
    </cfRule>
  </conditionalFormatting>
  <conditionalFormatting sqref="I564">
    <cfRule type="notContainsBlanks" dxfId="65" priority="14">
      <formula>LEN(TRIM(I564))&gt;0</formula>
    </cfRule>
  </conditionalFormatting>
  <conditionalFormatting sqref="I566">
    <cfRule type="notContainsBlanks" dxfId="64" priority="13">
      <formula>LEN(TRIM(I566))&gt;0</formula>
    </cfRule>
  </conditionalFormatting>
  <conditionalFormatting sqref="I843">
    <cfRule type="notContainsBlanks" dxfId="63" priority="12">
      <formula>LEN(TRIM(I843))&gt;0</formula>
    </cfRule>
  </conditionalFormatting>
  <conditionalFormatting sqref="I1321">
    <cfRule type="notContainsBlanks" dxfId="62" priority="11">
      <formula>LEN(TRIM(I1321))&gt;0</formula>
    </cfRule>
  </conditionalFormatting>
  <conditionalFormatting sqref="I1327">
    <cfRule type="notContainsBlanks" dxfId="61" priority="10">
      <formula>LEN(TRIM(I1327))&gt;0</formula>
    </cfRule>
  </conditionalFormatting>
  <conditionalFormatting sqref="I1335">
    <cfRule type="notContainsBlanks" dxfId="60" priority="9">
      <formula>LEN(TRIM(I1335))&gt;0</formula>
    </cfRule>
  </conditionalFormatting>
  <conditionalFormatting sqref="I1383">
    <cfRule type="notContainsBlanks" dxfId="59" priority="8">
      <formula>LEN(TRIM(I1383))&gt;0</formula>
    </cfRule>
  </conditionalFormatting>
  <conditionalFormatting sqref="I1540">
    <cfRule type="notContainsBlanks" dxfId="58" priority="7">
      <formula>LEN(TRIM(I1540))&gt;0</formula>
    </cfRule>
  </conditionalFormatting>
  <conditionalFormatting sqref="I1552">
    <cfRule type="notContainsBlanks" dxfId="57" priority="6">
      <formula>LEN(TRIM(I1552))&gt;0</formula>
    </cfRule>
  </conditionalFormatting>
  <conditionalFormatting sqref="I1902">
    <cfRule type="notContainsBlanks" dxfId="56" priority="4">
      <formula>LEN(TRIM(I1902))&gt;0</formula>
    </cfRule>
  </conditionalFormatting>
  <conditionalFormatting sqref="I1903">
    <cfRule type="notContainsBlanks" dxfId="55" priority="3">
      <formula>LEN(TRIM(I1903))&gt;0</formula>
    </cfRule>
  </conditionalFormatting>
  <conditionalFormatting sqref="I1915">
    <cfRule type="notContainsBlanks" dxfId="54" priority="2">
      <formula>LEN(TRIM(I1915))&gt;0</formula>
    </cfRule>
  </conditionalFormatting>
  <hyperlinks>
    <hyperlink ref="D444" location="'Figure 6(3)'!A1" display="See Figure 6(3)" xr:uid="{14AEC748-F61D-46EE-99FD-2C32FBB1AC28}"/>
    <hyperlink ref="D436" location="'Figure 6(3)'!A1" display="See Figure 6(3)" xr:uid="{999C5D1A-CC76-49F9-9A1E-CDDA6A0EB385}"/>
    <hyperlink ref="D531" location="'Table 602.1.12'!A1" display="See Table 602.1.12" xr:uid="{46896CEC-6F23-4DFE-BBE6-C57E0E0DB004}"/>
    <hyperlink ref="D591" location="'Table 604.1'!A1" display="See Table 604.1" xr:uid="{58F59CAB-919C-4593-9433-D8DAFAEECAEC}"/>
    <hyperlink ref="D954" location="'Table 701.4.3.2(2)'!A1" display="See Table 701.4.3.2(2)" xr:uid="{30175682-52EF-4651-A9AE-D57748753AFC}"/>
    <hyperlink ref="D1984" location="'Table 901.9.1'!A1" display="See Table 901.9.1" xr:uid="{3EC74BEE-2B95-41E1-8247-AFCF920DF11C}"/>
    <hyperlink ref="D1989" location="'Table 901.9.2'!A1" display="See Table 901.9.2" xr:uid="{18A71F10-8E2C-4EC9-AB8F-9FA864AD0303}"/>
    <hyperlink ref="D2012" location="'Table 901.10(3)'!A1" display="See Table 901.10(3)" xr:uid="{28A182E3-9F46-40AF-A339-96F367686928}"/>
    <hyperlink ref="D1058" location="'Table 11.703.2.1(a)'!A1" display="See Table 11.703.2.1(a)" xr:uid="{F6F2F9CF-80DD-4735-B45A-FD7A555E506E}"/>
    <hyperlink ref="D1014" location="'Table 305.2.5.1'!A1" display="See Table Table 305.2.5.1" xr:uid="{EC15C42C-F5AB-4897-9791-B8EA03CFFA62}"/>
    <hyperlink ref="D1608" location="'Table 305.2.6.1'!A1" display="See Table Table 305.2.6.1" xr:uid="{93B463CC-23DF-408E-9549-D9DEFBC33789}"/>
    <hyperlink ref="D1085" location="'Table 11.703.2.5.1'!A1" display="See Table 11.703.2.5.1" xr:uid="{677D5CDD-84CD-4108-8BF7-FBDAFD26E990}"/>
    <hyperlink ref="D1006" location="'Table 11.703.2.5.1'!A1" display="See Table 11.703.2.5.1" xr:uid="{D95A559E-DB02-41CE-9F2B-48AE5DF6900C}"/>
  </hyperlinks>
  <pageMargins left="0.7" right="0.7" top="0.75" bottom="0.75" header="0.3" footer="0.3"/>
  <pageSetup orientation="portrait" r:id="rId1"/>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codeName="Sheet14">
    <pageSetUpPr fitToPage="1"/>
  </sheetPr>
  <dimension ref="A1:M148"/>
  <sheetViews>
    <sheetView showGridLines="0" tabSelected="1" topLeftCell="A92" zoomScale="125" zoomScaleNormal="100" workbookViewId="0">
      <selection activeCell="C105" sqref="C105:D108"/>
    </sheetView>
  </sheetViews>
  <sheetFormatPr baseColWidth="10" defaultColWidth="9.1640625" defaultRowHeight="15" x14ac:dyDescent="0.2"/>
  <cols>
    <col min="1" max="2" width="10.6640625" style="455" customWidth="1"/>
    <col min="3" max="3" width="43.33203125" style="455" customWidth="1"/>
    <col min="4" max="9" width="15.6640625" style="455" customWidth="1"/>
    <col min="10" max="11" width="15.6640625" style="455" hidden="1" customWidth="1"/>
    <col min="12" max="13" width="30.6640625" style="455" hidden="1" customWidth="1"/>
    <col min="14" max="16384" width="9.1640625" style="455"/>
  </cols>
  <sheetData>
    <row r="1" spans="1:13" x14ac:dyDescent="0.2">
      <c r="D1" s="1644" t="s">
        <v>5034</v>
      </c>
      <c r="E1" s="1644"/>
      <c r="F1" s="1644"/>
      <c r="G1" s="1644"/>
      <c r="H1" s="1644"/>
      <c r="I1" s="1644"/>
      <c r="J1" s="330"/>
      <c r="K1" s="330"/>
    </row>
    <row r="2" spans="1:13" x14ac:dyDescent="0.2">
      <c r="D2" s="1644"/>
      <c r="E2" s="1644"/>
      <c r="F2" s="1644"/>
      <c r="G2" s="1644"/>
      <c r="H2" s="1644"/>
      <c r="I2" s="1644"/>
      <c r="J2" s="330"/>
      <c r="K2" s="330"/>
    </row>
    <row r="3" spans="1:13" x14ac:dyDescent="0.2">
      <c r="D3" s="1644"/>
      <c r="E3" s="1644"/>
      <c r="F3" s="1644"/>
      <c r="G3" s="1644"/>
      <c r="H3" s="1644"/>
      <c r="I3" s="1644"/>
      <c r="J3" s="330"/>
      <c r="K3" s="330"/>
    </row>
    <row r="4" spans="1:13" s="512" customFormat="1" x14ac:dyDescent="0.2">
      <c r="D4" s="1644"/>
      <c r="E4" s="1644"/>
      <c r="F4" s="1644"/>
      <c r="G4" s="1644"/>
      <c r="H4" s="1644"/>
      <c r="I4" s="1644"/>
      <c r="J4" s="330"/>
      <c r="K4" s="330"/>
    </row>
    <row r="5" spans="1:13" x14ac:dyDescent="0.2">
      <c r="D5" s="1644"/>
      <c r="E5" s="1644"/>
      <c r="F5" s="1644"/>
      <c r="G5" s="1644"/>
      <c r="H5" s="1644"/>
      <c r="I5" s="1644"/>
      <c r="J5" s="330"/>
      <c r="K5" s="330"/>
    </row>
    <row r="6" spans="1:13" ht="19" x14ac:dyDescent="0.25">
      <c r="A6" s="622"/>
      <c r="B6" s="622"/>
      <c r="C6" s="14" t="s">
        <v>3046</v>
      </c>
      <c r="D6" s="622"/>
      <c r="E6" s="622"/>
      <c r="F6" s="622"/>
      <c r="G6" s="622"/>
      <c r="H6" s="622"/>
      <c r="I6" s="622"/>
      <c r="J6" s="623" t="s">
        <v>246</v>
      </c>
      <c r="K6" s="623" t="s">
        <v>246</v>
      </c>
      <c r="L6" s="616" t="s">
        <v>246</v>
      </c>
      <c r="M6" s="616" t="s">
        <v>246</v>
      </c>
    </row>
    <row r="7" spans="1:13" x14ac:dyDescent="0.2">
      <c r="J7" s="330"/>
      <c r="K7" s="330"/>
    </row>
    <row r="8" spans="1:13" x14ac:dyDescent="0.2">
      <c r="A8" s="1993" t="s">
        <v>3047</v>
      </c>
      <c r="B8" s="1993"/>
      <c r="C8" s="1971" t="str">
        <f>IF(dstBatch,"See Batch Submission",IF('Overview (Verification)'!P8="","None entered on ""Overview (Verification)"" Sheet",'Overview (Verification)'!P8))</f>
        <v>See Batch Submission</v>
      </c>
      <c r="D8" s="1971"/>
      <c r="F8" s="612" t="s">
        <v>3048</v>
      </c>
      <c r="G8" s="1970" t="str">
        <f ca="1">Points!H26</f>
        <v>Bronze</v>
      </c>
      <c r="H8" s="1970"/>
      <c r="I8" s="1970"/>
      <c r="J8" s="330"/>
      <c r="K8" s="330"/>
    </row>
    <row r="9" spans="1:13" ht="3" customHeight="1" x14ac:dyDescent="0.2">
      <c r="A9" s="667"/>
      <c r="B9" s="667"/>
      <c r="C9" s="513"/>
      <c r="D9" s="513"/>
      <c r="E9" s="464"/>
      <c r="F9" s="483"/>
      <c r="G9" s="464"/>
      <c r="H9" s="464"/>
      <c r="I9" s="464"/>
      <c r="J9" s="464"/>
      <c r="K9" s="330"/>
    </row>
    <row r="10" spans="1:13" x14ac:dyDescent="0.2">
      <c r="A10" s="1993" t="s">
        <v>3049</v>
      </c>
      <c r="B10" s="1993"/>
      <c r="C10" s="1971" t="str">
        <f>IF('Overview (Verification)'!P10="","None entered on ""Overview (Verification)"" Sheet",'Overview (Verification)'!P10)</f>
        <v>TWG Development</v>
      </c>
      <c r="D10" s="1971"/>
      <c r="F10" s="612" t="s">
        <v>3050</v>
      </c>
      <c r="G10" s="1550" t="str">
        <f>'Overview (Verification)'!P18</f>
        <v>Multifamily</v>
      </c>
      <c r="H10" s="1550"/>
      <c r="I10" s="1550"/>
      <c r="J10" s="330"/>
      <c r="K10" s="330"/>
    </row>
    <row r="11" spans="1:13" ht="3" customHeight="1" x14ac:dyDescent="0.2">
      <c r="A11" s="668"/>
      <c r="B11" s="668"/>
      <c r="C11" s="513"/>
      <c r="D11" s="514"/>
      <c r="E11" s="464"/>
      <c r="F11" s="483"/>
      <c r="G11" s="466"/>
      <c r="H11" s="466"/>
      <c r="I11" s="466"/>
      <c r="J11" s="464"/>
      <c r="K11" s="330"/>
    </row>
    <row r="12" spans="1:13" x14ac:dyDescent="0.2">
      <c r="A12" s="1993" t="s">
        <v>3216</v>
      </c>
      <c r="B12" s="1993"/>
      <c r="C12" s="1971" t="str">
        <f>IF(dstBatch,"See Batch Submission",IF('Overview (Verification)'!P13="","None entered on ""Overview (Verification)"" Sheet",'Overview (Verification)'!P11&amp;", "&amp;'Overview (Verification)'!P13&amp;", "&amp;'Overview (Verification)'!P14&amp;"  "&amp;'Overview (Verification)'!P16))</f>
        <v>See Batch Submission</v>
      </c>
      <c r="D12" s="1971"/>
      <c r="F12" s="612" t="s">
        <v>155</v>
      </c>
      <c r="G12" s="1969">
        <f>IF('Overview (Verification)'!P19&lt;&gt;"",'Overview (Verification)'!P19,1)</f>
        <v>48</v>
      </c>
      <c r="H12" s="1969"/>
      <c r="I12" s="1969"/>
      <c r="J12" s="330"/>
      <c r="K12" s="330"/>
    </row>
    <row r="13" spans="1:13" ht="3" customHeight="1" x14ac:dyDescent="0.2">
      <c r="A13" s="668"/>
      <c r="B13" s="668"/>
      <c r="C13" s="513"/>
      <c r="D13" s="514"/>
      <c r="E13" s="464"/>
      <c r="F13" s="483"/>
      <c r="G13" s="466"/>
      <c r="H13" s="466"/>
      <c r="I13" s="466"/>
      <c r="J13" s="464"/>
      <c r="K13" s="330"/>
    </row>
    <row r="14" spans="1:13" x14ac:dyDescent="0.2">
      <c r="A14" s="1993" t="s">
        <v>130</v>
      </c>
      <c r="B14" s="1993"/>
      <c r="C14" s="1971" t="str">
        <f>IF('Overview (Verification)'!P12="","None entered on ""Overview (Verification)"" Sheet",'Overview (Verification)'!P12)</f>
        <v>None entered on "Overview (Verification)" Sheet</v>
      </c>
      <c r="D14" s="1971"/>
      <c r="F14" s="612" t="s">
        <v>3444</v>
      </c>
      <c r="G14" s="1550">
        <f>'Overview (Verification)'!P26</f>
        <v>20128</v>
      </c>
      <c r="H14" s="1550"/>
      <c r="I14" s="1550"/>
      <c r="J14" s="330"/>
      <c r="K14" s="330"/>
    </row>
    <row r="15" spans="1:13" ht="3" customHeight="1" x14ac:dyDescent="0.2">
      <c r="A15" s="668"/>
      <c r="B15" s="668"/>
      <c r="C15" s="513"/>
      <c r="D15" s="514"/>
      <c r="E15" s="464"/>
      <c r="F15" s="483"/>
      <c r="G15" s="466"/>
      <c r="H15" s="466"/>
      <c r="I15" s="466"/>
      <c r="J15" s="464"/>
      <c r="K15" s="330"/>
    </row>
    <row r="16" spans="1:13" x14ac:dyDescent="0.2">
      <c r="A16" s="1993" t="s">
        <v>2920</v>
      </c>
      <c r="B16" s="1993"/>
      <c r="C16" s="1998" t="str">
        <f>'Overview (Verification)'!U11&amp;" "&amp;'Overview (Verification)'!V11&amp;" "&amp;'Overview (Verification)'!W11&amp;" "&amp;'Overview (Verification)'!Y11</f>
        <v xml:space="preserve">3 Moist    </v>
      </c>
      <c r="D16" s="1998"/>
      <c r="E16" s="330"/>
      <c r="F16" s="612" t="s">
        <v>3051</v>
      </c>
      <c r="G16" s="1550" t="str">
        <f>'Overview (Verification)'!P32</f>
        <v>n/a</v>
      </c>
      <c r="H16" s="1550"/>
      <c r="I16" s="1550"/>
      <c r="J16" s="330"/>
      <c r="K16" s="330"/>
    </row>
    <row r="17" spans="1:11" s="512" customFormat="1" ht="3" customHeight="1" x14ac:dyDescent="0.2">
      <c r="A17" s="464"/>
      <c r="B17" s="464"/>
      <c r="C17" s="328"/>
      <c r="D17" s="465"/>
      <c r="E17" s="464"/>
      <c r="F17" s="483"/>
      <c r="G17" s="466"/>
      <c r="H17" s="466"/>
      <c r="I17" s="466"/>
      <c r="J17" s="464"/>
      <c r="K17" s="330"/>
    </row>
    <row r="18" spans="1:11" ht="14.5" customHeight="1" x14ac:dyDescent="0.2">
      <c r="A18" s="330"/>
      <c r="B18" s="330"/>
      <c r="C18" s="1995" t="s">
        <v>3226</v>
      </c>
      <c r="D18" s="1995"/>
      <c r="E18"/>
      <c r="F18" s="1995" t="s">
        <v>3227</v>
      </c>
      <c r="G18" s="1995"/>
      <c r="H18" s="1995"/>
      <c r="I18" s="1995"/>
      <c r="J18" s="330" t="b">
        <f>OR(J74:J114)</f>
        <v>0</v>
      </c>
      <c r="K18" s="330"/>
    </row>
    <row r="19" spans="1:11" x14ac:dyDescent="0.2">
      <c r="A19" s="467"/>
      <c r="B19" s="467"/>
      <c r="C19" s="467"/>
      <c r="D19" s="467"/>
      <c r="E19" s="467"/>
      <c r="F19" s="467"/>
      <c r="G19" s="467"/>
      <c r="H19" s="467"/>
      <c r="I19" s="467"/>
      <c r="J19" s="330"/>
      <c r="K19" s="330"/>
    </row>
    <row r="20" spans="1:11" x14ac:dyDescent="0.2">
      <c r="A20" s="467"/>
      <c r="B20" s="467"/>
      <c r="C20" s="467"/>
      <c r="D20" s="467"/>
      <c r="E20" s="1996" t="str">
        <f>IF('Verification Report'!L5="Rough","Rough Points claimed by","NO LONGER VALID")</f>
        <v>NO LONGER VALID</v>
      </c>
      <c r="F20" s="467"/>
      <c r="G20" s="467"/>
      <c r="H20" s="467"/>
      <c r="I20" s="467"/>
      <c r="J20" s="330"/>
      <c r="K20" s="330"/>
    </row>
    <row r="21" spans="1:11" x14ac:dyDescent="0.2">
      <c r="A21" s="467"/>
      <c r="B21" s="467"/>
      <c r="C21" s="467"/>
      <c r="E21" s="1997"/>
      <c r="F21" s="467"/>
      <c r="G21" s="467"/>
      <c r="H21" s="467"/>
      <c r="I21" s="467"/>
      <c r="J21" s="330"/>
      <c r="K21" s="330"/>
    </row>
    <row r="22" spans="1:11" ht="15" customHeight="1" x14ac:dyDescent="0.2">
      <c r="A22" s="467"/>
      <c r="B22" s="467"/>
      <c r="C22" s="457" t="s">
        <v>3052</v>
      </c>
      <c r="D22" s="468" t="s">
        <v>3053</v>
      </c>
      <c r="E22" s="468" t="s">
        <v>2915</v>
      </c>
      <c r="J22" s="330"/>
      <c r="K22" s="330"/>
    </row>
    <row r="23" spans="1:11" s="96" customFormat="1" ht="3" customHeight="1" x14ac:dyDescent="0.2">
      <c r="A23" s="469"/>
      <c r="B23" s="469"/>
      <c r="C23" s="470"/>
      <c r="D23" s="460"/>
      <c r="E23" s="461"/>
      <c r="J23" s="464"/>
      <c r="K23" s="464"/>
    </row>
    <row r="24" spans="1:11" ht="15" customHeight="1" x14ac:dyDescent="0.2">
      <c r="A24" s="467"/>
      <c r="B24" s="467"/>
      <c r="C24" s="471" t="s">
        <v>3058</v>
      </c>
      <c r="D24" s="472">
        <f ca="1">Points!Ch5Points</f>
        <v>14</v>
      </c>
      <c r="E24" s="473">
        <f ca="1">Ch5PointsFinal</f>
        <v>14</v>
      </c>
      <c r="J24" s="330"/>
      <c r="K24" s="330"/>
    </row>
    <row r="25" spans="1:11" ht="15" customHeight="1" x14ac:dyDescent="0.2">
      <c r="A25" s="467"/>
      <c r="B25" s="467"/>
      <c r="C25" s="474" t="s">
        <v>3059</v>
      </c>
      <c r="D25" s="475">
        <f ca="1">Ch6Points</f>
        <v>45</v>
      </c>
      <c r="E25" s="476">
        <f ca="1">Ch6PointsFinal</f>
        <v>45</v>
      </c>
      <c r="J25" s="330"/>
      <c r="K25" s="330"/>
    </row>
    <row r="26" spans="1:11" ht="15" customHeight="1" x14ac:dyDescent="0.2">
      <c r="A26" s="467"/>
      <c r="B26" s="467"/>
      <c r="C26" s="474" t="s">
        <v>3060</v>
      </c>
      <c r="D26" s="475" t="str">
        <f ca="1">Ch7Level</f>
        <v>Gold</v>
      </c>
      <c r="E26" s="476" t="str">
        <f ca="1">Points!Q19</f>
        <v>Gold</v>
      </c>
      <c r="F26" s="96"/>
      <c r="G26" s="96"/>
      <c r="H26" s="96"/>
      <c r="I26" s="96"/>
      <c r="J26" s="330"/>
      <c r="K26" s="330"/>
    </row>
    <row r="27" spans="1:11" ht="15" customHeight="1" x14ac:dyDescent="0.2">
      <c r="A27" s="467"/>
      <c r="B27" s="467"/>
      <c r="C27" s="474" t="s">
        <v>3061</v>
      </c>
      <c r="D27" s="475" t="str">
        <f ca="1">Ch8Level</f>
        <v>Silver</v>
      </c>
      <c r="E27" s="476" t="str">
        <f ca="1">Points!Q22</f>
        <v>None</v>
      </c>
      <c r="J27" s="330"/>
      <c r="K27" s="330"/>
    </row>
    <row r="28" spans="1:11" ht="15" customHeight="1" x14ac:dyDescent="0.2">
      <c r="A28" s="467"/>
      <c r="B28" s="467"/>
      <c r="C28" s="474" t="s">
        <v>3062</v>
      </c>
      <c r="D28" s="475">
        <f ca="1">Ch9Points</f>
        <v>34</v>
      </c>
      <c r="E28" s="476">
        <f ca="1">Ch9PointsFinal</f>
        <v>34</v>
      </c>
      <c r="G28" s="1919" t="s">
        <v>3912</v>
      </c>
      <c r="H28" s="1919"/>
      <c r="J28" s="330"/>
      <c r="K28" s="330"/>
    </row>
    <row r="29" spans="1:11" ht="15" customHeight="1" x14ac:dyDescent="0.2">
      <c r="A29" s="467"/>
      <c r="B29" s="467"/>
      <c r="C29" s="477" t="s">
        <v>3063</v>
      </c>
      <c r="D29" s="478">
        <f>Ch10Points</f>
        <v>23</v>
      </c>
      <c r="E29" s="478">
        <f>Ch10PointsFinal</f>
        <v>23</v>
      </c>
      <c r="F29" s="457" t="s">
        <v>3054</v>
      </c>
      <c r="G29" s="457" t="s">
        <v>3055</v>
      </c>
      <c r="H29" s="457" t="s">
        <v>3056</v>
      </c>
      <c r="I29" s="457" t="s">
        <v>3057</v>
      </c>
      <c r="J29" s="330"/>
      <c r="K29" s="330"/>
    </row>
    <row r="30" spans="1:11" s="96" customFormat="1" ht="3" customHeight="1" x14ac:dyDescent="0.2">
      <c r="A30" s="469"/>
      <c r="B30" s="469"/>
      <c r="C30" s="479"/>
      <c r="D30" s="480"/>
      <c r="E30" s="469"/>
      <c r="J30" s="464"/>
      <c r="K30" s="464"/>
    </row>
    <row r="31" spans="1:11" s="96" customFormat="1" ht="3" customHeight="1" x14ac:dyDescent="0.2">
      <c r="A31" s="469"/>
      <c r="B31" s="469"/>
      <c r="C31" s="469"/>
      <c r="D31" s="480"/>
      <c r="E31" s="469"/>
      <c r="F31" s="469"/>
      <c r="G31" s="469"/>
      <c r="H31" s="469"/>
      <c r="I31" s="469"/>
      <c r="J31" s="464"/>
      <c r="K31" s="464"/>
    </row>
    <row r="32" spans="1:11" ht="15" customHeight="1" x14ac:dyDescent="0.2">
      <c r="A32" s="467"/>
      <c r="B32" s="467"/>
      <c r="C32" s="456" t="s">
        <v>3064</v>
      </c>
      <c r="D32" s="30">
        <f ca="1">Dpoints</f>
        <v>116</v>
      </c>
      <c r="E32" s="30">
        <f ca="1">Vpoints</f>
        <v>116</v>
      </c>
      <c r="F32" s="30">
        <f>Points!C26</f>
        <v>88</v>
      </c>
      <c r="G32" s="30">
        <f>Points!D26</f>
        <v>125</v>
      </c>
      <c r="H32" s="30">
        <f>Points!E26</f>
        <v>181</v>
      </c>
      <c r="I32" s="30">
        <f>Points!F26</f>
        <v>225</v>
      </c>
      <c r="J32" s="330"/>
      <c r="K32" s="330"/>
    </row>
    <row r="33" spans="1:11" ht="3" customHeight="1" x14ac:dyDescent="0.2">
      <c r="A33" s="467"/>
      <c r="B33" s="467"/>
      <c r="C33" s="467"/>
      <c r="D33" s="467"/>
      <c r="E33" s="467"/>
      <c r="F33" s="467"/>
      <c r="G33" s="467"/>
      <c r="H33" s="467"/>
      <c r="I33" s="467"/>
      <c r="J33" s="330"/>
      <c r="K33" s="330"/>
    </row>
    <row r="34" spans="1:11" s="1421" customFormat="1" ht="15" customHeight="1" x14ac:dyDescent="0.2">
      <c r="A34" s="467"/>
      <c r="B34" s="467"/>
      <c r="C34" s="467"/>
      <c r="D34" s="467"/>
      <c r="E34" s="467"/>
      <c r="F34" s="467"/>
      <c r="G34" s="467"/>
      <c r="H34" s="467"/>
      <c r="I34" s="467"/>
      <c r="J34" s="330"/>
      <c r="K34" s="330"/>
    </row>
    <row r="35" spans="1:11" ht="3" customHeight="1" x14ac:dyDescent="0.2">
      <c r="J35" s="330"/>
      <c r="K35" s="330"/>
    </row>
    <row r="36" spans="1:11" s="611" customFormat="1" ht="18" customHeight="1" x14ac:dyDescent="0.2">
      <c r="C36" s="1964" t="s">
        <v>3217</v>
      </c>
      <c r="D36" s="1964"/>
      <c r="E36" s="1964"/>
      <c r="F36" s="1964"/>
      <c r="G36" s="1964"/>
      <c r="H36" s="1964"/>
      <c r="I36" s="1964"/>
      <c r="J36" s="330"/>
      <c r="K36" s="330"/>
    </row>
    <row r="37" spans="1:11" s="611" customFormat="1" ht="20" customHeight="1" x14ac:dyDescent="0.2">
      <c r="C37" s="1964"/>
      <c r="D37" s="1964"/>
      <c r="E37" s="1964"/>
      <c r="F37" s="1964"/>
      <c r="G37" s="1964"/>
      <c r="H37" s="1964"/>
      <c r="I37" s="1964"/>
      <c r="J37" s="330"/>
      <c r="K37" s="330"/>
    </row>
    <row r="38" spans="1:11" s="611" customFormat="1" ht="15" customHeight="1" x14ac:dyDescent="0.2">
      <c r="J38" s="330"/>
      <c r="K38" s="330"/>
    </row>
    <row r="39" spans="1:11" s="611" customFormat="1" ht="15" customHeight="1" x14ac:dyDescent="0.2">
      <c r="A39" s="1983" t="s">
        <v>3219</v>
      </c>
      <c r="B39" s="1984"/>
      <c r="C39" s="1994"/>
      <c r="D39" s="1994"/>
      <c r="E39" s="1563" t="s">
        <v>3065</v>
      </c>
      <c r="F39" s="1834"/>
      <c r="G39" s="27"/>
      <c r="J39" s="330"/>
      <c r="K39" s="330"/>
    </row>
    <row r="40" spans="1:11" s="611" customFormat="1" x14ac:dyDescent="0.2">
      <c r="A40" s="1984"/>
      <c r="B40" s="1984"/>
      <c r="C40" s="1994"/>
      <c r="D40" s="1994"/>
      <c r="J40" s="330"/>
      <c r="K40" s="330"/>
    </row>
    <row r="41" spans="1:11" s="611" customFormat="1" ht="3" customHeight="1" x14ac:dyDescent="0.2">
      <c r="A41" s="614"/>
      <c r="B41" s="614"/>
      <c r="C41" s="487"/>
      <c r="D41" s="487"/>
      <c r="J41" s="330"/>
      <c r="K41" s="330"/>
    </row>
    <row r="42" spans="1:11" s="611" customFormat="1" x14ac:dyDescent="0.2">
      <c r="A42" s="1563" t="s">
        <v>3221</v>
      </c>
      <c r="B42" s="1563"/>
      <c r="C42" s="1994"/>
      <c r="D42" s="1994"/>
      <c r="E42" s="1994"/>
      <c r="F42" s="1994"/>
      <c r="G42" s="1994"/>
      <c r="H42" s="1994"/>
      <c r="I42" s="1994"/>
      <c r="J42" s="330"/>
      <c r="K42" s="330"/>
    </row>
    <row r="43" spans="1:11" s="611" customFormat="1" x14ac:dyDescent="0.2">
      <c r="A43" s="1563"/>
      <c r="B43" s="1563"/>
      <c r="C43" s="1994"/>
      <c r="D43" s="1994"/>
      <c r="E43" s="1994"/>
      <c r="F43" s="1994"/>
      <c r="G43" s="1994"/>
      <c r="H43" s="1994"/>
      <c r="I43" s="1994"/>
      <c r="J43" s="330"/>
      <c r="K43" s="330"/>
    </row>
    <row r="44" spans="1:11" s="611" customFormat="1" x14ac:dyDescent="0.2">
      <c r="A44" s="1563"/>
      <c r="B44" s="1563"/>
      <c r="C44" s="1994"/>
      <c r="D44" s="1994"/>
      <c r="E44" s="1994"/>
      <c r="F44" s="1994"/>
      <c r="G44" s="1994"/>
      <c r="H44" s="1994"/>
      <c r="I44" s="1994"/>
      <c r="J44" s="330"/>
      <c r="K44" s="330"/>
    </row>
    <row r="45" spans="1:11" ht="3" customHeight="1" x14ac:dyDescent="0.2">
      <c r="A45" s="331"/>
      <c r="B45" s="331"/>
      <c r="C45" s="96"/>
      <c r="J45" s="330"/>
      <c r="K45" s="330"/>
    </row>
    <row r="46" spans="1:11" ht="15" customHeight="1" x14ac:dyDescent="0.2">
      <c r="A46" s="331"/>
      <c r="B46" s="482" t="s">
        <v>3066</v>
      </c>
      <c r="C46" s="1973"/>
      <c r="D46" s="1973"/>
      <c r="J46" s="330"/>
      <c r="K46" s="330"/>
    </row>
    <row r="47" spans="1:11" ht="3" customHeight="1" x14ac:dyDescent="0.2">
      <c r="A47" s="331"/>
      <c r="B47" s="482"/>
      <c r="J47" s="330"/>
      <c r="K47" s="330"/>
    </row>
    <row r="48" spans="1:11" x14ac:dyDescent="0.2">
      <c r="A48" s="331"/>
      <c r="B48" s="482" t="s">
        <v>3067</v>
      </c>
      <c r="C48" s="1973"/>
      <c r="D48" s="1973"/>
      <c r="J48" s="330"/>
      <c r="K48" s="330"/>
    </row>
    <row r="49" spans="1:11" ht="3" customHeight="1" x14ac:dyDescent="0.2">
      <c r="A49" s="331"/>
      <c r="B49" s="482"/>
      <c r="J49" s="330"/>
      <c r="K49" s="330"/>
    </row>
    <row r="50" spans="1:11" x14ac:dyDescent="0.2">
      <c r="A50" s="331"/>
      <c r="B50" s="482" t="s">
        <v>3068</v>
      </c>
      <c r="C50" s="1973"/>
      <c r="D50" s="1973"/>
      <c r="J50" s="330"/>
      <c r="K50" s="330"/>
    </row>
    <row r="51" spans="1:11" ht="3" customHeight="1" x14ac:dyDescent="0.2">
      <c r="A51" s="331"/>
      <c r="B51" s="482"/>
      <c r="J51" s="330"/>
      <c r="K51" s="330"/>
    </row>
    <row r="52" spans="1:11" x14ac:dyDescent="0.2">
      <c r="A52" s="331"/>
      <c r="B52" s="483" t="s">
        <v>3069</v>
      </c>
      <c r="C52" s="1973"/>
      <c r="D52" s="1973"/>
      <c r="J52" s="330"/>
      <c r="K52" s="330"/>
    </row>
    <row r="53" spans="1:11" x14ac:dyDescent="0.2">
      <c r="A53" s="484"/>
      <c r="B53" s="96"/>
      <c r="J53" s="330"/>
      <c r="K53" s="330"/>
    </row>
    <row r="54" spans="1:11" x14ac:dyDescent="0.2">
      <c r="A54" s="485"/>
      <c r="B54" s="485"/>
      <c r="J54" s="330"/>
      <c r="K54" s="330"/>
    </row>
    <row r="55" spans="1:11" x14ac:dyDescent="0.2">
      <c r="C55" s="1967" t="s">
        <v>3070</v>
      </c>
      <c r="D55" s="1967"/>
      <c r="J55" s="330"/>
      <c r="K55" s="330"/>
    </row>
    <row r="56" spans="1:11" ht="3" customHeight="1" x14ac:dyDescent="0.2">
      <c r="C56" s="453"/>
      <c r="D56" s="453"/>
      <c r="J56" s="330"/>
      <c r="K56" s="330"/>
    </row>
    <row r="57" spans="1:11" x14ac:dyDescent="0.2">
      <c r="C57" s="1968" t="s">
        <v>5084</v>
      </c>
      <c r="D57" s="1968"/>
      <c r="E57" s="1968"/>
      <c r="F57" s="1968"/>
      <c r="G57" s="1968"/>
      <c r="H57" s="1968"/>
      <c r="I57" s="1968"/>
      <c r="J57" s="330"/>
      <c r="K57" s="330"/>
    </row>
    <row r="58" spans="1:11" ht="18" customHeight="1" x14ac:dyDescent="0.2">
      <c r="C58" s="1968"/>
      <c r="D58" s="1968"/>
      <c r="E58" s="1968"/>
      <c r="F58" s="1968"/>
      <c r="G58" s="1968"/>
      <c r="H58" s="1968"/>
      <c r="I58" s="1968"/>
      <c r="J58" s="330"/>
      <c r="K58" s="330"/>
    </row>
    <row r="59" spans="1:11" x14ac:dyDescent="0.2">
      <c r="A59" s="70"/>
      <c r="B59" s="486"/>
      <c r="C59" s="485"/>
      <c r="D59" s="485"/>
      <c r="E59" s="485"/>
      <c r="F59" s="485"/>
      <c r="G59" s="485"/>
      <c r="H59" s="485"/>
      <c r="I59" s="485"/>
      <c r="J59" s="330"/>
      <c r="K59" s="330"/>
    </row>
    <row r="60" spans="1:11" s="512" customFormat="1" x14ac:dyDescent="0.2">
      <c r="A60" s="70"/>
      <c r="B60" s="486"/>
      <c r="C60" s="485"/>
      <c r="D60" s="485"/>
      <c r="E60" s="485"/>
      <c r="F60" s="485"/>
      <c r="G60" s="485"/>
      <c r="H60" s="485"/>
      <c r="I60" s="485"/>
      <c r="J60" s="330"/>
      <c r="K60" s="330"/>
    </row>
    <row r="61" spans="1:11" s="512" customFormat="1" x14ac:dyDescent="0.2">
      <c r="A61" s="70"/>
      <c r="B61" s="486"/>
      <c r="C61" s="485"/>
      <c r="D61" s="485"/>
      <c r="E61" s="485"/>
      <c r="F61" s="485"/>
      <c r="G61" s="485"/>
      <c r="H61" s="485"/>
      <c r="I61" s="485"/>
      <c r="J61" s="330"/>
      <c r="K61" s="330"/>
    </row>
    <row r="62" spans="1:11" s="512" customFormat="1" x14ac:dyDescent="0.2">
      <c r="A62" s="70"/>
      <c r="B62" s="486"/>
      <c r="C62" s="485"/>
      <c r="D62" s="485"/>
      <c r="E62" s="485"/>
      <c r="F62" s="485"/>
      <c r="G62" s="485"/>
      <c r="H62" s="485"/>
      <c r="I62" s="485"/>
      <c r="J62" s="330"/>
      <c r="K62" s="330"/>
    </row>
    <row r="63" spans="1:11" s="512" customFormat="1" x14ac:dyDescent="0.2">
      <c r="A63" s="70"/>
      <c r="B63" s="486"/>
      <c r="C63" s="485"/>
      <c r="D63" s="485"/>
      <c r="E63" s="485"/>
      <c r="F63" s="485"/>
      <c r="G63" s="485"/>
      <c r="H63" s="485"/>
      <c r="I63" s="485"/>
      <c r="J63" s="330"/>
      <c r="K63" s="330"/>
    </row>
    <row r="64" spans="1:11" s="512" customFormat="1" x14ac:dyDescent="0.2">
      <c r="A64" s="70"/>
      <c r="B64" s="486"/>
      <c r="C64" s="485"/>
      <c r="D64" s="485"/>
      <c r="E64" s="485"/>
      <c r="F64" s="485"/>
      <c r="G64" s="485"/>
      <c r="H64" s="485"/>
      <c r="I64" s="485"/>
      <c r="J64" s="330"/>
      <c r="K64" s="330"/>
    </row>
    <row r="65" spans="1:11" s="512" customFormat="1" x14ac:dyDescent="0.2">
      <c r="A65" s="70"/>
      <c r="B65" s="486"/>
      <c r="C65" s="485"/>
      <c r="D65" s="485"/>
      <c r="E65" s="485"/>
      <c r="F65" s="485"/>
      <c r="G65" s="485"/>
      <c r="H65" s="485"/>
      <c r="I65" s="485"/>
      <c r="J65" s="330"/>
      <c r="K65" s="330"/>
    </row>
    <row r="66" spans="1:11" s="512" customFormat="1" x14ac:dyDescent="0.2">
      <c r="A66" s="70"/>
      <c r="B66" s="486"/>
      <c r="C66" s="485"/>
      <c r="D66" s="485"/>
      <c r="E66" s="485"/>
      <c r="F66" s="485"/>
      <c r="G66" s="485"/>
      <c r="H66" s="485"/>
      <c r="I66" s="485"/>
      <c r="J66" s="330"/>
      <c r="K66" s="330"/>
    </row>
    <row r="67" spans="1:11" x14ac:dyDescent="0.2">
      <c r="A67" s="1983" t="s">
        <v>3072</v>
      </c>
      <c r="B67" s="1984"/>
      <c r="C67" s="1985"/>
      <c r="D67" s="1986"/>
      <c r="E67"/>
      <c r="F67"/>
      <c r="G67"/>
      <c r="H67"/>
      <c r="I67"/>
      <c r="J67" s="330"/>
      <c r="K67" s="330"/>
    </row>
    <row r="68" spans="1:11" x14ac:dyDescent="0.2">
      <c r="A68" s="1984"/>
      <c r="B68" s="1984"/>
      <c r="C68" s="1987"/>
      <c r="D68" s="1988"/>
      <c r="E68"/>
      <c r="F68"/>
      <c r="G68"/>
      <c r="H68"/>
      <c r="I68"/>
      <c r="J68" s="330"/>
      <c r="K68" s="330"/>
    </row>
    <row r="69" spans="1:11" ht="3" customHeight="1" x14ac:dyDescent="0.2">
      <c r="A69" s="331"/>
      <c r="B69" s="331"/>
      <c r="C69" s="487"/>
      <c r="D69" s="487"/>
      <c r="E69"/>
      <c r="F69"/>
      <c r="G69"/>
      <c r="H69"/>
      <c r="I69"/>
      <c r="J69" s="330"/>
      <c r="K69" s="330"/>
    </row>
    <row r="70" spans="1:11" s="611" customFormat="1" x14ac:dyDescent="0.2">
      <c r="A70" s="1563" t="s">
        <v>3071</v>
      </c>
      <c r="B70" s="1563"/>
      <c r="C70" s="1974" t="s">
        <v>2590</v>
      </c>
      <c r="D70" s="1975"/>
      <c r="E70" s="1975"/>
      <c r="F70" s="1975"/>
      <c r="G70" s="1975"/>
      <c r="H70" s="1975"/>
      <c r="I70" s="1976"/>
      <c r="J70" s="330"/>
      <c r="K70" s="330"/>
    </row>
    <row r="71" spans="1:11" s="611" customFormat="1" x14ac:dyDescent="0.2">
      <c r="A71" s="1563"/>
      <c r="B71" s="1563"/>
      <c r="C71" s="1977"/>
      <c r="D71" s="1978"/>
      <c r="E71" s="1978"/>
      <c r="F71" s="1978"/>
      <c r="G71" s="1978"/>
      <c r="H71" s="1978"/>
      <c r="I71" s="1979"/>
      <c r="J71" s="330"/>
      <c r="K71" s="330"/>
    </row>
    <row r="72" spans="1:11" x14ac:dyDescent="0.2">
      <c r="A72" s="1563"/>
      <c r="B72" s="1563"/>
      <c r="C72" s="1980"/>
      <c r="D72" s="1981"/>
      <c r="E72" s="1981"/>
      <c r="F72" s="1981"/>
      <c r="G72" s="1981"/>
      <c r="H72" s="1981"/>
      <c r="I72" s="1982"/>
      <c r="J72" s="330"/>
      <c r="K72" s="330"/>
    </row>
    <row r="73" spans="1:11" ht="3" customHeight="1" x14ac:dyDescent="0.2">
      <c r="A73" s="331"/>
      <c r="B73" s="331"/>
      <c r="J73" s="330"/>
      <c r="K73" s="330"/>
    </row>
    <row r="74" spans="1:11" x14ac:dyDescent="0.2">
      <c r="A74" s="1563" t="s">
        <v>3066</v>
      </c>
      <c r="B74" s="1563"/>
      <c r="C74" s="666" t="s">
        <v>5654</v>
      </c>
      <c r="J74" s="330" t="b">
        <f>ISBLANK(C74)</f>
        <v>0</v>
      </c>
      <c r="K74" s="330"/>
    </row>
    <row r="75" spans="1:11" ht="3" customHeight="1" x14ac:dyDescent="0.2">
      <c r="A75" s="482"/>
      <c r="B75" s="482"/>
      <c r="J75" s="330"/>
      <c r="K75" s="330"/>
    </row>
    <row r="76" spans="1:11" x14ac:dyDescent="0.2">
      <c r="A76" s="1563" t="s">
        <v>3067</v>
      </c>
      <c r="B76" s="1563"/>
      <c r="C76" s="666" t="s">
        <v>5655</v>
      </c>
      <c r="J76" s="330" t="b">
        <f>ISBLANK(C76)</f>
        <v>0</v>
      </c>
      <c r="K76" s="330"/>
    </row>
    <row r="77" spans="1:11" ht="3" customHeight="1" x14ac:dyDescent="0.2">
      <c r="A77" s="482"/>
      <c r="B77" s="482"/>
      <c r="J77" s="330"/>
      <c r="K77" s="330"/>
    </row>
    <row r="78" spans="1:11" x14ac:dyDescent="0.2">
      <c r="A78" s="1563" t="s">
        <v>3068</v>
      </c>
      <c r="B78" s="1563"/>
      <c r="C78" s="666" t="s">
        <v>5656</v>
      </c>
      <c r="J78" s="330" t="b">
        <f>ISBLANK(C78)</f>
        <v>0</v>
      </c>
      <c r="K78" s="330"/>
    </row>
    <row r="79" spans="1:11" ht="3" customHeight="1" x14ac:dyDescent="0.2">
      <c r="A79" s="482"/>
      <c r="B79" s="482"/>
      <c r="J79" s="330"/>
      <c r="K79" s="330"/>
    </row>
    <row r="80" spans="1:11" x14ac:dyDescent="0.2">
      <c r="A80" s="1563" t="s">
        <v>3073</v>
      </c>
      <c r="B80" s="1563"/>
      <c r="C80" s="666" t="s">
        <v>5657</v>
      </c>
      <c r="D80" s="1972" t="s">
        <v>3453</v>
      </c>
      <c r="J80" s="330" t="b">
        <f>ISBLANK(C80)</f>
        <v>0</v>
      </c>
      <c r="K80" s="330"/>
    </row>
    <row r="81" spans="1:11" ht="3" customHeight="1" x14ac:dyDescent="0.2">
      <c r="A81" s="482"/>
      <c r="B81" s="482"/>
      <c r="D81" s="1972"/>
      <c r="J81" s="330"/>
      <c r="K81" s="330"/>
    </row>
    <row r="82" spans="1:11" x14ac:dyDescent="0.2">
      <c r="A82" s="1563" t="s">
        <v>3074</v>
      </c>
      <c r="B82" s="1563"/>
      <c r="C82" s="666" t="s">
        <v>5658</v>
      </c>
      <c r="D82" s="1972"/>
      <c r="J82" s="330" t="b">
        <f>ISBLANK(C82)</f>
        <v>0</v>
      </c>
      <c r="K82" s="330"/>
    </row>
    <row r="83" spans="1:11" ht="3" customHeight="1" x14ac:dyDescent="0.2">
      <c r="A83" s="482"/>
      <c r="B83" s="482"/>
      <c r="J83" s="330"/>
      <c r="K83" s="330"/>
    </row>
    <row r="84" spans="1:11" x14ac:dyDescent="0.2">
      <c r="A84" s="1563" t="s">
        <v>3069</v>
      </c>
      <c r="B84" s="1563"/>
      <c r="C84" s="666" t="s">
        <v>5659</v>
      </c>
      <c r="D84" s="489" t="s">
        <v>3075</v>
      </c>
      <c r="J84" s="330" t="b">
        <f>ISBLANK(C84)</f>
        <v>0</v>
      </c>
      <c r="K84" s="330"/>
    </row>
    <row r="85" spans="1:11" x14ac:dyDescent="0.2">
      <c r="D85" s="490"/>
      <c r="J85" s="330"/>
      <c r="K85" s="330"/>
    </row>
    <row r="86" spans="1:11" x14ac:dyDescent="0.2">
      <c r="J86" s="330"/>
      <c r="K86" s="330"/>
    </row>
    <row r="87" spans="1:11" s="512" customFormat="1" x14ac:dyDescent="0.2">
      <c r="J87" s="330"/>
      <c r="K87" s="330"/>
    </row>
    <row r="88" spans="1:11" s="512" customFormat="1" x14ac:dyDescent="0.2">
      <c r="J88" s="330"/>
      <c r="K88" s="330"/>
    </row>
    <row r="89" spans="1:11" x14ac:dyDescent="0.2">
      <c r="C89" s="331" t="s">
        <v>3076</v>
      </c>
      <c r="J89" s="330"/>
      <c r="K89" s="330"/>
    </row>
    <row r="90" spans="1:11" x14ac:dyDescent="0.2">
      <c r="C90" s="1972" t="s">
        <v>3077</v>
      </c>
      <c r="D90" s="1972"/>
      <c r="E90" s="1972"/>
      <c r="F90" s="1972"/>
      <c r="G90" s="1972"/>
      <c r="H90" s="1972"/>
      <c r="I90" s="1972"/>
      <c r="J90" s="330"/>
      <c r="K90" s="330"/>
    </row>
    <row r="91" spans="1:11" x14ac:dyDescent="0.2">
      <c r="J91" s="330"/>
      <c r="K91" s="330"/>
    </row>
    <row r="92" spans="1:11" x14ac:dyDescent="0.2">
      <c r="C92" s="491" t="s">
        <v>3078</v>
      </c>
      <c r="D92" s="491" t="s">
        <v>3079</v>
      </c>
      <c r="E92" s="1989" t="s">
        <v>3080</v>
      </c>
      <c r="F92" s="1989"/>
      <c r="G92" s="1546" t="s">
        <v>3454</v>
      </c>
      <c r="H92" s="1546"/>
      <c r="J92" s="330"/>
      <c r="K92" s="330"/>
    </row>
    <row r="93" spans="1:11" x14ac:dyDescent="0.2">
      <c r="B93" s="454">
        <v>1</v>
      </c>
      <c r="C93" s="624" t="s">
        <v>5660</v>
      </c>
      <c r="D93" s="624" t="s">
        <v>5661</v>
      </c>
      <c r="E93" s="1963" t="s">
        <v>5662</v>
      </c>
      <c r="F93" s="1963"/>
      <c r="G93" s="1963" t="s">
        <v>5662</v>
      </c>
      <c r="H93" s="1963"/>
      <c r="J93" s="455" t="b">
        <f>AND(OR(ISBLANK(C93),ISBLANK(D93),ISBLANK(E93),ISBLANK(G93)),K93)</f>
        <v>0</v>
      </c>
      <c r="K93" s="494" t="b">
        <f>OR(NOT(ISBLANK(C93)),NOT(ISBLANK(D93)),NOT(ISBLANK(E93)),NOT(ISBLANK(G93)))</f>
        <v>1</v>
      </c>
    </row>
    <row r="94" spans="1:11" x14ac:dyDescent="0.2">
      <c r="B94" s="454">
        <v>2</v>
      </c>
      <c r="C94" s="624"/>
      <c r="D94" s="624"/>
      <c r="E94" s="1963"/>
      <c r="F94" s="1963"/>
      <c r="G94" s="1963"/>
      <c r="H94" s="1963"/>
      <c r="J94" s="617" t="b">
        <f>AND(OR(ISBLANK(C94),ISBLANK(D94),ISBLANK(E94),ISBLANK(G94)),K94)</f>
        <v>0</v>
      </c>
      <c r="K94" s="494" t="b">
        <f>OR(NOT(ISBLANK(C94)),NOT(ISBLANK(D94)),NOT(ISBLANK(E94)),NOT(ISBLANK(G94)))</f>
        <v>0</v>
      </c>
    </row>
    <row r="95" spans="1:11" x14ac:dyDescent="0.2">
      <c r="B95" s="454">
        <v>3</v>
      </c>
      <c r="C95" s="624"/>
      <c r="D95" s="624"/>
      <c r="E95" s="1963"/>
      <c r="F95" s="1963"/>
      <c r="G95" s="1963"/>
      <c r="H95" s="1963"/>
      <c r="J95" s="617" t="b">
        <f>AND(OR(ISBLANK(C95),ISBLANK(D95),ISBLANK(E95),ISBLANK(G95)),K95)</f>
        <v>0</v>
      </c>
      <c r="K95" s="494" t="b">
        <f>OR(NOT(ISBLANK(C95)),NOT(ISBLANK(D95)),NOT(ISBLANK(E95)),NOT(ISBLANK(G95)))</f>
        <v>0</v>
      </c>
    </row>
    <row r="96" spans="1:11" x14ac:dyDescent="0.2">
      <c r="B96" s="454">
        <v>4</v>
      </c>
      <c r="C96" s="624"/>
      <c r="D96" s="624"/>
      <c r="E96" s="1963"/>
      <c r="F96" s="1963"/>
      <c r="G96" s="1963"/>
      <c r="H96" s="1963"/>
      <c r="J96" s="617" t="b">
        <f>AND(OR(ISBLANK(C96),ISBLANK(D96),ISBLANK(E96),ISBLANK(G96)),K96)</f>
        <v>0</v>
      </c>
      <c r="K96" s="494" t="b">
        <f>OR(NOT(ISBLANK(C96)),NOT(ISBLANK(D96)),NOT(ISBLANK(E96)),NOT(ISBLANK(G96)))</f>
        <v>0</v>
      </c>
    </row>
    <row r="97" spans="2:11" x14ac:dyDescent="0.2">
      <c r="B97" s="454">
        <v>5</v>
      </c>
      <c r="C97" s="624"/>
      <c r="D97" s="624"/>
      <c r="E97" s="1963"/>
      <c r="F97" s="1963"/>
      <c r="G97" s="1963"/>
      <c r="H97" s="1963"/>
      <c r="J97" s="617" t="b">
        <f>AND(OR(ISBLANK(C97),ISBLANK(D97),ISBLANK(E97),ISBLANK(G97)),K97)</f>
        <v>0</v>
      </c>
      <c r="K97" s="494" t="b">
        <f>OR(NOT(ISBLANK(C97)),NOT(ISBLANK(D97)),NOT(ISBLANK(E97)),NOT(ISBLANK(G97)))</f>
        <v>0</v>
      </c>
    </row>
    <row r="98" spans="2:11" x14ac:dyDescent="0.2">
      <c r="K98" s="330"/>
    </row>
    <row r="99" spans="2:11" x14ac:dyDescent="0.2">
      <c r="K99" s="330"/>
    </row>
    <row r="100" spans="2:11" x14ac:dyDescent="0.2">
      <c r="K100" s="330"/>
    </row>
    <row r="101" spans="2:11" x14ac:dyDescent="0.2">
      <c r="C101" s="331" t="s">
        <v>3081</v>
      </c>
      <c r="K101" s="330"/>
    </row>
    <row r="102" spans="2:11" x14ac:dyDescent="0.2">
      <c r="C102" s="490"/>
      <c r="K102" s="330"/>
    </row>
    <row r="103" spans="2:11" x14ac:dyDescent="0.2">
      <c r="K103" s="330"/>
    </row>
    <row r="104" spans="2:11" ht="29" x14ac:dyDescent="0.2">
      <c r="C104" s="1990" t="s">
        <v>3083</v>
      </c>
      <c r="D104" s="1990"/>
      <c r="E104" s="1991" t="s">
        <v>3084</v>
      </c>
      <c r="F104" s="1992"/>
      <c r="G104" s="458" t="s">
        <v>3085</v>
      </c>
      <c r="H104" s="492" t="s">
        <v>3086</v>
      </c>
      <c r="I104" s="493"/>
      <c r="K104" s="493"/>
    </row>
    <row r="105" spans="2:11" x14ac:dyDescent="0.2">
      <c r="B105" s="613">
        <v>1</v>
      </c>
      <c r="C105" s="1963"/>
      <c r="D105" s="1963"/>
      <c r="E105" s="1999" t="str">
        <f>'Overview (Verification)'!P13&amp;", "&amp;'Overview (Verification)'!P14&amp;" "&amp;'Overview (Verification)'!P16</f>
        <v>Atlanta, Georgia 30311</v>
      </c>
      <c r="F105" s="2000"/>
      <c r="G105" s="702"/>
      <c r="H105" s="625"/>
      <c r="I105" s="494"/>
      <c r="J105" s="617" t="b">
        <f>AND(OR(ISBLANK(C105),ISBLANK(G105),ISBLANK(H105)),K105)</f>
        <v>0</v>
      </c>
      <c r="K105" s="494" t="b">
        <f t="shared" ref="K105:K114" si="0">OR(NOT(ISBLANK(C105)),NOT(ISBLANK(G105)),NOT(ISBLANK(H105)))</f>
        <v>0</v>
      </c>
    </row>
    <row r="106" spans="2:11" x14ac:dyDescent="0.2">
      <c r="B106" s="613">
        <v>2</v>
      </c>
      <c r="C106" s="1963"/>
      <c r="D106" s="1963"/>
      <c r="E106" s="2001"/>
      <c r="F106" s="2002"/>
      <c r="G106" s="702"/>
      <c r="H106" s="625"/>
      <c r="I106" s="494"/>
      <c r="J106" s="664" t="b">
        <f t="shared" ref="J106:J114" si="1">AND(OR(ISBLANK(C106),ISBLANK(G106),ISBLANK(H106)),K106)</f>
        <v>0</v>
      </c>
      <c r="K106" s="494" t="b">
        <f t="shared" si="0"/>
        <v>0</v>
      </c>
    </row>
    <row r="107" spans="2:11" x14ac:dyDescent="0.2">
      <c r="B107" s="613">
        <v>3</v>
      </c>
      <c r="C107" s="1963"/>
      <c r="D107" s="1963"/>
      <c r="E107" s="2001"/>
      <c r="F107" s="2002"/>
      <c r="G107" s="702"/>
      <c r="H107" s="625"/>
      <c r="I107" s="494"/>
      <c r="J107" s="664" t="b">
        <f t="shared" si="1"/>
        <v>0</v>
      </c>
      <c r="K107" s="494" t="b">
        <f t="shared" si="0"/>
        <v>0</v>
      </c>
    </row>
    <row r="108" spans="2:11" x14ac:dyDescent="0.2">
      <c r="B108" s="613">
        <v>4</v>
      </c>
      <c r="C108" s="1963"/>
      <c r="D108" s="1963"/>
      <c r="E108" s="2001"/>
      <c r="F108" s="2002"/>
      <c r="G108" s="702"/>
      <c r="H108" s="625"/>
      <c r="I108" s="494"/>
      <c r="J108" s="664" t="b">
        <f t="shared" si="1"/>
        <v>0</v>
      </c>
      <c r="K108" s="494" t="b">
        <f t="shared" si="0"/>
        <v>0</v>
      </c>
    </row>
    <row r="109" spans="2:11" x14ac:dyDescent="0.2">
      <c r="B109" s="613">
        <v>5</v>
      </c>
      <c r="C109" s="1963"/>
      <c r="D109" s="1963"/>
      <c r="E109" s="2001"/>
      <c r="F109" s="2002"/>
      <c r="G109" s="702"/>
      <c r="H109" s="625"/>
      <c r="I109" s="494"/>
      <c r="J109" s="664" t="b">
        <f t="shared" si="1"/>
        <v>0</v>
      </c>
      <c r="K109" s="494" t="b">
        <f t="shared" si="0"/>
        <v>0</v>
      </c>
    </row>
    <row r="110" spans="2:11" x14ac:dyDescent="0.2">
      <c r="B110" s="613">
        <v>6</v>
      </c>
      <c r="C110" s="1963"/>
      <c r="D110" s="1963"/>
      <c r="E110" s="2001"/>
      <c r="F110" s="2002"/>
      <c r="G110" s="702"/>
      <c r="H110" s="625"/>
      <c r="I110" s="494"/>
      <c r="J110" s="664" t="b">
        <f t="shared" si="1"/>
        <v>0</v>
      </c>
      <c r="K110" s="494" t="b">
        <f t="shared" si="0"/>
        <v>0</v>
      </c>
    </row>
    <row r="111" spans="2:11" x14ac:dyDescent="0.2">
      <c r="B111" s="613">
        <v>7</v>
      </c>
      <c r="C111" s="1963"/>
      <c r="D111" s="1963"/>
      <c r="E111" s="2001"/>
      <c r="F111" s="2002"/>
      <c r="G111" s="702"/>
      <c r="H111" s="625"/>
      <c r="I111" s="494"/>
      <c r="J111" s="664" t="b">
        <f t="shared" si="1"/>
        <v>0</v>
      </c>
      <c r="K111" s="494" t="b">
        <f t="shared" si="0"/>
        <v>0</v>
      </c>
    </row>
    <row r="112" spans="2:11" x14ac:dyDescent="0.2">
      <c r="B112" s="613">
        <v>8</v>
      </c>
      <c r="C112" s="1963"/>
      <c r="D112" s="1963"/>
      <c r="E112" s="2001"/>
      <c r="F112" s="2002"/>
      <c r="G112" s="702"/>
      <c r="H112" s="625"/>
      <c r="I112" s="494"/>
      <c r="J112" s="664" t="b">
        <f t="shared" si="1"/>
        <v>0</v>
      </c>
      <c r="K112" s="494" t="b">
        <f t="shared" si="0"/>
        <v>0</v>
      </c>
    </row>
    <row r="113" spans="2:12" x14ac:dyDescent="0.2">
      <c r="B113" s="613">
        <v>9</v>
      </c>
      <c r="C113" s="1963"/>
      <c r="D113" s="1963"/>
      <c r="E113" s="2001"/>
      <c r="F113" s="2002"/>
      <c r="G113" s="702"/>
      <c r="H113" s="625"/>
      <c r="I113" s="494"/>
      <c r="J113" s="664" t="b">
        <f t="shared" si="1"/>
        <v>0</v>
      </c>
      <c r="K113" s="494" t="b">
        <f t="shared" si="0"/>
        <v>0</v>
      </c>
    </row>
    <row r="114" spans="2:12" x14ac:dyDescent="0.2">
      <c r="B114" s="613">
        <v>10</v>
      </c>
      <c r="C114" s="1963"/>
      <c r="D114" s="1963"/>
      <c r="E114" s="2001"/>
      <c r="F114" s="2002"/>
      <c r="G114" s="702"/>
      <c r="H114" s="625"/>
      <c r="I114" s="494"/>
      <c r="J114" s="664" t="b">
        <f t="shared" si="1"/>
        <v>0</v>
      </c>
      <c r="K114" s="494" t="b">
        <f t="shared" si="0"/>
        <v>0</v>
      </c>
    </row>
    <row r="115" spans="2:12" s="1170" customFormat="1" x14ac:dyDescent="0.2">
      <c r="B115" s="1169">
        <v>11</v>
      </c>
      <c r="C115" s="1963"/>
      <c r="D115" s="1963"/>
      <c r="E115" s="2001"/>
      <c r="F115" s="2002"/>
      <c r="G115" s="702"/>
      <c r="H115" s="625"/>
      <c r="I115" s="494"/>
      <c r="J115" s="1170" t="b">
        <f>AND(OR(ISBLANK(C115),ISBLANK(G115),ISBLANK(H115)),K115)</f>
        <v>0</v>
      </c>
      <c r="K115" s="494" t="b">
        <f t="shared" ref="K115:K124" si="2">OR(NOT(ISBLANK(C115)),NOT(ISBLANK(G115)),NOT(ISBLANK(H115)))</f>
        <v>0</v>
      </c>
    </row>
    <row r="116" spans="2:12" s="1170" customFormat="1" x14ac:dyDescent="0.2">
      <c r="B116" s="1169">
        <v>12</v>
      </c>
      <c r="C116" s="1963"/>
      <c r="D116" s="1963"/>
      <c r="E116" s="2001"/>
      <c r="F116" s="2002"/>
      <c r="G116" s="702"/>
      <c r="H116" s="625"/>
      <c r="I116" s="494"/>
      <c r="J116" s="1170" t="b">
        <f t="shared" ref="J116:J124" si="3">AND(OR(ISBLANK(C116),ISBLANK(G116),ISBLANK(H116)),K116)</f>
        <v>0</v>
      </c>
      <c r="K116" s="494" t="b">
        <f t="shared" si="2"/>
        <v>0</v>
      </c>
    </row>
    <row r="117" spans="2:12" s="1170" customFormat="1" x14ac:dyDescent="0.2">
      <c r="B117" s="1169">
        <v>13</v>
      </c>
      <c r="C117" s="1963"/>
      <c r="D117" s="1963"/>
      <c r="E117" s="2001"/>
      <c r="F117" s="2002"/>
      <c r="G117" s="702"/>
      <c r="H117" s="625"/>
      <c r="I117" s="494"/>
      <c r="J117" s="1170" t="b">
        <f t="shared" si="3"/>
        <v>0</v>
      </c>
      <c r="K117" s="494" t="b">
        <f t="shared" si="2"/>
        <v>0</v>
      </c>
    </row>
    <row r="118" spans="2:12" s="1170" customFormat="1" x14ac:dyDescent="0.2">
      <c r="B118" s="1169">
        <v>14</v>
      </c>
      <c r="C118" s="1963"/>
      <c r="D118" s="1963"/>
      <c r="E118" s="2001"/>
      <c r="F118" s="2002"/>
      <c r="G118" s="702"/>
      <c r="H118" s="625"/>
      <c r="I118" s="494"/>
      <c r="J118" s="1170" t="b">
        <f t="shared" si="3"/>
        <v>0</v>
      </c>
      <c r="K118" s="494" t="b">
        <f t="shared" si="2"/>
        <v>0</v>
      </c>
    </row>
    <row r="119" spans="2:12" s="1170" customFormat="1" x14ac:dyDescent="0.2">
      <c r="B119" s="1169">
        <v>15</v>
      </c>
      <c r="C119" s="1963"/>
      <c r="D119" s="1963"/>
      <c r="E119" s="2001"/>
      <c r="F119" s="2002"/>
      <c r="G119" s="702"/>
      <c r="H119" s="625"/>
      <c r="I119" s="494"/>
      <c r="J119" s="1170" t="b">
        <f t="shared" si="3"/>
        <v>0</v>
      </c>
      <c r="K119" s="494" t="b">
        <f t="shared" si="2"/>
        <v>0</v>
      </c>
    </row>
    <row r="120" spans="2:12" s="1170" customFormat="1" x14ac:dyDescent="0.2">
      <c r="B120" s="1169">
        <v>16</v>
      </c>
      <c r="C120" s="1963"/>
      <c r="D120" s="1963"/>
      <c r="E120" s="2001"/>
      <c r="F120" s="2002"/>
      <c r="G120" s="702"/>
      <c r="H120" s="625"/>
      <c r="I120" s="494"/>
      <c r="J120" s="1170" t="b">
        <f t="shared" si="3"/>
        <v>0</v>
      </c>
      <c r="K120" s="494" t="b">
        <f t="shared" si="2"/>
        <v>0</v>
      </c>
    </row>
    <row r="121" spans="2:12" s="1170" customFormat="1" x14ac:dyDescent="0.2">
      <c r="B121" s="1169">
        <v>17</v>
      </c>
      <c r="C121" s="1963"/>
      <c r="D121" s="1963"/>
      <c r="E121" s="2001"/>
      <c r="F121" s="2002"/>
      <c r="G121" s="702"/>
      <c r="H121" s="625"/>
      <c r="I121" s="494"/>
      <c r="J121" s="1170" t="b">
        <f t="shared" si="3"/>
        <v>0</v>
      </c>
      <c r="K121" s="494" t="b">
        <f t="shared" si="2"/>
        <v>0</v>
      </c>
    </row>
    <row r="122" spans="2:12" s="1170" customFormat="1" x14ac:dyDescent="0.2">
      <c r="B122" s="1169">
        <v>18</v>
      </c>
      <c r="C122" s="1963"/>
      <c r="D122" s="1963"/>
      <c r="E122" s="2001"/>
      <c r="F122" s="2002"/>
      <c r="G122" s="702"/>
      <c r="H122" s="625"/>
      <c r="I122" s="494"/>
      <c r="J122" s="1170" t="b">
        <f t="shared" si="3"/>
        <v>0</v>
      </c>
      <c r="K122" s="494" t="b">
        <f t="shared" si="2"/>
        <v>0</v>
      </c>
    </row>
    <row r="123" spans="2:12" s="1170" customFormat="1" x14ac:dyDescent="0.2">
      <c r="B123" s="1169">
        <v>19</v>
      </c>
      <c r="C123" s="1963"/>
      <c r="D123" s="1963"/>
      <c r="E123" s="2001"/>
      <c r="F123" s="2002"/>
      <c r="G123" s="702"/>
      <c r="H123" s="625"/>
      <c r="I123" s="494"/>
      <c r="J123" s="1170" t="b">
        <f t="shared" si="3"/>
        <v>0</v>
      </c>
      <c r="K123" s="494" t="b">
        <f t="shared" si="2"/>
        <v>0</v>
      </c>
    </row>
    <row r="124" spans="2:12" s="1170" customFormat="1" x14ac:dyDescent="0.2">
      <c r="B124" s="1169">
        <v>20</v>
      </c>
      <c r="C124" s="1963"/>
      <c r="D124" s="1963"/>
      <c r="E124" s="2003"/>
      <c r="F124" s="2004"/>
      <c r="G124" s="702"/>
      <c r="H124" s="625"/>
      <c r="I124" s="494"/>
      <c r="J124" s="1170" t="b">
        <f t="shared" si="3"/>
        <v>0</v>
      </c>
      <c r="K124" s="494" t="b">
        <f t="shared" si="2"/>
        <v>0</v>
      </c>
    </row>
    <row r="125" spans="2:12" x14ac:dyDescent="0.2">
      <c r="J125" s="464"/>
      <c r="K125" s="464"/>
      <c r="L125" s="330"/>
    </row>
    <row r="126" spans="2:12" x14ac:dyDescent="0.2">
      <c r="B126" s="467"/>
      <c r="C126" s="467"/>
      <c r="D126" s="467"/>
      <c r="E126" s="467"/>
      <c r="F126" s="467"/>
      <c r="G126" s="467"/>
      <c r="H126" s="467"/>
      <c r="I126" s="467"/>
      <c r="J126" s="330"/>
      <c r="K126" s="330"/>
      <c r="L126" s="330"/>
    </row>
    <row r="127" spans="2:12" x14ac:dyDescent="0.2">
      <c r="B127" s="467"/>
      <c r="C127" s="495" t="s">
        <v>3087</v>
      </c>
      <c r="D127" s="467"/>
      <c r="E127" s="467"/>
      <c r="F127" s="467"/>
      <c r="G127" s="467"/>
      <c r="H127" s="467"/>
      <c r="I127" s="467"/>
      <c r="J127" s="330"/>
      <c r="K127" s="330"/>
      <c r="L127" s="330"/>
    </row>
    <row r="128" spans="2:12" ht="3" customHeight="1" x14ac:dyDescent="0.2">
      <c r="B128" s="467"/>
      <c r="C128" s="495"/>
      <c r="D128" s="467"/>
      <c r="E128" s="467"/>
      <c r="F128" s="467"/>
      <c r="G128" s="467"/>
      <c r="H128" s="467"/>
      <c r="I128" s="467"/>
      <c r="J128" s="330"/>
      <c r="K128" s="330"/>
      <c r="L128" s="330"/>
    </row>
    <row r="129" spans="2:12" x14ac:dyDescent="0.2">
      <c r="B129" s="467"/>
      <c r="C129" s="496" t="s">
        <v>4996</v>
      </c>
      <c r="D129" s="469"/>
      <c r="E129" s="469"/>
      <c r="F129" s="469"/>
      <c r="G129" s="469"/>
      <c r="H129" s="467"/>
      <c r="I129" s="467"/>
      <c r="J129" s="330"/>
      <c r="K129" s="330"/>
      <c r="L129" s="330"/>
    </row>
    <row r="130" spans="2:12" ht="3" customHeight="1" x14ac:dyDescent="0.2">
      <c r="B130" s="467"/>
      <c r="C130" s="496"/>
      <c r="D130" s="469"/>
      <c r="E130" s="469"/>
      <c r="F130" s="469"/>
      <c r="G130" s="469"/>
      <c r="H130" s="467"/>
      <c r="I130" s="467"/>
      <c r="J130" s="330"/>
      <c r="K130" s="330"/>
      <c r="L130" s="330"/>
    </row>
    <row r="131" spans="2:12" x14ac:dyDescent="0.2">
      <c r="B131" s="467"/>
      <c r="C131" s="496" t="s">
        <v>4997</v>
      </c>
      <c r="D131" s="469"/>
      <c r="E131" s="469"/>
      <c r="F131" s="469"/>
      <c r="G131" s="469"/>
      <c r="H131" s="467"/>
      <c r="I131" s="467"/>
      <c r="J131" s="330"/>
      <c r="K131" s="330"/>
      <c r="L131" s="330"/>
    </row>
    <row r="132" spans="2:12" ht="3" customHeight="1" x14ac:dyDescent="0.2">
      <c r="B132" s="467"/>
      <c r="C132" s="496"/>
      <c r="D132" s="469"/>
      <c r="E132" s="469"/>
      <c r="F132" s="469"/>
      <c r="G132" s="469"/>
      <c r="H132" s="467"/>
      <c r="I132" s="467"/>
      <c r="J132" s="330"/>
      <c r="K132" s="330"/>
      <c r="L132" s="330"/>
    </row>
    <row r="133" spans="2:12" ht="30" customHeight="1" x14ac:dyDescent="0.2">
      <c r="B133" s="467"/>
      <c r="C133" s="1966" t="s">
        <v>4998</v>
      </c>
      <c r="D133" s="1966"/>
      <c r="E133" s="1966"/>
      <c r="F133" s="1966"/>
      <c r="G133" s="1966"/>
      <c r="H133" s="1966"/>
      <c r="I133" s="1966"/>
      <c r="J133" s="330"/>
      <c r="K133" s="330"/>
      <c r="L133" s="330"/>
    </row>
    <row r="134" spans="2:12" ht="3" customHeight="1" x14ac:dyDescent="0.2">
      <c r="B134" s="467"/>
      <c r="C134" s="1966"/>
      <c r="D134" s="1966"/>
      <c r="E134" s="1966"/>
      <c r="F134" s="1966"/>
      <c r="G134" s="1966"/>
      <c r="H134" s="1966"/>
      <c r="I134" s="1966"/>
      <c r="J134" s="330"/>
      <c r="K134" s="330"/>
      <c r="L134" s="330"/>
    </row>
    <row r="135" spans="2:12" x14ac:dyDescent="0.2">
      <c r="B135" s="467"/>
      <c r="C135" s="496" t="s">
        <v>4999</v>
      </c>
      <c r="D135" s="469"/>
      <c r="E135" s="469"/>
      <c r="F135" s="469"/>
      <c r="G135" s="469"/>
      <c r="H135" s="467"/>
      <c r="I135" s="467"/>
      <c r="J135" s="330"/>
      <c r="K135" s="330"/>
      <c r="L135" s="330"/>
    </row>
    <row r="136" spans="2:12" ht="3" customHeight="1" x14ac:dyDescent="0.2">
      <c r="B136" s="467"/>
      <c r="C136" s="496"/>
      <c r="D136" s="469"/>
      <c r="E136" s="469"/>
      <c r="F136" s="469"/>
      <c r="G136" s="469"/>
      <c r="H136" s="467"/>
      <c r="I136" s="467"/>
      <c r="J136" s="330"/>
      <c r="K136" s="330"/>
      <c r="L136" s="330"/>
    </row>
    <row r="137" spans="2:12" x14ac:dyDescent="0.2">
      <c r="B137" s="467"/>
      <c r="C137" s="1965" t="s">
        <v>5000</v>
      </c>
      <c r="D137" s="1965"/>
      <c r="E137" s="1965"/>
      <c r="F137" s="1965"/>
      <c r="G137" s="1965"/>
      <c r="H137" s="1965"/>
      <c r="I137" s="1965"/>
      <c r="J137" s="497"/>
      <c r="K137" s="497"/>
      <c r="L137" s="330"/>
    </row>
    <row r="138" spans="2:12" ht="3" customHeight="1" x14ac:dyDescent="0.2">
      <c r="B138" s="467"/>
      <c r="C138" s="496"/>
      <c r="D138" s="469"/>
      <c r="E138" s="469"/>
      <c r="F138" s="469"/>
      <c r="G138" s="469"/>
      <c r="H138" s="467"/>
      <c r="I138" s="467"/>
      <c r="J138" s="330"/>
      <c r="K138" s="330"/>
      <c r="L138" s="330"/>
    </row>
    <row r="139" spans="2:12" x14ac:dyDescent="0.2">
      <c r="B139" s="467"/>
      <c r="C139" s="496" t="s">
        <v>5001</v>
      </c>
      <c r="D139" s="469"/>
      <c r="E139" s="469"/>
      <c r="F139" s="469"/>
      <c r="G139" s="469"/>
      <c r="H139" s="467"/>
      <c r="I139" s="467"/>
      <c r="J139" s="330"/>
      <c r="K139" s="330"/>
      <c r="L139" s="330"/>
    </row>
    <row r="140" spans="2:12" ht="3" customHeight="1" x14ac:dyDescent="0.2">
      <c r="B140" s="467"/>
      <c r="C140" s="496"/>
      <c r="D140" s="469"/>
      <c r="E140" s="469"/>
      <c r="F140" s="469"/>
      <c r="G140" s="469"/>
      <c r="H140" s="467"/>
      <c r="I140" s="467"/>
      <c r="J140" s="330"/>
      <c r="K140" s="330"/>
      <c r="L140" s="330"/>
    </row>
    <row r="141" spans="2:12" x14ac:dyDescent="0.2">
      <c r="B141" s="467"/>
      <c r="C141" s="496" t="s">
        <v>5002</v>
      </c>
      <c r="D141" s="469"/>
      <c r="E141" s="469"/>
      <c r="F141" s="469"/>
      <c r="G141" s="469"/>
      <c r="H141" s="467"/>
      <c r="I141" s="467"/>
      <c r="J141" s="330"/>
      <c r="K141" s="330"/>
      <c r="L141" s="330"/>
    </row>
    <row r="142" spans="2:12" ht="3" customHeight="1" x14ac:dyDescent="0.2">
      <c r="B142" s="467"/>
      <c r="C142" s="496"/>
      <c r="D142" s="469"/>
      <c r="E142" s="469"/>
      <c r="F142" s="469"/>
      <c r="G142" s="469"/>
      <c r="H142" s="467"/>
      <c r="I142" s="467"/>
      <c r="J142" s="330"/>
      <c r="K142" s="330"/>
      <c r="L142" s="330"/>
    </row>
    <row r="143" spans="2:12" ht="30" customHeight="1" x14ac:dyDescent="0.2">
      <c r="B143" s="467"/>
      <c r="C143" s="1965" t="s">
        <v>5003</v>
      </c>
      <c r="D143" s="1965"/>
      <c r="E143" s="1965"/>
      <c r="F143" s="1965"/>
      <c r="G143" s="1965"/>
      <c r="H143" s="1965"/>
      <c r="I143" s="1965"/>
      <c r="J143" s="330"/>
      <c r="K143" s="330"/>
      <c r="L143" s="330"/>
    </row>
    <row r="144" spans="2:12" ht="3" customHeight="1" x14ac:dyDescent="0.2">
      <c r="B144" s="467"/>
      <c r="C144" s="496"/>
      <c r="D144" s="469"/>
      <c r="E144" s="469"/>
      <c r="F144" s="469"/>
      <c r="G144" s="469"/>
      <c r="H144" s="467"/>
      <c r="I144" s="467"/>
      <c r="J144" s="330"/>
      <c r="K144" s="330"/>
      <c r="L144" s="330"/>
    </row>
    <row r="145" spans="2:12" ht="30" customHeight="1" x14ac:dyDescent="0.2">
      <c r="B145" s="467"/>
      <c r="C145" s="1966" t="s">
        <v>5004</v>
      </c>
      <c r="D145" s="1966"/>
      <c r="E145" s="1966"/>
      <c r="F145" s="1966"/>
      <c r="G145" s="1966"/>
      <c r="H145" s="1966"/>
      <c r="I145" s="1966"/>
      <c r="J145" s="498"/>
      <c r="K145" s="498"/>
      <c r="L145" s="497"/>
    </row>
    <row r="146" spans="2:12" ht="3" customHeight="1" x14ac:dyDescent="0.2">
      <c r="B146" s="467"/>
      <c r="C146" s="496"/>
      <c r="D146" s="469"/>
      <c r="E146" s="469"/>
      <c r="F146" s="469"/>
      <c r="G146" s="469"/>
      <c r="H146" s="467"/>
      <c r="I146" s="467"/>
      <c r="J146" s="330"/>
      <c r="K146" s="330"/>
      <c r="L146" s="330"/>
    </row>
    <row r="147" spans="2:12" x14ac:dyDescent="0.2">
      <c r="B147" s="467"/>
      <c r="C147" s="496" t="s">
        <v>5005</v>
      </c>
      <c r="D147" s="469"/>
      <c r="E147" s="469"/>
      <c r="F147" s="469"/>
      <c r="G147" s="469"/>
      <c r="H147" s="467"/>
      <c r="I147" s="467"/>
      <c r="J147" s="330"/>
      <c r="K147" s="330"/>
      <c r="L147" s="330"/>
    </row>
    <row r="148" spans="2:12" x14ac:dyDescent="0.2">
      <c r="B148" s="330"/>
      <c r="C148" s="330"/>
      <c r="D148" s="330"/>
      <c r="E148" s="330"/>
      <c r="F148" s="330"/>
      <c r="G148" s="330"/>
      <c r="H148" s="330"/>
      <c r="I148" s="330"/>
      <c r="J148" s="330"/>
      <c r="K148" s="330"/>
      <c r="L148" s="330"/>
    </row>
  </sheetData>
  <sheetProtection algorithmName="SHA-512" hashValue="KhHnN5xznYqRsCM4OZ7W3L7WX77MTTkxfmjF2dG4Vq5HOt3YHti32fs4zqSaHeWFIuFCs+zK7kfeDd+csKOx5Q==" saltValue="MSUSsC0WNh51yq51GlCdww==" spinCount="100000" sheet="1" objects="1" scenarios="1" selectLockedCells="1"/>
  <mergeCells count="87">
    <mergeCell ref="C143:I143"/>
    <mergeCell ref="C133:I134"/>
    <mergeCell ref="C115:D115"/>
    <mergeCell ref="C116:D116"/>
    <mergeCell ref="C117:D117"/>
    <mergeCell ref="C118:D118"/>
    <mergeCell ref="C119:D119"/>
    <mergeCell ref="C120:D120"/>
    <mergeCell ref="C121:D121"/>
    <mergeCell ref="C122:D122"/>
    <mergeCell ref="C123:D123"/>
    <mergeCell ref="C124:D124"/>
    <mergeCell ref="E105:F124"/>
    <mergeCell ref="C107:D107"/>
    <mergeCell ref="C108:D108"/>
    <mergeCell ref="C109:D109"/>
    <mergeCell ref="G10:I10"/>
    <mergeCell ref="C46:D46"/>
    <mergeCell ref="C48:D48"/>
    <mergeCell ref="C50:D50"/>
    <mergeCell ref="C12:D12"/>
    <mergeCell ref="C39:D40"/>
    <mergeCell ref="E39:F39"/>
    <mergeCell ref="C42:I44"/>
    <mergeCell ref="G16:I16"/>
    <mergeCell ref="F18:I18"/>
    <mergeCell ref="E20:E21"/>
    <mergeCell ref="C14:D14"/>
    <mergeCell ref="C16:D16"/>
    <mergeCell ref="C18:D18"/>
    <mergeCell ref="G28:H28"/>
    <mergeCell ref="A39:B40"/>
    <mergeCell ref="A42:B42"/>
    <mergeCell ref="A43:B43"/>
    <mergeCell ref="A44:B44"/>
    <mergeCell ref="C8:D8"/>
    <mergeCell ref="A8:B8"/>
    <mergeCell ref="A10:B10"/>
    <mergeCell ref="A12:B12"/>
    <mergeCell ref="A14:B14"/>
    <mergeCell ref="A16:B16"/>
    <mergeCell ref="C106:D106"/>
    <mergeCell ref="A72:B72"/>
    <mergeCell ref="C52:D52"/>
    <mergeCell ref="A74:B74"/>
    <mergeCell ref="A76:B76"/>
    <mergeCell ref="A78:B78"/>
    <mergeCell ref="A70:B70"/>
    <mergeCell ref="A71:B71"/>
    <mergeCell ref="C70:I72"/>
    <mergeCell ref="A67:B68"/>
    <mergeCell ref="C67:D68"/>
    <mergeCell ref="E92:F92"/>
    <mergeCell ref="G92:H92"/>
    <mergeCell ref="C104:D104"/>
    <mergeCell ref="E104:F104"/>
    <mergeCell ref="G93:H93"/>
    <mergeCell ref="G94:H94"/>
    <mergeCell ref="G95:H95"/>
    <mergeCell ref="G96:H96"/>
    <mergeCell ref="G97:H97"/>
    <mergeCell ref="A80:B80"/>
    <mergeCell ref="D80:D82"/>
    <mergeCell ref="A82:B82"/>
    <mergeCell ref="A84:B84"/>
    <mergeCell ref="C90:I90"/>
    <mergeCell ref="D1:I5"/>
    <mergeCell ref="C36:I37"/>
    <mergeCell ref="C137:I137"/>
    <mergeCell ref="C145:I145"/>
    <mergeCell ref="C55:D55"/>
    <mergeCell ref="C57:I58"/>
    <mergeCell ref="G12:I12"/>
    <mergeCell ref="G14:I14"/>
    <mergeCell ref="G8:I8"/>
    <mergeCell ref="C10:D10"/>
    <mergeCell ref="E93:F93"/>
    <mergeCell ref="E94:F94"/>
    <mergeCell ref="E95:F95"/>
    <mergeCell ref="E96:F96"/>
    <mergeCell ref="E97:F97"/>
    <mergeCell ref="C105:D105"/>
    <mergeCell ref="C110:D110"/>
    <mergeCell ref="C111:D111"/>
    <mergeCell ref="C112:D112"/>
    <mergeCell ref="C113:D113"/>
    <mergeCell ref="C114:D114"/>
  </mergeCells>
  <conditionalFormatting sqref="G39">
    <cfRule type="expression" dxfId="53" priority="14">
      <formula>$G$39=TRUE</formula>
    </cfRule>
  </conditionalFormatting>
  <conditionalFormatting sqref="F32:I32">
    <cfRule type="cellIs" dxfId="52" priority="13" operator="lessThanOrEqual">
      <formula>$E32</formula>
    </cfRule>
  </conditionalFormatting>
  <conditionalFormatting sqref="G8">
    <cfRule type="expression" dxfId="51" priority="7">
      <formula>G8="Gold"</formula>
    </cfRule>
    <cfRule type="expression" dxfId="50" priority="8">
      <formula>G8="Silver"</formula>
    </cfRule>
    <cfRule type="expression" dxfId="49" priority="9">
      <formula>G8="Bronze"</formula>
    </cfRule>
    <cfRule type="expression" dxfId="48" priority="10">
      <formula>G8="Emerald"</formula>
    </cfRule>
  </conditionalFormatting>
  <conditionalFormatting sqref="F18:I18">
    <cfRule type="expression" dxfId="47" priority="5">
      <formula>$J$18</formula>
    </cfRule>
  </conditionalFormatting>
  <conditionalFormatting sqref="C42 C46 C48 C50 C52 C70 C74 C76 C78 C80 C82 C84 C93:H97 C105:H114">
    <cfRule type="notContainsBlanks" dxfId="46" priority="3">
      <formula>LEN(TRIM(C42))&gt;0</formula>
    </cfRule>
  </conditionalFormatting>
  <conditionalFormatting sqref="C93:H97 C105:D114 G105:H114">
    <cfRule type="expression" dxfId="45" priority="4742">
      <formula>$K93</formula>
    </cfRule>
  </conditionalFormatting>
  <conditionalFormatting sqref="C115:D124 G115:H124">
    <cfRule type="notContainsBlanks" dxfId="44" priority="1">
      <formula>LEN(TRIM(C115))&gt;0</formula>
    </cfRule>
  </conditionalFormatting>
  <conditionalFormatting sqref="C115:D124 G115:H124">
    <cfRule type="expression" dxfId="43" priority="2">
      <formula>$K115</formula>
    </cfRule>
  </conditionalFormatting>
  <dataValidations count="1">
    <dataValidation type="list" allowBlank="1" showDropDown="1" showInputMessage="1" showErrorMessage="1" error="Use Checkbox" prompt="Use Checkbox" sqref="G39" xr:uid="{00000000-0002-0000-1100-000000000000}">
      <formula1>TorF</formula1>
    </dataValidation>
  </dataValidations>
  <pageMargins left="0.7" right="0.7" top="0.75" bottom="0.75" header="0.3" footer="0.3"/>
  <pageSetup paperSize="185" scale="76" fitToHeight="0" orientation="landscape" r:id="rId1"/>
  <rowBreaks count="3" manualBreakCount="3">
    <brk id="53" max="8" man="1"/>
    <brk id="88" max="16383" man="1"/>
    <brk id="125" max="8" man="1"/>
  </rowBreaks>
  <drawing r:id="rId2"/>
  <legacyDrawing r:id="rId3"/>
  <mc:AlternateContent xmlns:mc="http://schemas.openxmlformats.org/markup-compatibility/2006">
    <mc:Choice Requires="x14">
      <controls>
        <mc:AlternateContent xmlns:mc="http://schemas.openxmlformats.org/markup-compatibility/2006">
          <mc:Choice Requires="x14">
            <control shapeId="29700" r:id="rId4" name="Check Box 4">
              <controlPr locked="0" defaultSize="0" autoFill="0" autoLine="0" autoPict="0">
                <anchor moveWithCells="1">
                  <from>
                    <xdr:col>6</xdr:col>
                    <xdr:colOff>0</xdr:colOff>
                    <xdr:row>38</xdr:row>
                    <xdr:rowOff>0</xdr:rowOff>
                  </from>
                  <to>
                    <xdr:col>6</xdr:col>
                    <xdr:colOff>177800</xdr:colOff>
                    <xdr:row>38</xdr:row>
                    <xdr:rowOff>177800</xdr:rowOff>
                  </to>
                </anchor>
              </controlPr>
            </control>
          </mc:Choice>
        </mc:AlternateContent>
      </controls>
    </mc:Choice>
  </mc:AlternateContent>
  <extLst>
    <ext xmlns:x14="http://schemas.microsoft.com/office/spreadsheetml/2009/9/main" uri="{78C0D931-6437-407d-A8EE-F0AAD7539E65}">
      <x14:conditionalFormattings>
        <x14:conditionalFormatting xmlns:xm="http://schemas.microsoft.com/office/excel/2006/main">
          <x14:cfRule type="expression" priority="6" id="{128E1DF5-B51E-4D75-80EB-08F9971F1789}">
            <xm:f>OR('Verification Report'!$AI$3,'Verification Report'!$AG$3)</xm:f>
            <x14:dxf>
              <font>
                <b/>
                <i val="0"/>
                <color theme="1"/>
              </font>
              <fill>
                <patternFill>
                  <bgColor rgb="FFFF0000"/>
                </patternFill>
              </fill>
            </x14:dxf>
          </x14:cfRule>
          <xm:sqref>C18:D18</xm:sqref>
        </x14:conditionalFormatting>
        <x14:conditionalFormatting xmlns:xm="http://schemas.microsoft.com/office/excel/2006/main">
          <x14:cfRule type="expression" priority="10047" stopIfTrue="1" id="{F8739ABB-6B55-48D6-B2F0-82315F2C898B}">
            <xm:f>MIN(Points!#REF!)&lt;3</xm:f>
            <x14:dxf>
              <fill>
                <patternFill patternType="lightGray"/>
              </fill>
            </x14:dxf>
          </x14:cfRule>
          <xm:sqref>H32</xm:sqref>
        </x14:conditionalFormatting>
        <x14:conditionalFormatting xmlns:xm="http://schemas.microsoft.com/office/excel/2006/main">
          <x14:cfRule type="expression" priority="10048" id="{8C727C8C-E261-4E43-A18E-EEBDB77E3D7F}">
            <xm:f>MIN(Points!#REF!)&lt;4</xm:f>
            <x14:dxf>
              <fill>
                <patternFill patternType="lightGray"/>
              </fill>
            </x14:dxf>
          </x14:cfRule>
          <xm:sqref>I32</xm:sqref>
        </x14:conditionalFormatting>
      </x14:conditionalFormattings>
    </ext>
  </extLst>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E3EA251-03CF-415C-A340-2E4983FC1DE4}">
  <sheetPr codeName="Sheet28">
    <pageSetUpPr fitToPage="1"/>
  </sheetPr>
  <dimension ref="A1:M147"/>
  <sheetViews>
    <sheetView showGridLines="0" zoomScaleNormal="100" workbookViewId="0">
      <selection activeCell="C39" sqref="C39:D40"/>
    </sheetView>
  </sheetViews>
  <sheetFormatPr baseColWidth="10" defaultColWidth="9.1640625" defaultRowHeight="15" x14ac:dyDescent="0.2"/>
  <cols>
    <col min="1" max="2" width="10.6640625" style="1421" customWidth="1"/>
    <col min="3" max="3" width="43.33203125" style="1421" customWidth="1"/>
    <col min="4" max="9" width="15.6640625" style="1421" customWidth="1"/>
    <col min="10" max="11" width="15.6640625" style="1421" hidden="1" customWidth="1"/>
    <col min="12" max="13" width="30.6640625" style="1421" hidden="1" customWidth="1"/>
    <col min="14" max="16384" width="9.1640625" style="1421"/>
  </cols>
  <sheetData>
    <row r="1" spans="1:13" x14ac:dyDescent="0.2">
      <c r="D1" s="1644" t="s">
        <v>5034</v>
      </c>
      <c r="E1" s="1644"/>
      <c r="F1" s="1644"/>
      <c r="G1" s="1644"/>
      <c r="H1" s="1644"/>
      <c r="I1" s="1644"/>
    </row>
    <row r="2" spans="1:13" x14ac:dyDescent="0.2">
      <c r="D2" s="1644"/>
      <c r="E2" s="1644"/>
      <c r="F2" s="1644"/>
      <c r="G2" s="1644"/>
      <c r="H2" s="1644"/>
      <c r="I2" s="1644"/>
    </row>
    <row r="3" spans="1:13" x14ac:dyDescent="0.2">
      <c r="D3" s="1644"/>
      <c r="E3" s="1644"/>
      <c r="F3" s="1644"/>
      <c r="G3" s="1644"/>
      <c r="H3" s="1644"/>
      <c r="I3" s="1644"/>
    </row>
    <row r="4" spans="1:13" x14ac:dyDescent="0.2">
      <c r="D4" s="1644"/>
      <c r="E4" s="1644"/>
      <c r="F4" s="1644"/>
      <c r="G4" s="1644"/>
      <c r="H4" s="1644"/>
      <c r="I4" s="1644"/>
    </row>
    <row r="5" spans="1:13" x14ac:dyDescent="0.2">
      <c r="D5" s="1644"/>
      <c r="E5" s="1644"/>
      <c r="F5" s="1644"/>
      <c r="G5" s="1644"/>
      <c r="H5" s="1644"/>
      <c r="I5" s="1644"/>
    </row>
    <row r="6" spans="1:13" ht="19" x14ac:dyDescent="0.25">
      <c r="A6" s="622"/>
      <c r="B6" s="622"/>
      <c r="C6" s="14" t="s">
        <v>5592</v>
      </c>
      <c r="D6" s="622"/>
      <c r="E6" s="622"/>
      <c r="F6" s="622"/>
      <c r="G6" s="622"/>
      <c r="H6" s="622"/>
      <c r="I6" s="622"/>
      <c r="J6" s="1414" t="s">
        <v>246</v>
      </c>
      <c r="K6" s="1414" t="s">
        <v>246</v>
      </c>
      <c r="L6" s="1414" t="s">
        <v>246</v>
      </c>
      <c r="M6" s="1414" t="s">
        <v>246</v>
      </c>
    </row>
    <row r="8" spans="1:13" x14ac:dyDescent="0.2">
      <c r="A8" s="2005" t="s">
        <v>3047</v>
      </c>
      <c r="B8" s="2005"/>
      <c r="C8" s="1971" t="str">
        <f>IF(dstBatch,"See Batch Submission",IF('Overview (Verification)'!P8="","None entered on ""Overview (Verification)"" Sheet",'Overview (Verification)'!P8))</f>
        <v>See Batch Submission</v>
      </c>
      <c r="D8" s="1971"/>
      <c r="F8" s="1416" t="s">
        <v>5593</v>
      </c>
      <c r="G8" s="1421" t="str">
        <f ca="1">IF('Ver. Rpt. (Commercial)'!S14=0,"NOT PERSUING COMMERCIAL",'Ver. Rpt. (Commercial)'!W13)</f>
        <v>NOT PERSUING COMMERCIAL</v>
      </c>
    </row>
    <row r="9" spans="1:13" ht="3" customHeight="1" x14ac:dyDescent="0.2">
      <c r="A9" s="88"/>
      <c r="B9" s="88"/>
      <c r="C9" s="1462"/>
      <c r="D9" s="1462"/>
      <c r="F9" s="1416"/>
    </row>
    <row r="10" spans="1:13" x14ac:dyDescent="0.2">
      <c r="A10" s="2005" t="s">
        <v>3049</v>
      </c>
      <c r="B10" s="2005"/>
      <c r="C10" s="1971" t="str">
        <f>IF('Overview (Verification)'!P10="","None entered on ""Overview (Verification)"" Sheet",'Overview (Verification)'!P10)</f>
        <v>TWG Development</v>
      </c>
      <c r="D10" s="1971"/>
      <c r="F10" s="1416" t="s">
        <v>3051</v>
      </c>
      <c r="G10" s="2006" t="str">
        <f>'Overview (Verification)'!P32</f>
        <v>n/a</v>
      </c>
      <c r="H10" s="2006"/>
      <c r="I10" s="2006"/>
    </row>
    <row r="11" spans="1:13" ht="3" customHeight="1" x14ac:dyDescent="0.2">
      <c r="A11" s="1483"/>
      <c r="B11" s="1483"/>
      <c r="C11" s="1462"/>
      <c r="D11" s="514"/>
      <c r="F11" s="1416"/>
      <c r="G11" s="2006"/>
      <c r="H11" s="2006"/>
      <c r="I11" s="2006"/>
    </row>
    <row r="12" spans="1:13" x14ac:dyDescent="0.2">
      <c r="A12" s="2005" t="s">
        <v>3216</v>
      </c>
      <c r="B12" s="2005"/>
      <c r="C12" s="1971" t="str">
        <f>IF(dstBatch,"See Batch Submission",IF('Overview (Verification)'!P13="","None entered on ""Overview (Verification)"" Sheet",'Overview (Verification)'!P11&amp;", "&amp;'Overview (Verification)'!P13&amp;", "&amp;'Overview (Verification)'!P14&amp;"  "&amp;'Overview (Verification)'!P16))</f>
        <v>See Batch Submission</v>
      </c>
      <c r="D12" s="1971"/>
      <c r="G12" s="2006"/>
      <c r="H12" s="2006"/>
      <c r="I12" s="2006"/>
    </row>
    <row r="13" spans="1:13" ht="3" customHeight="1" x14ac:dyDescent="0.2">
      <c r="A13" s="1483"/>
      <c r="B13" s="1483"/>
      <c r="C13" s="1462"/>
      <c r="D13" s="514"/>
      <c r="G13" s="2006"/>
      <c r="H13" s="2006"/>
      <c r="I13" s="2006"/>
    </row>
    <row r="14" spans="1:13" x14ac:dyDescent="0.2">
      <c r="A14" s="2005" t="s">
        <v>130</v>
      </c>
      <c r="B14" s="2005"/>
      <c r="C14" s="1971" t="str">
        <f>IF('Overview (Verification)'!P12="","None entered on ""Overview (Verification)"" Sheet",'Overview (Verification)'!P12)</f>
        <v>None entered on "Overview (Verification)" Sheet</v>
      </c>
      <c r="D14" s="1971"/>
      <c r="G14" s="2006"/>
      <c r="H14" s="2006"/>
      <c r="I14" s="2006"/>
    </row>
    <row r="15" spans="1:13" ht="3" customHeight="1" x14ac:dyDescent="0.2">
      <c r="A15" s="1483"/>
      <c r="B15" s="1483"/>
      <c r="C15" s="1462"/>
      <c r="D15" s="514"/>
      <c r="F15" s="1416"/>
      <c r="G15" s="2006"/>
      <c r="H15" s="2006"/>
      <c r="I15" s="2006"/>
    </row>
    <row r="16" spans="1:13" x14ac:dyDescent="0.2">
      <c r="A16" s="2005" t="s">
        <v>2920</v>
      </c>
      <c r="B16" s="2005"/>
      <c r="C16" s="1971" t="str">
        <f>'Overview (Verification)'!U11&amp;" "&amp;'Overview (Verification)'!V11&amp;" "&amp;'Overview (Verification)'!W11&amp;" "&amp;'Overview (Verification)'!Y11</f>
        <v xml:space="preserve">3 Moist    </v>
      </c>
      <c r="D16" s="1971"/>
      <c r="G16" s="2006"/>
      <c r="H16" s="2006"/>
      <c r="I16" s="2006"/>
    </row>
    <row r="17" spans="1:10" ht="3" customHeight="1" x14ac:dyDescent="0.2">
      <c r="C17" s="1415"/>
      <c r="D17" s="465"/>
      <c r="F17" s="1416"/>
      <c r="G17" s="466"/>
      <c r="H17" s="466"/>
      <c r="I17" s="466"/>
    </row>
    <row r="18" spans="1:10" ht="14.5" customHeight="1" x14ac:dyDescent="0.2">
      <c r="C18" s="1995" t="s">
        <v>3226</v>
      </c>
      <c r="D18" s="1995"/>
      <c r="F18" s="1995" t="s">
        <v>3227</v>
      </c>
      <c r="G18" s="1995"/>
      <c r="H18" s="1995"/>
      <c r="I18" s="1995"/>
      <c r="J18" s="1421" t="b">
        <f>OR(J74:J124)</f>
        <v>1</v>
      </c>
    </row>
    <row r="19" spans="1:10" x14ac:dyDescent="0.2">
      <c r="A19" s="467"/>
      <c r="B19" s="467"/>
    </row>
    <row r="20" spans="1:10" x14ac:dyDescent="0.2">
      <c r="A20" s="467"/>
      <c r="B20" s="467"/>
    </row>
    <row r="21" spans="1:10" x14ac:dyDescent="0.2">
      <c r="A21" s="467"/>
      <c r="B21" s="467"/>
      <c r="C21" s="1675"/>
    </row>
    <row r="22" spans="1:10" ht="15" customHeight="1" x14ac:dyDescent="0.2">
      <c r="A22" s="467"/>
      <c r="B22" s="467"/>
      <c r="C22" s="1675"/>
    </row>
    <row r="23" spans="1:10" ht="3" customHeight="1" x14ac:dyDescent="0.2">
      <c r="A23" s="467"/>
      <c r="B23" s="467"/>
      <c r="C23" s="1675"/>
    </row>
    <row r="24" spans="1:10" ht="15" customHeight="1" x14ac:dyDescent="0.2">
      <c r="A24" s="467"/>
      <c r="B24" s="467"/>
      <c r="C24" s="1675"/>
      <c r="E24" s="1931" t="str">
        <f ca="1">IF('Ver. Rpt. (Commercial)'!S14=0,"NOT PERSUING COMMERCIAL",IF('Ver. Rpt. (Commercial)'!S14=2,"CORE &amp; SHELL SELECTED, USE FINAL COMM. SIG.",IF('Ver. Rpt. (Commercial)'!L5="Final","NO LONGER ROUGH PHASE",IF(OR('Ver. Rpt. (Commercial)'!AH2,'Ver. Rpt. (Commercial)'!AH4),"ERRORS REMAINING","ALL ROUGH PRACTICES MET"))))</f>
        <v>NOT PERSUING COMMERCIAL</v>
      </c>
      <c r="F24" s="1931"/>
      <c r="G24" s="1931"/>
      <c r="H24" s="1931"/>
    </row>
    <row r="25" spans="1:10" ht="15" customHeight="1" x14ac:dyDescent="0.2">
      <c r="A25" s="467"/>
      <c r="B25" s="467"/>
      <c r="C25" s="1675"/>
      <c r="E25" s="1931"/>
      <c r="F25" s="1931"/>
      <c r="G25" s="1931"/>
      <c r="H25" s="1931"/>
    </row>
    <row r="26" spans="1:10" ht="15" customHeight="1" x14ac:dyDescent="0.2">
      <c r="A26" s="467"/>
      <c r="B26" s="467"/>
      <c r="C26" s="1675"/>
      <c r="E26" s="1931"/>
      <c r="F26" s="1931"/>
      <c r="G26" s="1931"/>
      <c r="H26" s="1931"/>
    </row>
    <row r="27" spans="1:10" ht="15" customHeight="1" x14ac:dyDescent="0.2">
      <c r="A27" s="467"/>
      <c r="B27" s="467"/>
      <c r="C27" s="1675"/>
      <c r="E27" s="1931"/>
      <c r="F27" s="1931"/>
      <c r="G27" s="1931"/>
      <c r="H27" s="1931"/>
    </row>
    <row r="28" spans="1:10" ht="15" customHeight="1" x14ac:dyDescent="0.2">
      <c r="A28" s="467"/>
      <c r="B28" s="467"/>
      <c r="C28" s="1675"/>
      <c r="E28" s="1931"/>
      <c r="F28" s="1931"/>
      <c r="G28" s="1931"/>
      <c r="H28" s="1931"/>
    </row>
    <row r="29" spans="1:10" ht="15" customHeight="1" x14ac:dyDescent="0.2">
      <c r="A29" s="467"/>
      <c r="B29" s="467"/>
      <c r="C29" s="1675"/>
    </row>
    <row r="30" spans="1:10" ht="3" customHeight="1" x14ac:dyDescent="0.2">
      <c r="A30" s="467"/>
      <c r="B30" s="467"/>
      <c r="C30" s="1675"/>
    </row>
    <row r="31" spans="1:10" ht="3" customHeight="1" x14ac:dyDescent="0.2">
      <c r="A31" s="467"/>
      <c r="B31" s="467"/>
      <c r="C31" s="1675"/>
    </row>
    <row r="32" spans="1:10" ht="15" customHeight="1" x14ac:dyDescent="0.2">
      <c r="A32" s="467"/>
      <c r="B32" s="467"/>
      <c r="C32" s="1675"/>
    </row>
    <row r="33" spans="1:9" ht="3" customHeight="1" x14ac:dyDescent="0.2">
      <c r="A33" s="467"/>
      <c r="B33" s="467"/>
      <c r="C33" s="1484"/>
      <c r="D33" s="1485"/>
      <c r="E33" s="467"/>
      <c r="F33" s="467"/>
      <c r="G33" s="467"/>
      <c r="H33" s="467"/>
      <c r="I33" s="467"/>
    </row>
    <row r="34" spans="1:9" ht="15" customHeight="1" x14ac:dyDescent="0.2">
      <c r="A34" s="467"/>
      <c r="B34" s="467"/>
      <c r="C34" s="467"/>
      <c r="D34" s="467"/>
      <c r="E34" s="467"/>
      <c r="F34" s="467"/>
      <c r="G34" s="467"/>
      <c r="H34" s="467"/>
      <c r="I34" s="467"/>
    </row>
    <row r="35" spans="1:9" ht="3" customHeight="1" x14ac:dyDescent="0.2">
      <c r="A35" s="467"/>
      <c r="B35" s="467"/>
      <c r="C35" s="1484"/>
      <c r="D35" s="1485"/>
      <c r="E35" s="467"/>
      <c r="F35" s="467"/>
      <c r="G35" s="467"/>
      <c r="H35" s="467"/>
      <c r="I35" s="467"/>
    </row>
    <row r="36" spans="1:9" ht="18" customHeight="1" x14ac:dyDescent="0.2">
      <c r="C36" s="1964" t="s">
        <v>3217</v>
      </c>
      <c r="D36" s="1964"/>
      <c r="E36" s="1964"/>
      <c r="F36" s="1964"/>
      <c r="G36" s="1964"/>
      <c r="H36" s="1964"/>
      <c r="I36" s="1964"/>
    </row>
    <row r="37" spans="1:9" ht="20" customHeight="1" x14ac:dyDescent="0.2">
      <c r="C37" s="1964"/>
      <c r="D37" s="1964"/>
      <c r="E37" s="1964"/>
      <c r="F37" s="1964"/>
      <c r="G37" s="1964"/>
      <c r="H37" s="1964"/>
      <c r="I37" s="1964"/>
    </row>
    <row r="38" spans="1:9" ht="15" customHeight="1" x14ac:dyDescent="0.2"/>
    <row r="39" spans="1:9" ht="15" customHeight="1" x14ac:dyDescent="0.2">
      <c r="A39" s="1983" t="s">
        <v>5594</v>
      </c>
      <c r="B39" s="1984"/>
      <c r="C39" s="1994"/>
      <c r="D39" s="1994"/>
      <c r="E39" s="1563" t="s">
        <v>5595</v>
      </c>
      <c r="F39" s="1834"/>
      <c r="G39" s="27"/>
    </row>
    <row r="40" spans="1:9" x14ac:dyDescent="0.2">
      <c r="A40" s="1984"/>
      <c r="B40" s="1984"/>
      <c r="C40" s="1994"/>
      <c r="D40" s="1994" t="b">
        <v>1</v>
      </c>
    </row>
    <row r="41" spans="1:9" ht="3" customHeight="1" x14ac:dyDescent="0.2">
      <c r="A41" s="1420"/>
      <c r="B41" s="1420"/>
    </row>
    <row r="42" spans="1:9" x14ac:dyDescent="0.2">
      <c r="A42" s="1563" t="s">
        <v>5596</v>
      </c>
      <c r="B42" s="1563"/>
      <c r="C42" s="1994"/>
      <c r="D42" s="1994"/>
      <c r="E42" s="1994"/>
      <c r="F42" s="1994"/>
      <c r="G42" s="1994"/>
      <c r="H42" s="1994"/>
      <c r="I42" s="1994"/>
    </row>
    <row r="43" spans="1:9" x14ac:dyDescent="0.2">
      <c r="A43" s="1563"/>
      <c r="B43" s="1563"/>
      <c r="C43" s="1994"/>
      <c r="D43" s="1994"/>
      <c r="E43" s="1994"/>
      <c r="F43" s="1994"/>
      <c r="G43" s="1994"/>
      <c r="H43" s="1994"/>
      <c r="I43" s="1994"/>
    </row>
    <row r="44" spans="1:9" x14ac:dyDescent="0.2">
      <c r="A44" s="1563"/>
      <c r="B44" s="1563"/>
      <c r="C44" s="1994"/>
      <c r="D44" s="1994"/>
      <c r="E44" s="1994"/>
      <c r="F44" s="1994"/>
      <c r="G44" s="1994"/>
      <c r="H44" s="1994"/>
      <c r="I44" s="1994"/>
    </row>
    <row r="45" spans="1:9" ht="3" customHeight="1" x14ac:dyDescent="0.2">
      <c r="A45" s="1420"/>
      <c r="B45" s="1420"/>
    </row>
    <row r="46" spans="1:9" ht="15" customHeight="1" x14ac:dyDescent="0.2">
      <c r="A46" s="1420"/>
      <c r="B46" s="1416" t="s">
        <v>3066</v>
      </c>
      <c r="C46" s="1973"/>
      <c r="D46" s="1973"/>
    </row>
    <row r="47" spans="1:9" ht="3" customHeight="1" x14ac:dyDescent="0.2">
      <c r="A47" s="1420"/>
      <c r="B47" s="1416"/>
    </row>
    <row r="48" spans="1:9" x14ac:dyDescent="0.2">
      <c r="A48" s="1420"/>
      <c r="B48" s="1416" t="s">
        <v>3067</v>
      </c>
      <c r="C48" s="1973"/>
      <c r="D48" s="1973"/>
    </row>
    <row r="49" spans="1:9" ht="3" customHeight="1" x14ac:dyDescent="0.2">
      <c r="A49" s="1420"/>
      <c r="B49" s="1416"/>
    </row>
    <row r="50" spans="1:9" x14ac:dyDescent="0.2">
      <c r="A50" s="1420"/>
      <c r="B50" s="1416" t="s">
        <v>3068</v>
      </c>
      <c r="C50" s="1973"/>
      <c r="D50" s="1973"/>
    </row>
    <row r="51" spans="1:9" ht="3" customHeight="1" x14ac:dyDescent="0.2">
      <c r="A51" s="1420"/>
      <c r="B51" s="1416"/>
    </row>
    <row r="52" spans="1:9" x14ac:dyDescent="0.2">
      <c r="A52" s="1420"/>
      <c r="B52" s="1416" t="s">
        <v>3069</v>
      </c>
      <c r="C52" s="1973"/>
      <c r="D52" s="1973"/>
    </row>
    <row r="53" spans="1:9" x14ac:dyDescent="0.2">
      <c r="A53" s="1420"/>
    </row>
    <row r="55" spans="1:9" x14ac:dyDescent="0.2">
      <c r="C55" s="1967" t="s">
        <v>3070</v>
      </c>
      <c r="D55" s="1967"/>
    </row>
    <row r="56" spans="1:9" ht="3" customHeight="1" x14ac:dyDescent="0.2">
      <c r="C56" s="1414"/>
      <c r="D56" s="1414"/>
    </row>
    <row r="57" spans="1:9" x14ac:dyDescent="0.2">
      <c r="C57" s="1968" t="s">
        <v>5597</v>
      </c>
      <c r="D57" s="1968"/>
      <c r="E57" s="1968"/>
      <c r="F57" s="1968"/>
      <c r="G57" s="1968"/>
      <c r="H57" s="1968"/>
      <c r="I57" s="1968"/>
    </row>
    <row r="58" spans="1:9" ht="18" customHeight="1" x14ac:dyDescent="0.2">
      <c r="C58" s="1968"/>
      <c r="D58" s="1968"/>
      <c r="E58" s="1968"/>
      <c r="F58" s="1968"/>
      <c r="G58" s="1968"/>
      <c r="H58" s="1968"/>
      <c r="I58" s="1968"/>
    </row>
    <row r="59" spans="1:9" x14ac:dyDescent="0.2">
      <c r="A59" s="70"/>
      <c r="B59" s="70"/>
    </row>
    <row r="60" spans="1:9" x14ac:dyDescent="0.2">
      <c r="A60" s="70"/>
      <c r="B60" s="70"/>
    </row>
    <row r="61" spans="1:9" x14ac:dyDescent="0.2">
      <c r="A61" s="70"/>
      <c r="B61" s="70"/>
    </row>
    <row r="62" spans="1:9" x14ac:dyDescent="0.2">
      <c r="A62" s="70"/>
      <c r="B62" s="70"/>
    </row>
    <row r="63" spans="1:9" x14ac:dyDescent="0.2">
      <c r="A63" s="70"/>
      <c r="B63" s="70"/>
    </row>
    <row r="64" spans="1:9" x14ac:dyDescent="0.2">
      <c r="A64" s="70"/>
      <c r="B64" s="70"/>
    </row>
    <row r="65" spans="1:10" x14ac:dyDescent="0.2">
      <c r="A65" s="70"/>
      <c r="B65" s="70"/>
    </row>
    <row r="66" spans="1:10" x14ac:dyDescent="0.2">
      <c r="A66" s="70"/>
      <c r="B66" s="70"/>
    </row>
    <row r="67" spans="1:10" x14ac:dyDescent="0.2">
      <c r="A67" s="1983" t="s">
        <v>3072</v>
      </c>
      <c r="B67" s="1984"/>
      <c r="C67" s="1985"/>
      <c r="D67" s="1986"/>
    </row>
    <row r="68" spans="1:10" x14ac:dyDescent="0.2">
      <c r="A68" s="1984"/>
      <c r="B68" s="1984"/>
      <c r="C68" s="1987"/>
      <c r="D68" s="1988"/>
    </row>
    <row r="69" spans="1:10" ht="3" customHeight="1" x14ac:dyDescent="0.2">
      <c r="A69" s="1420"/>
      <c r="B69" s="1420"/>
    </row>
    <row r="70" spans="1:10" x14ac:dyDescent="0.2">
      <c r="A70" s="1563" t="s">
        <v>3071</v>
      </c>
      <c r="B70" s="1563"/>
      <c r="C70" s="1974"/>
      <c r="D70" s="1975"/>
      <c r="E70" s="1975"/>
      <c r="F70" s="1975"/>
      <c r="G70" s="1975"/>
      <c r="H70" s="1975"/>
      <c r="I70" s="1976"/>
    </row>
    <row r="71" spans="1:10" x14ac:dyDescent="0.2">
      <c r="A71" s="1563"/>
      <c r="B71" s="1563"/>
      <c r="C71" s="1977"/>
      <c r="D71" s="1978"/>
      <c r="E71" s="1978"/>
      <c r="F71" s="1978"/>
      <c r="G71" s="1978"/>
      <c r="H71" s="1978"/>
      <c r="I71" s="1979"/>
    </row>
    <row r="72" spans="1:10" x14ac:dyDescent="0.2">
      <c r="A72" s="1563"/>
      <c r="B72" s="1563"/>
      <c r="C72" s="1980"/>
      <c r="D72" s="1981"/>
      <c r="E72" s="1981"/>
      <c r="F72" s="1981"/>
      <c r="G72" s="1981"/>
      <c r="H72" s="1981"/>
      <c r="I72" s="1982"/>
    </row>
    <row r="73" spans="1:10" ht="3" customHeight="1" x14ac:dyDescent="0.2">
      <c r="A73" s="1420"/>
      <c r="B73" s="1420"/>
    </row>
    <row r="74" spans="1:10" x14ac:dyDescent="0.2">
      <c r="A74" s="1563" t="s">
        <v>3066</v>
      </c>
      <c r="B74" s="1563"/>
      <c r="C74" s="666"/>
      <c r="J74" s="1421" t="b">
        <f>ISBLANK(C74)</f>
        <v>1</v>
      </c>
    </row>
    <row r="75" spans="1:10" ht="3" customHeight="1" x14ac:dyDescent="0.2">
      <c r="A75" s="1416"/>
      <c r="B75" s="1416"/>
    </row>
    <row r="76" spans="1:10" x14ac:dyDescent="0.2">
      <c r="A76" s="1563" t="s">
        <v>3067</v>
      </c>
      <c r="B76" s="1563"/>
      <c r="C76" s="666"/>
      <c r="J76" s="1421" t="b">
        <f>ISBLANK(C76)</f>
        <v>1</v>
      </c>
    </row>
    <row r="77" spans="1:10" ht="3" customHeight="1" x14ac:dyDescent="0.2">
      <c r="A77" s="1416"/>
      <c r="B77" s="1416"/>
    </row>
    <row r="78" spans="1:10" x14ac:dyDescent="0.2">
      <c r="A78" s="1563" t="s">
        <v>3068</v>
      </c>
      <c r="B78" s="1563"/>
      <c r="C78" s="666"/>
      <c r="J78" s="1421" t="b">
        <f>ISBLANK(C78)</f>
        <v>1</v>
      </c>
    </row>
    <row r="79" spans="1:10" ht="3" customHeight="1" x14ac:dyDescent="0.2">
      <c r="A79" s="1416"/>
      <c r="B79" s="1416"/>
    </row>
    <row r="80" spans="1:10" x14ac:dyDescent="0.2">
      <c r="A80" s="1563" t="s">
        <v>3073</v>
      </c>
      <c r="B80" s="1563"/>
      <c r="C80" s="666"/>
      <c r="D80" s="1972" t="s">
        <v>3453</v>
      </c>
      <c r="J80" s="1421" t="b">
        <f>ISBLANK(C80)</f>
        <v>1</v>
      </c>
    </row>
    <row r="81" spans="1:11" ht="3" customHeight="1" x14ac:dyDescent="0.2">
      <c r="A81" s="1416"/>
      <c r="B81" s="1416"/>
      <c r="D81" s="1972"/>
    </row>
    <row r="82" spans="1:11" x14ac:dyDescent="0.2">
      <c r="A82" s="1563" t="s">
        <v>3074</v>
      </c>
      <c r="B82" s="1563"/>
      <c r="C82" s="666"/>
      <c r="D82" s="1972"/>
      <c r="J82" s="1421" t="b">
        <f>ISBLANK(C82)</f>
        <v>1</v>
      </c>
    </row>
    <row r="83" spans="1:11" ht="3" customHeight="1" x14ac:dyDescent="0.2">
      <c r="A83" s="1416"/>
      <c r="B83" s="1416"/>
    </row>
    <row r="84" spans="1:11" x14ac:dyDescent="0.2">
      <c r="A84" s="1563" t="s">
        <v>3069</v>
      </c>
      <c r="B84" s="1563"/>
      <c r="C84" s="666"/>
      <c r="D84" s="1465" t="s">
        <v>3075</v>
      </c>
      <c r="J84" s="1421" t="b">
        <f>ISBLANK(C84)</f>
        <v>1</v>
      </c>
    </row>
    <row r="85" spans="1:11" x14ac:dyDescent="0.2">
      <c r="D85" s="490"/>
    </row>
    <row r="89" spans="1:11" x14ac:dyDescent="0.2">
      <c r="C89" s="1420" t="s">
        <v>3076</v>
      </c>
    </row>
    <row r="90" spans="1:11" x14ac:dyDescent="0.2">
      <c r="C90" s="1972" t="s">
        <v>3077</v>
      </c>
      <c r="D90" s="1972"/>
      <c r="E90" s="1972"/>
      <c r="F90" s="1972"/>
      <c r="G90" s="1972"/>
      <c r="H90" s="1972"/>
      <c r="I90" s="1972"/>
    </row>
    <row r="92" spans="1:11" x14ac:dyDescent="0.2">
      <c r="C92" s="1466" t="s">
        <v>3078</v>
      </c>
      <c r="D92" s="1466" t="s">
        <v>3079</v>
      </c>
      <c r="E92" s="1989" t="s">
        <v>3080</v>
      </c>
      <c r="F92" s="1989"/>
      <c r="G92" s="1546" t="s">
        <v>3454</v>
      </c>
      <c r="H92" s="1546"/>
    </row>
    <row r="93" spans="1:11" x14ac:dyDescent="0.2">
      <c r="B93" s="1419">
        <v>1</v>
      </c>
      <c r="C93" s="1461"/>
      <c r="D93" s="1461"/>
      <c r="E93" s="1963"/>
      <c r="F93" s="1963"/>
      <c r="G93" s="1963"/>
      <c r="H93" s="1963"/>
      <c r="J93" s="1421" t="b">
        <f>AND(OR(LEN(C93)=0,LEN(D93)=0,LEN(E93)=0,LEN(G93)=0),K93)</f>
        <v>0</v>
      </c>
      <c r="K93" s="1486" t="b">
        <f>OR(NOT(LEN(C93)=0),NOT(LEN(D93)=0),NOT(LEN(E93)=0),NOT(LEN(G93)=0))</f>
        <v>0</v>
      </c>
    </row>
    <row r="94" spans="1:11" x14ac:dyDescent="0.2">
      <c r="B94" s="1419">
        <v>2</v>
      </c>
      <c r="C94" s="1461"/>
      <c r="D94" s="1461"/>
      <c r="E94" s="1963"/>
      <c r="F94" s="1963"/>
      <c r="G94" s="1963"/>
      <c r="H94" s="1963"/>
      <c r="J94" s="1421" t="b">
        <f>AND(OR(LEN(C94)=0,LEN(D94)=0,LEN(E94)=0,LEN(G94)=0),K94)</f>
        <v>0</v>
      </c>
      <c r="K94" s="1486" t="b">
        <f>OR(NOT(LEN(C94)=0),NOT(LEN(D94)=0),NOT(LEN(E94)=0),NOT(LEN(G94)=0))</f>
        <v>0</v>
      </c>
    </row>
    <row r="95" spans="1:11" x14ac:dyDescent="0.2">
      <c r="B95" s="1419">
        <v>3</v>
      </c>
      <c r="C95" s="1461"/>
      <c r="D95" s="1461"/>
      <c r="E95" s="1963"/>
      <c r="F95" s="1963"/>
      <c r="G95" s="1963"/>
      <c r="H95" s="1963"/>
      <c r="J95" s="1421" t="b">
        <f>AND(OR(LEN(C95)=0,LEN(D95)=0,LEN(E95)=0,LEN(G95)=0),K95)</f>
        <v>0</v>
      </c>
      <c r="K95" s="1486" t="b">
        <f>OR(NOT(LEN(C95)=0),NOT(LEN(D95)=0),NOT(LEN(E95)=0),NOT(LEN(G95)=0))</f>
        <v>0</v>
      </c>
    </row>
    <row r="96" spans="1:11" x14ac:dyDescent="0.2">
      <c r="B96" s="1419">
        <v>4</v>
      </c>
      <c r="C96" s="1461"/>
      <c r="D96" s="1461"/>
      <c r="E96" s="1963"/>
      <c r="F96" s="1963"/>
      <c r="G96" s="1963"/>
      <c r="H96" s="1963"/>
      <c r="J96" s="1421" t="b">
        <f>AND(OR(LEN(C96)=0,LEN(D96)=0,LEN(E96)=0,LEN(G96)=0),K96)</f>
        <v>0</v>
      </c>
      <c r="K96" s="1486" t="b">
        <f>OR(NOT(LEN(C96)=0),NOT(LEN(D96)=0),NOT(LEN(E96)=0),NOT(LEN(G96)=0))</f>
        <v>0</v>
      </c>
    </row>
    <row r="97" spans="2:11" x14ac:dyDescent="0.2">
      <c r="B97" s="1419">
        <v>5</v>
      </c>
      <c r="C97" s="1461"/>
      <c r="D97" s="1461"/>
      <c r="E97" s="1963"/>
      <c r="F97" s="1963"/>
      <c r="G97" s="1963"/>
      <c r="H97" s="1963"/>
      <c r="J97" s="1421" t="b">
        <f>AND(OR(LEN(C97)=0,LEN(D97)=0,LEN(E97)=0,LEN(G97)=0),K97)</f>
        <v>0</v>
      </c>
      <c r="K97" s="1486" t="b">
        <f>OR(NOT(LEN(C97)=0),NOT(LEN(D97)=0),NOT(LEN(E97)=0),NOT(LEN(G97)=0))</f>
        <v>0</v>
      </c>
    </row>
    <row r="101" spans="2:11" x14ac:dyDescent="0.2">
      <c r="C101" s="1420" t="s">
        <v>3081</v>
      </c>
    </row>
    <row r="102" spans="2:11" x14ac:dyDescent="0.2">
      <c r="C102" s="490"/>
    </row>
    <row r="104" spans="2:11" ht="29" x14ac:dyDescent="0.2">
      <c r="C104" s="1990" t="s">
        <v>3083</v>
      </c>
      <c r="D104" s="1990"/>
      <c r="E104" s="1991" t="s">
        <v>3084</v>
      </c>
      <c r="F104" s="1992"/>
      <c r="G104" s="1464" t="s">
        <v>3085</v>
      </c>
      <c r="H104" s="492" t="s">
        <v>3086</v>
      </c>
      <c r="I104"/>
      <c r="K104" s="1420"/>
    </row>
    <row r="105" spans="2:11" x14ac:dyDescent="0.2">
      <c r="B105" s="1419">
        <v>1</v>
      </c>
      <c r="C105" s="1675" t="str">
        <f>IF(LEN('Rough Sig.'!C105)=0,"",'Rough Sig.'!C105)</f>
        <v/>
      </c>
      <c r="D105" s="1675"/>
      <c r="E105" s="1543" t="str">
        <f>'Overview (Verification)'!P13&amp;", "&amp;'Overview (Verification)'!P14&amp;" "&amp;'Overview (Verification)'!P16</f>
        <v>Atlanta, Georgia 30311</v>
      </c>
      <c r="F105" s="1543"/>
      <c r="G105" s="1434" t="str">
        <f>IF(LEN('Rough Sig.'!G105)=0,"",'Rough Sig.'!G105)</f>
        <v/>
      </c>
      <c r="H105" s="1434" t="str">
        <f>IF(LEN('Rough Sig.'!H105)=0,"",'Rough Sig.'!H105)</f>
        <v/>
      </c>
      <c r="I105"/>
      <c r="J105" s="1421" t="b">
        <f t="shared" ref="J105:J124" si="0">AND(OR(LEN(C105)=0,LEN(G105)=0,LEN(I105)=0),K105)</f>
        <v>0</v>
      </c>
      <c r="K105" s="1486" t="b">
        <f t="shared" ref="K105:K124" si="1">OR(NOT(LEN(C105)=0),NOT(LEN(G105)=0),NOT(LEN(I105)=0))</f>
        <v>0</v>
      </c>
    </row>
    <row r="106" spans="2:11" x14ac:dyDescent="0.2">
      <c r="B106" s="1419">
        <v>2</v>
      </c>
      <c r="C106" s="1675" t="str">
        <f>IF(LEN('Rough Sig.'!C106)=0,"",'Rough Sig.'!C106)</f>
        <v/>
      </c>
      <c r="D106" s="1675"/>
      <c r="E106" s="1543"/>
      <c r="F106" s="1543"/>
      <c r="G106" s="1434" t="str">
        <f>IF(LEN('Rough Sig.'!G106)=0,"",'Rough Sig.'!G106)</f>
        <v/>
      </c>
      <c r="H106" s="1434" t="str">
        <f>IF(LEN('Rough Sig.'!H106)=0,"",'Rough Sig.'!H106)</f>
        <v/>
      </c>
      <c r="I106"/>
      <c r="J106" s="1421" t="b">
        <f t="shared" si="0"/>
        <v>0</v>
      </c>
      <c r="K106" s="1486" t="b">
        <f t="shared" si="1"/>
        <v>0</v>
      </c>
    </row>
    <row r="107" spans="2:11" x14ac:dyDescent="0.2">
      <c r="B107" s="1419">
        <v>3</v>
      </c>
      <c r="C107" s="1675" t="str">
        <f>IF(LEN('Rough Sig.'!C107)=0,"",'Rough Sig.'!C107)</f>
        <v/>
      </c>
      <c r="D107" s="1675"/>
      <c r="E107" s="1543"/>
      <c r="F107" s="1543"/>
      <c r="G107" s="1434" t="str">
        <f>IF(LEN('Rough Sig.'!G107)=0,"",'Rough Sig.'!G107)</f>
        <v/>
      </c>
      <c r="H107" s="1434" t="str">
        <f>IF(LEN('Rough Sig.'!H107)=0,"",'Rough Sig.'!H107)</f>
        <v/>
      </c>
      <c r="I107"/>
      <c r="J107" s="1421" t="b">
        <f t="shared" si="0"/>
        <v>0</v>
      </c>
      <c r="K107" s="1486" t="b">
        <f t="shared" si="1"/>
        <v>0</v>
      </c>
    </row>
    <row r="108" spans="2:11" x14ac:dyDescent="0.2">
      <c r="B108" s="1419">
        <v>4</v>
      </c>
      <c r="C108" s="1675" t="str">
        <f>IF(LEN('Rough Sig.'!C108)=0,"",'Rough Sig.'!C108)</f>
        <v/>
      </c>
      <c r="D108" s="1675"/>
      <c r="E108" s="1543"/>
      <c r="F108" s="1543"/>
      <c r="G108" s="1434" t="str">
        <f>IF(LEN('Rough Sig.'!G108)=0,"",'Rough Sig.'!G108)</f>
        <v/>
      </c>
      <c r="H108" s="1434" t="str">
        <f>IF(LEN('Rough Sig.'!H108)=0,"",'Rough Sig.'!H108)</f>
        <v/>
      </c>
      <c r="I108"/>
      <c r="J108" s="1421" t="b">
        <f t="shared" si="0"/>
        <v>0</v>
      </c>
      <c r="K108" s="1486" t="b">
        <f t="shared" si="1"/>
        <v>0</v>
      </c>
    </row>
    <row r="109" spans="2:11" x14ac:dyDescent="0.2">
      <c r="B109" s="1419">
        <v>5</v>
      </c>
      <c r="C109" s="1675" t="str">
        <f>IF(LEN('Rough Sig.'!C109)=0,"",'Rough Sig.'!C109)</f>
        <v/>
      </c>
      <c r="D109" s="1675"/>
      <c r="E109" s="1543"/>
      <c r="F109" s="1543"/>
      <c r="G109" s="1434" t="str">
        <f>IF(LEN('Rough Sig.'!G109)=0,"",'Rough Sig.'!G109)</f>
        <v/>
      </c>
      <c r="H109" s="1434" t="str">
        <f>IF(LEN('Rough Sig.'!H109)=0,"",'Rough Sig.'!H109)</f>
        <v/>
      </c>
      <c r="I109"/>
      <c r="J109" s="1421" t="b">
        <f t="shared" si="0"/>
        <v>0</v>
      </c>
      <c r="K109" s="1486" t="b">
        <f t="shared" si="1"/>
        <v>0</v>
      </c>
    </row>
    <row r="110" spans="2:11" x14ac:dyDescent="0.2">
      <c r="B110" s="1419">
        <v>6</v>
      </c>
      <c r="C110" s="1675" t="str">
        <f>IF(LEN('Rough Sig.'!C110)=0,"",'Rough Sig.'!C110)</f>
        <v/>
      </c>
      <c r="D110" s="1675"/>
      <c r="E110" s="1543"/>
      <c r="F110" s="1543"/>
      <c r="G110" s="1434" t="str">
        <f>IF(LEN('Rough Sig.'!G110)=0,"",'Rough Sig.'!G110)</f>
        <v/>
      </c>
      <c r="H110" s="1434" t="str">
        <f>IF(LEN('Rough Sig.'!H110)=0,"",'Rough Sig.'!H110)</f>
        <v/>
      </c>
      <c r="I110"/>
      <c r="J110" s="1421" t="b">
        <f t="shared" si="0"/>
        <v>0</v>
      </c>
      <c r="K110" s="1486" t="b">
        <f t="shared" si="1"/>
        <v>0</v>
      </c>
    </row>
    <row r="111" spans="2:11" x14ac:dyDescent="0.2">
      <c r="B111" s="1419">
        <v>7</v>
      </c>
      <c r="C111" s="1675" t="str">
        <f>IF(LEN('Rough Sig.'!C111)=0,"",'Rough Sig.'!C111)</f>
        <v/>
      </c>
      <c r="D111" s="1675"/>
      <c r="E111" s="1543"/>
      <c r="F111" s="1543"/>
      <c r="G111" s="1434" t="str">
        <f>IF(LEN('Rough Sig.'!G111)=0,"",'Rough Sig.'!G111)</f>
        <v/>
      </c>
      <c r="H111" s="1434" t="str">
        <f>IF(LEN('Rough Sig.'!H111)=0,"",'Rough Sig.'!H111)</f>
        <v/>
      </c>
      <c r="I111"/>
      <c r="J111" s="1421" t="b">
        <f t="shared" si="0"/>
        <v>0</v>
      </c>
      <c r="K111" s="1486" t="b">
        <f t="shared" si="1"/>
        <v>0</v>
      </c>
    </row>
    <row r="112" spans="2:11" x14ac:dyDescent="0.2">
      <c r="B112" s="1419">
        <v>8</v>
      </c>
      <c r="C112" s="1675" t="str">
        <f>IF(LEN('Rough Sig.'!C112)=0,"",'Rough Sig.'!C112)</f>
        <v/>
      </c>
      <c r="D112" s="1675"/>
      <c r="E112" s="1543"/>
      <c r="F112" s="1543"/>
      <c r="G112" s="1434" t="str">
        <f>IF(LEN('Rough Sig.'!G112)=0,"",'Rough Sig.'!G112)</f>
        <v/>
      </c>
      <c r="H112" s="1434" t="str">
        <f>IF(LEN('Rough Sig.'!H112)=0,"",'Rough Sig.'!H112)</f>
        <v/>
      </c>
      <c r="I112"/>
      <c r="J112" s="1421" t="b">
        <f t="shared" si="0"/>
        <v>0</v>
      </c>
      <c r="K112" s="1486" t="b">
        <f t="shared" si="1"/>
        <v>0</v>
      </c>
    </row>
    <row r="113" spans="2:11" x14ac:dyDescent="0.2">
      <c r="B113" s="1419">
        <v>9</v>
      </c>
      <c r="C113" s="1675" t="str">
        <f>IF(LEN('Rough Sig.'!C113)=0,"",'Rough Sig.'!C113)</f>
        <v/>
      </c>
      <c r="D113" s="1675"/>
      <c r="E113" s="1543"/>
      <c r="F113" s="1543"/>
      <c r="G113" s="1434" t="str">
        <f>IF(LEN('Rough Sig.'!G113)=0,"",'Rough Sig.'!G113)</f>
        <v/>
      </c>
      <c r="H113" s="1434" t="str">
        <f>IF(LEN('Rough Sig.'!H113)=0,"",'Rough Sig.'!H113)</f>
        <v/>
      </c>
      <c r="I113"/>
      <c r="J113" s="1421" t="b">
        <f t="shared" si="0"/>
        <v>0</v>
      </c>
      <c r="K113" s="1486" t="b">
        <f t="shared" si="1"/>
        <v>0</v>
      </c>
    </row>
    <row r="114" spans="2:11" x14ac:dyDescent="0.2">
      <c r="B114" s="1419">
        <v>10</v>
      </c>
      <c r="C114" s="1675" t="str">
        <f>IF(LEN('Rough Sig.'!C114)=0,"",'Rough Sig.'!C114)</f>
        <v/>
      </c>
      <c r="D114" s="1675"/>
      <c r="E114" s="1543"/>
      <c r="F114" s="1543"/>
      <c r="G114" s="1434" t="str">
        <f>IF(LEN('Rough Sig.'!G114)=0,"",'Rough Sig.'!G114)</f>
        <v/>
      </c>
      <c r="H114" s="1434" t="str">
        <f>IF(LEN('Rough Sig.'!H114)=0,"",'Rough Sig.'!H114)</f>
        <v/>
      </c>
      <c r="I114"/>
      <c r="J114" s="1421" t="b">
        <f t="shared" si="0"/>
        <v>0</v>
      </c>
      <c r="K114" s="1486" t="b">
        <f t="shared" si="1"/>
        <v>0</v>
      </c>
    </row>
    <row r="115" spans="2:11" x14ac:dyDescent="0.2">
      <c r="B115" s="1419">
        <v>11</v>
      </c>
      <c r="C115" s="1675" t="str">
        <f>IF(LEN('Rough Sig.'!C115)=0,"",'Rough Sig.'!C115)</f>
        <v/>
      </c>
      <c r="D115" s="1675"/>
      <c r="E115" s="1543"/>
      <c r="F115" s="1543"/>
      <c r="G115" s="1434" t="str">
        <f>IF(LEN('Rough Sig.'!G115)=0,"",'Rough Sig.'!G115)</f>
        <v/>
      </c>
      <c r="H115" s="1434" t="str">
        <f>IF(LEN('Rough Sig.'!H115)=0,"",'Rough Sig.'!H115)</f>
        <v/>
      </c>
      <c r="I115"/>
      <c r="J115" s="1421" t="b">
        <f t="shared" si="0"/>
        <v>0</v>
      </c>
      <c r="K115" s="1486" t="b">
        <f t="shared" si="1"/>
        <v>0</v>
      </c>
    </row>
    <row r="116" spans="2:11" x14ac:dyDescent="0.2">
      <c r="B116" s="1419">
        <v>12</v>
      </c>
      <c r="C116" s="1675" t="str">
        <f>IF(LEN('Rough Sig.'!C116)=0,"",'Rough Sig.'!C116)</f>
        <v/>
      </c>
      <c r="D116" s="1675"/>
      <c r="E116" s="1543"/>
      <c r="F116" s="1543"/>
      <c r="G116" s="1434" t="str">
        <f>IF(LEN('Rough Sig.'!G116)=0,"",'Rough Sig.'!G116)</f>
        <v/>
      </c>
      <c r="H116" s="1434" t="str">
        <f>IF(LEN('Rough Sig.'!H116)=0,"",'Rough Sig.'!H116)</f>
        <v/>
      </c>
      <c r="I116"/>
      <c r="J116" s="1421" t="b">
        <f t="shared" si="0"/>
        <v>0</v>
      </c>
      <c r="K116" s="1486" t="b">
        <f t="shared" si="1"/>
        <v>0</v>
      </c>
    </row>
    <row r="117" spans="2:11" x14ac:dyDescent="0.2">
      <c r="B117" s="1419">
        <v>13</v>
      </c>
      <c r="C117" s="1675" t="str">
        <f>IF(LEN('Rough Sig.'!C117)=0,"",'Rough Sig.'!C117)</f>
        <v/>
      </c>
      <c r="D117" s="1675"/>
      <c r="E117" s="1543"/>
      <c r="F117" s="1543"/>
      <c r="G117" s="1434" t="str">
        <f>IF(LEN('Rough Sig.'!G117)=0,"",'Rough Sig.'!G117)</f>
        <v/>
      </c>
      <c r="H117" s="1434" t="str">
        <f>IF(LEN('Rough Sig.'!H117)=0,"",'Rough Sig.'!H117)</f>
        <v/>
      </c>
      <c r="I117"/>
      <c r="J117" s="1421" t="b">
        <f t="shared" si="0"/>
        <v>0</v>
      </c>
      <c r="K117" s="1486" t="b">
        <f t="shared" si="1"/>
        <v>0</v>
      </c>
    </row>
    <row r="118" spans="2:11" x14ac:dyDescent="0.2">
      <c r="B118" s="1419">
        <v>14</v>
      </c>
      <c r="C118" s="1675" t="str">
        <f>IF(LEN('Rough Sig.'!C118)=0,"",'Rough Sig.'!C118)</f>
        <v/>
      </c>
      <c r="D118" s="1675"/>
      <c r="E118" s="1543"/>
      <c r="F118" s="1543"/>
      <c r="G118" s="1434" t="str">
        <f>IF(LEN('Rough Sig.'!G118)=0,"",'Rough Sig.'!G118)</f>
        <v/>
      </c>
      <c r="H118" s="1434" t="str">
        <f>IF(LEN('Rough Sig.'!H118)=0,"",'Rough Sig.'!H118)</f>
        <v/>
      </c>
      <c r="I118"/>
      <c r="J118" s="1421" t="b">
        <f t="shared" si="0"/>
        <v>0</v>
      </c>
      <c r="K118" s="1486" t="b">
        <f t="shared" si="1"/>
        <v>0</v>
      </c>
    </row>
    <row r="119" spans="2:11" x14ac:dyDescent="0.2">
      <c r="B119" s="1419">
        <v>15</v>
      </c>
      <c r="C119" s="1675" t="str">
        <f>IF(LEN('Rough Sig.'!C119)=0,"",'Rough Sig.'!C119)</f>
        <v/>
      </c>
      <c r="D119" s="1675"/>
      <c r="E119" s="1543"/>
      <c r="F119" s="1543"/>
      <c r="G119" s="1434" t="str">
        <f>IF(LEN('Rough Sig.'!G119)=0,"",'Rough Sig.'!G119)</f>
        <v/>
      </c>
      <c r="H119" s="1434" t="str">
        <f>IF(LEN('Rough Sig.'!H119)=0,"",'Rough Sig.'!H119)</f>
        <v/>
      </c>
      <c r="I119"/>
      <c r="J119" s="1421" t="b">
        <f t="shared" si="0"/>
        <v>0</v>
      </c>
      <c r="K119" s="1486" t="b">
        <f t="shared" si="1"/>
        <v>0</v>
      </c>
    </row>
    <row r="120" spans="2:11" x14ac:dyDescent="0.2">
      <c r="B120" s="1419">
        <v>16</v>
      </c>
      <c r="C120" s="1675" t="str">
        <f>IF(LEN('Rough Sig.'!C120)=0,"",'Rough Sig.'!C120)</f>
        <v/>
      </c>
      <c r="D120" s="1675"/>
      <c r="E120" s="1543"/>
      <c r="F120" s="1543"/>
      <c r="G120" s="1434" t="str">
        <f>IF(LEN('Rough Sig.'!G120)=0,"",'Rough Sig.'!G120)</f>
        <v/>
      </c>
      <c r="H120" s="1434" t="str">
        <f>IF(LEN('Rough Sig.'!H120)=0,"",'Rough Sig.'!H120)</f>
        <v/>
      </c>
      <c r="I120"/>
      <c r="J120" s="1421" t="b">
        <f t="shared" si="0"/>
        <v>0</v>
      </c>
      <c r="K120" s="1486" t="b">
        <f t="shared" si="1"/>
        <v>0</v>
      </c>
    </row>
    <row r="121" spans="2:11" x14ac:dyDescent="0.2">
      <c r="B121" s="1419">
        <v>17</v>
      </c>
      <c r="C121" s="1675" t="str">
        <f>IF(LEN('Rough Sig.'!C121)=0,"",'Rough Sig.'!C121)</f>
        <v/>
      </c>
      <c r="D121" s="1675"/>
      <c r="E121" s="1543"/>
      <c r="F121" s="1543"/>
      <c r="G121" s="1434" t="str">
        <f>IF(LEN('Rough Sig.'!G121)=0,"",'Rough Sig.'!G121)</f>
        <v/>
      </c>
      <c r="H121" s="1434" t="str">
        <f>IF(LEN('Rough Sig.'!H121)=0,"",'Rough Sig.'!H121)</f>
        <v/>
      </c>
      <c r="I121"/>
      <c r="J121" s="1421" t="b">
        <f t="shared" si="0"/>
        <v>0</v>
      </c>
      <c r="K121" s="1486" t="b">
        <f t="shared" si="1"/>
        <v>0</v>
      </c>
    </row>
    <row r="122" spans="2:11" x14ac:dyDescent="0.2">
      <c r="B122" s="1419">
        <v>18</v>
      </c>
      <c r="C122" s="1675" t="str">
        <f>IF(LEN('Rough Sig.'!C122)=0,"",'Rough Sig.'!C122)</f>
        <v/>
      </c>
      <c r="D122" s="1675"/>
      <c r="E122" s="1543"/>
      <c r="F122" s="1543"/>
      <c r="G122" s="1434" t="str">
        <f>IF(LEN('Rough Sig.'!G122)=0,"",'Rough Sig.'!G122)</f>
        <v/>
      </c>
      <c r="H122" s="1434" t="str">
        <f>IF(LEN('Rough Sig.'!H122)=0,"",'Rough Sig.'!H122)</f>
        <v/>
      </c>
      <c r="I122"/>
      <c r="J122" s="1421" t="b">
        <f t="shared" si="0"/>
        <v>0</v>
      </c>
      <c r="K122" s="1486" t="b">
        <f t="shared" si="1"/>
        <v>0</v>
      </c>
    </row>
    <row r="123" spans="2:11" x14ac:dyDescent="0.2">
      <c r="B123" s="1419">
        <v>19</v>
      </c>
      <c r="C123" s="1675" t="str">
        <f>IF(LEN('Rough Sig.'!C123)=0,"",'Rough Sig.'!C123)</f>
        <v/>
      </c>
      <c r="D123" s="1675"/>
      <c r="E123" s="1543"/>
      <c r="F123" s="1543"/>
      <c r="G123" s="1434" t="str">
        <f>IF(LEN('Rough Sig.'!G123)=0,"",'Rough Sig.'!G123)</f>
        <v/>
      </c>
      <c r="H123" s="1434" t="str">
        <f>IF(LEN('Rough Sig.'!H123)=0,"",'Rough Sig.'!H123)</f>
        <v/>
      </c>
      <c r="I123"/>
      <c r="J123" s="1421" t="b">
        <f t="shared" si="0"/>
        <v>0</v>
      </c>
      <c r="K123" s="1486" t="b">
        <f t="shared" si="1"/>
        <v>0</v>
      </c>
    </row>
    <row r="124" spans="2:11" x14ac:dyDescent="0.2">
      <c r="B124" s="1419">
        <v>20</v>
      </c>
      <c r="C124" s="1675" t="str">
        <f>IF(LEN('Rough Sig.'!C124)=0,"",'Rough Sig.'!C124)</f>
        <v/>
      </c>
      <c r="D124" s="1675"/>
      <c r="E124" s="1543"/>
      <c r="F124" s="1543"/>
      <c r="G124" s="1434" t="str">
        <f>IF(LEN('Rough Sig.'!G124)=0,"",'Rough Sig.'!G124)</f>
        <v/>
      </c>
      <c r="H124" s="1434" t="str">
        <f>IF(LEN('Rough Sig.'!H124)=0,"",'Rough Sig.'!H124)</f>
        <v/>
      </c>
      <c r="I124"/>
      <c r="J124" s="1421" t="b">
        <f t="shared" si="0"/>
        <v>0</v>
      </c>
      <c r="K124" s="1486" t="b">
        <f t="shared" si="1"/>
        <v>0</v>
      </c>
    </row>
    <row r="125" spans="2:11" x14ac:dyDescent="0.2">
      <c r="I125"/>
    </row>
    <row r="126" spans="2:11" x14ac:dyDescent="0.2">
      <c r="B126" s="467"/>
      <c r="C126" s="467"/>
      <c r="D126" s="467"/>
      <c r="E126" s="467"/>
      <c r="F126" s="467"/>
      <c r="G126" s="467"/>
      <c r="H126" s="467"/>
      <c r="I126" s="467"/>
    </row>
    <row r="127" spans="2:11" x14ac:dyDescent="0.2">
      <c r="B127" s="467"/>
      <c r="C127" s="1487" t="s">
        <v>3087</v>
      </c>
      <c r="D127" s="467"/>
      <c r="E127" s="467"/>
      <c r="F127" s="467"/>
      <c r="G127" s="467"/>
      <c r="H127" s="467"/>
      <c r="I127" s="467"/>
    </row>
    <row r="128" spans="2:11" ht="3" customHeight="1" x14ac:dyDescent="0.2">
      <c r="B128" s="467"/>
      <c r="C128" s="1487"/>
      <c r="D128" s="467"/>
      <c r="E128" s="467"/>
      <c r="F128" s="467"/>
      <c r="G128" s="467"/>
      <c r="H128" s="467"/>
      <c r="I128" s="467"/>
    </row>
    <row r="129" spans="2:12" x14ac:dyDescent="0.2">
      <c r="B129" s="467"/>
      <c r="C129" s="1488" t="s">
        <v>4996</v>
      </c>
      <c r="D129" s="467"/>
      <c r="E129" s="467"/>
      <c r="F129" s="467"/>
      <c r="G129" s="467"/>
      <c r="H129" s="467"/>
      <c r="I129" s="467"/>
    </row>
    <row r="130" spans="2:12" ht="3" customHeight="1" x14ac:dyDescent="0.2">
      <c r="B130" s="467"/>
      <c r="C130" s="1488"/>
      <c r="D130" s="467"/>
      <c r="E130" s="467"/>
      <c r="F130" s="467"/>
      <c r="G130" s="467"/>
      <c r="H130" s="467"/>
      <c r="I130" s="467"/>
    </row>
    <row r="131" spans="2:12" x14ac:dyDescent="0.2">
      <c r="B131" s="467"/>
      <c r="C131" s="1488" t="s">
        <v>4997</v>
      </c>
      <c r="D131" s="467"/>
      <c r="E131" s="467"/>
      <c r="F131" s="467"/>
      <c r="G131" s="467"/>
      <c r="H131" s="467"/>
      <c r="I131" s="467"/>
    </row>
    <row r="132" spans="2:12" ht="3" customHeight="1" x14ac:dyDescent="0.2">
      <c r="B132" s="467"/>
      <c r="C132" s="1488"/>
      <c r="D132" s="467"/>
      <c r="E132" s="467"/>
      <c r="F132" s="467"/>
      <c r="G132" s="467"/>
      <c r="H132" s="467"/>
      <c r="I132" s="467"/>
    </row>
    <row r="133" spans="2:12" ht="30" customHeight="1" x14ac:dyDescent="0.2">
      <c r="B133" s="467"/>
      <c r="C133" s="2007" t="s">
        <v>4998</v>
      </c>
      <c r="D133" s="2007"/>
      <c r="E133" s="2007"/>
      <c r="F133" s="2007"/>
      <c r="G133" s="2007"/>
      <c r="H133" s="2007"/>
      <c r="I133" s="2007"/>
    </row>
    <row r="134" spans="2:12" ht="3" customHeight="1" x14ac:dyDescent="0.2">
      <c r="B134" s="467"/>
      <c r="C134" s="2007"/>
      <c r="D134" s="2007"/>
      <c r="E134" s="2007"/>
      <c r="F134" s="2007"/>
      <c r="G134" s="2007"/>
      <c r="H134" s="2007"/>
      <c r="I134" s="2007"/>
    </row>
    <row r="135" spans="2:12" x14ac:dyDescent="0.2">
      <c r="B135" s="467"/>
      <c r="C135" s="1488" t="s">
        <v>4999</v>
      </c>
      <c r="D135" s="467"/>
      <c r="E135" s="467"/>
      <c r="F135" s="467"/>
      <c r="G135" s="467"/>
      <c r="H135" s="467"/>
      <c r="I135" s="467"/>
    </row>
    <row r="136" spans="2:12" ht="3" customHeight="1" x14ac:dyDescent="0.2">
      <c r="B136" s="467"/>
      <c r="C136" s="1488"/>
      <c r="D136" s="467"/>
      <c r="E136" s="467"/>
      <c r="F136" s="467"/>
      <c r="G136" s="467"/>
      <c r="H136" s="467"/>
      <c r="I136" s="467"/>
    </row>
    <row r="137" spans="2:12" x14ac:dyDescent="0.2">
      <c r="B137" s="467"/>
      <c r="C137" s="2008" t="s">
        <v>5000</v>
      </c>
      <c r="D137" s="2008"/>
      <c r="E137" s="2008"/>
      <c r="F137" s="2008"/>
      <c r="G137" s="2008"/>
      <c r="H137" s="2008"/>
      <c r="I137" s="2008"/>
      <c r="K137" s="1413"/>
      <c r="L137" s="1413"/>
    </row>
    <row r="138" spans="2:12" ht="3" customHeight="1" x14ac:dyDescent="0.2">
      <c r="B138" s="467"/>
      <c r="C138" s="1488"/>
      <c r="D138" s="467"/>
      <c r="E138" s="467"/>
      <c r="F138" s="467"/>
      <c r="G138" s="467"/>
      <c r="H138" s="467"/>
      <c r="I138" s="467"/>
    </row>
    <row r="139" spans="2:12" x14ac:dyDescent="0.2">
      <c r="B139" s="467"/>
      <c r="C139" s="1488" t="s">
        <v>5001</v>
      </c>
      <c r="D139" s="467"/>
      <c r="E139" s="467"/>
      <c r="F139" s="467"/>
      <c r="G139" s="467"/>
      <c r="H139" s="467"/>
      <c r="I139" s="467"/>
    </row>
    <row r="140" spans="2:12" ht="3" customHeight="1" x14ac:dyDescent="0.2">
      <c r="B140" s="467"/>
      <c r="C140" s="1488"/>
      <c r="D140" s="467"/>
      <c r="E140" s="467"/>
      <c r="F140" s="467"/>
      <c r="G140" s="467"/>
      <c r="H140" s="467"/>
      <c r="I140" s="467"/>
    </row>
    <row r="141" spans="2:12" x14ac:dyDescent="0.2">
      <c r="B141" s="467"/>
      <c r="C141" s="1488" t="s">
        <v>5002</v>
      </c>
      <c r="D141" s="467"/>
      <c r="E141" s="467"/>
      <c r="F141" s="467"/>
      <c r="G141" s="467"/>
      <c r="H141" s="467"/>
      <c r="I141" s="467"/>
    </row>
    <row r="142" spans="2:12" ht="3" customHeight="1" x14ac:dyDescent="0.2">
      <c r="B142" s="467"/>
      <c r="C142" s="1488"/>
      <c r="D142" s="467"/>
      <c r="E142" s="467"/>
      <c r="F142" s="467"/>
      <c r="G142" s="467"/>
      <c r="H142" s="467"/>
      <c r="I142" s="467"/>
    </row>
    <row r="143" spans="2:12" ht="30" customHeight="1" x14ac:dyDescent="0.2">
      <c r="B143" s="467"/>
      <c r="C143" s="2008" t="s">
        <v>5003</v>
      </c>
      <c r="D143" s="2008"/>
      <c r="E143" s="2008"/>
      <c r="F143" s="2008"/>
      <c r="G143" s="2008"/>
      <c r="H143" s="2008"/>
      <c r="I143" s="2008"/>
    </row>
    <row r="144" spans="2:12" ht="3" customHeight="1" x14ac:dyDescent="0.2">
      <c r="B144" s="467"/>
      <c r="C144" s="1488"/>
      <c r="D144" s="467"/>
      <c r="E144" s="467"/>
      <c r="F144" s="467"/>
      <c r="G144" s="467"/>
      <c r="H144" s="467"/>
      <c r="I144" s="467"/>
    </row>
    <row r="145" spans="2:13" ht="30" customHeight="1" x14ac:dyDescent="0.2">
      <c r="B145" s="467"/>
      <c r="C145" s="2007" t="s">
        <v>5004</v>
      </c>
      <c r="D145" s="2007"/>
      <c r="E145" s="2007"/>
      <c r="F145" s="2007"/>
      <c r="G145" s="2007"/>
      <c r="H145" s="2007"/>
      <c r="I145" s="2007"/>
      <c r="J145" s="1413"/>
      <c r="K145" s="1489"/>
      <c r="L145" s="1489"/>
      <c r="M145" s="1413"/>
    </row>
    <row r="146" spans="2:13" ht="3" customHeight="1" x14ac:dyDescent="0.2">
      <c r="B146" s="467"/>
      <c r="C146" s="1488"/>
      <c r="D146" s="467"/>
      <c r="E146" s="467"/>
      <c r="F146" s="467"/>
      <c r="G146" s="467"/>
      <c r="H146" s="467"/>
      <c r="I146" s="467"/>
    </row>
    <row r="147" spans="2:13" x14ac:dyDescent="0.2">
      <c r="B147" s="467"/>
      <c r="C147" s="1488" t="s">
        <v>5005</v>
      </c>
      <c r="D147" s="467"/>
      <c r="E147" s="467"/>
      <c r="F147" s="467"/>
      <c r="G147" s="467"/>
      <c r="H147" s="467"/>
      <c r="I147" s="467"/>
    </row>
  </sheetData>
  <sheetProtection algorithmName="SHA-512" hashValue="jvHh6ZzMYKd2pQHQx4uHCFJDmcyLXo6Qq7Slegn8QQ2Cw6Mdwh1KUVA566cND0d6Hhy62fQvnzKjgQGmWAvobQ==" saltValue="bxJkMLNJg/+w40Qe3efXMQ==" spinCount="100000" sheet="1" objects="1" scenarios="1" selectLockedCells="1"/>
  <mergeCells count="83">
    <mergeCell ref="C120:D120"/>
    <mergeCell ref="C145:I145"/>
    <mergeCell ref="C122:D122"/>
    <mergeCell ref="C123:D123"/>
    <mergeCell ref="C124:D124"/>
    <mergeCell ref="C133:I134"/>
    <mergeCell ref="C137:I137"/>
    <mergeCell ref="C143:I143"/>
    <mergeCell ref="C115:D115"/>
    <mergeCell ref="C116:D116"/>
    <mergeCell ref="C117:D117"/>
    <mergeCell ref="C118:D118"/>
    <mergeCell ref="C119:D119"/>
    <mergeCell ref="E97:F97"/>
    <mergeCell ref="G97:H97"/>
    <mergeCell ref="C104:D104"/>
    <mergeCell ref="E104:F104"/>
    <mergeCell ref="C105:D105"/>
    <mergeCell ref="E105:F124"/>
    <mergeCell ref="C106:D106"/>
    <mergeCell ref="C107:D107"/>
    <mergeCell ref="C108:D108"/>
    <mergeCell ref="C109:D109"/>
    <mergeCell ref="C121:D121"/>
    <mergeCell ref="C110:D110"/>
    <mergeCell ref="C111:D111"/>
    <mergeCell ref="C112:D112"/>
    <mergeCell ref="C113:D113"/>
    <mergeCell ref="C114:D114"/>
    <mergeCell ref="E94:F94"/>
    <mergeCell ref="G94:H94"/>
    <mergeCell ref="E95:F95"/>
    <mergeCell ref="G95:H95"/>
    <mergeCell ref="E96:F96"/>
    <mergeCell ref="G96:H96"/>
    <mergeCell ref="A84:B84"/>
    <mergeCell ref="C90:I90"/>
    <mergeCell ref="E92:F92"/>
    <mergeCell ref="G92:H92"/>
    <mergeCell ref="E93:F93"/>
    <mergeCell ref="G93:H93"/>
    <mergeCell ref="A74:B74"/>
    <mergeCell ref="A76:B76"/>
    <mergeCell ref="A78:B78"/>
    <mergeCell ref="A80:B80"/>
    <mergeCell ref="D80:D82"/>
    <mergeCell ref="A82:B82"/>
    <mergeCell ref="A67:B68"/>
    <mergeCell ref="C67:D68"/>
    <mergeCell ref="A70:B70"/>
    <mergeCell ref="C70:I72"/>
    <mergeCell ref="A71:B71"/>
    <mergeCell ref="A72:B72"/>
    <mergeCell ref="A39:B40"/>
    <mergeCell ref="C39:D40"/>
    <mergeCell ref="E39:F39"/>
    <mergeCell ref="A42:B42"/>
    <mergeCell ref="C42:I44"/>
    <mergeCell ref="A43:B43"/>
    <mergeCell ref="A44:B44"/>
    <mergeCell ref="C18:D18"/>
    <mergeCell ref="F18:I18"/>
    <mergeCell ref="C21:C32"/>
    <mergeCell ref="E24:H28"/>
    <mergeCell ref="C57:I58"/>
    <mergeCell ref="C36:I37"/>
    <mergeCell ref="C46:D46"/>
    <mergeCell ref="C48:D48"/>
    <mergeCell ref="C50:D50"/>
    <mergeCell ref="C52:D52"/>
    <mergeCell ref="C55:D55"/>
    <mergeCell ref="D1:I5"/>
    <mergeCell ref="A8:B8"/>
    <mergeCell ref="C8:D8"/>
    <mergeCell ref="A10:B10"/>
    <mergeCell ref="C10:D10"/>
    <mergeCell ref="G10:I16"/>
    <mergeCell ref="A12:B12"/>
    <mergeCell ref="C12:D12"/>
    <mergeCell ref="A14:B14"/>
    <mergeCell ref="C14:D14"/>
    <mergeCell ref="A16:B16"/>
    <mergeCell ref="C16:D16"/>
  </mergeCells>
  <conditionalFormatting sqref="G39">
    <cfRule type="expression" dxfId="39" priority="3">
      <formula>$G$39=TRUE</formula>
    </cfRule>
  </conditionalFormatting>
  <conditionalFormatting sqref="F18:I18">
    <cfRule type="expression" dxfId="38" priority="1">
      <formula>$J$18</formula>
    </cfRule>
  </conditionalFormatting>
  <dataValidations count="1">
    <dataValidation type="list" allowBlank="1" showDropDown="1" showInputMessage="1" showErrorMessage="1" error="Use Checkbox" prompt="Use Checkbox" sqref="G39" xr:uid="{754DD151-7496-40DE-A166-2ADFC3DB384A}">
      <formula1>TorF</formula1>
    </dataValidation>
  </dataValidations>
  <pageMargins left="0.7" right="0.7" top="0.75" bottom="0.75" header="0.3" footer="0.3"/>
  <pageSetup paperSize="185" scale="77" fitToHeight="0" orientation="landscape" r:id="rId1"/>
  <rowBreaks count="3" manualBreakCount="3">
    <brk id="53" max="8" man="1"/>
    <brk id="88" max="16383" man="1"/>
    <brk id="125" max="8" man="1"/>
  </rowBreaks>
  <drawing r:id="rId2"/>
  <legacyDrawing r:id="rId3"/>
  <mc:AlternateContent xmlns:mc="http://schemas.openxmlformats.org/markup-compatibility/2006">
    <mc:Choice Requires="x14">
      <controls>
        <mc:AlternateContent xmlns:mc="http://schemas.openxmlformats.org/markup-compatibility/2006">
          <mc:Choice Requires="x14">
            <control shapeId="97281" r:id="rId4" name="Check Box 1">
              <controlPr locked="0" defaultSize="0" autoFill="0" autoLine="0" autoPict="0">
                <anchor moveWithCells="1">
                  <from>
                    <xdr:col>6</xdr:col>
                    <xdr:colOff>0</xdr:colOff>
                    <xdr:row>38</xdr:row>
                    <xdr:rowOff>0</xdr:rowOff>
                  </from>
                  <to>
                    <xdr:col>6</xdr:col>
                    <xdr:colOff>177800</xdr:colOff>
                    <xdr:row>38</xdr:row>
                    <xdr:rowOff>177800</xdr:rowOff>
                  </to>
                </anchor>
              </controlPr>
            </control>
          </mc:Choice>
        </mc:AlternateContent>
      </controls>
    </mc:Choice>
  </mc:AlternateContent>
  <extLst>
    <ext xmlns:x14="http://schemas.microsoft.com/office/spreadsheetml/2009/9/main" uri="{78C0D931-6437-407d-A8EE-F0AAD7539E65}">
      <x14:conditionalFormattings>
        <x14:conditionalFormatting xmlns:xm="http://schemas.microsoft.com/office/excel/2006/main">
          <x14:cfRule type="expression" priority="2" id="{9CF01FAB-DCAD-48DD-A4D5-316E8C25E0E3}">
            <xm:f>OR('Ver. Rpt. (Commercial)'!$AH$1,'Ver. Rpt. (Commercial)'!$AH$2)</xm:f>
            <x14:dxf>
              <font>
                <b/>
                <i val="0"/>
                <color theme="1"/>
              </font>
              <fill>
                <patternFill>
                  <bgColor rgb="FFFF0000"/>
                </patternFill>
              </fill>
            </x14:dxf>
          </x14:cfRule>
          <xm:sqref>C18:D18</xm:sqref>
        </x14:conditionalFormatting>
      </x14:conditionalFormattings>
    </ext>
  </extLst>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codeName="Sheet15">
    <pageSetUpPr fitToPage="1"/>
  </sheetPr>
  <dimension ref="A1:M187"/>
  <sheetViews>
    <sheetView showGridLines="0" topLeftCell="A87" zoomScaleNormal="100" workbookViewId="0">
      <selection activeCell="C84" sqref="C84"/>
    </sheetView>
  </sheetViews>
  <sheetFormatPr baseColWidth="10" defaultColWidth="9.1640625" defaultRowHeight="15" x14ac:dyDescent="0.2"/>
  <cols>
    <col min="1" max="2" width="10.6640625" style="455" customWidth="1"/>
    <col min="3" max="3" width="43.33203125" style="455" customWidth="1"/>
    <col min="4" max="9" width="15.6640625" style="455" customWidth="1"/>
    <col min="10" max="11" width="15.6640625" style="455" hidden="1" customWidth="1"/>
    <col min="12" max="12" width="16.6640625" style="455" hidden="1" customWidth="1"/>
    <col min="13" max="13" width="30.6640625" style="455" hidden="1" customWidth="1"/>
    <col min="14" max="16384" width="9.1640625" style="455"/>
  </cols>
  <sheetData>
    <row r="1" spans="1:13" x14ac:dyDescent="0.2">
      <c r="A1" s="512"/>
      <c r="B1" s="512"/>
      <c r="C1" s="512"/>
      <c r="D1" s="1644" t="s">
        <v>5034</v>
      </c>
      <c r="E1" s="1644"/>
      <c r="F1" s="1644"/>
      <c r="G1" s="1644"/>
      <c r="H1" s="1644"/>
      <c r="I1" s="1644"/>
      <c r="J1" s="330"/>
      <c r="K1" s="330"/>
    </row>
    <row r="2" spans="1:13" x14ac:dyDescent="0.2">
      <c r="A2" s="512"/>
      <c r="B2" s="512"/>
      <c r="C2" s="512"/>
      <c r="D2" s="1644"/>
      <c r="E2" s="1644"/>
      <c r="F2" s="1644"/>
      <c r="G2" s="1644"/>
      <c r="H2" s="1644"/>
      <c r="I2" s="1644"/>
      <c r="J2" s="330"/>
      <c r="K2" s="330"/>
    </row>
    <row r="3" spans="1:13" x14ac:dyDescent="0.2">
      <c r="A3" s="512"/>
      <c r="B3" s="512"/>
      <c r="C3" s="512"/>
      <c r="D3" s="1644"/>
      <c r="E3" s="1644"/>
      <c r="F3" s="1644"/>
      <c r="G3" s="1644"/>
      <c r="H3" s="1644"/>
      <c r="I3" s="1644"/>
      <c r="J3" s="330"/>
      <c r="K3" s="330"/>
    </row>
    <row r="4" spans="1:13" s="512" customFormat="1" x14ac:dyDescent="0.2">
      <c r="D4" s="1644"/>
      <c r="E4" s="1644"/>
      <c r="F4" s="1644"/>
      <c r="G4" s="1644"/>
      <c r="H4" s="1644"/>
      <c r="I4" s="1644"/>
      <c r="J4" s="330"/>
      <c r="K4" s="330"/>
    </row>
    <row r="5" spans="1:13" x14ac:dyDescent="0.2">
      <c r="A5" s="512"/>
      <c r="B5" s="512"/>
      <c r="C5" s="512"/>
      <c r="D5" s="1644"/>
      <c r="E5" s="1644"/>
      <c r="F5" s="1644"/>
      <c r="G5" s="1644"/>
      <c r="H5" s="1644"/>
      <c r="I5" s="1644"/>
      <c r="J5" s="330"/>
      <c r="K5" s="330"/>
    </row>
    <row r="6" spans="1:13" ht="19" x14ac:dyDescent="0.25">
      <c r="A6" s="622"/>
      <c r="B6" s="622"/>
      <c r="C6" s="14" t="s">
        <v>3088</v>
      </c>
      <c r="D6" s="622"/>
      <c r="E6" s="622"/>
      <c r="F6" s="622"/>
      <c r="G6" s="622"/>
      <c r="H6" s="622"/>
      <c r="I6" s="622"/>
      <c r="J6" s="623" t="s">
        <v>246</v>
      </c>
      <c r="K6" s="623" t="s">
        <v>246</v>
      </c>
      <c r="L6" s="616" t="s">
        <v>246</v>
      </c>
      <c r="M6" s="616" t="s">
        <v>246</v>
      </c>
    </row>
    <row r="7" spans="1:13" x14ac:dyDescent="0.2">
      <c r="J7" s="330"/>
      <c r="K7" s="330"/>
    </row>
    <row r="8" spans="1:13" x14ac:dyDescent="0.2">
      <c r="A8" s="2023" t="s">
        <v>3047</v>
      </c>
      <c r="B8" s="2023"/>
      <c r="C8" s="1971" t="str">
        <f>IF(dstBatch,"See Batch Submission",IF('Overview (Verification)'!P8="","None entered on ""Overview (Verification)"" Sheet",'Overview (Verification)'!P8))</f>
        <v>See Batch Submission</v>
      </c>
      <c r="D8" s="1971"/>
      <c r="E8" s="614"/>
      <c r="F8" s="612" t="s">
        <v>3220</v>
      </c>
      <c r="G8" s="2026" t="str">
        <f ca="1">Points!N26</f>
        <v>None</v>
      </c>
      <c r="H8" s="2026"/>
      <c r="I8" s="2026"/>
      <c r="J8" s="330"/>
      <c r="K8" s="330"/>
    </row>
    <row r="9" spans="1:13" ht="3" customHeight="1" x14ac:dyDescent="0.2">
      <c r="A9" s="464"/>
      <c r="B9" s="464"/>
      <c r="C9" s="513"/>
      <c r="D9" s="513"/>
      <c r="E9" s="621"/>
      <c r="F9" s="483"/>
      <c r="G9" s="513"/>
      <c r="H9" s="513"/>
      <c r="I9" s="513"/>
      <c r="J9" s="464"/>
      <c r="K9" s="330"/>
    </row>
    <row r="10" spans="1:13" x14ac:dyDescent="0.2">
      <c r="A10" s="2023" t="s">
        <v>3049</v>
      </c>
      <c r="B10" s="2023"/>
      <c r="C10" s="1971" t="str">
        <f>IF('Overview (Verification)'!P10="","None entered on ""Overview (Verification)"" Sheet",'Overview (Verification)'!P10)</f>
        <v>TWG Development</v>
      </c>
      <c r="D10" s="1971"/>
      <c r="E10" s="614"/>
      <c r="F10" s="612" t="s">
        <v>3050</v>
      </c>
      <c r="G10" s="1550" t="str">
        <f>'Overview (Verification)'!P18</f>
        <v>Multifamily</v>
      </c>
      <c r="H10" s="1550"/>
      <c r="I10" s="1550"/>
      <c r="J10" s="330"/>
      <c r="K10" s="330"/>
    </row>
    <row r="11" spans="1:13" ht="3" customHeight="1" x14ac:dyDescent="0.2">
      <c r="A11" s="621"/>
      <c r="B11" s="621"/>
      <c r="C11" s="513"/>
      <c r="D11" s="514"/>
      <c r="E11" s="621"/>
      <c r="F11" s="483"/>
      <c r="G11" s="466"/>
      <c r="H11" s="466"/>
      <c r="I11" s="466"/>
      <c r="J11" s="464"/>
      <c r="K11" s="330"/>
    </row>
    <row r="12" spans="1:13" x14ac:dyDescent="0.2">
      <c r="A12" s="2023" t="s">
        <v>3216</v>
      </c>
      <c r="B12" s="2023"/>
      <c r="C12" s="1971" t="str">
        <f>IF(dstBatch,"See Batch Submission",IF('Overview (Verification)'!P13="","None entered on ""Overview (Verification)"" Sheet",'Overview (Verification)'!P11&amp;", "&amp;'Overview (Verification)'!P13&amp;", "&amp;'Overview (Verification)'!P14&amp;"  "&amp;'Overview (Verification)'!P16))</f>
        <v>See Batch Submission</v>
      </c>
      <c r="D12" s="1971"/>
      <c r="E12" s="614"/>
      <c r="F12" s="612" t="s">
        <v>155</v>
      </c>
      <c r="G12" s="1969">
        <f>IF('Overview (Verification)'!P19&lt;&gt;"",'Overview (Verification)'!P19,1)</f>
        <v>48</v>
      </c>
      <c r="H12" s="1969"/>
      <c r="I12" s="1969"/>
      <c r="J12" s="330"/>
      <c r="K12" s="330"/>
    </row>
    <row r="13" spans="1:13" ht="3" customHeight="1" x14ac:dyDescent="0.2">
      <c r="A13" s="621"/>
      <c r="B13" s="621"/>
      <c r="C13" s="513"/>
      <c r="D13" s="514"/>
      <c r="E13" s="621"/>
      <c r="F13" s="483"/>
      <c r="G13" s="466"/>
      <c r="H13" s="466"/>
      <c r="I13" s="466"/>
      <c r="J13" s="464"/>
      <c r="K13" s="330"/>
    </row>
    <row r="14" spans="1:13" x14ac:dyDescent="0.2">
      <c r="A14" s="2023" t="s">
        <v>130</v>
      </c>
      <c r="B14" s="2023"/>
      <c r="C14" s="1971" t="str">
        <f>IF('Overview (Verification)'!P12="","None entered on ""Overview (Verification)"" Sheet",'Overview (Verification)'!P12)</f>
        <v>None entered on "Overview (Verification)" Sheet</v>
      </c>
      <c r="D14" s="1971"/>
      <c r="E14" s="614"/>
      <c r="F14" s="612" t="s">
        <v>3444</v>
      </c>
      <c r="G14" s="1550">
        <f>'Overview (Verification)'!P26</f>
        <v>20128</v>
      </c>
      <c r="H14" s="1550"/>
      <c r="I14" s="1550"/>
      <c r="J14" s="330"/>
      <c r="K14" s="330"/>
    </row>
    <row r="15" spans="1:13" ht="3" customHeight="1" x14ac:dyDescent="0.2">
      <c r="A15" s="621"/>
      <c r="B15" s="621"/>
      <c r="C15" s="513"/>
      <c r="D15" s="514"/>
      <c r="E15" s="621"/>
      <c r="F15" s="483"/>
      <c r="G15" s="466"/>
      <c r="H15" s="466"/>
      <c r="I15" s="466"/>
      <c r="J15" s="464"/>
      <c r="K15" s="330"/>
    </row>
    <row r="16" spans="1:13" x14ac:dyDescent="0.2">
      <c r="A16" s="2023" t="s">
        <v>2920</v>
      </c>
      <c r="B16" s="2023"/>
      <c r="C16" s="1998" t="str">
        <f>'Overview (Verification)'!U11&amp;" "&amp;'Overview (Verification)'!V11&amp;" "&amp;'Overview (Verification)'!W11&amp;" "&amp;'Overview (Verification)'!Y11</f>
        <v xml:space="preserve">3 Moist    </v>
      </c>
      <c r="D16" s="1998"/>
      <c r="E16" s="499"/>
      <c r="F16" s="612" t="s">
        <v>3051</v>
      </c>
      <c r="G16" s="1550" t="str">
        <f>'Overview (Verification)'!P32</f>
        <v>n/a</v>
      </c>
      <c r="H16" s="1550"/>
      <c r="I16" s="1550"/>
      <c r="J16" s="330"/>
      <c r="K16" s="330"/>
    </row>
    <row r="17" spans="1:11" ht="3" customHeight="1" x14ac:dyDescent="0.2">
      <c r="A17" s="149"/>
      <c r="B17" s="149"/>
      <c r="C17" s="500"/>
      <c r="D17" s="500"/>
      <c r="E17" s="499"/>
      <c r="F17" s="612"/>
      <c r="J17" s="330"/>
      <c r="K17" s="330"/>
    </row>
    <row r="18" spans="1:11" ht="14.5" customHeight="1" x14ac:dyDescent="0.2">
      <c r="A18" s="330"/>
      <c r="C18" s="1995" t="s">
        <v>3226</v>
      </c>
      <c r="D18" s="1995"/>
      <c r="E18" s="617"/>
      <c r="F18" s="1995" t="s">
        <v>3227</v>
      </c>
      <c r="G18" s="1995"/>
      <c r="H18" s="1995"/>
      <c r="I18" s="1995"/>
      <c r="J18" s="330" t="b">
        <f>OR(J46:J114)</f>
        <v>0</v>
      </c>
      <c r="K18" s="330"/>
    </row>
    <row r="19" spans="1:11" x14ac:dyDescent="0.2">
      <c r="A19" s="330"/>
      <c r="B19" s="330"/>
      <c r="C19" s="330"/>
      <c r="I19" s="330"/>
      <c r="J19" s="330"/>
      <c r="K19" s="330"/>
    </row>
    <row r="20" spans="1:11" x14ac:dyDescent="0.2">
      <c r="A20" s="467"/>
      <c r="B20" s="467"/>
      <c r="C20" s="467"/>
      <c r="D20" s="467"/>
      <c r="E20" s="1996" t="str">
        <f>IF('Verification Report'!L5="Final","Final Points claimed by","NOT YET FINAL PHASE")</f>
        <v>Final Points claimed by</v>
      </c>
      <c r="F20" s="467"/>
      <c r="G20" s="467"/>
      <c r="H20" s="467"/>
      <c r="I20" s="467"/>
      <c r="J20" s="330"/>
      <c r="K20" s="330"/>
    </row>
    <row r="21" spans="1:11" x14ac:dyDescent="0.2">
      <c r="A21" s="467"/>
      <c r="B21" s="467"/>
      <c r="C21" s="467"/>
      <c r="E21" s="1997"/>
      <c r="F21" s="467"/>
      <c r="G21" s="467"/>
      <c r="H21" s="467"/>
      <c r="I21" s="467"/>
      <c r="J21" s="330"/>
      <c r="K21" s="330"/>
    </row>
    <row r="22" spans="1:11" ht="15" customHeight="1" x14ac:dyDescent="0.2">
      <c r="A22" s="467"/>
      <c r="B22" s="467"/>
      <c r="C22" s="457" t="s">
        <v>3052</v>
      </c>
      <c r="D22" s="468" t="s">
        <v>3053</v>
      </c>
      <c r="E22" s="468" t="s">
        <v>2915</v>
      </c>
      <c r="J22" s="330"/>
      <c r="K22" s="330"/>
    </row>
    <row r="23" spans="1:11" s="96" customFormat="1" ht="3" customHeight="1" x14ac:dyDescent="0.2">
      <c r="A23" s="469"/>
      <c r="B23" s="469"/>
      <c r="C23" s="470"/>
      <c r="D23" s="460"/>
      <c r="E23" s="461"/>
      <c r="J23" s="464"/>
      <c r="K23" s="464"/>
    </row>
    <row r="24" spans="1:11" ht="15" customHeight="1" x14ac:dyDescent="0.2">
      <c r="A24" s="467"/>
      <c r="B24" s="467"/>
      <c r="C24" s="471" t="s">
        <v>3058</v>
      </c>
      <c r="D24" s="472">
        <f ca="1">Points!Ch5Points</f>
        <v>14</v>
      </c>
      <c r="E24" s="473">
        <f ca="1">Ch5PointsFinal</f>
        <v>14</v>
      </c>
      <c r="F24"/>
      <c r="G24" s="1546" t="s">
        <v>3913</v>
      </c>
      <c r="H24" s="1546"/>
      <c r="I24"/>
      <c r="J24" s="330"/>
      <c r="K24" s="330"/>
    </row>
    <row r="25" spans="1:11" ht="15" customHeight="1" x14ac:dyDescent="0.2">
      <c r="A25" s="467"/>
      <c r="B25" s="467"/>
      <c r="C25" s="474" t="s">
        <v>3059</v>
      </c>
      <c r="D25" s="475">
        <f ca="1">Ch6Points</f>
        <v>45</v>
      </c>
      <c r="E25" s="476">
        <f ca="1">Ch6PointsFinal</f>
        <v>45</v>
      </c>
      <c r="F25"/>
      <c r="G25" s="1651" t="str">
        <f ca="1">Points!N26</f>
        <v>None</v>
      </c>
      <c r="H25" s="1651"/>
      <c r="I25"/>
      <c r="J25" s="330"/>
      <c r="K25" s="330"/>
    </row>
    <row r="26" spans="1:11" ht="15" customHeight="1" x14ac:dyDescent="0.2">
      <c r="A26" s="467"/>
      <c r="B26" s="467"/>
      <c r="C26" s="474" t="s">
        <v>3060</v>
      </c>
      <c r="D26" s="475" t="str">
        <f ca="1">Ch7Level</f>
        <v>Gold</v>
      </c>
      <c r="E26" s="476" t="str">
        <f ca="1">Points!Q19</f>
        <v>Gold</v>
      </c>
      <c r="F26"/>
      <c r="G26"/>
      <c r="H26"/>
      <c r="I26"/>
      <c r="J26" s="330"/>
      <c r="K26" s="330"/>
    </row>
    <row r="27" spans="1:11" ht="15" customHeight="1" x14ac:dyDescent="0.2">
      <c r="A27" s="467"/>
      <c r="B27" s="467"/>
      <c r="C27" s="474" t="s">
        <v>3061</v>
      </c>
      <c r="D27" s="475" t="str">
        <f ca="1">Ch8Level</f>
        <v>Silver</v>
      </c>
      <c r="E27" s="476" t="str">
        <f ca="1">Points!Q22</f>
        <v>None</v>
      </c>
      <c r="F27"/>
      <c r="G27"/>
      <c r="H27"/>
      <c r="I27"/>
      <c r="J27" s="330"/>
      <c r="K27" s="330"/>
    </row>
    <row r="28" spans="1:11" ht="15" customHeight="1" x14ac:dyDescent="0.2">
      <c r="A28" s="467"/>
      <c r="B28" s="467"/>
      <c r="C28" s="474" t="s">
        <v>3062</v>
      </c>
      <c r="D28" s="475">
        <f ca="1">Ch9Points</f>
        <v>34</v>
      </c>
      <c r="E28" s="476">
        <f ca="1">Ch9PointsFinal</f>
        <v>34</v>
      </c>
      <c r="F28"/>
      <c r="G28" s="1919" t="s">
        <v>3912</v>
      </c>
      <c r="H28" s="1919"/>
      <c r="I28"/>
      <c r="J28" s="330"/>
      <c r="K28" s="330"/>
    </row>
    <row r="29" spans="1:11" ht="15" customHeight="1" x14ac:dyDescent="0.2">
      <c r="A29" s="467"/>
      <c r="B29" s="467"/>
      <c r="C29" s="477" t="s">
        <v>3063</v>
      </c>
      <c r="D29" s="478">
        <f>Ch10Points</f>
        <v>23</v>
      </c>
      <c r="E29" s="478">
        <f>Ch10PointsFinal</f>
        <v>23</v>
      </c>
      <c r="F29" s="457" t="s">
        <v>3054</v>
      </c>
      <c r="G29" s="457" t="s">
        <v>3055</v>
      </c>
      <c r="H29" s="457" t="s">
        <v>3056</v>
      </c>
      <c r="I29" s="457" t="s">
        <v>3057</v>
      </c>
      <c r="J29" s="330"/>
      <c r="K29" s="330"/>
    </row>
    <row r="30" spans="1:11" s="96" customFormat="1" ht="3" customHeight="1" x14ac:dyDescent="0.2">
      <c r="A30" s="469"/>
      <c r="B30" s="469"/>
      <c r="C30" s="479"/>
      <c r="D30" s="480"/>
      <c r="E30" s="469"/>
      <c r="F30" s="469"/>
      <c r="G30" s="469"/>
      <c r="H30" s="469"/>
      <c r="I30" s="469"/>
      <c r="J30" s="464"/>
      <c r="K30" s="464"/>
    </row>
    <row r="31" spans="1:11" s="96" customFormat="1" ht="3" customHeight="1" x14ac:dyDescent="0.2">
      <c r="A31" s="469"/>
      <c r="B31" s="469"/>
      <c r="C31" s="469"/>
      <c r="D31" s="480"/>
      <c r="E31" s="469"/>
      <c r="F31" s="469"/>
      <c r="G31" s="469"/>
      <c r="H31" s="469"/>
      <c r="I31" s="469"/>
      <c r="J31" s="464"/>
      <c r="K31" s="464"/>
    </row>
    <row r="32" spans="1:11" ht="15" customHeight="1" x14ac:dyDescent="0.2">
      <c r="A32" s="467"/>
      <c r="B32" s="467"/>
      <c r="C32" s="456" t="s">
        <v>3064</v>
      </c>
      <c r="D32" s="30">
        <f ca="1">Dpoints</f>
        <v>116</v>
      </c>
      <c r="E32" s="30">
        <f ca="1">Vpoints</f>
        <v>116</v>
      </c>
      <c r="F32" s="30">
        <f>SUM(F24:F29)+Points!C26</f>
        <v>88</v>
      </c>
      <c r="G32" s="30">
        <f ca="1">SUM(G24:G29)+Points!D26</f>
        <v>125</v>
      </c>
      <c r="H32" s="30">
        <f>SUM(H24:H29)+Points!E26</f>
        <v>181</v>
      </c>
      <c r="I32" s="30">
        <f>SUM(I24:I29)+Points!F26</f>
        <v>225</v>
      </c>
      <c r="J32" s="330"/>
      <c r="K32" s="330"/>
    </row>
    <row r="33" spans="1:11" ht="3" customHeight="1" x14ac:dyDescent="0.2">
      <c r="A33" s="467"/>
      <c r="B33" s="467"/>
      <c r="C33" s="467"/>
      <c r="D33" s="467"/>
      <c r="E33" s="467"/>
      <c r="F33" s="467"/>
      <c r="G33" s="467"/>
      <c r="H33" s="467"/>
      <c r="I33" s="467"/>
      <c r="J33" s="330"/>
      <c r="K33" s="330"/>
    </row>
    <row r="34" spans="1:11" s="1421" customFormat="1" ht="15" customHeight="1" x14ac:dyDescent="0.2">
      <c r="A34" s="467"/>
      <c r="B34" s="467"/>
      <c r="C34" s="467"/>
      <c r="D34" s="467"/>
      <c r="E34" s="467"/>
      <c r="F34" s="467"/>
      <c r="G34" s="467"/>
      <c r="H34" s="467"/>
      <c r="I34" s="467"/>
      <c r="J34" s="330"/>
      <c r="K34" s="330"/>
    </row>
    <row r="35" spans="1:11" ht="3" customHeight="1" x14ac:dyDescent="0.2">
      <c r="A35" s="467"/>
      <c r="B35" s="467"/>
      <c r="C35" s="467"/>
      <c r="D35" s="467"/>
      <c r="E35" s="467"/>
      <c r="F35" s="467"/>
      <c r="G35" s="467"/>
      <c r="H35" s="467"/>
      <c r="I35" s="467"/>
      <c r="J35" s="330"/>
      <c r="K35" s="330"/>
    </row>
    <row r="36" spans="1:11" ht="18" customHeight="1" x14ac:dyDescent="0.2">
      <c r="C36" s="1964" t="s">
        <v>3217</v>
      </c>
      <c r="D36" s="1964"/>
      <c r="E36" s="1964"/>
      <c r="F36" s="1964"/>
      <c r="G36" s="1964"/>
      <c r="H36" s="1964"/>
      <c r="I36" s="1964"/>
      <c r="J36" s="330"/>
      <c r="K36" s="330"/>
    </row>
    <row r="37" spans="1:11" ht="20" customHeight="1" x14ac:dyDescent="0.2">
      <c r="C37" s="1964"/>
      <c r="D37" s="1964"/>
      <c r="E37" s="1964"/>
      <c r="F37" s="1964"/>
      <c r="G37" s="1964"/>
      <c r="H37" s="1964"/>
      <c r="I37" s="1964"/>
      <c r="J37" s="330"/>
      <c r="K37" s="330"/>
    </row>
    <row r="38" spans="1:11" ht="15" customHeight="1" x14ac:dyDescent="0.2">
      <c r="J38" s="330"/>
      <c r="K38" s="330"/>
    </row>
    <row r="39" spans="1:11" s="611" customFormat="1" ht="15" customHeight="1" x14ac:dyDescent="0.2">
      <c r="A39" s="1983" t="s">
        <v>3218</v>
      </c>
      <c r="B39" s="2024"/>
      <c r="C39" s="1985"/>
      <c r="D39" s="1986"/>
      <c r="E39" s="1563" t="s">
        <v>3065</v>
      </c>
      <c r="F39" s="1834"/>
      <c r="G39" s="27"/>
      <c r="J39" s="330"/>
      <c r="K39" s="330"/>
    </row>
    <row r="40" spans="1:11" s="611" customFormat="1" x14ac:dyDescent="0.2">
      <c r="A40" s="615"/>
      <c r="B40" s="615"/>
      <c r="C40" s="1987"/>
      <c r="D40" s="1988"/>
      <c r="J40" s="330"/>
      <c r="K40" s="330"/>
    </row>
    <row r="41" spans="1:11" s="611" customFormat="1" ht="3" customHeight="1" x14ac:dyDescent="0.2">
      <c r="A41" s="614"/>
      <c r="B41" s="614"/>
      <c r="C41" s="487"/>
      <c r="D41" s="487"/>
      <c r="J41" s="330"/>
      <c r="K41" s="330"/>
    </row>
    <row r="42" spans="1:11" s="611" customFormat="1" x14ac:dyDescent="0.2">
      <c r="A42" s="1563" t="s">
        <v>3221</v>
      </c>
      <c r="B42" s="1563"/>
      <c r="C42" s="1974" t="s">
        <v>2590</v>
      </c>
      <c r="D42" s="1975"/>
      <c r="E42" s="1975"/>
      <c r="F42" s="1975"/>
      <c r="G42" s="1975"/>
      <c r="H42" s="1975"/>
      <c r="I42" s="1976"/>
      <c r="J42" s="330"/>
      <c r="K42" s="330"/>
    </row>
    <row r="43" spans="1:11" s="611" customFormat="1" x14ac:dyDescent="0.2">
      <c r="A43" s="1563"/>
      <c r="B43" s="1563"/>
      <c r="C43" s="1977"/>
      <c r="D43" s="1978"/>
      <c r="E43" s="1978"/>
      <c r="F43" s="1978"/>
      <c r="G43" s="1978"/>
      <c r="H43" s="1978"/>
      <c r="I43" s="1979"/>
      <c r="J43" s="330"/>
      <c r="K43" s="330"/>
    </row>
    <row r="44" spans="1:11" s="611" customFormat="1" x14ac:dyDescent="0.2">
      <c r="A44" s="1563"/>
      <c r="B44" s="1563"/>
      <c r="C44" s="1980"/>
      <c r="D44" s="1981"/>
      <c r="E44" s="1981"/>
      <c r="F44" s="1981"/>
      <c r="G44" s="1981"/>
      <c r="H44" s="1981"/>
      <c r="I44" s="1982"/>
      <c r="J44" s="330"/>
      <c r="K44" s="330"/>
    </row>
    <row r="45" spans="1:11" s="611" customFormat="1" ht="3" customHeight="1" x14ac:dyDescent="0.2">
      <c r="A45" s="614"/>
      <c r="B45" s="614"/>
      <c r="J45" s="330"/>
      <c r="K45" s="330"/>
    </row>
    <row r="46" spans="1:11" ht="15" customHeight="1" x14ac:dyDescent="0.2">
      <c r="A46" s="331"/>
      <c r="B46" s="482" t="s">
        <v>3066</v>
      </c>
      <c r="C46" s="2021" t="s">
        <v>5653</v>
      </c>
      <c r="D46" s="2021"/>
      <c r="E46" s="2009" t="s">
        <v>3089</v>
      </c>
      <c r="F46" s="2009"/>
      <c r="G46" s="617"/>
      <c r="J46" s="330" t="b">
        <f>ISBLANK(C46)</f>
        <v>0</v>
      </c>
      <c r="K46" s="330"/>
    </row>
    <row r="47" spans="1:11" ht="3" customHeight="1" x14ac:dyDescent="0.2">
      <c r="A47" s="331"/>
      <c r="B47" s="482"/>
      <c r="E47" s="2009"/>
      <c r="F47" s="2009"/>
      <c r="J47" s="330"/>
      <c r="K47" s="330"/>
    </row>
    <row r="48" spans="1:11" ht="15" customHeight="1" x14ac:dyDescent="0.2">
      <c r="A48" s="331"/>
      <c r="B48" s="482" t="s">
        <v>3067</v>
      </c>
      <c r="C48" s="2021" t="s">
        <v>5667</v>
      </c>
      <c r="D48" s="2021"/>
      <c r="E48" s="2009"/>
      <c r="F48" s="2009"/>
      <c r="G48" s="488" t="s">
        <v>3098</v>
      </c>
      <c r="J48" s="330" t="b">
        <f>ISBLANK(C48)</f>
        <v>0</v>
      </c>
      <c r="K48" s="330"/>
    </row>
    <row r="49" spans="1:11" ht="3" customHeight="1" x14ac:dyDescent="0.2">
      <c r="A49" s="331"/>
      <c r="B49" s="482"/>
      <c r="J49" s="330"/>
      <c r="K49" s="330"/>
    </row>
    <row r="50" spans="1:11" x14ac:dyDescent="0.2">
      <c r="A50" s="331"/>
      <c r="B50" s="482" t="s">
        <v>3068</v>
      </c>
      <c r="C50" s="2021" t="s">
        <v>5668</v>
      </c>
      <c r="D50" s="2021"/>
      <c r="E50" s="2010" t="s">
        <v>3090</v>
      </c>
      <c r="F50" s="2010"/>
      <c r="J50" s="330" t="b">
        <f>ISBLANK(C50)</f>
        <v>0</v>
      </c>
      <c r="K50" s="330"/>
    </row>
    <row r="51" spans="1:11" ht="3" customHeight="1" x14ac:dyDescent="0.2">
      <c r="A51" s="331"/>
      <c r="B51" s="482"/>
      <c r="E51" s="2010"/>
      <c r="F51" s="2010"/>
      <c r="G51" s="501"/>
      <c r="J51" s="330"/>
      <c r="K51" s="330"/>
    </row>
    <row r="52" spans="1:11" x14ac:dyDescent="0.2">
      <c r="A52" s="331"/>
      <c r="B52" s="483" t="s">
        <v>3069</v>
      </c>
      <c r="C52" s="2021" t="s">
        <v>5659</v>
      </c>
      <c r="D52" s="2021"/>
      <c r="E52" s="2010"/>
      <c r="F52" s="2010"/>
      <c r="G52" s="1824" t="s">
        <v>3099</v>
      </c>
      <c r="H52" s="1824"/>
      <c r="I52" s="1824"/>
      <c r="J52" s="330" t="b">
        <f>ISBLANK(C52)</f>
        <v>0</v>
      </c>
      <c r="K52" s="330"/>
    </row>
    <row r="53" spans="1:11" x14ac:dyDescent="0.2">
      <c r="A53" s="331"/>
      <c r="E53" s="2025" t="s">
        <v>3450</v>
      </c>
      <c r="F53" s="2025"/>
      <c r="G53" s="2025"/>
      <c r="J53" s="1" t="b">
        <f>ISBLANK(G48)</f>
        <v>0</v>
      </c>
      <c r="K53" s="330"/>
    </row>
    <row r="54" spans="1:11" x14ac:dyDescent="0.2">
      <c r="D54" s="501"/>
      <c r="E54" s="502"/>
      <c r="J54" s="1" t="b">
        <f>ISBLANK(G52)</f>
        <v>0</v>
      </c>
      <c r="K54" s="330"/>
    </row>
    <row r="55" spans="1:11" x14ac:dyDescent="0.2">
      <c r="C55" s="1967" t="s">
        <v>3070</v>
      </c>
      <c r="D55" s="1967"/>
      <c r="J55" s="330"/>
      <c r="K55" s="330"/>
    </row>
    <row r="56" spans="1:11" ht="3" customHeight="1" x14ac:dyDescent="0.2">
      <c r="C56" s="453"/>
      <c r="D56" s="453"/>
      <c r="J56" s="330"/>
      <c r="K56" s="330"/>
    </row>
    <row r="57" spans="1:11" x14ac:dyDescent="0.2">
      <c r="C57" s="1968" t="s">
        <v>3091</v>
      </c>
      <c r="D57" s="1968"/>
      <c r="E57" s="1968"/>
      <c r="F57" s="1968"/>
      <c r="G57" s="1968"/>
      <c r="H57" s="1968"/>
      <c r="I57" s="1968"/>
      <c r="J57" s="330"/>
      <c r="K57" s="330"/>
    </row>
    <row r="58" spans="1:11" ht="18" customHeight="1" x14ac:dyDescent="0.2">
      <c r="C58" s="1968"/>
      <c r="D58" s="1968"/>
      <c r="E58" s="1968"/>
      <c r="F58" s="1968"/>
      <c r="G58" s="1968"/>
      <c r="H58" s="1968"/>
      <c r="I58" s="1968"/>
      <c r="J58" s="330"/>
      <c r="K58" s="330"/>
    </row>
    <row r="59" spans="1:11" ht="15" customHeight="1" x14ac:dyDescent="0.2">
      <c r="A59" s="2022" t="s">
        <v>3092</v>
      </c>
      <c r="B59" s="2022"/>
      <c r="C59" s="503"/>
      <c r="D59" s="503"/>
      <c r="E59" s="503"/>
      <c r="F59" s="503"/>
      <c r="G59" s="503"/>
      <c r="H59" s="503"/>
      <c r="I59" s="503"/>
      <c r="J59" s="330"/>
      <c r="K59" s="330"/>
    </row>
    <row r="60" spans="1:11" ht="15" customHeight="1" x14ac:dyDescent="0.2">
      <c r="A60" s="2022"/>
      <c r="B60" s="2022"/>
      <c r="C60" s="503"/>
      <c r="D60" s="503"/>
      <c r="E60" s="2011" t="s">
        <v>3093</v>
      </c>
      <c r="F60" s="2012" t="s">
        <v>5669</v>
      </c>
      <c r="G60" s="2013"/>
      <c r="H60" s="2013"/>
      <c r="I60" s="2014"/>
      <c r="J60" s="330"/>
      <c r="K60" s="330"/>
    </row>
    <row r="61" spans="1:11" ht="15" customHeight="1" x14ac:dyDescent="0.2">
      <c r="A61" s="2022"/>
      <c r="B61" s="2022"/>
      <c r="C61" s="504" t="s">
        <v>3103</v>
      </c>
      <c r="D61" s="503"/>
      <c r="E61" s="2011"/>
      <c r="F61" s="2015"/>
      <c r="G61" s="2016"/>
      <c r="H61" s="2016"/>
      <c r="I61" s="2017"/>
      <c r="J61" s="330" t="b">
        <f>ISBLANK(C61)</f>
        <v>0</v>
      </c>
      <c r="K61" s="330"/>
    </row>
    <row r="62" spans="1:11" ht="15" customHeight="1" x14ac:dyDescent="0.2">
      <c r="A62" s="2022"/>
      <c r="B62" s="2022"/>
      <c r="C62" s="503"/>
      <c r="D62" s="503"/>
      <c r="E62" s="2011"/>
      <c r="F62" s="2018"/>
      <c r="G62" s="2019"/>
      <c r="H62" s="2019"/>
      <c r="I62" s="2020"/>
      <c r="J62" s="1" t="b">
        <f>AND(C61=K187,ISBLANK(F60))</f>
        <v>0</v>
      </c>
      <c r="K62" s="330"/>
    </row>
    <row r="63" spans="1:11" ht="15" customHeight="1" x14ac:dyDescent="0.2">
      <c r="A63" s="2022"/>
      <c r="B63" s="2022"/>
      <c r="C63" s="503"/>
      <c r="D63" s="503"/>
      <c r="E63" s="503"/>
      <c r="F63" s="503"/>
      <c r="G63" s="503"/>
      <c r="H63" s="503"/>
      <c r="I63" s="503"/>
      <c r="J63" s="330"/>
      <c r="K63" s="330"/>
    </row>
    <row r="64" spans="1:11" ht="15" customHeight="1" x14ac:dyDescent="0.2">
      <c r="A64" s="1563" t="s">
        <v>3094</v>
      </c>
      <c r="B64" s="1563"/>
      <c r="C64" s="504" t="s">
        <v>276</v>
      </c>
      <c r="D64" s="503"/>
      <c r="E64" s="503"/>
      <c r="F64" s="503"/>
      <c r="G64" s="503"/>
      <c r="H64" s="503"/>
      <c r="I64" s="503"/>
      <c r="J64" s="330" t="b">
        <f>ISBLANK(C64)</f>
        <v>0</v>
      </c>
      <c r="K64" s="330"/>
    </row>
    <row r="65" spans="1:11" ht="15" customHeight="1" x14ac:dyDescent="0.2">
      <c r="C65" s="503"/>
      <c r="D65" s="503"/>
      <c r="E65" s="503"/>
      <c r="F65" s="503"/>
      <c r="G65" s="503"/>
      <c r="H65" s="503"/>
      <c r="I65" s="503"/>
      <c r="J65" s="330"/>
      <c r="K65" s="330"/>
    </row>
    <row r="66" spans="1:11" ht="15" customHeight="1" x14ac:dyDescent="0.2">
      <c r="A66" s="70"/>
      <c r="B66" s="486"/>
      <c r="C66" s="485"/>
      <c r="D66" s="485"/>
      <c r="E66" s="485"/>
      <c r="F66" s="485"/>
      <c r="G66" s="485"/>
      <c r="H66" s="485"/>
      <c r="I66" s="485"/>
      <c r="J66" s="330"/>
      <c r="K66" s="330"/>
    </row>
    <row r="67" spans="1:11" ht="15" customHeight="1" x14ac:dyDescent="0.2">
      <c r="A67" s="1983" t="s">
        <v>3072</v>
      </c>
      <c r="B67" s="1984"/>
      <c r="C67" s="1985"/>
      <c r="D67" s="1986"/>
      <c r="E67" s="611"/>
      <c r="F67" s="611"/>
      <c r="G67" s="611"/>
      <c r="H67" s="611"/>
      <c r="I67" s="611"/>
      <c r="J67" s="330"/>
      <c r="K67" s="330"/>
    </row>
    <row r="68" spans="1:11" x14ac:dyDescent="0.2">
      <c r="A68" s="1984"/>
      <c r="B68" s="1984"/>
      <c r="C68" s="1987"/>
      <c r="D68" s="1988"/>
      <c r="E68" s="611"/>
      <c r="F68" s="611"/>
      <c r="G68" s="611"/>
      <c r="H68" s="611"/>
      <c r="I68" s="611"/>
      <c r="J68" s="330"/>
      <c r="K68" s="330"/>
    </row>
    <row r="69" spans="1:11" ht="3" customHeight="1" x14ac:dyDescent="0.2">
      <c r="A69" s="614"/>
      <c r="B69" s="614"/>
      <c r="C69" s="487"/>
      <c r="D69" s="487"/>
      <c r="E69" s="611"/>
      <c r="F69" s="611"/>
      <c r="G69" s="611"/>
      <c r="H69" s="611"/>
      <c r="I69" s="611"/>
      <c r="J69" s="330"/>
      <c r="K69" s="330"/>
    </row>
    <row r="70" spans="1:11" x14ac:dyDescent="0.2">
      <c r="A70" s="1563" t="s">
        <v>3071</v>
      </c>
      <c r="B70" s="1563"/>
      <c r="C70" s="1974" t="s">
        <v>2590</v>
      </c>
      <c r="D70" s="1975"/>
      <c r="E70" s="1975"/>
      <c r="F70" s="1975"/>
      <c r="G70" s="1975"/>
      <c r="H70" s="1975"/>
      <c r="I70" s="1976"/>
      <c r="J70" s="330"/>
      <c r="K70" s="330"/>
    </row>
    <row r="71" spans="1:11" s="611" customFormat="1" x14ac:dyDescent="0.2">
      <c r="A71" s="1563"/>
      <c r="B71" s="1563"/>
      <c r="C71" s="1977"/>
      <c r="D71" s="1978"/>
      <c r="E71" s="1978"/>
      <c r="F71" s="1978"/>
      <c r="G71" s="1978"/>
      <c r="H71" s="1978"/>
      <c r="I71" s="1979"/>
      <c r="J71" s="330"/>
      <c r="K71" s="330"/>
    </row>
    <row r="72" spans="1:11" s="611" customFormat="1" x14ac:dyDescent="0.2">
      <c r="A72" s="1563"/>
      <c r="B72" s="1563"/>
      <c r="C72" s="1980"/>
      <c r="D72" s="1981"/>
      <c r="E72" s="1981"/>
      <c r="F72" s="1981"/>
      <c r="G72" s="1981"/>
      <c r="H72" s="1981"/>
      <c r="I72" s="1982"/>
      <c r="J72" s="330"/>
      <c r="K72" s="330"/>
    </row>
    <row r="73" spans="1:11" ht="3" customHeight="1" x14ac:dyDescent="0.2">
      <c r="A73" s="331"/>
      <c r="B73" s="331"/>
      <c r="J73" s="330"/>
      <c r="K73" s="330"/>
    </row>
    <row r="74" spans="1:11" x14ac:dyDescent="0.2">
      <c r="A74" s="1563" t="s">
        <v>3066</v>
      </c>
      <c r="B74" s="1563"/>
      <c r="C74" s="810" t="s">
        <v>5654</v>
      </c>
      <c r="J74" s="330" t="b">
        <f>ISBLANK(C74)</f>
        <v>0</v>
      </c>
      <c r="K74" s="330"/>
    </row>
    <row r="75" spans="1:11" ht="3" customHeight="1" x14ac:dyDescent="0.2">
      <c r="A75" s="482"/>
      <c r="B75" s="482"/>
      <c r="J75" s="330"/>
      <c r="K75" s="330"/>
    </row>
    <row r="76" spans="1:11" x14ac:dyDescent="0.2">
      <c r="A76" s="1563" t="s">
        <v>3067</v>
      </c>
      <c r="B76" s="1563"/>
      <c r="C76" s="810" t="s">
        <v>5655</v>
      </c>
      <c r="J76" s="330" t="b">
        <f>ISBLANK(C76)</f>
        <v>0</v>
      </c>
      <c r="K76" s="330"/>
    </row>
    <row r="77" spans="1:11" ht="3" customHeight="1" x14ac:dyDescent="0.2">
      <c r="A77" s="482"/>
      <c r="B77" s="482"/>
      <c r="J77" s="330"/>
      <c r="K77" s="330"/>
    </row>
    <row r="78" spans="1:11" x14ac:dyDescent="0.2">
      <c r="A78" s="1563" t="s">
        <v>3068</v>
      </c>
      <c r="B78" s="1563"/>
      <c r="C78" s="811" t="s">
        <v>5656</v>
      </c>
      <c r="J78" s="330" t="b">
        <f>ISBLANK(C78)</f>
        <v>0</v>
      </c>
      <c r="K78" s="330"/>
    </row>
    <row r="79" spans="1:11" ht="3" customHeight="1" x14ac:dyDescent="0.2">
      <c r="A79" s="482"/>
      <c r="B79" s="482"/>
      <c r="J79" s="330"/>
      <c r="K79" s="330"/>
    </row>
    <row r="80" spans="1:11" x14ac:dyDescent="0.2">
      <c r="A80" s="1563" t="s">
        <v>3073</v>
      </c>
      <c r="B80" s="1563"/>
      <c r="C80" s="811" t="s">
        <v>5657</v>
      </c>
      <c r="D80" s="1972" t="s">
        <v>3453</v>
      </c>
      <c r="J80" s="330" t="b">
        <f>ISBLANK(C80)</f>
        <v>0</v>
      </c>
      <c r="K80" s="330"/>
    </row>
    <row r="81" spans="1:11" ht="3" customHeight="1" x14ac:dyDescent="0.2">
      <c r="A81" s="482"/>
      <c r="B81" s="482"/>
      <c r="D81" s="1972"/>
      <c r="J81" s="330"/>
      <c r="K81" s="330"/>
    </row>
    <row r="82" spans="1:11" x14ac:dyDescent="0.2">
      <c r="A82" s="1563" t="s">
        <v>3074</v>
      </c>
      <c r="B82" s="1563"/>
      <c r="C82" s="811" t="s">
        <v>5658</v>
      </c>
      <c r="D82" s="1972"/>
      <c r="J82" s="330" t="b">
        <f>ISBLANK(C82)</f>
        <v>0</v>
      </c>
      <c r="K82" s="330"/>
    </row>
    <row r="83" spans="1:11" ht="3" customHeight="1" x14ac:dyDescent="0.2">
      <c r="A83" s="482"/>
      <c r="B83" s="482"/>
      <c r="J83" s="330"/>
      <c r="K83" s="330"/>
    </row>
    <row r="84" spans="1:11" x14ac:dyDescent="0.2">
      <c r="A84" s="1563" t="s">
        <v>3069</v>
      </c>
      <c r="B84" s="1563"/>
      <c r="C84" s="811" t="s">
        <v>5659</v>
      </c>
      <c r="D84" s="489" t="s">
        <v>3075</v>
      </c>
      <c r="E84" s="1546"/>
      <c r="F84" s="1546"/>
      <c r="G84" s="1546"/>
      <c r="H84" s="1546"/>
      <c r="I84" s="1546"/>
      <c r="J84" s="330" t="b">
        <f>ISBLANK(C84)</f>
        <v>0</v>
      </c>
      <c r="K84" s="330"/>
    </row>
    <row r="85" spans="1:11" x14ac:dyDescent="0.2">
      <c r="D85" s="490"/>
      <c r="J85" s="330"/>
      <c r="K85" s="330"/>
    </row>
    <row r="86" spans="1:11" ht="15" customHeight="1" x14ac:dyDescent="0.2">
      <c r="A86" s="1984" t="s">
        <v>3095</v>
      </c>
      <c r="B86" s="1984"/>
      <c r="C86" s="1673" t="s">
        <v>5020</v>
      </c>
      <c r="D86" s="1673"/>
      <c r="E86" s="1673"/>
      <c r="F86" s="1673"/>
      <c r="G86" s="1673"/>
      <c r="H86" s="1673"/>
      <c r="I86" s="1673"/>
      <c r="J86" s="330"/>
      <c r="K86" s="330"/>
    </row>
    <row r="87" spans="1:11" x14ac:dyDescent="0.2">
      <c r="C87" s="1673"/>
      <c r="D87" s="1673"/>
      <c r="E87" s="1673"/>
      <c r="F87" s="1673"/>
      <c r="G87" s="1673"/>
      <c r="H87" s="1673"/>
      <c r="I87" s="1673"/>
      <c r="J87" s="330"/>
      <c r="K87" s="330"/>
    </row>
    <row r="88" spans="1:11" x14ac:dyDescent="0.2">
      <c r="J88" s="330"/>
      <c r="K88" s="330"/>
    </row>
    <row r="89" spans="1:11" x14ac:dyDescent="0.2">
      <c r="C89" s="331" t="s">
        <v>3076</v>
      </c>
      <c r="J89" s="330"/>
      <c r="K89" s="330"/>
    </row>
    <row r="90" spans="1:11" x14ac:dyDescent="0.2">
      <c r="C90" s="1972" t="s">
        <v>3077</v>
      </c>
      <c r="D90" s="1972"/>
      <c r="E90" s="1972"/>
      <c r="F90" s="1972"/>
      <c r="G90" s="1972"/>
      <c r="H90" s="1972"/>
      <c r="I90" s="1972"/>
      <c r="J90" s="330"/>
      <c r="K90" s="330"/>
    </row>
    <row r="91" spans="1:11" x14ac:dyDescent="0.2">
      <c r="J91" s="330"/>
      <c r="K91" s="330"/>
    </row>
    <row r="92" spans="1:11" x14ac:dyDescent="0.2">
      <c r="C92" s="491" t="s">
        <v>3078</v>
      </c>
      <c r="D92" s="491" t="s">
        <v>3079</v>
      </c>
      <c r="E92" s="1989" t="s">
        <v>3080</v>
      </c>
      <c r="F92" s="1989"/>
      <c r="G92" s="1546" t="s">
        <v>3454</v>
      </c>
      <c r="H92" s="1546"/>
      <c r="J92" s="330"/>
      <c r="K92" s="330"/>
    </row>
    <row r="93" spans="1:11" x14ac:dyDescent="0.2">
      <c r="B93" s="454">
        <v>1</v>
      </c>
      <c r="C93" s="624" t="s">
        <v>5660</v>
      </c>
      <c r="D93" s="624" t="s">
        <v>5661</v>
      </c>
      <c r="E93" s="1963" t="s">
        <v>5662</v>
      </c>
      <c r="F93" s="1963"/>
      <c r="G93" s="1963" t="s">
        <v>5662</v>
      </c>
      <c r="H93" s="1963"/>
      <c r="J93" s="617" t="b">
        <f>AND(OR(ISBLANK(C93),ISBLANK(D93),ISBLANK(E93),ISBLANK(G93)),K93)</f>
        <v>0</v>
      </c>
      <c r="K93" s="494" t="b">
        <f>OR(NOT(ISBLANK(C93)),NOT(ISBLANK(D93)),NOT(ISBLANK(E93)),NOT(ISBLANK(G93)))</f>
        <v>1</v>
      </c>
    </row>
    <row r="94" spans="1:11" x14ac:dyDescent="0.2">
      <c r="B94" s="454">
        <v>2</v>
      </c>
      <c r="C94" s="624"/>
      <c r="D94" s="624"/>
      <c r="E94" s="1963"/>
      <c r="F94" s="1963"/>
      <c r="G94" s="1963"/>
      <c r="H94" s="1963"/>
      <c r="J94" s="617" t="b">
        <f>AND(OR(ISBLANK(C94),ISBLANK(D94),ISBLANK(E94),ISBLANK(G94)),K94)</f>
        <v>0</v>
      </c>
      <c r="K94" s="494" t="b">
        <f>OR(NOT(ISBLANK(C94)),NOT(ISBLANK(D94)),NOT(ISBLANK(E94)),NOT(ISBLANK(G94)))</f>
        <v>0</v>
      </c>
    </row>
    <row r="95" spans="1:11" x14ac:dyDescent="0.2">
      <c r="B95" s="454">
        <v>3</v>
      </c>
      <c r="C95" s="624"/>
      <c r="D95" s="624"/>
      <c r="E95" s="1963"/>
      <c r="F95" s="1963"/>
      <c r="G95" s="1963"/>
      <c r="H95" s="1963"/>
      <c r="J95" s="617" t="b">
        <f>AND(OR(ISBLANK(C95),ISBLANK(D95),ISBLANK(E95),ISBLANK(G95)),K95)</f>
        <v>0</v>
      </c>
      <c r="K95" s="494" t="b">
        <f>OR(NOT(ISBLANK(C95)),NOT(ISBLANK(D95)),NOT(ISBLANK(E95)),NOT(ISBLANK(G95)))</f>
        <v>0</v>
      </c>
    </row>
    <row r="96" spans="1:11" x14ac:dyDescent="0.2">
      <c r="B96" s="454">
        <v>4</v>
      </c>
      <c r="C96" s="624"/>
      <c r="D96" s="624"/>
      <c r="E96" s="1963"/>
      <c r="F96" s="1963"/>
      <c r="G96" s="1963"/>
      <c r="H96" s="1963"/>
      <c r="J96" s="617" t="b">
        <f>AND(OR(ISBLANK(C96),ISBLANK(D96),ISBLANK(E96),ISBLANK(G96)),K96)</f>
        <v>0</v>
      </c>
      <c r="K96" s="494" t="b">
        <f>OR(NOT(ISBLANK(C96)),NOT(ISBLANK(D96)),NOT(ISBLANK(E96)),NOT(ISBLANK(G96)))</f>
        <v>0</v>
      </c>
    </row>
    <row r="97" spans="1:13" x14ac:dyDescent="0.2">
      <c r="B97" s="454">
        <v>5</v>
      </c>
      <c r="C97" s="624"/>
      <c r="D97" s="624"/>
      <c r="E97" s="1963"/>
      <c r="F97" s="1963"/>
      <c r="G97" s="1963"/>
      <c r="H97" s="1963"/>
      <c r="J97" s="617" t="b">
        <f>AND(OR(ISBLANK(C97),ISBLANK(D97),ISBLANK(E97),ISBLANK(G97)),K97)</f>
        <v>0</v>
      </c>
      <c r="K97" s="494" t="b">
        <f>OR(NOT(ISBLANK(C97)),NOT(ISBLANK(D97)),NOT(ISBLANK(E97)),NOT(ISBLANK(G97)))</f>
        <v>0</v>
      </c>
    </row>
    <row r="98" spans="1:13" x14ac:dyDescent="0.2">
      <c r="J98" s="617"/>
      <c r="K98" s="330"/>
    </row>
    <row r="99" spans="1:13" x14ac:dyDescent="0.2">
      <c r="J99" s="617"/>
      <c r="K99" s="330"/>
    </row>
    <row r="100" spans="1:13" x14ac:dyDescent="0.2">
      <c r="J100" s="617"/>
      <c r="K100" s="330"/>
    </row>
    <row r="101" spans="1:13" x14ac:dyDescent="0.2">
      <c r="C101" s="331" t="s">
        <v>3081</v>
      </c>
      <c r="D101" s="618" t="s">
        <v>3223</v>
      </c>
      <c r="E101" s="1963"/>
      <c r="F101" s="1963"/>
      <c r="J101" s="617"/>
      <c r="K101" s="330"/>
    </row>
    <row r="102" spans="1:13" x14ac:dyDescent="0.2">
      <c r="C102" s="490" t="s">
        <v>3455</v>
      </c>
      <c r="J102" s="617"/>
      <c r="K102" s="330"/>
    </row>
    <row r="103" spans="1:13" x14ac:dyDescent="0.2">
      <c r="J103" s="617"/>
      <c r="K103" s="330"/>
    </row>
    <row r="104" spans="1:13" ht="29" x14ac:dyDescent="0.2">
      <c r="C104" s="458" t="s">
        <v>3082</v>
      </c>
      <c r="D104" s="1990" t="s">
        <v>3083</v>
      </c>
      <c r="E104" s="1990"/>
      <c r="F104" s="1991" t="s">
        <v>3084</v>
      </c>
      <c r="G104" s="1992"/>
      <c r="H104" s="458" t="s">
        <v>3085</v>
      </c>
      <c r="I104" s="492" t="s">
        <v>3086</v>
      </c>
      <c r="J104" s="617"/>
      <c r="K104" s="493"/>
    </row>
    <row r="105" spans="1:13" x14ac:dyDescent="0.2">
      <c r="A105" s="619" t="s">
        <v>3224</v>
      </c>
      <c r="B105" s="613">
        <v>1</v>
      </c>
      <c r="C105" s="624" t="s">
        <v>5663</v>
      </c>
      <c r="D105" s="1675" t="str">
        <f>IF('Rough Sig.'!C105="","",'Rough Sig.'!C105)</f>
        <v/>
      </c>
      <c r="E105" s="1675"/>
      <c r="F105" s="1848" t="str">
        <f>IF('Rough Sig.'!E105="","",'Rough Sig.'!E105)</f>
        <v>Atlanta, Georgia 30311</v>
      </c>
      <c r="G105" s="1849"/>
      <c r="H105" s="620" t="str">
        <f>IF('Rough Sig.'!G105="","",'Rough Sig.'!G105)</f>
        <v/>
      </c>
      <c r="I105" s="625">
        <v>44467</v>
      </c>
      <c r="J105" s="617" t="b">
        <f>AND(OR(ISBLANK(C105),ISBLANK(I105)),K105,NOT(M105))</f>
        <v>0</v>
      </c>
      <c r="K105" s="494" t="b">
        <f>OR(NOT(D105=""),NOT(H105=""))</f>
        <v>0</v>
      </c>
      <c r="L105" s="455" t="b">
        <f>OR(M105,'Rough Sig.'!K105=FALSE)</f>
        <v>1</v>
      </c>
      <c r="M105" s="670" t="b">
        <v>0</v>
      </c>
    </row>
    <row r="106" spans="1:13" x14ac:dyDescent="0.2">
      <c r="A106" s="619" t="s">
        <v>3224</v>
      </c>
      <c r="B106" s="613">
        <v>2</v>
      </c>
      <c r="C106" s="624" t="s">
        <v>5664</v>
      </c>
      <c r="D106" s="1675" t="str">
        <f>IF('Rough Sig.'!C106="","",'Rough Sig.'!C106)</f>
        <v/>
      </c>
      <c r="E106" s="1675"/>
      <c r="F106" s="1850"/>
      <c r="G106" s="1851"/>
      <c r="H106" s="620" t="str">
        <f>IF('Rough Sig.'!G106="","",'Rough Sig.'!G106)</f>
        <v/>
      </c>
      <c r="I106" s="625">
        <v>44503</v>
      </c>
      <c r="J106" s="617" t="b">
        <f t="shared" ref="J106:J114" si="0">AND(OR(ISBLANK(C106),ISBLANK(I106)),K106,NOT(M106))</f>
        <v>0</v>
      </c>
      <c r="K106" s="494" t="b">
        <f t="shared" ref="K106:K115" si="1">OR(NOT(ISBLANK(C106)),NOT(D106=""),NOT(H106=""),NOT(ISBLANK(I106)))</f>
        <v>1</v>
      </c>
      <c r="L106" s="617" t="b">
        <f>OR(M106,'Rough Sig.'!K106=FALSE)</f>
        <v>1</v>
      </c>
      <c r="M106" s="670" t="b">
        <v>0</v>
      </c>
    </row>
    <row r="107" spans="1:13" x14ac:dyDescent="0.2">
      <c r="A107" s="619" t="s">
        <v>3224</v>
      </c>
      <c r="B107" s="613">
        <v>3</v>
      </c>
      <c r="C107" s="624" t="s">
        <v>5665</v>
      </c>
      <c r="D107" s="1675" t="str">
        <f>IF('Rough Sig.'!C107="","",'Rough Sig.'!C107)</f>
        <v/>
      </c>
      <c r="E107" s="1675"/>
      <c r="F107" s="1850"/>
      <c r="G107" s="1851"/>
      <c r="H107" s="620" t="str">
        <f>IF('Rough Sig.'!G107="","",'Rough Sig.'!G107)</f>
        <v/>
      </c>
      <c r="I107" s="625">
        <v>44490</v>
      </c>
      <c r="J107" s="617" t="b">
        <f t="shared" si="0"/>
        <v>0</v>
      </c>
      <c r="K107" s="494" t="b">
        <f t="shared" si="1"/>
        <v>1</v>
      </c>
      <c r="L107" s="617" t="b">
        <f>OR(M107,'Rough Sig.'!K107=FALSE)</f>
        <v>1</v>
      </c>
      <c r="M107" s="670" t="b">
        <v>0</v>
      </c>
    </row>
    <row r="108" spans="1:13" x14ac:dyDescent="0.2">
      <c r="A108" s="619" t="s">
        <v>3224</v>
      </c>
      <c r="B108" s="613">
        <v>4</v>
      </c>
      <c r="C108" s="624" t="s">
        <v>5666</v>
      </c>
      <c r="D108" s="1675" t="str">
        <f>IF('Rough Sig.'!C108="","",'Rough Sig.'!C108)</f>
        <v/>
      </c>
      <c r="E108" s="1675"/>
      <c r="F108" s="1850"/>
      <c r="G108" s="1851"/>
      <c r="H108" s="620" t="str">
        <f>IF('Rough Sig.'!G108="","",'Rough Sig.'!G108)</f>
        <v/>
      </c>
      <c r="I108" s="625">
        <v>44531</v>
      </c>
      <c r="J108" s="617" t="b">
        <f t="shared" si="0"/>
        <v>0</v>
      </c>
      <c r="K108" s="494" t="b">
        <f t="shared" si="1"/>
        <v>1</v>
      </c>
      <c r="L108" s="617" t="b">
        <f>OR(M108,'Rough Sig.'!K108=FALSE)</f>
        <v>1</v>
      </c>
      <c r="M108" s="670" t="b">
        <v>0</v>
      </c>
    </row>
    <row r="109" spans="1:13" x14ac:dyDescent="0.2">
      <c r="A109" s="619" t="s">
        <v>3224</v>
      </c>
      <c r="B109" s="613">
        <v>5</v>
      </c>
      <c r="C109" s="624"/>
      <c r="D109" s="1675" t="str">
        <f>IF('Rough Sig.'!C109="","",'Rough Sig.'!C109)</f>
        <v/>
      </c>
      <c r="E109" s="1675"/>
      <c r="F109" s="1850"/>
      <c r="G109" s="1851"/>
      <c r="H109" s="620" t="str">
        <f>IF('Rough Sig.'!G109="","",'Rough Sig.'!G109)</f>
        <v/>
      </c>
      <c r="I109" s="625"/>
      <c r="J109" s="617" t="b">
        <f t="shared" si="0"/>
        <v>0</v>
      </c>
      <c r="K109" s="494" t="b">
        <f t="shared" si="1"/>
        <v>0</v>
      </c>
      <c r="L109" s="617" t="b">
        <f>OR(M109,'Rough Sig.'!K109=FALSE)</f>
        <v>1</v>
      </c>
      <c r="M109" s="670" t="b">
        <v>0</v>
      </c>
    </row>
    <row r="110" spans="1:13" x14ac:dyDescent="0.2">
      <c r="A110" s="619" t="s">
        <v>3224</v>
      </c>
      <c r="B110" s="613">
        <v>6</v>
      </c>
      <c r="C110" s="624"/>
      <c r="D110" s="1675" t="str">
        <f>IF('Rough Sig.'!C110="","",'Rough Sig.'!C110)</f>
        <v/>
      </c>
      <c r="E110" s="1675"/>
      <c r="F110" s="1850"/>
      <c r="G110" s="1851"/>
      <c r="H110" s="620" t="str">
        <f>IF('Rough Sig.'!G110="","",'Rough Sig.'!G110)</f>
        <v/>
      </c>
      <c r="I110" s="625"/>
      <c r="J110" s="617" t="b">
        <f t="shared" si="0"/>
        <v>0</v>
      </c>
      <c r="K110" s="494" t="b">
        <f t="shared" si="1"/>
        <v>0</v>
      </c>
      <c r="L110" s="617" t="b">
        <f>OR(M110,'Rough Sig.'!K110=FALSE)</f>
        <v>1</v>
      </c>
      <c r="M110" s="670" t="b">
        <v>0</v>
      </c>
    </row>
    <row r="111" spans="1:13" x14ac:dyDescent="0.2">
      <c r="A111" s="619" t="s">
        <v>3224</v>
      </c>
      <c r="B111" s="613">
        <v>7</v>
      </c>
      <c r="C111" s="624"/>
      <c r="D111" s="1675" t="str">
        <f>IF('Rough Sig.'!C111="","",'Rough Sig.'!C111)</f>
        <v/>
      </c>
      <c r="E111" s="1675"/>
      <c r="F111" s="1850"/>
      <c r="G111" s="1851"/>
      <c r="H111" s="620" t="str">
        <f>IF('Rough Sig.'!G111="","",'Rough Sig.'!G111)</f>
        <v/>
      </c>
      <c r="I111" s="625"/>
      <c r="J111" s="617" t="b">
        <f t="shared" si="0"/>
        <v>0</v>
      </c>
      <c r="K111" s="494" t="b">
        <f t="shared" si="1"/>
        <v>0</v>
      </c>
      <c r="L111" s="617" t="b">
        <f>OR(M111,'Rough Sig.'!K111=FALSE)</f>
        <v>1</v>
      </c>
      <c r="M111" s="670" t="b">
        <v>0</v>
      </c>
    </row>
    <row r="112" spans="1:13" x14ac:dyDescent="0.2">
      <c r="A112" s="619" t="s">
        <v>3224</v>
      </c>
      <c r="B112" s="613">
        <v>8</v>
      </c>
      <c r="C112" s="624"/>
      <c r="D112" s="1675" t="str">
        <f>IF('Rough Sig.'!C112="","",'Rough Sig.'!C112)</f>
        <v/>
      </c>
      <c r="E112" s="1675"/>
      <c r="F112" s="1850"/>
      <c r="G112" s="1851"/>
      <c r="H112" s="620" t="str">
        <f>IF('Rough Sig.'!G112="","",'Rough Sig.'!G112)</f>
        <v/>
      </c>
      <c r="I112" s="625"/>
      <c r="J112" s="617" t="b">
        <f t="shared" si="0"/>
        <v>0</v>
      </c>
      <c r="K112" s="494" t="b">
        <f t="shared" si="1"/>
        <v>0</v>
      </c>
      <c r="L112" s="617" t="b">
        <f>OR(M112,'Rough Sig.'!K112=FALSE)</f>
        <v>1</v>
      </c>
      <c r="M112" s="670" t="b">
        <v>0</v>
      </c>
    </row>
    <row r="113" spans="1:13" x14ac:dyDescent="0.2">
      <c r="A113" s="619" t="s">
        <v>3224</v>
      </c>
      <c r="B113" s="613">
        <v>9</v>
      </c>
      <c r="C113" s="624"/>
      <c r="D113" s="1675" t="str">
        <f>IF('Rough Sig.'!C113="","",'Rough Sig.'!C113)</f>
        <v/>
      </c>
      <c r="E113" s="1675"/>
      <c r="F113" s="1850"/>
      <c r="G113" s="1851"/>
      <c r="H113" s="620" t="str">
        <f>IF('Rough Sig.'!G113="","",'Rough Sig.'!G113)</f>
        <v/>
      </c>
      <c r="I113" s="625"/>
      <c r="J113" s="617" t="b">
        <f t="shared" si="0"/>
        <v>0</v>
      </c>
      <c r="K113" s="494" t="b">
        <f t="shared" si="1"/>
        <v>0</v>
      </c>
      <c r="L113" s="617" t="b">
        <f>OR(M113,'Rough Sig.'!K113=FALSE)</f>
        <v>1</v>
      </c>
      <c r="M113" s="670" t="b">
        <v>0</v>
      </c>
    </row>
    <row r="114" spans="1:13" x14ac:dyDescent="0.2">
      <c r="A114" s="619" t="s">
        <v>3224</v>
      </c>
      <c r="B114" s="613">
        <v>10</v>
      </c>
      <c r="C114" s="624"/>
      <c r="D114" s="1675" t="str">
        <f>IF('Rough Sig.'!C114="","",'Rough Sig.'!C114)</f>
        <v/>
      </c>
      <c r="E114" s="1675"/>
      <c r="F114" s="1850"/>
      <c r="G114" s="1851"/>
      <c r="H114" s="620" t="str">
        <f>IF('Rough Sig.'!G114="","",'Rough Sig.'!G114)</f>
        <v/>
      </c>
      <c r="I114" s="625"/>
      <c r="J114" s="617" t="b">
        <f t="shared" si="0"/>
        <v>0</v>
      </c>
      <c r="K114" s="494" t="b">
        <f t="shared" si="1"/>
        <v>0</v>
      </c>
      <c r="L114" s="617" t="b">
        <f>OR(M114,'Rough Sig.'!K114=FALSE)</f>
        <v>1</v>
      </c>
      <c r="M114" s="670" t="b">
        <v>0</v>
      </c>
    </row>
    <row r="115" spans="1:13" s="1170" customFormat="1" x14ac:dyDescent="0.2">
      <c r="A115" s="1169" t="s">
        <v>3224</v>
      </c>
      <c r="B115" s="1169">
        <v>11</v>
      </c>
      <c r="C115" s="1177"/>
      <c r="D115" s="1675" t="str">
        <f>IF('Rough Sig.'!C115="","",'Rough Sig.'!C115)</f>
        <v/>
      </c>
      <c r="E115" s="1675"/>
      <c r="F115" s="1850"/>
      <c r="G115" s="1851"/>
      <c r="H115" s="1172" t="str">
        <f>IF('Rough Sig.'!G115="","",'Rough Sig.'!G115)</f>
        <v/>
      </c>
      <c r="I115" s="625"/>
      <c r="J115" s="1170" t="b">
        <f>AND(OR(ISBLANK(C115),ISBLANK(I115)),K115,NOT(M115))</f>
        <v>0</v>
      </c>
      <c r="K115" s="494" t="b">
        <f t="shared" si="1"/>
        <v>0</v>
      </c>
      <c r="L115" s="1170" t="b">
        <f>OR(M115,'Rough Sig.'!K115=FALSE)</f>
        <v>1</v>
      </c>
      <c r="M115" s="670" t="b">
        <v>0</v>
      </c>
    </row>
    <row r="116" spans="1:13" s="1170" customFormat="1" x14ac:dyDescent="0.2">
      <c r="A116" s="1169" t="s">
        <v>3224</v>
      </c>
      <c r="B116" s="1169">
        <v>12</v>
      </c>
      <c r="C116" s="1177"/>
      <c r="D116" s="1675" t="str">
        <f>IF('Rough Sig.'!C116="","",'Rough Sig.'!C116)</f>
        <v/>
      </c>
      <c r="E116" s="1675"/>
      <c r="F116" s="1850"/>
      <c r="G116" s="1851"/>
      <c r="H116" s="1172" t="str">
        <f>IF('Rough Sig.'!G116="","",'Rough Sig.'!G116)</f>
        <v/>
      </c>
      <c r="I116" s="625"/>
      <c r="J116" s="1170" t="b">
        <f t="shared" ref="J116:J124" si="2">AND(OR(ISBLANK(C116),ISBLANK(I116)),K116,NOT(M116))</f>
        <v>0</v>
      </c>
      <c r="K116" s="494" t="b">
        <f t="shared" ref="K116:K124" si="3">OR(NOT(ISBLANK(C116)),NOT(D116=""),NOT(H116=""),NOT(ISBLANK(I116)))</f>
        <v>0</v>
      </c>
      <c r="L116" s="1170" t="b">
        <f>OR(M116,'Rough Sig.'!K116=FALSE)</f>
        <v>1</v>
      </c>
      <c r="M116" s="670" t="b">
        <v>0</v>
      </c>
    </row>
    <row r="117" spans="1:13" s="1170" customFormat="1" x14ac:dyDescent="0.2">
      <c r="A117" s="1169" t="s">
        <v>3224</v>
      </c>
      <c r="B117" s="1169">
        <v>13</v>
      </c>
      <c r="C117" s="1177"/>
      <c r="D117" s="1675" t="str">
        <f>IF('Rough Sig.'!C117="","",'Rough Sig.'!C117)</f>
        <v/>
      </c>
      <c r="E117" s="1675"/>
      <c r="F117" s="1850"/>
      <c r="G117" s="1851"/>
      <c r="H117" s="1172" t="str">
        <f>IF('Rough Sig.'!G117="","",'Rough Sig.'!G117)</f>
        <v/>
      </c>
      <c r="I117" s="625"/>
      <c r="J117" s="1170" t="b">
        <f t="shared" si="2"/>
        <v>0</v>
      </c>
      <c r="K117" s="494" t="b">
        <f t="shared" si="3"/>
        <v>0</v>
      </c>
      <c r="L117" s="1170" t="b">
        <f>OR(M117,'Rough Sig.'!K117=FALSE)</f>
        <v>1</v>
      </c>
      <c r="M117" s="670" t="b">
        <v>0</v>
      </c>
    </row>
    <row r="118" spans="1:13" s="1170" customFormat="1" x14ac:dyDescent="0.2">
      <c r="A118" s="1169" t="s">
        <v>3224</v>
      </c>
      <c r="B118" s="1169">
        <v>14</v>
      </c>
      <c r="C118" s="1177"/>
      <c r="D118" s="1675" t="str">
        <f>IF('Rough Sig.'!C118="","",'Rough Sig.'!C118)</f>
        <v/>
      </c>
      <c r="E118" s="1675"/>
      <c r="F118" s="1850"/>
      <c r="G118" s="1851"/>
      <c r="H118" s="1172" t="str">
        <f>IF('Rough Sig.'!G118="","",'Rough Sig.'!G118)</f>
        <v/>
      </c>
      <c r="I118" s="625"/>
      <c r="J118" s="1170" t="b">
        <f t="shared" si="2"/>
        <v>0</v>
      </c>
      <c r="K118" s="494" t="b">
        <f t="shared" si="3"/>
        <v>0</v>
      </c>
      <c r="L118" s="1170" t="b">
        <f>OR(M118,'Rough Sig.'!K118=FALSE)</f>
        <v>1</v>
      </c>
      <c r="M118" s="670" t="b">
        <v>0</v>
      </c>
    </row>
    <row r="119" spans="1:13" s="1170" customFormat="1" x14ac:dyDescent="0.2">
      <c r="A119" s="1169" t="s">
        <v>3224</v>
      </c>
      <c r="B119" s="1169">
        <v>15</v>
      </c>
      <c r="C119" s="1177"/>
      <c r="D119" s="1675" t="str">
        <f>IF('Rough Sig.'!C119="","",'Rough Sig.'!C119)</f>
        <v/>
      </c>
      <c r="E119" s="1675"/>
      <c r="F119" s="1850"/>
      <c r="G119" s="1851"/>
      <c r="H119" s="1172" t="str">
        <f>IF('Rough Sig.'!G119="","",'Rough Sig.'!G119)</f>
        <v/>
      </c>
      <c r="I119" s="625"/>
      <c r="J119" s="1170" t="b">
        <f t="shared" si="2"/>
        <v>0</v>
      </c>
      <c r="K119" s="494" t="b">
        <f t="shared" si="3"/>
        <v>0</v>
      </c>
      <c r="L119" s="1170" t="b">
        <f>OR(M119,'Rough Sig.'!K119=FALSE)</f>
        <v>1</v>
      </c>
      <c r="M119" s="670" t="b">
        <v>0</v>
      </c>
    </row>
    <row r="120" spans="1:13" s="1170" customFormat="1" x14ac:dyDescent="0.2">
      <c r="A120" s="1169" t="s">
        <v>3224</v>
      </c>
      <c r="B120" s="1169">
        <v>16</v>
      </c>
      <c r="C120" s="1177"/>
      <c r="D120" s="1675" t="str">
        <f>IF('Rough Sig.'!C120="","",'Rough Sig.'!C120)</f>
        <v/>
      </c>
      <c r="E120" s="1675"/>
      <c r="F120" s="1850"/>
      <c r="G120" s="1851"/>
      <c r="H120" s="1172" t="str">
        <f>IF('Rough Sig.'!G120="","",'Rough Sig.'!G120)</f>
        <v/>
      </c>
      <c r="I120" s="625"/>
      <c r="J120" s="1170" t="b">
        <f t="shared" si="2"/>
        <v>0</v>
      </c>
      <c r="K120" s="494" t="b">
        <f t="shared" si="3"/>
        <v>0</v>
      </c>
      <c r="L120" s="1170" t="b">
        <f>OR(M120,'Rough Sig.'!K120=FALSE)</f>
        <v>1</v>
      </c>
      <c r="M120" s="670" t="b">
        <v>0</v>
      </c>
    </row>
    <row r="121" spans="1:13" s="1170" customFormat="1" x14ac:dyDescent="0.2">
      <c r="A121" s="1169" t="s">
        <v>3224</v>
      </c>
      <c r="B121" s="1169">
        <v>17</v>
      </c>
      <c r="C121" s="1177"/>
      <c r="D121" s="1675" t="str">
        <f>IF('Rough Sig.'!C121="","",'Rough Sig.'!C121)</f>
        <v/>
      </c>
      <c r="E121" s="1675"/>
      <c r="F121" s="1850"/>
      <c r="G121" s="1851"/>
      <c r="H121" s="1172" t="str">
        <f>IF('Rough Sig.'!G121="","",'Rough Sig.'!G121)</f>
        <v/>
      </c>
      <c r="I121" s="625"/>
      <c r="J121" s="1170" t="b">
        <f t="shared" si="2"/>
        <v>0</v>
      </c>
      <c r="K121" s="494" t="b">
        <f t="shared" si="3"/>
        <v>0</v>
      </c>
      <c r="L121" s="1170" t="b">
        <f>OR(M121,'Rough Sig.'!K121=FALSE)</f>
        <v>1</v>
      </c>
      <c r="M121" s="670" t="b">
        <v>0</v>
      </c>
    </row>
    <row r="122" spans="1:13" s="1170" customFormat="1" x14ac:dyDescent="0.2">
      <c r="A122" s="1169" t="s">
        <v>3224</v>
      </c>
      <c r="B122" s="1169">
        <v>18</v>
      </c>
      <c r="C122" s="1177"/>
      <c r="D122" s="1675" t="str">
        <f>IF('Rough Sig.'!C122="","",'Rough Sig.'!C122)</f>
        <v/>
      </c>
      <c r="E122" s="1675"/>
      <c r="F122" s="1850"/>
      <c r="G122" s="1851"/>
      <c r="H122" s="1172" t="str">
        <f>IF('Rough Sig.'!G122="","",'Rough Sig.'!G122)</f>
        <v/>
      </c>
      <c r="I122" s="625"/>
      <c r="J122" s="1170" t="b">
        <f t="shared" si="2"/>
        <v>0</v>
      </c>
      <c r="K122" s="494" t="b">
        <f t="shared" si="3"/>
        <v>0</v>
      </c>
      <c r="L122" s="1170" t="b">
        <f>OR(M122,'Rough Sig.'!K122=FALSE)</f>
        <v>1</v>
      </c>
      <c r="M122" s="670" t="b">
        <v>0</v>
      </c>
    </row>
    <row r="123" spans="1:13" s="1170" customFormat="1" x14ac:dyDescent="0.2">
      <c r="A123" s="1169" t="s">
        <v>3224</v>
      </c>
      <c r="B123" s="1169">
        <v>19</v>
      </c>
      <c r="C123" s="1177"/>
      <c r="D123" s="1675" t="str">
        <f>IF('Rough Sig.'!C123="","",'Rough Sig.'!C123)</f>
        <v/>
      </c>
      <c r="E123" s="1675"/>
      <c r="F123" s="1850"/>
      <c r="G123" s="1851"/>
      <c r="H123" s="1172" t="str">
        <f>IF('Rough Sig.'!G123="","",'Rough Sig.'!G123)</f>
        <v/>
      </c>
      <c r="I123" s="625"/>
      <c r="J123" s="1170" t="b">
        <f t="shared" si="2"/>
        <v>0</v>
      </c>
      <c r="K123" s="494" t="b">
        <f t="shared" si="3"/>
        <v>0</v>
      </c>
      <c r="L123" s="1170" t="b">
        <f>OR(M123,'Rough Sig.'!K123=FALSE)</f>
        <v>1</v>
      </c>
      <c r="M123" s="670" t="b">
        <v>0</v>
      </c>
    </row>
    <row r="124" spans="1:13" s="1170" customFormat="1" x14ac:dyDescent="0.2">
      <c r="A124" s="1169" t="s">
        <v>3224</v>
      </c>
      <c r="B124" s="1169">
        <v>20</v>
      </c>
      <c r="C124" s="1177"/>
      <c r="D124" s="1675" t="str">
        <f>IF('Rough Sig.'!C124="","",'Rough Sig.'!C124)</f>
        <v/>
      </c>
      <c r="E124" s="1675"/>
      <c r="F124" s="1852"/>
      <c r="G124" s="1853"/>
      <c r="H124" s="1172" t="str">
        <f>IF('Rough Sig.'!G124="","",'Rough Sig.'!G124)</f>
        <v/>
      </c>
      <c r="I124" s="625"/>
      <c r="J124" s="1170" t="b">
        <f t="shared" si="2"/>
        <v>0</v>
      </c>
      <c r="K124" s="494" t="b">
        <f t="shared" si="3"/>
        <v>0</v>
      </c>
      <c r="L124" s="1170" t="b">
        <f>OR(M124,'Rough Sig.'!K124=FALSE)</f>
        <v>1</v>
      </c>
      <c r="M124" s="670" t="b">
        <v>0</v>
      </c>
    </row>
    <row r="125" spans="1:13" x14ac:dyDescent="0.2">
      <c r="J125" s="464"/>
      <c r="K125" s="464"/>
      <c r="L125" s="330"/>
    </row>
    <row r="126" spans="1:13" x14ac:dyDescent="0.2">
      <c r="B126" s="467"/>
      <c r="C126" s="467"/>
      <c r="D126" s="467"/>
      <c r="E126" s="467"/>
      <c r="F126" s="467"/>
      <c r="G126" s="467"/>
      <c r="H126" s="467"/>
      <c r="I126" s="467"/>
      <c r="J126" s="330"/>
      <c r="K126" s="330"/>
      <c r="L126" s="330"/>
    </row>
    <row r="127" spans="1:13" s="1179" customFormat="1" x14ac:dyDescent="0.2">
      <c r="B127" s="467"/>
      <c r="C127" s="495" t="s">
        <v>3087</v>
      </c>
      <c r="D127" s="467"/>
      <c r="E127" s="467"/>
      <c r="F127" s="467"/>
      <c r="G127" s="467"/>
      <c r="H127" s="467"/>
      <c r="I127" s="467"/>
      <c r="J127" s="330"/>
      <c r="K127" s="330"/>
      <c r="L127" s="330"/>
    </row>
    <row r="128" spans="1:13" s="1179" customFormat="1" ht="3" customHeight="1" x14ac:dyDescent="0.2">
      <c r="B128" s="467"/>
      <c r="C128" s="495"/>
      <c r="D128" s="467"/>
      <c r="E128" s="467"/>
      <c r="F128" s="467"/>
      <c r="G128" s="467"/>
      <c r="H128" s="467"/>
      <c r="I128" s="467"/>
      <c r="J128" s="330"/>
      <c r="K128" s="330"/>
      <c r="L128" s="330"/>
    </row>
    <row r="129" spans="2:12" s="1179" customFormat="1" x14ac:dyDescent="0.2">
      <c r="B129" s="467"/>
      <c r="C129" s="496" t="s">
        <v>4996</v>
      </c>
      <c r="D129" s="469"/>
      <c r="E129" s="469"/>
      <c r="F129" s="469"/>
      <c r="G129" s="469"/>
      <c r="H129" s="467"/>
      <c r="I129" s="467"/>
      <c r="J129" s="330"/>
      <c r="K129" s="330"/>
      <c r="L129" s="330"/>
    </row>
    <row r="130" spans="2:12" s="1179" customFormat="1" ht="3" customHeight="1" x14ac:dyDescent="0.2">
      <c r="B130" s="467"/>
      <c r="C130" s="496"/>
      <c r="D130" s="469"/>
      <c r="E130" s="469"/>
      <c r="F130" s="469"/>
      <c r="G130" s="469"/>
      <c r="H130" s="467"/>
      <c r="I130" s="467"/>
      <c r="J130" s="330"/>
      <c r="K130" s="330"/>
      <c r="L130" s="330"/>
    </row>
    <row r="131" spans="2:12" s="1179" customFormat="1" x14ac:dyDescent="0.2">
      <c r="B131" s="467"/>
      <c r="C131" s="496" t="s">
        <v>4997</v>
      </c>
      <c r="D131" s="469"/>
      <c r="E131" s="469"/>
      <c r="F131" s="469"/>
      <c r="G131" s="469"/>
      <c r="H131" s="467"/>
      <c r="I131" s="467"/>
      <c r="J131" s="330"/>
      <c r="K131" s="330"/>
      <c r="L131" s="330"/>
    </row>
    <row r="132" spans="2:12" s="1179" customFormat="1" ht="3" customHeight="1" x14ac:dyDescent="0.2">
      <c r="B132" s="467"/>
      <c r="C132" s="496"/>
      <c r="D132" s="469"/>
      <c r="E132" s="469"/>
      <c r="F132" s="469"/>
      <c r="G132" s="469"/>
      <c r="H132" s="467"/>
      <c r="I132" s="467"/>
      <c r="J132" s="330"/>
      <c r="K132" s="330"/>
      <c r="L132" s="330"/>
    </row>
    <row r="133" spans="2:12" s="1179" customFormat="1" ht="30" customHeight="1" x14ac:dyDescent="0.2">
      <c r="B133" s="467"/>
      <c r="C133" s="1966" t="s">
        <v>4998</v>
      </c>
      <c r="D133" s="1966"/>
      <c r="E133" s="1966"/>
      <c r="F133" s="1966"/>
      <c r="G133" s="1966"/>
      <c r="H133" s="1966"/>
      <c r="I133" s="1966"/>
      <c r="J133" s="330"/>
      <c r="K133" s="330"/>
      <c r="L133" s="330"/>
    </row>
    <row r="134" spans="2:12" s="1179" customFormat="1" ht="3" customHeight="1" x14ac:dyDescent="0.2">
      <c r="B134" s="467"/>
      <c r="C134" s="1966"/>
      <c r="D134" s="1966"/>
      <c r="E134" s="1966"/>
      <c r="F134" s="1966"/>
      <c r="G134" s="1966"/>
      <c r="H134" s="1966"/>
      <c r="I134" s="1966"/>
      <c r="J134" s="330"/>
      <c r="K134" s="330"/>
      <c r="L134" s="330"/>
    </row>
    <row r="135" spans="2:12" s="1179" customFormat="1" x14ac:dyDescent="0.2">
      <c r="B135" s="467"/>
      <c r="C135" s="496" t="s">
        <v>4999</v>
      </c>
      <c r="D135" s="469"/>
      <c r="E135" s="469"/>
      <c r="F135" s="469"/>
      <c r="G135" s="469"/>
      <c r="H135" s="467"/>
      <c r="I135" s="467"/>
      <c r="J135" s="330"/>
      <c r="K135" s="330"/>
      <c r="L135" s="330"/>
    </row>
    <row r="136" spans="2:12" s="1179" customFormat="1" ht="3" customHeight="1" x14ac:dyDescent="0.2">
      <c r="B136" s="467"/>
      <c r="C136" s="496"/>
      <c r="D136" s="469"/>
      <c r="E136" s="469"/>
      <c r="F136" s="469"/>
      <c r="G136" s="469"/>
      <c r="H136" s="467"/>
      <c r="I136" s="467"/>
      <c r="J136" s="330"/>
      <c r="K136" s="330"/>
      <c r="L136" s="330"/>
    </row>
    <row r="137" spans="2:12" s="1179" customFormat="1" x14ac:dyDescent="0.2">
      <c r="B137" s="467"/>
      <c r="C137" s="1965" t="s">
        <v>5000</v>
      </c>
      <c r="D137" s="1965"/>
      <c r="E137" s="1965"/>
      <c r="F137" s="1965"/>
      <c r="G137" s="1965"/>
      <c r="H137" s="1965"/>
      <c r="I137" s="1965"/>
      <c r="J137" s="497"/>
      <c r="K137" s="497"/>
      <c r="L137" s="330"/>
    </row>
    <row r="138" spans="2:12" s="1179" customFormat="1" ht="3" customHeight="1" x14ac:dyDescent="0.2">
      <c r="B138" s="467"/>
      <c r="C138" s="496"/>
      <c r="D138" s="469"/>
      <c r="E138" s="469"/>
      <c r="F138" s="469"/>
      <c r="G138" s="469"/>
      <c r="H138" s="467"/>
      <c r="I138" s="467"/>
      <c r="J138" s="330"/>
      <c r="K138" s="330"/>
      <c r="L138" s="330"/>
    </row>
    <row r="139" spans="2:12" s="1179" customFormat="1" x14ac:dyDescent="0.2">
      <c r="B139" s="467"/>
      <c r="C139" s="496" t="s">
        <v>5001</v>
      </c>
      <c r="D139" s="469"/>
      <c r="E139" s="469"/>
      <c r="F139" s="469"/>
      <c r="G139" s="469"/>
      <c r="H139" s="467"/>
      <c r="I139" s="467"/>
      <c r="J139" s="330"/>
      <c r="K139" s="330"/>
      <c r="L139" s="330"/>
    </row>
    <row r="140" spans="2:12" s="1179" customFormat="1" ht="3" customHeight="1" x14ac:dyDescent="0.2">
      <c r="B140" s="467"/>
      <c r="C140" s="496"/>
      <c r="D140" s="469"/>
      <c r="E140" s="469"/>
      <c r="F140" s="469"/>
      <c r="G140" s="469"/>
      <c r="H140" s="467"/>
      <c r="I140" s="467"/>
      <c r="J140" s="330"/>
      <c r="K140" s="330"/>
      <c r="L140" s="330"/>
    </row>
    <row r="141" spans="2:12" s="1179" customFormat="1" x14ac:dyDescent="0.2">
      <c r="B141" s="467"/>
      <c r="C141" s="496" t="s">
        <v>5002</v>
      </c>
      <c r="D141" s="469"/>
      <c r="E141" s="469"/>
      <c r="F141" s="469"/>
      <c r="G141" s="469"/>
      <c r="H141" s="467"/>
      <c r="I141" s="467"/>
      <c r="J141" s="330"/>
      <c r="K141" s="330"/>
      <c r="L141" s="330"/>
    </row>
    <row r="142" spans="2:12" s="1179" customFormat="1" ht="3" customHeight="1" x14ac:dyDescent="0.2">
      <c r="B142" s="467"/>
      <c r="C142" s="496"/>
      <c r="D142" s="469"/>
      <c r="E142" s="469"/>
      <c r="F142" s="469"/>
      <c r="G142" s="469"/>
      <c r="H142" s="467"/>
      <c r="I142" s="467"/>
      <c r="J142" s="330"/>
      <c r="K142" s="330"/>
      <c r="L142" s="330"/>
    </row>
    <row r="143" spans="2:12" s="1179" customFormat="1" ht="30" customHeight="1" x14ac:dyDescent="0.2">
      <c r="B143" s="467"/>
      <c r="C143" s="1965" t="s">
        <v>5003</v>
      </c>
      <c r="D143" s="1965"/>
      <c r="E143" s="1965"/>
      <c r="F143" s="1965"/>
      <c r="G143" s="1965"/>
      <c r="H143" s="1965"/>
      <c r="I143" s="1965"/>
      <c r="J143" s="330"/>
      <c r="K143" s="330"/>
      <c r="L143" s="330"/>
    </row>
    <row r="144" spans="2:12" s="1179" customFormat="1" ht="3" customHeight="1" x14ac:dyDescent="0.2">
      <c r="B144" s="467"/>
      <c r="C144" s="496"/>
      <c r="D144" s="469"/>
      <c r="E144" s="469"/>
      <c r="F144" s="469"/>
      <c r="G144" s="469"/>
      <c r="H144" s="467"/>
      <c r="I144" s="467"/>
      <c r="J144" s="330"/>
      <c r="K144" s="330"/>
      <c r="L144" s="330"/>
    </row>
    <row r="145" spans="2:12" s="1179" customFormat="1" ht="30" customHeight="1" x14ac:dyDescent="0.2">
      <c r="B145" s="467"/>
      <c r="C145" s="1966" t="s">
        <v>5004</v>
      </c>
      <c r="D145" s="1966"/>
      <c r="E145" s="1966"/>
      <c r="F145" s="1966"/>
      <c r="G145" s="1966"/>
      <c r="H145" s="1966"/>
      <c r="I145" s="1966"/>
      <c r="J145" s="498"/>
      <c r="K145" s="498"/>
      <c r="L145" s="497"/>
    </row>
    <row r="146" spans="2:12" s="1179" customFormat="1" ht="3" customHeight="1" x14ac:dyDescent="0.2">
      <c r="B146" s="467"/>
      <c r="C146" s="496"/>
      <c r="D146" s="469"/>
      <c r="E146" s="469"/>
      <c r="F146" s="469"/>
      <c r="G146" s="469"/>
      <c r="H146" s="467"/>
      <c r="I146" s="467"/>
      <c r="J146" s="330"/>
      <c r="K146" s="330"/>
      <c r="L146" s="330"/>
    </row>
    <row r="147" spans="2:12" s="1179" customFormat="1" x14ac:dyDescent="0.2">
      <c r="B147" s="467"/>
      <c r="C147" s="496" t="s">
        <v>5005</v>
      </c>
      <c r="D147" s="469"/>
      <c r="E147" s="469"/>
      <c r="F147" s="469"/>
      <c r="G147" s="469"/>
      <c r="H147" s="467"/>
      <c r="I147" s="467"/>
      <c r="J147" s="330"/>
      <c r="K147" s="330"/>
      <c r="L147" s="330"/>
    </row>
    <row r="148" spans="2:12" s="1179" customFormat="1" x14ac:dyDescent="0.2">
      <c r="B148" s="330"/>
      <c r="C148" s="330"/>
      <c r="D148" s="330"/>
      <c r="E148" s="330"/>
      <c r="F148" s="330"/>
      <c r="G148" s="330"/>
      <c r="H148" s="330"/>
      <c r="I148" s="330"/>
      <c r="J148" s="330"/>
      <c r="K148" s="330"/>
      <c r="L148" s="330"/>
    </row>
    <row r="149" spans="2:12" x14ac:dyDescent="0.2">
      <c r="J149" s="330"/>
      <c r="K149" s="330"/>
    </row>
    <row r="175" spans="11:13" x14ac:dyDescent="0.2">
      <c r="K175" s="455" t="s">
        <v>3096</v>
      </c>
      <c r="L175" s="455" t="s">
        <v>3097</v>
      </c>
      <c r="M175" s="455" t="s">
        <v>3090</v>
      </c>
    </row>
    <row r="177" spans="11:13" x14ac:dyDescent="0.2">
      <c r="K177" s="481" t="s">
        <v>3098</v>
      </c>
      <c r="L177" s="481" t="s">
        <v>276</v>
      </c>
      <c r="M177" s="481" t="s">
        <v>3099</v>
      </c>
    </row>
    <row r="178" spans="11:13" x14ac:dyDescent="0.2">
      <c r="K178" s="481" t="s">
        <v>3222</v>
      </c>
      <c r="L178" s="481" t="s">
        <v>277</v>
      </c>
      <c r="M178" s="481" t="s">
        <v>3100</v>
      </c>
    </row>
    <row r="179" spans="11:13" x14ac:dyDescent="0.2">
      <c r="L179" s="481" t="s">
        <v>278</v>
      </c>
    </row>
    <row r="180" spans="11:13" x14ac:dyDescent="0.2">
      <c r="L180" s="481" t="s">
        <v>275</v>
      </c>
    </row>
    <row r="184" spans="11:13" x14ac:dyDescent="0.2">
      <c r="K184" s="455" t="s">
        <v>3101</v>
      </c>
    </row>
    <row r="186" spans="11:13" x14ac:dyDescent="0.2">
      <c r="K186" s="8" t="s">
        <v>3102</v>
      </c>
      <c r="L186" s="8"/>
    </row>
    <row r="187" spans="11:13" x14ac:dyDescent="0.2">
      <c r="K187" s="8" t="s">
        <v>3103</v>
      </c>
      <c r="L187" s="8"/>
    </row>
  </sheetData>
  <sheetProtection algorithmName="SHA-512" hashValue="JI7/vABSFGsmB7R7UZFVWJk6QVarS6Z3KKfm70p0CBzh62VNIyCRwyxh27s6vMsKRj+XEm2eievd+YCI+J1COQ==" saltValue="gxloca/Gh8gS3/9vy/L4QA==" spinCount="100000" sheet="1" objects="1" scenarios="1" selectLockedCells="1"/>
  <mergeCells count="101">
    <mergeCell ref="A64:B64"/>
    <mergeCell ref="A80:B80"/>
    <mergeCell ref="D80:D82"/>
    <mergeCell ref="A82:B82"/>
    <mergeCell ref="A84:B84"/>
    <mergeCell ref="A8:B8"/>
    <mergeCell ref="G8:I8"/>
    <mergeCell ref="A10:B10"/>
    <mergeCell ref="C10:D10"/>
    <mergeCell ref="G10:I10"/>
    <mergeCell ref="A12:B12"/>
    <mergeCell ref="C12:D12"/>
    <mergeCell ref="G12:I12"/>
    <mergeCell ref="A14:B14"/>
    <mergeCell ref="C14:D14"/>
    <mergeCell ref="G14:I14"/>
    <mergeCell ref="C8:D8"/>
    <mergeCell ref="G16:I16"/>
    <mergeCell ref="A86:B86"/>
    <mergeCell ref="E84:I84"/>
    <mergeCell ref="A70:B70"/>
    <mergeCell ref="A74:B74"/>
    <mergeCell ref="A76:B76"/>
    <mergeCell ref="A78:B78"/>
    <mergeCell ref="A59:B63"/>
    <mergeCell ref="C46:D46"/>
    <mergeCell ref="A16:B16"/>
    <mergeCell ref="E20:E21"/>
    <mergeCell ref="C67:D68"/>
    <mergeCell ref="C70:I72"/>
    <mergeCell ref="A71:B71"/>
    <mergeCell ref="A72:B72"/>
    <mergeCell ref="E39:F39"/>
    <mergeCell ref="C39:D40"/>
    <mergeCell ref="A42:B42"/>
    <mergeCell ref="A43:B43"/>
    <mergeCell ref="A44:B44"/>
    <mergeCell ref="A39:B39"/>
    <mergeCell ref="A67:B68"/>
    <mergeCell ref="C50:D50"/>
    <mergeCell ref="C52:D52"/>
    <mergeCell ref="E53:G53"/>
    <mergeCell ref="C145:I145"/>
    <mergeCell ref="E92:F92"/>
    <mergeCell ref="G92:H92"/>
    <mergeCell ref="C48:D48"/>
    <mergeCell ref="C36:I37"/>
    <mergeCell ref="E93:F93"/>
    <mergeCell ref="E94:F94"/>
    <mergeCell ref="E95:F95"/>
    <mergeCell ref="F105:G124"/>
    <mergeCell ref="C42:I44"/>
    <mergeCell ref="D120:E120"/>
    <mergeCell ref="D121:E121"/>
    <mergeCell ref="D122:E122"/>
    <mergeCell ref="D123:E123"/>
    <mergeCell ref="D124:E124"/>
    <mergeCell ref="D115:E115"/>
    <mergeCell ref="D116:E116"/>
    <mergeCell ref="D117:E117"/>
    <mergeCell ref="D118:E118"/>
    <mergeCell ref="D119:E119"/>
    <mergeCell ref="G94:H94"/>
    <mergeCell ref="G95:H95"/>
    <mergeCell ref="C90:I90"/>
    <mergeCell ref="C55:D55"/>
    <mergeCell ref="C133:I134"/>
    <mergeCell ref="C143:I143"/>
    <mergeCell ref="G28:H28"/>
    <mergeCell ref="G24:H24"/>
    <mergeCell ref="G25:H25"/>
    <mergeCell ref="D114:E114"/>
    <mergeCell ref="C18:D18"/>
    <mergeCell ref="F18:I18"/>
    <mergeCell ref="E46:F48"/>
    <mergeCell ref="E50:F52"/>
    <mergeCell ref="G52:I52"/>
    <mergeCell ref="D109:E109"/>
    <mergeCell ref="D110:E110"/>
    <mergeCell ref="D111:E111"/>
    <mergeCell ref="D112:E112"/>
    <mergeCell ref="D113:E113"/>
    <mergeCell ref="E101:F101"/>
    <mergeCell ref="C137:I137"/>
    <mergeCell ref="D105:E105"/>
    <mergeCell ref="C57:I58"/>
    <mergeCell ref="E60:E62"/>
    <mergeCell ref="F60:I62"/>
    <mergeCell ref="D106:E106"/>
    <mergeCell ref="D107:E107"/>
    <mergeCell ref="D108:E108"/>
    <mergeCell ref="E96:F96"/>
    <mergeCell ref="E97:F97"/>
    <mergeCell ref="G93:H93"/>
    <mergeCell ref="G96:H96"/>
    <mergeCell ref="G97:H97"/>
    <mergeCell ref="D1:I5"/>
    <mergeCell ref="C86:I87"/>
    <mergeCell ref="D104:E104"/>
    <mergeCell ref="F104:G104"/>
    <mergeCell ref="C16:D16"/>
  </mergeCells>
  <conditionalFormatting sqref="F32:I32">
    <cfRule type="cellIs" dxfId="36" priority="70" operator="lessThanOrEqual">
      <formula>$E32</formula>
    </cfRule>
  </conditionalFormatting>
  <conditionalFormatting sqref="G39">
    <cfRule type="expression" dxfId="35" priority="67">
      <formula>$G$39=TRUE</formula>
    </cfRule>
  </conditionalFormatting>
  <conditionalFormatting sqref="C42 C46 C48 C50 C52 G48 G52 C61 C64 F60 C70 C74 C76 C78 C80 C82 C84 E101 C105:D114 F105:I114">
    <cfRule type="notContainsBlanks" dxfId="34" priority="4843">
      <formula>LEN(TRIM(C42))&gt;0</formula>
    </cfRule>
  </conditionalFormatting>
  <conditionalFormatting sqref="G8">
    <cfRule type="expression" dxfId="33" priority="15">
      <formula>G8="Gold"</formula>
    </cfRule>
    <cfRule type="expression" dxfId="32" priority="16">
      <formula>G8="Silver"</formula>
    </cfRule>
    <cfRule type="expression" dxfId="31" priority="17">
      <formula>G8="Bronze"</formula>
    </cfRule>
    <cfRule type="expression" dxfId="30" priority="18">
      <formula>G8="Emerald"</formula>
    </cfRule>
  </conditionalFormatting>
  <conditionalFormatting sqref="F18:I18">
    <cfRule type="expression" dxfId="29" priority="13">
      <formula>$J$18</formula>
    </cfRule>
  </conditionalFormatting>
  <conditionalFormatting sqref="C93:H97">
    <cfRule type="notContainsBlanks" dxfId="28" priority="10">
      <formula>LEN(TRIM(C93))&gt;0</formula>
    </cfRule>
  </conditionalFormatting>
  <conditionalFormatting sqref="C93:H97 C105:C114 I105:I114">
    <cfRule type="expression" dxfId="27" priority="4845">
      <formula>$K93</formula>
    </cfRule>
  </conditionalFormatting>
  <conditionalFormatting sqref="C105:E114 H105:I114">
    <cfRule type="expression" dxfId="26" priority="11">
      <formula>$L105=TRUE</formula>
    </cfRule>
  </conditionalFormatting>
  <conditionalFormatting sqref="C105:C114 I105:I114">
    <cfRule type="expression" dxfId="25" priority="9">
      <formula>AND($M105,NOT(ISBLANK(C105)))</formula>
    </cfRule>
  </conditionalFormatting>
  <conditionalFormatting sqref="G25">
    <cfRule type="expression" dxfId="24" priority="5">
      <formula>$G$25="Gold"</formula>
    </cfRule>
    <cfRule type="expression" dxfId="23" priority="6">
      <formula>$G$25="Silver"</formula>
    </cfRule>
    <cfRule type="expression" dxfId="22" priority="7">
      <formula>$G$25="Bronze"</formula>
    </cfRule>
    <cfRule type="expression" dxfId="21" priority="8">
      <formula>$G$25="Emerald"</formula>
    </cfRule>
  </conditionalFormatting>
  <conditionalFormatting sqref="C115:D124 H115:I124">
    <cfRule type="notContainsBlanks" dxfId="20" priority="3">
      <formula>LEN(TRIM(C115))&gt;0</formula>
    </cfRule>
  </conditionalFormatting>
  <conditionalFormatting sqref="C115:C124 I115:I124">
    <cfRule type="expression" dxfId="19" priority="4">
      <formula>$K115</formula>
    </cfRule>
  </conditionalFormatting>
  <conditionalFormatting sqref="C115:E124 H115:I124">
    <cfRule type="expression" dxfId="18" priority="2">
      <formula>$L115=TRUE</formula>
    </cfRule>
  </conditionalFormatting>
  <conditionalFormatting sqref="C115:C124 I115:I124">
    <cfRule type="expression" dxfId="17" priority="1">
      <formula>AND($M115,NOT(ISBLANK(C115)))</formula>
    </cfRule>
  </conditionalFormatting>
  <conditionalFormatting sqref="F60:I62">
    <cfRule type="expression" dxfId="16" priority="11793">
      <formula>$C$61=$K$187</formula>
    </cfRule>
  </conditionalFormatting>
  <dataValidations count="5">
    <dataValidation type="list" allowBlank="1" showInputMessage="1" showErrorMessage="1" sqref="C61" xr:uid="{00000000-0002-0000-1200-000000000000}">
      <formula1>$K$186:$K$187</formula1>
    </dataValidation>
    <dataValidation type="list" allowBlank="1" showInputMessage="1" showErrorMessage="1" sqref="G52" xr:uid="{00000000-0002-0000-1200-000001000000}">
      <formula1>$M$177:$M$178</formula1>
    </dataValidation>
    <dataValidation type="list" allowBlank="1" showInputMessage="1" showErrorMessage="1" sqref="C64" xr:uid="{00000000-0002-0000-1200-000002000000}">
      <formula1>$L$177:$L$180</formula1>
    </dataValidation>
    <dataValidation type="list" allowBlank="1" showInputMessage="1" showErrorMessage="1" errorTitle="Delivery Method" error="Please Select" promptTitle="Certificate Delivery Method" prompt="Please select US Mail or Overnight delivery for $50.00" sqref="G48" xr:uid="{00000000-0002-0000-1200-000003000000}">
      <formula1>$K$177:$K$178</formula1>
    </dataValidation>
    <dataValidation type="list" allowBlank="1" showDropDown="1" showInputMessage="1" showErrorMessage="1" error="Use Checkbox" prompt="Use Checkbox" sqref="G39 M105:M124" xr:uid="{00000000-0002-0000-1200-000004000000}">
      <formula1>TorF</formula1>
    </dataValidation>
  </dataValidations>
  <pageMargins left="0.7" right="0.7" top="0.75" bottom="0.75" header="0.3" footer="0.3"/>
  <pageSetup scale="72" fitToHeight="0" orientation="landscape" r:id="rId1"/>
  <rowBreaks count="3" manualBreakCount="3">
    <brk id="53" max="8" man="1"/>
    <brk id="88" max="16383" man="1"/>
    <brk id="125" max="8" man="1"/>
  </rowBreaks>
  <drawing r:id="rId2"/>
  <legacyDrawing r:id="rId3"/>
  <mc:AlternateContent xmlns:mc="http://schemas.openxmlformats.org/markup-compatibility/2006">
    <mc:Choice Requires="x14">
      <controls>
        <mc:AlternateContent xmlns:mc="http://schemas.openxmlformats.org/markup-compatibility/2006">
          <mc:Choice Requires="x14">
            <control shapeId="30722" r:id="rId4" name="Check Box 2">
              <controlPr locked="0" defaultSize="0" autoFill="0" autoLine="0" autoPict="0">
                <anchor moveWithCells="1">
                  <from>
                    <xdr:col>6</xdr:col>
                    <xdr:colOff>0</xdr:colOff>
                    <xdr:row>38</xdr:row>
                    <xdr:rowOff>0</xdr:rowOff>
                  </from>
                  <to>
                    <xdr:col>6</xdr:col>
                    <xdr:colOff>177800</xdr:colOff>
                    <xdr:row>38</xdr:row>
                    <xdr:rowOff>177800</xdr:rowOff>
                  </to>
                </anchor>
              </controlPr>
            </control>
          </mc:Choice>
        </mc:AlternateContent>
        <mc:AlternateContent xmlns:mc="http://schemas.openxmlformats.org/markup-compatibility/2006">
          <mc:Choice Requires="x14">
            <control shapeId="30726" r:id="rId5" name="Check Box 6">
              <controlPr locked="0" defaultSize="0" autoFill="0" autoLine="0" autoPict="0">
                <anchor moveWithCells="1" sizeWithCells="1">
                  <from>
                    <xdr:col>1</xdr:col>
                    <xdr:colOff>25400</xdr:colOff>
                    <xdr:row>105</xdr:row>
                    <xdr:rowOff>0</xdr:rowOff>
                  </from>
                  <to>
                    <xdr:col>1</xdr:col>
                    <xdr:colOff>203200</xdr:colOff>
                    <xdr:row>106</xdr:row>
                    <xdr:rowOff>0</xdr:rowOff>
                  </to>
                </anchor>
              </controlPr>
            </control>
          </mc:Choice>
        </mc:AlternateContent>
        <mc:AlternateContent xmlns:mc="http://schemas.openxmlformats.org/markup-compatibility/2006">
          <mc:Choice Requires="x14">
            <control shapeId="30727" r:id="rId6" name="Check Box 7">
              <controlPr locked="0" defaultSize="0" autoFill="0" autoLine="0" autoPict="0">
                <anchor moveWithCells="1" sizeWithCells="1">
                  <from>
                    <xdr:col>1</xdr:col>
                    <xdr:colOff>25400</xdr:colOff>
                    <xdr:row>106</xdr:row>
                    <xdr:rowOff>0</xdr:rowOff>
                  </from>
                  <to>
                    <xdr:col>1</xdr:col>
                    <xdr:colOff>203200</xdr:colOff>
                    <xdr:row>107</xdr:row>
                    <xdr:rowOff>0</xdr:rowOff>
                  </to>
                </anchor>
              </controlPr>
            </control>
          </mc:Choice>
        </mc:AlternateContent>
        <mc:AlternateContent xmlns:mc="http://schemas.openxmlformats.org/markup-compatibility/2006">
          <mc:Choice Requires="x14">
            <control shapeId="30728" r:id="rId7" name="Check Box 8">
              <controlPr locked="0" defaultSize="0" autoFill="0" autoLine="0" autoPict="0">
                <anchor moveWithCells="1" sizeWithCells="1">
                  <from>
                    <xdr:col>1</xdr:col>
                    <xdr:colOff>25400</xdr:colOff>
                    <xdr:row>107</xdr:row>
                    <xdr:rowOff>0</xdr:rowOff>
                  </from>
                  <to>
                    <xdr:col>1</xdr:col>
                    <xdr:colOff>203200</xdr:colOff>
                    <xdr:row>108</xdr:row>
                    <xdr:rowOff>0</xdr:rowOff>
                  </to>
                </anchor>
              </controlPr>
            </control>
          </mc:Choice>
        </mc:AlternateContent>
        <mc:AlternateContent xmlns:mc="http://schemas.openxmlformats.org/markup-compatibility/2006">
          <mc:Choice Requires="x14">
            <control shapeId="30729" r:id="rId8" name="Check Box 9">
              <controlPr locked="0" defaultSize="0" autoFill="0" autoLine="0" autoPict="0">
                <anchor moveWithCells="1" sizeWithCells="1">
                  <from>
                    <xdr:col>1</xdr:col>
                    <xdr:colOff>25400</xdr:colOff>
                    <xdr:row>108</xdr:row>
                    <xdr:rowOff>0</xdr:rowOff>
                  </from>
                  <to>
                    <xdr:col>1</xdr:col>
                    <xdr:colOff>203200</xdr:colOff>
                    <xdr:row>109</xdr:row>
                    <xdr:rowOff>0</xdr:rowOff>
                  </to>
                </anchor>
              </controlPr>
            </control>
          </mc:Choice>
        </mc:AlternateContent>
        <mc:AlternateContent xmlns:mc="http://schemas.openxmlformats.org/markup-compatibility/2006">
          <mc:Choice Requires="x14">
            <control shapeId="30730" r:id="rId9" name="Check Box 10">
              <controlPr locked="0" defaultSize="0" autoFill="0" autoLine="0" autoPict="0">
                <anchor moveWithCells="1" sizeWithCells="1">
                  <from>
                    <xdr:col>1</xdr:col>
                    <xdr:colOff>25400</xdr:colOff>
                    <xdr:row>109</xdr:row>
                    <xdr:rowOff>0</xdr:rowOff>
                  </from>
                  <to>
                    <xdr:col>1</xdr:col>
                    <xdr:colOff>203200</xdr:colOff>
                    <xdr:row>110</xdr:row>
                    <xdr:rowOff>0</xdr:rowOff>
                  </to>
                </anchor>
              </controlPr>
            </control>
          </mc:Choice>
        </mc:AlternateContent>
        <mc:AlternateContent xmlns:mc="http://schemas.openxmlformats.org/markup-compatibility/2006">
          <mc:Choice Requires="x14">
            <control shapeId="30731" r:id="rId10" name="Check Box 11">
              <controlPr locked="0" defaultSize="0" autoFill="0" autoLine="0" autoPict="0">
                <anchor moveWithCells="1" sizeWithCells="1">
                  <from>
                    <xdr:col>1</xdr:col>
                    <xdr:colOff>25400</xdr:colOff>
                    <xdr:row>110</xdr:row>
                    <xdr:rowOff>0</xdr:rowOff>
                  </from>
                  <to>
                    <xdr:col>1</xdr:col>
                    <xdr:colOff>203200</xdr:colOff>
                    <xdr:row>111</xdr:row>
                    <xdr:rowOff>0</xdr:rowOff>
                  </to>
                </anchor>
              </controlPr>
            </control>
          </mc:Choice>
        </mc:AlternateContent>
        <mc:AlternateContent xmlns:mc="http://schemas.openxmlformats.org/markup-compatibility/2006">
          <mc:Choice Requires="x14">
            <control shapeId="30732" r:id="rId11" name="Check Box 12">
              <controlPr locked="0" defaultSize="0" autoFill="0" autoLine="0" autoPict="0">
                <anchor moveWithCells="1" sizeWithCells="1">
                  <from>
                    <xdr:col>1</xdr:col>
                    <xdr:colOff>25400</xdr:colOff>
                    <xdr:row>111</xdr:row>
                    <xdr:rowOff>0</xdr:rowOff>
                  </from>
                  <to>
                    <xdr:col>1</xdr:col>
                    <xdr:colOff>203200</xdr:colOff>
                    <xdr:row>112</xdr:row>
                    <xdr:rowOff>0</xdr:rowOff>
                  </to>
                </anchor>
              </controlPr>
            </control>
          </mc:Choice>
        </mc:AlternateContent>
        <mc:AlternateContent xmlns:mc="http://schemas.openxmlformats.org/markup-compatibility/2006">
          <mc:Choice Requires="x14">
            <control shapeId="30733" r:id="rId12" name="Check Box 13">
              <controlPr locked="0" defaultSize="0" autoFill="0" autoLine="0" autoPict="0">
                <anchor moveWithCells="1" sizeWithCells="1">
                  <from>
                    <xdr:col>1</xdr:col>
                    <xdr:colOff>25400</xdr:colOff>
                    <xdr:row>112</xdr:row>
                    <xdr:rowOff>0</xdr:rowOff>
                  </from>
                  <to>
                    <xdr:col>1</xdr:col>
                    <xdr:colOff>203200</xdr:colOff>
                    <xdr:row>113</xdr:row>
                    <xdr:rowOff>0</xdr:rowOff>
                  </to>
                </anchor>
              </controlPr>
            </control>
          </mc:Choice>
        </mc:AlternateContent>
        <mc:AlternateContent xmlns:mc="http://schemas.openxmlformats.org/markup-compatibility/2006">
          <mc:Choice Requires="x14">
            <control shapeId="30734" r:id="rId13" name="Check Box 14">
              <controlPr locked="0" defaultSize="0" autoFill="0" autoLine="0" autoPict="0">
                <anchor moveWithCells="1" sizeWithCells="1">
                  <from>
                    <xdr:col>1</xdr:col>
                    <xdr:colOff>25400</xdr:colOff>
                    <xdr:row>113</xdr:row>
                    <xdr:rowOff>0</xdr:rowOff>
                  </from>
                  <to>
                    <xdr:col>1</xdr:col>
                    <xdr:colOff>203200</xdr:colOff>
                    <xdr:row>114</xdr:row>
                    <xdr:rowOff>0</xdr:rowOff>
                  </to>
                </anchor>
              </controlPr>
            </control>
          </mc:Choice>
        </mc:AlternateContent>
        <mc:AlternateContent xmlns:mc="http://schemas.openxmlformats.org/markup-compatibility/2006">
          <mc:Choice Requires="x14">
            <control shapeId="30735" r:id="rId14" name="Check Box 15">
              <controlPr locked="0" defaultSize="0" autoFill="0" autoLine="0" autoPict="0">
                <anchor moveWithCells="1" sizeWithCells="1">
                  <from>
                    <xdr:col>1</xdr:col>
                    <xdr:colOff>25400</xdr:colOff>
                    <xdr:row>104</xdr:row>
                    <xdr:rowOff>0</xdr:rowOff>
                  </from>
                  <to>
                    <xdr:col>1</xdr:col>
                    <xdr:colOff>203200</xdr:colOff>
                    <xdr:row>105</xdr:row>
                    <xdr:rowOff>0</xdr:rowOff>
                  </to>
                </anchor>
              </controlPr>
            </control>
          </mc:Choice>
        </mc:AlternateContent>
        <mc:AlternateContent xmlns:mc="http://schemas.openxmlformats.org/markup-compatibility/2006">
          <mc:Choice Requires="x14">
            <control shapeId="30736" r:id="rId15" name="Check Box 16">
              <controlPr locked="0" defaultSize="0" autoFill="0" autoLine="0" autoPict="0">
                <anchor moveWithCells="1" sizeWithCells="1">
                  <from>
                    <xdr:col>1</xdr:col>
                    <xdr:colOff>25400</xdr:colOff>
                    <xdr:row>115</xdr:row>
                    <xdr:rowOff>0</xdr:rowOff>
                  </from>
                  <to>
                    <xdr:col>1</xdr:col>
                    <xdr:colOff>203200</xdr:colOff>
                    <xdr:row>116</xdr:row>
                    <xdr:rowOff>0</xdr:rowOff>
                  </to>
                </anchor>
              </controlPr>
            </control>
          </mc:Choice>
        </mc:AlternateContent>
        <mc:AlternateContent xmlns:mc="http://schemas.openxmlformats.org/markup-compatibility/2006">
          <mc:Choice Requires="x14">
            <control shapeId="30737" r:id="rId16" name="Check Box 17">
              <controlPr locked="0" defaultSize="0" autoFill="0" autoLine="0" autoPict="0">
                <anchor moveWithCells="1" sizeWithCells="1">
                  <from>
                    <xdr:col>1</xdr:col>
                    <xdr:colOff>25400</xdr:colOff>
                    <xdr:row>116</xdr:row>
                    <xdr:rowOff>0</xdr:rowOff>
                  </from>
                  <to>
                    <xdr:col>1</xdr:col>
                    <xdr:colOff>203200</xdr:colOff>
                    <xdr:row>117</xdr:row>
                    <xdr:rowOff>0</xdr:rowOff>
                  </to>
                </anchor>
              </controlPr>
            </control>
          </mc:Choice>
        </mc:AlternateContent>
        <mc:AlternateContent xmlns:mc="http://schemas.openxmlformats.org/markup-compatibility/2006">
          <mc:Choice Requires="x14">
            <control shapeId="30738" r:id="rId17" name="Check Box 18">
              <controlPr locked="0" defaultSize="0" autoFill="0" autoLine="0" autoPict="0">
                <anchor moveWithCells="1" sizeWithCells="1">
                  <from>
                    <xdr:col>1</xdr:col>
                    <xdr:colOff>25400</xdr:colOff>
                    <xdr:row>117</xdr:row>
                    <xdr:rowOff>0</xdr:rowOff>
                  </from>
                  <to>
                    <xdr:col>1</xdr:col>
                    <xdr:colOff>203200</xdr:colOff>
                    <xdr:row>118</xdr:row>
                    <xdr:rowOff>0</xdr:rowOff>
                  </to>
                </anchor>
              </controlPr>
            </control>
          </mc:Choice>
        </mc:AlternateContent>
        <mc:AlternateContent xmlns:mc="http://schemas.openxmlformats.org/markup-compatibility/2006">
          <mc:Choice Requires="x14">
            <control shapeId="30739" r:id="rId18" name="Check Box 19">
              <controlPr locked="0" defaultSize="0" autoFill="0" autoLine="0" autoPict="0">
                <anchor moveWithCells="1" sizeWithCells="1">
                  <from>
                    <xdr:col>1</xdr:col>
                    <xdr:colOff>25400</xdr:colOff>
                    <xdr:row>118</xdr:row>
                    <xdr:rowOff>0</xdr:rowOff>
                  </from>
                  <to>
                    <xdr:col>1</xdr:col>
                    <xdr:colOff>203200</xdr:colOff>
                    <xdr:row>119</xdr:row>
                    <xdr:rowOff>0</xdr:rowOff>
                  </to>
                </anchor>
              </controlPr>
            </control>
          </mc:Choice>
        </mc:AlternateContent>
        <mc:AlternateContent xmlns:mc="http://schemas.openxmlformats.org/markup-compatibility/2006">
          <mc:Choice Requires="x14">
            <control shapeId="30740" r:id="rId19" name="Check Box 20">
              <controlPr locked="0" defaultSize="0" autoFill="0" autoLine="0" autoPict="0">
                <anchor moveWithCells="1" sizeWithCells="1">
                  <from>
                    <xdr:col>1</xdr:col>
                    <xdr:colOff>25400</xdr:colOff>
                    <xdr:row>119</xdr:row>
                    <xdr:rowOff>0</xdr:rowOff>
                  </from>
                  <to>
                    <xdr:col>1</xdr:col>
                    <xdr:colOff>203200</xdr:colOff>
                    <xdr:row>120</xdr:row>
                    <xdr:rowOff>0</xdr:rowOff>
                  </to>
                </anchor>
              </controlPr>
            </control>
          </mc:Choice>
        </mc:AlternateContent>
        <mc:AlternateContent xmlns:mc="http://schemas.openxmlformats.org/markup-compatibility/2006">
          <mc:Choice Requires="x14">
            <control shapeId="30741" r:id="rId20" name="Check Box 21">
              <controlPr locked="0" defaultSize="0" autoFill="0" autoLine="0" autoPict="0">
                <anchor moveWithCells="1" sizeWithCells="1">
                  <from>
                    <xdr:col>1</xdr:col>
                    <xdr:colOff>25400</xdr:colOff>
                    <xdr:row>120</xdr:row>
                    <xdr:rowOff>0</xdr:rowOff>
                  </from>
                  <to>
                    <xdr:col>1</xdr:col>
                    <xdr:colOff>203200</xdr:colOff>
                    <xdr:row>121</xdr:row>
                    <xdr:rowOff>0</xdr:rowOff>
                  </to>
                </anchor>
              </controlPr>
            </control>
          </mc:Choice>
        </mc:AlternateContent>
        <mc:AlternateContent xmlns:mc="http://schemas.openxmlformats.org/markup-compatibility/2006">
          <mc:Choice Requires="x14">
            <control shapeId="30742" r:id="rId21" name="Check Box 22">
              <controlPr locked="0" defaultSize="0" autoFill="0" autoLine="0" autoPict="0">
                <anchor moveWithCells="1" sizeWithCells="1">
                  <from>
                    <xdr:col>1</xdr:col>
                    <xdr:colOff>25400</xdr:colOff>
                    <xdr:row>121</xdr:row>
                    <xdr:rowOff>0</xdr:rowOff>
                  </from>
                  <to>
                    <xdr:col>1</xdr:col>
                    <xdr:colOff>203200</xdr:colOff>
                    <xdr:row>122</xdr:row>
                    <xdr:rowOff>0</xdr:rowOff>
                  </to>
                </anchor>
              </controlPr>
            </control>
          </mc:Choice>
        </mc:AlternateContent>
        <mc:AlternateContent xmlns:mc="http://schemas.openxmlformats.org/markup-compatibility/2006">
          <mc:Choice Requires="x14">
            <control shapeId="30743" r:id="rId22" name="Check Box 23">
              <controlPr locked="0" defaultSize="0" autoFill="0" autoLine="0" autoPict="0">
                <anchor moveWithCells="1" sizeWithCells="1">
                  <from>
                    <xdr:col>1</xdr:col>
                    <xdr:colOff>25400</xdr:colOff>
                    <xdr:row>122</xdr:row>
                    <xdr:rowOff>0</xdr:rowOff>
                  </from>
                  <to>
                    <xdr:col>1</xdr:col>
                    <xdr:colOff>203200</xdr:colOff>
                    <xdr:row>123</xdr:row>
                    <xdr:rowOff>0</xdr:rowOff>
                  </to>
                </anchor>
              </controlPr>
            </control>
          </mc:Choice>
        </mc:AlternateContent>
        <mc:AlternateContent xmlns:mc="http://schemas.openxmlformats.org/markup-compatibility/2006">
          <mc:Choice Requires="x14">
            <control shapeId="30744" r:id="rId23" name="Check Box 24">
              <controlPr locked="0" defaultSize="0" autoFill="0" autoLine="0" autoPict="0">
                <anchor moveWithCells="1" sizeWithCells="1">
                  <from>
                    <xdr:col>1</xdr:col>
                    <xdr:colOff>25400</xdr:colOff>
                    <xdr:row>123</xdr:row>
                    <xdr:rowOff>0</xdr:rowOff>
                  </from>
                  <to>
                    <xdr:col>1</xdr:col>
                    <xdr:colOff>203200</xdr:colOff>
                    <xdr:row>124</xdr:row>
                    <xdr:rowOff>0</xdr:rowOff>
                  </to>
                </anchor>
              </controlPr>
            </control>
          </mc:Choice>
        </mc:AlternateContent>
        <mc:AlternateContent xmlns:mc="http://schemas.openxmlformats.org/markup-compatibility/2006">
          <mc:Choice Requires="x14">
            <control shapeId="30745" r:id="rId24" name="Check Box 25">
              <controlPr locked="0" defaultSize="0" autoFill="0" autoLine="0" autoPict="0">
                <anchor moveWithCells="1" sizeWithCells="1">
                  <from>
                    <xdr:col>1</xdr:col>
                    <xdr:colOff>25400</xdr:colOff>
                    <xdr:row>114</xdr:row>
                    <xdr:rowOff>0</xdr:rowOff>
                  </from>
                  <to>
                    <xdr:col>1</xdr:col>
                    <xdr:colOff>203200</xdr:colOff>
                    <xdr:row>115</xdr:row>
                    <xdr:rowOff>0</xdr:rowOff>
                  </to>
                </anchor>
              </controlPr>
            </control>
          </mc:Choice>
        </mc:AlternateContent>
        <mc:AlternateContent xmlns:mc="http://schemas.openxmlformats.org/markup-compatibility/2006">
          <mc:Choice Requires="x14">
            <control shapeId="30746" r:id="rId25" name="Check Box 26">
              <controlPr locked="0" defaultSize="0" autoFill="0" autoLine="0" autoPict="0">
                <anchor moveWithCells="1" sizeWithCells="1">
                  <from>
                    <xdr:col>1</xdr:col>
                    <xdr:colOff>25400</xdr:colOff>
                    <xdr:row>114</xdr:row>
                    <xdr:rowOff>0</xdr:rowOff>
                  </from>
                  <to>
                    <xdr:col>1</xdr:col>
                    <xdr:colOff>203200</xdr:colOff>
                    <xdr:row>115</xdr:row>
                    <xdr:rowOff>0</xdr:rowOff>
                  </to>
                </anchor>
              </controlPr>
            </control>
          </mc:Choice>
        </mc:AlternateContent>
        <mc:AlternateContent xmlns:mc="http://schemas.openxmlformats.org/markup-compatibility/2006">
          <mc:Choice Requires="x14">
            <control shapeId="30747" r:id="rId26" name="Check Box 27">
              <controlPr locked="0" defaultSize="0" autoFill="0" autoLine="0" autoPict="0">
                <anchor moveWithCells="1" sizeWithCells="1">
                  <from>
                    <xdr:col>1</xdr:col>
                    <xdr:colOff>25400</xdr:colOff>
                    <xdr:row>115</xdr:row>
                    <xdr:rowOff>0</xdr:rowOff>
                  </from>
                  <to>
                    <xdr:col>1</xdr:col>
                    <xdr:colOff>203200</xdr:colOff>
                    <xdr:row>116</xdr:row>
                    <xdr:rowOff>0</xdr:rowOff>
                  </to>
                </anchor>
              </controlPr>
            </control>
          </mc:Choice>
        </mc:AlternateContent>
        <mc:AlternateContent xmlns:mc="http://schemas.openxmlformats.org/markup-compatibility/2006">
          <mc:Choice Requires="x14">
            <control shapeId="30748" r:id="rId27" name="Check Box 28">
              <controlPr locked="0" defaultSize="0" autoFill="0" autoLine="0" autoPict="0">
                <anchor moveWithCells="1" sizeWithCells="1">
                  <from>
                    <xdr:col>1</xdr:col>
                    <xdr:colOff>25400</xdr:colOff>
                    <xdr:row>116</xdr:row>
                    <xdr:rowOff>0</xdr:rowOff>
                  </from>
                  <to>
                    <xdr:col>1</xdr:col>
                    <xdr:colOff>203200</xdr:colOff>
                    <xdr:row>117</xdr:row>
                    <xdr:rowOff>0</xdr:rowOff>
                  </to>
                </anchor>
              </controlPr>
            </control>
          </mc:Choice>
        </mc:AlternateContent>
        <mc:AlternateContent xmlns:mc="http://schemas.openxmlformats.org/markup-compatibility/2006">
          <mc:Choice Requires="x14">
            <control shapeId="30749" r:id="rId28" name="Check Box 29">
              <controlPr locked="0" defaultSize="0" autoFill="0" autoLine="0" autoPict="0">
                <anchor moveWithCells="1" sizeWithCells="1">
                  <from>
                    <xdr:col>1</xdr:col>
                    <xdr:colOff>25400</xdr:colOff>
                    <xdr:row>117</xdr:row>
                    <xdr:rowOff>0</xdr:rowOff>
                  </from>
                  <to>
                    <xdr:col>1</xdr:col>
                    <xdr:colOff>203200</xdr:colOff>
                    <xdr:row>118</xdr:row>
                    <xdr:rowOff>0</xdr:rowOff>
                  </to>
                </anchor>
              </controlPr>
            </control>
          </mc:Choice>
        </mc:AlternateContent>
        <mc:AlternateContent xmlns:mc="http://schemas.openxmlformats.org/markup-compatibility/2006">
          <mc:Choice Requires="x14">
            <control shapeId="30750" r:id="rId29" name="Check Box 30">
              <controlPr locked="0" defaultSize="0" autoFill="0" autoLine="0" autoPict="0">
                <anchor moveWithCells="1" sizeWithCells="1">
                  <from>
                    <xdr:col>1</xdr:col>
                    <xdr:colOff>25400</xdr:colOff>
                    <xdr:row>118</xdr:row>
                    <xdr:rowOff>0</xdr:rowOff>
                  </from>
                  <to>
                    <xdr:col>1</xdr:col>
                    <xdr:colOff>203200</xdr:colOff>
                    <xdr:row>119</xdr:row>
                    <xdr:rowOff>0</xdr:rowOff>
                  </to>
                </anchor>
              </controlPr>
            </control>
          </mc:Choice>
        </mc:AlternateContent>
        <mc:AlternateContent xmlns:mc="http://schemas.openxmlformats.org/markup-compatibility/2006">
          <mc:Choice Requires="x14">
            <control shapeId="30751" r:id="rId30" name="Check Box 31">
              <controlPr locked="0" defaultSize="0" autoFill="0" autoLine="0" autoPict="0">
                <anchor moveWithCells="1" sizeWithCells="1">
                  <from>
                    <xdr:col>1</xdr:col>
                    <xdr:colOff>25400</xdr:colOff>
                    <xdr:row>119</xdr:row>
                    <xdr:rowOff>0</xdr:rowOff>
                  </from>
                  <to>
                    <xdr:col>1</xdr:col>
                    <xdr:colOff>203200</xdr:colOff>
                    <xdr:row>120</xdr:row>
                    <xdr:rowOff>0</xdr:rowOff>
                  </to>
                </anchor>
              </controlPr>
            </control>
          </mc:Choice>
        </mc:AlternateContent>
        <mc:AlternateContent xmlns:mc="http://schemas.openxmlformats.org/markup-compatibility/2006">
          <mc:Choice Requires="x14">
            <control shapeId="30752" r:id="rId31" name="Check Box 32">
              <controlPr locked="0" defaultSize="0" autoFill="0" autoLine="0" autoPict="0">
                <anchor moveWithCells="1" sizeWithCells="1">
                  <from>
                    <xdr:col>1</xdr:col>
                    <xdr:colOff>25400</xdr:colOff>
                    <xdr:row>120</xdr:row>
                    <xdr:rowOff>0</xdr:rowOff>
                  </from>
                  <to>
                    <xdr:col>1</xdr:col>
                    <xdr:colOff>203200</xdr:colOff>
                    <xdr:row>121</xdr:row>
                    <xdr:rowOff>0</xdr:rowOff>
                  </to>
                </anchor>
              </controlPr>
            </control>
          </mc:Choice>
        </mc:AlternateContent>
        <mc:AlternateContent xmlns:mc="http://schemas.openxmlformats.org/markup-compatibility/2006">
          <mc:Choice Requires="x14">
            <control shapeId="30753" r:id="rId32" name="Check Box 33">
              <controlPr locked="0" defaultSize="0" autoFill="0" autoLine="0" autoPict="0">
                <anchor moveWithCells="1" sizeWithCells="1">
                  <from>
                    <xdr:col>1</xdr:col>
                    <xdr:colOff>25400</xdr:colOff>
                    <xdr:row>121</xdr:row>
                    <xdr:rowOff>0</xdr:rowOff>
                  </from>
                  <to>
                    <xdr:col>1</xdr:col>
                    <xdr:colOff>203200</xdr:colOff>
                    <xdr:row>122</xdr:row>
                    <xdr:rowOff>0</xdr:rowOff>
                  </to>
                </anchor>
              </controlPr>
            </control>
          </mc:Choice>
        </mc:AlternateContent>
        <mc:AlternateContent xmlns:mc="http://schemas.openxmlformats.org/markup-compatibility/2006">
          <mc:Choice Requires="x14">
            <control shapeId="30754" r:id="rId33" name="Check Box 34">
              <controlPr locked="0" defaultSize="0" autoFill="0" autoLine="0" autoPict="0">
                <anchor moveWithCells="1" sizeWithCells="1">
                  <from>
                    <xdr:col>1</xdr:col>
                    <xdr:colOff>25400</xdr:colOff>
                    <xdr:row>122</xdr:row>
                    <xdr:rowOff>0</xdr:rowOff>
                  </from>
                  <to>
                    <xdr:col>1</xdr:col>
                    <xdr:colOff>203200</xdr:colOff>
                    <xdr:row>123</xdr:row>
                    <xdr:rowOff>0</xdr:rowOff>
                  </to>
                </anchor>
              </controlPr>
            </control>
          </mc:Choice>
        </mc:AlternateContent>
        <mc:AlternateContent xmlns:mc="http://schemas.openxmlformats.org/markup-compatibility/2006">
          <mc:Choice Requires="x14">
            <control shapeId="30755" r:id="rId34" name="Check Box 35">
              <controlPr locked="0" defaultSize="0" autoFill="0" autoLine="0" autoPict="0">
                <anchor moveWithCells="1" sizeWithCells="1">
                  <from>
                    <xdr:col>1</xdr:col>
                    <xdr:colOff>25400</xdr:colOff>
                    <xdr:row>123</xdr:row>
                    <xdr:rowOff>0</xdr:rowOff>
                  </from>
                  <to>
                    <xdr:col>1</xdr:col>
                    <xdr:colOff>203200</xdr:colOff>
                    <xdr:row>124</xdr:row>
                    <xdr:rowOff>0</xdr:rowOff>
                  </to>
                </anchor>
              </controlPr>
            </control>
          </mc:Choice>
        </mc:AlternateContent>
      </controls>
    </mc:Choice>
  </mc:AlternateContent>
  <extLst>
    <ext xmlns:x14="http://schemas.microsoft.com/office/spreadsheetml/2009/9/main" uri="{78C0D931-6437-407d-A8EE-F0AAD7539E65}">
      <x14:conditionalFormattings>
        <x14:conditionalFormatting xmlns:xm="http://schemas.microsoft.com/office/excel/2006/main">
          <x14:cfRule type="expression" priority="14" id="{262860F8-EFFF-465D-9491-0793F5EC5685}">
            <xm:f>OR('Verification Report'!$AI$3,'Verification Report'!$AG$3)</xm:f>
            <x14:dxf>
              <font>
                <b/>
                <i val="0"/>
                <color theme="1"/>
              </font>
              <fill>
                <patternFill>
                  <bgColor rgb="FFFF0000"/>
                </patternFill>
              </fill>
            </x14:dxf>
          </x14:cfRule>
          <xm:sqref>C18:D18</xm:sqref>
        </x14:conditionalFormatting>
        <x14:conditionalFormatting xmlns:xm="http://schemas.microsoft.com/office/excel/2006/main">
          <x14:cfRule type="expression" priority="10057" stopIfTrue="1" id="{B4057145-EB82-42DB-B8E6-47B010E15B78}">
            <xm:f>MIN(Points!#REF!)&lt;3</xm:f>
            <x14:dxf>
              <fill>
                <patternFill patternType="lightGray"/>
              </fill>
            </x14:dxf>
          </x14:cfRule>
          <xm:sqref>H32</xm:sqref>
        </x14:conditionalFormatting>
        <x14:conditionalFormatting xmlns:xm="http://schemas.microsoft.com/office/excel/2006/main">
          <x14:cfRule type="expression" priority="10058" id="{26B4958A-7349-44B2-8E4C-C51891382655}">
            <xm:f>MIN(Points!#REF!)&lt;4</xm:f>
            <x14:dxf>
              <fill>
                <patternFill patternType="lightGray"/>
              </fill>
            </x14:dxf>
          </x14:cfRule>
          <xm:sqref>I32</xm:sqref>
        </x14:conditionalFormatting>
      </x14:conditionalFormattings>
    </ext>
  </extLst>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D387959-99F0-4DB6-A815-D7D98EB0E204}">
  <sheetPr codeName="Sheet29">
    <pageSetUpPr fitToPage="1"/>
  </sheetPr>
  <dimension ref="A1:M158"/>
  <sheetViews>
    <sheetView showGridLines="0" zoomScaleNormal="100" workbookViewId="0">
      <selection activeCell="C39" sqref="C39:D40"/>
    </sheetView>
  </sheetViews>
  <sheetFormatPr baseColWidth="10" defaultColWidth="9.1640625" defaultRowHeight="15" x14ac:dyDescent="0.2"/>
  <cols>
    <col min="1" max="2" width="10.6640625" style="1421" customWidth="1"/>
    <col min="3" max="3" width="43.33203125" style="1421" customWidth="1"/>
    <col min="4" max="9" width="15.6640625" style="1421" customWidth="1"/>
    <col min="10" max="11" width="15.6640625" style="1421" hidden="1" customWidth="1"/>
    <col min="12" max="12" width="16.6640625" style="1421" hidden="1" customWidth="1"/>
    <col min="13" max="13" width="30.6640625" style="1421" hidden="1" customWidth="1"/>
    <col min="14" max="16384" width="9.1640625" style="1421"/>
  </cols>
  <sheetData>
    <row r="1" spans="1:13" x14ac:dyDescent="0.2">
      <c r="D1" s="1644" t="s">
        <v>5034</v>
      </c>
      <c r="E1" s="1644"/>
      <c r="F1" s="1644"/>
      <c r="G1" s="1644"/>
      <c r="H1" s="1644"/>
      <c r="I1" s="1644"/>
    </row>
    <row r="2" spans="1:13" x14ac:dyDescent="0.2">
      <c r="D2" s="1644"/>
      <c r="E2" s="1644"/>
      <c r="F2" s="1644"/>
      <c r="G2" s="1644"/>
      <c r="H2" s="1644"/>
      <c r="I2" s="1644"/>
    </row>
    <row r="3" spans="1:13" x14ac:dyDescent="0.2">
      <c r="D3" s="1644"/>
      <c r="E3" s="1644"/>
      <c r="F3" s="1644"/>
      <c r="G3" s="1644"/>
      <c r="H3" s="1644"/>
      <c r="I3" s="1644"/>
    </row>
    <row r="4" spans="1:13" x14ac:dyDescent="0.2">
      <c r="D4" s="1644"/>
      <c r="E4" s="1644"/>
      <c r="F4" s="1644"/>
      <c r="G4" s="1644"/>
      <c r="H4" s="1644"/>
      <c r="I4" s="1644"/>
    </row>
    <row r="5" spans="1:13" x14ac:dyDescent="0.2">
      <c r="D5" s="1644"/>
      <c r="E5" s="1644"/>
      <c r="F5" s="1644"/>
      <c r="G5" s="1644"/>
      <c r="H5" s="1644"/>
      <c r="I5" s="1644"/>
    </row>
    <row r="6" spans="1:13" ht="19" x14ac:dyDescent="0.25">
      <c r="A6" s="622"/>
      <c r="B6" s="622"/>
      <c r="C6" s="14" t="s">
        <v>5598</v>
      </c>
      <c r="D6" s="622"/>
      <c r="E6" s="622"/>
      <c r="F6" s="622"/>
      <c r="G6" s="622"/>
      <c r="H6" s="622"/>
      <c r="I6" s="622"/>
      <c r="J6" s="1414" t="s">
        <v>246</v>
      </c>
      <c r="K6" s="1414" t="s">
        <v>246</v>
      </c>
      <c r="L6" s="1414" t="s">
        <v>246</v>
      </c>
      <c r="M6" s="1414" t="s">
        <v>246</v>
      </c>
    </row>
    <row r="8" spans="1:13" x14ac:dyDescent="0.2">
      <c r="A8" s="1563" t="s">
        <v>3047</v>
      </c>
      <c r="B8" s="1563"/>
      <c r="C8" s="1971" t="str">
        <f>IF(dstBatch,"See Batch Submission",IF('Overview (Verification)'!P8="","None entered on ""Overview (Verification)"" Sheet",'Overview (Verification)'!P8))</f>
        <v>See Batch Submission</v>
      </c>
      <c r="D8" s="1971"/>
      <c r="E8" s="1420"/>
      <c r="F8" s="1416" t="s">
        <v>5593</v>
      </c>
      <c r="G8" s="1421" t="str">
        <f ca="1">IF('Ver. Rpt. (Commercial)'!S14=0,"NOT PERSUING COMMERCIAL",'Ver. Rpt. (Commercial)'!W13)</f>
        <v>NOT PERSUING COMMERCIAL</v>
      </c>
    </row>
    <row r="9" spans="1:13" ht="3" customHeight="1" x14ac:dyDescent="0.2">
      <c r="C9" s="1462"/>
      <c r="D9" s="1462"/>
      <c r="E9" s="1420"/>
      <c r="F9" s="1416"/>
    </row>
    <row r="10" spans="1:13" x14ac:dyDescent="0.2">
      <c r="A10" s="1563" t="s">
        <v>3049</v>
      </c>
      <c r="B10" s="1563"/>
      <c r="C10" s="1971" t="str">
        <f>IF('Overview (Verification)'!P10="","None entered on ""Overview (Verification)"" Sheet",'Overview (Verification)'!P10)</f>
        <v>TWG Development</v>
      </c>
      <c r="D10" s="1971"/>
      <c r="E10" s="1420"/>
      <c r="F10" s="1416" t="s">
        <v>3051</v>
      </c>
      <c r="G10" s="2006" t="str">
        <f>'Overview (Verification)'!P32</f>
        <v>n/a</v>
      </c>
      <c r="H10" s="2006"/>
      <c r="I10" s="2006"/>
    </row>
    <row r="11" spans="1:13" ht="3" customHeight="1" x14ac:dyDescent="0.2">
      <c r="A11" s="1420"/>
      <c r="B11" s="1420"/>
      <c r="C11" s="1462"/>
      <c r="D11" s="514"/>
      <c r="E11" s="1420"/>
      <c r="F11" s="1416"/>
      <c r="G11" s="2006"/>
      <c r="H11" s="2006"/>
      <c r="I11" s="2006"/>
    </row>
    <row r="12" spans="1:13" x14ac:dyDescent="0.2">
      <c r="A12" s="1563" t="s">
        <v>3216</v>
      </c>
      <c r="B12" s="1563"/>
      <c r="C12" s="1971" t="str">
        <f>IF(dstBatch,"See Batch Submission",IF('Overview (Verification)'!P13="","None entered on ""Overview (Verification)"" Sheet",'Overview (Verification)'!P11&amp;", "&amp;'Overview (Verification)'!P13&amp;", "&amp;'Overview (Verification)'!P14&amp;"  "&amp;'Overview (Verification)'!P16))</f>
        <v>See Batch Submission</v>
      </c>
      <c r="D12" s="1971"/>
      <c r="E12" s="1420"/>
      <c r="G12" s="2006"/>
      <c r="H12" s="2006"/>
      <c r="I12" s="2006"/>
    </row>
    <row r="13" spans="1:13" ht="3" customHeight="1" x14ac:dyDescent="0.2">
      <c r="A13" s="1420"/>
      <c r="B13" s="1420"/>
      <c r="C13" s="1462"/>
      <c r="D13" s="514"/>
      <c r="E13" s="1420"/>
      <c r="G13" s="2006"/>
      <c r="H13" s="2006"/>
      <c r="I13" s="2006"/>
    </row>
    <row r="14" spans="1:13" x14ac:dyDescent="0.2">
      <c r="A14" s="1563" t="s">
        <v>130</v>
      </c>
      <c r="B14" s="1563"/>
      <c r="C14" s="1971" t="str">
        <f>IF('Overview (Verification)'!P12="","None entered on ""Overview (Verification)"" Sheet",'Overview (Verification)'!P12)</f>
        <v>None entered on "Overview (Verification)" Sheet</v>
      </c>
      <c r="D14" s="1971"/>
      <c r="E14" s="1420"/>
      <c r="G14" s="2006"/>
      <c r="H14" s="2006"/>
      <c r="I14" s="2006"/>
    </row>
    <row r="15" spans="1:13" ht="3" customHeight="1" x14ac:dyDescent="0.2">
      <c r="A15" s="1420"/>
      <c r="B15" s="1420"/>
      <c r="C15" s="1462"/>
      <c r="D15" s="514"/>
      <c r="E15" s="1420"/>
      <c r="F15" s="1416"/>
      <c r="G15" s="2006"/>
      <c r="H15" s="2006"/>
      <c r="I15" s="2006"/>
    </row>
    <row r="16" spans="1:13" x14ac:dyDescent="0.2">
      <c r="A16" s="1563" t="s">
        <v>2920</v>
      </c>
      <c r="B16" s="1563"/>
      <c r="C16" s="1971" t="str">
        <f>'Overview (Verification)'!U11&amp;" "&amp;'Overview (Verification)'!V11&amp;" "&amp;'Overview (Verification)'!W11&amp;" "&amp;'Overview (Verification)'!Y11</f>
        <v xml:space="preserve">3 Moist    </v>
      </c>
      <c r="D16" s="1971"/>
      <c r="E16" s="1420"/>
      <c r="G16" s="2006"/>
      <c r="H16" s="2006"/>
      <c r="I16" s="2006"/>
    </row>
    <row r="17" spans="1:10" ht="3" customHeight="1" x14ac:dyDescent="0.2">
      <c r="A17" s="1419"/>
      <c r="B17" s="1419"/>
      <c r="C17" s="1415"/>
      <c r="D17" s="1415"/>
      <c r="E17" s="1420"/>
      <c r="F17" s="1416"/>
    </row>
    <row r="18" spans="1:10" ht="14.5" customHeight="1" x14ac:dyDescent="0.2">
      <c r="C18" s="1995" t="s">
        <v>3226</v>
      </c>
      <c r="D18" s="1995"/>
      <c r="F18" s="1995" t="s">
        <v>3227</v>
      </c>
      <c r="G18" s="1995"/>
      <c r="H18" s="1995"/>
      <c r="I18" s="1995"/>
      <c r="J18" s="1421" t="b">
        <f>OR(J46:J124)</f>
        <v>1</v>
      </c>
    </row>
    <row r="20" spans="1:10" x14ac:dyDescent="0.2">
      <c r="A20" s="467"/>
      <c r="B20" s="467"/>
    </row>
    <row r="21" spans="1:10" x14ac:dyDescent="0.2">
      <c r="A21" s="467"/>
      <c r="B21" s="467"/>
      <c r="C21" s="1675"/>
    </row>
    <row r="22" spans="1:10" ht="15" customHeight="1" x14ac:dyDescent="0.2">
      <c r="A22" s="467"/>
      <c r="B22" s="467"/>
      <c r="C22" s="1675"/>
    </row>
    <row r="23" spans="1:10" ht="3" customHeight="1" x14ac:dyDescent="0.2">
      <c r="A23" s="467"/>
      <c r="B23" s="467"/>
      <c r="C23" s="1675"/>
    </row>
    <row r="24" spans="1:10" ht="15" customHeight="1" x14ac:dyDescent="0.2">
      <c r="A24" s="467"/>
      <c r="B24" s="467"/>
      <c r="C24" s="1675"/>
      <c r="E24" s="1931" t="str">
        <f ca="1">IF('Ver. Rpt. (Commercial)'!S14=0,"NOT PERSUING COMMERCIAL",IF('Ver. Rpt. (Commercial)'!L5="Rough","NOT YET FINAL PHASE",IF(OR('Ver. Rpt. (Commercial)'!AC:AC),"ERRORS REMAINING","ALL FINAL PRACTICES MET")))</f>
        <v>NOT PERSUING COMMERCIAL</v>
      </c>
      <c r="F24" s="1931"/>
      <c r="G24" s="1931"/>
      <c r="H24" s="1931"/>
    </row>
    <row r="25" spans="1:10" ht="15" customHeight="1" x14ac:dyDescent="0.2">
      <c r="A25" s="467"/>
      <c r="B25" s="467"/>
      <c r="C25" s="1675"/>
      <c r="E25" s="1931"/>
      <c r="F25" s="1931"/>
      <c r="G25" s="1931"/>
      <c r="H25" s="1931"/>
    </row>
    <row r="26" spans="1:10" ht="15" customHeight="1" x14ac:dyDescent="0.2">
      <c r="A26" s="467"/>
      <c r="B26" s="467"/>
      <c r="C26" s="1675"/>
      <c r="E26" s="1931"/>
      <c r="F26" s="1931"/>
      <c r="G26" s="1931"/>
      <c r="H26" s="1931"/>
    </row>
    <row r="27" spans="1:10" ht="15" customHeight="1" x14ac:dyDescent="0.2">
      <c r="A27" s="467"/>
      <c r="B27" s="467"/>
      <c r="C27" s="1675"/>
      <c r="E27" s="1931"/>
      <c r="F27" s="1931"/>
      <c r="G27" s="1931"/>
      <c r="H27" s="1931"/>
    </row>
    <row r="28" spans="1:10" ht="15" customHeight="1" x14ac:dyDescent="0.2">
      <c r="A28" s="467"/>
      <c r="B28" s="467"/>
      <c r="C28" s="1675"/>
      <c r="E28" s="1931"/>
      <c r="F28" s="1931"/>
      <c r="G28" s="1931"/>
      <c r="H28" s="1931"/>
    </row>
    <row r="29" spans="1:10" ht="15" customHeight="1" x14ac:dyDescent="0.2">
      <c r="A29" s="467"/>
      <c r="B29" s="467"/>
      <c r="C29" s="1675"/>
    </row>
    <row r="30" spans="1:10" ht="3" customHeight="1" x14ac:dyDescent="0.2">
      <c r="A30" s="467"/>
      <c r="B30" s="467"/>
      <c r="C30" s="1675"/>
    </row>
    <row r="31" spans="1:10" ht="3" customHeight="1" x14ac:dyDescent="0.2">
      <c r="A31" s="467"/>
      <c r="B31" s="467"/>
      <c r="C31" s="1675"/>
    </row>
    <row r="32" spans="1:10" ht="15" customHeight="1" x14ac:dyDescent="0.2">
      <c r="A32" s="467"/>
      <c r="B32" s="467"/>
      <c r="C32" s="1675"/>
    </row>
    <row r="33" spans="1:10" ht="3" customHeight="1" x14ac:dyDescent="0.2">
      <c r="A33" s="467"/>
      <c r="B33" s="467"/>
      <c r="C33" s="1484"/>
      <c r="D33" s="1485"/>
      <c r="E33" s="467"/>
      <c r="F33" s="467"/>
      <c r="G33" s="467"/>
      <c r="H33" s="467"/>
      <c r="I33" s="467"/>
    </row>
    <row r="34" spans="1:10" ht="15" customHeight="1" x14ac:dyDescent="0.2">
      <c r="A34" s="467"/>
      <c r="B34" s="467"/>
      <c r="C34" s="467"/>
      <c r="D34" s="467"/>
      <c r="E34" s="467"/>
      <c r="F34" s="467"/>
      <c r="G34" s="467"/>
      <c r="H34" s="467"/>
      <c r="I34" s="467"/>
    </row>
    <row r="35" spans="1:10" ht="3" customHeight="1" x14ac:dyDescent="0.2">
      <c r="A35" s="467"/>
      <c r="B35" s="467"/>
      <c r="C35" s="1484"/>
      <c r="D35" s="1485"/>
      <c r="E35" s="467"/>
      <c r="F35" s="467"/>
      <c r="G35" s="467"/>
      <c r="H35" s="467"/>
      <c r="I35" s="467"/>
    </row>
    <row r="36" spans="1:10" ht="18" customHeight="1" x14ac:dyDescent="0.2">
      <c r="C36" s="1964" t="s">
        <v>3217</v>
      </c>
      <c r="D36" s="1964"/>
      <c r="E36" s="1964"/>
      <c r="F36" s="1964"/>
      <c r="G36" s="1964"/>
      <c r="H36" s="1964"/>
      <c r="I36" s="1964"/>
    </row>
    <row r="37" spans="1:10" ht="20" customHeight="1" x14ac:dyDescent="0.2">
      <c r="C37" s="1964"/>
      <c r="D37" s="1964"/>
      <c r="E37" s="1964"/>
      <c r="F37" s="1964"/>
      <c r="G37" s="1964"/>
      <c r="H37" s="1964"/>
      <c r="I37" s="1964"/>
    </row>
    <row r="38" spans="1:10" ht="15" customHeight="1" x14ac:dyDescent="0.2"/>
    <row r="39" spans="1:10" ht="15" customHeight="1" x14ac:dyDescent="0.2">
      <c r="A39" s="1983" t="s">
        <v>5599</v>
      </c>
      <c r="B39" s="2024"/>
      <c r="C39" s="2027"/>
      <c r="D39" s="2028"/>
      <c r="E39" s="1563" t="s">
        <v>5595</v>
      </c>
      <c r="F39" s="1834"/>
      <c r="G39" s="27"/>
    </row>
    <row r="40" spans="1:10" x14ac:dyDescent="0.2">
      <c r="A40" s="1463"/>
      <c r="B40" s="1463"/>
      <c r="C40" s="2029"/>
      <c r="D40" s="2030"/>
    </row>
    <row r="41" spans="1:10" ht="3" customHeight="1" x14ac:dyDescent="0.2">
      <c r="A41" s="1420"/>
      <c r="B41" s="1420"/>
    </row>
    <row r="42" spans="1:10" x14ac:dyDescent="0.2">
      <c r="A42" s="1563" t="s">
        <v>5596</v>
      </c>
      <c r="B42" s="1563"/>
      <c r="C42" s="2031"/>
      <c r="D42" s="2032"/>
      <c r="E42" s="2032"/>
      <c r="F42" s="2032"/>
      <c r="G42" s="2032"/>
      <c r="H42" s="2032"/>
      <c r="I42" s="2033"/>
    </row>
    <row r="43" spans="1:10" x14ac:dyDescent="0.2">
      <c r="A43" s="1563"/>
      <c r="B43" s="1563"/>
      <c r="C43" s="2034"/>
      <c r="D43" s="2035"/>
      <c r="E43" s="2035"/>
      <c r="F43" s="2035"/>
      <c r="G43" s="2035"/>
      <c r="H43" s="2035"/>
      <c r="I43" s="2036"/>
    </row>
    <row r="44" spans="1:10" x14ac:dyDescent="0.2">
      <c r="A44" s="1563"/>
      <c r="B44" s="1563"/>
      <c r="C44" s="2037"/>
      <c r="D44" s="2038"/>
      <c r="E44" s="2038"/>
      <c r="F44" s="2038"/>
      <c r="G44" s="2038"/>
      <c r="H44" s="2038"/>
      <c r="I44" s="2039"/>
    </row>
    <row r="45" spans="1:10" ht="3" customHeight="1" x14ac:dyDescent="0.2">
      <c r="A45" s="1420"/>
      <c r="B45" s="1420"/>
    </row>
    <row r="46" spans="1:10" ht="15" customHeight="1" x14ac:dyDescent="0.2">
      <c r="A46" s="1420"/>
      <c r="B46" s="1416" t="s">
        <v>3066</v>
      </c>
      <c r="C46" s="2040"/>
      <c r="D46" s="2040"/>
      <c r="E46" s="2009" t="s">
        <v>3089</v>
      </c>
      <c r="F46" s="2009"/>
      <c r="J46" s="1421" t="b">
        <f>ISBLANK(C46)</f>
        <v>1</v>
      </c>
    </row>
    <row r="47" spans="1:10" ht="3" customHeight="1" x14ac:dyDescent="0.2">
      <c r="A47" s="1420"/>
      <c r="B47" s="1416"/>
      <c r="E47" s="2009"/>
      <c r="F47" s="2009"/>
    </row>
    <row r="48" spans="1:10" ht="15" customHeight="1" x14ac:dyDescent="0.2">
      <c r="A48" s="1420"/>
      <c r="B48" s="1416" t="s">
        <v>3067</v>
      </c>
      <c r="C48" s="2040"/>
      <c r="D48" s="2040"/>
      <c r="E48" s="2009"/>
      <c r="F48" s="2009"/>
      <c r="G48" s="488"/>
      <c r="J48" s="1421" t="b">
        <f>ISBLANK(C48)</f>
        <v>1</v>
      </c>
    </row>
    <row r="49" spans="1:10" ht="3" customHeight="1" x14ac:dyDescent="0.2">
      <c r="A49" s="1420"/>
      <c r="B49" s="1416"/>
    </row>
    <row r="50" spans="1:10" x14ac:dyDescent="0.2">
      <c r="A50" s="1420"/>
      <c r="B50" s="1416" t="s">
        <v>3068</v>
      </c>
      <c r="C50" s="2040"/>
      <c r="D50" s="2040"/>
      <c r="E50" s="2041" t="s">
        <v>3090</v>
      </c>
      <c r="F50" s="2041"/>
      <c r="J50" s="1421" t="b">
        <f>ISBLANK(C50)</f>
        <v>1</v>
      </c>
    </row>
    <row r="51" spans="1:10" ht="3" customHeight="1" x14ac:dyDescent="0.2">
      <c r="A51" s="1420"/>
      <c r="B51" s="1416"/>
      <c r="E51" s="2041"/>
      <c r="F51" s="2041"/>
      <c r="G51" s="501"/>
    </row>
    <row r="52" spans="1:10" x14ac:dyDescent="0.2">
      <c r="A52" s="1420"/>
      <c r="B52" s="1416" t="s">
        <v>3069</v>
      </c>
      <c r="C52" s="2040"/>
      <c r="D52" s="2040"/>
      <c r="E52" s="2041"/>
      <c r="F52" s="2041"/>
      <c r="G52" s="1824"/>
      <c r="H52" s="1824"/>
      <c r="I52" s="1824"/>
      <c r="J52" s="1421" t="b">
        <f>ISBLANK(C52)</f>
        <v>1</v>
      </c>
    </row>
    <row r="53" spans="1:10" x14ac:dyDescent="0.2">
      <c r="A53" s="1420"/>
      <c r="E53" s="2025" t="s">
        <v>3450</v>
      </c>
      <c r="F53" s="2025"/>
      <c r="G53" s="2025"/>
      <c r="J53" s="1" t="b">
        <f>ISBLANK(G48)</f>
        <v>1</v>
      </c>
    </row>
    <row r="54" spans="1:10" x14ac:dyDescent="0.2">
      <c r="D54" s="501"/>
      <c r="E54" s="502"/>
      <c r="J54" s="1" t="b">
        <f>ISBLANK(G52)</f>
        <v>1</v>
      </c>
    </row>
    <row r="55" spans="1:10" x14ac:dyDescent="0.2">
      <c r="C55" s="1967" t="s">
        <v>3070</v>
      </c>
      <c r="D55" s="1967"/>
    </row>
    <row r="56" spans="1:10" ht="3" customHeight="1" x14ac:dyDescent="0.2">
      <c r="C56" s="1414"/>
      <c r="D56" s="1414"/>
    </row>
    <row r="57" spans="1:10" x14ac:dyDescent="0.2">
      <c r="C57" s="1968" t="s">
        <v>3091</v>
      </c>
      <c r="D57" s="1968"/>
      <c r="E57" s="1968"/>
      <c r="F57" s="1968"/>
      <c r="G57" s="1968"/>
      <c r="H57" s="1968"/>
      <c r="I57" s="1968"/>
    </row>
    <row r="58" spans="1:10" ht="18" customHeight="1" x14ac:dyDescent="0.2">
      <c r="C58" s="1968"/>
      <c r="D58" s="1968"/>
      <c r="E58" s="1968"/>
      <c r="F58" s="1968"/>
      <c r="G58" s="1968"/>
      <c r="H58" s="1968"/>
      <c r="I58" s="1968"/>
    </row>
    <row r="59" spans="1:10" ht="15" customHeight="1" x14ac:dyDescent="0.2">
      <c r="A59" s="2022" t="s">
        <v>3092</v>
      </c>
      <c r="B59" s="2022"/>
      <c r="C59" s="503"/>
      <c r="D59" s="503"/>
      <c r="E59" s="503"/>
      <c r="F59" s="503"/>
      <c r="G59" s="503"/>
      <c r="H59" s="503"/>
      <c r="I59" s="503"/>
    </row>
    <row r="60" spans="1:10" ht="15" customHeight="1" x14ac:dyDescent="0.2">
      <c r="A60" s="2022"/>
      <c r="B60" s="2022"/>
      <c r="C60" s="503"/>
      <c r="D60" s="503"/>
      <c r="E60" s="2011" t="s">
        <v>3093</v>
      </c>
      <c r="F60" s="2012"/>
      <c r="G60" s="2013"/>
      <c r="H60" s="2013"/>
      <c r="I60" s="2014"/>
    </row>
    <row r="61" spans="1:10" ht="15" customHeight="1" x14ac:dyDescent="0.2">
      <c r="A61" s="2022"/>
      <c r="B61" s="2022"/>
      <c r="C61" s="504"/>
      <c r="D61" s="503"/>
      <c r="E61" s="2011"/>
      <c r="F61" s="2015"/>
      <c r="G61" s="2042"/>
      <c r="H61" s="2042"/>
      <c r="I61" s="2017"/>
      <c r="J61" s="1421" t="b">
        <f>ISBLANK(C61)</f>
        <v>1</v>
      </c>
    </row>
    <row r="62" spans="1:10" ht="15" customHeight="1" x14ac:dyDescent="0.2">
      <c r="A62" s="2022"/>
      <c r="B62" s="2022"/>
      <c r="C62" s="503"/>
      <c r="D62" s="503"/>
      <c r="E62" s="2011"/>
      <c r="F62" s="2018"/>
      <c r="G62" s="2019"/>
      <c r="H62" s="2019"/>
      <c r="I62" s="2020"/>
      <c r="J62" s="1" t="b">
        <f>AND(C61=K158,ISBLANK(F60))</f>
        <v>0</v>
      </c>
    </row>
    <row r="63" spans="1:10" ht="15" customHeight="1" x14ac:dyDescent="0.2">
      <c r="A63" s="2022"/>
      <c r="B63" s="2022"/>
      <c r="C63" s="503"/>
      <c r="D63" s="503"/>
      <c r="E63" s="503"/>
      <c r="F63" s="503"/>
      <c r="G63" s="503"/>
      <c r="H63" s="503"/>
      <c r="I63" s="503"/>
    </row>
    <row r="64" spans="1:10" ht="15" customHeight="1" x14ac:dyDescent="0.2">
      <c r="A64"/>
      <c r="B64"/>
      <c r="C64"/>
      <c r="D64" s="503"/>
      <c r="E64" s="503"/>
      <c r="F64" s="503"/>
      <c r="G64" s="503"/>
      <c r="H64" s="503"/>
      <c r="I64" s="503"/>
      <c r="J64" s="1421" t="b">
        <f>ISBLANK(C64)</f>
        <v>1</v>
      </c>
    </row>
    <row r="65" spans="1:10" ht="15" customHeight="1" x14ac:dyDescent="0.2">
      <c r="C65" s="503"/>
      <c r="D65" s="503"/>
      <c r="E65" s="503"/>
      <c r="F65" s="503"/>
      <c r="G65" s="503"/>
      <c r="H65" s="503"/>
      <c r="I65" s="503"/>
    </row>
    <row r="66" spans="1:10" ht="15" customHeight="1" x14ac:dyDescent="0.2">
      <c r="A66" s="70"/>
      <c r="B66" s="70"/>
    </row>
    <row r="67" spans="1:10" ht="15" customHeight="1" x14ac:dyDescent="0.2">
      <c r="A67" s="1983" t="s">
        <v>3072</v>
      </c>
      <c r="B67" s="1984"/>
      <c r="C67" s="2027"/>
      <c r="D67" s="2028"/>
    </row>
    <row r="68" spans="1:10" x14ac:dyDescent="0.2">
      <c r="A68" s="1984"/>
      <c r="B68" s="1984"/>
      <c r="C68" s="2029"/>
      <c r="D68" s="2030"/>
    </row>
    <row r="69" spans="1:10" ht="3" customHeight="1" x14ac:dyDescent="0.2">
      <c r="A69" s="1420"/>
      <c r="B69" s="1420"/>
    </row>
    <row r="70" spans="1:10" x14ac:dyDescent="0.2">
      <c r="A70" s="1563" t="s">
        <v>3071</v>
      </c>
      <c r="B70" s="1563"/>
      <c r="C70" s="2031"/>
      <c r="D70" s="2032"/>
      <c r="E70" s="2032"/>
      <c r="F70" s="2032"/>
      <c r="G70" s="2032"/>
      <c r="H70" s="2032"/>
      <c r="I70" s="2033"/>
    </row>
    <row r="71" spans="1:10" x14ac:dyDescent="0.2">
      <c r="A71" s="1563"/>
      <c r="B71" s="1563"/>
      <c r="C71" s="2034"/>
      <c r="D71" s="2035"/>
      <c r="E71" s="2035"/>
      <c r="F71" s="2035"/>
      <c r="G71" s="2035"/>
      <c r="H71" s="2035"/>
      <c r="I71" s="2036"/>
    </row>
    <row r="72" spans="1:10" x14ac:dyDescent="0.2">
      <c r="A72" s="1563"/>
      <c r="B72" s="1563"/>
      <c r="C72" s="2037"/>
      <c r="D72" s="2038"/>
      <c r="E72" s="2038"/>
      <c r="F72" s="2038"/>
      <c r="G72" s="2038"/>
      <c r="H72" s="2038"/>
      <c r="I72" s="2039"/>
    </row>
    <row r="73" spans="1:10" ht="3" customHeight="1" x14ac:dyDescent="0.2">
      <c r="A73" s="1420"/>
      <c r="B73" s="1420"/>
    </row>
    <row r="74" spans="1:10" x14ac:dyDescent="0.2">
      <c r="A74" s="1563" t="s">
        <v>3066</v>
      </c>
      <c r="B74" s="1563"/>
      <c r="C74" s="1490"/>
      <c r="J74" s="1421" t="b">
        <f>ISBLANK(C74)</f>
        <v>1</v>
      </c>
    </row>
    <row r="75" spans="1:10" ht="3" customHeight="1" x14ac:dyDescent="0.2">
      <c r="A75" s="1416"/>
      <c r="B75" s="1416"/>
    </row>
    <row r="76" spans="1:10" x14ac:dyDescent="0.2">
      <c r="A76" s="1563" t="s">
        <v>3067</v>
      </c>
      <c r="B76" s="1563"/>
      <c r="C76" s="1490"/>
      <c r="J76" s="1421" t="b">
        <f>ISBLANK(C76)</f>
        <v>1</v>
      </c>
    </row>
    <row r="77" spans="1:10" ht="3" customHeight="1" x14ac:dyDescent="0.2">
      <c r="A77" s="1416"/>
      <c r="B77" s="1416"/>
    </row>
    <row r="78" spans="1:10" x14ac:dyDescent="0.2">
      <c r="A78" s="1563" t="s">
        <v>3068</v>
      </c>
      <c r="B78" s="1563"/>
      <c r="C78" s="1490"/>
      <c r="J78" s="1421" t="b">
        <f>ISBLANK(C78)</f>
        <v>1</v>
      </c>
    </row>
    <row r="79" spans="1:10" ht="3" customHeight="1" x14ac:dyDescent="0.2">
      <c r="A79" s="1416"/>
      <c r="B79" s="1416"/>
    </row>
    <row r="80" spans="1:10" x14ac:dyDescent="0.2">
      <c r="A80" s="1563" t="s">
        <v>3073</v>
      </c>
      <c r="B80" s="1563"/>
      <c r="C80" s="1490"/>
      <c r="D80" s="1972" t="s">
        <v>3453</v>
      </c>
      <c r="J80" s="1421" t="b">
        <f>ISBLANK(C80)</f>
        <v>1</v>
      </c>
    </row>
    <row r="81" spans="1:11" ht="3" customHeight="1" x14ac:dyDescent="0.2">
      <c r="A81" s="1416"/>
      <c r="B81" s="1416"/>
      <c r="D81" s="1972"/>
    </row>
    <row r="82" spans="1:11" x14ac:dyDescent="0.2">
      <c r="A82" s="1563" t="s">
        <v>3074</v>
      </c>
      <c r="B82" s="1563"/>
      <c r="C82" s="1490"/>
      <c r="D82" s="1972"/>
      <c r="J82" s="1421" t="b">
        <f>ISBLANK(C82)</f>
        <v>1</v>
      </c>
    </row>
    <row r="83" spans="1:11" ht="3" customHeight="1" x14ac:dyDescent="0.2">
      <c r="A83" s="1416"/>
      <c r="B83" s="1416"/>
    </row>
    <row r="84" spans="1:11" x14ac:dyDescent="0.2">
      <c r="A84" s="1563" t="s">
        <v>3069</v>
      </c>
      <c r="B84" s="1563"/>
      <c r="C84" s="1490"/>
      <c r="D84" s="1465" t="s">
        <v>3075</v>
      </c>
      <c r="E84" s="1546"/>
      <c r="F84" s="1546"/>
      <c r="G84" s="1546"/>
      <c r="H84" s="1546"/>
      <c r="I84" s="1546"/>
      <c r="J84" s="1421" t="b">
        <f>ISBLANK(C84)</f>
        <v>1</v>
      </c>
    </row>
    <row r="85" spans="1:11" x14ac:dyDescent="0.2">
      <c r="D85" s="490"/>
    </row>
    <row r="86" spans="1:11" ht="15" customHeight="1" x14ac:dyDescent="0.2">
      <c r="A86" s="1984" t="s">
        <v>3095</v>
      </c>
      <c r="B86" s="1984"/>
      <c r="C86" s="1673" t="s">
        <v>5020</v>
      </c>
      <c r="D86" s="1673"/>
      <c r="E86" s="1673"/>
      <c r="F86" s="1673"/>
      <c r="G86" s="1673"/>
      <c r="H86" s="1673"/>
      <c r="I86" s="1673"/>
    </row>
    <row r="87" spans="1:11" x14ac:dyDescent="0.2">
      <c r="C87" s="1673"/>
      <c r="D87" s="1673"/>
      <c r="E87" s="1673"/>
      <c r="F87" s="1673"/>
      <c r="G87" s="1673"/>
      <c r="H87" s="1673"/>
      <c r="I87" s="1673"/>
    </row>
    <row r="89" spans="1:11" x14ac:dyDescent="0.2">
      <c r="C89" s="1420" t="s">
        <v>3076</v>
      </c>
    </row>
    <row r="90" spans="1:11" x14ac:dyDescent="0.2">
      <c r="C90" s="1972" t="s">
        <v>3077</v>
      </c>
      <c r="D90" s="1972"/>
      <c r="E90" s="1972"/>
      <c r="F90" s="1972"/>
      <c r="G90" s="1972"/>
      <c r="H90" s="1972"/>
      <c r="I90" s="1972"/>
    </row>
    <row r="92" spans="1:11" x14ac:dyDescent="0.2">
      <c r="C92" s="1466" t="s">
        <v>3078</v>
      </c>
      <c r="D92" s="1466" t="s">
        <v>3079</v>
      </c>
      <c r="E92" s="1989" t="s">
        <v>3080</v>
      </c>
      <c r="F92" s="1989"/>
      <c r="G92" s="1546" t="s">
        <v>3454</v>
      </c>
      <c r="H92" s="1546"/>
    </row>
    <row r="93" spans="1:11" x14ac:dyDescent="0.2">
      <c r="B93" s="1419">
        <v>1</v>
      </c>
      <c r="C93" s="1461"/>
      <c r="D93" s="1461"/>
      <c r="E93" s="1963"/>
      <c r="F93" s="1963"/>
      <c r="G93" s="1963"/>
      <c r="H93" s="1963"/>
      <c r="J93" s="1421" t="b">
        <f>AND(OR(LEN(C93)=0,LEN(D93)=0,LEN(E93)=0,LEN(G93)=0),K93)</f>
        <v>0</v>
      </c>
      <c r="K93" s="1486" t="b">
        <f>OR(NOT(LEN(C93)=0),NOT(LEN(D93)=0),NOT(LEN(E93)=0),NOT(LEN(G93)=0))</f>
        <v>0</v>
      </c>
    </row>
    <row r="94" spans="1:11" x14ac:dyDescent="0.2">
      <c r="B94" s="1419">
        <v>2</v>
      </c>
      <c r="C94" s="1461"/>
      <c r="D94" s="1461"/>
      <c r="E94" s="1963"/>
      <c r="F94" s="1963"/>
      <c r="G94" s="1963"/>
      <c r="H94" s="1963"/>
      <c r="J94" s="1421" t="b">
        <f>AND(OR(LEN(C94)=0,LEN(D94)=0,LEN(E94)=0,LEN(G94)=0),K94)</f>
        <v>0</v>
      </c>
      <c r="K94" s="1486" t="b">
        <f>OR(NOT(LEN(C94)=0),NOT(LEN(D94)=0),NOT(LEN(E94)=0),NOT(LEN(G94)=0))</f>
        <v>0</v>
      </c>
    </row>
    <row r="95" spans="1:11" x14ac:dyDescent="0.2">
      <c r="B95" s="1419">
        <v>3</v>
      </c>
      <c r="C95" s="1461"/>
      <c r="D95" s="1461"/>
      <c r="E95" s="1963"/>
      <c r="F95" s="1963"/>
      <c r="G95" s="1963"/>
      <c r="H95" s="1963"/>
      <c r="J95" s="1421" t="b">
        <f>AND(OR(LEN(C95)=0,LEN(D95)=0,LEN(E95)=0,LEN(G95)=0),K95)</f>
        <v>0</v>
      </c>
      <c r="K95" s="1486" t="b">
        <f>OR(NOT(LEN(C95)=0),NOT(LEN(D95)=0),NOT(LEN(E95)=0),NOT(LEN(G95)=0))</f>
        <v>0</v>
      </c>
    </row>
    <row r="96" spans="1:11" x14ac:dyDescent="0.2">
      <c r="B96" s="1419">
        <v>4</v>
      </c>
      <c r="C96" s="1461"/>
      <c r="D96" s="1461"/>
      <c r="E96" s="1963"/>
      <c r="F96" s="1963"/>
      <c r="G96" s="1963"/>
      <c r="H96" s="1963"/>
      <c r="J96" s="1421" t="b">
        <f>AND(OR(LEN(C96)=0,LEN(D96)=0,LEN(E96)=0,LEN(G96)=0),K96)</f>
        <v>0</v>
      </c>
      <c r="K96" s="1486" t="b">
        <f>OR(NOT(LEN(C96)=0),NOT(LEN(D96)=0),NOT(LEN(E96)=0),NOT(LEN(G96)=0))</f>
        <v>0</v>
      </c>
    </row>
    <row r="97" spans="1:13" x14ac:dyDescent="0.2">
      <c r="B97" s="1419">
        <v>5</v>
      </c>
      <c r="C97" s="1461"/>
      <c r="D97" s="1461"/>
      <c r="E97" s="1963"/>
      <c r="F97" s="1963"/>
      <c r="G97" s="1963"/>
      <c r="H97" s="1963"/>
      <c r="J97" s="1421" t="b">
        <f>AND(OR(LEN(C97)=0,LEN(D97)=0,LEN(E97)=0,LEN(G97)=0),K97)</f>
        <v>0</v>
      </c>
      <c r="K97" s="1486" t="b">
        <f>OR(NOT(LEN(C97)=0),NOT(LEN(D97)=0),NOT(LEN(E97)=0),NOT(LEN(G97)=0))</f>
        <v>0</v>
      </c>
    </row>
    <row r="101" spans="1:13" x14ac:dyDescent="0.2">
      <c r="C101" s="1420" t="s">
        <v>3081</v>
      </c>
      <c r="D101" s="1416" t="s">
        <v>3223</v>
      </c>
      <c r="E101" s="1963"/>
      <c r="F101" s="1963"/>
    </row>
    <row r="102" spans="1:13" x14ac:dyDescent="0.2">
      <c r="C102" s="490" t="s">
        <v>3455</v>
      </c>
    </row>
    <row r="104" spans="1:13" ht="29" x14ac:dyDescent="0.2">
      <c r="C104" s="1464" t="s">
        <v>3082</v>
      </c>
      <c r="D104" s="1990" t="s">
        <v>3083</v>
      </c>
      <c r="E104" s="1990"/>
      <c r="F104" s="1991" t="s">
        <v>3084</v>
      </c>
      <c r="G104" s="1992"/>
      <c r="H104" s="1464" t="s">
        <v>3085</v>
      </c>
      <c r="I104" s="492" t="s">
        <v>3086</v>
      </c>
      <c r="K104" s="1420"/>
    </row>
    <row r="105" spans="1:13" x14ac:dyDescent="0.2">
      <c r="A105" s="1419"/>
      <c r="B105" s="1419">
        <v>1</v>
      </c>
      <c r="C105" s="1434" t="str">
        <f>IF(LEN('Final Sig.'!C105)=0,"",'Final Sig.'!C105)</f>
        <v>330 Brownlee Road SW, Building F</v>
      </c>
      <c r="D105" s="1675" t="str">
        <f>IF('Rough Sig.'!C105="","",'Rough Sig.'!C105)</f>
        <v/>
      </c>
      <c r="E105" s="1675"/>
      <c r="F105" s="1543" t="str">
        <f>IF('Rough Sig.'!E105="","",'Rough Sig.'!E105)</f>
        <v>Atlanta, Georgia 30311</v>
      </c>
      <c r="G105" s="1543"/>
      <c r="H105" s="1434" t="str">
        <f>IF('Rough Sig.'!G105="","",'Rough Sig.'!G105)</f>
        <v/>
      </c>
      <c r="I105" s="1434" t="str">
        <f>IF('Rough Sig.'!H105="","",'Rough Sig.'!H105)</f>
        <v/>
      </c>
      <c r="J105" s="1421" t="b">
        <f t="shared" ref="J105:J124" si="0">AND(OR(ISBLANK(C105),ISBLANK(I105)),K105,NOT(M105))</f>
        <v>0</v>
      </c>
      <c r="K105" s="1486" t="b">
        <f>OR(NOT(D105=""),NOT(H105=""))</f>
        <v>0</v>
      </c>
      <c r="L105" s="1421" t="b">
        <f>OR(M105,'Rough Sig.'!L105=FALSE)</f>
        <v>1</v>
      </c>
      <c r="M105" s="1421" t="b">
        <f>'Final Sig.'!M105</f>
        <v>0</v>
      </c>
    </row>
    <row r="106" spans="1:13" x14ac:dyDescent="0.2">
      <c r="A106" s="1419"/>
      <c r="B106" s="1419">
        <v>2</v>
      </c>
      <c r="C106" s="1434" t="str">
        <f>IF(LEN('Final Sig.'!C106)=0,"",'Final Sig.'!C106)</f>
        <v>330 Brownlee Road SW, Building G</v>
      </c>
      <c r="D106" s="1675" t="str">
        <f>IF('Rough Sig.'!C106="","",'Rough Sig.'!C106)</f>
        <v/>
      </c>
      <c r="E106" s="1675"/>
      <c r="F106" s="1543"/>
      <c r="G106" s="1543"/>
      <c r="H106" s="1434" t="str">
        <f>IF('Rough Sig.'!G106="","",'Rough Sig.'!G106)</f>
        <v/>
      </c>
      <c r="I106" s="1434" t="str">
        <f>IF('Rough Sig.'!H106="","",'Rough Sig.'!H106)</f>
        <v/>
      </c>
      <c r="J106" s="1421" t="b">
        <f t="shared" si="0"/>
        <v>0</v>
      </c>
      <c r="K106" s="1486" t="b">
        <f t="shared" ref="K106:K124" si="1">OR(NOT(D106=""),NOT(H106=""))</f>
        <v>0</v>
      </c>
      <c r="L106" s="1421" t="b">
        <f>OR(M106,'Rough Sig.'!L106=FALSE)</f>
        <v>1</v>
      </c>
      <c r="M106" s="1421" t="b">
        <f>'Final Sig.'!M106</f>
        <v>0</v>
      </c>
    </row>
    <row r="107" spans="1:13" x14ac:dyDescent="0.2">
      <c r="A107" s="1419"/>
      <c r="B107" s="1419">
        <v>3</v>
      </c>
      <c r="C107" s="1434" t="str">
        <f>IF(LEN('Final Sig.'!C107)=0,"",'Final Sig.'!C107)</f>
        <v>330 Brownlee Road SW, Building H</v>
      </c>
      <c r="D107" s="1675" t="str">
        <f>IF('Rough Sig.'!C107="","",'Rough Sig.'!C107)</f>
        <v/>
      </c>
      <c r="E107" s="1675"/>
      <c r="F107" s="1543"/>
      <c r="G107" s="1543"/>
      <c r="H107" s="1434" t="str">
        <f>IF('Rough Sig.'!G107="","",'Rough Sig.'!G107)</f>
        <v/>
      </c>
      <c r="I107" s="1434" t="str">
        <f>IF('Rough Sig.'!H107="","",'Rough Sig.'!H107)</f>
        <v/>
      </c>
      <c r="J107" s="1421" t="b">
        <f t="shared" si="0"/>
        <v>0</v>
      </c>
      <c r="K107" s="1486" t="b">
        <f t="shared" si="1"/>
        <v>0</v>
      </c>
      <c r="L107" s="1421" t="b">
        <f>OR(M107,'Rough Sig.'!L107=FALSE)</f>
        <v>1</v>
      </c>
      <c r="M107" s="1421" t="b">
        <f>'Final Sig.'!M107</f>
        <v>0</v>
      </c>
    </row>
    <row r="108" spans="1:13" x14ac:dyDescent="0.2">
      <c r="A108" s="1419"/>
      <c r="B108" s="1419">
        <v>4</v>
      </c>
      <c r="C108" s="1434" t="str">
        <f>IF(LEN('Final Sig.'!C108)=0,"",'Final Sig.'!C108)</f>
        <v>330 Brownlee Road SW, Building I</v>
      </c>
      <c r="D108" s="1675" t="str">
        <f>IF('Rough Sig.'!C108="","",'Rough Sig.'!C108)</f>
        <v/>
      </c>
      <c r="E108" s="1675"/>
      <c r="F108" s="1543"/>
      <c r="G108" s="1543"/>
      <c r="H108" s="1434" t="str">
        <f>IF('Rough Sig.'!G108="","",'Rough Sig.'!G108)</f>
        <v/>
      </c>
      <c r="I108" s="1434" t="str">
        <f>IF('Rough Sig.'!H108="","",'Rough Sig.'!H108)</f>
        <v/>
      </c>
      <c r="J108" s="1421" t="b">
        <f t="shared" si="0"/>
        <v>0</v>
      </c>
      <c r="K108" s="1486" t="b">
        <f t="shared" si="1"/>
        <v>0</v>
      </c>
      <c r="L108" s="1421" t="b">
        <f>OR(M108,'Rough Sig.'!L108=FALSE)</f>
        <v>1</v>
      </c>
      <c r="M108" s="1421" t="b">
        <f>'Final Sig.'!M108</f>
        <v>0</v>
      </c>
    </row>
    <row r="109" spans="1:13" x14ac:dyDescent="0.2">
      <c r="A109" s="1419"/>
      <c r="B109" s="1419">
        <v>5</v>
      </c>
      <c r="C109" s="1434" t="str">
        <f>IF(LEN('Final Sig.'!C109)=0,"",'Final Sig.'!C109)</f>
        <v/>
      </c>
      <c r="D109" s="1675" t="str">
        <f>IF('Rough Sig.'!C109="","",'Rough Sig.'!C109)</f>
        <v/>
      </c>
      <c r="E109" s="1675"/>
      <c r="F109" s="1543"/>
      <c r="G109" s="1543"/>
      <c r="H109" s="1434" t="str">
        <f>IF('Rough Sig.'!G109="","",'Rough Sig.'!G109)</f>
        <v/>
      </c>
      <c r="I109" s="1434" t="str">
        <f>IF('Rough Sig.'!H109="","",'Rough Sig.'!H109)</f>
        <v/>
      </c>
      <c r="J109" s="1421" t="b">
        <f t="shared" si="0"/>
        <v>0</v>
      </c>
      <c r="K109" s="1486" t="b">
        <f t="shared" si="1"/>
        <v>0</v>
      </c>
      <c r="L109" s="1421" t="b">
        <f>OR(M109,'Rough Sig.'!L109=FALSE)</f>
        <v>1</v>
      </c>
      <c r="M109" s="1421" t="b">
        <f>'Final Sig.'!M109</f>
        <v>0</v>
      </c>
    </row>
    <row r="110" spans="1:13" x14ac:dyDescent="0.2">
      <c r="A110" s="1419"/>
      <c r="B110" s="1419">
        <v>6</v>
      </c>
      <c r="C110" s="1434" t="str">
        <f>IF(LEN('Final Sig.'!C110)=0,"",'Final Sig.'!C110)</f>
        <v/>
      </c>
      <c r="D110" s="1675" t="str">
        <f>IF('Rough Sig.'!C110="","",'Rough Sig.'!C110)</f>
        <v/>
      </c>
      <c r="E110" s="1675"/>
      <c r="F110" s="1543"/>
      <c r="G110" s="1543"/>
      <c r="H110" s="1434" t="str">
        <f>IF('Rough Sig.'!G110="","",'Rough Sig.'!G110)</f>
        <v/>
      </c>
      <c r="I110" s="1434" t="str">
        <f>IF('Rough Sig.'!H110="","",'Rough Sig.'!H110)</f>
        <v/>
      </c>
      <c r="J110" s="1421" t="b">
        <f t="shared" si="0"/>
        <v>0</v>
      </c>
      <c r="K110" s="1486" t="b">
        <f t="shared" si="1"/>
        <v>0</v>
      </c>
      <c r="L110" s="1421" t="b">
        <f>OR(M110,'Rough Sig.'!L110=FALSE)</f>
        <v>1</v>
      </c>
      <c r="M110" s="1421" t="b">
        <f>'Final Sig.'!M110</f>
        <v>0</v>
      </c>
    </row>
    <row r="111" spans="1:13" x14ac:dyDescent="0.2">
      <c r="A111" s="1419"/>
      <c r="B111" s="1419">
        <v>7</v>
      </c>
      <c r="C111" s="1434" t="str">
        <f>IF(LEN('Final Sig.'!C111)=0,"",'Final Sig.'!C111)</f>
        <v/>
      </c>
      <c r="D111" s="1675" t="str">
        <f>IF('Rough Sig.'!C111="","",'Rough Sig.'!C111)</f>
        <v/>
      </c>
      <c r="E111" s="1675"/>
      <c r="F111" s="1543"/>
      <c r="G111" s="1543"/>
      <c r="H111" s="1434" t="str">
        <f>IF('Rough Sig.'!G111="","",'Rough Sig.'!G111)</f>
        <v/>
      </c>
      <c r="I111" s="1434" t="str">
        <f>IF('Rough Sig.'!H111="","",'Rough Sig.'!H111)</f>
        <v/>
      </c>
      <c r="J111" s="1421" t="b">
        <f t="shared" si="0"/>
        <v>0</v>
      </c>
      <c r="K111" s="1486" t="b">
        <f t="shared" si="1"/>
        <v>0</v>
      </c>
      <c r="L111" s="1421" t="b">
        <f>OR(M111,'Rough Sig.'!L111=FALSE)</f>
        <v>1</v>
      </c>
      <c r="M111" s="1421" t="b">
        <f>'Final Sig.'!M111</f>
        <v>0</v>
      </c>
    </row>
    <row r="112" spans="1:13" x14ac:dyDescent="0.2">
      <c r="A112" s="1419"/>
      <c r="B112" s="1419">
        <v>8</v>
      </c>
      <c r="C112" s="1434" t="str">
        <f>IF(LEN('Final Sig.'!C112)=0,"",'Final Sig.'!C112)</f>
        <v/>
      </c>
      <c r="D112" s="1675" t="str">
        <f>IF('Rough Sig.'!C112="","",'Rough Sig.'!C112)</f>
        <v/>
      </c>
      <c r="E112" s="1675"/>
      <c r="F112" s="1543"/>
      <c r="G112" s="1543"/>
      <c r="H112" s="1434" t="str">
        <f>IF('Rough Sig.'!G112="","",'Rough Sig.'!G112)</f>
        <v/>
      </c>
      <c r="I112" s="1434" t="str">
        <f>IF('Rough Sig.'!H112="","",'Rough Sig.'!H112)</f>
        <v/>
      </c>
      <c r="J112" s="1421" t="b">
        <f t="shared" si="0"/>
        <v>0</v>
      </c>
      <c r="K112" s="1486" t="b">
        <f t="shared" si="1"/>
        <v>0</v>
      </c>
      <c r="L112" s="1421" t="b">
        <f>OR(M112,'Rough Sig.'!L112=FALSE)</f>
        <v>1</v>
      </c>
      <c r="M112" s="1421" t="b">
        <f>'Final Sig.'!M112</f>
        <v>0</v>
      </c>
    </row>
    <row r="113" spans="1:13" x14ac:dyDescent="0.2">
      <c r="A113" s="1419"/>
      <c r="B113" s="1419">
        <v>9</v>
      </c>
      <c r="C113" s="1434" t="str">
        <f>IF(LEN('Final Sig.'!C113)=0,"",'Final Sig.'!C113)</f>
        <v/>
      </c>
      <c r="D113" s="1675" t="str">
        <f>IF('Rough Sig.'!C113="","",'Rough Sig.'!C113)</f>
        <v/>
      </c>
      <c r="E113" s="1675"/>
      <c r="F113" s="1543"/>
      <c r="G113" s="1543"/>
      <c r="H113" s="1434" t="str">
        <f>IF('Rough Sig.'!G113="","",'Rough Sig.'!G113)</f>
        <v/>
      </c>
      <c r="I113" s="1434" t="str">
        <f>IF('Rough Sig.'!H113="","",'Rough Sig.'!H113)</f>
        <v/>
      </c>
      <c r="J113" s="1421" t="b">
        <f t="shared" si="0"/>
        <v>0</v>
      </c>
      <c r="K113" s="1486" t="b">
        <f t="shared" si="1"/>
        <v>0</v>
      </c>
      <c r="L113" s="1421" t="b">
        <f>OR(M113,'Rough Sig.'!L113=FALSE)</f>
        <v>1</v>
      </c>
      <c r="M113" s="1421" t="b">
        <f>'Final Sig.'!M113</f>
        <v>0</v>
      </c>
    </row>
    <row r="114" spans="1:13" x14ac:dyDescent="0.2">
      <c r="A114" s="1419"/>
      <c r="B114" s="1419">
        <v>10</v>
      </c>
      <c r="C114" s="1434" t="str">
        <f>IF(LEN('Final Sig.'!C114)=0,"",'Final Sig.'!C114)</f>
        <v/>
      </c>
      <c r="D114" s="1675" t="str">
        <f>IF('Rough Sig.'!C114="","",'Rough Sig.'!C114)</f>
        <v/>
      </c>
      <c r="E114" s="1675"/>
      <c r="F114" s="1543"/>
      <c r="G114" s="1543"/>
      <c r="H114" s="1434" t="str">
        <f>IF('Rough Sig.'!G114="","",'Rough Sig.'!G114)</f>
        <v/>
      </c>
      <c r="I114" s="1434" t="str">
        <f>IF('Rough Sig.'!H114="","",'Rough Sig.'!H114)</f>
        <v/>
      </c>
      <c r="J114" s="1421" t="b">
        <f t="shared" si="0"/>
        <v>0</v>
      </c>
      <c r="K114" s="1486" t="b">
        <f t="shared" si="1"/>
        <v>0</v>
      </c>
      <c r="L114" s="1421" t="b">
        <f>OR(M114,'Rough Sig.'!L114=FALSE)</f>
        <v>1</v>
      </c>
      <c r="M114" s="1421" t="b">
        <f>'Final Sig.'!M114</f>
        <v>0</v>
      </c>
    </row>
    <row r="115" spans="1:13" x14ac:dyDescent="0.2">
      <c r="A115" s="1419"/>
      <c r="B115" s="1419">
        <v>11</v>
      </c>
      <c r="C115" s="1434" t="str">
        <f>IF(LEN('Final Sig.'!C115)=0,"",'Final Sig.'!C115)</f>
        <v/>
      </c>
      <c r="D115" s="1675" t="str">
        <f>IF('Rough Sig.'!C115="","",'Rough Sig.'!C115)</f>
        <v/>
      </c>
      <c r="E115" s="1675"/>
      <c r="F115" s="1543"/>
      <c r="G115" s="1543"/>
      <c r="H115" s="1434" t="str">
        <f>IF('Rough Sig.'!G115="","",'Rough Sig.'!G115)</f>
        <v/>
      </c>
      <c r="I115" s="1434" t="str">
        <f>IF('Rough Sig.'!H115="","",'Rough Sig.'!H115)</f>
        <v/>
      </c>
      <c r="J115" s="1421" t="b">
        <f t="shared" si="0"/>
        <v>0</v>
      </c>
      <c r="K115" s="1486" t="b">
        <f t="shared" si="1"/>
        <v>0</v>
      </c>
      <c r="L115" s="1421" t="b">
        <f>OR(M115,'Rough Sig.'!L115=FALSE)</f>
        <v>1</v>
      </c>
      <c r="M115" s="1421" t="b">
        <f>'Final Sig.'!M115</f>
        <v>0</v>
      </c>
    </row>
    <row r="116" spans="1:13" x14ac:dyDescent="0.2">
      <c r="A116" s="1419"/>
      <c r="B116" s="1419">
        <v>12</v>
      </c>
      <c r="C116" s="1434" t="str">
        <f>IF(LEN('Final Sig.'!C116)=0,"",'Final Sig.'!C116)</f>
        <v/>
      </c>
      <c r="D116" s="1675" t="str">
        <f>IF('Rough Sig.'!C116="","",'Rough Sig.'!C116)</f>
        <v/>
      </c>
      <c r="E116" s="1675"/>
      <c r="F116" s="1543"/>
      <c r="G116" s="1543"/>
      <c r="H116" s="1434" t="str">
        <f>IF('Rough Sig.'!G116="","",'Rough Sig.'!G116)</f>
        <v/>
      </c>
      <c r="I116" s="1434" t="str">
        <f>IF('Rough Sig.'!H116="","",'Rough Sig.'!H116)</f>
        <v/>
      </c>
      <c r="J116" s="1421" t="b">
        <f t="shared" si="0"/>
        <v>0</v>
      </c>
      <c r="K116" s="1486" t="b">
        <f t="shared" si="1"/>
        <v>0</v>
      </c>
      <c r="L116" s="1421" t="b">
        <f>OR(M116,'Rough Sig.'!L116=FALSE)</f>
        <v>1</v>
      </c>
      <c r="M116" s="1421" t="b">
        <f>'Final Sig.'!M116</f>
        <v>0</v>
      </c>
    </row>
    <row r="117" spans="1:13" x14ac:dyDescent="0.2">
      <c r="A117" s="1419"/>
      <c r="B117" s="1419">
        <v>13</v>
      </c>
      <c r="C117" s="1434" t="str">
        <f>IF(LEN('Final Sig.'!C117)=0,"",'Final Sig.'!C117)</f>
        <v/>
      </c>
      <c r="D117" s="1675" t="str">
        <f>IF('Rough Sig.'!C117="","",'Rough Sig.'!C117)</f>
        <v/>
      </c>
      <c r="E117" s="1675"/>
      <c r="F117" s="1543"/>
      <c r="G117" s="1543"/>
      <c r="H117" s="1434" t="str">
        <f>IF('Rough Sig.'!G117="","",'Rough Sig.'!G117)</f>
        <v/>
      </c>
      <c r="I117" s="1434" t="str">
        <f>IF('Rough Sig.'!H117="","",'Rough Sig.'!H117)</f>
        <v/>
      </c>
      <c r="J117" s="1421" t="b">
        <f t="shared" si="0"/>
        <v>0</v>
      </c>
      <c r="K117" s="1486" t="b">
        <f t="shared" si="1"/>
        <v>0</v>
      </c>
      <c r="L117" s="1421" t="b">
        <f>OR(M117,'Rough Sig.'!L117=FALSE)</f>
        <v>1</v>
      </c>
      <c r="M117" s="1421" t="b">
        <f>'Final Sig.'!M117</f>
        <v>0</v>
      </c>
    </row>
    <row r="118" spans="1:13" x14ac:dyDescent="0.2">
      <c r="A118" s="1419"/>
      <c r="B118" s="1419">
        <v>14</v>
      </c>
      <c r="C118" s="1434" t="str">
        <f>IF(LEN('Final Sig.'!C118)=0,"",'Final Sig.'!C118)</f>
        <v/>
      </c>
      <c r="D118" s="1675" t="str">
        <f>IF('Rough Sig.'!C118="","",'Rough Sig.'!C118)</f>
        <v/>
      </c>
      <c r="E118" s="1675"/>
      <c r="F118" s="1543"/>
      <c r="G118" s="1543"/>
      <c r="H118" s="1434" t="str">
        <f>IF('Rough Sig.'!G118="","",'Rough Sig.'!G118)</f>
        <v/>
      </c>
      <c r="I118" s="1434" t="str">
        <f>IF('Rough Sig.'!H118="","",'Rough Sig.'!H118)</f>
        <v/>
      </c>
      <c r="J118" s="1421" t="b">
        <f t="shared" si="0"/>
        <v>0</v>
      </c>
      <c r="K118" s="1486" t="b">
        <f t="shared" si="1"/>
        <v>0</v>
      </c>
      <c r="L118" s="1421" t="b">
        <f>OR(M118,'Rough Sig.'!L118=FALSE)</f>
        <v>1</v>
      </c>
      <c r="M118" s="1421" t="b">
        <f>'Final Sig.'!M118</f>
        <v>0</v>
      </c>
    </row>
    <row r="119" spans="1:13" x14ac:dyDescent="0.2">
      <c r="A119" s="1419"/>
      <c r="B119" s="1419">
        <v>15</v>
      </c>
      <c r="C119" s="1434" t="str">
        <f>IF(LEN('Final Sig.'!C119)=0,"",'Final Sig.'!C119)</f>
        <v/>
      </c>
      <c r="D119" s="1675" t="str">
        <f>IF('Rough Sig.'!C119="","",'Rough Sig.'!C119)</f>
        <v/>
      </c>
      <c r="E119" s="1675"/>
      <c r="F119" s="1543"/>
      <c r="G119" s="1543"/>
      <c r="H119" s="1434" t="str">
        <f>IF('Rough Sig.'!G119="","",'Rough Sig.'!G119)</f>
        <v/>
      </c>
      <c r="I119" s="1434" t="str">
        <f>IF('Rough Sig.'!H119="","",'Rough Sig.'!H119)</f>
        <v/>
      </c>
      <c r="J119" s="1421" t="b">
        <f t="shared" si="0"/>
        <v>0</v>
      </c>
      <c r="K119" s="1486" t="b">
        <f t="shared" si="1"/>
        <v>0</v>
      </c>
      <c r="L119" s="1421" t="b">
        <f>OR(M119,'Rough Sig.'!L119=FALSE)</f>
        <v>1</v>
      </c>
      <c r="M119" s="1421" t="b">
        <f>'Final Sig.'!M119</f>
        <v>0</v>
      </c>
    </row>
    <row r="120" spans="1:13" x14ac:dyDescent="0.2">
      <c r="A120" s="1419"/>
      <c r="B120" s="1419">
        <v>16</v>
      </c>
      <c r="C120" s="1434" t="str">
        <f>IF(LEN('Final Sig.'!C120)=0,"",'Final Sig.'!C120)</f>
        <v/>
      </c>
      <c r="D120" s="1675" t="str">
        <f>IF('Rough Sig.'!C120="","",'Rough Sig.'!C120)</f>
        <v/>
      </c>
      <c r="E120" s="1675"/>
      <c r="F120" s="1543"/>
      <c r="G120" s="1543"/>
      <c r="H120" s="1434" t="str">
        <f>IF('Rough Sig.'!G120="","",'Rough Sig.'!G120)</f>
        <v/>
      </c>
      <c r="I120" s="1434" t="str">
        <f>IF('Rough Sig.'!H120="","",'Rough Sig.'!H120)</f>
        <v/>
      </c>
      <c r="J120" s="1421" t="b">
        <f t="shared" si="0"/>
        <v>0</v>
      </c>
      <c r="K120" s="1486" t="b">
        <f t="shared" si="1"/>
        <v>0</v>
      </c>
      <c r="L120" s="1421" t="b">
        <f>OR(M120,'Rough Sig.'!L120=FALSE)</f>
        <v>1</v>
      </c>
      <c r="M120" s="1421" t="b">
        <f>'Final Sig.'!M120</f>
        <v>0</v>
      </c>
    </row>
    <row r="121" spans="1:13" x14ac:dyDescent="0.2">
      <c r="A121" s="1419"/>
      <c r="B121" s="1419">
        <v>17</v>
      </c>
      <c r="C121" s="1434" t="str">
        <f>IF(LEN('Final Sig.'!C121)=0,"",'Final Sig.'!C121)</f>
        <v/>
      </c>
      <c r="D121" s="1675" t="str">
        <f>IF('Rough Sig.'!C121="","",'Rough Sig.'!C121)</f>
        <v/>
      </c>
      <c r="E121" s="1675"/>
      <c r="F121" s="1543"/>
      <c r="G121" s="1543"/>
      <c r="H121" s="1434" t="str">
        <f>IF('Rough Sig.'!G121="","",'Rough Sig.'!G121)</f>
        <v/>
      </c>
      <c r="I121" s="1434" t="str">
        <f>IF('Rough Sig.'!H121="","",'Rough Sig.'!H121)</f>
        <v/>
      </c>
      <c r="J121" s="1421" t="b">
        <f t="shared" si="0"/>
        <v>0</v>
      </c>
      <c r="K121" s="1486" t="b">
        <f t="shared" si="1"/>
        <v>0</v>
      </c>
      <c r="L121" s="1421" t="b">
        <f>OR(M121,'Rough Sig.'!L121=FALSE)</f>
        <v>1</v>
      </c>
      <c r="M121" s="1421" t="b">
        <f>'Final Sig.'!M121</f>
        <v>0</v>
      </c>
    </row>
    <row r="122" spans="1:13" x14ac:dyDescent="0.2">
      <c r="A122" s="1419"/>
      <c r="B122" s="1419">
        <v>18</v>
      </c>
      <c r="C122" s="1434" t="str">
        <f>IF(LEN('Final Sig.'!C122)=0,"",'Final Sig.'!C122)</f>
        <v/>
      </c>
      <c r="D122" s="1675" t="str">
        <f>IF('Rough Sig.'!C122="","",'Rough Sig.'!C122)</f>
        <v/>
      </c>
      <c r="E122" s="1675"/>
      <c r="F122" s="1543"/>
      <c r="G122" s="1543"/>
      <c r="H122" s="1434" t="str">
        <f>IF('Rough Sig.'!G122="","",'Rough Sig.'!G122)</f>
        <v/>
      </c>
      <c r="I122" s="1434" t="str">
        <f>IF('Rough Sig.'!H122="","",'Rough Sig.'!H122)</f>
        <v/>
      </c>
      <c r="J122" s="1421" t="b">
        <f t="shared" si="0"/>
        <v>0</v>
      </c>
      <c r="K122" s="1486" t="b">
        <f t="shared" si="1"/>
        <v>0</v>
      </c>
      <c r="L122" s="1421" t="b">
        <f>OR(M122,'Rough Sig.'!L122=FALSE)</f>
        <v>1</v>
      </c>
      <c r="M122" s="1421" t="b">
        <f>'Final Sig.'!M122</f>
        <v>0</v>
      </c>
    </row>
    <row r="123" spans="1:13" x14ac:dyDescent="0.2">
      <c r="A123" s="1419"/>
      <c r="B123" s="1419">
        <v>19</v>
      </c>
      <c r="C123" s="1434" t="str">
        <f>IF(LEN('Final Sig.'!C123)=0,"",'Final Sig.'!C123)</f>
        <v/>
      </c>
      <c r="D123" s="1675" t="str">
        <f>IF('Rough Sig.'!C123="","",'Rough Sig.'!C123)</f>
        <v/>
      </c>
      <c r="E123" s="1675"/>
      <c r="F123" s="1543"/>
      <c r="G123" s="1543"/>
      <c r="H123" s="1434" t="str">
        <f>IF('Rough Sig.'!G123="","",'Rough Sig.'!G123)</f>
        <v/>
      </c>
      <c r="I123" s="1434" t="str">
        <f>IF('Rough Sig.'!H123="","",'Rough Sig.'!H123)</f>
        <v/>
      </c>
      <c r="J123" s="1421" t="b">
        <f t="shared" si="0"/>
        <v>0</v>
      </c>
      <c r="K123" s="1486" t="b">
        <f t="shared" si="1"/>
        <v>0</v>
      </c>
      <c r="L123" s="1421" t="b">
        <f>OR(M123,'Rough Sig.'!L123=FALSE)</f>
        <v>1</v>
      </c>
      <c r="M123" s="1421" t="b">
        <f>'Final Sig.'!M123</f>
        <v>0</v>
      </c>
    </row>
    <row r="124" spans="1:13" x14ac:dyDescent="0.2">
      <c r="A124" s="1419"/>
      <c r="B124" s="1419">
        <v>20</v>
      </c>
      <c r="C124" s="1434" t="str">
        <f>IF(LEN('Final Sig.'!C124)=0,"",'Final Sig.'!C124)</f>
        <v/>
      </c>
      <c r="D124" s="1675" t="str">
        <f>IF('Rough Sig.'!C124="","",'Rough Sig.'!C124)</f>
        <v/>
      </c>
      <c r="E124" s="1675"/>
      <c r="F124" s="1543"/>
      <c r="G124" s="1543"/>
      <c r="H124" s="1434" t="str">
        <f>IF('Rough Sig.'!G124="","",'Rough Sig.'!G124)</f>
        <v/>
      </c>
      <c r="I124" s="1434" t="str">
        <f>IF('Rough Sig.'!H124="","",'Rough Sig.'!H124)</f>
        <v/>
      </c>
      <c r="J124" s="1421" t="b">
        <f t="shared" si="0"/>
        <v>0</v>
      </c>
      <c r="K124" s="1486" t="b">
        <f t="shared" si="1"/>
        <v>0</v>
      </c>
      <c r="L124" s="1421" t="b">
        <f>OR(M124,'Rough Sig.'!L124=FALSE)</f>
        <v>1</v>
      </c>
      <c r="M124" s="1421" t="b">
        <f>'Final Sig.'!M124</f>
        <v>0</v>
      </c>
    </row>
    <row r="126" spans="1:13" x14ac:dyDescent="0.2">
      <c r="B126" s="467"/>
      <c r="C126" s="467"/>
      <c r="D126" s="467"/>
      <c r="E126" s="467"/>
      <c r="F126" s="467"/>
      <c r="G126" s="467"/>
      <c r="H126" s="467"/>
      <c r="I126" s="467"/>
    </row>
    <row r="127" spans="1:13" x14ac:dyDescent="0.2">
      <c r="B127" s="467"/>
      <c r="C127" s="1487" t="s">
        <v>3087</v>
      </c>
      <c r="D127" s="467"/>
      <c r="E127" s="467"/>
      <c r="F127" s="467"/>
      <c r="G127" s="467"/>
      <c r="H127" s="467"/>
      <c r="I127" s="467"/>
    </row>
    <row r="128" spans="1:13" ht="3" customHeight="1" x14ac:dyDescent="0.2">
      <c r="B128" s="467"/>
      <c r="C128" s="1487"/>
      <c r="D128" s="467"/>
      <c r="E128" s="467"/>
      <c r="F128" s="467"/>
      <c r="G128" s="467"/>
      <c r="H128" s="467"/>
      <c r="I128" s="467"/>
    </row>
    <row r="129" spans="2:11" x14ac:dyDescent="0.2">
      <c r="B129" s="467"/>
      <c r="C129" s="1488" t="s">
        <v>4996</v>
      </c>
      <c r="D129" s="467"/>
      <c r="E129" s="467"/>
      <c r="F129" s="467"/>
      <c r="G129" s="467"/>
      <c r="H129" s="467"/>
      <c r="I129" s="467"/>
    </row>
    <row r="130" spans="2:11" ht="3" customHeight="1" x14ac:dyDescent="0.2">
      <c r="B130" s="467"/>
      <c r="C130" s="1488"/>
      <c r="D130" s="467"/>
      <c r="E130" s="467"/>
      <c r="F130" s="467"/>
      <c r="G130" s="467"/>
      <c r="H130" s="467"/>
      <c r="I130" s="467"/>
    </row>
    <row r="131" spans="2:11" x14ac:dyDescent="0.2">
      <c r="B131" s="467"/>
      <c r="C131" s="1488" t="s">
        <v>4997</v>
      </c>
      <c r="D131" s="467"/>
      <c r="E131" s="467"/>
      <c r="F131" s="467"/>
      <c r="G131" s="467"/>
      <c r="H131" s="467"/>
      <c r="I131" s="467"/>
    </row>
    <row r="132" spans="2:11" ht="3" customHeight="1" x14ac:dyDescent="0.2">
      <c r="B132" s="467"/>
      <c r="C132" s="1488"/>
      <c r="D132" s="467"/>
      <c r="E132" s="467"/>
      <c r="F132" s="467"/>
      <c r="G132" s="467"/>
      <c r="H132" s="467"/>
      <c r="I132" s="467"/>
    </row>
    <row r="133" spans="2:11" ht="30" customHeight="1" x14ac:dyDescent="0.2">
      <c r="B133" s="467"/>
      <c r="C133" s="2007" t="s">
        <v>4998</v>
      </c>
      <c r="D133" s="2007"/>
      <c r="E133" s="2007"/>
      <c r="F133" s="2007"/>
      <c r="G133" s="2007"/>
      <c r="H133" s="2007"/>
      <c r="I133" s="2007"/>
    </row>
    <row r="134" spans="2:11" ht="3" customHeight="1" x14ac:dyDescent="0.2">
      <c r="B134" s="467"/>
      <c r="C134" s="2007"/>
      <c r="D134" s="2007"/>
      <c r="E134" s="2007"/>
      <c r="F134" s="2007"/>
      <c r="G134" s="2007"/>
      <c r="H134" s="2007"/>
      <c r="I134" s="2007"/>
    </row>
    <row r="135" spans="2:11" x14ac:dyDescent="0.2">
      <c r="B135" s="467"/>
      <c r="C135" s="1488" t="s">
        <v>4999</v>
      </c>
      <c r="D135" s="467"/>
      <c r="E135" s="467"/>
      <c r="F135" s="467"/>
      <c r="G135" s="467"/>
      <c r="H135" s="467"/>
      <c r="I135" s="467"/>
    </row>
    <row r="136" spans="2:11" ht="3" customHeight="1" x14ac:dyDescent="0.2">
      <c r="B136" s="467"/>
      <c r="C136" s="1488"/>
      <c r="D136" s="467"/>
      <c r="E136" s="467"/>
      <c r="F136" s="467"/>
      <c r="G136" s="467"/>
      <c r="H136" s="467"/>
      <c r="I136" s="467"/>
    </row>
    <row r="137" spans="2:11" x14ac:dyDescent="0.2">
      <c r="B137" s="467"/>
      <c r="C137" s="2008" t="s">
        <v>5000</v>
      </c>
      <c r="D137" s="2008"/>
      <c r="E137" s="2008"/>
      <c r="F137" s="2008"/>
      <c r="G137" s="2008"/>
      <c r="H137" s="2008"/>
      <c r="I137" s="2008"/>
      <c r="J137" s="1413"/>
      <c r="K137" s="1413"/>
    </row>
    <row r="138" spans="2:11" ht="3" customHeight="1" x14ac:dyDescent="0.2">
      <c r="B138" s="467"/>
      <c r="C138" s="1488"/>
      <c r="D138" s="467"/>
      <c r="E138" s="467"/>
      <c r="F138" s="467"/>
      <c r="G138" s="467"/>
      <c r="H138" s="467"/>
      <c r="I138" s="467"/>
    </row>
    <row r="139" spans="2:11" x14ac:dyDescent="0.2">
      <c r="B139" s="467"/>
      <c r="C139" s="1488" t="s">
        <v>5001</v>
      </c>
      <c r="D139" s="467"/>
      <c r="E139" s="467"/>
      <c r="F139" s="467"/>
      <c r="G139" s="467"/>
      <c r="H139" s="467"/>
      <c r="I139" s="467"/>
    </row>
    <row r="140" spans="2:11" ht="3" customHeight="1" x14ac:dyDescent="0.2">
      <c r="B140" s="467"/>
      <c r="C140" s="1488"/>
      <c r="D140" s="467"/>
      <c r="E140" s="467"/>
      <c r="F140" s="467"/>
      <c r="G140" s="467"/>
      <c r="H140" s="467"/>
      <c r="I140" s="467"/>
    </row>
    <row r="141" spans="2:11" x14ac:dyDescent="0.2">
      <c r="B141" s="467"/>
      <c r="C141" s="1488" t="s">
        <v>5002</v>
      </c>
      <c r="D141" s="467"/>
      <c r="E141" s="467"/>
      <c r="F141" s="467"/>
      <c r="G141" s="467"/>
      <c r="H141" s="467"/>
      <c r="I141" s="467"/>
    </row>
    <row r="142" spans="2:11" ht="3" customHeight="1" x14ac:dyDescent="0.2">
      <c r="B142" s="467"/>
      <c r="C142" s="1488"/>
      <c r="D142" s="467"/>
      <c r="E142" s="467"/>
      <c r="F142" s="467"/>
      <c r="G142" s="467"/>
      <c r="H142" s="467"/>
      <c r="I142" s="467"/>
    </row>
    <row r="143" spans="2:11" ht="30" customHeight="1" x14ac:dyDescent="0.2">
      <c r="B143" s="467"/>
      <c r="C143" s="2008" t="s">
        <v>5003</v>
      </c>
      <c r="D143" s="2008"/>
      <c r="E143" s="2008"/>
      <c r="F143" s="2008"/>
      <c r="G143" s="2008"/>
      <c r="H143" s="2008"/>
      <c r="I143" s="2008"/>
    </row>
    <row r="144" spans="2:11" ht="3" customHeight="1" x14ac:dyDescent="0.2">
      <c r="B144" s="467"/>
      <c r="C144" s="1488"/>
      <c r="D144" s="467"/>
      <c r="E144" s="467"/>
      <c r="F144" s="467"/>
      <c r="G144" s="467"/>
      <c r="H144" s="467"/>
      <c r="I144" s="467"/>
    </row>
    <row r="145" spans="2:13" ht="30" customHeight="1" x14ac:dyDescent="0.2">
      <c r="B145" s="467"/>
      <c r="C145" s="2007" t="s">
        <v>5004</v>
      </c>
      <c r="D145" s="2007"/>
      <c r="E145" s="2007"/>
      <c r="F145" s="2007"/>
      <c r="G145" s="2007"/>
      <c r="H145" s="2007"/>
      <c r="I145" s="2007"/>
      <c r="J145" s="1489"/>
      <c r="K145" s="1489"/>
      <c r="L145" s="1413"/>
    </row>
    <row r="146" spans="2:13" ht="3" customHeight="1" x14ac:dyDescent="0.2">
      <c r="B146" s="467"/>
      <c r="C146" s="1488"/>
      <c r="D146" s="467"/>
      <c r="E146" s="467"/>
      <c r="F146" s="467"/>
      <c r="G146" s="467"/>
      <c r="H146" s="467"/>
      <c r="I146" s="467"/>
    </row>
    <row r="147" spans="2:13" x14ac:dyDescent="0.2">
      <c r="B147" s="467"/>
      <c r="C147" s="1488" t="s">
        <v>5005</v>
      </c>
      <c r="D147" s="467"/>
      <c r="E147" s="467"/>
      <c r="F147" s="467"/>
      <c r="G147" s="467"/>
      <c r="H147" s="467"/>
      <c r="I147" s="467"/>
    </row>
    <row r="148" spans="2:13" x14ac:dyDescent="0.2">
      <c r="K148" s="481" t="s">
        <v>3098</v>
      </c>
      <c r="L148"/>
      <c r="M148" s="481" t="s">
        <v>3099</v>
      </c>
    </row>
    <row r="149" spans="2:13" x14ac:dyDescent="0.2">
      <c r="K149" s="481" t="s">
        <v>3222</v>
      </c>
      <c r="L149"/>
      <c r="M149" s="481" t="s">
        <v>3100</v>
      </c>
    </row>
    <row r="150" spans="2:13" x14ac:dyDescent="0.2">
      <c r="L150"/>
    </row>
    <row r="151" spans="2:13" x14ac:dyDescent="0.2">
      <c r="L151"/>
    </row>
    <row r="155" spans="2:13" x14ac:dyDescent="0.2">
      <c r="K155" s="1421" t="s">
        <v>3101</v>
      </c>
    </row>
    <row r="157" spans="2:13" x14ac:dyDescent="0.2">
      <c r="K157" s="1421" t="s">
        <v>3102</v>
      </c>
    </row>
    <row r="158" spans="2:13" x14ac:dyDescent="0.2">
      <c r="K158" s="1421" t="s">
        <v>3103</v>
      </c>
    </row>
  </sheetData>
  <sheetProtection algorithmName="SHA-512" hashValue="ZGCPKEL5HMb6y12GuFBpy37FFWqmAdHVQfi9lM898UIeo0Ju0YhHcupdNNON53o1djuRQNQ5hDJn0oWHHjxHeg==" saltValue="rMU6wxVS+F2K8rq85jpLAA==" spinCount="100000" sheet="1" objects="1" scenarios="1" selectLockedCells="1"/>
  <mergeCells count="94">
    <mergeCell ref="C137:I137"/>
    <mergeCell ref="C143:I143"/>
    <mergeCell ref="C145:I145"/>
    <mergeCell ref="D120:E120"/>
    <mergeCell ref="D121:E121"/>
    <mergeCell ref="D122:E122"/>
    <mergeCell ref="D123:E123"/>
    <mergeCell ref="D124:E124"/>
    <mergeCell ref="C133:I134"/>
    <mergeCell ref="D119:E119"/>
    <mergeCell ref="D105:E105"/>
    <mergeCell ref="F105:G124"/>
    <mergeCell ref="D106:E106"/>
    <mergeCell ref="D107:E107"/>
    <mergeCell ref="D108:E108"/>
    <mergeCell ref="D109:E109"/>
    <mergeCell ref="D110:E110"/>
    <mergeCell ref="D111:E111"/>
    <mergeCell ref="D112:E112"/>
    <mergeCell ref="D113:E113"/>
    <mergeCell ref="D114:E114"/>
    <mergeCell ref="D115:E115"/>
    <mergeCell ref="D116:E116"/>
    <mergeCell ref="D117:E117"/>
    <mergeCell ref="D118:E118"/>
    <mergeCell ref="D104:E104"/>
    <mergeCell ref="F104:G104"/>
    <mergeCell ref="E93:F93"/>
    <mergeCell ref="G93:H93"/>
    <mergeCell ref="E94:F94"/>
    <mergeCell ref="G94:H94"/>
    <mergeCell ref="E95:F95"/>
    <mergeCell ref="G95:H95"/>
    <mergeCell ref="E96:F96"/>
    <mergeCell ref="G96:H96"/>
    <mergeCell ref="E97:F97"/>
    <mergeCell ref="G97:H97"/>
    <mergeCell ref="E101:F101"/>
    <mergeCell ref="E92:F92"/>
    <mergeCell ref="G92:H92"/>
    <mergeCell ref="A74:B74"/>
    <mergeCell ref="A76:B76"/>
    <mergeCell ref="A78:B78"/>
    <mergeCell ref="A80:B80"/>
    <mergeCell ref="D80:D82"/>
    <mergeCell ref="A82:B82"/>
    <mergeCell ref="A84:B84"/>
    <mergeCell ref="E84:I84"/>
    <mergeCell ref="A86:B86"/>
    <mergeCell ref="C86:I87"/>
    <mergeCell ref="C90:I90"/>
    <mergeCell ref="A67:B68"/>
    <mergeCell ref="C67:D68"/>
    <mergeCell ref="A70:B70"/>
    <mergeCell ref="C70:I72"/>
    <mergeCell ref="A71:B71"/>
    <mergeCell ref="A72:B72"/>
    <mergeCell ref="G52:I52"/>
    <mergeCell ref="E53:G53"/>
    <mergeCell ref="C55:D55"/>
    <mergeCell ref="C57:I58"/>
    <mergeCell ref="A59:B63"/>
    <mergeCell ref="E60:E62"/>
    <mergeCell ref="F60:I62"/>
    <mergeCell ref="C46:D46"/>
    <mergeCell ref="E46:F48"/>
    <mergeCell ref="C48:D48"/>
    <mergeCell ref="C50:D50"/>
    <mergeCell ref="E50:F52"/>
    <mergeCell ref="C52:D52"/>
    <mergeCell ref="A39:B39"/>
    <mergeCell ref="C39:D40"/>
    <mergeCell ref="E39:F39"/>
    <mergeCell ref="A42:B42"/>
    <mergeCell ref="C42:I44"/>
    <mergeCell ref="A43:B43"/>
    <mergeCell ref="A44:B44"/>
    <mergeCell ref="C18:D18"/>
    <mergeCell ref="F18:I18"/>
    <mergeCell ref="C21:C32"/>
    <mergeCell ref="E24:H28"/>
    <mergeCell ref="C36:I37"/>
    <mergeCell ref="D1:I5"/>
    <mergeCell ref="A8:B8"/>
    <mergeCell ref="C8:D8"/>
    <mergeCell ref="A10:B10"/>
    <mergeCell ref="C10:D10"/>
    <mergeCell ref="G10:I16"/>
    <mergeCell ref="A12:B12"/>
    <mergeCell ref="C12:D12"/>
    <mergeCell ref="A14:B14"/>
    <mergeCell ref="C14:D14"/>
    <mergeCell ref="A16:B16"/>
    <mergeCell ref="C16:D16"/>
  </mergeCells>
  <conditionalFormatting sqref="G39">
    <cfRule type="expression" dxfId="12" priority="11">
      <formula>$G$39=TRUE</formula>
    </cfRule>
  </conditionalFormatting>
  <conditionalFormatting sqref="C42 C46 C48 C50 C52 G48 G52 C61 F60 C70 C74 C76 C78 C80 C82 C84 E101 C105:D114 F105:H114 H115:H124">
    <cfRule type="notContainsBlanks" dxfId="11" priority="12">
      <formula>LEN(TRIM(C42))&gt;0</formula>
    </cfRule>
  </conditionalFormatting>
  <conditionalFormatting sqref="F18:I18">
    <cfRule type="expression" dxfId="10" priority="9">
      <formula>$J$18</formula>
    </cfRule>
  </conditionalFormatting>
  <conditionalFormatting sqref="C93:H97">
    <cfRule type="notContainsBlanks" dxfId="9" priority="7">
      <formula>LEN(TRIM(C93))&gt;0</formula>
    </cfRule>
  </conditionalFormatting>
  <conditionalFormatting sqref="C105:E114 H105:H124">
    <cfRule type="expression" dxfId="8" priority="8">
      <formula>$L105=TRUE</formula>
    </cfRule>
  </conditionalFormatting>
  <conditionalFormatting sqref="C105:C114">
    <cfRule type="expression" dxfId="7" priority="6">
      <formula>AND($M105,NOT(ISBLANK(C105)))</formula>
    </cfRule>
  </conditionalFormatting>
  <conditionalFormatting sqref="C115:D124">
    <cfRule type="notContainsBlanks" dxfId="6" priority="5">
      <formula>LEN(TRIM(C115))&gt;0</formula>
    </cfRule>
  </conditionalFormatting>
  <conditionalFormatting sqref="C115:E124">
    <cfRule type="expression" dxfId="5" priority="4">
      <formula>$L115=TRUE</formula>
    </cfRule>
  </conditionalFormatting>
  <conditionalFormatting sqref="C115:C124">
    <cfRule type="expression" dxfId="4" priority="3">
      <formula>AND($M115,NOT(ISBLANK(C115)))</formula>
    </cfRule>
  </conditionalFormatting>
  <conditionalFormatting sqref="I105:I124">
    <cfRule type="notContainsBlanks" dxfId="3" priority="2">
      <formula>LEN(TRIM(I105))&gt;0</formula>
    </cfRule>
  </conditionalFormatting>
  <conditionalFormatting sqref="I105:I124">
    <cfRule type="expression" dxfId="2" priority="1">
      <formula>$L105=TRUE</formula>
    </cfRule>
  </conditionalFormatting>
  <conditionalFormatting sqref="F60:I62">
    <cfRule type="expression" dxfId="1" priority="11864">
      <formula>$C$61=$K$158</formula>
    </cfRule>
  </conditionalFormatting>
  <dataValidations count="4">
    <dataValidation type="list" allowBlank="1" showInputMessage="1" showErrorMessage="1" errorTitle="Delivery Method" error="Please Select" promptTitle="Certificate Delivery Method" prompt="Please select US Mail or Overnight delivery for $50.00" sqref="G48" xr:uid="{C5035F05-9778-46BF-A7F1-7678B289C130}">
      <formula1>$K$148:$K$149</formula1>
    </dataValidation>
    <dataValidation type="list" allowBlank="1" showInputMessage="1" showErrorMessage="1" sqref="C61" xr:uid="{892C072C-4F23-4A35-87C0-C5F3AE5D2122}">
      <formula1>$K$157:$K$158</formula1>
    </dataValidation>
    <dataValidation type="list" allowBlank="1" showDropDown="1" showInputMessage="1" showErrorMessage="1" error="Use Checkbox" prompt="Use Checkbox" sqref="G39" xr:uid="{B4FB51C6-6868-4F83-A029-7E615F57DE13}">
      <formula1>TorF</formula1>
    </dataValidation>
    <dataValidation type="list" allowBlank="1" showInputMessage="1" showErrorMessage="1" sqref="G52:I52" xr:uid="{AF41CD36-DABA-4BB1-AE16-A205D044507B}">
      <formula1>$M$148:$M$149</formula1>
    </dataValidation>
  </dataValidations>
  <pageMargins left="0.7" right="0.7" top="0.75" bottom="0.75" header="0.3" footer="0.3"/>
  <pageSetup scale="77" fitToHeight="0" orientation="landscape" r:id="rId1"/>
  <rowBreaks count="3" manualBreakCount="3">
    <brk id="53" max="8" man="1"/>
    <brk id="88" max="16383" man="1"/>
    <brk id="125" max="8" man="1"/>
  </rowBreaks>
  <drawing r:id="rId2"/>
  <legacyDrawing r:id="rId3"/>
  <mc:AlternateContent xmlns:mc="http://schemas.openxmlformats.org/markup-compatibility/2006">
    <mc:Choice Requires="x14">
      <controls>
        <mc:AlternateContent xmlns:mc="http://schemas.openxmlformats.org/markup-compatibility/2006">
          <mc:Choice Requires="x14">
            <control shapeId="98305" r:id="rId4" name="Check Box 1">
              <controlPr locked="0" defaultSize="0" autoFill="0" autoLine="0" autoPict="0">
                <anchor moveWithCells="1">
                  <from>
                    <xdr:col>6</xdr:col>
                    <xdr:colOff>0</xdr:colOff>
                    <xdr:row>38</xdr:row>
                    <xdr:rowOff>0</xdr:rowOff>
                  </from>
                  <to>
                    <xdr:col>6</xdr:col>
                    <xdr:colOff>177800</xdr:colOff>
                    <xdr:row>38</xdr:row>
                    <xdr:rowOff>177800</xdr:rowOff>
                  </to>
                </anchor>
              </controlPr>
            </control>
          </mc:Choice>
        </mc:AlternateContent>
      </controls>
    </mc:Choice>
  </mc:AlternateContent>
  <extLst>
    <ext xmlns:x14="http://schemas.microsoft.com/office/spreadsheetml/2009/9/main" uri="{78C0D931-6437-407d-A8EE-F0AAD7539E65}">
      <x14:conditionalFormattings>
        <x14:conditionalFormatting xmlns:xm="http://schemas.microsoft.com/office/excel/2006/main">
          <x14:cfRule type="expression" priority="10" id="{F5D48878-CA67-4DE6-94EF-300BE302B8B7}">
            <xm:f>OR('Ver. Rpt. (Commercial)'!$AH$1,'Ver. Rpt. (Commercial)'!$AH$2)</xm:f>
            <x14:dxf>
              <font>
                <b/>
                <i val="0"/>
                <color theme="1"/>
              </font>
              <fill>
                <patternFill>
                  <bgColor rgb="FFFF0000"/>
                </patternFill>
              </fill>
            </x14:dxf>
          </x14:cfRule>
          <xm:sqref>C18:D18</xm:sqref>
        </x14:conditionalFormatting>
      </x14:conditionalFormattings>
    </ext>
  </extLst>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codeName="Sheet17"/>
  <dimension ref="B2:L44"/>
  <sheetViews>
    <sheetView showGridLines="0" workbookViewId="0"/>
  </sheetViews>
  <sheetFormatPr baseColWidth="10" defaultColWidth="9.1640625" defaultRowHeight="15" x14ac:dyDescent="0.2"/>
  <cols>
    <col min="1" max="16384" width="9.1640625" style="627"/>
  </cols>
  <sheetData>
    <row r="2" spans="2:12" ht="16" x14ac:dyDescent="0.2">
      <c r="B2" s="642" t="s">
        <v>3268</v>
      </c>
      <c r="C2" s="642"/>
      <c r="D2" s="641"/>
    </row>
    <row r="3" spans="2:12" x14ac:dyDescent="0.2">
      <c r="B3" s="629"/>
      <c r="C3" s="629"/>
      <c r="D3" s="629"/>
    </row>
    <row r="4" spans="2:12" ht="20" x14ac:dyDescent="0.2">
      <c r="B4" s="640" t="s">
        <v>3267</v>
      </c>
      <c r="C4" s="640"/>
      <c r="D4" s="640"/>
    </row>
    <row r="5" spans="2:12" x14ac:dyDescent="0.2">
      <c r="B5" s="639"/>
      <c r="C5" s="639"/>
      <c r="D5" s="639"/>
    </row>
    <row r="6" spans="2:12" x14ac:dyDescent="0.2">
      <c r="B6" s="2048" t="s">
        <v>3266</v>
      </c>
      <c r="C6" s="2049"/>
      <c r="D6" s="2049"/>
      <c r="E6" s="2049"/>
      <c r="F6" s="2049"/>
      <c r="G6" s="2049"/>
      <c r="H6" s="2049"/>
      <c r="I6" s="2049"/>
      <c r="J6" s="2049"/>
      <c r="K6" s="2049"/>
      <c r="L6" s="2049"/>
    </row>
    <row r="7" spans="2:12" x14ac:dyDescent="0.2">
      <c r="B7" s="2048" t="s">
        <v>3265</v>
      </c>
      <c r="C7" s="2049"/>
      <c r="D7" s="2049"/>
      <c r="E7" s="2049"/>
      <c r="F7" s="2049"/>
      <c r="G7" s="2049"/>
      <c r="H7" s="2049"/>
      <c r="I7" s="2049"/>
      <c r="J7" s="2049"/>
      <c r="K7" s="2049"/>
      <c r="L7" s="2049"/>
    </row>
    <row r="8" spans="2:12" x14ac:dyDescent="0.2">
      <c r="B8" s="2053"/>
      <c r="C8" s="2053"/>
      <c r="D8" s="2053"/>
      <c r="E8" s="2053"/>
      <c r="F8" s="2053"/>
      <c r="G8" s="2053"/>
      <c r="H8" s="2053"/>
      <c r="I8" s="2053"/>
      <c r="J8" s="2053"/>
      <c r="K8" s="2053"/>
      <c r="L8" s="2053"/>
    </row>
    <row r="9" spans="2:12" x14ac:dyDescent="0.2">
      <c r="B9" s="2047" t="s">
        <v>3264</v>
      </c>
      <c r="C9" s="2047"/>
      <c r="D9" s="2047"/>
      <c r="E9" s="2047"/>
      <c r="F9" s="2047"/>
      <c r="G9" s="2047"/>
      <c r="H9" s="2047"/>
      <c r="I9" s="2047"/>
      <c r="J9" s="2047"/>
      <c r="K9" s="2047"/>
      <c r="L9" s="2047"/>
    </row>
    <row r="10" spans="2:12" x14ac:dyDescent="0.2">
      <c r="B10" s="638"/>
      <c r="C10" s="638"/>
      <c r="D10" s="638"/>
      <c r="E10" s="638"/>
      <c r="F10" s="638"/>
      <c r="G10" s="638"/>
      <c r="H10" s="638"/>
      <c r="I10" s="638"/>
      <c r="J10" s="638"/>
      <c r="K10" s="638"/>
      <c r="L10" s="638"/>
    </row>
    <row r="11" spans="2:12" x14ac:dyDescent="0.2">
      <c r="B11" s="2047" t="s">
        <v>3263</v>
      </c>
      <c r="C11" s="2047"/>
      <c r="D11" s="2047"/>
      <c r="E11" s="2047"/>
      <c r="F11" s="2047"/>
      <c r="G11" s="2047"/>
      <c r="H11" s="2047"/>
      <c r="I11" s="2047"/>
      <c r="J11" s="2047"/>
      <c r="K11" s="2047"/>
      <c r="L11" s="2047"/>
    </row>
    <row r="12" spans="2:12" x14ac:dyDescent="0.2">
      <c r="B12" s="2047"/>
      <c r="C12" s="2047"/>
      <c r="D12" s="2047"/>
      <c r="E12" s="2047"/>
      <c r="F12" s="2047"/>
      <c r="G12" s="2047"/>
      <c r="H12" s="2047"/>
      <c r="I12" s="2047"/>
      <c r="J12" s="2047"/>
      <c r="K12" s="2047"/>
      <c r="L12" s="2047"/>
    </row>
    <row r="13" spans="2:12" x14ac:dyDescent="0.2">
      <c r="B13" s="2047"/>
      <c r="C13" s="2047"/>
      <c r="D13" s="2047"/>
      <c r="E13" s="2047"/>
      <c r="F13" s="2047"/>
      <c r="G13" s="2047"/>
      <c r="H13" s="2047"/>
      <c r="I13" s="2047"/>
      <c r="J13" s="2047"/>
      <c r="K13" s="2047"/>
      <c r="L13" s="2047"/>
    </row>
    <row r="14" spans="2:12" x14ac:dyDescent="0.2">
      <c r="B14" s="2047"/>
      <c r="C14" s="2047"/>
      <c r="D14" s="2047"/>
      <c r="E14" s="2047"/>
      <c r="F14" s="2047"/>
      <c r="G14" s="2047"/>
      <c r="H14" s="2047"/>
      <c r="I14" s="2047"/>
      <c r="J14" s="2047"/>
      <c r="K14" s="2047"/>
      <c r="L14" s="2047"/>
    </row>
    <row r="15" spans="2:12" x14ac:dyDescent="0.2">
      <c r="B15" s="638"/>
      <c r="C15" s="638"/>
      <c r="D15" s="638"/>
      <c r="E15" s="638"/>
      <c r="F15" s="638"/>
      <c r="G15" s="638"/>
      <c r="H15" s="638"/>
      <c r="I15" s="638"/>
      <c r="J15" s="638"/>
      <c r="K15" s="638"/>
      <c r="L15" s="638"/>
    </row>
    <row r="16" spans="2:12" x14ac:dyDescent="0.2">
      <c r="B16" s="2047" t="s">
        <v>3262</v>
      </c>
      <c r="C16" s="2047"/>
      <c r="D16" s="2047"/>
      <c r="E16" s="2047"/>
      <c r="F16" s="2047"/>
      <c r="G16" s="2047"/>
      <c r="H16" s="2047"/>
      <c r="I16" s="2047"/>
      <c r="J16" s="2047"/>
      <c r="K16" s="2047"/>
      <c r="L16" s="2047"/>
    </row>
    <row r="17" spans="2:12" x14ac:dyDescent="0.2">
      <c r="B17" s="2047"/>
      <c r="C17" s="2047"/>
      <c r="D17" s="2047"/>
      <c r="E17" s="2047"/>
      <c r="F17" s="2047"/>
      <c r="G17" s="2047"/>
      <c r="H17" s="2047"/>
      <c r="I17" s="2047"/>
      <c r="J17" s="2047"/>
      <c r="K17" s="2047"/>
      <c r="L17" s="2047"/>
    </row>
    <row r="18" spans="2:12" x14ac:dyDescent="0.2">
      <c r="B18" s="2047"/>
      <c r="C18" s="2047"/>
      <c r="D18" s="2047"/>
      <c r="E18" s="2047"/>
      <c r="F18" s="2047"/>
      <c r="G18" s="2047"/>
      <c r="H18" s="2047"/>
      <c r="I18" s="2047"/>
      <c r="J18" s="2047"/>
      <c r="K18" s="2047"/>
      <c r="L18" s="2047"/>
    </row>
    <row r="19" spans="2:12" x14ac:dyDescent="0.2">
      <c r="B19" s="2047"/>
      <c r="C19" s="2047"/>
      <c r="D19" s="2047"/>
      <c r="E19" s="2047"/>
      <c r="F19" s="2047"/>
      <c r="G19" s="2047"/>
      <c r="H19" s="2047"/>
      <c r="I19" s="2047"/>
      <c r="J19" s="2047"/>
      <c r="K19" s="2047"/>
      <c r="L19" s="2047"/>
    </row>
    <row r="20" spans="2:12" x14ac:dyDescent="0.2">
      <c r="B20" s="2047"/>
      <c r="C20" s="2047"/>
      <c r="D20" s="2047"/>
      <c r="E20" s="2047"/>
      <c r="F20" s="2047"/>
      <c r="G20" s="2047"/>
      <c r="H20" s="2047"/>
      <c r="I20" s="2047"/>
      <c r="J20" s="2047"/>
      <c r="K20" s="2047"/>
      <c r="L20" s="2047"/>
    </row>
    <row r="21" spans="2:12" x14ac:dyDescent="0.2">
      <c r="B21" s="637"/>
      <c r="C21" s="637"/>
      <c r="D21" s="637"/>
      <c r="E21" s="637"/>
      <c r="F21" s="637"/>
      <c r="G21" s="637"/>
      <c r="H21" s="637"/>
      <c r="I21" s="637"/>
      <c r="J21" s="637"/>
      <c r="K21" s="637"/>
      <c r="L21" s="637"/>
    </row>
    <row r="22" spans="2:12" x14ac:dyDescent="0.2">
      <c r="B22" s="2048" t="s">
        <v>3261</v>
      </c>
      <c r="C22" s="2049"/>
      <c r="D22" s="2049"/>
      <c r="E22" s="2049"/>
      <c r="F22" s="2049"/>
      <c r="G22" s="2049"/>
      <c r="H22" s="2049"/>
      <c r="I22" s="2049"/>
      <c r="J22" s="2049"/>
      <c r="K22" s="2049"/>
      <c r="L22" s="2049"/>
    </row>
    <row r="23" spans="2:12" x14ac:dyDescent="0.2">
      <c r="B23" s="2048" t="s">
        <v>3260</v>
      </c>
      <c r="C23" s="2049"/>
      <c r="D23" s="2049"/>
      <c r="E23" s="2049"/>
      <c r="F23" s="2049"/>
      <c r="G23" s="2049"/>
      <c r="H23" s="2049"/>
      <c r="I23" s="2049"/>
      <c r="J23" s="2049"/>
      <c r="K23" s="2049"/>
      <c r="L23" s="2049"/>
    </row>
    <row r="24" spans="2:12" x14ac:dyDescent="0.2">
      <c r="B24" s="2050"/>
      <c r="C24" s="2050"/>
      <c r="D24" s="2050"/>
      <c r="E24" s="2050"/>
      <c r="F24" s="2050"/>
      <c r="G24" s="2050"/>
      <c r="H24" s="2050"/>
      <c r="I24" s="2050"/>
      <c r="J24" s="2050"/>
      <c r="K24" s="2050"/>
      <c r="L24" s="2050"/>
    </row>
    <row r="25" spans="2:12" x14ac:dyDescent="0.2">
      <c r="B25" s="2047" t="s">
        <v>3259</v>
      </c>
      <c r="C25" s="2047"/>
      <c r="D25" s="2047"/>
      <c r="E25" s="2047"/>
      <c r="F25" s="2047"/>
      <c r="G25" s="2047"/>
      <c r="H25" s="2047"/>
      <c r="I25" s="2047"/>
      <c r="J25" s="2047"/>
      <c r="K25" s="2047"/>
      <c r="L25" s="2047"/>
    </row>
    <row r="26" spans="2:12" x14ac:dyDescent="0.2">
      <c r="B26" s="2047"/>
      <c r="C26" s="2047"/>
      <c r="D26" s="2047"/>
      <c r="E26" s="2047"/>
      <c r="F26" s="2047"/>
      <c r="G26" s="2047"/>
      <c r="H26" s="2047"/>
      <c r="I26" s="2047"/>
      <c r="J26" s="2047"/>
      <c r="K26" s="2047"/>
      <c r="L26" s="2047"/>
    </row>
    <row r="27" spans="2:12" x14ac:dyDescent="0.2">
      <c r="B27" s="2047"/>
      <c r="C27" s="2047"/>
      <c r="D27" s="2047"/>
      <c r="E27" s="2047"/>
      <c r="F27" s="2047"/>
      <c r="G27" s="2047"/>
      <c r="H27" s="2047"/>
      <c r="I27" s="2047"/>
      <c r="J27" s="2047"/>
      <c r="K27" s="2047"/>
      <c r="L27" s="2047"/>
    </row>
    <row r="28" spans="2:12" x14ac:dyDescent="0.2">
      <c r="B28" s="2047"/>
      <c r="C28" s="2047"/>
      <c r="D28" s="2047"/>
      <c r="E28" s="2047"/>
      <c r="F28" s="2047"/>
      <c r="G28" s="2047"/>
      <c r="H28" s="2047"/>
      <c r="I28" s="2047"/>
      <c r="J28" s="2047"/>
      <c r="K28" s="2047"/>
      <c r="L28" s="2047"/>
    </row>
    <row r="29" spans="2:12" x14ac:dyDescent="0.2">
      <c r="B29" s="636"/>
      <c r="C29" s="636"/>
      <c r="D29" s="636"/>
      <c r="E29" s="636"/>
      <c r="F29" s="636"/>
      <c r="G29" s="636"/>
      <c r="H29" s="636"/>
      <c r="I29" s="636"/>
      <c r="J29" s="636"/>
      <c r="K29" s="636"/>
      <c r="L29" s="636"/>
    </row>
    <row r="30" spans="2:12" x14ac:dyDescent="0.2">
      <c r="B30" s="2051" t="s">
        <v>3258</v>
      </c>
      <c r="C30" s="2051"/>
      <c r="D30" s="2051"/>
      <c r="E30" s="2051"/>
      <c r="F30" s="2051"/>
      <c r="G30" s="2051"/>
      <c r="H30" s="2051"/>
      <c r="I30" s="2051"/>
      <c r="J30" s="2051"/>
      <c r="K30" s="2051"/>
      <c r="L30" s="2051"/>
    </row>
    <row r="31" spans="2:12" ht="16" thickBot="1" x14ac:dyDescent="0.25">
      <c r="B31" s="2052" t="s">
        <v>3257</v>
      </c>
      <c r="C31" s="2052"/>
      <c r="D31" s="2052"/>
      <c r="E31" s="2052"/>
      <c r="F31" s="2052"/>
      <c r="G31" s="2052"/>
      <c r="H31" s="2052"/>
      <c r="I31" s="2052"/>
      <c r="J31" s="2052"/>
      <c r="K31" s="2052"/>
      <c r="L31" s="2052"/>
    </row>
    <row r="32" spans="2:12" ht="16" thickBot="1" x14ac:dyDescent="0.25">
      <c r="B32" s="2045"/>
      <c r="C32" s="2046"/>
      <c r="D32" s="2046"/>
      <c r="E32" s="2043" t="s">
        <v>3256</v>
      </c>
      <c r="F32" s="2043"/>
      <c r="G32" s="2043"/>
      <c r="H32" s="2043"/>
      <c r="I32" s="2043"/>
      <c r="J32" s="2043"/>
      <c r="K32" s="2043"/>
      <c r="L32" s="2044"/>
    </row>
    <row r="33" spans="2:12" ht="16" thickTop="1" x14ac:dyDescent="0.2">
      <c r="B33" s="2057" t="s">
        <v>3255</v>
      </c>
      <c r="C33" s="2058"/>
      <c r="D33" s="2058"/>
      <c r="E33" s="2058" t="s">
        <v>3254</v>
      </c>
      <c r="F33" s="2058"/>
      <c r="G33" s="2058"/>
      <c r="H33" s="2058"/>
      <c r="I33" s="2058" t="s">
        <v>3253</v>
      </c>
      <c r="J33" s="2058"/>
      <c r="K33" s="2058"/>
      <c r="L33" s="2064"/>
    </row>
    <row r="34" spans="2:12" x14ac:dyDescent="0.2">
      <c r="B34" s="2059" t="s">
        <v>3252</v>
      </c>
      <c r="C34" s="2060"/>
      <c r="D34" s="2060"/>
      <c r="E34" s="633">
        <v>50</v>
      </c>
      <c r="F34" s="633">
        <v>80</v>
      </c>
      <c r="G34" s="633">
        <v>100</v>
      </c>
      <c r="H34" s="633">
        <v>125</v>
      </c>
      <c r="I34" s="633">
        <v>50</v>
      </c>
      <c r="J34" s="633">
        <v>80</v>
      </c>
      <c r="K34" s="633">
        <v>100</v>
      </c>
      <c r="L34" s="632">
        <v>125</v>
      </c>
    </row>
    <row r="35" spans="2:12" ht="16" thickBot="1" x14ac:dyDescent="0.25">
      <c r="B35" s="2054" t="s">
        <v>3251</v>
      </c>
      <c r="C35" s="2055"/>
      <c r="D35" s="2055"/>
      <c r="E35" s="631">
        <v>-25</v>
      </c>
      <c r="F35" s="631">
        <v>-40</v>
      </c>
      <c r="G35" s="631">
        <v>-50</v>
      </c>
      <c r="H35" s="631">
        <v>-65</v>
      </c>
      <c r="I35" s="631">
        <v>-25</v>
      </c>
      <c r="J35" s="631">
        <v>-40</v>
      </c>
      <c r="K35" s="631">
        <v>-50</v>
      </c>
      <c r="L35" s="630">
        <v>-65</v>
      </c>
    </row>
    <row r="36" spans="2:12" ht="16" thickBot="1" x14ac:dyDescent="0.25">
      <c r="B36" s="2061" t="s">
        <v>3250</v>
      </c>
      <c r="C36" s="2043"/>
      <c r="D36" s="2043"/>
      <c r="E36" s="2043" t="s">
        <v>3249</v>
      </c>
      <c r="F36" s="2043"/>
      <c r="G36" s="2043"/>
      <c r="H36" s="2043"/>
      <c r="I36" s="2043"/>
      <c r="J36" s="2043"/>
      <c r="K36" s="2043"/>
      <c r="L36" s="2044"/>
    </row>
    <row r="37" spans="2:12" ht="16" thickTop="1" x14ac:dyDescent="0.2">
      <c r="B37" s="2062" t="s">
        <v>3248</v>
      </c>
      <c r="C37" s="2063"/>
      <c r="D37" s="2063"/>
      <c r="E37" s="635" t="s">
        <v>246</v>
      </c>
      <c r="F37" s="635" t="s">
        <v>246</v>
      </c>
      <c r="G37" s="635" t="s">
        <v>246</v>
      </c>
      <c r="H37" s="635" t="s">
        <v>246</v>
      </c>
      <c r="I37" s="635" t="s">
        <v>3244</v>
      </c>
      <c r="J37" s="635" t="s">
        <v>246</v>
      </c>
      <c r="K37" s="635" t="s">
        <v>246</v>
      </c>
      <c r="L37" s="634" t="s">
        <v>246</v>
      </c>
    </row>
    <row r="38" spans="2:12" x14ac:dyDescent="0.2">
      <c r="B38" s="2059" t="s">
        <v>3247</v>
      </c>
      <c r="C38" s="2060"/>
      <c r="D38" s="2060"/>
      <c r="E38" s="633" t="s">
        <v>3242</v>
      </c>
      <c r="F38" s="633" t="s">
        <v>3246</v>
      </c>
      <c r="G38" s="633" t="s">
        <v>246</v>
      </c>
      <c r="H38" s="633" t="s">
        <v>246</v>
      </c>
      <c r="I38" s="633" t="s">
        <v>3245</v>
      </c>
      <c r="J38" s="633" t="s">
        <v>3241</v>
      </c>
      <c r="K38" s="633" t="s">
        <v>3244</v>
      </c>
      <c r="L38" s="632" t="s">
        <v>246</v>
      </c>
    </row>
    <row r="39" spans="2:12" x14ac:dyDescent="0.2">
      <c r="B39" s="2059" t="s">
        <v>3243</v>
      </c>
      <c r="C39" s="2060"/>
      <c r="D39" s="2060"/>
      <c r="E39" s="633" t="s">
        <v>3231</v>
      </c>
      <c r="F39" s="633" t="s">
        <v>3242</v>
      </c>
      <c r="G39" s="633" t="s">
        <v>3241</v>
      </c>
      <c r="H39" s="633" t="s">
        <v>3240</v>
      </c>
      <c r="I39" s="633" t="s">
        <v>3231</v>
      </c>
      <c r="J39" s="633" t="s">
        <v>3239</v>
      </c>
      <c r="K39" s="633" t="s">
        <v>3238</v>
      </c>
      <c r="L39" s="632" t="s">
        <v>3237</v>
      </c>
    </row>
    <row r="40" spans="2:12" x14ac:dyDescent="0.2">
      <c r="B40" s="2059" t="s">
        <v>3236</v>
      </c>
      <c r="C40" s="2060"/>
      <c r="D40" s="2060"/>
      <c r="E40" s="633" t="s">
        <v>3231</v>
      </c>
      <c r="F40" s="633" t="s">
        <v>3231</v>
      </c>
      <c r="G40" s="633" t="s">
        <v>3235</v>
      </c>
      <c r="H40" s="633" t="s">
        <v>3234</v>
      </c>
      <c r="I40" s="633" t="s">
        <v>3231</v>
      </c>
      <c r="J40" s="633" t="s">
        <v>3231</v>
      </c>
      <c r="K40" s="633" t="s">
        <v>3231</v>
      </c>
      <c r="L40" s="632" t="s">
        <v>3233</v>
      </c>
    </row>
    <row r="41" spans="2:12" ht="16" thickBot="1" x14ac:dyDescent="0.25">
      <c r="B41" s="2054" t="s">
        <v>3232</v>
      </c>
      <c r="C41" s="2055"/>
      <c r="D41" s="2055"/>
      <c r="E41" s="631" t="s">
        <v>3231</v>
      </c>
      <c r="F41" s="631" t="s">
        <v>3231</v>
      </c>
      <c r="G41" s="631" t="s">
        <v>3231</v>
      </c>
      <c r="H41" s="631" t="s">
        <v>3231</v>
      </c>
      <c r="I41" s="631" t="s">
        <v>3231</v>
      </c>
      <c r="J41" s="631" t="s">
        <v>3231</v>
      </c>
      <c r="K41" s="631" t="s">
        <v>3231</v>
      </c>
      <c r="L41" s="630" t="s">
        <v>3231</v>
      </c>
    </row>
    <row r="42" spans="2:12" x14ac:dyDescent="0.2">
      <c r="B42" s="2065" t="s">
        <v>3230</v>
      </c>
      <c r="C42" s="2065"/>
      <c r="D42" s="2065"/>
      <c r="E42" s="2065"/>
      <c r="F42" s="2065"/>
      <c r="G42" s="2065"/>
      <c r="H42" s="2065"/>
      <c r="I42" s="2065"/>
      <c r="J42" s="2065"/>
      <c r="K42" s="2065"/>
      <c r="L42" s="2065"/>
    </row>
    <row r="43" spans="2:12" x14ac:dyDescent="0.2">
      <c r="B43" s="2056" t="s">
        <v>3229</v>
      </c>
      <c r="C43" s="2056"/>
      <c r="D43" s="2056"/>
      <c r="E43" s="2056"/>
      <c r="F43" s="2056"/>
      <c r="G43" s="2056"/>
      <c r="H43" s="2056"/>
      <c r="I43" s="2056"/>
      <c r="J43" s="2056"/>
      <c r="K43" s="2056"/>
      <c r="L43" s="2056"/>
    </row>
    <row r="44" spans="2:12" x14ac:dyDescent="0.2">
      <c r="B44" s="2056" t="s">
        <v>3228</v>
      </c>
      <c r="C44" s="2056"/>
      <c r="D44" s="2056"/>
      <c r="E44" s="2056"/>
      <c r="F44" s="2056"/>
      <c r="G44" s="2056"/>
      <c r="H44" s="2056"/>
      <c r="I44" s="2056"/>
      <c r="J44" s="2056"/>
      <c r="K44" s="2056"/>
      <c r="L44" s="2056"/>
    </row>
  </sheetData>
  <sheetProtection algorithmName="SHA-512" hashValue="ZBqoYt4cfSY6UZm3gcNGBAc4YxgEr2aqSnNejlQmix2p0qJPWzvuAwsX7Iz3AC5Dl45boXuz5wpwihhkp2ddyg==" saltValue="uvg+/V9X+gYYRtkEZ8zxfA==" spinCount="100000" sheet="1" objects="1" scenarios="1" selectLockedCells="1" selectUnlockedCells="1"/>
  <mergeCells count="29">
    <mergeCell ref="B41:D41"/>
    <mergeCell ref="B44:L44"/>
    <mergeCell ref="B33:D33"/>
    <mergeCell ref="B34:D34"/>
    <mergeCell ref="B35:D35"/>
    <mergeCell ref="B36:D36"/>
    <mergeCell ref="B37:D37"/>
    <mergeCell ref="B38:D38"/>
    <mergeCell ref="B39:D39"/>
    <mergeCell ref="B40:D40"/>
    <mergeCell ref="B43:L43"/>
    <mergeCell ref="E36:L36"/>
    <mergeCell ref="E33:H33"/>
    <mergeCell ref="I33:L33"/>
    <mergeCell ref="B42:L42"/>
    <mergeCell ref="E32:L32"/>
    <mergeCell ref="B32:D32"/>
    <mergeCell ref="B25:L28"/>
    <mergeCell ref="B6:L6"/>
    <mergeCell ref="B7:L7"/>
    <mergeCell ref="B24:L24"/>
    <mergeCell ref="B30:L30"/>
    <mergeCell ref="B31:L31"/>
    <mergeCell ref="B11:L14"/>
    <mergeCell ref="B16:L20"/>
    <mergeCell ref="B22:L22"/>
    <mergeCell ref="B8:L8"/>
    <mergeCell ref="B9:L9"/>
    <mergeCell ref="B23:L23"/>
  </mergeCells>
  <pageMargins left="0.7" right="0.7" top="0.75" bottom="0.75" header="0.3" footer="0.3"/>
  <pageSetup orientation="portrait" horizontalDpi="0" verticalDpi="0"/>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codeName="Sheet37"/>
  <dimension ref="B2:L164"/>
  <sheetViews>
    <sheetView showGridLines="0" workbookViewId="0"/>
  </sheetViews>
  <sheetFormatPr baseColWidth="10" defaultColWidth="9.1640625" defaultRowHeight="15" x14ac:dyDescent="0.2"/>
  <cols>
    <col min="1" max="1" width="9.1640625" style="627"/>
    <col min="2" max="11" width="9.1640625" style="88"/>
    <col min="12" max="16384" width="9.1640625" style="627"/>
  </cols>
  <sheetData>
    <row r="2" spans="2:12" ht="16" x14ac:dyDescent="0.2">
      <c r="B2" s="662" t="s">
        <v>3346</v>
      </c>
    </row>
    <row r="3" spans="2:12" x14ac:dyDescent="0.2">
      <c r="B3" s="661"/>
    </row>
    <row r="4" spans="2:12" ht="20" x14ac:dyDescent="0.2">
      <c r="B4" s="2080" t="s">
        <v>3345</v>
      </c>
      <c r="C4" s="2080"/>
      <c r="D4" s="2080"/>
      <c r="E4" s="2080"/>
      <c r="F4" s="2080"/>
      <c r="G4" s="2080"/>
      <c r="H4" s="2080"/>
      <c r="I4" s="2080"/>
      <c r="J4" s="2080"/>
      <c r="K4" s="2080"/>
    </row>
    <row r="5" spans="2:12" x14ac:dyDescent="0.2">
      <c r="B5" s="660"/>
    </row>
    <row r="6" spans="2:12" ht="15" customHeight="1" x14ac:dyDescent="0.2">
      <c r="B6" s="2048" t="s">
        <v>3344</v>
      </c>
      <c r="C6" s="2049"/>
      <c r="D6" s="2049"/>
      <c r="E6" s="2049"/>
      <c r="F6" s="2049"/>
      <c r="G6" s="2049"/>
      <c r="H6" s="2049"/>
      <c r="I6" s="2049"/>
      <c r="J6" s="2049"/>
      <c r="K6" s="2049"/>
      <c r="L6" s="2049"/>
    </row>
    <row r="7" spans="2:12" ht="15.75" customHeight="1" x14ac:dyDescent="0.2">
      <c r="B7" s="2048" t="s">
        <v>3265</v>
      </c>
      <c r="C7" s="2049"/>
      <c r="D7" s="2049"/>
      <c r="E7" s="2049"/>
      <c r="F7" s="2049"/>
      <c r="G7" s="2049"/>
      <c r="H7" s="2049"/>
      <c r="I7" s="2049"/>
      <c r="J7" s="2049"/>
      <c r="K7" s="2049"/>
      <c r="L7" s="2049"/>
    </row>
    <row r="8" spans="2:12" ht="16" x14ac:dyDescent="0.2">
      <c r="B8" s="2067"/>
      <c r="C8" s="2067"/>
      <c r="D8" s="2067"/>
      <c r="E8" s="2067"/>
      <c r="F8" s="2067"/>
      <c r="G8" s="2067"/>
      <c r="H8" s="643"/>
    </row>
    <row r="9" spans="2:12" x14ac:dyDescent="0.2">
      <c r="B9" s="2075" t="s">
        <v>3343</v>
      </c>
      <c r="C9" s="2075"/>
      <c r="D9" s="2075"/>
      <c r="E9" s="2075"/>
      <c r="F9" s="2075"/>
      <c r="G9" s="2075"/>
      <c r="H9" s="2075"/>
      <c r="I9" s="2075"/>
      <c r="J9" s="2075"/>
      <c r="K9" s="2075"/>
      <c r="L9" s="2075"/>
    </row>
    <row r="10" spans="2:12" ht="16" x14ac:dyDescent="0.2">
      <c r="B10" s="2075"/>
      <c r="C10" s="2075"/>
      <c r="D10" s="2075"/>
      <c r="E10" s="2075"/>
      <c r="F10" s="2075"/>
      <c r="G10" s="2075"/>
      <c r="H10" s="643"/>
    </row>
    <row r="11" spans="2:12" x14ac:dyDescent="0.2">
      <c r="B11" s="2075" t="s">
        <v>3342</v>
      </c>
      <c r="C11" s="2075"/>
      <c r="D11" s="2075"/>
      <c r="E11" s="2075"/>
      <c r="F11" s="2075"/>
      <c r="G11" s="2075"/>
      <c r="H11" s="2075"/>
      <c r="I11" s="2075"/>
      <c r="J11" s="2075"/>
      <c r="K11" s="2075"/>
      <c r="L11" s="2075"/>
    </row>
    <row r="12" spans="2:12" ht="15.75" customHeight="1" x14ac:dyDescent="0.2">
      <c r="B12" s="2075"/>
      <c r="C12" s="2075"/>
      <c r="D12" s="2075"/>
      <c r="E12" s="2075"/>
      <c r="F12" s="2075"/>
      <c r="G12" s="2075"/>
      <c r="H12" s="2075"/>
      <c r="I12" s="2075"/>
      <c r="J12" s="2075"/>
      <c r="K12" s="2075"/>
      <c r="L12" s="2075"/>
    </row>
    <row r="13" spans="2:12" ht="15.75" customHeight="1" x14ac:dyDescent="0.2">
      <c r="B13" s="2075"/>
      <c r="C13" s="2075"/>
      <c r="D13" s="2075"/>
      <c r="E13" s="2075"/>
      <c r="F13" s="2075"/>
      <c r="G13" s="2075"/>
      <c r="H13" s="2075"/>
      <c r="I13" s="2075"/>
      <c r="J13" s="2075"/>
      <c r="K13" s="2075"/>
      <c r="L13" s="2075"/>
    </row>
    <row r="14" spans="2:12" ht="16" x14ac:dyDescent="0.2">
      <c r="B14" s="638"/>
      <c r="C14" s="638"/>
      <c r="D14" s="638"/>
      <c r="E14" s="638"/>
      <c r="F14" s="638"/>
      <c r="G14" s="638"/>
      <c r="H14" s="643"/>
    </row>
    <row r="15" spans="2:12" x14ac:dyDescent="0.2">
      <c r="B15" s="2075" t="s">
        <v>3341</v>
      </c>
      <c r="C15" s="2075"/>
      <c r="D15" s="2075"/>
      <c r="E15" s="2075"/>
      <c r="F15" s="2075"/>
      <c r="G15" s="2075"/>
      <c r="H15" s="2075"/>
      <c r="I15" s="2075"/>
      <c r="J15" s="2075"/>
      <c r="K15" s="2075"/>
      <c r="L15" s="2075"/>
    </row>
    <row r="16" spans="2:12" ht="15.75" customHeight="1" x14ac:dyDescent="0.2">
      <c r="B16" s="2075"/>
      <c r="C16" s="2075"/>
      <c r="D16" s="2075"/>
      <c r="E16" s="2075"/>
      <c r="F16" s="2075"/>
      <c r="G16" s="2075"/>
      <c r="H16" s="2075"/>
      <c r="I16" s="2075"/>
      <c r="J16" s="2075"/>
      <c r="K16" s="2075"/>
      <c r="L16" s="2075"/>
    </row>
    <row r="17" spans="2:12" ht="15.75" customHeight="1" x14ac:dyDescent="0.2">
      <c r="B17" s="2075"/>
      <c r="C17" s="2075"/>
      <c r="D17" s="2075"/>
      <c r="E17" s="2075"/>
      <c r="F17" s="2075"/>
      <c r="G17" s="2075"/>
      <c r="H17" s="2075"/>
      <c r="I17" s="2075"/>
      <c r="J17" s="2075"/>
      <c r="K17" s="2075"/>
      <c r="L17" s="2075"/>
    </row>
    <row r="18" spans="2:12" ht="15.75" customHeight="1" x14ac:dyDescent="0.2">
      <c r="B18" s="2075"/>
      <c r="C18" s="2075"/>
      <c r="D18" s="2075"/>
      <c r="E18" s="2075"/>
      <c r="F18" s="2075"/>
      <c r="G18" s="2075"/>
      <c r="H18" s="2075"/>
      <c r="I18" s="2075"/>
      <c r="J18" s="2075"/>
      <c r="K18" s="2075"/>
      <c r="L18" s="2075"/>
    </row>
    <row r="19" spans="2:12" ht="15.75" customHeight="1" x14ac:dyDescent="0.2">
      <c r="B19" s="2075"/>
      <c r="C19" s="2075"/>
      <c r="D19" s="2075"/>
      <c r="E19" s="2075"/>
      <c r="F19" s="2075"/>
      <c r="G19" s="2075"/>
      <c r="H19" s="2075"/>
      <c r="I19" s="2075"/>
      <c r="J19" s="2075"/>
      <c r="K19" s="2075"/>
      <c r="L19" s="2075"/>
    </row>
    <row r="20" spans="2:12" ht="16" x14ac:dyDescent="0.2">
      <c r="B20" s="638"/>
      <c r="C20" s="638"/>
      <c r="D20" s="638"/>
      <c r="E20" s="638"/>
      <c r="F20" s="638"/>
      <c r="G20" s="638"/>
      <c r="H20" s="643"/>
    </row>
    <row r="21" spans="2:12" ht="15" customHeight="1" x14ac:dyDescent="0.2">
      <c r="B21" s="2048" t="s">
        <v>3340</v>
      </c>
      <c r="C21" s="2049"/>
      <c r="D21" s="2049"/>
      <c r="E21" s="2049"/>
      <c r="F21" s="2049"/>
      <c r="G21" s="2049"/>
      <c r="H21" s="2049"/>
      <c r="I21" s="2049"/>
      <c r="J21" s="2049"/>
      <c r="K21" s="2049"/>
      <c r="L21" s="2049"/>
    </row>
    <row r="22" spans="2:12" ht="15.75" customHeight="1" x14ac:dyDescent="0.2">
      <c r="B22" s="2048" t="s">
        <v>3339</v>
      </c>
      <c r="C22" s="2049"/>
      <c r="D22" s="2049"/>
      <c r="E22" s="2049"/>
      <c r="F22" s="2049"/>
      <c r="G22" s="2049"/>
      <c r="H22" s="2049"/>
      <c r="I22" s="2049"/>
      <c r="J22" s="2049"/>
      <c r="K22" s="2049"/>
      <c r="L22" s="2049"/>
    </row>
    <row r="23" spans="2:12" ht="16" x14ac:dyDescent="0.2">
      <c r="B23" s="2075"/>
      <c r="C23" s="2075"/>
      <c r="D23" s="2075"/>
      <c r="E23" s="2075"/>
      <c r="F23" s="2075"/>
      <c r="G23" s="2081"/>
      <c r="H23" s="2081"/>
    </row>
    <row r="24" spans="2:12" x14ac:dyDescent="0.2">
      <c r="B24" s="2075" t="s">
        <v>3338</v>
      </c>
      <c r="C24" s="2075"/>
      <c r="D24" s="2075"/>
      <c r="E24" s="2075"/>
      <c r="F24" s="2075"/>
      <c r="G24" s="2075"/>
      <c r="H24" s="2075"/>
      <c r="I24" s="2075"/>
      <c r="J24" s="2075"/>
      <c r="K24" s="2075"/>
      <c r="L24" s="2075"/>
    </row>
    <row r="25" spans="2:12" ht="15.75" customHeight="1" x14ac:dyDescent="0.2">
      <c r="B25" s="2075"/>
      <c r="C25" s="2075"/>
      <c r="D25" s="2075"/>
      <c r="E25" s="2075"/>
      <c r="F25" s="2075"/>
      <c r="G25" s="2075"/>
      <c r="H25" s="2075"/>
      <c r="I25" s="2075"/>
      <c r="J25" s="2075"/>
      <c r="K25" s="2075"/>
      <c r="L25" s="2075"/>
    </row>
    <row r="26" spans="2:12" ht="15.75" customHeight="1" x14ac:dyDescent="0.2">
      <c r="B26" s="2075"/>
      <c r="C26" s="2075"/>
      <c r="D26" s="2075"/>
      <c r="E26" s="2075"/>
      <c r="F26" s="2075"/>
      <c r="G26" s="2075"/>
      <c r="H26" s="2075"/>
      <c r="I26" s="2075"/>
      <c r="J26" s="2075"/>
      <c r="K26" s="2075"/>
      <c r="L26" s="2075"/>
    </row>
    <row r="27" spans="2:12" ht="15.75" customHeight="1" x14ac:dyDescent="0.2">
      <c r="B27" s="2075"/>
      <c r="C27" s="2075"/>
      <c r="D27" s="2075"/>
      <c r="E27" s="2075"/>
      <c r="F27" s="2075"/>
      <c r="G27" s="2075"/>
      <c r="H27" s="2075"/>
      <c r="I27" s="2075"/>
      <c r="J27" s="2075"/>
      <c r="K27" s="2075"/>
      <c r="L27" s="2075"/>
    </row>
    <row r="28" spans="2:12" ht="16" x14ac:dyDescent="0.2">
      <c r="B28" s="636"/>
      <c r="C28" s="636"/>
      <c r="D28" s="636"/>
      <c r="E28" s="636"/>
      <c r="F28" s="636"/>
      <c r="G28" s="643"/>
      <c r="H28" s="643"/>
    </row>
    <row r="29" spans="2:12" x14ac:dyDescent="0.2">
      <c r="B29" s="638"/>
      <c r="C29" s="2075" t="s">
        <v>3337</v>
      </c>
      <c r="D29" s="2075"/>
      <c r="E29" s="2075"/>
      <c r="F29" s="2075"/>
      <c r="G29" s="2075"/>
      <c r="H29" s="2075"/>
      <c r="I29" s="2075"/>
      <c r="J29" s="2075"/>
      <c r="K29" s="2075"/>
      <c r="L29" s="2075"/>
    </row>
    <row r="30" spans="2:12" ht="15.75" customHeight="1" x14ac:dyDescent="0.2">
      <c r="B30" s="636"/>
      <c r="C30" s="2075"/>
      <c r="D30" s="2075"/>
      <c r="E30" s="2075"/>
      <c r="F30" s="2075"/>
      <c r="G30" s="2075"/>
      <c r="H30" s="2075"/>
      <c r="I30" s="2075"/>
      <c r="J30" s="2075"/>
      <c r="K30" s="2075"/>
      <c r="L30" s="2075"/>
    </row>
    <row r="31" spans="2:12" ht="16" x14ac:dyDescent="0.2">
      <c r="B31" s="636"/>
      <c r="C31" s="636"/>
      <c r="D31" s="638"/>
      <c r="E31" s="638"/>
      <c r="F31" s="638"/>
      <c r="G31" s="638"/>
      <c r="H31" s="643"/>
    </row>
    <row r="32" spans="2:12" x14ac:dyDescent="0.2">
      <c r="B32" s="636"/>
      <c r="C32" s="638" t="s">
        <v>3336</v>
      </c>
      <c r="D32" s="2067" t="s">
        <v>3335</v>
      </c>
      <c r="E32" s="2067"/>
      <c r="F32" s="2067"/>
      <c r="G32" s="2067"/>
      <c r="H32" s="2067"/>
      <c r="I32" s="2067"/>
      <c r="J32" s="2067"/>
      <c r="K32" s="2067"/>
      <c r="L32" s="2067"/>
    </row>
    <row r="33" spans="2:12" x14ac:dyDescent="0.2">
      <c r="B33" s="636"/>
      <c r="C33" s="638"/>
      <c r="D33" s="2067"/>
      <c r="E33" s="2067"/>
      <c r="F33" s="2067"/>
      <c r="G33" s="2067"/>
      <c r="H33" s="2067"/>
      <c r="I33" s="2067"/>
      <c r="J33" s="2067"/>
      <c r="K33" s="2067"/>
      <c r="L33" s="2067"/>
    </row>
    <row r="34" spans="2:12" x14ac:dyDescent="0.2">
      <c r="B34" s="636"/>
      <c r="C34" s="638" t="s">
        <v>3334</v>
      </c>
      <c r="D34" s="2067" t="s">
        <v>3333</v>
      </c>
      <c r="E34" s="2067"/>
      <c r="F34" s="2067"/>
      <c r="G34" s="2067"/>
      <c r="H34" s="2067"/>
      <c r="I34" s="2067"/>
      <c r="J34" s="2067"/>
      <c r="K34" s="2067"/>
      <c r="L34" s="2067"/>
    </row>
    <row r="35" spans="2:12" ht="15.75" customHeight="1" x14ac:dyDescent="0.2">
      <c r="B35" s="636"/>
      <c r="C35" s="636"/>
      <c r="D35" s="2067"/>
      <c r="E35" s="2067"/>
      <c r="F35" s="2067"/>
      <c r="G35" s="2067"/>
      <c r="H35" s="2067"/>
      <c r="I35" s="2067"/>
      <c r="J35" s="2067"/>
      <c r="K35" s="2067"/>
      <c r="L35" s="2067"/>
    </row>
    <row r="36" spans="2:12" ht="16" x14ac:dyDescent="0.2">
      <c r="B36" s="636"/>
      <c r="C36" s="636"/>
      <c r="D36" s="638"/>
      <c r="E36" s="638"/>
      <c r="F36" s="638"/>
      <c r="G36" s="638"/>
      <c r="H36" s="643"/>
    </row>
    <row r="37" spans="2:12" x14ac:dyDescent="0.2">
      <c r="B37" s="638"/>
      <c r="C37" s="2082" t="s">
        <v>3332</v>
      </c>
      <c r="D37" s="2082"/>
      <c r="E37" s="2082"/>
      <c r="F37" s="2082"/>
      <c r="G37" s="2082"/>
      <c r="H37" s="2082"/>
      <c r="I37" s="2082"/>
      <c r="J37" s="2082"/>
      <c r="K37" s="2082"/>
      <c r="L37" s="2082"/>
    </row>
    <row r="38" spans="2:12" ht="15.75" customHeight="1" x14ac:dyDescent="0.2">
      <c r="B38" s="636"/>
      <c r="C38" s="2082"/>
      <c r="D38" s="2082"/>
      <c r="E38" s="2082"/>
      <c r="F38" s="2082"/>
      <c r="G38" s="2082"/>
      <c r="H38" s="2082"/>
      <c r="I38" s="2082"/>
      <c r="J38" s="2082"/>
      <c r="K38" s="2082"/>
      <c r="L38" s="2082"/>
    </row>
    <row r="39" spans="2:12" ht="16" x14ac:dyDescent="0.2">
      <c r="B39" s="636"/>
      <c r="C39" s="636"/>
      <c r="D39" s="636"/>
      <c r="E39" s="636"/>
      <c r="F39" s="636"/>
      <c r="G39" s="643"/>
      <c r="H39" s="643"/>
    </row>
    <row r="40" spans="2:12" x14ac:dyDescent="0.2">
      <c r="B40" s="2075" t="s">
        <v>3331</v>
      </c>
      <c r="C40" s="2075"/>
      <c r="D40" s="2075"/>
      <c r="E40" s="2075"/>
      <c r="F40" s="2075"/>
      <c r="G40" s="2075"/>
      <c r="H40" s="2075"/>
      <c r="I40" s="2075"/>
      <c r="J40" s="2075"/>
      <c r="K40" s="2075"/>
      <c r="L40" s="2075"/>
    </row>
    <row r="41" spans="2:12" ht="15.75" customHeight="1" x14ac:dyDescent="0.2">
      <c r="B41" s="2075"/>
      <c r="C41" s="2075"/>
      <c r="D41" s="2075"/>
      <c r="E41" s="2075"/>
      <c r="F41" s="2075"/>
      <c r="G41" s="2075"/>
      <c r="H41" s="2075"/>
      <c r="I41" s="2075"/>
      <c r="J41" s="2075"/>
      <c r="K41" s="2075"/>
      <c r="L41" s="2075"/>
    </row>
    <row r="42" spans="2:12" ht="15.75" customHeight="1" x14ac:dyDescent="0.2">
      <c r="B42" s="2075"/>
      <c r="C42" s="2075"/>
      <c r="D42" s="2075"/>
      <c r="E42" s="2075"/>
      <c r="F42" s="2075"/>
      <c r="G42" s="2075"/>
      <c r="H42" s="2075"/>
      <c r="I42" s="2075"/>
      <c r="J42" s="2075"/>
      <c r="K42" s="2075"/>
      <c r="L42" s="2075"/>
    </row>
    <row r="43" spans="2:12" ht="15.75" customHeight="1" x14ac:dyDescent="0.2">
      <c r="B43" s="2075"/>
      <c r="C43" s="2075"/>
      <c r="D43" s="2075"/>
      <c r="E43" s="2075"/>
      <c r="F43" s="2075"/>
      <c r="G43" s="2075"/>
      <c r="H43" s="2075"/>
      <c r="I43" s="2075"/>
      <c r="J43" s="2075"/>
      <c r="K43" s="2075"/>
      <c r="L43" s="2075"/>
    </row>
    <row r="44" spans="2:12" ht="16" x14ac:dyDescent="0.2">
      <c r="B44" s="636"/>
      <c r="C44" s="636"/>
      <c r="D44" s="636"/>
      <c r="E44" s="636"/>
      <c r="F44" s="636"/>
      <c r="G44" s="643"/>
      <c r="H44" s="643"/>
    </row>
    <row r="45" spans="2:12" x14ac:dyDescent="0.2">
      <c r="B45" s="2075" t="s">
        <v>3330</v>
      </c>
      <c r="C45" s="2075"/>
      <c r="D45" s="2075"/>
      <c r="E45" s="2075"/>
      <c r="F45" s="2075"/>
      <c r="G45" s="2075"/>
      <c r="H45" s="2075"/>
      <c r="I45" s="2075"/>
      <c r="J45" s="2075"/>
      <c r="K45" s="2075"/>
      <c r="L45" s="2075"/>
    </row>
    <row r="46" spans="2:12" ht="15.75" customHeight="1" x14ac:dyDescent="0.2">
      <c r="B46" s="2075"/>
      <c r="C46" s="2075"/>
      <c r="D46" s="2075"/>
      <c r="E46" s="2075"/>
      <c r="F46" s="2075"/>
      <c r="G46" s="2075"/>
      <c r="H46" s="2075"/>
      <c r="I46" s="2075"/>
      <c r="J46" s="2075"/>
      <c r="K46" s="2075"/>
      <c r="L46" s="2075"/>
    </row>
    <row r="47" spans="2:12" ht="16" x14ac:dyDescent="0.2">
      <c r="B47" s="636"/>
      <c r="C47" s="636"/>
      <c r="D47" s="636"/>
      <c r="E47" s="636"/>
      <c r="F47" s="636"/>
      <c r="G47" s="643"/>
      <c r="H47" s="643"/>
    </row>
    <row r="48" spans="2:12" x14ac:dyDescent="0.2">
      <c r="B48" s="2083" t="s">
        <v>3329</v>
      </c>
      <c r="C48" s="2083"/>
      <c r="D48" s="2083"/>
      <c r="E48" s="2083"/>
      <c r="F48" s="2083"/>
      <c r="G48" s="2083"/>
      <c r="H48" s="2083"/>
      <c r="I48" s="2083"/>
      <c r="J48" s="2083"/>
      <c r="K48" s="2083"/>
      <c r="L48" s="2083"/>
    </row>
    <row r="49" spans="2:12" ht="15" customHeight="1" x14ac:dyDescent="0.2">
      <c r="B49" s="2083"/>
      <c r="C49" s="2083"/>
      <c r="D49" s="2083"/>
      <c r="E49" s="2083"/>
      <c r="F49" s="2083"/>
      <c r="G49" s="2083"/>
      <c r="H49" s="2083"/>
      <c r="I49" s="2083"/>
      <c r="J49" s="2083"/>
      <c r="K49" s="2083"/>
      <c r="L49" s="2083"/>
    </row>
    <row r="50" spans="2:12" ht="15" customHeight="1" x14ac:dyDescent="0.2">
      <c r="B50" s="2083"/>
      <c r="C50" s="2083"/>
      <c r="D50" s="2083"/>
      <c r="E50" s="2083"/>
      <c r="F50" s="2083"/>
      <c r="G50" s="2083"/>
      <c r="H50" s="2083"/>
      <c r="I50" s="2083"/>
      <c r="J50" s="2083"/>
      <c r="K50" s="2083"/>
      <c r="L50" s="2083"/>
    </row>
    <row r="51" spans="2:12" ht="15" customHeight="1" x14ac:dyDescent="0.2">
      <c r="B51" s="2083"/>
      <c r="C51" s="2083"/>
      <c r="D51" s="2083"/>
      <c r="E51" s="2083"/>
      <c r="F51" s="2083"/>
      <c r="G51" s="2083"/>
      <c r="H51" s="2083"/>
      <c r="I51" s="2083"/>
      <c r="J51" s="2083"/>
      <c r="K51" s="2083"/>
      <c r="L51" s="2083"/>
    </row>
    <row r="52" spans="2:12" ht="15" customHeight="1" x14ac:dyDescent="0.2">
      <c r="B52" s="2083"/>
      <c r="C52" s="2083"/>
      <c r="D52" s="2083"/>
      <c r="E52" s="2083"/>
      <c r="F52" s="2083"/>
      <c r="G52" s="2083"/>
      <c r="H52" s="2083"/>
      <c r="I52" s="2083"/>
      <c r="J52" s="2083"/>
      <c r="K52" s="2083"/>
      <c r="L52" s="2083"/>
    </row>
    <row r="53" spans="2:12" ht="15" customHeight="1" x14ac:dyDescent="0.2">
      <c r="B53" s="2083"/>
      <c r="C53" s="2083"/>
      <c r="D53" s="2083"/>
      <c r="E53" s="2083"/>
      <c r="F53" s="2083"/>
      <c r="G53" s="2083"/>
      <c r="H53" s="2083"/>
      <c r="I53" s="2083"/>
      <c r="J53" s="2083"/>
      <c r="K53" s="2083"/>
      <c r="L53" s="2083"/>
    </row>
    <row r="54" spans="2:12" ht="15" customHeight="1" x14ac:dyDescent="0.2">
      <c r="B54" s="659"/>
      <c r="C54" s="659"/>
      <c r="D54" s="659"/>
      <c r="E54" s="659"/>
      <c r="F54" s="659"/>
      <c r="G54" s="659"/>
      <c r="H54" s="643"/>
    </row>
    <row r="55" spans="2:12" ht="15" customHeight="1" x14ac:dyDescent="0.2">
      <c r="E55" s="2051" t="s">
        <v>3328</v>
      </c>
      <c r="F55" s="2051"/>
      <c r="G55" s="2051"/>
      <c r="H55" s="643"/>
    </row>
    <row r="56" spans="2:12" ht="16" x14ac:dyDescent="0.2">
      <c r="E56" s="2066"/>
      <c r="F56" s="2066"/>
      <c r="G56" s="2066"/>
      <c r="H56" s="643"/>
    </row>
    <row r="57" spans="2:12" ht="16" x14ac:dyDescent="0.2">
      <c r="E57" s="2067" t="s">
        <v>3288</v>
      </c>
      <c r="F57" s="2067"/>
      <c r="G57" s="2067"/>
      <c r="H57" s="643"/>
    </row>
    <row r="58" spans="2:12" x14ac:dyDescent="0.2">
      <c r="E58" s="649"/>
      <c r="F58" s="649"/>
      <c r="G58" s="2067" t="s">
        <v>3327</v>
      </c>
      <c r="H58" s="2067"/>
      <c r="I58" s="2067"/>
      <c r="J58" s="2067"/>
      <c r="K58" s="2067"/>
    </row>
    <row r="59" spans="2:12" x14ac:dyDescent="0.2">
      <c r="E59" s="649"/>
      <c r="F59" s="649"/>
      <c r="G59" s="2067" t="s">
        <v>3326</v>
      </c>
      <c r="H59" s="2067"/>
      <c r="I59" s="2067"/>
      <c r="J59" s="2067"/>
      <c r="K59" s="2067"/>
    </row>
    <row r="60" spans="2:12" x14ac:dyDescent="0.2">
      <c r="E60" s="649"/>
      <c r="F60" s="649"/>
      <c r="G60" s="2067" t="s">
        <v>3322</v>
      </c>
      <c r="H60" s="2067"/>
      <c r="I60" s="2067"/>
      <c r="J60" s="2067"/>
      <c r="K60" s="2067"/>
    </row>
    <row r="61" spans="2:12" ht="16" x14ac:dyDescent="0.2">
      <c r="E61" s="658"/>
      <c r="F61" s="658"/>
      <c r="G61" s="658"/>
      <c r="H61" s="643"/>
    </row>
    <row r="62" spans="2:12" ht="16" x14ac:dyDescent="0.2">
      <c r="E62" s="2051" t="s">
        <v>3325</v>
      </c>
      <c r="F62" s="2051"/>
      <c r="G62" s="2051"/>
      <c r="H62" s="643"/>
    </row>
    <row r="63" spans="2:12" ht="16" x14ac:dyDescent="0.2">
      <c r="E63" s="2066"/>
      <c r="F63" s="2066"/>
      <c r="G63" s="2066"/>
      <c r="H63" s="643"/>
    </row>
    <row r="64" spans="2:12" ht="16" x14ac:dyDescent="0.2">
      <c r="E64" s="2067" t="s">
        <v>3288</v>
      </c>
      <c r="F64" s="2067"/>
      <c r="G64" s="2067"/>
      <c r="H64" s="643"/>
    </row>
    <row r="65" spans="2:11" x14ac:dyDescent="0.2">
      <c r="E65" s="649"/>
      <c r="F65" s="649"/>
      <c r="G65" s="2067" t="s">
        <v>3324</v>
      </c>
      <c r="H65" s="2067"/>
      <c r="I65" s="2067"/>
      <c r="J65" s="2067"/>
      <c r="K65" s="2067"/>
    </row>
    <row r="66" spans="2:11" x14ac:dyDescent="0.2">
      <c r="E66" s="649"/>
      <c r="F66" s="649"/>
      <c r="G66" s="2067" t="s">
        <v>3323</v>
      </c>
      <c r="H66" s="2067"/>
      <c r="I66" s="2067"/>
      <c r="J66" s="2067"/>
      <c r="K66" s="2067"/>
    </row>
    <row r="67" spans="2:11" x14ac:dyDescent="0.2">
      <c r="E67" s="649"/>
      <c r="F67" s="649"/>
      <c r="G67" s="2067" t="s">
        <v>3322</v>
      </c>
      <c r="H67" s="2067"/>
      <c r="I67" s="2067"/>
      <c r="J67" s="2067"/>
      <c r="K67" s="2067"/>
    </row>
    <row r="68" spans="2:11" ht="15" customHeight="1" x14ac:dyDescent="0.2">
      <c r="B68" s="658"/>
      <c r="C68" s="658"/>
      <c r="D68" s="658"/>
      <c r="E68" s="658"/>
      <c r="F68" s="658"/>
      <c r="G68" s="658"/>
      <c r="H68" s="643"/>
    </row>
    <row r="69" spans="2:11" ht="15" customHeight="1" x14ac:dyDescent="0.2">
      <c r="D69" s="2051" t="s">
        <v>3321</v>
      </c>
      <c r="E69" s="2051"/>
      <c r="F69" s="2051"/>
      <c r="G69" s="2051"/>
      <c r="H69" s="2051"/>
      <c r="I69" s="2051"/>
      <c r="J69" s="2051"/>
    </row>
    <row r="70" spans="2:11" ht="15.75" customHeight="1" thickBot="1" x14ac:dyDescent="0.25">
      <c r="D70" s="2079" t="s">
        <v>3320</v>
      </c>
      <c r="E70" s="2079"/>
      <c r="F70" s="2079"/>
      <c r="G70" s="2079"/>
      <c r="H70" s="2079"/>
      <c r="I70" s="2079"/>
      <c r="J70" s="2079"/>
    </row>
    <row r="71" spans="2:11" x14ac:dyDescent="0.2">
      <c r="D71" s="2076" t="s">
        <v>3310</v>
      </c>
      <c r="E71" s="2068"/>
      <c r="F71" s="2068" t="s">
        <v>3309</v>
      </c>
      <c r="G71" s="2068"/>
      <c r="H71" s="2068"/>
      <c r="I71" s="2068"/>
      <c r="J71" s="2069"/>
    </row>
    <row r="72" spans="2:11" ht="15.75" customHeight="1" thickBot="1" x14ac:dyDescent="0.25">
      <c r="D72" s="2077" t="s">
        <v>3319</v>
      </c>
      <c r="E72" s="2078"/>
      <c r="F72" s="654" t="s">
        <v>3307</v>
      </c>
      <c r="G72" s="654" t="s">
        <v>3306</v>
      </c>
      <c r="H72" s="654" t="s">
        <v>3305</v>
      </c>
      <c r="I72" s="654" t="s">
        <v>3304</v>
      </c>
      <c r="J72" s="653" t="s">
        <v>3303</v>
      </c>
    </row>
    <row r="73" spans="2:11" ht="15.75" customHeight="1" thickTop="1" x14ac:dyDescent="0.2">
      <c r="D73" s="657" t="s">
        <v>3318</v>
      </c>
      <c r="E73" s="647"/>
      <c r="F73" s="647">
        <v>30</v>
      </c>
      <c r="G73" s="647">
        <v>45</v>
      </c>
      <c r="H73" s="647">
        <v>60</v>
      </c>
      <c r="I73" s="647">
        <v>75</v>
      </c>
      <c r="J73" s="646">
        <v>90</v>
      </c>
    </row>
    <row r="74" spans="2:11" ht="15" customHeight="1" x14ac:dyDescent="0.2">
      <c r="D74" s="657" t="s">
        <v>3317</v>
      </c>
      <c r="E74" s="647"/>
      <c r="F74" s="647">
        <v>45</v>
      </c>
      <c r="G74" s="647">
        <v>60</v>
      </c>
      <c r="H74" s="647">
        <v>75</v>
      </c>
      <c r="I74" s="647">
        <v>90</v>
      </c>
      <c r="J74" s="646">
        <v>105</v>
      </c>
    </row>
    <row r="75" spans="2:11" ht="15" customHeight="1" x14ac:dyDescent="0.2">
      <c r="D75" s="657" t="s">
        <v>3316</v>
      </c>
      <c r="E75" s="647"/>
      <c r="F75" s="647">
        <v>60</v>
      </c>
      <c r="G75" s="647">
        <v>75</v>
      </c>
      <c r="H75" s="647">
        <v>90</v>
      </c>
      <c r="I75" s="647">
        <v>105</v>
      </c>
      <c r="J75" s="646">
        <v>120</v>
      </c>
    </row>
    <row r="76" spans="2:11" ht="15" customHeight="1" x14ac:dyDescent="0.2">
      <c r="D76" s="657" t="s">
        <v>3315</v>
      </c>
      <c r="E76" s="647"/>
      <c r="F76" s="647">
        <v>75</v>
      </c>
      <c r="G76" s="647">
        <v>90</v>
      </c>
      <c r="H76" s="647">
        <v>105</v>
      </c>
      <c r="I76" s="647">
        <v>120</v>
      </c>
      <c r="J76" s="646">
        <v>135</v>
      </c>
    </row>
    <row r="77" spans="2:11" ht="15" customHeight="1" x14ac:dyDescent="0.2">
      <c r="D77" s="657" t="s">
        <v>3314</v>
      </c>
      <c r="E77" s="647"/>
      <c r="F77" s="647">
        <v>90</v>
      </c>
      <c r="G77" s="647">
        <v>105</v>
      </c>
      <c r="H77" s="647">
        <v>120</v>
      </c>
      <c r="I77" s="647">
        <v>135</v>
      </c>
      <c r="J77" s="646">
        <v>150</v>
      </c>
    </row>
    <row r="78" spans="2:11" ht="15.75" customHeight="1" thickBot="1" x14ac:dyDescent="0.25">
      <c r="D78" s="656" t="s">
        <v>3313</v>
      </c>
      <c r="E78" s="645"/>
      <c r="F78" s="645">
        <v>105</v>
      </c>
      <c r="G78" s="645">
        <v>120</v>
      </c>
      <c r="H78" s="645">
        <v>135</v>
      </c>
      <c r="I78" s="645">
        <v>150</v>
      </c>
      <c r="J78" s="644">
        <v>165</v>
      </c>
    </row>
    <row r="79" spans="2:11" ht="15.75" customHeight="1" x14ac:dyDescent="0.2">
      <c r="D79" s="655"/>
      <c r="E79" s="647"/>
      <c r="F79" s="647"/>
      <c r="G79" s="647"/>
      <c r="H79" s="647"/>
      <c r="I79" s="647"/>
      <c r="J79" s="647"/>
    </row>
    <row r="80" spans="2:11" ht="15.75" customHeight="1" x14ac:dyDescent="0.2">
      <c r="D80" s="2052" t="s">
        <v>3312</v>
      </c>
      <c r="E80" s="2052"/>
      <c r="F80" s="2052"/>
      <c r="G80" s="2052"/>
      <c r="H80" s="2052"/>
      <c r="I80" s="2052"/>
      <c r="J80" s="2052"/>
    </row>
    <row r="81" spans="2:12" ht="15.75" customHeight="1" thickBot="1" x14ac:dyDescent="0.25">
      <c r="D81" s="2079" t="s">
        <v>3311</v>
      </c>
      <c r="E81" s="2079"/>
      <c r="F81" s="2079"/>
      <c r="G81" s="2079"/>
      <c r="H81" s="2079"/>
      <c r="I81" s="2079"/>
      <c r="J81" s="2079"/>
    </row>
    <row r="82" spans="2:12" x14ac:dyDescent="0.2">
      <c r="D82" s="2076" t="s">
        <v>3310</v>
      </c>
      <c r="E82" s="2068"/>
      <c r="F82" s="2068" t="s">
        <v>3309</v>
      </c>
      <c r="G82" s="2068"/>
      <c r="H82" s="2068"/>
      <c r="I82" s="2068"/>
      <c r="J82" s="2069"/>
    </row>
    <row r="83" spans="2:12" ht="15.75" customHeight="1" thickBot="1" x14ac:dyDescent="0.25">
      <c r="D83" s="2077" t="s">
        <v>3308</v>
      </c>
      <c r="E83" s="2078"/>
      <c r="F83" s="654" t="s">
        <v>3307</v>
      </c>
      <c r="G83" s="654" t="s">
        <v>3306</v>
      </c>
      <c r="H83" s="654" t="s">
        <v>3305</v>
      </c>
      <c r="I83" s="654" t="s">
        <v>3304</v>
      </c>
      <c r="J83" s="653" t="s">
        <v>3303</v>
      </c>
    </row>
    <row r="84" spans="2:12" ht="15.75" customHeight="1" thickTop="1" x14ac:dyDescent="0.2">
      <c r="D84" s="2071" t="s">
        <v>3302</v>
      </c>
      <c r="E84" s="2072"/>
      <c r="F84" s="647">
        <v>14</v>
      </c>
      <c r="G84" s="647">
        <v>21</v>
      </c>
      <c r="H84" s="647">
        <v>28</v>
      </c>
      <c r="I84" s="647">
        <v>35</v>
      </c>
      <c r="J84" s="646">
        <v>42</v>
      </c>
    </row>
    <row r="85" spans="2:12" x14ac:dyDescent="0.2">
      <c r="D85" s="2071" t="s">
        <v>3301</v>
      </c>
      <c r="E85" s="2072"/>
      <c r="F85" s="647">
        <v>21</v>
      </c>
      <c r="G85" s="647">
        <v>28</v>
      </c>
      <c r="H85" s="647">
        <v>35</v>
      </c>
      <c r="I85" s="647">
        <v>42</v>
      </c>
      <c r="J85" s="646">
        <v>50</v>
      </c>
    </row>
    <row r="86" spans="2:12" x14ac:dyDescent="0.2">
      <c r="D86" s="2071" t="s">
        <v>3300</v>
      </c>
      <c r="E86" s="2072"/>
      <c r="F86" s="647">
        <v>28</v>
      </c>
      <c r="G86" s="647">
        <v>35</v>
      </c>
      <c r="H86" s="647">
        <v>42</v>
      </c>
      <c r="I86" s="647">
        <v>50</v>
      </c>
      <c r="J86" s="646">
        <v>57</v>
      </c>
    </row>
    <row r="87" spans="2:12" x14ac:dyDescent="0.2">
      <c r="D87" s="2071" t="s">
        <v>3299</v>
      </c>
      <c r="E87" s="2072"/>
      <c r="F87" s="647">
        <v>35</v>
      </c>
      <c r="G87" s="647">
        <v>42</v>
      </c>
      <c r="H87" s="647">
        <v>50</v>
      </c>
      <c r="I87" s="647">
        <v>57</v>
      </c>
      <c r="J87" s="646">
        <v>64</v>
      </c>
    </row>
    <row r="88" spans="2:12" x14ac:dyDescent="0.2">
      <c r="D88" s="2071" t="s">
        <v>3298</v>
      </c>
      <c r="E88" s="2072"/>
      <c r="F88" s="647">
        <v>42</v>
      </c>
      <c r="G88" s="647">
        <v>50</v>
      </c>
      <c r="H88" s="647">
        <v>57</v>
      </c>
      <c r="I88" s="647">
        <v>64</v>
      </c>
      <c r="J88" s="646">
        <v>71</v>
      </c>
    </row>
    <row r="89" spans="2:12" ht="15.75" customHeight="1" thickBot="1" x14ac:dyDescent="0.25">
      <c r="D89" s="2073" t="s">
        <v>3297</v>
      </c>
      <c r="E89" s="2074"/>
      <c r="F89" s="645">
        <v>50</v>
      </c>
      <c r="G89" s="645">
        <v>57</v>
      </c>
      <c r="H89" s="645">
        <v>64</v>
      </c>
      <c r="I89" s="645">
        <v>71</v>
      </c>
      <c r="J89" s="644">
        <v>78</v>
      </c>
    </row>
    <row r="90" spans="2:12" ht="15.75" customHeight="1" x14ac:dyDescent="0.2">
      <c r="B90" s="652"/>
      <c r="C90" s="647"/>
      <c r="D90" s="647"/>
      <c r="E90" s="647"/>
      <c r="F90" s="647"/>
      <c r="G90" s="647"/>
      <c r="H90" s="643"/>
    </row>
    <row r="91" spans="2:12" ht="15.75" customHeight="1" x14ac:dyDescent="0.2">
      <c r="B91" s="2070" t="s">
        <v>3296</v>
      </c>
      <c r="C91" s="2070"/>
      <c r="D91" s="2070"/>
      <c r="E91" s="2070"/>
      <c r="F91" s="2070"/>
      <c r="G91" s="2070"/>
      <c r="H91" s="2070"/>
      <c r="I91" s="2070"/>
      <c r="J91" s="2070"/>
      <c r="K91" s="2070"/>
      <c r="L91" s="2070"/>
    </row>
    <row r="92" spans="2:12" ht="15.75" customHeight="1" x14ac:dyDescent="0.2">
      <c r="B92" s="2070"/>
      <c r="C92" s="2070"/>
      <c r="D92" s="2070"/>
      <c r="E92" s="2070"/>
      <c r="F92" s="2070"/>
      <c r="G92" s="2070"/>
      <c r="H92" s="2070"/>
      <c r="I92" s="2070"/>
      <c r="J92" s="2070"/>
      <c r="K92" s="2070"/>
      <c r="L92" s="2070"/>
    </row>
    <row r="93" spans="2:12" ht="15.75" customHeight="1" x14ac:dyDescent="0.2">
      <c r="B93" s="651"/>
      <c r="C93" s="627"/>
      <c r="D93" s="627"/>
      <c r="E93" s="627"/>
      <c r="F93" s="627"/>
      <c r="G93" s="627"/>
      <c r="H93" s="643"/>
    </row>
    <row r="94" spans="2:12" x14ac:dyDescent="0.2">
      <c r="B94" s="2047" t="s">
        <v>3295</v>
      </c>
      <c r="C94" s="2047"/>
      <c r="D94" s="2047"/>
      <c r="E94" s="2047"/>
      <c r="F94" s="2047"/>
      <c r="G94" s="2047"/>
      <c r="H94" s="2047"/>
      <c r="I94" s="2047"/>
      <c r="J94" s="2047"/>
      <c r="K94" s="2047"/>
      <c r="L94" s="2047"/>
    </row>
    <row r="95" spans="2:12" ht="15.75" customHeight="1" x14ac:dyDescent="0.2">
      <c r="B95" s="2047"/>
      <c r="C95" s="2047"/>
      <c r="D95" s="2047"/>
      <c r="E95" s="2047"/>
      <c r="F95" s="2047"/>
      <c r="G95" s="2047"/>
      <c r="H95" s="2047"/>
      <c r="I95" s="2047"/>
      <c r="J95" s="2047"/>
      <c r="K95" s="2047"/>
      <c r="L95" s="2047"/>
    </row>
    <row r="96" spans="2:12" ht="15.75" customHeight="1" x14ac:dyDescent="0.2">
      <c r="B96" s="2047"/>
      <c r="C96" s="2047"/>
      <c r="D96" s="2047"/>
      <c r="E96" s="2047"/>
      <c r="F96" s="2047"/>
      <c r="G96" s="2047"/>
      <c r="H96" s="2047"/>
      <c r="I96" s="2047"/>
      <c r="J96" s="2047"/>
      <c r="K96" s="2047"/>
      <c r="L96" s="2047"/>
    </row>
    <row r="97" spans="2:12" ht="15.75" customHeight="1" x14ac:dyDescent="0.2">
      <c r="B97" s="2047"/>
      <c r="C97" s="2047"/>
      <c r="D97" s="2047"/>
      <c r="E97" s="2047"/>
      <c r="F97" s="2047"/>
      <c r="G97" s="2047"/>
      <c r="H97" s="2047"/>
      <c r="I97" s="2047"/>
      <c r="J97" s="2047"/>
      <c r="K97" s="2047"/>
      <c r="L97" s="2047"/>
    </row>
    <row r="98" spans="2:12" ht="16" x14ac:dyDescent="0.2">
      <c r="B98" s="636"/>
      <c r="C98" s="636"/>
      <c r="D98" s="636"/>
      <c r="E98" s="636"/>
      <c r="F98" s="636"/>
      <c r="G98" s="643"/>
      <c r="H98" s="643"/>
    </row>
    <row r="99" spans="2:12" x14ac:dyDescent="0.2">
      <c r="B99" s="2075" t="s">
        <v>3294</v>
      </c>
      <c r="C99" s="2075"/>
      <c r="D99" s="2075"/>
      <c r="E99" s="2075"/>
      <c r="F99" s="2075"/>
      <c r="G99" s="2075"/>
      <c r="H99" s="2075"/>
      <c r="I99" s="2075"/>
      <c r="J99" s="2075"/>
      <c r="K99" s="2075"/>
      <c r="L99" s="2075"/>
    </row>
    <row r="100" spans="2:12" ht="15.75" customHeight="1" x14ac:dyDescent="0.2">
      <c r="B100" s="2075"/>
      <c r="C100" s="2075"/>
      <c r="D100" s="2075"/>
      <c r="E100" s="2075"/>
      <c r="F100" s="2075"/>
      <c r="G100" s="2075"/>
      <c r="H100" s="2075"/>
      <c r="I100" s="2075"/>
      <c r="J100" s="2075"/>
      <c r="K100" s="2075"/>
      <c r="L100" s="2075"/>
    </row>
    <row r="101" spans="2:12" ht="15.75" customHeight="1" x14ac:dyDescent="0.2">
      <c r="B101" s="2075"/>
      <c r="C101" s="2075"/>
      <c r="D101" s="2075"/>
      <c r="E101" s="2075"/>
      <c r="F101" s="2075"/>
      <c r="G101" s="2075"/>
      <c r="H101" s="2075"/>
      <c r="I101" s="2075"/>
      <c r="J101" s="2075"/>
      <c r="K101" s="2075"/>
      <c r="L101" s="2075"/>
    </row>
    <row r="102" spans="2:12" ht="15.75" customHeight="1" x14ac:dyDescent="0.2">
      <c r="B102" s="2075"/>
      <c r="C102" s="2075"/>
      <c r="D102" s="2075"/>
      <c r="E102" s="2075"/>
      <c r="F102" s="2075"/>
      <c r="G102" s="2075"/>
      <c r="H102" s="2075"/>
      <c r="I102" s="2075"/>
      <c r="J102" s="2075"/>
      <c r="K102" s="2075"/>
      <c r="L102" s="2075"/>
    </row>
    <row r="103" spans="2:12" ht="16" x14ac:dyDescent="0.2">
      <c r="B103" s="636"/>
      <c r="C103" s="636"/>
      <c r="D103" s="636"/>
      <c r="E103" s="636"/>
      <c r="F103" s="636"/>
      <c r="G103" s="643"/>
      <c r="H103" s="643"/>
    </row>
    <row r="104" spans="2:12" x14ac:dyDescent="0.2">
      <c r="B104" s="2075" t="s">
        <v>3293</v>
      </c>
      <c r="C104" s="2075"/>
      <c r="D104" s="2075"/>
      <c r="E104" s="2075"/>
      <c r="F104" s="2075"/>
      <c r="G104" s="2075"/>
      <c r="H104" s="2075"/>
      <c r="I104" s="2075"/>
      <c r="J104" s="2075"/>
      <c r="K104" s="2075"/>
      <c r="L104" s="2075"/>
    </row>
    <row r="105" spans="2:12" ht="15.75" customHeight="1" x14ac:dyDescent="0.2">
      <c r="B105" s="2075"/>
      <c r="C105" s="2075"/>
      <c r="D105" s="2075"/>
      <c r="E105" s="2075"/>
      <c r="F105" s="2075"/>
      <c r="G105" s="2075"/>
      <c r="H105" s="2075"/>
      <c r="I105" s="2075"/>
      <c r="J105" s="2075"/>
      <c r="K105" s="2075"/>
      <c r="L105" s="2075"/>
    </row>
    <row r="106" spans="2:12" ht="15.75" customHeight="1" x14ac:dyDescent="0.2">
      <c r="B106" s="2075"/>
      <c r="C106" s="2075"/>
      <c r="D106" s="2075"/>
      <c r="E106" s="2075"/>
      <c r="F106" s="2075"/>
      <c r="G106" s="2075"/>
      <c r="H106" s="2075"/>
      <c r="I106" s="2075"/>
      <c r="J106" s="2075"/>
      <c r="K106" s="2075"/>
      <c r="L106" s="2075"/>
    </row>
    <row r="107" spans="2:12" ht="15.75" customHeight="1" x14ac:dyDescent="0.2">
      <c r="B107" s="2075"/>
      <c r="C107" s="2075"/>
      <c r="D107" s="2075"/>
      <c r="E107" s="2075"/>
      <c r="F107" s="2075"/>
      <c r="G107" s="2075"/>
      <c r="H107" s="2075"/>
      <c r="I107" s="2075"/>
      <c r="J107" s="2075"/>
      <c r="K107" s="2075"/>
      <c r="L107" s="2075"/>
    </row>
    <row r="108" spans="2:12" ht="15.75" customHeight="1" x14ac:dyDescent="0.2">
      <c r="B108" s="2075"/>
      <c r="C108" s="2075"/>
      <c r="D108" s="2075"/>
      <c r="E108" s="2075"/>
      <c r="F108" s="2075"/>
      <c r="G108" s="2075"/>
      <c r="H108" s="2075"/>
      <c r="I108" s="2075"/>
      <c r="J108" s="2075"/>
      <c r="K108" s="2075"/>
      <c r="L108" s="2075"/>
    </row>
    <row r="109" spans="2:12" ht="16" x14ac:dyDescent="0.2">
      <c r="B109" s="636"/>
      <c r="C109" s="636"/>
      <c r="D109" s="636"/>
      <c r="E109" s="636"/>
      <c r="F109" s="636"/>
      <c r="G109" s="636"/>
      <c r="H109" s="643"/>
    </row>
    <row r="110" spans="2:12" x14ac:dyDescent="0.2">
      <c r="B110" s="636"/>
      <c r="C110" s="2075" t="s">
        <v>3292</v>
      </c>
      <c r="D110" s="2075"/>
      <c r="E110" s="2075"/>
      <c r="F110" s="2075"/>
      <c r="G110" s="2075"/>
      <c r="H110" s="2075"/>
      <c r="I110" s="2075"/>
      <c r="J110" s="2075"/>
      <c r="K110" s="2075"/>
      <c r="L110" s="2075"/>
    </row>
    <row r="111" spans="2:12" ht="15.75" customHeight="1" x14ac:dyDescent="0.2">
      <c r="B111" s="636"/>
      <c r="C111" s="2075"/>
      <c r="D111" s="2075"/>
      <c r="E111" s="2075"/>
      <c r="F111" s="2075"/>
      <c r="G111" s="2075"/>
      <c r="H111" s="2075"/>
      <c r="I111" s="2075"/>
      <c r="J111" s="2075"/>
      <c r="K111" s="2075"/>
      <c r="L111" s="2075"/>
    </row>
    <row r="112" spans="2:12" ht="15.75" customHeight="1" x14ac:dyDescent="0.2">
      <c r="B112" s="636"/>
      <c r="C112" s="2075"/>
      <c r="D112" s="2075"/>
      <c r="E112" s="2075"/>
      <c r="F112" s="2075"/>
      <c r="G112" s="2075"/>
      <c r="H112" s="2075"/>
      <c r="I112" s="2075"/>
      <c r="J112" s="2075"/>
      <c r="K112" s="2075"/>
      <c r="L112" s="2075"/>
    </row>
    <row r="113" spans="2:12" ht="15.75" customHeight="1" x14ac:dyDescent="0.2">
      <c r="B113" s="636"/>
      <c r="C113" s="2075"/>
      <c r="D113" s="2075"/>
      <c r="E113" s="2075"/>
      <c r="F113" s="2075"/>
      <c r="G113" s="2075"/>
      <c r="H113" s="2075"/>
      <c r="I113" s="2075"/>
      <c r="J113" s="2075"/>
      <c r="K113" s="2075"/>
      <c r="L113" s="2075"/>
    </row>
    <row r="114" spans="2:12" ht="16" x14ac:dyDescent="0.2">
      <c r="B114" s="636"/>
      <c r="C114" s="636"/>
      <c r="D114" s="636"/>
      <c r="E114" s="636"/>
      <c r="F114" s="636"/>
      <c r="G114" s="636"/>
      <c r="H114" s="643"/>
    </row>
    <row r="115" spans="2:12" x14ac:dyDescent="0.2">
      <c r="B115" s="2075" t="s">
        <v>3291</v>
      </c>
      <c r="C115" s="2075"/>
      <c r="D115" s="2075"/>
      <c r="E115" s="2075"/>
      <c r="F115" s="2075"/>
      <c r="G115" s="2075"/>
      <c r="H115" s="2075"/>
      <c r="I115" s="2075"/>
      <c r="J115" s="2075"/>
      <c r="K115" s="2075"/>
      <c r="L115" s="2075"/>
    </row>
    <row r="116" spans="2:12" ht="15.75" customHeight="1" x14ac:dyDescent="0.2">
      <c r="B116" s="2075"/>
      <c r="C116" s="2075"/>
      <c r="D116" s="2075"/>
      <c r="E116" s="2075"/>
      <c r="F116" s="2075"/>
      <c r="G116" s="2075"/>
      <c r="H116" s="2075"/>
      <c r="I116" s="2075"/>
      <c r="J116" s="2075"/>
      <c r="K116" s="2075"/>
      <c r="L116" s="2075"/>
    </row>
    <row r="117" spans="2:12" ht="16" x14ac:dyDescent="0.2">
      <c r="B117" s="636"/>
      <c r="C117" s="636"/>
      <c r="D117" s="636"/>
      <c r="E117" s="636"/>
      <c r="F117" s="636"/>
      <c r="G117" s="636"/>
      <c r="H117" s="643"/>
    </row>
    <row r="118" spans="2:12" x14ac:dyDescent="0.2">
      <c r="B118" s="636"/>
      <c r="C118" s="2075" t="s">
        <v>3290</v>
      </c>
      <c r="D118" s="2075"/>
      <c r="E118" s="2075"/>
      <c r="F118" s="2075"/>
      <c r="G118" s="2075"/>
      <c r="H118" s="2075"/>
      <c r="I118" s="2075"/>
      <c r="J118" s="2075"/>
      <c r="K118" s="2075"/>
      <c r="L118" s="2075"/>
    </row>
    <row r="119" spans="2:12" ht="15" customHeight="1" x14ac:dyDescent="0.2">
      <c r="B119" s="636"/>
      <c r="C119" s="2075"/>
      <c r="D119" s="2075"/>
      <c r="E119" s="2075"/>
      <c r="F119" s="2075"/>
      <c r="G119" s="2075"/>
      <c r="H119" s="2075"/>
      <c r="I119" s="2075"/>
      <c r="J119" s="2075"/>
      <c r="K119" s="2075"/>
      <c r="L119" s="2075"/>
    </row>
    <row r="120" spans="2:12" ht="15" customHeight="1" x14ac:dyDescent="0.2">
      <c r="B120" s="636"/>
      <c r="C120" s="2075"/>
      <c r="D120" s="2075"/>
      <c r="E120" s="2075"/>
      <c r="F120" s="2075"/>
      <c r="G120" s="2075"/>
      <c r="H120" s="2075"/>
      <c r="I120" s="2075"/>
      <c r="J120" s="2075"/>
      <c r="K120" s="2075"/>
      <c r="L120" s="2075"/>
    </row>
    <row r="121" spans="2:12" ht="15" customHeight="1" x14ac:dyDescent="0.2">
      <c r="B121" s="636"/>
      <c r="C121" s="2075"/>
      <c r="D121" s="2075"/>
      <c r="E121" s="2075"/>
      <c r="F121" s="2075"/>
      <c r="G121" s="2075"/>
      <c r="H121" s="2075"/>
      <c r="I121" s="2075"/>
      <c r="J121" s="2075"/>
      <c r="K121" s="2075"/>
      <c r="L121" s="2075"/>
    </row>
    <row r="122" spans="2:12" ht="15" customHeight="1" x14ac:dyDescent="0.2">
      <c r="B122" s="636"/>
      <c r="C122" s="636"/>
      <c r="D122" s="636"/>
      <c r="E122" s="636"/>
      <c r="F122" s="636"/>
      <c r="G122" s="636"/>
      <c r="H122" s="643"/>
    </row>
    <row r="123" spans="2:12" ht="15" customHeight="1" x14ac:dyDescent="0.2">
      <c r="C123" s="2051" t="s">
        <v>3289</v>
      </c>
      <c r="D123" s="2051"/>
      <c r="E123" s="2051"/>
    </row>
    <row r="124" spans="2:12" ht="15" customHeight="1" x14ac:dyDescent="0.2">
      <c r="C124" s="2066"/>
      <c r="D124" s="2066"/>
      <c r="E124" s="2066"/>
    </row>
    <row r="125" spans="2:12" ht="15" customHeight="1" x14ac:dyDescent="0.2">
      <c r="C125" s="2067" t="s">
        <v>3288</v>
      </c>
      <c r="D125" s="2067"/>
      <c r="E125" s="2067"/>
    </row>
    <row r="126" spans="2:12" ht="15" customHeight="1" x14ac:dyDescent="0.2">
      <c r="C126" s="649"/>
      <c r="D126" s="636" t="s">
        <v>3282</v>
      </c>
      <c r="E126" s="2067" t="s">
        <v>3287</v>
      </c>
      <c r="F126" s="2067"/>
      <c r="G126" s="2067"/>
      <c r="H126" s="2067"/>
      <c r="I126" s="2067"/>
      <c r="J126" s="2067"/>
      <c r="K126" s="2067"/>
      <c r="L126" s="636"/>
    </row>
    <row r="127" spans="2:12" ht="15" customHeight="1" x14ac:dyDescent="0.2">
      <c r="C127" s="649"/>
      <c r="D127" s="636" t="s">
        <v>3282</v>
      </c>
      <c r="E127" s="2067" t="s">
        <v>3286</v>
      </c>
      <c r="F127" s="2067"/>
      <c r="G127" s="2067"/>
      <c r="H127" s="2067"/>
      <c r="I127" s="2067"/>
      <c r="J127" s="2067"/>
      <c r="K127" s="2067"/>
      <c r="L127" s="636"/>
    </row>
    <row r="128" spans="2:12" ht="15" customHeight="1" x14ac:dyDescent="0.2">
      <c r="C128" s="650" t="s">
        <v>3285</v>
      </c>
      <c r="D128" s="636" t="s">
        <v>3282</v>
      </c>
      <c r="E128" s="2067" t="s">
        <v>3284</v>
      </c>
      <c r="F128" s="2067"/>
      <c r="G128" s="2067"/>
      <c r="H128" s="2067"/>
      <c r="I128" s="2067"/>
      <c r="J128" s="2067"/>
      <c r="K128" s="2067"/>
      <c r="L128" s="636"/>
    </row>
    <row r="129" spans="2:12" ht="15" customHeight="1" x14ac:dyDescent="0.2">
      <c r="C129" s="650"/>
      <c r="D129" s="636"/>
      <c r="E129" s="2067"/>
      <c r="F129" s="2067"/>
      <c r="G129" s="2067"/>
      <c r="H129" s="2067"/>
      <c r="I129" s="2067"/>
      <c r="J129" s="2067"/>
      <c r="K129" s="2067"/>
      <c r="L129" s="636"/>
    </row>
    <row r="130" spans="2:12" ht="15" customHeight="1" x14ac:dyDescent="0.2">
      <c r="C130" s="649"/>
      <c r="D130" s="636" t="s">
        <v>3282</v>
      </c>
      <c r="E130" s="2067" t="s">
        <v>3283</v>
      </c>
      <c r="F130" s="2067"/>
      <c r="G130" s="2067"/>
      <c r="H130" s="2067"/>
      <c r="I130" s="2067"/>
      <c r="J130" s="2067"/>
      <c r="K130" s="2067"/>
      <c r="L130" s="636"/>
    </row>
    <row r="131" spans="2:12" ht="15" customHeight="1" x14ac:dyDescent="0.2">
      <c r="C131" s="649"/>
      <c r="D131" s="636" t="s">
        <v>3282</v>
      </c>
      <c r="E131" s="2067" t="s">
        <v>3281</v>
      </c>
      <c r="F131" s="2067"/>
      <c r="G131" s="2067"/>
      <c r="H131" s="2067"/>
      <c r="I131" s="2067"/>
      <c r="J131" s="2067"/>
      <c r="K131" s="2067"/>
      <c r="L131" s="636"/>
    </row>
    <row r="132" spans="2:12" ht="15" customHeight="1" x14ac:dyDescent="0.2">
      <c r="B132" s="636"/>
      <c r="C132" s="636"/>
      <c r="D132" s="636"/>
      <c r="H132" s="643"/>
    </row>
    <row r="133" spans="2:12" ht="15" customHeight="1" x14ac:dyDescent="0.2">
      <c r="B133" s="636"/>
      <c r="C133" s="636"/>
      <c r="D133" s="636"/>
      <c r="E133" s="636"/>
      <c r="F133" s="636"/>
      <c r="G133" s="636"/>
      <c r="H133" s="643"/>
    </row>
    <row r="134" spans="2:12" ht="15" customHeight="1" x14ac:dyDescent="0.2">
      <c r="D134" s="2051" t="s">
        <v>3280</v>
      </c>
      <c r="E134" s="2051"/>
      <c r="F134" s="2051"/>
      <c r="G134" s="2051"/>
      <c r="H134" s="2051"/>
      <c r="I134" s="2051"/>
    </row>
    <row r="135" spans="2:12" ht="15.75" customHeight="1" thickBot="1" x14ac:dyDescent="0.25">
      <c r="D135" s="2079" t="s">
        <v>3279</v>
      </c>
      <c r="E135" s="2079"/>
      <c r="F135" s="2079"/>
      <c r="G135" s="2079"/>
      <c r="H135" s="2079"/>
      <c r="I135" s="2079"/>
    </row>
    <row r="136" spans="2:12" ht="16" thickBot="1" x14ac:dyDescent="0.25">
      <c r="D136" s="2086" t="s">
        <v>3278</v>
      </c>
      <c r="E136" s="2087"/>
      <c r="F136" s="2090" t="s">
        <v>3277</v>
      </c>
      <c r="G136" s="2091"/>
      <c r="H136" s="2091"/>
      <c r="I136" s="2092"/>
    </row>
    <row r="137" spans="2:12" ht="15.75" customHeight="1" thickBot="1" x14ac:dyDescent="0.25">
      <c r="D137" s="2088"/>
      <c r="E137" s="2089"/>
      <c r="F137" s="648" t="s">
        <v>3276</v>
      </c>
      <c r="G137" s="648">
        <v>8</v>
      </c>
      <c r="H137" s="648">
        <v>12</v>
      </c>
      <c r="I137" s="648">
        <v>24</v>
      </c>
    </row>
    <row r="138" spans="2:12" ht="15.75" customHeight="1" thickTop="1" x14ac:dyDescent="0.2">
      <c r="D138" s="2084">
        <v>0.1</v>
      </c>
      <c r="E138" s="2085"/>
      <c r="F138" s="647">
        <v>1</v>
      </c>
      <c r="G138" s="647">
        <v>0.79</v>
      </c>
      <c r="H138" s="647" t="s">
        <v>3275</v>
      </c>
      <c r="I138" s="646" t="s">
        <v>3275</v>
      </c>
    </row>
    <row r="139" spans="2:12" ht="15" customHeight="1" x14ac:dyDescent="0.2">
      <c r="D139" s="2084">
        <v>0.2</v>
      </c>
      <c r="E139" s="2085"/>
      <c r="F139" s="647">
        <v>1</v>
      </c>
      <c r="G139" s="647">
        <v>0.84</v>
      </c>
      <c r="H139" s="647">
        <v>0.56000000000000005</v>
      </c>
      <c r="I139" s="646" t="s">
        <v>3275</v>
      </c>
    </row>
    <row r="140" spans="2:12" ht="15" customHeight="1" x14ac:dyDescent="0.2">
      <c r="D140" s="2084">
        <v>0.3</v>
      </c>
      <c r="E140" s="2085"/>
      <c r="F140" s="647">
        <v>1</v>
      </c>
      <c r="G140" s="647">
        <v>0.89</v>
      </c>
      <c r="H140" s="647">
        <v>0.71</v>
      </c>
      <c r="I140" s="646" t="s">
        <v>3275</v>
      </c>
    </row>
    <row r="141" spans="2:12" ht="15" customHeight="1" x14ac:dyDescent="0.2">
      <c r="D141" s="2084">
        <v>0.4</v>
      </c>
      <c r="E141" s="2085"/>
      <c r="F141" s="647">
        <v>1</v>
      </c>
      <c r="G141" s="647">
        <v>0.92</v>
      </c>
      <c r="H141" s="647">
        <v>0.81</v>
      </c>
      <c r="I141" s="646">
        <v>0.2</v>
      </c>
    </row>
    <row r="142" spans="2:12" ht="15" customHeight="1" x14ac:dyDescent="0.2">
      <c r="D142" s="2084">
        <v>0.5</v>
      </c>
      <c r="E142" s="2085"/>
      <c r="F142" s="647">
        <v>1</v>
      </c>
      <c r="G142" s="647">
        <v>0.94</v>
      </c>
      <c r="H142" s="647">
        <v>0.87</v>
      </c>
      <c r="I142" s="646">
        <v>0.52</v>
      </c>
    </row>
    <row r="143" spans="2:12" ht="15" customHeight="1" x14ac:dyDescent="0.2">
      <c r="D143" s="2084">
        <v>0.6</v>
      </c>
      <c r="E143" s="2085"/>
      <c r="F143" s="647">
        <v>1</v>
      </c>
      <c r="G143" s="647">
        <v>0.97</v>
      </c>
      <c r="H143" s="647">
        <v>0.92</v>
      </c>
      <c r="I143" s="646">
        <v>0.73</v>
      </c>
    </row>
    <row r="144" spans="2:12" ht="15" customHeight="1" x14ac:dyDescent="0.2">
      <c r="D144" s="2084">
        <v>0.7</v>
      </c>
      <c r="E144" s="2085"/>
      <c r="F144" s="647">
        <v>1</v>
      </c>
      <c r="G144" s="647">
        <v>0.98</v>
      </c>
      <c r="H144" s="647">
        <v>0.96</v>
      </c>
      <c r="I144" s="646">
        <v>0.86</v>
      </c>
    </row>
    <row r="145" spans="2:12" ht="15" customHeight="1" x14ac:dyDescent="0.2">
      <c r="D145" s="2084">
        <v>0.8</v>
      </c>
      <c r="E145" s="2085"/>
      <c r="F145" s="647">
        <v>1</v>
      </c>
      <c r="G145" s="647">
        <v>0.99</v>
      </c>
      <c r="H145" s="647">
        <v>0.98</v>
      </c>
      <c r="I145" s="646">
        <v>0.94</v>
      </c>
    </row>
    <row r="146" spans="2:12" ht="15" customHeight="1" x14ac:dyDescent="0.2">
      <c r="D146" s="2084">
        <v>0.9</v>
      </c>
      <c r="E146" s="2085"/>
      <c r="F146" s="647">
        <v>1</v>
      </c>
      <c r="G146" s="647">
        <v>1</v>
      </c>
      <c r="H146" s="647">
        <v>1</v>
      </c>
      <c r="I146" s="646">
        <v>0.99</v>
      </c>
    </row>
    <row r="147" spans="2:12" ht="15.75" customHeight="1" thickBot="1" x14ac:dyDescent="0.25">
      <c r="D147" s="2093">
        <v>1</v>
      </c>
      <c r="E147" s="2094"/>
      <c r="F147" s="645">
        <v>1</v>
      </c>
      <c r="G147" s="645">
        <v>1</v>
      </c>
      <c r="H147" s="645">
        <v>1</v>
      </c>
      <c r="I147" s="644">
        <v>1</v>
      </c>
    </row>
    <row r="148" spans="2:12" ht="16" x14ac:dyDescent="0.2">
      <c r="B148" s="636"/>
      <c r="C148" s="636"/>
      <c r="D148" s="636"/>
      <c r="E148" s="636"/>
      <c r="F148" s="636"/>
      <c r="G148" s="636"/>
      <c r="H148" s="643"/>
    </row>
    <row r="149" spans="2:12" ht="15" customHeight="1" x14ac:dyDescent="0.2">
      <c r="B149" s="2067" t="s">
        <v>3274</v>
      </c>
      <c r="C149" s="2067"/>
      <c r="D149" s="2067"/>
      <c r="E149" s="2067"/>
      <c r="F149" s="2067"/>
      <c r="G149" s="2067"/>
      <c r="H149" s="2067"/>
      <c r="I149" s="2067"/>
      <c r="J149" s="2067"/>
      <c r="K149" s="2067"/>
      <c r="L149" s="2067"/>
    </row>
    <row r="150" spans="2:12" ht="15" customHeight="1" x14ac:dyDescent="0.2">
      <c r="B150" s="636"/>
      <c r="C150" s="636"/>
      <c r="D150" s="636"/>
      <c r="E150" s="636"/>
      <c r="F150" s="636"/>
      <c r="G150" s="636"/>
      <c r="H150" s="643"/>
    </row>
    <row r="151" spans="2:12" x14ac:dyDescent="0.2">
      <c r="B151" s="2067" t="s">
        <v>3273</v>
      </c>
      <c r="C151" s="2067"/>
      <c r="D151" s="2067"/>
      <c r="E151" s="2067"/>
      <c r="F151" s="2067"/>
      <c r="G151" s="2067"/>
      <c r="H151" s="2067"/>
      <c r="I151" s="2067"/>
      <c r="J151" s="2067"/>
      <c r="K151" s="2067"/>
      <c r="L151" s="2067"/>
    </row>
    <row r="152" spans="2:12" ht="15.75" customHeight="1" x14ac:dyDescent="0.2">
      <c r="B152" s="2067"/>
      <c r="C152" s="2067"/>
      <c r="D152" s="2067"/>
      <c r="E152" s="2067"/>
      <c r="F152" s="2067"/>
      <c r="G152" s="2067"/>
      <c r="H152" s="2067"/>
      <c r="I152" s="2067"/>
      <c r="J152" s="2067"/>
      <c r="K152" s="2067"/>
      <c r="L152" s="2067"/>
    </row>
    <row r="153" spans="2:12" ht="15.75" customHeight="1" x14ac:dyDescent="0.2">
      <c r="B153" s="2067"/>
      <c r="C153" s="2067"/>
      <c r="D153" s="2067"/>
      <c r="E153" s="2067"/>
      <c r="F153" s="2067"/>
      <c r="G153" s="2067"/>
      <c r="H153" s="2067"/>
      <c r="I153" s="2067"/>
      <c r="J153" s="2067"/>
      <c r="K153" s="2067"/>
      <c r="L153" s="2067"/>
    </row>
    <row r="154" spans="2:12" ht="16" x14ac:dyDescent="0.2">
      <c r="B154" s="636"/>
      <c r="C154" s="636"/>
      <c r="D154" s="636"/>
      <c r="E154" s="636"/>
      <c r="F154" s="636"/>
      <c r="G154" s="636"/>
      <c r="H154" s="643"/>
    </row>
    <row r="155" spans="2:12" x14ac:dyDescent="0.2">
      <c r="B155" s="2075" t="s">
        <v>3272</v>
      </c>
      <c r="C155" s="2075"/>
      <c r="D155" s="2075"/>
      <c r="E155" s="2075"/>
      <c r="F155" s="2075"/>
      <c r="G155" s="2075"/>
      <c r="H155" s="2075"/>
      <c r="I155" s="2075"/>
      <c r="J155" s="2075"/>
      <c r="K155" s="2075"/>
      <c r="L155" s="2075"/>
    </row>
    <row r="156" spans="2:12" ht="16" x14ac:dyDescent="0.2">
      <c r="B156" s="636"/>
      <c r="C156" s="636"/>
      <c r="D156" s="636"/>
      <c r="E156" s="636"/>
      <c r="F156" s="636"/>
      <c r="G156" s="636"/>
      <c r="H156" s="643"/>
    </row>
    <row r="157" spans="2:12" x14ac:dyDescent="0.2">
      <c r="B157" s="2075" t="s">
        <v>3271</v>
      </c>
      <c r="C157" s="2075"/>
      <c r="D157" s="2075"/>
      <c r="E157" s="2075"/>
      <c r="F157" s="2075"/>
      <c r="G157" s="2075"/>
      <c r="H157" s="2075"/>
      <c r="I157" s="2075"/>
      <c r="J157" s="2075"/>
      <c r="K157" s="2075"/>
      <c r="L157" s="2075"/>
    </row>
    <row r="158" spans="2:12" ht="15.75" customHeight="1" x14ac:dyDescent="0.2">
      <c r="B158" s="2075"/>
      <c r="C158" s="2075"/>
      <c r="D158" s="2075"/>
      <c r="E158" s="2075"/>
      <c r="F158" s="2075"/>
      <c r="G158" s="2075"/>
      <c r="H158" s="2075"/>
      <c r="I158" s="2075"/>
      <c r="J158" s="2075"/>
      <c r="K158" s="2075"/>
      <c r="L158" s="2075"/>
    </row>
    <row r="159" spans="2:12" ht="16" x14ac:dyDescent="0.2">
      <c r="B159" s="636"/>
      <c r="C159" s="636"/>
      <c r="D159" s="636"/>
      <c r="E159" s="636"/>
      <c r="F159" s="636"/>
      <c r="G159" s="636"/>
      <c r="H159" s="643"/>
    </row>
    <row r="160" spans="2:12" x14ac:dyDescent="0.2">
      <c r="B160" s="2075" t="s">
        <v>3270</v>
      </c>
      <c r="C160" s="2075"/>
      <c r="D160" s="2075"/>
      <c r="E160" s="2075"/>
      <c r="F160" s="2075"/>
      <c r="G160" s="2075"/>
      <c r="H160" s="2075"/>
      <c r="I160" s="2075"/>
      <c r="J160" s="2075"/>
      <c r="K160" s="2075"/>
      <c r="L160" s="2075"/>
    </row>
    <row r="161" spans="2:12" ht="15.75" customHeight="1" x14ac:dyDescent="0.2">
      <c r="B161" s="2075"/>
      <c r="C161" s="2075"/>
      <c r="D161" s="2075"/>
      <c r="E161" s="2075"/>
      <c r="F161" s="2075"/>
      <c r="G161" s="2075"/>
      <c r="H161" s="2075"/>
      <c r="I161" s="2075"/>
      <c r="J161" s="2075"/>
      <c r="K161" s="2075"/>
      <c r="L161" s="2075"/>
    </row>
    <row r="162" spans="2:12" ht="16" x14ac:dyDescent="0.2">
      <c r="B162" s="636"/>
      <c r="C162" s="636"/>
      <c r="D162" s="636"/>
      <c r="E162" s="636"/>
      <c r="F162" s="636"/>
      <c r="G162" s="636"/>
      <c r="H162" s="643"/>
    </row>
    <row r="163" spans="2:12" x14ac:dyDescent="0.2">
      <c r="B163" s="636"/>
      <c r="C163" s="2075" t="s">
        <v>3269</v>
      </c>
      <c r="D163" s="2075"/>
      <c r="E163" s="2075"/>
      <c r="F163" s="2075"/>
      <c r="G163" s="2075"/>
      <c r="H163" s="2075"/>
      <c r="I163" s="2075"/>
      <c r="J163" s="2075"/>
      <c r="K163" s="2075"/>
      <c r="L163" s="2075"/>
    </row>
    <row r="164" spans="2:12" x14ac:dyDescent="0.2">
      <c r="C164" s="2075"/>
      <c r="D164" s="2075"/>
      <c r="E164" s="2075"/>
      <c r="F164" s="2075"/>
      <c r="G164" s="2075"/>
      <c r="H164" s="2075"/>
      <c r="I164" s="2075"/>
      <c r="J164" s="2075"/>
      <c r="K164" s="2075"/>
      <c r="L164" s="2075"/>
    </row>
  </sheetData>
  <sheetProtection algorithmName="SHA-512" hashValue="blV36SrYVOlTHYn0jrp1y1N5sH63Kg8+mE0Sb23rqv7fotsyvfCRUnerylr5deeCmapvaOqC4VdLIIsRXbw4xw==" saltValue="jh0Ch2iYm1B8CoHO5aclMg==" spinCount="100000" sheet="1" objects="1" scenarios="1" selectLockedCells="1" selectUnlockedCells="1"/>
  <mergeCells count="83">
    <mergeCell ref="C163:L164"/>
    <mergeCell ref="B151:L153"/>
    <mergeCell ref="B157:L158"/>
    <mergeCell ref="B160:L161"/>
    <mergeCell ref="D147:E147"/>
    <mergeCell ref="D134:I134"/>
    <mergeCell ref="B149:L149"/>
    <mergeCell ref="B155:L155"/>
    <mergeCell ref="D141:E141"/>
    <mergeCell ref="D142:E142"/>
    <mergeCell ref="D143:E143"/>
    <mergeCell ref="D144:E144"/>
    <mergeCell ref="D145:E145"/>
    <mergeCell ref="D146:E146"/>
    <mergeCell ref="D138:E138"/>
    <mergeCell ref="D135:I135"/>
    <mergeCell ref="D139:E139"/>
    <mergeCell ref="D140:E140"/>
    <mergeCell ref="D136:E137"/>
    <mergeCell ref="F136:I136"/>
    <mergeCell ref="E126:K126"/>
    <mergeCell ref="E127:K127"/>
    <mergeCell ref="E128:K129"/>
    <mergeCell ref="E130:K130"/>
    <mergeCell ref="E131:K131"/>
    <mergeCell ref="D34:L35"/>
    <mergeCell ref="C37:L38"/>
    <mergeCell ref="D69:J69"/>
    <mergeCell ref="D70:J70"/>
    <mergeCell ref="E56:G56"/>
    <mergeCell ref="E57:G57"/>
    <mergeCell ref="E62:G62"/>
    <mergeCell ref="B40:L43"/>
    <mergeCell ref="B45:L46"/>
    <mergeCell ref="B48:L53"/>
    <mergeCell ref="E55:G55"/>
    <mergeCell ref="E63:G63"/>
    <mergeCell ref="E64:G64"/>
    <mergeCell ref="G58:K58"/>
    <mergeCell ref="G59:K59"/>
    <mergeCell ref="G60:K60"/>
    <mergeCell ref="B4:K4"/>
    <mergeCell ref="B8:G8"/>
    <mergeCell ref="B10:G10"/>
    <mergeCell ref="C29:L30"/>
    <mergeCell ref="D32:L33"/>
    <mergeCell ref="B6:L6"/>
    <mergeCell ref="B7:L7"/>
    <mergeCell ref="B9:L9"/>
    <mergeCell ref="B11:L13"/>
    <mergeCell ref="B15:L19"/>
    <mergeCell ref="B21:L21"/>
    <mergeCell ref="B24:L27"/>
    <mergeCell ref="B22:L22"/>
    <mergeCell ref="B23:F23"/>
    <mergeCell ref="G23:H23"/>
    <mergeCell ref="D85:E85"/>
    <mergeCell ref="D86:E86"/>
    <mergeCell ref="G65:K65"/>
    <mergeCell ref="G66:K66"/>
    <mergeCell ref="G67:K67"/>
    <mergeCell ref="D71:E71"/>
    <mergeCell ref="D72:E72"/>
    <mergeCell ref="D81:J81"/>
    <mergeCell ref="D82:E82"/>
    <mergeCell ref="D83:E83"/>
    <mergeCell ref="D84:E84"/>
    <mergeCell ref="C123:E123"/>
    <mergeCell ref="C124:E124"/>
    <mergeCell ref="C125:E125"/>
    <mergeCell ref="F71:J71"/>
    <mergeCell ref="F82:J82"/>
    <mergeCell ref="B91:L92"/>
    <mergeCell ref="D87:E87"/>
    <mergeCell ref="D88:E88"/>
    <mergeCell ref="D89:E89"/>
    <mergeCell ref="C118:L121"/>
    <mergeCell ref="B94:L97"/>
    <mergeCell ref="B99:L102"/>
    <mergeCell ref="B104:L108"/>
    <mergeCell ref="C110:L113"/>
    <mergeCell ref="B115:L116"/>
    <mergeCell ref="D80:J80"/>
  </mergeCells>
  <pageMargins left="0.7" right="0.7" top="0.75" bottom="0.75" header="0.3" footer="0.3"/>
  <pageSetup orientation="portrait" horizontalDpi="0" verticalDpi="0"/>
  <drawing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codeName="Sheet38"/>
  <dimension ref="B2:L79"/>
  <sheetViews>
    <sheetView showGridLines="0" workbookViewId="0"/>
  </sheetViews>
  <sheetFormatPr baseColWidth="10" defaultColWidth="9.1640625" defaultRowHeight="15" x14ac:dyDescent="0.2"/>
  <cols>
    <col min="1" max="16384" width="9.1640625" style="627"/>
  </cols>
  <sheetData>
    <row r="2" spans="2:12" ht="16" x14ac:dyDescent="0.2">
      <c r="B2" s="642" t="s">
        <v>3413</v>
      </c>
    </row>
    <row r="3" spans="2:12" ht="16" x14ac:dyDescent="0.2">
      <c r="B3" s="641"/>
    </row>
    <row r="4" spans="2:12" x14ac:dyDescent="0.2">
      <c r="B4" s="2123" t="s">
        <v>3412</v>
      </c>
      <c r="C4" s="2123"/>
      <c r="D4" s="2123"/>
      <c r="E4" s="2123"/>
      <c r="F4" s="2123"/>
      <c r="G4" s="2123"/>
      <c r="H4" s="2123"/>
      <c r="I4" s="2123"/>
    </row>
    <row r="5" spans="2:12" x14ac:dyDescent="0.2">
      <c r="B5" s="2123"/>
      <c r="C5" s="2123"/>
      <c r="D5" s="2123"/>
      <c r="E5" s="2123"/>
      <c r="F5" s="2123"/>
      <c r="G5" s="2123"/>
      <c r="H5" s="2123"/>
      <c r="I5" s="2123"/>
    </row>
    <row r="6" spans="2:12" x14ac:dyDescent="0.2">
      <c r="B6" s="2123"/>
      <c r="C6" s="2123"/>
      <c r="D6" s="2123"/>
      <c r="E6" s="2123"/>
      <c r="F6" s="2123"/>
      <c r="G6" s="2123"/>
      <c r="H6" s="2123"/>
      <c r="I6" s="2123"/>
    </row>
    <row r="7" spans="2:12" x14ac:dyDescent="0.2">
      <c r="B7" s="639"/>
    </row>
    <row r="8" spans="2:12" x14ac:dyDescent="0.2">
      <c r="B8" s="2048" t="s">
        <v>3411</v>
      </c>
      <c r="C8" s="2049"/>
      <c r="D8" s="2049"/>
      <c r="E8" s="2049"/>
      <c r="F8" s="2049"/>
      <c r="G8" s="2049"/>
      <c r="H8" s="2049"/>
      <c r="I8" s="2049"/>
      <c r="J8" s="2049"/>
      <c r="K8" s="2049"/>
      <c r="L8" s="2049"/>
    </row>
    <row r="9" spans="2:12" x14ac:dyDescent="0.2">
      <c r="B9" s="2048" t="s">
        <v>3265</v>
      </c>
      <c r="C9" s="2049"/>
      <c r="D9" s="2049"/>
      <c r="E9" s="2049"/>
      <c r="F9" s="2049"/>
      <c r="G9" s="2049"/>
      <c r="H9" s="2049"/>
      <c r="I9" s="2049"/>
      <c r="J9" s="2049"/>
      <c r="K9" s="2049"/>
      <c r="L9" s="2049"/>
    </row>
    <row r="10" spans="2:12" x14ac:dyDescent="0.2">
      <c r="B10" s="2105"/>
      <c r="C10" s="2105"/>
      <c r="D10" s="2105"/>
      <c r="E10" s="2105"/>
    </row>
    <row r="11" spans="2:12" x14ac:dyDescent="0.2">
      <c r="B11" s="2103" t="s">
        <v>3410</v>
      </c>
      <c r="C11" s="2103"/>
      <c r="D11" s="2103"/>
      <c r="E11" s="2103"/>
      <c r="F11" s="2103"/>
      <c r="G11" s="2103"/>
      <c r="H11" s="2103"/>
      <c r="I11" s="2103"/>
      <c r="J11" s="2103"/>
      <c r="K11" s="2103"/>
      <c r="L11" s="2103"/>
    </row>
    <row r="12" spans="2:12" x14ac:dyDescent="0.2">
      <c r="B12" s="2103"/>
      <c r="C12" s="2103"/>
      <c r="D12" s="2103"/>
      <c r="E12" s="2103"/>
    </row>
    <row r="13" spans="2:12" x14ac:dyDescent="0.2">
      <c r="B13" s="2047" t="s">
        <v>3409</v>
      </c>
      <c r="C13" s="2047"/>
      <c r="D13" s="2047"/>
      <c r="E13" s="2047"/>
      <c r="F13" s="2047"/>
      <c r="G13" s="2047"/>
      <c r="H13" s="2047"/>
      <c r="I13" s="2047"/>
      <c r="J13" s="2047"/>
      <c r="K13" s="2047"/>
      <c r="L13" s="2047"/>
    </row>
    <row r="14" spans="2:12" x14ac:dyDescent="0.2">
      <c r="B14" s="2047"/>
      <c r="C14" s="2047"/>
      <c r="D14" s="2047"/>
      <c r="E14" s="2047"/>
      <c r="F14" s="2047"/>
      <c r="G14" s="2047"/>
      <c r="H14" s="2047"/>
      <c r="I14" s="2047"/>
      <c r="J14" s="2047"/>
      <c r="K14" s="2047"/>
      <c r="L14" s="2047"/>
    </row>
    <row r="15" spans="2:12" x14ac:dyDescent="0.2">
      <c r="B15" s="2103"/>
      <c r="C15" s="2103"/>
      <c r="D15" s="2103"/>
      <c r="E15" s="2103"/>
    </row>
    <row r="16" spans="2:12" x14ac:dyDescent="0.2">
      <c r="B16" s="2048" t="s">
        <v>3408</v>
      </c>
      <c r="C16" s="2049"/>
      <c r="D16" s="2049"/>
      <c r="E16" s="2049"/>
      <c r="F16" s="2049"/>
      <c r="G16" s="2049"/>
      <c r="H16" s="2049"/>
      <c r="I16" s="2049"/>
      <c r="J16" s="2049"/>
      <c r="K16" s="2049"/>
      <c r="L16" s="2049"/>
    </row>
    <row r="17" spans="2:12" x14ac:dyDescent="0.2">
      <c r="B17" s="2048" t="s">
        <v>3407</v>
      </c>
      <c r="C17" s="2049"/>
      <c r="D17" s="2049"/>
      <c r="E17" s="2049"/>
      <c r="F17" s="2049"/>
      <c r="G17" s="2049"/>
      <c r="H17" s="2049"/>
      <c r="I17" s="2049"/>
      <c r="J17" s="2049"/>
      <c r="K17" s="2049"/>
      <c r="L17" s="2049"/>
    </row>
    <row r="18" spans="2:12" x14ac:dyDescent="0.2">
      <c r="B18" s="2103"/>
      <c r="C18" s="2103"/>
      <c r="D18" s="2103"/>
      <c r="E18" s="2103"/>
    </row>
    <row r="19" spans="2:12" x14ac:dyDescent="0.2">
      <c r="B19" s="2097" t="s">
        <v>3406</v>
      </c>
      <c r="C19" s="2097"/>
      <c r="D19" s="2097"/>
      <c r="E19" s="2097"/>
      <c r="F19" s="2097"/>
      <c r="G19" s="2097"/>
      <c r="H19" s="2097"/>
      <c r="I19" s="2097"/>
      <c r="J19" s="2097"/>
      <c r="K19" s="2097"/>
      <c r="L19" s="2097"/>
    </row>
    <row r="20" spans="2:12" ht="16" thickBot="1" x14ac:dyDescent="0.25">
      <c r="B20" s="2104" t="s">
        <v>3405</v>
      </c>
      <c r="C20" s="2104"/>
      <c r="D20" s="2104"/>
      <c r="E20" s="2104"/>
      <c r="F20" s="2104"/>
      <c r="G20" s="2104"/>
      <c r="H20" s="2104"/>
      <c r="I20" s="2104"/>
      <c r="J20" s="2104"/>
      <c r="K20" s="2104"/>
      <c r="L20" s="2104"/>
    </row>
    <row r="21" spans="2:12" ht="15" customHeight="1" x14ac:dyDescent="0.2">
      <c r="B21" s="2106" t="s">
        <v>3404</v>
      </c>
      <c r="C21" s="2107"/>
      <c r="D21" s="2108"/>
      <c r="E21" s="2106" t="s">
        <v>3403</v>
      </c>
      <c r="F21" s="2107"/>
      <c r="G21" s="2107"/>
      <c r="H21" s="2107"/>
      <c r="I21" s="2107"/>
      <c r="J21" s="2107"/>
      <c r="K21" s="2107"/>
      <c r="L21" s="2108"/>
    </row>
    <row r="22" spans="2:12" ht="15" customHeight="1" thickBot="1" x14ac:dyDescent="0.25">
      <c r="B22" s="2109"/>
      <c r="C22" s="2104"/>
      <c r="D22" s="2110"/>
      <c r="E22" s="2109"/>
      <c r="F22" s="2104"/>
      <c r="G22" s="2104"/>
      <c r="H22" s="2104"/>
      <c r="I22" s="2104"/>
      <c r="J22" s="2104"/>
      <c r="K22" s="2104"/>
      <c r="L22" s="2110"/>
    </row>
    <row r="23" spans="2:12" ht="15" customHeight="1" x14ac:dyDescent="0.2">
      <c r="B23" s="2132" t="s">
        <v>3402</v>
      </c>
      <c r="C23" s="2099"/>
      <c r="D23" s="2099"/>
      <c r="E23" s="2099" t="s">
        <v>3401</v>
      </c>
      <c r="F23" s="2099"/>
      <c r="G23" s="2099"/>
      <c r="H23" s="2099"/>
      <c r="I23" s="2099"/>
      <c r="J23" s="2099"/>
      <c r="K23" s="2099"/>
      <c r="L23" s="2100"/>
    </row>
    <row r="24" spans="2:12" ht="15" customHeight="1" x14ac:dyDescent="0.2">
      <c r="B24" s="2095"/>
      <c r="C24" s="2096"/>
      <c r="D24" s="2096"/>
      <c r="E24" s="2096"/>
      <c r="F24" s="2096"/>
      <c r="G24" s="2096"/>
      <c r="H24" s="2096"/>
      <c r="I24" s="2096"/>
      <c r="J24" s="2096"/>
      <c r="K24" s="2096"/>
      <c r="L24" s="2098"/>
    </row>
    <row r="25" spans="2:12" ht="15" customHeight="1" x14ac:dyDescent="0.2">
      <c r="B25" s="2095" t="s">
        <v>3400</v>
      </c>
      <c r="C25" s="2096"/>
      <c r="D25" s="2096"/>
      <c r="E25" s="2096" t="s">
        <v>3379</v>
      </c>
      <c r="F25" s="2096"/>
      <c r="G25" s="2096"/>
      <c r="H25" s="2096"/>
      <c r="I25" s="2096"/>
      <c r="J25" s="2096"/>
      <c r="K25" s="2096"/>
      <c r="L25" s="2098"/>
    </row>
    <row r="26" spans="2:12" ht="15" customHeight="1" x14ac:dyDescent="0.2">
      <c r="B26" s="2095" t="s">
        <v>3399</v>
      </c>
      <c r="C26" s="2096"/>
      <c r="D26" s="2096"/>
      <c r="E26" s="2096" t="s">
        <v>3398</v>
      </c>
      <c r="F26" s="2096"/>
      <c r="G26" s="2096"/>
      <c r="H26" s="2096"/>
      <c r="I26" s="2096"/>
      <c r="J26" s="2096"/>
      <c r="K26" s="2096"/>
      <c r="L26" s="2098"/>
    </row>
    <row r="27" spans="2:12" ht="15" customHeight="1" x14ac:dyDescent="0.2">
      <c r="B27" s="2095"/>
      <c r="C27" s="2096"/>
      <c r="D27" s="2096"/>
      <c r="E27" s="2096"/>
      <c r="F27" s="2096"/>
      <c r="G27" s="2096"/>
      <c r="H27" s="2096"/>
      <c r="I27" s="2096"/>
      <c r="J27" s="2096"/>
      <c r="K27" s="2096"/>
      <c r="L27" s="2098"/>
    </row>
    <row r="28" spans="2:12" ht="15" customHeight="1" x14ac:dyDescent="0.2">
      <c r="B28" s="2095" t="s">
        <v>3397</v>
      </c>
      <c r="C28" s="2096"/>
      <c r="D28" s="2096"/>
      <c r="E28" s="2096" t="s">
        <v>3372</v>
      </c>
      <c r="F28" s="2096"/>
      <c r="G28" s="2096"/>
      <c r="H28" s="2096"/>
      <c r="I28" s="2096"/>
      <c r="J28" s="2096"/>
      <c r="K28" s="2096"/>
      <c r="L28" s="2098"/>
    </row>
    <row r="29" spans="2:12" ht="15" customHeight="1" x14ac:dyDescent="0.2">
      <c r="B29" s="2095"/>
      <c r="C29" s="2096"/>
      <c r="D29" s="2096"/>
      <c r="E29" s="2096" t="s">
        <v>3364</v>
      </c>
      <c r="F29" s="2096"/>
      <c r="G29" s="2096"/>
      <c r="H29" s="2096"/>
      <c r="I29" s="2096"/>
      <c r="J29" s="2096"/>
      <c r="K29" s="2096"/>
      <c r="L29" s="2098"/>
    </row>
    <row r="30" spans="2:12" ht="15" customHeight="1" x14ac:dyDescent="0.2">
      <c r="B30" s="2095" t="s">
        <v>3396</v>
      </c>
      <c r="C30" s="2096"/>
      <c r="D30" s="2096"/>
      <c r="E30" s="2096" t="s">
        <v>3372</v>
      </c>
      <c r="F30" s="2096"/>
      <c r="G30" s="2096"/>
      <c r="H30" s="2096"/>
      <c r="I30" s="2096"/>
      <c r="J30" s="2096"/>
      <c r="K30" s="2096"/>
      <c r="L30" s="2098"/>
    </row>
    <row r="31" spans="2:12" ht="15" customHeight="1" x14ac:dyDescent="0.2">
      <c r="B31" s="2095"/>
      <c r="C31" s="2096"/>
      <c r="D31" s="2096"/>
      <c r="E31" s="2096" t="s">
        <v>3364</v>
      </c>
      <c r="F31" s="2096"/>
      <c r="G31" s="2096"/>
      <c r="H31" s="2096"/>
      <c r="I31" s="2096"/>
      <c r="J31" s="2096"/>
      <c r="K31" s="2096"/>
      <c r="L31" s="2098"/>
    </row>
    <row r="32" spans="2:12" ht="15" customHeight="1" x14ac:dyDescent="0.2">
      <c r="B32" s="2095"/>
      <c r="C32" s="2096"/>
      <c r="D32" s="2096"/>
      <c r="E32" s="2096" t="s">
        <v>3358</v>
      </c>
      <c r="F32" s="2096"/>
      <c r="G32" s="2096"/>
      <c r="H32" s="2096"/>
      <c r="I32" s="2096"/>
      <c r="J32" s="2096"/>
      <c r="K32" s="2096"/>
      <c r="L32" s="2098"/>
    </row>
    <row r="33" spans="2:12" x14ac:dyDescent="0.2">
      <c r="B33" s="2095"/>
      <c r="C33" s="2096"/>
      <c r="D33" s="2096"/>
      <c r="E33" s="2096" t="s">
        <v>3352</v>
      </c>
      <c r="F33" s="2096"/>
      <c r="G33" s="2096"/>
      <c r="H33" s="2096"/>
      <c r="I33" s="2096"/>
      <c r="J33" s="2096"/>
      <c r="K33" s="2096"/>
      <c r="L33" s="2098"/>
    </row>
    <row r="34" spans="2:12" ht="15" customHeight="1" x14ac:dyDescent="0.2">
      <c r="B34" s="2095" t="s">
        <v>3395</v>
      </c>
      <c r="C34" s="2096"/>
      <c r="D34" s="2096"/>
      <c r="E34" s="2096" t="s">
        <v>3394</v>
      </c>
      <c r="F34" s="2096"/>
      <c r="G34" s="2096"/>
      <c r="H34" s="2096"/>
      <c r="I34" s="2096"/>
      <c r="J34" s="2096"/>
      <c r="K34" s="2096"/>
      <c r="L34" s="2098"/>
    </row>
    <row r="35" spans="2:12" ht="15" customHeight="1" x14ac:dyDescent="0.2">
      <c r="B35" s="2095"/>
      <c r="C35" s="2096"/>
      <c r="D35" s="2096"/>
      <c r="E35" s="2096" t="s">
        <v>3393</v>
      </c>
      <c r="F35" s="2096"/>
      <c r="G35" s="2096"/>
      <c r="H35" s="2096"/>
      <c r="I35" s="2096"/>
      <c r="J35" s="2096"/>
      <c r="K35" s="2096"/>
      <c r="L35" s="2098"/>
    </row>
    <row r="36" spans="2:12" ht="15" customHeight="1" x14ac:dyDescent="0.2">
      <c r="B36" s="2095"/>
      <c r="C36" s="2096"/>
      <c r="D36" s="2096"/>
      <c r="E36" s="2096" t="s">
        <v>3379</v>
      </c>
      <c r="F36" s="2096"/>
      <c r="G36" s="2096"/>
      <c r="H36" s="2096"/>
      <c r="I36" s="2096"/>
      <c r="J36" s="2096"/>
      <c r="K36" s="2096"/>
      <c r="L36" s="2098"/>
    </row>
    <row r="37" spans="2:12" ht="15" customHeight="1" x14ac:dyDescent="0.2">
      <c r="B37" s="2095"/>
      <c r="C37" s="2096"/>
      <c r="D37" s="2096"/>
      <c r="E37" s="2096" t="s">
        <v>3369</v>
      </c>
      <c r="F37" s="2096"/>
      <c r="G37" s="2096"/>
      <c r="H37" s="2096"/>
      <c r="I37" s="2096"/>
      <c r="J37" s="2096"/>
      <c r="K37" s="2096"/>
      <c r="L37" s="2098"/>
    </row>
    <row r="38" spans="2:12" ht="15" customHeight="1" x14ac:dyDescent="0.2">
      <c r="B38" s="2095"/>
      <c r="C38" s="2096"/>
      <c r="D38" s="2096"/>
      <c r="E38" s="2096" t="s">
        <v>3392</v>
      </c>
      <c r="F38" s="2096"/>
      <c r="G38" s="2096"/>
      <c r="H38" s="2096"/>
      <c r="I38" s="2096"/>
      <c r="J38" s="2096"/>
      <c r="K38" s="2096"/>
      <c r="L38" s="2098"/>
    </row>
    <row r="39" spans="2:12" ht="15.75" customHeight="1" x14ac:dyDescent="0.2">
      <c r="B39" s="2095" t="s">
        <v>3391</v>
      </c>
      <c r="C39" s="2096"/>
      <c r="D39" s="2096"/>
      <c r="E39" s="2096" t="s">
        <v>3390</v>
      </c>
      <c r="F39" s="2096"/>
      <c r="G39" s="2096"/>
      <c r="H39" s="2096"/>
      <c r="I39" s="2096"/>
      <c r="J39" s="2096"/>
      <c r="K39" s="2096"/>
      <c r="L39" s="2098"/>
    </row>
    <row r="40" spans="2:12" ht="15.75" customHeight="1" thickBot="1" x14ac:dyDescent="0.25">
      <c r="B40" s="2116"/>
      <c r="C40" s="2101"/>
      <c r="D40" s="2101"/>
      <c r="E40" s="2101"/>
      <c r="F40" s="2101"/>
      <c r="G40" s="2101"/>
      <c r="H40" s="2101"/>
      <c r="I40" s="2101"/>
      <c r="J40" s="2101"/>
      <c r="K40" s="2101"/>
      <c r="L40" s="2102"/>
    </row>
    <row r="43" spans="2:12" x14ac:dyDescent="0.2">
      <c r="B43" s="2126" t="s">
        <v>3389</v>
      </c>
      <c r="C43" s="2127"/>
      <c r="D43" s="2127"/>
      <c r="E43" s="2127"/>
      <c r="F43" s="2127"/>
      <c r="G43" s="2127"/>
      <c r="H43" s="2127"/>
      <c r="I43" s="2127"/>
      <c r="J43" s="2127"/>
      <c r="K43" s="2127"/>
      <c r="L43" s="2128"/>
    </row>
    <row r="44" spans="2:12" ht="16" thickBot="1" x14ac:dyDescent="0.25">
      <c r="B44" s="2129" t="s">
        <v>3388</v>
      </c>
      <c r="C44" s="2130"/>
      <c r="D44" s="2130"/>
      <c r="E44" s="2130"/>
      <c r="F44" s="2130"/>
      <c r="G44" s="2130"/>
      <c r="H44" s="2130"/>
      <c r="I44" s="2130"/>
      <c r="J44" s="2130"/>
      <c r="K44" s="2130"/>
      <c r="L44" s="2131"/>
    </row>
    <row r="45" spans="2:12" ht="16" thickBot="1" x14ac:dyDescent="0.25">
      <c r="B45" s="2111" t="s">
        <v>3387</v>
      </c>
      <c r="C45" s="2112"/>
      <c r="D45" s="2112"/>
      <c r="E45" s="2112"/>
      <c r="F45" s="2113"/>
      <c r="G45" s="2111" t="s">
        <v>3386</v>
      </c>
      <c r="H45" s="2112"/>
      <c r="I45" s="2112"/>
      <c r="J45" s="2112"/>
      <c r="K45" s="2112"/>
      <c r="L45" s="2113"/>
    </row>
    <row r="46" spans="2:12" x14ac:dyDescent="0.2">
      <c r="B46" s="2114" t="s">
        <v>3385</v>
      </c>
      <c r="C46" s="2115"/>
      <c r="D46" s="2115"/>
      <c r="E46" s="2115"/>
      <c r="F46" s="2115"/>
      <c r="G46" s="2121" t="s">
        <v>3384</v>
      </c>
      <c r="H46" s="2121"/>
      <c r="I46" s="2121"/>
      <c r="J46" s="2121"/>
      <c r="K46" s="2121"/>
      <c r="L46" s="2122"/>
    </row>
    <row r="47" spans="2:12" x14ac:dyDescent="0.2">
      <c r="B47" s="2095"/>
      <c r="C47" s="2096"/>
      <c r="D47" s="2096"/>
      <c r="E47" s="2096"/>
      <c r="F47" s="2096"/>
      <c r="G47" s="2117" t="s">
        <v>3383</v>
      </c>
      <c r="H47" s="2117"/>
      <c r="I47" s="2117"/>
      <c r="J47" s="2117"/>
      <c r="K47" s="2117"/>
      <c r="L47" s="2118"/>
    </row>
    <row r="48" spans="2:12" x14ac:dyDescent="0.2">
      <c r="B48" s="2095"/>
      <c r="C48" s="2096"/>
      <c r="D48" s="2096"/>
      <c r="E48" s="2096"/>
      <c r="F48" s="2096"/>
      <c r="G48" s="2117" t="s">
        <v>3382</v>
      </c>
      <c r="H48" s="2117"/>
      <c r="I48" s="2117"/>
      <c r="J48" s="2117"/>
      <c r="K48" s="2117"/>
      <c r="L48" s="2118"/>
    </row>
    <row r="49" spans="2:12" x14ac:dyDescent="0.2">
      <c r="B49" s="2095"/>
      <c r="C49" s="2096"/>
      <c r="D49" s="2096"/>
      <c r="E49" s="2096"/>
      <c r="F49" s="2096"/>
      <c r="G49" s="2119" t="s">
        <v>3381</v>
      </c>
      <c r="H49" s="2119"/>
      <c r="I49" s="2119"/>
      <c r="J49" s="2119"/>
      <c r="K49" s="2119"/>
      <c r="L49" s="2120"/>
    </row>
    <row r="50" spans="2:12" x14ac:dyDescent="0.2">
      <c r="B50" s="2095"/>
      <c r="C50" s="2096"/>
      <c r="D50" s="2096"/>
      <c r="E50" s="2096"/>
      <c r="F50" s="2096"/>
      <c r="G50" s="2117" t="s">
        <v>3380</v>
      </c>
      <c r="H50" s="2117"/>
      <c r="I50" s="2117"/>
      <c r="J50" s="2117"/>
      <c r="K50" s="2117"/>
      <c r="L50" s="2118"/>
    </row>
    <row r="51" spans="2:12" x14ac:dyDescent="0.2">
      <c r="B51" s="2095" t="s">
        <v>3379</v>
      </c>
      <c r="C51" s="2096"/>
      <c r="D51" s="2096"/>
      <c r="E51" s="2096"/>
      <c r="F51" s="2096"/>
      <c r="G51" s="2117" t="s">
        <v>3378</v>
      </c>
      <c r="H51" s="2117"/>
      <c r="I51" s="2117"/>
      <c r="J51" s="2117"/>
      <c r="K51" s="2117"/>
      <c r="L51" s="2118"/>
    </row>
    <row r="52" spans="2:12" x14ac:dyDescent="0.2">
      <c r="B52" s="2095"/>
      <c r="C52" s="2096"/>
      <c r="D52" s="2096"/>
      <c r="E52" s="2096"/>
      <c r="F52" s="2096"/>
      <c r="G52" s="2117" t="s">
        <v>3377</v>
      </c>
      <c r="H52" s="2117"/>
      <c r="I52" s="2117"/>
      <c r="J52" s="2117"/>
      <c r="K52" s="2117"/>
      <c r="L52" s="2118"/>
    </row>
    <row r="53" spans="2:12" x14ac:dyDescent="0.2">
      <c r="B53" s="2095"/>
      <c r="C53" s="2096"/>
      <c r="D53" s="2096"/>
      <c r="E53" s="2096"/>
      <c r="F53" s="2096"/>
      <c r="G53" s="2117" t="s">
        <v>3376</v>
      </c>
      <c r="H53" s="2117"/>
      <c r="I53" s="2117"/>
      <c r="J53" s="2117"/>
      <c r="K53" s="2117"/>
      <c r="L53" s="2118"/>
    </row>
    <row r="54" spans="2:12" x14ac:dyDescent="0.2">
      <c r="B54" s="2095"/>
      <c r="C54" s="2096"/>
      <c r="D54" s="2096"/>
      <c r="E54" s="2096"/>
      <c r="F54" s="2096"/>
      <c r="G54" s="2117" t="s">
        <v>3375</v>
      </c>
      <c r="H54" s="2117"/>
      <c r="I54" s="2117"/>
      <c r="J54" s="2117"/>
      <c r="K54" s="2117"/>
      <c r="L54" s="2118"/>
    </row>
    <row r="55" spans="2:12" x14ac:dyDescent="0.2">
      <c r="B55" s="2095"/>
      <c r="C55" s="2096"/>
      <c r="D55" s="2096"/>
      <c r="E55" s="2096"/>
      <c r="F55" s="2096"/>
      <c r="G55" s="2119" t="s">
        <v>3374</v>
      </c>
      <c r="H55" s="2119"/>
      <c r="I55" s="2119"/>
      <c r="J55" s="2119"/>
      <c r="K55" s="2119"/>
      <c r="L55" s="2120"/>
    </row>
    <row r="56" spans="2:12" x14ac:dyDescent="0.2">
      <c r="B56" s="2095"/>
      <c r="C56" s="2096"/>
      <c r="D56" s="2096"/>
      <c r="E56" s="2096"/>
      <c r="F56" s="2096"/>
      <c r="G56" s="2117" t="s">
        <v>3373</v>
      </c>
      <c r="H56" s="2117"/>
      <c r="I56" s="2117"/>
      <c r="J56" s="2117"/>
      <c r="K56" s="2117"/>
      <c r="L56" s="2118"/>
    </row>
    <row r="57" spans="2:12" x14ac:dyDescent="0.2">
      <c r="B57" s="2095" t="s">
        <v>3372</v>
      </c>
      <c r="C57" s="2096"/>
      <c r="D57" s="2096"/>
      <c r="E57" s="2096"/>
      <c r="F57" s="2096"/>
      <c r="G57" s="2117" t="s">
        <v>3371</v>
      </c>
      <c r="H57" s="2117"/>
      <c r="I57" s="2117"/>
      <c r="J57" s="2117"/>
      <c r="K57" s="2117"/>
      <c r="L57" s="2118"/>
    </row>
    <row r="58" spans="2:12" x14ac:dyDescent="0.2">
      <c r="B58" s="2095"/>
      <c r="C58" s="2096"/>
      <c r="D58" s="2096"/>
      <c r="E58" s="2096"/>
      <c r="F58" s="2096"/>
      <c r="G58" s="2117"/>
      <c r="H58" s="2117"/>
      <c r="I58" s="2117"/>
      <c r="J58" s="2117"/>
      <c r="K58" s="2117"/>
      <c r="L58" s="2118"/>
    </row>
    <row r="59" spans="2:12" x14ac:dyDescent="0.2">
      <c r="B59" s="2095"/>
      <c r="C59" s="2096"/>
      <c r="D59" s="2096"/>
      <c r="E59" s="2096"/>
      <c r="F59" s="2096"/>
      <c r="G59" s="2119" t="s">
        <v>3370</v>
      </c>
      <c r="H59" s="2119"/>
      <c r="I59" s="2119"/>
      <c r="J59" s="2119"/>
      <c r="K59" s="2119"/>
      <c r="L59" s="2120"/>
    </row>
    <row r="60" spans="2:12" x14ac:dyDescent="0.2">
      <c r="B60" s="2095"/>
      <c r="C60" s="2096"/>
      <c r="D60" s="2096"/>
      <c r="E60" s="2096"/>
      <c r="F60" s="2096"/>
      <c r="G60" s="2117" t="s">
        <v>3347</v>
      </c>
      <c r="H60" s="2117"/>
      <c r="I60" s="2117"/>
      <c r="J60" s="2117"/>
      <c r="K60" s="2117"/>
      <c r="L60" s="2118"/>
    </row>
    <row r="61" spans="2:12" x14ac:dyDescent="0.2">
      <c r="B61" s="2095" t="s">
        <v>3369</v>
      </c>
      <c r="C61" s="2096"/>
      <c r="D61" s="2096"/>
      <c r="E61" s="2096"/>
      <c r="F61" s="2096"/>
      <c r="G61" s="2117" t="s">
        <v>3368</v>
      </c>
      <c r="H61" s="2117"/>
      <c r="I61" s="2117"/>
      <c r="J61" s="2117"/>
      <c r="K61" s="2117"/>
      <c r="L61" s="2118"/>
    </row>
    <row r="62" spans="2:12" x14ac:dyDescent="0.2">
      <c r="B62" s="2095"/>
      <c r="C62" s="2096"/>
      <c r="D62" s="2096"/>
      <c r="E62" s="2096"/>
      <c r="F62" s="2096"/>
      <c r="G62" s="2117" t="s">
        <v>3367</v>
      </c>
      <c r="H62" s="2117"/>
      <c r="I62" s="2117"/>
      <c r="J62" s="2117"/>
      <c r="K62" s="2117"/>
      <c r="L62" s="2118"/>
    </row>
    <row r="63" spans="2:12" x14ac:dyDescent="0.2">
      <c r="B63" s="2095"/>
      <c r="C63" s="2096"/>
      <c r="D63" s="2096"/>
      <c r="E63" s="2096"/>
      <c r="F63" s="2096"/>
      <c r="G63" s="2117" t="s">
        <v>3366</v>
      </c>
      <c r="H63" s="2117"/>
      <c r="I63" s="2117"/>
      <c r="J63" s="2117"/>
      <c r="K63" s="2117"/>
      <c r="L63" s="2118"/>
    </row>
    <row r="64" spans="2:12" x14ac:dyDescent="0.2">
      <c r="B64" s="2095"/>
      <c r="C64" s="2096"/>
      <c r="D64" s="2096"/>
      <c r="E64" s="2096"/>
      <c r="F64" s="2096"/>
      <c r="G64" s="2119" t="s">
        <v>3365</v>
      </c>
      <c r="H64" s="2119"/>
      <c r="I64" s="2119"/>
      <c r="J64" s="2119"/>
      <c r="K64" s="2119"/>
      <c r="L64" s="2120"/>
    </row>
    <row r="65" spans="2:12" x14ac:dyDescent="0.2">
      <c r="B65" s="2095" t="s">
        <v>3364</v>
      </c>
      <c r="C65" s="2096"/>
      <c r="D65" s="2096"/>
      <c r="E65" s="2096"/>
      <c r="F65" s="2096"/>
      <c r="G65" s="2117" t="s">
        <v>3363</v>
      </c>
      <c r="H65" s="2117"/>
      <c r="I65" s="2117"/>
      <c r="J65" s="2117"/>
      <c r="K65" s="2117"/>
      <c r="L65" s="2118"/>
    </row>
    <row r="66" spans="2:12" x14ac:dyDescent="0.2">
      <c r="B66" s="2095"/>
      <c r="C66" s="2096"/>
      <c r="D66" s="2096"/>
      <c r="E66" s="2096"/>
      <c r="F66" s="2096"/>
      <c r="G66" s="2117" t="s">
        <v>3362</v>
      </c>
      <c r="H66" s="2117"/>
      <c r="I66" s="2117"/>
      <c r="J66" s="2117"/>
      <c r="K66" s="2117"/>
      <c r="L66" s="2118"/>
    </row>
    <row r="67" spans="2:12" x14ac:dyDescent="0.2">
      <c r="B67" s="2095"/>
      <c r="C67" s="2096"/>
      <c r="D67" s="2096"/>
      <c r="E67" s="2096"/>
      <c r="F67" s="2096"/>
      <c r="G67" s="2117" t="s">
        <v>3361</v>
      </c>
      <c r="H67" s="2117"/>
      <c r="I67" s="2117"/>
      <c r="J67" s="2117"/>
      <c r="K67" s="2117"/>
      <c r="L67" s="2118"/>
    </row>
    <row r="68" spans="2:12" x14ac:dyDescent="0.2">
      <c r="B68" s="2095"/>
      <c r="C68" s="2096"/>
      <c r="D68" s="2096"/>
      <c r="E68" s="2096"/>
      <c r="F68" s="2096"/>
      <c r="G68" s="2119" t="s">
        <v>3360</v>
      </c>
      <c r="H68" s="2119"/>
      <c r="I68" s="2119"/>
      <c r="J68" s="2119"/>
      <c r="K68" s="2119"/>
      <c r="L68" s="2120"/>
    </row>
    <row r="69" spans="2:12" x14ac:dyDescent="0.2">
      <c r="B69" s="2095"/>
      <c r="C69" s="2096"/>
      <c r="D69" s="2096"/>
      <c r="E69" s="2096"/>
      <c r="F69" s="2096"/>
      <c r="G69" s="2117" t="s">
        <v>3359</v>
      </c>
      <c r="H69" s="2117"/>
      <c r="I69" s="2117"/>
      <c r="J69" s="2117"/>
      <c r="K69" s="2117"/>
      <c r="L69" s="2118"/>
    </row>
    <row r="70" spans="2:12" x14ac:dyDescent="0.2">
      <c r="B70" s="2095" t="s">
        <v>3358</v>
      </c>
      <c r="C70" s="2096"/>
      <c r="D70" s="2096"/>
      <c r="E70" s="2096"/>
      <c r="F70" s="2096"/>
      <c r="G70" s="2117" t="s">
        <v>3357</v>
      </c>
      <c r="H70" s="2117"/>
      <c r="I70" s="2117"/>
      <c r="J70" s="2117"/>
      <c r="K70" s="2117"/>
      <c r="L70" s="2118"/>
    </row>
    <row r="71" spans="2:12" x14ac:dyDescent="0.2">
      <c r="B71" s="2095"/>
      <c r="C71" s="2096"/>
      <c r="D71" s="2096"/>
      <c r="E71" s="2096"/>
      <c r="F71" s="2096"/>
      <c r="G71" s="2117" t="s">
        <v>3356</v>
      </c>
      <c r="H71" s="2117"/>
      <c r="I71" s="2117"/>
      <c r="J71" s="2117"/>
      <c r="K71" s="2117"/>
      <c r="L71" s="2118"/>
    </row>
    <row r="72" spans="2:12" x14ac:dyDescent="0.2">
      <c r="B72" s="2095"/>
      <c r="C72" s="2096"/>
      <c r="D72" s="2096"/>
      <c r="E72" s="2096"/>
      <c r="F72" s="2096"/>
      <c r="G72" s="2117" t="s">
        <v>3355</v>
      </c>
      <c r="H72" s="2117"/>
      <c r="I72" s="2117"/>
      <c r="J72" s="2117"/>
      <c r="K72" s="2117"/>
      <c r="L72" s="2118"/>
    </row>
    <row r="73" spans="2:12" x14ac:dyDescent="0.2">
      <c r="B73" s="2095"/>
      <c r="C73" s="2096"/>
      <c r="D73" s="2096"/>
      <c r="E73" s="2096"/>
      <c r="F73" s="2096"/>
      <c r="G73" s="2119" t="s">
        <v>3354</v>
      </c>
      <c r="H73" s="2119"/>
      <c r="I73" s="2119"/>
      <c r="J73" s="2119"/>
      <c r="K73" s="2119"/>
      <c r="L73" s="2120"/>
    </row>
    <row r="74" spans="2:12" x14ac:dyDescent="0.2">
      <c r="B74" s="2095"/>
      <c r="C74" s="2096"/>
      <c r="D74" s="2096"/>
      <c r="E74" s="2096"/>
      <c r="F74" s="2096"/>
      <c r="G74" s="2117" t="s">
        <v>3353</v>
      </c>
      <c r="H74" s="2117"/>
      <c r="I74" s="2117"/>
      <c r="J74" s="2117"/>
      <c r="K74" s="2117"/>
      <c r="L74" s="2118"/>
    </row>
    <row r="75" spans="2:12" x14ac:dyDescent="0.2">
      <c r="B75" s="2095" t="s">
        <v>3352</v>
      </c>
      <c r="C75" s="2096"/>
      <c r="D75" s="2096"/>
      <c r="E75" s="2096"/>
      <c r="F75" s="2096"/>
      <c r="G75" s="2117" t="s">
        <v>3351</v>
      </c>
      <c r="H75" s="2117"/>
      <c r="I75" s="2117"/>
      <c r="J75" s="2117"/>
      <c r="K75" s="2117"/>
      <c r="L75" s="2118"/>
    </row>
    <row r="76" spans="2:12" x14ac:dyDescent="0.2">
      <c r="B76" s="2095"/>
      <c r="C76" s="2096"/>
      <c r="D76" s="2096"/>
      <c r="E76" s="2096"/>
      <c r="F76" s="2096"/>
      <c r="G76" s="2117" t="s">
        <v>3350</v>
      </c>
      <c r="H76" s="2117"/>
      <c r="I76" s="2117"/>
      <c r="J76" s="2117"/>
      <c r="K76" s="2117"/>
      <c r="L76" s="2118"/>
    </row>
    <row r="77" spans="2:12" x14ac:dyDescent="0.2">
      <c r="B77" s="2095"/>
      <c r="C77" s="2096"/>
      <c r="D77" s="2096"/>
      <c r="E77" s="2096"/>
      <c r="F77" s="2096"/>
      <c r="G77" s="2117" t="s">
        <v>3349</v>
      </c>
      <c r="H77" s="2117"/>
      <c r="I77" s="2117"/>
      <c r="J77" s="2117"/>
      <c r="K77" s="2117"/>
      <c r="L77" s="2118"/>
    </row>
    <row r="78" spans="2:12" x14ac:dyDescent="0.2">
      <c r="B78" s="2095"/>
      <c r="C78" s="2096"/>
      <c r="D78" s="2096"/>
      <c r="E78" s="2096"/>
      <c r="F78" s="2096"/>
      <c r="G78" s="2119" t="s">
        <v>3348</v>
      </c>
      <c r="H78" s="2119"/>
      <c r="I78" s="2119"/>
      <c r="J78" s="2119"/>
      <c r="K78" s="2119"/>
      <c r="L78" s="2120"/>
    </row>
    <row r="79" spans="2:12" ht="16" thickBot="1" x14ac:dyDescent="0.25">
      <c r="B79" s="2116"/>
      <c r="C79" s="2101"/>
      <c r="D79" s="2101"/>
      <c r="E79" s="2101"/>
      <c r="F79" s="2101"/>
      <c r="G79" s="2124" t="s">
        <v>3347</v>
      </c>
      <c r="H79" s="2124"/>
      <c r="I79" s="2124"/>
      <c r="J79" s="2124"/>
      <c r="K79" s="2124"/>
      <c r="L79" s="2125"/>
    </row>
  </sheetData>
  <sheetProtection algorithmName="SHA-512" hashValue="3f6JYKO+/wy8sGbMnxNbB/a5wrF4l2gIRTNAjogW1Kfkil3rMHjQz0DTfP1JMEvdLuRmVJxkUIlODEAbtbUO6w==" saltValue="L5k6FOCAtMBDY3ln5xDi6g==" spinCount="100000" sheet="1" objects="1" scenarios="1" selectLockedCells="1" selectUnlockedCells="1"/>
  <mergeCells count="81">
    <mergeCell ref="B4:I6"/>
    <mergeCell ref="G77:L77"/>
    <mergeCell ref="G78:L78"/>
    <mergeCell ref="G79:L79"/>
    <mergeCell ref="B43:L43"/>
    <mergeCell ref="B44:L44"/>
    <mergeCell ref="B23:D24"/>
    <mergeCell ref="B26:D27"/>
    <mergeCell ref="G57:L58"/>
    <mergeCell ref="G71:L71"/>
    <mergeCell ref="G76:L76"/>
    <mergeCell ref="G65:L65"/>
    <mergeCell ref="G66:L66"/>
    <mergeCell ref="G67:L67"/>
    <mergeCell ref="G68:L68"/>
    <mergeCell ref="G69:L69"/>
    <mergeCell ref="G64:L64"/>
    <mergeCell ref="G72:L72"/>
    <mergeCell ref="G73:L73"/>
    <mergeCell ref="G74:L74"/>
    <mergeCell ref="G75:L75"/>
    <mergeCell ref="B75:F79"/>
    <mergeCell ref="G45:L45"/>
    <mergeCell ref="G46:L46"/>
    <mergeCell ref="G47:L47"/>
    <mergeCell ref="G48:L48"/>
    <mergeCell ref="G49:L49"/>
    <mergeCell ref="G50:L50"/>
    <mergeCell ref="G51:L51"/>
    <mergeCell ref="G52:L52"/>
    <mergeCell ref="G53:L53"/>
    <mergeCell ref="G70:L70"/>
    <mergeCell ref="G59:L59"/>
    <mergeCell ref="G60:L60"/>
    <mergeCell ref="G61:L61"/>
    <mergeCell ref="G62:L62"/>
    <mergeCell ref="G63:L63"/>
    <mergeCell ref="B51:F56"/>
    <mergeCell ref="B57:F60"/>
    <mergeCell ref="G54:L54"/>
    <mergeCell ref="G55:L55"/>
    <mergeCell ref="G56:L56"/>
    <mergeCell ref="B25:D25"/>
    <mergeCell ref="B21:D22"/>
    <mergeCell ref="E21:L22"/>
    <mergeCell ref="B45:F45"/>
    <mergeCell ref="B46:F50"/>
    <mergeCell ref="E38:L38"/>
    <mergeCell ref="B39:D40"/>
    <mergeCell ref="E28:L28"/>
    <mergeCell ref="E29:L29"/>
    <mergeCell ref="E30:L30"/>
    <mergeCell ref="E31:L31"/>
    <mergeCell ref="E32:L32"/>
    <mergeCell ref="B18:E18"/>
    <mergeCell ref="B20:L20"/>
    <mergeCell ref="B11:L11"/>
    <mergeCell ref="B13:L14"/>
    <mergeCell ref="B8:L8"/>
    <mergeCell ref="B9:L9"/>
    <mergeCell ref="B16:L16"/>
    <mergeCell ref="B17:L17"/>
    <mergeCell ref="B10:E10"/>
    <mergeCell ref="B12:E12"/>
    <mergeCell ref="B15:E15"/>
    <mergeCell ref="B65:F69"/>
    <mergeCell ref="B70:F74"/>
    <mergeCell ref="B61:F64"/>
    <mergeCell ref="B19:L19"/>
    <mergeCell ref="B34:D38"/>
    <mergeCell ref="B28:D29"/>
    <mergeCell ref="B30:D33"/>
    <mergeCell ref="E25:L25"/>
    <mergeCell ref="E34:L34"/>
    <mergeCell ref="E35:L35"/>
    <mergeCell ref="E36:L36"/>
    <mergeCell ref="E37:L37"/>
    <mergeCell ref="E33:L33"/>
    <mergeCell ref="E23:L24"/>
    <mergeCell ref="E26:L27"/>
    <mergeCell ref="E39:L40"/>
  </mergeCells>
  <hyperlinks>
    <hyperlink ref="G49" r:id="rId1" display="http://www.kcma.org/" xr:uid="{00000000-0004-0000-1500-000000000000}"/>
    <hyperlink ref="G55" r:id="rId2" display="http://www.carpet-rug.org/" xr:uid="{00000000-0004-0000-1500-000001000000}"/>
    <hyperlink ref="G59" r:id="rId3" display="http://www.ul.com/" xr:uid="{00000000-0004-0000-1500-000002000000}"/>
    <hyperlink ref="G64" r:id="rId4" display="http://www.rfci.com/" xr:uid="{00000000-0004-0000-1500-000003000000}"/>
    <hyperlink ref="G68" r:id="rId5" display="http://www.scscertified.com/" xr:uid="{00000000-0004-0000-1500-000004000000}"/>
    <hyperlink ref="G73" r:id="rId6" display="http://www.greenseal.org/" xr:uid="{00000000-0004-0000-1500-000005000000}"/>
    <hyperlink ref="G78" r:id="rId7" display="http://www.ul.com/" xr:uid="{00000000-0004-0000-1500-000006000000}"/>
  </hyperlinks>
  <pageMargins left="0.7" right="0.7" top="0.75" bottom="0.75" header="0.3" footer="0.3"/>
  <pageSetup paperSize="185" orientation="portrait" r:id="rId8"/>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codeName="Sheet12"/>
  <dimension ref="B2:I13"/>
  <sheetViews>
    <sheetView showGridLines="0" zoomScaleNormal="100" workbookViewId="0">
      <selection activeCell="B2" sqref="B2:C2"/>
    </sheetView>
  </sheetViews>
  <sheetFormatPr baseColWidth="10" defaultColWidth="9.1640625" defaultRowHeight="15" x14ac:dyDescent="0.2"/>
  <cols>
    <col min="1" max="7" width="9.1640625" style="737"/>
    <col min="8" max="8" width="10.1640625" style="737" customWidth="1"/>
    <col min="9" max="16384" width="9.1640625" style="737"/>
  </cols>
  <sheetData>
    <row r="2" spans="2:9" x14ac:dyDescent="0.2">
      <c r="B2" s="2133" t="s">
        <v>3474</v>
      </c>
      <c r="C2" s="2133"/>
      <c r="G2" s="2134" t="s">
        <v>3426</v>
      </c>
      <c r="H2" s="2135"/>
      <c r="I2" s="2136"/>
    </row>
    <row r="4" spans="2:9" x14ac:dyDescent="0.2">
      <c r="B4" s="2138" t="s">
        <v>4830</v>
      </c>
      <c r="C4" s="2138"/>
      <c r="D4" s="2138"/>
      <c r="E4" s="2138"/>
      <c r="F4" s="2138"/>
      <c r="G4" s="2138"/>
      <c r="H4" s="2138"/>
      <c r="I4" s="2138"/>
    </row>
    <row r="5" spans="2:9" customFormat="1" ht="15" customHeight="1" x14ac:dyDescent="0.2">
      <c r="B5" s="2138" t="s">
        <v>4831</v>
      </c>
      <c r="C5" s="2138"/>
      <c r="D5" s="2138"/>
      <c r="E5" s="2138"/>
      <c r="F5" s="2138"/>
      <c r="G5" s="2138"/>
      <c r="H5" s="2138"/>
      <c r="I5" s="2138"/>
    </row>
    <row r="6" spans="2:9" customFormat="1" x14ac:dyDescent="0.2">
      <c r="B6" s="1990"/>
      <c r="C6" s="1990"/>
      <c r="D6" s="1990"/>
      <c r="E6" s="1990"/>
      <c r="F6" s="1990" t="s">
        <v>3475</v>
      </c>
      <c r="G6" s="1990"/>
      <c r="H6" s="1990"/>
      <c r="I6" s="1990"/>
    </row>
    <row r="7" spans="2:9" customFormat="1" x14ac:dyDescent="0.2">
      <c r="B7" s="1990"/>
      <c r="C7" s="1990"/>
      <c r="D7" s="1990"/>
      <c r="E7" s="1990"/>
      <c r="F7" s="743" t="s">
        <v>3054</v>
      </c>
      <c r="G7" s="743" t="s">
        <v>3055</v>
      </c>
      <c r="H7" s="743" t="s">
        <v>3056</v>
      </c>
      <c r="I7" s="743" t="s">
        <v>3057</v>
      </c>
    </row>
    <row r="8" spans="2:9" customFormat="1" x14ac:dyDescent="0.2">
      <c r="B8" s="2137" t="s">
        <v>3476</v>
      </c>
      <c r="C8" s="2137"/>
      <c r="D8" s="2137"/>
      <c r="E8" s="2137"/>
      <c r="F8" s="745">
        <v>0.15</v>
      </c>
      <c r="G8" s="745">
        <v>0.25</v>
      </c>
      <c r="H8" s="745">
        <v>0.35</v>
      </c>
      <c r="I8" s="745">
        <v>0.45</v>
      </c>
    </row>
    <row r="9" spans="2:9" customFormat="1" x14ac:dyDescent="0.2">
      <c r="B9" s="737"/>
      <c r="C9" s="737"/>
      <c r="D9" s="737"/>
      <c r="E9" s="737"/>
      <c r="F9" s="737"/>
      <c r="G9" s="737"/>
      <c r="H9" s="737"/>
    </row>
    <row r="10" spans="2:9" customFormat="1" ht="15" customHeight="1" x14ac:dyDescent="0.2">
      <c r="B10" s="737"/>
      <c r="C10" s="737"/>
      <c r="D10" s="737"/>
      <c r="E10" s="737"/>
      <c r="F10" s="737"/>
      <c r="G10" s="737"/>
      <c r="H10" s="737"/>
    </row>
    <row r="11" spans="2:9" customFormat="1" x14ac:dyDescent="0.2">
      <c r="B11" s="737"/>
      <c r="C11" s="737"/>
      <c r="D11" s="737"/>
      <c r="E11" s="737"/>
      <c r="F11" s="737"/>
    </row>
    <row r="12" spans="2:9" customFormat="1" x14ac:dyDescent="0.2">
      <c r="B12" s="737"/>
      <c r="C12" s="737"/>
      <c r="D12" s="737"/>
      <c r="E12" s="737"/>
      <c r="F12" s="737"/>
    </row>
    <row r="13" spans="2:9" customFormat="1" x14ac:dyDescent="0.2">
      <c r="B13" s="737"/>
      <c r="C13" s="737"/>
      <c r="D13" s="737"/>
      <c r="E13" s="737"/>
      <c r="F13" s="737"/>
      <c r="G13" s="737"/>
      <c r="H13" s="737"/>
      <c r="I13" s="737"/>
    </row>
  </sheetData>
  <sheetProtection algorithmName="SHA-512" hashValue="pejsXTUJ/CsNFB7mDRSSDItGaI8/RB69tlzVqrqXz4h0ltQd+pRJcECcMfP75+3OwgpOn47CdFbQSI32QIPF3g==" saltValue="VBjf5pSEjH0XeJmsXBBTNA==" spinCount="100000" sheet="1" objects="1" scenarios="1" selectLockedCells="1"/>
  <mergeCells count="7">
    <mergeCell ref="B2:C2"/>
    <mergeCell ref="G2:I2"/>
    <mergeCell ref="B8:E8"/>
    <mergeCell ref="B4:I4"/>
    <mergeCell ref="B5:I5"/>
    <mergeCell ref="F6:I6"/>
    <mergeCell ref="B6:E7"/>
  </mergeCells>
  <hyperlinks>
    <hyperlink ref="B2:C2" location="'Ch7'!W155" display="back to Chapter 7" xr:uid="{00000000-0004-0000-1600-000000000000}"/>
    <hyperlink ref="G2:H2" location="'Verification Report'!A1" display="back to Verification Report" xr:uid="{00000000-0004-0000-1600-000001000000}"/>
    <hyperlink ref="G2:I2" location="'Verification (Ch. 7)'!W26" display="back to Verification Report" xr:uid="{00000000-0004-0000-1600-000002000000}"/>
  </hyperlinks>
  <pageMargins left="0.7" right="0.7" top="0.75" bottom="0.75" header="0.3" footer="0.3"/>
  <pageSetup paperSize="185" orientation="portrait" r:id="rId1"/>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codeName="Sheet16"/>
  <dimension ref="B2:I10"/>
  <sheetViews>
    <sheetView showGridLines="0" zoomScaleNormal="100" workbookViewId="0">
      <selection activeCell="B2" sqref="B2:C2"/>
    </sheetView>
  </sheetViews>
  <sheetFormatPr baseColWidth="10" defaultColWidth="9.1640625" defaultRowHeight="15" x14ac:dyDescent="0.2"/>
  <cols>
    <col min="1" max="7" width="9.1640625" style="742"/>
    <col min="8" max="8" width="10.1640625" style="742" customWidth="1"/>
    <col min="9" max="16384" width="9.1640625" style="742"/>
  </cols>
  <sheetData>
    <row r="2" spans="2:9" x14ac:dyDescent="0.2">
      <c r="B2" s="2133" t="s">
        <v>3477</v>
      </c>
      <c r="C2" s="2133"/>
      <c r="G2" s="2134" t="s">
        <v>3426</v>
      </c>
      <c r="H2" s="2135"/>
      <c r="I2" s="2136"/>
    </row>
    <row r="4" spans="2:9" x14ac:dyDescent="0.2">
      <c r="B4" s="2138" t="s">
        <v>4832</v>
      </c>
      <c r="C4" s="2138"/>
      <c r="D4" s="2138"/>
      <c r="E4" s="2138"/>
      <c r="F4" s="2138"/>
      <c r="G4" s="2138"/>
      <c r="H4" s="2138"/>
      <c r="I4" s="2138"/>
    </row>
    <row r="5" spans="2:9" ht="15" customHeight="1" x14ac:dyDescent="0.2">
      <c r="B5" s="2138" t="s">
        <v>4833</v>
      </c>
      <c r="C5" s="2138"/>
      <c r="D5" s="2138"/>
      <c r="E5" s="2138"/>
      <c r="F5" s="2138"/>
      <c r="G5" s="2138"/>
      <c r="H5" s="2138"/>
      <c r="I5" s="2138"/>
    </row>
    <row r="6" spans="2:9" x14ac:dyDescent="0.2">
      <c r="B6" s="1990"/>
      <c r="C6" s="1990"/>
      <c r="D6" s="1990"/>
      <c r="E6" s="1990"/>
      <c r="F6" s="1990" t="s">
        <v>3475</v>
      </c>
      <c r="G6" s="1990"/>
      <c r="H6" s="1990"/>
      <c r="I6" s="1990"/>
    </row>
    <row r="7" spans="2:9" x14ac:dyDescent="0.2">
      <c r="B7" s="1990"/>
      <c r="C7" s="1990"/>
      <c r="D7" s="1990"/>
      <c r="E7" s="1990"/>
      <c r="F7" s="743" t="s">
        <v>3054</v>
      </c>
      <c r="G7" s="743" t="s">
        <v>3055</v>
      </c>
      <c r="H7" s="743" t="s">
        <v>3056</v>
      </c>
      <c r="I7" s="743" t="s">
        <v>3057</v>
      </c>
    </row>
    <row r="8" spans="2:9" x14ac:dyDescent="0.2">
      <c r="B8" s="2137" t="s">
        <v>3478</v>
      </c>
      <c r="C8" s="2137"/>
      <c r="D8" s="2137"/>
      <c r="E8" s="2137"/>
      <c r="F8" s="745">
        <v>0.2</v>
      </c>
      <c r="G8" s="745">
        <v>0.3</v>
      </c>
      <c r="H8" s="745">
        <v>0.4</v>
      </c>
      <c r="I8" s="745">
        <v>0.5</v>
      </c>
    </row>
    <row r="10" spans="2:9" ht="15" customHeight="1" x14ac:dyDescent="0.2"/>
  </sheetData>
  <sheetProtection algorithmName="SHA-512" hashValue="dcIjam9TA0DWddIYIaDi6h1AidaSacuZqb1NA5ZQkfrB64OgN3+Qesd9Fm/vDdt5a4xvdvhYLobaIC8vNm8xNw==" saltValue="C0ZsafIaRPtc1Nb6BikjoA==" spinCount="100000" sheet="1" objects="1" scenarios="1" selectLockedCells="1"/>
  <mergeCells count="7">
    <mergeCell ref="B8:E8"/>
    <mergeCell ref="B2:C2"/>
    <mergeCell ref="G2:I2"/>
    <mergeCell ref="B4:I4"/>
    <mergeCell ref="B5:I5"/>
    <mergeCell ref="B6:E7"/>
    <mergeCell ref="F6:I6"/>
  </mergeCells>
  <hyperlinks>
    <hyperlink ref="B2:C2" location="hyptarg8.1" display="back to Chapter 8" xr:uid="{00000000-0004-0000-1700-000000000000}"/>
    <hyperlink ref="G2:H2" location="'Verification Report'!A1" display="back to Verification Report" xr:uid="{00000000-0004-0000-1700-000001000000}"/>
    <hyperlink ref="G2:I2" location="'Verification (Ch.8)'!G32" display="back to Verification Report" xr:uid="{00000000-0004-0000-1700-000002000000}"/>
  </hyperlinks>
  <pageMargins left="0.7" right="0.7" top="0.75" bottom="0.75" header="0.3" footer="0.3"/>
  <pageSetup paperSize="185" orientation="portrait" r:id="rId1"/>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codeName="Sheet19"/>
  <dimension ref="B2:H12"/>
  <sheetViews>
    <sheetView showGridLines="0" zoomScaleNormal="100" workbookViewId="0">
      <selection activeCell="B2" sqref="B2:C2"/>
    </sheetView>
  </sheetViews>
  <sheetFormatPr baseColWidth="10" defaultColWidth="9.1640625" defaultRowHeight="15" x14ac:dyDescent="0.2"/>
  <cols>
    <col min="1" max="7" width="9.1640625" style="134"/>
    <col min="8" max="8" width="10.1640625" style="134" customWidth="1"/>
    <col min="9" max="16384" width="9.1640625" style="134"/>
  </cols>
  <sheetData>
    <row r="2" spans="2:8" s="137" customFormat="1" x14ac:dyDescent="0.2">
      <c r="B2" s="2133" t="s">
        <v>3889</v>
      </c>
      <c r="C2" s="2133"/>
      <c r="F2" s="2134" t="s">
        <v>3426</v>
      </c>
      <c r="G2" s="2135"/>
      <c r="H2" s="2136"/>
    </row>
    <row r="4" spans="2:8" x14ac:dyDescent="0.2">
      <c r="C4" s="2142" t="s">
        <v>3888</v>
      </c>
      <c r="D4" s="2142"/>
      <c r="E4" s="2142"/>
      <c r="F4" s="2142"/>
      <c r="G4" s="2142"/>
      <c r="H4" s="2142"/>
    </row>
    <row r="5" spans="2:8" ht="15" customHeight="1" x14ac:dyDescent="0.2">
      <c r="B5" s="96"/>
      <c r="C5" s="2147" t="s">
        <v>2564</v>
      </c>
      <c r="D5" s="2147"/>
      <c r="E5" s="2147"/>
      <c r="F5" s="2147"/>
      <c r="G5" s="2147"/>
      <c r="H5" s="2147"/>
    </row>
    <row r="6" spans="2:8" ht="25.5" customHeight="1" x14ac:dyDescent="0.2">
      <c r="C6" s="2143" t="s">
        <v>2563</v>
      </c>
      <c r="D6" s="2144"/>
      <c r="E6" s="2143" t="s">
        <v>2562</v>
      </c>
      <c r="F6" s="2144"/>
      <c r="G6" s="2145" t="s">
        <v>2561</v>
      </c>
      <c r="H6" s="2145"/>
    </row>
    <row r="7" spans="2:8" x14ac:dyDescent="0.2">
      <c r="C7" s="2139" t="s">
        <v>2560</v>
      </c>
      <c r="D7" s="2140"/>
      <c r="E7" s="2139">
        <v>12</v>
      </c>
      <c r="F7" s="2140"/>
      <c r="G7" s="2146">
        <v>12</v>
      </c>
      <c r="H7" s="2146"/>
    </row>
    <row r="8" spans="2:8" x14ac:dyDescent="0.2">
      <c r="C8" s="2139" t="s">
        <v>2559</v>
      </c>
      <c r="D8" s="2140"/>
      <c r="E8" s="2139">
        <v>18</v>
      </c>
      <c r="F8" s="2140"/>
      <c r="G8" s="2146">
        <v>12</v>
      </c>
      <c r="H8" s="2146"/>
    </row>
    <row r="9" spans="2:8" x14ac:dyDescent="0.2">
      <c r="C9" s="2139" t="s">
        <v>2558</v>
      </c>
      <c r="D9" s="2140"/>
      <c r="E9" s="2139">
        <v>24</v>
      </c>
      <c r="F9" s="2140"/>
      <c r="G9" s="2146">
        <v>12</v>
      </c>
      <c r="H9" s="2146"/>
    </row>
    <row r="10" spans="2:8" ht="15" customHeight="1" x14ac:dyDescent="0.2">
      <c r="C10" s="1861" t="s">
        <v>2587</v>
      </c>
      <c r="D10" s="1861"/>
      <c r="E10" s="1861"/>
      <c r="F10" s="1861"/>
      <c r="G10" s="1861"/>
      <c r="H10" s="1861"/>
    </row>
    <row r="11" spans="2:8" x14ac:dyDescent="0.2">
      <c r="C11" s="2148" t="s">
        <v>2586</v>
      </c>
      <c r="D11" s="2148"/>
      <c r="E11" s="2148"/>
      <c r="F11" s="2148"/>
      <c r="G11" s="2148"/>
      <c r="H11" s="2148"/>
    </row>
    <row r="12" spans="2:8" x14ac:dyDescent="0.2">
      <c r="C12" s="2141" t="s">
        <v>2557</v>
      </c>
      <c r="D12" s="2141"/>
      <c r="E12" s="2141"/>
    </row>
  </sheetData>
  <sheetProtection algorithmName="SHA-512" hashValue="TQTmANuPJ4ZHeepUuH3tU1iVmM7f9yQeQN91F/bPj/jymiTZgt/5Ytp7Mv/Su4rc/t/pIwUDIgcmf1rp5ytspw==" saltValue="TKk9RtpcXMScSGfMZZJWHg==" spinCount="100000" sheet="1" objects="1" scenarios="1" selectLockedCells="1"/>
  <mergeCells count="19">
    <mergeCell ref="C12:E12"/>
    <mergeCell ref="C4:H4"/>
    <mergeCell ref="C6:D6"/>
    <mergeCell ref="C8:D8"/>
    <mergeCell ref="C7:D7"/>
    <mergeCell ref="C9:D9"/>
    <mergeCell ref="E6:F6"/>
    <mergeCell ref="G6:H6"/>
    <mergeCell ref="G7:H7"/>
    <mergeCell ref="G8:H8"/>
    <mergeCell ref="G9:H9"/>
    <mergeCell ref="C5:H5"/>
    <mergeCell ref="C10:H10"/>
    <mergeCell ref="C11:H11"/>
    <mergeCell ref="F2:H2"/>
    <mergeCell ref="E7:F7"/>
    <mergeCell ref="E8:F8"/>
    <mergeCell ref="E9:F9"/>
    <mergeCell ref="B2:C2"/>
  </mergeCells>
  <hyperlinks>
    <hyperlink ref="C11:H11" location="'Figure 6(2)'!A1" display="Figure 6(2)" xr:uid="{00000000-0004-0000-1800-000000000000}"/>
    <hyperlink ref="B2:C2" location="hyptarg3" display="back to 602.1.12" xr:uid="{00000000-0004-0000-1800-000001000000}"/>
    <hyperlink ref="F2:G2" location="'Verification Report'!A1" display="back to Verification Report" xr:uid="{00000000-0004-0000-1800-000002000000}"/>
    <hyperlink ref="F2:H2" location="'Verification Report'!A1" display="back to Verification Report" xr:uid="{00000000-0004-0000-1800-000003000000}"/>
  </hyperlinks>
  <pageMargins left="0.7" right="0.7" top="0.75" bottom="0.75" header="0.3" footer="0.3"/>
  <pageSetup orientation="portrait" horizontalDpi="0" verticalDpi="0"/>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sheetPr codeName="Sheet21"/>
  <dimension ref="B1:H9"/>
  <sheetViews>
    <sheetView showGridLines="0" zoomScaleNormal="100" workbookViewId="0">
      <selection activeCell="B2" sqref="B2:C2"/>
    </sheetView>
  </sheetViews>
  <sheetFormatPr baseColWidth="10" defaultColWidth="9.1640625" defaultRowHeight="15" x14ac:dyDescent="0.2"/>
  <cols>
    <col min="1" max="1" width="9.1640625" style="134"/>
    <col min="2" max="2" width="9.1640625" style="134" customWidth="1"/>
    <col min="3" max="3" width="9.1640625" style="134"/>
    <col min="4" max="4" width="11.5" style="134" customWidth="1"/>
    <col min="5" max="5" width="9.1640625" style="134"/>
    <col min="6" max="6" width="10.5" style="134" customWidth="1"/>
    <col min="7" max="7" width="9.1640625" style="134"/>
    <col min="8" max="8" width="11.33203125" style="134" customWidth="1"/>
    <col min="9" max="16384" width="9.1640625" style="134"/>
  </cols>
  <sheetData>
    <row r="1" spans="2:8" s="151" customFormat="1" x14ac:dyDescent="0.2"/>
    <row r="2" spans="2:8" x14ac:dyDescent="0.2">
      <c r="B2" s="2133" t="s">
        <v>3890</v>
      </c>
      <c r="C2" s="2133"/>
      <c r="F2" s="2134" t="s">
        <v>3426</v>
      </c>
      <c r="G2" s="2135"/>
      <c r="H2" s="2136"/>
    </row>
    <row r="4" spans="2:8" x14ac:dyDescent="0.2">
      <c r="C4" s="2142" t="s">
        <v>3891</v>
      </c>
      <c r="D4" s="2142"/>
      <c r="E4" s="2142"/>
      <c r="F4" s="2142"/>
      <c r="G4" s="2142"/>
      <c r="H4" s="2142"/>
    </row>
    <row r="5" spans="2:8" x14ac:dyDescent="0.2">
      <c r="C5" s="2147" t="s">
        <v>2570</v>
      </c>
      <c r="D5" s="2147"/>
      <c r="E5" s="2147"/>
      <c r="F5" s="2147"/>
      <c r="G5" s="2147"/>
      <c r="H5" s="2147"/>
    </row>
    <row r="6" spans="2:8" ht="24.75" customHeight="1" x14ac:dyDescent="0.2">
      <c r="C6" s="2143" t="s">
        <v>2606</v>
      </c>
      <c r="D6" s="2144"/>
      <c r="E6" s="2143" t="s">
        <v>2569</v>
      </c>
      <c r="F6" s="2144"/>
      <c r="G6" s="2145" t="s">
        <v>2568</v>
      </c>
      <c r="H6" s="2145"/>
    </row>
    <row r="7" spans="2:8" x14ac:dyDescent="0.2">
      <c r="C7" s="2139" t="s">
        <v>2567</v>
      </c>
      <c r="D7" s="2140"/>
      <c r="E7" s="2149">
        <v>1</v>
      </c>
      <c r="F7" s="2150"/>
      <c r="G7" s="2145">
        <v>2</v>
      </c>
      <c r="H7" s="2145"/>
    </row>
    <row r="8" spans="2:8" x14ac:dyDescent="0.2">
      <c r="C8" s="2139" t="s">
        <v>2566</v>
      </c>
      <c r="D8" s="2140"/>
      <c r="E8" s="2149">
        <v>2</v>
      </c>
      <c r="F8" s="2150"/>
      <c r="G8" s="2145">
        <v>4</v>
      </c>
      <c r="H8" s="2145"/>
    </row>
    <row r="9" spans="2:8" x14ac:dyDescent="0.2">
      <c r="C9" s="2139" t="s">
        <v>2565</v>
      </c>
      <c r="D9" s="2140"/>
      <c r="E9" s="2149">
        <v>3</v>
      </c>
      <c r="F9" s="2150"/>
      <c r="G9" s="2145">
        <v>6</v>
      </c>
      <c r="H9" s="2145"/>
    </row>
  </sheetData>
  <sheetProtection algorithmName="SHA-512" hashValue="reCXUYC7JHX7WOMuDC3EHW5iPmnhejaNJAVewgBfe/rOhpgoO6AY1dOIV/3VV/B2avGMewuEcVIyZck6DAa35g==" saltValue="2eLdsUhTtft89VLFddr3ag==" spinCount="100000" sheet="1" objects="1" scenarios="1" selectLockedCells="1"/>
  <mergeCells count="16">
    <mergeCell ref="C9:D9"/>
    <mergeCell ref="E9:F9"/>
    <mergeCell ref="G9:H9"/>
    <mergeCell ref="C7:D7"/>
    <mergeCell ref="E7:F7"/>
    <mergeCell ref="G7:H7"/>
    <mergeCell ref="F2:H2"/>
    <mergeCell ref="B2:C2"/>
    <mergeCell ref="C8:D8"/>
    <mergeCell ref="E8:F8"/>
    <mergeCell ref="G8:H8"/>
    <mergeCell ref="C4:H4"/>
    <mergeCell ref="C5:H5"/>
    <mergeCell ref="C6:D6"/>
    <mergeCell ref="E6:F6"/>
    <mergeCell ref="G6:H6"/>
  </mergeCells>
  <hyperlinks>
    <hyperlink ref="B2:C2" location="hyptarg4" display="back to 604.1" xr:uid="{00000000-0004-0000-1900-000000000000}"/>
    <hyperlink ref="F2:G2" location="'Verification Report'!A1" display="back to Verification Report" xr:uid="{00000000-0004-0000-1900-000001000000}"/>
    <hyperlink ref="F2:H2" location="'Verification Report'!A1" display="back to Verification Report" xr:uid="{00000000-0004-0000-1900-000002000000}"/>
  </hyperlinks>
  <pageMargins left="0.7" right="0.7" top="0.75" bottom="0.75" header="0.3" footer="0.3"/>
  <pageSetup orientation="portrait" horizontalDpi="0" verticalDpi="0"/>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sheetPr codeName="Sheet22"/>
  <dimension ref="B2:G8"/>
  <sheetViews>
    <sheetView showGridLines="0" zoomScaleNormal="100" workbookViewId="0">
      <selection activeCell="B2" sqref="B2:C2"/>
    </sheetView>
  </sheetViews>
  <sheetFormatPr baseColWidth="10" defaultColWidth="9.1640625" defaultRowHeight="15" x14ac:dyDescent="0.2"/>
  <cols>
    <col min="1" max="3" width="9.1640625" style="134"/>
    <col min="4" max="4" width="15.5" style="134" customWidth="1"/>
    <col min="5" max="5" width="9.1640625" style="134"/>
    <col min="6" max="6" width="18.5" style="134" customWidth="1"/>
    <col min="7" max="16384" width="9.1640625" style="134"/>
  </cols>
  <sheetData>
    <row r="2" spans="2:7" x14ac:dyDescent="0.2">
      <c r="B2" s="2133" t="s">
        <v>3833</v>
      </c>
      <c r="C2" s="2133"/>
      <c r="E2" s="2134" t="s">
        <v>3426</v>
      </c>
      <c r="F2" s="2135"/>
      <c r="G2" s="2136"/>
    </row>
    <row r="4" spans="2:7" x14ac:dyDescent="0.2">
      <c r="C4" s="2142" t="s">
        <v>3832</v>
      </c>
      <c r="D4" s="2142"/>
      <c r="E4" s="2142"/>
      <c r="F4" s="2142"/>
    </row>
    <row r="5" spans="2:7" x14ac:dyDescent="0.2">
      <c r="C5" s="2147" t="s">
        <v>2574</v>
      </c>
      <c r="D5" s="2147"/>
      <c r="E5" s="2147"/>
      <c r="F5" s="2147"/>
    </row>
    <row r="6" spans="2:7" x14ac:dyDescent="0.2">
      <c r="C6" s="2143" t="s">
        <v>2573</v>
      </c>
      <c r="D6" s="2144"/>
      <c r="E6" s="2143" t="s">
        <v>2572</v>
      </c>
      <c r="F6" s="2144"/>
    </row>
    <row r="7" spans="2:7" x14ac:dyDescent="0.2">
      <c r="C7" s="2151" t="s">
        <v>2571</v>
      </c>
      <c r="D7" s="2152"/>
      <c r="E7" s="2152"/>
      <c r="F7" s="2153"/>
    </row>
    <row r="8" spans="2:7" x14ac:dyDescent="0.2">
      <c r="C8" s="2149">
        <v>2</v>
      </c>
      <c r="D8" s="2150"/>
      <c r="E8" s="2149">
        <v>3</v>
      </c>
      <c r="F8" s="2150"/>
    </row>
  </sheetData>
  <sheetProtection algorithmName="SHA-512" hashValue="0zK80Ub9ZaSKCxTHwsfv9K7AIrL7fJ3aYLVEsvalROOnLQx/fKwB+tZw8Q8K7gYkakA4LFp2xCyYrrk7xdtUSg==" saltValue="7BlQheU1V/lHeqY0scqTSg==" spinCount="100000" sheet="1" objects="1" scenarios="1" selectLockedCells="1"/>
  <mergeCells count="9">
    <mergeCell ref="B2:C2"/>
    <mergeCell ref="C8:D8"/>
    <mergeCell ref="E8:F8"/>
    <mergeCell ref="C7:F7"/>
    <mergeCell ref="C4:F4"/>
    <mergeCell ref="C5:F5"/>
    <mergeCell ref="C6:D6"/>
    <mergeCell ref="E6:F6"/>
    <mergeCell ref="E2:G2"/>
  </mergeCells>
  <hyperlinks>
    <hyperlink ref="B2:C2" location="hyptarg5" display="back to 610.1.2.1" xr:uid="{00000000-0004-0000-1A00-000000000000}"/>
    <hyperlink ref="E2:F2" location="'Verification Report'!A1" display="back to Verification Report" xr:uid="{00000000-0004-0000-1A00-000001000000}"/>
    <hyperlink ref="E2:G2" location="'Verification Report'!A1" display="back to Verification Report" xr:uid="{00000000-0004-0000-1A00-000002000000}"/>
  </hyperlinks>
  <pageMargins left="0.7" right="0.7" top="0.75" bottom="0.75" header="0.3" footer="0.3"/>
  <pageSetup orientation="portrait" horizontalDpi="0" verticalDpi="0"/>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sheetPr codeName="Sheet23"/>
  <dimension ref="B2:G14"/>
  <sheetViews>
    <sheetView showGridLines="0" zoomScaleNormal="100" workbookViewId="0">
      <selection activeCell="B2" sqref="B2:C2"/>
    </sheetView>
  </sheetViews>
  <sheetFormatPr baseColWidth="10" defaultColWidth="9.1640625" defaultRowHeight="15" x14ac:dyDescent="0.2"/>
  <cols>
    <col min="1" max="2" width="9.1640625" style="134"/>
    <col min="3" max="3" width="16.5" style="134" bestFit="1" customWidth="1"/>
    <col min="4" max="5" width="15.83203125" style="134" bestFit="1" customWidth="1"/>
    <col min="6" max="16384" width="9.1640625" style="134"/>
  </cols>
  <sheetData>
    <row r="2" spans="2:7" x14ac:dyDescent="0.2">
      <c r="B2" s="2133" t="s">
        <v>3892</v>
      </c>
      <c r="C2" s="2133"/>
      <c r="E2" s="2134" t="s">
        <v>3426</v>
      </c>
      <c r="F2" s="2135"/>
      <c r="G2" s="2136"/>
    </row>
    <row r="4" spans="2:7" x14ac:dyDescent="0.2">
      <c r="C4" s="2142" t="s">
        <v>3838</v>
      </c>
      <c r="D4" s="2142"/>
      <c r="E4" s="2142"/>
    </row>
    <row r="5" spans="2:7" x14ac:dyDescent="0.2">
      <c r="C5" s="1704" t="s">
        <v>3837</v>
      </c>
      <c r="D5" s="2147"/>
      <c r="E5" s="2147"/>
    </row>
    <row r="6" spans="2:7" ht="15" customHeight="1" x14ac:dyDescent="0.2">
      <c r="C6" s="2159"/>
      <c r="D6" s="139" t="s">
        <v>2573</v>
      </c>
      <c r="E6" s="140" t="s">
        <v>2572</v>
      </c>
    </row>
    <row r="7" spans="2:7" ht="12.75" customHeight="1" x14ac:dyDescent="0.2">
      <c r="C7" s="2160"/>
      <c r="D7" s="2158" t="s">
        <v>2571</v>
      </c>
      <c r="E7" s="2158"/>
    </row>
    <row r="8" spans="2:7" s="764" customFormat="1" ht="12.75" customHeight="1" x14ac:dyDescent="0.2">
      <c r="C8" s="2154" t="s">
        <v>3839</v>
      </c>
      <c r="D8" s="2156">
        <v>3</v>
      </c>
      <c r="E8" s="2156">
        <v>6</v>
      </c>
    </row>
    <row r="9" spans="2:7" x14ac:dyDescent="0.2">
      <c r="C9" s="2155"/>
      <c r="D9" s="2157"/>
      <c r="E9" s="2157"/>
    </row>
    <row r="10" spans="2:7" s="764" customFormat="1" x14ac:dyDescent="0.2">
      <c r="C10" s="2154" t="s">
        <v>3840</v>
      </c>
      <c r="D10" s="2156">
        <v>4</v>
      </c>
      <c r="E10" s="2156">
        <v>8</v>
      </c>
    </row>
    <row r="11" spans="2:7" x14ac:dyDescent="0.2">
      <c r="C11" s="2155"/>
      <c r="D11" s="2157"/>
      <c r="E11" s="2157"/>
    </row>
    <row r="12" spans="2:7" s="764" customFormat="1" x14ac:dyDescent="0.2">
      <c r="C12" s="2154" t="s">
        <v>3841</v>
      </c>
      <c r="D12" s="2156">
        <v>5</v>
      </c>
      <c r="E12" s="2156">
        <v>10</v>
      </c>
    </row>
    <row r="13" spans="2:7" x14ac:dyDescent="0.2">
      <c r="C13" s="2155"/>
      <c r="D13" s="2157"/>
      <c r="E13" s="2157"/>
    </row>
    <row r="14" spans="2:7" s="764" customFormat="1" x14ac:dyDescent="0.2">
      <c r="C14" s="780"/>
      <c r="D14" s="564"/>
      <c r="E14" s="564"/>
    </row>
  </sheetData>
  <sheetProtection algorithmName="SHA-512" hashValue="OSGXGHnSfs/vtoULCQGU0uZ34YVxMTwf0XEMufRc74M+fcnNev/2SmqAS4WkXKFSMguBk9kYl0NmUl/5NVAaJg==" saltValue="c/Q4AHkAASJs9Lo0s+YsZw==" spinCount="100000" sheet="1" objects="1" scenarios="1" selectLockedCells="1"/>
  <mergeCells count="15">
    <mergeCell ref="C4:E4"/>
    <mergeCell ref="C5:E5"/>
    <mergeCell ref="D7:E7"/>
    <mergeCell ref="B2:C2"/>
    <mergeCell ref="C6:C7"/>
    <mergeCell ref="E2:G2"/>
    <mergeCell ref="C8:C9"/>
    <mergeCell ref="D8:D9"/>
    <mergeCell ref="E8:E9"/>
    <mergeCell ref="C10:C11"/>
    <mergeCell ref="C12:C13"/>
    <mergeCell ref="D10:D11"/>
    <mergeCell ref="E10:E11"/>
    <mergeCell ref="D12:D13"/>
    <mergeCell ref="E12:E13"/>
  </mergeCells>
  <hyperlinks>
    <hyperlink ref="B2:C2" location="hyptarg6" display="back to 610.1.2.2" xr:uid="{00000000-0004-0000-1B00-000000000000}"/>
    <hyperlink ref="E2:F2" location="'Verification Report'!A1" display="back to Verification Report" xr:uid="{00000000-0004-0000-1B00-000001000000}"/>
    <hyperlink ref="E2:G2" location="'Verification Report'!A1" display="back to Verification Report" xr:uid="{00000000-0004-0000-1B00-000002000000}"/>
  </hyperlinks>
  <pageMargins left="0.7" right="0.7" top="0.75" bottom="0.75" header="0.3" footer="0.3"/>
  <pageSetup orientation="portrait" r:id="rId1"/>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sheetPr codeName="Sheet24"/>
  <dimension ref="A1:R37"/>
  <sheetViews>
    <sheetView showGridLines="0" workbookViewId="0">
      <selection activeCell="B3" sqref="B3:C3"/>
    </sheetView>
  </sheetViews>
  <sheetFormatPr baseColWidth="10" defaultColWidth="8.83203125" defaultRowHeight="15" x14ac:dyDescent="0.2"/>
  <sheetData>
    <row r="1" spans="1:18" ht="20" thickTop="1" x14ac:dyDescent="0.2">
      <c r="A1" s="141" t="s">
        <v>2575</v>
      </c>
      <c r="B1" s="142"/>
      <c r="C1" s="142"/>
      <c r="D1" s="142"/>
      <c r="E1" s="142"/>
      <c r="F1" s="142"/>
      <c r="G1" s="142"/>
      <c r="H1" s="142"/>
      <c r="I1" s="142"/>
      <c r="J1" s="142"/>
      <c r="K1" s="142"/>
      <c r="L1" s="142"/>
      <c r="M1" s="142"/>
      <c r="N1" s="142"/>
      <c r="O1" s="142"/>
      <c r="P1" s="142"/>
      <c r="Q1" s="142"/>
      <c r="R1" s="143"/>
    </row>
    <row r="2" spans="1:18" x14ac:dyDescent="0.2">
      <c r="A2" s="144"/>
      <c r="B2" s="96"/>
      <c r="C2" s="96"/>
      <c r="D2" s="96"/>
      <c r="E2" s="96"/>
      <c r="F2" s="96"/>
      <c r="G2" s="96"/>
      <c r="H2" s="96"/>
      <c r="I2" s="96"/>
      <c r="J2" s="96"/>
      <c r="K2" s="96"/>
      <c r="L2" s="96"/>
      <c r="M2" s="96"/>
      <c r="N2" s="96"/>
      <c r="O2" s="96"/>
      <c r="P2" s="96"/>
      <c r="Q2" s="96"/>
      <c r="R2" s="145"/>
    </row>
    <row r="3" spans="1:18" ht="15" customHeight="1" x14ac:dyDescent="0.2">
      <c r="A3" s="144"/>
      <c r="B3" s="2161" t="s">
        <v>2584</v>
      </c>
      <c r="C3" s="2161"/>
      <c r="D3" s="2161" t="s">
        <v>2601</v>
      </c>
      <c r="E3" s="2161"/>
      <c r="F3" s="2161"/>
      <c r="G3" s="96"/>
      <c r="H3" s="2134" t="s">
        <v>3426</v>
      </c>
      <c r="I3" s="2135"/>
      <c r="J3" s="2136"/>
      <c r="K3" s="96"/>
      <c r="L3" s="96"/>
      <c r="M3" s="96"/>
      <c r="N3" s="96"/>
      <c r="O3" s="96"/>
      <c r="P3" s="96"/>
      <c r="Q3" s="96"/>
      <c r="R3" s="145"/>
    </row>
    <row r="4" spans="1:18" x14ac:dyDescent="0.2">
      <c r="A4" s="144"/>
      <c r="B4" s="96"/>
      <c r="C4" s="96"/>
      <c r="D4" s="96"/>
      <c r="E4" s="96"/>
      <c r="F4" s="96"/>
      <c r="G4" s="96"/>
      <c r="H4" s="96"/>
      <c r="I4" s="96"/>
      <c r="J4" s="96"/>
      <c r="K4" s="96"/>
      <c r="L4" s="96"/>
      <c r="M4" s="96"/>
      <c r="N4" s="96"/>
      <c r="O4" s="96"/>
      <c r="P4" s="96"/>
      <c r="Q4" s="96"/>
      <c r="R4" s="145"/>
    </row>
    <row r="5" spans="1:18" x14ac:dyDescent="0.2">
      <c r="A5" s="144"/>
      <c r="B5" s="96"/>
      <c r="C5" s="96"/>
      <c r="D5" s="96"/>
      <c r="E5" s="96"/>
      <c r="F5" s="96"/>
      <c r="G5" s="96"/>
      <c r="H5" s="96"/>
      <c r="I5" s="96"/>
      <c r="J5" s="96"/>
      <c r="K5" s="96"/>
      <c r="L5" s="96"/>
      <c r="M5" s="96"/>
      <c r="N5" s="96"/>
      <c r="O5" s="96"/>
      <c r="P5" s="96"/>
      <c r="Q5" s="96"/>
      <c r="R5" s="145"/>
    </row>
    <row r="6" spans="1:18" x14ac:dyDescent="0.2">
      <c r="A6" s="144"/>
      <c r="B6" s="96"/>
      <c r="C6" s="96"/>
      <c r="D6" s="96"/>
      <c r="E6" s="96"/>
      <c r="F6" s="96"/>
      <c r="G6" s="96"/>
      <c r="H6" s="96"/>
      <c r="I6" s="96"/>
      <c r="J6" s="96"/>
      <c r="K6" s="96"/>
      <c r="L6" s="96"/>
      <c r="M6" s="96"/>
      <c r="N6" s="96"/>
      <c r="O6" s="96"/>
      <c r="P6" s="96"/>
      <c r="Q6" s="96"/>
      <c r="R6" s="145"/>
    </row>
    <row r="7" spans="1:18" x14ac:dyDescent="0.2">
      <c r="A7" s="144"/>
      <c r="B7" s="96"/>
      <c r="C7" s="96"/>
      <c r="D7" s="96"/>
      <c r="E7" s="96"/>
      <c r="F7" s="96"/>
      <c r="G7" s="96"/>
      <c r="H7" s="96"/>
      <c r="I7" s="96"/>
      <c r="J7" s="96"/>
      <c r="K7" s="96"/>
      <c r="L7" s="96"/>
      <c r="M7" s="96"/>
      <c r="N7" s="96"/>
      <c r="O7" s="96"/>
      <c r="P7" s="96"/>
      <c r="Q7" s="96"/>
      <c r="R7" s="145"/>
    </row>
    <row r="8" spans="1:18" x14ac:dyDescent="0.2">
      <c r="A8" s="144"/>
      <c r="B8" s="96"/>
      <c r="C8" s="96"/>
      <c r="D8" s="96"/>
      <c r="E8" s="96"/>
      <c r="F8" s="96"/>
      <c r="G8" s="96"/>
      <c r="H8" s="96"/>
      <c r="I8" s="96"/>
      <c r="J8" s="96"/>
      <c r="K8" s="96"/>
      <c r="L8" s="96"/>
      <c r="M8" s="96"/>
      <c r="N8" s="96"/>
      <c r="O8" s="96"/>
      <c r="P8" s="96"/>
      <c r="Q8" s="96"/>
      <c r="R8" s="145"/>
    </row>
    <row r="9" spans="1:18" x14ac:dyDescent="0.2">
      <c r="A9" s="144"/>
      <c r="B9" s="96"/>
      <c r="C9" s="96"/>
      <c r="D9" s="96"/>
      <c r="E9" s="96"/>
      <c r="F9" s="96"/>
      <c r="G9" s="96"/>
      <c r="H9" s="96"/>
      <c r="I9" s="96"/>
      <c r="J9" s="96"/>
      <c r="K9" s="96"/>
      <c r="L9" s="96"/>
      <c r="M9" s="96"/>
      <c r="N9" s="96"/>
      <c r="O9" s="96"/>
      <c r="P9" s="96"/>
      <c r="Q9" s="96"/>
      <c r="R9" s="145"/>
    </row>
    <row r="10" spans="1:18" x14ac:dyDescent="0.2">
      <c r="A10" s="144"/>
      <c r="B10" s="96"/>
      <c r="C10" s="96"/>
      <c r="D10" s="96"/>
      <c r="E10" s="96"/>
      <c r="F10" s="96"/>
      <c r="G10" s="96"/>
      <c r="H10" s="96"/>
      <c r="I10" s="96"/>
      <c r="J10" s="96"/>
      <c r="K10" s="96"/>
      <c r="L10" s="96"/>
      <c r="M10" s="96"/>
      <c r="N10" s="96"/>
      <c r="O10" s="96"/>
      <c r="P10" s="96"/>
      <c r="Q10" s="96"/>
      <c r="R10" s="145"/>
    </row>
    <row r="11" spans="1:18" x14ac:dyDescent="0.2">
      <c r="A11" s="144"/>
      <c r="B11" s="96"/>
      <c r="C11" s="96"/>
      <c r="D11" s="96"/>
      <c r="E11" s="96"/>
      <c r="F11" s="96"/>
      <c r="G11" s="96"/>
      <c r="H11" s="96"/>
      <c r="I11" s="96"/>
      <c r="J11" s="96"/>
      <c r="K11" s="96"/>
      <c r="L11" s="96"/>
      <c r="M11" s="96"/>
      <c r="N11" s="96"/>
      <c r="O11" s="96"/>
      <c r="P11" s="96"/>
      <c r="Q11" s="96"/>
      <c r="R11" s="145"/>
    </row>
    <row r="12" spans="1:18" x14ac:dyDescent="0.2">
      <c r="A12" s="144"/>
      <c r="B12" s="96"/>
      <c r="C12" s="96"/>
      <c r="D12" s="96"/>
      <c r="E12" s="96"/>
      <c r="F12" s="96"/>
      <c r="G12" s="96"/>
      <c r="H12" s="96"/>
      <c r="I12" s="96"/>
      <c r="J12" s="96"/>
      <c r="K12" s="96"/>
      <c r="L12" s="96"/>
      <c r="M12" s="96"/>
      <c r="N12" s="96"/>
      <c r="O12" s="96"/>
      <c r="P12" s="96"/>
      <c r="Q12" s="96"/>
      <c r="R12" s="145"/>
    </row>
    <row r="13" spans="1:18" x14ac:dyDescent="0.2">
      <c r="A13" s="144"/>
      <c r="B13" s="96"/>
      <c r="C13" s="96"/>
      <c r="D13" s="96"/>
      <c r="E13" s="96"/>
      <c r="F13" s="96"/>
      <c r="G13" s="96"/>
      <c r="H13" s="96"/>
      <c r="I13" s="96"/>
      <c r="J13" s="96"/>
      <c r="K13" s="96"/>
      <c r="L13" s="96"/>
      <c r="M13" s="96"/>
      <c r="N13" s="96"/>
      <c r="O13" s="96"/>
      <c r="P13" s="96"/>
      <c r="Q13" s="96"/>
      <c r="R13" s="145"/>
    </row>
    <row r="14" spans="1:18" x14ac:dyDescent="0.2">
      <c r="A14" s="144"/>
      <c r="B14" s="96"/>
      <c r="C14" s="96"/>
      <c r="D14" s="96"/>
      <c r="E14" s="96"/>
      <c r="F14" s="96"/>
      <c r="G14" s="96"/>
      <c r="H14" s="96"/>
      <c r="I14" s="96"/>
      <c r="J14" s="96"/>
      <c r="K14" s="96"/>
      <c r="L14" s="96"/>
      <c r="M14" s="96"/>
      <c r="N14" s="96"/>
      <c r="O14" s="96"/>
      <c r="P14" s="96"/>
      <c r="Q14" s="96"/>
      <c r="R14" s="145"/>
    </row>
    <row r="15" spans="1:18" x14ac:dyDescent="0.2">
      <c r="A15" s="144"/>
      <c r="B15" s="96"/>
      <c r="C15" s="96"/>
      <c r="D15" s="96"/>
      <c r="E15" s="96"/>
      <c r="F15" s="96"/>
      <c r="G15" s="96"/>
      <c r="H15" s="96"/>
      <c r="I15" s="96"/>
      <c r="J15" s="96"/>
      <c r="K15" s="96"/>
      <c r="L15" s="96"/>
      <c r="M15" s="96"/>
      <c r="N15" s="96"/>
      <c r="O15" s="96"/>
      <c r="P15" s="96"/>
      <c r="Q15" s="96"/>
      <c r="R15" s="145"/>
    </row>
    <row r="16" spans="1:18" x14ac:dyDescent="0.2">
      <c r="A16" s="144"/>
      <c r="B16" s="96"/>
      <c r="C16" s="96"/>
      <c r="D16" s="96"/>
      <c r="E16" s="96"/>
      <c r="F16" s="96"/>
      <c r="G16" s="96"/>
      <c r="H16" s="96"/>
      <c r="I16" s="96"/>
      <c r="J16" s="96"/>
      <c r="K16" s="96"/>
      <c r="L16" s="96"/>
      <c r="M16" s="96"/>
      <c r="N16" s="96"/>
      <c r="O16" s="96"/>
      <c r="P16" s="96"/>
      <c r="Q16" s="96"/>
      <c r="R16" s="145"/>
    </row>
    <row r="17" spans="1:18" x14ac:dyDescent="0.2">
      <c r="A17" s="144"/>
      <c r="B17" s="96"/>
      <c r="C17" s="96"/>
      <c r="D17" s="96"/>
      <c r="E17" s="96"/>
      <c r="F17" s="96"/>
      <c r="G17" s="96"/>
      <c r="H17" s="96"/>
      <c r="I17" s="96"/>
      <c r="J17" s="96"/>
      <c r="K17" s="96"/>
      <c r="L17" s="96"/>
      <c r="M17" s="96"/>
      <c r="N17" s="96"/>
      <c r="O17" s="96"/>
      <c r="P17" s="96"/>
      <c r="Q17" s="96"/>
      <c r="R17" s="145"/>
    </row>
    <row r="18" spans="1:18" x14ac:dyDescent="0.2">
      <c r="A18" s="144"/>
      <c r="B18" s="96"/>
      <c r="C18" s="96"/>
      <c r="D18" s="96"/>
      <c r="E18" s="96"/>
      <c r="F18" s="96"/>
      <c r="G18" s="96"/>
      <c r="H18" s="96"/>
      <c r="I18" s="96"/>
      <c r="J18" s="96"/>
      <c r="K18" s="96"/>
      <c r="L18" s="96"/>
      <c r="M18" s="96"/>
      <c r="N18" s="96"/>
      <c r="O18" s="96"/>
      <c r="P18" s="96"/>
      <c r="Q18" s="96"/>
      <c r="R18" s="145"/>
    </row>
    <row r="19" spans="1:18" x14ac:dyDescent="0.2">
      <c r="A19" s="144"/>
      <c r="B19" s="96"/>
      <c r="C19" s="96"/>
      <c r="D19" s="96"/>
      <c r="E19" s="96"/>
      <c r="F19" s="96"/>
      <c r="G19" s="96"/>
      <c r="H19" s="96"/>
      <c r="I19" s="96"/>
      <c r="J19" s="96"/>
      <c r="K19" s="96"/>
      <c r="L19" s="96"/>
      <c r="M19" s="96"/>
      <c r="N19" s="96"/>
      <c r="O19" s="96"/>
      <c r="P19" s="96"/>
      <c r="Q19" s="96"/>
      <c r="R19" s="145"/>
    </row>
    <row r="20" spans="1:18" x14ac:dyDescent="0.2">
      <c r="A20" s="144"/>
      <c r="B20" s="96"/>
      <c r="C20" s="96"/>
      <c r="D20" s="96"/>
      <c r="E20" s="96"/>
      <c r="F20" s="96"/>
      <c r="G20" s="96"/>
      <c r="H20" s="96"/>
      <c r="I20" s="96"/>
      <c r="J20" s="96"/>
      <c r="K20" s="96"/>
      <c r="L20" s="96"/>
      <c r="M20" s="96"/>
      <c r="N20" s="96"/>
      <c r="O20" s="96"/>
      <c r="P20" s="96"/>
      <c r="Q20" s="96"/>
      <c r="R20" s="145"/>
    </row>
    <row r="21" spans="1:18" x14ac:dyDescent="0.2">
      <c r="A21" s="144"/>
      <c r="B21" s="96"/>
      <c r="C21" s="96"/>
      <c r="D21" s="96"/>
      <c r="E21" s="96"/>
      <c r="F21" s="96"/>
      <c r="G21" s="96"/>
      <c r="H21" s="96"/>
      <c r="I21" s="96"/>
      <c r="J21" s="96"/>
      <c r="K21" s="96"/>
      <c r="L21" s="96"/>
      <c r="M21" s="96"/>
      <c r="N21" s="96"/>
      <c r="O21" s="96"/>
      <c r="P21" s="96"/>
      <c r="Q21" s="96"/>
      <c r="R21" s="145"/>
    </row>
    <row r="22" spans="1:18" x14ac:dyDescent="0.2">
      <c r="A22" s="144"/>
      <c r="B22" s="96"/>
      <c r="C22" s="96"/>
      <c r="D22" s="96"/>
      <c r="E22" s="96"/>
      <c r="F22" s="96"/>
      <c r="G22" s="96"/>
      <c r="H22" s="96"/>
      <c r="I22" s="96"/>
      <c r="J22" s="96"/>
      <c r="K22" s="96"/>
      <c r="L22" s="96"/>
      <c r="M22" s="96"/>
      <c r="N22" s="96"/>
      <c r="O22" s="96"/>
      <c r="P22" s="96"/>
      <c r="Q22" s="96"/>
      <c r="R22" s="145"/>
    </row>
    <row r="23" spans="1:18" x14ac:dyDescent="0.2">
      <c r="A23" s="144"/>
      <c r="B23" s="96"/>
      <c r="C23" s="96"/>
      <c r="D23" s="96"/>
      <c r="E23" s="96"/>
      <c r="F23" s="96"/>
      <c r="G23" s="96"/>
      <c r="H23" s="96"/>
      <c r="I23" s="96"/>
      <c r="J23" s="96"/>
      <c r="K23" s="96"/>
      <c r="L23" s="96"/>
      <c r="M23" s="96"/>
      <c r="N23" s="96"/>
      <c r="O23" s="96"/>
      <c r="P23" s="96"/>
      <c r="Q23" s="96"/>
      <c r="R23" s="145"/>
    </row>
    <row r="24" spans="1:18" x14ac:dyDescent="0.2">
      <c r="A24" s="144"/>
      <c r="B24" s="96"/>
      <c r="C24" s="96"/>
      <c r="D24" s="96"/>
      <c r="E24" s="96"/>
      <c r="F24" s="96"/>
      <c r="G24" s="96"/>
      <c r="H24" s="96"/>
      <c r="I24" s="96"/>
      <c r="J24" s="96"/>
      <c r="K24" s="96"/>
      <c r="L24" s="96"/>
      <c r="M24" s="96"/>
      <c r="N24" s="96"/>
      <c r="O24" s="96"/>
      <c r="P24" s="96"/>
      <c r="Q24" s="96"/>
      <c r="R24" s="145"/>
    </row>
    <row r="25" spans="1:18" x14ac:dyDescent="0.2">
      <c r="A25" s="144"/>
      <c r="B25" s="96"/>
      <c r="C25" s="96"/>
      <c r="D25" s="96"/>
      <c r="E25" s="96"/>
      <c r="F25" s="96"/>
      <c r="G25" s="96"/>
      <c r="H25" s="96"/>
      <c r="I25" s="96"/>
      <c r="J25" s="96"/>
      <c r="K25" s="96"/>
      <c r="L25" s="96"/>
      <c r="M25" s="96"/>
      <c r="N25" s="96"/>
      <c r="O25" s="96"/>
      <c r="P25" s="96"/>
      <c r="Q25" s="96"/>
      <c r="R25" s="145"/>
    </row>
    <row r="26" spans="1:18" x14ac:dyDescent="0.2">
      <c r="A26" s="144"/>
      <c r="B26" s="96"/>
      <c r="C26" s="96"/>
      <c r="D26" s="96"/>
      <c r="E26" s="96"/>
      <c r="F26" s="96"/>
      <c r="G26" s="96"/>
      <c r="H26" s="96"/>
      <c r="I26" s="96"/>
      <c r="J26" s="96"/>
      <c r="K26" s="96"/>
      <c r="L26" s="96"/>
      <c r="M26" s="96"/>
      <c r="N26" s="96"/>
      <c r="O26" s="96"/>
      <c r="P26" s="96"/>
      <c r="Q26" s="96"/>
      <c r="R26" s="145"/>
    </row>
    <row r="27" spans="1:18" x14ac:dyDescent="0.2">
      <c r="A27" s="144"/>
      <c r="B27" s="96"/>
      <c r="C27" s="96"/>
      <c r="D27" s="96"/>
      <c r="E27" s="96"/>
      <c r="F27" s="96"/>
      <c r="G27" s="96"/>
      <c r="H27" s="96"/>
      <c r="I27" s="96"/>
      <c r="J27" s="96"/>
      <c r="K27" s="96"/>
      <c r="L27" s="96"/>
      <c r="M27" s="96"/>
      <c r="N27" s="96"/>
      <c r="O27" s="96"/>
      <c r="P27" s="96"/>
      <c r="Q27" s="96"/>
      <c r="R27" s="145"/>
    </row>
    <row r="28" spans="1:18" x14ac:dyDescent="0.2">
      <c r="A28" s="144"/>
      <c r="B28" s="96"/>
      <c r="C28" s="96"/>
      <c r="D28" s="96"/>
      <c r="E28" s="96"/>
      <c r="F28" s="96"/>
      <c r="G28" s="96"/>
      <c r="H28" s="96"/>
      <c r="I28" s="96"/>
      <c r="J28" s="96"/>
      <c r="K28" s="96"/>
      <c r="L28" s="96"/>
      <c r="M28" s="96"/>
      <c r="N28" s="96"/>
      <c r="O28" s="96"/>
      <c r="P28" s="96"/>
      <c r="Q28" s="96"/>
      <c r="R28" s="145"/>
    </row>
    <row r="29" spans="1:18" x14ac:dyDescent="0.2">
      <c r="A29" s="144"/>
      <c r="B29" s="96"/>
      <c r="C29" s="96"/>
      <c r="D29" s="96"/>
      <c r="E29" s="96"/>
      <c r="F29" s="96"/>
      <c r="G29" s="96"/>
      <c r="H29" s="96"/>
      <c r="I29" s="96"/>
      <c r="J29" s="96"/>
      <c r="K29" s="96"/>
      <c r="L29" s="96"/>
      <c r="M29" s="96"/>
      <c r="N29" s="96"/>
      <c r="O29" s="96"/>
      <c r="P29" s="96"/>
      <c r="Q29" s="96"/>
      <c r="R29" s="145"/>
    </row>
    <row r="30" spans="1:18" x14ac:dyDescent="0.2">
      <c r="A30" s="144"/>
      <c r="B30" s="96"/>
      <c r="C30" s="96"/>
      <c r="D30" s="96"/>
      <c r="E30" s="96"/>
      <c r="F30" s="96"/>
      <c r="G30" s="96"/>
      <c r="H30" s="96"/>
      <c r="I30" s="96"/>
      <c r="J30" s="96"/>
      <c r="K30" s="96"/>
      <c r="L30" s="96"/>
      <c r="M30" s="96"/>
      <c r="N30" s="96"/>
      <c r="O30" s="96"/>
      <c r="P30" s="96"/>
      <c r="Q30" s="96"/>
      <c r="R30" s="145"/>
    </row>
    <row r="31" spans="1:18" x14ac:dyDescent="0.2">
      <c r="A31" s="144"/>
      <c r="B31" s="96"/>
      <c r="C31" s="96"/>
      <c r="D31" s="96"/>
      <c r="E31" s="96"/>
      <c r="F31" s="96"/>
      <c r="G31" s="96"/>
      <c r="H31" s="96"/>
      <c r="I31" s="96"/>
      <c r="J31" s="96"/>
      <c r="K31" s="96"/>
      <c r="L31" s="96"/>
      <c r="M31" s="96"/>
      <c r="N31" s="96"/>
      <c r="O31" s="96"/>
      <c r="P31" s="96"/>
      <c r="Q31" s="96"/>
      <c r="R31" s="145"/>
    </row>
    <row r="32" spans="1:18" s="134" customFormat="1" x14ac:dyDescent="0.2">
      <c r="A32" s="144"/>
      <c r="B32" s="96"/>
      <c r="C32" s="96"/>
      <c r="D32" s="96"/>
      <c r="E32" s="96"/>
      <c r="F32" s="96"/>
      <c r="G32" s="96"/>
      <c r="H32" s="96"/>
      <c r="I32" s="96"/>
      <c r="J32" s="96"/>
      <c r="K32" s="96"/>
      <c r="L32" s="96"/>
      <c r="M32" s="96"/>
      <c r="N32" s="96"/>
      <c r="O32" s="96"/>
      <c r="P32" s="96"/>
      <c r="Q32" s="96"/>
      <c r="R32" s="145"/>
    </row>
    <row r="33" spans="1:18" s="134" customFormat="1" x14ac:dyDescent="0.2">
      <c r="A33" s="144"/>
      <c r="B33" s="96"/>
      <c r="C33" s="96"/>
      <c r="D33" s="96"/>
      <c r="E33" s="96"/>
      <c r="F33" s="96"/>
      <c r="G33" s="96"/>
      <c r="H33" s="96"/>
      <c r="I33" s="96"/>
      <c r="J33" s="96"/>
      <c r="K33" s="96"/>
      <c r="L33" s="96"/>
      <c r="M33" s="96"/>
      <c r="N33" s="96"/>
      <c r="O33" s="96"/>
      <c r="P33" s="96"/>
      <c r="Q33" s="96"/>
      <c r="R33" s="145"/>
    </row>
    <row r="34" spans="1:18" x14ac:dyDescent="0.2">
      <c r="A34" s="144"/>
      <c r="B34" s="96"/>
      <c r="C34" s="96"/>
      <c r="D34" s="96"/>
      <c r="E34" s="96"/>
      <c r="F34" s="96"/>
      <c r="G34" s="96"/>
      <c r="H34" s="96"/>
      <c r="I34" s="96"/>
      <c r="J34" s="96"/>
      <c r="K34" s="96"/>
      <c r="L34" s="96"/>
      <c r="M34" s="96"/>
      <c r="N34" s="96"/>
      <c r="O34" s="96"/>
      <c r="P34" s="96"/>
      <c r="Q34" s="96"/>
      <c r="R34" s="145"/>
    </row>
    <row r="35" spans="1:18" x14ac:dyDescent="0.2">
      <c r="A35" s="144"/>
      <c r="B35" s="149" t="s">
        <v>2576</v>
      </c>
      <c r="C35" s="282" t="s">
        <v>2577</v>
      </c>
      <c r="D35" s="96"/>
      <c r="E35" s="96"/>
      <c r="F35" s="96"/>
      <c r="G35" s="96"/>
      <c r="H35" s="96"/>
      <c r="I35" s="96"/>
      <c r="J35" s="96"/>
      <c r="K35" s="96"/>
      <c r="L35" s="96"/>
      <c r="M35" s="96"/>
      <c r="N35" s="96"/>
      <c r="O35" s="96"/>
      <c r="P35" s="96"/>
      <c r="Q35" s="96"/>
      <c r="R35" s="145"/>
    </row>
    <row r="36" spans="1:18" ht="16" thickBot="1" x14ac:dyDescent="0.25">
      <c r="A36" s="146"/>
      <c r="B36" s="147"/>
      <c r="C36" s="147"/>
      <c r="D36" s="147"/>
      <c r="E36" s="147"/>
      <c r="F36" s="147"/>
      <c r="G36" s="147"/>
      <c r="H36" s="147"/>
      <c r="I36" s="147"/>
      <c r="J36" s="147"/>
      <c r="K36" s="147"/>
      <c r="L36" s="147"/>
      <c r="M36" s="147"/>
      <c r="N36" s="147"/>
      <c r="O36" s="147"/>
      <c r="P36" s="147"/>
      <c r="Q36" s="147"/>
      <c r="R36" s="148"/>
    </row>
    <row r="37" spans="1:18" ht="16" thickTop="1" x14ac:dyDescent="0.2"/>
  </sheetData>
  <sheetProtection algorithmName="SHA-512" hashValue="cpgN4ELCFmMqctLLwhMNK9y/i4QE09OBc9u3stQOwtVNfXFXowg5Qkoy1glJzj6rbIceWWvjQCC5VqqiR5NkNw==" saltValue="vVu+nRn4gm9agBxxA/Kwsw==" spinCount="100000" sheet="1" objects="1" scenarios="1" selectLockedCells="1"/>
  <mergeCells count="3">
    <mergeCell ref="B3:C3"/>
    <mergeCell ref="D3:F3"/>
    <mergeCell ref="H3:J3"/>
  </mergeCells>
  <hyperlinks>
    <hyperlink ref="C35" r:id="rId1" xr:uid="{00000000-0004-0000-1C00-000000000000}"/>
    <hyperlink ref="B3:C3" location="hyptarg3" display="back to 602.1.12" xr:uid="{00000000-0004-0000-1C00-000001000000}"/>
    <hyperlink ref="D3" location="'Table 602.1.12'!A1" display="See Table 602.1.12" xr:uid="{00000000-0004-0000-1C00-000002000000}"/>
    <hyperlink ref="H3:I3" location="'Verification Report'!A1" display="back to Verification Report" xr:uid="{00000000-0004-0000-1C00-000003000000}"/>
    <hyperlink ref="H3:J3" location="'Verification Report'!A1" display="back to Verification Report" xr:uid="{00000000-0004-0000-1C00-000004000000}"/>
  </hyperlinks>
  <pageMargins left="0.7" right="0.7" top="0.75" bottom="0.75" header="0.3" footer="0.3"/>
  <pageSetup orientation="portrait" r:id="rId2"/>
  <drawing r:id="rId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sheetPr codeName="Sheet25"/>
  <dimension ref="A1:R35"/>
  <sheetViews>
    <sheetView showGridLines="0" workbookViewId="0">
      <selection activeCell="H3" sqref="H3:J3"/>
    </sheetView>
  </sheetViews>
  <sheetFormatPr baseColWidth="10" defaultColWidth="9.1640625" defaultRowHeight="15" x14ac:dyDescent="0.2"/>
  <cols>
    <col min="1" max="16384" width="9.1640625" style="134"/>
  </cols>
  <sheetData>
    <row r="1" spans="1:18" ht="20" thickTop="1" x14ac:dyDescent="0.2">
      <c r="A1" s="2164" t="s">
        <v>2580</v>
      </c>
      <c r="B1" s="2165"/>
      <c r="C1" s="2165"/>
      <c r="D1" s="2165"/>
      <c r="E1" s="2165"/>
      <c r="F1" s="2165"/>
      <c r="G1" s="2165"/>
      <c r="H1" s="2165"/>
      <c r="I1" s="2165"/>
      <c r="J1" s="2165"/>
      <c r="K1" s="2165"/>
      <c r="L1" s="2165"/>
      <c r="M1" s="2165"/>
      <c r="N1" s="2165"/>
      <c r="O1" s="2165"/>
      <c r="P1" s="2165"/>
      <c r="Q1" s="2165"/>
      <c r="R1" s="2166"/>
    </row>
    <row r="2" spans="1:18" x14ac:dyDescent="0.2">
      <c r="A2" s="2162"/>
      <c r="B2" s="2163"/>
      <c r="C2" s="2163"/>
      <c r="D2" s="2163"/>
      <c r="E2" s="96"/>
      <c r="F2" s="96"/>
      <c r="G2" s="96"/>
      <c r="H2" s="96"/>
      <c r="I2" s="96"/>
      <c r="J2" s="96"/>
      <c r="K2" s="96"/>
      <c r="L2" s="96"/>
      <c r="M2" s="96"/>
      <c r="N2" s="96"/>
      <c r="O2" s="96"/>
      <c r="P2" s="96"/>
      <c r="Q2" s="96"/>
      <c r="R2" s="145"/>
    </row>
    <row r="3" spans="1:18" x14ac:dyDescent="0.2">
      <c r="A3" s="144"/>
      <c r="B3" s="2133" t="s">
        <v>2581</v>
      </c>
      <c r="C3" s="2133"/>
      <c r="E3" s="2133" t="s">
        <v>2582</v>
      </c>
      <c r="F3" s="2133"/>
      <c r="H3" s="2134" t="s">
        <v>3426</v>
      </c>
      <c r="I3" s="2135"/>
      <c r="J3" s="2136"/>
      <c r="K3" s="96"/>
      <c r="L3" s="96"/>
      <c r="M3" s="96"/>
      <c r="N3" s="96"/>
      <c r="O3" s="96"/>
      <c r="P3" s="96"/>
      <c r="Q3" s="96"/>
      <c r="R3" s="145"/>
    </row>
    <row r="4" spans="1:18" x14ac:dyDescent="0.2">
      <c r="A4" s="144"/>
      <c r="B4" s="96"/>
      <c r="C4" s="96"/>
      <c r="D4" s="96"/>
      <c r="E4" s="96"/>
      <c r="F4" s="96"/>
      <c r="G4" s="96"/>
      <c r="H4" s="96"/>
      <c r="I4" s="96"/>
      <c r="J4" s="96"/>
      <c r="K4" s="96"/>
      <c r="L4" s="96"/>
      <c r="M4" s="96"/>
      <c r="N4" s="96"/>
      <c r="O4" s="96"/>
      <c r="P4" s="96"/>
      <c r="Q4" s="96"/>
      <c r="R4" s="145"/>
    </row>
    <row r="5" spans="1:18" x14ac:dyDescent="0.2">
      <c r="A5" s="144"/>
      <c r="B5" s="96"/>
      <c r="C5" s="96"/>
      <c r="D5" s="96"/>
      <c r="E5" s="96"/>
      <c r="F5" s="96"/>
      <c r="G5" s="96"/>
      <c r="H5" s="96"/>
      <c r="I5" s="96"/>
      <c r="J5" s="96"/>
      <c r="K5" s="96"/>
      <c r="L5" s="96"/>
      <c r="M5" s="96"/>
      <c r="N5" s="96"/>
      <c r="O5" s="96"/>
      <c r="P5" s="96"/>
      <c r="Q5" s="96"/>
      <c r="R5" s="145"/>
    </row>
    <row r="6" spans="1:18" x14ac:dyDescent="0.2">
      <c r="A6" s="144"/>
      <c r="B6" s="96"/>
      <c r="C6" s="96"/>
      <c r="D6" s="96"/>
      <c r="E6" s="96"/>
      <c r="F6" s="96"/>
      <c r="G6" s="96"/>
      <c r="H6" s="96"/>
      <c r="I6" s="96"/>
      <c r="J6" s="96"/>
      <c r="K6" s="96"/>
      <c r="L6" s="96"/>
      <c r="M6" s="96"/>
      <c r="N6" s="96"/>
      <c r="O6" s="96"/>
      <c r="P6" s="96"/>
      <c r="Q6" s="96"/>
      <c r="R6" s="145"/>
    </row>
    <row r="7" spans="1:18" x14ac:dyDescent="0.2">
      <c r="A7" s="144"/>
      <c r="B7" s="96"/>
      <c r="C7" s="96"/>
      <c r="D7" s="96"/>
      <c r="E7" s="96"/>
      <c r="F7" s="96"/>
      <c r="G7" s="96"/>
      <c r="H7" s="96"/>
      <c r="I7" s="96"/>
      <c r="J7" s="96"/>
      <c r="K7" s="96"/>
      <c r="L7" s="96"/>
      <c r="M7" s="96"/>
      <c r="N7" s="96"/>
      <c r="O7" s="96"/>
      <c r="P7" s="96"/>
      <c r="Q7" s="96"/>
      <c r="R7" s="145"/>
    </row>
    <row r="8" spans="1:18" x14ac:dyDescent="0.2">
      <c r="A8" s="144"/>
      <c r="B8" s="96"/>
      <c r="C8" s="96"/>
      <c r="D8" s="96"/>
      <c r="E8" s="96"/>
      <c r="F8" s="96"/>
      <c r="G8" s="96"/>
      <c r="H8" s="96"/>
      <c r="I8" s="96"/>
      <c r="J8" s="96"/>
      <c r="K8" s="96"/>
      <c r="L8" s="96"/>
      <c r="M8" s="96"/>
      <c r="N8" s="96"/>
      <c r="O8" s="96"/>
      <c r="P8" s="96"/>
      <c r="Q8" s="96"/>
      <c r="R8" s="145"/>
    </row>
    <row r="9" spans="1:18" x14ac:dyDescent="0.2">
      <c r="A9" s="144"/>
      <c r="B9" s="96"/>
      <c r="C9" s="96"/>
      <c r="D9" s="96"/>
      <c r="E9" s="96"/>
      <c r="F9" s="96"/>
      <c r="G9" s="96"/>
      <c r="H9" s="96"/>
      <c r="I9" s="96"/>
      <c r="J9" s="96"/>
      <c r="K9" s="96"/>
      <c r="L9" s="96"/>
      <c r="M9" s="96"/>
      <c r="N9" s="96"/>
      <c r="O9" s="96"/>
      <c r="P9" s="96"/>
      <c r="Q9" s="96"/>
      <c r="R9" s="145"/>
    </row>
    <row r="10" spans="1:18" x14ac:dyDescent="0.2">
      <c r="A10" s="144"/>
      <c r="B10" s="96"/>
      <c r="C10" s="96"/>
      <c r="D10" s="96"/>
      <c r="E10" s="96"/>
      <c r="F10" s="96"/>
      <c r="G10" s="96"/>
      <c r="H10" s="96"/>
      <c r="I10" s="96"/>
      <c r="J10" s="96"/>
      <c r="K10" s="96"/>
      <c r="L10" s="96"/>
      <c r="M10" s="96"/>
      <c r="N10" s="96"/>
      <c r="O10" s="96"/>
      <c r="P10" s="96"/>
      <c r="Q10" s="96"/>
      <c r="R10" s="145"/>
    </row>
    <row r="11" spans="1:18" x14ac:dyDescent="0.2">
      <c r="A11" s="144"/>
      <c r="B11" s="96"/>
      <c r="C11" s="96"/>
      <c r="D11" s="96"/>
      <c r="E11" s="96"/>
      <c r="F11" s="96"/>
      <c r="G11" s="96"/>
      <c r="H11" s="96"/>
      <c r="I11" s="96"/>
      <c r="J11" s="96"/>
      <c r="K11" s="96"/>
      <c r="L11" s="96"/>
      <c r="M11" s="96"/>
      <c r="N11" s="96"/>
      <c r="O11" s="96"/>
      <c r="P11" s="96"/>
      <c r="Q11" s="96"/>
      <c r="R11" s="145"/>
    </row>
    <row r="12" spans="1:18" x14ac:dyDescent="0.2">
      <c r="A12" s="144"/>
      <c r="B12" s="96"/>
      <c r="C12" s="96"/>
      <c r="D12" s="96"/>
      <c r="E12" s="96"/>
      <c r="F12" s="96"/>
      <c r="G12" s="96"/>
      <c r="H12" s="96"/>
      <c r="I12" s="96"/>
      <c r="J12" s="96"/>
      <c r="K12" s="96"/>
      <c r="L12" s="96"/>
      <c r="M12" s="96"/>
      <c r="N12" s="96"/>
      <c r="O12" s="96"/>
      <c r="P12" s="96"/>
      <c r="Q12" s="96"/>
      <c r="R12" s="145"/>
    </row>
    <row r="13" spans="1:18" x14ac:dyDescent="0.2">
      <c r="A13" s="144"/>
      <c r="B13" s="96"/>
      <c r="C13" s="96"/>
      <c r="D13" s="96"/>
      <c r="E13" s="96"/>
      <c r="F13" s="96"/>
      <c r="G13" s="96"/>
      <c r="H13" s="96"/>
      <c r="I13" s="96"/>
      <c r="J13" s="96"/>
      <c r="K13" s="96"/>
      <c r="L13" s="96"/>
      <c r="M13" s="96"/>
      <c r="N13" s="96"/>
      <c r="O13" s="96"/>
      <c r="P13" s="96"/>
      <c r="Q13" s="96"/>
      <c r="R13" s="145"/>
    </row>
    <row r="14" spans="1:18" x14ac:dyDescent="0.2">
      <c r="A14" s="144"/>
      <c r="B14" s="96"/>
      <c r="C14" s="96"/>
      <c r="D14" s="96"/>
      <c r="E14" s="96"/>
      <c r="F14" s="96"/>
      <c r="G14" s="96"/>
      <c r="H14" s="96"/>
      <c r="I14" s="96"/>
      <c r="J14" s="96"/>
      <c r="K14" s="96"/>
      <c r="L14" s="96"/>
      <c r="M14" s="96"/>
      <c r="N14" s="96"/>
      <c r="O14" s="96"/>
      <c r="P14" s="96"/>
      <c r="Q14" s="96"/>
      <c r="R14" s="145"/>
    </row>
    <row r="15" spans="1:18" x14ac:dyDescent="0.2">
      <c r="A15" s="144"/>
      <c r="B15" s="96"/>
      <c r="C15" s="96"/>
      <c r="D15" s="96"/>
      <c r="E15" s="96"/>
      <c r="F15" s="96"/>
      <c r="G15" s="96"/>
      <c r="H15" s="96"/>
      <c r="I15" s="96"/>
      <c r="J15" s="96"/>
      <c r="K15" s="96"/>
      <c r="L15" s="96"/>
      <c r="M15" s="96"/>
      <c r="N15" s="96"/>
      <c r="O15" s="96"/>
      <c r="P15" s="96"/>
      <c r="Q15" s="96"/>
      <c r="R15" s="145"/>
    </row>
    <row r="16" spans="1:18" x14ac:dyDescent="0.2">
      <c r="A16" s="144"/>
      <c r="B16" s="96"/>
      <c r="C16" s="96"/>
      <c r="D16" s="96"/>
      <c r="E16" s="96"/>
      <c r="F16" s="96"/>
      <c r="G16" s="96"/>
      <c r="H16" s="96"/>
      <c r="I16" s="96"/>
      <c r="J16" s="96"/>
      <c r="K16" s="96"/>
      <c r="L16" s="96"/>
      <c r="M16" s="96"/>
      <c r="N16" s="96"/>
      <c r="O16" s="96"/>
      <c r="P16" s="96"/>
      <c r="Q16" s="96"/>
      <c r="R16" s="145"/>
    </row>
    <row r="17" spans="1:18" x14ac:dyDescent="0.2">
      <c r="A17" s="144"/>
      <c r="B17" s="96"/>
      <c r="C17" s="96"/>
      <c r="D17" s="96"/>
      <c r="E17" s="96"/>
      <c r="F17" s="96"/>
      <c r="G17" s="96"/>
      <c r="H17" s="96"/>
      <c r="I17" s="96"/>
      <c r="J17" s="96"/>
      <c r="K17" s="96"/>
      <c r="L17" s="96"/>
      <c r="M17" s="96"/>
      <c r="N17" s="96"/>
      <c r="O17" s="96"/>
      <c r="P17" s="96"/>
      <c r="Q17" s="96"/>
      <c r="R17" s="145"/>
    </row>
    <row r="18" spans="1:18" x14ac:dyDescent="0.2">
      <c r="A18" s="144"/>
      <c r="B18" s="96"/>
      <c r="C18" s="96"/>
      <c r="D18" s="96"/>
      <c r="E18" s="96"/>
      <c r="F18" s="96"/>
      <c r="G18" s="96"/>
      <c r="H18" s="96"/>
      <c r="I18" s="96"/>
      <c r="J18" s="96"/>
      <c r="K18" s="96"/>
      <c r="L18" s="96"/>
      <c r="M18" s="96"/>
      <c r="N18" s="96"/>
      <c r="O18" s="96"/>
      <c r="P18" s="96"/>
      <c r="Q18" s="96"/>
      <c r="R18" s="145"/>
    </row>
    <row r="19" spans="1:18" x14ac:dyDescent="0.2">
      <c r="A19" s="144"/>
      <c r="B19" s="96"/>
      <c r="C19" s="96"/>
      <c r="D19" s="96"/>
      <c r="E19" s="96"/>
      <c r="F19" s="96"/>
      <c r="G19" s="96"/>
      <c r="H19" s="96"/>
      <c r="I19" s="96"/>
      <c r="J19" s="96"/>
      <c r="K19" s="96"/>
      <c r="L19" s="96"/>
      <c r="M19" s="96"/>
      <c r="N19" s="96"/>
      <c r="O19" s="96"/>
      <c r="P19" s="96"/>
      <c r="Q19" s="96"/>
      <c r="R19" s="145"/>
    </row>
    <row r="20" spans="1:18" x14ac:dyDescent="0.2">
      <c r="A20" s="144"/>
      <c r="B20" s="96"/>
      <c r="C20" s="96"/>
      <c r="D20" s="96"/>
      <c r="E20" s="96"/>
      <c r="F20" s="96"/>
      <c r="G20" s="96"/>
      <c r="H20" s="96"/>
      <c r="I20" s="96"/>
      <c r="J20" s="96"/>
      <c r="K20" s="96"/>
      <c r="L20" s="96"/>
      <c r="M20" s="96"/>
      <c r="N20" s="96"/>
      <c r="O20" s="96"/>
      <c r="P20" s="96"/>
      <c r="Q20" s="96"/>
      <c r="R20" s="145"/>
    </row>
    <row r="21" spans="1:18" x14ac:dyDescent="0.2">
      <c r="A21" s="144"/>
      <c r="B21" s="96"/>
      <c r="C21" s="96"/>
      <c r="D21" s="96"/>
      <c r="E21" s="96"/>
      <c r="F21" s="96"/>
      <c r="G21" s="96"/>
      <c r="H21" s="96"/>
      <c r="I21" s="96"/>
      <c r="J21" s="96"/>
      <c r="K21" s="96"/>
      <c r="L21" s="96"/>
      <c r="M21" s="96"/>
      <c r="N21" s="96"/>
      <c r="O21" s="96"/>
      <c r="P21" s="96"/>
      <c r="Q21" s="96"/>
      <c r="R21" s="145"/>
    </row>
    <row r="22" spans="1:18" x14ac:dyDescent="0.2">
      <c r="A22" s="144"/>
      <c r="B22" s="96"/>
      <c r="C22" s="96"/>
      <c r="D22" s="96"/>
      <c r="E22" s="96"/>
      <c r="F22" s="96"/>
      <c r="G22" s="96"/>
      <c r="H22" s="96"/>
      <c r="I22" s="96"/>
      <c r="J22" s="96"/>
      <c r="K22" s="96"/>
      <c r="L22" s="96"/>
      <c r="M22" s="96"/>
      <c r="N22" s="96"/>
      <c r="O22" s="96"/>
      <c r="P22" s="96"/>
      <c r="Q22" s="96"/>
      <c r="R22" s="145"/>
    </row>
    <row r="23" spans="1:18" x14ac:dyDescent="0.2">
      <c r="A23" s="144"/>
      <c r="B23" s="96"/>
      <c r="C23" s="96"/>
      <c r="D23" s="96"/>
      <c r="E23" s="96"/>
      <c r="F23" s="96"/>
      <c r="G23" s="96"/>
      <c r="H23" s="96"/>
      <c r="I23" s="96"/>
      <c r="J23" s="96"/>
      <c r="K23" s="96"/>
      <c r="L23" s="96"/>
      <c r="M23" s="96"/>
      <c r="N23" s="96"/>
      <c r="O23" s="96"/>
      <c r="P23" s="96"/>
      <c r="Q23" s="96"/>
      <c r="R23" s="145"/>
    </row>
    <row r="24" spans="1:18" x14ac:dyDescent="0.2">
      <c r="A24" s="144"/>
      <c r="B24" s="96"/>
      <c r="C24" s="96"/>
      <c r="D24" s="96"/>
      <c r="E24" s="96"/>
      <c r="F24" s="96"/>
      <c r="G24" s="96"/>
      <c r="H24" s="96"/>
      <c r="I24" s="96"/>
      <c r="J24" s="96"/>
      <c r="K24" s="96"/>
      <c r="L24" s="96"/>
      <c r="M24" s="96"/>
      <c r="N24" s="96"/>
      <c r="O24" s="96"/>
      <c r="P24" s="96"/>
      <c r="Q24" s="96"/>
      <c r="R24" s="145"/>
    </row>
    <row r="25" spans="1:18" x14ac:dyDescent="0.2">
      <c r="A25" s="144"/>
      <c r="B25" s="96"/>
      <c r="C25" s="96"/>
      <c r="D25" s="96"/>
      <c r="E25" s="96"/>
      <c r="F25" s="96"/>
      <c r="G25" s="96"/>
      <c r="H25" s="96"/>
      <c r="I25" s="96"/>
      <c r="J25" s="96"/>
      <c r="K25" s="96"/>
      <c r="L25" s="96"/>
      <c r="M25" s="96"/>
      <c r="N25" s="96"/>
      <c r="O25" s="96"/>
      <c r="P25" s="96"/>
      <c r="Q25" s="96"/>
      <c r="R25" s="145"/>
    </row>
    <row r="26" spans="1:18" x14ac:dyDescent="0.2">
      <c r="A26" s="144"/>
      <c r="B26" s="96"/>
      <c r="C26" s="96"/>
      <c r="D26" s="96"/>
      <c r="E26" s="96"/>
      <c r="F26" s="96"/>
      <c r="G26" s="96"/>
      <c r="H26" s="96"/>
      <c r="I26" s="96"/>
      <c r="J26" s="96"/>
      <c r="K26" s="96"/>
      <c r="L26" s="96"/>
      <c r="M26" s="96"/>
      <c r="N26" s="96"/>
      <c r="O26" s="96"/>
      <c r="P26" s="96"/>
      <c r="Q26" s="96"/>
      <c r="R26" s="145"/>
    </row>
    <row r="27" spans="1:18" x14ac:dyDescent="0.2">
      <c r="A27" s="144"/>
      <c r="B27" s="96"/>
      <c r="C27" s="96"/>
      <c r="D27" s="96"/>
      <c r="E27" s="96"/>
      <c r="F27" s="96"/>
      <c r="G27" s="96"/>
      <c r="H27" s="96"/>
      <c r="I27" s="96"/>
      <c r="J27" s="96"/>
      <c r="K27" s="96"/>
      <c r="L27" s="96"/>
      <c r="M27" s="96"/>
      <c r="N27" s="96"/>
      <c r="O27" s="96"/>
      <c r="P27" s="96"/>
      <c r="Q27" s="96"/>
      <c r="R27" s="145"/>
    </row>
    <row r="28" spans="1:18" x14ac:dyDescent="0.2">
      <c r="A28" s="144"/>
      <c r="B28" s="96"/>
      <c r="C28" s="96"/>
      <c r="D28" s="96"/>
      <c r="E28" s="96"/>
      <c r="F28" s="96"/>
      <c r="G28" s="96"/>
      <c r="H28" s="96"/>
      <c r="I28" s="96"/>
      <c r="J28" s="96"/>
      <c r="K28" s="96"/>
      <c r="L28" s="96"/>
      <c r="M28" s="96"/>
      <c r="N28" s="96"/>
      <c r="O28" s="96"/>
      <c r="P28" s="96"/>
      <c r="Q28" s="96"/>
      <c r="R28" s="145"/>
    </row>
    <row r="29" spans="1:18" x14ac:dyDescent="0.2">
      <c r="A29" s="144"/>
      <c r="B29" s="96"/>
      <c r="C29" s="96"/>
      <c r="D29" s="96"/>
      <c r="E29" s="96"/>
      <c r="F29" s="96"/>
      <c r="G29" s="96"/>
      <c r="H29" s="96"/>
      <c r="I29" s="96"/>
      <c r="J29" s="96"/>
      <c r="K29" s="96"/>
      <c r="L29" s="96"/>
      <c r="M29" s="96"/>
      <c r="N29" s="96"/>
      <c r="O29" s="96"/>
      <c r="P29" s="96"/>
      <c r="Q29" s="96"/>
      <c r="R29" s="145"/>
    </row>
    <row r="30" spans="1:18" x14ac:dyDescent="0.2">
      <c r="A30" s="144"/>
      <c r="B30" s="96"/>
      <c r="C30" s="96"/>
      <c r="D30" s="96"/>
      <c r="E30" s="96"/>
      <c r="F30" s="96"/>
      <c r="G30" s="96"/>
      <c r="H30" s="96"/>
      <c r="I30" s="96"/>
      <c r="J30" s="96"/>
      <c r="K30" s="96"/>
      <c r="L30" s="96"/>
      <c r="M30" s="96"/>
      <c r="N30" s="96"/>
      <c r="O30" s="96"/>
      <c r="P30" s="96"/>
      <c r="Q30" s="96"/>
      <c r="R30" s="145"/>
    </row>
    <row r="31" spans="1:18" x14ac:dyDescent="0.2">
      <c r="A31" s="144"/>
      <c r="B31" s="96"/>
      <c r="C31" s="96"/>
      <c r="D31" s="96"/>
      <c r="E31" s="96"/>
      <c r="F31" s="96"/>
      <c r="G31" s="96"/>
      <c r="H31" s="96"/>
      <c r="I31" s="96"/>
      <c r="J31" s="96"/>
      <c r="K31" s="96"/>
      <c r="L31" s="96"/>
      <c r="M31" s="96"/>
      <c r="N31" s="96"/>
      <c r="O31" s="96"/>
      <c r="P31" s="96"/>
      <c r="Q31" s="96"/>
      <c r="R31" s="145"/>
    </row>
    <row r="32" spans="1:18" x14ac:dyDescent="0.2">
      <c r="A32" s="144"/>
      <c r="B32" s="96"/>
      <c r="C32" s="96"/>
      <c r="D32" s="96"/>
      <c r="E32" s="96"/>
      <c r="F32" s="96"/>
      <c r="G32" s="96"/>
      <c r="H32" s="96"/>
      <c r="I32" s="96"/>
      <c r="J32" s="96"/>
      <c r="K32" s="96"/>
      <c r="L32" s="96"/>
      <c r="M32" s="96"/>
      <c r="N32" s="96"/>
      <c r="O32" s="96"/>
      <c r="P32" s="96"/>
      <c r="Q32" s="96"/>
      <c r="R32" s="145"/>
    </row>
    <row r="33" spans="1:18" x14ac:dyDescent="0.2">
      <c r="A33" s="144"/>
      <c r="B33" s="149"/>
      <c r="C33" s="150"/>
      <c r="D33" s="96"/>
      <c r="E33" s="96"/>
      <c r="F33" s="96"/>
      <c r="G33" s="96"/>
      <c r="H33" s="96"/>
      <c r="I33" s="96"/>
      <c r="J33" s="96"/>
      <c r="K33" s="96"/>
      <c r="L33" s="96"/>
      <c r="M33" s="96"/>
      <c r="N33" s="96"/>
      <c r="O33" s="149" t="s">
        <v>2578</v>
      </c>
      <c r="P33" s="282" t="s">
        <v>2579</v>
      </c>
      <c r="Q33" s="96"/>
      <c r="R33" s="145"/>
    </row>
    <row r="34" spans="1:18" ht="16" thickBot="1" x14ac:dyDescent="0.25">
      <c r="A34" s="146"/>
      <c r="B34" s="147"/>
      <c r="C34" s="147"/>
      <c r="D34" s="147"/>
      <c r="E34" s="147"/>
      <c r="F34" s="147"/>
      <c r="G34" s="147"/>
      <c r="H34" s="147"/>
      <c r="I34" s="147"/>
      <c r="J34" s="147"/>
      <c r="K34" s="147"/>
      <c r="L34" s="147"/>
      <c r="M34" s="147"/>
      <c r="N34" s="147"/>
      <c r="O34" s="147"/>
      <c r="P34" s="147"/>
      <c r="Q34" s="147"/>
      <c r="R34" s="148"/>
    </row>
    <row r="35" spans="1:18" ht="16" thickTop="1" x14ac:dyDescent="0.2"/>
  </sheetData>
  <sheetProtection algorithmName="SHA-512" hashValue="0WvUXp3Mr4FxFVWjSNqUI9uToTG22cvMXiNBQV1geAbHaDxnE7UCuhV7d7IdZQ5D2Kz/UbiPGSD5XgZd/d9idA==" saltValue="wryw3nC08Nc1Zw3kLO9g+A==" spinCount="100000" sheet="1" objects="1" scenarios="1" selectLockedCells="1"/>
  <mergeCells count="6">
    <mergeCell ref="A2:B2"/>
    <mergeCell ref="C2:D2"/>
    <mergeCell ref="A1:R1"/>
    <mergeCell ref="B3:C3"/>
    <mergeCell ref="E3:F3"/>
    <mergeCell ref="H3:J3"/>
  </mergeCells>
  <hyperlinks>
    <hyperlink ref="P33" r:id="rId1" xr:uid="{00000000-0004-0000-1D00-000000000000}"/>
    <hyperlink ref="B3:C3" location="hyptarg1" display="back to 602.1.5" xr:uid="{00000000-0004-0000-1D00-000001000000}"/>
    <hyperlink ref="E3:F3" location="hyptarg2" display="back to 602.1.6" xr:uid="{00000000-0004-0000-1D00-000002000000}"/>
    <hyperlink ref="H3:I3" location="'Verification Report'!A1" display="back to Verification Report" xr:uid="{00000000-0004-0000-1D00-000003000000}"/>
    <hyperlink ref="H3:J3" location="'Verification Report'!A1" display="back to Verification Report" xr:uid="{00000000-0004-0000-1D00-000004000000}"/>
  </hyperlinks>
  <pageMargins left="0.7" right="0.7" top="0.75" bottom="0.75" header="0.3" footer="0.3"/>
  <pageSetup orientation="portrait" r:id="rId2"/>
  <drawing r:id="rId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sheetPr codeName="Sheet27"/>
  <dimension ref="B1:I6"/>
  <sheetViews>
    <sheetView showGridLines="0" zoomScaleNormal="100" workbookViewId="0">
      <selection activeCell="B2" sqref="B2:C2"/>
    </sheetView>
  </sheetViews>
  <sheetFormatPr baseColWidth="10" defaultColWidth="9.1640625" defaultRowHeight="15" x14ac:dyDescent="0.2"/>
  <cols>
    <col min="1" max="16384" width="9.1640625" style="307"/>
  </cols>
  <sheetData>
    <row r="1" spans="2:9" s="327" customFormat="1" x14ac:dyDescent="0.2"/>
    <row r="2" spans="2:9" s="327" customFormat="1" x14ac:dyDescent="0.2">
      <c r="B2" s="2133" t="s">
        <v>3857</v>
      </c>
      <c r="C2" s="2133"/>
      <c r="F2" s="2134" t="s">
        <v>3426</v>
      </c>
      <c r="G2" s="2135"/>
      <c r="H2" s="2136"/>
    </row>
    <row r="5" spans="2:9" x14ac:dyDescent="0.2">
      <c r="D5" s="2142" t="s">
        <v>3856</v>
      </c>
      <c r="E5" s="2142"/>
      <c r="F5" s="2142"/>
      <c r="G5" s="2142"/>
      <c r="H5" s="2142"/>
      <c r="I5" s="2142"/>
    </row>
    <row r="6" spans="2:9" x14ac:dyDescent="0.2">
      <c r="D6" s="1704" t="s">
        <v>2884</v>
      </c>
      <c r="E6" s="1704"/>
      <c r="F6" s="1704"/>
      <c r="G6" s="1704"/>
      <c r="H6" s="1704"/>
      <c r="I6" s="1704"/>
    </row>
  </sheetData>
  <sheetProtection algorithmName="SHA-512" hashValue="qdHX9jmOTbBDLdiVhCZ+wUjnGA7hpwgWdi0oHG7BXvf/2Q543f06pgAY0yDXueJ7DgXIW4DUamN2/qNoT3P7ww==" saltValue="+M/oMBCWr3A5LIIi3IE9cQ==" spinCount="100000" sheet="1" objects="1" scenarios="1" selectLockedCells="1"/>
  <mergeCells count="4">
    <mergeCell ref="D5:I5"/>
    <mergeCell ref="D6:I6"/>
    <mergeCell ref="B2:C2"/>
    <mergeCell ref="F2:H2"/>
  </mergeCells>
  <hyperlinks>
    <hyperlink ref="B2:C2" location="hyptarg7.1" display="back to 701.4.3.2(2)" xr:uid="{00000000-0004-0000-1E00-000000000000}"/>
    <hyperlink ref="F2:G2" location="'Verification Report'!A1" display="back to Verification Report" xr:uid="{00000000-0004-0000-1E00-000001000000}"/>
    <hyperlink ref="F2:H2" location="'Verification Report'!A1" display="back to Verification Report" xr:uid="{00000000-0004-0000-1E00-000002000000}"/>
  </hyperlinks>
  <pageMargins left="0.7" right="0.7" top="0.75" bottom="0.75" header="0.3" footer="0.3"/>
  <pageSetup orientation="portrait" horizontalDpi="0" verticalDpi="0"/>
  <drawing r:id="rId1"/>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C96D69-10CB-4FCA-A1FF-F4380A8B6DC8}">
  <sheetPr codeName="Sheet32"/>
  <dimension ref="C1:K17"/>
  <sheetViews>
    <sheetView showGridLines="0" workbookViewId="0">
      <selection activeCell="I2" sqref="I2:K2"/>
    </sheetView>
  </sheetViews>
  <sheetFormatPr baseColWidth="10" defaultColWidth="9.1640625" defaultRowHeight="15" x14ac:dyDescent="0.2"/>
  <cols>
    <col min="1" max="16384" width="9.1640625" style="905"/>
  </cols>
  <sheetData>
    <row r="1" spans="3:11" s="1150" customFormat="1" x14ac:dyDescent="0.2"/>
    <row r="2" spans="3:11" x14ac:dyDescent="0.2">
      <c r="C2" s="2133" t="s">
        <v>4962</v>
      </c>
      <c r="D2" s="2133"/>
      <c r="I2" s="2134" t="s">
        <v>3426</v>
      </c>
      <c r="J2" s="2135"/>
      <c r="K2" s="2136"/>
    </row>
    <row r="4" spans="3:11" x14ac:dyDescent="0.2">
      <c r="C4" s="1722" t="s">
        <v>4723</v>
      </c>
      <c r="D4" s="1722"/>
      <c r="E4" s="1722"/>
      <c r="F4" s="1722"/>
      <c r="G4" s="1722"/>
      <c r="H4" s="1722"/>
      <c r="I4" s="1722"/>
      <c r="J4" s="1722"/>
      <c r="K4" s="1722"/>
    </row>
    <row r="5" spans="3:11" ht="16" thickBot="1" x14ac:dyDescent="0.25">
      <c r="C5" s="2170" t="s">
        <v>4724</v>
      </c>
      <c r="D5" s="2170"/>
      <c r="E5" s="2170"/>
      <c r="F5" s="2170"/>
      <c r="G5" s="2170"/>
      <c r="H5" s="2170"/>
      <c r="I5" s="2170"/>
      <c r="J5" s="2170"/>
      <c r="K5" s="2170"/>
    </row>
    <row r="6" spans="3:11" ht="16" thickTop="1" x14ac:dyDescent="0.2">
      <c r="C6" s="2171" t="s">
        <v>4712</v>
      </c>
      <c r="D6" s="2173" t="s">
        <v>4725</v>
      </c>
      <c r="E6" s="2173" t="s">
        <v>4726</v>
      </c>
      <c r="F6" s="2173" t="s">
        <v>4727</v>
      </c>
      <c r="G6" s="1013" t="s">
        <v>4728</v>
      </c>
      <c r="H6" s="1013" t="s">
        <v>4729</v>
      </c>
      <c r="I6" s="1013" t="s">
        <v>4730</v>
      </c>
      <c r="J6" s="1013" t="s">
        <v>4731</v>
      </c>
      <c r="K6" s="2175" t="s">
        <v>4732</v>
      </c>
    </row>
    <row r="7" spans="3:11" ht="17" x14ac:dyDescent="0.2">
      <c r="C7" s="2172"/>
      <c r="D7" s="2174"/>
      <c r="E7" s="2174"/>
      <c r="F7" s="2174"/>
      <c r="G7" s="1014" t="s">
        <v>4733</v>
      </c>
      <c r="H7" s="1014" t="s">
        <v>4734</v>
      </c>
      <c r="I7" s="1014" t="s">
        <v>4733</v>
      </c>
      <c r="J7" s="1014" t="s">
        <v>4733</v>
      </c>
      <c r="K7" s="2176"/>
    </row>
    <row r="8" spans="3:11" x14ac:dyDescent="0.2">
      <c r="C8" s="1015">
        <v>1</v>
      </c>
      <c r="D8" s="1016">
        <v>0.5</v>
      </c>
      <c r="E8" s="1016">
        <v>0.75</v>
      </c>
      <c r="F8" s="1016">
        <v>3.5000000000000003E-2</v>
      </c>
      <c r="G8" s="1016">
        <v>8.4000000000000005E-2</v>
      </c>
      <c r="H8" s="1016">
        <v>0.19700000000000001</v>
      </c>
      <c r="I8" s="1016">
        <v>6.4000000000000001E-2</v>
      </c>
      <c r="J8" s="1016">
        <v>0.36</v>
      </c>
      <c r="K8" s="1017">
        <v>0.47699999999999998</v>
      </c>
    </row>
    <row r="9" spans="3:11" x14ac:dyDescent="0.2">
      <c r="C9" s="1015">
        <v>2</v>
      </c>
      <c r="D9" s="1016">
        <v>0.4</v>
      </c>
      <c r="E9" s="1016">
        <v>0.65</v>
      </c>
      <c r="F9" s="1016">
        <v>0.03</v>
      </c>
      <c r="G9" s="1016">
        <v>8.4000000000000005E-2</v>
      </c>
      <c r="H9" s="1016">
        <v>0.16500000000000001</v>
      </c>
      <c r="I9" s="1016">
        <v>6.4000000000000001E-2</v>
      </c>
      <c r="J9" s="1016">
        <v>0.36</v>
      </c>
      <c r="K9" s="1017">
        <v>0.47699999999999998</v>
      </c>
    </row>
    <row r="10" spans="3:11" x14ac:dyDescent="0.2">
      <c r="C10" s="1015">
        <v>3</v>
      </c>
      <c r="D10" s="1016">
        <v>0.35</v>
      </c>
      <c r="E10" s="1016">
        <v>0.55000000000000004</v>
      </c>
      <c r="F10" s="1016">
        <v>0.03</v>
      </c>
      <c r="G10" s="1016">
        <v>0.06</v>
      </c>
      <c r="H10" s="1016">
        <v>9.8000000000000004E-2</v>
      </c>
      <c r="I10" s="1016">
        <v>4.7E-2</v>
      </c>
      <c r="J10" s="1016" t="s">
        <v>4735</v>
      </c>
      <c r="K10" s="1017">
        <v>0.13600000000000001</v>
      </c>
    </row>
    <row r="11" spans="3:11" ht="24" x14ac:dyDescent="0.2">
      <c r="C11" s="1015" t="s">
        <v>4736</v>
      </c>
      <c r="D11" s="1016">
        <v>0.35</v>
      </c>
      <c r="E11" s="1016">
        <v>0.55000000000000004</v>
      </c>
      <c r="F11" s="1016">
        <v>2.5999999999999999E-2</v>
      </c>
      <c r="G11" s="1016">
        <v>0.06</v>
      </c>
      <c r="H11" s="1016">
        <v>9.8000000000000004E-2</v>
      </c>
      <c r="I11" s="1016">
        <v>4.7E-2</v>
      </c>
      <c r="J11" s="1016">
        <v>5.8999999999999997E-2</v>
      </c>
      <c r="K11" s="1017">
        <v>6.5000000000000002E-2</v>
      </c>
    </row>
    <row r="12" spans="3:11" x14ac:dyDescent="0.2">
      <c r="C12" s="1015" t="s">
        <v>4737</v>
      </c>
      <c r="D12" s="1016">
        <v>0.32</v>
      </c>
      <c r="E12" s="1016">
        <v>0.55000000000000004</v>
      </c>
      <c r="F12" s="1016">
        <v>2.5999999999999999E-2</v>
      </c>
      <c r="G12" s="1016">
        <v>0.06</v>
      </c>
      <c r="H12" s="1016">
        <v>8.2000000000000003E-2</v>
      </c>
      <c r="I12" s="1016">
        <v>3.3000000000000002E-2</v>
      </c>
      <c r="J12" s="1016">
        <v>0.05</v>
      </c>
      <c r="K12" s="1017">
        <v>5.5E-2</v>
      </c>
    </row>
    <row r="13" spans="3:11" x14ac:dyDescent="0.2">
      <c r="C13" s="1015">
        <v>6</v>
      </c>
      <c r="D13" s="1016">
        <v>0.32</v>
      </c>
      <c r="E13" s="1016">
        <v>0.55000000000000004</v>
      </c>
      <c r="F13" s="1016">
        <v>2.5999999999999999E-2</v>
      </c>
      <c r="G13" s="1016">
        <v>4.4999999999999998E-2</v>
      </c>
      <c r="H13" s="1016">
        <v>0.06</v>
      </c>
      <c r="I13" s="1016">
        <v>3.3000000000000002E-2</v>
      </c>
      <c r="J13" s="1016">
        <v>0.05</v>
      </c>
      <c r="K13" s="1017">
        <v>5.5E-2</v>
      </c>
    </row>
    <row r="14" spans="3:11" ht="16" thickBot="1" x14ac:dyDescent="0.25">
      <c r="C14" s="1018" t="s">
        <v>4738</v>
      </c>
      <c r="D14" s="1019">
        <v>0.32</v>
      </c>
      <c r="E14" s="1019">
        <v>0.55000000000000004</v>
      </c>
      <c r="F14" s="1019">
        <v>2.5999999999999999E-2</v>
      </c>
      <c r="G14" s="1019">
        <v>4.4999999999999998E-2</v>
      </c>
      <c r="H14" s="1019">
        <v>5.7000000000000002E-2</v>
      </c>
      <c r="I14" s="1019">
        <v>2.8000000000000001E-2</v>
      </c>
      <c r="J14" s="1019">
        <v>0.05</v>
      </c>
      <c r="K14" s="1020">
        <v>5.5E-2</v>
      </c>
    </row>
    <row r="15" spans="3:11" x14ac:dyDescent="0.2">
      <c r="C15" s="2167" t="s">
        <v>4739</v>
      </c>
      <c r="D15" s="2167"/>
      <c r="E15" s="2167"/>
      <c r="F15" s="2167"/>
      <c r="G15" s="2167"/>
      <c r="H15" s="2167"/>
      <c r="I15" s="2167"/>
      <c r="J15" s="2167"/>
      <c r="K15" s="2167"/>
    </row>
    <row r="16" spans="3:11" ht="33.75" customHeight="1" x14ac:dyDescent="0.2">
      <c r="C16" s="2168" t="s">
        <v>4740</v>
      </c>
      <c r="D16" s="2168"/>
      <c r="E16" s="2168"/>
      <c r="F16" s="2168"/>
      <c r="G16" s="2168"/>
      <c r="H16" s="2168"/>
      <c r="I16" s="2168"/>
      <c r="J16" s="2168"/>
      <c r="K16" s="2168"/>
    </row>
    <row r="17" spans="3:11" ht="16" thickBot="1" x14ac:dyDescent="0.25">
      <c r="C17" s="2169" t="s">
        <v>4741</v>
      </c>
      <c r="D17" s="2169"/>
      <c r="E17" s="2169"/>
      <c r="F17" s="2169"/>
      <c r="G17" s="2169"/>
      <c r="H17" s="2169"/>
      <c r="I17" s="2169"/>
      <c r="J17" s="2169"/>
      <c r="K17" s="2169"/>
    </row>
  </sheetData>
  <sheetProtection algorithmName="SHA-512" hashValue="UE9lKGfAy3Dp7VJuejCJNsfi1gDjdSmPcdHf9+mFsBETnyvJCh8Sjsg1JY8QXJZJytkwyMNOjQj87HYsMPHjtQ==" saltValue="TPyaYz1Vs5Rcs7Eu2TcNmQ==" spinCount="100000" sheet="1" objects="1" scenarios="1" selectLockedCells="1"/>
  <mergeCells count="12">
    <mergeCell ref="C2:D2"/>
    <mergeCell ref="I2:K2"/>
    <mergeCell ref="C15:K15"/>
    <mergeCell ref="C16:K16"/>
    <mergeCell ref="C17:K17"/>
    <mergeCell ref="C4:K4"/>
    <mergeCell ref="C5:K5"/>
    <mergeCell ref="C6:C7"/>
    <mergeCell ref="D6:D7"/>
    <mergeCell ref="E6:E7"/>
    <mergeCell ref="F6:F7"/>
    <mergeCell ref="K6:K7"/>
  </mergeCells>
  <hyperlinks>
    <hyperlink ref="C2:D2" location="hyptarg7.2" display="back to 11.703.2.1(a)" xr:uid="{BFC6C8AF-0094-496C-9978-4AB5B0B31640}"/>
    <hyperlink ref="I2:J2" location="'Verification Report'!A1" display="back to Verification Report" xr:uid="{1CA703E7-4BD9-4234-A062-D75D3778B9EB}"/>
    <hyperlink ref="I2:K2" location="'Verification Report'!A1" display="back to Verification Report" xr:uid="{5137F544-9F0F-40C7-9C54-8441EE9DD030}"/>
  </hyperlinks>
  <pageMargins left="0.7" right="0.7" top="0.75" bottom="0.75" header="0.3" footer="0.3"/>
  <pageSetup orientation="portrait" horizontalDpi="0" verticalDpi="0"/>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8A5EF57-37A8-44B0-8B21-74DDA47E3EBA}">
  <sheetPr codeName="Sheet33"/>
  <dimension ref="C2:K19"/>
  <sheetViews>
    <sheetView showGridLines="0" zoomScaleNormal="100" workbookViewId="0">
      <selection activeCell="C2" sqref="C2:K2"/>
    </sheetView>
  </sheetViews>
  <sheetFormatPr baseColWidth="10" defaultColWidth="9.1640625" defaultRowHeight="15" x14ac:dyDescent="0.2"/>
  <cols>
    <col min="1" max="2" width="9.1640625" style="905"/>
    <col min="3" max="3" width="12.6640625" style="905" customWidth="1"/>
    <col min="4" max="16384" width="9.1640625" style="905"/>
  </cols>
  <sheetData>
    <row r="2" spans="3:11" s="1150" customFormat="1" x14ac:dyDescent="0.2">
      <c r="C2" s="2133" t="s">
        <v>4962</v>
      </c>
      <c r="D2" s="2133"/>
      <c r="I2" s="2134" t="s">
        <v>3426</v>
      </c>
      <c r="J2" s="2135"/>
      <c r="K2" s="2136"/>
    </row>
    <row r="4" spans="3:11" x14ac:dyDescent="0.2">
      <c r="C4" s="2179" t="s">
        <v>4742</v>
      </c>
      <c r="D4" s="2180"/>
      <c r="E4" s="2180"/>
      <c r="F4" s="2180"/>
      <c r="G4" s="2180"/>
      <c r="H4" s="2180"/>
      <c r="I4" s="2180"/>
      <c r="J4" s="2180"/>
      <c r="K4" s="2180"/>
    </row>
    <row r="5" spans="3:11" x14ac:dyDescent="0.2">
      <c r="C5" s="2179" t="s">
        <v>4743</v>
      </c>
      <c r="D5" s="2180"/>
      <c r="E5" s="2180"/>
      <c r="F5" s="2180"/>
      <c r="G5" s="2180"/>
      <c r="H5" s="2180"/>
      <c r="I5" s="2180"/>
      <c r="J5" s="2180"/>
      <c r="K5" s="2180"/>
    </row>
    <row r="6" spans="3:11" ht="16" thickBot="1" x14ac:dyDescent="0.25">
      <c r="C6" s="2181" t="s">
        <v>4744</v>
      </c>
      <c r="D6" s="2182"/>
      <c r="E6" s="2182"/>
      <c r="F6" s="2182"/>
      <c r="G6" s="2182"/>
      <c r="H6" s="2182"/>
      <c r="I6" s="2182"/>
      <c r="J6" s="2182"/>
      <c r="K6" s="2182"/>
    </row>
    <row r="7" spans="3:11" ht="19.5" customHeight="1" thickTop="1" x14ac:dyDescent="0.2">
      <c r="C7" s="2183" t="s">
        <v>4745</v>
      </c>
      <c r="D7" s="2185" t="s">
        <v>4712</v>
      </c>
      <c r="E7" s="2185"/>
      <c r="F7" s="2185"/>
      <c r="G7" s="2185"/>
      <c r="H7" s="2185"/>
      <c r="I7" s="2185"/>
      <c r="J7" s="2185"/>
      <c r="K7" s="2186"/>
    </row>
    <row r="8" spans="3:11" ht="17" x14ac:dyDescent="0.2">
      <c r="C8" s="2184"/>
      <c r="D8" s="1021" t="s">
        <v>4746</v>
      </c>
      <c r="E8" s="1021">
        <v>2</v>
      </c>
      <c r="F8" s="1021">
        <v>3</v>
      </c>
      <c r="G8" s="1021">
        <v>4</v>
      </c>
      <c r="H8" s="1021">
        <v>5</v>
      </c>
      <c r="I8" s="1021">
        <v>6</v>
      </c>
      <c r="J8" s="1021">
        <v>7</v>
      </c>
      <c r="K8" s="1022">
        <v>8</v>
      </c>
    </row>
    <row r="9" spans="3:11" x14ac:dyDescent="0.2">
      <c r="C9" s="2184"/>
      <c r="D9" s="2187" t="s">
        <v>2571</v>
      </c>
      <c r="E9" s="2187"/>
      <c r="F9" s="2187"/>
      <c r="G9" s="2187"/>
      <c r="H9" s="2187"/>
      <c r="I9" s="2187"/>
      <c r="J9" s="2187"/>
      <c r="K9" s="2188"/>
    </row>
    <row r="10" spans="3:11" x14ac:dyDescent="0.2">
      <c r="C10" s="1023" t="s">
        <v>4747</v>
      </c>
      <c r="D10" s="1024">
        <v>0</v>
      </c>
      <c r="E10" s="1024">
        <v>0</v>
      </c>
      <c r="F10" s="1024">
        <v>0</v>
      </c>
      <c r="G10" s="1024">
        <v>0</v>
      </c>
      <c r="H10" s="1024">
        <v>0</v>
      </c>
      <c r="I10" s="1005">
        <v>0</v>
      </c>
      <c r="J10" s="1024">
        <v>0</v>
      </c>
      <c r="K10" s="1025">
        <v>0</v>
      </c>
    </row>
    <row r="11" spans="3:11" x14ac:dyDescent="0.2">
      <c r="C11" s="1023" t="s">
        <v>4748</v>
      </c>
      <c r="D11" s="1024">
        <v>2</v>
      </c>
      <c r="E11" s="1024">
        <v>3</v>
      </c>
      <c r="F11" s="1024">
        <v>3</v>
      </c>
      <c r="G11" s="1024">
        <v>3</v>
      </c>
      <c r="H11" s="1024">
        <v>3</v>
      </c>
      <c r="I11" s="1005">
        <v>3</v>
      </c>
      <c r="J11" s="1024">
        <v>3</v>
      </c>
      <c r="K11" s="1025">
        <v>3</v>
      </c>
    </row>
    <row r="12" spans="3:11" x14ac:dyDescent="0.2">
      <c r="C12" s="1023" t="s">
        <v>4749</v>
      </c>
      <c r="D12" s="1024">
        <v>3</v>
      </c>
      <c r="E12" s="1024">
        <v>6</v>
      </c>
      <c r="F12" s="1024">
        <v>5</v>
      </c>
      <c r="G12" s="1024">
        <v>6</v>
      </c>
      <c r="H12" s="1024">
        <v>6</v>
      </c>
      <c r="I12" s="1005">
        <v>6</v>
      </c>
      <c r="J12" s="1024">
        <v>5</v>
      </c>
      <c r="K12" s="1025">
        <v>7</v>
      </c>
    </row>
    <row r="13" spans="3:11" x14ac:dyDescent="0.2">
      <c r="C13" s="1023" t="s">
        <v>4750</v>
      </c>
      <c r="D13" s="1024">
        <v>5</v>
      </c>
      <c r="E13" s="1024">
        <v>9</v>
      </c>
      <c r="F13" s="1024">
        <v>8</v>
      </c>
      <c r="G13" s="1024">
        <v>9</v>
      </c>
      <c r="H13" s="1024">
        <v>9</v>
      </c>
      <c r="I13" s="1005">
        <v>9</v>
      </c>
      <c r="J13" s="1024">
        <v>8</v>
      </c>
      <c r="K13" s="1025">
        <v>10</v>
      </c>
    </row>
    <row r="14" spans="3:11" x14ac:dyDescent="0.2">
      <c r="C14" s="1023" t="s">
        <v>4751</v>
      </c>
      <c r="D14" s="1024">
        <v>6</v>
      </c>
      <c r="E14" s="1024">
        <v>12</v>
      </c>
      <c r="F14" s="1024">
        <v>10</v>
      </c>
      <c r="G14" s="1024">
        <v>12</v>
      </c>
      <c r="H14" s="1024">
        <v>12</v>
      </c>
      <c r="I14" s="1005">
        <v>12</v>
      </c>
      <c r="J14" s="1024">
        <v>11</v>
      </c>
      <c r="K14" s="1025">
        <v>13</v>
      </c>
    </row>
    <row r="15" spans="3:11" x14ac:dyDescent="0.2">
      <c r="C15" s="1023" t="s">
        <v>4752</v>
      </c>
      <c r="D15" s="1024">
        <v>8</v>
      </c>
      <c r="E15" s="1024">
        <v>15</v>
      </c>
      <c r="F15" s="1024">
        <v>13</v>
      </c>
      <c r="G15" s="1024">
        <v>16</v>
      </c>
      <c r="H15" s="1024">
        <v>14</v>
      </c>
      <c r="I15" s="1005">
        <v>15</v>
      </c>
      <c r="J15" s="1024">
        <v>14</v>
      </c>
      <c r="K15" s="1025">
        <v>17</v>
      </c>
    </row>
    <row r="16" spans="3:11" x14ac:dyDescent="0.2">
      <c r="C16" s="1023" t="s">
        <v>4753</v>
      </c>
      <c r="D16" s="1024">
        <v>10</v>
      </c>
      <c r="E16" s="1024">
        <v>18</v>
      </c>
      <c r="F16" s="1024">
        <v>16</v>
      </c>
      <c r="G16" s="1024">
        <v>19</v>
      </c>
      <c r="H16" s="1024">
        <v>17</v>
      </c>
      <c r="I16" s="1005">
        <v>18</v>
      </c>
      <c r="J16" s="1024">
        <v>16</v>
      </c>
      <c r="K16" s="1025">
        <v>20</v>
      </c>
    </row>
    <row r="17" spans="3:11" ht="16" thickBot="1" x14ac:dyDescent="0.25">
      <c r="C17" s="1026" t="s">
        <v>4754</v>
      </c>
      <c r="D17" s="1027">
        <v>11</v>
      </c>
      <c r="E17" s="1027">
        <v>21</v>
      </c>
      <c r="F17" s="1027">
        <v>18</v>
      </c>
      <c r="G17" s="1027">
        <v>22</v>
      </c>
      <c r="H17" s="1027">
        <v>20</v>
      </c>
      <c r="I17" s="1028">
        <v>21</v>
      </c>
      <c r="J17" s="1027">
        <v>19</v>
      </c>
      <c r="K17" s="1029">
        <v>23</v>
      </c>
    </row>
    <row r="18" spans="3:11" x14ac:dyDescent="0.2">
      <c r="C18" s="2177" t="s">
        <v>4755</v>
      </c>
      <c r="D18" s="2177"/>
      <c r="E18" s="2177"/>
      <c r="F18" s="2177"/>
      <c r="G18" s="2177"/>
      <c r="H18" s="2177"/>
      <c r="I18" s="2177"/>
      <c r="J18" s="2177"/>
      <c r="K18" s="2177"/>
    </row>
    <row r="19" spans="3:11" ht="22.5" customHeight="1" thickBot="1" x14ac:dyDescent="0.25">
      <c r="C19" s="2178" t="s">
        <v>4756</v>
      </c>
      <c r="D19" s="2178"/>
      <c r="E19" s="2178"/>
      <c r="F19" s="2178"/>
      <c r="G19" s="2178"/>
      <c r="H19" s="2178"/>
      <c r="I19" s="2178"/>
      <c r="J19" s="2178"/>
      <c r="K19" s="2178"/>
    </row>
  </sheetData>
  <sheetProtection algorithmName="SHA-512" hashValue="jcytEgcBmyOMUkKNdfMqrqQa15d2Hx1bqU/xHFs4eO+Pz5JJdT/Xd/qXWGzAoFUhM8E3Be67Ha45ooyC9vkHZw==" saltValue="xqDdNn2O3niVYUs0jyeKTA==" spinCount="100000" sheet="1" objects="1" scenarios="1" selectLockedCells="1"/>
  <mergeCells count="10">
    <mergeCell ref="C2:D2"/>
    <mergeCell ref="I2:K2"/>
    <mergeCell ref="C18:K18"/>
    <mergeCell ref="C19:K19"/>
    <mergeCell ref="C4:K4"/>
    <mergeCell ref="C5:K5"/>
    <mergeCell ref="C6:K6"/>
    <mergeCell ref="C7:C9"/>
    <mergeCell ref="D7:K7"/>
    <mergeCell ref="D9:K9"/>
  </mergeCells>
  <hyperlinks>
    <hyperlink ref="C2:D2" location="hyptarg7.2" display="back to 11.703.2.1(a)" xr:uid="{22A59768-4492-41D4-BAE2-4331C9BEADBF}"/>
    <hyperlink ref="I2:J2" location="'Verification Report'!A1" display="back to Verification Report" xr:uid="{FF7A640F-291C-4CD6-9B6A-DFA1559E6475}"/>
    <hyperlink ref="I2:K2" location="'Verification Report'!A1" display="back to Verification Report" xr:uid="{D9063247-832A-4F88-A937-2058E835509D}"/>
  </hyperlinks>
  <pageMargins left="0.7" right="0.7" top="0.75" bottom="0.75" header="0.3" footer="0.3"/>
  <pageSetup orientation="portrait" horizontalDpi="0" verticalDpi="0"/>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CB2EDC0-9F6D-41F8-92F7-CC118C560446}">
  <sheetPr codeName="Sheet40"/>
  <dimension ref="B2:G10"/>
  <sheetViews>
    <sheetView showGridLines="0" zoomScaleNormal="100" workbookViewId="0">
      <selection activeCell="B2" sqref="B2:G2"/>
    </sheetView>
  </sheetViews>
  <sheetFormatPr baseColWidth="10" defaultColWidth="9.1640625" defaultRowHeight="15" x14ac:dyDescent="0.2"/>
  <cols>
    <col min="1" max="2" width="9.1640625" style="905"/>
    <col min="3" max="3" width="15.33203125" style="905" customWidth="1"/>
    <col min="4" max="16384" width="9.1640625" style="905"/>
  </cols>
  <sheetData>
    <row r="2" spans="2:7" s="1150" customFormat="1" x14ac:dyDescent="0.2">
      <c r="B2" s="2133" t="s">
        <v>4963</v>
      </c>
      <c r="C2" s="2133"/>
      <c r="E2" s="2134" t="s">
        <v>3426</v>
      </c>
      <c r="F2" s="2135"/>
      <c r="G2" s="2136"/>
    </row>
    <row r="4" spans="2:7" x14ac:dyDescent="0.2">
      <c r="C4" s="2189" t="s">
        <v>4763</v>
      </c>
      <c r="D4" s="2189"/>
      <c r="E4" s="2189"/>
      <c r="F4" s="2189"/>
      <c r="G4" s="2189"/>
    </row>
    <row r="5" spans="2:7" ht="16" thickBot="1" x14ac:dyDescent="0.25">
      <c r="C5" s="2182" t="s">
        <v>4762</v>
      </c>
      <c r="D5" s="2182"/>
      <c r="E5" s="2182"/>
      <c r="F5" s="2182"/>
      <c r="G5" s="2182"/>
    </row>
    <row r="6" spans="2:7" ht="16" thickTop="1" x14ac:dyDescent="0.2">
      <c r="C6" s="2183" t="s">
        <v>4761</v>
      </c>
      <c r="D6" s="2185" t="s">
        <v>4712</v>
      </c>
      <c r="E6" s="2185"/>
      <c r="F6" s="2185"/>
      <c r="G6" s="2186"/>
    </row>
    <row r="7" spans="2:7" x14ac:dyDescent="0.2">
      <c r="C7" s="2184"/>
      <c r="D7" s="1034" t="s">
        <v>4760</v>
      </c>
      <c r="E7" s="1034">
        <v>5</v>
      </c>
      <c r="F7" s="1034">
        <v>6</v>
      </c>
      <c r="G7" s="1033" t="s">
        <v>4759</v>
      </c>
    </row>
    <row r="8" spans="2:7" x14ac:dyDescent="0.2">
      <c r="C8" s="2184"/>
      <c r="D8" s="2187" t="s">
        <v>2571</v>
      </c>
      <c r="E8" s="2187"/>
      <c r="F8" s="2187"/>
      <c r="G8" s="2188"/>
    </row>
    <row r="9" spans="2:7" x14ac:dyDescent="0.2">
      <c r="C9" s="1032" t="s">
        <v>4758</v>
      </c>
      <c r="D9" s="1005">
        <v>1</v>
      </c>
      <c r="E9" s="1005">
        <v>0</v>
      </c>
      <c r="F9" s="1005">
        <v>0</v>
      </c>
      <c r="G9" s="1031">
        <v>0</v>
      </c>
    </row>
    <row r="10" spans="2:7" ht="16" thickBot="1" x14ac:dyDescent="0.25">
      <c r="C10" s="1026" t="s">
        <v>4757</v>
      </c>
      <c r="D10" s="1028">
        <v>3</v>
      </c>
      <c r="E10" s="1028">
        <v>2</v>
      </c>
      <c r="F10" s="1028">
        <v>2</v>
      </c>
      <c r="G10" s="1030">
        <v>0</v>
      </c>
    </row>
  </sheetData>
  <sheetProtection algorithmName="SHA-512" hashValue="hcCjpfbHkzGsmOoFZ983YKozWtYj9B3JxPg9U3vwbmRKIupfB7EiyhJiNA4X1wZ/i9yBw3gKWUE/pmGFLSfUgQ==" saltValue="0KqHeXtQYiiDj6DexmvJ2g==" spinCount="100000" sheet="1" objects="1" scenarios="1" selectLockedCells="1"/>
  <mergeCells count="7">
    <mergeCell ref="B2:C2"/>
    <mergeCell ref="E2:G2"/>
    <mergeCell ref="C4:G4"/>
    <mergeCell ref="C5:G5"/>
    <mergeCell ref="C6:C8"/>
    <mergeCell ref="D6:G6"/>
    <mergeCell ref="D8:G8"/>
  </mergeCells>
  <hyperlinks>
    <hyperlink ref="B2:C2" location="hyptarg7.3" display="back to 11.703.2.2" xr:uid="{D9F503D4-E05A-4F00-A802-09E6E6B88E1F}"/>
    <hyperlink ref="E2:F2" location="'Verification Report'!A1" display="back to Verification Report" xr:uid="{D6443E85-4C56-40AB-942E-0702BD6F6145}"/>
    <hyperlink ref="E2:G2" location="'Verification Report'!A1" display="back to Verification Report" xr:uid="{8492542A-6C6A-48B0-BE5C-B7C6B14DA426}"/>
  </hyperlinks>
  <pageMargins left="0.7" right="0.7" top="0.75" bottom="0.75" header="0.3" footer="0.3"/>
  <pageSetup orientation="portrait" horizontalDpi="0" verticalDpi="0"/>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F9F4D86-6546-4C7B-AAD0-C44D906D20AC}">
  <sheetPr codeName="Sheet41"/>
  <dimension ref="C1:K25"/>
  <sheetViews>
    <sheetView showGridLines="0" workbookViewId="0">
      <selection activeCell="C2" sqref="C2:D2"/>
    </sheetView>
  </sheetViews>
  <sheetFormatPr baseColWidth="10" defaultColWidth="9.1640625" defaultRowHeight="15" x14ac:dyDescent="0.2"/>
  <cols>
    <col min="1" max="2" width="9.1640625" style="905"/>
    <col min="3" max="3" width="13.1640625" style="905" customWidth="1"/>
    <col min="4" max="11" width="7.6640625" style="905" customWidth="1"/>
    <col min="12" max="16384" width="9.1640625" style="905"/>
  </cols>
  <sheetData>
    <row r="1" spans="3:11" x14ac:dyDescent="0.2">
      <c r="C1" s="1035"/>
    </row>
    <row r="2" spans="3:11" s="1150" customFormat="1" x14ac:dyDescent="0.2">
      <c r="C2" s="2133" t="s">
        <v>4964</v>
      </c>
      <c r="D2" s="2133"/>
      <c r="I2" s="2134" t="s">
        <v>3426</v>
      </c>
      <c r="J2" s="2135"/>
      <c r="K2" s="2136"/>
    </row>
    <row r="4" spans="3:11" x14ac:dyDescent="0.2">
      <c r="C4" s="2196" t="s">
        <v>4764</v>
      </c>
      <c r="D4" s="2196"/>
      <c r="E4" s="2196"/>
      <c r="F4" s="2196"/>
      <c r="G4" s="2196"/>
      <c r="H4" s="2196"/>
      <c r="I4" s="2196"/>
      <c r="J4" s="2196"/>
      <c r="K4" s="2196"/>
    </row>
    <row r="5" spans="3:11" ht="16" thickBot="1" x14ac:dyDescent="0.25">
      <c r="C5" s="2182" t="s">
        <v>4765</v>
      </c>
      <c r="D5" s="2182"/>
      <c r="E5" s="2182"/>
      <c r="F5" s="2182"/>
      <c r="G5" s="2182"/>
      <c r="H5" s="2182"/>
      <c r="I5" s="2182"/>
      <c r="J5" s="2182"/>
      <c r="K5" s="2182"/>
    </row>
    <row r="6" spans="3:11" ht="16" thickTop="1" x14ac:dyDescent="0.2">
      <c r="C6" s="2191" t="s">
        <v>4766</v>
      </c>
      <c r="D6" s="2193" t="s">
        <v>4712</v>
      </c>
      <c r="E6" s="2193"/>
      <c r="F6" s="2193"/>
      <c r="G6" s="2193"/>
      <c r="H6" s="2193"/>
      <c r="I6" s="2193"/>
      <c r="J6" s="2193"/>
      <c r="K6" s="2194"/>
    </row>
    <row r="7" spans="3:11" x14ac:dyDescent="0.2">
      <c r="C7" s="2192"/>
      <c r="D7" s="1021">
        <v>1</v>
      </c>
      <c r="E7" s="1021">
        <v>2</v>
      </c>
      <c r="F7" s="1021">
        <v>3</v>
      </c>
      <c r="G7" s="1021">
        <v>4</v>
      </c>
      <c r="H7" s="1021">
        <v>5</v>
      </c>
      <c r="I7" s="1021">
        <v>6</v>
      </c>
      <c r="J7" s="1021">
        <v>7</v>
      </c>
      <c r="K7" s="1022">
        <v>8</v>
      </c>
    </row>
    <row r="8" spans="3:11" x14ac:dyDescent="0.2">
      <c r="C8" s="2192"/>
      <c r="D8" s="2187" t="s">
        <v>2571</v>
      </c>
      <c r="E8" s="2187"/>
      <c r="F8" s="2187"/>
      <c r="G8" s="2187"/>
      <c r="H8" s="2187"/>
      <c r="I8" s="2187"/>
      <c r="J8" s="2187"/>
      <c r="K8" s="2188"/>
    </row>
    <row r="9" spans="3:11" x14ac:dyDescent="0.2">
      <c r="C9" s="1023">
        <v>4</v>
      </c>
      <c r="D9" s="1005">
        <v>1</v>
      </c>
      <c r="E9" s="1005">
        <v>2</v>
      </c>
      <c r="F9" s="1024" t="s">
        <v>4767</v>
      </c>
      <c r="G9" s="1024" t="s">
        <v>4767</v>
      </c>
      <c r="H9" s="1024" t="s">
        <v>4767</v>
      </c>
      <c r="I9" s="1024" t="s">
        <v>4767</v>
      </c>
      <c r="J9" s="1024" t="s">
        <v>4767</v>
      </c>
      <c r="K9" s="1025" t="s">
        <v>4767</v>
      </c>
    </row>
    <row r="10" spans="3:11" x14ac:dyDescent="0.2">
      <c r="C10" s="1023">
        <v>3</v>
      </c>
      <c r="D10" s="1005">
        <v>2</v>
      </c>
      <c r="E10" s="1005">
        <v>4</v>
      </c>
      <c r="F10" s="1024" t="s">
        <v>4767</v>
      </c>
      <c r="G10" s="1024" t="s">
        <v>4767</v>
      </c>
      <c r="H10" s="1024" t="s">
        <v>4767</v>
      </c>
      <c r="I10" s="1024" t="s">
        <v>4767</v>
      </c>
      <c r="J10" s="1024" t="s">
        <v>4767</v>
      </c>
      <c r="K10" s="1025" t="s">
        <v>4767</v>
      </c>
    </row>
    <row r="11" spans="3:11" x14ac:dyDescent="0.2">
      <c r="C11" s="1023">
        <v>2</v>
      </c>
      <c r="D11" s="1005">
        <v>3</v>
      </c>
      <c r="E11" s="1005">
        <v>5</v>
      </c>
      <c r="F11" s="1005">
        <v>3</v>
      </c>
      <c r="G11" s="1005">
        <v>4</v>
      </c>
      <c r="H11" s="1005">
        <v>4</v>
      </c>
      <c r="I11" s="1005">
        <v>6</v>
      </c>
      <c r="J11" s="1005">
        <v>8</v>
      </c>
      <c r="K11" s="1031">
        <v>7</v>
      </c>
    </row>
    <row r="12" spans="3:11" ht="16" thickBot="1" x14ac:dyDescent="0.25">
      <c r="C12" s="1026">
        <v>1</v>
      </c>
      <c r="D12" s="1028">
        <v>4</v>
      </c>
      <c r="E12" s="1028">
        <v>7</v>
      </c>
      <c r="F12" s="1028">
        <v>5</v>
      </c>
      <c r="G12" s="1028">
        <v>7</v>
      </c>
      <c r="H12" s="1028">
        <v>7</v>
      </c>
      <c r="I12" s="1028">
        <v>10</v>
      </c>
      <c r="J12" s="1028">
        <v>15</v>
      </c>
      <c r="K12" s="1030">
        <v>11</v>
      </c>
    </row>
    <row r="15" spans="3:11" x14ac:dyDescent="0.2">
      <c r="C15" s="2196" t="s">
        <v>4768</v>
      </c>
      <c r="D15" s="2196"/>
      <c r="E15" s="2196"/>
      <c r="F15" s="2196"/>
      <c r="G15" s="2196"/>
      <c r="H15" s="2196"/>
      <c r="I15" s="2196"/>
      <c r="J15" s="2196"/>
      <c r="K15" s="2196"/>
    </row>
    <row r="16" spans="3:11" ht="16" thickBot="1" x14ac:dyDescent="0.25">
      <c r="C16" s="2182" t="s">
        <v>4765</v>
      </c>
      <c r="D16" s="2182"/>
      <c r="E16" s="2182"/>
      <c r="F16" s="2182"/>
      <c r="G16" s="2182"/>
      <c r="H16" s="2182"/>
      <c r="I16" s="2182"/>
      <c r="J16" s="2182"/>
      <c r="K16" s="2182"/>
    </row>
    <row r="17" spans="3:11" ht="16" thickTop="1" x14ac:dyDescent="0.2">
      <c r="C17" s="2191" t="s">
        <v>4769</v>
      </c>
      <c r="D17" s="2193" t="s">
        <v>4712</v>
      </c>
      <c r="E17" s="2193"/>
      <c r="F17" s="2193"/>
      <c r="G17" s="2193"/>
      <c r="H17" s="2193"/>
      <c r="I17" s="2193"/>
      <c r="J17" s="2193"/>
      <c r="K17" s="2194"/>
    </row>
    <row r="18" spans="3:11" x14ac:dyDescent="0.2">
      <c r="C18" s="2192"/>
      <c r="D18" s="1021">
        <v>1</v>
      </c>
      <c r="E18" s="1021">
        <v>2</v>
      </c>
      <c r="F18" s="1021">
        <v>3</v>
      </c>
      <c r="G18" s="1021">
        <v>4</v>
      </c>
      <c r="H18" s="1021">
        <v>5</v>
      </c>
      <c r="I18" s="1021">
        <v>6</v>
      </c>
      <c r="J18" s="1021">
        <v>7</v>
      </c>
      <c r="K18" s="1022">
        <v>8</v>
      </c>
    </row>
    <row r="19" spans="3:11" x14ac:dyDescent="0.2">
      <c r="C19" s="2192"/>
      <c r="D19" s="2187" t="s">
        <v>2571</v>
      </c>
      <c r="E19" s="2187"/>
      <c r="F19" s="2187"/>
      <c r="G19" s="2187"/>
      <c r="H19" s="2187"/>
      <c r="I19" s="2187"/>
      <c r="J19" s="2187"/>
      <c r="K19" s="2188"/>
    </row>
    <row r="20" spans="3:11" x14ac:dyDescent="0.2">
      <c r="C20" s="1023">
        <v>0.28000000000000003</v>
      </c>
      <c r="D20" s="1005">
        <v>1</v>
      </c>
      <c r="E20" s="1005">
        <v>2</v>
      </c>
      <c r="F20" s="1024" t="s">
        <v>4767</v>
      </c>
      <c r="G20" s="1024" t="s">
        <v>4767</v>
      </c>
      <c r="H20" s="1024" t="s">
        <v>4767</v>
      </c>
      <c r="I20" s="1024" t="s">
        <v>4767</v>
      </c>
      <c r="J20" s="1024" t="s">
        <v>4767</v>
      </c>
      <c r="K20" s="1025" t="s">
        <v>4767</v>
      </c>
    </row>
    <row r="21" spans="3:11" x14ac:dyDescent="0.2">
      <c r="C21" s="1023">
        <v>0.23</v>
      </c>
      <c r="D21" s="1005">
        <v>2</v>
      </c>
      <c r="E21" s="1005">
        <v>4</v>
      </c>
      <c r="F21" s="1024" t="s">
        <v>4767</v>
      </c>
      <c r="G21" s="1024" t="s">
        <v>4767</v>
      </c>
      <c r="H21" s="1024" t="s">
        <v>4767</v>
      </c>
      <c r="I21" s="1024" t="s">
        <v>4767</v>
      </c>
      <c r="J21" s="1024" t="s">
        <v>4767</v>
      </c>
      <c r="K21" s="1025" t="s">
        <v>4767</v>
      </c>
    </row>
    <row r="22" spans="3:11" x14ac:dyDescent="0.2">
      <c r="C22" s="1023">
        <v>0.18</v>
      </c>
      <c r="D22" s="1005">
        <v>3</v>
      </c>
      <c r="E22" s="1005">
        <v>5</v>
      </c>
      <c r="F22" s="1005">
        <v>3</v>
      </c>
      <c r="G22" s="1005">
        <v>4</v>
      </c>
      <c r="H22" s="1005">
        <v>4</v>
      </c>
      <c r="I22" s="1005">
        <v>6</v>
      </c>
      <c r="J22" s="1005">
        <v>8</v>
      </c>
      <c r="K22" s="1031">
        <v>7</v>
      </c>
    </row>
    <row r="23" spans="3:11" ht="16" thickBot="1" x14ac:dyDescent="0.25">
      <c r="C23" s="1026">
        <v>0.13</v>
      </c>
      <c r="D23" s="1028">
        <v>4</v>
      </c>
      <c r="E23" s="1028">
        <v>7</v>
      </c>
      <c r="F23" s="1028">
        <v>5</v>
      </c>
      <c r="G23" s="1028">
        <v>7</v>
      </c>
      <c r="H23" s="1028">
        <v>7</v>
      </c>
      <c r="I23" s="1028">
        <v>10</v>
      </c>
      <c r="J23" s="1028">
        <v>15</v>
      </c>
      <c r="K23" s="1030">
        <v>11</v>
      </c>
    </row>
    <row r="24" spans="3:11" x14ac:dyDescent="0.2">
      <c r="C24" s="2195" t="s">
        <v>4770</v>
      </c>
      <c r="D24" s="2195"/>
      <c r="E24" s="2195"/>
      <c r="F24" s="2195"/>
      <c r="G24" s="2195"/>
      <c r="H24" s="2195"/>
      <c r="I24" s="2195"/>
      <c r="J24" s="2195"/>
      <c r="K24" s="2195"/>
    </row>
    <row r="25" spans="3:11" s="1234" customFormat="1" ht="15.75" customHeight="1" thickBot="1" x14ac:dyDescent="0.25">
      <c r="C25" s="2190" t="s">
        <v>5036</v>
      </c>
      <c r="D25" s="2190"/>
      <c r="E25" s="2190"/>
      <c r="F25" s="2190"/>
      <c r="G25" s="2190"/>
      <c r="H25" s="2190"/>
      <c r="I25" s="2190"/>
      <c r="J25" s="2190"/>
      <c r="K25" s="2190"/>
    </row>
  </sheetData>
  <sheetProtection algorithmName="SHA-512" hashValue="5GB2WZi4N68h0Ie0oOA62klcviBfg6y4Emuvdv3loyJ+GPNSytgwg2gfp+uL8uF+2cbADg7otfI9H1YI5+mdCw==" saltValue="rUx0qM9ChX+LstrTM146Dg==" spinCount="100000" sheet="1" objects="1" scenarios="1" selectLockedCells="1"/>
  <mergeCells count="14">
    <mergeCell ref="C25:K25"/>
    <mergeCell ref="C2:D2"/>
    <mergeCell ref="I2:K2"/>
    <mergeCell ref="C16:K16"/>
    <mergeCell ref="C17:C19"/>
    <mergeCell ref="D17:K17"/>
    <mergeCell ref="D19:K19"/>
    <mergeCell ref="C24:K24"/>
    <mergeCell ref="C15:K15"/>
    <mergeCell ref="C4:K4"/>
    <mergeCell ref="C5:K5"/>
    <mergeCell ref="C6:C8"/>
    <mergeCell ref="D6:K6"/>
    <mergeCell ref="D8:K8"/>
  </mergeCells>
  <hyperlinks>
    <hyperlink ref="C2:D2" location="hyptarg7.3" display="back to 11.703.2.4" xr:uid="{5A974C26-492D-401E-B9B0-3837360D2D3B}"/>
    <hyperlink ref="I2:J2" location="'Verification Report'!A1" display="back to Verification Report" xr:uid="{E390C1C2-7F1F-4E9B-8555-22780FF36D6C}"/>
    <hyperlink ref="I2:K2" location="'Verification Report'!A1" display="back to Verification Report" xr:uid="{5802E086-4E1C-46F2-9CF4-AA8465E7D659}"/>
  </hyperlinks>
  <pageMargins left="0.7" right="0.7" top="0.75" bottom="0.75" header="0.3" footer="0.3"/>
  <pageSetup orientation="portrait" horizontalDpi="0" verticalDpi="0"/>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0248C3-7E61-42F3-9B70-A5A2F89990A8}">
  <sheetPr codeName="Sheet42"/>
  <dimension ref="B2:G20"/>
  <sheetViews>
    <sheetView showGridLines="0" workbookViewId="0">
      <selection activeCell="B2" sqref="B2:C2"/>
    </sheetView>
  </sheetViews>
  <sheetFormatPr baseColWidth="10" defaultColWidth="9.1640625" defaultRowHeight="15" x14ac:dyDescent="0.2"/>
  <cols>
    <col min="1" max="2" width="9.1640625" style="905"/>
    <col min="3" max="3" width="15.6640625" style="905" customWidth="1"/>
    <col min="4" max="5" width="20.6640625" style="905" customWidth="1"/>
    <col min="6" max="16384" width="9.1640625" style="905"/>
  </cols>
  <sheetData>
    <row r="2" spans="2:7" s="1150" customFormat="1" x14ac:dyDescent="0.2">
      <c r="B2" s="2133" t="s">
        <v>5090</v>
      </c>
      <c r="C2" s="2133"/>
      <c r="E2" s="2134" t="s">
        <v>3426</v>
      </c>
      <c r="F2" s="2135"/>
      <c r="G2" s="2136"/>
    </row>
    <row r="4" spans="2:7" x14ac:dyDescent="0.2">
      <c r="C4" s="2189" t="s">
        <v>4771</v>
      </c>
      <c r="D4" s="2189"/>
      <c r="E4" s="2189"/>
    </row>
    <row r="5" spans="2:7" ht="16" thickBot="1" x14ac:dyDescent="0.25">
      <c r="C5" s="2182" t="s">
        <v>4772</v>
      </c>
      <c r="D5" s="2182"/>
      <c r="E5" s="2182"/>
    </row>
    <row r="6" spans="2:7" ht="16" thickTop="1" x14ac:dyDescent="0.2">
      <c r="C6" s="2198" t="s">
        <v>4773</v>
      </c>
      <c r="D6" s="1036" t="s">
        <v>4733</v>
      </c>
      <c r="E6" s="1037" t="s">
        <v>4774</v>
      </c>
    </row>
    <row r="7" spans="2:7" ht="25.5" customHeight="1" x14ac:dyDescent="0.2">
      <c r="C7" s="2199"/>
      <c r="D7" s="2200" t="s">
        <v>4775</v>
      </c>
      <c r="E7" s="2201"/>
    </row>
    <row r="8" spans="2:7" x14ac:dyDescent="0.2">
      <c r="C8" s="1032">
        <v>1</v>
      </c>
      <c r="D8" s="1038">
        <v>0.5</v>
      </c>
      <c r="E8" s="1039">
        <v>0.25</v>
      </c>
    </row>
    <row r="9" spans="2:7" x14ac:dyDescent="0.2">
      <c r="C9" s="1032">
        <v>2</v>
      </c>
      <c r="D9" s="1038">
        <v>0.4</v>
      </c>
      <c r="E9" s="1039">
        <v>0.25</v>
      </c>
    </row>
    <row r="10" spans="2:7" x14ac:dyDescent="0.2">
      <c r="C10" s="1032">
        <v>3</v>
      </c>
      <c r="D10" s="1038">
        <v>0.32</v>
      </c>
      <c r="E10" s="1039">
        <v>0.25</v>
      </c>
    </row>
    <row r="11" spans="2:7" x14ac:dyDescent="0.2">
      <c r="C11" s="1032">
        <v>4</v>
      </c>
      <c r="D11" s="1038">
        <v>0.32</v>
      </c>
      <c r="E11" s="1039">
        <v>0.4</v>
      </c>
    </row>
    <row r="12" spans="2:7" x14ac:dyDescent="0.2">
      <c r="C12" s="1032" t="s">
        <v>4776</v>
      </c>
      <c r="D12" s="1038" t="s">
        <v>4777</v>
      </c>
      <c r="E12" s="1039" t="s">
        <v>4778</v>
      </c>
    </row>
    <row r="13" spans="2:7" ht="27" customHeight="1" x14ac:dyDescent="0.2">
      <c r="C13" s="1032"/>
      <c r="D13" s="2200" t="s">
        <v>4779</v>
      </c>
      <c r="E13" s="2201"/>
    </row>
    <row r="14" spans="2:7" x14ac:dyDescent="0.2">
      <c r="C14" s="1032">
        <v>1</v>
      </c>
      <c r="D14" s="1038">
        <v>0.75</v>
      </c>
      <c r="E14" s="1039">
        <v>0.3</v>
      </c>
    </row>
    <row r="15" spans="2:7" x14ac:dyDescent="0.2">
      <c r="C15" s="1032">
        <v>2</v>
      </c>
      <c r="D15" s="1038">
        <v>0.65</v>
      </c>
      <c r="E15" s="1039">
        <v>0.3</v>
      </c>
    </row>
    <row r="16" spans="2:7" x14ac:dyDescent="0.2">
      <c r="C16" s="1032">
        <v>3</v>
      </c>
      <c r="D16" s="1038">
        <v>0.55000000000000004</v>
      </c>
      <c r="E16" s="1039">
        <v>0.3</v>
      </c>
    </row>
    <row r="17" spans="3:5" x14ac:dyDescent="0.2">
      <c r="C17" s="1032">
        <v>4</v>
      </c>
      <c r="D17" s="1038">
        <v>0.55000000000000004</v>
      </c>
      <c r="E17" s="1039">
        <v>0.4</v>
      </c>
    </row>
    <row r="18" spans="3:5" x14ac:dyDescent="0.2">
      <c r="C18" s="1032" t="s">
        <v>4776</v>
      </c>
      <c r="D18" s="1038">
        <v>0.55000000000000004</v>
      </c>
      <c r="E18" s="1039" t="s">
        <v>4778</v>
      </c>
    </row>
    <row r="19" spans="3:5" ht="31.5" customHeight="1" x14ac:dyDescent="0.2">
      <c r="C19" s="2202" t="s">
        <v>4780</v>
      </c>
      <c r="D19" s="2203"/>
      <c r="E19" s="2204"/>
    </row>
    <row r="20" spans="3:5" ht="54" customHeight="1" thickBot="1" x14ac:dyDescent="0.25">
      <c r="C20" s="2197" t="s">
        <v>4781</v>
      </c>
      <c r="D20" s="2197"/>
      <c r="E20" s="2197"/>
    </row>
  </sheetData>
  <sheetProtection algorithmName="SHA-512" hashValue="Ptg07pUY6DeQ4+VuulBEheF6f1NObJnXBr70W711oIdlCAhEdBQxxl5JIz2RHeKo7xiNRAnyfj/g6M3GnzxkmA==" saltValue="7MywqPSJHFTvVVoKXXxi2g==" spinCount="100000" sheet="1" objects="1" scenarios="1" selectLockedCells="1"/>
  <mergeCells count="9">
    <mergeCell ref="B2:C2"/>
    <mergeCell ref="E2:G2"/>
    <mergeCell ref="C20:E20"/>
    <mergeCell ref="C4:E4"/>
    <mergeCell ref="C5:E5"/>
    <mergeCell ref="C6:C7"/>
    <mergeCell ref="D7:E7"/>
    <mergeCell ref="D13:E13"/>
    <mergeCell ref="C19:E19"/>
  </mergeCells>
  <hyperlinks>
    <hyperlink ref="B2:C2" location="'11.700'!A1" display="back to 11.700" xr:uid="{054F9484-CE84-4A00-9B15-6759E66934AD}"/>
    <hyperlink ref="E2:F2" location="'Verification Report'!A1" display="back to Verification Report" xr:uid="{9C236CDB-3F7B-4E8E-B411-365F9D3E9BB7}"/>
    <hyperlink ref="E2:G2" location="'Verification Report'!A1" display="back to Verification Report" xr:uid="{62184E5A-E1E7-4654-8A6D-A88F52D1E1B0}"/>
  </hyperlinks>
  <pageMargins left="0.7" right="0.7" top="0.75" bottom="0.75" header="0.3" footer="0.3"/>
  <pageSetup orientation="portrait" r:id="rId1"/>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8AF632F-C719-46F8-857B-5D2E2B6F4B63}">
  <sheetPr codeName="Sheet43"/>
  <dimension ref="C2:H34"/>
  <sheetViews>
    <sheetView showGridLines="0" workbookViewId="0">
      <selection activeCell="C2" sqref="C2:D2"/>
    </sheetView>
  </sheetViews>
  <sheetFormatPr baseColWidth="10" defaultColWidth="9.1640625" defaultRowHeight="15" x14ac:dyDescent="0.2"/>
  <cols>
    <col min="1" max="3" width="9.1640625" style="905"/>
    <col min="4" max="7" width="12.6640625" style="905" customWidth="1"/>
    <col min="8" max="16384" width="9.1640625" style="905"/>
  </cols>
  <sheetData>
    <row r="2" spans="3:8" s="1150" customFormat="1" x14ac:dyDescent="0.2">
      <c r="C2" s="2133" t="s">
        <v>4965</v>
      </c>
      <c r="D2" s="2133"/>
      <c r="F2" s="2134" t="s">
        <v>3426</v>
      </c>
      <c r="G2" s="2135"/>
      <c r="H2" s="2136"/>
    </row>
    <row r="4" spans="3:8" x14ac:dyDescent="0.2">
      <c r="C4" s="2196" t="s">
        <v>4782</v>
      </c>
      <c r="D4" s="2196"/>
      <c r="E4" s="2196"/>
      <c r="F4" s="2196"/>
      <c r="G4" s="2196"/>
      <c r="H4" s="2196"/>
    </row>
    <row r="5" spans="3:8" ht="16" thickBot="1" x14ac:dyDescent="0.25">
      <c r="C5" s="2182" t="s">
        <v>4783</v>
      </c>
      <c r="D5" s="2182"/>
      <c r="E5" s="2182"/>
      <c r="F5" s="2182"/>
      <c r="G5" s="2182"/>
      <c r="H5" s="2182"/>
    </row>
    <row r="6" spans="3:8" ht="46" thickTop="1" x14ac:dyDescent="0.2">
      <c r="C6" s="1040" t="s">
        <v>4773</v>
      </c>
      <c r="D6" s="1036" t="s">
        <v>4784</v>
      </c>
      <c r="E6" s="1036" t="s">
        <v>4785</v>
      </c>
      <c r="F6" s="1036" t="s">
        <v>4786</v>
      </c>
      <c r="G6" s="1036" t="s">
        <v>4787</v>
      </c>
      <c r="H6" s="1041" t="s">
        <v>2571</v>
      </c>
    </row>
    <row r="7" spans="3:8" x14ac:dyDescent="0.2">
      <c r="C7" s="1032">
        <v>1</v>
      </c>
      <c r="D7" s="1038">
        <v>0.4</v>
      </c>
      <c r="E7" s="1038">
        <v>0.25</v>
      </c>
      <c r="F7" s="1038">
        <v>0.6</v>
      </c>
      <c r="G7" s="1038">
        <v>0.28000000000000003</v>
      </c>
      <c r="H7" s="1031">
        <v>1</v>
      </c>
    </row>
    <row r="8" spans="3:8" x14ac:dyDescent="0.2">
      <c r="C8" s="1032">
        <v>2</v>
      </c>
      <c r="D8" s="1038">
        <v>0.4</v>
      </c>
      <c r="E8" s="1038">
        <v>0.25</v>
      </c>
      <c r="F8" s="1038">
        <v>0.6</v>
      </c>
      <c r="G8" s="1038">
        <v>0.28000000000000003</v>
      </c>
      <c r="H8" s="1031">
        <v>1</v>
      </c>
    </row>
    <row r="9" spans="3:8" x14ac:dyDescent="0.2">
      <c r="C9" s="1032">
        <v>3</v>
      </c>
      <c r="D9" s="1038">
        <v>0.3</v>
      </c>
      <c r="E9" s="1038">
        <v>0.25</v>
      </c>
      <c r="F9" s="1038">
        <v>0.53</v>
      </c>
      <c r="G9" s="1038">
        <v>0.28000000000000003</v>
      </c>
      <c r="H9" s="1031">
        <v>2</v>
      </c>
    </row>
    <row r="10" spans="3:8" x14ac:dyDescent="0.2">
      <c r="C10" s="1032">
        <v>4</v>
      </c>
      <c r="D10" s="1038">
        <v>0.3</v>
      </c>
      <c r="E10" s="1038">
        <v>0.4</v>
      </c>
      <c r="F10" s="1038">
        <v>0.53</v>
      </c>
      <c r="G10" s="1038">
        <v>0.35</v>
      </c>
      <c r="H10" s="1031">
        <v>3</v>
      </c>
    </row>
    <row r="11" spans="3:8" x14ac:dyDescent="0.2">
      <c r="C11" s="1032">
        <v>5</v>
      </c>
      <c r="D11" s="1038">
        <v>0.27</v>
      </c>
      <c r="E11" s="1038" t="s">
        <v>4778</v>
      </c>
      <c r="F11" s="1038">
        <v>0.5</v>
      </c>
      <c r="G11" s="1038" t="s">
        <v>4778</v>
      </c>
      <c r="H11" s="1031">
        <v>3</v>
      </c>
    </row>
    <row r="12" spans="3:8" x14ac:dyDescent="0.2">
      <c r="C12" s="1032">
        <v>6</v>
      </c>
      <c r="D12" s="1038">
        <v>0.27</v>
      </c>
      <c r="E12" s="1038" t="s">
        <v>4778</v>
      </c>
      <c r="F12" s="1038">
        <v>0.5</v>
      </c>
      <c r="G12" s="1038" t="s">
        <v>4778</v>
      </c>
      <c r="H12" s="1031">
        <v>4</v>
      </c>
    </row>
    <row r="13" spans="3:8" x14ac:dyDescent="0.2">
      <c r="C13" s="1032">
        <v>7</v>
      </c>
      <c r="D13" s="1038">
        <v>0.27</v>
      </c>
      <c r="E13" s="1038" t="s">
        <v>4778</v>
      </c>
      <c r="F13" s="1038">
        <v>0.5</v>
      </c>
      <c r="G13" s="1038" t="s">
        <v>4778</v>
      </c>
      <c r="H13" s="1031">
        <v>4</v>
      </c>
    </row>
    <row r="14" spans="3:8" x14ac:dyDescent="0.2">
      <c r="C14" s="1032">
        <v>8</v>
      </c>
      <c r="D14" s="1038">
        <v>0.27</v>
      </c>
      <c r="E14" s="1038" t="s">
        <v>4778</v>
      </c>
      <c r="F14" s="1038">
        <v>0.5</v>
      </c>
      <c r="G14" s="1038" t="s">
        <v>4778</v>
      </c>
      <c r="H14" s="1031">
        <v>4</v>
      </c>
    </row>
    <row r="15" spans="3:8" ht="22.5" customHeight="1" thickBot="1" x14ac:dyDescent="0.25">
      <c r="C15" s="2205" t="s">
        <v>5037</v>
      </c>
      <c r="D15" s="2206"/>
      <c r="E15" s="2206"/>
      <c r="F15" s="2206"/>
      <c r="G15" s="2206"/>
      <c r="H15" s="2207"/>
    </row>
    <row r="17" spans="3:8" x14ac:dyDescent="0.2">
      <c r="C17" s="2196" t="s">
        <v>4788</v>
      </c>
      <c r="D17" s="2196"/>
      <c r="E17" s="2196"/>
      <c r="F17" s="2196"/>
      <c r="G17" s="2196"/>
      <c r="H17" s="2196"/>
    </row>
    <row r="18" spans="3:8" ht="16" thickBot="1" x14ac:dyDescent="0.25">
      <c r="C18" s="2182" t="s">
        <v>4783</v>
      </c>
      <c r="D18" s="2182"/>
      <c r="E18" s="2182"/>
      <c r="F18" s="2182"/>
      <c r="G18" s="2182"/>
      <c r="H18" s="2182"/>
    </row>
    <row r="19" spans="3:8" ht="46" thickTop="1" x14ac:dyDescent="0.2">
      <c r="C19" s="1040" t="s">
        <v>4712</v>
      </c>
      <c r="D19" s="1036" t="s">
        <v>4784</v>
      </c>
      <c r="E19" s="1036" t="s">
        <v>4785</v>
      </c>
      <c r="F19" s="1036" t="s">
        <v>4786</v>
      </c>
      <c r="G19" s="1036" t="s">
        <v>4787</v>
      </c>
      <c r="H19" s="1041" t="s">
        <v>2571</v>
      </c>
    </row>
    <row r="20" spans="3:8" x14ac:dyDescent="0.2">
      <c r="C20" s="1032">
        <v>1</v>
      </c>
      <c r="D20" s="1038">
        <v>0.38</v>
      </c>
      <c r="E20" s="1038">
        <v>0.25</v>
      </c>
      <c r="F20" s="1038">
        <v>0.55000000000000004</v>
      </c>
      <c r="G20" s="1038">
        <v>0.28000000000000003</v>
      </c>
      <c r="H20" s="1031">
        <v>2</v>
      </c>
    </row>
    <row r="21" spans="3:8" x14ac:dyDescent="0.2">
      <c r="C21" s="1032">
        <v>2</v>
      </c>
      <c r="D21" s="1038">
        <v>0.38</v>
      </c>
      <c r="E21" s="1038">
        <v>0.25</v>
      </c>
      <c r="F21" s="1038">
        <v>0.53</v>
      </c>
      <c r="G21" s="1038">
        <v>0.28000000000000003</v>
      </c>
      <c r="H21" s="1031">
        <v>3</v>
      </c>
    </row>
    <row r="22" spans="3:8" x14ac:dyDescent="0.2">
      <c r="C22" s="1032">
        <v>3</v>
      </c>
      <c r="D22" s="1038">
        <v>0.3</v>
      </c>
      <c r="E22" s="1038">
        <v>0.25</v>
      </c>
      <c r="F22" s="1038">
        <v>0.5</v>
      </c>
      <c r="G22" s="1038">
        <v>0.28000000000000003</v>
      </c>
      <c r="H22" s="1031">
        <v>4</v>
      </c>
    </row>
    <row r="23" spans="3:8" x14ac:dyDescent="0.2">
      <c r="C23" s="1032">
        <v>4</v>
      </c>
      <c r="D23" s="1038">
        <v>0.28000000000000003</v>
      </c>
      <c r="E23" s="1038">
        <v>0.4</v>
      </c>
      <c r="F23" s="1038">
        <v>0.5</v>
      </c>
      <c r="G23" s="1038">
        <v>0.35</v>
      </c>
      <c r="H23" s="1031">
        <v>4</v>
      </c>
    </row>
    <row r="24" spans="3:8" x14ac:dyDescent="0.2">
      <c r="C24" s="1032">
        <v>5</v>
      </c>
      <c r="D24" s="1038">
        <v>0.25</v>
      </c>
      <c r="E24" s="1038" t="s">
        <v>4778</v>
      </c>
      <c r="F24" s="1038">
        <v>0.48</v>
      </c>
      <c r="G24" s="1038" t="s">
        <v>4778</v>
      </c>
      <c r="H24" s="1031">
        <v>4</v>
      </c>
    </row>
    <row r="25" spans="3:8" x14ac:dyDescent="0.2">
      <c r="C25" s="1032">
        <v>6</v>
      </c>
      <c r="D25" s="1038">
        <v>0.25</v>
      </c>
      <c r="E25" s="1038" t="s">
        <v>4778</v>
      </c>
      <c r="F25" s="1038">
        <v>0.48</v>
      </c>
      <c r="G25" s="1038" t="s">
        <v>4778</v>
      </c>
      <c r="H25" s="1031">
        <v>5</v>
      </c>
    </row>
    <row r="26" spans="3:8" x14ac:dyDescent="0.2">
      <c r="C26" s="1032">
        <v>7</v>
      </c>
      <c r="D26" s="1038">
        <v>0.25</v>
      </c>
      <c r="E26" s="1038" t="s">
        <v>4778</v>
      </c>
      <c r="F26" s="1038">
        <v>0.46</v>
      </c>
      <c r="G26" s="1038" t="s">
        <v>4778</v>
      </c>
      <c r="H26" s="1031">
        <v>5</v>
      </c>
    </row>
    <row r="27" spans="3:8" x14ac:dyDescent="0.2">
      <c r="C27" s="1032">
        <v>8</v>
      </c>
      <c r="D27" s="1038">
        <v>0.25</v>
      </c>
      <c r="E27" s="1038" t="s">
        <v>4778</v>
      </c>
      <c r="F27" s="1038">
        <v>0.46</v>
      </c>
      <c r="G27" s="1038" t="s">
        <v>4778</v>
      </c>
      <c r="H27" s="1031">
        <v>4</v>
      </c>
    </row>
    <row r="28" spans="3:8" ht="21.75" customHeight="1" thickBot="1" x14ac:dyDescent="0.25">
      <c r="C28" s="2205" t="s">
        <v>5037</v>
      </c>
      <c r="D28" s="2206"/>
      <c r="E28" s="2206"/>
      <c r="F28" s="2206"/>
      <c r="G28" s="2206"/>
      <c r="H28" s="2207"/>
    </row>
    <row r="30" spans="3:8" x14ac:dyDescent="0.2">
      <c r="C30" s="2196" t="s">
        <v>4789</v>
      </c>
      <c r="D30" s="2196"/>
      <c r="E30" s="2196"/>
      <c r="F30" s="2196"/>
      <c r="G30" s="2196"/>
      <c r="H30" s="2196"/>
    </row>
    <row r="31" spans="3:8" ht="16" thickBot="1" x14ac:dyDescent="0.25">
      <c r="C31" s="2182" t="s">
        <v>4783</v>
      </c>
      <c r="D31" s="2182"/>
      <c r="E31" s="2182"/>
      <c r="F31" s="2182"/>
      <c r="G31" s="2182"/>
      <c r="H31" s="2182"/>
    </row>
    <row r="32" spans="3:8" ht="46" thickTop="1" x14ac:dyDescent="0.2">
      <c r="C32" s="1040" t="s">
        <v>4773</v>
      </c>
      <c r="D32" s="1036" t="s">
        <v>4784</v>
      </c>
      <c r="E32" s="1036" t="s">
        <v>4785</v>
      </c>
      <c r="F32" s="1036" t="s">
        <v>4786</v>
      </c>
      <c r="G32" s="1036" t="s">
        <v>4787</v>
      </c>
      <c r="H32" s="1041" t="s">
        <v>2571</v>
      </c>
    </row>
    <row r="33" spans="3:8" x14ac:dyDescent="0.2">
      <c r="C33" s="1032">
        <v>4</v>
      </c>
      <c r="D33" s="1038">
        <v>0.25</v>
      </c>
      <c r="E33" s="1038">
        <v>0.4</v>
      </c>
      <c r="F33" s="1038">
        <v>0.45</v>
      </c>
      <c r="G33" s="1038">
        <v>0.4</v>
      </c>
      <c r="H33" s="1031">
        <v>6</v>
      </c>
    </row>
    <row r="34" spans="3:8" ht="16" thickBot="1" x14ac:dyDescent="0.25">
      <c r="C34" s="1042" t="s">
        <v>4790</v>
      </c>
      <c r="D34" s="1043">
        <v>0.22</v>
      </c>
      <c r="E34" s="1043" t="s">
        <v>4778</v>
      </c>
      <c r="F34" s="1043">
        <v>0.42</v>
      </c>
      <c r="G34" s="1043" t="s">
        <v>4778</v>
      </c>
      <c r="H34" s="1030">
        <v>6</v>
      </c>
    </row>
  </sheetData>
  <sheetProtection algorithmName="SHA-512" hashValue="ZBAkdY2b2Tcuwo5Uu7BZ3lMp3t/fjw0MP5CCK/5No6RgchlkStR9OZFIDsnqO8lSvvIj3OnDPLPADwW3HZxOzw==" saltValue="JNrVInXf/UC4q2j8fssD6Q==" spinCount="100000" sheet="1" objects="1" scenarios="1" selectLockedCells="1"/>
  <mergeCells count="10">
    <mergeCell ref="C2:D2"/>
    <mergeCell ref="F2:H2"/>
    <mergeCell ref="C30:H30"/>
    <mergeCell ref="C31:H31"/>
    <mergeCell ref="C4:H4"/>
    <mergeCell ref="C5:H5"/>
    <mergeCell ref="C15:H15"/>
    <mergeCell ref="C17:H17"/>
    <mergeCell ref="C18:H18"/>
    <mergeCell ref="C28:H28"/>
  </mergeCells>
  <hyperlinks>
    <hyperlink ref="C2:D2" location="hyptarg7.4" display="back to 11.703.2.5.2" xr:uid="{BBB26B73-02EB-4D46-ADB2-C324195F5463}"/>
    <hyperlink ref="F2:G2" location="'Verification Report'!A1" display="back to Verification Report" xr:uid="{9FE6DB63-DFBA-41E9-8283-CEB02B4F53C4}"/>
    <hyperlink ref="F2:H2" location="'Verification Report'!A1" display="back to Verification Report" xr:uid="{C3DEDC90-A376-46C4-90EB-CFC1CAB73840}"/>
  </hyperlinks>
  <pageMargins left="0.7" right="0.7" top="0.75" bottom="0.75" header="0.3" footer="0.3"/>
  <pageSetup orientation="portrait" horizontalDpi="0" verticalDpi="0"/>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BD94A4F-290E-41EC-B1C1-91B2E6D41582}">
  <sheetPr codeName="Sheet44"/>
  <dimension ref="C2:I11"/>
  <sheetViews>
    <sheetView showGridLines="0" workbookViewId="0">
      <selection activeCell="C2" sqref="C2:I2"/>
    </sheetView>
  </sheetViews>
  <sheetFormatPr baseColWidth="10" defaultColWidth="9.1640625" defaultRowHeight="15" x14ac:dyDescent="0.2"/>
  <cols>
    <col min="1" max="16384" width="9.1640625" style="905"/>
  </cols>
  <sheetData>
    <row r="2" spans="3:9" s="1150" customFormat="1" x14ac:dyDescent="0.2">
      <c r="C2" s="2133" t="s">
        <v>4966</v>
      </c>
      <c r="D2" s="2133"/>
      <c r="G2" s="2134" t="s">
        <v>3426</v>
      </c>
      <c r="H2" s="2135"/>
      <c r="I2" s="2136"/>
    </row>
    <row r="4" spans="3:9" x14ac:dyDescent="0.2">
      <c r="C4" s="2209" t="s">
        <v>4704</v>
      </c>
      <c r="D4" s="2209"/>
      <c r="E4" s="2209"/>
      <c r="F4" s="2209"/>
      <c r="G4" s="2209"/>
      <c r="H4" s="2209"/>
      <c r="I4" s="2209"/>
    </row>
    <row r="5" spans="3:9" ht="16" thickBot="1" x14ac:dyDescent="0.25">
      <c r="C5" s="2210" t="s">
        <v>4705</v>
      </c>
      <c r="D5" s="2210"/>
      <c r="E5" s="2210"/>
      <c r="F5" s="2210"/>
      <c r="G5" s="2210"/>
      <c r="H5" s="2210"/>
      <c r="I5" s="2210"/>
    </row>
    <row r="6" spans="3:9" ht="25.5" customHeight="1" thickTop="1" x14ac:dyDescent="0.2">
      <c r="C6" s="2211"/>
      <c r="D6" s="2212"/>
      <c r="E6" s="2215" t="s">
        <v>4706</v>
      </c>
      <c r="F6" s="2215"/>
      <c r="G6" s="2215"/>
      <c r="H6" s="2215"/>
      <c r="I6" s="2216"/>
    </row>
    <row r="7" spans="3:9" x14ac:dyDescent="0.2">
      <c r="C7" s="2213"/>
      <c r="D7" s="2214"/>
      <c r="E7" s="1005" t="s">
        <v>4707</v>
      </c>
      <c r="F7" s="1006" t="s">
        <v>4708</v>
      </c>
      <c r="G7" s="1005" t="s">
        <v>4709</v>
      </c>
      <c r="H7" s="1006" t="s">
        <v>4710</v>
      </c>
      <c r="I7" s="1007" t="s">
        <v>4711</v>
      </c>
    </row>
    <row r="8" spans="3:9" x14ac:dyDescent="0.2">
      <c r="C8" s="2217" t="s">
        <v>4712</v>
      </c>
      <c r="D8" s="1005" t="s">
        <v>4713</v>
      </c>
      <c r="E8" s="1008" t="s">
        <v>4714</v>
      </c>
      <c r="F8" s="1008" t="s">
        <v>4714</v>
      </c>
      <c r="G8" s="1008" t="s">
        <v>4715</v>
      </c>
      <c r="H8" s="1008" t="s">
        <v>4716</v>
      </c>
      <c r="I8" s="1009" t="s">
        <v>4716</v>
      </c>
    </row>
    <row r="9" spans="3:9" x14ac:dyDescent="0.2">
      <c r="C9" s="2217"/>
      <c r="D9" s="1006" t="s">
        <v>4717</v>
      </c>
      <c r="E9" s="1008" t="s">
        <v>4715</v>
      </c>
      <c r="F9" s="1008" t="s">
        <v>4715</v>
      </c>
      <c r="G9" s="1008" t="s">
        <v>4716</v>
      </c>
      <c r="H9" s="1008" t="s">
        <v>4716</v>
      </c>
      <c r="I9" s="1009" t="s">
        <v>4718</v>
      </c>
    </row>
    <row r="10" spans="3:9" ht="16" thickBot="1" x14ac:dyDescent="0.25">
      <c r="C10" s="2218"/>
      <c r="D10" s="1010" t="s">
        <v>4719</v>
      </c>
      <c r="E10" s="1011" t="s">
        <v>4716</v>
      </c>
      <c r="F10" s="1011" t="s">
        <v>4718</v>
      </c>
      <c r="G10" s="1011" t="s">
        <v>4718</v>
      </c>
      <c r="H10" s="1011" t="s">
        <v>4720</v>
      </c>
      <c r="I10" s="1012" t="s">
        <v>4721</v>
      </c>
    </row>
    <row r="11" spans="3:9" ht="16" thickBot="1" x14ac:dyDescent="0.25">
      <c r="C11" s="2208" t="s">
        <v>4722</v>
      </c>
      <c r="D11" s="2208"/>
      <c r="E11" s="2208"/>
      <c r="F11" s="2208"/>
      <c r="G11" s="2208"/>
      <c r="H11" s="2208"/>
      <c r="I11" s="2208"/>
    </row>
  </sheetData>
  <sheetProtection algorithmName="SHA-512" hashValue="cqrPVtP9Ef89Z6P2pvtNZHOO9UNGFEJBqYDNeHSaFYQHeMZgRTS4Yp26/4vG6nWQUCPqSKPmI+Xo/yXmeTs9pg==" saltValue="azV69cMpPenx//eco8z7mA==" spinCount="100000" sheet="1" objects="1" scenarios="1" selectLockedCells="1"/>
  <mergeCells count="8">
    <mergeCell ref="C2:D2"/>
    <mergeCell ref="G2:I2"/>
    <mergeCell ref="C11:I11"/>
    <mergeCell ref="C4:I4"/>
    <mergeCell ref="C5:I5"/>
    <mergeCell ref="C6:D7"/>
    <mergeCell ref="E6:I6"/>
    <mergeCell ref="C8:C10"/>
  </mergeCells>
  <hyperlinks>
    <hyperlink ref="C2:D2" location="hyptarg7.6" display="back to 11.703.7.1(7)" xr:uid="{56955D05-996E-4DBE-9B4E-A6C523E1A149}"/>
    <hyperlink ref="G2:H2" location="'Verification Report'!A1" display="back to Verification Report" xr:uid="{F85B50A5-49AD-4AC9-9A8D-9C52DF0A8E75}"/>
    <hyperlink ref="G2:I2" location="'Verification Report'!A1" display="back to Verification Report" xr:uid="{DCABAFB5-B4F6-4542-9951-47F28F9C99D4}"/>
  </hyperlinks>
  <pageMargins left="0.7" right="0.7" top="0.75" bottom="0.75" header="0.3" footer="0.3"/>
  <pageSetup orientation="portrait" horizontalDpi="0" verticalDpi="0"/>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E537CD0-5230-48C8-83F5-BF57661CB534}">
  <sheetPr codeName="Sheet45"/>
  <dimension ref="C2:H23"/>
  <sheetViews>
    <sheetView showGridLines="0" workbookViewId="0">
      <selection activeCell="C2" sqref="C2:D2"/>
    </sheetView>
  </sheetViews>
  <sheetFormatPr baseColWidth="10" defaultColWidth="9.1640625" defaultRowHeight="15" x14ac:dyDescent="0.2"/>
  <cols>
    <col min="1" max="2" width="9.1640625" style="905"/>
    <col min="3" max="7" width="11.6640625" style="905" customWidth="1"/>
    <col min="8" max="8" width="12.6640625" style="905" customWidth="1"/>
    <col min="9" max="16384" width="9.1640625" style="905"/>
  </cols>
  <sheetData>
    <row r="2" spans="3:8" s="1150" customFormat="1" x14ac:dyDescent="0.2">
      <c r="C2" s="2133" t="s">
        <v>3477</v>
      </c>
      <c r="D2" s="2133"/>
      <c r="F2" s="2134" t="s">
        <v>3426</v>
      </c>
      <c r="G2" s="2135"/>
      <c r="H2" s="2136"/>
    </row>
    <row r="4" spans="3:8" x14ac:dyDescent="0.2">
      <c r="C4" s="2221" t="s">
        <v>4967</v>
      </c>
      <c r="D4" s="2221"/>
      <c r="E4" s="2221"/>
      <c r="F4" s="2221"/>
      <c r="G4" s="2221"/>
      <c r="H4" s="2221"/>
    </row>
    <row r="5" spans="3:8" ht="16" thickBot="1" x14ac:dyDescent="0.25">
      <c r="C5" s="2222" t="s">
        <v>4812</v>
      </c>
      <c r="D5" s="2222"/>
      <c r="E5" s="2222"/>
      <c r="F5" s="2222"/>
      <c r="G5" s="2222"/>
      <c r="H5" s="2222"/>
    </row>
    <row r="6" spans="3:8" ht="53" thickTop="1" x14ac:dyDescent="0.2">
      <c r="C6" s="2223" t="s">
        <v>4811</v>
      </c>
      <c r="D6" s="2225" t="s">
        <v>4810</v>
      </c>
      <c r="E6" s="2225" t="s">
        <v>4809</v>
      </c>
      <c r="F6" s="2225"/>
      <c r="G6" s="2225"/>
      <c r="H6" s="1058" t="s">
        <v>4808</v>
      </c>
    </row>
    <row r="7" spans="3:8" x14ac:dyDescent="0.2">
      <c r="C7" s="2224"/>
      <c r="D7" s="2226"/>
      <c r="E7" s="1057" t="s">
        <v>4807</v>
      </c>
      <c r="F7" s="1057" t="s">
        <v>4806</v>
      </c>
      <c r="G7" s="1057" t="s">
        <v>4805</v>
      </c>
      <c r="H7" s="1056" t="s">
        <v>4804</v>
      </c>
    </row>
    <row r="8" spans="3:8" x14ac:dyDescent="0.2">
      <c r="C8" s="2224"/>
      <c r="D8" s="2226"/>
      <c r="E8" s="1055" t="s">
        <v>4803</v>
      </c>
      <c r="F8" s="1055" t="s">
        <v>4802</v>
      </c>
      <c r="G8" s="1055" t="s">
        <v>4801</v>
      </c>
      <c r="H8" s="1054" t="s">
        <v>4800</v>
      </c>
    </row>
    <row r="9" spans="3:8" ht="26" x14ac:dyDescent="0.2">
      <c r="C9" s="2224"/>
      <c r="D9" s="2226"/>
      <c r="E9" s="1053" t="s">
        <v>5069</v>
      </c>
      <c r="F9" s="1053" t="s">
        <v>5070</v>
      </c>
      <c r="G9" s="1053" t="s">
        <v>5071</v>
      </c>
      <c r="H9" s="1052" t="s">
        <v>5072</v>
      </c>
    </row>
    <row r="10" spans="3:8" x14ac:dyDescent="0.2">
      <c r="C10" s="2224"/>
      <c r="D10" s="2226"/>
      <c r="E10" s="2227" t="s">
        <v>4799</v>
      </c>
      <c r="F10" s="2227"/>
      <c r="G10" s="2227"/>
      <c r="H10" s="2228"/>
    </row>
    <row r="11" spans="3:8" x14ac:dyDescent="0.2">
      <c r="C11" s="1050" t="s">
        <v>4798</v>
      </c>
      <c r="D11" s="1048">
        <v>0.33</v>
      </c>
      <c r="E11" s="1048">
        <v>50</v>
      </c>
      <c r="F11" s="1048">
        <v>50</v>
      </c>
      <c r="G11" s="1048">
        <v>50</v>
      </c>
      <c r="H11" s="1047">
        <v>50</v>
      </c>
    </row>
    <row r="12" spans="3:8" x14ac:dyDescent="0.2">
      <c r="C12" s="1050" t="s">
        <v>4797</v>
      </c>
      <c r="D12" s="1048">
        <v>0.5</v>
      </c>
      <c r="E12" s="1048">
        <v>50</v>
      </c>
      <c r="F12" s="1048">
        <v>50</v>
      </c>
      <c r="G12" s="1048">
        <v>50</v>
      </c>
      <c r="H12" s="1047">
        <v>48</v>
      </c>
    </row>
    <row r="13" spans="3:8" x14ac:dyDescent="0.2">
      <c r="C13" s="1050" t="s">
        <v>4796</v>
      </c>
      <c r="D13" s="1048">
        <v>0.75</v>
      </c>
      <c r="E13" s="1048">
        <v>50</v>
      </c>
      <c r="F13" s="1048">
        <v>50</v>
      </c>
      <c r="G13" s="1048">
        <v>43</v>
      </c>
      <c r="H13" s="1047">
        <v>32</v>
      </c>
    </row>
    <row r="14" spans="3:8" x14ac:dyDescent="0.2">
      <c r="C14" s="1051" t="s">
        <v>4795</v>
      </c>
      <c r="D14" s="1048">
        <v>1.5</v>
      </c>
      <c r="E14" s="1048">
        <v>50</v>
      </c>
      <c r="F14" s="1048">
        <v>43</v>
      </c>
      <c r="G14" s="1048">
        <v>21</v>
      </c>
      <c r="H14" s="1047">
        <v>16</v>
      </c>
    </row>
    <row r="15" spans="3:8" x14ac:dyDescent="0.2">
      <c r="C15" s="1051" t="s">
        <v>4794</v>
      </c>
      <c r="D15" s="1048">
        <v>2</v>
      </c>
      <c r="E15" s="1048">
        <v>50</v>
      </c>
      <c r="F15" s="1048">
        <v>32</v>
      </c>
      <c r="G15" s="1048">
        <v>16</v>
      </c>
      <c r="H15" s="1047">
        <v>12</v>
      </c>
    </row>
    <row r="16" spans="3:8" x14ac:dyDescent="0.2">
      <c r="C16" s="1051" t="s">
        <v>4793</v>
      </c>
      <c r="D16" s="1048">
        <v>3</v>
      </c>
      <c r="E16" s="1048">
        <v>43</v>
      </c>
      <c r="F16" s="1048">
        <v>21</v>
      </c>
      <c r="G16" s="1048">
        <v>11</v>
      </c>
      <c r="H16" s="1047">
        <v>8</v>
      </c>
    </row>
    <row r="17" spans="3:8" x14ac:dyDescent="0.2">
      <c r="C17" s="1051" t="s">
        <v>4792</v>
      </c>
      <c r="D17" s="1048">
        <v>4</v>
      </c>
      <c r="E17" s="1048">
        <v>32</v>
      </c>
      <c r="F17" s="1048">
        <v>16</v>
      </c>
      <c r="G17" s="1048">
        <v>8</v>
      </c>
      <c r="H17" s="1047">
        <v>6</v>
      </c>
    </row>
    <row r="18" spans="3:8" x14ac:dyDescent="0.2">
      <c r="C18" s="1050">
        <v>1</v>
      </c>
      <c r="D18" s="1048">
        <v>5</v>
      </c>
      <c r="E18" s="1048">
        <v>26</v>
      </c>
      <c r="F18" s="1048">
        <v>13</v>
      </c>
      <c r="G18" s="1048">
        <v>6</v>
      </c>
      <c r="H18" s="1047">
        <v>5</v>
      </c>
    </row>
    <row r="19" spans="3:8" x14ac:dyDescent="0.2">
      <c r="C19" s="1049">
        <v>1.25</v>
      </c>
      <c r="D19" s="1048">
        <v>8</v>
      </c>
      <c r="E19" s="1048">
        <v>16</v>
      </c>
      <c r="F19" s="1048">
        <v>8</v>
      </c>
      <c r="G19" s="1048">
        <v>4</v>
      </c>
      <c r="H19" s="1047">
        <v>3</v>
      </c>
    </row>
    <row r="20" spans="3:8" x14ac:dyDescent="0.2">
      <c r="C20" s="1049">
        <v>1.5</v>
      </c>
      <c r="D20" s="1048">
        <v>11</v>
      </c>
      <c r="E20" s="1048">
        <v>12</v>
      </c>
      <c r="F20" s="1048">
        <v>6</v>
      </c>
      <c r="G20" s="1048">
        <v>3</v>
      </c>
      <c r="H20" s="1047">
        <v>2</v>
      </c>
    </row>
    <row r="21" spans="3:8" ht="16" thickBot="1" x14ac:dyDescent="0.25">
      <c r="C21" s="1046">
        <v>2</v>
      </c>
      <c r="D21" s="1045">
        <v>18</v>
      </c>
      <c r="E21" s="1045">
        <v>7</v>
      </c>
      <c r="F21" s="1045">
        <v>4</v>
      </c>
      <c r="G21" s="1045">
        <v>2</v>
      </c>
      <c r="H21" s="1044">
        <v>1</v>
      </c>
    </row>
    <row r="22" spans="3:8" ht="33.75" customHeight="1" x14ac:dyDescent="0.2">
      <c r="C22" s="2219" t="s">
        <v>5073</v>
      </c>
      <c r="D22" s="2219"/>
      <c r="E22" s="2219"/>
      <c r="F22" s="2219"/>
      <c r="G22" s="2219"/>
      <c r="H22" s="2219"/>
    </row>
    <row r="23" spans="3:8" ht="45" customHeight="1" thickBot="1" x14ac:dyDescent="0.25">
      <c r="C23" s="2220" t="s">
        <v>4791</v>
      </c>
      <c r="D23" s="2220"/>
      <c r="E23" s="2220"/>
      <c r="F23" s="2220"/>
      <c r="G23" s="2220"/>
      <c r="H23" s="2220"/>
    </row>
  </sheetData>
  <sheetProtection algorithmName="SHA-512" hashValue="5Y8g4Ie+7w9VndQQ0ByI2J5Jc03gpOVchkWk2KujM5o2qZajowlaDSmvumUCvSybhjieOTelsnbg+VxFDs6m2A==" saltValue="ZxVO0aPuZgo2j/x8Z/TDew==" spinCount="100000" sheet="1" objects="1" scenarios="1" selectLockedCells="1"/>
  <mergeCells count="10">
    <mergeCell ref="C2:D2"/>
    <mergeCell ref="F2:H2"/>
    <mergeCell ref="C22:H22"/>
    <mergeCell ref="C23:H23"/>
    <mergeCell ref="C4:H4"/>
    <mergeCell ref="C5:H5"/>
    <mergeCell ref="C6:C10"/>
    <mergeCell ref="D6:D10"/>
    <mergeCell ref="E6:G6"/>
    <mergeCell ref="E10:H10"/>
  </mergeCells>
  <hyperlinks>
    <hyperlink ref="F2:G2" location="'Verification Report'!A1" display="back to Verification Report" xr:uid="{BEC76CDD-355F-42CA-83F4-F1DD042C16E2}"/>
    <hyperlink ref="F2:H2" location="'Verification Report'!A1" display="back to Verification Report" xr:uid="{B89E51D3-BBFF-44AC-B17D-8BDBBC94CDD9}"/>
    <hyperlink ref="C2:D2" location="hyptarg8.2" display="back to Chapter 8" xr:uid="{C80DFEF1-D81D-4787-9EA3-A154E025D9B2}"/>
  </hyperlinks>
  <pageMargins left="0.7" right="0.7" top="0.75" bottom="0.75" header="0.3" footer="0.3"/>
  <pageSetup orientation="portrait" horizontalDpi="0" verticalDpi="0"/>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E718AF8-67F9-4640-9BAF-81E4068F2016}">
  <sheetPr codeName="Sheet46"/>
  <dimension ref="C2:N14"/>
  <sheetViews>
    <sheetView showGridLines="0" workbookViewId="0">
      <selection activeCell="C2" sqref="C2:D2"/>
    </sheetView>
  </sheetViews>
  <sheetFormatPr baseColWidth="10" defaultColWidth="9.1640625" defaultRowHeight="15" x14ac:dyDescent="0.2"/>
  <cols>
    <col min="1" max="3" width="9.1640625" style="905"/>
    <col min="4" max="10" width="7.6640625" style="905" customWidth="1"/>
    <col min="11" max="11" width="8.6640625" style="905" customWidth="1"/>
    <col min="12" max="14" width="7.6640625" style="905" customWidth="1"/>
    <col min="15" max="16384" width="9.1640625" style="905"/>
  </cols>
  <sheetData>
    <row r="2" spans="3:14" s="1150" customFormat="1" x14ac:dyDescent="0.2">
      <c r="C2" s="2133" t="s">
        <v>3477</v>
      </c>
      <c r="D2" s="2133"/>
      <c r="L2" s="2134" t="s">
        <v>3426</v>
      </c>
      <c r="M2" s="2135"/>
      <c r="N2" s="2136"/>
    </row>
    <row r="4" spans="3:14" x14ac:dyDescent="0.2">
      <c r="C4" s="2229" t="s">
        <v>4968</v>
      </c>
      <c r="D4" s="2229"/>
      <c r="E4" s="2229"/>
      <c r="F4" s="2229"/>
      <c r="G4" s="2229"/>
      <c r="H4" s="2229"/>
      <c r="I4" s="2229"/>
      <c r="J4" s="2229"/>
      <c r="K4" s="2229"/>
      <c r="L4" s="2229"/>
      <c r="M4" s="2229"/>
      <c r="N4" s="2229"/>
    </row>
    <row r="5" spans="3:14" ht="16" thickBot="1" x14ac:dyDescent="0.25">
      <c r="C5" s="2230" t="s">
        <v>4813</v>
      </c>
      <c r="D5" s="2230"/>
      <c r="E5" s="2230"/>
      <c r="F5" s="2230"/>
      <c r="G5" s="2230"/>
      <c r="H5" s="2230"/>
      <c r="I5" s="2230"/>
      <c r="J5" s="2230"/>
      <c r="K5" s="2230"/>
      <c r="L5" s="2230"/>
      <c r="M5" s="2230"/>
      <c r="N5" s="2230"/>
    </row>
    <row r="6" spans="3:14" ht="16" thickTop="1" x14ac:dyDescent="0.2">
      <c r="C6" s="2231" t="s">
        <v>4814</v>
      </c>
      <c r="D6" s="2232"/>
      <c r="E6" s="2232"/>
      <c r="F6" s="2232"/>
      <c r="G6" s="2232"/>
      <c r="H6" s="2232"/>
      <c r="I6" s="2232"/>
      <c r="J6" s="2232"/>
      <c r="K6" s="2232"/>
      <c r="L6" s="2232"/>
      <c r="M6" s="2232"/>
      <c r="N6" s="2233"/>
    </row>
    <row r="7" spans="3:14" ht="36" x14ac:dyDescent="0.2">
      <c r="C7" s="1059" t="s">
        <v>4815</v>
      </c>
      <c r="D7" s="1060" t="s">
        <v>4816</v>
      </c>
      <c r="E7" s="1060" t="s">
        <v>4817</v>
      </c>
      <c r="F7" s="1060" t="s">
        <v>4818</v>
      </c>
      <c r="G7" s="1060" t="s">
        <v>4819</v>
      </c>
      <c r="H7" s="1060" t="s">
        <v>4820</v>
      </c>
      <c r="I7" s="1060" t="s">
        <v>4821</v>
      </c>
      <c r="J7" s="1060" t="s">
        <v>4822</v>
      </c>
      <c r="K7" s="1060" t="s">
        <v>4823</v>
      </c>
      <c r="L7" s="1060" t="s">
        <v>4824</v>
      </c>
      <c r="M7" s="1060" t="s">
        <v>4825</v>
      </c>
      <c r="N7" s="1061" t="s">
        <v>4826</v>
      </c>
    </row>
    <row r="8" spans="3:14" x14ac:dyDescent="0.2">
      <c r="C8" s="1062" t="s">
        <v>4827</v>
      </c>
      <c r="D8" s="1063">
        <v>1.06</v>
      </c>
      <c r="E8" s="1063">
        <v>0.97</v>
      </c>
      <c r="F8" s="1063">
        <v>0.84</v>
      </c>
      <c r="G8" s="1063" t="s">
        <v>2590</v>
      </c>
      <c r="H8" s="1063">
        <v>1.17</v>
      </c>
      <c r="I8" s="1063" t="s">
        <v>2590</v>
      </c>
      <c r="J8" s="1063">
        <v>0.64</v>
      </c>
      <c r="K8" s="1063">
        <v>0.63</v>
      </c>
      <c r="L8" s="1063">
        <v>0.64</v>
      </c>
      <c r="M8" s="1063" t="s">
        <v>2590</v>
      </c>
      <c r="N8" s="1064" t="s">
        <v>2590</v>
      </c>
    </row>
    <row r="9" spans="3:14" x14ac:dyDescent="0.2">
      <c r="C9" s="1062" t="s">
        <v>4795</v>
      </c>
      <c r="D9" s="1063">
        <v>1.69</v>
      </c>
      <c r="E9" s="1063">
        <v>1.55</v>
      </c>
      <c r="F9" s="1063">
        <v>1.45</v>
      </c>
      <c r="G9" s="1063">
        <v>1.25</v>
      </c>
      <c r="H9" s="1063">
        <v>1.89</v>
      </c>
      <c r="I9" s="1063">
        <v>1.46</v>
      </c>
      <c r="J9" s="1063">
        <v>1.18</v>
      </c>
      <c r="K9" s="1063">
        <v>1.31</v>
      </c>
      <c r="L9" s="1063">
        <v>1.18</v>
      </c>
      <c r="M9" s="1063">
        <v>1.72</v>
      </c>
      <c r="N9" s="1064">
        <v>1.96</v>
      </c>
    </row>
    <row r="10" spans="3:14" x14ac:dyDescent="0.2">
      <c r="C10" s="1062" t="s">
        <v>4793</v>
      </c>
      <c r="D10" s="1063">
        <v>3.43</v>
      </c>
      <c r="E10" s="1063">
        <v>3.22</v>
      </c>
      <c r="F10" s="1063">
        <v>2.9</v>
      </c>
      <c r="G10" s="1063">
        <v>2.67</v>
      </c>
      <c r="H10" s="1063">
        <v>3.38</v>
      </c>
      <c r="I10" s="1063">
        <v>2.74</v>
      </c>
      <c r="J10" s="1063">
        <v>2.35</v>
      </c>
      <c r="K10" s="1063">
        <v>3.39</v>
      </c>
      <c r="L10" s="1063">
        <v>2.35</v>
      </c>
      <c r="M10" s="1063">
        <v>2.69</v>
      </c>
      <c r="N10" s="1064">
        <v>3.06</v>
      </c>
    </row>
    <row r="11" spans="3:14" x14ac:dyDescent="0.2">
      <c r="C11" s="1062">
        <v>1</v>
      </c>
      <c r="D11" s="1063">
        <v>5.81</v>
      </c>
      <c r="E11" s="1063">
        <v>5.49</v>
      </c>
      <c r="F11" s="1063">
        <v>5.17</v>
      </c>
      <c r="G11" s="1063">
        <v>4.43</v>
      </c>
      <c r="H11" s="1063">
        <v>5.53</v>
      </c>
      <c r="I11" s="1063">
        <v>4.57</v>
      </c>
      <c r="J11" s="1063">
        <v>3.91</v>
      </c>
      <c r="K11" s="1063">
        <v>5.56</v>
      </c>
      <c r="L11" s="1063">
        <v>3.91</v>
      </c>
      <c r="M11" s="1063">
        <v>4.41</v>
      </c>
      <c r="N11" s="1064">
        <v>5.01</v>
      </c>
    </row>
    <row r="12" spans="3:14" x14ac:dyDescent="0.2">
      <c r="C12" s="1062" t="s">
        <v>4828</v>
      </c>
      <c r="D12" s="1063">
        <v>8.6999999999999993</v>
      </c>
      <c r="E12" s="1063">
        <v>8.36</v>
      </c>
      <c r="F12" s="1063">
        <v>8.09</v>
      </c>
      <c r="G12" s="1063">
        <v>6.61</v>
      </c>
      <c r="H12" s="1063">
        <v>9.66</v>
      </c>
      <c r="I12" s="1063">
        <v>8.24</v>
      </c>
      <c r="J12" s="1063">
        <v>5.81</v>
      </c>
      <c r="K12" s="1063">
        <v>8.49</v>
      </c>
      <c r="L12" s="1063">
        <v>5.81</v>
      </c>
      <c r="M12" s="1063">
        <v>6.9</v>
      </c>
      <c r="N12" s="1064">
        <v>7.83</v>
      </c>
    </row>
    <row r="13" spans="3:14" x14ac:dyDescent="0.2">
      <c r="C13" s="1062" t="s">
        <v>4829</v>
      </c>
      <c r="D13" s="1063">
        <v>12.18</v>
      </c>
      <c r="E13" s="1063">
        <v>11.83</v>
      </c>
      <c r="F13" s="1063">
        <v>11.45</v>
      </c>
      <c r="G13" s="1063">
        <v>9.2200000000000006</v>
      </c>
      <c r="H13" s="1063">
        <v>13.2</v>
      </c>
      <c r="I13" s="1063">
        <v>11.38</v>
      </c>
      <c r="J13" s="1063">
        <v>8.09</v>
      </c>
      <c r="K13" s="1063">
        <v>13.88</v>
      </c>
      <c r="L13" s="1063">
        <v>8.09</v>
      </c>
      <c r="M13" s="1063">
        <v>10.77</v>
      </c>
      <c r="N13" s="1064">
        <v>12.24</v>
      </c>
    </row>
    <row r="14" spans="3:14" ht="16" thickBot="1" x14ac:dyDescent="0.25">
      <c r="C14" s="1065">
        <v>2</v>
      </c>
      <c r="D14" s="1066">
        <v>21.08</v>
      </c>
      <c r="E14" s="1066">
        <v>20.58</v>
      </c>
      <c r="F14" s="1066">
        <v>20.04</v>
      </c>
      <c r="G14" s="1066">
        <v>15.79</v>
      </c>
      <c r="H14" s="1066">
        <v>21.88</v>
      </c>
      <c r="I14" s="1066">
        <v>19.11</v>
      </c>
      <c r="J14" s="1066">
        <v>13.86</v>
      </c>
      <c r="K14" s="1066">
        <v>21.48</v>
      </c>
      <c r="L14" s="1066">
        <v>13.86</v>
      </c>
      <c r="M14" s="1066">
        <v>17.11</v>
      </c>
      <c r="N14" s="1067">
        <v>19.43</v>
      </c>
    </row>
  </sheetData>
  <sheetProtection algorithmName="SHA-512" hashValue="rqQXjQ8MH0bbLCBdxB7mitgWmmE0rE8lOVLLd+yMVWOCZ+cBMhbvUH6kVkSzcdJPlsUa40n3uoU0KRzKFaajqg==" saltValue="P4KaWZ/Kra05n0QHXNpZBw==" spinCount="100000" sheet="1" objects="1" scenarios="1" selectLockedCells="1"/>
  <mergeCells count="5">
    <mergeCell ref="C4:N4"/>
    <mergeCell ref="C5:N5"/>
    <mergeCell ref="C6:N6"/>
    <mergeCell ref="C2:D2"/>
    <mergeCell ref="L2:N2"/>
  </mergeCells>
  <hyperlinks>
    <hyperlink ref="L2:M2" location="'Verification Report'!A1" display="back to Verification Report" xr:uid="{39F7AA8E-0B25-449A-B01E-808A15F55338}"/>
    <hyperlink ref="L2:N2" location="'Verification Report'!A1" display="back to Verification Report" xr:uid="{029357C5-34E5-467F-8BBB-A9B86C6662CF}"/>
    <hyperlink ref="C2:D2" location="hyptarg8.2" display="back to Chapter 8" xr:uid="{989C4890-237F-4245-8F60-A1E4CF440326}"/>
  </hyperlinks>
  <pageMargins left="0.7" right="0.7" top="0.75" bottom="0.75" header="0.3" footer="0.3"/>
  <pageSetup orientation="portrait" horizontalDpi="0" verticalDpi="0"/>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sheetPr codeName="Sheet34"/>
  <dimension ref="B2:G60"/>
  <sheetViews>
    <sheetView showGridLines="0" zoomScaleNormal="100" workbookViewId="0">
      <selection activeCell="B2" sqref="B2:C2"/>
    </sheetView>
  </sheetViews>
  <sheetFormatPr baseColWidth="10" defaultColWidth="9.1640625" defaultRowHeight="15" x14ac:dyDescent="0.2"/>
  <cols>
    <col min="1" max="1" width="9.1640625" style="341"/>
    <col min="2" max="2" width="40.5" style="341" bestFit="1" customWidth="1"/>
    <col min="3" max="3" width="9.5" style="341" bestFit="1" customWidth="1"/>
    <col min="4" max="16384" width="9.1640625" style="341"/>
  </cols>
  <sheetData>
    <row r="2" spans="2:7" x14ac:dyDescent="0.2">
      <c r="B2" s="2133" t="s">
        <v>3884</v>
      </c>
      <c r="C2" s="2133"/>
      <c r="E2" s="2134" t="s">
        <v>3426</v>
      </c>
      <c r="F2" s="2135"/>
      <c r="G2" s="2136"/>
    </row>
    <row r="3" spans="2:7" x14ac:dyDescent="0.2">
      <c r="B3"/>
      <c r="C3"/>
    </row>
    <row r="4" spans="2:7" x14ac:dyDescent="0.2">
      <c r="B4" s="2142" t="s">
        <v>3883</v>
      </c>
      <c r="C4" s="2142"/>
    </row>
    <row r="5" spans="2:7" ht="17" thickBot="1" x14ac:dyDescent="0.25">
      <c r="B5" s="2236" t="s">
        <v>2989</v>
      </c>
      <c r="C5" s="2236"/>
    </row>
    <row r="6" spans="2:7" ht="15" customHeight="1" thickBot="1" x14ac:dyDescent="0.25">
      <c r="B6" s="355" t="s">
        <v>2975</v>
      </c>
      <c r="C6" s="342" t="s">
        <v>2974</v>
      </c>
    </row>
    <row r="7" spans="2:7" ht="15" customHeight="1" thickBot="1" x14ac:dyDescent="0.25">
      <c r="B7" s="354" t="s">
        <v>2988</v>
      </c>
      <c r="C7" s="345">
        <v>50</v>
      </c>
    </row>
    <row r="8" spans="2:7" ht="15" customHeight="1" thickBot="1" x14ac:dyDescent="0.25">
      <c r="B8" s="354" t="s">
        <v>2987</v>
      </c>
      <c r="C8" s="345">
        <v>100</v>
      </c>
    </row>
    <row r="9" spans="2:7" ht="15" customHeight="1" thickBot="1" x14ac:dyDescent="0.25">
      <c r="B9" s="354" t="s">
        <v>2986</v>
      </c>
      <c r="C9" s="345">
        <v>150</v>
      </c>
    </row>
    <row r="10" spans="2:7" ht="15" customHeight="1" thickBot="1" x14ac:dyDescent="0.25">
      <c r="B10" s="353" t="s">
        <v>2985</v>
      </c>
      <c r="C10" s="352"/>
    </row>
    <row r="11" spans="2:7" ht="15" customHeight="1" thickBot="1" x14ac:dyDescent="0.25">
      <c r="B11" s="346" t="s">
        <v>2984</v>
      </c>
      <c r="C11" s="345">
        <v>400</v>
      </c>
    </row>
    <row r="12" spans="2:7" ht="15" customHeight="1" thickBot="1" x14ac:dyDescent="0.25">
      <c r="B12" s="346" t="s">
        <v>2983</v>
      </c>
      <c r="C12" s="345">
        <v>400</v>
      </c>
    </row>
    <row r="13" spans="2:7" ht="15" customHeight="1" thickBot="1" x14ac:dyDescent="0.25">
      <c r="B13" s="346" t="s">
        <v>2982</v>
      </c>
      <c r="C13" s="345">
        <v>50</v>
      </c>
    </row>
    <row r="14" spans="2:7" ht="15" customHeight="1" thickBot="1" x14ac:dyDescent="0.25">
      <c r="B14" s="346" t="s">
        <v>2981</v>
      </c>
      <c r="C14" s="345">
        <v>350</v>
      </c>
    </row>
    <row r="15" spans="2:7" ht="15" customHeight="1" thickBot="1" x14ac:dyDescent="0.25">
      <c r="B15" s="346" t="s">
        <v>2980</v>
      </c>
      <c r="C15" s="345">
        <v>350</v>
      </c>
    </row>
    <row r="16" spans="2:7" ht="15" customHeight="1" thickBot="1" x14ac:dyDescent="0.25">
      <c r="B16" s="346" t="s">
        <v>2979</v>
      </c>
      <c r="C16" s="345">
        <v>350</v>
      </c>
    </row>
    <row r="17" spans="2:3" ht="15" customHeight="1" thickBot="1" x14ac:dyDescent="0.25">
      <c r="B17" s="346" t="s">
        <v>2978</v>
      </c>
      <c r="C17" s="345">
        <v>100</v>
      </c>
    </row>
    <row r="18" spans="2:3" ht="15" customHeight="1" thickBot="1" x14ac:dyDescent="0.25">
      <c r="B18" s="346" t="s">
        <v>2977</v>
      </c>
      <c r="C18" s="345">
        <v>50</v>
      </c>
    </row>
    <row r="19" spans="2:3" ht="15" customHeight="1" thickBot="1" x14ac:dyDescent="0.25">
      <c r="B19" s="346" t="s">
        <v>2976</v>
      </c>
      <c r="C19" s="345">
        <v>150</v>
      </c>
    </row>
    <row r="20" spans="2:3" ht="15" customHeight="1" thickBot="1" x14ac:dyDescent="0.25">
      <c r="B20" s="351" t="s">
        <v>2975</v>
      </c>
      <c r="C20" s="318" t="s">
        <v>2974</v>
      </c>
    </row>
    <row r="21" spans="2:3" ht="15" customHeight="1" thickBot="1" x14ac:dyDescent="0.25">
      <c r="B21" s="346" t="s">
        <v>2973</v>
      </c>
      <c r="C21" s="345">
        <v>350</v>
      </c>
    </row>
    <row r="22" spans="2:3" ht="15" customHeight="1" thickBot="1" x14ac:dyDescent="0.25">
      <c r="B22" s="346" t="s">
        <v>2972</v>
      </c>
      <c r="C22" s="345">
        <v>350</v>
      </c>
    </row>
    <row r="23" spans="2:3" ht="15" customHeight="1" thickBot="1" x14ac:dyDescent="0.25">
      <c r="B23" s="346" t="s">
        <v>2971</v>
      </c>
      <c r="C23" s="345">
        <v>100</v>
      </c>
    </row>
    <row r="24" spans="2:3" ht="15" customHeight="1" thickBot="1" x14ac:dyDescent="0.25">
      <c r="B24" s="346" t="s">
        <v>2970</v>
      </c>
      <c r="C24" s="345">
        <v>250</v>
      </c>
    </row>
    <row r="25" spans="2:3" ht="15" customHeight="1" thickBot="1" x14ac:dyDescent="0.25">
      <c r="B25" s="346" t="s">
        <v>2969</v>
      </c>
      <c r="C25" s="345">
        <v>500</v>
      </c>
    </row>
    <row r="26" spans="2:3" ht="15" customHeight="1" thickBot="1" x14ac:dyDescent="0.25">
      <c r="B26" s="346" t="s">
        <v>2968</v>
      </c>
      <c r="C26" s="345">
        <v>420</v>
      </c>
    </row>
    <row r="27" spans="2:3" ht="15" customHeight="1" thickBot="1" x14ac:dyDescent="0.25">
      <c r="B27" s="346" t="s">
        <v>2967</v>
      </c>
      <c r="C27" s="345">
        <v>250</v>
      </c>
    </row>
    <row r="28" spans="2:3" ht="15" customHeight="1" thickBot="1" x14ac:dyDescent="0.25">
      <c r="B28" s="346" t="s">
        <v>2966</v>
      </c>
      <c r="C28" s="345" t="s">
        <v>2965</v>
      </c>
    </row>
    <row r="29" spans="2:3" ht="15" customHeight="1" thickBot="1" x14ac:dyDescent="0.25">
      <c r="B29" s="346" t="s">
        <v>2964</v>
      </c>
      <c r="C29" s="345">
        <v>450</v>
      </c>
    </row>
    <row r="30" spans="2:3" ht="15" customHeight="1" thickBot="1" x14ac:dyDescent="0.25">
      <c r="B30" s="346" t="s">
        <v>2963</v>
      </c>
      <c r="C30" s="345">
        <v>100</v>
      </c>
    </row>
    <row r="31" spans="2:3" ht="15" customHeight="1" thickBot="1" x14ac:dyDescent="0.25">
      <c r="B31" s="346" t="s">
        <v>2962</v>
      </c>
      <c r="C31" s="345">
        <v>500</v>
      </c>
    </row>
    <row r="32" spans="2:3" ht="15" customHeight="1" thickBot="1" x14ac:dyDescent="0.25">
      <c r="B32" s="346" t="s">
        <v>2961</v>
      </c>
      <c r="C32" s="345">
        <v>250</v>
      </c>
    </row>
    <row r="33" spans="2:3" ht="15" customHeight="1" thickBot="1" x14ac:dyDescent="0.25">
      <c r="B33" s="350" t="s">
        <v>2960</v>
      </c>
      <c r="C33" s="349">
        <v>420</v>
      </c>
    </row>
    <row r="34" spans="2:3" ht="15" customHeight="1" thickBot="1" x14ac:dyDescent="0.25">
      <c r="B34" s="348" t="s">
        <v>2959</v>
      </c>
      <c r="C34" s="347">
        <v>100</v>
      </c>
    </row>
    <row r="35" spans="2:3" ht="15" customHeight="1" thickBot="1" x14ac:dyDescent="0.25">
      <c r="B35" s="346" t="s">
        <v>2958</v>
      </c>
      <c r="C35" s="345">
        <v>350</v>
      </c>
    </row>
    <row r="36" spans="2:3" ht="15" customHeight="1" thickBot="1" x14ac:dyDescent="0.25">
      <c r="B36" s="346" t="s">
        <v>2957</v>
      </c>
      <c r="C36" s="345">
        <v>250</v>
      </c>
    </row>
    <row r="37" spans="2:3" ht="15" customHeight="1" thickBot="1" x14ac:dyDescent="0.25">
      <c r="B37" s="346" t="s">
        <v>2956</v>
      </c>
      <c r="C37" s="345">
        <v>50</v>
      </c>
    </row>
    <row r="38" spans="2:3" ht="15" customHeight="1" thickBot="1" x14ac:dyDescent="0.25">
      <c r="B38" s="346" t="s">
        <v>2955</v>
      </c>
      <c r="C38" s="345">
        <v>250</v>
      </c>
    </row>
    <row r="39" spans="2:3" ht="15" customHeight="1" thickBot="1" x14ac:dyDescent="0.25">
      <c r="B39" s="346" t="s">
        <v>2954</v>
      </c>
      <c r="C39" s="345">
        <v>730</v>
      </c>
    </row>
    <row r="40" spans="2:3" ht="15" customHeight="1" thickBot="1" x14ac:dyDescent="0.25">
      <c r="B40" s="346" t="s">
        <v>2953</v>
      </c>
      <c r="C40" s="345">
        <v>550</v>
      </c>
    </row>
    <row r="41" spans="2:3" ht="15" customHeight="1" thickBot="1" x14ac:dyDescent="0.25">
      <c r="B41" s="346" t="s">
        <v>2952</v>
      </c>
      <c r="C41" s="345">
        <v>100</v>
      </c>
    </row>
    <row r="42" spans="2:3" ht="15" customHeight="1" thickBot="1" x14ac:dyDescent="0.25">
      <c r="B42" s="346" t="s">
        <v>2951</v>
      </c>
      <c r="C42" s="345">
        <v>250</v>
      </c>
    </row>
    <row r="43" spans="2:3" ht="15" customHeight="1" thickBot="1" x14ac:dyDescent="0.25">
      <c r="B43" s="346" t="s">
        <v>2950</v>
      </c>
      <c r="C43" s="345">
        <v>450</v>
      </c>
    </row>
    <row r="44" spans="2:3" ht="15" customHeight="1" thickBot="1" x14ac:dyDescent="0.25">
      <c r="B44" s="346" t="s">
        <v>2949</v>
      </c>
      <c r="C44" s="345">
        <v>340</v>
      </c>
    </row>
    <row r="45" spans="2:3" ht="15" customHeight="1" thickBot="1" x14ac:dyDescent="0.25">
      <c r="B45" s="346" t="s">
        <v>2948</v>
      </c>
      <c r="C45" s="345">
        <v>100</v>
      </c>
    </row>
    <row r="46" spans="2:3" ht="15" customHeight="1" thickBot="1" x14ac:dyDescent="0.25">
      <c r="B46" s="346" t="s">
        <v>2947</v>
      </c>
      <c r="C46" s="345">
        <v>420</v>
      </c>
    </row>
    <row r="47" spans="2:3" ht="15" customHeight="1" thickBot="1" x14ac:dyDescent="0.25">
      <c r="B47" s="346" t="s">
        <v>2946</v>
      </c>
      <c r="C47" s="345">
        <v>250</v>
      </c>
    </row>
    <row r="48" spans="2:3" ht="15" customHeight="1" thickBot="1" x14ac:dyDescent="0.25">
      <c r="B48" s="346" t="s">
        <v>2945</v>
      </c>
      <c r="C48" s="345">
        <v>275</v>
      </c>
    </row>
    <row r="49" spans="2:6" ht="15" customHeight="1" thickBot="1" x14ac:dyDescent="0.25">
      <c r="B49" s="346" t="s">
        <v>2944</v>
      </c>
      <c r="C49" s="345">
        <v>350</v>
      </c>
    </row>
    <row r="50" spans="2:6" ht="15" customHeight="1" thickBot="1" x14ac:dyDescent="0.25">
      <c r="B50" s="346" t="s">
        <v>2943</v>
      </c>
      <c r="C50" s="345">
        <v>340</v>
      </c>
    </row>
    <row r="51" spans="2:6" x14ac:dyDescent="0.2">
      <c r="B51" s="2235" t="s">
        <v>2942</v>
      </c>
      <c r="C51" s="2235"/>
      <c r="D51" s="2235"/>
      <c r="E51" s="2235"/>
      <c r="F51" s="2235"/>
    </row>
    <row r="52" spans="2:6" x14ac:dyDescent="0.2">
      <c r="B52" s="2235"/>
      <c r="C52" s="2235"/>
      <c r="D52" s="2235"/>
      <c r="E52" s="2235"/>
      <c r="F52" s="2235"/>
    </row>
    <row r="53" spans="2:6" x14ac:dyDescent="0.2">
      <c r="B53" s="2235" t="s">
        <v>2941</v>
      </c>
      <c r="C53" s="2235"/>
      <c r="D53" s="2235"/>
      <c r="E53" s="2235"/>
      <c r="F53" s="2235"/>
    </row>
    <row r="54" spans="2:6" x14ac:dyDescent="0.2">
      <c r="B54" s="2235"/>
      <c r="C54" s="2235"/>
      <c r="D54" s="2235"/>
      <c r="E54" s="2235"/>
      <c r="F54" s="2235"/>
    </row>
    <row r="55" spans="2:6" x14ac:dyDescent="0.2">
      <c r="B55" s="2235" t="s">
        <v>3885</v>
      </c>
      <c r="C55" s="2235"/>
      <c r="D55" s="2235"/>
      <c r="E55" s="2235"/>
      <c r="F55" s="2235"/>
    </row>
    <row r="56" spans="2:6" x14ac:dyDescent="0.2">
      <c r="B56" s="2235"/>
      <c r="C56" s="2235"/>
      <c r="D56" s="2235"/>
      <c r="E56" s="2235"/>
      <c r="F56" s="2235"/>
    </row>
    <row r="57" spans="2:6" x14ac:dyDescent="0.2">
      <c r="B57" s="2235"/>
      <c r="C57" s="2235"/>
      <c r="D57" s="2235"/>
      <c r="E57" s="2235"/>
      <c r="F57" s="2235"/>
    </row>
    <row r="58" spans="2:6" x14ac:dyDescent="0.2">
      <c r="B58" s="2235" t="s">
        <v>2940</v>
      </c>
      <c r="C58" s="2235"/>
      <c r="D58" s="2235"/>
      <c r="E58" s="2235"/>
      <c r="F58" s="2235"/>
    </row>
    <row r="59" spans="2:6" x14ac:dyDescent="0.2">
      <c r="B59" s="2235"/>
      <c r="C59" s="2235"/>
      <c r="D59" s="2235"/>
      <c r="E59" s="2235"/>
      <c r="F59" s="2235"/>
    </row>
    <row r="60" spans="2:6" x14ac:dyDescent="0.2">
      <c r="B60" s="2234" t="s">
        <v>2939</v>
      </c>
      <c r="C60" s="2234"/>
      <c r="D60" s="2234"/>
      <c r="E60" s="2234"/>
      <c r="F60" s="2234"/>
    </row>
  </sheetData>
  <sheetProtection algorithmName="SHA-512" hashValue="aJziLcvAAWTVH26r9MbqFJnGiV99TdXWslGT0eDuZUzKbm1cJ6pbIfOGEWvPf6JAUE+ecENpRkT+5mB62smvwQ==" saltValue="38KZs49r6/0BWI57OeTbMg==" spinCount="100000" sheet="1" objects="1" scenarios="1" selectLockedCells="1"/>
  <mergeCells count="9">
    <mergeCell ref="B60:F60"/>
    <mergeCell ref="B2:C2"/>
    <mergeCell ref="B58:F59"/>
    <mergeCell ref="B5:C5"/>
    <mergeCell ref="B4:C4"/>
    <mergeCell ref="B51:F52"/>
    <mergeCell ref="B53:F54"/>
    <mergeCell ref="B55:F57"/>
    <mergeCell ref="E2:G2"/>
  </mergeCells>
  <hyperlinks>
    <hyperlink ref="B2:C2" location="hyptarg9.1" display="back to 901.9.1" xr:uid="{00000000-0004-0000-1F00-000000000000}"/>
    <hyperlink ref="E2:F2" location="'Verification Report'!A1" display="back to Verification Report" xr:uid="{00000000-0004-0000-1F00-000001000000}"/>
    <hyperlink ref="E2:G2" location="'Verification Report'!A1" display="back to Verification Report" xr:uid="{00000000-0004-0000-1F00-000002000000}"/>
  </hyperlinks>
  <pageMargins left="0.7" right="0.7" top="0.75" bottom="0.75" header="0.3" footer="0.3"/>
  <pageSetup orientation="portrait" r:id="rId1"/>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sheetPr codeName="Sheet35"/>
  <dimension ref="B2:G9"/>
  <sheetViews>
    <sheetView showGridLines="0" zoomScaleNormal="100" workbookViewId="0">
      <selection activeCell="B2" sqref="B2:C2"/>
    </sheetView>
  </sheetViews>
  <sheetFormatPr baseColWidth="10" defaultColWidth="9.1640625" defaultRowHeight="15" x14ac:dyDescent="0.2"/>
  <cols>
    <col min="1" max="1" width="9.1640625" style="341"/>
    <col min="2" max="2" width="37.6640625" style="341" bestFit="1" customWidth="1"/>
    <col min="3" max="3" width="8.83203125" style="341" bestFit="1" customWidth="1"/>
    <col min="4" max="16384" width="9.1640625" style="341"/>
  </cols>
  <sheetData>
    <row r="2" spans="2:7" x14ac:dyDescent="0.2">
      <c r="B2" s="2133" t="s">
        <v>3887</v>
      </c>
      <c r="C2" s="2133"/>
      <c r="E2" s="2134" t="s">
        <v>3426</v>
      </c>
      <c r="F2" s="2135"/>
      <c r="G2" s="2136"/>
    </row>
    <row r="4" spans="2:7" ht="15" customHeight="1" x14ac:dyDescent="0.2">
      <c r="B4" s="1722" t="s">
        <v>3886</v>
      </c>
      <c r="C4" s="1722"/>
    </row>
    <row r="5" spans="2:7" ht="15" customHeight="1" thickBot="1" x14ac:dyDescent="0.25">
      <c r="B5" s="2237" t="s">
        <v>2995</v>
      </c>
      <c r="C5" s="2237"/>
    </row>
    <row r="6" spans="2:7" ht="15" customHeight="1" thickBot="1" x14ac:dyDescent="0.25">
      <c r="B6" s="351" t="s">
        <v>2994</v>
      </c>
      <c r="C6" s="318" t="s">
        <v>2993</v>
      </c>
    </row>
    <row r="7" spans="2:7" ht="15" customHeight="1" thickBot="1" x14ac:dyDescent="0.25">
      <c r="B7" s="356" t="s">
        <v>2992</v>
      </c>
      <c r="C7" s="345">
        <v>50</v>
      </c>
    </row>
    <row r="8" spans="2:7" ht="15" customHeight="1" thickBot="1" x14ac:dyDescent="0.25">
      <c r="B8" s="356" t="s">
        <v>2991</v>
      </c>
      <c r="C8" s="345">
        <v>600</v>
      </c>
    </row>
    <row r="9" spans="2:7" ht="15" customHeight="1" thickBot="1" x14ac:dyDescent="0.25">
      <c r="B9" s="356" t="s">
        <v>2990</v>
      </c>
      <c r="C9" s="345">
        <v>50</v>
      </c>
    </row>
  </sheetData>
  <sheetProtection algorithmName="SHA-512" hashValue="gB+b+FBq4LIfPEKLvoq8D82zhTVee+hvt9vvYpdLpSIYW0Mxo526jAFqDnE/aOA1fXgqZIFCjHrUbzMyv5pUmg==" saltValue="Cn1dunKkxytyohi47tg3/Q==" spinCount="100000" sheet="1" objects="1" scenarios="1" selectLockedCells="1"/>
  <mergeCells count="4">
    <mergeCell ref="B4:C4"/>
    <mergeCell ref="B5:C5"/>
    <mergeCell ref="B2:C2"/>
    <mergeCell ref="E2:G2"/>
  </mergeCells>
  <hyperlinks>
    <hyperlink ref="B2:C2" location="hyptarg9.2" display="back to 901.9.1" xr:uid="{00000000-0004-0000-2000-000000000000}"/>
    <hyperlink ref="E2:F2" location="'Verification Report'!A1" display="back to Verification Report" xr:uid="{00000000-0004-0000-2000-000001000000}"/>
    <hyperlink ref="E2:G2" location="'Verification Report'!A1" display="back to Verification Report" xr:uid="{00000000-0004-0000-2000-000002000000}"/>
  </hyperlinks>
  <pageMargins left="0.7" right="0.7" top="0.75" bottom="0.75" header="0.3" footer="0.3"/>
  <pageSetup orientation="portrait" horizontalDpi="0" verticalDpi="0"/>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100-000000000000}">
  <sheetPr codeName="Sheet36"/>
  <dimension ref="B2:G40"/>
  <sheetViews>
    <sheetView showGridLines="0" zoomScaleNormal="100" zoomScaleSheetLayoutView="100" workbookViewId="0">
      <selection activeCell="B2" sqref="B2:C2"/>
    </sheetView>
  </sheetViews>
  <sheetFormatPr baseColWidth="10" defaultColWidth="9.1640625" defaultRowHeight="15" x14ac:dyDescent="0.2"/>
  <cols>
    <col min="1" max="1" width="9.1640625" style="341"/>
    <col min="2" max="2" width="32.6640625" style="341" customWidth="1"/>
    <col min="3" max="3" width="23.5" style="341" customWidth="1"/>
    <col min="4" max="16384" width="9.1640625" style="341"/>
  </cols>
  <sheetData>
    <row r="2" spans="2:7" x14ac:dyDescent="0.2">
      <c r="B2" s="2133" t="s">
        <v>3877</v>
      </c>
      <c r="C2" s="2133"/>
      <c r="E2" s="2134" t="s">
        <v>3426</v>
      </c>
      <c r="F2" s="2135"/>
      <c r="G2" s="2136"/>
    </row>
    <row r="4" spans="2:7" ht="15" customHeight="1" x14ac:dyDescent="0.2">
      <c r="B4" s="1722" t="s">
        <v>3876</v>
      </c>
      <c r="C4" s="1704"/>
      <c r="D4" s="96"/>
    </row>
    <row r="5" spans="2:7" ht="15" customHeight="1" x14ac:dyDescent="0.2">
      <c r="B5" s="1704" t="s">
        <v>3027</v>
      </c>
      <c r="C5" s="1704"/>
      <c r="D5" s="96"/>
    </row>
    <row r="6" spans="2:7" ht="15" customHeight="1" x14ac:dyDescent="0.2">
      <c r="B6" s="361" t="s">
        <v>3016</v>
      </c>
      <c r="C6" s="361" t="s">
        <v>3015</v>
      </c>
    </row>
    <row r="7" spans="2:7" ht="15" customHeight="1" x14ac:dyDescent="0.2">
      <c r="B7" s="357" t="s">
        <v>3026</v>
      </c>
      <c r="C7" s="317">
        <v>50</v>
      </c>
    </row>
    <row r="8" spans="2:7" ht="15" customHeight="1" x14ac:dyDescent="0.2">
      <c r="B8" s="357" t="s">
        <v>3025</v>
      </c>
      <c r="C8" s="317">
        <v>50</v>
      </c>
    </row>
    <row r="9" spans="2:7" ht="15" customHeight="1" x14ac:dyDescent="0.2">
      <c r="B9" s="357" t="s">
        <v>3024</v>
      </c>
      <c r="C9" s="317">
        <v>150</v>
      </c>
    </row>
    <row r="10" spans="2:7" ht="15" customHeight="1" x14ac:dyDescent="0.2">
      <c r="B10" s="357" t="s">
        <v>3023</v>
      </c>
      <c r="C10" s="317">
        <v>100</v>
      </c>
    </row>
    <row r="11" spans="2:7" ht="15" customHeight="1" x14ac:dyDescent="0.2">
      <c r="B11" s="357" t="s">
        <v>3022</v>
      </c>
      <c r="C11" s="317">
        <v>60</v>
      </c>
    </row>
    <row r="12" spans="2:7" ht="15" customHeight="1" x14ac:dyDescent="0.2">
      <c r="B12" s="357" t="s">
        <v>3021</v>
      </c>
      <c r="C12" s="317">
        <v>50</v>
      </c>
    </row>
    <row r="13" spans="2:7" ht="15" customHeight="1" x14ac:dyDescent="0.2">
      <c r="B13" s="357" t="s">
        <v>3020</v>
      </c>
      <c r="C13" s="317">
        <v>65</v>
      </c>
    </row>
    <row r="14" spans="2:7" ht="15" customHeight="1" x14ac:dyDescent="0.2">
      <c r="B14" s="357" t="s">
        <v>3019</v>
      </c>
      <c r="C14" s="317">
        <v>50</v>
      </c>
    </row>
    <row r="15" spans="2:7" ht="15" customHeight="1" x14ac:dyDescent="0.2">
      <c r="B15" s="357" t="s">
        <v>3018</v>
      </c>
      <c r="C15" s="317">
        <v>50</v>
      </c>
    </row>
    <row r="16" spans="2:7" ht="15" customHeight="1" x14ac:dyDescent="0.2">
      <c r="B16" s="357" t="s">
        <v>3017</v>
      </c>
      <c r="C16" s="317">
        <v>50</v>
      </c>
    </row>
    <row r="17" spans="2:3" ht="15" customHeight="1" x14ac:dyDescent="0.2">
      <c r="B17" s="361" t="s">
        <v>3016</v>
      </c>
      <c r="C17" s="361" t="s">
        <v>3015</v>
      </c>
    </row>
    <row r="18" spans="2:3" ht="15" customHeight="1" x14ac:dyDescent="0.2">
      <c r="B18" s="357" t="s">
        <v>3014</v>
      </c>
      <c r="C18" s="317">
        <v>70</v>
      </c>
    </row>
    <row r="19" spans="2:3" ht="15" customHeight="1" x14ac:dyDescent="0.2">
      <c r="B19" s="357" t="s">
        <v>3013</v>
      </c>
      <c r="C19" s="317">
        <v>100</v>
      </c>
    </row>
    <row r="20" spans="2:3" ht="15" customHeight="1" x14ac:dyDescent="0.2">
      <c r="B20" s="357" t="s">
        <v>3012</v>
      </c>
      <c r="C20" s="317">
        <v>250</v>
      </c>
    </row>
    <row r="21" spans="2:3" ht="15" customHeight="1" x14ac:dyDescent="0.2">
      <c r="B21" s="362" t="s">
        <v>3011</v>
      </c>
      <c r="C21" s="360">
        <v>250</v>
      </c>
    </row>
    <row r="22" spans="2:3" ht="15" customHeight="1" x14ac:dyDescent="0.2">
      <c r="B22" s="362" t="s">
        <v>3010</v>
      </c>
      <c r="C22" s="360"/>
    </row>
    <row r="23" spans="2:3" ht="15" customHeight="1" x14ac:dyDescent="0.2">
      <c r="B23" s="364" t="s">
        <v>3009</v>
      </c>
      <c r="C23" s="359">
        <v>250</v>
      </c>
    </row>
    <row r="24" spans="2:3" ht="15" customHeight="1" x14ac:dyDescent="0.2">
      <c r="B24" s="363" t="s">
        <v>3008</v>
      </c>
      <c r="C24" s="358">
        <v>775</v>
      </c>
    </row>
    <row r="25" spans="2:3" ht="15" customHeight="1" x14ac:dyDescent="0.2">
      <c r="B25" s="363" t="s">
        <v>3007</v>
      </c>
      <c r="C25" s="358">
        <v>500</v>
      </c>
    </row>
    <row r="26" spans="2:3" ht="15" customHeight="1" x14ac:dyDescent="0.2">
      <c r="B26" s="357" t="s">
        <v>3006</v>
      </c>
      <c r="C26" s="317">
        <v>750</v>
      </c>
    </row>
    <row r="27" spans="2:3" ht="15" customHeight="1" x14ac:dyDescent="0.2">
      <c r="B27" s="357" t="s">
        <v>3005</v>
      </c>
      <c r="C27" s="317">
        <v>490</v>
      </c>
    </row>
    <row r="28" spans="2:3" ht="15" customHeight="1" x14ac:dyDescent="0.2">
      <c r="B28" s="357" t="s">
        <v>3004</v>
      </c>
      <c r="C28" s="317">
        <v>510</v>
      </c>
    </row>
    <row r="29" spans="2:3" ht="15" customHeight="1" x14ac:dyDescent="0.2">
      <c r="B29" s="357" t="s">
        <v>3003</v>
      </c>
      <c r="C29" s="317">
        <v>325</v>
      </c>
    </row>
    <row r="30" spans="2:3" ht="15" customHeight="1" x14ac:dyDescent="0.2">
      <c r="B30" s="357" t="s">
        <v>3002</v>
      </c>
      <c r="C30" s="317">
        <v>250</v>
      </c>
    </row>
    <row r="31" spans="2:3" ht="15" customHeight="1" x14ac:dyDescent="0.2">
      <c r="B31" s="357" t="s">
        <v>3001</v>
      </c>
      <c r="C31" s="317">
        <v>550</v>
      </c>
    </row>
    <row r="32" spans="2:3" ht="15" customHeight="1" x14ac:dyDescent="0.2">
      <c r="B32" s="357" t="s">
        <v>3000</v>
      </c>
      <c r="C32" s="317">
        <v>80</v>
      </c>
    </row>
    <row r="33" spans="2:3" ht="15" customHeight="1" x14ac:dyDescent="0.2">
      <c r="B33" s="357" t="s">
        <v>2999</v>
      </c>
      <c r="C33" s="317">
        <v>250</v>
      </c>
    </row>
    <row r="34" spans="2:3" ht="15" customHeight="1" x14ac:dyDescent="0.2">
      <c r="B34" s="357" t="s">
        <v>2998</v>
      </c>
      <c r="C34" s="317">
        <v>140</v>
      </c>
    </row>
    <row r="35" spans="2:3" x14ac:dyDescent="0.2">
      <c r="B35" s="2238" t="s">
        <v>2997</v>
      </c>
      <c r="C35" s="2238"/>
    </row>
    <row r="36" spans="2:3" x14ac:dyDescent="0.2">
      <c r="B36" s="1611" t="s">
        <v>2996</v>
      </c>
      <c r="C36" s="1611"/>
    </row>
    <row r="37" spans="2:3" x14ac:dyDescent="0.2">
      <c r="B37" s="1611"/>
      <c r="C37" s="1611"/>
    </row>
    <row r="38" spans="2:3" x14ac:dyDescent="0.2">
      <c r="B38" s="1611"/>
      <c r="C38" s="1611"/>
    </row>
    <row r="39" spans="2:3" x14ac:dyDescent="0.2">
      <c r="B39" s="1611"/>
      <c r="C39" s="1611"/>
    </row>
    <row r="40" spans="2:3" x14ac:dyDescent="0.2">
      <c r="B40" s="1611"/>
      <c r="C40" s="1611"/>
    </row>
  </sheetData>
  <sheetProtection algorithmName="SHA-512" hashValue="Rq9qEuwfGrwOnLSXp6qIAEWzXJorRNy6zo+4MkzfqaXF1ePJEy47dgbsVW1EMKxTrXIMExPPj8V3WCchvKZZOg==" saltValue="oFOOHo38hEbSIfuNczk7lw==" spinCount="100000" sheet="1" objects="1" scenarios="1" selectLockedCells="1"/>
  <mergeCells count="6">
    <mergeCell ref="E2:G2"/>
    <mergeCell ref="B4:C4"/>
    <mergeCell ref="B5:C5"/>
    <mergeCell ref="B35:C35"/>
    <mergeCell ref="B36:C40"/>
    <mergeCell ref="B2:C2"/>
  </mergeCells>
  <hyperlinks>
    <hyperlink ref="B2:C2" location="hyptarg9.3" display="back to 901.10(3)" xr:uid="{00000000-0004-0000-2100-000000000000}"/>
    <hyperlink ref="E2:F2" location="'Verification Report'!A1" display="back to Verification Report" xr:uid="{00000000-0004-0000-2100-000001000000}"/>
    <hyperlink ref="E2:G2" location="'Verification Report'!A1" display="back to Verification Report" xr:uid="{00000000-0004-0000-2100-000002000000}"/>
  </hyperlinks>
  <pageMargins left="0.7" right="0.7" top="0.75" bottom="0.75" header="0.3" footer="0.3"/>
  <pageSetup orientation="portrait" horizontalDpi="0" verticalDpi="0" r:id="rId1"/>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200-000000000000}">
  <sheetPr codeName="Sheet18"/>
  <dimension ref="A1:C26"/>
  <sheetViews>
    <sheetView workbookViewId="0">
      <selection activeCell="B5" sqref="B5"/>
    </sheetView>
  </sheetViews>
  <sheetFormatPr baseColWidth="10" defaultColWidth="8.83203125" defaultRowHeight="15" x14ac:dyDescent="0.2"/>
  <cols>
    <col min="1" max="1" width="7.5" style="1494" bestFit="1" customWidth="1"/>
    <col min="2" max="2" width="12" style="671" bestFit="1" customWidth="1"/>
    <col min="3" max="3" width="10.33203125" customWidth="1"/>
  </cols>
  <sheetData>
    <row r="1" spans="1:3" x14ac:dyDescent="0.2">
      <c r="A1" s="1494" t="s">
        <v>3428</v>
      </c>
      <c r="B1" s="671" t="s">
        <v>3430</v>
      </c>
      <c r="C1" t="s">
        <v>3429</v>
      </c>
    </row>
    <row r="2" spans="1:3" x14ac:dyDescent="0.2">
      <c r="A2" s="1496" t="s">
        <v>3928</v>
      </c>
      <c r="B2" s="672">
        <v>43942</v>
      </c>
      <c r="C2" t="s">
        <v>3431</v>
      </c>
    </row>
    <row r="3" spans="1:3" x14ac:dyDescent="0.2">
      <c r="A3" s="1497" t="s">
        <v>5631</v>
      </c>
      <c r="B3" s="672">
        <v>43954</v>
      </c>
      <c r="C3" s="671" t="s">
        <v>5632</v>
      </c>
    </row>
    <row r="4" spans="1:3" x14ac:dyDescent="0.2">
      <c r="A4" s="995" t="s">
        <v>5633</v>
      </c>
      <c r="B4" s="672">
        <v>43961</v>
      </c>
      <c r="C4" s="1498" t="s">
        <v>5638</v>
      </c>
    </row>
    <row r="5" spans="1:3" x14ac:dyDescent="0.2">
      <c r="A5" s="995"/>
      <c r="B5" s="672"/>
      <c r="C5" s="671"/>
    </row>
    <row r="6" spans="1:3" x14ac:dyDescent="0.2">
      <c r="A6" s="995"/>
      <c r="B6" s="672"/>
      <c r="C6" s="671"/>
    </row>
    <row r="7" spans="1:3" x14ac:dyDescent="0.2">
      <c r="A7" s="995"/>
      <c r="B7" s="672"/>
      <c r="C7" s="671"/>
    </row>
    <row r="8" spans="1:3" x14ac:dyDescent="0.2">
      <c r="A8" s="995"/>
      <c r="B8" s="672"/>
      <c r="C8" s="671"/>
    </row>
    <row r="9" spans="1:3" x14ac:dyDescent="0.2">
      <c r="A9" s="995"/>
      <c r="B9" s="672"/>
      <c r="C9" s="671"/>
    </row>
    <row r="10" spans="1:3" x14ac:dyDescent="0.2">
      <c r="A10" s="995"/>
      <c r="B10" s="672"/>
      <c r="C10" s="671"/>
    </row>
    <row r="11" spans="1:3" x14ac:dyDescent="0.2">
      <c r="A11" s="995"/>
      <c r="B11" s="672"/>
      <c r="C11" s="671"/>
    </row>
    <row r="12" spans="1:3" x14ac:dyDescent="0.2">
      <c r="A12" s="995"/>
      <c r="B12" s="672"/>
      <c r="C12" s="671"/>
    </row>
    <row r="13" spans="1:3" x14ac:dyDescent="0.2">
      <c r="A13" s="995"/>
      <c r="B13" s="672"/>
      <c r="C13" s="671"/>
    </row>
    <row r="14" spans="1:3" x14ac:dyDescent="0.2">
      <c r="A14" s="995"/>
      <c r="B14" s="672"/>
      <c r="C14" s="671"/>
    </row>
    <row r="15" spans="1:3" x14ac:dyDescent="0.2">
      <c r="A15" s="995"/>
      <c r="B15" s="672"/>
      <c r="C15" s="671"/>
    </row>
    <row r="16" spans="1:3" x14ac:dyDescent="0.2">
      <c r="A16" s="995"/>
      <c r="B16" s="672"/>
      <c r="C16" s="671"/>
    </row>
    <row r="17" spans="1:3" x14ac:dyDescent="0.2">
      <c r="A17" s="995"/>
      <c r="B17" s="672"/>
      <c r="C17" s="671"/>
    </row>
    <row r="18" spans="1:3" x14ac:dyDescent="0.2">
      <c r="A18" s="995"/>
      <c r="B18" s="672"/>
      <c r="C18" s="671"/>
    </row>
    <row r="19" spans="1:3" x14ac:dyDescent="0.2">
      <c r="A19" s="995"/>
      <c r="B19" s="672"/>
      <c r="C19" s="671"/>
    </row>
    <row r="20" spans="1:3" x14ac:dyDescent="0.2">
      <c r="A20" s="995"/>
      <c r="B20" s="672"/>
      <c r="C20" s="671"/>
    </row>
    <row r="21" spans="1:3" x14ac:dyDescent="0.2">
      <c r="A21" s="995"/>
      <c r="B21" s="672"/>
      <c r="C21" s="671"/>
    </row>
    <row r="22" spans="1:3" x14ac:dyDescent="0.2">
      <c r="A22" s="995"/>
      <c r="B22" s="672"/>
      <c r="C22" s="671"/>
    </row>
    <row r="23" spans="1:3" x14ac:dyDescent="0.2">
      <c r="A23" s="995"/>
      <c r="B23" s="672"/>
      <c r="C23" s="671"/>
    </row>
    <row r="24" spans="1:3" x14ac:dyDescent="0.2">
      <c r="A24" s="995"/>
      <c r="B24" s="672"/>
      <c r="C24" s="671"/>
    </row>
    <row r="25" spans="1:3" x14ac:dyDescent="0.2">
      <c r="A25" s="995"/>
      <c r="B25" s="672"/>
      <c r="C25" s="671"/>
    </row>
    <row r="26" spans="1:3" x14ac:dyDescent="0.2">
      <c r="A26" s="1496"/>
      <c r="B26" s="672"/>
      <c r="C26" s="671"/>
    </row>
  </sheetData>
  <sheetProtection algorithmName="SHA-512" hashValue="urJBH7HErj5cvX2GO/MX/ZuTQMXWhY5JI/u7JixGm2jN0lrGhX4ZJuHwtAB8Oe4c1awnVcnHg1KrUwUjzPbxZw==" saltValue="pKaHHETl6ZuO5ZYquJfUHA==" spinCount="100000" sheet="1" objects="1" scenarios="1" selectLockedCells="1" selectUnlockedCells="1"/>
  <pageMargins left="0.7" right="0.7" top="0.75" bottom="0.75" header="0.3" footer="0.3"/>
  <pageSetup orientation="portrait" horizontalDpi="0" verticalDpi="0"/>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Worksheets</vt:lpstr>
      </vt:variant>
      <vt:variant>
        <vt:i4>41</vt:i4>
      </vt:variant>
      <vt:variant>
        <vt:lpstr>Named Ranges</vt:lpstr>
      </vt:variant>
      <vt:variant>
        <vt:i4>5359</vt:i4>
      </vt:variant>
    </vt:vector>
  </HeadingPairs>
  <TitlesOfParts>
    <vt:vector size="5400" baseType="lpstr">
      <vt:lpstr>Info &amp; Intro</vt:lpstr>
      <vt:lpstr>Overview (Design)</vt:lpstr>
      <vt:lpstr>11.500</vt:lpstr>
      <vt:lpstr>11.600</vt:lpstr>
      <vt:lpstr>11.700</vt:lpstr>
      <vt:lpstr>11.800</vt:lpstr>
      <vt:lpstr>11.900</vt:lpstr>
      <vt:lpstr>11.1000</vt:lpstr>
      <vt:lpstr>Req. Doc.</vt:lpstr>
      <vt:lpstr>Overview (Verification)</vt:lpstr>
      <vt:lpstr>Verification Report</vt:lpstr>
      <vt:lpstr>Ver. Rpt. (Commercial)</vt:lpstr>
      <vt:lpstr>Rough Sig.</vt:lpstr>
      <vt:lpstr>Rough Comm. Sig.</vt:lpstr>
      <vt:lpstr>Final Sig.</vt:lpstr>
      <vt:lpstr>Final Comm. Sig.</vt:lpstr>
      <vt:lpstr>Appendix A</vt:lpstr>
      <vt:lpstr>Appendix B</vt:lpstr>
      <vt:lpstr>Appendix D</vt:lpstr>
      <vt:lpstr>Table 305.2.5.1</vt:lpstr>
      <vt:lpstr>Table 305.2.6.1</vt:lpstr>
      <vt:lpstr>Table 11.602.1.12</vt:lpstr>
      <vt:lpstr>Table 11.604.1</vt:lpstr>
      <vt:lpstr>Table 11.610.1.2.1</vt:lpstr>
      <vt:lpstr>Table 11.610.1.2.2</vt:lpstr>
      <vt:lpstr>Figure 6(2)</vt:lpstr>
      <vt:lpstr>Figure 6(3)</vt:lpstr>
      <vt:lpstr>Table 11.701.4.3.2(2)</vt:lpstr>
      <vt:lpstr>Table 11.703.2.1(a)</vt:lpstr>
      <vt:lpstr>Table 11.703.2.1(b)</vt:lpstr>
      <vt:lpstr>Table 11.703.2.2</vt:lpstr>
      <vt:lpstr>Table 11.703.2.4</vt:lpstr>
      <vt:lpstr>Table 11.703.2.5.1</vt:lpstr>
      <vt:lpstr>Table 11.703.2.5.2(a),(b)&amp;(c)</vt:lpstr>
      <vt:lpstr>Table 11.703.7.1(7)</vt:lpstr>
      <vt:lpstr>Table 11.802.1(1)</vt:lpstr>
      <vt:lpstr>Table 11.802.1(2)</vt:lpstr>
      <vt:lpstr>Table 11.901.9.1</vt:lpstr>
      <vt:lpstr>Table 11.901.9.2</vt:lpstr>
      <vt:lpstr>Table 11.901.10(3)</vt:lpstr>
      <vt:lpstr>Errata</vt:lpstr>
      <vt:lpstr>Ch10AddGoal</vt:lpstr>
      <vt:lpstr>Ch10GLevFinal</vt:lpstr>
      <vt:lpstr>Ch10Level</vt:lpstr>
      <vt:lpstr>Ch10Points</vt:lpstr>
      <vt:lpstr>Ch10PointsFinal</vt:lpstr>
      <vt:lpstr>Ch5AddGoal</vt:lpstr>
      <vt:lpstr>Ch5Error</vt:lpstr>
      <vt:lpstr>Ch5GLevFinal</vt:lpstr>
      <vt:lpstr>Points!Ch5Level</vt:lpstr>
      <vt:lpstr>Ch5MandError</vt:lpstr>
      <vt:lpstr>Points!Ch5Points</vt:lpstr>
      <vt:lpstr>Ch5PointsFinal</vt:lpstr>
      <vt:lpstr>Ch6AddGoal</vt:lpstr>
      <vt:lpstr>Ch6GLevFinal</vt:lpstr>
      <vt:lpstr>Ch6Level</vt:lpstr>
      <vt:lpstr>Ch6NLev</vt:lpstr>
      <vt:lpstr>Ch6Points</vt:lpstr>
      <vt:lpstr>Ch6PointsFinal</vt:lpstr>
      <vt:lpstr>Ch7AddGoal</vt:lpstr>
      <vt:lpstr>Ch7GLevFinal</vt:lpstr>
      <vt:lpstr>Ch7Level</vt:lpstr>
      <vt:lpstr>Ch7LevelFinal</vt:lpstr>
      <vt:lpstr>Ch7Max</vt:lpstr>
      <vt:lpstr>Ch7Path</vt:lpstr>
      <vt:lpstr>Ch7Points</vt:lpstr>
      <vt:lpstr>Ch7PointsFinal</vt:lpstr>
      <vt:lpstr>Ch8AddGoal</vt:lpstr>
      <vt:lpstr>Ch8GLevFinal</vt:lpstr>
      <vt:lpstr>Ch8Level</vt:lpstr>
      <vt:lpstr>Ch8LevelFinal</vt:lpstr>
      <vt:lpstr>Ch8Max</vt:lpstr>
      <vt:lpstr>Ch8Points</vt:lpstr>
      <vt:lpstr>Ch8PointsFinal</vt:lpstr>
      <vt:lpstr>Ch9AddGoal</vt:lpstr>
      <vt:lpstr>Ch9GLevFinal</vt:lpstr>
      <vt:lpstr>Ch9Level</vt:lpstr>
      <vt:lpstr>Ch9Points</vt:lpstr>
      <vt:lpstr>Ch9PointsFinal</vt:lpstr>
      <vt:lpstr>dbState</vt:lpstr>
      <vt:lpstr>dch1001_1_1</vt:lpstr>
      <vt:lpstr>dch1001_1_10</vt:lpstr>
      <vt:lpstr>dch1001_1_11</vt:lpstr>
      <vt:lpstr>dch1001_1_12</vt:lpstr>
      <vt:lpstr>dch1001_1_13</vt:lpstr>
      <vt:lpstr>dch1001_1_14</vt:lpstr>
      <vt:lpstr>dch1001_1_15</vt:lpstr>
      <vt:lpstr>dch1001_1_16</vt:lpstr>
      <vt:lpstr>dch1001_1_17</vt:lpstr>
      <vt:lpstr>dch1001_1_18</vt:lpstr>
      <vt:lpstr>dch1001_1_19</vt:lpstr>
      <vt:lpstr>dch1001_1_2</vt:lpstr>
      <vt:lpstr>dch1001_1_20</vt:lpstr>
      <vt:lpstr>dch1001_1_21</vt:lpstr>
      <vt:lpstr>dch1001_1_22</vt:lpstr>
      <vt:lpstr>dch1001_1_23</vt:lpstr>
      <vt:lpstr>dch1001_1_24</vt:lpstr>
      <vt:lpstr>dch1001_1_25</vt:lpstr>
      <vt:lpstr>dch1001_1_3</vt:lpstr>
      <vt:lpstr>dch1001_1_4</vt:lpstr>
      <vt:lpstr>dch1001_1_5</vt:lpstr>
      <vt:lpstr>dch1001_1_6</vt:lpstr>
      <vt:lpstr>dch1001_1_7</vt:lpstr>
      <vt:lpstr>dch1001_1_8</vt:lpstr>
      <vt:lpstr>dch1001_1_9</vt:lpstr>
      <vt:lpstr>dch1001_2</vt:lpstr>
      <vt:lpstr>dch1002_1_1</vt:lpstr>
      <vt:lpstr>dch1002_1_2</vt:lpstr>
      <vt:lpstr>dch1002_1_3</vt:lpstr>
      <vt:lpstr>dch1002_1_4</vt:lpstr>
      <vt:lpstr>dch1002_1_5</vt:lpstr>
      <vt:lpstr>dch1002_1_6</vt:lpstr>
      <vt:lpstr>dch1002_1_7</vt:lpstr>
      <vt:lpstr>dch1002_1_8</vt:lpstr>
      <vt:lpstr>dch1002_2_1</vt:lpstr>
      <vt:lpstr>dch1002_2_10</vt:lpstr>
      <vt:lpstr>dch1002_2_11</vt:lpstr>
      <vt:lpstr>dch1002_2_2</vt:lpstr>
      <vt:lpstr>dch1002_2_3</vt:lpstr>
      <vt:lpstr>dch1002_2_4</vt:lpstr>
      <vt:lpstr>dch1002_2_5</vt:lpstr>
      <vt:lpstr>dch1002_2_6</vt:lpstr>
      <vt:lpstr>dch1002_2_7</vt:lpstr>
      <vt:lpstr>dch1002_2_8</vt:lpstr>
      <vt:lpstr>dch1002_2_9</vt:lpstr>
      <vt:lpstr>dch1002_3_1</vt:lpstr>
      <vt:lpstr>dch1002_3_10</vt:lpstr>
      <vt:lpstr>dch1002_3_11</vt:lpstr>
      <vt:lpstr>dch1002_3_2</vt:lpstr>
      <vt:lpstr>dch1002_3_3</vt:lpstr>
      <vt:lpstr>dch1002_3_4</vt:lpstr>
      <vt:lpstr>dch1002_3_5</vt:lpstr>
      <vt:lpstr>dch1002_3_6</vt:lpstr>
      <vt:lpstr>dch1002_3_7</vt:lpstr>
      <vt:lpstr>dch1002_3_8</vt:lpstr>
      <vt:lpstr>dch1002_3_9</vt:lpstr>
      <vt:lpstr>dch1002_4</vt:lpstr>
      <vt:lpstr>dch1002_5_1</vt:lpstr>
      <vt:lpstr>dch1002_5_2</vt:lpstr>
      <vt:lpstr>dch1002_5_3</vt:lpstr>
      <vt:lpstr>dch1002_5_4</vt:lpstr>
      <vt:lpstr>dch1002_5_5</vt:lpstr>
      <vt:lpstr>dch1002_5_6</vt:lpstr>
      <vt:lpstr>dch1002_5_7</vt:lpstr>
      <vt:lpstr>dch1002_5_8</vt:lpstr>
      <vt:lpstr>dch1002_5_9</vt:lpstr>
      <vt:lpstr>dch1002_6_1</vt:lpstr>
      <vt:lpstr>dch1002_6_2</vt:lpstr>
      <vt:lpstr>dch1002_6_3</vt:lpstr>
      <vt:lpstr>dch1002_6_4</vt:lpstr>
      <vt:lpstr>dch1002_6_5</vt:lpstr>
      <vt:lpstr>dch1002_6_6</vt:lpstr>
      <vt:lpstr>dch1002_6_7</vt:lpstr>
      <vt:lpstr>dch1003_1_1</vt:lpstr>
      <vt:lpstr>dch1003_1_2</vt:lpstr>
      <vt:lpstr>dch1003_1_3</vt:lpstr>
      <vt:lpstr>dch1005_1_1</vt:lpstr>
      <vt:lpstr>dch1005_1_2</vt:lpstr>
      <vt:lpstr>dch305_2_5_1</vt:lpstr>
      <vt:lpstr>dch305_2_6_1</vt:lpstr>
      <vt:lpstr>dch501_2_1</vt:lpstr>
      <vt:lpstr>dch501_2_2</vt:lpstr>
      <vt:lpstr>dch501_2_3</vt:lpstr>
      <vt:lpstr>dch501_2_3_</vt:lpstr>
      <vt:lpstr>dch501_2_4</vt:lpstr>
      <vt:lpstr>dch501_2_5</vt:lpstr>
      <vt:lpstr>dch501_2_5_d</vt:lpstr>
      <vt:lpstr>dch501_2_6</vt:lpstr>
      <vt:lpstr>dch501_2_7</vt:lpstr>
      <vt:lpstr>dch502_1</vt:lpstr>
      <vt:lpstr>dch503_1_1</vt:lpstr>
      <vt:lpstr>dch503_1_2</vt:lpstr>
      <vt:lpstr>dch503_1_3</vt:lpstr>
      <vt:lpstr>dch503_1_4</vt:lpstr>
      <vt:lpstr>dch503_1_5</vt:lpstr>
      <vt:lpstr>dch503_1_6</vt:lpstr>
      <vt:lpstr>dch503_1_7</vt:lpstr>
      <vt:lpstr>dch503_1_8</vt:lpstr>
      <vt:lpstr>dch503_2</vt:lpstr>
      <vt:lpstr>dch503_2_1</vt:lpstr>
      <vt:lpstr>dch503_2_2</vt:lpstr>
      <vt:lpstr>dch503_2_3</vt:lpstr>
      <vt:lpstr>dch503_2_4</vt:lpstr>
      <vt:lpstr>dch503_2_5</vt:lpstr>
      <vt:lpstr>dch503_3_1</vt:lpstr>
      <vt:lpstr>dch503_3_2_a</vt:lpstr>
      <vt:lpstr>dch503_3_2_b</vt:lpstr>
      <vt:lpstr>dch503_3_2_c</vt:lpstr>
      <vt:lpstr>dch503_3_2_d</vt:lpstr>
      <vt:lpstr>dch503_3_3</vt:lpstr>
      <vt:lpstr>dch503_4_1</vt:lpstr>
      <vt:lpstr>dch503_4_2</vt:lpstr>
      <vt:lpstr>dch503_4_3</vt:lpstr>
      <vt:lpstr>dch503_4_3_</vt:lpstr>
      <vt:lpstr>dch503_4_4</vt:lpstr>
      <vt:lpstr>dch503_5</vt:lpstr>
      <vt:lpstr>dch503_5_1</vt:lpstr>
      <vt:lpstr>dch503_5_10</vt:lpstr>
      <vt:lpstr>dch503_5_11</vt:lpstr>
      <vt:lpstr>dch503_5_12</vt:lpstr>
      <vt:lpstr>dch503_5_13</vt:lpstr>
      <vt:lpstr>dch503_5_2</vt:lpstr>
      <vt:lpstr>dch503_5_3</vt:lpstr>
      <vt:lpstr>dch503_5_4</vt:lpstr>
      <vt:lpstr>dch503_5_5</vt:lpstr>
      <vt:lpstr>dch503_5_6</vt:lpstr>
      <vt:lpstr>dch503_5_7</vt:lpstr>
      <vt:lpstr>dch503_5_8</vt:lpstr>
      <vt:lpstr>dch503_5_9</vt:lpstr>
      <vt:lpstr>dch503_6_1</vt:lpstr>
      <vt:lpstr>dch503_6_2</vt:lpstr>
      <vt:lpstr>dch503_6_3</vt:lpstr>
      <vt:lpstr>dch503_6_4</vt:lpstr>
      <vt:lpstr>dch503_7_1</vt:lpstr>
      <vt:lpstr>dch503_7_2</vt:lpstr>
      <vt:lpstr>dch504_1</vt:lpstr>
      <vt:lpstr>dch504_2_1</vt:lpstr>
      <vt:lpstr>dch504_2_2</vt:lpstr>
      <vt:lpstr>dch504_2_3</vt:lpstr>
      <vt:lpstr>dch504_3_1</vt:lpstr>
      <vt:lpstr>dch504_3_2</vt:lpstr>
      <vt:lpstr>dch504_3_3</vt:lpstr>
      <vt:lpstr>dch504_3_4</vt:lpstr>
      <vt:lpstr>dch504_3_5</vt:lpstr>
      <vt:lpstr>dch504_3_6</vt:lpstr>
      <vt:lpstr>dch504_3_7</vt:lpstr>
      <vt:lpstr>dch504_3_8a</vt:lpstr>
      <vt:lpstr>dch504_3_8b</vt:lpstr>
      <vt:lpstr>dch504_3_8c</vt:lpstr>
      <vt:lpstr>dch504_3_8d</vt:lpstr>
      <vt:lpstr>dch504_3_8e</vt:lpstr>
      <vt:lpstr>dch504_3_8f</vt:lpstr>
      <vt:lpstr>dch505_1_1</vt:lpstr>
      <vt:lpstr>dch505_1_2</vt:lpstr>
      <vt:lpstr>dch505_1_3</vt:lpstr>
      <vt:lpstr>dch505_10_a</vt:lpstr>
      <vt:lpstr>dch505_10_b</vt:lpstr>
      <vt:lpstr>dch505_10_c</vt:lpstr>
      <vt:lpstr>dch505_11</vt:lpstr>
      <vt:lpstr>dch505_2_1_a</vt:lpstr>
      <vt:lpstr>dch505_2_1_b</vt:lpstr>
      <vt:lpstr>dch505_2_1_c</vt:lpstr>
      <vt:lpstr>dch505_2_2</vt:lpstr>
      <vt:lpstr>dch505_3</vt:lpstr>
      <vt:lpstr>dch505_4_1</vt:lpstr>
      <vt:lpstr>dch505_5_a</vt:lpstr>
      <vt:lpstr>dch505_5_b</vt:lpstr>
      <vt:lpstr>dch505_5_c</vt:lpstr>
      <vt:lpstr>dch505_5_d</vt:lpstr>
      <vt:lpstr>dch505_6</vt:lpstr>
      <vt:lpstr>dch505_7</vt:lpstr>
      <vt:lpstr>dch505_8</vt:lpstr>
      <vt:lpstr>dch505_9_a</vt:lpstr>
      <vt:lpstr>dch505_9_b</vt:lpstr>
      <vt:lpstr>dch505_9_c</vt:lpstr>
      <vt:lpstr>dch601_2_1</vt:lpstr>
      <vt:lpstr>dch601_2_2</vt:lpstr>
      <vt:lpstr>dch601_2_3</vt:lpstr>
      <vt:lpstr>dch601_3_1</vt:lpstr>
      <vt:lpstr>dch601_3_2</vt:lpstr>
      <vt:lpstr>dch601_3_3</vt:lpstr>
      <vt:lpstr>dch601_3_4</vt:lpstr>
      <vt:lpstr>dch601_3_5</vt:lpstr>
      <vt:lpstr>dch601_4</vt:lpstr>
      <vt:lpstr>dch601_5_1</vt:lpstr>
      <vt:lpstr>dch601_5_2</vt:lpstr>
      <vt:lpstr>dch601_5_3</vt:lpstr>
      <vt:lpstr>dch601_5_4</vt:lpstr>
      <vt:lpstr>dch601_6</vt:lpstr>
      <vt:lpstr>dch601_7_a</vt:lpstr>
      <vt:lpstr>dch601_7_b</vt:lpstr>
      <vt:lpstr>dch601_7_c</vt:lpstr>
      <vt:lpstr>dch601_7_d</vt:lpstr>
      <vt:lpstr>dch601_7_e</vt:lpstr>
      <vt:lpstr>dch601_8</vt:lpstr>
      <vt:lpstr>dch602_1_1_1</vt:lpstr>
      <vt:lpstr>dch602_1_1_2</vt:lpstr>
      <vt:lpstr>dch602_1_10</vt:lpstr>
      <vt:lpstr>dch602_1_11</vt:lpstr>
      <vt:lpstr>dch602_1_12</vt:lpstr>
      <vt:lpstr>dch602_1_13</vt:lpstr>
      <vt:lpstr>dch602_1_14_1</vt:lpstr>
      <vt:lpstr>dch602_1_14_2</vt:lpstr>
      <vt:lpstr>dch602_1_14_3</vt:lpstr>
      <vt:lpstr>dch602_1_15</vt:lpstr>
      <vt:lpstr>dch602_1_2__1</vt:lpstr>
      <vt:lpstr>dch602_1_2__2</vt:lpstr>
      <vt:lpstr>dch602_1_3_1</vt:lpstr>
      <vt:lpstr>dch602_1_3_2</vt:lpstr>
      <vt:lpstr>dch602_1_4_1_1</vt:lpstr>
      <vt:lpstr>dch602_1_4_1_2</vt:lpstr>
      <vt:lpstr>dch602_1_4_2_1</vt:lpstr>
      <vt:lpstr>dch602_1_4_2_2</vt:lpstr>
      <vt:lpstr>dch602_1_5</vt:lpstr>
      <vt:lpstr>dch602_1_5_1</vt:lpstr>
      <vt:lpstr>dch602_1_5_2</vt:lpstr>
      <vt:lpstr>dch602_1_6_1</vt:lpstr>
      <vt:lpstr>dch602_1_6_2</vt:lpstr>
      <vt:lpstr>dch602_1_6_3</vt:lpstr>
      <vt:lpstr>dch602_1_7_1_1</vt:lpstr>
      <vt:lpstr>dch602_1_7_1_2</vt:lpstr>
      <vt:lpstr>dch602_1_7_1_3</vt:lpstr>
      <vt:lpstr>dch602_1_7_2</vt:lpstr>
      <vt:lpstr>dch602_1_7_3</vt:lpstr>
      <vt:lpstr>dch602_1_8</vt:lpstr>
      <vt:lpstr>dch602_1_9_1</vt:lpstr>
      <vt:lpstr>dch602_1_9_2</vt:lpstr>
      <vt:lpstr>dch602_1_9_3</vt:lpstr>
      <vt:lpstr>dch602_1_9_4</vt:lpstr>
      <vt:lpstr>dch602_1_9_5</vt:lpstr>
      <vt:lpstr>dch602_1_9_6</vt:lpstr>
      <vt:lpstr>dch602_1_9_7</vt:lpstr>
      <vt:lpstr>dch602_2_1</vt:lpstr>
      <vt:lpstr>dch602_2_2</vt:lpstr>
      <vt:lpstr>dch602_2_3</vt:lpstr>
      <vt:lpstr>dch602_3</vt:lpstr>
      <vt:lpstr>dch602_4_1</vt:lpstr>
      <vt:lpstr>dch602_4_2</vt:lpstr>
      <vt:lpstr>dch602_4_3</vt:lpstr>
      <vt:lpstr>dch603_1</vt:lpstr>
      <vt:lpstr>dch603_2</vt:lpstr>
      <vt:lpstr>dch603_3</vt:lpstr>
      <vt:lpstr>dch604_1a</vt:lpstr>
      <vt:lpstr>dch604_1b</vt:lpstr>
      <vt:lpstr>dch604_1c</vt:lpstr>
      <vt:lpstr>dch604_1d</vt:lpstr>
      <vt:lpstr>dch605_1</vt:lpstr>
      <vt:lpstr>dch605_2</vt:lpstr>
      <vt:lpstr>dch605_2_2</vt:lpstr>
      <vt:lpstr>dch605_3</vt:lpstr>
      <vt:lpstr>dch605_4_2_a</vt:lpstr>
      <vt:lpstr>dch605_4_2_b</vt:lpstr>
      <vt:lpstr>dch605_4_2_c</vt:lpstr>
      <vt:lpstr>dch605_4_2_d</vt:lpstr>
      <vt:lpstr>dch605_4_2_e</vt:lpstr>
      <vt:lpstr>dch605_4_2_f</vt:lpstr>
      <vt:lpstr>dch605_4_2_g</vt:lpstr>
      <vt:lpstr>dch605_4_2_h</vt:lpstr>
      <vt:lpstr>dch605_4_2_i</vt:lpstr>
      <vt:lpstr>dch606_1_a</vt:lpstr>
      <vt:lpstr>dch606_1_b</vt:lpstr>
      <vt:lpstr>dch606_1_c</vt:lpstr>
      <vt:lpstr>dch606_1_d</vt:lpstr>
      <vt:lpstr>dch606_1_e</vt:lpstr>
      <vt:lpstr>dch606_1_f</vt:lpstr>
      <vt:lpstr>dch606_1_g</vt:lpstr>
      <vt:lpstr>dch606_1_h</vt:lpstr>
      <vt:lpstr>dch606_2_1a</vt:lpstr>
      <vt:lpstr>dch606_2_1b</vt:lpstr>
      <vt:lpstr>dch606_2_2a</vt:lpstr>
      <vt:lpstr>dch606_2_2b</vt:lpstr>
      <vt:lpstr>dch606_3</vt:lpstr>
      <vt:lpstr>dch607_1_1</vt:lpstr>
      <vt:lpstr>dch607_1_2</vt:lpstr>
      <vt:lpstr>dch607_2</vt:lpstr>
      <vt:lpstr>dch608_1</vt:lpstr>
      <vt:lpstr>dch609_1_1</vt:lpstr>
      <vt:lpstr>dch609_1_2</vt:lpstr>
      <vt:lpstr>dch610_1_1_1</vt:lpstr>
      <vt:lpstr>dch610_1_1_2</vt:lpstr>
      <vt:lpstr>dch610_1_1_3</vt:lpstr>
      <vt:lpstr>dch610_1_2_1a</vt:lpstr>
      <vt:lpstr>dch610_1_2_1b</vt:lpstr>
      <vt:lpstr>dch610_1_2_2_f</vt:lpstr>
      <vt:lpstr>dch610_1_2_2a</vt:lpstr>
      <vt:lpstr>dch610_1_2_2b</vt:lpstr>
      <vt:lpstr>dch610_1_2_2c</vt:lpstr>
      <vt:lpstr>dch611_1_1</vt:lpstr>
      <vt:lpstr>dch611_1_2</vt:lpstr>
      <vt:lpstr>dch612_1</vt:lpstr>
      <vt:lpstr>dch612_2_1</vt:lpstr>
      <vt:lpstr>dch612_2_2</vt:lpstr>
      <vt:lpstr>dch612_2_3</vt:lpstr>
      <vt:lpstr>dch612_2_4</vt:lpstr>
      <vt:lpstr>dch612_2_5</vt:lpstr>
      <vt:lpstr>dch612_2_6</vt:lpstr>
      <vt:lpstr>dch612_2_7</vt:lpstr>
      <vt:lpstr>dch612_3_1</vt:lpstr>
      <vt:lpstr>dch612_3_2</vt:lpstr>
      <vt:lpstr>dch612_3_3</vt:lpstr>
      <vt:lpstr>dch612_3_4</vt:lpstr>
      <vt:lpstr>dch612_3_5</vt:lpstr>
      <vt:lpstr>dch612_3_6</vt:lpstr>
      <vt:lpstr>dch612_3_7</vt:lpstr>
      <vt:lpstr>dch612_3_8</vt:lpstr>
      <vt:lpstr>dch612_3_9</vt:lpstr>
      <vt:lpstr>dch613_1</vt:lpstr>
      <vt:lpstr>dch701_4_0</vt:lpstr>
      <vt:lpstr>dch701_4_1_1</vt:lpstr>
      <vt:lpstr>dch701_4_1_2</vt:lpstr>
      <vt:lpstr>dch701_4_2_1</vt:lpstr>
      <vt:lpstr>dch701_4_2_2</vt:lpstr>
      <vt:lpstr>dch701_4_2_3</vt:lpstr>
      <vt:lpstr>dch701_4_3_1_1</vt:lpstr>
      <vt:lpstr>dch701_4_3_1_a</vt:lpstr>
      <vt:lpstr>dch701_4_3_1_b</vt:lpstr>
      <vt:lpstr>dch701_4_3_1_c</vt:lpstr>
      <vt:lpstr>dch701_4_3_1_d</vt:lpstr>
      <vt:lpstr>dch701_4_3_1_e</vt:lpstr>
      <vt:lpstr>dch701_4_3_1_f</vt:lpstr>
      <vt:lpstr>dch701_4_3_1_g</vt:lpstr>
      <vt:lpstr>dch701_4_3_1_h</vt:lpstr>
      <vt:lpstr>dch701_4_3_1_i</vt:lpstr>
      <vt:lpstr>dch701_4_3_1_j</vt:lpstr>
      <vt:lpstr>dch701_4_3_1_k</vt:lpstr>
      <vt:lpstr>dch701_4_3_1_l</vt:lpstr>
      <vt:lpstr>dch701_4_3_1_m</vt:lpstr>
      <vt:lpstr>dch701_4_3_2</vt:lpstr>
      <vt:lpstr>dch701_4_3_2_1</vt:lpstr>
      <vt:lpstr>dch701_4_3_2_1_</vt:lpstr>
      <vt:lpstr>dch701_4_3_2_2</vt:lpstr>
      <vt:lpstr>dch701_4_3_2e</vt:lpstr>
      <vt:lpstr>dch701_4_3_4</vt:lpstr>
      <vt:lpstr>dch701_4_3_5</vt:lpstr>
      <vt:lpstr>dch701_4_4</vt:lpstr>
      <vt:lpstr>dch701_4_5</vt:lpstr>
      <vt:lpstr>dch701_4_6</vt:lpstr>
      <vt:lpstr>dch701_4_7</vt:lpstr>
      <vt:lpstr>dch703_1_1</vt:lpstr>
      <vt:lpstr>dch703_1_2</vt:lpstr>
      <vt:lpstr>dch703_1_3</vt:lpstr>
      <vt:lpstr>dch703_2_1</vt:lpstr>
      <vt:lpstr>dch703_2_1_1</vt:lpstr>
      <vt:lpstr>dch703_2_2</vt:lpstr>
      <vt:lpstr>dch703_2_3</vt:lpstr>
      <vt:lpstr>dch703_2_5_1</vt:lpstr>
      <vt:lpstr>dch703_2_5_1_1</vt:lpstr>
      <vt:lpstr>dch703_2_5_2</vt:lpstr>
      <vt:lpstr>dch703_2_5_2_1</vt:lpstr>
      <vt:lpstr>dch703_3_0_1</vt:lpstr>
      <vt:lpstr>dch703_3_0_2</vt:lpstr>
      <vt:lpstr>dch703_3_1</vt:lpstr>
      <vt:lpstr>dch703_3_2_1_1</vt:lpstr>
      <vt:lpstr>dch703_3_2_2_1</vt:lpstr>
      <vt:lpstr>dch703_3_2_3_1</vt:lpstr>
      <vt:lpstr>dch703_3_2_4_1</vt:lpstr>
      <vt:lpstr>dch703_3_3_1_1</vt:lpstr>
      <vt:lpstr>dch703_3_3_2</vt:lpstr>
      <vt:lpstr>dch703_3_3_3</vt:lpstr>
      <vt:lpstr>dch703_3_4_1_1</vt:lpstr>
      <vt:lpstr>dch703_3_4_1_6</vt:lpstr>
      <vt:lpstr>dch703_3_4_2</vt:lpstr>
      <vt:lpstr>dch703_3_5</vt:lpstr>
      <vt:lpstr>dch703_3_6</vt:lpstr>
      <vt:lpstr>dch703_3_7</vt:lpstr>
      <vt:lpstr>dch703_3_7_1</vt:lpstr>
      <vt:lpstr>dch703_3_8</vt:lpstr>
      <vt:lpstr>dch703_4_1</vt:lpstr>
      <vt:lpstr>dch703_4_2</vt:lpstr>
      <vt:lpstr>dch703_4_3_1</vt:lpstr>
      <vt:lpstr>dch703_4_3_2</vt:lpstr>
      <vt:lpstr>dch703_4_3_3</vt:lpstr>
      <vt:lpstr>dch703_4_4</vt:lpstr>
      <vt:lpstr>dch703_4_4_1</vt:lpstr>
      <vt:lpstr>dch703_4_4_2</vt:lpstr>
      <vt:lpstr>dch703_5_1</vt:lpstr>
      <vt:lpstr>dch703_5_1_1</vt:lpstr>
      <vt:lpstr>dch703_5_2</vt:lpstr>
      <vt:lpstr>dch703_5_3</vt:lpstr>
      <vt:lpstr>dch703_5_4</vt:lpstr>
      <vt:lpstr>dch703_5_5</vt:lpstr>
      <vt:lpstr>dch703_5_5_1</vt:lpstr>
      <vt:lpstr>dch703_6_1_1</vt:lpstr>
      <vt:lpstr>dch703_6_1_2</vt:lpstr>
      <vt:lpstr>dch703_6_1_3</vt:lpstr>
      <vt:lpstr>dch703_6_2_1</vt:lpstr>
      <vt:lpstr>dch703_6_2_2</vt:lpstr>
      <vt:lpstr>dch703_6_2_3</vt:lpstr>
      <vt:lpstr>dch703_7_1</vt:lpstr>
      <vt:lpstr>dch703_7_2</vt:lpstr>
      <vt:lpstr>dch703_7_3_1_a</vt:lpstr>
      <vt:lpstr>dch703_7_3_1_b</vt:lpstr>
      <vt:lpstr>dch703_7_3_1_c</vt:lpstr>
      <vt:lpstr>dch703_7_3_1_d</vt:lpstr>
      <vt:lpstr>dch703_7_3_2</vt:lpstr>
      <vt:lpstr>dch703_7_3_3</vt:lpstr>
      <vt:lpstr>dch703_7_3_4</vt:lpstr>
      <vt:lpstr>dch703_7_3_5_a</vt:lpstr>
      <vt:lpstr>dch703_7_3_5_b</vt:lpstr>
      <vt:lpstr>dch703_7_3_6</vt:lpstr>
      <vt:lpstr>dch703_7_4</vt:lpstr>
      <vt:lpstr>dch705_2_1_1</vt:lpstr>
      <vt:lpstr>dch705_2_1_2</vt:lpstr>
      <vt:lpstr>dch705_2_1_3_1</vt:lpstr>
      <vt:lpstr>dch705_2_1_3_2</vt:lpstr>
      <vt:lpstr>dch705_2_1_4</vt:lpstr>
      <vt:lpstr>dch705_2_2</vt:lpstr>
      <vt:lpstr>dch705_2_3</vt:lpstr>
      <vt:lpstr>dch705_2_4</vt:lpstr>
      <vt:lpstr>dch705_3</vt:lpstr>
      <vt:lpstr>dch705_4</vt:lpstr>
      <vt:lpstr>dch705_5_1_1</vt:lpstr>
      <vt:lpstr>dch705_5_1_2</vt:lpstr>
      <vt:lpstr>dch705_5_2</vt:lpstr>
      <vt:lpstr>dch705_5_3_1</vt:lpstr>
      <vt:lpstr>dch705_5_3_2</vt:lpstr>
      <vt:lpstr>dch705_6_2_1_1</vt:lpstr>
      <vt:lpstr>dch705_6_2_1_1_1</vt:lpstr>
      <vt:lpstr>dch705_6_2_1_2</vt:lpstr>
      <vt:lpstr>dch705_6_2_2_1</vt:lpstr>
      <vt:lpstr>dch705_6_2_2_2</vt:lpstr>
      <vt:lpstr>dch705_6_2_3</vt:lpstr>
      <vt:lpstr>dch705_6_3</vt:lpstr>
      <vt:lpstr>dch705_6_3_1</vt:lpstr>
      <vt:lpstr>dch705_6_4_1</vt:lpstr>
      <vt:lpstr>dch705_6_4_2</vt:lpstr>
      <vt:lpstr>dch705_7</vt:lpstr>
      <vt:lpstr>dch706_1_1</vt:lpstr>
      <vt:lpstr>dch706_1_2</vt:lpstr>
      <vt:lpstr>dch706_1_3</vt:lpstr>
      <vt:lpstr>dch706_1_4</vt:lpstr>
      <vt:lpstr>dch706_1_5</vt:lpstr>
      <vt:lpstr>dch706_10</vt:lpstr>
      <vt:lpstr>dch706_11</vt:lpstr>
      <vt:lpstr>dch706_12</vt:lpstr>
      <vt:lpstr>dch706_13</vt:lpstr>
      <vt:lpstr>dch706_14_1</vt:lpstr>
      <vt:lpstr>dch706_14_2</vt:lpstr>
      <vt:lpstr>dch706_15_1</vt:lpstr>
      <vt:lpstr>dch706_15_2</vt:lpstr>
      <vt:lpstr>dch706_2_1</vt:lpstr>
      <vt:lpstr>dch706_2_2</vt:lpstr>
      <vt:lpstr>dch706_3_1</vt:lpstr>
      <vt:lpstr>dch706_3_2</vt:lpstr>
      <vt:lpstr>dch706_3_3</vt:lpstr>
      <vt:lpstr>dch706_3_4</vt:lpstr>
      <vt:lpstr>dch706_3_5</vt:lpstr>
      <vt:lpstr>dch706_3_6</vt:lpstr>
      <vt:lpstr>dch706_3_7</vt:lpstr>
      <vt:lpstr>dch706_3_8</vt:lpstr>
      <vt:lpstr>dch706_4_1_1</vt:lpstr>
      <vt:lpstr>dch706_4_1_2</vt:lpstr>
      <vt:lpstr>dch706_4_2</vt:lpstr>
      <vt:lpstr>dch706_5_1</vt:lpstr>
      <vt:lpstr>dch706_5_2</vt:lpstr>
      <vt:lpstr>dch706_5_3</vt:lpstr>
      <vt:lpstr>dch706_6</vt:lpstr>
      <vt:lpstr>dch706_7_1</vt:lpstr>
      <vt:lpstr>dch706_7_2</vt:lpstr>
      <vt:lpstr>dch706_8</vt:lpstr>
      <vt:lpstr>dch706_9</vt:lpstr>
      <vt:lpstr>dch802_1</vt:lpstr>
      <vt:lpstr>dch802_1_6</vt:lpstr>
      <vt:lpstr>dch802_10_1</vt:lpstr>
      <vt:lpstr>dch802_10_1_1</vt:lpstr>
      <vt:lpstr>dch802_2_1</vt:lpstr>
      <vt:lpstr>dch802_2_2</vt:lpstr>
      <vt:lpstr>dch802_3_1_a</vt:lpstr>
      <vt:lpstr>dch802_3_1_b</vt:lpstr>
      <vt:lpstr>dch802_3_2_a</vt:lpstr>
      <vt:lpstr>dch802_3_2_b</vt:lpstr>
      <vt:lpstr>dch802_4_1</vt:lpstr>
      <vt:lpstr>dch802_4_2</vt:lpstr>
      <vt:lpstr>dch802_4_3</vt:lpstr>
      <vt:lpstr>dch802_5_1</vt:lpstr>
      <vt:lpstr>dch802_5_1_1</vt:lpstr>
      <vt:lpstr>dch802_5_2</vt:lpstr>
      <vt:lpstr>dch802_5_3</vt:lpstr>
      <vt:lpstr>dch802_5_4_2</vt:lpstr>
      <vt:lpstr>dch802_5_4_3</vt:lpstr>
      <vt:lpstr>dch802_5_4_4_a</vt:lpstr>
      <vt:lpstr>dch802_5_4_4_b</vt:lpstr>
      <vt:lpstr>dch802_5_4_4_c</vt:lpstr>
      <vt:lpstr>dch802_6_1</vt:lpstr>
      <vt:lpstr>dch802_6_2</vt:lpstr>
      <vt:lpstr>dch802_6_3_1</vt:lpstr>
      <vt:lpstr>dch802_6_3_2</vt:lpstr>
      <vt:lpstr>dch802_6_3_3</vt:lpstr>
      <vt:lpstr>dch802_6_4_1</vt:lpstr>
      <vt:lpstr>dch802_6_4_2</vt:lpstr>
      <vt:lpstr>dch802_6_5_1</vt:lpstr>
      <vt:lpstr>dch802_6_5_2</vt:lpstr>
      <vt:lpstr>dch802_6_5_3</vt:lpstr>
      <vt:lpstr>dch802_6_5_4</vt:lpstr>
      <vt:lpstr>dch802_6_5_5</vt:lpstr>
      <vt:lpstr>dch802_7_1</vt:lpstr>
      <vt:lpstr>dch802_7_2_1</vt:lpstr>
      <vt:lpstr>dch802_7_2_2</vt:lpstr>
      <vt:lpstr>dch802_8</vt:lpstr>
      <vt:lpstr>dch802_9_1</vt:lpstr>
      <vt:lpstr>dch802_9_2</vt:lpstr>
      <vt:lpstr>dch803_1_1</vt:lpstr>
      <vt:lpstr>dch803_1_2</vt:lpstr>
      <vt:lpstr>dch803_2</vt:lpstr>
      <vt:lpstr>dch803_3</vt:lpstr>
      <vt:lpstr>dch803_4</vt:lpstr>
      <vt:lpstr>dch803_5</vt:lpstr>
      <vt:lpstr>dch803_6</vt:lpstr>
      <vt:lpstr>dch901_1_1</vt:lpstr>
      <vt:lpstr>dch901_1_2</vt:lpstr>
      <vt:lpstr>dch901_1_3_1</vt:lpstr>
      <vt:lpstr>dch901_1_3_2</vt:lpstr>
      <vt:lpstr>dch901_1_4</vt:lpstr>
      <vt:lpstr>dch901_1_5</vt:lpstr>
      <vt:lpstr>dch901_1_6</vt:lpstr>
      <vt:lpstr>dch901_10_1</vt:lpstr>
      <vt:lpstr>dch901_10_2</vt:lpstr>
      <vt:lpstr>dch901_10_3</vt:lpstr>
      <vt:lpstr>dch901_11</vt:lpstr>
      <vt:lpstr>dch901_12</vt:lpstr>
      <vt:lpstr>dch901_13</vt:lpstr>
      <vt:lpstr>dch901_14_1</vt:lpstr>
      <vt:lpstr>dch901_14_2</vt:lpstr>
      <vt:lpstr>dch901_15_1</vt:lpstr>
      <vt:lpstr>dch901_15_2</vt:lpstr>
      <vt:lpstr>dch901_16</vt:lpstr>
      <vt:lpstr>dch901_2_1_1</vt:lpstr>
      <vt:lpstr>dch901_2_1_2</vt:lpstr>
      <vt:lpstr>dch901_2_1_3</vt:lpstr>
      <vt:lpstr>dch901_2_1_4</vt:lpstr>
      <vt:lpstr>dch901_2_1_5</vt:lpstr>
      <vt:lpstr>dch901_2_2</vt:lpstr>
      <vt:lpstr>dch901_3_1_a</vt:lpstr>
      <vt:lpstr>dch901_3_1_b</vt:lpstr>
      <vt:lpstr>dch901_3_1_c</vt:lpstr>
      <vt:lpstr>dch901_3_2</vt:lpstr>
      <vt:lpstr>dch901_4_1</vt:lpstr>
      <vt:lpstr>dch901_4_a</vt:lpstr>
      <vt:lpstr>dch901_4_b</vt:lpstr>
      <vt:lpstr>dch901_4_c</vt:lpstr>
      <vt:lpstr>dch901_4_d</vt:lpstr>
      <vt:lpstr>dch901_5_1</vt:lpstr>
      <vt:lpstr>dch901_5_2</vt:lpstr>
      <vt:lpstr>dch901_6</vt:lpstr>
      <vt:lpstr>dch901_7_1</vt:lpstr>
      <vt:lpstr>dch901_7_2</vt:lpstr>
      <vt:lpstr>dch901_7_3</vt:lpstr>
      <vt:lpstr>dch901_8</vt:lpstr>
      <vt:lpstr>dch901_9_1_1</vt:lpstr>
      <vt:lpstr>dch901_9_1_2</vt:lpstr>
      <vt:lpstr>dch901_9_1_3</vt:lpstr>
      <vt:lpstr>dch901_9_2</vt:lpstr>
      <vt:lpstr>dch901_9_3</vt:lpstr>
      <vt:lpstr>dch901_9_4</vt:lpstr>
      <vt:lpstr>dch902_1_1_1</vt:lpstr>
      <vt:lpstr>dch902_1_1_1_a</vt:lpstr>
      <vt:lpstr>dch902_1_1_2</vt:lpstr>
      <vt:lpstr>dch902_1_1_3</vt:lpstr>
      <vt:lpstr>dch902_1_2</vt:lpstr>
      <vt:lpstr>dch902_1_2_2</vt:lpstr>
      <vt:lpstr>dch902_1_3</vt:lpstr>
      <vt:lpstr>dch902_1_4_1</vt:lpstr>
      <vt:lpstr>dch902_1_4_2</vt:lpstr>
      <vt:lpstr>dch902_1_5_1</vt:lpstr>
      <vt:lpstr>dch902_1_5_2</vt:lpstr>
      <vt:lpstr>dch902_1_5_3</vt:lpstr>
      <vt:lpstr>dch902_1_6</vt:lpstr>
      <vt:lpstr>dch902_2_1</vt:lpstr>
      <vt:lpstr>dch902_2_2</vt:lpstr>
      <vt:lpstr>dch902_2_3</vt:lpstr>
      <vt:lpstr>dch902_2_4</vt:lpstr>
      <vt:lpstr>dch902_2_5</vt:lpstr>
      <vt:lpstr>dch902_3</vt:lpstr>
      <vt:lpstr>dch902_3_2</vt:lpstr>
      <vt:lpstr>dch902_3_2_1</vt:lpstr>
      <vt:lpstr>dch902_3_2_2</vt:lpstr>
      <vt:lpstr>dch902_4_1</vt:lpstr>
      <vt:lpstr>dch902_4_2</vt:lpstr>
      <vt:lpstr>dch902_4_3</vt:lpstr>
      <vt:lpstr>dch902_5</vt:lpstr>
      <vt:lpstr>dch902_6</vt:lpstr>
      <vt:lpstr>dch903_1</vt:lpstr>
      <vt:lpstr>dch903_2</vt:lpstr>
      <vt:lpstr>dch903_3_1</vt:lpstr>
      <vt:lpstr>dch903_3_2</vt:lpstr>
      <vt:lpstr>dch904_1</vt:lpstr>
      <vt:lpstr>dch904_2</vt:lpstr>
      <vt:lpstr>dch904_3_1</vt:lpstr>
      <vt:lpstr>dch904_3_2</vt:lpstr>
      <vt:lpstr>dch905_1</vt:lpstr>
      <vt:lpstr>dch905_2</vt:lpstr>
      <vt:lpstr>dch905_3_1</vt:lpstr>
      <vt:lpstr>dch905_3_2</vt:lpstr>
      <vt:lpstr>dch905_4</vt:lpstr>
      <vt:lpstr>dch905_5</vt:lpstr>
      <vt:lpstr>dch905_6</vt:lpstr>
      <vt:lpstr>dd13_102_1</vt:lpstr>
      <vt:lpstr>dd13_104_1_1</vt:lpstr>
      <vt:lpstr>dd13_104_1_2</vt:lpstr>
      <vt:lpstr>dd13_104_1_3</vt:lpstr>
      <vt:lpstr>dd13_104_1_4</vt:lpstr>
      <vt:lpstr>dd13_104_1_5_1</vt:lpstr>
      <vt:lpstr>dd13_104_1_5_10</vt:lpstr>
      <vt:lpstr>dd13_104_1_5_11</vt:lpstr>
      <vt:lpstr>dd13_104_1_5_12</vt:lpstr>
      <vt:lpstr>dd13_104_1_5_2</vt:lpstr>
      <vt:lpstr>dd13_104_1_5_3</vt:lpstr>
      <vt:lpstr>dd13_104_1_5_4</vt:lpstr>
      <vt:lpstr>dd13_104_1_5_5</vt:lpstr>
      <vt:lpstr>dd13_104_1_5_6</vt:lpstr>
      <vt:lpstr>dd13_104_1_5_7</vt:lpstr>
      <vt:lpstr>dd13_104_1_5_8</vt:lpstr>
      <vt:lpstr>dd13_104_1_5_9</vt:lpstr>
      <vt:lpstr>dd13_104_1_6</vt:lpstr>
      <vt:lpstr>dd13_104_1_7</vt:lpstr>
      <vt:lpstr>dd13_105_10</vt:lpstr>
      <vt:lpstr>dd13_105_11</vt:lpstr>
      <vt:lpstr>dd13_105_11_1</vt:lpstr>
      <vt:lpstr>dd13_105_11_2</vt:lpstr>
      <vt:lpstr>dd13_105_11_3</vt:lpstr>
      <vt:lpstr>dd13_105_12</vt:lpstr>
      <vt:lpstr>dd13_105_3_1</vt:lpstr>
      <vt:lpstr>dd13_105_3_10</vt:lpstr>
      <vt:lpstr>dd13_105_3_11</vt:lpstr>
      <vt:lpstr>dd13_105_3_12</vt:lpstr>
      <vt:lpstr>dd13_105_3_2</vt:lpstr>
      <vt:lpstr>dd13_105_3_3</vt:lpstr>
      <vt:lpstr>dd13_105_3_4</vt:lpstr>
      <vt:lpstr>dd13_105_3_5</vt:lpstr>
      <vt:lpstr>dd13_105_3_6</vt:lpstr>
      <vt:lpstr>dd13_105_3_7</vt:lpstr>
      <vt:lpstr>dd13_105_3_8</vt:lpstr>
      <vt:lpstr>dd13_105_3_9</vt:lpstr>
      <vt:lpstr>dd13_105_4</vt:lpstr>
      <vt:lpstr>dd13_106_3_1</vt:lpstr>
      <vt:lpstr>dd13_106_3_2</vt:lpstr>
      <vt:lpstr>dd13_106_3_3</vt:lpstr>
      <vt:lpstr>dd13_106_3_4</vt:lpstr>
      <vt:lpstr>dd13_106_4_1</vt:lpstr>
      <vt:lpstr>dd13_106_4_2</vt:lpstr>
      <vt:lpstr>dd13_106_4_3</vt:lpstr>
      <vt:lpstr>dd13_106_4_4</vt:lpstr>
      <vt:lpstr>dd13_106_5_1</vt:lpstr>
      <vt:lpstr>dd13_106_5_2</vt:lpstr>
      <vt:lpstr>dd13_106_5_3</vt:lpstr>
      <vt:lpstr>dd13_106_6</vt:lpstr>
      <vt:lpstr>dd13_107_1_1</vt:lpstr>
      <vt:lpstr>dd13_107_4</vt:lpstr>
      <vt:lpstr>dd13_107_4_1</vt:lpstr>
      <vt:lpstr>dd13_107_4_2</vt:lpstr>
      <vt:lpstr>dd13_107_4_2_1</vt:lpstr>
      <vt:lpstr>dd13_107_4_2_2</vt:lpstr>
      <vt:lpstr>dd13_107_4_2_3</vt:lpstr>
      <vt:lpstr>dd13_107_4_3</vt:lpstr>
      <vt:lpstr>dd13_107_4_4</vt:lpstr>
      <vt:lpstr>dd13_107_6_1</vt:lpstr>
      <vt:lpstr>dd13_107_6_2</vt:lpstr>
      <vt:lpstr>dd305_2_5</vt:lpstr>
      <vt:lpstr>dd501_2_3_</vt:lpstr>
      <vt:lpstr>dd501_2_5</vt:lpstr>
      <vt:lpstr>dd503_2_3</vt:lpstr>
      <vt:lpstr>dd503_4_2</vt:lpstr>
      <vt:lpstr>dd503_4_3</vt:lpstr>
      <vt:lpstr>dd503_5</vt:lpstr>
      <vt:lpstr>dd503_5_1</vt:lpstr>
      <vt:lpstr>dd503_5_6</vt:lpstr>
      <vt:lpstr>dd505_1_3</vt:lpstr>
      <vt:lpstr>dd505_3</vt:lpstr>
      <vt:lpstr>dd601_6</vt:lpstr>
      <vt:lpstr>dd601_7_a</vt:lpstr>
      <vt:lpstr>dd601_7_b</vt:lpstr>
      <vt:lpstr>dd601_7_c</vt:lpstr>
      <vt:lpstr>dd601_7_d</vt:lpstr>
      <vt:lpstr>dd601_7_e</vt:lpstr>
      <vt:lpstr>dd602_1_1_1</vt:lpstr>
      <vt:lpstr>dd602_1_10</vt:lpstr>
      <vt:lpstr>dd602_1_11</vt:lpstr>
      <vt:lpstr>dd602_1_13</vt:lpstr>
      <vt:lpstr>dd602_1_14_1</vt:lpstr>
      <vt:lpstr>dd602_1_3_1</vt:lpstr>
      <vt:lpstr>dd602_1_4_1_2</vt:lpstr>
      <vt:lpstr>dd602_1_4_2_2</vt:lpstr>
      <vt:lpstr>dd602_1_5</vt:lpstr>
      <vt:lpstr>dd602_1_7_1_2</vt:lpstr>
      <vt:lpstr>dd602_1_8</vt:lpstr>
      <vt:lpstr>dd602_1_9_1</vt:lpstr>
      <vt:lpstr>dd602_1_9_5</vt:lpstr>
      <vt:lpstr>dd602_4_1</vt:lpstr>
      <vt:lpstr>dd606_1_a</vt:lpstr>
      <vt:lpstr>dd606_1_b</vt:lpstr>
      <vt:lpstr>dd606_1_c</vt:lpstr>
      <vt:lpstr>dd606_1_d</vt:lpstr>
      <vt:lpstr>dd606_1_e</vt:lpstr>
      <vt:lpstr>dd606_1_f</vt:lpstr>
      <vt:lpstr>dd606_1_g</vt:lpstr>
      <vt:lpstr>dd606_1_h</vt:lpstr>
      <vt:lpstr>dd606_2_1a</vt:lpstr>
      <vt:lpstr>dd606_2_1b</vt:lpstr>
      <vt:lpstr>dd606_2_2a</vt:lpstr>
      <vt:lpstr>dd606_2_2b</vt:lpstr>
      <vt:lpstr>dd606_3</vt:lpstr>
      <vt:lpstr>dd608_1</vt:lpstr>
      <vt:lpstr>dd609_1_1</vt:lpstr>
      <vt:lpstr>dd609_1_2</vt:lpstr>
      <vt:lpstr>dd610_1_2_1a</vt:lpstr>
      <vt:lpstr>dd610_1_2_1b</vt:lpstr>
      <vt:lpstr>dd610_1_2_2_f</vt:lpstr>
      <vt:lpstr>dd610_1_2_2a</vt:lpstr>
      <vt:lpstr>dd610_1_2_2b</vt:lpstr>
      <vt:lpstr>dd610_1_2_2c</vt:lpstr>
      <vt:lpstr>dd612_1</vt:lpstr>
      <vt:lpstr>dd612_3_9</vt:lpstr>
      <vt:lpstr>dd613_1</vt:lpstr>
      <vt:lpstr>dd701_4_1_2</vt:lpstr>
      <vt:lpstr>dd701_4_3_1_a</vt:lpstr>
      <vt:lpstr>dd701_4_3_1_b</vt:lpstr>
      <vt:lpstr>dd701_4_3_1_c</vt:lpstr>
      <vt:lpstr>dd701_4_3_1_d</vt:lpstr>
      <vt:lpstr>dd701_4_3_1_e</vt:lpstr>
      <vt:lpstr>dd701_4_3_1_f</vt:lpstr>
      <vt:lpstr>dd701_4_3_1_g</vt:lpstr>
      <vt:lpstr>dd701_4_3_1_h</vt:lpstr>
      <vt:lpstr>dd701_4_3_1_i</vt:lpstr>
      <vt:lpstr>dd701_4_3_1_j</vt:lpstr>
      <vt:lpstr>dd701_4_3_1_k</vt:lpstr>
      <vt:lpstr>dd701_4_3_1_l</vt:lpstr>
      <vt:lpstr>dd701_4_3_1_m</vt:lpstr>
      <vt:lpstr>dd701_4_3_4</vt:lpstr>
      <vt:lpstr>dd701_4_3_5</vt:lpstr>
      <vt:lpstr>dd701_4_6</vt:lpstr>
      <vt:lpstr>dd701_4_7</vt:lpstr>
      <vt:lpstr>dd703_1_1</vt:lpstr>
      <vt:lpstr>dd703_1_2</vt:lpstr>
      <vt:lpstr>dd703_1_3</vt:lpstr>
      <vt:lpstr>dd703_2_5_1</vt:lpstr>
      <vt:lpstr>dd703_2_5_1_1</vt:lpstr>
      <vt:lpstr>dd703_2_5_2</vt:lpstr>
      <vt:lpstr>dd703_2_5_2_1</vt:lpstr>
      <vt:lpstr>dd703_3_0_1</vt:lpstr>
      <vt:lpstr>dd703_3_0_2</vt:lpstr>
      <vt:lpstr>dd703_4_4</vt:lpstr>
      <vt:lpstr>dd703_5_1</vt:lpstr>
      <vt:lpstr>dd703_5_5</vt:lpstr>
      <vt:lpstr>dd705_2_1_1</vt:lpstr>
      <vt:lpstr>dd705_2_1_3_1</vt:lpstr>
      <vt:lpstr>dd705_2_1_3_2</vt:lpstr>
      <vt:lpstr>dd705_2_1_4</vt:lpstr>
      <vt:lpstr>dd705_6_2_3</vt:lpstr>
      <vt:lpstr>dd706_13</vt:lpstr>
      <vt:lpstr>dd706_2_2</vt:lpstr>
      <vt:lpstr>dd801_1</vt:lpstr>
      <vt:lpstr>dd802_1</vt:lpstr>
      <vt:lpstr>dd802_10_1</vt:lpstr>
      <vt:lpstr>dd802_2_2</vt:lpstr>
      <vt:lpstr>dd802_4_1</vt:lpstr>
      <vt:lpstr>dd802_4_2</vt:lpstr>
      <vt:lpstr>dd802_4_3</vt:lpstr>
      <vt:lpstr>dd802_5_1</vt:lpstr>
      <vt:lpstr>dd802_5_1_1</vt:lpstr>
      <vt:lpstr>dd802_5_2</vt:lpstr>
      <vt:lpstr>dd802_5_3</vt:lpstr>
      <vt:lpstr>dd802_5_4_2</vt:lpstr>
      <vt:lpstr>dd802_5_4_4_a</vt:lpstr>
      <vt:lpstr>dd802_6_1</vt:lpstr>
      <vt:lpstr>dd802_7_1</vt:lpstr>
      <vt:lpstr>dd802_7_2_1</vt:lpstr>
      <vt:lpstr>dd802_9_1</vt:lpstr>
      <vt:lpstr>dd802_9_2</vt:lpstr>
      <vt:lpstr>dd803_1_1</vt:lpstr>
      <vt:lpstr>dd803_3</vt:lpstr>
      <vt:lpstr>dd901_1_3_1</vt:lpstr>
      <vt:lpstr>dd901_1_3_2</vt:lpstr>
      <vt:lpstr>dd901_1_4</vt:lpstr>
      <vt:lpstr>dd901_1_6</vt:lpstr>
      <vt:lpstr>dd901_13</vt:lpstr>
      <vt:lpstr>dd901_2_1_1_m</vt:lpstr>
      <vt:lpstr>dd901_2_1_2_m</vt:lpstr>
      <vt:lpstr>dd901_2_1_3_m</vt:lpstr>
      <vt:lpstr>dd901_2_1_4_m</vt:lpstr>
      <vt:lpstr>dd901_2_1_5_m</vt:lpstr>
      <vt:lpstr>dd901_3_1_a_m</vt:lpstr>
      <vt:lpstr>dd901_3_1_b_m</vt:lpstr>
      <vt:lpstr>dd901_4_1</vt:lpstr>
      <vt:lpstr>dd901_4_a</vt:lpstr>
      <vt:lpstr>dd901_4_b</vt:lpstr>
      <vt:lpstr>dd901_4_c</vt:lpstr>
      <vt:lpstr>dd901_4_d</vt:lpstr>
      <vt:lpstr>dd901_9_4</vt:lpstr>
      <vt:lpstr>dd902_1_1_2</vt:lpstr>
      <vt:lpstr>dd902_2_1</vt:lpstr>
      <vt:lpstr>dd902_3</vt:lpstr>
      <vt:lpstr>dd903_1</vt:lpstr>
      <vt:lpstr>dd903_2</vt:lpstr>
      <vt:lpstr>dd905_6</vt:lpstr>
      <vt:lpstr>ddAttachedGarage</vt:lpstr>
      <vt:lpstr>ddAttic</vt:lpstr>
      <vt:lpstr>ddBuildingCode</vt:lpstr>
      <vt:lpstr>ddBuildingCodeMF</vt:lpstr>
      <vt:lpstr>ddCDucts</vt:lpstr>
      <vt:lpstr>ddCommercial</vt:lpstr>
      <vt:lpstr>ddCool1</vt:lpstr>
      <vt:lpstr>ddCool2</vt:lpstr>
      <vt:lpstr>ddCool3</vt:lpstr>
      <vt:lpstr>ddCToilet</vt:lpstr>
      <vt:lpstr>ddEnergyCode</vt:lpstr>
      <vt:lpstr>ddEnergyPath</vt:lpstr>
      <vt:lpstr>ddFoundation</vt:lpstr>
      <vt:lpstr>ddFuel</vt:lpstr>
      <vt:lpstr>ddHDucts</vt:lpstr>
      <vt:lpstr>ddHeat1</vt:lpstr>
      <vt:lpstr>ddHeat2</vt:lpstr>
      <vt:lpstr>ddHeat3</vt:lpstr>
      <vt:lpstr>ddMassWalls</vt:lpstr>
      <vt:lpstr>ddPassiveSolar</vt:lpstr>
      <vt:lpstr>ddRadiantHydronic</vt:lpstr>
      <vt:lpstr>ddRecessedLighting</vt:lpstr>
      <vt:lpstr>ddRenewable</vt:lpstr>
      <vt:lpstr>ddSingleOrMulti</vt:lpstr>
      <vt:lpstr>ddTEInsulation</vt:lpstr>
      <vt:lpstr>ddTLWH</vt:lpstr>
      <vt:lpstr>ddWaterPath</vt:lpstr>
      <vt:lpstr>desGoalLevel</vt:lpstr>
      <vt:lpstr>Dlevel</vt:lpstr>
      <vt:lpstr>DNext</vt:lpstr>
      <vt:lpstr>dnt1001_1_1</vt:lpstr>
      <vt:lpstr>dnt1001_1_10</vt:lpstr>
      <vt:lpstr>dnt1001_1_11</vt:lpstr>
      <vt:lpstr>dnt1001_1_12</vt:lpstr>
      <vt:lpstr>dnt1001_1_13</vt:lpstr>
      <vt:lpstr>dnt1001_1_14</vt:lpstr>
      <vt:lpstr>dnt1001_1_15</vt:lpstr>
      <vt:lpstr>dnt1001_1_16</vt:lpstr>
      <vt:lpstr>dnt1001_1_17</vt:lpstr>
      <vt:lpstr>dnt1001_1_18</vt:lpstr>
      <vt:lpstr>dnt1001_1_19</vt:lpstr>
      <vt:lpstr>dnt1001_1_2</vt:lpstr>
      <vt:lpstr>dnt1001_1_20</vt:lpstr>
      <vt:lpstr>dnt1001_1_21</vt:lpstr>
      <vt:lpstr>dnt1001_1_22</vt:lpstr>
      <vt:lpstr>dnt1001_1_23</vt:lpstr>
      <vt:lpstr>dnt1001_1_24</vt:lpstr>
      <vt:lpstr>dnt1001_1_25</vt:lpstr>
      <vt:lpstr>dnt1001_1_3</vt:lpstr>
      <vt:lpstr>dnt1001_1_4</vt:lpstr>
      <vt:lpstr>dnt1001_1_5</vt:lpstr>
      <vt:lpstr>dnt1001_1_6</vt:lpstr>
      <vt:lpstr>dnt1001_1_7</vt:lpstr>
      <vt:lpstr>dnt1001_1_8</vt:lpstr>
      <vt:lpstr>dnt1001_1_9</vt:lpstr>
      <vt:lpstr>dnt1001_2</vt:lpstr>
      <vt:lpstr>dnt1002_1_1</vt:lpstr>
      <vt:lpstr>dnt1002_1_2</vt:lpstr>
      <vt:lpstr>dnt1002_1_3</vt:lpstr>
      <vt:lpstr>dnt1002_1_4</vt:lpstr>
      <vt:lpstr>dnt1002_1_5</vt:lpstr>
      <vt:lpstr>dnt1002_1_6</vt:lpstr>
      <vt:lpstr>dnt1002_1_7</vt:lpstr>
      <vt:lpstr>dnt1002_1_8</vt:lpstr>
      <vt:lpstr>dnt1002_2_1</vt:lpstr>
      <vt:lpstr>dnt1002_2_10</vt:lpstr>
      <vt:lpstr>dnt1002_2_11</vt:lpstr>
      <vt:lpstr>dnt1002_2_2</vt:lpstr>
      <vt:lpstr>dnt1002_2_3</vt:lpstr>
      <vt:lpstr>dnt1002_2_4</vt:lpstr>
      <vt:lpstr>dnt1002_2_5</vt:lpstr>
      <vt:lpstr>dnt1002_2_6</vt:lpstr>
      <vt:lpstr>dnt1002_2_7</vt:lpstr>
      <vt:lpstr>dnt1002_2_8</vt:lpstr>
      <vt:lpstr>dnt1002_2_9</vt:lpstr>
      <vt:lpstr>dnt1002_3_1</vt:lpstr>
      <vt:lpstr>dnt1002_3_10</vt:lpstr>
      <vt:lpstr>dnt1002_3_11</vt:lpstr>
      <vt:lpstr>dnt1002_3_2</vt:lpstr>
      <vt:lpstr>dnt1002_3_3</vt:lpstr>
      <vt:lpstr>dnt1002_3_4</vt:lpstr>
      <vt:lpstr>dnt1002_3_5</vt:lpstr>
      <vt:lpstr>dnt1002_3_6</vt:lpstr>
      <vt:lpstr>dnt1002_3_7</vt:lpstr>
      <vt:lpstr>dnt1002_3_8</vt:lpstr>
      <vt:lpstr>dnt1002_3_9</vt:lpstr>
      <vt:lpstr>dnt1002_4</vt:lpstr>
      <vt:lpstr>dnt1002_5_1</vt:lpstr>
      <vt:lpstr>dnt1002_5_2</vt:lpstr>
      <vt:lpstr>dnt1002_5_3</vt:lpstr>
      <vt:lpstr>dnt1002_5_4</vt:lpstr>
      <vt:lpstr>dnt1002_5_5</vt:lpstr>
      <vt:lpstr>dnt1002_5_6</vt:lpstr>
      <vt:lpstr>dnt1002_5_7</vt:lpstr>
      <vt:lpstr>dnt1002_5_8</vt:lpstr>
      <vt:lpstr>dnt1002_5_9</vt:lpstr>
      <vt:lpstr>dnt1002_6_1</vt:lpstr>
      <vt:lpstr>dnt1002_6_2</vt:lpstr>
      <vt:lpstr>dnt1002_6_3</vt:lpstr>
      <vt:lpstr>dnt1002_6_4</vt:lpstr>
      <vt:lpstr>dnt1002_6_5</vt:lpstr>
      <vt:lpstr>dnt1002_6_6</vt:lpstr>
      <vt:lpstr>dnt1002_6_7</vt:lpstr>
      <vt:lpstr>dnt1003_1_1</vt:lpstr>
      <vt:lpstr>dnt1003_1_2</vt:lpstr>
      <vt:lpstr>dnt1003_1_3</vt:lpstr>
      <vt:lpstr>dnt1005_1_1</vt:lpstr>
      <vt:lpstr>dnt1005_1_2</vt:lpstr>
      <vt:lpstr>dnt305_2_5</vt:lpstr>
      <vt:lpstr>dnt305_2_5_1</vt:lpstr>
      <vt:lpstr>dnt305_2_6_1</vt:lpstr>
      <vt:lpstr>dnt501_2</vt:lpstr>
      <vt:lpstr>dnt501_2_1</vt:lpstr>
      <vt:lpstr>dnt501_2_2</vt:lpstr>
      <vt:lpstr>dnt501_2_3</vt:lpstr>
      <vt:lpstr>dnt501_2_3_</vt:lpstr>
      <vt:lpstr>dnt501_2_4</vt:lpstr>
      <vt:lpstr>dnt501_2_5</vt:lpstr>
      <vt:lpstr>dnt501_2_5_d</vt:lpstr>
      <vt:lpstr>dnt501_2_6</vt:lpstr>
      <vt:lpstr>dnt501_2_7</vt:lpstr>
      <vt:lpstr>dnt502_1</vt:lpstr>
      <vt:lpstr>dnt503_0</vt:lpstr>
      <vt:lpstr>dnt503_1</vt:lpstr>
      <vt:lpstr>dnt503_2</vt:lpstr>
      <vt:lpstr>dnt503_3</vt:lpstr>
      <vt:lpstr>dnt503_4</vt:lpstr>
      <vt:lpstr>dnt503_4_1</vt:lpstr>
      <vt:lpstr>dnt503_4_2</vt:lpstr>
      <vt:lpstr>dnt503_4_3</vt:lpstr>
      <vt:lpstr>dnt503_4_3_</vt:lpstr>
      <vt:lpstr>dnt503_4_4</vt:lpstr>
      <vt:lpstr>dnt503_5</vt:lpstr>
      <vt:lpstr>dnt503_5_1</vt:lpstr>
      <vt:lpstr>dnt503_5_10</vt:lpstr>
      <vt:lpstr>dnt503_5_11</vt:lpstr>
      <vt:lpstr>dnt503_5_12</vt:lpstr>
      <vt:lpstr>dnt503_5_13</vt:lpstr>
      <vt:lpstr>dnt503_5_2</vt:lpstr>
      <vt:lpstr>dnt503_5_3</vt:lpstr>
      <vt:lpstr>dnt503_5_4</vt:lpstr>
      <vt:lpstr>dnt503_5_5</vt:lpstr>
      <vt:lpstr>dnt503_5_6</vt:lpstr>
      <vt:lpstr>dnt503_5_7</vt:lpstr>
      <vt:lpstr>dnt503_5_8</vt:lpstr>
      <vt:lpstr>dnt503_5_9</vt:lpstr>
      <vt:lpstr>dnt503_6</vt:lpstr>
      <vt:lpstr>dnt503_7</vt:lpstr>
      <vt:lpstr>dnt504_1</vt:lpstr>
      <vt:lpstr>dnt504_2</vt:lpstr>
      <vt:lpstr>dnt504_3</vt:lpstr>
      <vt:lpstr>dnt504_3_1</vt:lpstr>
      <vt:lpstr>dnt504_3_2</vt:lpstr>
      <vt:lpstr>dnt504_3_3</vt:lpstr>
      <vt:lpstr>dnt504_3_4</vt:lpstr>
      <vt:lpstr>dnt504_3_5</vt:lpstr>
      <vt:lpstr>dnt504_3_6</vt:lpstr>
      <vt:lpstr>dnt504_3_7</vt:lpstr>
      <vt:lpstr>dnt504_3_8</vt:lpstr>
      <vt:lpstr>dnt505_1_1</vt:lpstr>
      <vt:lpstr>dnt505_1_2</vt:lpstr>
      <vt:lpstr>dnt505_1_3</vt:lpstr>
      <vt:lpstr>dnt505_10_a</vt:lpstr>
      <vt:lpstr>dnt505_10_b</vt:lpstr>
      <vt:lpstr>dnt505_10_c</vt:lpstr>
      <vt:lpstr>dnt505_11</vt:lpstr>
      <vt:lpstr>dnt505_2_1</vt:lpstr>
      <vt:lpstr>dnt505_2_2</vt:lpstr>
      <vt:lpstr>dnt505_3</vt:lpstr>
      <vt:lpstr>dnt505_4_1</vt:lpstr>
      <vt:lpstr>dnt505_5_a</vt:lpstr>
      <vt:lpstr>dnt505_5_b</vt:lpstr>
      <vt:lpstr>dnt505_5_c</vt:lpstr>
      <vt:lpstr>dnt505_5_d</vt:lpstr>
      <vt:lpstr>dnt505_6</vt:lpstr>
      <vt:lpstr>dnt505_7</vt:lpstr>
      <vt:lpstr>dnt505_8</vt:lpstr>
      <vt:lpstr>dnt505_9_a</vt:lpstr>
      <vt:lpstr>dnt505_9_b</vt:lpstr>
      <vt:lpstr>dnt505_9_c</vt:lpstr>
      <vt:lpstr>dnt601_1</vt:lpstr>
      <vt:lpstr>dnt601_2_1</vt:lpstr>
      <vt:lpstr>dnt601_2_2</vt:lpstr>
      <vt:lpstr>dnt601_2_3</vt:lpstr>
      <vt:lpstr>dnt601_3_1</vt:lpstr>
      <vt:lpstr>dnt601_3_2</vt:lpstr>
      <vt:lpstr>dnt601_3_3</vt:lpstr>
      <vt:lpstr>dnt601_3_4</vt:lpstr>
      <vt:lpstr>dnt601_3_5</vt:lpstr>
      <vt:lpstr>dnt601_4</vt:lpstr>
      <vt:lpstr>dnt601_5_1</vt:lpstr>
      <vt:lpstr>dnt601_5_2</vt:lpstr>
      <vt:lpstr>dnt601_5_3</vt:lpstr>
      <vt:lpstr>dnt601_5_4</vt:lpstr>
      <vt:lpstr>dnt601_6</vt:lpstr>
      <vt:lpstr>dnt601_7</vt:lpstr>
      <vt:lpstr>dnt601_8</vt:lpstr>
      <vt:lpstr>dnt602_1_1_1</vt:lpstr>
      <vt:lpstr>dnt602_1_1_2</vt:lpstr>
      <vt:lpstr>dnt602_1_10</vt:lpstr>
      <vt:lpstr>dnt602_1_11</vt:lpstr>
      <vt:lpstr>dnt602_1_12</vt:lpstr>
      <vt:lpstr>dnt602_1_13</vt:lpstr>
      <vt:lpstr>dnt602_1_14_1</vt:lpstr>
      <vt:lpstr>dnt602_1_14_2</vt:lpstr>
      <vt:lpstr>dnt602_1_14_3</vt:lpstr>
      <vt:lpstr>dnt602_1_15</vt:lpstr>
      <vt:lpstr>dnt602_1_2</vt:lpstr>
      <vt:lpstr>dnt602_1_3_1</vt:lpstr>
      <vt:lpstr>dnt602_1_3_2</vt:lpstr>
      <vt:lpstr>dnt602_1_4_1_1</vt:lpstr>
      <vt:lpstr>dnt602_1_4_1_2</vt:lpstr>
      <vt:lpstr>dnt602_1_4_2_1</vt:lpstr>
      <vt:lpstr>dnt602_1_4_2_2</vt:lpstr>
      <vt:lpstr>dnt602_1_5</vt:lpstr>
      <vt:lpstr>dnt602_1_6_1</vt:lpstr>
      <vt:lpstr>dnt602_1_7_1_1</vt:lpstr>
      <vt:lpstr>dnt602_1_7_1_2</vt:lpstr>
      <vt:lpstr>dnt602_1_7_1_3</vt:lpstr>
      <vt:lpstr>dnt602_1_7_2</vt:lpstr>
      <vt:lpstr>dnt602_1_7_3</vt:lpstr>
      <vt:lpstr>dnt602_1_8</vt:lpstr>
      <vt:lpstr>dnt602_1_9_1</vt:lpstr>
      <vt:lpstr>dnt602_1_9_2</vt:lpstr>
      <vt:lpstr>dnt602_1_9_3</vt:lpstr>
      <vt:lpstr>dnt602_1_9_4</vt:lpstr>
      <vt:lpstr>dnt602_1_9_5</vt:lpstr>
      <vt:lpstr>dnt602_1_9_6</vt:lpstr>
      <vt:lpstr>dnt602_1_9_7</vt:lpstr>
      <vt:lpstr>dnt602_2_1</vt:lpstr>
      <vt:lpstr>dnt602_2_2</vt:lpstr>
      <vt:lpstr>dnt602_2_3</vt:lpstr>
      <vt:lpstr>dnt602_3</vt:lpstr>
      <vt:lpstr>dnt602_4_1</vt:lpstr>
      <vt:lpstr>dnt602_4_2</vt:lpstr>
      <vt:lpstr>dnt602_4_3</vt:lpstr>
      <vt:lpstr>dnt603_1</vt:lpstr>
      <vt:lpstr>dnt603_2</vt:lpstr>
      <vt:lpstr>dnt603_3</vt:lpstr>
      <vt:lpstr>dnt604_1a</vt:lpstr>
      <vt:lpstr>dnt604_1b</vt:lpstr>
      <vt:lpstr>dnt604_1c</vt:lpstr>
      <vt:lpstr>dnt604_1d</vt:lpstr>
      <vt:lpstr>dnt605_1</vt:lpstr>
      <vt:lpstr>dnt605_2</vt:lpstr>
      <vt:lpstr>dnt605_3</vt:lpstr>
      <vt:lpstr>dnt605_4_2_a</vt:lpstr>
      <vt:lpstr>dnt605_4_2_h</vt:lpstr>
      <vt:lpstr>dnt605_4_2_i</vt:lpstr>
      <vt:lpstr>dnt606_1_a</vt:lpstr>
      <vt:lpstr>dnt606_2_1a</vt:lpstr>
      <vt:lpstr>dnt606_2_1b</vt:lpstr>
      <vt:lpstr>dnt606_2_2a</vt:lpstr>
      <vt:lpstr>dnt606_2_2b</vt:lpstr>
      <vt:lpstr>dnt606_3</vt:lpstr>
      <vt:lpstr>dnt607_1_1</vt:lpstr>
      <vt:lpstr>dnt607_1_2</vt:lpstr>
      <vt:lpstr>dnt607_2</vt:lpstr>
      <vt:lpstr>dnt608_1</vt:lpstr>
      <vt:lpstr>dnt609_1_1</vt:lpstr>
      <vt:lpstr>dnt609_1_2</vt:lpstr>
      <vt:lpstr>dnt610_1</vt:lpstr>
      <vt:lpstr>dnt610_1_1_1</vt:lpstr>
      <vt:lpstr>dnt610_1_1_2</vt:lpstr>
      <vt:lpstr>dnt610_1_1_3</vt:lpstr>
      <vt:lpstr>dnt610_1_2_1</vt:lpstr>
      <vt:lpstr>dnt610_1_2_1_e</vt:lpstr>
      <vt:lpstr>dnt610_1_2_2_e</vt:lpstr>
      <vt:lpstr>dnt610_1_2_2a</vt:lpstr>
      <vt:lpstr>dnt610_1_2_2b</vt:lpstr>
      <vt:lpstr>dnt610_1_2_2c</vt:lpstr>
      <vt:lpstr>dnt611_1_1</vt:lpstr>
      <vt:lpstr>dnt611_1_2</vt:lpstr>
      <vt:lpstr>dnt612_1</vt:lpstr>
      <vt:lpstr>dnt612_2_1</vt:lpstr>
      <vt:lpstr>dnt612_2_2</vt:lpstr>
      <vt:lpstr>dnt612_2_3</vt:lpstr>
      <vt:lpstr>dnt612_2_4</vt:lpstr>
      <vt:lpstr>dnt612_2_5</vt:lpstr>
      <vt:lpstr>dnt612_2_6</vt:lpstr>
      <vt:lpstr>dnt612_2_7</vt:lpstr>
      <vt:lpstr>dnt612_3_1</vt:lpstr>
      <vt:lpstr>dnt612_3_2</vt:lpstr>
      <vt:lpstr>dnt612_3_3</vt:lpstr>
      <vt:lpstr>dnt612_3_4</vt:lpstr>
      <vt:lpstr>dnt612_3_5</vt:lpstr>
      <vt:lpstr>dnt612_3_6</vt:lpstr>
      <vt:lpstr>dnt612_3_7</vt:lpstr>
      <vt:lpstr>dnt612_3_8</vt:lpstr>
      <vt:lpstr>dnt612_3_9</vt:lpstr>
      <vt:lpstr>dnt613_1</vt:lpstr>
      <vt:lpstr>dnt701_4_0</vt:lpstr>
      <vt:lpstr>dnt701_4_1_1</vt:lpstr>
      <vt:lpstr>dnt701_4_1_2</vt:lpstr>
      <vt:lpstr>dnt701_4_2_1</vt:lpstr>
      <vt:lpstr>dnt701_4_2_2</vt:lpstr>
      <vt:lpstr>dnt701_4_2_3</vt:lpstr>
      <vt:lpstr>dnt701_4_3_1</vt:lpstr>
      <vt:lpstr>dnt701_4_3_1_a</vt:lpstr>
      <vt:lpstr>dnt701_4_3_1_b</vt:lpstr>
      <vt:lpstr>dnt701_4_3_1_c</vt:lpstr>
      <vt:lpstr>dnt701_4_3_1_d</vt:lpstr>
      <vt:lpstr>dnt701_4_3_1_e</vt:lpstr>
      <vt:lpstr>dnt701_4_3_1_f</vt:lpstr>
      <vt:lpstr>dnt701_4_3_1_g</vt:lpstr>
      <vt:lpstr>dnt701_4_3_1_h</vt:lpstr>
      <vt:lpstr>dnt701_4_3_1_i</vt:lpstr>
      <vt:lpstr>dnt701_4_3_1_j</vt:lpstr>
      <vt:lpstr>dnt701_4_3_1_k</vt:lpstr>
      <vt:lpstr>dnt701_4_3_1_l</vt:lpstr>
      <vt:lpstr>dnt701_4_3_1_m</vt:lpstr>
      <vt:lpstr>dnt701_4_3_2_1</vt:lpstr>
      <vt:lpstr>dnt701_4_3_2_1_</vt:lpstr>
      <vt:lpstr>dnt701_4_3_2_1_1</vt:lpstr>
      <vt:lpstr>dnt701_4_3_2_1_2</vt:lpstr>
      <vt:lpstr>dnt701_4_3_2_1_3</vt:lpstr>
      <vt:lpstr>dnt701_4_3_2_1_4</vt:lpstr>
      <vt:lpstr>dnt701_4_3_2_1_5</vt:lpstr>
      <vt:lpstr>dnt701_4_3_2_1_6</vt:lpstr>
      <vt:lpstr>dnt701_4_3_2_1_7</vt:lpstr>
      <vt:lpstr>dnt701_4_3_2_1_8</vt:lpstr>
      <vt:lpstr>dnt701_4_3_2_1_9</vt:lpstr>
      <vt:lpstr>dnt701_4_3_2_1_a</vt:lpstr>
      <vt:lpstr>dnt701_4_3_2_1_b</vt:lpstr>
      <vt:lpstr>dnt701_4_3_2_1_c</vt:lpstr>
      <vt:lpstr>dnt701_4_3_2_1_d</vt:lpstr>
      <vt:lpstr>dnt701_4_3_2_1_e</vt:lpstr>
      <vt:lpstr>dnt701_4_3_2_1_f</vt:lpstr>
      <vt:lpstr>dnt701_4_3_2_1_g</vt:lpstr>
      <vt:lpstr>dnt701_4_3_2_1_h</vt:lpstr>
      <vt:lpstr>dnt701_4_3_2_2</vt:lpstr>
      <vt:lpstr>dnt701_4_3_2e</vt:lpstr>
      <vt:lpstr>dnt701_4_3_3</vt:lpstr>
      <vt:lpstr>dnt701_4_3_4</vt:lpstr>
      <vt:lpstr>dnt701_4_3_5</vt:lpstr>
      <vt:lpstr>dnt701_4_4</vt:lpstr>
      <vt:lpstr>dnt701_4_5</vt:lpstr>
      <vt:lpstr>dnt701_4_6</vt:lpstr>
      <vt:lpstr>dnt701_4_7</vt:lpstr>
      <vt:lpstr>dnt703_1_1</vt:lpstr>
      <vt:lpstr>dnt703_1_2</vt:lpstr>
      <vt:lpstr>dnt703_1_3</vt:lpstr>
      <vt:lpstr>dnt703_2_1</vt:lpstr>
      <vt:lpstr>dnt703_2_2</vt:lpstr>
      <vt:lpstr>dnt703_2_3</vt:lpstr>
      <vt:lpstr>dnt703_2_4</vt:lpstr>
      <vt:lpstr>dnt703_2_5_1</vt:lpstr>
      <vt:lpstr>dnt703_2_5_1_1</vt:lpstr>
      <vt:lpstr>dnt703_2_5_2</vt:lpstr>
      <vt:lpstr>dnt703_2_5_2_1</vt:lpstr>
      <vt:lpstr>dnt703_3_0_1</vt:lpstr>
      <vt:lpstr>dnt703_3_0_2</vt:lpstr>
      <vt:lpstr>dnt703_3_1</vt:lpstr>
      <vt:lpstr>dnt703_3_2_1</vt:lpstr>
      <vt:lpstr>dnt703_3_2_2</vt:lpstr>
      <vt:lpstr>dnt703_3_2_3</vt:lpstr>
      <vt:lpstr>dnt703_3_2_4</vt:lpstr>
      <vt:lpstr>dnt703_3_3_1</vt:lpstr>
      <vt:lpstr>dnt703_3_3_2</vt:lpstr>
      <vt:lpstr>dnt703_3_3_3</vt:lpstr>
      <vt:lpstr>dnt703_3_4_1</vt:lpstr>
      <vt:lpstr>dnt703_3_4_1_6</vt:lpstr>
      <vt:lpstr>dnt703_3_4_2</vt:lpstr>
      <vt:lpstr>dnt703_3_5</vt:lpstr>
      <vt:lpstr>dnt703_3_6</vt:lpstr>
      <vt:lpstr>dnt703_3_7</vt:lpstr>
      <vt:lpstr>dnt703_3_8</vt:lpstr>
      <vt:lpstr>dnt703_4_1</vt:lpstr>
      <vt:lpstr>dnt703_4_2</vt:lpstr>
      <vt:lpstr>dnt703_4_3_1</vt:lpstr>
      <vt:lpstr>dnt703_4_3_2</vt:lpstr>
      <vt:lpstr>dnt703_4_3_3</vt:lpstr>
      <vt:lpstr>dnt703_4_4</vt:lpstr>
      <vt:lpstr>dnt703_5_1</vt:lpstr>
      <vt:lpstr>dnt703_5_2</vt:lpstr>
      <vt:lpstr>dnt703_5_3</vt:lpstr>
      <vt:lpstr>dnt703_5_4</vt:lpstr>
      <vt:lpstr>dnt703_5_5</vt:lpstr>
      <vt:lpstr>dnt703_6_1_1</vt:lpstr>
      <vt:lpstr>dnt703_6_1_2</vt:lpstr>
      <vt:lpstr>dnt703_6_1_3</vt:lpstr>
      <vt:lpstr>dnt703_6_2_1</vt:lpstr>
      <vt:lpstr>dnt703_6_2_2</vt:lpstr>
      <vt:lpstr>dnt703_6_2_3</vt:lpstr>
      <vt:lpstr>dnt703_7_1_1</vt:lpstr>
      <vt:lpstr>dnt703_7_1_2</vt:lpstr>
      <vt:lpstr>dnt703_7_1_3</vt:lpstr>
      <vt:lpstr>dnt703_7_1_4</vt:lpstr>
      <vt:lpstr>dnt703_7_1_5</vt:lpstr>
      <vt:lpstr>dnt703_7_1_6_a</vt:lpstr>
      <vt:lpstr>dnt703_7_1_6_b</vt:lpstr>
      <vt:lpstr>dnt703_7_1_6_c</vt:lpstr>
      <vt:lpstr>dnt703_7_1_7</vt:lpstr>
      <vt:lpstr>dnt703_7_1_8</vt:lpstr>
      <vt:lpstr>dnt703_7_1_9</vt:lpstr>
      <vt:lpstr>dnt703_7_2</vt:lpstr>
      <vt:lpstr>dnt703_7_3_1_a</vt:lpstr>
      <vt:lpstr>dnt703_7_3_1_b</vt:lpstr>
      <vt:lpstr>dnt703_7_3_1_c</vt:lpstr>
      <vt:lpstr>dnt703_7_3_1_d</vt:lpstr>
      <vt:lpstr>dnt703_7_3_2</vt:lpstr>
      <vt:lpstr>dnt703_7_3_3</vt:lpstr>
      <vt:lpstr>dnt703_7_3_4</vt:lpstr>
      <vt:lpstr>dnt703_7_3_5_a</vt:lpstr>
      <vt:lpstr>dnt703_7_3_5_b</vt:lpstr>
      <vt:lpstr>dnt703_7_3_6</vt:lpstr>
      <vt:lpstr>dnt703_7_4_1</vt:lpstr>
      <vt:lpstr>dnt703_7_4_2_a</vt:lpstr>
      <vt:lpstr>dnt703_7_4_2_b</vt:lpstr>
      <vt:lpstr>dnt703_7_4_2_c</vt:lpstr>
      <vt:lpstr>dnt703_7_4_3</vt:lpstr>
      <vt:lpstr>dnt705_2_1_1</vt:lpstr>
      <vt:lpstr>dnt705_2_1_2</vt:lpstr>
      <vt:lpstr>dnt705_2_1_3_1</vt:lpstr>
      <vt:lpstr>dnt705_2_1_3_2</vt:lpstr>
      <vt:lpstr>dnt705_2_1_4</vt:lpstr>
      <vt:lpstr>dnt705_2_2</vt:lpstr>
      <vt:lpstr>dnt705_2_3</vt:lpstr>
      <vt:lpstr>dnt705_2_4</vt:lpstr>
      <vt:lpstr>dnt705_3</vt:lpstr>
      <vt:lpstr>dnt705_4</vt:lpstr>
      <vt:lpstr>dnt705_5_1_1</vt:lpstr>
      <vt:lpstr>dnt705_5_1_2</vt:lpstr>
      <vt:lpstr>dnt705_5_2</vt:lpstr>
      <vt:lpstr>dnt705_5_2_1</vt:lpstr>
      <vt:lpstr>dnt705_5_2_2</vt:lpstr>
      <vt:lpstr>dnt705_5_2_3</vt:lpstr>
      <vt:lpstr>dnt705_5_2_4</vt:lpstr>
      <vt:lpstr>dnt705_5_2_5</vt:lpstr>
      <vt:lpstr>dnt705_5_2_6</vt:lpstr>
      <vt:lpstr>dnt705_5_3_1</vt:lpstr>
      <vt:lpstr>dnt705_6_1</vt:lpstr>
      <vt:lpstr>dnt705_6_2_1_1</vt:lpstr>
      <vt:lpstr>dnt705_6_2_1_2</vt:lpstr>
      <vt:lpstr>dnt705_6_2_2_1</vt:lpstr>
      <vt:lpstr>dnt705_6_2_2_2</vt:lpstr>
      <vt:lpstr>dnt705_6_2_3</vt:lpstr>
      <vt:lpstr>dnt705_6_3_a</vt:lpstr>
      <vt:lpstr>dnt705_6_3_b</vt:lpstr>
      <vt:lpstr>dnt705_6_3_c</vt:lpstr>
      <vt:lpstr>dnt705_6_3_d</vt:lpstr>
      <vt:lpstr>dnt705_6_3_e</vt:lpstr>
      <vt:lpstr>dnt705_6_3_f</vt:lpstr>
      <vt:lpstr>dnt705_6_3_g</vt:lpstr>
      <vt:lpstr>dnt705_6_4_1</vt:lpstr>
      <vt:lpstr>dnt705_6_4_2</vt:lpstr>
      <vt:lpstr>dnt705_7</vt:lpstr>
      <vt:lpstr>dnt706_1_1</vt:lpstr>
      <vt:lpstr>dnt706_1_2</vt:lpstr>
      <vt:lpstr>dnt706_1_3</vt:lpstr>
      <vt:lpstr>dnt706_1_4</vt:lpstr>
      <vt:lpstr>dnt706_1_5</vt:lpstr>
      <vt:lpstr>dnt706_10</vt:lpstr>
      <vt:lpstr>dnt706_11</vt:lpstr>
      <vt:lpstr>dnt706_12</vt:lpstr>
      <vt:lpstr>dnt706_13</vt:lpstr>
      <vt:lpstr>dnt706_14_1</vt:lpstr>
      <vt:lpstr>dnt706_14_2</vt:lpstr>
      <vt:lpstr>dnt706_15_1</vt:lpstr>
      <vt:lpstr>dnt706_15_2</vt:lpstr>
      <vt:lpstr>dnt706_2_1</vt:lpstr>
      <vt:lpstr>dnt706_2_2</vt:lpstr>
      <vt:lpstr>dnt706_3</vt:lpstr>
      <vt:lpstr>dnt706_3_1</vt:lpstr>
      <vt:lpstr>dnt706_3_2</vt:lpstr>
      <vt:lpstr>dnt706_3_3</vt:lpstr>
      <vt:lpstr>dnt706_3_4</vt:lpstr>
      <vt:lpstr>dnt706_3_5</vt:lpstr>
      <vt:lpstr>dnt706_3_6</vt:lpstr>
      <vt:lpstr>dnt706_3_7</vt:lpstr>
      <vt:lpstr>dnt706_3_8</vt:lpstr>
      <vt:lpstr>dnt706_4_1_1</vt:lpstr>
      <vt:lpstr>dnt706_4_1_2</vt:lpstr>
      <vt:lpstr>dnt706_4_2</vt:lpstr>
      <vt:lpstr>dnt706_5_1</vt:lpstr>
      <vt:lpstr>dnt706_6</vt:lpstr>
      <vt:lpstr>dnt706_7_1</vt:lpstr>
      <vt:lpstr>dnt706_7_2</vt:lpstr>
      <vt:lpstr>dnt706_8</vt:lpstr>
      <vt:lpstr>dnt706_9</vt:lpstr>
      <vt:lpstr>dnt802_1_1</vt:lpstr>
      <vt:lpstr>dnt802_1_5</vt:lpstr>
      <vt:lpstr>dnt802_1_6</vt:lpstr>
      <vt:lpstr>dnt802_10_1</vt:lpstr>
      <vt:lpstr>dnt802_10_1_1</vt:lpstr>
      <vt:lpstr>dnt802_2_1</vt:lpstr>
      <vt:lpstr>dnt802_2_2</vt:lpstr>
      <vt:lpstr>dnt802_3_1_a</vt:lpstr>
      <vt:lpstr>dnt802_3_1_b</vt:lpstr>
      <vt:lpstr>dnt802_3_2_a</vt:lpstr>
      <vt:lpstr>dnt802_3_2_b</vt:lpstr>
      <vt:lpstr>dnt802_4_1</vt:lpstr>
      <vt:lpstr>dnt802_4_2</vt:lpstr>
      <vt:lpstr>dnt802_4_3</vt:lpstr>
      <vt:lpstr>dnt802_5_1</vt:lpstr>
      <vt:lpstr>dnt802_5_2</vt:lpstr>
      <vt:lpstr>dnt802_5_3</vt:lpstr>
      <vt:lpstr>dnt802_5_4_1</vt:lpstr>
      <vt:lpstr>dnt802_5_4_2</vt:lpstr>
      <vt:lpstr>dnt802_5_4_3</vt:lpstr>
      <vt:lpstr>dnt802_5_4_4_a</vt:lpstr>
      <vt:lpstr>dnt802_5_4_4_b</vt:lpstr>
      <vt:lpstr>dnt802_5_4_4_c</vt:lpstr>
      <vt:lpstr>dnt802_6_1</vt:lpstr>
      <vt:lpstr>dnt802_6_2</vt:lpstr>
      <vt:lpstr>dnt802_6_3_1</vt:lpstr>
      <vt:lpstr>dnt802_6_3_2</vt:lpstr>
      <vt:lpstr>dnt802_6_3_3</vt:lpstr>
      <vt:lpstr>dnt802_6_4_1</vt:lpstr>
      <vt:lpstr>dnt802_6_4_2</vt:lpstr>
      <vt:lpstr>dnt802_6_5_1</vt:lpstr>
      <vt:lpstr>dnt802_6_5_2</vt:lpstr>
      <vt:lpstr>dnt802_6_5_3</vt:lpstr>
      <vt:lpstr>dnt802_6_5_4</vt:lpstr>
      <vt:lpstr>dnt802_6_5_5</vt:lpstr>
      <vt:lpstr>dnt802_7_1</vt:lpstr>
      <vt:lpstr>dnt802_7_2_1</vt:lpstr>
      <vt:lpstr>dnt802_7_2_2</vt:lpstr>
      <vt:lpstr>dnt802_8</vt:lpstr>
      <vt:lpstr>dnt802_9_1</vt:lpstr>
      <vt:lpstr>dnt802_9_2</vt:lpstr>
      <vt:lpstr>dnt803_1_1</vt:lpstr>
      <vt:lpstr>dnt803_1_2</vt:lpstr>
      <vt:lpstr>dnt803_2</vt:lpstr>
      <vt:lpstr>dnt803_3</vt:lpstr>
      <vt:lpstr>dnt803_4</vt:lpstr>
      <vt:lpstr>dnt803_5</vt:lpstr>
      <vt:lpstr>dnt803_6</vt:lpstr>
      <vt:lpstr>dnt901_1_1</vt:lpstr>
      <vt:lpstr>dnt901_1_2</vt:lpstr>
      <vt:lpstr>dnt901_1_3_1</vt:lpstr>
      <vt:lpstr>dnt901_1_3_2</vt:lpstr>
      <vt:lpstr>dnt901_1_4</vt:lpstr>
      <vt:lpstr>dnt901_1_5</vt:lpstr>
      <vt:lpstr>dnt901_1_6</vt:lpstr>
      <vt:lpstr>dnt901_10_1</vt:lpstr>
      <vt:lpstr>dnt901_10_2</vt:lpstr>
      <vt:lpstr>dnt901_10_3</vt:lpstr>
      <vt:lpstr>dnt901_11</vt:lpstr>
      <vt:lpstr>dnt901_12</vt:lpstr>
      <vt:lpstr>dnt901_13</vt:lpstr>
      <vt:lpstr>dnt901_14</vt:lpstr>
      <vt:lpstr>dnt901_15_1</vt:lpstr>
      <vt:lpstr>dnt901_15_2</vt:lpstr>
      <vt:lpstr>dnt901_16</vt:lpstr>
      <vt:lpstr>dnt901_2_1_1</vt:lpstr>
      <vt:lpstr>dnt901_2_1_2</vt:lpstr>
      <vt:lpstr>dnt901_2_1_3</vt:lpstr>
      <vt:lpstr>dnt901_2_1_4</vt:lpstr>
      <vt:lpstr>dnt901_2_1_5</vt:lpstr>
      <vt:lpstr>dnt901_2_2</vt:lpstr>
      <vt:lpstr>dnt901_3_1_a</vt:lpstr>
      <vt:lpstr>dnt901_3_1_b</vt:lpstr>
      <vt:lpstr>dnt901_3_1_c</vt:lpstr>
      <vt:lpstr>dnt901_3_2</vt:lpstr>
      <vt:lpstr>dnt901_4_1</vt:lpstr>
      <vt:lpstr>dnt901_4_a</vt:lpstr>
      <vt:lpstr>dnt901_5_1</vt:lpstr>
      <vt:lpstr>dnt901_5_2</vt:lpstr>
      <vt:lpstr>dnt901_6</vt:lpstr>
      <vt:lpstr>dnt901_7_1</vt:lpstr>
      <vt:lpstr>dnt901_7_2</vt:lpstr>
      <vt:lpstr>dnt901_8</vt:lpstr>
      <vt:lpstr>dnt901_9</vt:lpstr>
      <vt:lpstr>dnt901_9_1_1</vt:lpstr>
      <vt:lpstr>dnt901_9_1_2</vt:lpstr>
      <vt:lpstr>dnt901_9_1_3</vt:lpstr>
      <vt:lpstr>dnt901_9_2</vt:lpstr>
      <vt:lpstr>dnt901_9_3</vt:lpstr>
      <vt:lpstr>dnt901_9_4</vt:lpstr>
      <vt:lpstr>dnt902_1_1_1</vt:lpstr>
      <vt:lpstr>dnt902_1_1_1_a</vt:lpstr>
      <vt:lpstr>dnt902_1_1_2</vt:lpstr>
      <vt:lpstr>dnt902_1_1_3</vt:lpstr>
      <vt:lpstr>dnt902_1_2</vt:lpstr>
      <vt:lpstr>dnt902_1_3</vt:lpstr>
      <vt:lpstr>dnt902_1_4</vt:lpstr>
      <vt:lpstr>dnt902_1_5_1</vt:lpstr>
      <vt:lpstr>dnt902_1_5_2</vt:lpstr>
      <vt:lpstr>dnt902_1_5_3</vt:lpstr>
      <vt:lpstr>dnt902_1_6</vt:lpstr>
      <vt:lpstr>dnt902_2_1</vt:lpstr>
      <vt:lpstr>dnt902_2_2</vt:lpstr>
      <vt:lpstr>dnt902_2_3</vt:lpstr>
      <vt:lpstr>dnt902_2_4</vt:lpstr>
      <vt:lpstr>dnt902_2_5</vt:lpstr>
      <vt:lpstr>dnt902_3</vt:lpstr>
      <vt:lpstr>dnt902_3_1</vt:lpstr>
      <vt:lpstr>dnt902_3_1_1</vt:lpstr>
      <vt:lpstr>dnt902_3_2_1</vt:lpstr>
      <vt:lpstr>dnt902_3_2_2</vt:lpstr>
      <vt:lpstr>dnt902_4_1</vt:lpstr>
      <vt:lpstr>dnt902_4_2</vt:lpstr>
      <vt:lpstr>dnt902_4_3</vt:lpstr>
      <vt:lpstr>dnt902_5</vt:lpstr>
      <vt:lpstr>dnt902_6</vt:lpstr>
      <vt:lpstr>dnt903_1</vt:lpstr>
      <vt:lpstr>dnt903_2</vt:lpstr>
      <vt:lpstr>dnt903_3</vt:lpstr>
      <vt:lpstr>dnt904_1</vt:lpstr>
      <vt:lpstr>dnt904_2</vt:lpstr>
      <vt:lpstr>dnt904_3_1</vt:lpstr>
      <vt:lpstr>dnt904_3_2</vt:lpstr>
      <vt:lpstr>dnt905_1</vt:lpstr>
      <vt:lpstr>dnt905_2</vt:lpstr>
      <vt:lpstr>dnt905_3_1</vt:lpstr>
      <vt:lpstr>dnt905_3_2</vt:lpstr>
      <vt:lpstr>dnt905_4</vt:lpstr>
      <vt:lpstr>dnt905_5</vt:lpstr>
      <vt:lpstr>dnt905_6</vt:lpstr>
      <vt:lpstr>dpa1001_1</vt:lpstr>
      <vt:lpstr>dpa1001_1_1</vt:lpstr>
      <vt:lpstr>dpa1001_1_2</vt:lpstr>
      <vt:lpstr>dpa1001_1_3</vt:lpstr>
      <vt:lpstr>dpa1001_1_9</vt:lpstr>
      <vt:lpstr>dpa1001_2</vt:lpstr>
      <vt:lpstr>dpa1001_2_m</vt:lpstr>
      <vt:lpstr>dpa1002_1</vt:lpstr>
      <vt:lpstr>dpa1002_1_1</vt:lpstr>
      <vt:lpstr>dpa1002_1_2</vt:lpstr>
      <vt:lpstr>dpa1002_1_3</vt:lpstr>
      <vt:lpstr>dpa1002_2</vt:lpstr>
      <vt:lpstr>dpa1002_2_1</vt:lpstr>
      <vt:lpstr>dpa1002_2_11</vt:lpstr>
      <vt:lpstr>dpa1002_2_2</vt:lpstr>
      <vt:lpstr>dpa1002_3</vt:lpstr>
      <vt:lpstr>dpa1002_3_1</vt:lpstr>
      <vt:lpstr>dpa1002_4</vt:lpstr>
      <vt:lpstr>dpa1002_4_m</vt:lpstr>
      <vt:lpstr>dpa1002_5</vt:lpstr>
      <vt:lpstr>dpa1002_5_1</vt:lpstr>
      <vt:lpstr>dpa1002_5_2</vt:lpstr>
      <vt:lpstr>dpa1002_5_3</vt:lpstr>
      <vt:lpstr>dpa1002_6</vt:lpstr>
      <vt:lpstr>dpa1003_1</vt:lpstr>
      <vt:lpstr>dpa1003_1_1</vt:lpstr>
      <vt:lpstr>dpa1003_1_2</vt:lpstr>
      <vt:lpstr>dpa1003_1_3</vt:lpstr>
      <vt:lpstr>dpa1005_1_1</vt:lpstr>
      <vt:lpstr>dpa1005_1_2</vt:lpstr>
      <vt:lpstr>dpa1005_1_3</vt:lpstr>
      <vt:lpstr>dpa305_2_5</vt:lpstr>
      <vt:lpstr>dpa501_2_1</vt:lpstr>
      <vt:lpstr>dpa501_2_2</vt:lpstr>
      <vt:lpstr>dpa501_2_3</vt:lpstr>
      <vt:lpstr>dpa501_2_3_a</vt:lpstr>
      <vt:lpstr>dpa501_2_3_b</vt:lpstr>
      <vt:lpstr>dpa501_2_4</vt:lpstr>
      <vt:lpstr>dpa501_2_5_a</vt:lpstr>
      <vt:lpstr>dpa501_2_5_b</vt:lpstr>
      <vt:lpstr>dpa501_2_5_c</vt:lpstr>
      <vt:lpstr>dpa501_2_5_d</vt:lpstr>
      <vt:lpstr>dpa501_2_6</vt:lpstr>
      <vt:lpstr>dpa501_2_7</vt:lpstr>
      <vt:lpstr>dpa502_1</vt:lpstr>
      <vt:lpstr>dpa503_1_1</vt:lpstr>
      <vt:lpstr>dpa503_1_2</vt:lpstr>
      <vt:lpstr>dpa503_1_3</vt:lpstr>
      <vt:lpstr>dpa503_1_4</vt:lpstr>
      <vt:lpstr>dpa503_1_5</vt:lpstr>
      <vt:lpstr>dpa503_1_6</vt:lpstr>
      <vt:lpstr>dpa503_1_7</vt:lpstr>
      <vt:lpstr>dpa503_1_8</vt:lpstr>
      <vt:lpstr>dpa503_2_1</vt:lpstr>
      <vt:lpstr>dpa503_2_2</vt:lpstr>
      <vt:lpstr>dpa503_2_3_a</vt:lpstr>
      <vt:lpstr>dpa503_2_3_b</vt:lpstr>
      <vt:lpstr>dpa503_2_3_c</vt:lpstr>
      <vt:lpstr>dpa503_2_4</vt:lpstr>
      <vt:lpstr>dpa503_2_5</vt:lpstr>
      <vt:lpstr>dpa503_3_1</vt:lpstr>
      <vt:lpstr>dpa503_3_2</vt:lpstr>
      <vt:lpstr>dpa503_3_3</vt:lpstr>
      <vt:lpstr>dpa503_4_1</vt:lpstr>
      <vt:lpstr>dpa503_4_2_a</vt:lpstr>
      <vt:lpstr>dpa503_4_2_b</vt:lpstr>
      <vt:lpstr>dpa503_4_2_c</vt:lpstr>
      <vt:lpstr>dpa503_4_3_</vt:lpstr>
      <vt:lpstr>dpa503_4_3_a</vt:lpstr>
      <vt:lpstr>dpa503_4_3_b</vt:lpstr>
      <vt:lpstr>dpa503_4_3_c</vt:lpstr>
      <vt:lpstr>dpa503_4_4</vt:lpstr>
      <vt:lpstr>dpa503_5_1_a</vt:lpstr>
      <vt:lpstr>dpa503_5_1_b</vt:lpstr>
      <vt:lpstr>dpa503_5_1_c</vt:lpstr>
      <vt:lpstr>dpa503_5_1_d</vt:lpstr>
      <vt:lpstr>dpa503_5_10</vt:lpstr>
      <vt:lpstr>dpa503_5_11</vt:lpstr>
      <vt:lpstr>dpa503_5_12</vt:lpstr>
      <vt:lpstr>dpa503_5_13</vt:lpstr>
      <vt:lpstr>dpa503_5_2</vt:lpstr>
      <vt:lpstr>dpa503_5_3</vt:lpstr>
      <vt:lpstr>dpa503_5_4</vt:lpstr>
      <vt:lpstr>dpa503_5_5</vt:lpstr>
      <vt:lpstr>dpa503_5_6_a</vt:lpstr>
      <vt:lpstr>dpa503_5_6_b</vt:lpstr>
      <vt:lpstr>dpa503_5_6_c</vt:lpstr>
      <vt:lpstr>dpa503_5_6_d</vt:lpstr>
      <vt:lpstr>dpa503_5_7</vt:lpstr>
      <vt:lpstr>dpa503_5_8</vt:lpstr>
      <vt:lpstr>dpa503_5_9</vt:lpstr>
      <vt:lpstr>dpa503_6_1</vt:lpstr>
      <vt:lpstr>dpa503_6_2</vt:lpstr>
      <vt:lpstr>dpa503_6_3</vt:lpstr>
      <vt:lpstr>dpa503_6_4</vt:lpstr>
      <vt:lpstr>dpa503_7_1</vt:lpstr>
      <vt:lpstr>dpa503_7_2</vt:lpstr>
      <vt:lpstr>dpa504_1</vt:lpstr>
      <vt:lpstr>dpa504_2_1</vt:lpstr>
      <vt:lpstr>dpa504_2_2</vt:lpstr>
      <vt:lpstr>dpa504_2_3</vt:lpstr>
      <vt:lpstr>dpa504_3_1</vt:lpstr>
      <vt:lpstr>dpa504_3_2</vt:lpstr>
      <vt:lpstr>dpa504_3_3</vt:lpstr>
      <vt:lpstr>dpa504_3_4</vt:lpstr>
      <vt:lpstr>dpa504_3_5</vt:lpstr>
      <vt:lpstr>dpa504_3_6</vt:lpstr>
      <vt:lpstr>dpa504_3_7</vt:lpstr>
      <vt:lpstr>dpa504_3_8</vt:lpstr>
      <vt:lpstr>dpa505_1_1</vt:lpstr>
      <vt:lpstr>dpa505_1_2</vt:lpstr>
      <vt:lpstr>dpa505_1_3_a</vt:lpstr>
      <vt:lpstr>dpa505_1_3_b</vt:lpstr>
      <vt:lpstr>dpa505_1_3_c</vt:lpstr>
      <vt:lpstr>dpa505_10_a</vt:lpstr>
      <vt:lpstr>dpa505_10_b</vt:lpstr>
      <vt:lpstr>dpa505_10_c</vt:lpstr>
      <vt:lpstr>dpa505_11</vt:lpstr>
      <vt:lpstr>dpa505_2_1</vt:lpstr>
      <vt:lpstr>dpa505_2_2</vt:lpstr>
      <vt:lpstr>dpa505_3_1</vt:lpstr>
      <vt:lpstr>dpa505_3_2</vt:lpstr>
      <vt:lpstr>dpa505_3_3</vt:lpstr>
      <vt:lpstr>dpa505_3_4</vt:lpstr>
      <vt:lpstr>dpa505_3_5</vt:lpstr>
      <vt:lpstr>dpa505_4_1</vt:lpstr>
      <vt:lpstr>dpa505_5_a</vt:lpstr>
      <vt:lpstr>dpa505_5_b</vt:lpstr>
      <vt:lpstr>dpa505_5_c</vt:lpstr>
      <vt:lpstr>dpa505_5_d</vt:lpstr>
      <vt:lpstr>dpa505_6</vt:lpstr>
      <vt:lpstr>dpa505_7</vt:lpstr>
      <vt:lpstr>dpa505_8</vt:lpstr>
      <vt:lpstr>dpa505_9_a</vt:lpstr>
      <vt:lpstr>dpa505_9_b</vt:lpstr>
      <vt:lpstr>dpa505_9_c</vt:lpstr>
      <vt:lpstr>dpa601_1_1</vt:lpstr>
      <vt:lpstr>dpa601_1_2</vt:lpstr>
      <vt:lpstr>dpa601_1_3</vt:lpstr>
      <vt:lpstr>dpa601_1_4</vt:lpstr>
      <vt:lpstr>dpa601_1_5</vt:lpstr>
      <vt:lpstr>dpa601_1_6</vt:lpstr>
      <vt:lpstr>dpa601_2_1</vt:lpstr>
      <vt:lpstr>dpa601_2_2</vt:lpstr>
      <vt:lpstr>dpa601_2_3</vt:lpstr>
      <vt:lpstr>dpa601_3_1</vt:lpstr>
      <vt:lpstr>dpa601_3_2</vt:lpstr>
      <vt:lpstr>dpa601_3_3</vt:lpstr>
      <vt:lpstr>dpa601_3_4</vt:lpstr>
      <vt:lpstr>dpa601_3_5</vt:lpstr>
      <vt:lpstr>dpa601_4</vt:lpstr>
      <vt:lpstr>dpa601_5</vt:lpstr>
      <vt:lpstr>dpa601_5_1</vt:lpstr>
      <vt:lpstr>dpa601_5_2</vt:lpstr>
      <vt:lpstr>dpa601_5_3</vt:lpstr>
      <vt:lpstr>dpa601_5_4</vt:lpstr>
      <vt:lpstr>dpa601_6</vt:lpstr>
      <vt:lpstr>dpa601_6_1</vt:lpstr>
      <vt:lpstr>dpa601_6_2</vt:lpstr>
      <vt:lpstr>dpa601_7</vt:lpstr>
      <vt:lpstr>dpa601_7_1</vt:lpstr>
      <vt:lpstr>dpa601_7_2</vt:lpstr>
      <vt:lpstr>dpa601_7_3</vt:lpstr>
      <vt:lpstr>dpa601_8</vt:lpstr>
      <vt:lpstr>dpa602_1_1_1</vt:lpstr>
      <vt:lpstr>dpa602_1_1_2</vt:lpstr>
      <vt:lpstr>dpa602_1_10</vt:lpstr>
      <vt:lpstr>dpa602_1_11</vt:lpstr>
      <vt:lpstr>dpa602_1_12</vt:lpstr>
      <vt:lpstr>dpa602_1_13</vt:lpstr>
      <vt:lpstr>dpa602_1_14_1</vt:lpstr>
      <vt:lpstr>dpa602_1_14_2</vt:lpstr>
      <vt:lpstr>dpa602_1_14_3</vt:lpstr>
      <vt:lpstr>dpa602_1_15</vt:lpstr>
      <vt:lpstr>dpa602_1_2</vt:lpstr>
      <vt:lpstr>dpa602_1_3_1</vt:lpstr>
      <vt:lpstr>dpa602_1_3_2</vt:lpstr>
      <vt:lpstr>dpa602_1_4_1_1</vt:lpstr>
      <vt:lpstr>dpa602_1_4_1_2</vt:lpstr>
      <vt:lpstr>dpa602_1_4_2_1</vt:lpstr>
      <vt:lpstr>dpa602_1_4_2_2</vt:lpstr>
      <vt:lpstr>dpa602_1_5_1</vt:lpstr>
      <vt:lpstr>dpa602_1_5_2</vt:lpstr>
      <vt:lpstr>dpa602_1_6_1</vt:lpstr>
      <vt:lpstr>dpa602_1_6_2</vt:lpstr>
      <vt:lpstr>dpa602_1_6_3</vt:lpstr>
      <vt:lpstr>dpa602_1_7_1_1</vt:lpstr>
      <vt:lpstr>dpa602_1_7_1_2</vt:lpstr>
      <vt:lpstr>dpa602_1_7_1_3</vt:lpstr>
      <vt:lpstr>dpa602_1_7_2</vt:lpstr>
      <vt:lpstr>dpa602_1_7_3</vt:lpstr>
      <vt:lpstr>dpa602_1_8</vt:lpstr>
      <vt:lpstr>dpa602_1_9_1</vt:lpstr>
      <vt:lpstr>dpa602_1_9_2</vt:lpstr>
      <vt:lpstr>dpa602_1_9_3</vt:lpstr>
      <vt:lpstr>dpa602_1_9_4</vt:lpstr>
      <vt:lpstr>dpa602_1_9_5_a</vt:lpstr>
      <vt:lpstr>dpa602_1_9_5_b</vt:lpstr>
      <vt:lpstr>dpa602_1_9_6</vt:lpstr>
      <vt:lpstr>dpa602_1_9_7</vt:lpstr>
      <vt:lpstr>dpa602_2</vt:lpstr>
      <vt:lpstr>dpa602_3</vt:lpstr>
      <vt:lpstr>dpa602_4_1</vt:lpstr>
      <vt:lpstr>dpa602_4_2</vt:lpstr>
      <vt:lpstr>dpa602_4_3</vt:lpstr>
      <vt:lpstr>dpa603_1</vt:lpstr>
      <vt:lpstr>dpa603_2</vt:lpstr>
      <vt:lpstr>dpa603_3</vt:lpstr>
      <vt:lpstr>dpa604_1a</vt:lpstr>
      <vt:lpstr>dpa605_1</vt:lpstr>
      <vt:lpstr>dpa605_2</vt:lpstr>
      <vt:lpstr>dpa605_3</vt:lpstr>
      <vt:lpstr>dpa605_4</vt:lpstr>
      <vt:lpstr>dpa605_4_1</vt:lpstr>
      <vt:lpstr>dpa605_4_2</vt:lpstr>
      <vt:lpstr>dpa606_1_1</vt:lpstr>
      <vt:lpstr>dpa606_1_2</vt:lpstr>
      <vt:lpstr>dpa606_1_3</vt:lpstr>
      <vt:lpstr>dpa606_2_1a</vt:lpstr>
      <vt:lpstr>dpa606_2_2a</vt:lpstr>
      <vt:lpstr>dpa606_3</vt:lpstr>
      <vt:lpstr>dpa607_1_1</vt:lpstr>
      <vt:lpstr>dpa607_1_2</vt:lpstr>
      <vt:lpstr>dpa607_2</vt:lpstr>
      <vt:lpstr>dpa608_1</vt:lpstr>
      <vt:lpstr>dpa609_1</vt:lpstr>
      <vt:lpstr>dpa609_1_1</vt:lpstr>
      <vt:lpstr>dpa609_1_2</vt:lpstr>
      <vt:lpstr>dpa610_1_1_1</vt:lpstr>
      <vt:lpstr>dpa610_1_1_2</vt:lpstr>
      <vt:lpstr>dpa610_1_1_3</vt:lpstr>
      <vt:lpstr>dpa610_1_2</vt:lpstr>
      <vt:lpstr>dpa610_1_2_1</vt:lpstr>
      <vt:lpstr>dpa610_1_2_2a</vt:lpstr>
      <vt:lpstr>dpa611_1</vt:lpstr>
      <vt:lpstr>dpa612_1</vt:lpstr>
      <vt:lpstr>dpa612_2</vt:lpstr>
      <vt:lpstr>dpa612_2_1</vt:lpstr>
      <vt:lpstr>dpa612_2_2</vt:lpstr>
      <vt:lpstr>dpa612_2_3</vt:lpstr>
      <vt:lpstr>dpa612_2_4</vt:lpstr>
      <vt:lpstr>dpa612_2_5</vt:lpstr>
      <vt:lpstr>dpa612_2_6</vt:lpstr>
      <vt:lpstr>dpa612_2_7</vt:lpstr>
      <vt:lpstr>dpa612_3</vt:lpstr>
      <vt:lpstr>dpa612_3_1</vt:lpstr>
      <vt:lpstr>dpa612_3_2</vt:lpstr>
      <vt:lpstr>dpa612_3_3</vt:lpstr>
      <vt:lpstr>dpa612_3_4</vt:lpstr>
      <vt:lpstr>dpa612_3_5</vt:lpstr>
      <vt:lpstr>dpa612_3_6</vt:lpstr>
      <vt:lpstr>dpa612_3_7</vt:lpstr>
      <vt:lpstr>dpa612_3_8</vt:lpstr>
      <vt:lpstr>dpa612_3_9</vt:lpstr>
      <vt:lpstr>dpa613_1_a</vt:lpstr>
      <vt:lpstr>dpa613_1_b</vt:lpstr>
      <vt:lpstr>dpa613_1_c</vt:lpstr>
      <vt:lpstr>dpa613_1_d</vt:lpstr>
      <vt:lpstr>dpa613_1_e</vt:lpstr>
      <vt:lpstr>dpa613_1_f</vt:lpstr>
      <vt:lpstr>dpa701_4_0</vt:lpstr>
      <vt:lpstr>dpa701_4_1_1</vt:lpstr>
      <vt:lpstr>dpa701_4_1_2</vt:lpstr>
      <vt:lpstr>dpa701_4_2_1</vt:lpstr>
      <vt:lpstr>dpa701_4_2_2</vt:lpstr>
      <vt:lpstr>dpa701_4_2_3</vt:lpstr>
      <vt:lpstr>dpa701_4_3_1</vt:lpstr>
      <vt:lpstr>dpa701_4_3_2</vt:lpstr>
      <vt:lpstr>dpa701_4_3_2_1</vt:lpstr>
      <vt:lpstr>dpa701_4_3_4</vt:lpstr>
      <vt:lpstr>dpa701_4_3_5</vt:lpstr>
      <vt:lpstr>dpa701_4_4</vt:lpstr>
      <vt:lpstr>dpa701_4_5</vt:lpstr>
      <vt:lpstr>dpa701_4_6</vt:lpstr>
      <vt:lpstr>dpa701_4_7</vt:lpstr>
      <vt:lpstr>dpa703_1</vt:lpstr>
      <vt:lpstr>dpa703_1_1</vt:lpstr>
      <vt:lpstr>dpa703_1_2</vt:lpstr>
      <vt:lpstr>dpa703_1_3</vt:lpstr>
      <vt:lpstr>dpa703_2_1</vt:lpstr>
      <vt:lpstr>dpa703_2_2</vt:lpstr>
      <vt:lpstr>dpa703_2_3</vt:lpstr>
      <vt:lpstr>dpa703_2_4</vt:lpstr>
      <vt:lpstr>dpa703_2_5_1</vt:lpstr>
      <vt:lpstr>dpa703_2_5_2</vt:lpstr>
      <vt:lpstr>dpa703_2_5_2_a</vt:lpstr>
      <vt:lpstr>dpa703_2_5_2_b</vt:lpstr>
      <vt:lpstr>dpa703_2_5_2_c</vt:lpstr>
      <vt:lpstr>dpa703_3_1</vt:lpstr>
      <vt:lpstr>dpa703_3_2_1_1</vt:lpstr>
      <vt:lpstr>dpa703_3_2_1_2</vt:lpstr>
      <vt:lpstr>dpa703_3_2_1_3</vt:lpstr>
      <vt:lpstr>dpa703_3_2_1_4</vt:lpstr>
      <vt:lpstr>dpa703_3_2_1_5</vt:lpstr>
      <vt:lpstr>dpa703_3_2_2_1</vt:lpstr>
      <vt:lpstr>dpa703_3_2_2_2</vt:lpstr>
      <vt:lpstr>dpa703_3_2_3_1</vt:lpstr>
      <vt:lpstr>dpa703_3_2_3_2</vt:lpstr>
      <vt:lpstr>dpa703_3_2_3_3</vt:lpstr>
      <vt:lpstr>dpa703_3_2_3_4</vt:lpstr>
      <vt:lpstr>dpa703_3_2_4_1</vt:lpstr>
      <vt:lpstr>dpa703_3_2_4_2</vt:lpstr>
      <vt:lpstr>dpa703_3_3_1_1</vt:lpstr>
      <vt:lpstr>dpa703_3_3_1_2</vt:lpstr>
      <vt:lpstr>dpa703_3_3_1_3</vt:lpstr>
      <vt:lpstr>dpa703_3_3_1_4</vt:lpstr>
      <vt:lpstr>dpa703_3_3_1_5</vt:lpstr>
      <vt:lpstr>dpa703_3_3_2</vt:lpstr>
      <vt:lpstr>dpa703_3_3_3</vt:lpstr>
      <vt:lpstr>dpa703_3_4_1_1</vt:lpstr>
      <vt:lpstr>dpa703_3_4_1_2</vt:lpstr>
      <vt:lpstr>dpa703_3_4_1_3</vt:lpstr>
      <vt:lpstr>dpa703_3_4_1_4</vt:lpstr>
      <vt:lpstr>dpa703_3_4_1_5</vt:lpstr>
      <vt:lpstr>dpa703_3_4_1_6</vt:lpstr>
      <vt:lpstr>dpa703_3_4_2</vt:lpstr>
      <vt:lpstr>dpa703_3_5</vt:lpstr>
      <vt:lpstr>dpa703_3_6_1</vt:lpstr>
      <vt:lpstr>dpa703_3_6_2</vt:lpstr>
      <vt:lpstr>dpa703_3_6_3</vt:lpstr>
      <vt:lpstr>dpa703_3_7</vt:lpstr>
      <vt:lpstr>dpa703_3_8</vt:lpstr>
      <vt:lpstr>dpa703_4_1</vt:lpstr>
      <vt:lpstr>dpa703_4_2</vt:lpstr>
      <vt:lpstr>dpa703_4_3</vt:lpstr>
      <vt:lpstr>dpa703_4_4</vt:lpstr>
      <vt:lpstr>dpa703_4_4_1</vt:lpstr>
      <vt:lpstr>dpa703_4_4_2</vt:lpstr>
      <vt:lpstr>dpa703_4_4_3</vt:lpstr>
      <vt:lpstr>dpa703_5_1_1_a_1</vt:lpstr>
      <vt:lpstr>dpa703_5_1_1_a_2</vt:lpstr>
      <vt:lpstr>dpa703_5_1_1_b</vt:lpstr>
      <vt:lpstr>dpa703_5_1_1_c_1</vt:lpstr>
      <vt:lpstr>dpa703_5_1_1_c_2</vt:lpstr>
      <vt:lpstr>dpa703_5_1_1_d_1</vt:lpstr>
      <vt:lpstr>dpa703_5_1_1_d_2</vt:lpstr>
      <vt:lpstr>dpa703_5_1_1_e_1</vt:lpstr>
      <vt:lpstr>dpa703_5_1_1_e_2</vt:lpstr>
      <vt:lpstr>dpa703_5_1_2_a_1</vt:lpstr>
      <vt:lpstr>dpa703_5_1_2_a_2</vt:lpstr>
      <vt:lpstr>dpa703_5_1_2_a_3</vt:lpstr>
      <vt:lpstr>dpa703_5_1_2_a_4</vt:lpstr>
      <vt:lpstr>dpa703_5_1_2_a_5</vt:lpstr>
      <vt:lpstr>dpa703_5_1_2_a_6</vt:lpstr>
      <vt:lpstr>dpa703_5_1_2_a_7</vt:lpstr>
      <vt:lpstr>dpa703_5_1_2_b_1</vt:lpstr>
      <vt:lpstr>dpa703_5_1_2_b_2</vt:lpstr>
      <vt:lpstr>dpa703_5_1_2_b_3</vt:lpstr>
      <vt:lpstr>dpa703_5_1_2_b_4</vt:lpstr>
      <vt:lpstr>dpa703_5_1_2_c</vt:lpstr>
      <vt:lpstr>dpa703_5_1_2_d</vt:lpstr>
      <vt:lpstr>dpa703_5_1_2_e</vt:lpstr>
      <vt:lpstr>dpa703_5_1_3</vt:lpstr>
      <vt:lpstr>dpa703_5_2</vt:lpstr>
      <vt:lpstr>dpa703_5_3</vt:lpstr>
      <vt:lpstr>dpa703_5_4</vt:lpstr>
      <vt:lpstr>dpa703_5_5_a_1</vt:lpstr>
      <vt:lpstr>dpa703_5_5_a_2</vt:lpstr>
      <vt:lpstr>dpa703_5_5_a_3</vt:lpstr>
      <vt:lpstr>dpa703_5_5_a_4</vt:lpstr>
      <vt:lpstr>dpa703_5_5_a_5</vt:lpstr>
      <vt:lpstr>dpa703_5_5_b_1</vt:lpstr>
      <vt:lpstr>dpa703_5_5_b_2</vt:lpstr>
      <vt:lpstr>dpa703_5_5_b_3</vt:lpstr>
      <vt:lpstr>dpa703_5_5_b_4</vt:lpstr>
      <vt:lpstr>dpa703_5_5_b_5</vt:lpstr>
      <vt:lpstr>dpa703_6_1_1</vt:lpstr>
      <vt:lpstr>dpa703_6_1_2</vt:lpstr>
      <vt:lpstr>dpa703_6_1_3</vt:lpstr>
      <vt:lpstr>dpa703_6_2_1</vt:lpstr>
      <vt:lpstr>dpa703_6_2_2</vt:lpstr>
      <vt:lpstr>dpa703_6_2_3</vt:lpstr>
      <vt:lpstr>dpa703_7_1</vt:lpstr>
      <vt:lpstr>dpa703_7_2</vt:lpstr>
      <vt:lpstr>dpa703_7_3_1</vt:lpstr>
      <vt:lpstr>dpa703_7_3_2</vt:lpstr>
      <vt:lpstr>dpa703_7_4</vt:lpstr>
      <vt:lpstr>dpa705_2_1_1_1</vt:lpstr>
      <vt:lpstr>dpa705_2_1_1_2</vt:lpstr>
      <vt:lpstr>dpa705_2_1_2</vt:lpstr>
      <vt:lpstr>dpa705_2_1_3_1_a</vt:lpstr>
      <vt:lpstr>dpa705_2_1_3_1_b</vt:lpstr>
      <vt:lpstr>dpa705_2_1_3_2_a</vt:lpstr>
      <vt:lpstr>dpa705_2_1_3_2_b</vt:lpstr>
      <vt:lpstr>dpa705_2_1_4_1</vt:lpstr>
      <vt:lpstr>dpa705_2_1_4_2</vt:lpstr>
      <vt:lpstr>dpa705_2_2</vt:lpstr>
      <vt:lpstr>dpa705_2_3</vt:lpstr>
      <vt:lpstr>dpa705_2_4</vt:lpstr>
      <vt:lpstr>dpa705_3</vt:lpstr>
      <vt:lpstr>dpa705_4</vt:lpstr>
      <vt:lpstr>dpa705_5_1_1</vt:lpstr>
      <vt:lpstr>dpa705_5_1_2</vt:lpstr>
      <vt:lpstr>dpa705_5_2</vt:lpstr>
      <vt:lpstr>dpa705_5_3_1</vt:lpstr>
      <vt:lpstr>dpa705_5_3_2</vt:lpstr>
      <vt:lpstr>dpa705_6_1</vt:lpstr>
      <vt:lpstr>dpa705_6_2_1_1</vt:lpstr>
      <vt:lpstr>dpa705_6_2_1_2</vt:lpstr>
      <vt:lpstr>dpa705_6_2_2_1</vt:lpstr>
      <vt:lpstr>dpa705_6_2_2_2</vt:lpstr>
      <vt:lpstr>dpa705_6_2_3_1</vt:lpstr>
      <vt:lpstr>dpa705_6_2_3_2</vt:lpstr>
      <vt:lpstr>dpa705_6_3</vt:lpstr>
      <vt:lpstr>dpa705_6_4_1</vt:lpstr>
      <vt:lpstr>dpa705_6_4_2</vt:lpstr>
      <vt:lpstr>dpa705_7</vt:lpstr>
      <vt:lpstr>dpa706_1</vt:lpstr>
      <vt:lpstr>dpa706_1_1</vt:lpstr>
      <vt:lpstr>dpa706_1_2</vt:lpstr>
      <vt:lpstr>dpa706_1_3</vt:lpstr>
      <vt:lpstr>dpa706_1_4</vt:lpstr>
      <vt:lpstr>dpa706_1_5</vt:lpstr>
      <vt:lpstr>dpa706_10</vt:lpstr>
      <vt:lpstr>dpa706_11</vt:lpstr>
      <vt:lpstr>dpa706_12</vt:lpstr>
      <vt:lpstr>dpa706_13_1</vt:lpstr>
      <vt:lpstr>dpa706_13_2</vt:lpstr>
      <vt:lpstr>dpa706_14_1</vt:lpstr>
      <vt:lpstr>dpa706_14_2</vt:lpstr>
      <vt:lpstr>dpa706_15_1</vt:lpstr>
      <vt:lpstr>dpa706_15_2</vt:lpstr>
      <vt:lpstr>dpa706_2_1</vt:lpstr>
      <vt:lpstr>dpa706_2_2_a</vt:lpstr>
      <vt:lpstr>dpa706_2_2_b</vt:lpstr>
      <vt:lpstr>dpa706_3_1</vt:lpstr>
      <vt:lpstr>dpa706_3_2</vt:lpstr>
      <vt:lpstr>dpa706_4_1_1</vt:lpstr>
      <vt:lpstr>dpa706_4_1_2</vt:lpstr>
      <vt:lpstr>dpa706_4_2</vt:lpstr>
      <vt:lpstr>dpa706_5_1</vt:lpstr>
      <vt:lpstr>dpa706_5_2</vt:lpstr>
      <vt:lpstr>dpa706_5_3</vt:lpstr>
      <vt:lpstr>dpa706_6</vt:lpstr>
      <vt:lpstr>dpa706_7_1</vt:lpstr>
      <vt:lpstr>dpa706_7_2</vt:lpstr>
      <vt:lpstr>dpa706_8</vt:lpstr>
      <vt:lpstr>dpa706_9</vt:lpstr>
      <vt:lpstr>dpa802_1_1</vt:lpstr>
      <vt:lpstr>dpa802_1_2</vt:lpstr>
      <vt:lpstr>dpa802_1_3</vt:lpstr>
      <vt:lpstr>dpa802_1_4</vt:lpstr>
      <vt:lpstr>dpa802_1_4_a</vt:lpstr>
      <vt:lpstr>dpa802_1_5</vt:lpstr>
      <vt:lpstr>dpa802_1_6</vt:lpstr>
      <vt:lpstr>dpa802_10_1</vt:lpstr>
      <vt:lpstr>dpa802_10_1_1</vt:lpstr>
      <vt:lpstr>dpa802_2_1</vt:lpstr>
      <vt:lpstr>dpa802_2_2</vt:lpstr>
      <vt:lpstr>dpa802_2_3</vt:lpstr>
      <vt:lpstr>dpa802_3_1_a</vt:lpstr>
      <vt:lpstr>dpa802_3_1_b</vt:lpstr>
      <vt:lpstr>dpa802_3_2</vt:lpstr>
      <vt:lpstr>dpa802_3_2_a</vt:lpstr>
      <vt:lpstr>dpa802_3_2_b</vt:lpstr>
      <vt:lpstr>dpa802_4_1</vt:lpstr>
      <vt:lpstr>dpa802_4_1_1</vt:lpstr>
      <vt:lpstr>dpa802_4_1_2</vt:lpstr>
      <vt:lpstr>dpa802_4_2_a</vt:lpstr>
      <vt:lpstr>dpa802_4_2_b</vt:lpstr>
      <vt:lpstr>dpa802_4_3</vt:lpstr>
      <vt:lpstr>dpa802_5_1_1</vt:lpstr>
      <vt:lpstr>dpa802_5_1_2</vt:lpstr>
      <vt:lpstr>dpa802_5_1_3</vt:lpstr>
      <vt:lpstr>dpa802_5_1_4</vt:lpstr>
      <vt:lpstr>dpa802_5_1_5</vt:lpstr>
      <vt:lpstr>dpa802_5_2_1</vt:lpstr>
      <vt:lpstr>dpa802_5_2_2</vt:lpstr>
      <vt:lpstr>dpa802_5_3</vt:lpstr>
      <vt:lpstr>dpa802_5_4_1</vt:lpstr>
      <vt:lpstr>dpa802_5_4_2</vt:lpstr>
      <vt:lpstr>dpa802_5_4_3</vt:lpstr>
      <vt:lpstr>dpa802_5_4_4_a</vt:lpstr>
      <vt:lpstr>dpa802_5_4_4_b</vt:lpstr>
      <vt:lpstr>dpa802_5_4_4_c</vt:lpstr>
      <vt:lpstr>dpa802_6_1</vt:lpstr>
      <vt:lpstr>dpa802_6_2</vt:lpstr>
      <vt:lpstr>dpa802_6_3_1</vt:lpstr>
      <vt:lpstr>dpa802_6_3_2</vt:lpstr>
      <vt:lpstr>dpa802_6_3_3</vt:lpstr>
      <vt:lpstr>dpa802_6_4_1</vt:lpstr>
      <vt:lpstr>dpa802_6_4_2</vt:lpstr>
      <vt:lpstr>dpa802_6_5_1</vt:lpstr>
      <vt:lpstr>dpa802_6_5_2</vt:lpstr>
      <vt:lpstr>dpa802_6_5_3</vt:lpstr>
      <vt:lpstr>dpa802_6_5_4</vt:lpstr>
      <vt:lpstr>dpa802_6_5_5</vt:lpstr>
      <vt:lpstr>dpa802_7_1_1</vt:lpstr>
      <vt:lpstr>dpa802_7_1_2_a</vt:lpstr>
      <vt:lpstr>dpa802_7_1_2_b</vt:lpstr>
      <vt:lpstr>dpa802_7_1_2_c</vt:lpstr>
      <vt:lpstr>dpa802_7_1_2_d</vt:lpstr>
      <vt:lpstr>dpa802_7_2_1</vt:lpstr>
      <vt:lpstr>dpa802_7_2_2</vt:lpstr>
      <vt:lpstr>dpa802_8</vt:lpstr>
      <vt:lpstr>dpa802_9_1_1</vt:lpstr>
      <vt:lpstr>dpa802_9_1_2</vt:lpstr>
      <vt:lpstr>dpa802_9_2_1</vt:lpstr>
      <vt:lpstr>dpa802_9_2_2</vt:lpstr>
      <vt:lpstr>dpa803_1_1</vt:lpstr>
      <vt:lpstr>dpa803_1_2</vt:lpstr>
      <vt:lpstr>dpa803_2</vt:lpstr>
      <vt:lpstr>dpa803_3</vt:lpstr>
      <vt:lpstr>dpa803_4</vt:lpstr>
      <vt:lpstr>dpa803_5</vt:lpstr>
      <vt:lpstr>dpa803_6</vt:lpstr>
      <vt:lpstr>dpa901_1_1</vt:lpstr>
      <vt:lpstr>dpa901_1_2</vt:lpstr>
      <vt:lpstr>dpa901_1_3_1_a</vt:lpstr>
      <vt:lpstr>dpa901_1_3_1_b</vt:lpstr>
      <vt:lpstr>dpa901_1_3_2_a</vt:lpstr>
      <vt:lpstr>dpa901_1_3_2_b</vt:lpstr>
      <vt:lpstr>dpa901_1_4</vt:lpstr>
      <vt:lpstr>dpa901_1_5</vt:lpstr>
      <vt:lpstr>dpa901_1_6_1</vt:lpstr>
      <vt:lpstr>dpa901_1_6_2</vt:lpstr>
      <vt:lpstr>dpa901_10_1</vt:lpstr>
      <vt:lpstr>dpa901_10_2</vt:lpstr>
      <vt:lpstr>dpa901_10_3</vt:lpstr>
      <vt:lpstr>dpa901_11</vt:lpstr>
      <vt:lpstr>dpa901_12</vt:lpstr>
      <vt:lpstr>dpa901_13</vt:lpstr>
      <vt:lpstr>dpa901_14_1</vt:lpstr>
      <vt:lpstr>dpa901_14_2</vt:lpstr>
      <vt:lpstr>dpa901_15_1</vt:lpstr>
      <vt:lpstr>dpa901_15_2</vt:lpstr>
      <vt:lpstr>dpa901_16</vt:lpstr>
      <vt:lpstr>dpa901_2_1_1</vt:lpstr>
      <vt:lpstr>dpa901_2_1_1_m</vt:lpstr>
      <vt:lpstr>dpa901_2_1_2</vt:lpstr>
      <vt:lpstr>dpa901_2_1_2_m</vt:lpstr>
      <vt:lpstr>dpa901_2_1_3</vt:lpstr>
      <vt:lpstr>dpa901_2_1_3_m</vt:lpstr>
      <vt:lpstr>dpa901_2_1_4</vt:lpstr>
      <vt:lpstr>dpa901_2_1_4_m</vt:lpstr>
      <vt:lpstr>dpa901_2_1_5</vt:lpstr>
      <vt:lpstr>dpa901_2_1_5_m</vt:lpstr>
      <vt:lpstr>dpa901_2_2</vt:lpstr>
      <vt:lpstr>dpa901_3_1_a</vt:lpstr>
      <vt:lpstr>dpa901_3_1_a_m</vt:lpstr>
      <vt:lpstr>dpa901_3_1_b</vt:lpstr>
      <vt:lpstr>dpa901_3_1_b_m</vt:lpstr>
      <vt:lpstr>dpa901_3_1_c</vt:lpstr>
      <vt:lpstr>dpa901_3_2</vt:lpstr>
      <vt:lpstr>dpa901_4</vt:lpstr>
      <vt:lpstr>dpa901_4_1</vt:lpstr>
      <vt:lpstr>dpa901_4_2</vt:lpstr>
      <vt:lpstr>dpa901_4_3</vt:lpstr>
      <vt:lpstr>dpa901_4_4</vt:lpstr>
      <vt:lpstr>dpa901_4_5</vt:lpstr>
      <vt:lpstr>dpa901_4_6</vt:lpstr>
      <vt:lpstr>dpa901_5_1</vt:lpstr>
      <vt:lpstr>dpa901_5_2</vt:lpstr>
      <vt:lpstr>dpa901_6</vt:lpstr>
      <vt:lpstr>dpa901_7</vt:lpstr>
      <vt:lpstr>dpa901_8</vt:lpstr>
      <vt:lpstr>dpa901_9_1</vt:lpstr>
      <vt:lpstr>dpa901_9_2</vt:lpstr>
      <vt:lpstr>dpa901_9_3</vt:lpstr>
      <vt:lpstr>dpa901_9_4</vt:lpstr>
      <vt:lpstr>dpa902_1_1_1</vt:lpstr>
      <vt:lpstr>dpa902_1_1_1_a</vt:lpstr>
      <vt:lpstr>dpa902_1_1_2</vt:lpstr>
      <vt:lpstr>dpa902_1_1_3</vt:lpstr>
      <vt:lpstr>dpa902_1_2</vt:lpstr>
      <vt:lpstr>dpa902_1_2_1</vt:lpstr>
      <vt:lpstr>dpa902_1_2_2</vt:lpstr>
      <vt:lpstr>dpa902_1_3</vt:lpstr>
      <vt:lpstr>dpa902_1_4</vt:lpstr>
      <vt:lpstr>dpa902_1_4_1</vt:lpstr>
      <vt:lpstr>dpa902_1_4_2</vt:lpstr>
      <vt:lpstr>dpa902_1_5</vt:lpstr>
      <vt:lpstr>dpa902_1_6</vt:lpstr>
      <vt:lpstr>dpa902_2_1</vt:lpstr>
      <vt:lpstr>dpa902_2_1_1</vt:lpstr>
      <vt:lpstr>dpa902_2_1_2</vt:lpstr>
      <vt:lpstr>dpa902_2_1_3</vt:lpstr>
      <vt:lpstr>dpa902_2_1_4</vt:lpstr>
      <vt:lpstr>dpa902_2_1_5</vt:lpstr>
      <vt:lpstr>dpa902_2_2</vt:lpstr>
      <vt:lpstr>dpa902_2_3</vt:lpstr>
      <vt:lpstr>dpa902_2_4</vt:lpstr>
      <vt:lpstr>dpa902_2_5</vt:lpstr>
      <vt:lpstr>dpa902_3</vt:lpstr>
      <vt:lpstr>dpa902_3_1_a</vt:lpstr>
      <vt:lpstr>dpa902_3_1_b</vt:lpstr>
      <vt:lpstr>dpa902_3_2_1</vt:lpstr>
      <vt:lpstr>dpa902_3_2_2</vt:lpstr>
      <vt:lpstr>dpa902_3_2_a</vt:lpstr>
      <vt:lpstr>dpa902_3_2_b</vt:lpstr>
      <vt:lpstr>dpa902_4</vt:lpstr>
      <vt:lpstr>dpa902_5</vt:lpstr>
      <vt:lpstr>dpa902_6</vt:lpstr>
      <vt:lpstr>dpa903_1_1</vt:lpstr>
      <vt:lpstr>dpa903_1_2</vt:lpstr>
      <vt:lpstr>dpa903_2_1</vt:lpstr>
      <vt:lpstr>dpa903_2_2</vt:lpstr>
      <vt:lpstr>dpa903_3</vt:lpstr>
      <vt:lpstr>dpa904_1</vt:lpstr>
      <vt:lpstr>dpa904_2</vt:lpstr>
      <vt:lpstr>dpa904_3_1</vt:lpstr>
      <vt:lpstr>dpa904_3_2</vt:lpstr>
      <vt:lpstr>dpa905_1</vt:lpstr>
      <vt:lpstr>dpa905_2</vt:lpstr>
      <vt:lpstr>dpa905_3</vt:lpstr>
      <vt:lpstr>dpa905_4</vt:lpstr>
      <vt:lpstr>dpa905_5</vt:lpstr>
      <vt:lpstr>dpa905_6</vt:lpstr>
      <vt:lpstr>dpa905_6_1</vt:lpstr>
      <vt:lpstr>dpa905_6_2</vt:lpstr>
      <vt:lpstr>dpa905_6_3</vt:lpstr>
      <vt:lpstr>dpc1001_1</vt:lpstr>
      <vt:lpstr>dpc1001_2</vt:lpstr>
      <vt:lpstr>dpc1002_1</vt:lpstr>
      <vt:lpstr>dpc1002_2</vt:lpstr>
      <vt:lpstr>dpc1002_3</vt:lpstr>
      <vt:lpstr>dpc1002_4</vt:lpstr>
      <vt:lpstr>dpc1002_5</vt:lpstr>
      <vt:lpstr>dpc1002_6</vt:lpstr>
      <vt:lpstr>dpc1003_1</vt:lpstr>
      <vt:lpstr>dpc1005_1_1</vt:lpstr>
      <vt:lpstr>dpc1005_1_2</vt:lpstr>
      <vt:lpstr>dpc1005_1_3</vt:lpstr>
      <vt:lpstr>dpc501_2_1</vt:lpstr>
      <vt:lpstr>dpc501_2_2</vt:lpstr>
      <vt:lpstr>dpc501_2_3</vt:lpstr>
      <vt:lpstr>dpc501_2_3_</vt:lpstr>
      <vt:lpstr>dpc501_2_4</vt:lpstr>
      <vt:lpstr>dpc501_2_5</vt:lpstr>
      <vt:lpstr>dpc501_2_6</vt:lpstr>
      <vt:lpstr>dpc501_2_7</vt:lpstr>
      <vt:lpstr>dpc502_1</vt:lpstr>
      <vt:lpstr>dpc503_1_1</vt:lpstr>
      <vt:lpstr>dpc503_1_2</vt:lpstr>
      <vt:lpstr>dpc503_1_3</vt:lpstr>
      <vt:lpstr>dpc503_1_4</vt:lpstr>
      <vt:lpstr>dpc503_1_5</vt:lpstr>
      <vt:lpstr>dpc503_1_6</vt:lpstr>
      <vt:lpstr>dpc503_1_7</vt:lpstr>
      <vt:lpstr>dpc503_1_8</vt:lpstr>
      <vt:lpstr>dpc503_2_1</vt:lpstr>
      <vt:lpstr>dpc503_2_2</vt:lpstr>
      <vt:lpstr>dpc503_2_3</vt:lpstr>
      <vt:lpstr>dpc503_2_4</vt:lpstr>
      <vt:lpstr>dpc503_2_5</vt:lpstr>
      <vt:lpstr>dpc503_3_1</vt:lpstr>
      <vt:lpstr>dpc503_3_2</vt:lpstr>
      <vt:lpstr>dpc503_3_3</vt:lpstr>
      <vt:lpstr>dpc503_4_1</vt:lpstr>
      <vt:lpstr>dpc503_4_2</vt:lpstr>
      <vt:lpstr>dpc503_4_3</vt:lpstr>
      <vt:lpstr>dpc503_4_3_</vt:lpstr>
      <vt:lpstr>dpc503_4_4</vt:lpstr>
      <vt:lpstr>dpc503_5_1</vt:lpstr>
      <vt:lpstr>dpc503_5_10</vt:lpstr>
      <vt:lpstr>dpc503_5_11</vt:lpstr>
      <vt:lpstr>dpc503_5_12</vt:lpstr>
      <vt:lpstr>dpc503_5_13</vt:lpstr>
      <vt:lpstr>dpc503_5_2</vt:lpstr>
      <vt:lpstr>dpc503_5_3</vt:lpstr>
      <vt:lpstr>dpc503_5_4</vt:lpstr>
      <vt:lpstr>dpc503_5_5</vt:lpstr>
      <vt:lpstr>dpc503_5_6</vt:lpstr>
      <vt:lpstr>dpc503_5_7</vt:lpstr>
      <vt:lpstr>dpc503_5_8</vt:lpstr>
      <vt:lpstr>dpc503_5_9</vt:lpstr>
      <vt:lpstr>dpc503_6</vt:lpstr>
      <vt:lpstr>dpc503_7_1</vt:lpstr>
      <vt:lpstr>dpc503_7_2</vt:lpstr>
      <vt:lpstr>dpc504_1</vt:lpstr>
      <vt:lpstr>dpc504_2_1</vt:lpstr>
      <vt:lpstr>dpc504_2_2</vt:lpstr>
      <vt:lpstr>dpc504_2_3</vt:lpstr>
      <vt:lpstr>dpc504_3_1</vt:lpstr>
      <vt:lpstr>dpc504_3_2</vt:lpstr>
      <vt:lpstr>dpc504_3_3</vt:lpstr>
      <vt:lpstr>dpc504_3_4</vt:lpstr>
      <vt:lpstr>dpc504_3_5</vt:lpstr>
      <vt:lpstr>dpc504_3_6</vt:lpstr>
      <vt:lpstr>dpc504_3_7</vt:lpstr>
      <vt:lpstr>dpc504_3_8</vt:lpstr>
      <vt:lpstr>dpc505_1_1</vt:lpstr>
      <vt:lpstr>dpc505_1_2</vt:lpstr>
      <vt:lpstr>dpc505_1_3</vt:lpstr>
      <vt:lpstr>dpc505_10_a</vt:lpstr>
      <vt:lpstr>dpc505_10_b</vt:lpstr>
      <vt:lpstr>dpc505_10_c</vt:lpstr>
      <vt:lpstr>dpc505_11</vt:lpstr>
      <vt:lpstr>dpc505_2_1</vt:lpstr>
      <vt:lpstr>dpc505_2_2</vt:lpstr>
      <vt:lpstr>dpc505_3</vt:lpstr>
      <vt:lpstr>dpc505_4_1</vt:lpstr>
      <vt:lpstr>dpc505_5_a</vt:lpstr>
      <vt:lpstr>dpc505_5_b</vt:lpstr>
      <vt:lpstr>dpc505_5_c</vt:lpstr>
      <vt:lpstr>dpc505_5_d</vt:lpstr>
      <vt:lpstr>dpc505_6</vt:lpstr>
      <vt:lpstr>dpc505_7</vt:lpstr>
      <vt:lpstr>dpc505_8</vt:lpstr>
      <vt:lpstr>dpc505_9_a</vt:lpstr>
      <vt:lpstr>dpc505_9_b</vt:lpstr>
      <vt:lpstr>dpc505_9_c</vt:lpstr>
      <vt:lpstr>dpc601_1</vt:lpstr>
      <vt:lpstr>dpc601_2_1</vt:lpstr>
      <vt:lpstr>dpc601_2_2</vt:lpstr>
      <vt:lpstr>dpc601_2_3</vt:lpstr>
      <vt:lpstr>dpc601_3_1</vt:lpstr>
      <vt:lpstr>dpc601_3_2</vt:lpstr>
      <vt:lpstr>dpc601_3_3</vt:lpstr>
      <vt:lpstr>dpc601_3_4</vt:lpstr>
      <vt:lpstr>dpc601_3_5</vt:lpstr>
      <vt:lpstr>dpc601_4</vt:lpstr>
      <vt:lpstr>dpc601_5_1</vt:lpstr>
      <vt:lpstr>dpc601_5_2</vt:lpstr>
      <vt:lpstr>dpc601_5_3</vt:lpstr>
      <vt:lpstr>dpc601_5_4</vt:lpstr>
      <vt:lpstr>dpc601_6</vt:lpstr>
      <vt:lpstr>dpc601_7</vt:lpstr>
      <vt:lpstr>dpc601_8</vt:lpstr>
      <vt:lpstr>dpc602_1_1_2</vt:lpstr>
      <vt:lpstr>dpc602_1_10</vt:lpstr>
      <vt:lpstr>dpc602_1_12</vt:lpstr>
      <vt:lpstr>dpc602_1_14_1</vt:lpstr>
      <vt:lpstr>dpc602_1_14_2</vt:lpstr>
      <vt:lpstr>dpc602_1_14_3</vt:lpstr>
      <vt:lpstr>dpc602_1_15</vt:lpstr>
      <vt:lpstr>dpc602_1_2</vt:lpstr>
      <vt:lpstr>dpc602_1_3_2</vt:lpstr>
      <vt:lpstr>dpc602_1_4_1_1</vt:lpstr>
      <vt:lpstr>dpc602_1_4_2_1</vt:lpstr>
      <vt:lpstr>dpc602_1_5_1</vt:lpstr>
      <vt:lpstr>dpc602_1_5_2</vt:lpstr>
      <vt:lpstr>dpc602_1_6_1</vt:lpstr>
      <vt:lpstr>dpc602_1_6_2</vt:lpstr>
      <vt:lpstr>dpc602_1_6_3</vt:lpstr>
      <vt:lpstr>dpc602_1_7_1_1</vt:lpstr>
      <vt:lpstr>dpc602_1_7_1_2</vt:lpstr>
      <vt:lpstr>dpc602_1_7_1_3</vt:lpstr>
      <vt:lpstr>dpc602_1_7_2</vt:lpstr>
      <vt:lpstr>dpc602_1_7_3</vt:lpstr>
      <vt:lpstr>dpc602_1_9_2</vt:lpstr>
      <vt:lpstr>dpc602_1_9_3</vt:lpstr>
      <vt:lpstr>dpc602_1_9_4</vt:lpstr>
      <vt:lpstr>dpc602_1_9_5</vt:lpstr>
      <vt:lpstr>dpc602_1_9_6</vt:lpstr>
      <vt:lpstr>dpc602_1_9_7</vt:lpstr>
      <vt:lpstr>dpc602_2</vt:lpstr>
      <vt:lpstr>dpc602_3</vt:lpstr>
      <vt:lpstr>dpc602_4_2</vt:lpstr>
      <vt:lpstr>dpc602_4_3</vt:lpstr>
      <vt:lpstr>dpc603_1</vt:lpstr>
      <vt:lpstr>dpc603_2</vt:lpstr>
      <vt:lpstr>dpc603_3</vt:lpstr>
      <vt:lpstr>dpc604_1a</vt:lpstr>
      <vt:lpstr>dpc605_2</vt:lpstr>
      <vt:lpstr>dpc605_3</vt:lpstr>
      <vt:lpstr>dpc605_4</vt:lpstr>
      <vt:lpstr>dpc606_1</vt:lpstr>
      <vt:lpstr>dpc606_2_1a</vt:lpstr>
      <vt:lpstr>dpc606_2_2a</vt:lpstr>
      <vt:lpstr>dpc606_3</vt:lpstr>
      <vt:lpstr>dpc607_1_1</vt:lpstr>
      <vt:lpstr>dpc607_1_2</vt:lpstr>
      <vt:lpstr>dpc607_2</vt:lpstr>
      <vt:lpstr>dpc608_1</vt:lpstr>
      <vt:lpstr>dpc609_1</vt:lpstr>
      <vt:lpstr>dpc610_1_1_1</vt:lpstr>
      <vt:lpstr>dpc610_1_1_2</vt:lpstr>
      <vt:lpstr>dpc610_1_1_3</vt:lpstr>
      <vt:lpstr>dpc610_1_2</vt:lpstr>
      <vt:lpstr>dpc611_1</vt:lpstr>
      <vt:lpstr>dpc612_1</vt:lpstr>
      <vt:lpstr>dpc612_2</vt:lpstr>
      <vt:lpstr>dpc612_3</vt:lpstr>
      <vt:lpstr>dpc613_1</vt:lpstr>
      <vt:lpstr>dpc703_1</vt:lpstr>
      <vt:lpstr>dpc703_2_1</vt:lpstr>
      <vt:lpstr>dpc703_2_2</vt:lpstr>
      <vt:lpstr>dpc703_2_3</vt:lpstr>
      <vt:lpstr>dpc703_2_4</vt:lpstr>
      <vt:lpstr>dpc703_2_5_2</vt:lpstr>
      <vt:lpstr>dpc703_3_1</vt:lpstr>
      <vt:lpstr>dpc703_3_2_1</vt:lpstr>
      <vt:lpstr>dpc703_3_2_2</vt:lpstr>
      <vt:lpstr>dpc703_3_2_3</vt:lpstr>
      <vt:lpstr>dpc703_3_2_4</vt:lpstr>
      <vt:lpstr>dpc703_3_3_1</vt:lpstr>
      <vt:lpstr>dpc703_3_3_2</vt:lpstr>
      <vt:lpstr>dpc703_3_3_3</vt:lpstr>
      <vt:lpstr>dpc703_3_4_1</vt:lpstr>
      <vt:lpstr>dpc703_3_4_1_6</vt:lpstr>
      <vt:lpstr>dpc703_3_4_2</vt:lpstr>
      <vt:lpstr>dpc703_3_5</vt:lpstr>
      <vt:lpstr>dpc703_3_6</vt:lpstr>
      <vt:lpstr>dpc703_3_7</vt:lpstr>
      <vt:lpstr>dpc703_3_8</vt:lpstr>
      <vt:lpstr>dpc703_4_1</vt:lpstr>
      <vt:lpstr>dpc703_4_2</vt:lpstr>
      <vt:lpstr>dpc703_4_3</vt:lpstr>
      <vt:lpstr>dpc703_4_4</vt:lpstr>
      <vt:lpstr>dpc703_5_1_1_a</vt:lpstr>
      <vt:lpstr>dpc703_5_1_1_b</vt:lpstr>
      <vt:lpstr>dpc703_5_1_1_c</vt:lpstr>
      <vt:lpstr>dpc703_5_1_1_d</vt:lpstr>
      <vt:lpstr>dpc703_5_1_1_e</vt:lpstr>
      <vt:lpstr>dpc703_5_1_2_a</vt:lpstr>
      <vt:lpstr>dpc703_5_1_2_b</vt:lpstr>
      <vt:lpstr>dpc703_5_1_2_c</vt:lpstr>
      <vt:lpstr>dpc703_5_1_2_d</vt:lpstr>
      <vt:lpstr>dpc703_5_1_2_e</vt:lpstr>
      <vt:lpstr>dpc703_5_1_3</vt:lpstr>
      <vt:lpstr>dpc703_5_2</vt:lpstr>
      <vt:lpstr>dpc703_5_3</vt:lpstr>
      <vt:lpstr>dpc703_5_4</vt:lpstr>
      <vt:lpstr>dpc703_5_5_a</vt:lpstr>
      <vt:lpstr>dpc703_5_5_b</vt:lpstr>
      <vt:lpstr>dpc703_6_1_1</vt:lpstr>
      <vt:lpstr>dpc703_6_1_2</vt:lpstr>
      <vt:lpstr>dpc703_6_1_3</vt:lpstr>
      <vt:lpstr>dpc703_6_2_1</vt:lpstr>
      <vt:lpstr>dpc703_6_2_2</vt:lpstr>
      <vt:lpstr>dpc703_6_2_3</vt:lpstr>
      <vt:lpstr>dpc703_7_1</vt:lpstr>
      <vt:lpstr>dpc703_7_2</vt:lpstr>
      <vt:lpstr>dpc703_7_3</vt:lpstr>
      <vt:lpstr>dpc703_7_4</vt:lpstr>
      <vt:lpstr>dpc705_2_1_1</vt:lpstr>
      <vt:lpstr>dpc705_2_1_2</vt:lpstr>
      <vt:lpstr>dpc705_2_1_3_1</vt:lpstr>
      <vt:lpstr>dpc705_2_1_3_2</vt:lpstr>
      <vt:lpstr>dpc705_2_1_4</vt:lpstr>
      <vt:lpstr>dpc705_2_2</vt:lpstr>
      <vt:lpstr>dpc705_2_3</vt:lpstr>
      <vt:lpstr>dpc705_2_4</vt:lpstr>
      <vt:lpstr>dpc705_3</vt:lpstr>
      <vt:lpstr>dpc705_4</vt:lpstr>
      <vt:lpstr>dpc705_5_1_1</vt:lpstr>
      <vt:lpstr>dpc705_5_1_2</vt:lpstr>
      <vt:lpstr>dpc705_5_2</vt:lpstr>
      <vt:lpstr>dpc705_5_3_1</vt:lpstr>
      <vt:lpstr>dpc705_5_3_2</vt:lpstr>
      <vt:lpstr>dpc705_6_1</vt:lpstr>
      <vt:lpstr>dpc705_6_2_1_1</vt:lpstr>
      <vt:lpstr>dpc705_6_2_1_2</vt:lpstr>
      <vt:lpstr>dpc705_6_2_2_1</vt:lpstr>
      <vt:lpstr>dpc705_6_2_2_2</vt:lpstr>
      <vt:lpstr>dpc705_6_2_3</vt:lpstr>
      <vt:lpstr>dpc705_6_3</vt:lpstr>
      <vt:lpstr>dpc705_6_4_1</vt:lpstr>
      <vt:lpstr>dpc705_6_4_2</vt:lpstr>
      <vt:lpstr>dpc705_7</vt:lpstr>
      <vt:lpstr>dpc706_1</vt:lpstr>
      <vt:lpstr>dpc706_10</vt:lpstr>
      <vt:lpstr>dpc706_11</vt:lpstr>
      <vt:lpstr>dpc706_12</vt:lpstr>
      <vt:lpstr>dpc706_13</vt:lpstr>
      <vt:lpstr>dpc706_14_1</vt:lpstr>
      <vt:lpstr>dpc706_14_2</vt:lpstr>
      <vt:lpstr>dpc706_15_1</vt:lpstr>
      <vt:lpstr>dpc706_15_2</vt:lpstr>
      <vt:lpstr>dpc706_2_1</vt:lpstr>
      <vt:lpstr>dpc706_2_2</vt:lpstr>
      <vt:lpstr>dpc706_3</vt:lpstr>
      <vt:lpstr>dpc706_4_1_1</vt:lpstr>
      <vt:lpstr>dpc706_4_1_2</vt:lpstr>
      <vt:lpstr>dpc706_4_2</vt:lpstr>
      <vt:lpstr>dpc706_5_1</vt:lpstr>
      <vt:lpstr>dpc706_5_2</vt:lpstr>
      <vt:lpstr>dpc706_5_3</vt:lpstr>
      <vt:lpstr>dpc706_6</vt:lpstr>
      <vt:lpstr>dpc706_7_1</vt:lpstr>
      <vt:lpstr>dpc706_7_2</vt:lpstr>
      <vt:lpstr>dpc706_8</vt:lpstr>
      <vt:lpstr>dpc706_9</vt:lpstr>
      <vt:lpstr>dpc802_1</vt:lpstr>
      <vt:lpstr>dpc802_1_6</vt:lpstr>
      <vt:lpstr>dpc802_10_1_1</vt:lpstr>
      <vt:lpstr>dpc802_2_1</vt:lpstr>
      <vt:lpstr>dpc802_2_2</vt:lpstr>
      <vt:lpstr>dpc802_3_1_a</vt:lpstr>
      <vt:lpstr>dpc802_3_1_b</vt:lpstr>
      <vt:lpstr>dpc802_3_2_a</vt:lpstr>
      <vt:lpstr>dpc802_3_2_b</vt:lpstr>
      <vt:lpstr>dpc802_4_1</vt:lpstr>
      <vt:lpstr>dpc802_4_2</vt:lpstr>
      <vt:lpstr>dpc802_4_3</vt:lpstr>
      <vt:lpstr>dpc802_5_1</vt:lpstr>
      <vt:lpstr>dpc802_5_2</vt:lpstr>
      <vt:lpstr>dpc802_5_3</vt:lpstr>
      <vt:lpstr>dpc802_5_4_2</vt:lpstr>
      <vt:lpstr>dpc802_5_4_3</vt:lpstr>
      <vt:lpstr>dpc802_5_4_4_a</vt:lpstr>
      <vt:lpstr>dpc802_5_4_4_b</vt:lpstr>
      <vt:lpstr>dpc802_5_4_4_c</vt:lpstr>
      <vt:lpstr>dpc802_6_2</vt:lpstr>
      <vt:lpstr>dpc802_6_3_1</vt:lpstr>
      <vt:lpstr>dpc802_6_3_2</vt:lpstr>
      <vt:lpstr>dpc802_6_3_3</vt:lpstr>
      <vt:lpstr>dpc802_6_4_1</vt:lpstr>
      <vt:lpstr>dpc802_6_4_2</vt:lpstr>
      <vt:lpstr>dpc802_6_5_1</vt:lpstr>
      <vt:lpstr>dpc802_6_5_2</vt:lpstr>
      <vt:lpstr>dpc802_6_5_3</vt:lpstr>
      <vt:lpstr>dpc802_6_5_4</vt:lpstr>
      <vt:lpstr>dpc802_6_5_5</vt:lpstr>
      <vt:lpstr>dpc802_7_1</vt:lpstr>
      <vt:lpstr>dpc802_7_2</vt:lpstr>
      <vt:lpstr>dpc802_8</vt:lpstr>
      <vt:lpstr>dpc802_9_1</vt:lpstr>
      <vt:lpstr>dpc802_9_2</vt:lpstr>
      <vt:lpstr>dpc803_1</vt:lpstr>
      <vt:lpstr>dpc803_2</vt:lpstr>
      <vt:lpstr>dpc803_3</vt:lpstr>
      <vt:lpstr>dpc803_4</vt:lpstr>
      <vt:lpstr>dpc803_5</vt:lpstr>
      <vt:lpstr>dpc803_6</vt:lpstr>
      <vt:lpstr>dpc901_1_1</vt:lpstr>
      <vt:lpstr>dpc901_1_2</vt:lpstr>
      <vt:lpstr>dpc901_1_3_1</vt:lpstr>
      <vt:lpstr>dpc901_1_3_2</vt:lpstr>
      <vt:lpstr>dpc901_1_5</vt:lpstr>
      <vt:lpstr>dpc901_1_6</vt:lpstr>
      <vt:lpstr>dpc901_10</vt:lpstr>
      <vt:lpstr>dpc901_11</vt:lpstr>
      <vt:lpstr>dpc901_12</vt:lpstr>
      <vt:lpstr>dpc901_14</vt:lpstr>
      <vt:lpstr>dpc901_15_1</vt:lpstr>
      <vt:lpstr>dpc901_15_2</vt:lpstr>
      <vt:lpstr>dpc901_2_1_1</vt:lpstr>
      <vt:lpstr>dpc901_2_1_2</vt:lpstr>
      <vt:lpstr>dpc901_2_1_3</vt:lpstr>
      <vt:lpstr>dpc901_2_1_4</vt:lpstr>
      <vt:lpstr>dpc901_2_1_5</vt:lpstr>
      <vt:lpstr>dpc901_2_2</vt:lpstr>
      <vt:lpstr>dpc901_3_1_a</vt:lpstr>
      <vt:lpstr>dpc901_3_1_b</vt:lpstr>
      <vt:lpstr>dpc901_3_1_c</vt:lpstr>
      <vt:lpstr>dpc901_3_2</vt:lpstr>
      <vt:lpstr>dpc901_4</vt:lpstr>
      <vt:lpstr>dpc901_5_1</vt:lpstr>
      <vt:lpstr>dpc901_5_2</vt:lpstr>
      <vt:lpstr>dpc901_7</vt:lpstr>
      <vt:lpstr>dpc901_8</vt:lpstr>
      <vt:lpstr>dpc901_9_1</vt:lpstr>
      <vt:lpstr>dpc901_9_2</vt:lpstr>
      <vt:lpstr>dpc901_9_3</vt:lpstr>
      <vt:lpstr>dpc902_1_1_1_a</vt:lpstr>
      <vt:lpstr>dpc902_1_1_3</vt:lpstr>
      <vt:lpstr>dpc902_1_2</vt:lpstr>
      <vt:lpstr>dpc902_1_3</vt:lpstr>
      <vt:lpstr>dpc902_1_4</vt:lpstr>
      <vt:lpstr>dpc902_1_5</vt:lpstr>
      <vt:lpstr>dpc902_1_6</vt:lpstr>
      <vt:lpstr>dpc902_2_1</vt:lpstr>
      <vt:lpstr>dpc902_2_2</vt:lpstr>
      <vt:lpstr>dpc902_2_3</vt:lpstr>
      <vt:lpstr>dpc902_2_4</vt:lpstr>
      <vt:lpstr>dpc902_2_5</vt:lpstr>
      <vt:lpstr>dpc902_3_1</vt:lpstr>
      <vt:lpstr>dpc902_3_2</vt:lpstr>
      <vt:lpstr>dpc902_3_2_1</vt:lpstr>
      <vt:lpstr>dpc902_3_2_2</vt:lpstr>
      <vt:lpstr>dpc902_4</vt:lpstr>
      <vt:lpstr>dpc902_5</vt:lpstr>
      <vt:lpstr>dpc903_1</vt:lpstr>
      <vt:lpstr>dpc903_2</vt:lpstr>
      <vt:lpstr>dpc903_3</vt:lpstr>
      <vt:lpstr>dpc904_1</vt:lpstr>
      <vt:lpstr>dpc904_2</vt:lpstr>
      <vt:lpstr>dpc905_1</vt:lpstr>
      <vt:lpstr>dpc905_2</vt:lpstr>
      <vt:lpstr>dpc905_3</vt:lpstr>
      <vt:lpstr>dpc905_4</vt:lpstr>
      <vt:lpstr>dpc905_5</vt:lpstr>
      <vt:lpstr>dpc905_6</vt:lpstr>
      <vt:lpstr>Dpoints</vt:lpstr>
      <vt:lpstr>dstAGFloorArea</vt:lpstr>
      <vt:lpstr>dstAttachedGarage</vt:lpstr>
      <vt:lpstr>dstAttic</vt:lpstr>
      <vt:lpstr>dstBatch</vt:lpstr>
      <vt:lpstr>dstBuilderName</vt:lpstr>
      <vt:lpstr>dstBuildingCode</vt:lpstr>
      <vt:lpstr>dstCDucts</vt:lpstr>
      <vt:lpstr>dstCity</vt:lpstr>
      <vt:lpstr>dstCommercial</vt:lpstr>
      <vt:lpstr>dstCool1</vt:lpstr>
      <vt:lpstr>dstCool2</vt:lpstr>
      <vt:lpstr>dstCool3</vt:lpstr>
      <vt:lpstr>dstCounty</vt:lpstr>
      <vt:lpstr>dstCToilet</vt:lpstr>
      <vt:lpstr>dstDesigner</vt:lpstr>
      <vt:lpstr>dstEnergyBLYear</vt:lpstr>
      <vt:lpstr>dstEnergyCode</vt:lpstr>
      <vt:lpstr>dstEnergyPath</vt:lpstr>
      <vt:lpstr>dstFloors</vt:lpstr>
      <vt:lpstr>dstFoundation</vt:lpstr>
      <vt:lpstr>dstFuel</vt:lpstr>
      <vt:lpstr>dstHDucts</vt:lpstr>
      <vt:lpstr>dstHeat1</vt:lpstr>
      <vt:lpstr>dstHeat2</vt:lpstr>
      <vt:lpstr>dstHeat3</vt:lpstr>
      <vt:lpstr>dstHomeAddress</vt:lpstr>
      <vt:lpstr>dstLot</vt:lpstr>
      <vt:lpstr>dstMassWalls</vt:lpstr>
      <vt:lpstr>dstPassiveSolar</vt:lpstr>
      <vt:lpstr>dstProjectDesc</vt:lpstr>
      <vt:lpstr>dstProjectName</vt:lpstr>
      <vt:lpstr>dstRadiantHydronic</vt:lpstr>
      <vt:lpstr>dstRecessedLighting</vt:lpstr>
      <vt:lpstr>dstRenewable</vt:lpstr>
      <vt:lpstr>dstSingleOrMulti</vt:lpstr>
      <vt:lpstr>dstsSHGC</vt:lpstr>
      <vt:lpstr>dstState</vt:lpstr>
      <vt:lpstr>dstsUV</vt:lpstr>
      <vt:lpstr>dstTCFloorArea</vt:lpstr>
      <vt:lpstr>dstTEInsulation</vt:lpstr>
      <vt:lpstr>dstTLWH</vt:lpstr>
      <vt:lpstr>dstUnits</vt:lpstr>
      <vt:lpstr>dstWaterBLYear</vt:lpstr>
      <vt:lpstr>dstWaterPath</vt:lpstr>
      <vt:lpstr>dstwdSHGC</vt:lpstr>
      <vt:lpstr>dstwdUV</vt:lpstr>
      <vt:lpstr>dstYearBuilt</vt:lpstr>
      <vt:lpstr>dstZIP</vt:lpstr>
      <vt:lpstr>fcsBatchID</vt:lpstr>
      <vt:lpstr>fcsBuilderCertificateDeliveryMethod</vt:lpstr>
      <vt:lpstr>fcsBuilderCertificateSendToEntity</vt:lpstr>
      <vt:lpstr>fcsBuilderComments</vt:lpstr>
      <vt:lpstr>fcsBuilderDate</vt:lpstr>
      <vt:lpstr>fcsBuilderEmail</vt:lpstr>
      <vt:lpstr>fcsBuilderName</vt:lpstr>
      <vt:lpstr>fcsBuilderPhone</vt:lpstr>
      <vt:lpstr>fcsBuilderRepSignature</vt:lpstr>
      <vt:lpstr>fcsBuilderSignatureRelease</vt:lpstr>
      <vt:lpstr>fcsTeamVerifierElementsVerified1</vt:lpstr>
      <vt:lpstr>fcsTeamVerifierElementsVerified2</vt:lpstr>
      <vt:lpstr>fcsTeamVerifierElementsVerified3</vt:lpstr>
      <vt:lpstr>fcsTeamVerifierElementsVerified4</vt:lpstr>
      <vt:lpstr>fcsTeamVerifierElementsVerified5</vt:lpstr>
      <vt:lpstr>fcsTeamVerifierInspectionDate1</vt:lpstr>
      <vt:lpstr>fcsTeamVerifierInspectionDate2</vt:lpstr>
      <vt:lpstr>fcsTeamVerifierInspectionDate3</vt:lpstr>
      <vt:lpstr>fcsTeamVerifierInspectionDate4</vt:lpstr>
      <vt:lpstr>fcsTeamVerifierInspectionDate5</vt:lpstr>
      <vt:lpstr>fcsTeamVerifierName1</vt:lpstr>
      <vt:lpstr>fcsTeamVerifierName2</vt:lpstr>
      <vt:lpstr>fcsTeamVerifierName3</vt:lpstr>
      <vt:lpstr>fcsTeamVerifierName4</vt:lpstr>
      <vt:lpstr>fcsTeamVerifierName5</vt:lpstr>
      <vt:lpstr>fcsTeamVerifierRole1</vt:lpstr>
      <vt:lpstr>fcsTeamVerifierRole2</vt:lpstr>
      <vt:lpstr>fcsTeamVerifierRole3</vt:lpstr>
      <vt:lpstr>fcsTeamVerifierRole4</vt:lpstr>
      <vt:lpstr>fcsTeamVerifierRole5</vt:lpstr>
      <vt:lpstr>fcsVerifierComments</vt:lpstr>
      <vt:lpstr>fcsVerifierDate</vt:lpstr>
      <vt:lpstr>fcsVerifierEmail</vt:lpstr>
      <vt:lpstr>fcsVerifierEndTime</vt:lpstr>
      <vt:lpstr>fcsVerifierExpectedCertificationsLevel</vt:lpstr>
      <vt:lpstr>fcsVerifierName</vt:lpstr>
      <vt:lpstr>fcsVerifierPhone</vt:lpstr>
      <vt:lpstr>fcsVerifierServiceDisclosure</vt:lpstr>
      <vt:lpstr>fcsVerifierServiceDisclosureOtherDesc</vt:lpstr>
      <vt:lpstr>fcsVerifierSign</vt:lpstr>
      <vt:lpstr>fcsVerifierStartTime</vt:lpstr>
      <vt:lpstr>fsgBatchID</vt:lpstr>
      <vt:lpstr>fsgBuilderCertificateDeliveryMethod</vt:lpstr>
      <vt:lpstr>fsgBuilderCertificateSendToEntity</vt:lpstr>
      <vt:lpstr>fsgBuilderComments</vt:lpstr>
      <vt:lpstr>fsgBuilderDate</vt:lpstr>
      <vt:lpstr>fsgBuilderEmail</vt:lpstr>
      <vt:lpstr>fsgBuilderName</vt:lpstr>
      <vt:lpstr>fsgBuilderPhone</vt:lpstr>
      <vt:lpstr>fsgBuilderRepSignature</vt:lpstr>
      <vt:lpstr>fsgBuilderSignatureRelease</vt:lpstr>
      <vt:lpstr>fsgRemoveBatchAddress1</vt:lpstr>
      <vt:lpstr>fsgRemoveBatchAddress10</vt:lpstr>
      <vt:lpstr>fsgRemoveBatchAddress11</vt:lpstr>
      <vt:lpstr>fsgRemoveBatchAddress12</vt:lpstr>
      <vt:lpstr>fsgRemoveBatchAddress13</vt:lpstr>
      <vt:lpstr>fsgRemoveBatchAddress14</vt:lpstr>
      <vt:lpstr>fsgRemoveBatchAddress15</vt:lpstr>
      <vt:lpstr>fsgRemoveBatchAddress16</vt:lpstr>
      <vt:lpstr>fsgRemoveBatchAddress17</vt:lpstr>
      <vt:lpstr>fsgRemoveBatchAddress18</vt:lpstr>
      <vt:lpstr>fsgRemoveBatchAddress19</vt:lpstr>
      <vt:lpstr>fsgRemoveBatchAddress2</vt:lpstr>
      <vt:lpstr>fsgRemoveBatchAddress20</vt:lpstr>
      <vt:lpstr>fsgRemoveBatchAddress3</vt:lpstr>
      <vt:lpstr>fsgRemoveBatchAddress4</vt:lpstr>
      <vt:lpstr>fsgRemoveBatchAddress5</vt:lpstr>
      <vt:lpstr>fsgRemoveBatchAddress6</vt:lpstr>
      <vt:lpstr>fsgRemoveBatchAddress7</vt:lpstr>
      <vt:lpstr>fsgRemoveBatchAddress8</vt:lpstr>
      <vt:lpstr>fsgRemoveBatchAddress9</vt:lpstr>
      <vt:lpstr>fsgTeamVerifierElementsVerified1</vt:lpstr>
      <vt:lpstr>fsgTeamVerifierElementsVerified2</vt:lpstr>
      <vt:lpstr>fsgTeamVerifierElementsVerified3</vt:lpstr>
      <vt:lpstr>fsgTeamVerifierElementsVerified4</vt:lpstr>
      <vt:lpstr>fsgTeamVerifierElementsVerified5</vt:lpstr>
      <vt:lpstr>fsgTeamVerifierInspectionDate1</vt:lpstr>
      <vt:lpstr>fsgTeamVerifierInspectionDate2</vt:lpstr>
      <vt:lpstr>fsgTeamVerifierInspectionDate3</vt:lpstr>
      <vt:lpstr>fsgTeamVerifierInspectionDate4</vt:lpstr>
      <vt:lpstr>fsgTeamVerifierInspectionDate5</vt:lpstr>
      <vt:lpstr>fsgTeamVerifierName1</vt:lpstr>
      <vt:lpstr>fsgTeamVerifierName2</vt:lpstr>
      <vt:lpstr>fsgTeamVerifierName3</vt:lpstr>
      <vt:lpstr>fsgTeamVerifierName4</vt:lpstr>
      <vt:lpstr>fsgTeamVerifierName5</vt:lpstr>
      <vt:lpstr>fsgTeamVerifierRole1</vt:lpstr>
      <vt:lpstr>fsgTeamVerifierRole2</vt:lpstr>
      <vt:lpstr>fsgTeamVerifierRole3</vt:lpstr>
      <vt:lpstr>fsgTeamVerifierRole4</vt:lpstr>
      <vt:lpstr>fsgTeamVerifierRole5</vt:lpstr>
      <vt:lpstr>fsgVerifierComments</vt:lpstr>
      <vt:lpstr>fsgVerifierDate</vt:lpstr>
      <vt:lpstr>fsgVerifierEmail</vt:lpstr>
      <vt:lpstr>fsgVerifierEndTime</vt:lpstr>
      <vt:lpstr>fsgVerifierExpectedCertificationsLevel</vt:lpstr>
      <vt:lpstr>fsgVerifierName</vt:lpstr>
      <vt:lpstr>fsgVerifierPhone</vt:lpstr>
      <vt:lpstr>fsgVerifierServiceDisclosure</vt:lpstr>
      <vt:lpstr>fsgVerifierServiceDisclosureOtherDesc</vt:lpstr>
      <vt:lpstr>fsgVerifierSign</vt:lpstr>
      <vt:lpstr>fsgVerifierStartTime</vt:lpstr>
      <vt:lpstr>GoalLevel</vt:lpstr>
      <vt:lpstr>'Final Comm. Sig.'!hidFSMandatoryMsg</vt:lpstr>
      <vt:lpstr>'Final Comm. Sig.'!hidFSOverviewMsg</vt:lpstr>
      <vt:lpstr>'Rough Comm. Sig.'!hidRSMandatoryMsg</vt:lpstr>
      <vt:lpstr>'Rough Comm. Sig.'!hidRSOverviewMsg</vt:lpstr>
      <vt:lpstr>hidVRCErrorsMsg</vt:lpstr>
      <vt:lpstr>hidVRCMandatoryMsg</vt:lpstr>
      <vt:lpstr>hidVRCOverviewMsg</vt:lpstr>
      <vt:lpstr>hyptarg1</vt:lpstr>
      <vt:lpstr>hyptarg2</vt:lpstr>
      <vt:lpstr>hyptarg3</vt:lpstr>
      <vt:lpstr>hyptarg3.1</vt:lpstr>
      <vt:lpstr>hyptarg4</vt:lpstr>
      <vt:lpstr>hyptarg5</vt:lpstr>
      <vt:lpstr>hyptarg6</vt:lpstr>
      <vt:lpstr>hyptarg7.1</vt:lpstr>
      <vt:lpstr>hyptarg7.2</vt:lpstr>
      <vt:lpstr>hyptarg7.3</vt:lpstr>
      <vt:lpstr>hyptarg7.4</vt:lpstr>
      <vt:lpstr>hyptarg7.5</vt:lpstr>
      <vt:lpstr>hyptarg7.6</vt:lpstr>
      <vt:lpstr>hyptarg8.1</vt:lpstr>
      <vt:lpstr>hyptarg8.2</vt:lpstr>
      <vt:lpstr>hyptarg9.1</vt:lpstr>
      <vt:lpstr>hyptarg9.2</vt:lpstr>
      <vt:lpstr>hyptarg9.3</vt:lpstr>
      <vt:lpstr>MFIntro</vt:lpstr>
      <vt:lpstr>'11.1000'!Print_Area</vt:lpstr>
      <vt:lpstr>'11.500'!Print_Area</vt:lpstr>
      <vt:lpstr>'11.600'!Print_Area</vt:lpstr>
      <vt:lpstr>'Final Comm. Sig.'!Print_Area</vt:lpstr>
      <vt:lpstr>'Final Sig.'!Print_Area</vt:lpstr>
      <vt:lpstr>'Overview (Design)'!Print_Area</vt:lpstr>
      <vt:lpstr>'Overview (Verification)'!Print_Area</vt:lpstr>
      <vt:lpstr>'Req. Doc.'!Print_Area</vt:lpstr>
      <vt:lpstr>'Rough Comm. Sig.'!Print_Area</vt:lpstr>
      <vt:lpstr>'Rough Sig.'!Print_Area</vt:lpstr>
      <vt:lpstr>'Ver. Rpt. (Commercial)'!Print_Area</vt:lpstr>
      <vt:lpstr>'Verification Report'!Print_Area</vt:lpstr>
      <vt:lpstr>rcsBuilderComments</vt:lpstr>
      <vt:lpstr>rcsBuilderDate</vt:lpstr>
      <vt:lpstr>rcsBuilderEmail</vt:lpstr>
      <vt:lpstr>rcsBuilderName</vt:lpstr>
      <vt:lpstr>rcsBuilderPhone</vt:lpstr>
      <vt:lpstr>rcsBuilderRepSignature</vt:lpstr>
      <vt:lpstr>rcsBuilderSignatureRelease</vt:lpstr>
      <vt:lpstr>rcsTeamVerifierElementsVerified1</vt:lpstr>
      <vt:lpstr>rcsTeamVerifierElementsVerified2</vt:lpstr>
      <vt:lpstr>rcsTeamVerifierElementsVerified3</vt:lpstr>
      <vt:lpstr>rcsTeamVerifierElementsVerified4</vt:lpstr>
      <vt:lpstr>rcsTeamVerifierElementsVerified5</vt:lpstr>
      <vt:lpstr>rcsTeamVerifierInspectionDate1</vt:lpstr>
      <vt:lpstr>rcsTeamVerifierInspectionDate2</vt:lpstr>
      <vt:lpstr>rcsTeamVerifierInspectionDate3</vt:lpstr>
      <vt:lpstr>rcsTeamVerifierInspectionDate4</vt:lpstr>
      <vt:lpstr>rcsTeamVerifierInspectionDate5</vt:lpstr>
      <vt:lpstr>rcsTeamVerifierName1</vt:lpstr>
      <vt:lpstr>rcsTeamVerifierName2</vt:lpstr>
      <vt:lpstr>rcsTeamVerifierName3</vt:lpstr>
      <vt:lpstr>rcsTeamVerifierName4</vt:lpstr>
      <vt:lpstr>rcsTeamVerifierName5</vt:lpstr>
      <vt:lpstr>rcsTeamVerifierRole1</vt:lpstr>
      <vt:lpstr>rcsTeamVerifierRole2</vt:lpstr>
      <vt:lpstr>rcsTeamVerifierRole3</vt:lpstr>
      <vt:lpstr>rcsTeamVerifierRole4</vt:lpstr>
      <vt:lpstr>rcsTeamVerifierRole5</vt:lpstr>
      <vt:lpstr>rcsVerifierComments</vt:lpstr>
      <vt:lpstr>rcsVerifierDate</vt:lpstr>
      <vt:lpstr>rcsVerifierEmail</vt:lpstr>
      <vt:lpstr>rcsVerifierEndTime</vt:lpstr>
      <vt:lpstr>rcsVerifierName</vt:lpstr>
      <vt:lpstr>rcsVerifierPhone</vt:lpstr>
      <vt:lpstr>rcsVerifierSign</vt:lpstr>
      <vt:lpstr>rcsVerifierStartTime</vt:lpstr>
      <vt:lpstr>'Ver. Rpt. (Commercial)'!ReportType</vt:lpstr>
      <vt:lpstr>'Verification Report'!ReportType</vt:lpstr>
      <vt:lpstr>ReportTypeComm</vt:lpstr>
      <vt:lpstr>ReportTypeRes</vt:lpstr>
      <vt:lpstr>rsgBatchSubmissiongInspectionDate1</vt:lpstr>
      <vt:lpstr>rsgBatchSubmissiongInspectionDate10</vt:lpstr>
      <vt:lpstr>rsgBatchSubmissiongInspectionDate11</vt:lpstr>
      <vt:lpstr>rsgBatchSubmissiongInspectionDate12</vt:lpstr>
      <vt:lpstr>rsgBatchSubmissiongInspectionDate13</vt:lpstr>
      <vt:lpstr>rsgBatchSubmissiongInspectionDate14</vt:lpstr>
      <vt:lpstr>rsgBatchSubmissiongInspectionDate15</vt:lpstr>
      <vt:lpstr>rsgBatchSubmissiongInspectionDate16</vt:lpstr>
      <vt:lpstr>rsgBatchSubmissiongInspectionDate17</vt:lpstr>
      <vt:lpstr>rsgBatchSubmissiongInspectionDate18</vt:lpstr>
      <vt:lpstr>rsgBatchSubmissiongInspectionDate19</vt:lpstr>
      <vt:lpstr>rsgBatchSubmissiongInspectionDate2</vt:lpstr>
      <vt:lpstr>rsgBatchSubmissiongInspectionDate20</vt:lpstr>
      <vt:lpstr>rsgBatchSubmissiongInspectionDate3</vt:lpstr>
      <vt:lpstr>rsgBatchSubmissiongInspectionDate4</vt:lpstr>
      <vt:lpstr>rsgBatchSubmissiongInspectionDate5</vt:lpstr>
      <vt:lpstr>rsgBatchSubmissiongInspectionDate6</vt:lpstr>
      <vt:lpstr>rsgBatchSubmissiongInspectionDate7</vt:lpstr>
      <vt:lpstr>rsgBatchSubmissiongInspectionDate8</vt:lpstr>
      <vt:lpstr>rsgBatchSubmissiongInspectionDate9</vt:lpstr>
      <vt:lpstr>rsgBatchSubmissiongProjectID1</vt:lpstr>
      <vt:lpstr>rsgBatchSubmissiongProjectID10</vt:lpstr>
      <vt:lpstr>rsgBatchSubmissiongProjectID11</vt:lpstr>
      <vt:lpstr>rsgBatchSubmissiongProjectID12</vt:lpstr>
      <vt:lpstr>rsgBatchSubmissiongProjectID13</vt:lpstr>
      <vt:lpstr>rsgBatchSubmissiongProjectID14</vt:lpstr>
      <vt:lpstr>rsgBatchSubmissiongProjectID15</vt:lpstr>
      <vt:lpstr>rsgBatchSubmissiongProjectID16</vt:lpstr>
      <vt:lpstr>rsgBatchSubmissiongProjectID17</vt:lpstr>
      <vt:lpstr>rsgBatchSubmissiongProjectID18</vt:lpstr>
      <vt:lpstr>rsgBatchSubmissiongProjectID19</vt:lpstr>
      <vt:lpstr>rsgBatchSubmissiongProjectID2</vt:lpstr>
      <vt:lpstr>rsgBatchSubmissiongProjectID20</vt:lpstr>
      <vt:lpstr>rsgBatchSubmissiongProjectID3</vt:lpstr>
      <vt:lpstr>rsgBatchSubmissiongProjectID4</vt:lpstr>
      <vt:lpstr>rsgBatchSubmissiongProjectID5</vt:lpstr>
      <vt:lpstr>rsgBatchSubmissiongProjectID6</vt:lpstr>
      <vt:lpstr>rsgBatchSubmissiongProjectID7</vt:lpstr>
      <vt:lpstr>rsgBatchSubmissiongProjectID8</vt:lpstr>
      <vt:lpstr>rsgBatchSubmissiongProjectID9</vt:lpstr>
      <vt:lpstr>rsgBatchSubmissiongRoughAddress1</vt:lpstr>
      <vt:lpstr>rsgBatchSubmissiongRoughAddress10</vt:lpstr>
      <vt:lpstr>rsgBatchSubmissiongRoughAddress11</vt:lpstr>
      <vt:lpstr>rsgBatchSubmissiongRoughAddress12</vt:lpstr>
      <vt:lpstr>rsgBatchSubmissiongRoughAddress13</vt:lpstr>
      <vt:lpstr>rsgBatchSubmissiongRoughAddress14</vt:lpstr>
      <vt:lpstr>rsgBatchSubmissiongRoughAddress15</vt:lpstr>
      <vt:lpstr>rsgBatchSubmissiongRoughAddress16</vt:lpstr>
      <vt:lpstr>rsgBatchSubmissiongRoughAddress17</vt:lpstr>
      <vt:lpstr>rsgBatchSubmissiongRoughAddress18</vt:lpstr>
      <vt:lpstr>rsgBatchSubmissiongRoughAddress19</vt:lpstr>
      <vt:lpstr>rsgBatchSubmissiongRoughAddress2</vt:lpstr>
      <vt:lpstr>rsgBatchSubmissiongRoughAddress20</vt:lpstr>
      <vt:lpstr>rsgBatchSubmissiongRoughAddress3</vt:lpstr>
      <vt:lpstr>rsgBatchSubmissiongRoughAddress4</vt:lpstr>
      <vt:lpstr>rsgBatchSubmissiongRoughAddress5</vt:lpstr>
      <vt:lpstr>rsgBatchSubmissiongRoughAddress6</vt:lpstr>
      <vt:lpstr>rsgBatchSubmissiongRoughAddress7</vt:lpstr>
      <vt:lpstr>rsgBatchSubmissiongRoughAddress8</vt:lpstr>
      <vt:lpstr>rsgBatchSubmissiongRoughAddress9</vt:lpstr>
      <vt:lpstr>rsgBuilderComments</vt:lpstr>
      <vt:lpstr>rsgBuilderDate</vt:lpstr>
      <vt:lpstr>rsgBuilderEmail</vt:lpstr>
      <vt:lpstr>rsgBuilderName</vt:lpstr>
      <vt:lpstr>rsgBuilderPhone</vt:lpstr>
      <vt:lpstr>rsgBuilderRepSignature</vt:lpstr>
      <vt:lpstr>rsgBuilderSignatureRelease</vt:lpstr>
      <vt:lpstr>rsgTeamVerifierElementsVerified1</vt:lpstr>
      <vt:lpstr>rsgTeamVerifierElementsVerified2</vt:lpstr>
      <vt:lpstr>rsgTeamVerifierElementsVerified3</vt:lpstr>
      <vt:lpstr>rsgTeamVerifierElementsVerified4</vt:lpstr>
      <vt:lpstr>rsgTeamVerifierElementsVerified5</vt:lpstr>
      <vt:lpstr>rsgTeamVerifierInspectionDate1</vt:lpstr>
      <vt:lpstr>rsgTeamVerifierInspectionDate2</vt:lpstr>
      <vt:lpstr>rsgTeamVerifierInspectionDate3</vt:lpstr>
      <vt:lpstr>rsgTeamVerifierInspectionDate4</vt:lpstr>
      <vt:lpstr>rsgTeamVerifierInspectionDate5</vt:lpstr>
      <vt:lpstr>rsgTeamVerifierName1</vt:lpstr>
      <vt:lpstr>rsgTeamVerifierName2</vt:lpstr>
      <vt:lpstr>rsgTeamVerifierName3</vt:lpstr>
      <vt:lpstr>rsgTeamVerifierName4</vt:lpstr>
      <vt:lpstr>rsgTeamVerifierName5</vt:lpstr>
      <vt:lpstr>rsgTeamVerifierRole1</vt:lpstr>
      <vt:lpstr>rsgTeamVerifierRole2</vt:lpstr>
      <vt:lpstr>rsgTeamVerifierRole3</vt:lpstr>
      <vt:lpstr>rsgTeamVerifierRole4</vt:lpstr>
      <vt:lpstr>rsgTeamVerifierRole5</vt:lpstr>
      <vt:lpstr>rsgVerifierComments</vt:lpstr>
      <vt:lpstr>rsgVerifierDate</vt:lpstr>
      <vt:lpstr>rsgVerifierEmail</vt:lpstr>
      <vt:lpstr>rsgVerifierEndTime</vt:lpstr>
      <vt:lpstr>rsgVerifierName</vt:lpstr>
      <vt:lpstr>rsgVerifierPhone</vt:lpstr>
      <vt:lpstr>rsgVerifierSign</vt:lpstr>
      <vt:lpstr>rsgVerifierStartTime</vt:lpstr>
      <vt:lpstr>SFIntro</vt:lpstr>
      <vt:lpstr>startError</vt:lpstr>
      <vt:lpstr>TorF</vt:lpstr>
      <vt:lpstr>vcc13_102_1</vt:lpstr>
      <vt:lpstr>vcc13_103_1_1</vt:lpstr>
      <vt:lpstr>vcc13_103_1_1_1</vt:lpstr>
      <vt:lpstr>vcc13_103_1_1_2</vt:lpstr>
      <vt:lpstr>vcc13_103_1_1_3</vt:lpstr>
      <vt:lpstr>vcc13_103_1_2</vt:lpstr>
      <vt:lpstr>vcc13_104_1_1</vt:lpstr>
      <vt:lpstr>vcc13_104_1_2</vt:lpstr>
      <vt:lpstr>vcc13_104_1_3</vt:lpstr>
      <vt:lpstr>vcc13_104_1_4</vt:lpstr>
      <vt:lpstr>vcc13_104_1_5_1</vt:lpstr>
      <vt:lpstr>vcc13_104_1_5_10</vt:lpstr>
      <vt:lpstr>vcc13_104_1_5_11</vt:lpstr>
      <vt:lpstr>vcc13_104_1_5_12</vt:lpstr>
      <vt:lpstr>vcc13_104_1_5_2</vt:lpstr>
      <vt:lpstr>vcc13_104_1_5_3</vt:lpstr>
      <vt:lpstr>vcc13_104_1_5_4</vt:lpstr>
      <vt:lpstr>vcc13_104_1_5_5</vt:lpstr>
      <vt:lpstr>vcc13_104_1_5_6</vt:lpstr>
      <vt:lpstr>vcc13_104_1_5_7</vt:lpstr>
      <vt:lpstr>vcc13_104_1_5_8</vt:lpstr>
      <vt:lpstr>vcc13_104_1_5_9</vt:lpstr>
      <vt:lpstr>vcc13_104_1_6</vt:lpstr>
      <vt:lpstr>vcc13_104_1_7</vt:lpstr>
      <vt:lpstr>vcc13_104_1_8_1</vt:lpstr>
      <vt:lpstr>vcc13_104_1_8_2</vt:lpstr>
      <vt:lpstr>vcc13_104_1_8_3</vt:lpstr>
      <vt:lpstr>vcc13_104_1_9_1</vt:lpstr>
      <vt:lpstr>vcc13_104_1_9_2</vt:lpstr>
      <vt:lpstr>vcc13_104_2</vt:lpstr>
      <vt:lpstr>vcc13_104_3</vt:lpstr>
      <vt:lpstr>vcc13_104_4</vt:lpstr>
      <vt:lpstr>vcc13_105_1</vt:lpstr>
      <vt:lpstr>vcc13_105_1_1</vt:lpstr>
      <vt:lpstr>vcc13_105_10</vt:lpstr>
      <vt:lpstr>vcc13_105_11</vt:lpstr>
      <vt:lpstr>vcc13_105_11_1</vt:lpstr>
      <vt:lpstr>vcc13_105_11_2</vt:lpstr>
      <vt:lpstr>vcc13_105_11_3</vt:lpstr>
      <vt:lpstr>vcc13_105_12</vt:lpstr>
      <vt:lpstr>vcc13_105_2</vt:lpstr>
      <vt:lpstr>vcc13_105_3_1</vt:lpstr>
      <vt:lpstr>vcc13_105_3_1_</vt:lpstr>
      <vt:lpstr>vcc13_105_3_10</vt:lpstr>
      <vt:lpstr>vcc13_105_3_11</vt:lpstr>
      <vt:lpstr>vcc13_105_3_12</vt:lpstr>
      <vt:lpstr>vcc13_105_3_2</vt:lpstr>
      <vt:lpstr>vcc13_105_3_3</vt:lpstr>
      <vt:lpstr>vcc13_105_3_4</vt:lpstr>
      <vt:lpstr>vcc13_105_3_5</vt:lpstr>
      <vt:lpstr>vcc13_105_3_6</vt:lpstr>
      <vt:lpstr>vcc13_105_3_7</vt:lpstr>
      <vt:lpstr>vcc13_105_3_8</vt:lpstr>
      <vt:lpstr>vcc13_105_3_9</vt:lpstr>
      <vt:lpstr>vcc13_105_4</vt:lpstr>
      <vt:lpstr>vcc13_105_5</vt:lpstr>
      <vt:lpstr>vcc13_105_6</vt:lpstr>
      <vt:lpstr>vcc13_105_7</vt:lpstr>
      <vt:lpstr>vcc13_105_8_1</vt:lpstr>
      <vt:lpstr>vcc13_105_9</vt:lpstr>
      <vt:lpstr>vcc13_106_1</vt:lpstr>
      <vt:lpstr>vcc13_106_2</vt:lpstr>
      <vt:lpstr>vcc13_106_3_1</vt:lpstr>
      <vt:lpstr>vcc13_106_3_2</vt:lpstr>
      <vt:lpstr>vcc13_106_3_3</vt:lpstr>
      <vt:lpstr>vcc13_106_3_4</vt:lpstr>
      <vt:lpstr>vcc13_106_4_1</vt:lpstr>
      <vt:lpstr>vcc13_106_4_2</vt:lpstr>
      <vt:lpstr>vcc13_106_4_3</vt:lpstr>
      <vt:lpstr>vcc13_106_4_4</vt:lpstr>
      <vt:lpstr>vcc13_106_5_1</vt:lpstr>
      <vt:lpstr>vcc13_106_5_2</vt:lpstr>
      <vt:lpstr>vcc13_106_5_3</vt:lpstr>
      <vt:lpstr>vcc13_106_6</vt:lpstr>
      <vt:lpstr>vcc13_107_1</vt:lpstr>
      <vt:lpstr>vcc13_107_1_1</vt:lpstr>
      <vt:lpstr>vcc13_107_2_1</vt:lpstr>
      <vt:lpstr>vcc13_107_2_2</vt:lpstr>
      <vt:lpstr>vcc13_107_4</vt:lpstr>
      <vt:lpstr>vcc13_107_4_1</vt:lpstr>
      <vt:lpstr>vcc13_107_4_2</vt:lpstr>
      <vt:lpstr>vcc13_107_4_2_1</vt:lpstr>
      <vt:lpstr>vcc13_107_4_2_2</vt:lpstr>
      <vt:lpstr>vcc13_107_4_2_3</vt:lpstr>
      <vt:lpstr>vcc13_107_4_3</vt:lpstr>
      <vt:lpstr>vcc13_107_4_4</vt:lpstr>
      <vt:lpstr>vcc13_107_4_5</vt:lpstr>
      <vt:lpstr>vcc13_107_5</vt:lpstr>
      <vt:lpstr>vcc13_107_6_1</vt:lpstr>
      <vt:lpstr>vcc13_107_6_2</vt:lpstr>
      <vt:lpstr>vcc13_107_7</vt:lpstr>
      <vt:lpstr>vcc13_107_8_1</vt:lpstr>
      <vt:lpstr>vcc13_107_8_2</vt:lpstr>
      <vt:lpstr>vcc13_108_1</vt:lpstr>
      <vt:lpstr>vcc13_108_2</vt:lpstr>
      <vt:lpstr>vcc603_2</vt:lpstr>
      <vt:lpstr>vcc604_1a</vt:lpstr>
      <vt:lpstr>vcc604_1b</vt:lpstr>
      <vt:lpstr>vcc604_1c</vt:lpstr>
      <vt:lpstr>vcc604_1d</vt:lpstr>
      <vt:lpstr>vcc606_1_a</vt:lpstr>
      <vt:lpstr>vcc606_1_b</vt:lpstr>
      <vt:lpstr>vcc606_1_c</vt:lpstr>
      <vt:lpstr>vcc606_1_d</vt:lpstr>
      <vt:lpstr>vcc606_1_e</vt:lpstr>
      <vt:lpstr>vcc606_1_f</vt:lpstr>
      <vt:lpstr>vcc606_1_g</vt:lpstr>
      <vt:lpstr>vcc606_1_h</vt:lpstr>
      <vt:lpstr>vcc606_2_1a</vt:lpstr>
      <vt:lpstr>vcc606_2_1b</vt:lpstr>
      <vt:lpstr>vcc606_2_2a</vt:lpstr>
      <vt:lpstr>vcc606_2_2b</vt:lpstr>
      <vt:lpstr>vcc606_3</vt:lpstr>
      <vt:lpstr>vcc608_1</vt:lpstr>
      <vt:lpstr>vcc609_1a</vt:lpstr>
      <vt:lpstr>vcc609_1b</vt:lpstr>
      <vt:lpstr>vcc610_1_2_1a</vt:lpstr>
      <vt:lpstr>vcc610_1_2_1b</vt:lpstr>
      <vt:lpstr>vcc610_1_2_2_f</vt:lpstr>
      <vt:lpstr>vcc610_1_2_2a</vt:lpstr>
      <vt:lpstr>vcc610_1_2_2b</vt:lpstr>
      <vt:lpstr>vcc610_1_2_2c</vt:lpstr>
      <vt:lpstr>vcc611_1_1</vt:lpstr>
      <vt:lpstr>vcc611_1_2</vt:lpstr>
      <vt:lpstr>vcc612_1</vt:lpstr>
      <vt:lpstr>vcc612_2_1</vt:lpstr>
      <vt:lpstr>vcc612_2_2</vt:lpstr>
      <vt:lpstr>vcc612_2_3</vt:lpstr>
      <vt:lpstr>vcc612_2_4</vt:lpstr>
      <vt:lpstr>vcc612_2_5</vt:lpstr>
      <vt:lpstr>vcc612_2_6</vt:lpstr>
      <vt:lpstr>vcc612_2_7</vt:lpstr>
      <vt:lpstr>vcc901_10_1</vt:lpstr>
      <vt:lpstr>vcc901_10_2</vt:lpstr>
      <vt:lpstr>vcc901_10_3</vt:lpstr>
      <vt:lpstr>vcc901_11</vt:lpstr>
      <vt:lpstr>vcc901_4_1</vt:lpstr>
      <vt:lpstr>vcc901_4_a</vt:lpstr>
      <vt:lpstr>vcc901_4_b</vt:lpstr>
      <vt:lpstr>vcc901_4_c</vt:lpstr>
      <vt:lpstr>vcc901_4_d</vt:lpstr>
      <vt:lpstr>vcc901_5_1</vt:lpstr>
      <vt:lpstr>vcc901_5_2</vt:lpstr>
      <vt:lpstr>vcc901_7_1</vt:lpstr>
      <vt:lpstr>vcc901_7_2</vt:lpstr>
      <vt:lpstr>vcc901_7_3</vt:lpstr>
      <vt:lpstr>vcc901_8</vt:lpstr>
      <vt:lpstr>vcc901_9_1_1</vt:lpstr>
      <vt:lpstr>vcc901_9_1_2</vt:lpstr>
      <vt:lpstr>vcc901_9_1_3</vt:lpstr>
      <vt:lpstr>vcc901_9_2</vt:lpstr>
      <vt:lpstr>vcc901_9_3</vt:lpstr>
      <vt:lpstr>vcc902_3</vt:lpstr>
      <vt:lpstr>vcc902_3_1</vt:lpstr>
      <vt:lpstr>vcc902_3_1_</vt:lpstr>
      <vt:lpstr>vcc902_3_2</vt:lpstr>
      <vt:lpstr>vcc902_3_2_1</vt:lpstr>
      <vt:lpstr>vch1001_1_1</vt:lpstr>
      <vt:lpstr>vch1001_1_10</vt:lpstr>
      <vt:lpstr>vch1001_1_11</vt:lpstr>
      <vt:lpstr>vch1001_1_12</vt:lpstr>
      <vt:lpstr>vch1001_1_13</vt:lpstr>
      <vt:lpstr>vch1001_1_14</vt:lpstr>
      <vt:lpstr>vch1001_1_15</vt:lpstr>
      <vt:lpstr>vch1001_1_16</vt:lpstr>
      <vt:lpstr>vch1001_1_17</vt:lpstr>
      <vt:lpstr>vch1001_1_18</vt:lpstr>
      <vt:lpstr>vch1001_1_19</vt:lpstr>
      <vt:lpstr>vch1001_1_2</vt:lpstr>
      <vt:lpstr>vch1001_1_20</vt:lpstr>
      <vt:lpstr>vch1001_1_21</vt:lpstr>
      <vt:lpstr>vch1001_1_22</vt:lpstr>
      <vt:lpstr>vch1001_1_23</vt:lpstr>
      <vt:lpstr>vch1001_1_24</vt:lpstr>
      <vt:lpstr>vch1001_1_25</vt:lpstr>
      <vt:lpstr>vch1001_1_3</vt:lpstr>
      <vt:lpstr>vch1001_1_4</vt:lpstr>
      <vt:lpstr>vch1001_1_5</vt:lpstr>
      <vt:lpstr>vch1001_1_6</vt:lpstr>
      <vt:lpstr>vch1001_1_7</vt:lpstr>
      <vt:lpstr>vch1001_1_8</vt:lpstr>
      <vt:lpstr>vch1001_1_9</vt:lpstr>
      <vt:lpstr>vch1001_2</vt:lpstr>
      <vt:lpstr>vch1002_1_1</vt:lpstr>
      <vt:lpstr>vch1002_1_2</vt:lpstr>
      <vt:lpstr>vch1002_1_3</vt:lpstr>
      <vt:lpstr>vch1002_1_4</vt:lpstr>
      <vt:lpstr>vch1002_1_5</vt:lpstr>
      <vt:lpstr>vch1002_1_6</vt:lpstr>
      <vt:lpstr>vch1002_1_7</vt:lpstr>
      <vt:lpstr>vch1002_1_8</vt:lpstr>
      <vt:lpstr>vch1002_2_1</vt:lpstr>
      <vt:lpstr>vch1002_2_10</vt:lpstr>
      <vt:lpstr>vch1002_2_11</vt:lpstr>
      <vt:lpstr>vch1002_2_2</vt:lpstr>
      <vt:lpstr>vch1002_2_3</vt:lpstr>
      <vt:lpstr>vch1002_2_4</vt:lpstr>
      <vt:lpstr>vch1002_2_5</vt:lpstr>
      <vt:lpstr>vch1002_2_6</vt:lpstr>
      <vt:lpstr>vch1002_2_7</vt:lpstr>
      <vt:lpstr>vch1002_2_8</vt:lpstr>
      <vt:lpstr>vch1002_2_9</vt:lpstr>
      <vt:lpstr>vch1002_3_1</vt:lpstr>
      <vt:lpstr>vch1002_3_10</vt:lpstr>
      <vt:lpstr>vch1002_3_11</vt:lpstr>
      <vt:lpstr>vch1002_3_2</vt:lpstr>
      <vt:lpstr>vch1002_3_3</vt:lpstr>
      <vt:lpstr>vch1002_3_4</vt:lpstr>
      <vt:lpstr>vch1002_3_5</vt:lpstr>
      <vt:lpstr>vch1002_3_6</vt:lpstr>
      <vt:lpstr>vch1002_3_7</vt:lpstr>
      <vt:lpstr>vch1002_3_8</vt:lpstr>
      <vt:lpstr>vch1002_3_9</vt:lpstr>
      <vt:lpstr>vch1002_4</vt:lpstr>
      <vt:lpstr>vch1002_5_1</vt:lpstr>
      <vt:lpstr>vch1002_5_2</vt:lpstr>
      <vt:lpstr>vch1002_5_3</vt:lpstr>
      <vt:lpstr>vch1002_5_4</vt:lpstr>
      <vt:lpstr>vch1002_5_5</vt:lpstr>
      <vt:lpstr>vch1002_5_6</vt:lpstr>
      <vt:lpstr>vch1002_5_7</vt:lpstr>
      <vt:lpstr>vch1002_5_8</vt:lpstr>
      <vt:lpstr>vch1002_5_9</vt:lpstr>
      <vt:lpstr>vch1002_6_1</vt:lpstr>
      <vt:lpstr>vch1002_6_2</vt:lpstr>
      <vt:lpstr>vch1002_6_3</vt:lpstr>
      <vt:lpstr>vch1002_6_4</vt:lpstr>
      <vt:lpstr>vch1002_6_5</vt:lpstr>
      <vt:lpstr>vch1002_6_6</vt:lpstr>
      <vt:lpstr>vch1002_6_7</vt:lpstr>
      <vt:lpstr>vch1003_1_1</vt:lpstr>
      <vt:lpstr>vch1003_1_2</vt:lpstr>
      <vt:lpstr>vch1003_1_3</vt:lpstr>
      <vt:lpstr>vch1005_1_1</vt:lpstr>
      <vt:lpstr>vch1005_1_2</vt:lpstr>
      <vt:lpstr>vch305_2_5_1</vt:lpstr>
      <vt:lpstr>vch305_2_6_1</vt:lpstr>
      <vt:lpstr>vch501_2_1</vt:lpstr>
      <vt:lpstr>vch501_2_2</vt:lpstr>
      <vt:lpstr>vch501_2_3</vt:lpstr>
      <vt:lpstr>vch501_2_3_</vt:lpstr>
      <vt:lpstr>vch501_2_4</vt:lpstr>
      <vt:lpstr>vch501_2_5</vt:lpstr>
      <vt:lpstr>vch501_2_5_d</vt:lpstr>
      <vt:lpstr>vch501_2_6</vt:lpstr>
      <vt:lpstr>vch501_2_7</vt:lpstr>
      <vt:lpstr>vch502_1</vt:lpstr>
      <vt:lpstr>vch503_1_1</vt:lpstr>
      <vt:lpstr>vch503_1_2</vt:lpstr>
      <vt:lpstr>vch503_1_3</vt:lpstr>
      <vt:lpstr>vch503_1_4</vt:lpstr>
      <vt:lpstr>vch503_1_5</vt:lpstr>
      <vt:lpstr>vch503_1_6</vt:lpstr>
      <vt:lpstr>vch503_1_7</vt:lpstr>
      <vt:lpstr>vch503_1_8</vt:lpstr>
      <vt:lpstr>vch503_2</vt:lpstr>
      <vt:lpstr>vch503_2_1</vt:lpstr>
      <vt:lpstr>vch503_2_2</vt:lpstr>
      <vt:lpstr>vch503_2_3</vt:lpstr>
      <vt:lpstr>vch503_2_4</vt:lpstr>
      <vt:lpstr>vch503_2_5</vt:lpstr>
      <vt:lpstr>vch503_3_1</vt:lpstr>
      <vt:lpstr>vch503_3_2_a</vt:lpstr>
      <vt:lpstr>vch503_3_2_b</vt:lpstr>
      <vt:lpstr>vch503_3_2_c</vt:lpstr>
      <vt:lpstr>vch503_3_2_d</vt:lpstr>
      <vt:lpstr>vch503_3_3</vt:lpstr>
      <vt:lpstr>vch503_4_1</vt:lpstr>
      <vt:lpstr>vch503_4_2</vt:lpstr>
      <vt:lpstr>vch503_4_3</vt:lpstr>
      <vt:lpstr>vch503_4_3_</vt:lpstr>
      <vt:lpstr>vch503_4_4</vt:lpstr>
      <vt:lpstr>vch503_5</vt:lpstr>
      <vt:lpstr>vch503_5_1</vt:lpstr>
      <vt:lpstr>vch503_5_10</vt:lpstr>
      <vt:lpstr>vch503_5_11</vt:lpstr>
      <vt:lpstr>vch503_5_12</vt:lpstr>
      <vt:lpstr>vch503_5_13</vt:lpstr>
      <vt:lpstr>vch503_5_2</vt:lpstr>
      <vt:lpstr>vch503_5_3</vt:lpstr>
      <vt:lpstr>vch503_5_4</vt:lpstr>
      <vt:lpstr>vch503_5_5</vt:lpstr>
      <vt:lpstr>vch503_5_6</vt:lpstr>
      <vt:lpstr>vch503_5_7</vt:lpstr>
      <vt:lpstr>vch503_5_8</vt:lpstr>
      <vt:lpstr>vch503_5_9</vt:lpstr>
      <vt:lpstr>vch503_6_1</vt:lpstr>
      <vt:lpstr>vch503_6_2</vt:lpstr>
      <vt:lpstr>vch503_6_3</vt:lpstr>
      <vt:lpstr>vch503_6_4</vt:lpstr>
      <vt:lpstr>vch503_7_1</vt:lpstr>
      <vt:lpstr>vch503_7_2</vt:lpstr>
      <vt:lpstr>vch504_1</vt:lpstr>
      <vt:lpstr>vch504_2_1</vt:lpstr>
      <vt:lpstr>vch504_2_2</vt:lpstr>
      <vt:lpstr>vch504_2_3</vt:lpstr>
      <vt:lpstr>vch504_3_1</vt:lpstr>
      <vt:lpstr>vch504_3_2</vt:lpstr>
      <vt:lpstr>vch504_3_3</vt:lpstr>
      <vt:lpstr>vch504_3_4</vt:lpstr>
      <vt:lpstr>vch504_3_5</vt:lpstr>
      <vt:lpstr>vch504_3_6</vt:lpstr>
      <vt:lpstr>vch504_3_7</vt:lpstr>
      <vt:lpstr>vch504_3_8a</vt:lpstr>
      <vt:lpstr>vch504_3_8b</vt:lpstr>
      <vt:lpstr>vch504_3_8c</vt:lpstr>
      <vt:lpstr>vch504_3_8d</vt:lpstr>
      <vt:lpstr>vch504_3_8e</vt:lpstr>
      <vt:lpstr>vch504_3_8f</vt:lpstr>
      <vt:lpstr>vch505_1_1</vt:lpstr>
      <vt:lpstr>vch505_1_2</vt:lpstr>
      <vt:lpstr>vch505_1_3</vt:lpstr>
      <vt:lpstr>vch505_10_a</vt:lpstr>
      <vt:lpstr>vch505_10_b</vt:lpstr>
      <vt:lpstr>vch505_10_c</vt:lpstr>
      <vt:lpstr>vch505_11</vt:lpstr>
      <vt:lpstr>vch505_2_1_a</vt:lpstr>
      <vt:lpstr>vch505_2_1_b</vt:lpstr>
      <vt:lpstr>vch505_2_1_c</vt:lpstr>
      <vt:lpstr>vch505_2_2</vt:lpstr>
      <vt:lpstr>vch505_3</vt:lpstr>
      <vt:lpstr>vch505_4_1</vt:lpstr>
      <vt:lpstr>vch505_5_a</vt:lpstr>
      <vt:lpstr>vch505_5_b</vt:lpstr>
      <vt:lpstr>vch505_5_c</vt:lpstr>
      <vt:lpstr>vch505_5_d</vt:lpstr>
      <vt:lpstr>vch505_6</vt:lpstr>
      <vt:lpstr>vch505_7</vt:lpstr>
      <vt:lpstr>vch505_8</vt:lpstr>
      <vt:lpstr>vch505_9_a</vt:lpstr>
      <vt:lpstr>vch505_9_b</vt:lpstr>
      <vt:lpstr>vch505_9_c</vt:lpstr>
      <vt:lpstr>vch601_2_1</vt:lpstr>
      <vt:lpstr>vch601_2_2</vt:lpstr>
      <vt:lpstr>vch601_2_3</vt:lpstr>
      <vt:lpstr>vch601_3_1</vt:lpstr>
      <vt:lpstr>vch601_3_2</vt:lpstr>
      <vt:lpstr>vch601_3_3</vt:lpstr>
      <vt:lpstr>vch601_3_4</vt:lpstr>
      <vt:lpstr>vch601_3_5</vt:lpstr>
      <vt:lpstr>vch601_4</vt:lpstr>
      <vt:lpstr>vch601_5_1</vt:lpstr>
      <vt:lpstr>vch601_5_2</vt:lpstr>
      <vt:lpstr>vch601_5_3</vt:lpstr>
      <vt:lpstr>vch601_5_4</vt:lpstr>
      <vt:lpstr>vch601_6</vt:lpstr>
      <vt:lpstr>vch601_7_a</vt:lpstr>
      <vt:lpstr>vch601_7_b</vt:lpstr>
      <vt:lpstr>vch601_7_c</vt:lpstr>
      <vt:lpstr>vch601_7_d</vt:lpstr>
      <vt:lpstr>vch601_7_e</vt:lpstr>
      <vt:lpstr>vch601_8</vt:lpstr>
      <vt:lpstr>vch602_1_1_1</vt:lpstr>
      <vt:lpstr>vch602_1_1_2</vt:lpstr>
      <vt:lpstr>vch602_1_10</vt:lpstr>
      <vt:lpstr>vch602_1_11</vt:lpstr>
      <vt:lpstr>vch602_1_12</vt:lpstr>
      <vt:lpstr>vch602_1_13</vt:lpstr>
      <vt:lpstr>vch602_1_14_1</vt:lpstr>
      <vt:lpstr>vch602_1_14_2</vt:lpstr>
      <vt:lpstr>vch602_1_14_3</vt:lpstr>
      <vt:lpstr>vch602_1_15</vt:lpstr>
      <vt:lpstr>vch602_1_2__1</vt:lpstr>
      <vt:lpstr>vch602_1_2__2</vt:lpstr>
      <vt:lpstr>vch602_1_3_1</vt:lpstr>
      <vt:lpstr>vch602_1_3_2</vt:lpstr>
      <vt:lpstr>vch602_1_4_1_1</vt:lpstr>
      <vt:lpstr>vch602_1_4_1_2</vt:lpstr>
      <vt:lpstr>vch602_1_4_2_1</vt:lpstr>
      <vt:lpstr>vch602_1_4_2_2</vt:lpstr>
      <vt:lpstr>vch602_1_5</vt:lpstr>
      <vt:lpstr>vch602_1_5_1</vt:lpstr>
      <vt:lpstr>vch602_1_5_2</vt:lpstr>
      <vt:lpstr>vch602_1_6_1</vt:lpstr>
      <vt:lpstr>vch602_1_6_2</vt:lpstr>
      <vt:lpstr>vch602_1_6_3</vt:lpstr>
      <vt:lpstr>vch602_1_7_1_1</vt:lpstr>
      <vt:lpstr>vch602_1_7_1_2</vt:lpstr>
      <vt:lpstr>vch602_1_7_1_3</vt:lpstr>
      <vt:lpstr>vch602_1_7_2</vt:lpstr>
      <vt:lpstr>vch602_1_7_3</vt:lpstr>
      <vt:lpstr>vch602_1_8</vt:lpstr>
      <vt:lpstr>vch602_1_9_1</vt:lpstr>
      <vt:lpstr>vch602_1_9_2</vt:lpstr>
      <vt:lpstr>vch602_1_9_3</vt:lpstr>
      <vt:lpstr>vch602_1_9_4</vt:lpstr>
      <vt:lpstr>vch602_1_9_5</vt:lpstr>
      <vt:lpstr>vch602_1_9_6</vt:lpstr>
      <vt:lpstr>vch602_1_9_7</vt:lpstr>
      <vt:lpstr>vch602_2_1</vt:lpstr>
      <vt:lpstr>vch602_2_2</vt:lpstr>
      <vt:lpstr>vch602_2_3</vt:lpstr>
      <vt:lpstr>vch602_3</vt:lpstr>
      <vt:lpstr>vch602_4_1</vt:lpstr>
      <vt:lpstr>vch602_4_2</vt:lpstr>
      <vt:lpstr>vch602_4_3</vt:lpstr>
      <vt:lpstr>vch603_1</vt:lpstr>
      <vt:lpstr>vch603_2</vt:lpstr>
      <vt:lpstr>vch603_3</vt:lpstr>
      <vt:lpstr>vch604_1a</vt:lpstr>
      <vt:lpstr>vch604_1b</vt:lpstr>
      <vt:lpstr>vch604_1c</vt:lpstr>
      <vt:lpstr>vch604_1d</vt:lpstr>
      <vt:lpstr>vch605_1</vt:lpstr>
      <vt:lpstr>vch605_2</vt:lpstr>
      <vt:lpstr>vch605_2_2</vt:lpstr>
      <vt:lpstr>vch605_3</vt:lpstr>
      <vt:lpstr>vch605_4_2_a</vt:lpstr>
      <vt:lpstr>vch605_4_2_b</vt:lpstr>
      <vt:lpstr>vch605_4_2_c</vt:lpstr>
      <vt:lpstr>vch605_4_2_d</vt:lpstr>
      <vt:lpstr>vch605_4_2_e</vt:lpstr>
      <vt:lpstr>vch605_4_2_f</vt:lpstr>
      <vt:lpstr>vch605_4_2_g</vt:lpstr>
      <vt:lpstr>vch605_4_2_h</vt:lpstr>
      <vt:lpstr>vch605_4_2_i</vt:lpstr>
      <vt:lpstr>vch606_1_a</vt:lpstr>
      <vt:lpstr>vch606_1_b</vt:lpstr>
      <vt:lpstr>vch606_1_c</vt:lpstr>
      <vt:lpstr>vch606_1_d</vt:lpstr>
      <vt:lpstr>vch606_1_e</vt:lpstr>
      <vt:lpstr>vch606_1_f</vt:lpstr>
      <vt:lpstr>vch606_1_g</vt:lpstr>
      <vt:lpstr>vch606_1_h</vt:lpstr>
      <vt:lpstr>vch606_2_1a</vt:lpstr>
      <vt:lpstr>vch606_2_1b</vt:lpstr>
      <vt:lpstr>vch606_2_2a</vt:lpstr>
      <vt:lpstr>vch606_2_2b</vt:lpstr>
      <vt:lpstr>vch606_3</vt:lpstr>
      <vt:lpstr>vch607_1_1</vt:lpstr>
      <vt:lpstr>vch607_1_2</vt:lpstr>
      <vt:lpstr>vch607_2</vt:lpstr>
      <vt:lpstr>vch608_1</vt:lpstr>
      <vt:lpstr>vch609_1_1</vt:lpstr>
      <vt:lpstr>vch609_1_2</vt:lpstr>
      <vt:lpstr>vch610_1_1_1</vt:lpstr>
      <vt:lpstr>vch610_1_1_2</vt:lpstr>
      <vt:lpstr>vch610_1_1_3</vt:lpstr>
      <vt:lpstr>vch610_1_2_1a</vt:lpstr>
      <vt:lpstr>vch610_1_2_1b</vt:lpstr>
      <vt:lpstr>vch610_1_2_2_f</vt:lpstr>
      <vt:lpstr>vch610_1_2_2a</vt:lpstr>
      <vt:lpstr>vch610_1_2_2b</vt:lpstr>
      <vt:lpstr>vch610_1_2_2c</vt:lpstr>
      <vt:lpstr>vch611_1_1</vt:lpstr>
      <vt:lpstr>vch611_1_2</vt:lpstr>
      <vt:lpstr>vch612_1</vt:lpstr>
      <vt:lpstr>vch612_2_1</vt:lpstr>
      <vt:lpstr>vch612_2_2</vt:lpstr>
      <vt:lpstr>vch612_2_3</vt:lpstr>
      <vt:lpstr>vch612_2_4</vt:lpstr>
      <vt:lpstr>vch612_2_5</vt:lpstr>
      <vt:lpstr>vch612_2_6</vt:lpstr>
      <vt:lpstr>vch612_2_7</vt:lpstr>
      <vt:lpstr>vch612_3_1</vt:lpstr>
      <vt:lpstr>vch612_3_2</vt:lpstr>
      <vt:lpstr>vch612_3_3</vt:lpstr>
      <vt:lpstr>vch612_3_4</vt:lpstr>
      <vt:lpstr>vch612_3_5</vt:lpstr>
      <vt:lpstr>vch612_3_6</vt:lpstr>
      <vt:lpstr>vch612_3_7</vt:lpstr>
      <vt:lpstr>vch612_3_8</vt:lpstr>
      <vt:lpstr>vch612_3_9</vt:lpstr>
      <vt:lpstr>vch613_1</vt:lpstr>
      <vt:lpstr>vch701_4_0</vt:lpstr>
      <vt:lpstr>vch701_4_1_1</vt:lpstr>
      <vt:lpstr>vch701_4_1_2</vt:lpstr>
      <vt:lpstr>vch701_4_2_1</vt:lpstr>
      <vt:lpstr>vch701_4_2_2</vt:lpstr>
      <vt:lpstr>vch701_4_2_3</vt:lpstr>
      <vt:lpstr>vch701_4_3_1_1</vt:lpstr>
      <vt:lpstr>vch701_4_3_1_a</vt:lpstr>
      <vt:lpstr>vch701_4_3_1_b</vt:lpstr>
      <vt:lpstr>vch701_4_3_1_c</vt:lpstr>
      <vt:lpstr>vch701_4_3_1_d</vt:lpstr>
      <vt:lpstr>vch701_4_3_1_e</vt:lpstr>
      <vt:lpstr>vch701_4_3_1_f</vt:lpstr>
      <vt:lpstr>vch701_4_3_1_g</vt:lpstr>
      <vt:lpstr>vch701_4_3_1_h</vt:lpstr>
      <vt:lpstr>vch701_4_3_1_i</vt:lpstr>
      <vt:lpstr>vch701_4_3_1_j</vt:lpstr>
      <vt:lpstr>vch701_4_3_1_k</vt:lpstr>
      <vt:lpstr>vch701_4_3_1_l</vt:lpstr>
      <vt:lpstr>vch701_4_3_1_m</vt:lpstr>
      <vt:lpstr>vch701_4_3_2</vt:lpstr>
      <vt:lpstr>vch701_4_3_2_1</vt:lpstr>
      <vt:lpstr>vch701_4_3_2_1_</vt:lpstr>
      <vt:lpstr>vch701_4_3_2_2</vt:lpstr>
      <vt:lpstr>vch701_4_3_2e</vt:lpstr>
      <vt:lpstr>vch701_4_3_4</vt:lpstr>
      <vt:lpstr>vch701_4_3_5</vt:lpstr>
      <vt:lpstr>vch701_4_4</vt:lpstr>
      <vt:lpstr>vch701_4_5</vt:lpstr>
      <vt:lpstr>vch701_4_6</vt:lpstr>
      <vt:lpstr>vch701_4_7</vt:lpstr>
      <vt:lpstr>vch703_1_1</vt:lpstr>
      <vt:lpstr>vch703_1_2</vt:lpstr>
      <vt:lpstr>vch703_1_3</vt:lpstr>
      <vt:lpstr>vch703_2_1</vt:lpstr>
      <vt:lpstr>vch703_2_1_1</vt:lpstr>
      <vt:lpstr>vch703_2_2</vt:lpstr>
      <vt:lpstr>vch703_2_3</vt:lpstr>
      <vt:lpstr>vch703_2_5_1</vt:lpstr>
      <vt:lpstr>vch703_2_5_1_1</vt:lpstr>
      <vt:lpstr>vch703_2_5_2</vt:lpstr>
      <vt:lpstr>vch703_2_5_2_1</vt:lpstr>
      <vt:lpstr>vch703_3_0_1</vt:lpstr>
      <vt:lpstr>vch703_3_0_2</vt:lpstr>
      <vt:lpstr>vch703_3_1</vt:lpstr>
      <vt:lpstr>vch703_3_2_1_1</vt:lpstr>
      <vt:lpstr>vch703_3_2_2_1</vt:lpstr>
      <vt:lpstr>vch703_3_2_3_1</vt:lpstr>
      <vt:lpstr>vch703_3_2_4_1</vt:lpstr>
      <vt:lpstr>vch703_3_3_1_1</vt:lpstr>
      <vt:lpstr>vch703_3_3_2</vt:lpstr>
      <vt:lpstr>vch703_3_3_3</vt:lpstr>
      <vt:lpstr>vch703_3_4_1_1</vt:lpstr>
      <vt:lpstr>vch703_3_4_1_6</vt:lpstr>
      <vt:lpstr>vch703_3_4_2</vt:lpstr>
      <vt:lpstr>vch703_3_5</vt:lpstr>
      <vt:lpstr>vch703_3_6</vt:lpstr>
      <vt:lpstr>vch703_3_7</vt:lpstr>
      <vt:lpstr>vch703_3_7_1</vt:lpstr>
      <vt:lpstr>vch703_3_8</vt:lpstr>
      <vt:lpstr>vch703_4_1</vt:lpstr>
      <vt:lpstr>vch703_4_2</vt:lpstr>
      <vt:lpstr>vch703_4_3_1</vt:lpstr>
      <vt:lpstr>vch703_4_3_2</vt:lpstr>
      <vt:lpstr>vch703_4_3_3</vt:lpstr>
      <vt:lpstr>vch703_4_4</vt:lpstr>
      <vt:lpstr>vch703_4_4_1</vt:lpstr>
      <vt:lpstr>vch703_4_4_2</vt:lpstr>
      <vt:lpstr>vch703_5_1</vt:lpstr>
      <vt:lpstr>vch703_5_1_1</vt:lpstr>
      <vt:lpstr>vch703_5_2</vt:lpstr>
      <vt:lpstr>vch703_5_3</vt:lpstr>
      <vt:lpstr>vch703_5_4</vt:lpstr>
      <vt:lpstr>vch703_5_5</vt:lpstr>
      <vt:lpstr>vch703_5_5_1</vt:lpstr>
      <vt:lpstr>vch703_6_1_1</vt:lpstr>
      <vt:lpstr>vch703_6_1_2</vt:lpstr>
      <vt:lpstr>vch703_6_1_3</vt:lpstr>
      <vt:lpstr>vch703_6_2_1</vt:lpstr>
      <vt:lpstr>vch703_6_2_2</vt:lpstr>
      <vt:lpstr>vch703_6_2_3</vt:lpstr>
      <vt:lpstr>vch703_7_1</vt:lpstr>
      <vt:lpstr>vch703_7_2</vt:lpstr>
      <vt:lpstr>vch703_7_3_1_a</vt:lpstr>
      <vt:lpstr>vch703_7_3_1_b</vt:lpstr>
      <vt:lpstr>vch703_7_3_1_c</vt:lpstr>
      <vt:lpstr>vch703_7_3_1_d</vt:lpstr>
      <vt:lpstr>vch703_7_3_2</vt:lpstr>
      <vt:lpstr>vch703_7_3_3</vt:lpstr>
      <vt:lpstr>vch703_7_3_4</vt:lpstr>
      <vt:lpstr>vch703_7_3_5_a</vt:lpstr>
      <vt:lpstr>vch703_7_3_5_b</vt:lpstr>
      <vt:lpstr>vch703_7_3_6</vt:lpstr>
      <vt:lpstr>vch703_7_4</vt:lpstr>
      <vt:lpstr>vch705_2_1_1</vt:lpstr>
      <vt:lpstr>vch705_2_1_2</vt:lpstr>
      <vt:lpstr>vch705_2_1_3_1</vt:lpstr>
      <vt:lpstr>vch705_2_1_3_2</vt:lpstr>
      <vt:lpstr>vch705_2_1_4</vt:lpstr>
      <vt:lpstr>vch705_2_2</vt:lpstr>
      <vt:lpstr>vch705_2_3</vt:lpstr>
      <vt:lpstr>vch705_2_4</vt:lpstr>
      <vt:lpstr>vch705_3</vt:lpstr>
      <vt:lpstr>vch705_4</vt:lpstr>
      <vt:lpstr>vch705_5_1_1</vt:lpstr>
      <vt:lpstr>vch705_5_1_2</vt:lpstr>
      <vt:lpstr>vch705_5_2</vt:lpstr>
      <vt:lpstr>vch705_5_3_1</vt:lpstr>
      <vt:lpstr>vch705_5_3_2</vt:lpstr>
      <vt:lpstr>vch705_6_2_1_1</vt:lpstr>
      <vt:lpstr>vch705_6_2_1_1_1</vt:lpstr>
      <vt:lpstr>vch705_6_2_1_2</vt:lpstr>
      <vt:lpstr>vch705_6_2_2_1</vt:lpstr>
      <vt:lpstr>vch705_6_2_2_2</vt:lpstr>
      <vt:lpstr>vch705_6_2_3</vt:lpstr>
      <vt:lpstr>vch705_6_3</vt:lpstr>
      <vt:lpstr>vch705_6_3_1</vt:lpstr>
      <vt:lpstr>vch705_6_4_1</vt:lpstr>
      <vt:lpstr>vch705_6_4_2</vt:lpstr>
      <vt:lpstr>vch705_7</vt:lpstr>
      <vt:lpstr>vch706_1_1</vt:lpstr>
      <vt:lpstr>vch706_1_2</vt:lpstr>
      <vt:lpstr>vch706_1_3</vt:lpstr>
      <vt:lpstr>vch706_1_4</vt:lpstr>
      <vt:lpstr>vch706_1_5</vt:lpstr>
      <vt:lpstr>vch706_10</vt:lpstr>
      <vt:lpstr>vch706_11</vt:lpstr>
      <vt:lpstr>vch706_12</vt:lpstr>
      <vt:lpstr>vch706_13</vt:lpstr>
      <vt:lpstr>vch706_14_1</vt:lpstr>
      <vt:lpstr>vch706_14_2</vt:lpstr>
      <vt:lpstr>vch706_15_1</vt:lpstr>
      <vt:lpstr>vch706_15_2</vt:lpstr>
      <vt:lpstr>vch706_2_1</vt:lpstr>
      <vt:lpstr>vch706_2_2</vt:lpstr>
      <vt:lpstr>vch706_3_1</vt:lpstr>
      <vt:lpstr>vch706_3_2</vt:lpstr>
      <vt:lpstr>vch706_3_3</vt:lpstr>
      <vt:lpstr>vch706_3_4</vt:lpstr>
      <vt:lpstr>vch706_3_5</vt:lpstr>
      <vt:lpstr>vch706_3_6</vt:lpstr>
      <vt:lpstr>vch706_3_7</vt:lpstr>
      <vt:lpstr>vch706_3_8</vt:lpstr>
      <vt:lpstr>vch706_4_1_1</vt:lpstr>
      <vt:lpstr>vch706_4_1_2</vt:lpstr>
      <vt:lpstr>vch706_4_2</vt:lpstr>
      <vt:lpstr>vch706_5_1</vt:lpstr>
      <vt:lpstr>vch706_5_2</vt:lpstr>
      <vt:lpstr>vch706_5_3</vt:lpstr>
      <vt:lpstr>vch706_6</vt:lpstr>
      <vt:lpstr>vch706_7_1</vt:lpstr>
      <vt:lpstr>vch706_7_2</vt:lpstr>
      <vt:lpstr>vch706_8</vt:lpstr>
      <vt:lpstr>vch706_9</vt:lpstr>
      <vt:lpstr>vch802_1</vt:lpstr>
      <vt:lpstr>vch802_1_6</vt:lpstr>
      <vt:lpstr>vch802_10_1</vt:lpstr>
      <vt:lpstr>vch802_10_1_1</vt:lpstr>
      <vt:lpstr>vch802_2_1</vt:lpstr>
      <vt:lpstr>vch802_2_2</vt:lpstr>
      <vt:lpstr>vch802_3_1_a</vt:lpstr>
      <vt:lpstr>vch802_3_1_b</vt:lpstr>
      <vt:lpstr>vch802_3_2_a</vt:lpstr>
      <vt:lpstr>vch802_3_2_b</vt:lpstr>
      <vt:lpstr>vch802_4_1</vt:lpstr>
      <vt:lpstr>vch802_4_2</vt:lpstr>
      <vt:lpstr>vch802_4_3</vt:lpstr>
      <vt:lpstr>vch802_5_1</vt:lpstr>
      <vt:lpstr>vch802_5_1_1</vt:lpstr>
      <vt:lpstr>vch802_5_2</vt:lpstr>
      <vt:lpstr>vch802_5_3</vt:lpstr>
      <vt:lpstr>vch802_5_4_2</vt:lpstr>
      <vt:lpstr>vch802_5_4_3</vt:lpstr>
      <vt:lpstr>vch802_5_4_4_a</vt:lpstr>
      <vt:lpstr>vch802_5_4_4_b</vt:lpstr>
      <vt:lpstr>vch802_5_4_4_c</vt:lpstr>
      <vt:lpstr>vch802_6_1</vt:lpstr>
      <vt:lpstr>vch802_6_2</vt:lpstr>
      <vt:lpstr>vch802_6_3_1</vt:lpstr>
      <vt:lpstr>vch802_6_3_2</vt:lpstr>
      <vt:lpstr>vch802_6_3_3</vt:lpstr>
      <vt:lpstr>vch802_6_4_1</vt:lpstr>
      <vt:lpstr>vch802_6_4_2</vt:lpstr>
      <vt:lpstr>vch802_6_5_1</vt:lpstr>
      <vt:lpstr>vch802_6_5_2</vt:lpstr>
      <vt:lpstr>vch802_6_5_3</vt:lpstr>
      <vt:lpstr>vch802_6_5_4</vt:lpstr>
      <vt:lpstr>vch802_6_5_5</vt:lpstr>
      <vt:lpstr>vch802_7_1</vt:lpstr>
      <vt:lpstr>vch802_7_2_1</vt:lpstr>
      <vt:lpstr>vch802_7_2_2</vt:lpstr>
      <vt:lpstr>vch802_8</vt:lpstr>
      <vt:lpstr>vch802_9_1</vt:lpstr>
      <vt:lpstr>vch802_9_2</vt:lpstr>
      <vt:lpstr>vch803_1_1</vt:lpstr>
      <vt:lpstr>vch803_1_2</vt:lpstr>
      <vt:lpstr>vch803_2</vt:lpstr>
      <vt:lpstr>vch803_3</vt:lpstr>
      <vt:lpstr>vch803_4</vt:lpstr>
      <vt:lpstr>vch803_5</vt:lpstr>
      <vt:lpstr>vch803_6</vt:lpstr>
      <vt:lpstr>vch901_1_1</vt:lpstr>
      <vt:lpstr>vch901_1_2</vt:lpstr>
      <vt:lpstr>vch901_1_3_1</vt:lpstr>
      <vt:lpstr>vch901_1_3_2</vt:lpstr>
      <vt:lpstr>vch901_1_4</vt:lpstr>
      <vt:lpstr>vch901_1_5</vt:lpstr>
      <vt:lpstr>vch901_1_6</vt:lpstr>
      <vt:lpstr>vch901_10_1</vt:lpstr>
      <vt:lpstr>vch901_10_2</vt:lpstr>
      <vt:lpstr>vch901_10_3</vt:lpstr>
      <vt:lpstr>vch901_11</vt:lpstr>
      <vt:lpstr>vch901_12</vt:lpstr>
      <vt:lpstr>vch901_13</vt:lpstr>
      <vt:lpstr>vch901_14_1</vt:lpstr>
      <vt:lpstr>vch901_14_2</vt:lpstr>
      <vt:lpstr>vch901_15_1</vt:lpstr>
      <vt:lpstr>vch901_15_2</vt:lpstr>
      <vt:lpstr>vch901_16</vt:lpstr>
      <vt:lpstr>vch901_2_1_1</vt:lpstr>
      <vt:lpstr>vch901_2_1_2</vt:lpstr>
      <vt:lpstr>vch901_2_1_3</vt:lpstr>
      <vt:lpstr>vch901_2_1_4</vt:lpstr>
      <vt:lpstr>vch901_2_1_5</vt:lpstr>
      <vt:lpstr>vch901_2_2</vt:lpstr>
      <vt:lpstr>vch901_3_1_a</vt:lpstr>
      <vt:lpstr>vch901_3_1_b</vt:lpstr>
      <vt:lpstr>vch901_3_1_c</vt:lpstr>
      <vt:lpstr>vch901_3_2</vt:lpstr>
      <vt:lpstr>vch901_4_1</vt:lpstr>
      <vt:lpstr>vch901_4_a</vt:lpstr>
      <vt:lpstr>vch901_4_b</vt:lpstr>
      <vt:lpstr>vch901_4_c</vt:lpstr>
      <vt:lpstr>vch901_4_d</vt:lpstr>
      <vt:lpstr>vch901_5_1</vt:lpstr>
      <vt:lpstr>vch901_5_2</vt:lpstr>
      <vt:lpstr>vch901_6</vt:lpstr>
      <vt:lpstr>vch901_7_1</vt:lpstr>
      <vt:lpstr>vch901_7_2</vt:lpstr>
      <vt:lpstr>vch901_7_3</vt:lpstr>
      <vt:lpstr>vch901_8</vt:lpstr>
      <vt:lpstr>vch901_9_1_1</vt:lpstr>
      <vt:lpstr>vch901_9_1_2</vt:lpstr>
      <vt:lpstr>vch901_9_1_3</vt:lpstr>
      <vt:lpstr>vch901_9_2</vt:lpstr>
      <vt:lpstr>vch901_9_3</vt:lpstr>
      <vt:lpstr>vch901_9_4</vt:lpstr>
      <vt:lpstr>vch902_1_1_1</vt:lpstr>
      <vt:lpstr>vch902_1_1_1_a</vt:lpstr>
      <vt:lpstr>vch902_1_1_2</vt:lpstr>
      <vt:lpstr>vch902_1_1_3</vt:lpstr>
      <vt:lpstr>vch902_1_2</vt:lpstr>
      <vt:lpstr>vch902_1_2_2</vt:lpstr>
      <vt:lpstr>vch902_1_3</vt:lpstr>
      <vt:lpstr>vch902_1_4_1</vt:lpstr>
      <vt:lpstr>vch902_1_4_2</vt:lpstr>
      <vt:lpstr>vch902_1_5_1</vt:lpstr>
      <vt:lpstr>vch902_1_5_2</vt:lpstr>
      <vt:lpstr>vch902_1_5_3</vt:lpstr>
      <vt:lpstr>vch902_1_6</vt:lpstr>
      <vt:lpstr>vch902_2_1</vt:lpstr>
      <vt:lpstr>vch902_2_2</vt:lpstr>
      <vt:lpstr>vch902_2_3</vt:lpstr>
      <vt:lpstr>vch902_2_4</vt:lpstr>
      <vt:lpstr>vch902_2_5</vt:lpstr>
      <vt:lpstr>vch902_3</vt:lpstr>
      <vt:lpstr>vch902_3_2</vt:lpstr>
      <vt:lpstr>vch902_3_2_1</vt:lpstr>
      <vt:lpstr>vch902_3_2_2</vt:lpstr>
      <vt:lpstr>vch902_4_1</vt:lpstr>
      <vt:lpstr>vch902_4_2</vt:lpstr>
      <vt:lpstr>vch902_4_3</vt:lpstr>
      <vt:lpstr>vch902_5</vt:lpstr>
      <vt:lpstr>vch902_6</vt:lpstr>
      <vt:lpstr>vch903_1</vt:lpstr>
      <vt:lpstr>vch903_2</vt:lpstr>
      <vt:lpstr>vch903_3_1</vt:lpstr>
      <vt:lpstr>vch903_3_2</vt:lpstr>
      <vt:lpstr>vch904_1</vt:lpstr>
      <vt:lpstr>vch904_2</vt:lpstr>
      <vt:lpstr>vch904_3_1</vt:lpstr>
      <vt:lpstr>vch904_3_2</vt:lpstr>
      <vt:lpstr>vch905_1</vt:lpstr>
      <vt:lpstr>vch905_2</vt:lpstr>
      <vt:lpstr>vch905_3_1</vt:lpstr>
      <vt:lpstr>vch905_3_2</vt:lpstr>
      <vt:lpstr>vch905_4</vt:lpstr>
      <vt:lpstr>vch905_5</vt:lpstr>
      <vt:lpstr>vch905_6</vt:lpstr>
      <vt:lpstr>vcn13_103_1_1</vt:lpstr>
      <vt:lpstr>vcn13_103_1_1_1</vt:lpstr>
      <vt:lpstr>vcn13_103_1_1_2</vt:lpstr>
      <vt:lpstr>vcn13_103_1_1_3</vt:lpstr>
      <vt:lpstr>vcn13_103_1_2</vt:lpstr>
      <vt:lpstr>vcn13_104_1_1</vt:lpstr>
      <vt:lpstr>vcn13_104_1_2</vt:lpstr>
      <vt:lpstr>vcn13_104_1_3</vt:lpstr>
      <vt:lpstr>vcn13_104_1_4</vt:lpstr>
      <vt:lpstr>vcn13_104_1_5_1</vt:lpstr>
      <vt:lpstr>vcn13_104_1_5_10</vt:lpstr>
      <vt:lpstr>vcn13_104_1_5_11</vt:lpstr>
      <vt:lpstr>vcn13_104_1_5_12</vt:lpstr>
      <vt:lpstr>vcn13_104_1_5_2</vt:lpstr>
      <vt:lpstr>vcn13_104_1_5_3</vt:lpstr>
      <vt:lpstr>vcn13_104_1_5_4</vt:lpstr>
      <vt:lpstr>vcn13_104_1_5_5</vt:lpstr>
      <vt:lpstr>vcn13_104_1_5_6</vt:lpstr>
      <vt:lpstr>vcn13_104_1_5_7</vt:lpstr>
      <vt:lpstr>vcn13_104_1_5_8</vt:lpstr>
      <vt:lpstr>vcn13_104_1_5_9</vt:lpstr>
      <vt:lpstr>vcn13_104_1_6</vt:lpstr>
      <vt:lpstr>vcn13_104_1_7</vt:lpstr>
      <vt:lpstr>vcn13_104_1_8_1</vt:lpstr>
      <vt:lpstr>vcn13_104_1_8_2</vt:lpstr>
      <vt:lpstr>vcn13_104_1_8_3</vt:lpstr>
      <vt:lpstr>vcn13_104_1_9_1</vt:lpstr>
      <vt:lpstr>vcn13_104_1_9_2</vt:lpstr>
      <vt:lpstr>vcn13_104_2</vt:lpstr>
      <vt:lpstr>vcn13_104_3</vt:lpstr>
      <vt:lpstr>vcn13_104_4</vt:lpstr>
      <vt:lpstr>vcn13_105_1</vt:lpstr>
      <vt:lpstr>vcn13_105_1_1</vt:lpstr>
      <vt:lpstr>vcn13_105_10</vt:lpstr>
      <vt:lpstr>vcn13_105_11</vt:lpstr>
      <vt:lpstr>vcn13_105_11_1</vt:lpstr>
      <vt:lpstr>vcn13_105_11_2</vt:lpstr>
      <vt:lpstr>vcn13_105_11_3</vt:lpstr>
      <vt:lpstr>vcn13_105_12</vt:lpstr>
      <vt:lpstr>vcn13_105_12_3</vt:lpstr>
      <vt:lpstr>vcn13_105_2</vt:lpstr>
      <vt:lpstr>vcn13_105_3_1</vt:lpstr>
      <vt:lpstr>vcn13_105_3_1_</vt:lpstr>
      <vt:lpstr>vcn13_105_3_10</vt:lpstr>
      <vt:lpstr>vcn13_105_3_11</vt:lpstr>
      <vt:lpstr>vcn13_105_3_12</vt:lpstr>
      <vt:lpstr>vcn13_105_3_2</vt:lpstr>
      <vt:lpstr>vcn13_105_3_3</vt:lpstr>
      <vt:lpstr>vcn13_105_3_4</vt:lpstr>
      <vt:lpstr>vcn13_105_3_5</vt:lpstr>
      <vt:lpstr>vcn13_105_3_6</vt:lpstr>
      <vt:lpstr>vcn13_105_3_7</vt:lpstr>
      <vt:lpstr>vcn13_105_3_8</vt:lpstr>
      <vt:lpstr>vcn13_105_3_9</vt:lpstr>
      <vt:lpstr>vcn13_105_4</vt:lpstr>
      <vt:lpstr>vcn13_105_5</vt:lpstr>
      <vt:lpstr>vcn13_105_6</vt:lpstr>
      <vt:lpstr>vcn13_105_7</vt:lpstr>
      <vt:lpstr>vcn13_105_8_1</vt:lpstr>
      <vt:lpstr>vcn13_105_9</vt:lpstr>
      <vt:lpstr>vcn13_106_1</vt:lpstr>
      <vt:lpstr>vcn13_106_2</vt:lpstr>
      <vt:lpstr>vcn13_106_3_1</vt:lpstr>
      <vt:lpstr>vcn13_106_3_2</vt:lpstr>
      <vt:lpstr>vcn13_106_3_3</vt:lpstr>
      <vt:lpstr>vcn13_106_3_4</vt:lpstr>
      <vt:lpstr>vcn13_106_4_1</vt:lpstr>
      <vt:lpstr>vcn13_106_4_2</vt:lpstr>
      <vt:lpstr>vcn13_106_4_3</vt:lpstr>
      <vt:lpstr>vcn13_106_4_4</vt:lpstr>
      <vt:lpstr>vcn13_106_5_1</vt:lpstr>
      <vt:lpstr>vcn13_106_5_2</vt:lpstr>
      <vt:lpstr>vcn13_106_5_3</vt:lpstr>
      <vt:lpstr>vcn13_106_6</vt:lpstr>
      <vt:lpstr>vcn13_107_1</vt:lpstr>
      <vt:lpstr>vcn13_107_1_1</vt:lpstr>
      <vt:lpstr>vcn13_107_2_1</vt:lpstr>
      <vt:lpstr>vcn13_107_2_2</vt:lpstr>
      <vt:lpstr>vcn13_107_4</vt:lpstr>
      <vt:lpstr>vcn13_107_4_1</vt:lpstr>
      <vt:lpstr>vcn13_107_4_2</vt:lpstr>
      <vt:lpstr>vcn13_107_4_2_1</vt:lpstr>
      <vt:lpstr>vcn13_107_4_2_2</vt:lpstr>
      <vt:lpstr>vcn13_107_4_2_3</vt:lpstr>
      <vt:lpstr>vcn13_107_4_3</vt:lpstr>
      <vt:lpstr>vcn13_107_4_4</vt:lpstr>
      <vt:lpstr>vcn13_107_4_5</vt:lpstr>
      <vt:lpstr>vcn13_107_5</vt:lpstr>
      <vt:lpstr>vcn13_107_6_1</vt:lpstr>
      <vt:lpstr>vcn13_107_6_2</vt:lpstr>
      <vt:lpstr>vcn13_107_7</vt:lpstr>
      <vt:lpstr>vcn13_107_8_1</vt:lpstr>
      <vt:lpstr>vcn13_107_8_2</vt:lpstr>
      <vt:lpstr>vcn13_108_1</vt:lpstr>
      <vt:lpstr>vcn13_108_2</vt:lpstr>
      <vt:lpstr>vcn603_2</vt:lpstr>
      <vt:lpstr>vcn604_1a</vt:lpstr>
      <vt:lpstr>vcn604_1b</vt:lpstr>
      <vt:lpstr>vcn604_1c</vt:lpstr>
      <vt:lpstr>vcn604_1d</vt:lpstr>
      <vt:lpstr>vcn606_1_a</vt:lpstr>
      <vt:lpstr>vcn606_2_1a</vt:lpstr>
      <vt:lpstr>vcn606_2_1b</vt:lpstr>
      <vt:lpstr>vcn606_2_2a</vt:lpstr>
      <vt:lpstr>vcn606_2_2b</vt:lpstr>
      <vt:lpstr>vcn606_3</vt:lpstr>
      <vt:lpstr>vcn608_1</vt:lpstr>
      <vt:lpstr>vcn609_1a</vt:lpstr>
      <vt:lpstr>vcn609_1b</vt:lpstr>
      <vt:lpstr>vcn610_1_2_1</vt:lpstr>
      <vt:lpstr>vcn610_1_2_1_e</vt:lpstr>
      <vt:lpstr>vcn610_1_2_2_e</vt:lpstr>
      <vt:lpstr>vcn610_1_2_2a</vt:lpstr>
      <vt:lpstr>vcn610_1_2_2b</vt:lpstr>
      <vt:lpstr>vcn610_1_2_2c</vt:lpstr>
      <vt:lpstr>vcn611_1_1</vt:lpstr>
      <vt:lpstr>vcn611_1_2</vt:lpstr>
      <vt:lpstr>vcn612_1</vt:lpstr>
      <vt:lpstr>vcn612_2_1</vt:lpstr>
      <vt:lpstr>vcn612_2_2</vt:lpstr>
      <vt:lpstr>vcn612_2_3</vt:lpstr>
      <vt:lpstr>vcn612_2_4</vt:lpstr>
      <vt:lpstr>vcn612_2_5</vt:lpstr>
      <vt:lpstr>vcn612_2_6</vt:lpstr>
      <vt:lpstr>vcn612_2_7</vt:lpstr>
      <vt:lpstr>vcn901_10_1</vt:lpstr>
      <vt:lpstr>vcn901_10_2</vt:lpstr>
      <vt:lpstr>vcn901_10_3</vt:lpstr>
      <vt:lpstr>vcn901_11</vt:lpstr>
      <vt:lpstr>vcn901_4_1</vt:lpstr>
      <vt:lpstr>vcn901_4_a</vt:lpstr>
      <vt:lpstr>vcn901_5_1</vt:lpstr>
      <vt:lpstr>vcn901_5_2</vt:lpstr>
      <vt:lpstr>vcn901_7_1</vt:lpstr>
      <vt:lpstr>vcn901_7_2</vt:lpstr>
      <vt:lpstr>vcn901_8</vt:lpstr>
      <vt:lpstr>vcn901_9</vt:lpstr>
      <vt:lpstr>vcn901_9_1_1</vt:lpstr>
      <vt:lpstr>vcn901_9_1_2</vt:lpstr>
      <vt:lpstr>vcn901_9_1_3</vt:lpstr>
      <vt:lpstr>vcn901_9_2</vt:lpstr>
      <vt:lpstr>vcn901_9_3</vt:lpstr>
      <vt:lpstr>vcn902_3</vt:lpstr>
      <vt:lpstr>vcn902_3_1_</vt:lpstr>
      <vt:lpstr>vcn902_3_2_1</vt:lpstr>
      <vt:lpstr>verAGFloorArea</vt:lpstr>
      <vt:lpstr>verAttachedGarage</vt:lpstr>
      <vt:lpstr>verAttic</vt:lpstr>
      <vt:lpstr>verAtticOther</vt:lpstr>
      <vt:lpstr>verBuilderName</vt:lpstr>
      <vt:lpstr>verBuildingCode</vt:lpstr>
      <vt:lpstr>verBuildingCodeOther</vt:lpstr>
      <vt:lpstr>verCDucts</vt:lpstr>
      <vt:lpstr>verCity</vt:lpstr>
      <vt:lpstr>verCommercial</vt:lpstr>
      <vt:lpstr>verCool1</vt:lpstr>
      <vt:lpstr>verCool1Other</vt:lpstr>
      <vt:lpstr>verCool2</vt:lpstr>
      <vt:lpstr>verCool2Other</vt:lpstr>
      <vt:lpstr>verCool3</vt:lpstr>
      <vt:lpstr>verCool3Other</vt:lpstr>
      <vt:lpstr>verCounty</vt:lpstr>
      <vt:lpstr>verCToilet</vt:lpstr>
      <vt:lpstr>verEnergyBLYear</vt:lpstr>
      <vt:lpstr>verEnergyCode</vt:lpstr>
      <vt:lpstr>verEnergyCodeOther</vt:lpstr>
      <vt:lpstr>verEnergyPath</vt:lpstr>
      <vt:lpstr>verError</vt:lpstr>
      <vt:lpstr>verFloors</vt:lpstr>
      <vt:lpstr>verFoundation</vt:lpstr>
      <vt:lpstr>verFuel</vt:lpstr>
      <vt:lpstr>verFuelOther</vt:lpstr>
      <vt:lpstr>verGoalLevel</vt:lpstr>
      <vt:lpstr>verHDucts</vt:lpstr>
      <vt:lpstr>verHomeAddress</vt:lpstr>
      <vt:lpstr>verHVAC1</vt:lpstr>
      <vt:lpstr>verHVAC1Other</vt:lpstr>
      <vt:lpstr>verHVAC2</vt:lpstr>
      <vt:lpstr>verHVAC2Other</vt:lpstr>
      <vt:lpstr>verHVAC3</vt:lpstr>
      <vt:lpstr>verHVAC3Other</vt:lpstr>
      <vt:lpstr>verLot</vt:lpstr>
      <vt:lpstr>verMandError</vt:lpstr>
      <vt:lpstr>verMassWalls</vt:lpstr>
      <vt:lpstr>verPassiveSolar</vt:lpstr>
      <vt:lpstr>verProjectDesc</vt:lpstr>
      <vt:lpstr>verProjectID</vt:lpstr>
      <vt:lpstr>verProjectName</vt:lpstr>
      <vt:lpstr>verRadiantHydronic</vt:lpstr>
      <vt:lpstr>verRecessedLighting</vt:lpstr>
      <vt:lpstr>verRenewable</vt:lpstr>
      <vt:lpstr>verRenewableOther</vt:lpstr>
      <vt:lpstr>verSingleOrMulti</vt:lpstr>
      <vt:lpstr>VersionDate</vt:lpstr>
      <vt:lpstr>VersionNum</vt:lpstr>
      <vt:lpstr>versSHGC</vt:lpstr>
      <vt:lpstr>verStartError</vt:lpstr>
      <vt:lpstr>verState</vt:lpstr>
      <vt:lpstr>versUV</vt:lpstr>
      <vt:lpstr>verTCFloorArea</vt:lpstr>
      <vt:lpstr>verTEInsulation</vt:lpstr>
      <vt:lpstr>verTEInsulationOther</vt:lpstr>
      <vt:lpstr>verTLWH</vt:lpstr>
      <vt:lpstr>verUnits</vt:lpstr>
      <vt:lpstr>verWaterBLYear</vt:lpstr>
      <vt:lpstr>verWaterPath</vt:lpstr>
      <vt:lpstr>verwdSHGC</vt:lpstr>
      <vt:lpstr>verwdUV</vt:lpstr>
      <vt:lpstr>verYearBuilt</vt:lpstr>
      <vt:lpstr>verZIP</vt:lpstr>
      <vt:lpstr>Vlevel</vt:lpstr>
      <vt:lpstr>VNext</vt:lpstr>
      <vt:lpstr>vnt1001_1_1</vt:lpstr>
      <vt:lpstr>vnt1001_1_10</vt:lpstr>
      <vt:lpstr>vnt1001_1_11</vt:lpstr>
      <vt:lpstr>vnt1001_1_12</vt:lpstr>
      <vt:lpstr>vnt1001_1_13</vt:lpstr>
      <vt:lpstr>vnt1001_1_14</vt:lpstr>
      <vt:lpstr>vnt1001_1_15</vt:lpstr>
      <vt:lpstr>vnt1001_1_16</vt:lpstr>
      <vt:lpstr>vnt1001_1_17</vt:lpstr>
      <vt:lpstr>vnt1001_1_18</vt:lpstr>
      <vt:lpstr>vnt1001_1_19</vt:lpstr>
      <vt:lpstr>vnt1001_1_2</vt:lpstr>
      <vt:lpstr>vnt1001_1_20</vt:lpstr>
      <vt:lpstr>vnt1001_1_21</vt:lpstr>
      <vt:lpstr>vnt1001_1_22</vt:lpstr>
      <vt:lpstr>vnt1001_1_23</vt:lpstr>
      <vt:lpstr>vnt1001_1_24</vt:lpstr>
      <vt:lpstr>vnt1001_1_25</vt:lpstr>
      <vt:lpstr>vnt1001_1_3</vt:lpstr>
      <vt:lpstr>vnt1001_1_4</vt:lpstr>
      <vt:lpstr>vnt1001_1_5</vt:lpstr>
      <vt:lpstr>vnt1001_1_6</vt:lpstr>
      <vt:lpstr>vnt1001_1_7</vt:lpstr>
      <vt:lpstr>vnt1001_1_8</vt:lpstr>
      <vt:lpstr>vnt1001_1_9</vt:lpstr>
      <vt:lpstr>vnt1001_2</vt:lpstr>
      <vt:lpstr>vnt1002_1_1</vt:lpstr>
      <vt:lpstr>vnt1002_1_2</vt:lpstr>
      <vt:lpstr>vnt1002_1_3</vt:lpstr>
      <vt:lpstr>vnt1002_1_4</vt:lpstr>
      <vt:lpstr>vnt1002_1_5</vt:lpstr>
      <vt:lpstr>vnt1002_1_6</vt:lpstr>
      <vt:lpstr>vnt1002_1_7</vt:lpstr>
      <vt:lpstr>vnt1002_1_8</vt:lpstr>
      <vt:lpstr>vnt1002_2_1</vt:lpstr>
      <vt:lpstr>vnt1002_2_10</vt:lpstr>
      <vt:lpstr>vnt1002_2_11</vt:lpstr>
      <vt:lpstr>vnt1002_2_2</vt:lpstr>
      <vt:lpstr>vnt1002_2_3</vt:lpstr>
      <vt:lpstr>vnt1002_2_4</vt:lpstr>
      <vt:lpstr>vnt1002_2_5</vt:lpstr>
      <vt:lpstr>vnt1002_2_6</vt:lpstr>
      <vt:lpstr>vnt1002_2_7</vt:lpstr>
      <vt:lpstr>vnt1002_2_8</vt:lpstr>
      <vt:lpstr>vnt1002_2_9</vt:lpstr>
      <vt:lpstr>vnt1002_3_1</vt:lpstr>
      <vt:lpstr>vnt1002_3_10</vt:lpstr>
      <vt:lpstr>vnt1002_3_11</vt:lpstr>
      <vt:lpstr>vnt1002_3_2</vt:lpstr>
      <vt:lpstr>vnt1002_3_3</vt:lpstr>
      <vt:lpstr>vnt1002_3_4</vt:lpstr>
      <vt:lpstr>vnt1002_3_5</vt:lpstr>
      <vt:lpstr>vnt1002_3_6</vt:lpstr>
      <vt:lpstr>vnt1002_3_7</vt:lpstr>
      <vt:lpstr>vnt1002_3_8</vt:lpstr>
      <vt:lpstr>vnt1002_3_9</vt:lpstr>
      <vt:lpstr>vnt1002_4</vt:lpstr>
      <vt:lpstr>vnt1002_5_1</vt:lpstr>
      <vt:lpstr>vnt1002_5_2</vt:lpstr>
      <vt:lpstr>vnt1002_5_3</vt:lpstr>
      <vt:lpstr>vnt1002_5_4</vt:lpstr>
      <vt:lpstr>vnt1002_5_5</vt:lpstr>
      <vt:lpstr>vnt1002_5_6</vt:lpstr>
      <vt:lpstr>vnt1002_5_7</vt:lpstr>
      <vt:lpstr>vnt1002_5_8</vt:lpstr>
      <vt:lpstr>vnt1002_5_9</vt:lpstr>
      <vt:lpstr>vnt1002_6_1</vt:lpstr>
      <vt:lpstr>vnt1002_6_2</vt:lpstr>
      <vt:lpstr>vnt1002_6_3</vt:lpstr>
      <vt:lpstr>vnt1002_6_4</vt:lpstr>
      <vt:lpstr>vnt1002_6_5</vt:lpstr>
      <vt:lpstr>vnt1002_6_6</vt:lpstr>
      <vt:lpstr>vnt1002_6_7</vt:lpstr>
      <vt:lpstr>vnt1003_1_1</vt:lpstr>
      <vt:lpstr>vnt1003_1_2</vt:lpstr>
      <vt:lpstr>vnt1003_1_3</vt:lpstr>
      <vt:lpstr>vnt1005_1_1</vt:lpstr>
      <vt:lpstr>vnt1005_1_2</vt:lpstr>
      <vt:lpstr>vnt305_2_5</vt:lpstr>
      <vt:lpstr>vnt305_2_5_1</vt:lpstr>
      <vt:lpstr>vnt305_2_6_1</vt:lpstr>
      <vt:lpstr>vnt501_2</vt:lpstr>
      <vt:lpstr>vnt501_2_1</vt:lpstr>
      <vt:lpstr>vnt501_2_2</vt:lpstr>
      <vt:lpstr>vnt501_2_3</vt:lpstr>
      <vt:lpstr>vnt501_2_3_</vt:lpstr>
      <vt:lpstr>vnt501_2_4</vt:lpstr>
      <vt:lpstr>vnt501_2_5</vt:lpstr>
      <vt:lpstr>vnt501_2_5_d</vt:lpstr>
      <vt:lpstr>vnt501_2_6</vt:lpstr>
      <vt:lpstr>vnt501_2_7</vt:lpstr>
      <vt:lpstr>vnt502_1</vt:lpstr>
      <vt:lpstr>vnt503_0</vt:lpstr>
      <vt:lpstr>vnt503_1</vt:lpstr>
      <vt:lpstr>vnt503_2</vt:lpstr>
      <vt:lpstr>vnt503_3</vt:lpstr>
      <vt:lpstr>vnt503_4</vt:lpstr>
      <vt:lpstr>vnt503_4_1</vt:lpstr>
      <vt:lpstr>vnt503_4_2</vt:lpstr>
      <vt:lpstr>vnt503_4_3</vt:lpstr>
      <vt:lpstr>vnt503_4_3_</vt:lpstr>
      <vt:lpstr>vnt503_4_4</vt:lpstr>
      <vt:lpstr>vnt503_5</vt:lpstr>
      <vt:lpstr>vnt503_5_1</vt:lpstr>
      <vt:lpstr>vnt503_5_10</vt:lpstr>
      <vt:lpstr>vnt503_5_11</vt:lpstr>
      <vt:lpstr>vnt503_5_12</vt:lpstr>
      <vt:lpstr>vnt503_5_13</vt:lpstr>
      <vt:lpstr>vnt503_5_2</vt:lpstr>
      <vt:lpstr>vnt503_5_3</vt:lpstr>
      <vt:lpstr>vnt503_5_4</vt:lpstr>
      <vt:lpstr>vnt503_5_5</vt:lpstr>
      <vt:lpstr>vnt503_5_6</vt:lpstr>
      <vt:lpstr>vnt503_5_7</vt:lpstr>
      <vt:lpstr>vnt503_5_8</vt:lpstr>
      <vt:lpstr>vnt503_5_9</vt:lpstr>
      <vt:lpstr>vnt503_6</vt:lpstr>
      <vt:lpstr>vnt503_7</vt:lpstr>
      <vt:lpstr>vnt504_1</vt:lpstr>
      <vt:lpstr>vnt504_2</vt:lpstr>
      <vt:lpstr>vnt504_3</vt:lpstr>
      <vt:lpstr>vnt504_3_1</vt:lpstr>
      <vt:lpstr>vnt504_3_2</vt:lpstr>
      <vt:lpstr>vnt504_3_3</vt:lpstr>
      <vt:lpstr>vnt504_3_4</vt:lpstr>
      <vt:lpstr>vnt504_3_5</vt:lpstr>
      <vt:lpstr>vnt504_3_6</vt:lpstr>
      <vt:lpstr>vnt504_3_7</vt:lpstr>
      <vt:lpstr>vnt504_3_8</vt:lpstr>
      <vt:lpstr>vnt505_1_1</vt:lpstr>
      <vt:lpstr>vnt505_1_2</vt:lpstr>
      <vt:lpstr>vnt505_1_3</vt:lpstr>
      <vt:lpstr>vnt505_10_a</vt:lpstr>
      <vt:lpstr>vnt505_10_b</vt:lpstr>
      <vt:lpstr>vnt505_10_c</vt:lpstr>
      <vt:lpstr>vnt505_11</vt:lpstr>
      <vt:lpstr>vnt505_2_1</vt:lpstr>
      <vt:lpstr>vnt505_2_2</vt:lpstr>
      <vt:lpstr>vnt505_3</vt:lpstr>
      <vt:lpstr>vnt505_4_1</vt:lpstr>
      <vt:lpstr>vnt505_5_a</vt:lpstr>
      <vt:lpstr>vnt505_5_b</vt:lpstr>
      <vt:lpstr>vnt505_5_c</vt:lpstr>
      <vt:lpstr>vnt505_5_d</vt:lpstr>
      <vt:lpstr>vnt505_6</vt:lpstr>
      <vt:lpstr>vnt505_7</vt:lpstr>
      <vt:lpstr>vnt505_8</vt:lpstr>
      <vt:lpstr>vnt505_9_a</vt:lpstr>
      <vt:lpstr>vnt505_9_b</vt:lpstr>
      <vt:lpstr>vnt505_9_c</vt:lpstr>
      <vt:lpstr>vnt601_1</vt:lpstr>
      <vt:lpstr>vnt601_2_1</vt:lpstr>
      <vt:lpstr>vnt601_2_2</vt:lpstr>
      <vt:lpstr>vnt601_2_3</vt:lpstr>
      <vt:lpstr>vnt601_3_1</vt:lpstr>
      <vt:lpstr>vnt601_3_2</vt:lpstr>
      <vt:lpstr>vnt601_3_3</vt:lpstr>
      <vt:lpstr>vnt601_3_4</vt:lpstr>
      <vt:lpstr>vnt601_3_5</vt:lpstr>
      <vt:lpstr>vnt601_4</vt:lpstr>
      <vt:lpstr>vnt601_5_1</vt:lpstr>
      <vt:lpstr>vnt601_5_2</vt:lpstr>
      <vt:lpstr>vnt601_5_3</vt:lpstr>
      <vt:lpstr>vnt601_5_4</vt:lpstr>
      <vt:lpstr>vnt601_6</vt:lpstr>
      <vt:lpstr>vnt601_7</vt:lpstr>
      <vt:lpstr>vnt601_8</vt:lpstr>
      <vt:lpstr>vnt602_1_1_1</vt:lpstr>
      <vt:lpstr>vnt602_1_1_2</vt:lpstr>
      <vt:lpstr>vnt602_1_10</vt:lpstr>
      <vt:lpstr>vnt602_1_11</vt:lpstr>
      <vt:lpstr>vnt602_1_12</vt:lpstr>
      <vt:lpstr>vnt602_1_13</vt:lpstr>
      <vt:lpstr>vnt602_1_14_1</vt:lpstr>
      <vt:lpstr>vnt602_1_14_2</vt:lpstr>
      <vt:lpstr>vnt602_1_14_3</vt:lpstr>
      <vt:lpstr>vnt602_1_15</vt:lpstr>
      <vt:lpstr>vnt602_1_2</vt:lpstr>
      <vt:lpstr>vnt602_1_3_1</vt:lpstr>
      <vt:lpstr>vnt602_1_3_2</vt:lpstr>
      <vt:lpstr>vnt602_1_4_1_1</vt:lpstr>
      <vt:lpstr>vnt602_1_4_1_2</vt:lpstr>
      <vt:lpstr>vnt602_1_4_2_1</vt:lpstr>
      <vt:lpstr>vnt602_1_4_2_2</vt:lpstr>
      <vt:lpstr>vnt602_1_5</vt:lpstr>
      <vt:lpstr>vnt602_1_6_1</vt:lpstr>
      <vt:lpstr>vnt602_1_7_1_1</vt:lpstr>
      <vt:lpstr>vnt602_1_7_1_2</vt:lpstr>
      <vt:lpstr>vnt602_1_7_1_3</vt:lpstr>
      <vt:lpstr>vnt602_1_7_2</vt:lpstr>
      <vt:lpstr>vnt602_1_7_3</vt:lpstr>
      <vt:lpstr>vnt602_1_8</vt:lpstr>
      <vt:lpstr>vnt602_1_9_1</vt:lpstr>
      <vt:lpstr>vnt602_1_9_2</vt:lpstr>
      <vt:lpstr>vnt602_1_9_3</vt:lpstr>
      <vt:lpstr>vnt602_1_9_4</vt:lpstr>
      <vt:lpstr>vnt602_1_9_5</vt:lpstr>
      <vt:lpstr>vnt602_1_9_6</vt:lpstr>
      <vt:lpstr>vnt602_1_9_7</vt:lpstr>
      <vt:lpstr>vnt602_2_1</vt:lpstr>
      <vt:lpstr>vnt602_2_2</vt:lpstr>
      <vt:lpstr>vnt602_2_3</vt:lpstr>
      <vt:lpstr>vnt602_3</vt:lpstr>
      <vt:lpstr>vnt602_4_1</vt:lpstr>
      <vt:lpstr>vnt602_4_2</vt:lpstr>
      <vt:lpstr>vnt602_4_3</vt:lpstr>
      <vt:lpstr>vnt603_1</vt:lpstr>
      <vt:lpstr>vnt603_2</vt:lpstr>
      <vt:lpstr>vnt603_3</vt:lpstr>
      <vt:lpstr>vnt604_1a</vt:lpstr>
      <vt:lpstr>vnt604_1b</vt:lpstr>
      <vt:lpstr>vnt604_1c</vt:lpstr>
      <vt:lpstr>vnt604_1d</vt:lpstr>
      <vt:lpstr>vnt605_1</vt:lpstr>
      <vt:lpstr>vnt605_2</vt:lpstr>
      <vt:lpstr>vnt605_3</vt:lpstr>
      <vt:lpstr>vnt605_4_2_a</vt:lpstr>
      <vt:lpstr>vnt605_4_2_h</vt:lpstr>
      <vt:lpstr>vnt605_4_2_i</vt:lpstr>
      <vt:lpstr>vnt606_1_a</vt:lpstr>
      <vt:lpstr>vnt606_2_1a</vt:lpstr>
      <vt:lpstr>vnt606_2_1b</vt:lpstr>
      <vt:lpstr>vnt606_2_2a</vt:lpstr>
      <vt:lpstr>vnt606_2_2b</vt:lpstr>
      <vt:lpstr>vnt606_3</vt:lpstr>
      <vt:lpstr>vnt607_1_1</vt:lpstr>
      <vt:lpstr>vnt607_1_2</vt:lpstr>
      <vt:lpstr>vnt607_2</vt:lpstr>
      <vt:lpstr>vnt608_1</vt:lpstr>
      <vt:lpstr>vnt609_1_1</vt:lpstr>
      <vt:lpstr>vnt609_1_2</vt:lpstr>
      <vt:lpstr>vnt610_1</vt:lpstr>
      <vt:lpstr>vnt610_1_1_1</vt:lpstr>
      <vt:lpstr>vnt610_1_1_2</vt:lpstr>
      <vt:lpstr>vnt610_1_1_3</vt:lpstr>
      <vt:lpstr>vnt610_1_2_1</vt:lpstr>
      <vt:lpstr>vnt610_1_2_1_e</vt:lpstr>
      <vt:lpstr>vnt610_1_2_2_e</vt:lpstr>
      <vt:lpstr>vnt610_1_2_2a</vt:lpstr>
      <vt:lpstr>vnt610_1_2_2b</vt:lpstr>
      <vt:lpstr>vnt610_1_2_2c</vt:lpstr>
      <vt:lpstr>vnt611_1_1</vt:lpstr>
      <vt:lpstr>vnt611_1_2</vt:lpstr>
      <vt:lpstr>vnt612_1</vt:lpstr>
      <vt:lpstr>vnt612_2_1</vt:lpstr>
      <vt:lpstr>vnt612_2_2</vt:lpstr>
      <vt:lpstr>vnt612_2_3</vt:lpstr>
      <vt:lpstr>vnt612_2_4</vt:lpstr>
      <vt:lpstr>vnt612_2_5</vt:lpstr>
      <vt:lpstr>vnt612_2_6</vt:lpstr>
      <vt:lpstr>vnt612_2_7</vt:lpstr>
      <vt:lpstr>vnt612_3_1</vt:lpstr>
      <vt:lpstr>vnt612_3_2</vt:lpstr>
      <vt:lpstr>vnt612_3_3</vt:lpstr>
      <vt:lpstr>vnt612_3_4</vt:lpstr>
      <vt:lpstr>vnt612_3_5</vt:lpstr>
      <vt:lpstr>vnt612_3_6</vt:lpstr>
      <vt:lpstr>vnt612_3_7</vt:lpstr>
      <vt:lpstr>vnt612_3_8</vt:lpstr>
      <vt:lpstr>vnt612_3_9</vt:lpstr>
      <vt:lpstr>vnt613_1</vt:lpstr>
      <vt:lpstr>vnt701_4_0</vt:lpstr>
      <vt:lpstr>vnt701_4_1_1</vt:lpstr>
      <vt:lpstr>vnt701_4_1_2</vt:lpstr>
      <vt:lpstr>vnt701_4_2_1</vt:lpstr>
      <vt:lpstr>vnt701_4_2_2</vt:lpstr>
      <vt:lpstr>vnt701_4_2_3</vt:lpstr>
      <vt:lpstr>vnt701_4_3_1</vt:lpstr>
      <vt:lpstr>vnt701_4_3_1_a</vt:lpstr>
      <vt:lpstr>vnt701_4_3_1_b</vt:lpstr>
      <vt:lpstr>vnt701_4_3_1_c</vt:lpstr>
      <vt:lpstr>vnt701_4_3_1_d</vt:lpstr>
      <vt:lpstr>vnt701_4_3_1_e</vt:lpstr>
      <vt:lpstr>vnt701_4_3_1_f</vt:lpstr>
      <vt:lpstr>vnt701_4_3_1_g</vt:lpstr>
      <vt:lpstr>vnt701_4_3_1_h</vt:lpstr>
      <vt:lpstr>vnt701_4_3_1_i</vt:lpstr>
      <vt:lpstr>vnt701_4_3_1_j</vt:lpstr>
      <vt:lpstr>vnt701_4_3_1_k</vt:lpstr>
      <vt:lpstr>vnt701_4_3_1_l</vt:lpstr>
      <vt:lpstr>vnt701_4_3_1_m</vt:lpstr>
      <vt:lpstr>vnt701_4_3_2_1</vt:lpstr>
      <vt:lpstr>vnt701_4_3_2_1_</vt:lpstr>
      <vt:lpstr>vnt701_4_3_2_1_1</vt:lpstr>
      <vt:lpstr>vnt701_4_3_2_1_2</vt:lpstr>
      <vt:lpstr>vnt701_4_3_2_1_3</vt:lpstr>
      <vt:lpstr>vnt701_4_3_2_1_4</vt:lpstr>
      <vt:lpstr>vnt701_4_3_2_1_5</vt:lpstr>
      <vt:lpstr>vnt701_4_3_2_1_6</vt:lpstr>
      <vt:lpstr>vnt701_4_3_2_1_7</vt:lpstr>
      <vt:lpstr>vnt701_4_3_2_1_8</vt:lpstr>
      <vt:lpstr>vnt701_4_3_2_1_9</vt:lpstr>
      <vt:lpstr>vnt701_4_3_2_1_a</vt:lpstr>
      <vt:lpstr>vnt701_4_3_2_1_b</vt:lpstr>
      <vt:lpstr>vnt701_4_3_2_1_c</vt:lpstr>
      <vt:lpstr>vnt701_4_3_2_1_d</vt:lpstr>
      <vt:lpstr>vnt701_4_3_2_1_e</vt:lpstr>
      <vt:lpstr>vnt701_4_3_2_1_f</vt:lpstr>
      <vt:lpstr>vnt701_4_3_2_1_g</vt:lpstr>
      <vt:lpstr>vnt701_4_3_2_1_h</vt:lpstr>
      <vt:lpstr>vnt701_4_3_2_2</vt:lpstr>
      <vt:lpstr>vnt701_4_3_2e</vt:lpstr>
      <vt:lpstr>vnt701_4_3_3</vt:lpstr>
      <vt:lpstr>vnt701_4_3_4</vt:lpstr>
      <vt:lpstr>vnt701_4_3_5</vt:lpstr>
      <vt:lpstr>vnt701_4_4</vt:lpstr>
      <vt:lpstr>vnt701_4_5</vt:lpstr>
      <vt:lpstr>vnt701_4_6</vt:lpstr>
      <vt:lpstr>vnt701_4_7</vt:lpstr>
      <vt:lpstr>vnt703_1_1</vt:lpstr>
      <vt:lpstr>vnt703_1_2</vt:lpstr>
      <vt:lpstr>vnt703_1_3</vt:lpstr>
      <vt:lpstr>vnt703_2_1</vt:lpstr>
      <vt:lpstr>vnt703_2_2</vt:lpstr>
      <vt:lpstr>vnt703_2_3</vt:lpstr>
      <vt:lpstr>vnt703_2_4</vt:lpstr>
      <vt:lpstr>vnt703_2_5_1</vt:lpstr>
      <vt:lpstr>vnt703_2_5_1_1</vt:lpstr>
      <vt:lpstr>vnt703_2_5_2</vt:lpstr>
      <vt:lpstr>vnt703_2_5_2_1</vt:lpstr>
      <vt:lpstr>vnt703_3_0_1</vt:lpstr>
      <vt:lpstr>vnt703_3_0_2</vt:lpstr>
      <vt:lpstr>vnt703_3_1</vt:lpstr>
      <vt:lpstr>vnt703_3_2_1</vt:lpstr>
      <vt:lpstr>vnt703_3_2_2</vt:lpstr>
      <vt:lpstr>vnt703_3_2_3</vt:lpstr>
      <vt:lpstr>vnt703_3_2_4</vt:lpstr>
      <vt:lpstr>vnt703_3_3_1</vt:lpstr>
      <vt:lpstr>vnt703_3_3_2</vt:lpstr>
      <vt:lpstr>vnt703_3_3_3</vt:lpstr>
      <vt:lpstr>vnt703_3_4_1</vt:lpstr>
      <vt:lpstr>vnt703_3_4_1_6</vt:lpstr>
      <vt:lpstr>vnt703_3_4_2</vt:lpstr>
      <vt:lpstr>vnt703_3_5</vt:lpstr>
      <vt:lpstr>vnt703_3_6</vt:lpstr>
      <vt:lpstr>vnt703_3_7</vt:lpstr>
      <vt:lpstr>vnt703_3_8</vt:lpstr>
      <vt:lpstr>vnt703_4_1</vt:lpstr>
      <vt:lpstr>vnt703_4_2</vt:lpstr>
      <vt:lpstr>vnt703_4_3_1</vt:lpstr>
      <vt:lpstr>vnt703_4_3_2</vt:lpstr>
      <vt:lpstr>vnt703_4_3_3</vt:lpstr>
      <vt:lpstr>vnt703_4_4</vt:lpstr>
      <vt:lpstr>vnt703_5_1</vt:lpstr>
      <vt:lpstr>vnt703_5_2</vt:lpstr>
      <vt:lpstr>vnt703_5_3</vt:lpstr>
      <vt:lpstr>vnt703_5_4</vt:lpstr>
      <vt:lpstr>vnt703_5_5</vt:lpstr>
      <vt:lpstr>vnt703_6_1_1</vt:lpstr>
      <vt:lpstr>vnt703_6_1_2</vt:lpstr>
      <vt:lpstr>vnt703_6_1_3</vt:lpstr>
      <vt:lpstr>vnt703_6_2_1</vt:lpstr>
      <vt:lpstr>vnt703_6_2_2</vt:lpstr>
      <vt:lpstr>vnt703_6_2_3</vt:lpstr>
      <vt:lpstr>vnt703_7_1_1</vt:lpstr>
      <vt:lpstr>vnt703_7_1_2</vt:lpstr>
      <vt:lpstr>vnt703_7_1_3</vt:lpstr>
      <vt:lpstr>vnt703_7_1_4</vt:lpstr>
      <vt:lpstr>vnt703_7_1_5</vt:lpstr>
      <vt:lpstr>vnt703_7_1_6_a</vt:lpstr>
      <vt:lpstr>vnt703_7_1_6_b</vt:lpstr>
      <vt:lpstr>vnt703_7_1_6_c</vt:lpstr>
      <vt:lpstr>vnt703_7_1_7</vt:lpstr>
      <vt:lpstr>vnt703_7_1_8</vt:lpstr>
      <vt:lpstr>vnt703_7_1_9</vt:lpstr>
      <vt:lpstr>vnt703_7_2</vt:lpstr>
      <vt:lpstr>vnt703_7_3_1_a</vt:lpstr>
      <vt:lpstr>vnt703_7_3_1_b</vt:lpstr>
      <vt:lpstr>vnt703_7_3_1_c</vt:lpstr>
      <vt:lpstr>vnt703_7_3_1_d</vt:lpstr>
      <vt:lpstr>vnt703_7_3_2</vt:lpstr>
      <vt:lpstr>vnt703_7_3_3</vt:lpstr>
      <vt:lpstr>vnt703_7_3_4</vt:lpstr>
      <vt:lpstr>vnt703_7_3_5_a</vt:lpstr>
      <vt:lpstr>vnt703_7_3_5_b</vt:lpstr>
      <vt:lpstr>vnt703_7_3_6</vt:lpstr>
      <vt:lpstr>vnt703_7_4_1</vt:lpstr>
      <vt:lpstr>vnt703_7_4_2_a</vt:lpstr>
      <vt:lpstr>vnt703_7_4_2_b</vt:lpstr>
      <vt:lpstr>vnt703_7_4_2_c</vt:lpstr>
      <vt:lpstr>vnt703_7_4_3</vt:lpstr>
      <vt:lpstr>vnt705_2_1_1</vt:lpstr>
      <vt:lpstr>vnt705_2_1_2</vt:lpstr>
      <vt:lpstr>vnt705_2_1_3_1</vt:lpstr>
      <vt:lpstr>vnt705_2_1_3_2</vt:lpstr>
      <vt:lpstr>vnt705_2_1_4</vt:lpstr>
      <vt:lpstr>vnt705_2_2</vt:lpstr>
      <vt:lpstr>vnt705_2_3</vt:lpstr>
      <vt:lpstr>vnt705_2_4</vt:lpstr>
      <vt:lpstr>vnt705_3</vt:lpstr>
      <vt:lpstr>vnt705_4</vt:lpstr>
      <vt:lpstr>vnt705_5_1_1</vt:lpstr>
      <vt:lpstr>vnt705_5_1_2</vt:lpstr>
      <vt:lpstr>vnt705_5_2</vt:lpstr>
      <vt:lpstr>vnt705_5_2_1</vt:lpstr>
      <vt:lpstr>vnt705_5_2_2</vt:lpstr>
      <vt:lpstr>vnt705_5_2_3</vt:lpstr>
      <vt:lpstr>vnt705_5_2_4</vt:lpstr>
      <vt:lpstr>vnt705_5_2_5</vt:lpstr>
      <vt:lpstr>vnt705_5_2_6</vt:lpstr>
      <vt:lpstr>vnt705_5_3_1</vt:lpstr>
      <vt:lpstr>vnt705_6_1</vt:lpstr>
      <vt:lpstr>vnt705_6_2_1_1</vt:lpstr>
      <vt:lpstr>vnt705_6_2_1_2</vt:lpstr>
      <vt:lpstr>vnt705_6_2_2_1</vt:lpstr>
      <vt:lpstr>vnt705_6_2_2_2</vt:lpstr>
      <vt:lpstr>vnt705_6_2_3</vt:lpstr>
      <vt:lpstr>vnt705_6_3_a</vt:lpstr>
      <vt:lpstr>vnt705_6_3_b</vt:lpstr>
      <vt:lpstr>vnt705_6_3_c</vt:lpstr>
      <vt:lpstr>vnt705_6_3_d</vt:lpstr>
      <vt:lpstr>vnt705_6_3_e</vt:lpstr>
      <vt:lpstr>vnt705_6_3_f</vt:lpstr>
      <vt:lpstr>vnt705_6_3_g</vt:lpstr>
      <vt:lpstr>vnt705_6_4_1</vt:lpstr>
      <vt:lpstr>vnt705_6_4_2</vt:lpstr>
      <vt:lpstr>vnt705_7</vt:lpstr>
      <vt:lpstr>vnt706_1_1</vt:lpstr>
      <vt:lpstr>vnt706_1_2</vt:lpstr>
      <vt:lpstr>vnt706_1_3</vt:lpstr>
      <vt:lpstr>vnt706_1_4</vt:lpstr>
      <vt:lpstr>vnt706_1_5</vt:lpstr>
      <vt:lpstr>vnt706_10</vt:lpstr>
      <vt:lpstr>vnt706_11</vt:lpstr>
      <vt:lpstr>vnt706_12</vt:lpstr>
      <vt:lpstr>vnt706_13</vt:lpstr>
      <vt:lpstr>vnt706_14_1</vt:lpstr>
      <vt:lpstr>vnt706_14_2</vt:lpstr>
      <vt:lpstr>vnt706_15_1</vt:lpstr>
      <vt:lpstr>vnt706_15_2</vt:lpstr>
      <vt:lpstr>vnt706_2_1</vt:lpstr>
      <vt:lpstr>vnt706_2_2</vt:lpstr>
      <vt:lpstr>vnt706_3</vt:lpstr>
      <vt:lpstr>vnt706_3_1</vt:lpstr>
      <vt:lpstr>vnt706_3_2</vt:lpstr>
      <vt:lpstr>vnt706_3_3</vt:lpstr>
      <vt:lpstr>vnt706_3_4</vt:lpstr>
      <vt:lpstr>vnt706_3_5</vt:lpstr>
      <vt:lpstr>vnt706_3_6</vt:lpstr>
      <vt:lpstr>vnt706_3_7</vt:lpstr>
      <vt:lpstr>vnt706_3_8</vt:lpstr>
      <vt:lpstr>vnt706_4_1_1</vt:lpstr>
      <vt:lpstr>vnt706_4_1_2</vt:lpstr>
      <vt:lpstr>vnt706_4_2</vt:lpstr>
      <vt:lpstr>vnt706_5_1</vt:lpstr>
      <vt:lpstr>vnt706_6</vt:lpstr>
      <vt:lpstr>vnt706_7_1</vt:lpstr>
      <vt:lpstr>vnt706_7_2</vt:lpstr>
      <vt:lpstr>vnt706_8</vt:lpstr>
      <vt:lpstr>vnt706_9</vt:lpstr>
      <vt:lpstr>vnt802_1_1</vt:lpstr>
      <vt:lpstr>vnt802_1_5</vt:lpstr>
      <vt:lpstr>vnt802_1_6</vt:lpstr>
      <vt:lpstr>vnt802_10_1</vt:lpstr>
      <vt:lpstr>vnt802_10_1_1</vt:lpstr>
      <vt:lpstr>vnt802_2_1</vt:lpstr>
      <vt:lpstr>vnt802_2_2</vt:lpstr>
      <vt:lpstr>vnt802_3_1_a</vt:lpstr>
      <vt:lpstr>vnt802_3_1_b</vt:lpstr>
      <vt:lpstr>vnt802_3_2_a</vt:lpstr>
      <vt:lpstr>vnt802_3_2_b</vt:lpstr>
      <vt:lpstr>vnt802_4_1</vt:lpstr>
      <vt:lpstr>vnt802_4_2</vt:lpstr>
      <vt:lpstr>vnt802_4_3</vt:lpstr>
      <vt:lpstr>vnt802_5_1</vt:lpstr>
      <vt:lpstr>vnt802_5_2</vt:lpstr>
      <vt:lpstr>vnt802_5_3</vt:lpstr>
      <vt:lpstr>vnt802_5_4_1</vt:lpstr>
      <vt:lpstr>vnt802_5_4_2</vt:lpstr>
      <vt:lpstr>vnt802_5_4_3</vt:lpstr>
      <vt:lpstr>vnt802_5_4_4_a</vt:lpstr>
      <vt:lpstr>vnt802_5_4_4_b</vt:lpstr>
      <vt:lpstr>vnt802_5_4_4_c</vt:lpstr>
      <vt:lpstr>vnt802_6_1</vt:lpstr>
      <vt:lpstr>vnt802_6_2</vt:lpstr>
      <vt:lpstr>vnt802_6_3_1</vt:lpstr>
      <vt:lpstr>vnt802_6_3_2</vt:lpstr>
      <vt:lpstr>vnt802_6_3_3</vt:lpstr>
      <vt:lpstr>vnt802_6_4_1</vt:lpstr>
      <vt:lpstr>vnt802_6_4_2</vt:lpstr>
      <vt:lpstr>vnt802_6_5_1</vt:lpstr>
      <vt:lpstr>vnt802_6_5_2</vt:lpstr>
      <vt:lpstr>vnt802_6_5_3</vt:lpstr>
      <vt:lpstr>vnt802_6_5_4</vt:lpstr>
      <vt:lpstr>vnt802_6_5_5</vt:lpstr>
      <vt:lpstr>vnt802_7_1</vt:lpstr>
      <vt:lpstr>vnt802_7_2_1</vt:lpstr>
      <vt:lpstr>vnt802_7_2_2</vt:lpstr>
      <vt:lpstr>vnt802_8</vt:lpstr>
      <vt:lpstr>vnt802_9_1</vt:lpstr>
      <vt:lpstr>vnt802_9_2</vt:lpstr>
      <vt:lpstr>vnt803_1_1</vt:lpstr>
      <vt:lpstr>vnt803_1_2</vt:lpstr>
      <vt:lpstr>vnt803_2</vt:lpstr>
      <vt:lpstr>vnt803_3</vt:lpstr>
      <vt:lpstr>vnt803_4</vt:lpstr>
      <vt:lpstr>vnt803_5</vt:lpstr>
      <vt:lpstr>vnt803_6</vt:lpstr>
      <vt:lpstr>vnt901_1_1</vt:lpstr>
      <vt:lpstr>vnt901_1_2</vt:lpstr>
      <vt:lpstr>vnt901_1_3_1</vt:lpstr>
      <vt:lpstr>vnt901_1_3_2</vt:lpstr>
      <vt:lpstr>vnt901_1_4</vt:lpstr>
      <vt:lpstr>vnt901_1_5</vt:lpstr>
      <vt:lpstr>vnt901_1_6</vt:lpstr>
      <vt:lpstr>vnt901_10_1</vt:lpstr>
      <vt:lpstr>vnt901_10_2</vt:lpstr>
      <vt:lpstr>vnt901_10_3</vt:lpstr>
      <vt:lpstr>vnt901_11</vt:lpstr>
      <vt:lpstr>vnt901_12</vt:lpstr>
      <vt:lpstr>vnt901_13</vt:lpstr>
      <vt:lpstr>vnt901_14</vt:lpstr>
      <vt:lpstr>vnt901_15_1</vt:lpstr>
      <vt:lpstr>vnt901_15_2</vt:lpstr>
      <vt:lpstr>vnt901_16</vt:lpstr>
      <vt:lpstr>vnt901_2_1_1</vt:lpstr>
      <vt:lpstr>vnt901_2_1_2</vt:lpstr>
      <vt:lpstr>vnt901_2_1_3</vt:lpstr>
      <vt:lpstr>vnt901_2_1_4</vt:lpstr>
      <vt:lpstr>vnt901_2_1_5</vt:lpstr>
      <vt:lpstr>vnt901_2_2</vt:lpstr>
      <vt:lpstr>vnt901_3_1_a</vt:lpstr>
      <vt:lpstr>vnt901_3_1_b</vt:lpstr>
      <vt:lpstr>vnt901_3_1_c</vt:lpstr>
      <vt:lpstr>vnt901_3_2</vt:lpstr>
      <vt:lpstr>vnt901_4_1</vt:lpstr>
      <vt:lpstr>vnt901_4_a</vt:lpstr>
      <vt:lpstr>vnt901_5_1</vt:lpstr>
      <vt:lpstr>vnt901_5_2</vt:lpstr>
      <vt:lpstr>vnt901_6</vt:lpstr>
      <vt:lpstr>vnt901_7_1</vt:lpstr>
      <vt:lpstr>vnt901_7_2</vt:lpstr>
      <vt:lpstr>vnt901_8</vt:lpstr>
      <vt:lpstr>vnt901_9</vt:lpstr>
      <vt:lpstr>vnt901_9_1_1</vt:lpstr>
      <vt:lpstr>vnt901_9_1_2</vt:lpstr>
      <vt:lpstr>vnt901_9_1_3</vt:lpstr>
      <vt:lpstr>vnt901_9_2</vt:lpstr>
      <vt:lpstr>vnt901_9_3</vt:lpstr>
      <vt:lpstr>vnt901_9_4</vt:lpstr>
      <vt:lpstr>vnt902_1_1_1</vt:lpstr>
      <vt:lpstr>vnt902_1_1_1_a</vt:lpstr>
      <vt:lpstr>vnt902_1_1_2</vt:lpstr>
      <vt:lpstr>vnt902_1_1_3</vt:lpstr>
      <vt:lpstr>vnt902_1_2</vt:lpstr>
      <vt:lpstr>vnt902_1_3</vt:lpstr>
      <vt:lpstr>vnt902_1_4</vt:lpstr>
      <vt:lpstr>vnt902_1_5_1</vt:lpstr>
      <vt:lpstr>vnt902_1_5_2</vt:lpstr>
      <vt:lpstr>vnt902_1_5_3</vt:lpstr>
      <vt:lpstr>vnt902_1_6</vt:lpstr>
      <vt:lpstr>vnt902_2_1</vt:lpstr>
      <vt:lpstr>vnt902_2_2</vt:lpstr>
      <vt:lpstr>vnt902_2_3</vt:lpstr>
      <vt:lpstr>vnt902_2_4</vt:lpstr>
      <vt:lpstr>vnt902_2_5</vt:lpstr>
      <vt:lpstr>vnt902_3</vt:lpstr>
      <vt:lpstr>vnt902_3_1</vt:lpstr>
      <vt:lpstr>vnt902_3_1_1</vt:lpstr>
      <vt:lpstr>vnt902_3_2_1</vt:lpstr>
      <vt:lpstr>vnt902_3_2_2</vt:lpstr>
      <vt:lpstr>vnt902_4_1</vt:lpstr>
      <vt:lpstr>vnt902_4_2</vt:lpstr>
      <vt:lpstr>vnt902_4_3</vt:lpstr>
      <vt:lpstr>vnt902_5</vt:lpstr>
      <vt:lpstr>vnt902_6</vt:lpstr>
      <vt:lpstr>vnt903_1</vt:lpstr>
      <vt:lpstr>vnt903_2</vt:lpstr>
      <vt:lpstr>vnt903_3</vt:lpstr>
      <vt:lpstr>vnt904_1</vt:lpstr>
      <vt:lpstr>vnt904_2</vt:lpstr>
      <vt:lpstr>vnt904_3_1</vt:lpstr>
      <vt:lpstr>vnt904_3_2</vt:lpstr>
      <vt:lpstr>vnt905_1</vt:lpstr>
      <vt:lpstr>vnt905_2</vt:lpstr>
      <vt:lpstr>vnt905_3_1</vt:lpstr>
      <vt:lpstr>vnt905_3_2</vt:lpstr>
      <vt:lpstr>vnt905_4</vt:lpstr>
      <vt:lpstr>vnt905_5</vt:lpstr>
      <vt:lpstr>vnt905_6</vt:lpstr>
      <vt:lpstr>vpa1001_1</vt:lpstr>
      <vt:lpstr>vpa1001_1_1</vt:lpstr>
      <vt:lpstr>vpa1001_1_2</vt:lpstr>
      <vt:lpstr>vpa1001_1_3</vt:lpstr>
      <vt:lpstr>vpa1001_1_9</vt:lpstr>
      <vt:lpstr>vpa1001_2</vt:lpstr>
      <vt:lpstr>vpa1001_2_m</vt:lpstr>
      <vt:lpstr>vpa1002_1</vt:lpstr>
      <vt:lpstr>vpa1002_1_1</vt:lpstr>
      <vt:lpstr>vpa1002_1_2</vt:lpstr>
      <vt:lpstr>vpa1002_1_3</vt:lpstr>
      <vt:lpstr>vpa1002_2</vt:lpstr>
      <vt:lpstr>vpa1002_2_1</vt:lpstr>
      <vt:lpstr>vpa1002_2_11</vt:lpstr>
      <vt:lpstr>vpa1002_2_2</vt:lpstr>
      <vt:lpstr>vpa1002_3</vt:lpstr>
      <vt:lpstr>vpa1002_3_1</vt:lpstr>
      <vt:lpstr>vpa1002_4</vt:lpstr>
      <vt:lpstr>vpa1002_4_m</vt:lpstr>
      <vt:lpstr>vpa1002_5</vt:lpstr>
      <vt:lpstr>vpa1002_5_1</vt:lpstr>
      <vt:lpstr>vpa1002_5_2</vt:lpstr>
      <vt:lpstr>vpa1002_5_3</vt:lpstr>
      <vt:lpstr>vpa1002_6</vt:lpstr>
      <vt:lpstr>vpa1003_1</vt:lpstr>
      <vt:lpstr>vpa1003_1_1</vt:lpstr>
      <vt:lpstr>vpa1003_1_2</vt:lpstr>
      <vt:lpstr>vpa1003_1_3</vt:lpstr>
      <vt:lpstr>vpa1005_1_1</vt:lpstr>
      <vt:lpstr>vpa1005_1_2</vt:lpstr>
      <vt:lpstr>vpa1005_1_3</vt:lpstr>
      <vt:lpstr>vpa305_2_5</vt:lpstr>
      <vt:lpstr>vpa501_2_1</vt:lpstr>
      <vt:lpstr>vpa501_2_2</vt:lpstr>
      <vt:lpstr>vpa501_2_3</vt:lpstr>
      <vt:lpstr>vpa501_2_3_a</vt:lpstr>
      <vt:lpstr>vpa501_2_3_b</vt:lpstr>
      <vt:lpstr>vpa501_2_4</vt:lpstr>
      <vt:lpstr>vpa501_2_5_a</vt:lpstr>
      <vt:lpstr>vpa501_2_5_b</vt:lpstr>
      <vt:lpstr>vpa501_2_5_c</vt:lpstr>
      <vt:lpstr>vpa501_2_5_d</vt:lpstr>
      <vt:lpstr>vpa501_2_6</vt:lpstr>
      <vt:lpstr>vpa501_2_7</vt:lpstr>
      <vt:lpstr>vpa502_1</vt:lpstr>
      <vt:lpstr>vpa503_1_1</vt:lpstr>
      <vt:lpstr>vpa503_1_2</vt:lpstr>
      <vt:lpstr>vpa503_1_3</vt:lpstr>
      <vt:lpstr>vpa503_1_4</vt:lpstr>
      <vt:lpstr>vpa503_1_5</vt:lpstr>
      <vt:lpstr>vpa503_1_6</vt:lpstr>
      <vt:lpstr>vpa503_1_7</vt:lpstr>
      <vt:lpstr>vpa503_1_8</vt:lpstr>
      <vt:lpstr>vpa503_2_1</vt:lpstr>
      <vt:lpstr>vpa503_2_2</vt:lpstr>
      <vt:lpstr>vpa503_2_3_a</vt:lpstr>
      <vt:lpstr>vpa503_2_3_b</vt:lpstr>
      <vt:lpstr>vpa503_2_3_c</vt:lpstr>
      <vt:lpstr>vpa503_2_4</vt:lpstr>
      <vt:lpstr>vpa503_2_5</vt:lpstr>
      <vt:lpstr>vpa503_3_1</vt:lpstr>
      <vt:lpstr>vpa503_3_2</vt:lpstr>
      <vt:lpstr>vpa503_3_3</vt:lpstr>
      <vt:lpstr>vpa503_4_1</vt:lpstr>
      <vt:lpstr>vpa503_4_2_a</vt:lpstr>
      <vt:lpstr>vpa503_4_2_b</vt:lpstr>
      <vt:lpstr>vpa503_4_2_c</vt:lpstr>
      <vt:lpstr>vpa503_4_3_</vt:lpstr>
      <vt:lpstr>vpa503_4_3_a</vt:lpstr>
      <vt:lpstr>vpa503_4_3_b</vt:lpstr>
      <vt:lpstr>vpa503_4_3_c</vt:lpstr>
      <vt:lpstr>vpa503_4_4</vt:lpstr>
      <vt:lpstr>vpa503_5_1_a</vt:lpstr>
      <vt:lpstr>vpa503_5_1_b</vt:lpstr>
      <vt:lpstr>vpa503_5_1_c</vt:lpstr>
      <vt:lpstr>vpa503_5_1_d</vt:lpstr>
      <vt:lpstr>vpa503_5_10</vt:lpstr>
      <vt:lpstr>vpa503_5_11</vt:lpstr>
      <vt:lpstr>vpa503_5_12</vt:lpstr>
      <vt:lpstr>vpa503_5_13</vt:lpstr>
      <vt:lpstr>vpa503_5_2</vt:lpstr>
      <vt:lpstr>vpa503_5_3</vt:lpstr>
      <vt:lpstr>vpa503_5_4</vt:lpstr>
      <vt:lpstr>vpa503_5_5</vt:lpstr>
      <vt:lpstr>vpa503_5_6_a</vt:lpstr>
      <vt:lpstr>vpa503_5_6_b</vt:lpstr>
      <vt:lpstr>vpa503_5_6_c</vt:lpstr>
      <vt:lpstr>vpa503_5_6_d</vt:lpstr>
      <vt:lpstr>vpa503_5_7</vt:lpstr>
      <vt:lpstr>vpa503_5_8</vt:lpstr>
      <vt:lpstr>vpa503_5_9</vt:lpstr>
      <vt:lpstr>vpa503_6_1</vt:lpstr>
      <vt:lpstr>vpa503_6_2</vt:lpstr>
      <vt:lpstr>vpa503_6_3</vt:lpstr>
      <vt:lpstr>vpa503_6_4</vt:lpstr>
      <vt:lpstr>vpa503_7_1</vt:lpstr>
      <vt:lpstr>vpa503_7_2</vt:lpstr>
      <vt:lpstr>vpa504_1</vt:lpstr>
      <vt:lpstr>vpa504_2_1</vt:lpstr>
      <vt:lpstr>vpa504_2_2</vt:lpstr>
      <vt:lpstr>vpa504_2_3</vt:lpstr>
      <vt:lpstr>vpa504_3_1</vt:lpstr>
      <vt:lpstr>vpa504_3_2</vt:lpstr>
      <vt:lpstr>vpa504_3_3</vt:lpstr>
      <vt:lpstr>vpa504_3_4</vt:lpstr>
      <vt:lpstr>vpa504_3_5</vt:lpstr>
      <vt:lpstr>vpa504_3_6</vt:lpstr>
      <vt:lpstr>vpa504_3_7</vt:lpstr>
      <vt:lpstr>vpa504_3_8</vt:lpstr>
      <vt:lpstr>vpa505_1_1</vt:lpstr>
      <vt:lpstr>vpa505_1_2</vt:lpstr>
      <vt:lpstr>vpa505_1_3_a</vt:lpstr>
      <vt:lpstr>vpa505_1_3_b</vt:lpstr>
      <vt:lpstr>vpa505_1_3_c</vt:lpstr>
      <vt:lpstr>vpa505_10_a</vt:lpstr>
      <vt:lpstr>vpa505_10_b</vt:lpstr>
      <vt:lpstr>vpa505_10_c</vt:lpstr>
      <vt:lpstr>vpa505_11</vt:lpstr>
      <vt:lpstr>vpa505_2_1</vt:lpstr>
      <vt:lpstr>vpa505_2_2</vt:lpstr>
      <vt:lpstr>vpa505_3_1</vt:lpstr>
      <vt:lpstr>vpa505_3_2</vt:lpstr>
      <vt:lpstr>vpa505_3_3</vt:lpstr>
      <vt:lpstr>vpa505_3_4</vt:lpstr>
      <vt:lpstr>vpa505_3_5</vt:lpstr>
      <vt:lpstr>vpa505_4_1</vt:lpstr>
      <vt:lpstr>vpa505_5_a</vt:lpstr>
      <vt:lpstr>vpa505_5_b</vt:lpstr>
      <vt:lpstr>vpa505_5_c</vt:lpstr>
      <vt:lpstr>vpa505_5_d</vt:lpstr>
      <vt:lpstr>vpa505_6</vt:lpstr>
      <vt:lpstr>vpa505_7</vt:lpstr>
      <vt:lpstr>vpa505_8</vt:lpstr>
      <vt:lpstr>vpa505_9_a</vt:lpstr>
      <vt:lpstr>vpa505_9_b</vt:lpstr>
      <vt:lpstr>vpa505_9_c</vt:lpstr>
      <vt:lpstr>vpa601_1_1</vt:lpstr>
      <vt:lpstr>vpa601_1_2</vt:lpstr>
      <vt:lpstr>vpa601_1_3</vt:lpstr>
      <vt:lpstr>vpa601_1_4</vt:lpstr>
      <vt:lpstr>vpa601_1_5</vt:lpstr>
      <vt:lpstr>vpa601_1_6</vt:lpstr>
      <vt:lpstr>vpa601_2_1</vt:lpstr>
      <vt:lpstr>vpa601_2_2</vt:lpstr>
      <vt:lpstr>vpa601_2_3</vt:lpstr>
      <vt:lpstr>vpa601_3_1</vt:lpstr>
      <vt:lpstr>vpa601_3_2</vt:lpstr>
      <vt:lpstr>vpa601_3_3</vt:lpstr>
      <vt:lpstr>vpa601_3_4</vt:lpstr>
      <vt:lpstr>vpa601_3_5</vt:lpstr>
      <vt:lpstr>vpa601_4</vt:lpstr>
      <vt:lpstr>vpa601_5</vt:lpstr>
      <vt:lpstr>vpa601_5_1</vt:lpstr>
      <vt:lpstr>vpa601_5_2</vt:lpstr>
      <vt:lpstr>vpa601_5_3</vt:lpstr>
      <vt:lpstr>vpa601_5_4</vt:lpstr>
      <vt:lpstr>vpa601_6</vt:lpstr>
      <vt:lpstr>vpa601_6_1</vt:lpstr>
      <vt:lpstr>vpa601_6_2</vt:lpstr>
      <vt:lpstr>vpa601_7</vt:lpstr>
      <vt:lpstr>vpa601_7_1</vt:lpstr>
      <vt:lpstr>vpa601_7_2</vt:lpstr>
      <vt:lpstr>vpa601_7_3</vt:lpstr>
      <vt:lpstr>vpa601_8</vt:lpstr>
      <vt:lpstr>vpa602_1_1_1</vt:lpstr>
      <vt:lpstr>vpa602_1_1_2</vt:lpstr>
      <vt:lpstr>vpa602_1_10</vt:lpstr>
      <vt:lpstr>vpa602_1_11</vt:lpstr>
      <vt:lpstr>vpa602_1_12</vt:lpstr>
      <vt:lpstr>vpa602_1_13</vt:lpstr>
      <vt:lpstr>vpa602_1_14_1</vt:lpstr>
      <vt:lpstr>vpa602_1_14_2</vt:lpstr>
      <vt:lpstr>vpa602_1_14_3</vt:lpstr>
      <vt:lpstr>vpa602_1_15</vt:lpstr>
      <vt:lpstr>vpa602_1_2</vt:lpstr>
      <vt:lpstr>vpa602_1_3_1</vt:lpstr>
      <vt:lpstr>vpa602_1_3_2</vt:lpstr>
      <vt:lpstr>vpa602_1_4_1_1</vt:lpstr>
      <vt:lpstr>vpa602_1_4_1_2</vt:lpstr>
      <vt:lpstr>vpa602_1_4_2_1</vt:lpstr>
      <vt:lpstr>vpa602_1_4_2_2</vt:lpstr>
      <vt:lpstr>vpa602_1_5_1</vt:lpstr>
      <vt:lpstr>vpa602_1_5_2</vt:lpstr>
      <vt:lpstr>vpa602_1_6_1</vt:lpstr>
      <vt:lpstr>vpa602_1_6_2</vt:lpstr>
      <vt:lpstr>vpa602_1_6_3</vt:lpstr>
      <vt:lpstr>vpa602_1_7_1_1</vt:lpstr>
      <vt:lpstr>vpa602_1_7_1_2</vt:lpstr>
      <vt:lpstr>vpa602_1_7_1_3</vt:lpstr>
      <vt:lpstr>vpa602_1_7_2</vt:lpstr>
      <vt:lpstr>vpa602_1_7_3</vt:lpstr>
      <vt:lpstr>vpa602_1_8</vt:lpstr>
      <vt:lpstr>vpa602_1_9_1</vt:lpstr>
      <vt:lpstr>vpa602_1_9_2</vt:lpstr>
      <vt:lpstr>vpa602_1_9_3</vt:lpstr>
      <vt:lpstr>vpa602_1_9_4</vt:lpstr>
      <vt:lpstr>vpa602_1_9_5_a</vt:lpstr>
      <vt:lpstr>vpa602_1_9_5_b</vt:lpstr>
      <vt:lpstr>vpa602_1_9_6</vt:lpstr>
      <vt:lpstr>vpa602_1_9_7</vt:lpstr>
      <vt:lpstr>vpa602_2</vt:lpstr>
      <vt:lpstr>vpa602_3</vt:lpstr>
      <vt:lpstr>vpa602_4_1</vt:lpstr>
      <vt:lpstr>vpa602_4_2</vt:lpstr>
      <vt:lpstr>vpa602_4_3</vt:lpstr>
      <vt:lpstr>vpa603_1</vt:lpstr>
      <vt:lpstr>vpa603_2</vt:lpstr>
      <vt:lpstr>vpa603_3</vt:lpstr>
      <vt:lpstr>vpa604_1a</vt:lpstr>
      <vt:lpstr>vpa605_1</vt:lpstr>
      <vt:lpstr>vpa605_2</vt:lpstr>
      <vt:lpstr>vpa605_3</vt:lpstr>
      <vt:lpstr>vpa605_4</vt:lpstr>
      <vt:lpstr>vpa605_4_1</vt:lpstr>
      <vt:lpstr>vpa605_4_2</vt:lpstr>
      <vt:lpstr>vpa606_1_1</vt:lpstr>
      <vt:lpstr>vpa606_1_2</vt:lpstr>
      <vt:lpstr>vpa606_1_3</vt:lpstr>
      <vt:lpstr>vpa606_2_1a</vt:lpstr>
      <vt:lpstr>vpa606_2_2a</vt:lpstr>
      <vt:lpstr>vpa606_3</vt:lpstr>
      <vt:lpstr>vpa607_1_1</vt:lpstr>
      <vt:lpstr>vpa607_1_2</vt:lpstr>
      <vt:lpstr>vpa607_2</vt:lpstr>
      <vt:lpstr>vpa608_1</vt:lpstr>
      <vt:lpstr>vpa609_1</vt:lpstr>
      <vt:lpstr>vpa609_1_1</vt:lpstr>
      <vt:lpstr>vpa609_1_2</vt:lpstr>
      <vt:lpstr>vpa610_1_1_1</vt:lpstr>
      <vt:lpstr>vpa610_1_1_2</vt:lpstr>
      <vt:lpstr>vpa610_1_1_3</vt:lpstr>
      <vt:lpstr>vpa610_1_2</vt:lpstr>
      <vt:lpstr>vpa610_1_2_1</vt:lpstr>
      <vt:lpstr>vpa610_1_2_2a</vt:lpstr>
      <vt:lpstr>vpa611_1</vt:lpstr>
      <vt:lpstr>vpa612_1</vt:lpstr>
      <vt:lpstr>vpa612_2</vt:lpstr>
      <vt:lpstr>vpa612_2_1</vt:lpstr>
      <vt:lpstr>vpa612_2_2</vt:lpstr>
      <vt:lpstr>vpa612_2_3</vt:lpstr>
      <vt:lpstr>vpa612_2_4</vt:lpstr>
      <vt:lpstr>vpa612_2_5</vt:lpstr>
      <vt:lpstr>vpa612_2_6</vt:lpstr>
      <vt:lpstr>vpa612_2_7</vt:lpstr>
      <vt:lpstr>vpa612_3</vt:lpstr>
      <vt:lpstr>vpa612_3_1</vt:lpstr>
      <vt:lpstr>vpa612_3_2</vt:lpstr>
      <vt:lpstr>vpa612_3_3</vt:lpstr>
      <vt:lpstr>vpa612_3_4</vt:lpstr>
      <vt:lpstr>vpa612_3_5</vt:lpstr>
      <vt:lpstr>vpa612_3_6</vt:lpstr>
      <vt:lpstr>vpa612_3_7</vt:lpstr>
      <vt:lpstr>vpa612_3_8</vt:lpstr>
      <vt:lpstr>vpa612_3_9</vt:lpstr>
      <vt:lpstr>vpa613_1_a</vt:lpstr>
      <vt:lpstr>vpa613_1_b</vt:lpstr>
      <vt:lpstr>vpa613_1_c</vt:lpstr>
      <vt:lpstr>vpa613_1_d</vt:lpstr>
      <vt:lpstr>vpa613_1_e</vt:lpstr>
      <vt:lpstr>vpa613_1_f</vt:lpstr>
      <vt:lpstr>vpa701_4_0</vt:lpstr>
      <vt:lpstr>vpa701_4_1_1</vt:lpstr>
      <vt:lpstr>vpa701_4_1_2</vt:lpstr>
      <vt:lpstr>vpa701_4_2_1</vt:lpstr>
      <vt:lpstr>vpa701_4_2_2</vt:lpstr>
      <vt:lpstr>vpa701_4_2_3</vt:lpstr>
      <vt:lpstr>vpa701_4_3_1</vt:lpstr>
      <vt:lpstr>vpa701_4_3_2</vt:lpstr>
      <vt:lpstr>vpa701_4_3_2_1</vt:lpstr>
      <vt:lpstr>vpa701_4_3_4</vt:lpstr>
      <vt:lpstr>vpa701_4_3_5</vt:lpstr>
      <vt:lpstr>vpa701_4_4</vt:lpstr>
      <vt:lpstr>vpa701_4_5</vt:lpstr>
      <vt:lpstr>vpa701_4_6</vt:lpstr>
      <vt:lpstr>vpa701_4_7</vt:lpstr>
      <vt:lpstr>vpa703_1</vt:lpstr>
      <vt:lpstr>vpa703_1_1</vt:lpstr>
      <vt:lpstr>vpa703_1_2</vt:lpstr>
      <vt:lpstr>vpa703_1_3</vt:lpstr>
      <vt:lpstr>vpa703_2_1</vt:lpstr>
      <vt:lpstr>vpa703_2_2</vt:lpstr>
      <vt:lpstr>vpa703_2_3</vt:lpstr>
      <vt:lpstr>vpa703_2_4</vt:lpstr>
      <vt:lpstr>vpa703_2_5_1</vt:lpstr>
      <vt:lpstr>vpa703_2_5_2</vt:lpstr>
      <vt:lpstr>vpa703_2_5_2_a</vt:lpstr>
      <vt:lpstr>vpa703_2_5_2_b</vt:lpstr>
      <vt:lpstr>vpa703_2_5_2_c</vt:lpstr>
      <vt:lpstr>vpa703_3_1</vt:lpstr>
      <vt:lpstr>vpa703_3_2_1_1</vt:lpstr>
      <vt:lpstr>vpa703_3_2_1_2</vt:lpstr>
      <vt:lpstr>vpa703_3_2_1_3</vt:lpstr>
      <vt:lpstr>vpa703_3_2_1_4</vt:lpstr>
      <vt:lpstr>vpa703_3_2_1_5</vt:lpstr>
      <vt:lpstr>vpa703_3_2_2_1</vt:lpstr>
      <vt:lpstr>vpa703_3_2_2_2</vt:lpstr>
      <vt:lpstr>vpa703_3_2_3_1</vt:lpstr>
      <vt:lpstr>vpa703_3_2_3_2</vt:lpstr>
      <vt:lpstr>vpa703_3_2_3_3</vt:lpstr>
      <vt:lpstr>vpa703_3_2_3_4</vt:lpstr>
      <vt:lpstr>vpa703_3_2_4_1</vt:lpstr>
      <vt:lpstr>vpa703_3_2_4_2</vt:lpstr>
      <vt:lpstr>vpa703_3_3_1_1</vt:lpstr>
      <vt:lpstr>vpa703_3_3_1_2</vt:lpstr>
      <vt:lpstr>vpa703_3_3_1_3</vt:lpstr>
      <vt:lpstr>vpa703_3_3_1_4</vt:lpstr>
      <vt:lpstr>vpa703_3_3_1_5</vt:lpstr>
      <vt:lpstr>vpa703_3_3_2</vt:lpstr>
      <vt:lpstr>vpa703_3_3_3</vt:lpstr>
      <vt:lpstr>vpa703_3_4_1_1</vt:lpstr>
      <vt:lpstr>vpa703_3_4_1_2</vt:lpstr>
      <vt:lpstr>vpa703_3_4_1_3</vt:lpstr>
      <vt:lpstr>vpa703_3_4_1_4</vt:lpstr>
      <vt:lpstr>vpa703_3_4_1_5</vt:lpstr>
      <vt:lpstr>vpa703_3_4_1_6</vt:lpstr>
      <vt:lpstr>vpa703_3_4_2</vt:lpstr>
      <vt:lpstr>vpa703_3_5</vt:lpstr>
      <vt:lpstr>vpa703_3_6_1</vt:lpstr>
      <vt:lpstr>vpa703_3_6_2</vt:lpstr>
      <vt:lpstr>vpa703_3_6_3</vt:lpstr>
      <vt:lpstr>vpa703_3_7</vt:lpstr>
      <vt:lpstr>vpa703_3_8</vt:lpstr>
      <vt:lpstr>vpa703_4_1</vt:lpstr>
      <vt:lpstr>vpa703_4_2</vt:lpstr>
      <vt:lpstr>vpa703_4_3</vt:lpstr>
      <vt:lpstr>vpa703_4_4</vt:lpstr>
      <vt:lpstr>vpa703_4_4_1</vt:lpstr>
      <vt:lpstr>vpa703_4_4_2</vt:lpstr>
      <vt:lpstr>vpa703_4_4_3</vt:lpstr>
      <vt:lpstr>vpa703_5_1_1_a_1</vt:lpstr>
      <vt:lpstr>vpa703_5_1_1_a_2</vt:lpstr>
      <vt:lpstr>vpa703_5_1_1_b</vt:lpstr>
      <vt:lpstr>vpa703_5_1_1_c_1</vt:lpstr>
      <vt:lpstr>vpa703_5_1_1_c_2</vt:lpstr>
      <vt:lpstr>vpa703_5_1_1_d_1</vt:lpstr>
      <vt:lpstr>vpa703_5_1_1_d_2</vt:lpstr>
      <vt:lpstr>vpa703_5_1_1_e_1</vt:lpstr>
      <vt:lpstr>vpa703_5_1_1_e_2</vt:lpstr>
      <vt:lpstr>vpa703_5_1_2_a_1</vt:lpstr>
      <vt:lpstr>vpa703_5_1_2_a_2</vt:lpstr>
      <vt:lpstr>vpa703_5_1_2_a_3</vt:lpstr>
      <vt:lpstr>vpa703_5_1_2_a_4</vt:lpstr>
      <vt:lpstr>vpa703_5_1_2_a_5</vt:lpstr>
      <vt:lpstr>vpa703_5_1_2_a_6</vt:lpstr>
      <vt:lpstr>vpa703_5_1_2_a_7</vt:lpstr>
      <vt:lpstr>vpa703_5_1_2_b_1</vt:lpstr>
      <vt:lpstr>vpa703_5_1_2_b_2</vt:lpstr>
      <vt:lpstr>vpa703_5_1_2_b_3</vt:lpstr>
      <vt:lpstr>vpa703_5_1_2_b_4</vt:lpstr>
      <vt:lpstr>vpa703_5_1_2_c</vt:lpstr>
      <vt:lpstr>vpa703_5_1_2_d</vt:lpstr>
      <vt:lpstr>vpa703_5_1_2_e</vt:lpstr>
      <vt:lpstr>vpa703_5_1_3</vt:lpstr>
      <vt:lpstr>vpa703_5_2</vt:lpstr>
      <vt:lpstr>vpa703_5_3</vt:lpstr>
      <vt:lpstr>vpa703_5_4</vt:lpstr>
      <vt:lpstr>vpa703_5_5_a_1</vt:lpstr>
      <vt:lpstr>vpa703_5_5_a_2</vt:lpstr>
      <vt:lpstr>vpa703_5_5_a_3</vt:lpstr>
      <vt:lpstr>vpa703_5_5_a_4</vt:lpstr>
      <vt:lpstr>vpa703_5_5_a_5</vt:lpstr>
      <vt:lpstr>vpa703_5_5_b_1</vt:lpstr>
      <vt:lpstr>vpa703_5_5_b_2</vt:lpstr>
      <vt:lpstr>vpa703_5_5_b_3</vt:lpstr>
      <vt:lpstr>vpa703_5_5_b_4</vt:lpstr>
      <vt:lpstr>vpa703_5_5_b_5</vt:lpstr>
      <vt:lpstr>vpa703_6_1_1</vt:lpstr>
      <vt:lpstr>vpa703_6_1_2</vt:lpstr>
      <vt:lpstr>vpa703_6_1_3</vt:lpstr>
      <vt:lpstr>vpa703_6_2_1</vt:lpstr>
      <vt:lpstr>vpa703_6_2_2</vt:lpstr>
      <vt:lpstr>vpa703_6_2_3</vt:lpstr>
      <vt:lpstr>vpa703_7_1</vt:lpstr>
      <vt:lpstr>vpa703_7_2</vt:lpstr>
      <vt:lpstr>vpa703_7_3_1</vt:lpstr>
      <vt:lpstr>vpa703_7_3_2</vt:lpstr>
      <vt:lpstr>vpa703_7_4</vt:lpstr>
      <vt:lpstr>vpa705_2_1_1_1</vt:lpstr>
      <vt:lpstr>vpa705_2_1_1_2</vt:lpstr>
      <vt:lpstr>vpa705_2_1_2</vt:lpstr>
      <vt:lpstr>vpa705_2_1_3_1_a</vt:lpstr>
      <vt:lpstr>vpa705_2_1_3_1_b</vt:lpstr>
      <vt:lpstr>vpa705_2_1_3_2_a</vt:lpstr>
      <vt:lpstr>vpa705_2_1_3_2_b</vt:lpstr>
      <vt:lpstr>vpa705_2_1_4_1</vt:lpstr>
      <vt:lpstr>vpa705_2_1_4_2</vt:lpstr>
      <vt:lpstr>vpa705_2_2</vt:lpstr>
      <vt:lpstr>vpa705_2_3</vt:lpstr>
      <vt:lpstr>vpa705_2_4</vt:lpstr>
      <vt:lpstr>vpa705_3</vt:lpstr>
      <vt:lpstr>vpa705_4</vt:lpstr>
      <vt:lpstr>vpa705_5_1_1</vt:lpstr>
      <vt:lpstr>vpa705_5_1_2</vt:lpstr>
      <vt:lpstr>vpa705_5_2</vt:lpstr>
      <vt:lpstr>vpa705_5_3_1</vt:lpstr>
      <vt:lpstr>vpa705_5_3_2</vt:lpstr>
      <vt:lpstr>vpa705_6_1</vt:lpstr>
      <vt:lpstr>vpa705_6_2_1_1</vt:lpstr>
      <vt:lpstr>vpa705_6_2_1_2</vt:lpstr>
      <vt:lpstr>vpa705_6_2_2_1</vt:lpstr>
      <vt:lpstr>vpa705_6_2_2_2</vt:lpstr>
      <vt:lpstr>vpa705_6_2_3_1</vt:lpstr>
      <vt:lpstr>vpa705_6_2_3_2</vt:lpstr>
      <vt:lpstr>vpa705_6_3</vt:lpstr>
      <vt:lpstr>vpa705_6_4_1</vt:lpstr>
      <vt:lpstr>vpa705_6_4_2</vt:lpstr>
      <vt:lpstr>vpa705_7</vt:lpstr>
      <vt:lpstr>vpa706_1</vt:lpstr>
      <vt:lpstr>vpa706_1_1</vt:lpstr>
      <vt:lpstr>vpa706_1_2</vt:lpstr>
      <vt:lpstr>vpa706_1_3</vt:lpstr>
      <vt:lpstr>vpa706_1_4</vt:lpstr>
      <vt:lpstr>vpa706_1_5</vt:lpstr>
      <vt:lpstr>vpa706_10</vt:lpstr>
      <vt:lpstr>vpa706_11</vt:lpstr>
      <vt:lpstr>vpa706_12</vt:lpstr>
      <vt:lpstr>vpa706_13_1</vt:lpstr>
      <vt:lpstr>vpa706_13_2</vt:lpstr>
      <vt:lpstr>vpa706_14_1</vt:lpstr>
      <vt:lpstr>vpa706_14_2</vt:lpstr>
      <vt:lpstr>vpa706_15_1</vt:lpstr>
      <vt:lpstr>vpa706_15_2</vt:lpstr>
      <vt:lpstr>vpa706_2_1</vt:lpstr>
      <vt:lpstr>vpa706_2_2_a</vt:lpstr>
      <vt:lpstr>vpa706_2_2_b</vt:lpstr>
      <vt:lpstr>vpa706_3_1</vt:lpstr>
      <vt:lpstr>vpa706_3_2</vt:lpstr>
      <vt:lpstr>vpa706_4_1_1</vt:lpstr>
      <vt:lpstr>vpa706_4_1_2</vt:lpstr>
      <vt:lpstr>vpa706_4_2</vt:lpstr>
      <vt:lpstr>vpa706_5_1</vt:lpstr>
      <vt:lpstr>vpa706_5_2</vt:lpstr>
      <vt:lpstr>vpa706_5_3</vt:lpstr>
      <vt:lpstr>vpa706_6</vt:lpstr>
      <vt:lpstr>vpa706_7_1</vt:lpstr>
      <vt:lpstr>vpa706_7_2</vt:lpstr>
      <vt:lpstr>vpa706_8</vt:lpstr>
      <vt:lpstr>vpa706_9</vt:lpstr>
      <vt:lpstr>vpa802_1_1</vt:lpstr>
      <vt:lpstr>vpa802_1_2</vt:lpstr>
      <vt:lpstr>vpa802_1_3</vt:lpstr>
      <vt:lpstr>vpa802_1_4</vt:lpstr>
      <vt:lpstr>vpa802_1_4_a</vt:lpstr>
      <vt:lpstr>vpa802_1_5</vt:lpstr>
      <vt:lpstr>vpa802_1_6</vt:lpstr>
      <vt:lpstr>vpa802_10_1</vt:lpstr>
      <vt:lpstr>vpa802_10_1_1</vt:lpstr>
      <vt:lpstr>vpa802_2_1</vt:lpstr>
      <vt:lpstr>vpa802_2_2</vt:lpstr>
      <vt:lpstr>vpa802_2_3</vt:lpstr>
      <vt:lpstr>vpa802_3_1_a</vt:lpstr>
      <vt:lpstr>vpa802_3_1_b</vt:lpstr>
      <vt:lpstr>vpa802_3_2</vt:lpstr>
      <vt:lpstr>vpa802_3_2_a</vt:lpstr>
      <vt:lpstr>vpa802_3_2_b</vt:lpstr>
      <vt:lpstr>vpa802_4_1</vt:lpstr>
      <vt:lpstr>vpa802_4_1_1</vt:lpstr>
      <vt:lpstr>vpa802_4_1_2</vt:lpstr>
      <vt:lpstr>vpa802_4_2_a</vt:lpstr>
      <vt:lpstr>vpa802_4_2_b</vt:lpstr>
      <vt:lpstr>vpa802_4_3</vt:lpstr>
      <vt:lpstr>vpa802_5_1_1</vt:lpstr>
      <vt:lpstr>vpa802_5_1_2</vt:lpstr>
      <vt:lpstr>vpa802_5_1_3</vt:lpstr>
      <vt:lpstr>vpa802_5_1_4</vt:lpstr>
      <vt:lpstr>vpa802_5_1_5</vt:lpstr>
      <vt:lpstr>vpa802_5_2_1</vt:lpstr>
      <vt:lpstr>vpa802_5_2_2</vt:lpstr>
      <vt:lpstr>vpa802_5_3</vt:lpstr>
      <vt:lpstr>vpa802_5_4_1</vt:lpstr>
      <vt:lpstr>vpa802_5_4_2</vt:lpstr>
      <vt:lpstr>vpa802_5_4_3</vt:lpstr>
      <vt:lpstr>vpa802_5_4_4_a</vt:lpstr>
      <vt:lpstr>vpa802_5_4_4_b</vt:lpstr>
      <vt:lpstr>vpa802_5_4_4_c</vt:lpstr>
      <vt:lpstr>vpa802_6_1</vt:lpstr>
      <vt:lpstr>vpa802_6_2</vt:lpstr>
      <vt:lpstr>vpa802_6_3_1</vt:lpstr>
      <vt:lpstr>vpa802_6_3_2</vt:lpstr>
      <vt:lpstr>vpa802_6_3_3</vt:lpstr>
      <vt:lpstr>vpa802_6_4_1</vt:lpstr>
      <vt:lpstr>vpa802_6_4_2</vt:lpstr>
      <vt:lpstr>vpa802_6_5_1</vt:lpstr>
      <vt:lpstr>vpa802_6_5_2</vt:lpstr>
      <vt:lpstr>vpa802_6_5_3</vt:lpstr>
      <vt:lpstr>vpa802_6_5_4</vt:lpstr>
      <vt:lpstr>vpa802_6_5_5</vt:lpstr>
      <vt:lpstr>vpa802_7_1_1</vt:lpstr>
      <vt:lpstr>vpa802_7_1_2_a</vt:lpstr>
      <vt:lpstr>vpa802_7_1_2_b</vt:lpstr>
      <vt:lpstr>vpa802_7_1_2_c</vt:lpstr>
      <vt:lpstr>vpa802_7_1_2_d</vt:lpstr>
      <vt:lpstr>vpa802_7_2_1</vt:lpstr>
      <vt:lpstr>vpa802_7_2_2</vt:lpstr>
      <vt:lpstr>vpa802_8</vt:lpstr>
      <vt:lpstr>vpa802_9_1_1</vt:lpstr>
      <vt:lpstr>vpa802_9_1_2</vt:lpstr>
      <vt:lpstr>vpa802_9_2_1</vt:lpstr>
      <vt:lpstr>vpa802_9_2_2</vt:lpstr>
      <vt:lpstr>vpa803_1_1</vt:lpstr>
      <vt:lpstr>vpa803_1_2</vt:lpstr>
      <vt:lpstr>vpa803_2</vt:lpstr>
      <vt:lpstr>vpa803_3</vt:lpstr>
      <vt:lpstr>vpa803_4</vt:lpstr>
      <vt:lpstr>vpa803_5</vt:lpstr>
      <vt:lpstr>vpa803_6</vt:lpstr>
      <vt:lpstr>vpa901_1_1</vt:lpstr>
      <vt:lpstr>vpa901_1_2</vt:lpstr>
      <vt:lpstr>vpa901_1_3_1_a</vt:lpstr>
      <vt:lpstr>vpa901_1_3_1_b</vt:lpstr>
      <vt:lpstr>vpa901_1_3_2_a</vt:lpstr>
      <vt:lpstr>vpa901_1_3_2_b</vt:lpstr>
      <vt:lpstr>vpa901_1_4</vt:lpstr>
      <vt:lpstr>vpa901_1_5</vt:lpstr>
      <vt:lpstr>vpa901_1_6_1</vt:lpstr>
      <vt:lpstr>vpa901_1_6_2</vt:lpstr>
      <vt:lpstr>vpa901_10_1</vt:lpstr>
      <vt:lpstr>vpa901_10_2</vt:lpstr>
      <vt:lpstr>vpa901_10_3</vt:lpstr>
      <vt:lpstr>vpa901_11</vt:lpstr>
      <vt:lpstr>vpa901_12</vt:lpstr>
      <vt:lpstr>vpa901_13</vt:lpstr>
      <vt:lpstr>vpa901_14_1</vt:lpstr>
      <vt:lpstr>vpa901_14_2</vt:lpstr>
      <vt:lpstr>vpa901_15_1</vt:lpstr>
      <vt:lpstr>vpa901_15_2</vt:lpstr>
      <vt:lpstr>vpa901_16</vt:lpstr>
      <vt:lpstr>vpa901_2_1_1</vt:lpstr>
      <vt:lpstr>vpa901_2_1_1_m</vt:lpstr>
      <vt:lpstr>vpa901_2_1_2</vt:lpstr>
      <vt:lpstr>vpa901_2_1_2_m</vt:lpstr>
      <vt:lpstr>vpa901_2_1_3</vt:lpstr>
      <vt:lpstr>vpa901_2_1_3_m</vt:lpstr>
      <vt:lpstr>vpa901_2_1_4</vt:lpstr>
      <vt:lpstr>vpa901_2_1_4_m</vt:lpstr>
      <vt:lpstr>vpa901_2_1_5</vt:lpstr>
      <vt:lpstr>vpa901_2_1_5_m</vt:lpstr>
      <vt:lpstr>vpa901_2_2</vt:lpstr>
      <vt:lpstr>vpa901_3_1_a</vt:lpstr>
      <vt:lpstr>vpa901_3_1_a_m</vt:lpstr>
      <vt:lpstr>vpa901_3_1_b</vt:lpstr>
      <vt:lpstr>vpa901_3_1_b_m</vt:lpstr>
      <vt:lpstr>vpa901_3_1_c</vt:lpstr>
      <vt:lpstr>vpa901_3_2</vt:lpstr>
      <vt:lpstr>vpa901_4</vt:lpstr>
      <vt:lpstr>vpa901_4_1</vt:lpstr>
      <vt:lpstr>vpa901_4_2</vt:lpstr>
      <vt:lpstr>vpa901_4_3</vt:lpstr>
      <vt:lpstr>vpa901_4_4</vt:lpstr>
      <vt:lpstr>vpa901_4_5</vt:lpstr>
      <vt:lpstr>vpa901_4_6</vt:lpstr>
      <vt:lpstr>vpa901_5_1</vt:lpstr>
      <vt:lpstr>vpa901_5_2</vt:lpstr>
      <vt:lpstr>vpa901_6</vt:lpstr>
      <vt:lpstr>vpa901_7</vt:lpstr>
      <vt:lpstr>vpa901_8</vt:lpstr>
      <vt:lpstr>vpa901_9_1</vt:lpstr>
      <vt:lpstr>vpa901_9_2</vt:lpstr>
      <vt:lpstr>vpa901_9_3</vt:lpstr>
      <vt:lpstr>vpa901_9_4</vt:lpstr>
      <vt:lpstr>vpa902_1_1_1</vt:lpstr>
      <vt:lpstr>vpa902_1_1_1_a</vt:lpstr>
      <vt:lpstr>vpa902_1_1_2</vt:lpstr>
      <vt:lpstr>vpa902_1_1_3</vt:lpstr>
      <vt:lpstr>vpa902_1_2</vt:lpstr>
      <vt:lpstr>vpa902_1_2_1</vt:lpstr>
      <vt:lpstr>vpa902_1_2_2</vt:lpstr>
      <vt:lpstr>vpa902_1_3</vt:lpstr>
      <vt:lpstr>vpa902_1_4</vt:lpstr>
      <vt:lpstr>vpa902_1_4_1</vt:lpstr>
      <vt:lpstr>vpa902_1_4_2</vt:lpstr>
      <vt:lpstr>vpa902_1_5</vt:lpstr>
      <vt:lpstr>vpa902_1_6</vt:lpstr>
      <vt:lpstr>vpa902_2_1</vt:lpstr>
      <vt:lpstr>vpa902_2_1_1</vt:lpstr>
      <vt:lpstr>vpa902_2_1_2</vt:lpstr>
      <vt:lpstr>vpa902_2_1_3</vt:lpstr>
      <vt:lpstr>vpa902_2_1_4</vt:lpstr>
      <vt:lpstr>vpa902_2_1_5</vt:lpstr>
      <vt:lpstr>vpa902_2_2</vt:lpstr>
      <vt:lpstr>vpa902_2_3</vt:lpstr>
      <vt:lpstr>vpa902_2_4</vt:lpstr>
      <vt:lpstr>vpa902_2_5</vt:lpstr>
      <vt:lpstr>vpa902_3</vt:lpstr>
      <vt:lpstr>vpa902_3_1_a</vt:lpstr>
      <vt:lpstr>vpa902_3_1_b</vt:lpstr>
      <vt:lpstr>vpa902_3_2_1</vt:lpstr>
      <vt:lpstr>vpa902_3_2_2</vt:lpstr>
      <vt:lpstr>vpa902_3_2_a</vt:lpstr>
      <vt:lpstr>vpa902_3_2_b</vt:lpstr>
      <vt:lpstr>vpa902_4</vt:lpstr>
      <vt:lpstr>vpa902_5</vt:lpstr>
      <vt:lpstr>vpa902_6</vt:lpstr>
      <vt:lpstr>vpa903_1_1</vt:lpstr>
      <vt:lpstr>vpa903_1_2</vt:lpstr>
      <vt:lpstr>vpa903_2_1</vt:lpstr>
      <vt:lpstr>vpa903_2_2</vt:lpstr>
      <vt:lpstr>vpa903_3</vt:lpstr>
      <vt:lpstr>vpa904_1</vt:lpstr>
      <vt:lpstr>vpa904_2</vt:lpstr>
      <vt:lpstr>vpa904_3_1</vt:lpstr>
      <vt:lpstr>vpa904_3_2</vt:lpstr>
      <vt:lpstr>vpa905_1</vt:lpstr>
      <vt:lpstr>vpa905_2</vt:lpstr>
      <vt:lpstr>vpa905_3</vt:lpstr>
      <vt:lpstr>vpa905_4</vt:lpstr>
      <vt:lpstr>vpa905_5</vt:lpstr>
      <vt:lpstr>vpa905_6</vt:lpstr>
      <vt:lpstr>vpa905_6_1</vt:lpstr>
      <vt:lpstr>vpa905_6_2</vt:lpstr>
      <vt:lpstr>vpa905_6_3</vt:lpstr>
      <vt:lpstr>vpc1001_1</vt:lpstr>
      <vt:lpstr>vpc1001_2</vt:lpstr>
      <vt:lpstr>vpc1002_1</vt:lpstr>
      <vt:lpstr>vpc1002_2</vt:lpstr>
      <vt:lpstr>vpc1002_3</vt:lpstr>
      <vt:lpstr>vpc1002_4</vt:lpstr>
      <vt:lpstr>vpc1002_5</vt:lpstr>
      <vt:lpstr>vpc1002_6</vt:lpstr>
      <vt:lpstr>vpc1003_1</vt:lpstr>
      <vt:lpstr>vpc1005_1_1</vt:lpstr>
      <vt:lpstr>vpc1005_1_2</vt:lpstr>
      <vt:lpstr>vpc1005_1_3</vt:lpstr>
      <vt:lpstr>vpc501_2_1</vt:lpstr>
      <vt:lpstr>vpc501_2_2</vt:lpstr>
      <vt:lpstr>vpc501_2_3</vt:lpstr>
      <vt:lpstr>vpc501_2_3_</vt:lpstr>
      <vt:lpstr>vpc501_2_4</vt:lpstr>
      <vt:lpstr>vpc501_2_5</vt:lpstr>
      <vt:lpstr>vpc501_2_6</vt:lpstr>
      <vt:lpstr>vpc501_2_7</vt:lpstr>
      <vt:lpstr>vpc502_1</vt:lpstr>
      <vt:lpstr>vpc503_1_1</vt:lpstr>
      <vt:lpstr>vpc503_1_2</vt:lpstr>
      <vt:lpstr>vpc503_1_3</vt:lpstr>
      <vt:lpstr>vpc503_1_4</vt:lpstr>
      <vt:lpstr>vpc503_1_5</vt:lpstr>
      <vt:lpstr>vpc503_1_6</vt:lpstr>
      <vt:lpstr>vpc503_1_7</vt:lpstr>
      <vt:lpstr>vpc503_1_8</vt:lpstr>
      <vt:lpstr>vpc503_2_1</vt:lpstr>
      <vt:lpstr>vpc503_2_2</vt:lpstr>
      <vt:lpstr>vpc503_2_3</vt:lpstr>
      <vt:lpstr>vpc503_2_4</vt:lpstr>
      <vt:lpstr>vpc503_2_5</vt:lpstr>
      <vt:lpstr>vpc503_3_1</vt:lpstr>
      <vt:lpstr>vpc503_3_2</vt:lpstr>
      <vt:lpstr>vpc503_3_3</vt:lpstr>
      <vt:lpstr>vpc503_4_1</vt:lpstr>
      <vt:lpstr>vpc503_4_2</vt:lpstr>
      <vt:lpstr>vpc503_4_3</vt:lpstr>
      <vt:lpstr>vpc503_4_3_</vt:lpstr>
      <vt:lpstr>vpc503_4_4</vt:lpstr>
      <vt:lpstr>vpc503_5_1</vt:lpstr>
      <vt:lpstr>vpc503_5_10</vt:lpstr>
      <vt:lpstr>vpc503_5_11</vt:lpstr>
      <vt:lpstr>vpc503_5_12</vt:lpstr>
      <vt:lpstr>vpc503_5_13</vt:lpstr>
      <vt:lpstr>vpc503_5_2</vt:lpstr>
      <vt:lpstr>vpc503_5_3</vt:lpstr>
      <vt:lpstr>vpc503_5_4</vt:lpstr>
      <vt:lpstr>vpc503_5_5</vt:lpstr>
      <vt:lpstr>vpc503_5_6</vt:lpstr>
      <vt:lpstr>vpc503_5_7</vt:lpstr>
      <vt:lpstr>vpc503_5_8</vt:lpstr>
      <vt:lpstr>vpc503_5_9</vt:lpstr>
      <vt:lpstr>vpc503_6</vt:lpstr>
      <vt:lpstr>vpc503_7_1</vt:lpstr>
      <vt:lpstr>vpc503_7_2</vt:lpstr>
      <vt:lpstr>vpc504_1</vt:lpstr>
      <vt:lpstr>vpc504_2_1</vt:lpstr>
      <vt:lpstr>vpc504_2_2</vt:lpstr>
      <vt:lpstr>vpc504_2_3</vt:lpstr>
      <vt:lpstr>vpc504_3_1</vt:lpstr>
      <vt:lpstr>vpc504_3_2</vt:lpstr>
      <vt:lpstr>vpc504_3_3</vt:lpstr>
      <vt:lpstr>vpc504_3_4</vt:lpstr>
      <vt:lpstr>vpc504_3_5</vt:lpstr>
      <vt:lpstr>vpc504_3_6</vt:lpstr>
      <vt:lpstr>vpc504_3_7</vt:lpstr>
      <vt:lpstr>vpc504_3_8</vt:lpstr>
      <vt:lpstr>vpc505_1_1</vt:lpstr>
      <vt:lpstr>vpc505_1_2</vt:lpstr>
      <vt:lpstr>vpc505_1_3</vt:lpstr>
      <vt:lpstr>vpc505_10_a</vt:lpstr>
      <vt:lpstr>vpc505_10_b</vt:lpstr>
      <vt:lpstr>vpc505_10_c</vt:lpstr>
      <vt:lpstr>vpc505_11</vt:lpstr>
      <vt:lpstr>vpc505_2_1</vt:lpstr>
      <vt:lpstr>vpc505_2_2</vt:lpstr>
      <vt:lpstr>vpc505_3</vt:lpstr>
      <vt:lpstr>vpc505_4_1</vt:lpstr>
      <vt:lpstr>vpc505_5_a</vt:lpstr>
      <vt:lpstr>vpc505_5_b</vt:lpstr>
      <vt:lpstr>vpc505_5_c</vt:lpstr>
      <vt:lpstr>vpc505_5_d</vt:lpstr>
      <vt:lpstr>vpc505_6</vt:lpstr>
      <vt:lpstr>vpc505_7</vt:lpstr>
      <vt:lpstr>vpc505_8</vt:lpstr>
      <vt:lpstr>vpc505_9_a</vt:lpstr>
      <vt:lpstr>vpc505_9_b</vt:lpstr>
      <vt:lpstr>vpc505_9_c</vt:lpstr>
      <vt:lpstr>vpc601_1</vt:lpstr>
      <vt:lpstr>vpc601_2_1</vt:lpstr>
      <vt:lpstr>vpc601_2_2</vt:lpstr>
      <vt:lpstr>vpc601_2_3</vt:lpstr>
      <vt:lpstr>vpc601_3_1</vt:lpstr>
      <vt:lpstr>vpc601_3_2</vt:lpstr>
      <vt:lpstr>vpc601_3_3</vt:lpstr>
      <vt:lpstr>vpc601_3_4</vt:lpstr>
      <vt:lpstr>vpc601_3_5</vt:lpstr>
      <vt:lpstr>vpc601_4</vt:lpstr>
      <vt:lpstr>vpc601_5_1</vt:lpstr>
      <vt:lpstr>vpc601_5_2</vt:lpstr>
      <vt:lpstr>vpc601_5_3</vt:lpstr>
      <vt:lpstr>vpc601_5_4</vt:lpstr>
      <vt:lpstr>vpc601_6</vt:lpstr>
      <vt:lpstr>vpc601_7</vt:lpstr>
      <vt:lpstr>vpc601_8</vt:lpstr>
      <vt:lpstr>vpc602_1_1_2</vt:lpstr>
      <vt:lpstr>vpc602_1_10</vt:lpstr>
      <vt:lpstr>vpc602_1_12</vt:lpstr>
      <vt:lpstr>vpc602_1_14_1</vt:lpstr>
      <vt:lpstr>vpc602_1_14_2</vt:lpstr>
      <vt:lpstr>vpc602_1_14_3</vt:lpstr>
      <vt:lpstr>vpc602_1_15</vt:lpstr>
      <vt:lpstr>vpc602_1_2</vt:lpstr>
      <vt:lpstr>vpc602_1_3_2</vt:lpstr>
      <vt:lpstr>vpc602_1_4_1_1</vt:lpstr>
      <vt:lpstr>vpc602_1_4_2_1</vt:lpstr>
      <vt:lpstr>vpc602_1_5_1</vt:lpstr>
      <vt:lpstr>vpc602_1_5_2</vt:lpstr>
      <vt:lpstr>vpc602_1_6_1</vt:lpstr>
      <vt:lpstr>vpc602_1_6_2</vt:lpstr>
      <vt:lpstr>vpc602_1_6_3</vt:lpstr>
      <vt:lpstr>vpc602_1_7_1_1</vt:lpstr>
      <vt:lpstr>vpc602_1_7_1_2</vt:lpstr>
      <vt:lpstr>vpc602_1_7_1_3</vt:lpstr>
      <vt:lpstr>vpc602_1_7_2</vt:lpstr>
      <vt:lpstr>vpc602_1_7_3</vt:lpstr>
      <vt:lpstr>vpc602_1_9_2</vt:lpstr>
      <vt:lpstr>vpc602_1_9_3</vt:lpstr>
      <vt:lpstr>vpc602_1_9_4</vt:lpstr>
      <vt:lpstr>vpc602_1_9_5</vt:lpstr>
      <vt:lpstr>vpc602_1_9_6</vt:lpstr>
      <vt:lpstr>vpc602_1_9_7</vt:lpstr>
      <vt:lpstr>vpc602_2</vt:lpstr>
      <vt:lpstr>vpc602_3</vt:lpstr>
      <vt:lpstr>vpc602_4_2</vt:lpstr>
      <vt:lpstr>vpc602_4_3</vt:lpstr>
      <vt:lpstr>vpc603_1</vt:lpstr>
      <vt:lpstr>vpc603_2</vt:lpstr>
      <vt:lpstr>vpc603_3</vt:lpstr>
      <vt:lpstr>vpc604_1a</vt:lpstr>
      <vt:lpstr>vpc605_2</vt:lpstr>
      <vt:lpstr>vpc605_3</vt:lpstr>
      <vt:lpstr>vpc605_4</vt:lpstr>
      <vt:lpstr>vpc606_1</vt:lpstr>
      <vt:lpstr>vpc606_2_1a</vt:lpstr>
      <vt:lpstr>vpc606_2_2a</vt:lpstr>
      <vt:lpstr>vpc606_3</vt:lpstr>
      <vt:lpstr>vpc607_1_1</vt:lpstr>
      <vt:lpstr>vpc607_1_2</vt:lpstr>
      <vt:lpstr>vpc607_2</vt:lpstr>
      <vt:lpstr>vpc608_1</vt:lpstr>
      <vt:lpstr>vpc609_1</vt:lpstr>
      <vt:lpstr>vpc610_1_1_1</vt:lpstr>
      <vt:lpstr>vpc610_1_1_2</vt:lpstr>
      <vt:lpstr>vpc610_1_1_3</vt:lpstr>
      <vt:lpstr>vpc610_1_2</vt:lpstr>
      <vt:lpstr>vpc611_1</vt:lpstr>
      <vt:lpstr>vpc612_1</vt:lpstr>
      <vt:lpstr>vpc612_2</vt:lpstr>
      <vt:lpstr>vpc612_3</vt:lpstr>
      <vt:lpstr>vpc613_1</vt:lpstr>
      <vt:lpstr>vpc703_1</vt:lpstr>
      <vt:lpstr>vpc703_2_1</vt:lpstr>
      <vt:lpstr>vpc703_2_2</vt:lpstr>
      <vt:lpstr>vpc703_2_3</vt:lpstr>
      <vt:lpstr>vpc703_2_4</vt:lpstr>
      <vt:lpstr>vpc703_2_5_2</vt:lpstr>
      <vt:lpstr>vpc703_3_1</vt:lpstr>
      <vt:lpstr>vpc703_3_2_1</vt:lpstr>
      <vt:lpstr>vpc703_3_2_2</vt:lpstr>
      <vt:lpstr>vpc703_3_2_3</vt:lpstr>
      <vt:lpstr>vpc703_3_2_4</vt:lpstr>
      <vt:lpstr>vpc703_3_3_1</vt:lpstr>
      <vt:lpstr>vpc703_3_3_2</vt:lpstr>
      <vt:lpstr>vpc703_3_3_3</vt:lpstr>
      <vt:lpstr>vpc703_3_4_1</vt:lpstr>
      <vt:lpstr>vpc703_3_4_1_6</vt:lpstr>
      <vt:lpstr>vpc703_3_4_2</vt:lpstr>
      <vt:lpstr>vpc703_3_5</vt:lpstr>
      <vt:lpstr>vpc703_3_6</vt:lpstr>
      <vt:lpstr>vpc703_3_7</vt:lpstr>
      <vt:lpstr>vpc703_3_8</vt:lpstr>
      <vt:lpstr>vpc703_4_1</vt:lpstr>
      <vt:lpstr>vpc703_4_2</vt:lpstr>
      <vt:lpstr>vpc703_4_3</vt:lpstr>
      <vt:lpstr>vpc703_4_4</vt:lpstr>
      <vt:lpstr>vpc703_5_1_1_a</vt:lpstr>
      <vt:lpstr>vpc703_5_1_1_b</vt:lpstr>
      <vt:lpstr>vpc703_5_1_1_c</vt:lpstr>
      <vt:lpstr>vpc703_5_1_1_d</vt:lpstr>
      <vt:lpstr>vpc703_5_1_1_e</vt:lpstr>
      <vt:lpstr>vpc703_5_1_2_a</vt:lpstr>
      <vt:lpstr>vpc703_5_1_2_b</vt:lpstr>
      <vt:lpstr>vpc703_5_1_2_c</vt:lpstr>
      <vt:lpstr>vpc703_5_1_2_d</vt:lpstr>
      <vt:lpstr>vpc703_5_1_2_e</vt:lpstr>
      <vt:lpstr>vpc703_5_1_3</vt:lpstr>
      <vt:lpstr>vpc703_5_2</vt:lpstr>
      <vt:lpstr>vpc703_5_3</vt:lpstr>
      <vt:lpstr>vpc703_5_4</vt:lpstr>
      <vt:lpstr>vpc703_5_5_a</vt:lpstr>
      <vt:lpstr>vpc703_5_5_b</vt:lpstr>
      <vt:lpstr>vpc703_6_1_1</vt:lpstr>
      <vt:lpstr>vpc703_6_1_2</vt:lpstr>
      <vt:lpstr>vpc703_6_1_3</vt:lpstr>
      <vt:lpstr>vpc703_6_2_1</vt:lpstr>
      <vt:lpstr>vpc703_6_2_2</vt:lpstr>
      <vt:lpstr>vpc703_6_2_3</vt:lpstr>
      <vt:lpstr>vpc703_7_1</vt:lpstr>
      <vt:lpstr>vpc703_7_2</vt:lpstr>
      <vt:lpstr>vpc703_7_3</vt:lpstr>
      <vt:lpstr>vpc703_7_4</vt:lpstr>
      <vt:lpstr>vpc705_2_1_1</vt:lpstr>
      <vt:lpstr>vpc705_2_1_2</vt:lpstr>
      <vt:lpstr>vpc705_2_1_3_1</vt:lpstr>
      <vt:lpstr>vpc705_2_1_3_2</vt:lpstr>
      <vt:lpstr>vpc705_2_1_4</vt:lpstr>
      <vt:lpstr>vpc705_2_2</vt:lpstr>
      <vt:lpstr>vpc705_2_3</vt:lpstr>
      <vt:lpstr>vpc705_2_4</vt:lpstr>
      <vt:lpstr>vpc705_3</vt:lpstr>
      <vt:lpstr>vpc705_4</vt:lpstr>
      <vt:lpstr>vpc705_5_1_1</vt:lpstr>
      <vt:lpstr>vpc705_5_1_2</vt:lpstr>
      <vt:lpstr>vpc705_5_2</vt:lpstr>
      <vt:lpstr>vpc705_5_3_1</vt:lpstr>
      <vt:lpstr>vpc705_5_3_2</vt:lpstr>
      <vt:lpstr>vpc705_6_1</vt:lpstr>
      <vt:lpstr>vpc705_6_2_1_1</vt:lpstr>
      <vt:lpstr>vpc705_6_2_1_2</vt:lpstr>
      <vt:lpstr>vpc705_6_2_2_1</vt:lpstr>
      <vt:lpstr>vpc705_6_2_2_2</vt:lpstr>
      <vt:lpstr>vpc705_6_2_3</vt:lpstr>
      <vt:lpstr>vpc705_6_3</vt:lpstr>
      <vt:lpstr>vpc705_6_4_1</vt:lpstr>
      <vt:lpstr>vpc705_6_4_2</vt:lpstr>
      <vt:lpstr>vpc705_7</vt:lpstr>
      <vt:lpstr>vpc706_1</vt:lpstr>
      <vt:lpstr>vpc706_10</vt:lpstr>
      <vt:lpstr>vpc706_11</vt:lpstr>
      <vt:lpstr>vpc706_12</vt:lpstr>
      <vt:lpstr>vpc706_13</vt:lpstr>
      <vt:lpstr>vpc706_14_1</vt:lpstr>
      <vt:lpstr>vpc706_14_2</vt:lpstr>
      <vt:lpstr>vpc706_15_1</vt:lpstr>
      <vt:lpstr>vpc706_15_2</vt:lpstr>
      <vt:lpstr>vpc706_2_1</vt:lpstr>
      <vt:lpstr>vpc706_2_2</vt:lpstr>
      <vt:lpstr>vpc706_3</vt:lpstr>
      <vt:lpstr>vpc706_4_1_1</vt:lpstr>
      <vt:lpstr>vpc706_4_1_2</vt:lpstr>
      <vt:lpstr>vpc706_4_2</vt:lpstr>
      <vt:lpstr>vpc706_5_1</vt:lpstr>
      <vt:lpstr>vpc706_5_2</vt:lpstr>
      <vt:lpstr>vpc706_5_3</vt:lpstr>
      <vt:lpstr>vpc706_6</vt:lpstr>
      <vt:lpstr>vpc706_7_1</vt:lpstr>
      <vt:lpstr>vpc706_7_2</vt:lpstr>
      <vt:lpstr>vpc706_8</vt:lpstr>
      <vt:lpstr>vpc706_9</vt:lpstr>
      <vt:lpstr>vpc802_1</vt:lpstr>
      <vt:lpstr>vpc802_1_6</vt:lpstr>
      <vt:lpstr>vpc802_10_1_1</vt:lpstr>
      <vt:lpstr>vpc802_2_1</vt:lpstr>
      <vt:lpstr>vpc802_2_2</vt:lpstr>
      <vt:lpstr>vpc802_3_1_a</vt:lpstr>
      <vt:lpstr>vpc802_3_1_b</vt:lpstr>
      <vt:lpstr>vpc802_3_2_a</vt:lpstr>
      <vt:lpstr>vpc802_3_2_b</vt:lpstr>
      <vt:lpstr>vpc802_4_1</vt:lpstr>
      <vt:lpstr>vpc802_4_2</vt:lpstr>
      <vt:lpstr>vpc802_4_3</vt:lpstr>
      <vt:lpstr>vpc802_5_1</vt:lpstr>
      <vt:lpstr>vpc802_5_2</vt:lpstr>
      <vt:lpstr>vpc802_5_3</vt:lpstr>
      <vt:lpstr>vpc802_5_4_2</vt:lpstr>
      <vt:lpstr>vpc802_5_4_3</vt:lpstr>
      <vt:lpstr>vpc802_5_4_4_a</vt:lpstr>
      <vt:lpstr>vpc802_5_4_4_b</vt:lpstr>
      <vt:lpstr>vpc802_5_4_4_c</vt:lpstr>
      <vt:lpstr>vpc802_6_2</vt:lpstr>
      <vt:lpstr>vpc802_6_3_1</vt:lpstr>
      <vt:lpstr>vpc802_6_3_2</vt:lpstr>
      <vt:lpstr>vpc802_6_3_3</vt:lpstr>
      <vt:lpstr>vpc802_6_4_1</vt:lpstr>
      <vt:lpstr>vpc802_6_4_2</vt:lpstr>
      <vt:lpstr>vpc802_6_5_1</vt:lpstr>
      <vt:lpstr>vpc802_6_5_2</vt:lpstr>
      <vt:lpstr>vpc802_6_5_3</vt:lpstr>
      <vt:lpstr>vpc802_6_5_4</vt:lpstr>
      <vt:lpstr>vpc802_6_5_5</vt:lpstr>
      <vt:lpstr>vpc802_7_1</vt:lpstr>
      <vt:lpstr>vpc802_7_2</vt:lpstr>
      <vt:lpstr>vpc802_8</vt:lpstr>
      <vt:lpstr>vpc802_9_1</vt:lpstr>
      <vt:lpstr>vpc802_9_2</vt:lpstr>
      <vt:lpstr>vpc803_1</vt:lpstr>
      <vt:lpstr>vpc803_2</vt:lpstr>
      <vt:lpstr>vpc803_3</vt:lpstr>
      <vt:lpstr>vpc803_4</vt:lpstr>
      <vt:lpstr>vpc803_5</vt:lpstr>
      <vt:lpstr>vpc803_6</vt:lpstr>
      <vt:lpstr>vpc901_1_1</vt:lpstr>
      <vt:lpstr>vpc901_1_2</vt:lpstr>
      <vt:lpstr>vpc901_1_3_1</vt:lpstr>
      <vt:lpstr>vpc901_1_3_2</vt:lpstr>
      <vt:lpstr>vpc901_1_5</vt:lpstr>
      <vt:lpstr>vpc901_1_6</vt:lpstr>
      <vt:lpstr>vpc901_10</vt:lpstr>
      <vt:lpstr>vpc901_11</vt:lpstr>
      <vt:lpstr>vpc901_12</vt:lpstr>
      <vt:lpstr>vpc901_14</vt:lpstr>
      <vt:lpstr>vpc901_15_1</vt:lpstr>
      <vt:lpstr>vpc901_15_2</vt:lpstr>
      <vt:lpstr>vpc901_2_1_1</vt:lpstr>
      <vt:lpstr>vpc901_2_1_2</vt:lpstr>
      <vt:lpstr>vpc901_2_1_3</vt:lpstr>
      <vt:lpstr>vpc901_2_1_4</vt:lpstr>
      <vt:lpstr>vpc901_2_1_5</vt:lpstr>
      <vt:lpstr>vpc901_2_2</vt:lpstr>
      <vt:lpstr>vpc901_3_1_a</vt:lpstr>
      <vt:lpstr>vpc901_3_1_b</vt:lpstr>
      <vt:lpstr>vpc901_3_1_c</vt:lpstr>
      <vt:lpstr>vpc901_3_2</vt:lpstr>
      <vt:lpstr>vpc901_4</vt:lpstr>
      <vt:lpstr>vpc901_5_1</vt:lpstr>
      <vt:lpstr>vpc901_5_2</vt:lpstr>
      <vt:lpstr>vpc901_7</vt:lpstr>
      <vt:lpstr>vpc901_8</vt:lpstr>
      <vt:lpstr>vpc901_9_1</vt:lpstr>
      <vt:lpstr>vpc901_9_2</vt:lpstr>
      <vt:lpstr>vpc901_9_3</vt:lpstr>
      <vt:lpstr>vpc902_1_1_1_a</vt:lpstr>
      <vt:lpstr>vpc902_1_1_3</vt:lpstr>
      <vt:lpstr>vpc902_1_2</vt:lpstr>
      <vt:lpstr>vpc902_1_3</vt:lpstr>
      <vt:lpstr>vpc902_1_4</vt:lpstr>
      <vt:lpstr>vpc902_1_5</vt:lpstr>
      <vt:lpstr>vpc902_1_6</vt:lpstr>
      <vt:lpstr>vpc902_2_1</vt:lpstr>
      <vt:lpstr>vpc902_2_2</vt:lpstr>
      <vt:lpstr>vpc902_2_3</vt:lpstr>
      <vt:lpstr>vpc902_2_4</vt:lpstr>
      <vt:lpstr>vpc902_2_5</vt:lpstr>
      <vt:lpstr>vpc902_3_1</vt:lpstr>
      <vt:lpstr>vpc902_3_2</vt:lpstr>
      <vt:lpstr>vpc902_3_2_1</vt:lpstr>
      <vt:lpstr>vpc902_3_2_2</vt:lpstr>
      <vt:lpstr>vpc902_4</vt:lpstr>
      <vt:lpstr>vpc902_5</vt:lpstr>
      <vt:lpstr>vpc903_1</vt:lpstr>
      <vt:lpstr>vpc903_2</vt:lpstr>
      <vt:lpstr>vpc903_3</vt:lpstr>
      <vt:lpstr>vpc904_1</vt:lpstr>
      <vt:lpstr>vpc904_2</vt:lpstr>
      <vt:lpstr>vpc905_1</vt:lpstr>
      <vt:lpstr>vpc905_2</vt:lpstr>
      <vt:lpstr>vpc905_3</vt:lpstr>
      <vt:lpstr>vpc905_4</vt:lpstr>
      <vt:lpstr>vpc905_5</vt:lpstr>
      <vt:lpstr>vpc905_6</vt:lpstr>
      <vt:lpstr>Vpoints</vt:lpstr>
      <vt:lpstr>vscAGFloorArea</vt:lpstr>
      <vt:lpstr>vscAttachedGarage</vt:lpstr>
      <vt:lpstr>vscAttic</vt:lpstr>
      <vt:lpstr>vscBuilderName</vt:lpstr>
      <vt:lpstr>vscBuildingCode</vt:lpstr>
      <vt:lpstr>vscCDucts</vt:lpstr>
      <vt:lpstr>vscCity</vt:lpstr>
      <vt:lpstr>vscCommercial</vt:lpstr>
      <vt:lpstr>vscCool1</vt:lpstr>
      <vt:lpstr>vscCool2</vt:lpstr>
      <vt:lpstr>vscCool3</vt:lpstr>
      <vt:lpstr>vscCounty</vt:lpstr>
      <vt:lpstr>vscCToilet</vt:lpstr>
      <vt:lpstr>vscEnergyBLYear</vt:lpstr>
      <vt:lpstr>vscEnergyCode</vt:lpstr>
      <vt:lpstr>vscEnergyPath</vt:lpstr>
      <vt:lpstr>vscFloors</vt:lpstr>
      <vt:lpstr>vscFoundation</vt:lpstr>
      <vt:lpstr>vscFuel</vt:lpstr>
      <vt:lpstr>vscHDucts</vt:lpstr>
      <vt:lpstr>vscHomeAddress</vt:lpstr>
      <vt:lpstr>vscHVAC1</vt:lpstr>
      <vt:lpstr>vscHVAC2</vt:lpstr>
      <vt:lpstr>vscHVAC3</vt:lpstr>
      <vt:lpstr>vscLot</vt:lpstr>
      <vt:lpstr>vscMassWalls</vt:lpstr>
      <vt:lpstr>vscPassiveSolar</vt:lpstr>
      <vt:lpstr>vscProjectDesc</vt:lpstr>
      <vt:lpstr>vscProjectName</vt:lpstr>
      <vt:lpstr>vscRadiantHydronic</vt:lpstr>
      <vt:lpstr>vscRecessedLighting</vt:lpstr>
      <vt:lpstr>vscRenewable</vt:lpstr>
      <vt:lpstr>vscSingleOrMulti</vt:lpstr>
      <vt:lpstr>vscsSHGC</vt:lpstr>
      <vt:lpstr>vscState</vt:lpstr>
      <vt:lpstr>vscsUV</vt:lpstr>
      <vt:lpstr>vscTCFloorArea</vt:lpstr>
      <vt:lpstr>vscTEInsulation</vt:lpstr>
      <vt:lpstr>vscTLWH</vt:lpstr>
      <vt:lpstr>vscUnits</vt:lpstr>
      <vt:lpstr>vscWaterBLYear</vt:lpstr>
      <vt:lpstr>vscWaterPath</vt:lpstr>
      <vt:lpstr>vscwdSHGC</vt:lpstr>
      <vt:lpstr>vscwdUV</vt:lpstr>
      <vt:lpstr>vscYearBuilt</vt:lpstr>
      <vt:lpstr>vscZIP</vt:lpstr>
      <vt:lpstr>vsfAGFloorArea</vt:lpstr>
      <vt:lpstr>vsfAttachedGarage</vt:lpstr>
      <vt:lpstr>vsfAttic</vt:lpstr>
      <vt:lpstr>vsfBuilderName</vt:lpstr>
      <vt:lpstr>vsfBuildingCode</vt:lpstr>
      <vt:lpstr>vsfCDucts</vt:lpstr>
      <vt:lpstr>vsfCity</vt:lpstr>
      <vt:lpstr>vsfCommercial</vt:lpstr>
      <vt:lpstr>vsfCool1</vt:lpstr>
      <vt:lpstr>vsfCool2</vt:lpstr>
      <vt:lpstr>vsfCool3</vt:lpstr>
      <vt:lpstr>vsfCounty</vt:lpstr>
      <vt:lpstr>vsfCToilet</vt:lpstr>
      <vt:lpstr>vsfEnergyBLYear</vt:lpstr>
      <vt:lpstr>vsfEnergyCode</vt:lpstr>
      <vt:lpstr>vsfEnergyPath</vt:lpstr>
      <vt:lpstr>vsfFloors</vt:lpstr>
      <vt:lpstr>vsfFoundation</vt:lpstr>
      <vt:lpstr>vsfFuel</vt:lpstr>
      <vt:lpstr>vsfHDucts</vt:lpstr>
      <vt:lpstr>vsfHomeAddress</vt:lpstr>
      <vt:lpstr>vsfHVAC1</vt:lpstr>
      <vt:lpstr>vsfHVAC2</vt:lpstr>
      <vt:lpstr>vsfHVAC3</vt:lpstr>
      <vt:lpstr>vsfLot</vt:lpstr>
      <vt:lpstr>vsfMassWalls</vt:lpstr>
      <vt:lpstr>vsfPassiveSolar</vt:lpstr>
      <vt:lpstr>vsfProjectDesc</vt:lpstr>
      <vt:lpstr>vsfProjectID</vt:lpstr>
      <vt:lpstr>vsfProjectName</vt:lpstr>
      <vt:lpstr>vsfRadiantHydronic</vt:lpstr>
      <vt:lpstr>vsfRecessedLighting</vt:lpstr>
      <vt:lpstr>vsfRenewable</vt:lpstr>
      <vt:lpstr>vsfSingleOrMulti</vt:lpstr>
      <vt:lpstr>vsfsSHGC</vt:lpstr>
      <vt:lpstr>vsfState</vt:lpstr>
      <vt:lpstr>vsfsUV</vt:lpstr>
      <vt:lpstr>vsfTCFloorArea</vt:lpstr>
      <vt:lpstr>vsfTEInsulation</vt:lpstr>
      <vt:lpstr>vsfTLWH</vt:lpstr>
      <vt:lpstr>vsfUnits</vt:lpstr>
      <vt:lpstr>vsfWaterBLYear</vt:lpstr>
      <vt:lpstr>vsfWaterPath</vt:lpstr>
      <vt:lpstr>vsfwdSHGC</vt:lpstr>
      <vt:lpstr>vsfwdUV</vt:lpstr>
      <vt:lpstr>vsfYearBuilt</vt:lpstr>
      <vt:lpstr>vsfZIP</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Matt Stair</dc:creator>
  <cp:lastModifiedBy>Artem Hruzd</cp:lastModifiedBy>
  <cp:lastPrinted>2021-12-08T04:25:58Z</cp:lastPrinted>
  <dcterms:created xsi:type="dcterms:W3CDTF">2015-10-15T15:17:45Z</dcterms:created>
  <dcterms:modified xsi:type="dcterms:W3CDTF">2022-01-16T15:11:40Z</dcterms:modified>
</cp:coreProperties>
</file>